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1.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4.xml" ContentType="application/vnd.openxmlformats-officedocument.spreadsheetml.comments+xml"/>
  <Override PartName="/xl/comments15.xml" ContentType="application/vnd.openxmlformats-officedocument.spreadsheetml.comments+xml"/>
  <Override PartName="/xl/comments12.xml" ContentType="application/vnd.openxmlformats-officedocument.spreadsheetml.comments+xml"/>
  <Override PartName="/xl/comments3.xml" ContentType="application/vnd.openxmlformats-officedocument.spreadsheetml.comments+xml"/>
  <Override PartName="/xl/comments13.xml" ContentType="application/vnd.openxmlformats-officedocument.spreadsheetml.comments+xml"/>
  <Override PartName="/xl/drawings/drawing7.xml" ContentType="application/vnd.openxmlformats-officedocument.drawing+xml"/>
  <Override PartName="/xl/drawings/vmlDrawing6.vml" ContentType="application/vnd.openxmlformats-officedocument.vmlDrawing"/>
  <Override PartName="/xl/drawings/drawing6.xml" ContentType="application/vnd.openxmlformats-officedocument.drawing+xml"/>
  <Override PartName="/xl/drawings/vmlDrawing5.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drawing1.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6.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Dashboard" sheetId="2" state="visible" r:id="rId4"/>
    <sheet name="Trabajadores" sheetId="3" state="visible" r:id="rId5"/>
    <sheet name="Contratos" sheetId="4" state="visible" r:id="rId6"/>
    <sheet name="Control_Contratos" sheetId="5" state="visible" r:id="rId7"/>
    <sheet name="Novedades" sheetId="6" state="visible" r:id="rId8"/>
    <sheet name="Envio_Contador" sheetId="7" state="visible" r:id="rId9"/>
    <sheet name="Liquidaciones" sheetId="8" state="visible" r:id="rId10"/>
    <sheet name="Calculo_Liquidacion" sheetId="9" state="visible" r:id="rId11"/>
    <sheet name="Imposiciones" sheetId="10" state="visible" r:id="rId12"/>
    <sheet name="Vacaciones" sheetId="11" state="visible" r:id="rId13"/>
    <sheet name="Provision_Vacaciones" sheetId="12" state="visible" r:id="rId14"/>
    <sheet name="Finiquitos_Proyeccion" sheetId="13" state="visible" r:id="rId15"/>
    <sheet name="Simulador_Finiquito" sheetId="14" state="visible" r:id="rId16"/>
    <sheet name="Parametros" sheetId="15" state="visible" r:id="rId17"/>
    <sheet name="Listas" sheetId="16" state="visible" r:id="rId18"/>
  </sheets>
  <definedNames>
    <definedName function="false" hidden="true" localSheetId="3" name="_xlnm._FilterDatabase" vbProcedure="false">Contratos!$B$6:$U$806</definedName>
    <definedName function="false" hidden="true" localSheetId="4" name="_xlnm._FilterDatabase" vbProcedure="false">Control_Contratos!$B$6:$U$156</definedName>
    <definedName function="false" hidden="false" localSheetId="6" name="_xlnm.Print_Area" vbProcedure="false">Envio_Contador!$B$2:$X$160</definedName>
    <definedName function="false" hidden="false" localSheetId="6" name="_xlnm.Print_Titles" vbProcedure="false">Envio_Contador!$9:$9</definedName>
    <definedName function="false" hidden="true" localSheetId="7" name="_xlnm._FilterDatabase" vbProcedure="false">Liquidaciones!$B$6:$AI$2406</definedName>
    <definedName function="false" hidden="true" localSheetId="5" name="_xlnm._FilterDatabase" vbProcedure="false">Novedades!$B$6:$R$2406</definedName>
    <definedName function="false" hidden="true" localSheetId="2" name="_xlnm._FilterDatabase" vbProcedure="false">Trabajadores!$B$6:$Z$156</definedName>
    <definedName function="false" hidden="true" localSheetId="10" name="_xlnm._FilterDatabase" vbProcedure="false">Vacaciones!$B$6:$M$1506</definedName>
    <definedName function="false" hidden="false" name="AFC_EMP_INDEF" vbProcedure="false">Parametros!$C$19</definedName>
    <definedName function="false" hidden="false" name="AFC_EMP_PF" vbProcedure="false">Parametros!$C$21</definedName>
    <definedName function="false" hidden="false" name="AFC_IMPUTABLE_PCT" vbProcedure="false">Parametros!$C$40</definedName>
    <definedName function="false" hidden="false" name="AFC_TRAB_INDEF" vbProcedure="false">Parametros!$C$20</definedName>
    <definedName function="false" hidden="false" name="AFC_TRAB_PF" vbProcedure="false">Parametros!$C$22</definedName>
    <definedName function="false" hidden="false" name="AFP_NOMBRES" vbProcedure="false">Parametros!$B$55:$B$61</definedName>
    <definedName function="false" hidden="false" name="AFP_OBLIG" vbProcedure="false">Parametros!$C$17</definedName>
    <definedName function="false" hidden="false" name="AFP_TASA" vbProcedure="false">Parametros!$D$55:$D$61</definedName>
    <definedName function="false" hidden="false" name="AF_HASTA" vbProcedure="false">Parametros!$C$139:$C$142</definedName>
    <definedName function="false" hidden="false" name="AF_MONTO" vbProcedure="false">Parametros!$D$139:$D$142</definedName>
    <definedName function="false" hidden="false" name="ALERTA_AMARILLA" vbProcedure="false">Parametros!$C$45</definedName>
    <definedName function="false" hidden="false" name="ALERTA_NARANJA" vbProcedure="false">Parametros!$C$44</definedName>
    <definedName function="false" hidden="false" name="ALERTA_ROJA" vbProcedure="false">Parametros!$C$43</definedName>
    <definedName function="false" hidden="false" name="ANIOS" vbProcedure="false">Listas!$L$6:$L$50</definedName>
    <definedName function="false" hidden="false" name="CC_ACCION" vbProcedure="false">Control_Contratos!$S$7:$S$156</definedName>
    <definedName function="false" hidden="false" name="CC_CARGO" vbProcedure="false">Control_Contratos!$D$7:$D$156</definedName>
    <definedName function="false" hidden="false" name="CC_DECIDIR" vbProcedure="false">Control_Contratos!$P$7:$P$156</definedName>
    <definedName function="false" hidden="false" name="CC_DIAS" vbProcedure="false">Control_Contratos!$O$7:$O$156</definedName>
    <definedName function="false" hidden="false" name="CC_ESTADOC" vbProcedure="false">Control_Contratos!$R$7:$R$156</definedName>
    <definedName function="false" hidden="false" name="CC_ESTADOT" vbProcedure="false">Control_Contratos!$E$7:$E$156</definedName>
    <definedName function="false" hidden="false" name="CC_ID" vbProcedure="false">Control_Contratos!$B$7:$B$156</definedName>
    <definedName function="false" hidden="false" name="CC_NOMBRE" vbProcedure="false">Control_Contratos!$C$7:$C$156</definedName>
    <definedName function="false" hidden="false" name="CC_NPF" vbProcedure="false">Control_Contratos!$K$7:$K$156</definedName>
    <definedName function="false" hidden="false" name="CC_PROX" vbProcedure="false">Control_Contratos!$Q$7:$Q$156</definedName>
    <definedName function="false" hidden="false" name="CC_SORT" vbProcedure="false">Control_Contratos!$V$7:$V$156</definedName>
    <definedName function="false" hidden="false" name="CC_TIPO" vbProcedure="false">Control_Contratos!$I$7:$I$156</definedName>
    <definedName function="false" hidden="false" name="CC_VENCE" vbProcedure="false">Control_Contratos!$N$7:$N$156</definedName>
    <definedName function="false" hidden="false" name="C_CLAVE" vbProcedure="false">Contratos!$P$7:$P$806</definedName>
    <definedName function="false" hidden="false" name="C_CLAVES" vbProcedure="false">Contratos!$S$7:$S$806</definedName>
    <definedName function="false" hidden="false" name="C_DEFINE" vbProcedure="false">Contratos!$N$7:$N$806</definedName>
    <definedName function="false" hidden="false" name="C_FIRMADO" vbProcedure="false">Contratos!$K$7:$K$806</definedName>
    <definedName function="false" hidden="false" name="C_ID" vbProcedure="false">Contratos!$B$7:$B$806</definedName>
    <definedName function="false" hidden="false" name="C_INICIO" vbProcedure="false">Contratos!$F$7:$F$806</definedName>
    <definedName function="false" hidden="false" name="C_NPF" vbProcedure="false">Contratos!$Q$7:$Q$806</definedName>
    <definedName function="false" hidden="false" name="C_ORDEN" vbProcedure="false">Contratos!$O$7:$O$806</definedName>
    <definedName function="false" hidden="false" name="C_SUELDO" vbProcedure="false">Contratos!$H$7:$H$806</definedName>
    <definedName function="false" hidden="false" name="C_TERMINO" vbProcedure="false">Contratos!$G$7:$G$806</definedName>
    <definedName function="false" hidden="false" name="C_TIPO" vbProcedure="false">Contratos!$E$7:$E$806</definedName>
    <definedName function="false" hidden="false" name="C_TIPODOC" vbProcedure="false">Contratos!$D$7:$D$806</definedName>
    <definedName function="false" hidden="false" name="DB_DESDE" vbProcedure="false">Dashboard!$G$48</definedName>
    <definedName function="false" hidden="false" name="DB_ULTMES" vbProcedure="false">Dashboard!$N$5</definedName>
    <definedName function="false" hidden="false" name="DIAS_DECISION" vbProcedure="false">Parametros!$C$46</definedName>
    <definedName function="false" hidden="false" name="DIA_PAGO_ELEC" vbProcedure="false">Parametros!$C$50</definedName>
    <definedName function="false" hidden="false" name="DIA_PAGO_MANUAL" vbProcedure="false">Parametros!$C$51</definedName>
    <definedName function="false" hidden="false" name="ENVIO_PER" vbProcedure="false">Envio_Contador!$E$5</definedName>
    <definedName function="false" hidden="false" name="FECHA_CORTE" vbProcedure="false">Parametros!$C$7</definedName>
    <definedName function="false" hidden="false" name="FERIADOS" vbProcedure="false">Listas!$M$6:$M$125</definedName>
    <definedName function="false" hidden="false" name="FQ_ACTIVO" vbProcedure="false">Finiquitos_Proyeccion!$G$10:$G$159</definedName>
    <definedName function="false" hidden="false" name="FQ_AVISO" vbProcedure="false">Finiquitos_Proyeccion!$C$6</definedName>
    <definedName function="false" hidden="false" name="FQ_FECHA" vbProcedure="false">Finiquitos_Proyeccion!$C$7</definedName>
    <definedName function="false" hidden="false" name="FQ_FINVENC" vbProcedure="false">Finiquitos_Proyeccion!$S$10:$S$159</definedName>
    <definedName function="false" hidden="false" name="FQ_TOTAL161" vbProcedure="false">Finiquitos_Proyeccion!$Q$10:$Q$159</definedName>
    <definedName function="false" hidden="false" name="FQ_VAC" vbProcedure="false">Finiquitos_Proyeccion!$M$10:$M$159</definedName>
    <definedName function="false" hidden="false" name="FQ_VENC" vbProcedure="false">Finiquitos_Proyeccion!$F$10:$F$159</definedName>
    <definedName function="false" hidden="false" name="GRAT_PCT" vbProcedure="false">Parametros!$C$29</definedName>
    <definedName function="false" hidden="false" name="GRAT_TOPE_IMM" vbProcedure="false">Parametros!$C$30</definedName>
    <definedName function="false" hidden="false" name="GRAT_TOPE_MES" vbProcedure="false">Parametros!$C$31</definedName>
    <definedName function="false" hidden="false" name="IMM_HOY" vbProcedure="false">Parametros!$C$12</definedName>
    <definedName function="false" hidden="false" name="IMPUTAR_AFC" vbProcedure="false">Parametros!$C$39</definedName>
    <definedName function="false" hidden="false" name="IMP_DESDE" vbProcedure="false">Parametros!$B$128:$B$135</definedName>
    <definedName function="false" hidden="false" name="IMP_FACTOR" vbProcedure="false">Parametros!$D$128:$D$135</definedName>
    <definedName function="false" hidden="false" name="IMP_REBAJA" vbProcedure="false">Parametros!$E$128:$E$135</definedName>
    <definedName function="false" hidden="false" name="IND_IMM" vbProcedure="false">Parametros!$E$65:$E$124</definedName>
    <definedName function="false" hidden="false" name="IND_PER" vbProcedure="false">Parametros!$B$65:$B$124</definedName>
    <definedName function="false" hidden="false" name="IND_UF" vbProcedure="false">Parametros!$C$65:$C$124</definedName>
    <definedName function="false" hidden="false" name="IND_UTM" vbProcedure="false">Parametros!$D$65:$D$124</definedName>
    <definedName function="false" hidden="false" name="I_ESTADO" vbProcedure="false">Imposiciones!$O$7:$O$126</definedName>
    <definedName function="false" hidden="false" name="JORNADA_LEGAL" vbProcedure="false">Parametros!$C$32</definedName>
    <definedName function="false" hidden="false" name="LS_AREAS" vbProcedure="false">Listas!$H$6:$H$25</definedName>
    <definedName function="false" hidden="false" name="LS_CAUSALES" vbProcedure="false">Listas!$D$6:$D$12</definedName>
    <definedName function="false" hidden="false" name="LS_GRAT" vbProcedure="false">Listas!$G$6:$G$7</definedName>
    <definedName function="false" hidden="false" name="LS_MESES" vbProcedure="false">Listas!$K$6:$K$89</definedName>
    <definedName function="false" hidden="false" name="LS_MODALIDAD" vbProcedure="false">Listas!$J$6:$J$7</definedName>
    <definedName function="false" hidden="false" name="LS_SALUD" vbProcedure="false">Listas!$F$6:$F$7</definedName>
    <definedName function="false" hidden="false" name="LS_SINO" vbProcedure="false">Listas!$E$6:$E$7</definedName>
    <definedName function="false" hidden="false" name="LS_TIPOCONT" vbProcedure="false">Listas!$C$6:$C$8</definedName>
    <definedName function="false" hidden="false" name="LS_TIPODOC" vbProcedure="false">Listas!$B$6:$B$9</definedName>
    <definedName function="false" hidden="false" name="LS_TIPOVAC" vbProcedure="false">Listas!$I$6:$I$8</definedName>
    <definedName function="false" hidden="false" name="L_AFCE" vbProcedure="false">Liquidaciones!$AC$7:$AC$2406</definedName>
    <definedName function="false" hidden="false" name="L_AFCT" vbProcedure="false">Liquidaciones!$S$7:$S$2406</definedName>
    <definedName function="false" hidden="false" name="L_AFP" vbProcedure="false">Liquidaciones!$Q$7:$Q$2406</definedName>
    <definedName function="false" hidden="false" name="L_ASIGFAM" vbProcedure="false">Liquidaciones!$N$7:$N$2406</definedName>
    <definedName function="false" hidden="false" name="L_CLAVE" vbProcedure="false">Liquidaciones!$AH$7:$AH$2406</definedName>
    <definedName function="false" hidden="false" name="L_COSTO" vbProcedure="false">Liquidaciones!$AE$7:$AE$2406</definedName>
    <definedName function="false" hidden="false" name="L_DUP" vbProcedure="false">Liquidaciones!$AI$7:$AI$2406</definedName>
    <definedName function="false" hidden="false" name="L_EMPPREV" vbProcedure="false">Liquidaciones!$AB$7:$AB$2406</definedName>
    <definedName function="false" hidden="false" name="L_HABERES" vbProcedure="false">Liquidaciones!$P$7:$P$2406</definedName>
    <definedName function="false" hidden="false" name="L_ID" vbProcedure="false">Liquidaciones!$C$7:$C$2406</definedName>
    <definedName function="false" hidden="false" name="L_IMP" vbProcedure="false">Liquidaciones!$T$7:$T$2406</definedName>
    <definedName function="false" hidden="false" name="L_IMPONIBLE" vbProcedure="false">Liquidaciones!$K$7:$K$2406</definedName>
    <definedName function="false" hidden="false" name="L_LIQ" vbProcedure="false">Liquidaciones!$X$7:$X$2406</definedName>
    <definedName function="false" hidden="false" name="L_MUT" vbProcedure="false">Liquidaciones!$AD$7:$AD$2406</definedName>
    <definedName function="false" hidden="false" name="L_PER" vbProcedure="false">Liquidaciones!$B$7:$B$2406</definedName>
    <definedName function="false" hidden="false" name="L_SALUD" vbProcedure="false">Liquidaciones!$R$7:$R$2406</definedName>
    <definedName function="false" hidden="false" name="MODALIDAD_PAGO" vbProcedure="false">Parametros!$C$49</definedName>
    <definedName function="false" hidden="false" name="MUTUAL_ADIC" vbProcedure="false">Parametros!$C$24</definedName>
    <definedName function="false" hidden="false" name="MUTUAL_BASICA" vbProcedure="false">Parametros!$C$23</definedName>
    <definedName function="false" hidden="false" name="N_ANT" vbProcedure="false">Novedades!$K$7:$K$2406</definedName>
    <definedName function="false" hidden="false" name="N_ATRASO" vbProcedure="false">Novedades!$I$7:$I$2406</definedName>
    <definedName function="false" hidden="false" name="N_BONO" vbProcedure="false">Novedades!$L$7:$L$2406</definedName>
    <definedName function="false" hidden="false" name="N_CLAVE" vbProcedure="false">Novedades!$P$7:$P$2406</definedName>
    <definedName function="false" hidden="false" name="N_DESC" vbProcedure="false">Novedades!$N$7:$N$2406</definedName>
    <definedName function="false" hidden="false" name="N_DIAS" vbProcedure="false">Novedades!$R$7:$R$2406</definedName>
    <definedName function="false" hidden="false" name="N_DUP" vbProcedure="false">Novedades!$Q$7:$Q$2406</definedName>
    <definedName function="false" hidden="false" name="N_FALTAS" vbProcedure="false">Novedades!$E$7:$E$2406</definedName>
    <definedName function="false" hidden="false" name="N_HE" vbProcedure="false">Novedades!$J$7:$J$2406</definedName>
    <definedName function="false" hidden="false" name="N_ID" vbProcedure="false">Novedades!$C$7:$C$2406</definedName>
    <definedName function="false" hidden="false" name="N_LIC" vbProcedure="false">Novedades!$F$7:$F$2406</definedName>
    <definedName function="false" hidden="false" name="N_OBS" vbProcedure="false">Novedades!$O$7:$O$2406</definedName>
    <definedName function="false" hidden="false" name="N_ONI" vbProcedure="false">Novedades!$M$7:$M$2406</definedName>
    <definedName function="false" hidden="false" name="N_PCG" vbProcedure="false">Novedades!$G$7:$G$2406</definedName>
    <definedName function="false" hidden="false" name="N_PER" vbProcedure="false">Novedades!$B$7:$B$2406</definedName>
    <definedName function="false" hidden="false" name="N_PSG" vbProcedure="false">Novedades!$H$7:$H$2406</definedName>
    <definedName function="false" hidden="false" name="OBRA_DIAS" vbProcedure="false">Parametros!$C$38</definedName>
    <definedName function="false" hidden="false" name="PV_ALERTA" vbProcedure="false">Provision_Vacaciones!$P$7:$P$156</definedName>
    <definedName function="false" hidden="false" name="PV_PROV" vbProcedure="false">Provision_Vacaciones!$N$7:$N$156</definedName>
    <definedName function="false" hidden="false" name="PV_SALDO" vbProcedure="false">Provision_Vacaciones!$K$7:$K$156</definedName>
    <definedName function="false" hidden="false" name="RECARGO_HE" vbProcedure="false">Parametros!$C$33</definedName>
    <definedName function="false" hidden="false" name="SALUD_PCT" vbProcedure="false">Parametros!$C$18</definedName>
    <definedName function="false" hidden="false" name="SANNA" vbProcedure="false">Parametros!$C$25</definedName>
    <definedName function="false" hidden="false" name="TASA_DESDE" vbProcedure="false">Parametros!$B$146:$B$157</definedName>
    <definedName function="false" hidden="false" name="TASA_EMP" vbProcedure="false">Parametros!$C$146:$C$157</definedName>
    <definedName function="false" hidden="false" name="TASA_EMP_HOY" vbProcedure="false">Parametros!$C$26</definedName>
    <definedName function="false" hidden="false" name="TOPE_AFC_UF" vbProcedure="false">Parametros!$C$16</definedName>
    <definedName function="false" hidden="false" name="TOPE_AFP_UF" vbProcedure="false">Parametros!$C$15</definedName>
    <definedName function="false" hidden="false" name="TOPE_IAS_ANIOS" vbProcedure="false">Parametros!$C$37</definedName>
    <definedName function="false" hidden="false" name="TOPE_IAS_UF" vbProcedure="false">Parametros!$C$36</definedName>
    <definedName function="false" hidden="false" name="T_AFP" vbProcedure="false">Trabajadores!$O$7:$O$156</definedName>
    <definedName function="false" hidden="false" name="T_ALERTA" vbProcedure="false">Trabajadores!$Z$7:$Z$156</definedName>
    <definedName function="false" hidden="false" name="T_AREA" vbProcedure="false">Trabajadores!$F$7:$F$156</definedName>
    <definedName function="false" hidden="false" name="T_AUX" vbProcedure="false">Trabajadores!$AA$7:$AA$156</definedName>
    <definedName function="false" hidden="false" name="T_BONO" vbProcedure="false">Trabajadores!$L$7:$L$156</definedName>
    <definedName function="false" hidden="false" name="T_CARGAS" vbProcedure="false">Trabajadores!$R$7:$R$156</definedName>
    <definedName function="false" hidden="false" name="T_CARGO" vbProcedure="false">Trabajadores!$E$7:$E$156</definedName>
    <definedName function="false" hidden="false" name="T_CAUSAL" vbProcedure="false">Trabajadores!$I$7:$I$156</definedName>
    <definedName function="false" hidden="false" name="T_COL" vbProcedure="false">Trabajadores!$M$7:$M$156</definedName>
    <definedName function="false" hidden="false" name="T_EGRESO" vbProcedure="false">Trabajadores!$H$7:$H$156</definedName>
    <definedName function="false" hidden="false" name="T_ESTADO" vbProcedure="false">Trabajadores!$V$7:$V$156</definedName>
    <definedName function="false" hidden="false" name="T_GRAT" vbProcedure="false">Trabajadores!$K$7:$K$156</definedName>
    <definedName function="false" hidden="false" name="T_ID" vbProcedure="false">Trabajadores!$B$7:$B$156</definedName>
    <definedName function="false" hidden="false" name="T_INGRESO" vbProcedure="false">Trabajadores!$G$7:$G$156</definedName>
    <definedName function="false" hidden="false" name="T_JORNADA" vbProcedure="false">Trabajadores!$J$7:$J$156</definedName>
    <definedName function="false" hidden="false" name="T_MOV" vbProcedure="false">Trabajadores!$N$7:$N$156</definedName>
    <definedName function="false" hidden="false" name="T_NOMBRE" vbProcedure="false">Trabajadores!$D$7:$D$156</definedName>
    <definedName function="false" hidden="false" name="T_PLAN" vbProcedure="false">Trabajadores!$Q$7:$Q$156</definedName>
    <definedName function="false" hidden="false" name="T_PREV" vbProcedure="false">Trabajadores!$S$7:$S$156</definedName>
    <definedName function="false" hidden="false" name="T_RUT" vbProcedure="false">Trabajadores!$C$7:$C$156</definedName>
    <definedName function="false" hidden="false" name="T_SALUD" vbProcedure="false">Trabajadores!$P$7:$P$156</definedName>
    <definedName function="false" hidden="false" name="T_SUELDO" vbProcedure="false">Trabajadores!$X$7:$X$156</definedName>
    <definedName function="false" hidden="false" name="T_TIPO" vbProcedure="false">Trabajadores!$Y$7:$Y$156</definedName>
    <definedName function="false" hidden="false" name="T_VACPREV" vbProcedure="false">Trabajadores!$T$7:$T$156</definedName>
    <definedName function="false" hidden="false" name="UF_HOY" vbProcedure="false">Parametros!$C$10</definedName>
    <definedName function="false" hidden="false" name="UTM_HOY" vbProcedure="false">Parametros!$C$11</definedName>
    <definedName function="false" hidden="false" name="V_DIAS" vbProcedure="false">Vacaciones!$I$7:$I$1506</definedName>
    <definedName function="false" hidden="false" name="V_ID" vbProcedure="false">Vacaciones!$B$7:$B$1506</definedName>
    <definedName function="false" hidden="false" name="V_INICIO" vbProcedure="false">Vacaciones!$D$7:$D$1506</definedName>
    <definedName function="false" hidden="false" name="V_MES" vbProcedure="false">Vacaciones!$L$7:$L$1506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6" authorId="0">
      <text>
        <r>
          <rPr>
            <sz val="10"/>
            <rFont val="Arial"/>
            <family val="2"/>
          </rPr>
          <t xml:space="preserve">Último día trabajado. Al ingresar esta fecha el trabajador pasa a "Desvinculado" y sale de las proyecciones y envíos al contador de los meses siguientes.</t>
        </r>
      </text>
    </comment>
    <comment ref="S6" authorId="0">
      <text>
        <r>
          <rPr>
            <sz val="10"/>
            <rFont val="Arial"/>
            <family val="2"/>
          </rPr>
          <t xml:space="preserve">Feriado progresivo (Art. 68): con 10 años de trabajo (máximo 10 con empleadores anteriores, acreditados con certificado de cotizaciones) el trabajador gana 1 día adicional de vacaciones por cada 3 nuevos años trabajados.</t>
        </r>
      </text>
    </comment>
    <comment ref="T6" authorId="0">
      <text>
        <r>
          <rPr>
            <sz val="10"/>
            <rFont val="Arial"/>
            <family val="2"/>
          </rPr>
          <t xml:space="preserve">Para trabajadores antiguos: días de vacaciones que ya usaron desde su ingreso hasta antes de empezar a usar esta planilla. Desde ahora registre cada período en la hoja Vacaciones.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6" authorId="0">
      <text>
        <r>
          <rPr>
            <sz val="10"/>
            <rFont val="Arial"/>
            <family val="2"/>
          </rPr>
          <t xml:space="preserve">Contrato inicial: primer contrato.
Renovación / prórroga: extiende un plazo fijo (2° contrato).
Paso a indefinido: anexo que convierte el contrato en indefinido.
Anexo de modificación: cambia sueldo, cargo, jornada u otra cláusula sin cambiar el plazo.</t>
        </r>
      </text>
    </comment>
    <comment ref="H6" authorId="0">
      <text>
        <r>
          <rPr>
            <sz val="10"/>
            <rFont val="Arial"/>
            <family val="2"/>
          </rPr>
          <t xml:space="preserve">Escriba el sueldo solo cuando el documento lo fija o lo cambia. La hoja Trabajadores toma automáticamente el último sueldo vigente.</t>
        </r>
      </text>
    </comment>
    <comment ref="Q6" authorId="0">
      <text>
        <r>
          <rPr>
            <sz val="10"/>
            <rFont val="Arial"/>
            <family val="2"/>
          </rPr>
          <t xml:space="preserve">Art. 159 N°4: la segunda renovación de un contrato a plazo fijo lo transforma en indefinido. Es decir, solo pueden existir 2 contratos a plazo consecutivos (el inicial y una renovación).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Elija el mes desde la lista (se guarda como el día 1 del mes). Una fila por trabajador por mes; si hay varias faltas en el mes, súmelas en la misma fila y detalle las fechas en Observaciones.</t>
        </r>
      </text>
    </comment>
    <comment ref="R6" authorId="0">
      <text>
        <r>
          <rPr>
            <sz val="10"/>
            <rFont val="Arial"/>
            <family val="2"/>
          </rPr>
          <t xml:space="preserve">Días trabajados = días de contrato del mes (base 30) − faltas − licencias − permisos sin goce. Los días de licencia los paga la Isapre/Fonasa (subsidio), no la empresa.</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Y6" authorId="0">
      <text>
        <r>
          <rPr>
            <sz val="10"/>
            <rFont val="Arial"/>
            <family val="2"/>
          </rPr>
          <t xml:space="preserve">Escriba el líquido que aparece en el PDF. Si no coincide con el líquido calculado de la fila, hay un ítem mal copiado (o falta alguno).</t>
        </r>
      </text>
    </comment>
    <comment ref="AB6" authorId="0">
      <text>
        <r>
          <rPr>
            <sz val="10"/>
            <rFont val="Arial"/>
            <family val="2"/>
          </rPr>
          <t xml:space="preserve">Calculado con la tasa del período (Parametros, tabla 12) sobre la renta imponible con tope de 90 UF. Desde agosto 2026: 3,5% (incluye SIS).</t>
        </r>
      </text>
    </comment>
    <comment ref="AE6" authorId="0">
      <text>
        <r>
          <rPr>
            <sz val="10"/>
            <rFont val="Arial"/>
            <family val="2"/>
          </rPr>
          <t xml:space="preserve">Costo empresa = total haberes − asignación familiar (la recupera el empleador en Previred) + aportes del empleador (cotización previsional, seguro de cesantía y mutual).</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Art. 19 DL 3.500: las cotizaciones se pagan dentro de los 10 primeros días del mes siguiente (hábil siguiente si cae en sábado, domingo o festivo). Si se declaran y pagan por internet (Previred), el plazo es hasta el día 13, aunque sea inhábil.</t>
        </r>
      </text>
    </comment>
    <comment ref="J6" authorId="0">
      <text>
        <r>
          <rPr>
            <sz val="10"/>
            <rFont val="Arial"/>
            <family val="2"/>
          </rPr>
          <t xml:space="preserve">Formulario 29 del SII: día 20 del mes siguiente si declara y paga por internet (facturador electrónico); día 12 en los demás casos.</t>
        </r>
      </text>
    </comment>
    <comment ref="O6" authorId="0">
      <text>
        <r>
          <rPr>
            <sz val="10"/>
            <rFont val="Arial"/>
            <family val="2"/>
          </rPr>
          <t xml:space="preserve">Importante (Ley Bustos, Art. 162): si al despedir a un trabajador hay cotizaciones impagas, el despido no produce efecto y se siguen devengando remuneraciones hasta que se paguen.</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H6" authorId="0">
      <text>
        <r>
          <rPr>
            <sz val="10"/>
            <rFont val="Arial"/>
            <family val="2"/>
          </rPr>
          <t xml:space="preserve">Úselo solo si necesita corregir el conteo (por ejemplo, medio día o un feriado no listado en la hoja Listas).</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L6" authorId="0">
      <text>
        <r>
          <rPr>
            <sz val="10"/>
            <rFont val="Arial"/>
            <family val="2"/>
          </rPr>
          <t xml:space="preserve">Art. 73: el feriado pendiente se paga considerando los sábados, domingos y festivos que caerían en el período si se tomara a partir del día siguiente. Por eso los días hábiles se convierten a días corridos.</t>
        </r>
      </text>
    </comment>
    <comment ref="M6" authorId="0">
      <text>
        <r>
          <rPr>
            <sz val="10"/>
            <rFont val="Arial"/>
            <family val="2"/>
          </rPr>
          <t xml:space="preserve">Art. 71: la remuneración íntegra durante el feriado es el sueldo (más bonos fijos). Si el trabajador tiene remuneración variable, se usa el promedio de los últimos 3 meses (ajuste manual).</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Art. 172: incluye todo lo que el trabajador percibe mensualmente (sueldo, bonos fijos, gratificación mensual, colación y movilización), excluyendo horas extra, asignación familiar y pagos esporádicos.</t>
        </r>
      </text>
    </comment>
    <comment ref="N9" authorId="0">
      <text>
        <r>
          <rPr>
            <sz val="10"/>
            <rFont val="Arial"/>
            <family val="2"/>
          </rPr>
          <t xml:space="preserve">Art. 163: 30 días de la última remuneración por cada año de servicio y fracción superior a 6 meses, con tope de 11 años y base máxima de 90 UF. Solo si el contrato duró 1 año o más.</t>
        </r>
      </text>
    </comment>
    <comment ref="O9" authorId="0">
      <text>
        <r>
          <rPr>
            <sz val="10"/>
            <rFont val="Arial"/>
            <family val="2"/>
          </rPr>
          <t xml:space="preserve">Art. 161/162: si no se avisa con 30 días de anticipación, se paga una remuneración mensual (tope 90 UF) como indemnización sustitutiva del aviso previo.</t>
        </r>
      </text>
    </comment>
    <comment ref="P9" authorId="0">
      <text>
        <r>
          <rPr>
            <sz val="10"/>
            <rFont val="Arial"/>
            <family val="2"/>
          </rPr>
          <t xml:space="preserve">Art. 13 Ley 19.728: en despidos por Art. 161 el empleador descuenta de la IAS lo que aportó a la cuenta individual de cesantía del trabajador. Estimado como 1,6% × imponible × meses.</t>
        </r>
      </text>
    </comment>
    <comment ref="S9" authorId="0">
      <text>
        <r>
          <rPr>
            <sz val="10"/>
            <rFont val="Arial"/>
            <family val="2"/>
          </rPr>
          <t xml:space="preserve">Para contratos a plazo fijo u obra: feriado proporcional acumulado hasta la fecha de vencimiento (y para obra, la indemnización de 2,5 días por mes de la Ley 21.122).</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64" authorId="0">
      <text>
        <r>
          <rPr>
            <sz val="10"/>
            <rFont val="Arial"/>
            <family val="2"/>
          </rPr>
          <t xml:space="preserve">Agregue una fila por mes, en orden cronológico. Si una celda queda vacía se usa el último valor disponible. La UF que usa Previred para topes es la del último día del mes de remuneraciones.</t>
        </r>
      </text>
    </comment>
    <comment ref="B138" authorId="0">
      <text>
        <r>
          <rPr>
            <sz val="10"/>
            <rFont val="Arial"/>
            <family val="2"/>
          </rPr>
          <t xml:space="preserve">Montos por carga vigentes desde 01-05-2026 (Ley 21.830, D.O. 22-06-2026). Carga con discapacidad: monto doble. El empleador paga la asignación y la recupera descontándola de las cotizaciones en Previred.</t>
        </r>
      </text>
    </comment>
    <comment ref="B145" authorId="0">
      <text>
        <r>
          <rPr>
            <sz val="10"/>
            <rFont val="Arial"/>
            <family val="2"/>
          </rPr>
          <t xml:space="preserve">Ley 21.735: desde las remuneraciones de agosto 2026 el empleador paga 3,5% de la renta imponible (con tope de 90 UF), que INCLUYE el SIS (1,78%). Sube a 4,25% en agosto 2027 y gradualmente hasta 8,5%. Fuente: Superintendencia de Pensiones / Hacienda. Mantener en orden cronológico.</t>
        </r>
      </text>
    </comment>
    <comment ref="C15" authorId="0">
      <text>
        <r>
          <rPr>
            <sz val="10"/>
            <rFont val="Arial"/>
            <family val="2"/>
          </rPr>
          <t xml:space="preserve">Superintendencia de Pensiones: 90 UF desde el 01-02-2026 (89,9 UF en enero 2026).</t>
        </r>
      </text>
    </comment>
    <comment ref="C16" authorId="0">
      <text>
        <r>
          <rPr>
            <sz val="10"/>
            <rFont val="Arial"/>
            <family val="2"/>
          </rPr>
          <t xml:space="preserve">Superintendencia de Pensiones: 135,2 UF desde el 01-02-2026.</t>
        </r>
      </text>
    </comment>
    <comment ref="C24" authorId="0">
      <text>
        <r>
          <rPr>
            <sz val="10"/>
            <rFont val="Arial"/>
            <family val="2"/>
          </rPr>
          <t xml:space="preserve">La cotización adicional depende de la actividad y siniestralidad de la empresa. Pida el certificado de tasa a su mutual y escríbala aquí.</t>
        </r>
      </text>
    </comment>
    <comment ref="C32" authorId="0">
      <text>
        <r>
          <rPr>
            <sz val="10"/>
            <rFont val="Arial"/>
            <family val="2"/>
          </rPr>
          <t xml:space="preserve">Ley 21.561 (Ley de 40 horas): 44 h desde 26-04-2024, 42 h desde 26-04-2026 y 40 h desde 26-04-2028.</t>
        </r>
      </text>
    </comment>
    <comment ref="C54" authorId="0">
      <text>
        <r>
          <rPr>
            <sz val="10"/>
            <rFont val="Arial"/>
            <family val="2"/>
          </rPr>
          <t xml:space="preserve">Comisiones vigentes según la Superintendencia de Pensiones (AFP Uno 0,46% desde 01-10-2025). Verifique en www.spensiones.cl si alguna AFP cambia su comisión.</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M5" authorId="0">
      <text>
        <r>
          <rPr>
            <sz val="10"/>
            <rFont val="Arial"/>
            <family val="2"/>
          </rPr>
          <t xml:space="preserve">Feriados legales de Chile usados para contar días hábiles (vacaciones, plazos). Agregue al final los feriados nuevos que se legislen (ej. elecciones o feriados adicionales de Fiestas Patrias). Fuente: feriados.cl / Ley 19.668 y leyes especiales.</t>
        </r>
      </text>
    </comment>
  </commentList>
</comments>
</file>

<file path=xl/sharedStrings.xml><?xml version="1.0" encoding="utf-8"?>
<sst xmlns="http://schemas.openxmlformats.org/spreadsheetml/2006/main" count="974" uniqueCount="732">
  <si>
    <t xml:space="preserve">PLAYMAKER — SISTEMA DE CONTROL DE RECURSOS HUMANOS</t>
  </si>
  <si>
    <t xml:space="preserve">Contratos · novedades mensuales · liquidaciones · imposiciones · vacaciones · finiquitos — normativa laboral chilena vigente a octubre 2026</t>
  </si>
  <si>
    <t xml:space="preserve">¿QUÉ RESUELVE ESTA PLANILLA?</t>
  </si>
  <si>
    <t xml:space="preserve">• Historial completo: cada mes se AGREGA una fila por trabajador (Novedades y Liquidaciones). Nada se sobrescribe, así queda la información desde el inicio a la fecha.</t>
  </si>
  <si>
    <t xml:space="preserve">• Estado de contratos: vencimientos, días que faltan, si es el 1er o 2° contrato a plazo fijo, cuántos anexos tiene y qué corresponde hacer según el Código del Trabajo.</t>
  </si>
  <si>
    <t xml:space="preserve">• Pasivo por finiquitos: cuánto costaría hoy (o en una fecha futura) desvincular a cada trabajador y cuánto se pagará cuando venza cada contrato a plazo.</t>
  </si>
  <si>
    <t xml:space="preserve">• Provisión de vacaciones: días pendientes de cada trabajador y su valor en pesos.</t>
  </si>
  <si>
    <t xml:space="preserve">• Trabajo con el contador: resumen mensual listo para enviar, registro de las liquidaciones que devuelve y una calculadora para revisarlas.</t>
  </si>
  <si>
    <t xml:space="preserve">HOJAS DEL LIBRO</t>
  </si>
  <si>
    <t xml:space="preserve">Hoja</t>
  </si>
  <si>
    <t xml:space="preserve">Qué contiene</t>
  </si>
  <si>
    <t xml:space="preserve">Cuándo se usa</t>
  </si>
  <si>
    <t xml:space="preserve">Dashboard</t>
  </si>
  <si>
    <t xml:space="preserve">Resumen: dotación, contratos por vencer, alertas, costos, provisiones e historial mensual con gráficos.</t>
  </si>
  <si>
    <t xml:space="preserve">Revisión semanal</t>
  </si>
  <si>
    <t xml:space="preserve">Trabajadores</t>
  </si>
  <si>
    <t xml:space="preserve">Maestro: datos personales, previsión, colación, movilización, fecha de ingreso y egreso.</t>
  </si>
  <si>
    <t xml:space="preserve">Al contratar o desvincular</t>
  </si>
  <si>
    <t xml:space="preserve">Contratos</t>
  </si>
  <si>
    <t xml:space="preserve">Historial de contratos, renovaciones, pasos a indefinido y anexos (sueldo, cargo, jornada).</t>
  </si>
  <si>
    <t xml:space="preserve">Cada vez que se firma un documento</t>
  </si>
  <si>
    <t xml:space="preserve">Control_Contratos</t>
  </si>
  <si>
    <t xml:space="preserve">Automático: contrato vigente, vencimiento, N° de contrato a plazo, semáforo y acción sugerida.</t>
  </si>
  <si>
    <t xml:space="preserve">Novedades</t>
  </si>
  <si>
    <t xml:space="preserve">Faltas, licencias, permisos, atrasos, horas extra, anticipos y descuentos de cada mes.</t>
  </si>
  <si>
    <t xml:space="preserve">Durante el mes</t>
  </si>
  <si>
    <t xml:space="preserve">Envio_Contador</t>
  </si>
  <si>
    <t xml:space="preserve">Automático: resumen del mes elegido para enviar al contador.</t>
  </si>
  <si>
    <t xml:space="preserve">Fin de mes</t>
  </si>
  <si>
    <t xml:space="preserve">Liquidaciones</t>
  </si>
  <si>
    <t xml:space="preserve">Ítems de cada liquidación devuelta por el contador + aportes del empleador y costo empresa.</t>
  </si>
  <si>
    <t xml:space="preserve">Al recibir las liquidaciones</t>
  </si>
  <si>
    <t xml:space="preserve">Calculo_Liquidacion</t>
  </si>
  <si>
    <t xml:space="preserve">Cálculo de referencia de una liquidación y comparación con la del contador.</t>
  </si>
  <si>
    <t xml:space="preserve">Para revisar dudas</t>
  </si>
  <si>
    <t xml:space="preserve">Imposiciones</t>
  </si>
  <si>
    <t xml:space="preserve">Control del pago en Previred: fecha límite, monto estimado vs pagado, comprobante.</t>
  </si>
  <si>
    <t xml:space="preserve">Antes del día 13 de cada mes</t>
  </si>
  <si>
    <t xml:space="preserve">Vacaciones</t>
  </si>
  <si>
    <t xml:space="preserve">Registro de cada período de vacaciones (días hábiles automáticos).</t>
  </si>
  <si>
    <t xml:space="preserve">Cada vez que alguien sale de vacaciones</t>
  </si>
  <si>
    <t xml:space="preserve">Provision_Vacaciones</t>
  </si>
  <si>
    <t xml:space="preserve">Automático: días ganados, tomados, saldo y valor en pesos.</t>
  </si>
  <si>
    <t xml:space="preserve">Cierre mensual / contabilidad</t>
  </si>
  <si>
    <t xml:space="preserve">Finiquitos_Proyeccion</t>
  </si>
  <si>
    <t xml:space="preserve">Automático: costo de término por trabajador (despido, renuncia y al vencimiento).</t>
  </si>
  <si>
    <t xml:space="preserve">Planificación</t>
  </si>
  <si>
    <t xml:space="preserve">Simulador_Finiquito</t>
  </si>
  <si>
    <t xml:space="preserve">Cálculo detallado del finiquito de un trabajador, fecha y causal.</t>
  </si>
  <si>
    <t xml:space="preserve">Antes de desvincular</t>
  </si>
  <si>
    <t xml:space="preserve">Parametros</t>
  </si>
  <si>
    <t xml:space="preserve">UF, UTM, sueldo mínimo, topes, tasas, AFP, impuesto, asignación familiar.</t>
  </si>
  <si>
    <t xml:space="preserve">Inicio de cada mes</t>
  </si>
  <si>
    <t xml:space="preserve">Listas</t>
  </si>
  <si>
    <t xml:space="preserve">Listas desplegables y feriados legales.</t>
  </si>
  <si>
    <t xml:space="preserve">Ocasional</t>
  </si>
  <si>
    <t xml:space="preserve">PROCESO MENSUAL</t>
  </si>
  <si>
    <t xml:space="preserve">1. Inicio de mes → Parametros, tabla 9: agregue una fila con la UF, UTM y sueldo mínimo del mes (Indicadores Previsionales de Previred).</t>
  </si>
  <si>
    <t xml:space="preserve">2. Durante el mes → Novedades: una fila por trabajador con faltas, licencias, permisos, atrasos, horas extra, anticipos y descuentos. Detalle fechas en Observaciones.</t>
  </si>
  <si>
    <t xml:space="preserve">3. Cada contrato, renovación o anexo que se firme → una fila nueva en Contratos (con la ubicación del PDF). Las vacaciones → Vacaciones.</t>
  </si>
  <si>
    <t xml:space="preserve">4. Fin de mes → Envio_Contador: elija el mes y envíe la hoja (copiar como valores o exportar a PDF). Revise las filas "⚠ Sin registro".</t>
  </si>
  <si>
    <t xml:space="preserve">5. Al recibir las liquidaciones → Liquidaciones: una fila por trabajador con los ítems del PDF y el líquido. La columna "Control cuadratura" avisa si algo no cuadra. Use Calculo_Liquidacion para revisar diferencias.</t>
  </si>
  <si>
    <t xml:space="preserve">6. Antes del día 13 → pagar en Previred y registrar el pago en Imposiciones (monto, fecha y folio).</t>
  </si>
  <si>
    <t xml:space="preserve">7. Cada semana → Dashboard y Control_Contratos: contratos por vencer y la acción sugerida. Decida antes de la fecha "Decidir / avisar antes del".</t>
  </si>
  <si>
    <t xml:space="preserve">8. Antes de desvincular → Simulador_Finiquito para conocer el costo y los plazos legales.</t>
  </si>
  <si>
    <t xml:space="preserve">COLORES</t>
  </si>
  <si>
    <t xml:space="preserve">Celdas azules sobre amarillo: datos que usted ingresa.</t>
  </si>
  <si>
    <t xml:space="preserve">Celdas verdes: cálculos automáticos (no escribir sobre ellas).</t>
  </si>
  <si>
    <t xml:space="preserve">Encabezado negro = columna de ingreso · encabezado verde = columna automática.</t>
  </si>
  <si>
    <t xml:space="preserve">Semáforo de contratos: rojo = vencido o vence en ≤ 15 días · naranja ≤ 30 · amarillo ≤ 60 · verde sin urgencia.</t>
  </si>
  <si>
    <t xml:space="preserve">REGLAS LEGALES QUE APLICA LA PLANILLA (CHILE)</t>
  </si>
  <si>
    <t xml:space="preserve">• Contrato a plazo fijo (Art. 159 N°4): máximo 1 año (2 años para profesionales o técnicos). La 2ª renovación lo convierte en indefinido, y también si el trabajador sigue trabajando después del vencimiento con conocimiento del empleador. Se presume indefinido quien tuvo más de 2 contratos a plazo durante 12 meses o más en un período de 15 meses.</t>
  </si>
  <si>
    <t xml:space="preserve">• Escrituración (Art. 9): el contrato debe firmarse dentro de 15 días desde el ingreso (5 días si es por obra o de duración inferior a 30 días). Todo cambio de sueldo, cargo o jornada se formaliza con un anexo.</t>
  </si>
  <si>
    <t xml:space="preserve">• Feriado (Art. 67-73): 15 días hábiles por año (1,25 por mes); el sábado es inhábil. Feriado progresivo: +1 día por cada 3 años sobre 10 años trabajados. Al terminar el contrato se paga el feriado pendiente y proporcional en días corridos.</t>
  </si>
  <si>
    <t xml:space="preserve">• Indemnización por años de servicio (Art. 161, 163, 172): 30 días de la última remuneración por año y fracción superior a 6 meses, tope 11 años y base máxima de 90 UF; solo si el contrato duró 1 año o más. Mes de aviso si no se avisa con 30 días. Se descuenta el aporte del empleador al seguro de cesantía (Art. 13 Ley 19.728).</t>
  </si>
  <si>
    <t xml:space="preserve">• Obra o faena (Ley 21.122): al concluir la obra, indemnización de 2,5 días de remuneración por mes trabajado.</t>
  </si>
  <si>
    <t xml:space="preserve">• Gratificación Art. 50: 25% de lo devengado con tope de 4,75 ingresos mínimos al año. Jornada máxima: 42 horas desde el 26-04-2026 (Ley 21.561). Horas extra: recargo de 50%.</t>
  </si>
  <si>
    <t xml:space="preserve">• Cotizaciones: AFP 10% + comisión; salud 7% (Isapre: plan pactado); seguro de cesantía 0,6% trabajador / 2,4% empleador (indefinido) o 3% empleador (plazo fijo y obra). Desde agosto 2026 el empleador paga 3,5% previsional (incluye SIS) por la Ley 21.735, más mutual. Pago en Previred hasta el día 13.</t>
  </si>
  <si>
    <t xml:space="preserve">• Ley Bustos (Art. 162): si hay cotizaciones impagas al momento del despido, el despido no produce efecto.</t>
  </si>
  <si>
    <t xml:space="preserve">IMPORTANTE</t>
  </si>
  <si>
    <t xml:space="preserve">• Esta planilla es una herramienta de control y estimación. Las liquidaciones y finiquitos oficiales los emite el contador. Para casos complejos (fueros, licencias largas, términos anticipados) consulte a un abogado laboral.</t>
  </si>
  <si>
    <t xml:space="preserve">• Actualice los parámetros cada mes y verifique las tasas marcadas "verificar" o "proyectado" en Parametros (tabla 12) y la tasa adicional de su mutual (Parametros!C24, hoy en 0%).</t>
  </si>
  <si>
    <t xml:space="preserve">• Las filas con "(EJEMPLO)" en Trabajadores, Contratos, Novedades, Liquidaciones, Vacaciones e Imposiciones muestran cómo se llena cada hoja. Borre su contenido (tecla Supr) antes de cargar sus datos. No elimine filas de la hoja Trabajadores; en las demás hojas sí puede eliminar filas.</t>
  </si>
  <si>
    <t xml:space="preserve">• Capacidad preparada: 150 trabajadores, 800 contratos/anexos, 2.400 filas de novedades, 2.400 liquidaciones, 1.500 períodos de vacaciones y 120 meses de imposiciones.</t>
  </si>
  <si>
    <t xml:space="preserve">PLAYMAKER — CONTROL DE RECURSOS HUMANOS</t>
  </si>
  <si>
    <t xml:space="preserve">Resumen automático: dotación, contratos por vencer, alertas legales, costos y pasivo por finiquitos</t>
  </si>
  <si>
    <t xml:space="preserve">Fecha de corte:</t>
  </si>
  <si>
    <t xml:space="preserve">TRABAJADORES ACTIVOS</t>
  </si>
  <si>
    <t xml:space="preserve">CONTRATOS INDEFINIDOS</t>
  </si>
  <si>
    <t xml:space="preserve">CONTRATOS A PLAZO FIJO</t>
  </si>
  <si>
    <t xml:space="preserve">CONTRATOS POR OBRA O FAENA</t>
  </si>
  <si>
    <t xml:space="preserve">trabajadores activos</t>
  </si>
  <si>
    <t xml:space="preserve">VENCEN EN ≤ 30 DÍAS</t>
  </si>
  <si>
    <t xml:space="preserve">CONTRATOS VENCIDOS</t>
  </si>
  <si>
    <t xml:space="preserve">DOCUMENTOS SIN FIRMA</t>
  </si>
  <si>
    <t xml:space="preserve">IMPOSICIONES POR PAGAR</t>
  </si>
  <si>
    <t xml:space="preserve">requieren decisión: renovar, indefinido o término</t>
  </si>
  <si>
    <t xml:space="preserve">trabajador activo con plazo vencido</t>
  </si>
  <si>
    <t xml:space="preserve">contratos o anexos (hoja Contratos)</t>
  </si>
  <si>
    <t xml:space="preserve">COSTO EMPRESA ÚLTIMO MES</t>
  </si>
  <si>
    <t xml:space="preserve">LÍQUIDO PAGADO ÚLTIMO MES</t>
  </si>
  <si>
    <t xml:space="preserve">PROVISIÓN DE VACACIONES</t>
  </si>
  <si>
    <t xml:space="preserve">PASIVO SI SE DESPIDE A TODOS</t>
  </si>
  <si>
    <t xml:space="preserve">feriado pendiente de trabajadores activos</t>
  </si>
  <si>
    <t xml:space="preserve">FINIQUITOS POR VENCIMIENTO (90 DÍAS)</t>
  </si>
  <si>
    <t xml:space="preserve">COSTO EMPRESA DEL AÑO</t>
  </si>
  <si>
    <t xml:space="preserve">ANTICIPOS DEL MES EN CURSO</t>
  </si>
  <si>
    <t xml:space="preserve">INGRESOS / EGRESOS DEL AÑO</t>
  </si>
  <si>
    <t xml:space="preserve">registrados en Novedades</t>
  </si>
  <si>
    <t xml:space="preserve">contrataciones / desvinculaciones</t>
  </si>
  <si>
    <t xml:space="preserve">PRÓXIMOS VENCIMIENTOS DE CONTRATO (los 10 más cercanos, incluye vencidos)</t>
  </si>
  <si>
    <t xml:space="preserve">N°</t>
  </si>
  <si>
    <t xml:space="preserve">Trabajador</t>
  </si>
  <si>
    <t xml:space="preserve">Cargo</t>
  </si>
  <si>
    <t xml:space="preserve">Tipo</t>
  </si>
  <si>
    <t xml:space="preserve">N° contrato</t>
  </si>
  <si>
    <t xml:space="preserve">Vence</t>
  </si>
  <si>
    <t xml:space="preserve">Días</t>
  </si>
  <si>
    <t xml:space="preserve">Decidir antes del</t>
  </si>
  <si>
    <t xml:space="preserve">Acción sugerida</t>
  </si>
  <si>
    <t xml:space="preserve">ALERTAS Y PENDIENTES</t>
  </si>
  <si>
    <t xml:space="preserve">Alerta</t>
  </si>
  <si>
    <t xml:space="preserve">Cantidad</t>
  </si>
  <si>
    <t xml:space="preserve">Dónde revisar</t>
  </si>
  <si>
    <t xml:space="preserve">Contratos VENCIDOS con el trabajador todavía activo (por ley pasan a indefinidos)</t>
  </si>
  <si>
    <t xml:space="preserve">Trabajadores en 2° contrato a plazo fijo (no admiten otra renovación a plazo)</t>
  </si>
  <si>
    <t xml:space="preserve">Contratos o anexos pendientes de firma</t>
  </si>
  <si>
    <t xml:space="preserve">Contratos (columna Validación)</t>
  </si>
  <si>
    <t xml:space="preserve">Trabajadores con datos incompletos o alertas</t>
  </si>
  <si>
    <t xml:space="preserve">Trabajadores (columna Alertas)</t>
  </si>
  <si>
    <t xml:space="preserve">Trabajadores con 2 períodos de vacaciones acumulados (Art. 70)</t>
  </si>
  <si>
    <t xml:space="preserve">Registros duplicados en Novedades o Liquidaciones</t>
  </si>
  <si>
    <t xml:space="preserve">Novedades / Liquidaciones</t>
  </si>
  <si>
    <t xml:space="preserve">Imposiciones VENCIDAS sin pago</t>
  </si>
  <si>
    <t xml:space="preserve">Imposiciones pendientes de pago (aún en plazo)</t>
  </si>
  <si>
    <t xml:space="preserve">HISTORIAL MENSUAL (desde las hojas Trabajadores, Novedades y Liquidaciones)</t>
  </si>
  <si>
    <t xml:space="preserve">Mostrar desde el mes (vacío = últimos 24 meses):</t>
  </si>
  <si>
    <t xml:space="preserve">Mes</t>
  </si>
  <si>
    <t xml:space="preserve">Dotación a fin de mes</t>
  </si>
  <si>
    <t xml:space="preserve">Ingresos</t>
  </si>
  <si>
    <t xml:space="preserve">Egresos</t>
  </si>
  <si>
    <t xml:space="preserve">Días de falta</t>
  </si>
  <si>
    <t xml:space="preserve">Días de licencia</t>
  </si>
  <si>
    <t xml:space="preserve">Atrasos (min)</t>
  </si>
  <si>
    <t xml:space="preserve">Horas extra</t>
  </si>
  <si>
    <t xml:space="preserve">Anticipos</t>
  </si>
  <si>
    <t xml:space="preserve">Líquido pagado</t>
  </si>
  <si>
    <t xml:space="preserve">Costo empresa</t>
  </si>
  <si>
    <t xml:space="preserve">TOTAL período</t>
  </si>
  <si>
    <t xml:space="preserve">PLAYMAKER — MAESTRO DE TRABAJADORES</t>
  </si>
  <si>
    <t xml:space="preserve">Una fila por trabajador (activo o desvinculado). El sueldo y el tipo de contrato se leen de la hoja Contratos.</t>
  </si>
  <si>
    <t xml:space="preserve">Azul sobre amarillo = dato que usted ingresa  |  Verde = automático  |  Filas "(EJEMPLO)": borre su contenido con Supr antes de cargar sus datos — NO elimine filas</t>
  </si>
  <si>
    <t xml:space="preserve">ID</t>
  </si>
  <si>
    <t xml:space="preserve">RUT</t>
  </si>
  <si>
    <t xml:space="preserve">Nombre completo</t>
  </si>
  <si>
    <t xml:space="preserve">Área</t>
  </si>
  <si>
    <t xml:space="preserve">Fecha de ingreso</t>
  </si>
  <si>
    <t xml:space="preserve">Fecha de egreso
(vacío si está activo)</t>
  </si>
  <si>
    <t xml:space="preserve">Causal de egreso</t>
  </si>
  <si>
    <t xml:space="preserve">Jornada
(horas/sem)</t>
  </si>
  <si>
    <t xml:space="preserve">Gratificación</t>
  </si>
  <si>
    <t xml:space="preserve">Bono fijo
imponible ($)</t>
  </si>
  <si>
    <t xml:space="preserve">Colación ($)</t>
  </si>
  <si>
    <t xml:space="preserve">Movilización ($)</t>
  </si>
  <si>
    <t xml:space="preserve">AFP</t>
  </si>
  <si>
    <t xml:space="preserve">Salud</t>
  </si>
  <si>
    <t xml:space="preserve">Plan Isapre
(UF)</t>
  </si>
  <si>
    <t xml:space="preserve">Cargas
familiares</t>
  </si>
  <si>
    <t xml:space="preserve">Años trabajados con
empleadores anteriores
(feriado progresivo)</t>
  </si>
  <si>
    <t xml:space="preserve">Días de vacaciones
tomados ANTES de
usar esta planilla</t>
  </si>
  <si>
    <t xml:space="preserve">Observaciones</t>
  </si>
  <si>
    <t xml:space="preserve">Estado</t>
  </si>
  <si>
    <t xml:space="preserve">Antigüedad</t>
  </si>
  <si>
    <t xml:space="preserve">Sueldo base vigente
(desde Contratos)</t>
  </si>
  <si>
    <t xml:space="preserve">Tipo de contrato
vigente</t>
  </si>
  <si>
    <t xml:space="preserve">Alertas de datos</t>
  </si>
  <si>
    <t xml:space="preserve">aux
envío</t>
  </si>
  <si>
    <t xml:space="preserve">T001</t>
  </si>
  <si>
    <t xml:space="preserve">11.111.111-1</t>
  </si>
  <si>
    <t xml:space="preserve">María Soto (EJEMPLO)</t>
  </si>
  <si>
    <t xml:space="preserve">Jefa de Producción</t>
  </si>
  <si>
    <t xml:space="preserve">Producción</t>
  </si>
  <si>
    <t xml:space="preserve">Art. 50 – 25% mensual (tope 4,75 IMM)</t>
  </si>
  <si>
    <t xml:space="preserve">Habitat</t>
  </si>
  <si>
    <t xml:space="preserve">Isapre</t>
  </si>
  <si>
    <t xml:space="preserve">Fila de ejemplo</t>
  </si>
  <si>
    <t xml:space="preserve">T002</t>
  </si>
  <si>
    <t xml:space="preserve">22.222.222-2</t>
  </si>
  <si>
    <t xml:space="preserve">Juan Pérez (EJEMPLO)</t>
  </si>
  <si>
    <t xml:space="preserve">Operador de sublimación</t>
  </si>
  <si>
    <t xml:space="preserve">Sublimación</t>
  </si>
  <si>
    <t xml:space="preserve">Modelo</t>
  </si>
  <si>
    <t xml:space="preserve">Fonasa</t>
  </si>
  <si>
    <t xml:space="preserve">T003</t>
  </si>
  <si>
    <t xml:space="preserve">33.333.333-3</t>
  </si>
  <si>
    <t xml:space="preserve">Camila Rojas (EJEMPLO)</t>
  </si>
  <si>
    <t xml:space="preserve">Diseñadora gráfica</t>
  </si>
  <si>
    <t xml:space="preserve">Diseño</t>
  </si>
  <si>
    <t xml:space="preserve">Uno</t>
  </si>
  <si>
    <t xml:space="preserve">T004</t>
  </si>
  <si>
    <t xml:space="preserve">44.444.444-4</t>
  </si>
  <si>
    <t xml:space="preserve">Pedro Muñoz (EJEMPLO)</t>
  </si>
  <si>
    <t xml:space="preserve">Cortador</t>
  </si>
  <si>
    <t xml:space="preserve">Corte</t>
  </si>
  <si>
    <t xml:space="preserve">Provida</t>
  </si>
  <si>
    <t xml:space="preserve">T005</t>
  </si>
  <si>
    <t xml:space="preserve">55.555.555-5</t>
  </si>
  <si>
    <t xml:space="preserve">Ana Díaz (EJEMPLO)</t>
  </si>
  <si>
    <t xml:space="preserve">Costurera</t>
  </si>
  <si>
    <t xml:space="preserve">Confección</t>
  </si>
  <si>
    <t xml:space="preserve">Capital</t>
  </si>
  <si>
    <t xml:space="preserve">T006</t>
  </si>
  <si>
    <t xml:space="preserve">66.666.666-6</t>
  </si>
  <si>
    <t xml:space="preserve">Luis Vega (EJEMPLO)</t>
  </si>
  <si>
    <t xml:space="preserve">Ayudante de despacho</t>
  </si>
  <si>
    <t xml:space="preserve">Despacho</t>
  </si>
  <si>
    <t xml:space="preserve">Art. 159 N°4 – Vencimiento del plazo</t>
  </si>
  <si>
    <t xml:space="preserve">PlanVital</t>
  </si>
  <si>
    <t xml:space="preserve">PLAYMAKER — REGISTRO HISTÓRICO DE CONTRATOS Y ANEXOS</t>
  </si>
  <si>
    <t xml:space="preserve">Una fila por cada contrato, renovación, paso a indefinido o anexo. No borre filas antiguas: son el historial.</t>
  </si>
  <si>
    <t xml:space="preserve">Azul sobre amarillo = dato que usted ingresa   |   Verde = cálculo automático (no editar)   |   Encabezado verde = columna automática</t>
  </si>
  <si>
    <t xml:space="preserve">ID
trabajador</t>
  </si>
  <si>
    <t xml:space="preserve">Nombre (automático)</t>
  </si>
  <si>
    <t xml:space="preserve">Tipo de documento</t>
  </si>
  <si>
    <t xml:space="preserve">Tipo de contrato</t>
  </si>
  <si>
    <t xml:space="preserve">Inicio de
vigencia</t>
  </si>
  <si>
    <t xml:space="preserve">Fecha de término
(plazo fijo / obra)</t>
  </si>
  <si>
    <t xml:space="preserve">Sueldo base pactado ($)
(solo si cambia)</t>
  </si>
  <si>
    <t xml:space="preserve">Cargo / jornada / detalle del cambio</t>
  </si>
  <si>
    <t xml:space="preserve">Fecha de
firma</t>
  </si>
  <si>
    <t xml:space="preserve">¿Firmado por
ambas partes?</t>
  </si>
  <si>
    <t xml:space="preserve">Archivo / ubicación del PDF</t>
  </si>
  <si>
    <t xml:space="preserve">¿Define
período?</t>
  </si>
  <si>
    <t xml:space="preserve">N°
período</t>
  </si>
  <si>
    <t xml:space="preserve">Clave
período</t>
  </si>
  <si>
    <t xml:space="preserve">N° contrato
a plazo fijo</t>
  </si>
  <si>
    <t xml:space="preserve">N°
sueldo</t>
  </si>
  <si>
    <t xml:space="preserve">Clave
sueldo</t>
  </si>
  <si>
    <t xml:space="preserve">Duración
(meses)</t>
  </si>
  <si>
    <t xml:space="preserve">Validación legal</t>
  </si>
  <si>
    <t xml:space="preserve">Contrato inicial</t>
  </si>
  <si>
    <t xml:space="preserve">Plazo fijo</t>
  </si>
  <si>
    <t xml:space="preserve">Operaria de producción, 45 h</t>
  </si>
  <si>
    <t xml:space="preserve">Sí</t>
  </si>
  <si>
    <t xml:space="preserve">RRHH/T001/2021-03_contrato.pdf</t>
  </si>
  <si>
    <t xml:space="preserve">Renovación / prórroga</t>
  </si>
  <si>
    <t xml:space="preserve">Renovación por 3 meses</t>
  </si>
  <si>
    <t xml:space="preserve">RRHH/T001/2021-06_renovacion.pdf</t>
  </si>
  <si>
    <t xml:space="preserve">Paso a indefinido</t>
  </si>
  <si>
    <t xml:space="preserve">Indefinido</t>
  </si>
  <si>
    <t xml:space="preserve">Pasa a contrato indefinido</t>
  </si>
  <si>
    <t xml:space="preserve">RRHH/T001/2021-09_indefinido.pdf</t>
  </si>
  <si>
    <t xml:space="preserve">Anexo de modificación</t>
  </si>
  <si>
    <t xml:space="preserve">Ascenso a Jefa de Producción</t>
  </si>
  <si>
    <t xml:space="preserve">RRHH/T001/2024-03_anexo.pdf</t>
  </si>
  <si>
    <t xml:space="preserve">Jornada 42 h (Ley 21.561)</t>
  </si>
  <si>
    <t xml:space="preserve">RRHH/T001/2026-04_anexo_42h.pdf</t>
  </si>
  <si>
    <t xml:space="preserve">Reajuste de sueldo</t>
  </si>
  <si>
    <t xml:space="preserve">RRHH/T001/2026-05_anexo.pdf</t>
  </si>
  <si>
    <t xml:space="preserve">Operador de sublimación, 42 h</t>
  </si>
  <si>
    <t xml:space="preserve">RRHH/T002/2026-08_contrato.pdf</t>
  </si>
  <si>
    <t xml:space="preserve">Diseñadora gráfica, 42 h</t>
  </si>
  <si>
    <t xml:space="preserve">RRHH/T003/2026-03_contrato.pdf</t>
  </si>
  <si>
    <t xml:space="preserve">Renovación por 6 meses (2° contrato a plazo)</t>
  </si>
  <si>
    <t xml:space="preserve">RRHH/T003/2026-06_renovacion.pdf</t>
  </si>
  <si>
    <t xml:space="preserve">Cortador, 45 h</t>
  </si>
  <si>
    <t xml:space="preserve">RRHH/T004/2023-07_contrato.pdf</t>
  </si>
  <si>
    <t xml:space="preserve">RRHH/T004/2025-07_anexo.pdf</t>
  </si>
  <si>
    <t xml:space="preserve">Obra o faena</t>
  </si>
  <si>
    <t xml:space="preserve">Costurera — confección pedido de uniformes (término estimado)</t>
  </si>
  <si>
    <t xml:space="preserve">No</t>
  </si>
  <si>
    <t xml:space="preserve">Falta firma de la trabajadora</t>
  </si>
  <si>
    <t xml:space="preserve">RRHH/T006/2025-11_contrato.pdf</t>
  </si>
  <si>
    <t xml:space="preserve">Terminó por vencimiento del plazo</t>
  </si>
  <si>
    <t xml:space="preserve">PLAYMAKER — CONTROL DE CONTRATOS Y VENCIMIENTOS</t>
  </si>
  <si>
    <t xml:space="preserve">Automático: se arma con las hojas Trabajadores y Contratos. Fecha de corte en Parametros!C7.</t>
  </si>
  <si>
    <t xml:space="preserve">Hoja 100% automática. Colores: rojo = vencido o vence pronto · naranja ≤ 30 días · amarillo ≤ 60 días · verde = sin urgencia</t>
  </si>
  <si>
    <t xml:space="preserve">Nombre</t>
  </si>
  <si>
    <t xml:space="preserve">Estado del
trabajador</t>
  </si>
  <si>
    <t xml:space="preserve">Fecha de
ingreso</t>
  </si>
  <si>
    <t xml:space="preserve">Períodos
iniciados</t>
  </si>
  <si>
    <t xml:space="preserve">Períodos
registrados</t>
  </si>
  <si>
    <t xml:space="preserve">Documento vigente</t>
  </si>
  <si>
    <t xml:space="preserve">N° contrato
a plazo</t>
  </si>
  <si>
    <t xml:space="preserve">N° anexos de
modificación</t>
  </si>
  <si>
    <t xml:space="preserve">Inicio período
vigente</t>
  </si>
  <si>
    <t xml:space="preserve">Vencimiento</t>
  </si>
  <si>
    <t xml:space="preserve">Días para
vencer</t>
  </si>
  <si>
    <t xml:space="preserve">Decidir / avisar
antes del</t>
  </si>
  <si>
    <t xml:space="preserve">Próximo período
ya registrado</t>
  </si>
  <si>
    <t xml:space="preserve">Estado del contrato</t>
  </si>
  <si>
    <t xml:space="preserve">Acción sugerida (Código del Trabajo)</t>
  </si>
  <si>
    <t xml:space="preserve">Alertas legales</t>
  </si>
  <si>
    <t xml:space="preserve">Sueldo base
vigente</t>
  </si>
  <si>
    <t xml:space="preserve">aux
orden</t>
  </si>
  <si>
    <t xml:space="preserve">PLAYMAKER — NOVEDADES MENSUALES (faltas, permisos, atrasos, horas extra, anticipos)</t>
  </si>
  <si>
    <t xml:space="preserve">Una fila por trabajador y por mes. NUNCA sobrescriba un mes anterior: agregue filas nuevas abajo. Así queda el historial completo.</t>
  </si>
  <si>
    <t xml:space="preserve">Período
(mes)</t>
  </si>
  <si>
    <t xml:space="preserve">Días de falta
injustificada</t>
  </si>
  <si>
    <t xml:space="preserve">Días de
licencia médica</t>
  </si>
  <si>
    <t xml:space="preserve">Días permiso
CON goce</t>
  </si>
  <si>
    <t xml:space="preserve">Días permiso
SIN goce</t>
  </si>
  <si>
    <t xml:space="preserve">Atrasos
(minutos)</t>
  </si>
  <si>
    <t xml:space="preserve">Horas extra
(cantidad)</t>
  </si>
  <si>
    <t xml:space="preserve">Anticipo de
sueldo ($)</t>
  </si>
  <si>
    <t xml:space="preserve">Bono / comisión
variable imponible ($)</t>
  </si>
  <si>
    <t xml:space="preserve">Otros haberes
NO imponibles ($)</t>
  </si>
  <si>
    <t xml:space="preserve">Préstamos / otros
descuentos ($)</t>
  </si>
  <si>
    <t xml:space="preserve">Observaciones (fechas, motivos)</t>
  </si>
  <si>
    <t xml:space="preserve">Clave</t>
  </si>
  <si>
    <t xml:space="preserve">Control
duplicado</t>
  </si>
  <si>
    <t xml:space="preserve">Días
trabajados</t>
  </si>
  <si>
    <t xml:space="preserve">aux
ingreso</t>
  </si>
  <si>
    <t xml:space="preserve">aux
egreso</t>
  </si>
  <si>
    <t xml:space="preserve">aux días
contrato</t>
  </si>
  <si>
    <t xml:space="preserve">Falta injustificada el 14-09</t>
  </si>
  <si>
    <t xml:space="preserve">Permiso con goce el 22-09 (trámite)</t>
  </si>
  <si>
    <t xml:space="preserve">Licencia 08 al 10-09 · cuota préstamo 2 de 5</t>
  </si>
  <si>
    <t xml:space="preserve">Ingresa el 01-09</t>
  </si>
  <si>
    <t xml:space="preserve">Mes en curso</t>
  </si>
  <si>
    <t xml:space="preserve">Cuota préstamo 3 de 5 · mes en curso</t>
  </si>
  <si>
    <t xml:space="preserve">PLAYMAKER — RESUMEN DE NOVEDADES PARA EL CONTADOR</t>
  </si>
  <si>
    <t xml:space="preserve">Elija el mes y envíe esta hoja. Se arma sola desde Novedades, Contratos y Vacaciones: no se sobrescribe nada.</t>
  </si>
  <si>
    <t xml:space="preserve">Período a enviar →</t>
  </si>
  <si>
    <t xml:space="preserve">Para enviar: copie el rango B9:X (Pegado especial → Valores) en un libro nuevo o expórtelo a PDF (Archivo → Exportar). Las filas con "⚠ Sin registro" no tienen novedades cargadas para el mes.</t>
  </si>
  <si>
    <t xml:space="preserve">Tipo de
contrato</t>
  </si>
  <si>
    <t xml:space="preserve">Sueldo base
pactado</t>
  </si>
  <si>
    <t xml:space="preserve">Ingreso / egreso
en el mes</t>
  </si>
  <si>
    <t xml:space="preserve">Cambios de contrato
en el mes</t>
  </si>
  <si>
    <t xml:space="preserve">Faltas</t>
  </si>
  <si>
    <t xml:space="preserve">Licencia
médica</t>
  </si>
  <si>
    <t xml:space="preserve">Permiso
c/goce</t>
  </si>
  <si>
    <t xml:space="preserve">Permiso
s/goce</t>
  </si>
  <si>
    <t xml:space="preserve">Vacaciones
(días háb.)</t>
  </si>
  <si>
    <t xml:space="preserve">Atrasos
(min)</t>
  </si>
  <si>
    <t xml:space="preserve">Horas
extra</t>
  </si>
  <si>
    <t xml:space="preserve">Anticipo</t>
  </si>
  <si>
    <t xml:space="preserve">Bono
variable</t>
  </si>
  <si>
    <t xml:space="preserve">Otros no
imponibles</t>
  </si>
  <si>
    <t xml:space="preserve">Préstamos /
descuentos</t>
  </si>
  <si>
    <t xml:space="preserve">¿Novedades
registradas?</t>
  </si>
  <si>
    <t xml:space="preserve">TOTAL</t>
  </si>
  <si>
    <t xml:space="preserve">PLAYMAKER — REGISTRO HISTÓRICO DE LIQUIDACIONES DE SUELDO</t>
  </si>
  <si>
    <t xml:space="preserve">Copie aquí los ítems de cada liquidación que envía el contador (una fila por trabajador y mes). Los aportes del empleador se calculan solos.</t>
  </si>
  <si>
    <t xml:space="preserve">Sueldo base</t>
  </si>
  <si>
    <t xml:space="preserve">Horas extra ($)</t>
  </si>
  <si>
    <t xml:space="preserve">Bonos / comisiones
imponibles</t>
  </si>
  <si>
    <t xml:space="preserve">Desc. atrasos /
inasistencias (−)</t>
  </si>
  <si>
    <t xml:space="preserve">TOTAL
IMPONIBLE</t>
  </si>
  <si>
    <t xml:space="preserve">Colación</t>
  </si>
  <si>
    <t xml:space="preserve">Movilización</t>
  </si>
  <si>
    <t xml:space="preserve">Asignación
familiar</t>
  </si>
  <si>
    <t xml:space="preserve">TOTAL
HABERES</t>
  </si>
  <si>
    <t xml:space="preserve">Seguro
cesantía</t>
  </si>
  <si>
    <t xml:space="preserve">Impuesto
único</t>
  </si>
  <si>
    <t xml:space="preserve">Otros
descuentos</t>
  </si>
  <si>
    <t xml:space="preserve">TOTAL
DESCUENTOS</t>
  </si>
  <si>
    <t xml:space="preserve">LÍQUIDO
A PAGAR</t>
  </si>
  <si>
    <t xml:space="preserve">Líquido según
PDF del contador</t>
  </si>
  <si>
    <t xml:space="preserve">Control
cuadratura</t>
  </si>
  <si>
    <t xml:space="preserve">Tipo contrato
en el período</t>
  </si>
  <si>
    <t xml:space="preserve">Cotiz. previsional
empleador
(SIS + reforma)</t>
  </si>
  <si>
    <t xml:space="preserve">Seguro cesantía
empleador</t>
  </si>
  <si>
    <t xml:space="preserve">Mutual +
Ley SANNA</t>
  </si>
  <si>
    <t xml:space="preserve">COSTO EMPRESA
(sin asig. familiar)</t>
  </si>
  <si>
    <t xml:space="preserve">Fecha de pago
del sueldo</t>
  </si>
  <si>
    <t xml:space="preserve">Archivo PDF
liquidación</t>
  </si>
  <si>
    <t xml:space="preserve">aux UF
período</t>
  </si>
  <si>
    <t xml:space="preserve">aux tasa
empleador</t>
  </si>
  <si>
    <t xml:space="preserve">Liquidaciones/2026-09/T001.pdf</t>
  </si>
  <si>
    <t xml:space="preserve">Liquidaciones/2026-09/T002.pdf</t>
  </si>
  <si>
    <t xml:space="preserve">Liquidaciones/2026-09/T003.pdf</t>
  </si>
  <si>
    <t xml:space="preserve">Liquidaciones/2026-09/T004.pdf</t>
  </si>
  <si>
    <t xml:space="preserve">Liquidaciones/2026-09/T005.pdf</t>
  </si>
  <si>
    <t xml:space="preserve">PLAYMAKER — CÁLCULO DE REFERENCIA DE LIQUIDACIÓN</t>
  </si>
  <si>
    <t xml:space="preserve">Elija trabajador y mes: calcula la liquidación según la normativa y la compara con la que registró del contador.</t>
  </si>
  <si>
    <t xml:space="preserve">Trabajador (ID)</t>
  </si>
  <si>
    <t xml:space="preserve">Período (mes)</t>
  </si>
  <si>
    <t xml:space="preserve">Concepto</t>
  </si>
  <si>
    <t xml:space="preserve">Cálculo de referencia</t>
  </si>
  <si>
    <t xml:space="preserve">Detalle / regla aplicada</t>
  </si>
  <si>
    <t xml:space="preserve">Informado por contador</t>
  </si>
  <si>
    <t xml:space="preserve">Diferencia</t>
  </si>
  <si>
    <t xml:space="preserve">DATOS DEL TRABAJADOR Y DEL PERÍODO</t>
  </si>
  <si>
    <t xml:space="preserve">Tipo de contrato en el período</t>
  </si>
  <si>
    <t xml:space="preserve">Según el contrato o renovación vigente al cierre del mes</t>
  </si>
  <si>
    <t xml:space="preserve">Sueldo base pactado (vigente en el período)</t>
  </si>
  <si>
    <t xml:space="preserve">Último contrato o anexo con sueldo, vigente al cierre del mes</t>
  </si>
  <si>
    <t xml:space="preserve">Jornada semanal (horas)</t>
  </si>
  <si>
    <t xml:space="preserve">UF del período</t>
  </si>
  <si>
    <t xml:space="preserve">Parametros, tabla 9</t>
  </si>
  <si>
    <t xml:space="preserve">UTM del período</t>
  </si>
  <si>
    <t xml:space="preserve">Ingreso mínimo del período</t>
  </si>
  <si>
    <t xml:space="preserve">Días trabajados</t>
  </si>
  <si>
    <t xml:space="preserve">Horas extra (cantidad)</t>
  </si>
  <si>
    <t xml:space="preserve">Hoja Novedades</t>
  </si>
  <si>
    <t xml:space="preserve">Atrasos (minutos)</t>
  </si>
  <si>
    <t xml:space="preserve">Bono / comisión variable informado</t>
  </si>
  <si>
    <t xml:space="preserve">Otros haberes no imponibles informados</t>
  </si>
  <si>
    <t xml:space="preserve">Anticipos informados</t>
  </si>
  <si>
    <t xml:space="preserve">Préstamos / otros descuentos informados</t>
  </si>
  <si>
    <t xml:space="preserve">HABERES IMPONIBLES</t>
  </si>
  <si>
    <t xml:space="preserve">Sueldo base proporcional</t>
  </si>
  <si>
    <t xml:space="preserve">Sueldo × días trabajados / 30</t>
  </si>
  <si>
    <t xml:space="preserve">Bono fijo imponible proporcional</t>
  </si>
  <si>
    <t xml:space="preserve">Bono fijo de la hoja Trabajadores × días / 30</t>
  </si>
  <si>
    <t xml:space="preserve">Valor hora ordinaria</t>
  </si>
  <si>
    <t xml:space="preserve">Sueldo / 30 × 28 / jornada semanal (criterio Dirección del Trabajo)</t>
  </si>
  <si>
    <t xml:space="preserve">Valor hora × (1 + 50%) × horas (Art. 32)</t>
  </si>
  <si>
    <t xml:space="preserve">Bono / comisión variable</t>
  </si>
  <si>
    <t xml:space="preserve">Descuento por atrasos (−)</t>
  </si>
  <si>
    <t xml:space="preserve">Minutos / 60 × valor hora</t>
  </si>
  <si>
    <t xml:space="preserve">Art. 50: 25% de lo devengado, tope 4,75 IMM al año (tope mensual proporcional a los días)</t>
  </si>
  <si>
    <t xml:space="preserve">TOTAL IMPONIBLE</t>
  </si>
  <si>
    <t xml:space="preserve">HABERES NO IMPONIBLES</t>
  </si>
  <si>
    <t xml:space="preserve">Colación (proporcional a días trabajados)</t>
  </si>
  <si>
    <t xml:space="preserve">Ajuste si su contrato la paga completa</t>
  </si>
  <si>
    <t xml:space="preserve">Movilización (proporcional a días trabajados)</t>
  </si>
  <si>
    <t xml:space="preserve">Asignación familiar</t>
  </si>
  <si>
    <t xml:space="preserve">Cargas × monto del tramo (Parametros, tabla 11). El empleador la recupera en Previred</t>
  </si>
  <si>
    <t xml:space="preserve">Otros no imponibles</t>
  </si>
  <si>
    <t xml:space="preserve">TOTAL HABERES</t>
  </si>
  <si>
    <t xml:space="preserve">DESCUENTOS LEGALES</t>
  </si>
  <si>
    <t xml:space="preserve">Base imponible previsional (tope 90 UF)</t>
  </si>
  <si>
    <t xml:space="preserve">Fonasa 7%. Isapre: el mayor entre 7% y el plan pactado en UF</t>
  </si>
  <si>
    <t xml:space="preserve">Seguro de cesantía (trabajador)</t>
  </si>
  <si>
    <t xml:space="preserve">Indefinido 0,6% · plazo fijo y obra 0% (tope 135,2 UF)</t>
  </si>
  <si>
    <t xml:space="preserve">Base tributable</t>
  </si>
  <si>
    <t xml:space="preserve">Imponible − AFP − salud (hasta 7%) − seguro de cesantía</t>
  </si>
  <si>
    <t xml:space="preserve">Impuesto único de segunda categoría</t>
  </si>
  <si>
    <t xml:space="preserve">TOTAL DESCUENTOS LEGALES</t>
  </si>
  <si>
    <t xml:space="preserve">OTROS DESCUENTOS</t>
  </si>
  <si>
    <t xml:space="preserve">Préstamos / otros descuentos</t>
  </si>
  <si>
    <t xml:space="preserve">LÍQUIDO A PAGAR</t>
  </si>
  <si>
    <t xml:space="preserve">COSTO EMPRESA (aportes del empleador)</t>
  </si>
  <si>
    <t xml:space="preserve">Tasa cotización previsional del empleador</t>
  </si>
  <si>
    <t xml:space="preserve">Parametros, tabla 12 (desde agosto 2026: 3,5%, incluye SIS)</t>
  </si>
  <si>
    <t xml:space="preserve">Cotización previsional del empleador (SIS + Ley 21.735)</t>
  </si>
  <si>
    <t xml:space="preserve">Seguro de cesantía (empleador)</t>
  </si>
  <si>
    <t xml:space="preserve">Indefinido 2,4% · plazo fijo y obra 3,0%</t>
  </si>
  <si>
    <t xml:space="preserve">Mutual (Ley 16.744) + Ley SANNA</t>
  </si>
  <si>
    <t xml:space="preserve">Básica 0,90% + adicional (complete en Parametros) + SANNA 0,03%</t>
  </si>
  <si>
    <t xml:space="preserve">COSTO EMPRESA TOTAL</t>
  </si>
  <si>
    <t xml:space="preserve">Total haberes − asignación familiar + aportes del empleador</t>
  </si>
  <si>
    <t xml:space="preserve">Notas: este cálculo es una referencia para revisar la liquidación del contador; no reemplaza el cálculo oficial.</t>
  </si>
  <si>
    <t xml:space="preserve">• Considera sueldo fijo mensual. Si el trabajador tiene remuneración variable, semana corrida, licencias parciales u otros haberes, la diferencia puede ser legítima.</t>
  </si>
  <si>
    <t xml:space="preserve">• La gratificación usa el Art. 50 (25% mensual con tope 4,75 IMM anual); el tope mensual se prorratea por días trabajados.</t>
  </si>
  <si>
    <t xml:space="preserve">• El tramo de asignación familiar se aproxima con el imponible del mes (la ley usa el promedio del semestre anterior).</t>
  </si>
  <si>
    <t xml:space="preserve">PLAYMAKER — CONTROL DE PAGO DE IMPOSICIONES (PREVIRED)</t>
  </si>
  <si>
    <t xml:space="preserve">Una fila por mes de remuneraciones. Los montos estimados salen de la hoja Liquidaciones; registre lo pagado y el comprobante.</t>
  </si>
  <si>
    <t xml:space="preserve">Período de
remuneraciones</t>
  </si>
  <si>
    <t xml:space="preserve">Fecha límite
pago Previred</t>
  </si>
  <si>
    <t xml:space="preserve">N° liquidaciones
registradas</t>
  </si>
  <si>
    <t xml:space="preserve">Total imponible</t>
  </si>
  <si>
    <t xml:space="preserve">Cotizaciones del
trabajador
(AFP+salud+AFC)</t>
  </si>
  <si>
    <t xml:space="preserve">Aportes del
empleador</t>
  </si>
  <si>
    <t xml:space="preserve">Total estimado a pagar
en Previred
(− asig. familiar)</t>
  </si>
  <si>
    <t xml:space="preserve">Impuesto único
retenido (F29)</t>
  </si>
  <si>
    <t xml:space="preserve">Vencimiento F29
(declaración
por internet)</t>
  </si>
  <si>
    <t xml:space="preserve">Monto pagado
según Previred</t>
  </si>
  <si>
    <t xml:space="preserve">Diferencia
(pagado − estimado)</t>
  </si>
  <si>
    <t xml:space="preserve">Fecha de pago</t>
  </si>
  <si>
    <t xml:space="preserve">N° folio /
comprobante</t>
  </si>
  <si>
    <t xml:space="preserve">0012345678</t>
  </si>
  <si>
    <t xml:space="preserve">Ejemplo</t>
  </si>
  <si>
    <t xml:space="preserve">Ejemplo: mes en curso</t>
  </si>
  <si>
    <t xml:space="preserve">PLAYMAKER — REGISTRO DE VACACIONES (FERIADO LEGAL)</t>
  </si>
  <si>
    <t xml:space="preserve">Una fila por cada período de vacaciones. Los días hábiles se cuentan de lunes a viernes sin feriados (el sábado es inhábil, Art. 69).</t>
  </si>
  <si>
    <t xml:space="preserve">Primer día de
vacaciones</t>
  </si>
  <si>
    <t xml:space="preserve">Último día de
vacaciones</t>
  </si>
  <si>
    <t xml:space="preserve">Días hábiles
(automático)</t>
  </si>
  <si>
    <t xml:space="preserve">Días hábiles
manual (opcional)</t>
  </si>
  <si>
    <t xml:space="preserve">Días
descontados</t>
  </si>
  <si>
    <t xml:space="preserve">¿Comprobante
firmado?</t>
  </si>
  <si>
    <t xml:space="preserve">Mes de
inicio</t>
  </si>
  <si>
    <t xml:space="preserve">Validación</t>
  </si>
  <si>
    <t xml:space="preserve">Feriado legal</t>
  </si>
  <si>
    <t xml:space="preserve">Período 2025-2026</t>
  </si>
  <si>
    <t xml:space="preserve">Período 2023-2024</t>
  </si>
  <si>
    <t xml:space="preserve">Período 2024-2025</t>
  </si>
  <si>
    <t xml:space="preserve">PLAYMAKER — PROVISIÓN DE VACACIONES (feriado pendiente y proporcional)</t>
  </si>
  <si>
    <t xml:space="preserve">Automático: días ganados desde el ingreso (15 días hábiles por año = 1,25 por mes) menos los tomados. Valor según Art. 71 y 73.</t>
  </si>
  <si>
    <t xml:space="preserve">Hoja 100% automática. El valor en pesos es lo que habría que pagar como feriado si el contrato terminara a la fecha de corte.</t>
  </si>
  <si>
    <t xml:space="preserve">Fecha de
cálculo</t>
  </si>
  <si>
    <t xml:space="preserve">Meses
trabajados</t>
  </si>
  <si>
    <t xml:space="preserve">Días devengados
(1,25 por mes)</t>
  </si>
  <si>
    <t xml:space="preserve">Días feriado
progresivo</t>
  </si>
  <si>
    <t xml:space="preserve">Días tomados</t>
  </si>
  <si>
    <t xml:space="preserve">SALDO
(días hábiles)</t>
  </si>
  <si>
    <t xml:space="preserve">Saldo en
días corridos</t>
  </si>
  <si>
    <t xml:space="preserve">Valor día
(sueldo / 30)</t>
  </si>
  <si>
    <t xml:space="preserve">PROVISIÓN ($)</t>
  </si>
  <si>
    <t xml:space="preserve">Días anuales que
le corresponden</t>
  </si>
  <si>
    <t xml:space="preserve">Pendiente de años
ya cumplidos
(días hábiles)</t>
  </si>
  <si>
    <t xml:space="preserve">TOTAL PROVISIÓN (trabajadores activos)</t>
  </si>
  <si>
    <t xml:space="preserve">PLAYMAKER — PROYECCIÓN DE FINIQUITOS (pasivo laboral)</t>
  </si>
  <si>
    <t xml:space="preserve">Cuánto costaría terminar cada contrato a la fecha indicada, según la causal. Estimación: el monto exacto lo calcula el contador.</t>
  </si>
  <si>
    <t xml:space="preserve">Fecha de término supuesta (vacío = fecha de corte)</t>
  </si>
  <si>
    <t xml:space="preserve">Total si se despide a todos (Art. 161)</t>
  </si>
  <si>
    <t xml:space="preserve">Feriado pendiente total</t>
  </si>
  <si>
    <t xml:space="preserve">Finiquitos por vencimientos (próx. 90 días)</t>
  </si>
  <si>
    <t xml:space="preserve">¿Se da aviso previo con 30 días de anticipación? (Art. 161)</t>
  </si>
  <si>
    <t xml:space="preserve">Fecha utilizada</t>
  </si>
  <si>
    <t xml:space="preserve">Vencimiento
contrato</t>
  </si>
  <si>
    <t xml:space="preserve">¿Activo a
la fecha?</t>
  </si>
  <si>
    <t xml:space="preserve">Antigüedad
(años)</t>
  </si>
  <si>
    <t xml:space="preserve">Años para
IAS</t>
  </si>
  <si>
    <t xml:space="preserve">Última remuneración
mensual (Art. 172)</t>
  </si>
  <si>
    <t xml:space="preserve">Base con
tope 90 UF</t>
  </si>
  <si>
    <t xml:space="preserve">Saldo vacaciones
(días hábiles)</t>
  </si>
  <si>
    <t xml:space="preserve">Feriado pendiente
y proporcional ($)</t>
  </si>
  <si>
    <t xml:space="preserve">Indemnización años
de servicio ($)</t>
  </si>
  <si>
    <t xml:space="preserve">Aviso previo
(mes) ($)</t>
  </si>
  <si>
    <t xml:space="preserve">Descuento aporte
AFC empleador (−)</t>
  </si>
  <si>
    <t xml:space="preserve">TOTAL si se despide
(Art. 161)</t>
  </si>
  <si>
    <t xml:space="preserve">TOTAL si renuncia o
mutuo acuerdo</t>
  </si>
  <si>
    <t xml:space="preserve">Finiquito estimado
al vencimiento
(plazo fijo / obra)</t>
  </si>
  <si>
    <t xml:space="preserve">Notas</t>
  </si>
  <si>
    <t xml:space="preserve">aux saldo
al venc.</t>
  </si>
  <si>
    <t xml:space="preserve">aux valor
día</t>
  </si>
  <si>
    <t xml:space="preserve">aux
imponible</t>
  </si>
  <si>
    <t xml:space="preserve">aux años
anteriores</t>
  </si>
  <si>
    <t xml:space="preserve">aux vac.
previas</t>
  </si>
  <si>
    <t xml:space="preserve">TOTALES (trabajadores activos a la fecha)</t>
  </si>
  <si>
    <t xml:space="preserve">PLAYMAKER — SIMULADOR DE FINIQUITO</t>
  </si>
  <si>
    <t xml:space="preserve">Elija trabajador, fecha y causal: calcula feriado, indemnizaciones y descuentos según el Código del Trabajo.</t>
  </si>
  <si>
    <t xml:space="preserve">Fecha de término (último día trabajado)</t>
  </si>
  <si>
    <t xml:space="preserve">Causal de término</t>
  </si>
  <si>
    <t xml:space="preserve">Art. 161 – Necesidades de la empresa</t>
  </si>
  <si>
    <t xml:space="preserve">¿Se dio aviso por escrito con 30 días de anticipación?</t>
  </si>
  <si>
    <t xml:space="preserve">Aporte del empleador a la cuenta AFC según certificado ($) — opcional</t>
  </si>
  <si>
    <t xml:space="preserve">Otros haberes pendientes de pago ($) (bonos, horas extra, etc.)</t>
  </si>
  <si>
    <t xml:space="preserve">Descuentos a aplicar ($) (préstamos, anticipos pendientes)</t>
  </si>
  <si>
    <t xml:space="preserve">DATOS DEL TRABAJADOR</t>
  </si>
  <si>
    <t xml:space="preserve">Tipo de contrato a la fecha de término</t>
  </si>
  <si>
    <t xml:space="preserve">Vencimiento del contrato vigente</t>
  </si>
  <si>
    <t xml:space="preserve">Antigüedad a la fecha de término</t>
  </si>
  <si>
    <t xml:space="preserve">Sueldo base vigente</t>
  </si>
  <si>
    <t xml:space="preserve">Desde la hoja Contratos</t>
  </si>
  <si>
    <t xml:space="preserve">Bono fijo imponible</t>
  </si>
  <si>
    <t xml:space="preserve">Gratificación mensual (Art. 50)</t>
  </si>
  <si>
    <t xml:space="preserve">25% con tope mensual de 4,75 IMM / 12</t>
  </si>
  <si>
    <t xml:space="preserve">Última remuneración mensual (Art. 172)</t>
  </si>
  <si>
    <t xml:space="preserve">Excluye horas extra, asignación familiar y pagos esporádicos</t>
  </si>
  <si>
    <t xml:space="preserve">Base para indemnizaciones (tope 90 UF)</t>
  </si>
  <si>
    <t xml:space="preserve">FERIADO (VACACIONES) PENDIENTE Y PROPORCIONAL — Art. 73</t>
  </si>
  <si>
    <t xml:space="preserve">Días devengados desde el ingreso (1,25 por mes)</t>
  </si>
  <si>
    <t xml:space="preserve">15 días hábiles por año trabajado</t>
  </si>
  <si>
    <t xml:space="preserve">Días de feriado progresivo</t>
  </si>
  <si>
    <t xml:space="preserve">Art. 68: +1 día por cada 3 años sobre 10 años trabajados</t>
  </si>
  <si>
    <t xml:space="preserve">Días ya tomados</t>
  </si>
  <si>
    <t xml:space="preserve">Hoja Vacaciones + días previos</t>
  </si>
  <si>
    <t xml:space="preserve">Saldo de días hábiles</t>
  </si>
  <si>
    <t xml:space="preserve">Equivalente en días corridos</t>
  </si>
  <si>
    <t xml:space="preserve">Se agregan sábados, domingos y festivos del período (desde el día siguiente al término)</t>
  </si>
  <si>
    <t xml:space="preserve">Valor día (sueldo + bono fijo) / 30</t>
  </si>
  <si>
    <t xml:space="preserve">Art. 71: remuneración íntegra</t>
  </si>
  <si>
    <t xml:space="preserve">Monto feriado</t>
  </si>
  <si>
    <t xml:space="preserve">Corresponde en todas las causales</t>
  </si>
  <si>
    <t xml:space="preserve">INDEMNIZACIONES</t>
  </si>
  <si>
    <t xml:space="preserve">Años de servicio para IAS</t>
  </si>
  <si>
    <t xml:space="preserve">Cada año y fracción superior a 6 meses; tope 11 años</t>
  </si>
  <si>
    <t xml:space="preserve">Indemnización por años de servicio (Art. 163)</t>
  </si>
  <si>
    <t xml:space="preserve">Solo despido por Art. 161 y 1 año o más de contrato</t>
  </si>
  <si>
    <t xml:space="preserve">Indemnización sustitutiva del aviso previo</t>
  </si>
  <si>
    <t xml:space="preserve">Art. 161/162: si no se avisó con 30 días</t>
  </si>
  <si>
    <t xml:space="preserve">Indemnización por término de obra o faena (Ley 21.122)</t>
  </si>
  <si>
    <t xml:space="preserve">2,5 días por mes trabajado y fracción superior a 15 días</t>
  </si>
  <si>
    <t xml:space="preserve">Descuento aporte del empleador al seguro de cesantía (−)</t>
  </si>
  <si>
    <t xml:space="preserve">RESUMEN DEL FINIQUITO</t>
  </si>
  <si>
    <t xml:space="preserve">Feriado pendiente y proporcional</t>
  </si>
  <si>
    <t xml:space="preserve">No imponible ni tributable (Art. 178)</t>
  </si>
  <si>
    <t xml:space="preserve">Indemnizaciones</t>
  </si>
  <si>
    <t xml:space="preserve">No imponibles ni tributables dentro de los topes legales (Art. 178)</t>
  </si>
  <si>
    <t xml:space="preserve">Otros haberes pendientes</t>
  </si>
  <si>
    <t xml:space="preserve">Descuentos</t>
  </si>
  <si>
    <t xml:space="preserve">TOTAL A PAGAR EN EL FINIQUITO</t>
  </si>
  <si>
    <t xml:space="preserve">REFERENCIA Y VALIDACIONES</t>
  </si>
  <si>
    <t xml:space="preserve">Remuneración bruta del mes de término (se paga en la última liquidación)</t>
  </si>
  <si>
    <t xml:space="preserve">Días trabajados del mes × (sueldo + bono + gratificación) / 30</t>
  </si>
  <si>
    <t xml:space="preserve">Validación de la causal</t>
  </si>
  <si>
    <t xml:space="preserve">PLAZOS Y OBLIGACIONES</t>
  </si>
  <si>
    <t xml:space="preserve">• Carta de aviso: Art. 161 → con 30 días de anticipación (o pagar el mes de aviso). Art. 159 N°4, N°5 y Art. 160 → dentro de los 3 días hábiles siguientes a la separación (Art. 162). Enviar copia a la Inspección del Trabajo (portal Mi DT).</t>
  </si>
  <si>
    <t xml:space="preserve">• Las cotizaciones previsionales deben estar pagadas hasta el último día del mes anterior al despido; si no, el despido no produce efecto (Art. 162, "Ley Bustos").</t>
  </si>
  <si>
    <t xml:space="preserve">• El finiquito debe otorgarse y pagarse dentro de 10 días hábiles desde la separación (Art. 177), firmado ante ministro de fe o en forma electrónica en el portal de la DT.</t>
  </si>
  <si>
    <t xml:space="preserve">• Despido declarado injustificado por un juez: recargo de 30% (Art. 161 improcedente), 50%, 80% o 100% sobre la IAS (Art. 168).</t>
  </si>
  <si>
    <t xml:space="preserve">• Estimación de control. El monto definitivo lo calcula el contador; en casos complejos (fueros, licencias, término anticipado de plazo fijo) consulte a un abogado laboral.</t>
  </si>
  <si>
    <t xml:space="preserve">PLAYMAKER — PARÁMETROS LEGALES Y DE CÁLCULO</t>
  </si>
  <si>
    <t xml:space="preserve">Actualice al inicio de cada mes con los Indicadores Previsionales de Previred · Normativa chilena vigente a octubre 2026</t>
  </si>
  <si>
    <t xml:space="preserve">1. FECHA DE ANÁLISIS</t>
  </si>
  <si>
    <t xml:space="preserve">Fecha de corte (dejar vacío = hoy)</t>
  </si>
  <si>
    <t xml:space="preserve">Escriba una fecha para ver el estado de contratos y provisiones a esa fecha.</t>
  </si>
  <si>
    <t xml:space="preserve">Fecha de corte utilizada</t>
  </si>
  <si>
    <t xml:space="preserve">2. INDICADORES VIGENTES (se toman automáticamente de la tabla 9)</t>
  </si>
  <si>
    <t xml:space="preserve">UF vigente (último día del mes)</t>
  </si>
  <si>
    <t xml:space="preserve">UTM vigente</t>
  </si>
  <si>
    <t xml:space="preserve">Ingreso Mínimo Mensual (IMM) vigente</t>
  </si>
  <si>
    <t xml:space="preserve">3. TOPES Y COTIZACIONES</t>
  </si>
  <si>
    <t xml:space="preserve">Tope imponible AFP / Salud / Mutual (UF)</t>
  </si>
  <si>
    <t xml:space="preserve">Tope imponible Seguro de Cesantía (UF)</t>
  </si>
  <si>
    <t xml:space="preserve">Cotización obligatoria AFP (trabajador)</t>
  </si>
  <si>
    <t xml:space="preserve">+ comisión de cada AFP (tabla 8)</t>
  </si>
  <si>
    <t xml:space="preserve">Cotización legal de salud (7%)</t>
  </si>
  <si>
    <t xml:space="preserve">Isapre: se descuenta el mayor entre 7% y el plan pactado en UF</t>
  </si>
  <si>
    <t xml:space="preserve">Seguro de cesantía contrato indefinido – empleador</t>
  </si>
  <si>
    <t xml:space="preserve">Ley 19.728 (0,8% desde 11 años de antigüedad)</t>
  </si>
  <si>
    <t xml:space="preserve">Seguro de cesantía contrato indefinido – trabajador</t>
  </si>
  <si>
    <t xml:space="preserve">Seguro de cesantía plazo fijo / obra – empleador</t>
  </si>
  <si>
    <t xml:space="preserve">Seguro de cesantía plazo fijo / obra – trabajador</t>
  </si>
  <si>
    <t xml:space="preserve">Mutual (Ley 16.744) – cotización básica</t>
  </si>
  <si>
    <t xml:space="preserve">Mutual – cotización adicional diferenciada (según su mutual)</t>
  </si>
  <si>
    <t xml:space="preserve">⚠ Completar con la tasa del certificado de su mutual (ACHS, IST, Mutual de Seguridad o ISL)</t>
  </si>
  <si>
    <t xml:space="preserve">Ley SANNA (Ley 21.010)</t>
  </si>
  <si>
    <t xml:space="preserve">Cotización previsional del empleador vigente (SIS + reforma)</t>
  </si>
  <si>
    <t xml:space="preserve">Desde la tabla 12 según la fecha de corte</t>
  </si>
  <si>
    <t xml:space="preserve">4. GRATIFICACIÓN, JORNADA Y HORAS EXTRA</t>
  </si>
  <si>
    <t xml:space="preserve">Gratificación Art. 50 – porcentaje</t>
  </si>
  <si>
    <t xml:space="preserve">Gratificación Art. 50 – tope anual (N° de IMM)</t>
  </si>
  <si>
    <t xml:space="preserve">Tope mensual de gratificación ($)</t>
  </si>
  <si>
    <t xml:space="preserve">Jornada ordinaria máxima (horas semanales)</t>
  </si>
  <si>
    <t xml:space="preserve">Ley 21.561: 42 h desde el 26-04-2026; 40 h desde el 26-04-2028</t>
  </si>
  <si>
    <t xml:space="preserve">Recargo horas extraordinarias</t>
  </si>
  <si>
    <t xml:space="preserve">Art. 32: recargo mínimo 50% sobre el sueldo convenido</t>
  </si>
  <si>
    <t xml:space="preserve">5. INDEMNIZACIONES (FINIQUITOS)</t>
  </si>
  <si>
    <t xml:space="preserve">Tope de remuneración para indemnizaciones (UF)</t>
  </si>
  <si>
    <t xml:space="preserve">Art. 172 del Código del Trabajo</t>
  </si>
  <si>
    <t xml:space="preserve">Tope de años de servicio (IAS)</t>
  </si>
  <si>
    <t xml:space="preserve">Art. 163: 30 días por año y fracción &gt; 6 meses, máx. 330 días</t>
  </si>
  <si>
    <t xml:space="preserve">Indemnización obra o faena (días por mes trabajado)</t>
  </si>
  <si>
    <t xml:space="preserve">Ley 21.122: al concluir la obra (Art. 159 N°5)</t>
  </si>
  <si>
    <t xml:space="preserve">¿Descontar de la IAS el aporte del empleador al seguro de cesantía?</t>
  </si>
  <si>
    <t xml:space="preserve">Art. 13 Ley 19.728: solo despidos por Art. 161</t>
  </si>
  <si>
    <t xml:space="preserve">Aporte del empleador imputable (estimación, % de la remuneración)</t>
  </si>
  <si>
    <t xml:space="preserve">1,6% va a la cuenta individual del trabajador. Use el certificado AFC para el monto exacto</t>
  </si>
  <si>
    <t xml:space="preserve">6. ALERTAS DE CONTRATOS</t>
  </si>
  <si>
    <t xml:space="preserve">Alerta roja: vence en (días)</t>
  </si>
  <si>
    <t xml:space="preserve">Alerta naranja: vence en (días)</t>
  </si>
  <si>
    <t xml:space="preserve">Alerta amarilla: vence en (días)</t>
  </si>
  <si>
    <t xml:space="preserve">Días de anticipación para decidir renovación / avisar término</t>
  </si>
  <si>
    <t xml:space="preserve">7. PAGO DE COTIZACIONES (PREVIRED)</t>
  </si>
  <si>
    <t xml:space="preserve">Modalidad de pago</t>
  </si>
  <si>
    <t xml:space="preserve">Electrónica (Previred)</t>
  </si>
  <si>
    <t xml:space="preserve">Electrónica: hasta el día 13 (aunque sea inhábil). Manual: día 10 o hábil siguiente (Art. 19 DL 3.500)</t>
  </si>
  <si>
    <t xml:space="preserve">Día límite pago electrónico</t>
  </si>
  <si>
    <t xml:space="preserve">Día límite pago manual</t>
  </si>
  <si>
    <t xml:space="preserve">8. AFP — COMISIONES VIGENTES (Superintendencia de Pensiones)</t>
  </si>
  <si>
    <t xml:space="preserve">Comisión (% renta imponible)</t>
  </si>
  <si>
    <t xml:space="preserve">Tasa total trabajador</t>
  </si>
  <si>
    <t xml:space="preserve">Cuprum</t>
  </si>
  <si>
    <t xml:space="preserve">9. INDICADORES MENSUALES — agregue una fila cada mes (Previred: "Indicadores Previsionales")</t>
  </si>
  <si>
    <t xml:space="preserve">Período</t>
  </si>
  <si>
    <t xml:space="preserve">UF (último día del mes)</t>
  </si>
  <si>
    <t xml:space="preserve">UTM del mes</t>
  </si>
  <si>
    <t xml:space="preserve">Ingreso mínimo (IMM)</t>
  </si>
  <si>
    <t xml:space="preserve">Fuente / nota</t>
  </si>
  <si>
    <t xml:space="preserve">Previred ene-2026 · SII · IMM Ley 21.751</t>
  </si>
  <si>
    <t xml:space="preserve">UTM: SII. Completar UF si se requiere</t>
  </si>
  <si>
    <t xml:space="preserve">UTM: SII</t>
  </si>
  <si>
    <t xml:space="preserve">UTM: SII · IMM Ley 21.830 desde 01-05-2026</t>
  </si>
  <si>
    <t xml:space="preserve">Previred · SII</t>
  </si>
  <si>
    <t xml:space="preserve">Previred ago-2026 · SII</t>
  </si>
  <si>
    <t xml:space="preserve">Previred sep-2026 · ⚠ completar UTM de septiembre (sii.cl)</t>
  </si>
  <si>
    <t xml:space="preserve">Previred oct-2026</t>
  </si>
  <si>
    <t xml:space="preserve">10. IMPUESTO ÚNICO DE SEGUNDA CATEGORÍA — tabla mensual en UTM (SII)</t>
  </si>
  <si>
    <t xml:space="preserve">Desde (UTM)</t>
  </si>
  <si>
    <t xml:space="preserve">Hasta (UTM)</t>
  </si>
  <si>
    <t xml:space="preserve">Factor</t>
  </si>
  <si>
    <t xml:space="preserve">Cantidad a rebajar (UTM)</t>
  </si>
  <si>
    <t xml:space="preserve">Tasa efectiva máx.</t>
  </si>
  <si>
    <t xml:space="preserve">y más</t>
  </si>
  <si>
    <t xml:space="preserve">11. ASIGNACIÓN FAMILIAR — tramos desde el 01-05-2026 (Ley 21.830)</t>
  </si>
  <si>
    <t xml:space="preserve">Tramo</t>
  </si>
  <si>
    <t xml:space="preserve">Ingreso mensual hasta ($)</t>
  </si>
  <si>
    <t xml:space="preserve">Monto por carga ($)</t>
  </si>
  <si>
    <t xml:space="preserve">A</t>
  </si>
  <si>
    <t xml:space="preserve">B</t>
  </si>
  <si>
    <t xml:space="preserve">C</t>
  </si>
  <si>
    <t xml:space="preserve">D (sin derecho)</t>
  </si>
  <si>
    <t xml:space="preserve">12. COTIZACIÓN PREVISIONAL DE CARGO DEL EMPLEADOR (SIS + Ley 21.735 de reforma de pensiones)</t>
  </si>
  <si>
    <t xml:space="preserve">Vigente desde</t>
  </si>
  <si>
    <t xml:space="preserve">Tasa total empleador</t>
  </si>
  <si>
    <t xml:space="preserve">Detalle</t>
  </si>
  <si>
    <t xml:space="preserve">SIS 1,49% (verificar)</t>
  </si>
  <si>
    <t xml:space="preserve">SIS 1,49% + 1,0% Ley 21.735</t>
  </si>
  <si>
    <t xml:space="preserve">SIS 1,62% + 1,0% Ley 21.735</t>
  </si>
  <si>
    <t xml:space="preserve">3,5% total: 0,1% cuenta individual + 0,9% rentabilidad protegida + 0,72% expectativa de vida + 1,78% SIS</t>
  </si>
  <si>
    <t xml:space="preserve">Calendario Ley 21.735 (proyectado; verificar al entrar en vigencia)</t>
  </si>
  <si>
    <t xml:space="preserve">Calendario Ley 21.735 (proyectado)</t>
  </si>
  <si>
    <t xml:space="preserve">LISTAS DESPLEGABLES Y FERIADOS</t>
  </si>
  <si>
    <t xml:space="preserve">Puede agregar áreas o feriados al final de cada columna (dentro del rango con borde).</t>
  </si>
  <si>
    <t xml:space="preserve">Sí / No</t>
  </si>
  <si>
    <t xml:space="preserve">Tipo de vacaciones</t>
  </si>
  <si>
    <t xml:space="preserve">Modalidad pago cotizaciones</t>
  </si>
  <si>
    <t xml:space="preserve">Meses</t>
  </si>
  <si>
    <t xml:space="preserve">Años</t>
  </si>
  <si>
    <t xml:space="preserve">Feriados</t>
  </si>
  <si>
    <t xml:space="preserve">Descripción</t>
  </si>
  <si>
    <t xml:space="preserve">Art. 159 N°1 – Mutuo acuerdo</t>
  </si>
  <si>
    <t xml:space="preserve">Año Nuevo</t>
  </si>
  <si>
    <t xml:space="preserve">Art. 159 N°2 – Renuncia voluntaria</t>
  </si>
  <si>
    <t xml:space="preserve">Sin gratificación mensual</t>
  </si>
  <si>
    <t xml:space="preserve">Feriado progresivo</t>
  </si>
  <si>
    <t xml:space="preserve">Manual / presencial</t>
  </si>
  <si>
    <t xml:space="preserve">Viernes Santo</t>
  </si>
  <si>
    <t xml:space="preserve">Ploteo / Impresión</t>
  </si>
  <si>
    <t xml:space="preserve">Feriado colectivo (Art. 76)</t>
  </si>
  <si>
    <t xml:space="preserve">Sábado Santo</t>
  </si>
  <si>
    <t xml:space="preserve">Art. 159 N°5 – Conclusión de la obra o faena</t>
  </si>
  <si>
    <t xml:space="preserve">Día del Trabajo</t>
  </si>
  <si>
    <t xml:space="preserve">Glorias Navales</t>
  </si>
  <si>
    <t xml:space="preserve">Art. 161 inc. 2 – Desahucio (cargos de confianza)</t>
  </si>
  <si>
    <t xml:space="preserve">Elecciones primarias</t>
  </si>
  <si>
    <t xml:space="preserve">Art. 160 – Despido disciplinario (sin indemnización)</t>
  </si>
  <si>
    <t xml:space="preserve">Control de calidad</t>
  </si>
  <si>
    <t xml:space="preserve">Día de los Pueblos Indígenas</t>
  </si>
  <si>
    <t xml:space="preserve">San Pedro y San Pablo</t>
  </si>
  <si>
    <t xml:space="preserve">Ventas</t>
  </si>
  <si>
    <t xml:space="preserve">Virgen del Carmen</t>
  </si>
  <si>
    <t xml:space="preserve">Administración</t>
  </si>
  <si>
    <t xml:space="preserve">Asunción de la Virgen</t>
  </si>
  <si>
    <t xml:space="preserve">Independencia Nacional</t>
  </si>
  <si>
    <t xml:space="preserve">Glorias del Ejército</t>
  </si>
  <si>
    <t xml:space="preserve">Feriado Fiestas Patrias</t>
  </si>
  <si>
    <t xml:space="preserve">Encuentro de Dos Mundos</t>
  </si>
  <si>
    <t xml:space="preserve">Iglesias Evangélicas</t>
  </si>
  <si>
    <t xml:space="preserve">Todos los Santos</t>
  </si>
  <si>
    <t xml:space="preserve">Inmaculada Concepción</t>
  </si>
  <si>
    <t xml:space="preserve">Navidad</t>
  </si>
  <si>
    <t xml:space="preserve">Elecciones</t>
  </si>
  <si>
    <t xml:space="preserve">Elecciones (2ª vuelta)</t>
  </si>
  <si>
    <t xml:space="preserve">San Pedro y San Pablo (trasladado)</t>
  </si>
  <si>
    <t xml:space="preserve">Encuentro de Dos Mundos (trasladado)</t>
  </si>
</sst>
</file>

<file path=xl/styles.xml><?xml version="1.0" encoding="utf-8"?>
<styleSheet xmlns="http://schemas.openxmlformats.org/spreadsheetml/2006/main">
  <numFmts count="23">
    <numFmt numFmtId="164" formatCode="General"/>
    <numFmt numFmtId="165" formatCode="dd\-mm\-yyyy"/>
    <numFmt numFmtId="166" formatCode="mmm\-yyyy"/>
    <numFmt numFmtId="167" formatCode="0"/>
    <numFmt numFmtId="168" formatCode="&quot;al &quot;dd\-mm\-yyyy"/>
    <numFmt numFmtId="169" formatCode="0&quot; en 2° contrato (no renovable)&quot;"/>
    <numFmt numFmtId="170" formatCode="0&quot; vencida(s)&quot;"/>
    <numFmt numFmtId="171" formatCode="\$#,##0;[RED]&quot;-$&quot;#,##0;\–"/>
    <numFmt numFmtId="172" formatCode="&quot;liquidaciones de &quot;mmm\-yyyy"/>
    <numFmt numFmtId="173" formatCode="&quot;Art. 161, al &quot;dd\-mm\-yyyy"/>
    <numFmt numFmtId="174" formatCode="0&quot; contrato(s) a plazo u obra&quot;"/>
    <numFmt numFmtId="175" formatCode="&quot;acumulado a &quot;mmm\-yyyy"/>
    <numFmt numFmtId="176" formatCode="General"/>
    <numFmt numFmtId="177" formatCode="0\°"/>
    <numFmt numFmtId="178" formatCode="#,##0;[RED]\-#,##0;\–"/>
    <numFmt numFmtId="179" formatCode="#,##0.0;[RED]\-#,##0.0;\–"/>
    <numFmt numFmtId="180" formatCode="#,##0"/>
    <numFmt numFmtId="181" formatCode="0.00"/>
    <numFmt numFmtId="182" formatCode="0.0"/>
    <numFmt numFmtId="183" formatCode="#,##0.00"/>
    <numFmt numFmtId="184" formatCode="0.00%"/>
    <numFmt numFmtId="185" formatCode="#,##0.00;[RED]\-#,##0.00;\–"/>
    <numFmt numFmtId="186" formatCode="0.0%"/>
  </numFmts>
  <fonts count="32">
    <font>
      <sz val="11"/>
      <color theme="1"/>
      <name val="Calibri"/>
      <family val="2"/>
      <charset val="1"/>
    </font>
    <font>
      <sz val="10"/>
      <name val="Arial"/>
      <family val="0"/>
    </font>
    <font>
      <sz val="10"/>
      <name val="Arial"/>
      <family val="0"/>
    </font>
    <font>
      <sz val="10"/>
      <name val="Arial"/>
      <family val="0"/>
    </font>
    <font>
      <b val="true"/>
      <sz val="16"/>
      <color rgb="FFED6C23"/>
      <name val="Arial"/>
      <family val="0"/>
      <charset val="1"/>
    </font>
    <font>
      <sz val="10"/>
      <color rgb="FF9A9A9A"/>
      <name val="Arial"/>
      <family val="0"/>
      <charset val="1"/>
    </font>
    <font>
      <b val="true"/>
      <sz val="11"/>
      <color rgb="FFED6C23"/>
      <name val="Arial"/>
      <family val="0"/>
      <charset val="1"/>
    </font>
    <font>
      <sz val="10"/>
      <color rgb="FF1A1A1A"/>
      <name val="Arial"/>
      <family val="0"/>
      <charset val="1"/>
    </font>
    <font>
      <b val="true"/>
      <sz val="9"/>
      <color rgb="FFFFFFFF"/>
      <name val="Arial"/>
      <family val="0"/>
      <charset val="1"/>
    </font>
    <font>
      <b val="true"/>
      <u val="single"/>
      <sz val="10"/>
      <color rgb="FF0563C1"/>
      <name val="Arial"/>
      <family val="0"/>
      <charset val="1"/>
    </font>
    <font>
      <sz val="9"/>
      <color rgb="FF1A1A1A"/>
      <name val="Arial"/>
      <family val="0"/>
      <charset val="1"/>
    </font>
    <font>
      <i val="true"/>
      <sz val="9"/>
      <color rgb="FF6B6B6B"/>
      <name val="Arial"/>
      <family val="0"/>
      <charset val="1"/>
    </font>
    <font>
      <sz val="10"/>
      <color rgb="FF0000FF"/>
      <name val="Arial"/>
      <family val="0"/>
      <charset val="1"/>
    </font>
    <font>
      <sz val="10"/>
      <color rgb="FF1B7F4A"/>
      <name val="Arial"/>
      <family val="0"/>
      <charset val="1"/>
    </font>
    <font>
      <sz val="9"/>
      <color rgb="FF6B6B6B"/>
      <name val="Arial"/>
      <family val="0"/>
      <charset val="1"/>
    </font>
    <font>
      <b val="true"/>
      <sz val="10"/>
      <color rgb="FF1B7F4A"/>
      <name val="Arial"/>
      <family val="0"/>
      <charset val="1"/>
    </font>
    <font>
      <b val="true"/>
      <sz val="9"/>
      <color rgb="FF6B6B6B"/>
      <name val="Arial"/>
      <family val="0"/>
      <charset val="1"/>
    </font>
    <font>
      <sz val="8"/>
      <color rgb="FFFFFFFF"/>
      <name val="Arial"/>
      <family val="0"/>
      <charset val="1"/>
    </font>
    <font>
      <b val="true"/>
      <sz val="20"/>
      <color rgb="FF1A1A1A"/>
      <name val="Arial"/>
      <family val="0"/>
      <charset val="1"/>
    </font>
    <font>
      <i val="true"/>
      <sz val="8"/>
      <color rgb="FF6B6B6B"/>
      <name val="Arial"/>
      <family val="0"/>
      <charset val="1"/>
    </font>
    <font>
      <sz val="8"/>
      <color rgb="FF1A1A1A"/>
      <name val="Arial"/>
      <family val="0"/>
      <charset val="1"/>
    </font>
    <font>
      <b val="true"/>
      <sz val="10"/>
      <color rgb="FF0000FF"/>
      <name val="Arial"/>
      <family val="0"/>
      <charset val="1"/>
    </font>
    <font>
      <b val="true"/>
      <sz val="9"/>
      <color rgb="FF1A1A1A"/>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
      <b val="true"/>
      <sz val="10"/>
      <color rgb="FF1A1A1A"/>
      <name val="Arial"/>
      <family val="0"/>
      <charset val="1"/>
    </font>
    <font>
      <sz val="8"/>
      <color rgb="FF9A9A9A"/>
      <name val="Arial"/>
      <family val="0"/>
      <charset val="1"/>
    </font>
    <font>
      <b val="true"/>
      <sz val="16"/>
      <color rgb="FF1A1A1A"/>
      <name val="Arial"/>
      <family val="0"/>
      <charset val="1"/>
    </font>
    <font>
      <b val="true"/>
      <sz val="13"/>
      <color rgb="FF1B7F4A"/>
      <name val="Arial"/>
      <family val="0"/>
      <charset val="1"/>
    </font>
    <font>
      <sz val="9"/>
      <color rgb="FF3A3A3A"/>
      <name val="Arial"/>
      <family val="0"/>
      <charset val="1"/>
    </font>
  </fonts>
  <fills count="10">
    <fill>
      <patternFill patternType="none"/>
    </fill>
    <fill>
      <patternFill patternType="gray125"/>
    </fill>
    <fill>
      <patternFill patternType="solid">
        <fgColor rgb="FF000000"/>
        <bgColor rgb="FF1A1A1A"/>
      </patternFill>
    </fill>
    <fill>
      <patternFill patternType="solid">
        <fgColor rgb="FF1A1A1A"/>
        <bgColor rgb="FF003300"/>
      </patternFill>
    </fill>
    <fill>
      <patternFill patternType="solid">
        <fgColor rgb="FFFFF3CD"/>
        <bgColor rgb="FFFFF2CC"/>
      </patternFill>
    </fill>
    <fill>
      <patternFill patternType="solid">
        <fgColor rgb="FFE8E8E8"/>
        <bgColor rgb="FFE3EEF7"/>
      </patternFill>
    </fill>
    <fill>
      <patternFill patternType="solid">
        <fgColor rgb="FFE3EEF7"/>
        <bgColor rgb="FFE8F3EC"/>
      </patternFill>
    </fill>
    <fill>
      <patternFill patternType="solid">
        <fgColor rgb="FFFDEBD9"/>
        <bgColor rgb="FFFCE4D6"/>
      </patternFill>
    </fill>
    <fill>
      <patternFill patternType="solid">
        <fgColor rgb="FFE8F3EC"/>
        <bgColor rgb="FFE3EEF7"/>
      </patternFill>
    </fill>
    <fill>
      <patternFill patternType="solid">
        <fgColor rgb="FF1B5E3B"/>
        <bgColor rgb="FF0061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4"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16" fillId="5" borderId="0" xfId="0" applyFont="true" applyBorder="true" applyAlignment="true" applyProtection="false">
      <alignment horizontal="left" vertical="bottom" textRotation="0" wrapText="false" indent="1" shrinkToFit="false"/>
      <protection locked="true" hidden="false"/>
    </xf>
    <xf numFmtId="164" fontId="16" fillId="6" borderId="0" xfId="0" applyFont="true" applyBorder="true" applyAlignment="true" applyProtection="false">
      <alignment horizontal="left" vertical="bottom" textRotation="0" wrapText="false" indent="1" shrinkToFit="false"/>
      <protection locked="true" hidden="false"/>
    </xf>
    <xf numFmtId="164" fontId="16" fillId="7" borderId="0" xfId="0" applyFont="true" applyBorder="true" applyAlignment="true" applyProtection="false">
      <alignment horizontal="left" vertical="bottom" textRotation="0" wrapText="false" indent="1" shrinkToFit="false"/>
      <protection locked="true" hidden="false"/>
    </xf>
    <xf numFmtId="164" fontId="16" fillId="8" borderId="0" xfId="0" applyFont="true" applyBorder="true" applyAlignment="true" applyProtection="false">
      <alignment horizontal="left" vertical="bottom" textRotation="0" wrapText="false" indent="1"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7" fontId="18" fillId="5" borderId="0" xfId="0" applyFont="true" applyBorder="true" applyAlignment="true" applyProtection="false">
      <alignment horizontal="left" vertical="bottom" textRotation="0" wrapText="false" indent="1" shrinkToFit="false"/>
      <protection locked="true" hidden="false"/>
    </xf>
    <xf numFmtId="167" fontId="18" fillId="6" borderId="0" xfId="0" applyFont="true" applyBorder="true" applyAlignment="true" applyProtection="false">
      <alignment horizontal="left" vertical="bottom" textRotation="0" wrapText="false" indent="1" shrinkToFit="false"/>
      <protection locked="true" hidden="false"/>
    </xf>
    <xf numFmtId="167" fontId="18" fillId="7" borderId="0" xfId="0" applyFont="true" applyBorder="true" applyAlignment="true" applyProtection="false">
      <alignment horizontal="left" vertical="bottom" textRotation="0" wrapText="false" indent="1" shrinkToFit="false"/>
      <protection locked="true" hidden="false"/>
    </xf>
    <xf numFmtId="167" fontId="18" fillId="8" borderId="0" xfId="0" applyFont="true" applyBorder="true" applyAlignment="true" applyProtection="false">
      <alignment horizontal="left" vertical="bottom" textRotation="0" wrapText="false" indent="1" shrinkToFit="false"/>
      <protection locked="true" hidden="false"/>
    </xf>
    <xf numFmtId="168" fontId="19" fillId="5" borderId="0" xfId="0" applyFont="true" applyBorder="true" applyAlignment="true" applyProtection="false">
      <alignment horizontal="left" vertical="bottom" textRotation="0" wrapText="false" indent="1" shrinkToFit="false"/>
      <protection locked="true" hidden="false"/>
    </xf>
    <xf numFmtId="164" fontId="19" fillId="6" borderId="0" xfId="0" applyFont="true" applyBorder="true" applyAlignment="true" applyProtection="false">
      <alignment horizontal="left" vertical="bottom" textRotation="0" wrapText="false" indent="1" shrinkToFit="false"/>
      <protection locked="true" hidden="false"/>
    </xf>
    <xf numFmtId="169" fontId="19" fillId="7" borderId="0" xfId="0" applyFont="true" applyBorder="true" applyAlignment="true" applyProtection="false">
      <alignment horizontal="left" vertical="bottom" textRotation="0" wrapText="false" indent="1" shrinkToFit="false"/>
      <protection locked="true" hidden="false"/>
    </xf>
    <xf numFmtId="164" fontId="19" fillId="8" borderId="0" xfId="0" applyFont="true" applyBorder="true" applyAlignment="true" applyProtection="false">
      <alignment horizontal="left" vertical="bottom" textRotation="0" wrapText="false" indent="1" shrinkToFit="false"/>
      <protection locked="true" hidden="false"/>
    </xf>
    <xf numFmtId="164" fontId="19" fillId="5" borderId="0" xfId="0" applyFont="true" applyBorder="true" applyAlignment="true" applyProtection="false">
      <alignment horizontal="left" vertical="bottom" textRotation="0" wrapText="false" indent="1" shrinkToFit="false"/>
      <protection locked="true" hidden="false"/>
    </xf>
    <xf numFmtId="164" fontId="19" fillId="7" borderId="0" xfId="0" applyFont="true" applyBorder="true" applyAlignment="true" applyProtection="false">
      <alignment horizontal="left" vertical="bottom" textRotation="0" wrapText="false" indent="1" shrinkToFit="false"/>
      <protection locked="true" hidden="false"/>
    </xf>
    <xf numFmtId="170" fontId="19" fillId="8" borderId="0" xfId="0" applyFont="true" applyBorder="true" applyAlignment="true" applyProtection="false">
      <alignment horizontal="left" vertical="bottom" textRotation="0" wrapText="false" indent="1" shrinkToFit="false"/>
      <protection locked="true" hidden="false"/>
    </xf>
    <xf numFmtId="171" fontId="18" fillId="5" borderId="0" xfId="0" applyFont="true" applyBorder="true" applyAlignment="true" applyProtection="false">
      <alignment horizontal="left" vertical="bottom" textRotation="0" wrapText="false" indent="1" shrinkToFit="false"/>
      <protection locked="true" hidden="false"/>
    </xf>
    <xf numFmtId="171" fontId="18" fillId="6" borderId="0" xfId="0" applyFont="true" applyBorder="true" applyAlignment="true" applyProtection="false">
      <alignment horizontal="left" vertical="bottom" textRotation="0" wrapText="false" indent="1" shrinkToFit="false"/>
      <protection locked="true" hidden="false"/>
    </xf>
    <xf numFmtId="171" fontId="18" fillId="7" borderId="0" xfId="0" applyFont="true" applyBorder="true" applyAlignment="true" applyProtection="false">
      <alignment horizontal="left" vertical="bottom" textRotation="0" wrapText="false" indent="1" shrinkToFit="false"/>
      <protection locked="true" hidden="false"/>
    </xf>
    <xf numFmtId="171" fontId="18" fillId="8" borderId="0" xfId="0" applyFont="true" applyBorder="true" applyAlignment="true" applyProtection="false">
      <alignment horizontal="left" vertical="bottom" textRotation="0" wrapText="false" indent="1" shrinkToFit="false"/>
      <protection locked="true" hidden="false"/>
    </xf>
    <xf numFmtId="172" fontId="19" fillId="5" borderId="0" xfId="0" applyFont="true" applyBorder="true" applyAlignment="true" applyProtection="false">
      <alignment horizontal="left" vertical="bottom" textRotation="0" wrapText="false" indent="1" shrinkToFit="false"/>
      <protection locked="true" hidden="false"/>
    </xf>
    <xf numFmtId="172" fontId="19" fillId="6" borderId="0" xfId="0" applyFont="true" applyBorder="true" applyAlignment="true" applyProtection="false">
      <alignment horizontal="left" vertical="bottom" textRotation="0" wrapText="false" indent="1" shrinkToFit="false"/>
      <protection locked="true" hidden="false"/>
    </xf>
    <xf numFmtId="173" fontId="19" fillId="8" borderId="0" xfId="0" applyFont="true" applyBorder="true" applyAlignment="true" applyProtection="false">
      <alignment horizontal="left" vertical="bottom" textRotation="0" wrapText="false" indent="1" shrinkToFit="false"/>
      <protection locked="true" hidden="false"/>
    </xf>
    <xf numFmtId="164" fontId="18" fillId="8" borderId="0" xfId="0" applyFont="true" applyBorder="true" applyAlignment="true" applyProtection="false">
      <alignment horizontal="left" vertical="bottom" textRotation="0" wrapText="false" indent="1" shrinkToFit="false"/>
      <protection locked="true" hidden="false"/>
    </xf>
    <xf numFmtId="174" fontId="19" fillId="5" borderId="0" xfId="0" applyFont="true" applyBorder="true" applyAlignment="true" applyProtection="false">
      <alignment horizontal="left" vertical="bottom" textRotation="0" wrapText="false" indent="1" shrinkToFit="false"/>
      <protection locked="true" hidden="false"/>
    </xf>
    <xf numFmtId="175" fontId="19" fillId="6" borderId="0" xfId="0" applyFont="true" applyBorder="true" applyAlignment="true" applyProtection="false">
      <alignment horizontal="left" vertical="bottom" textRotation="0" wrapText="false" indent="1"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76" fontId="10" fillId="0" borderId="1" xfId="0" applyFont="true" applyBorder="true" applyAlignment="true" applyProtection="false">
      <alignment horizontal="general" vertical="center" textRotation="0" wrapText="false" indent="0" shrinkToFit="false"/>
      <protection locked="true" hidden="false"/>
    </xf>
    <xf numFmtId="177" fontId="10"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78" fontId="10" fillId="0" borderId="1" xfId="0" applyFont="true" applyBorder="true" applyAlignment="true" applyProtection="false">
      <alignment horizontal="general" vertical="center" textRotation="0" wrapText="fals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76" fontId="1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21" fillId="4" borderId="1" xfId="0" applyFont="true" applyBorder="true" applyAlignment="fals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6" fontId="22"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78" fontId="10" fillId="0" borderId="1" xfId="0" applyFont="true" applyBorder="true" applyAlignment="false" applyProtection="false">
      <alignment horizontal="general" vertical="bottom" textRotation="0" wrapText="false" indent="0" shrinkToFit="false"/>
      <protection locked="true" hidden="false"/>
    </xf>
    <xf numFmtId="179"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78" fontId="15" fillId="5" borderId="1" xfId="0" applyFont="true" applyBorder="true" applyAlignment="false" applyProtection="false">
      <alignment horizontal="general" vertical="bottom" textRotation="0" wrapText="false" indent="0" shrinkToFit="false"/>
      <protection locked="true" hidden="false"/>
    </xf>
    <xf numFmtId="179" fontId="15" fillId="5" borderId="1" xfId="0" applyFont="true" applyBorder="true" applyAlignment="false" applyProtection="false">
      <alignment horizontal="general" vertical="bottom" textRotation="0" wrapText="false" indent="0" shrinkToFit="false"/>
      <protection locked="true" hidden="false"/>
    </xf>
    <xf numFmtId="171" fontId="15"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71" fontId="12" fillId="4" borderId="1" xfId="0" applyFont="true" applyBorder="true" applyAlignment="false" applyProtection="false">
      <alignment horizontal="general" vertical="bottom" textRotation="0" wrapText="false" indent="0" shrinkToFit="false"/>
      <protection locked="true" hidden="false"/>
    </xf>
    <xf numFmtId="181" fontId="12" fillId="4" borderId="1" xfId="0" applyFont="true" applyBorder="true" applyAlignment="false" applyProtection="false">
      <alignment horizontal="general" vertical="bottom" textRotation="0" wrapText="false" indent="0" shrinkToFit="false"/>
      <protection locked="true" hidden="false"/>
    </xf>
    <xf numFmtId="182" fontId="12" fillId="4"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76" fontId="13"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82"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77" fontId="13" fillId="0" borderId="1" xfId="0" applyFont="true" applyBorder="true" applyAlignment="false" applyProtection="false">
      <alignment horizontal="general" vertical="bottom" textRotation="0" wrapText="false" indent="0" shrinkToFit="false"/>
      <protection locked="true" hidden="false"/>
    </xf>
    <xf numFmtId="178" fontId="13" fillId="0"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6" fontId="28" fillId="0"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82" fontId="15" fillId="5" borderId="1" xfId="0" applyFont="true" applyBorder="true" applyAlignment="false" applyProtection="false">
      <alignment horizontal="general" vertical="bottom" textRotation="0" wrapText="false" indent="0" shrinkToFit="false"/>
      <protection locked="true" hidden="false"/>
    </xf>
    <xf numFmtId="167" fontId="15" fillId="5" borderId="1" xfId="0" applyFont="true" applyBorder="true" applyAlignment="false" applyProtection="false">
      <alignment horizontal="general" vertical="bottom" textRotation="0" wrapText="false" indent="0" shrinkToFit="false"/>
      <protection locked="true" hidden="false"/>
    </xf>
    <xf numFmtId="171" fontId="15" fillId="0" borderId="1" xfId="0" applyFont="true" applyBorder="true" applyAlignment="false" applyProtection="false">
      <alignment horizontal="general" vertical="bottom" textRotation="0" wrapText="false" indent="0" shrinkToFit="false"/>
      <protection locked="true" hidden="false"/>
    </xf>
    <xf numFmtId="183" fontId="13" fillId="0" borderId="1" xfId="0" applyFont="true" applyBorder="true" applyAlignment="false" applyProtection="false">
      <alignment horizontal="general" vertical="bottom" textRotation="0" wrapText="false" indent="0" shrinkToFit="false"/>
      <protection locked="true" hidden="false"/>
    </xf>
    <xf numFmtId="184" fontId="13" fillId="0" borderId="1" xfId="0" applyFont="true" applyBorder="true" applyAlignment="false" applyProtection="false">
      <alignment horizontal="general" vertical="bottom" textRotation="0" wrapText="false" indent="0" shrinkToFit="false"/>
      <protection locked="true" hidden="false"/>
    </xf>
    <xf numFmtId="164" fontId="21" fillId="4" borderId="1" xfId="0" applyFont="true" applyBorder="true" applyAlignment="false" applyProtection="false">
      <alignment horizontal="general" vertical="bottom" textRotation="0" wrapText="false" indent="0" shrinkToFit="false"/>
      <protection locked="true" hidden="false"/>
    </xf>
    <xf numFmtId="176" fontId="28"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79" fontId="13" fillId="0" borderId="1" xfId="0" applyFont="true" applyBorder="true" applyAlignment="false" applyProtection="false">
      <alignment horizontal="general" vertical="bottom" textRotation="0" wrapText="false" indent="0" shrinkToFit="false"/>
      <protection locked="true" hidden="false"/>
    </xf>
    <xf numFmtId="185" fontId="13" fillId="0" borderId="1" xfId="0" applyFont="true" applyBorder="true" applyAlignment="false" applyProtection="false">
      <alignment horizontal="general" vertical="bottom" textRotation="0" wrapText="false" indent="0" shrinkToFit="false"/>
      <protection locked="true" hidden="false"/>
    </xf>
    <xf numFmtId="165" fontId="15" fillId="5" borderId="1" xfId="0" applyFont="true" applyBorder="true" applyAlignment="false" applyProtection="false">
      <alignment horizontal="general" vertical="bottom" textRotation="0" wrapText="false" indent="0" shrinkToFit="false"/>
      <protection locked="true" hidden="false"/>
    </xf>
    <xf numFmtId="185" fontId="15" fillId="5" borderId="1" xfId="0" applyFont="true" applyBorder="true" applyAlignment="false" applyProtection="false">
      <alignment horizontal="general" vertical="bottom" textRotation="0" wrapText="false" indent="0" shrinkToFit="false"/>
      <protection locked="true" hidden="false"/>
    </xf>
    <xf numFmtId="165" fontId="21"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1" fontId="29" fillId="0" borderId="0" xfId="0" applyFont="true" applyBorder="false" applyAlignment="false" applyProtection="false">
      <alignment horizontal="general" vertical="bottom" textRotation="0" wrapText="false" indent="0" shrinkToFit="false"/>
      <protection locked="true" hidden="false"/>
    </xf>
    <xf numFmtId="171" fontId="21" fillId="4" borderId="1" xfId="0" applyFont="true" applyBorder="true" applyAlignment="false" applyProtection="false">
      <alignment horizontal="general" vertical="bottom" textRotation="0" wrapText="false" indent="0" shrinkToFit="false"/>
      <protection locked="true" hidden="false"/>
    </xf>
    <xf numFmtId="171" fontId="30" fillId="5"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83" fontId="15" fillId="0" borderId="1" xfId="0" applyFont="true" applyBorder="true" applyAlignment="false" applyProtection="false">
      <alignment horizontal="general" vertical="bottom" textRotation="0" wrapText="false" indent="0" shrinkToFit="false"/>
      <protection locked="true" hidden="false"/>
    </xf>
    <xf numFmtId="182" fontId="21" fillId="4" borderId="1" xfId="0" applyFont="true" applyBorder="true" applyAlignment="false" applyProtection="false">
      <alignment horizontal="general" vertical="bottom" textRotation="0" wrapText="false" indent="0" shrinkToFit="false"/>
      <protection locked="true" hidden="false"/>
    </xf>
    <xf numFmtId="184" fontId="21" fillId="4" borderId="1" xfId="0" applyFont="true" applyBorder="true" applyAlignment="false" applyProtection="false">
      <alignment horizontal="general" vertical="bottom" textRotation="0" wrapText="false" indent="0" shrinkToFit="false"/>
      <protection locked="true" hidden="false"/>
    </xf>
    <xf numFmtId="184" fontId="15" fillId="0" borderId="1" xfId="0" applyFont="true" applyBorder="true" applyAlignment="false" applyProtection="false">
      <alignment horizontal="general" vertical="bottom" textRotation="0" wrapText="false" indent="0" shrinkToFit="false"/>
      <protection locked="true" hidden="false"/>
    </xf>
    <xf numFmtId="181" fontId="21" fillId="4" borderId="1" xfId="0" applyFont="true" applyBorder="true" applyAlignment="false" applyProtection="false">
      <alignment horizontal="general" vertical="bottom" textRotation="0" wrapText="false" indent="0" shrinkToFit="false"/>
      <protection locked="true" hidden="false"/>
    </xf>
    <xf numFmtId="167" fontId="21" fillId="4" borderId="1" xfId="0" applyFont="true" applyBorder="true" applyAlignment="false" applyProtection="false">
      <alignment horizontal="general" vertical="bottom" textRotation="0" wrapText="false" indent="0" shrinkToFit="false"/>
      <protection locked="true" hidden="false"/>
    </xf>
    <xf numFmtId="184" fontId="12" fillId="4" borderId="1" xfId="0" applyFont="true" applyBorder="true" applyAlignment="false" applyProtection="false">
      <alignment horizontal="general" vertical="bottom" textRotation="0" wrapText="false" indent="0" shrinkToFit="false"/>
      <protection locked="true" hidden="false"/>
    </xf>
    <xf numFmtId="183" fontId="12" fillId="4" borderId="1" xfId="0" applyFont="true" applyBorder="true" applyAlignment="false" applyProtection="false">
      <alignment horizontal="general" vertical="bottom" textRotation="0" wrapText="false" indent="0" shrinkToFit="false"/>
      <protection locked="true" hidden="false"/>
    </xf>
    <xf numFmtId="186" fontId="12" fillId="4" borderId="1"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tru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ont>
        <b val="1"/>
        <color rgb="FFFFFFFF"/>
      </font>
      <fill>
        <patternFill>
          <bgColor rgb="FFFF7C80"/>
        </patternFill>
      </fill>
    </dxf>
    <dxf>
      <font>
        <b val="1"/>
        <color rgb="FF9C0006"/>
      </font>
      <fill>
        <patternFill>
          <bgColor rgb="FFFFC7CE"/>
        </patternFill>
      </fill>
    </dxf>
    <dxf>
      <font>
        <b val="1"/>
        <color rgb="FF9C4A00"/>
      </font>
      <fill>
        <patternFill>
          <bgColor rgb="FFFCE4D6"/>
        </patternFill>
      </fill>
    </dxf>
    <dxf>
      <font>
        <b val="1"/>
        <color rgb="FF7F6000"/>
      </font>
      <fill>
        <patternFill>
          <bgColor rgb="FFFFF2CC"/>
        </patternFill>
      </fill>
    </dxf>
    <dxf>
      <font>
        <color rgb="FF006100"/>
      </font>
      <fill>
        <patternFill>
          <bgColor rgb="FFC6EFCE"/>
        </patternFill>
      </fill>
    </dxf>
    <dxf>
      <fill>
        <patternFill patternType="solid">
          <fgColor rgb="FF1A1A1A"/>
          <bgColor rgb="FF000000"/>
        </patternFill>
      </fill>
    </dxf>
    <dxf>
      <fill>
        <patternFill patternType="solid">
          <fgColor rgb="FFFFF3CD"/>
          <bgColor rgb="FF000000"/>
        </patternFill>
      </fill>
    </dxf>
    <dxf>
      <fill>
        <patternFill patternType="solid">
          <fgColor rgb="FF0000FF"/>
          <bgColor rgb="FF000000"/>
        </patternFill>
      </fill>
    </dxf>
    <dxf>
      <fill>
        <patternFill patternType="solid">
          <fgColor rgb="FF9A9A9A"/>
          <bgColor rgb="FF000000"/>
        </patternFill>
      </fill>
    </dxf>
    <dxf>
      <fill>
        <patternFill patternType="solid">
          <fgColor rgb="FFFFFFFF"/>
          <bgColor rgb="FF000000"/>
        </patternFill>
      </fill>
    </dxf>
    <dxf>
      <fill>
        <patternFill patternType="solid">
          <fgColor rgb="FF1B5E3B"/>
          <bgColor rgb="FF000000"/>
        </patternFill>
      </fill>
    </dxf>
    <dxf>
      <fill>
        <patternFill patternType="solid">
          <bgColor rgb="FF000000"/>
        </patternFill>
      </fill>
    </dxf>
    <dxf>
      <fill>
        <patternFill patternType="solid">
          <fgColor rgb="FF1B7F4A"/>
          <bgColor rgb="FF000000"/>
        </patternFill>
      </fill>
    </dxf>
    <dxf>
      <fill>
        <patternFill patternType="solid">
          <fgColor rgb="FF006100"/>
          <bgColor rgb="FF000000"/>
        </patternFill>
      </fill>
    </dxf>
    <dxf>
      <font>
        <color rgb="FF9A9A9A"/>
      </font>
    </dxf>
    <dxf>
      <font>
        <color rgb="FF9C0006"/>
      </font>
      <fill>
        <patternFill>
          <bgColor rgb="FFFFC7CE"/>
        </patternFill>
      </fill>
    </dxf>
    <dxf>
      <font>
        <color rgb="FF006100"/>
      </font>
    </dxf>
    <dxf>
      <fill>
        <patternFill patternType="solid">
          <fgColor rgb="FFFCE4D6"/>
          <bgColor rgb="FF000000"/>
        </patternFill>
      </fill>
    </dxf>
    <dxf>
      <fill>
        <patternFill patternType="solid">
          <fgColor rgb="FF9C4A00"/>
          <bgColor rgb="FF000000"/>
        </patternFill>
      </fill>
    </dxf>
    <dxf>
      <font>
        <color rgb="FF9C4A00"/>
      </font>
      <fill>
        <patternFill>
          <bgColor rgb="FFFCE4D6"/>
        </patternFill>
      </fill>
    </dxf>
    <dxf>
      <fill>
        <patternFill patternType="solid">
          <fgColor rgb="FFC6EFCE"/>
          <bgColor rgb="FF000000"/>
        </patternFill>
      </fill>
    </dxf>
    <dxf>
      <fill>
        <patternFill patternType="solid">
          <fgColor rgb="FFFFC7CE"/>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9C0006"/>
          <bgColor rgb="FF000000"/>
        </patternFill>
      </fill>
    </dxf>
    <dxf>
      <font>
        <color rgb="FF7F6000"/>
      </font>
      <fill>
        <patternFill>
          <bgColor rgb="FFFFF2CC"/>
        </patternFill>
      </fill>
    </dxf>
    <dxf>
      <font>
        <color rgb="FF9C0006"/>
      </font>
    </dxf>
    <dxf>
      <fill>
        <patternFill>
          <bgColor rgb="FFFFF2CC"/>
        </patternFill>
      </fill>
    </dxf>
    <dxf>
      <font>
        <b val="1"/>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1B7F4A"/>
      <rgbColor rgb="FFE8E8E8"/>
      <rgbColor rgb="FF7F7F7F"/>
      <rgbColor rgb="FF878787"/>
      <rgbColor rgb="FF993366"/>
      <rgbColor rgb="FFFFF3CD"/>
      <rgbColor rgb="FFE3EEF7"/>
      <rgbColor rgb="FF660066"/>
      <rgbColor rgb="FFFF7C80"/>
      <rgbColor rgb="FF0563C1"/>
      <rgbColor rgb="FFD9D9D9"/>
      <rgbColor rgb="FF000080"/>
      <rgbColor rgb="FFFF00FF"/>
      <rgbColor rgb="FFFFFF00"/>
      <rgbColor rgb="FF00FFFF"/>
      <rgbColor rgb="FF800080"/>
      <rgbColor rgb="FF800000"/>
      <rgbColor rgb="FF1B5E3B"/>
      <rgbColor rgb="FF0000FF"/>
      <rgbColor rgb="FF00CCFF"/>
      <rgbColor rgb="FFE8F3EC"/>
      <rgbColor rgb="FFC6EFCE"/>
      <rgbColor rgb="FFFFF2CC"/>
      <rgbColor rgb="FFFDEBD9"/>
      <rgbColor rgb="FFFCE4D6"/>
      <rgbColor rgb="FFCC99FF"/>
      <rgbColor rgb="FFFFC7CE"/>
      <rgbColor rgb="FF3366FF"/>
      <rgbColor rgb="FF33CCCC"/>
      <rgbColor rgb="FF99CC00"/>
      <rgbColor rgb="FFFFCC00"/>
      <rgbColor rgb="FFFF9900"/>
      <rgbColor rgb="FFED6C23"/>
      <rgbColor rgb="FF6B6B6B"/>
      <rgbColor rgb="FF9A9A9A"/>
      <rgbColor rgb="FF003366"/>
      <rgbColor rgb="FF339966"/>
      <rgbColor rgb="FF003300"/>
      <rgbColor rgb="FF1A1A1A"/>
      <rgbColor rgb="FF9C4A00"/>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Dotación a fin de mes</a:t>
            </a:r>
          </a:p>
        </c:rich>
      </c:tx>
      <c:overlay val="0"/>
      <c:spPr>
        <a:noFill/>
        <a:ln w="0">
          <a:noFill/>
        </a:ln>
      </c:spPr>
    </c:title>
    <c:autoTitleDeleted val="0"/>
    <c:plotArea>
      <c:barChart>
        <c:barDir val="col"/>
        <c:grouping val="clustered"/>
        <c:varyColors val="0"/>
        <c:ser>
          <c:idx val="0"/>
          <c:order val="0"/>
          <c:tx>
            <c:strRef>
              <c:f>Dashboard!D50</c:f>
              <c:strCache>
                <c:ptCount val="1"/>
                <c:pt idx="0">
                  <c:v>Dotación a fin de mes</c:v>
                </c:pt>
              </c:strCache>
            </c:strRef>
          </c:tx>
          <c:spPr>
            <a:solidFill>
              <a:srgbClr val="ed6c23"/>
            </a:solidFill>
            <a:ln w="0">
              <a:solidFill>
                <a:srgbClr val="ed6c23"/>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Dashboard!$C$51:$C$74</c:f>
              <c:strCache>
                <c:ptCount val="24"/>
                <c:pt idx="0">
                  <c:v>Nov-2024</c:v>
                </c:pt>
                <c:pt idx="1">
                  <c:v>Dec-2024</c:v>
                </c:pt>
                <c:pt idx="2">
                  <c:v>Jan-2025</c:v>
                </c:pt>
                <c:pt idx="3">
                  <c:v>Feb-2025</c:v>
                </c:pt>
                <c:pt idx="4">
                  <c:v>Mar-2025</c:v>
                </c:pt>
                <c:pt idx="5">
                  <c:v>Apr-2025</c:v>
                </c:pt>
                <c:pt idx="6">
                  <c:v>May-2025</c:v>
                </c:pt>
                <c:pt idx="7">
                  <c:v>Jun-2025</c:v>
                </c:pt>
                <c:pt idx="8">
                  <c:v>Jul-2025</c:v>
                </c:pt>
                <c:pt idx="9">
                  <c:v>Aug-2025</c:v>
                </c:pt>
                <c:pt idx="10">
                  <c:v>Sep-2025</c:v>
                </c:pt>
                <c:pt idx="11">
                  <c:v>Oct-2025</c:v>
                </c:pt>
                <c:pt idx="12">
                  <c:v>Nov-2025</c:v>
                </c:pt>
                <c:pt idx="13">
                  <c:v>Dec-2025</c:v>
                </c:pt>
                <c:pt idx="14">
                  <c:v>Jan-2026</c:v>
                </c:pt>
                <c:pt idx="15">
                  <c:v>Feb-2026</c:v>
                </c:pt>
                <c:pt idx="16">
                  <c:v>Mar-2026</c:v>
                </c:pt>
                <c:pt idx="17">
                  <c:v>Apr-2026</c:v>
                </c:pt>
                <c:pt idx="18">
                  <c:v>May-2026</c:v>
                </c:pt>
                <c:pt idx="19">
                  <c:v>Jun-2026</c:v>
                </c:pt>
                <c:pt idx="20">
                  <c:v>Jul-2026</c:v>
                </c:pt>
                <c:pt idx="21">
                  <c:v>Aug-2026</c:v>
                </c:pt>
                <c:pt idx="22">
                  <c:v>Sep-2026</c:v>
                </c:pt>
                <c:pt idx="23">
                  <c:v>Oct-2026</c:v>
                </c:pt>
              </c:strCache>
            </c:strRef>
          </c:cat>
          <c:val>
            <c:numRef>
              <c:f>Dashboard!$D$51:$D$74</c:f>
              <c:numCache>
                <c:formatCode>0</c:formatCode>
                <c:ptCount val="24"/>
                <c:pt idx="0">
                  <c:v>2</c:v>
                </c:pt>
                <c:pt idx="1">
                  <c:v>2</c:v>
                </c:pt>
                <c:pt idx="2">
                  <c:v>2</c:v>
                </c:pt>
                <c:pt idx="3">
                  <c:v>2</c:v>
                </c:pt>
                <c:pt idx="4">
                  <c:v>2</c:v>
                </c:pt>
                <c:pt idx="5">
                  <c:v>2</c:v>
                </c:pt>
                <c:pt idx="6">
                  <c:v>2</c:v>
                </c:pt>
                <c:pt idx="7">
                  <c:v>2</c:v>
                </c:pt>
                <c:pt idx="8">
                  <c:v>2</c:v>
                </c:pt>
                <c:pt idx="9">
                  <c:v>2</c:v>
                </c:pt>
                <c:pt idx="10">
                  <c:v>2</c:v>
                </c:pt>
                <c:pt idx="11">
                  <c:v>2</c:v>
                </c:pt>
                <c:pt idx="12">
                  <c:v>3</c:v>
                </c:pt>
                <c:pt idx="13">
                  <c:v>3</c:v>
                </c:pt>
                <c:pt idx="14">
                  <c:v>3</c:v>
                </c:pt>
                <c:pt idx="15">
                  <c:v>2</c:v>
                </c:pt>
                <c:pt idx="16">
                  <c:v>3</c:v>
                </c:pt>
                <c:pt idx="17">
                  <c:v>3</c:v>
                </c:pt>
                <c:pt idx="18">
                  <c:v>3</c:v>
                </c:pt>
                <c:pt idx="19">
                  <c:v>3</c:v>
                </c:pt>
                <c:pt idx="20">
                  <c:v>3</c:v>
                </c:pt>
                <c:pt idx="21">
                  <c:v>4</c:v>
                </c:pt>
                <c:pt idx="22">
                  <c:v>5</c:v>
                </c:pt>
                <c:pt idx="23">
                  <c:v>5</c:v>
                </c:pt>
              </c:numCache>
            </c:numRef>
          </c:val>
        </c:ser>
        <c:gapWidth val="150"/>
        <c:overlap val="0"/>
        <c:axId val="72601211"/>
        <c:axId val="16154293"/>
      </c:barChart>
      <c:catAx>
        <c:axId val="72601211"/>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154293"/>
        <c:crosses val="autoZero"/>
        <c:auto val="1"/>
        <c:lblAlgn val="ctr"/>
        <c:lblOffset val="100"/>
        <c:noMultiLvlLbl val="0"/>
      </c:catAx>
      <c:valAx>
        <c:axId val="161542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Trabajadores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6012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empresa y líquido pagado (CLP)</a:t>
            </a:r>
          </a:p>
        </c:rich>
      </c:tx>
      <c:overlay val="0"/>
      <c:spPr>
        <a:noFill/>
        <a:ln w="0">
          <a:noFill/>
        </a:ln>
      </c:spPr>
    </c:title>
    <c:autoTitleDeleted val="0"/>
    <c:plotArea>
      <c:lineChart>
        <c:grouping val="standard"/>
        <c:varyColors val="0"/>
        <c:ser>
          <c:idx val="0"/>
          <c:order val="0"/>
          <c:tx>
            <c:strRef>
              <c:f>Dashboard!L50</c:f>
              <c:strCache>
                <c:ptCount val="1"/>
                <c:pt idx="0">
                  <c:v>Líquido pagado</c:v>
                </c:pt>
              </c:strCache>
            </c:strRef>
          </c:tx>
          <c:spPr>
            <a:solidFill>
              <a:srgbClr val="1a1a1a"/>
            </a:solidFill>
            <a:ln w="2844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Dashboard!$C$51:$C$74</c:f>
              <c:strCache>
                <c:ptCount val="24"/>
                <c:pt idx="0">
                  <c:v>Nov-2024</c:v>
                </c:pt>
                <c:pt idx="1">
                  <c:v>Dec-2024</c:v>
                </c:pt>
                <c:pt idx="2">
                  <c:v>Jan-2025</c:v>
                </c:pt>
                <c:pt idx="3">
                  <c:v>Feb-2025</c:v>
                </c:pt>
                <c:pt idx="4">
                  <c:v>Mar-2025</c:v>
                </c:pt>
                <c:pt idx="5">
                  <c:v>Apr-2025</c:v>
                </c:pt>
                <c:pt idx="6">
                  <c:v>May-2025</c:v>
                </c:pt>
                <c:pt idx="7">
                  <c:v>Jun-2025</c:v>
                </c:pt>
                <c:pt idx="8">
                  <c:v>Jul-2025</c:v>
                </c:pt>
                <c:pt idx="9">
                  <c:v>Aug-2025</c:v>
                </c:pt>
                <c:pt idx="10">
                  <c:v>Sep-2025</c:v>
                </c:pt>
                <c:pt idx="11">
                  <c:v>Oct-2025</c:v>
                </c:pt>
                <c:pt idx="12">
                  <c:v>Nov-2025</c:v>
                </c:pt>
                <c:pt idx="13">
                  <c:v>Dec-2025</c:v>
                </c:pt>
                <c:pt idx="14">
                  <c:v>Jan-2026</c:v>
                </c:pt>
                <c:pt idx="15">
                  <c:v>Feb-2026</c:v>
                </c:pt>
                <c:pt idx="16">
                  <c:v>Mar-2026</c:v>
                </c:pt>
                <c:pt idx="17">
                  <c:v>Apr-2026</c:v>
                </c:pt>
                <c:pt idx="18">
                  <c:v>May-2026</c:v>
                </c:pt>
                <c:pt idx="19">
                  <c:v>Jun-2026</c:v>
                </c:pt>
                <c:pt idx="20">
                  <c:v>Jul-2026</c:v>
                </c:pt>
                <c:pt idx="21">
                  <c:v>Aug-2026</c:v>
                </c:pt>
                <c:pt idx="22">
                  <c:v>Sep-2026</c:v>
                </c:pt>
                <c:pt idx="23">
                  <c:v>Oct-2026</c:v>
                </c:pt>
              </c:strCache>
            </c:strRef>
          </c:cat>
          <c:val>
            <c:numRef>
              <c:f>Dashboard!$L$51:$L$74</c:f>
              <c:numCache>
                <c:formatCode>\$#,##0;[RED]"-$"#,##0;\–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4088042</c:v>
                </c:pt>
                <c:pt idx="23">
                  <c:v>0</c:v>
                </c:pt>
              </c:numCache>
            </c:numRef>
          </c:val>
          <c:smooth val="1"/>
        </c:ser>
        <c:ser>
          <c:idx val="1"/>
          <c:order val="1"/>
          <c:tx>
            <c:strRef>
              <c:f>Dashboard!M50</c:f>
              <c:strCache>
                <c:ptCount val="1"/>
                <c:pt idx="0">
                  <c:v>Costo empresa</c:v>
                </c:pt>
              </c:strCache>
            </c:strRef>
          </c:tx>
          <c:spPr>
            <a:solidFill>
              <a:srgbClr val="ed6c23"/>
            </a:solidFill>
            <a:ln w="28440">
              <a:solidFill>
                <a:srgbClr val="ed6c2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Dashboard!$C$51:$C$74</c:f>
              <c:strCache>
                <c:ptCount val="24"/>
                <c:pt idx="0">
                  <c:v>Nov-2024</c:v>
                </c:pt>
                <c:pt idx="1">
                  <c:v>Dec-2024</c:v>
                </c:pt>
                <c:pt idx="2">
                  <c:v>Jan-2025</c:v>
                </c:pt>
                <c:pt idx="3">
                  <c:v>Feb-2025</c:v>
                </c:pt>
                <c:pt idx="4">
                  <c:v>Mar-2025</c:v>
                </c:pt>
                <c:pt idx="5">
                  <c:v>Apr-2025</c:v>
                </c:pt>
                <c:pt idx="6">
                  <c:v>May-2025</c:v>
                </c:pt>
                <c:pt idx="7">
                  <c:v>Jun-2025</c:v>
                </c:pt>
                <c:pt idx="8">
                  <c:v>Jul-2025</c:v>
                </c:pt>
                <c:pt idx="9">
                  <c:v>Aug-2025</c:v>
                </c:pt>
                <c:pt idx="10">
                  <c:v>Sep-2025</c:v>
                </c:pt>
                <c:pt idx="11">
                  <c:v>Oct-2025</c:v>
                </c:pt>
                <c:pt idx="12">
                  <c:v>Nov-2025</c:v>
                </c:pt>
                <c:pt idx="13">
                  <c:v>Dec-2025</c:v>
                </c:pt>
                <c:pt idx="14">
                  <c:v>Jan-2026</c:v>
                </c:pt>
                <c:pt idx="15">
                  <c:v>Feb-2026</c:v>
                </c:pt>
                <c:pt idx="16">
                  <c:v>Mar-2026</c:v>
                </c:pt>
                <c:pt idx="17">
                  <c:v>Apr-2026</c:v>
                </c:pt>
                <c:pt idx="18">
                  <c:v>May-2026</c:v>
                </c:pt>
                <c:pt idx="19">
                  <c:v>Jun-2026</c:v>
                </c:pt>
                <c:pt idx="20">
                  <c:v>Jul-2026</c:v>
                </c:pt>
                <c:pt idx="21">
                  <c:v>Aug-2026</c:v>
                </c:pt>
                <c:pt idx="22">
                  <c:v>Sep-2026</c:v>
                </c:pt>
                <c:pt idx="23">
                  <c:v>Oct-2026</c:v>
                </c:pt>
              </c:strCache>
            </c:strRef>
          </c:cat>
          <c:val>
            <c:numRef>
              <c:f>Dashboard!$M$51:$M$74</c:f>
              <c:numCache>
                <c:formatCode>\$#,##0;[RED]"-$"#,##0;\–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5939349</c:v>
                </c:pt>
                <c:pt idx="23">
                  <c:v>0</c:v>
                </c:pt>
              </c:numCache>
            </c:numRef>
          </c:val>
          <c:smooth val="1"/>
        </c:ser>
        <c:hiLowLines>
          <c:spPr>
            <a:ln w="0">
              <a:noFill/>
            </a:ln>
          </c:spPr>
        </c:hiLowLines>
        <c:marker val="0"/>
        <c:axId val="13190193"/>
        <c:axId val="24738278"/>
      </c:lineChart>
      <c:catAx>
        <c:axId val="13190193"/>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738278"/>
        <c:crosses val="autoZero"/>
        <c:auto val="1"/>
        <c:lblAlgn val="ctr"/>
        <c:lblOffset val="100"/>
        <c:noMultiLvlLbl val="0"/>
      </c:catAx>
      <c:valAx>
        <c:axId val="2473827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19019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Ausentismo: días de falta y licencia</a:t>
            </a:r>
          </a:p>
        </c:rich>
      </c:tx>
      <c:overlay val="0"/>
      <c:spPr>
        <a:noFill/>
        <a:ln w="0">
          <a:noFill/>
        </a:ln>
      </c:spPr>
    </c:title>
    <c:autoTitleDeleted val="0"/>
    <c:plotArea>
      <c:barChart>
        <c:barDir val="col"/>
        <c:grouping val="clustered"/>
        <c:varyColors val="0"/>
        <c:ser>
          <c:idx val="0"/>
          <c:order val="0"/>
          <c:tx>
            <c:strRef>
              <c:f>Dashboard!G50</c:f>
              <c:strCache>
                <c:ptCount val="1"/>
                <c:pt idx="0">
                  <c:v>Días de falta</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Dashboard!$C$51:$C$74</c:f>
              <c:strCache>
                <c:ptCount val="24"/>
                <c:pt idx="0">
                  <c:v>Nov-2024</c:v>
                </c:pt>
                <c:pt idx="1">
                  <c:v>Dec-2024</c:v>
                </c:pt>
                <c:pt idx="2">
                  <c:v>Jan-2025</c:v>
                </c:pt>
                <c:pt idx="3">
                  <c:v>Feb-2025</c:v>
                </c:pt>
                <c:pt idx="4">
                  <c:v>Mar-2025</c:v>
                </c:pt>
                <c:pt idx="5">
                  <c:v>Apr-2025</c:v>
                </c:pt>
                <c:pt idx="6">
                  <c:v>May-2025</c:v>
                </c:pt>
                <c:pt idx="7">
                  <c:v>Jun-2025</c:v>
                </c:pt>
                <c:pt idx="8">
                  <c:v>Jul-2025</c:v>
                </c:pt>
                <c:pt idx="9">
                  <c:v>Aug-2025</c:v>
                </c:pt>
                <c:pt idx="10">
                  <c:v>Sep-2025</c:v>
                </c:pt>
                <c:pt idx="11">
                  <c:v>Oct-2025</c:v>
                </c:pt>
                <c:pt idx="12">
                  <c:v>Nov-2025</c:v>
                </c:pt>
                <c:pt idx="13">
                  <c:v>Dec-2025</c:v>
                </c:pt>
                <c:pt idx="14">
                  <c:v>Jan-2026</c:v>
                </c:pt>
                <c:pt idx="15">
                  <c:v>Feb-2026</c:v>
                </c:pt>
                <c:pt idx="16">
                  <c:v>Mar-2026</c:v>
                </c:pt>
                <c:pt idx="17">
                  <c:v>Apr-2026</c:v>
                </c:pt>
                <c:pt idx="18">
                  <c:v>May-2026</c:v>
                </c:pt>
                <c:pt idx="19">
                  <c:v>Jun-2026</c:v>
                </c:pt>
                <c:pt idx="20">
                  <c:v>Jul-2026</c:v>
                </c:pt>
                <c:pt idx="21">
                  <c:v>Aug-2026</c:v>
                </c:pt>
                <c:pt idx="22">
                  <c:v>Sep-2026</c:v>
                </c:pt>
                <c:pt idx="23">
                  <c:v>Oct-2026</c:v>
                </c:pt>
              </c:strCache>
            </c:strRef>
          </c:cat>
          <c:val>
            <c:numRef>
              <c:f>Dashboard!$G$51:$G$74</c:f>
              <c:numCache>
                <c:formatCode>#,##0.0;[RED]\-#,##0.0;\–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numCache>
            </c:numRef>
          </c:val>
        </c:ser>
        <c:ser>
          <c:idx val="1"/>
          <c:order val="1"/>
          <c:tx>
            <c:strRef>
              <c:f>Dashboard!H50</c:f>
              <c:strCache>
                <c:ptCount val="1"/>
                <c:pt idx="0">
                  <c:v>Días de licencia</c:v>
                </c:pt>
              </c:strCache>
            </c:strRef>
          </c:tx>
          <c:spPr>
            <a:solidFill>
              <a:srgbClr val="7f7f7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Dashboard!$C$51:$C$74</c:f>
              <c:strCache>
                <c:ptCount val="24"/>
                <c:pt idx="0">
                  <c:v>Nov-2024</c:v>
                </c:pt>
                <c:pt idx="1">
                  <c:v>Dec-2024</c:v>
                </c:pt>
                <c:pt idx="2">
                  <c:v>Jan-2025</c:v>
                </c:pt>
                <c:pt idx="3">
                  <c:v>Feb-2025</c:v>
                </c:pt>
                <c:pt idx="4">
                  <c:v>Mar-2025</c:v>
                </c:pt>
                <c:pt idx="5">
                  <c:v>Apr-2025</c:v>
                </c:pt>
                <c:pt idx="6">
                  <c:v>May-2025</c:v>
                </c:pt>
                <c:pt idx="7">
                  <c:v>Jun-2025</c:v>
                </c:pt>
                <c:pt idx="8">
                  <c:v>Jul-2025</c:v>
                </c:pt>
                <c:pt idx="9">
                  <c:v>Aug-2025</c:v>
                </c:pt>
                <c:pt idx="10">
                  <c:v>Sep-2025</c:v>
                </c:pt>
                <c:pt idx="11">
                  <c:v>Oct-2025</c:v>
                </c:pt>
                <c:pt idx="12">
                  <c:v>Nov-2025</c:v>
                </c:pt>
                <c:pt idx="13">
                  <c:v>Dec-2025</c:v>
                </c:pt>
                <c:pt idx="14">
                  <c:v>Jan-2026</c:v>
                </c:pt>
                <c:pt idx="15">
                  <c:v>Feb-2026</c:v>
                </c:pt>
                <c:pt idx="16">
                  <c:v>Mar-2026</c:v>
                </c:pt>
                <c:pt idx="17">
                  <c:v>Apr-2026</c:v>
                </c:pt>
                <c:pt idx="18">
                  <c:v>May-2026</c:v>
                </c:pt>
                <c:pt idx="19">
                  <c:v>Jun-2026</c:v>
                </c:pt>
                <c:pt idx="20">
                  <c:v>Jul-2026</c:v>
                </c:pt>
                <c:pt idx="21">
                  <c:v>Aug-2026</c:v>
                </c:pt>
                <c:pt idx="22">
                  <c:v>Sep-2026</c:v>
                </c:pt>
                <c:pt idx="23">
                  <c:v>Oct-2026</c:v>
                </c:pt>
              </c:strCache>
            </c:strRef>
          </c:cat>
          <c:val>
            <c:numRef>
              <c:f>Dashboard!$H$51:$H$74</c:f>
              <c:numCache>
                <c:formatCode>#,##0.0;[RED]\-#,##0.0;\–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3</c:v>
                </c:pt>
                <c:pt idx="23">
                  <c:v>0</c:v>
                </c:pt>
              </c:numCache>
            </c:numRef>
          </c:val>
        </c:ser>
        <c:gapWidth val="150"/>
        <c:overlap val="0"/>
        <c:axId val="92717964"/>
        <c:axId val="44014555"/>
      </c:barChart>
      <c:catAx>
        <c:axId val="92717964"/>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014555"/>
        <c:crosses val="autoZero"/>
        <c:auto val="1"/>
        <c:lblAlgn val="ctr"/>
        <c:lblOffset val="100"/>
        <c:noMultiLvlLbl val="0"/>
      </c:catAx>
      <c:valAx>
        <c:axId val="44014555"/>
        <c:scaling>
          <c:orientation val="minMax"/>
        </c:scaling>
        <c:delete val="0"/>
        <c:axPos val="l"/>
        <c:majorGridlines>
          <c:spPr>
            <a:ln w="9360">
              <a:solidFill>
                <a:srgbClr val="878787"/>
              </a:solidFill>
              <a:round/>
            </a:ln>
          </c:spPr>
        </c:majorGridlines>
        <c:numFmt formatCode="#,##0.0;[RED]\-#,##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7179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4</xdr:row>
      <xdr:rowOff>0</xdr:rowOff>
    </xdr:from>
    <xdr:to>
      <xdr:col>25</xdr:col>
      <xdr:colOff>4680</xdr:colOff>
      <xdr:row>15</xdr:row>
      <xdr:rowOff>32760</xdr:rowOff>
    </xdr:to>
    <xdr:graphicFrame>
      <xdr:nvGraphicFramePr>
        <xdr:cNvPr id="0" name="Chart 1"/>
        <xdr:cNvGraphicFramePr/>
      </xdr:nvGraphicFramePr>
      <xdr:xfrm>
        <a:off x="11982600" y="88596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21</xdr:row>
      <xdr:rowOff>0</xdr:rowOff>
    </xdr:from>
    <xdr:to>
      <xdr:col>25</xdr:col>
      <xdr:colOff>4680</xdr:colOff>
      <xdr:row>29</xdr:row>
      <xdr:rowOff>148680</xdr:rowOff>
    </xdr:to>
    <xdr:graphicFrame>
      <xdr:nvGraphicFramePr>
        <xdr:cNvPr id="1" name="Chart 2"/>
        <xdr:cNvGraphicFramePr/>
      </xdr:nvGraphicFramePr>
      <xdr:xfrm>
        <a:off x="11982600" y="48862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37</xdr:row>
      <xdr:rowOff>97200</xdr:rowOff>
    </xdr:from>
    <xdr:to>
      <xdr:col>25</xdr:col>
      <xdr:colOff>4680</xdr:colOff>
      <xdr:row>50</xdr:row>
      <xdr:rowOff>129600</xdr:rowOff>
    </xdr:to>
    <xdr:graphicFrame>
      <xdr:nvGraphicFramePr>
        <xdr:cNvPr id="2" name="Chart 3"/>
        <xdr:cNvGraphicFramePr/>
      </xdr:nvGraphicFramePr>
      <xdr:xfrm>
        <a:off x="11982600" y="9458280"/>
        <a:ext cx="611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MK_RRHH_Control_2026.xlsx" TargetMode="External"/><Relationship Id="rId2" Type="http://schemas.openxmlformats.org/officeDocument/2006/relationships/hyperlink" Target="PMK_RRHH_Control_2026.xlsx" TargetMode="External"/><Relationship Id="rId3" Type="http://schemas.openxmlformats.org/officeDocument/2006/relationships/hyperlink" Target="PMK_RRHH_Control_2026.xlsx" TargetMode="External"/><Relationship Id="rId4" Type="http://schemas.openxmlformats.org/officeDocument/2006/relationships/hyperlink" Target="PMK_RRHH_Control_2026.xlsx" TargetMode="External"/><Relationship Id="rId5" Type="http://schemas.openxmlformats.org/officeDocument/2006/relationships/hyperlink" Target="PMK_RRHH_Control_2026.xlsx" TargetMode="External"/><Relationship Id="rId6" Type="http://schemas.openxmlformats.org/officeDocument/2006/relationships/hyperlink" Target="PMK_RRHH_Control_2026.xlsx" TargetMode="External"/><Relationship Id="rId7" Type="http://schemas.openxmlformats.org/officeDocument/2006/relationships/hyperlink" Target="PMK_RRHH_Control_2026.xlsx" TargetMode="External"/><Relationship Id="rId8" Type="http://schemas.openxmlformats.org/officeDocument/2006/relationships/hyperlink" Target="PMK_RRHH_Control_2026.xlsx" TargetMode="External"/><Relationship Id="rId9" Type="http://schemas.openxmlformats.org/officeDocument/2006/relationships/hyperlink" Target="PMK_RRHH_Control_2026.xlsx" TargetMode="External"/><Relationship Id="rId10" Type="http://schemas.openxmlformats.org/officeDocument/2006/relationships/hyperlink" Target="PMK_RRHH_Control_2026.xlsx" TargetMode="External"/><Relationship Id="rId11" Type="http://schemas.openxmlformats.org/officeDocument/2006/relationships/hyperlink" Target="PMK_RRHH_Control_2026.xlsx" TargetMode="External"/><Relationship Id="rId12" Type="http://schemas.openxmlformats.org/officeDocument/2006/relationships/hyperlink" Target="PMK_RRHH_Control_2026.xlsx" TargetMode="External"/><Relationship Id="rId13" Type="http://schemas.openxmlformats.org/officeDocument/2006/relationships/hyperlink" Target="PMK_RRHH_Control_2026.xlsx" TargetMode="External"/><Relationship Id="rId14" Type="http://schemas.openxmlformats.org/officeDocument/2006/relationships/hyperlink" Target="PMK_RRHH_Control_2026.xlsx" TargetMode="External"/><Relationship Id="rId15" Type="http://schemas.openxmlformats.org/officeDocument/2006/relationships/hyperlink" Target="PMK_RRHH_Control_2026.xlsx" TargetMode="External"/>
</Relationships>
</file>

<file path=xl/worksheets/_rels/sheet2.xml.rels><?xml version="1.0" encoding="UTF-8"?>
<Relationships xmlns="http://schemas.openxmlformats.org/package/2006/relationships"><Relationship Id="rId1" Type="http://schemas.openxmlformats.org/officeDocument/2006/relationships/hyperlink" Target="PMK_RRHH_Control_2026.xlsx" TargetMode="External"/><Relationship Id="rId2" Type="http://schemas.openxmlformats.org/officeDocument/2006/relationships/hyperlink" Target="PMK_RRHH_Control_2026.xlsx" TargetMode="External"/><Relationship Id="rId3" Type="http://schemas.openxmlformats.org/officeDocument/2006/relationships/hyperlink" Target="PMK_RRHH_Control_2026.xlsx" TargetMode="External"/><Relationship Id="rId4" Type="http://schemas.openxmlformats.org/officeDocument/2006/relationships/hyperlink" Target="PMK_RRHH_Control_2026.xlsx" TargetMode="External"/><Relationship Id="rId5" Type="http://schemas.openxmlformats.org/officeDocument/2006/relationships/hyperlink" Target="PMK_RRHH_Control_2026.xlsx" TargetMode="External"/><Relationship Id="rId6" Type="http://schemas.openxmlformats.org/officeDocument/2006/relationships/hyperlink" Target="PMK_RRHH_Control_2026.xlsx" TargetMode="External"/><Relationship Id="rId7" Type="http://schemas.openxmlformats.org/officeDocument/2006/relationships/hyperlink" Target="PMK_RRHH_Control_2026.xlsx" TargetMode="External"/><Relationship Id="rId8" Type="http://schemas.openxmlformats.org/officeDocument/2006/relationships/hyperlink" Target="PMK_RRHH_Control_2026.xlsx" TargetMode="External"/><Relationship Id="rId9" Type="http://schemas.openxmlformats.org/officeDocument/2006/relationships/hyperlink" Target="PMK_RRHH_Control_2026.xlsx" TargetMode="External"/><Relationship Id="rId10" Type="http://schemas.openxmlformats.org/officeDocument/2006/relationships/hyperlink" Target="PMK_RRHH_Control_2026.xlsx" TargetMode="External"/><Relationship Id="rId1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6.xml"/><Relationship Id="rId3"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7.xml"/><Relationship Id="rId3" Type="http://schemas.openxmlformats.org/officeDocument/2006/relationships/vmlDrawing" Target="../drawings/vmlDrawing6.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7.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B2:D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70"/>
    <col collapsed="false" customWidth="true" hidden="false" outlineLevel="0" max="4" min="4" style="0" width="44"/>
  </cols>
  <sheetData>
    <row r="2" customFormat="false" ht="24" hidden="false" customHeight="true" outlineLevel="0" collapsed="false">
      <c r="B2" s="1" t="s">
        <v>0</v>
      </c>
      <c r="C2" s="2"/>
      <c r="D2" s="2"/>
    </row>
    <row r="3" customFormat="false" ht="15.75" hidden="false" customHeight="true" outlineLevel="0" collapsed="false">
      <c r="B3" s="3" t="s">
        <v>1</v>
      </c>
      <c r="C3" s="2"/>
      <c r="D3" s="2"/>
    </row>
    <row r="5" customFormat="false" ht="15" hidden="false" customHeight="false" outlineLevel="0" collapsed="false">
      <c r="B5" s="4" t="s">
        <v>2</v>
      </c>
    </row>
    <row r="6" customFormat="false" ht="27.75" hidden="false" customHeight="true" outlineLevel="0" collapsed="false">
      <c r="B6" s="5" t="s">
        <v>3</v>
      </c>
      <c r="C6" s="5"/>
      <c r="D6" s="5"/>
    </row>
    <row r="7" customFormat="false" ht="27.75" hidden="false" customHeight="true" outlineLevel="0" collapsed="false">
      <c r="B7" s="5" t="s">
        <v>4</v>
      </c>
      <c r="C7" s="5"/>
      <c r="D7" s="5"/>
    </row>
    <row r="8" customFormat="false" ht="27.75" hidden="false" customHeight="true" outlineLevel="0" collapsed="false">
      <c r="B8" s="5" t="s">
        <v>5</v>
      </c>
      <c r="C8" s="5"/>
      <c r="D8" s="5"/>
    </row>
    <row r="9" customFormat="false" ht="27.75" hidden="false" customHeight="true" outlineLevel="0" collapsed="false">
      <c r="B9" s="5" t="s">
        <v>6</v>
      </c>
      <c r="C9" s="5"/>
      <c r="D9" s="5"/>
    </row>
    <row r="10" customFormat="false" ht="27.75" hidden="false" customHeight="true" outlineLevel="0" collapsed="false">
      <c r="B10" s="5" t="s">
        <v>7</v>
      </c>
      <c r="C10" s="5"/>
      <c r="D10" s="5"/>
    </row>
    <row r="12" customFormat="false" ht="15" hidden="false" customHeight="false" outlineLevel="0" collapsed="false">
      <c r="B12" s="4" t="s">
        <v>8</v>
      </c>
    </row>
    <row r="13" customFormat="false" ht="15" hidden="false" customHeight="false" outlineLevel="0" collapsed="false">
      <c r="B13" s="6" t="s">
        <v>9</v>
      </c>
      <c r="C13" s="6" t="s">
        <v>10</v>
      </c>
      <c r="D13" s="6" t="s">
        <v>11</v>
      </c>
    </row>
    <row r="14" customFormat="false" ht="25.5" hidden="false" customHeight="true" outlineLevel="0" collapsed="false">
      <c r="B14" s="7" t="s">
        <v>12</v>
      </c>
      <c r="C14" s="8" t="s">
        <v>13</v>
      </c>
      <c r="D14" s="9" t="s">
        <v>14</v>
      </c>
    </row>
    <row r="15" customFormat="false" ht="25.5" hidden="false" customHeight="true" outlineLevel="0" collapsed="false">
      <c r="B15" s="7" t="s">
        <v>15</v>
      </c>
      <c r="C15" s="8" t="s">
        <v>16</v>
      </c>
      <c r="D15" s="9" t="s">
        <v>17</v>
      </c>
    </row>
    <row r="16" customFormat="false" ht="25.5" hidden="false" customHeight="true" outlineLevel="0" collapsed="false">
      <c r="B16" s="7" t="s">
        <v>18</v>
      </c>
      <c r="C16" s="8" t="s">
        <v>19</v>
      </c>
      <c r="D16" s="9" t="s">
        <v>20</v>
      </c>
    </row>
    <row r="17" customFormat="false" ht="25.5" hidden="false" customHeight="true" outlineLevel="0" collapsed="false">
      <c r="B17" s="7" t="s">
        <v>21</v>
      </c>
      <c r="C17" s="8" t="s">
        <v>22</v>
      </c>
      <c r="D17" s="9" t="s">
        <v>14</v>
      </c>
    </row>
    <row r="18" customFormat="false" ht="25.5" hidden="false" customHeight="true" outlineLevel="0" collapsed="false">
      <c r="B18" s="7" t="s">
        <v>23</v>
      </c>
      <c r="C18" s="8" t="s">
        <v>24</v>
      </c>
      <c r="D18" s="9" t="s">
        <v>25</v>
      </c>
    </row>
    <row r="19" customFormat="false" ht="25.5" hidden="false" customHeight="true" outlineLevel="0" collapsed="false">
      <c r="B19" s="7" t="s">
        <v>26</v>
      </c>
      <c r="C19" s="8" t="s">
        <v>27</v>
      </c>
      <c r="D19" s="9" t="s">
        <v>28</v>
      </c>
    </row>
    <row r="20" customFormat="false" ht="25.5" hidden="false" customHeight="true" outlineLevel="0" collapsed="false">
      <c r="B20" s="7" t="s">
        <v>29</v>
      </c>
      <c r="C20" s="8" t="s">
        <v>30</v>
      </c>
      <c r="D20" s="9" t="s">
        <v>31</v>
      </c>
    </row>
    <row r="21" customFormat="false" ht="25.5" hidden="false" customHeight="true" outlineLevel="0" collapsed="false">
      <c r="B21" s="7" t="s">
        <v>32</v>
      </c>
      <c r="C21" s="8" t="s">
        <v>33</v>
      </c>
      <c r="D21" s="9" t="s">
        <v>34</v>
      </c>
    </row>
    <row r="22" customFormat="false" ht="25.5" hidden="false" customHeight="true" outlineLevel="0" collapsed="false">
      <c r="B22" s="7" t="s">
        <v>35</v>
      </c>
      <c r="C22" s="8" t="s">
        <v>36</v>
      </c>
      <c r="D22" s="9" t="s">
        <v>37</v>
      </c>
    </row>
    <row r="23" customFormat="false" ht="25.5" hidden="false" customHeight="true" outlineLevel="0" collapsed="false">
      <c r="B23" s="7" t="s">
        <v>38</v>
      </c>
      <c r="C23" s="8" t="s">
        <v>39</v>
      </c>
      <c r="D23" s="9" t="s">
        <v>40</v>
      </c>
    </row>
    <row r="24" customFormat="false" ht="25.5" hidden="false" customHeight="true" outlineLevel="0" collapsed="false">
      <c r="B24" s="7" t="s">
        <v>41</v>
      </c>
      <c r="C24" s="8" t="s">
        <v>42</v>
      </c>
      <c r="D24" s="9" t="s">
        <v>43</v>
      </c>
    </row>
    <row r="25" customFormat="false" ht="25.5" hidden="false" customHeight="true" outlineLevel="0" collapsed="false">
      <c r="B25" s="7" t="s">
        <v>44</v>
      </c>
      <c r="C25" s="8" t="s">
        <v>45</v>
      </c>
      <c r="D25" s="9" t="s">
        <v>46</v>
      </c>
    </row>
    <row r="26" customFormat="false" ht="25.5" hidden="false" customHeight="true" outlineLevel="0" collapsed="false">
      <c r="B26" s="7" t="s">
        <v>47</v>
      </c>
      <c r="C26" s="8" t="s">
        <v>48</v>
      </c>
      <c r="D26" s="9" t="s">
        <v>49</v>
      </c>
    </row>
    <row r="27" customFormat="false" ht="25.5" hidden="false" customHeight="true" outlineLevel="0" collapsed="false">
      <c r="B27" s="7" t="s">
        <v>50</v>
      </c>
      <c r="C27" s="8" t="s">
        <v>51</v>
      </c>
      <c r="D27" s="9" t="s">
        <v>52</v>
      </c>
    </row>
    <row r="28" customFormat="false" ht="25.5" hidden="false" customHeight="true" outlineLevel="0" collapsed="false">
      <c r="B28" s="7" t="s">
        <v>53</v>
      </c>
      <c r="C28" s="8" t="s">
        <v>54</v>
      </c>
      <c r="D28" s="9" t="s">
        <v>55</v>
      </c>
    </row>
    <row r="30" customFormat="false" ht="15" hidden="false" customHeight="false" outlineLevel="0" collapsed="false">
      <c r="B30" s="4" t="s">
        <v>56</v>
      </c>
    </row>
    <row r="31" customFormat="false" ht="27.75" hidden="false" customHeight="true" outlineLevel="0" collapsed="false">
      <c r="B31" s="5" t="s">
        <v>57</v>
      </c>
      <c r="C31" s="5"/>
      <c r="D31" s="5"/>
    </row>
    <row r="32" customFormat="false" ht="27.75" hidden="false" customHeight="true" outlineLevel="0" collapsed="false">
      <c r="B32" s="5" t="s">
        <v>58</v>
      </c>
      <c r="C32" s="5"/>
      <c r="D32" s="5"/>
    </row>
    <row r="33" customFormat="false" ht="27.75" hidden="false" customHeight="true" outlineLevel="0" collapsed="false">
      <c r="B33" s="5" t="s">
        <v>59</v>
      </c>
      <c r="C33" s="5"/>
      <c r="D33" s="5"/>
    </row>
    <row r="34" customFormat="false" ht="27.75" hidden="false" customHeight="true" outlineLevel="0" collapsed="false">
      <c r="B34" s="5" t="s">
        <v>60</v>
      </c>
      <c r="C34" s="5"/>
      <c r="D34" s="5"/>
    </row>
    <row r="35" customFormat="false" ht="27.75" hidden="false" customHeight="true" outlineLevel="0" collapsed="false">
      <c r="B35" s="5" t="s">
        <v>61</v>
      </c>
      <c r="C35" s="5"/>
      <c r="D35" s="5"/>
    </row>
    <row r="36" customFormat="false" ht="27.75" hidden="false" customHeight="true" outlineLevel="0" collapsed="false">
      <c r="B36" s="5" t="s">
        <v>62</v>
      </c>
      <c r="C36" s="5"/>
      <c r="D36" s="5"/>
    </row>
    <row r="37" customFormat="false" ht="27.75" hidden="false" customHeight="true" outlineLevel="0" collapsed="false">
      <c r="B37" s="5" t="s">
        <v>63</v>
      </c>
      <c r="C37" s="5"/>
      <c r="D37" s="5"/>
    </row>
    <row r="38" customFormat="false" ht="27.75" hidden="false" customHeight="true" outlineLevel="0" collapsed="false">
      <c r="B38" s="5" t="s">
        <v>64</v>
      </c>
      <c r="C38" s="5"/>
      <c r="D38" s="5"/>
    </row>
    <row r="40" customFormat="false" ht="15" hidden="false" customHeight="false" outlineLevel="0" collapsed="false">
      <c r="B40" s="4" t="s">
        <v>65</v>
      </c>
    </row>
    <row r="41" customFormat="false" ht="15" hidden="false" customHeight="false" outlineLevel="0" collapsed="false">
      <c r="B41" s="10" t="s">
        <v>66</v>
      </c>
      <c r="C41" s="10"/>
      <c r="D41" s="10"/>
    </row>
    <row r="42" customFormat="false" ht="15" hidden="false" customHeight="false" outlineLevel="0" collapsed="false">
      <c r="B42" s="11" t="s">
        <v>67</v>
      </c>
      <c r="C42" s="11"/>
      <c r="D42" s="11"/>
    </row>
    <row r="43" customFormat="false" ht="15" hidden="false" customHeight="false" outlineLevel="0" collapsed="false">
      <c r="B43" s="12" t="s">
        <v>68</v>
      </c>
      <c r="C43" s="12"/>
      <c r="D43" s="12"/>
    </row>
    <row r="44" customFormat="false" ht="15" hidden="false" customHeight="false" outlineLevel="0" collapsed="false">
      <c r="B44" s="12" t="s">
        <v>69</v>
      </c>
      <c r="C44" s="12"/>
      <c r="D44" s="12"/>
    </row>
    <row r="46" customFormat="false" ht="15" hidden="false" customHeight="false" outlineLevel="0" collapsed="false">
      <c r="B46" s="4" t="s">
        <v>70</v>
      </c>
    </row>
    <row r="47" customFormat="false" ht="39.75" hidden="false" customHeight="true" outlineLevel="0" collapsed="false">
      <c r="B47" s="13" t="s">
        <v>71</v>
      </c>
      <c r="C47" s="13"/>
      <c r="D47" s="13"/>
    </row>
    <row r="48" customFormat="false" ht="39.75" hidden="false" customHeight="true" outlineLevel="0" collapsed="false">
      <c r="B48" s="13" t="s">
        <v>72</v>
      </c>
      <c r="C48" s="13"/>
      <c r="D48" s="13"/>
    </row>
    <row r="49" customFormat="false" ht="39.75" hidden="false" customHeight="true" outlineLevel="0" collapsed="false">
      <c r="B49" s="13" t="s">
        <v>73</v>
      </c>
      <c r="C49" s="13"/>
      <c r="D49" s="13"/>
    </row>
    <row r="50" customFormat="false" ht="39.75" hidden="false" customHeight="true" outlineLevel="0" collapsed="false">
      <c r="B50" s="13" t="s">
        <v>74</v>
      </c>
      <c r="C50" s="13"/>
      <c r="D50" s="13"/>
    </row>
    <row r="51" customFormat="false" ht="39.75" hidden="false" customHeight="true" outlineLevel="0" collapsed="false">
      <c r="B51" s="13" t="s">
        <v>75</v>
      </c>
      <c r="C51" s="13"/>
      <c r="D51" s="13"/>
    </row>
    <row r="52" customFormat="false" ht="39.75" hidden="false" customHeight="true" outlineLevel="0" collapsed="false">
      <c r="B52" s="13" t="s">
        <v>76</v>
      </c>
      <c r="C52" s="13"/>
      <c r="D52" s="13"/>
    </row>
    <row r="53" customFormat="false" ht="39.75" hidden="false" customHeight="true" outlineLevel="0" collapsed="false">
      <c r="B53" s="13" t="s">
        <v>77</v>
      </c>
      <c r="C53" s="13"/>
      <c r="D53" s="13"/>
    </row>
    <row r="54" customFormat="false" ht="39.75" hidden="false" customHeight="true" outlineLevel="0" collapsed="false">
      <c r="B54" s="13" t="s">
        <v>78</v>
      </c>
      <c r="C54" s="13"/>
      <c r="D54" s="13"/>
    </row>
    <row r="56" customFormat="false" ht="15" hidden="false" customHeight="false" outlineLevel="0" collapsed="false">
      <c r="B56" s="4" t="s">
        <v>79</v>
      </c>
    </row>
    <row r="57" customFormat="false" ht="31.5" hidden="false" customHeight="true" outlineLevel="0" collapsed="false">
      <c r="B57" s="13" t="s">
        <v>80</v>
      </c>
      <c r="C57" s="13"/>
      <c r="D57" s="13"/>
    </row>
    <row r="58" customFormat="false" ht="31.5" hidden="false" customHeight="true" outlineLevel="0" collapsed="false">
      <c r="B58" s="13" t="s">
        <v>81</v>
      </c>
      <c r="C58" s="13"/>
      <c r="D58" s="13"/>
    </row>
    <row r="59" customFormat="false" ht="31.5" hidden="false" customHeight="true" outlineLevel="0" collapsed="false">
      <c r="B59" s="13" t="s">
        <v>82</v>
      </c>
      <c r="C59" s="13"/>
      <c r="D59" s="13"/>
    </row>
    <row r="60" customFormat="false" ht="31.5" hidden="false" customHeight="true" outlineLevel="0" collapsed="false">
      <c r="B60" s="13" t="s">
        <v>83</v>
      </c>
      <c r="C60" s="13"/>
      <c r="D60" s="13"/>
    </row>
  </sheetData>
  <mergeCells count="29">
    <mergeCell ref="B6:D6"/>
    <mergeCell ref="B7:D7"/>
    <mergeCell ref="B8:D8"/>
    <mergeCell ref="B9:D9"/>
    <mergeCell ref="B10:D10"/>
    <mergeCell ref="B31:D31"/>
    <mergeCell ref="B32:D32"/>
    <mergeCell ref="B33:D33"/>
    <mergeCell ref="B34:D34"/>
    <mergeCell ref="B35:D35"/>
    <mergeCell ref="B36:D36"/>
    <mergeCell ref="B37:D37"/>
    <mergeCell ref="B38:D38"/>
    <mergeCell ref="B41:D41"/>
    <mergeCell ref="B42:D42"/>
    <mergeCell ref="B43:D43"/>
    <mergeCell ref="B44:D44"/>
    <mergeCell ref="B47:D47"/>
    <mergeCell ref="B48:D48"/>
    <mergeCell ref="B49:D49"/>
    <mergeCell ref="B50:D50"/>
    <mergeCell ref="B51:D51"/>
    <mergeCell ref="B52:D52"/>
    <mergeCell ref="B53:D53"/>
    <mergeCell ref="B54:D54"/>
    <mergeCell ref="B57:D57"/>
    <mergeCell ref="B58:D58"/>
    <mergeCell ref="B59:D59"/>
    <mergeCell ref="B60:D60"/>
  </mergeCells>
  <hyperlinks>
    <hyperlink ref="B14" r:id="rId1" location="Dashboard!A1" display="Dashboard"/>
    <hyperlink ref="B15" r:id="rId2" location="Trabajadores!A1" display="Trabajadores"/>
    <hyperlink ref="B16" r:id="rId3" location="Contratos!A1" display="Contratos"/>
    <hyperlink ref="B17" r:id="rId4" location="Control_Contratos!A1" display="Control_Contratos"/>
    <hyperlink ref="B18" r:id="rId5" location="Novedades!A1" display="Novedades"/>
    <hyperlink ref="B19" r:id="rId6" location="Envio_Contador!A1" display="Envio_Contador"/>
    <hyperlink ref="B20" r:id="rId7" location="Liquidaciones!A1" display="Liquidaciones"/>
    <hyperlink ref="B21" r:id="rId8" location="Calculo_Liquidacion!A1" display="Calculo_Liquidacion"/>
    <hyperlink ref="B22" r:id="rId9" location="Imposiciones!A1" display="Imposiciones"/>
    <hyperlink ref="B23" r:id="rId10" location="Vacaciones!A1" display="Vacaciones"/>
    <hyperlink ref="B24" r:id="rId11" location="Provision_Vacaciones!A1" display="Provision_Vacaciones"/>
    <hyperlink ref="B25" r:id="rId12" location="Finiquitos_Proyeccion!A1" display="Finiquitos_Proyeccion"/>
    <hyperlink ref="B26" r:id="rId13" location="Simulador_Finiquito!A1" display="Simulador_Finiquito"/>
    <hyperlink ref="B27" r:id="rId14" location="Parametros!A1" display="Parametros"/>
    <hyperlink ref="B28" r:id="rId15" location="Listas!A1" display="Lista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B2:O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4"/>
    <col collapsed="false" customWidth="true" hidden="false" outlineLevel="0" max="4" min="4" style="0" width="21"/>
    <col collapsed="false" customWidth="true" hidden="false" outlineLevel="0" max="5" min="5" style="0" width="12"/>
    <col collapsed="false" customWidth="true" hidden="false" outlineLevel="0" max="6" min="6" style="0" width="10"/>
    <col collapsed="false" customWidth="true" hidden="false" outlineLevel="0" max="7" min="7" style="0" width="12"/>
    <col collapsed="false" customWidth="true" hidden="false" outlineLevel="0" max="8" min="8" style="0" width="9"/>
    <col collapsed="false" customWidth="true" hidden="false" outlineLevel="0" max="9" min="9" style="0" width="13"/>
    <col collapsed="false" customWidth="true" hidden="false" outlineLevel="0" max="11" min="10" style="0" width="14"/>
    <col collapsed="false" customWidth="true" hidden="false" outlineLevel="0" max="13" min="12" style="0" width="15"/>
    <col collapsed="false" customWidth="true" hidden="false" outlineLevel="0" max="14" min="14" style="0" width="4"/>
    <col collapsed="false" customWidth="true" hidden="true" outlineLevel="0" max="15" min="15" style="0" width="13"/>
  </cols>
  <sheetData>
    <row r="2" customFormat="false" ht="24" hidden="false" customHeight="true" outlineLevel="0" collapsed="false">
      <c r="B2" s="1" t="s">
        <v>84</v>
      </c>
      <c r="C2" s="2"/>
      <c r="D2" s="2"/>
      <c r="E2" s="2"/>
      <c r="F2" s="2"/>
      <c r="G2" s="2"/>
      <c r="H2" s="2"/>
      <c r="I2" s="2"/>
      <c r="J2" s="2"/>
      <c r="K2" s="2"/>
      <c r="L2" s="2"/>
      <c r="M2" s="2"/>
    </row>
    <row r="3" customFormat="false" ht="15.75" hidden="false" customHeight="true" outlineLevel="0" collapsed="false">
      <c r="B3" s="3" t="s">
        <v>85</v>
      </c>
      <c r="C3" s="2"/>
      <c r="D3" s="2"/>
      <c r="E3" s="2"/>
      <c r="F3" s="2"/>
      <c r="G3" s="2"/>
      <c r="H3" s="2"/>
      <c r="I3" s="2"/>
      <c r="J3" s="2"/>
      <c r="K3" s="2"/>
      <c r="L3" s="2"/>
      <c r="M3" s="2"/>
    </row>
    <row r="4" customFormat="false" ht="15" hidden="false" customHeight="false" outlineLevel="0" collapsed="false">
      <c r="L4" s="14" t="s">
        <v>86</v>
      </c>
      <c r="M4" s="15" t="n">
        <f aca="false">FECHA_CORTE</f>
        <v>46322</v>
      </c>
    </row>
    <row r="5" customFormat="false" ht="15" hidden="false" customHeight="false" outlineLevel="0" collapsed="false">
      <c r="C5" s="16" t="s">
        <v>87</v>
      </c>
      <c r="D5" s="16"/>
      <c r="E5" s="17" t="s">
        <v>88</v>
      </c>
      <c r="F5" s="17"/>
      <c r="G5" s="17"/>
      <c r="H5" s="18" t="s">
        <v>89</v>
      </c>
      <c r="I5" s="18"/>
      <c r="J5" s="18"/>
      <c r="K5" s="19" t="s">
        <v>90</v>
      </c>
      <c r="L5" s="19"/>
      <c r="M5" s="19"/>
      <c r="N5" s="20" t="n">
        <f aca="false">IF(MAX(L_PER)=0,"",MAX(L_PER))</f>
        <v>46266</v>
      </c>
    </row>
    <row r="6" customFormat="false" ht="30" hidden="false" customHeight="true" outlineLevel="0" collapsed="false">
      <c r="C6" s="21" t="n">
        <f aca="false">COUNTIF(T_ESTADO,"Activo*")</f>
        <v>5</v>
      </c>
      <c r="D6" s="21"/>
      <c r="E6" s="22" t="n">
        <f aca="false">COUNTIFS(T_ESTADO,"Activo*",T_TIPO,"Indefinido")</f>
        <v>2</v>
      </c>
      <c r="F6" s="22"/>
      <c r="G6" s="22"/>
      <c r="H6" s="23" t="n">
        <f aca="false">COUNTIFS(T_ESTADO,"Activo*",T_TIPO,"Plazo fijo")</f>
        <v>2</v>
      </c>
      <c r="I6" s="23"/>
      <c r="J6" s="23"/>
      <c r="K6" s="24" t="n">
        <f aca="false">COUNTIFS(T_ESTADO,"Activo*",T_TIPO,"Obra o faena")</f>
        <v>1</v>
      </c>
      <c r="L6" s="24"/>
      <c r="M6" s="24"/>
    </row>
    <row r="7" customFormat="false" ht="15" hidden="false" customHeight="false" outlineLevel="0" collapsed="false">
      <c r="C7" s="25" t="n">
        <f aca="false">FECHA_CORTE</f>
        <v>46322</v>
      </c>
      <c r="D7" s="25"/>
      <c r="E7" s="26" t="s">
        <v>91</v>
      </c>
      <c r="F7" s="26"/>
      <c r="G7" s="26"/>
      <c r="H7" s="27" t="n">
        <f aca="false">COUNTIFS(CC_TIPO,"Plazo fijo",CC_NPF,2,CC_ESTADOT,"Activo*")</f>
        <v>1</v>
      </c>
      <c r="I7" s="27"/>
      <c r="J7" s="27"/>
      <c r="K7" s="28" t="s">
        <v>91</v>
      </c>
      <c r="L7" s="28"/>
      <c r="M7" s="28"/>
    </row>
    <row r="9" customFormat="false" ht="15" hidden="false" customHeight="false" outlineLevel="0" collapsed="false">
      <c r="C9" s="16" t="s">
        <v>92</v>
      </c>
      <c r="D9" s="16"/>
      <c r="E9" s="17" t="s">
        <v>93</v>
      </c>
      <c r="F9" s="17"/>
      <c r="G9" s="17"/>
      <c r="H9" s="18" t="s">
        <v>94</v>
      </c>
      <c r="I9" s="18"/>
      <c r="J9" s="18"/>
      <c r="K9" s="19" t="s">
        <v>95</v>
      </c>
      <c r="L9" s="19"/>
      <c r="M9" s="19"/>
    </row>
    <row r="10" customFormat="false" ht="30" hidden="false" customHeight="true" outlineLevel="0" collapsed="false">
      <c r="C10" s="21" t="n">
        <f aca="false">COUNTIFS(CC_DIAS,"&gt;=0",CC_DIAS,"&lt;="&amp;ALERTA_NARANJA,CC_ESTADOC,"&lt;&gt;Renovación registrada",CC_ESTADOT,"Activo*")</f>
        <v>1</v>
      </c>
      <c r="D10" s="21"/>
      <c r="E10" s="22" t="n">
        <f aca="false">COUNTIF(CC_ESTADOC,"VENCIDO")</f>
        <v>0</v>
      </c>
      <c r="F10" s="22"/>
      <c r="G10" s="22"/>
      <c r="H10" s="23" t="n">
        <f aca="false">COUNTIFS(C_ID,"&lt;&gt;",C_FIRMADO,"&lt;&gt;Sí")</f>
        <v>1</v>
      </c>
      <c r="I10" s="23"/>
      <c r="J10" s="23"/>
      <c r="K10" s="24" t="n">
        <f aca="false">COUNTIF(I_ESTADO,"Pendiente*")+COUNTIF(I_ESTADO,"VENCIDO")</f>
        <v>1</v>
      </c>
      <c r="L10" s="24"/>
      <c r="M10" s="24"/>
    </row>
    <row r="11" customFormat="false" ht="15" hidden="false" customHeight="false" outlineLevel="0" collapsed="false">
      <c r="C11" s="29" t="s">
        <v>96</v>
      </c>
      <c r="D11" s="29"/>
      <c r="E11" s="26" t="s">
        <v>97</v>
      </c>
      <c r="F11" s="26"/>
      <c r="G11" s="26"/>
      <c r="H11" s="30" t="s">
        <v>98</v>
      </c>
      <c r="I11" s="30"/>
      <c r="J11" s="30"/>
      <c r="K11" s="31" t="n">
        <f aca="false">COUNTIF(I_ESTADO,"VENCIDO")</f>
        <v>0</v>
      </c>
      <c r="L11" s="31"/>
      <c r="M11" s="31"/>
    </row>
    <row r="13" customFormat="false" ht="15" hidden="false" customHeight="false" outlineLevel="0" collapsed="false">
      <c r="C13" s="16" t="s">
        <v>99</v>
      </c>
      <c r="D13" s="16"/>
      <c r="E13" s="17" t="s">
        <v>100</v>
      </c>
      <c r="F13" s="17"/>
      <c r="G13" s="17"/>
      <c r="H13" s="18" t="s">
        <v>101</v>
      </c>
      <c r="I13" s="18"/>
      <c r="J13" s="18"/>
      <c r="K13" s="19" t="s">
        <v>102</v>
      </c>
      <c r="L13" s="19"/>
      <c r="M13" s="19"/>
    </row>
    <row r="14" customFormat="false" ht="30" hidden="false" customHeight="true" outlineLevel="0" collapsed="false">
      <c r="C14" s="32" t="n">
        <f aca="false">SUMIFS(L_COSTO,L_PER,DB_ULTMES)</f>
        <v>5939349</v>
      </c>
      <c r="D14" s="32"/>
      <c r="E14" s="33" t="n">
        <f aca="false">SUMIFS(L_LIQ,L_PER,DB_ULTMES)</f>
        <v>4088042</v>
      </c>
      <c r="F14" s="33"/>
      <c r="G14" s="33"/>
      <c r="H14" s="34" t="n">
        <f aca="false">SUM(PV_PROV)</f>
        <v>2523597</v>
      </c>
      <c r="I14" s="34"/>
      <c r="J14" s="34"/>
      <c r="K14" s="35" t="n">
        <f aca="false">SUM(FQ_TOTAL161)</f>
        <v>17781211</v>
      </c>
      <c r="L14" s="35"/>
      <c r="M14" s="35"/>
    </row>
    <row r="15" customFormat="false" ht="15" hidden="false" customHeight="false" outlineLevel="0" collapsed="false">
      <c r="C15" s="36" t="n">
        <f aca="false">DB_ULTMES</f>
        <v>46266</v>
      </c>
      <c r="D15" s="36"/>
      <c r="E15" s="37" t="n">
        <f aca="false">DB_ULTMES</f>
        <v>46266</v>
      </c>
      <c r="F15" s="37"/>
      <c r="G15" s="37"/>
      <c r="H15" s="30" t="s">
        <v>103</v>
      </c>
      <c r="I15" s="30"/>
      <c r="J15" s="30"/>
      <c r="K15" s="38" t="n">
        <f aca="false">FQ_FECHA</f>
        <v>46322</v>
      </c>
      <c r="L15" s="38"/>
      <c r="M15" s="38"/>
    </row>
    <row r="17" customFormat="false" ht="15" hidden="false" customHeight="false" outlineLevel="0" collapsed="false">
      <c r="C17" s="16" t="s">
        <v>104</v>
      </c>
      <c r="D17" s="16"/>
      <c r="E17" s="17" t="s">
        <v>105</v>
      </c>
      <c r="F17" s="17"/>
      <c r="G17" s="17"/>
      <c r="H17" s="18" t="s">
        <v>106</v>
      </c>
      <c r="I17" s="18"/>
      <c r="J17" s="18"/>
      <c r="K17" s="19" t="s">
        <v>107</v>
      </c>
      <c r="L17" s="19"/>
      <c r="M17" s="19"/>
    </row>
    <row r="18" customFormat="false" ht="30" hidden="false" customHeight="true" outlineLevel="0" collapsed="false">
      <c r="C18" s="32" t="n">
        <f aca="false">SUMIFS(FQ_FINVENC,FQ_VENC,"&gt;="&amp;FECHA_CORTE,FQ_VENC,"&lt;="&amp;FECHA_CORTE+90)</f>
        <v>935583</v>
      </c>
      <c r="D18" s="32"/>
      <c r="E18" s="33" t="n">
        <f aca="false">SUMIFS(L_COSTO,L_PER,"&gt;="&amp;DATE(YEAR(FECHA_CORTE),1,1),L_PER,"&lt;="&amp;FECHA_CORTE)</f>
        <v>5939349</v>
      </c>
      <c r="F18" s="33"/>
      <c r="G18" s="33"/>
      <c r="H18" s="34" t="n">
        <f aca="false">SUMIFS(N_ANT,N_PER,DATE(YEAR(FECHA_CORTE),MONTH(FECHA_CORTE),1))</f>
        <v>450000</v>
      </c>
      <c r="I18" s="34"/>
      <c r="J18" s="34"/>
      <c r="K18" s="39" t="str">
        <f aca="false">COUNTIFS(T_INGRESO,"&gt;="&amp;DATE(YEAR(FECHA_CORTE),1,1),T_INGRESO,"&lt;="&amp;FECHA_CORTE)&amp;" / "&amp;COUNTIFS(T_EGRESO,"&gt;="&amp;DATE(YEAR(FECHA_CORTE),1,1),T_EGRESO,"&lt;="&amp;FECHA_CORTE)</f>
        <v>3 / 1</v>
      </c>
      <c r="L18" s="39"/>
      <c r="M18" s="39"/>
    </row>
    <row r="19" customFormat="false" ht="15" hidden="false" customHeight="false" outlineLevel="0" collapsed="false">
      <c r="C19" s="40" t="n">
        <f aca="false">COUNTIFS(FQ_VENC,"&gt;="&amp;FECHA_CORTE,FQ_VENC,"&lt;="&amp;FECHA_CORTE+90,FQ_FINVENC,"&gt;0")</f>
        <v>3</v>
      </c>
      <c r="D19" s="40"/>
      <c r="E19" s="41" t="n">
        <f aca="false">FECHA_CORTE</f>
        <v>46322</v>
      </c>
      <c r="F19" s="41"/>
      <c r="G19" s="41"/>
      <c r="H19" s="30" t="s">
        <v>108</v>
      </c>
      <c r="I19" s="30"/>
      <c r="J19" s="30"/>
      <c r="K19" s="28" t="s">
        <v>109</v>
      </c>
      <c r="L19" s="28"/>
      <c r="M19" s="28"/>
    </row>
    <row r="21" customFormat="false" ht="15" hidden="false" customHeight="false" outlineLevel="0" collapsed="false">
      <c r="B21" s="4" t="s">
        <v>110</v>
      </c>
    </row>
    <row r="22" customFormat="false" ht="22.35" hidden="false" customHeight="true" outlineLevel="0" collapsed="false">
      <c r="B22" s="42" t="s">
        <v>111</v>
      </c>
      <c r="C22" s="42" t="s">
        <v>112</v>
      </c>
      <c r="D22" s="42" t="s">
        <v>113</v>
      </c>
      <c r="E22" s="42" t="s">
        <v>114</v>
      </c>
      <c r="F22" s="42" t="s">
        <v>115</v>
      </c>
      <c r="G22" s="42" t="s">
        <v>116</v>
      </c>
      <c r="H22" s="42" t="s">
        <v>117</v>
      </c>
      <c r="I22" s="42" t="s">
        <v>118</v>
      </c>
      <c r="J22" s="42" t="s">
        <v>119</v>
      </c>
      <c r="K22" s="42"/>
      <c r="L22" s="42"/>
      <c r="M22" s="42"/>
    </row>
    <row r="23" customFormat="false" ht="25.5" hidden="false" customHeight="true" outlineLevel="0" collapsed="false">
      <c r="B23" s="43" t="n">
        <f aca="false">IF($O23="","",1)</f>
        <v>1</v>
      </c>
      <c r="C23" s="43" t="str">
        <f aca="false">IF($O23="","",INDEX(CC_NOMBRE,$O23))</f>
        <v>Juan Pérez (EJEMPLO)</v>
      </c>
      <c r="D23" s="43" t="str">
        <f aca="false">IF($O23="","",INDEX(CC_CARGO,$O23))</f>
        <v>Operador de sublimación</v>
      </c>
      <c r="E23" s="43" t="str">
        <f aca="false">IF($O23="","",INDEX(CC_TIPO,$O23))</f>
        <v>Plazo fijo</v>
      </c>
      <c r="F23" s="44" t="n">
        <f aca="false">IF($O23="","",INDEX(CC_NPF,$O23))</f>
        <v>1</v>
      </c>
      <c r="G23" s="45" t="n">
        <f aca="false">IF($O23="","",INDEX(CC_VENCE,$O23))</f>
        <v>46328</v>
      </c>
      <c r="H23" s="46" t="n">
        <f aca="false">IF($O23="","",INDEX(CC_DIAS,$O23))</f>
        <v>6</v>
      </c>
      <c r="I23" s="45" t="n">
        <f aca="false">IF($O23="","",INDEX(CC_DECIDIR,$O23))</f>
        <v>46313</v>
      </c>
      <c r="J23" s="47" t="str">
        <f aca="false">IF($O23="","",INDEX(CC_ACCION,$O23))</f>
        <v>1er contrato a plazo: renovar (2° plazo fijo), pasar a indefinido o terminar al vencimiento (carta dentro de 3 días hábiles)</v>
      </c>
      <c r="K23" s="47"/>
      <c r="L23" s="47"/>
      <c r="M23" s="47"/>
      <c r="O23" s="48" t="n">
        <f aca="false">IFERROR(MATCH(SMALL(CC_SORT,1),CC_SORT,0),"")</f>
        <v>2</v>
      </c>
    </row>
    <row r="24" customFormat="false" ht="25.5" hidden="false" customHeight="true" outlineLevel="0" collapsed="false">
      <c r="B24" s="43" t="n">
        <f aca="false">IF($O24="","",2)</f>
        <v>2</v>
      </c>
      <c r="C24" s="43" t="str">
        <f aca="false">IF($O24="","",INDEX(CC_NOMBRE,$O24))</f>
        <v>Camila Rojas (EJEMPLO)</v>
      </c>
      <c r="D24" s="43" t="str">
        <f aca="false">IF($O24="","",INDEX(CC_CARGO,$O24))</f>
        <v>Diseñadora gráfica</v>
      </c>
      <c r="E24" s="43" t="str">
        <f aca="false">IF($O24="","",INDEX(CC_TIPO,$O24))</f>
        <v>Plazo fijo</v>
      </c>
      <c r="F24" s="44" t="n">
        <f aca="false">IF($O24="","",INDEX(CC_NPF,$O24))</f>
        <v>2</v>
      </c>
      <c r="G24" s="45" t="n">
        <f aca="false">IF($O24="","",INDEX(CC_VENCE,$O24))</f>
        <v>46371</v>
      </c>
      <c r="H24" s="46" t="n">
        <f aca="false">IF($O24="","",INDEX(CC_DIAS,$O24))</f>
        <v>49</v>
      </c>
      <c r="I24" s="45" t="n">
        <f aca="false">IF($O24="","",INDEX(CC_DECIDIR,$O24))</f>
        <v>46356</v>
      </c>
      <c r="J24" s="47" t="str">
        <f aca="false">IF($O24="","",INDEX(CC_ACCION,$O24))</f>
        <v>2° contrato a plazo: NO admite otra renovación a plazo fijo. Pasar a indefinido o terminar al vencimiento (carta dentro de 3 días hábiles)</v>
      </c>
      <c r="K24" s="47"/>
      <c r="L24" s="47"/>
      <c r="M24" s="47"/>
      <c r="O24" s="48" t="n">
        <f aca="false">IFERROR(MATCH(SMALL(CC_SORT,2),CC_SORT,0),"")</f>
        <v>3</v>
      </c>
    </row>
    <row r="25" customFormat="false" ht="25.5" hidden="false" customHeight="true" outlineLevel="0" collapsed="false">
      <c r="B25" s="43" t="n">
        <f aca="false">IF($O25="","",3)</f>
        <v>3</v>
      </c>
      <c r="C25" s="43" t="str">
        <f aca="false">IF($O25="","",INDEX(CC_NOMBRE,$O25))</f>
        <v>Ana Díaz (EJEMPLO)</v>
      </c>
      <c r="D25" s="43" t="str">
        <f aca="false">IF($O25="","",INDEX(CC_CARGO,$O25))</f>
        <v>Costurera</v>
      </c>
      <c r="E25" s="43" t="str">
        <f aca="false">IF($O25="","",INDEX(CC_TIPO,$O25))</f>
        <v>Obra o faena</v>
      </c>
      <c r="F25" s="44" t="str">
        <f aca="false">IF($O25="","",INDEX(CC_NPF,$O25))</f>
        <v/>
      </c>
      <c r="G25" s="45" t="n">
        <f aca="false">IF($O25="","",INDEX(CC_VENCE,$O25))</f>
        <v>46387</v>
      </c>
      <c r="H25" s="46" t="n">
        <f aca="false">IF($O25="","",INDEX(CC_DIAS,$O25))</f>
        <v>65</v>
      </c>
      <c r="I25" s="45" t="n">
        <f aca="false">IF($O25="","",INDEX(CC_DECIDIR,$O25))</f>
        <v>46372</v>
      </c>
      <c r="J25" s="47" t="str">
        <f aca="false">IF($O25="","",INDEX(CC_ACCION,$O25))</f>
        <v>Al concluir la obra: finiquito por Art. 159 N°5 + indemnización de 2,5 días por mes trabajado (Ley 21.122)</v>
      </c>
      <c r="K25" s="47"/>
      <c r="L25" s="47"/>
      <c r="M25" s="47"/>
      <c r="O25" s="48" t="n">
        <f aca="false">IFERROR(MATCH(SMALL(CC_SORT,3),CC_SORT,0),"")</f>
        <v>5</v>
      </c>
    </row>
    <row r="26" customFormat="false" ht="25.5" hidden="false" customHeight="true" outlineLevel="0" collapsed="false">
      <c r="B26" s="43" t="str">
        <f aca="false">IF($O26="","",4)</f>
        <v/>
      </c>
      <c r="C26" s="43" t="str">
        <f aca="false">IF($O26="","",INDEX(CC_NOMBRE,$O26))</f>
        <v/>
      </c>
      <c r="D26" s="43" t="str">
        <f aca="false">IF($O26="","",INDEX(CC_CARGO,$O26))</f>
        <v/>
      </c>
      <c r="E26" s="43" t="str">
        <f aca="false">IF($O26="","",INDEX(CC_TIPO,$O26))</f>
        <v/>
      </c>
      <c r="F26" s="44" t="str">
        <f aca="false">IF($O26="","",INDEX(CC_NPF,$O26))</f>
        <v/>
      </c>
      <c r="G26" s="45" t="str">
        <f aca="false">IF($O26="","",INDEX(CC_VENCE,$O26))</f>
        <v/>
      </c>
      <c r="H26" s="46" t="str">
        <f aca="false">IF($O26="","",INDEX(CC_DIAS,$O26))</f>
        <v/>
      </c>
      <c r="I26" s="45" t="str">
        <f aca="false">IF($O26="","",INDEX(CC_DECIDIR,$O26))</f>
        <v/>
      </c>
      <c r="J26" s="47" t="str">
        <f aca="false">IF($O26="","",INDEX(CC_ACCION,$O26))</f>
        <v/>
      </c>
      <c r="K26" s="47"/>
      <c r="L26" s="47"/>
      <c r="M26" s="47"/>
      <c r="O26" s="48" t="str">
        <f aca="false">IFERROR(MATCH(SMALL(CC_SORT,4),CC_SORT,0),"")</f>
        <v/>
      </c>
    </row>
    <row r="27" customFormat="false" ht="25.5" hidden="false" customHeight="true" outlineLevel="0" collapsed="false">
      <c r="B27" s="43" t="str">
        <f aca="false">IF($O27="","",5)</f>
        <v/>
      </c>
      <c r="C27" s="43" t="str">
        <f aca="false">IF($O27="","",INDEX(CC_NOMBRE,$O27))</f>
        <v/>
      </c>
      <c r="D27" s="43" t="str">
        <f aca="false">IF($O27="","",INDEX(CC_CARGO,$O27))</f>
        <v/>
      </c>
      <c r="E27" s="43" t="str">
        <f aca="false">IF($O27="","",INDEX(CC_TIPO,$O27))</f>
        <v/>
      </c>
      <c r="F27" s="44" t="str">
        <f aca="false">IF($O27="","",INDEX(CC_NPF,$O27))</f>
        <v/>
      </c>
      <c r="G27" s="45" t="str">
        <f aca="false">IF($O27="","",INDEX(CC_VENCE,$O27))</f>
        <v/>
      </c>
      <c r="H27" s="46" t="str">
        <f aca="false">IF($O27="","",INDEX(CC_DIAS,$O27))</f>
        <v/>
      </c>
      <c r="I27" s="45" t="str">
        <f aca="false">IF($O27="","",INDEX(CC_DECIDIR,$O27))</f>
        <v/>
      </c>
      <c r="J27" s="47" t="str">
        <f aca="false">IF($O27="","",INDEX(CC_ACCION,$O27))</f>
        <v/>
      </c>
      <c r="K27" s="47"/>
      <c r="L27" s="47"/>
      <c r="M27" s="47"/>
      <c r="O27" s="48" t="str">
        <f aca="false">IFERROR(MATCH(SMALL(CC_SORT,5),CC_SORT,0),"")</f>
        <v/>
      </c>
    </row>
    <row r="28" customFormat="false" ht="25.5" hidden="false" customHeight="true" outlineLevel="0" collapsed="false">
      <c r="B28" s="43" t="str">
        <f aca="false">IF($O28="","",6)</f>
        <v/>
      </c>
      <c r="C28" s="43" t="str">
        <f aca="false">IF($O28="","",INDEX(CC_NOMBRE,$O28))</f>
        <v/>
      </c>
      <c r="D28" s="43" t="str">
        <f aca="false">IF($O28="","",INDEX(CC_CARGO,$O28))</f>
        <v/>
      </c>
      <c r="E28" s="43" t="str">
        <f aca="false">IF($O28="","",INDEX(CC_TIPO,$O28))</f>
        <v/>
      </c>
      <c r="F28" s="44" t="str">
        <f aca="false">IF($O28="","",INDEX(CC_NPF,$O28))</f>
        <v/>
      </c>
      <c r="G28" s="45" t="str">
        <f aca="false">IF($O28="","",INDEX(CC_VENCE,$O28))</f>
        <v/>
      </c>
      <c r="H28" s="46" t="str">
        <f aca="false">IF($O28="","",INDEX(CC_DIAS,$O28))</f>
        <v/>
      </c>
      <c r="I28" s="45" t="str">
        <f aca="false">IF($O28="","",INDEX(CC_DECIDIR,$O28))</f>
        <v/>
      </c>
      <c r="J28" s="47" t="str">
        <f aca="false">IF($O28="","",INDEX(CC_ACCION,$O28))</f>
        <v/>
      </c>
      <c r="K28" s="47"/>
      <c r="L28" s="47"/>
      <c r="M28" s="47"/>
      <c r="O28" s="48" t="str">
        <f aca="false">IFERROR(MATCH(SMALL(CC_SORT,6),CC_SORT,0),"")</f>
        <v/>
      </c>
    </row>
    <row r="29" customFormat="false" ht="25.5" hidden="false" customHeight="true" outlineLevel="0" collapsed="false">
      <c r="B29" s="43" t="str">
        <f aca="false">IF($O29="","",7)</f>
        <v/>
      </c>
      <c r="C29" s="43" t="str">
        <f aca="false">IF($O29="","",INDEX(CC_NOMBRE,$O29))</f>
        <v/>
      </c>
      <c r="D29" s="43" t="str">
        <f aca="false">IF($O29="","",INDEX(CC_CARGO,$O29))</f>
        <v/>
      </c>
      <c r="E29" s="43" t="str">
        <f aca="false">IF($O29="","",INDEX(CC_TIPO,$O29))</f>
        <v/>
      </c>
      <c r="F29" s="44" t="str">
        <f aca="false">IF($O29="","",INDEX(CC_NPF,$O29))</f>
        <v/>
      </c>
      <c r="G29" s="45" t="str">
        <f aca="false">IF($O29="","",INDEX(CC_VENCE,$O29))</f>
        <v/>
      </c>
      <c r="H29" s="46" t="str">
        <f aca="false">IF($O29="","",INDEX(CC_DIAS,$O29))</f>
        <v/>
      </c>
      <c r="I29" s="45" t="str">
        <f aca="false">IF($O29="","",INDEX(CC_DECIDIR,$O29))</f>
        <v/>
      </c>
      <c r="J29" s="47" t="str">
        <f aca="false">IF($O29="","",INDEX(CC_ACCION,$O29))</f>
        <v/>
      </c>
      <c r="K29" s="47"/>
      <c r="L29" s="47"/>
      <c r="M29" s="47"/>
      <c r="O29" s="48" t="str">
        <f aca="false">IFERROR(MATCH(SMALL(CC_SORT,7),CC_SORT,0),"")</f>
        <v/>
      </c>
    </row>
    <row r="30" customFormat="false" ht="25.5" hidden="false" customHeight="true" outlineLevel="0" collapsed="false">
      <c r="B30" s="43" t="str">
        <f aca="false">IF($O30="","",8)</f>
        <v/>
      </c>
      <c r="C30" s="43" t="str">
        <f aca="false">IF($O30="","",INDEX(CC_NOMBRE,$O30))</f>
        <v/>
      </c>
      <c r="D30" s="43" t="str">
        <f aca="false">IF($O30="","",INDEX(CC_CARGO,$O30))</f>
        <v/>
      </c>
      <c r="E30" s="43" t="str">
        <f aca="false">IF($O30="","",INDEX(CC_TIPO,$O30))</f>
        <v/>
      </c>
      <c r="F30" s="44" t="str">
        <f aca="false">IF($O30="","",INDEX(CC_NPF,$O30))</f>
        <v/>
      </c>
      <c r="G30" s="45" t="str">
        <f aca="false">IF($O30="","",INDEX(CC_VENCE,$O30))</f>
        <v/>
      </c>
      <c r="H30" s="46" t="str">
        <f aca="false">IF($O30="","",INDEX(CC_DIAS,$O30))</f>
        <v/>
      </c>
      <c r="I30" s="45" t="str">
        <f aca="false">IF($O30="","",INDEX(CC_DECIDIR,$O30))</f>
        <v/>
      </c>
      <c r="J30" s="47" t="str">
        <f aca="false">IF($O30="","",INDEX(CC_ACCION,$O30))</f>
        <v/>
      </c>
      <c r="K30" s="47"/>
      <c r="L30" s="47"/>
      <c r="M30" s="47"/>
      <c r="O30" s="48" t="str">
        <f aca="false">IFERROR(MATCH(SMALL(CC_SORT,8),CC_SORT,0),"")</f>
        <v/>
      </c>
    </row>
    <row r="31" customFormat="false" ht="25.5" hidden="false" customHeight="true" outlineLevel="0" collapsed="false">
      <c r="B31" s="43" t="str">
        <f aca="false">IF($O31="","",9)</f>
        <v/>
      </c>
      <c r="C31" s="43" t="str">
        <f aca="false">IF($O31="","",INDEX(CC_NOMBRE,$O31))</f>
        <v/>
      </c>
      <c r="D31" s="43" t="str">
        <f aca="false">IF($O31="","",INDEX(CC_CARGO,$O31))</f>
        <v/>
      </c>
      <c r="E31" s="43" t="str">
        <f aca="false">IF($O31="","",INDEX(CC_TIPO,$O31))</f>
        <v/>
      </c>
      <c r="F31" s="44" t="str">
        <f aca="false">IF($O31="","",INDEX(CC_NPF,$O31))</f>
        <v/>
      </c>
      <c r="G31" s="45" t="str">
        <f aca="false">IF($O31="","",INDEX(CC_VENCE,$O31))</f>
        <v/>
      </c>
      <c r="H31" s="46" t="str">
        <f aca="false">IF($O31="","",INDEX(CC_DIAS,$O31))</f>
        <v/>
      </c>
      <c r="I31" s="45" t="str">
        <f aca="false">IF($O31="","",INDEX(CC_DECIDIR,$O31))</f>
        <v/>
      </c>
      <c r="J31" s="47" t="str">
        <f aca="false">IF($O31="","",INDEX(CC_ACCION,$O31))</f>
        <v/>
      </c>
      <c r="K31" s="47"/>
      <c r="L31" s="47"/>
      <c r="M31" s="47"/>
      <c r="O31" s="48" t="str">
        <f aca="false">IFERROR(MATCH(SMALL(CC_SORT,9),CC_SORT,0),"")</f>
        <v/>
      </c>
    </row>
    <row r="32" customFormat="false" ht="25.5" hidden="false" customHeight="true" outlineLevel="0" collapsed="false">
      <c r="B32" s="43" t="str">
        <f aca="false">IF($O32="","",10)</f>
        <v/>
      </c>
      <c r="C32" s="43" t="str">
        <f aca="false">IF($O32="","",INDEX(CC_NOMBRE,$O32))</f>
        <v/>
      </c>
      <c r="D32" s="43" t="str">
        <f aca="false">IF($O32="","",INDEX(CC_CARGO,$O32))</f>
        <v/>
      </c>
      <c r="E32" s="43" t="str">
        <f aca="false">IF($O32="","",INDEX(CC_TIPO,$O32))</f>
        <v/>
      </c>
      <c r="F32" s="44" t="str">
        <f aca="false">IF($O32="","",INDEX(CC_NPF,$O32))</f>
        <v/>
      </c>
      <c r="G32" s="45" t="str">
        <f aca="false">IF($O32="","",INDEX(CC_VENCE,$O32))</f>
        <v/>
      </c>
      <c r="H32" s="46" t="str">
        <f aca="false">IF($O32="","",INDEX(CC_DIAS,$O32))</f>
        <v/>
      </c>
      <c r="I32" s="45" t="str">
        <f aca="false">IF($O32="","",INDEX(CC_DECIDIR,$O32))</f>
        <v/>
      </c>
      <c r="J32" s="47" t="str">
        <f aca="false">IF($O32="","",INDEX(CC_ACCION,$O32))</f>
        <v/>
      </c>
      <c r="K32" s="47"/>
      <c r="L32" s="47"/>
      <c r="M32" s="47"/>
      <c r="O32" s="48" t="str">
        <f aca="false">IFERROR(MATCH(SMALL(CC_SORT,10),CC_SORT,0),"")</f>
        <v/>
      </c>
    </row>
    <row r="34" customFormat="false" ht="15" hidden="false" customHeight="false" outlineLevel="0" collapsed="false">
      <c r="B34" s="4" t="s">
        <v>120</v>
      </c>
    </row>
    <row r="35" customFormat="false" ht="15" hidden="false" customHeight="false" outlineLevel="0" collapsed="false">
      <c r="C35" s="6" t="s">
        <v>121</v>
      </c>
      <c r="D35" s="6"/>
      <c r="E35" s="6"/>
      <c r="F35" s="6"/>
      <c r="G35" s="6"/>
      <c r="H35" s="6"/>
      <c r="I35" s="6" t="s">
        <v>122</v>
      </c>
      <c r="J35" s="6" t="s">
        <v>123</v>
      </c>
      <c r="K35" s="6"/>
      <c r="L35" s="6"/>
      <c r="M35" s="6"/>
    </row>
    <row r="36" customFormat="false" ht="15" hidden="false" customHeight="false" outlineLevel="0" collapsed="false">
      <c r="C36" s="49" t="s">
        <v>124</v>
      </c>
      <c r="D36" s="49"/>
      <c r="E36" s="49"/>
      <c r="F36" s="49"/>
      <c r="G36" s="49"/>
      <c r="H36" s="49"/>
      <c r="I36" s="50" t="n">
        <f aca="false">COUNTIF(CC_ESTADOC,"VENCIDO")</f>
        <v>0</v>
      </c>
      <c r="J36" s="51" t="s">
        <v>21</v>
      </c>
      <c r="K36" s="51"/>
      <c r="L36" s="51"/>
      <c r="M36" s="51"/>
    </row>
    <row r="37" customFormat="false" ht="15" hidden="false" customHeight="false" outlineLevel="0" collapsed="false">
      <c r="C37" s="49" t="str">
        <f aca="false">"Contratos que vencen en ≤ "&amp;ALERTA_ROJA&amp;" días"</f>
        <v>Contratos que vencen en ≤ 15 días</v>
      </c>
      <c r="D37" s="49"/>
      <c r="E37" s="49"/>
      <c r="F37" s="49"/>
      <c r="G37" s="49"/>
      <c r="H37" s="49"/>
      <c r="I37" s="50" t="n">
        <f aca="false">COUNTIFS(CC_DIAS,"&gt;=0",CC_DIAS,"&lt;="&amp;ALERTA_ROJA,CC_ESTADOC,"&lt;&gt;Renovación registrada",CC_ESTADOT,"Activo*")</f>
        <v>1</v>
      </c>
      <c r="J37" s="51" t="s">
        <v>21</v>
      </c>
      <c r="K37" s="51"/>
      <c r="L37" s="51"/>
      <c r="M37" s="51"/>
    </row>
    <row r="38" customFormat="false" ht="15" hidden="false" customHeight="false" outlineLevel="0" collapsed="false">
      <c r="C38" s="49" t="str">
        <f aca="false">"Contratos que vencen en ≤ "&amp;ALERTA_NARANJA&amp;" días"</f>
        <v>Contratos que vencen en ≤ 30 días</v>
      </c>
      <c r="D38" s="49"/>
      <c r="E38" s="49"/>
      <c r="F38" s="49"/>
      <c r="G38" s="49"/>
      <c r="H38" s="49"/>
      <c r="I38" s="50" t="n">
        <f aca="false">COUNTIFS(CC_DIAS,"&gt;=0",CC_DIAS,"&lt;="&amp;ALERTA_NARANJA,CC_ESTADOC,"&lt;&gt;Renovación registrada",CC_ESTADOT,"Activo*")</f>
        <v>1</v>
      </c>
      <c r="J38" s="51" t="s">
        <v>21</v>
      </c>
      <c r="K38" s="51"/>
      <c r="L38" s="51"/>
      <c r="M38" s="51"/>
    </row>
    <row r="39" customFormat="false" ht="15" hidden="false" customHeight="false" outlineLevel="0" collapsed="false">
      <c r="C39" s="49" t="s">
        <v>125</v>
      </c>
      <c r="D39" s="49"/>
      <c r="E39" s="49"/>
      <c r="F39" s="49"/>
      <c r="G39" s="49"/>
      <c r="H39" s="49"/>
      <c r="I39" s="50" t="n">
        <f aca="false">COUNTIFS(CC_TIPO,"Plazo fijo",CC_NPF,2,CC_ESTADOT,"Activo*")</f>
        <v>1</v>
      </c>
      <c r="J39" s="51" t="s">
        <v>21</v>
      </c>
      <c r="K39" s="51"/>
      <c r="L39" s="51"/>
      <c r="M39" s="51"/>
    </row>
    <row r="40" customFormat="false" ht="15" hidden="false" customHeight="false" outlineLevel="0" collapsed="false">
      <c r="C40" s="49" t="s">
        <v>126</v>
      </c>
      <c r="D40" s="49"/>
      <c r="E40" s="49"/>
      <c r="F40" s="49"/>
      <c r="G40" s="49"/>
      <c r="H40" s="49"/>
      <c r="I40" s="50" t="n">
        <f aca="false">COUNTIFS(C_ID,"&lt;&gt;",C_FIRMADO,"&lt;&gt;Sí")</f>
        <v>1</v>
      </c>
      <c r="J40" s="51" t="s">
        <v>127</v>
      </c>
      <c r="K40" s="51"/>
      <c r="L40" s="51"/>
      <c r="M40" s="51"/>
    </row>
    <row r="41" customFormat="false" ht="15" hidden="false" customHeight="false" outlineLevel="0" collapsed="false">
      <c r="C41" s="49" t="s">
        <v>128</v>
      </c>
      <c r="D41" s="49"/>
      <c r="E41" s="49"/>
      <c r="F41" s="49"/>
      <c r="G41" s="49"/>
      <c r="H41" s="49"/>
      <c r="I41" s="50" t="n">
        <f aca="false">COUNTIFS(T_ID,"&lt;&gt;",T_ALERTA,"&lt;&gt;OK")</f>
        <v>0</v>
      </c>
      <c r="J41" s="51" t="s">
        <v>129</v>
      </c>
      <c r="K41" s="51"/>
      <c r="L41" s="51"/>
      <c r="M41" s="51"/>
    </row>
    <row r="42" customFormat="false" ht="15" hidden="false" customHeight="false" outlineLevel="0" collapsed="false">
      <c r="C42" s="49" t="s">
        <v>130</v>
      </c>
      <c r="D42" s="49"/>
      <c r="E42" s="49"/>
      <c r="F42" s="49"/>
      <c r="G42" s="49"/>
      <c r="H42" s="49"/>
      <c r="I42" s="50" t="n">
        <f aca="false">COUNTIF(PV_ALERTA,"⚠ Tiene 2*")</f>
        <v>0</v>
      </c>
      <c r="J42" s="51" t="s">
        <v>41</v>
      </c>
      <c r="K42" s="51"/>
      <c r="L42" s="51"/>
      <c r="M42" s="51"/>
    </row>
    <row r="43" customFormat="false" ht="15" hidden="false" customHeight="false" outlineLevel="0" collapsed="false">
      <c r="C43" s="49" t="s">
        <v>131</v>
      </c>
      <c r="D43" s="49"/>
      <c r="E43" s="49"/>
      <c r="F43" s="49"/>
      <c r="G43" s="49"/>
      <c r="H43" s="49"/>
      <c r="I43" s="50" t="n">
        <f aca="false">COUNTIF(N_DUP,"⚠*")+COUNTIF(L_DUP,"⚠*")</f>
        <v>0</v>
      </c>
      <c r="J43" s="51" t="s">
        <v>132</v>
      </c>
      <c r="K43" s="51"/>
      <c r="L43" s="51"/>
      <c r="M43" s="51"/>
    </row>
    <row r="44" customFormat="false" ht="15" hidden="false" customHeight="false" outlineLevel="0" collapsed="false">
      <c r="C44" s="49" t="s">
        <v>133</v>
      </c>
      <c r="D44" s="49"/>
      <c r="E44" s="49"/>
      <c r="F44" s="49"/>
      <c r="G44" s="49"/>
      <c r="H44" s="49"/>
      <c r="I44" s="50" t="n">
        <f aca="false">COUNTIF(I_ESTADO,"VENCIDO")</f>
        <v>0</v>
      </c>
      <c r="J44" s="51" t="s">
        <v>35</v>
      </c>
      <c r="K44" s="51"/>
      <c r="L44" s="51"/>
      <c r="M44" s="51"/>
    </row>
    <row r="45" customFormat="false" ht="15" hidden="false" customHeight="false" outlineLevel="0" collapsed="false">
      <c r="C45" s="49" t="s">
        <v>134</v>
      </c>
      <c r="D45" s="49"/>
      <c r="E45" s="49"/>
      <c r="F45" s="49"/>
      <c r="G45" s="49"/>
      <c r="H45" s="49"/>
      <c r="I45" s="50" t="n">
        <f aca="false">COUNTIF(I_ESTADO,"Pendiente*")</f>
        <v>1</v>
      </c>
      <c r="J45" s="51" t="s">
        <v>35</v>
      </c>
      <c r="K45" s="51"/>
      <c r="L45" s="51"/>
      <c r="M45" s="51"/>
    </row>
    <row r="47" customFormat="false" ht="15" hidden="false" customHeight="false" outlineLevel="0" collapsed="false">
      <c r="B47" s="4" t="s">
        <v>135</v>
      </c>
    </row>
    <row r="48" customFormat="false" ht="15" hidden="false" customHeight="false" outlineLevel="0" collapsed="false">
      <c r="C48" s="14" t="s">
        <v>136</v>
      </c>
      <c r="G48" s="52"/>
    </row>
    <row r="50" customFormat="false" ht="30" hidden="false" customHeight="true" outlineLevel="0" collapsed="false">
      <c r="C50" s="53" t="s">
        <v>137</v>
      </c>
      <c r="D50" s="53" t="s">
        <v>138</v>
      </c>
      <c r="E50" s="53" t="s">
        <v>139</v>
      </c>
      <c r="F50" s="53" t="s">
        <v>140</v>
      </c>
      <c r="G50" s="53" t="s">
        <v>141</v>
      </c>
      <c r="H50" s="53" t="s">
        <v>142</v>
      </c>
      <c r="I50" s="53" t="s">
        <v>143</v>
      </c>
      <c r="J50" s="53" t="s">
        <v>144</v>
      </c>
      <c r="K50" s="53" t="s">
        <v>145</v>
      </c>
      <c r="L50" s="53" t="s">
        <v>146</v>
      </c>
      <c r="M50" s="53" t="s">
        <v>147</v>
      </c>
    </row>
    <row r="51" customFormat="false" ht="15" hidden="false" customHeight="false" outlineLevel="0" collapsed="false">
      <c r="C51" s="54" t="n">
        <f aca="false">EDATE(IF(ISNUMBER(DB_DESDE),DATE(YEAR(DB_DESDE),MONTH(DB_DESDE),1),EDATE(DATE(YEAR(FECHA_CORTE),MONTH(FECHA_CORTE),1),-23)),0)</f>
        <v>45597</v>
      </c>
      <c r="D51" s="55" t="n">
        <f aca="false">COUNTIFS(T_INGRESO,"&lt;="&amp;EOMONTH(C51,0))-COUNTIFS(T_INGRESO,"&lt;="&amp;EOMONTH(C51,0),T_EGRESO,"&lt;"&amp;EOMONTH(C51,0))</f>
        <v>2</v>
      </c>
      <c r="E51" s="56" t="n">
        <f aca="false">COUNTIFS(T_INGRESO,"&gt;="&amp;C51,T_INGRESO,"&lt;="&amp;EOMONTH(C51,0))</f>
        <v>0</v>
      </c>
      <c r="F51" s="56" t="n">
        <f aca="false">COUNTIFS(T_EGRESO,"&gt;="&amp;C51,T_EGRESO,"&lt;="&amp;EOMONTH(C51,0))</f>
        <v>0</v>
      </c>
      <c r="G51" s="57" t="n">
        <f aca="false">SUMIFS(N_FALTAS,N_PER,C51)</f>
        <v>0</v>
      </c>
      <c r="H51" s="57" t="n">
        <f aca="false">SUMIFS(N_LIC,N_PER,C51)</f>
        <v>0</v>
      </c>
      <c r="I51" s="56" t="n">
        <f aca="false">SUMIFS(N_ATRASO,N_PER,C51)</f>
        <v>0</v>
      </c>
      <c r="J51" s="57" t="n">
        <f aca="false">SUMIFS(N_HE,N_PER,C51)</f>
        <v>0</v>
      </c>
      <c r="K51" s="58" t="n">
        <f aca="false">SUMIFS(N_ANT,N_PER,C51)</f>
        <v>0</v>
      </c>
      <c r="L51" s="58" t="n">
        <f aca="false">SUMIFS(L_LIQ,L_PER,C51)</f>
        <v>0</v>
      </c>
      <c r="M51" s="58" t="n">
        <f aca="false">SUMIFS(L_COSTO,L_PER,C51)</f>
        <v>0</v>
      </c>
    </row>
    <row r="52" customFormat="false" ht="15" hidden="false" customHeight="false" outlineLevel="0" collapsed="false">
      <c r="C52" s="54" t="n">
        <f aca="false">EDATE(IF(ISNUMBER(DB_DESDE),DATE(YEAR(DB_DESDE),MONTH(DB_DESDE),1),EDATE(DATE(YEAR(FECHA_CORTE),MONTH(FECHA_CORTE),1),-23)),1)</f>
        <v>45627</v>
      </c>
      <c r="D52" s="55" t="n">
        <f aca="false">COUNTIFS(T_INGRESO,"&lt;="&amp;EOMONTH(C52,0))-COUNTIFS(T_INGRESO,"&lt;="&amp;EOMONTH(C52,0),T_EGRESO,"&lt;"&amp;EOMONTH(C52,0))</f>
        <v>2</v>
      </c>
      <c r="E52" s="56" t="n">
        <f aca="false">COUNTIFS(T_INGRESO,"&gt;="&amp;C52,T_INGRESO,"&lt;="&amp;EOMONTH(C52,0))</f>
        <v>0</v>
      </c>
      <c r="F52" s="56" t="n">
        <f aca="false">COUNTIFS(T_EGRESO,"&gt;="&amp;C52,T_EGRESO,"&lt;="&amp;EOMONTH(C52,0))</f>
        <v>0</v>
      </c>
      <c r="G52" s="57" t="n">
        <f aca="false">SUMIFS(N_FALTAS,N_PER,C52)</f>
        <v>0</v>
      </c>
      <c r="H52" s="57" t="n">
        <f aca="false">SUMIFS(N_LIC,N_PER,C52)</f>
        <v>0</v>
      </c>
      <c r="I52" s="56" t="n">
        <f aca="false">SUMIFS(N_ATRASO,N_PER,C52)</f>
        <v>0</v>
      </c>
      <c r="J52" s="57" t="n">
        <f aca="false">SUMIFS(N_HE,N_PER,C52)</f>
        <v>0</v>
      </c>
      <c r="K52" s="58" t="n">
        <f aca="false">SUMIFS(N_ANT,N_PER,C52)</f>
        <v>0</v>
      </c>
      <c r="L52" s="58" t="n">
        <f aca="false">SUMIFS(L_LIQ,L_PER,C52)</f>
        <v>0</v>
      </c>
      <c r="M52" s="58" t="n">
        <f aca="false">SUMIFS(L_COSTO,L_PER,C52)</f>
        <v>0</v>
      </c>
    </row>
    <row r="53" customFormat="false" ht="15" hidden="false" customHeight="false" outlineLevel="0" collapsed="false">
      <c r="C53" s="54" t="n">
        <f aca="false">EDATE(IF(ISNUMBER(DB_DESDE),DATE(YEAR(DB_DESDE),MONTH(DB_DESDE),1),EDATE(DATE(YEAR(FECHA_CORTE),MONTH(FECHA_CORTE),1),-23)),2)</f>
        <v>45658</v>
      </c>
      <c r="D53" s="55" t="n">
        <f aca="false">COUNTIFS(T_INGRESO,"&lt;="&amp;EOMONTH(C53,0))-COUNTIFS(T_INGRESO,"&lt;="&amp;EOMONTH(C53,0),T_EGRESO,"&lt;"&amp;EOMONTH(C53,0))</f>
        <v>2</v>
      </c>
      <c r="E53" s="56" t="n">
        <f aca="false">COUNTIFS(T_INGRESO,"&gt;="&amp;C53,T_INGRESO,"&lt;="&amp;EOMONTH(C53,0))</f>
        <v>0</v>
      </c>
      <c r="F53" s="56" t="n">
        <f aca="false">COUNTIFS(T_EGRESO,"&gt;="&amp;C53,T_EGRESO,"&lt;="&amp;EOMONTH(C53,0))</f>
        <v>0</v>
      </c>
      <c r="G53" s="57" t="n">
        <f aca="false">SUMIFS(N_FALTAS,N_PER,C53)</f>
        <v>0</v>
      </c>
      <c r="H53" s="57" t="n">
        <f aca="false">SUMIFS(N_LIC,N_PER,C53)</f>
        <v>0</v>
      </c>
      <c r="I53" s="56" t="n">
        <f aca="false">SUMIFS(N_ATRASO,N_PER,C53)</f>
        <v>0</v>
      </c>
      <c r="J53" s="57" t="n">
        <f aca="false">SUMIFS(N_HE,N_PER,C53)</f>
        <v>0</v>
      </c>
      <c r="K53" s="58" t="n">
        <f aca="false">SUMIFS(N_ANT,N_PER,C53)</f>
        <v>0</v>
      </c>
      <c r="L53" s="58" t="n">
        <f aca="false">SUMIFS(L_LIQ,L_PER,C53)</f>
        <v>0</v>
      </c>
      <c r="M53" s="58" t="n">
        <f aca="false">SUMIFS(L_COSTO,L_PER,C53)</f>
        <v>0</v>
      </c>
    </row>
    <row r="54" customFormat="false" ht="15" hidden="false" customHeight="false" outlineLevel="0" collapsed="false">
      <c r="C54" s="54" t="n">
        <f aca="false">EDATE(IF(ISNUMBER(DB_DESDE),DATE(YEAR(DB_DESDE),MONTH(DB_DESDE),1),EDATE(DATE(YEAR(FECHA_CORTE),MONTH(FECHA_CORTE),1),-23)),3)</f>
        <v>45689</v>
      </c>
      <c r="D54" s="55" t="n">
        <f aca="false">COUNTIFS(T_INGRESO,"&lt;="&amp;EOMONTH(C54,0))-COUNTIFS(T_INGRESO,"&lt;="&amp;EOMONTH(C54,0),T_EGRESO,"&lt;"&amp;EOMONTH(C54,0))</f>
        <v>2</v>
      </c>
      <c r="E54" s="56" t="n">
        <f aca="false">COUNTIFS(T_INGRESO,"&gt;="&amp;C54,T_INGRESO,"&lt;="&amp;EOMONTH(C54,0))</f>
        <v>0</v>
      </c>
      <c r="F54" s="56" t="n">
        <f aca="false">COUNTIFS(T_EGRESO,"&gt;="&amp;C54,T_EGRESO,"&lt;="&amp;EOMONTH(C54,0))</f>
        <v>0</v>
      </c>
      <c r="G54" s="57" t="n">
        <f aca="false">SUMIFS(N_FALTAS,N_PER,C54)</f>
        <v>0</v>
      </c>
      <c r="H54" s="57" t="n">
        <f aca="false">SUMIFS(N_LIC,N_PER,C54)</f>
        <v>0</v>
      </c>
      <c r="I54" s="56" t="n">
        <f aca="false">SUMIFS(N_ATRASO,N_PER,C54)</f>
        <v>0</v>
      </c>
      <c r="J54" s="57" t="n">
        <f aca="false">SUMIFS(N_HE,N_PER,C54)</f>
        <v>0</v>
      </c>
      <c r="K54" s="58" t="n">
        <f aca="false">SUMIFS(N_ANT,N_PER,C54)</f>
        <v>0</v>
      </c>
      <c r="L54" s="58" t="n">
        <f aca="false">SUMIFS(L_LIQ,L_PER,C54)</f>
        <v>0</v>
      </c>
      <c r="M54" s="58" t="n">
        <f aca="false">SUMIFS(L_COSTO,L_PER,C54)</f>
        <v>0</v>
      </c>
    </row>
    <row r="55" customFormat="false" ht="15" hidden="false" customHeight="false" outlineLevel="0" collapsed="false">
      <c r="C55" s="54" t="n">
        <f aca="false">EDATE(IF(ISNUMBER(DB_DESDE),DATE(YEAR(DB_DESDE),MONTH(DB_DESDE),1),EDATE(DATE(YEAR(FECHA_CORTE),MONTH(FECHA_CORTE),1),-23)),4)</f>
        <v>45717</v>
      </c>
      <c r="D55" s="55" t="n">
        <f aca="false">COUNTIFS(T_INGRESO,"&lt;="&amp;EOMONTH(C55,0))-COUNTIFS(T_INGRESO,"&lt;="&amp;EOMONTH(C55,0),T_EGRESO,"&lt;"&amp;EOMONTH(C55,0))</f>
        <v>2</v>
      </c>
      <c r="E55" s="56" t="n">
        <f aca="false">COUNTIFS(T_INGRESO,"&gt;="&amp;C55,T_INGRESO,"&lt;="&amp;EOMONTH(C55,0))</f>
        <v>0</v>
      </c>
      <c r="F55" s="56" t="n">
        <f aca="false">COUNTIFS(T_EGRESO,"&gt;="&amp;C55,T_EGRESO,"&lt;="&amp;EOMONTH(C55,0))</f>
        <v>0</v>
      </c>
      <c r="G55" s="57" t="n">
        <f aca="false">SUMIFS(N_FALTAS,N_PER,C55)</f>
        <v>0</v>
      </c>
      <c r="H55" s="57" t="n">
        <f aca="false">SUMIFS(N_LIC,N_PER,C55)</f>
        <v>0</v>
      </c>
      <c r="I55" s="56" t="n">
        <f aca="false">SUMIFS(N_ATRASO,N_PER,C55)</f>
        <v>0</v>
      </c>
      <c r="J55" s="57" t="n">
        <f aca="false">SUMIFS(N_HE,N_PER,C55)</f>
        <v>0</v>
      </c>
      <c r="K55" s="58" t="n">
        <f aca="false">SUMIFS(N_ANT,N_PER,C55)</f>
        <v>0</v>
      </c>
      <c r="L55" s="58" t="n">
        <f aca="false">SUMIFS(L_LIQ,L_PER,C55)</f>
        <v>0</v>
      </c>
      <c r="M55" s="58" t="n">
        <f aca="false">SUMIFS(L_COSTO,L_PER,C55)</f>
        <v>0</v>
      </c>
    </row>
    <row r="56" customFormat="false" ht="15" hidden="false" customHeight="false" outlineLevel="0" collapsed="false">
      <c r="C56" s="54" t="n">
        <f aca="false">EDATE(IF(ISNUMBER(DB_DESDE),DATE(YEAR(DB_DESDE),MONTH(DB_DESDE),1),EDATE(DATE(YEAR(FECHA_CORTE),MONTH(FECHA_CORTE),1),-23)),5)</f>
        <v>45748</v>
      </c>
      <c r="D56" s="55" t="n">
        <f aca="false">COUNTIFS(T_INGRESO,"&lt;="&amp;EOMONTH(C56,0))-COUNTIFS(T_INGRESO,"&lt;="&amp;EOMONTH(C56,0),T_EGRESO,"&lt;"&amp;EOMONTH(C56,0))</f>
        <v>2</v>
      </c>
      <c r="E56" s="56" t="n">
        <f aca="false">COUNTIFS(T_INGRESO,"&gt;="&amp;C56,T_INGRESO,"&lt;="&amp;EOMONTH(C56,0))</f>
        <v>0</v>
      </c>
      <c r="F56" s="56" t="n">
        <f aca="false">COUNTIFS(T_EGRESO,"&gt;="&amp;C56,T_EGRESO,"&lt;="&amp;EOMONTH(C56,0))</f>
        <v>0</v>
      </c>
      <c r="G56" s="57" t="n">
        <f aca="false">SUMIFS(N_FALTAS,N_PER,C56)</f>
        <v>0</v>
      </c>
      <c r="H56" s="57" t="n">
        <f aca="false">SUMIFS(N_LIC,N_PER,C56)</f>
        <v>0</v>
      </c>
      <c r="I56" s="56" t="n">
        <f aca="false">SUMIFS(N_ATRASO,N_PER,C56)</f>
        <v>0</v>
      </c>
      <c r="J56" s="57" t="n">
        <f aca="false">SUMIFS(N_HE,N_PER,C56)</f>
        <v>0</v>
      </c>
      <c r="K56" s="58" t="n">
        <f aca="false">SUMIFS(N_ANT,N_PER,C56)</f>
        <v>0</v>
      </c>
      <c r="L56" s="58" t="n">
        <f aca="false">SUMIFS(L_LIQ,L_PER,C56)</f>
        <v>0</v>
      </c>
      <c r="M56" s="58" t="n">
        <f aca="false">SUMIFS(L_COSTO,L_PER,C56)</f>
        <v>0</v>
      </c>
    </row>
    <row r="57" customFormat="false" ht="15" hidden="false" customHeight="false" outlineLevel="0" collapsed="false">
      <c r="C57" s="54" t="n">
        <f aca="false">EDATE(IF(ISNUMBER(DB_DESDE),DATE(YEAR(DB_DESDE),MONTH(DB_DESDE),1),EDATE(DATE(YEAR(FECHA_CORTE),MONTH(FECHA_CORTE),1),-23)),6)</f>
        <v>45778</v>
      </c>
      <c r="D57" s="55" t="n">
        <f aca="false">COUNTIFS(T_INGRESO,"&lt;="&amp;EOMONTH(C57,0))-COUNTIFS(T_INGRESO,"&lt;="&amp;EOMONTH(C57,0),T_EGRESO,"&lt;"&amp;EOMONTH(C57,0))</f>
        <v>2</v>
      </c>
      <c r="E57" s="56" t="n">
        <f aca="false">COUNTIFS(T_INGRESO,"&gt;="&amp;C57,T_INGRESO,"&lt;="&amp;EOMONTH(C57,0))</f>
        <v>0</v>
      </c>
      <c r="F57" s="56" t="n">
        <f aca="false">COUNTIFS(T_EGRESO,"&gt;="&amp;C57,T_EGRESO,"&lt;="&amp;EOMONTH(C57,0))</f>
        <v>0</v>
      </c>
      <c r="G57" s="57" t="n">
        <f aca="false">SUMIFS(N_FALTAS,N_PER,C57)</f>
        <v>0</v>
      </c>
      <c r="H57" s="57" t="n">
        <f aca="false">SUMIFS(N_LIC,N_PER,C57)</f>
        <v>0</v>
      </c>
      <c r="I57" s="56" t="n">
        <f aca="false">SUMIFS(N_ATRASO,N_PER,C57)</f>
        <v>0</v>
      </c>
      <c r="J57" s="57" t="n">
        <f aca="false">SUMIFS(N_HE,N_PER,C57)</f>
        <v>0</v>
      </c>
      <c r="K57" s="58" t="n">
        <f aca="false">SUMIFS(N_ANT,N_PER,C57)</f>
        <v>0</v>
      </c>
      <c r="L57" s="58" t="n">
        <f aca="false">SUMIFS(L_LIQ,L_PER,C57)</f>
        <v>0</v>
      </c>
      <c r="M57" s="58" t="n">
        <f aca="false">SUMIFS(L_COSTO,L_PER,C57)</f>
        <v>0</v>
      </c>
    </row>
    <row r="58" customFormat="false" ht="15" hidden="false" customHeight="false" outlineLevel="0" collapsed="false">
      <c r="C58" s="54" t="n">
        <f aca="false">EDATE(IF(ISNUMBER(DB_DESDE),DATE(YEAR(DB_DESDE),MONTH(DB_DESDE),1),EDATE(DATE(YEAR(FECHA_CORTE),MONTH(FECHA_CORTE),1),-23)),7)</f>
        <v>45809</v>
      </c>
      <c r="D58" s="55" t="n">
        <f aca="false">COUNTIFS(T_INGRESO,"&lt;="&amp;EOMONTH(C58,0))-COUNTIFS(T_INGRESO,"&lt;="&amp;EOMONTH(C58,0),T_EGRESO,"&lt;"&amp;EOMONTH(C58,0))</f>
        <v>2</v>
      </c>
      <c r="E58" s="56" t="n">
        <f aca="false">COUNTIFS(T_INGRESO,"&gt;="&amp;C58,T_INGRESO,"&lt;="&amp;EOMONTH(C58,0))</f>
        <v>0</v>
      </c>
      <c r="F58" s="56" t="n">
        <f aca="false">COUNTIFS(T_EGRESO,"&gt;="&amp;C58,T_EGRESO,"&lt;="&amp;EOMONTH(C58,0))</f>
        <v>0</v>
      </c>
      <c r="G58" s="57" t="n">
        <f aca="false">SUMIFS(N_FALTAS,N_PER,C58)</f>
        <v>0</v>
      </c>
      <c r="H58" s="57" t="n">
        <f aca="false">SUMIFS(N_LIC,N_PER,C58)</f>
        <v>0</v>
      </c>
      <c r="I58" s="56" t="n">
        <f aca="false">SUMIFS(N_ATRASO,N_PER,C58)</f>
        <v>0</v>
      </c>
      <c r="J58" s="57" t="n">
        <f aca="false">SUMIFS(N_HE,N_PER,C58)</f>
        <v>0</v>
      </c>
      <c r="K58" s="58" t="n">
        <f aca="false">SUMIFS(N_ANT,N_PER,C58)</f>
        <v>0</v>
      </c>
      <c r="L58" s="58" t="n">
        <f aca="false">SUMIFS(L_LIQ,L_PER,C58)</f>
        <v>0</v>
      </c>
      <c r="M58" s="58" t="n">
        <f aca="false">SUMIFS(L_COSTO,L_PER,C58)</f>
        <v>0</v>
      </c>
    </row>
    <row r="59" customFormat="false" ht="15" hidden="false" customHeight="false" outlineLevel="0" collapsed="false">
      <c r="C59" s="54" t="n">
        <f aca="false">EDATE(IF(ISNUMBER(DB_DESDE),DATE(YEAR(DB_DESDE),MONTH(DB_DESDE),1),EDATE(DATE(YEAR(FECHA_CORTE),MONTH(FECHA_CORTE),1),-23)),8)</f>
        <v>45839</v>
      </c>
      <c r="D59" s="55" t="n">
        <f aca="false">COUNTIFS(T_INGRESO,"&lt;="&amp;EOMONTH(C59,0))-COUNTIFS(T_INGRESO,"&lt;="&amp;EOMONTH(C59,0),T_EGRESO,"&lt;"&amp;EOMONTH(C59,0))</f>
        <v>2</v>
      </c>
      <c r="E59" s="56" t="n">
        <f aca="false">COUNTIFS(T_INGRESO,"&gt;="&amp;C59,T_INGRESO,"&lt;="&amp;EOMONTH(C59,0))</f>
        <v>0</v>
      </c>
      <c r="F59" s="56" t="n">
        <f aca="false">COUNTIFS(T_EGRESO,"&gt;="&amp;C59,T_EGRESO,"&lt;="&amp;EOMONTH(C59,0))</f>
        <v>0</v>
      </c>
      <c r="G59" s="57" t="n">
        <f aca="false">SUMIFS(N_FALTAS,N_PER,C59)</f>
        <v>0</v>
      </c>
      <c r="H59" s="57" t="n">
        <f aca="false">SUMIFS(N_LIC,N_PER,C59)</f>
        <v>0</v>
      </c>
      <c r="I59" s="56" t="n">
        <f aca="false">SUMIFS(N_ATRASO,N_PER,C59)</f>
        <v>0</v>
      </c>
      <c r="J59" s="57" t="n">
        <f aca="false">SUMIFS(N_HE,N_PER,C59)</f>
        <v>0</v>
      </c>
      <c r="K59" s="58" t="n">
        <f aca="false">SUMIFS(N_ANT,N_PER,C59)</f>
        <v>0</v>
      </c>
      <c r="L59" s="58" t="n">
        <f aca="false">SUMIFS(L_LIQ,L_PER,C59)</f>
        <v>0</v>
      </c>
      <c r="M59" s="58" t="n">
        <f aca="false">SUMIFS(L_COSTO,L_PER,C59)</f>
        <v>0</v>
      </c>
    </row>
    <row r="60" customFormat="false" ht="15" hidden="false" customHeight="false" outlineLevel="0" collapsed="false">
      <c r="C60" s="54" t="n">
        <f aca="false">EDATE(IF(ISNUMBER(DB_DESDE),DATE(YEAR(DB_DESDE),MONTH(DB_DESDE),1),EDATE(DATE(YEAR(FECHA_CORTE),MONTH(FECHA_CORTE),1),-23)),9)</f>
        <v>45870</v>
      </c>
      <c r="D60" s="55" t="n">
        <f aca="false">COUNTIFS(T_INGRESO,"&lt;="&amp;EOMONTH(C60,0))-COUNTIFS(T_INGRESO,"&lt;="&amp;EOMONTH(C60,0),T_EGRESO,"&lt;"&amp;EOMONTH(C60,0))</f>
        <v>2</v>
      </c>
      <c r="E60" s="56" t="n">
        <f aca="false">COUNTIFS(T_INGRESO,"&gt;="&amp;C60,T_INGRESO,"&lt;="&amp;EOMONTH(C60,0))</f>
        <v>0</v>
      </c>
      <c r="F60" s="56" t="n">
        <f aca="false">COUNTIFS(T_EGRESO,"&gt;="&amp;C60,T_EGRESO,"&lt;="&amp;EOMONTH(C60,0))</f>
        <v>0</v>
      </c>
      <c r="G60" s="57" t="n">
        <f aca="false">SUMIFS(N_FALTAS,N_PER,C60)</f>
        <v>0</v>
      </c>
      <c r="H60" s="57" t="n">
        <f aca="false">SUMIFS(N_LIC,N_PER,C60)</f>
        <v>0</v>
      </c>
      <c r="I60" s="56" t="n">
        <f aca="false">SUMIFS(N_ATRASO,N_PER,C60)</f>
        <v>0</v>
      </c>
      <c r="J60" s="57" t="n">
        <f aca="false">SUMIFS(N_HE,N_PER,C60)</f>
        <v>0</v>
      </c>
      <c r="K60" s="58" t="n">
        <f aca="false">SUMIFS(N_ANT,N_PER,C60)</f>
        <v>0</v>
      </c>
      <c r="L60" s="58" t="n">
        <f aca="false">SUMIFS(L_LIQ,L_PER,C60)</f>
        <v>0</v>
      </c>
      <c r="M60" s="58" t="n">
        <f aca="false">SUMIFS(L_COSTO,L_PER,C60)</f>
        <v>0</v>
      </c>
    </row>
    <row r="61" customFormat="false" ht="15" hidden="false" customHeight="false" outlineLevel="0" collapsed="false">
      <c r="C61" s="54" t="n">
        <f aca="false">EDATE(IF(ISNUMBER(DB_DESDE),DATE(YEAR(DB_DESDE),MONTH(DB_DESDE),1),EDATE(DATE(YEAR(FECHA_CORTE),MONTH(FECHA_CORTE),1),-23)),10)</f>
        <v>45901</v>
      </c>
      <c r="D61" s="55" t="n">
        <f aca="false">COUNTIFS(T_INGRESO,"&lt;="&amp;EOMONTH(C61,0))-COUNTIFS(T_INGRESO,"&lt;="&amp;EOMONTH(C61,0),T_EGRESO,"&lt;"&amp;EOMONTH(C61,0))</f>
        <v>2</v>
      </c>
      <c r="E61" s="56" t="n">
        <f aca="false">COUNTIFS(T_INGRESO,"&gt;="&amp;C61,T_INGRESO,"&lt;="&amp;EOMONTH(C61,0))</f>
        <v>0</v>
      </c>
      <c r="F61" s="56" t="n">
        <f aca="false">COUNTIFS(T_EGRESO,"&gt;="&amp;C61,T_EGRESO,"&lt;="&amp;EOMONTH(C61,0))</f>
        <v>0</v>
      </c>
      <c r="G61" s="57" t="n">
        <f aca="false">SUMIFS(N_FALTAS,N_PER,C61)</f>
        <v>0</v>
      </c>
      <c r="H61" s="57" t="n">
        <f aca="false">SUMIFS(N_LIC,N_PER,C61)</f>
        <v>0</v>
      </c>
      <c r="I61" s="56" t="n">
        <f aca="false">SUMIFS(N_ATRASO,N_PER,C61)</f>
        <v>0</v>
      </c>
      <c r="J61" s="57" t="n">
        <f aca="false">SUMIFS(N_HE,N_PER,C61)</f>
        <v>0</v>
      </c>
      <c r="K61" s="58" t="n">
        <f aca="false">SUMIFS(N_ANT,N_PER,C61)</f>
        <v>0</v>
      </c>
      <c r="L61" s="58" t="n">
        <f aca="false">SUMIFS(L_LIQ,L_PER,C61)</f>
        <v>0</v>
      </c>
      <c r="M61" s="58" t="n">
        <f aca="false">SUMIFS(L_COSTO,L_PER,C61)</f>
        <v>0</v>
      </c>
    </row>
    <row r="62" customFormat="false" ht="15" hidden="false" customHeight="false" outlineLevel="0" collapsed="false">
      <c r="C62" s="54" t="n">
        <f aca="false">EDATE(IF(ISNUMBER(DB_DESDE),DATE(YEAR(DB_DESDE),MONTH(DB_DESDE),1),EDATE(DATE(YEAR(FECHA_CORTE),MONTH(FECHA_CORTE),1),-23)),11)</f>
        <v>45931</v>
      </c>
      <c r="D62" s="55" t="n">
        <f aca="false">COUNTIFS(T_INGRESO,"&lt;="&amp;EOMONTH(C62,0))-COUNTIFS(T_INGRESO,"&lt;="&amp;EOMONTH(C62,0),T_EGRESO,"&lt;"&amp;EOMONTH(C62,0))</f>
        <v>2</v>
      </c>
      <c r="E62" s="56" t="n">
        <f aca="false">COUNTIFS(T_INGRESO,"&gt;="&amp;C62,T_INGRESO,"&lt;="&amp;EOMONTH(C62,0))</f>
        <v>0</v>
      </c>
      <c r="F62" s="56" t="n">
        <f aca="false">COUNTIFS(T_EGRESO,"&gt;="&amp;C62,T_EGRESO,"&lt;="&amp;EOMONTH(C62,0))</f>
        <v>0</v>
      </c>
      <c r="G62" s="57" t="n">
        <f aca="false">SUMIFS(N_FALTAS,N_PER,C62)</f>
        <v>0</v>
      </c>
      <c r="H62" s="57" t="n">
        <f aca="false">SUMIFS(N_LIC,N_PER,C62)</f>
        <v>0</v>
      </c>
      <c r="I62" s="56" t="n">
        <f aca="false">SUMIFS(N_ATRASO,N_PER,C62)</f>
        <v>0</v>
      </c>
      <c r="J62" s="57" t="n">
        <f aca="false">SUMIFS(N_HE,N_PER,C62)</f>
        <v>0</v>
      </c>
      <c r="K62" s="58" t="n">
        <f aca="false">SUMIFS(N_ANT,N_PER,C62)</f>
        <v>0</v>
      </c>
      <c r="L62" s="58" t="n">
        <f aca="false">SUMIFS(L_LIQ,L_PER,C62)</f>
        <v>0</v>
      </c>
      <c r="M62" s="58" t="n">
        <f aca="false">SUMIFS(L_COSTO,L_PER,C62)</f>
        <v>0</v>
      </c>
    </row>
    <row r="63" customFormat="false" ht="15" hidden="false" customHeight="false" outlineLevel="0" collapsed="false">
      <c r="C63" s="54" t="n">
        <f aca="false">EDATE(IF(ISNUMBER(DB_DESDE),DATE(YEAR(DB_DESDE),MONTH(DB_DESDE),1),EDATE(DATE(YEAR(FECHA_CORTE),MONTH(FECHA_CORTE),1),-23)),12)</f>
        <v>45962</v>
      </c>
      <c r="D63" s="55" t="n">
        <f aca="false">COUNTIFS(T_INGRESO,"&lt;="&amp;EOMONTH(C63,0))-COUNTIFS(T_INGRESO,"&lt;="&amp;EOMONTH(C63,0),T_EGRESO,"&lt;"&amp;EOMONTH(C63,0))</f>
        <v>3</v>
      </c>
      <c r="E63" s="56" t="n">
        <f aca="false">COUNTIFS(T_INGRESO,"&gt;="&amp;C63,T_INGRESO,"&lt;="&amp;EOMONTH(C63,0))</f>
        <v>1</v>
      </c>
      <c r="F63" s="56" t="n">
        <f aca="false">COUNTIFS(T_EGRESO,"&gt;="&amp;C63,T_EGRESO,"&lt;="&amp;EOMONTH(C63,0))</f>
        <v>0</v>
      </c>
      <c r="G63" s="57" t="n">
        <f aca="false">SUMIFS(N_FALTAS,N_PER,C63)</f>
        <v>0</v>
      </c>
      <c r="H63" s="57" t="n">
        <f aca="false">SUMIFS(N_LIC,N_PER,C63)</f>
        <v>0</v>
      </c>
      <c r="I63" s="56" t="n">
        <f aca="false">SUMIFS(N_ATRASO,N_PER,C63)</f>
        <v>0</v>
      </c>
      <c r="J63" s="57" t="n">
        <f aca="false">SUMIFS(N_HE,N_PER,C63)</f>
        <v>0</v>
      </c>
      <c r="K63" s="58" t="n">
        <f aca="false">SUMIFS(N_ANT,N_PER,C63)</f>
        <v>0</v>
      </c>
      <c r="L63" s="58" t="n">
        <f aca="false">SUMIFS(L_LIQ,L_PER,C63)</f>
        <v>0</v>
      </c>
      <c r="M63" s="58" t="n">
        <f aca="false">SUMIFS(L_COSTO,L_PER,C63)</f>
        <v>0</v>
      </c>
    </row>
    <row r="64" customFormat="false" ht="15" hidden="false" customHeight="false" outlineLevel="0" collapsed="false">
      <c r="C64" s="54" t="n">
        <f aca="false">EDATE(IF(ISNUMBER(DB_DESDE),DATE(YEAR(DB_DESDE),MONTH(DB_DESDE),1),EDATE(DATE(YEAR(FECHA_CORTE),MONTH(FECHA_CORTE),1),-23)),13)</f>
        <v>45992</v>
      </c>
      <c r="D64" s="55" t="n">
        <f aca="false">COUNTIFS(T_INGRESO,"&lt;="&amp;EOMONTH(C64,0))-COUNTIFS(T_INGRESO,"&lt;="&amp;EOMONTH(C64,0),T_EGRESO,"&lt;"&amp;EOMONTH(C64,0))</f>
        <v>3</v>
      </c>
      <c r="E64" s="56" t="n">
        <f aca="false">COUNTIFS(T_INGRESO,"&gt;="&amp;C64,T_INGRESO,"&lt;="&amp;EOMONTH(C64,0))</f>
        <v>0</v>
      </c>
      <c r="F64" s="56" t="n">
        <f aca="false">COUNTIFS(T_EGRESO,"&gt;="&amp;C64,T_EGRESO,"&lt;="&amp;EOMONTH(C64,0))</f>
        <v>0</v>
      </c>
      <c r="G64" s="57" t="n">
        <f aca="false">SUMIFS(N_FALTAS,N_PER,C64)</f>
        <v>0</v>
      </c>
      <c r="H64" s="57" t="n">
        <f aca="false">SUMIFS(N_LIC,N_PER,C64)</f>
        <v>0</v>
      </c>
      <c r="I64" s="56" t="n">
        <f aca="false">SUMIFS(N_ATRASO,N_PER,C64)</f>
        <v>0</v>
      </c>
      <c r="J64" s="57" t="n">
        <f aca="false">SUMIFS(N_HE,N_PER,C64)</f>
        <v>0</v>
      </c>
      <c r="K64" s="58" t="n">
        <f aca="false">SUMIFS(N_ANT,N_PER,C64)</f>
        <v>0</v>
      </c>
      <c r="L64" s="58" t="n">
        <f aca="false">SUMIFS(L_LIQ,L_PER,C64)</f>
        <v>0</v>
      </c>
      <c r="M64" s="58" t="n">
        <f aca="false">SUMIFS(L_COSTO,L_PER,C64)</f>
        <v>0</v>
      </c>
    </row>
    <row r="65" customFormat="false" ht="15" hidden="false" customHeight="false" outlineLevel="0" collapsed="false">
      <c r="C65" s="54" t="n">
        <f aca="false">EDATE(IF(ISNUMBER(DB_DESDE),DATE(YEAR(DB_DESDE),MONTH(DB_DESDE),1),EDATE(DATE(YEAR(FECHA_CORTE),MONTH(FECHA_CORTE),1),-23)),14)</f>
        <v>46023</v>
      </c>
      <c r="D65" s="55" t="n">
        <f aca="false">COUNTIFS(T_INGRESO,"&lt;="&amp;EOMONTH(C65,0))-COUNTIFS(T_INGRESO,"&lt;="&amp;EOMONTH(C65,0),T_EGRESO,"&lt;"&amp;EOMONTH(C65,0))</f>
        <v>3</v>
      </c>
      <c r="E65" s="56" t="n">
        <f aca="false">COUNTIFS(T_INGRESO,"&gt;="&amp;C65,T_INGRESO,"&lt;="&amp;EOMONTH(C65,0))</f>
        <v>0</v>
      </c>
      <c r="F65" s="56" t="n">
        <f aca="false">COUNTIFS(T_EGRESO,"&gt;="&amp;C65,T_EGRESO,"&lt;="&amp;EOMONTH(C65,0))</f>
        <v>0</v>
      </c>
      <c r="G65" s="57" t="n">
        <f aca="false">SUMIFS(N_FALTAS,N_PER,C65)</f>
        <v>0</v>
      </c>
      <c r="H65" s="57" t="n">
        <f aca="false">SUMIFS(N_LIC,N_PER,C65)</f>
        <v>0</v>
      </c>
      <c r="I65" s="56" t="n">
        <f aca="false">SUMIFS(N_ATRASO,N_PER,C65)</f>
        <v>0</v>
      </c>
      <c r="J65" s="57" t="n">
        <f aca="false">SUMIFS(N_HE,N_PER,C65)</f>
        <v>0</v>
      </c>
      <c r="K65" s="58" t="n">
        <f aca="false">SUMIFS(N_ANT,N_PER,C65)</f>
        <v>0</v>
      </c>
      <c r="L65" s="58" t="n">
        <f aca="false">SUMIFS(L_LIQ,L_PER,C65)</f>
        <v>0</v>
      </c>
      <c r="M65" s="58" t="n">
        <f aca="false">SUMIFS(L_COSTO,L_PER,C65)</f>
        <v>0</v>
      </c>
    </row>
    <row r="66" customFormat="false" ht="15" hidden="false" customHeight="false" outlineLevel="0" collapsed="false">
      <c r="C66" s="54" t="n">
        <f aca="false">EDATE(IF(ISNUMBER(DB_DESDE),DATE(YEAR(DB_DESDE),MONTH(DB_DESDE),1),EDATE(DATE(YEAR(FECHA_CORTE),MONTH(FECHA_CORTE),1),-23)),15)</f>
        <v>46054</v>
      </c>
      <c r="D66" s="55" t="n">
        <f aca="false">COUNTIFS(T_INGRESO,"&lt;="&amp;EOMONTH(C66,0))-COUNTIFS(T_INGRESO,"&lt;="&amp;EOMONTH(C66,0),T_EGRESO,"&lt;"&amp;EOMONTH(C66,0))</f>
        <v>2</v>
      </c>
      <c r="E66" s="56" t="n">
        <f aca="false">COUNTIFS(T_INGRESO,"&gt;="&amp;C66,T_INGRESO,"&lt;="&amp;EOMONTH(C66,0))</f>
        <v>0</v>
      </c>
      <c r="F66" s="56" t="n">
        <f aca="false">COUNTIFS(T_EGRESO,"&gt;="&amp;C66,T_EGRESO,"&lt;="&amp;EOMONTH(C66,0))</f>
        <v>1</v>
      </c>
      <c r="G66" s="57" t="n">
        <f aca="false">SUMIFS(N_FALTAS,N_PER,C66)</f>
        <v>0</v>
      </c>
      <c r="H66" s="57" t="n">
        <f aca="false">SUMIFS(N_LIC,N_PER,C66)</f>
        <v>0</v>
      </c>
      <c r="I66" s="56" t="n">
        <f aca="false">SUMIFS(N_ATRASO,N_PER,C66)</f>
        <v>0</v>
      </c>
      <c r="J66" s="57" t="n">
        <f aca="false">SUMIFS(N_HE,N_PER,C66)</f>
        <v>0</v>
      </c>
      <c r="K66" s="58" t="n">
        <f aca="false">SUMIFS(N_ANT,N_PER,C66)</f>
        <v>0</v>
      </c>
      <c r="L66" s="58" t="n">
        <f aca="false">SUMIFS(L_LIQ,L_PER,C66)</f>
        <v>0</v>
      </c>
      <c r="M66" s="58" t="n">
        <f aca="false">SUMIFS(L_COSTO,L_PER,C66)</f>
        <v>0</v>
      </c>
    </row>
    <row r="67" customFormat="false" ht="15" hidden="false" customHeight="false" outlineLevel="0" collapsed="false">
      <c r="C67" s="54" t="n">
        <f aca="false">EDATE(IF(ISNUMBER(DB_DESDE),DATE(YEAR(DB_DESDE),MONTH(DB_DESDE),1),EDATE(DATE(YEAR(FECHA_CORTE),MONTH(FECHA_CORTE),1),-23)),16)</f>
        <v>46082</v>
      </c>
      <c r="D67" s="55" t="n">
        <f aca="false">COUNTIFS(T_INGRESO,"&lt;="&amp;EOMONTH(C67,0))-COUNTIFS(T_INGRESO,"&lt;="&amp;EOMONTH(C67,0),T_EGRESO,"&lt;"&amp;EOMONTH(C67,0))</f>
        <v>3</v>
      </c>
      <c r="E67" s="56" t="n">
        <f aca="false">COUNTIFS(T_INGRESO,"&gt;="&amp;C67,T_INGRESO,"&lt;="&amp;EOMONTH(C67,0))</f>
        <v>1</v>
      </c>
      <c r="F67" s="56" t="n">
        <f aca="false">COUNTIFS(T_EGRESO,"&gt;="&amp;C67,T_EGRESO,"&lt;="&amp;EOMONTH(C67,0))</f>
        <v>0</v>
      </c>
      <c r="G67" s="57" t="n">
        <f aca="false">SUMIFS(N_FALTAS,N_PER,C67)</f>
        <v>0</v>
      </c>
      <c r="H67" s="57" t="n">
        <f aca="false">SUMIFS(N_LIC,N_PER,C67)</f>
        <v>0</v>
      </c>
      <c r="I67" s="56" t="n">
        <f aca="false">SUMIFS(N_ATRASO,N_PER,C67)</f>
        <v>0</v>
      </c>
      <c r="J67" s="57" t="n">
        <f aca="false">SUMIFS(N_HE,N_PER,C67)</f>
        <v>0</v>
      </c>
      <c r="K67" s="58" t="n">
        <f aca="false">SUMIFS(N_ANT,N_PER,C67)</f>
        <v>0</v>
      </c>
      <c r="L67" s="58" t="n">
        <f aca="false">SUMIFS(L_LIQ,L_PER,C67)</f>
        <v>0</v>
      </c>
      <c r="M67" s="58" t="n">
        <f aca="false">SUMIFS(L_COSTO,L_PER,C67)</f>
        <v>0</v>
      </c>
    </row>
    <row r="68" customFormat="false" ht="15" hidden="false" customHeight="false" outlineLevel="0" collapsed="false">
      <c r="C68" s="54" t="n">
        <f aca="false">EDATE(IF(ISNUMBER(DB_DESDE),DATE(YEAR(DB_DESDE),MONTH(DB_DESDE),1),EDATE(DATE(YEAR(FECHA_CORTE),MONTH(FECHA_CORTE),1),-23)),17)</f>
        <v>46113</v>
      </c>
      <c r="D68" s="55" t="n">
        <f aca="false">COUNTIFS(T_INGRESO,"&lt;="&amp;EOMONTH(C68,0))-COUNTIFS(T_INGRESO,"&lt;="&amp;EOMONTH(C68,0),T_EGRESO,"&lt;"&amp;EOMONTH(C68,0))</f>
        <v>3</v>
      </c>
      <c r="E68" s="56" t="n">
        <f aca="false">COUNTIFS(T_INGRESO,"&gt;="&amp;C68,T_INGRESO,"&lt;="&amp;EOMONTH(C68,0))</f>
        <v>0</v>
      </c>
      <c r="F68" s="56" t="n">
        <f aca="false">COUNTIFS(T_EGRESO,"&gt;="&amp;C68,T_EGRESO,"&lt;="&amp;EOMONTH(C68,0))</f>
        <v>0</v>
      </c>
      <c r="G68" s="57" t="n">
        <f aca="false">SUMIFS(N_FALTAS,N_PER,C68)</f>
        <v>0</v>
      </c>
      <c r="H68" s="57" t="n">
        <f aca="false">SUMIFS(N_LIC,N_PER,C68)</f>
        <v>0</v>
      </c>
      <c r="I68" s="56" t="n">
        <f aca="false">SUMIFS(N_ATRASO,N_PER,C68)</f>
        <v>0</v>
      </c>
      <c r="J68" s="57" t="n">
        <f aca="false">SUMIFS(N_HE,N_PER,C68)</f>
        <v>0</v>
      </c>
      <c r="K68" s="58" t="n">
        <f aca="false">SUMIFS(N_ANT,N_PER,C68)</f>
        <v>0</v>
      </c>
      <c r="L68" s="58" t="n">
        <f aca="false">SUMIFS(L_LIQ,L_PER,C68)</f>
        <v>0</v>
      </c>
      <c r="M68" s="58" t="n">
        <f aca="false">SUMIFS(L_COSTO,L_PER,C68)</f>
        <v>0</v>
      </c>
    </row>
    <row r="69" customFormat="false" ht="15" hidden="false" customHeight="false" outlineLevel="0" collapsed="false">
      <c r="C69" s="54" t="n">
        <f aca="false">EDATE(IF(ISNUMBER(DB_DESDE),DATE(YEAR(DB_DESDE),MONTH(DB_DESDE),1),EDATE(DATE(YEAR(FECHA_CORTE),MONTH(FECHA_CORTE),1),-23)),18)</f>
        <v>46143</v>
      </c>
      <c r="D69" s="55" t="n">
        <f aca="false">COUNTIFS(T_INGRESO,"&lt;="&amp;EOMONTH(C69,0))-COUNTIFS(T_INGRESO,"&lt;="&amp;EOMONTH(C69,0),T_EGRESO,"&lt;"&amp;EOMONTH(C69,0))</f>
        <v>3</v>
      </c>
      <c r="E69" s="56" t="n">
        <f aca="false">COUNTIFS(T_INGRESO,"&gt;="&amp;C69,T_INGRESO,"&lt;="&amp;EOMONTH(C69,0))</f>
        <v>0</v>
      </c>
      <c r="F69" s="56" t="n">
        <f aca="false">COUNTIFS(T_EGRESO,"&gt;="&amp;C69,T_EGRESO,"&lt;="&amp;EOMONTH(C69,0))</f>
        <v>0</v>
      </c>
      <c r="G69" s="57" t="n">
        <f aca="false">SUMIFS(N_FALTAS,N_PER,C69)</f>
        <v>0</v>
      </c>
      <c r="H69" s="57" t="n">
        <f aca="false">SUMIFS(N_LIC,N_PER,C69)</f>
        <v>0</v>
      </c>
      <c r="I69" s="56" t="n">
        <f aca="false">SUMIFS(N_ATRASO,N_PER,C69)</f>
        <v>0</v>
      </c>
      <c r="J69" s="57" t="n">
        <f aca="false">SUMIFS(N_HE,N_PER,C69)</f>
        <v>0</v>
      </c>
      <c r="K69" s="58" t="n">
        <f aca="false">SUMIFS(N_ANT,N_PER,C69)</f>
        <v>0</v>
      </c>
      <c r="L69" s="58" t="n">
        <f aca="false">SUMIFS(L_LIQ,L_PER,C69)</f>
        <v>0</v>
      </c>
      <c r="M69" s="58" t="n">
        <f aca="false">SUMIFS(L_COSTO,L_PER,C69)</f>
        <v>0</v>
      </c>
    </row>
    <row r="70" customFormat="false" ht="15" hidden="false" customHeight="false" outlineLevel="0" collapsed="false">
      <c r="C70" s="54" t="n">
        <f aca="false">EDATE(IF(ISNUMBER(DB_DESDE),DATE(YEAR(DB_DESDE),MONTH(DB_DESDE),1),EDATE(DATE(YEAR(FECHA_CORTE),MONTH(FECHA_CORTE),1),-23)),19)</f>
        <v>46174</v>
      </c>
      <c r="D70" s="55" t="n">
        <f aca="false">COUNTIFS(T_INGRESO,"&lt;="&amp;EOMONTH(C70,0))-COUNTIFS(T_INGRESO,"&lt;="&amp;EOMONTH(C70,0),T_EGRESO,"&lt;"&amp;EOMONTH(C70,0))</f>
        <v>3</v>
      </c>
      <c r="E70" s="56" t="n">
        <f aca="false">COUNTIFS(T_INGRESO,"&gt;="&amp;C70,T_INGRESO,"&lt;="&amp;EOMONTH(C70,0))</f>
        <v>0</v>
      </c>
      <c r="F70" s="56" t="n">
        <f aca="false">COUNTIFS(T_EGRESO,"&gt;="&amp;C70,T_EGRESO,"&lt;="&amp;EOMONTH(C70,0))</f>
        <v>0</v>
      </c>
      <c r="G70" s="57" t="n">
        <f aca="false">SUMIFS(N_FALTAS,N_PER,C70)</f>
        <v>0</v>
      </c>
      <c r="H70" s="57" t="n">
        <f aca="false">SUMIFS(N_LIC,N_PER,C70)</f>
        <v>0</v>
      </c>
      <c r="I70" s="56" t="n">
        <f aca="false">SUMIFS(N_ATRASO,N_PER,C70)</f>
        <v>0</v>
      </c>
      <c r="J70" s="57" t="n">
        <f aca="false">SUMIFS(N_HE,N_PER,C70)</f>
        <v>0</v>
      </c>
      <c r="K70" s="58" t="n">
        <f aca="false">SUMIFS(N_ANT,N_PER,C70)</f>
        <v>0</v>
      </c>
      <c r="L70" s="58" t="n">
        <f aca="false">SUMIFS(L_LIQ,L_PER,C70)</f>
        <v>0</v>
      </c>
      <c r="M70" s="58" t="n">
        <f aca="false">SUMIFS(L_COSTO,L_PER,C70)</f>
        <v>0</v>
      </c>
    </row>
    <row r="71" customFormat="false" ht="15" hidden="false" customHeight="false" outlineLevel="0" collapsed="false">
      <c r="C71" s="54" t="n">
        <f aca="false">EDATE(IF(ISNUMBER(DB_DESDE),DATE(YEAR(DB_DESDE),MONTH(DB_DESDE),1),EDATE(DATE(YEAR(FECHA_CORTE),MONTH(FECHA_CORTE),1),-23)),20)</f>
        <v>46204</v>
      </c>
      <c r="D71" s="55" t="n">
        <f aca="false">COUNTIFS(T_INGRESO,"&lt;="&amp;EOMONTH(C71,0))-COUNTIFS(T_INGRESO,"&lt;="&amp;EOMONTH(C71,0),T_EGRESO,"&lt;"&amp;EOMONTH(C71,0))</f>
        <v>3</v>
      </c>
      <c r="E71" s="56" t="n">
        <f aca="false">COUNTIFS(T_INGRESO,"&gt;="&amp;C71,T_INGRESO,"&lt;="&amp;EOMONTH(C71,0))</f>
        <v>0</v>
      </c>
      <c r="F71" s="56" t="n">
        <f aca="false">COUNTIFS(T_EGRESO,"&gt;="&amp;C71,T_EGRESO,"&lt;="&amp;EOMONTH(C71,0))</f>
        <v>0</v>
      </c>
      <c r="G71" s="57" t="n">
        <f aca="false">SUMIFS(N_FALTAS,N_PER,C71)</f>
        <v>0</v>
      </c>
      <c r="H71" s="57" t="n">
        <f aca="false">SUMIFS(N_LIC,N_PER,C71)</f>
        <v>0</v>
      </c>
      <c r="I71" s="56" t="n">
        <f aca="false">SUMIFS(N_ATRASO,N_PER,C71)</f>
        <v>0</v>
      </c>
      <c r="J71" s="57" t="n">
        <f aca="false">SUMIFS(N_HE,N_PER,C71)</f>
        <v>0</v>
      </c>
      <c r="K71" s="58" t="n">
        <f aca="false">SUMIFS(N_ANT,N_PER,C71)</f>
        <v>0</v>
      </c>
      <c r="L71" s="58" t="n">
        <f aca="false">SUMIFS(L_LIQ,L_PER,C71)</f>
        <v>0</v>
      </c>
      <c r="M71" s="58" t="n">
        <f aca="false">SUMIFS(L_COSTO,L_PER,C71)</f>
        <v>0</v>
      </c>
    </row>
    <row r="72" customFormat="false" ht="15" hidden="false" customHeight="false" outlineLevel="0" collapsed="false">
      <c r="C72" s="54" t="n">
        <f aca="false">EDATE(IF(ISNUMBER(DB_DESDE),DATE(YEAR(DB_DESDE),MONTH(DB_DESDE),1),EDATE(DATE(YEAR(FECHA_CORTE),MONTH(FECHA_CORTE),1),-23)),21)</f>
        <v>46235</v>
      </c>
      <c r="D72" s="55" t="n">
        <f aca="false">COUNTIFS(T_INGRESO,"&lt;="&amp;EOMONTH(C72,0))-COUNTIFS(T_INGRESO,"&lt;="&amp;EOMONTH(C72,0),T_EGRESO,"&lt;"&amp;EOMONTH(C72,0))</f>
        <v>4</v>
      </c>
      <c r="E72" s="56" t="n">
        <f aca="false">COUNTIFS(T_INGRESO,"&gt;="&amp;C72,T_INGRESO,"&lt;="&amp;EOMONTH(C72,0))</f>
        <v>1</v>
      </c>
      <c r="F72" s="56" t="n">
        <f aca="false">COUNTIFS(T_EGRESO,"&gt;="&amp;C72,T_EGRESO,"&lt;="&amp;EOMONTH(C72,0))</f>
        <v>0</v>
      </c>
      <c r="G72" s="57" t="n">
        <f aca="false">SUMIFS(N_FALTAS,N_PER,C72)</f>
        <v>0</v>
      </c>
      <c r="H72" s="57" t="n">
        <f aca="false">SUMIFS(N_LIC,N_PER,C72)</f>
        <v>0</v>
      </c>
      <c r="I72" s="56" t="n">
        <f aca="false">SUMIFS(N_ATRASO,N_PER,C72)</f>
        <v>0</v>
      </c>
      <c r="J72" s="57" t="n">
        <f aca="false">SUMIFS(N_HE,N_PER,C72)</f>
        <v>0</v>
      </c>
      <c r="K72" s="58" t="n">
        <f aca="false">SUMIFS(N_ANT,N_PER,C72)</f>
        <v>0</v>
      </c>
      <c r="L72" s="58" t="n">
        <f aca="false">SUMIFS(L_LIQ,L_PER,C72)</f>
        <v>0</v>
      </c>
      <c r="M72" s="58" t="n">
        <f aca="false">SUMIFS(L_COSTO,L_PER,C72)</f>
        <v>0</v>
      </c>
    </row>
    <row r="73" customFormat="false" ht="15" hidden="false" customHeight="false" outlineLevel="0" collapsed="false">
      <c r="C73" s="54" t="n">
        <f aca="false">EDATE(IF(ISNUMBER(DB_DESDE),DATE(YEAR(DB_DESDE),MONTH(DB_DESDE),1),EDATE(DATE(YEAR(FECHA_CORTE),MONTH(FECHA_CORTE),1),-23)),22)</f>
        <v>46266</v>
      </c>
      <c r="D73" s="55" t="n">
        <f aca="false">COUNTIFS(T_INGRESO,"&lt;="&amp;EOMONTH(C73,0))-COUNTIFS(T_INGRESO,"&lt;="&amp;EOMONTH(C73,0),T_EGRESO,"&lt;"&amp;EOMONTH(C73,0))</f>
        <v>5</v>
      </c>
      <c r="E73" s="56" t="n">
        <f aca="false">COUNTIFS(T_INGRESO,"&gt;="&amp;C73,T_INGRESO,"&lt;="&amp;EOMONTH(C73,0))</f>
        <v>1</v>
      </c>
      <c r="F73" s="56" t="n">
        <f aca="false">COUNTIFS(T_EGRESO,"&gt;="&amp;C73,T_EGRESO,"&lt;="&amp;EOMONTH(C73,0))</f>
        <v>0</v>
      </c>
      <c r="G73" s="57" t="n">
        <f aca="false">SUMIFS(N_FALTAS,N_PER,C73)</f>
        <v>1</v>
      </c>
      <c r="H73" s="57" t="n">
        <f aca="false">SUMIFS(N_LIC,N_PER,C73)</f>
        <v>3</v>
      </c>
      <c r="I73" s="56" t="n">
        <f aca="false">SUMIFS(N_ATRASO,N_PER,C73)</f>
        <v>55</v>
      </c>
      <c r="J73" s="57" t="n">
        <f aca="false">SUMIFS(N_HE,N_PER,C73)</f>
        <v>12</v>
      </c>
      <c r="K73" s="58" t="n">
        <f aca="false">SUMIFS(N_ANT,N_PER,C73)</f>
        <v>450000</v>
      </c>
      <c r="L73" s="58" t="n">
        <f aca="false">SUMIFS(L_LIQ,L_PER,C73)</f>
        <v>4088042</v>
      </c>
      <c r="M73" s="58" t="n">
        <f aca="false">SUMIFS(L_COSTO,L_PER,C73)</f>
        <v>5939349</v>
      </c>
    </row>
    <row r="74" customFormat="false" ht="15" hidden="false" customHeight="false" outlineLevel="0" collapsed="false">
      <c r="C74" s="54" t="n">
        <f aca="false">EDATE(IF(ISNUMBER(DB_DESDE),DATE(YEAR(DB_DESDE),MONTH(DB_DESDE),1),EDATE(DATE(YEAR(FECHA_CORTE),MONTH(FECHA_CORTE),1),-23)),23)</f>
        <v>46296</v>
      </c>
      <c r="D74" s="55" t="n">
        <f aca="false">COUNTIFS(T_INGRESO,"&lt;="&amp;EOMONTH(C74,0))-COUNTIFS(T_INGRESO,"&lt;="&amp;EOMONTH(C74,0),T_EGRESO,"&lt;"&amp;EOMONTH(C74,0))</f>
        <v>5</v>
      </c>
      <c r="E74" s="56" t="n">
        <f aca="false">COUNTIFS(T_INGRESO,"&gt;="&amp;C74,T_INGRESO,"&lt;="&amp;EOMONTH(C74,0))</f>
        <v>0</v>
      </c>
      <c r="F74" s="56" t="n">
        <f aca="false">COUNTIFS(T_EGRESO,"&gt;="&amp;C74,T_EGRESO,"&lt;="&amp;EOMONTH(C74,0))</f>
        <v>0</v>
      </c>
      <c r="G74" s="57" t="n">
        <f aca="false">SUMIFS(N_FALTAS,N_PER,C74)</f>
        <v>0</v>
      </c>
      <c r="H74" s="57" t="n">
        <f aca="false">SUMIFS(N_LIC,N_PER,C74)</f>
        <v>0</v>
      </c>
      <c r="I74" s="56" t="n">
        <f aca="false">SUMIFS(N_ATRASO,N_PER,C74)</f>
        <v>20</v>
      </c>
      <c r="J74" s="57" t="n">
        <f aca="false">SUMIFS(N_HE,N_PER,C74)</f>
        <v>3</v>
      </c>
      <c r="K74" s="58" t="n">
        <f aca="false">SUMIFS(N_ANT,N_PER,C74)</f>
        <v>450000</v>
      </c>
      <c r="L74" s="58" t="n">
        <f aca="false">SUMIFS(L_LIQ,L_PER,C74)</f>
        <v>0</v>
      </c>
      <c r="M74" s="58" t="n">
        <f aca="false">SUMIFS(L_COSTO,L_PER,C74)</f>
        <v>0</v>
      </c>
    </row>
    <row r="75" customFormat="false" ht="15" hidden="false" customHeight="false" outlineLevel="0" collapsed="false">
      <c r="C75" s="59" t="s">
        <v>148</v>
      </c>
      <c r="D75" s="59"/>
      <c r="E75" s="60" t="n">
        <f aca="false">SUM(E51:E74)</f>
        <v>4</v>
      </c>
      <c r="F75" s="60" t="n">
        <f aca="false">SUM(F51:F74)</f>
        <v>1</v>
      </c>
      <c r="G75" s="61" t="n">
        <f aca="false">SUM(G51:G74)</f>
        <v>1</v>
      </c>
      <c r="H75" s="61" t="n">
        <f aca="false">SUM(H51:H74)</f>
        <v>3</v>
      </c>
      <c r="I75" s="60" t="n">
        <f aca="false">SUM(I51:I74)</f>
        <v>75</v>
      </c>
      <c r="J75" s="61" t="n">
        <f aca="false">SUM(J51:J74)</f>
        <v>15</v>
      </c>
      <c r="K75" s="62" t="n">
        <f aca="false">SUM(K51:K74)</f>
        <v>900000</v>
      </c>
      <c r="L75" s="62" t="n">
        <f aca="false">SUM(L51:L74)</f>
        <v>4088042</v>
      </c>
      <c r="M75" s="62" t="n">
        <f aca="false">SUM(M51:M74)</f>
        <v>5939349</v>
      </c>
    </row>
  </sheetData>
  <mergeCells count="81">
    <mergeCell ref="C5:D5"/>
    <mergeCell ref="E5:G5"/>
    <mergeCell ref="H5:J5"/>
    <mergeCell ref="K5:M5"/>
    <mergeCell ref="C6:D6"/>
    <mergeCell ref="E6:G6"/>
    <mergeCell ref="H6:J6"/>
    <mergeCell ref="K6:M6"/>
    <mergeCell ref="C7:D7"/>
    <mergeCell ref="E7:G7"/>
    <mergeCell ref="H7:J7"/>
    <mergeCell ref="K7:M7"/>
    <mergeCell ref="C9:D9"/>
    <mergeCell ref="E9:G9"/>
    <mergeCell ref="H9:J9"/>
    <mergeCell ref="K9:M9"/>
    <mergeCell ref="C10:D10"/>
    <mergeCell ref="E10:G10"/>
    <mergeCell ref="H10:J10"/>
    <mergeCell ref="K10:M10"/>
    <mergeCell ref="C11:D11"/>
    <mergeCell ref="E11:G11"/>
    <mergeCell ref="H11:J11"/>
    <mergeCell ref="K11:M11"/>
    <mergeCell ref="C13:D13"/>
    <mergeCell ref="E13:G13"/>
    <mergeCell ref="H13:J13"/>
    <mergeCell ref="K13:M13"/>
    <mergeCell ref="C14:D14"/>
    <mergeCell ref="E14:G14"/>
    <mergeCell ref="H14:J14"/>
    <mergeCell ref="K14:M14"/>
    <mergeCell ref="C15:D15"/>
    <mergeCell ref="E15:G15"/>
    <mergeCell ref="H15:J15"/>
    <mergeCell ref="K15:M15"/>
    <mergeCell ref="C17:D17"/>
    <mergeCell ref="E17:G17"/>
    <mergeCell ref="H17:J17"/>
    <mergeCell ref="K17:M17"/>
    <mergeCell ref="C18:D18"/>
    <mergeCell ref="E18:G18"/>
    <mergeCell ref="H18:J18"/>
    <mergeCell ref="K18:M18"/>
    <mergeCell ref="C19:D19"/>
    <mergeCell ref="E19:G19"/>
    <mergeCell ref="H19:J19"/>
    <mergeCell ref="K19:M19"/>
    <mergeCell ref="J22:M22"/>
    <mergeCell ref="J23:M23"/>
    <mergeCell ref="J24:M24"/>
    <mergeCell ref="J25:M25"/>
    <mergeCell ref="J26:M26"/>
    <mergeCell ref="J27:M27"/>
    <mergeCell ref="J28:M28"/>
    <mergeCell ref="J29:M29"/>
    <mergeCell ref="J30:M30"/>
    <mergeCell ref="J31:M31"/>
    <mergeCell ref="J32:M32"/>
    <mergeCell ref="C35:H35"/>
    <mergeCell ref="J35:M35"/>
    <mergeCell ref="C36:H36"/>
    <mergeCell ref="J36:M36"/>
    <mergeCell ref="C37:H37"/>
    <mergeCell ref="J37:M37"/>
    <mergeCell ref="C38:H38"/>
    <mergeCell ref="J38:M38"/>
    <mergeCell ref="C39:H39"/>
    <mergeCell ref="J39:M39"/>
    <mergeCell ref="C40:H40"/>
    <mergeCell ref="J40:M40"/>
    <mergeCell ref="C41:H41"/>
    <mergeCell ref="J41:M41"/>
    <mergeCell ref="C42:H42"/>
    <mergeCell ref="J42:M42"/>
    <mergeCell ref="C43:H43"/>
    <mergeCell ref="J43:M43"/>
    <mergeCell ref="C44:H44"/>
    <mergeCell ref="J44:M44"/>
    <mergeCell ref="C45:H45"/>
    <mergeCell ref="J45:M45"/>
  </mergeCells>
  <conditionalFormatting sqref="H23:H32">
    <cfRule type="expression" priority="2" aboveAverage="0" equalAverage="0" bottom="0" percent="0" rank="0" text="" dxfId="0">
      <formula>AND(ISNUMBER($H23),$H23&lt;0)</formula>
    </cfRule>
    <cfRule type="expression" priority="3" aboveAverage="0" equalAverage="0" bottom="0" percent="0" rank="0" text="" dxfId="1">
      <formula>AND(ISNUMBER($H23),$H23&lt;=ALERTA_ROJA)</formula>
    </cfRule>
    <cfRule type="expression" priority="4" aboveAverage="0" equalAverage="0" bottom="0" percent="0" rank="0" text="" dxfId="2">
      <formula>AND(ISNUMBER($H23),$H23&lt;=ALERTA_NARANJA)</formula>
    </cfRule>
    <cfRule type="expression" priority="5" aboveAverage="0" equalAverage="0" bottom="0" percent="0" rank="0" text="" dxfId="3">
      <formula>AND(ISNUMBER($H23),$H23&lt;=ALERTA_AMARILLA)</formula>
    </cfRule>
  </conditionalFormatting>
  <conditionalFormatting sqref="F23:F32">
    <cfRule type="expression" priority="6" aboveAverage="0" equalAverage="0" bottom="0" percent="0" rank="0" text="" dxfId="2">
      <formula>N($F23)&gt;=2</formula>
    </cfRule>
  </conditionalFormatting>
  <conditionalFormatting sqref="I36:I45">
    <cfRule type="expression" priority="7" aboveAverage="0" equalAverage="0" bottom="0" percent="0" rank="0" text="" dxfId="1">
      <formula>N($I36)&gt;0</formula>
    </cfRule>
    <cfRule type="expression" priority="8" aboveAverage="0" equalAverage="0" bottom="0" percent="0" rank="0" text="" dxfId="4">
      <formula>N($I36)=0</formula>
    </cfRule>
  </conditionalFormatting>
  <dataValidations count="1">
    <dataValidation allowBlank="true" error="Seleccione un valor de la lista desplegable." errorStyle="stop" errorTitle="Valor no válido" operator="between" showDropDown="false" showErrorMessage="true" showInputMessage="false" sqref="G48" type="list">
      <formula1>LS_MESES</formula1>
      <formula2>0</formula2>
    </dataValidation>
  </dataValidations>
  <hyperlinks>
    <hyperlink ref="J36" r:id="rId1" location="Control_Contratos!A1" display="Control_Contratos"/>
    <hyperlink ref="J37" r:id="rId2" location="Control_Contratos!A1" display="Control_Contratos"/>
    <hyperlink ref="J38" r:id="rId3" location="Control_Contratos!A1" display="Control_Contratos"/>
    <hyperlink ref="J39" r:id="rId4" location="Control_Contratos!A1" display="Control_Contratos"/>
    <hyperlink ref="J40" r:id="rId5" location="Contratos!A1" display="Contratos (columna Validación)"/>
    <hyperlink ref="J41" r:id="rId6" location="Trabajadores!A1" display="Trabajadores (columna Alertas)"/>
    <hyperlink ref="J42" r:id="rId7" location="Provision_Vacaciones!A1" display="Provision_Vacaciones"/>
    <hyperlink ref="J43" r:id="rId8" location="Novedades!A1" display="Novedades / Liquidaciones"/>
    <hyperlink ref="J44" r:id="rId9" location="Imposiciones!A1" display="Imposiciones"/>
    <hyperlink ref="J45" r:id="rId10" location="Imposiciones!A1" display="Imposicion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AA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3"/>
    <col collapsed="false" customWidth="true" hidden="false" outlineLevel="0" max="4" min="4" style="0" width="26"/>
    <col collapsed="false" customWidth="true" hidden="false" outlineLevel="0" max="5" min="5" style="0" width="22"/>
    <col collapsed="false" customWidth="true" hidden="false" outlineLevel="0" max="6" min="6" style="0" width="15"/>
    <col collapsed="false" customWidth="true" hidden="false" outlineLevel="0" max="7" min="7" style="0" width="11"/>
    <col collapsed="false" customWidth="true" hidden="false" outlineLevel="0" max="8" min="8" style="0" width="12"/>
    <col collapsed="false" customWidth="true" hidden="false" outlineLevel="0" max="9" min="9" style="0" width="30"/>
    <col collapsed="false" customWidth="true" hidden="false" outlineLevel="0" max="10" min="10" style="0" width="9"/>
    <col collapsed="false" customWidth="true" hidden="false" outlineLevel="0" max="11" min="11" style="0" width="30"/>
    <col collapsed="false" customWidth="true" hidden="false" outlineLevel="0" max="12" min="12" style="0" width="11"/>
    <col collapsed="false" customWidth="true" hidden="false" outlineLevel="0" max="13" min="13" style="0" width="10"/>
    <col collapsed="false" customWidth="true" hidden="false" outlineLevel="0" max="14" min="14" style="0" width="11"/>
    <col collapsed="false" customWidth="true" hidden="false" outlineLevel="0" max="15" min="15" style="0" width="10"/>
    <col collapsed="false" customWidth="true" hidden="false" outlineLevel="0" max="18" min="16" style="0" width="8"/>
    <col collapsed="false" customWidth="true" hidden="false" outlineLevel="0" max="20" min="19" style="0" width="13"/>
    <col collapsed="false" customWidth="true" hidden="false" outlineLevel="0" max="21" min="21" style="0" width="24"/>
    <col collapsed="false" customWidth="true" hidden="false" outlineLevel="0" max="22" min="22" style="0" width="15"/>
    <col collapsed="false" customWidth="true" hidden="false" outlineLevel="0" max="23" min="23" style="0" width="10"/>
    <col collapsed="false" customWidth="true" hidden="false" outlineLevel="0" max="24" min="24" style="0" width="13"/>
    <col collapsed="false" customWidth="true" hidden="false" outlineLevel="0" max="25" min="25" style="0" width="12"/>
    <col collapsed="false" customWidth="true" hidden="false" outlineLevel="0" max="26" min="26" style="0" width="36"/>
    <col collapsed="false" customWidth="true" hidden="true" outlineLevel="0" max="27" min="27" style="0" width="5"/>
  </cols>
  <sheetData>
    <row r="2" customFormat="false" ht="24" hidden="false" customHeight="true" outlineLevel="0" collapsed="false">
      <c r="B2" s="1" t="s">
        <v>149</v>
      </c>
      <c r="C2" s="2"/>
      <c r="D2" s="2"/>
      <c r="E2" s="2"/>
      <c r="F2" s="2"/>
      <c r="G2" s="2"/>
      <c r="H2" s="2"/>
      <c r="I2" s="2"/>
      <c r="J2" s="2"/>
      <c r="K2" s="2"/>
      <c r="L2" s="2"/>
      <c r="M2" s="2"/>
      <c r="N2" s="2"/>
      <c r="O2" s="2"/>
      <c r="P2" s="2"/>
      <c r="Q2" s="2"/>
      <c r="R2" s="2"/>
      <c r="S2" s="2"/>
      <c r="T2" s="2"/>
      <c r="U2" s="2"/>
      <c r="V2" s="2"/>
      <c r="W2" s="2"/>
      <c r="X2" s="2"/>
      <c r="Y2" s="2"/>
      <c r="Z2" s="2"/>
      <c r="AA2" s="2"/>
    </row>
    <row r="3" customFormat="false" ht="15.75" hidden="false" customHeight="true" outlineLevel="0" collapsed="false">
      <c r="B3" s="3" t="s">
        <v>150</v>
      </c>
      <c r="C3" s="2"/>
      <c r="D3" s="2"/>
      <c r="E3" s="2"/>
      <c r="F3" s="2"/>
      <c r="G3" s="2"/>
      <c r="H3" s="2"/>
      <c r="I3" s="2"/>
      <c r="J3" s="2"/>
      <c r="K3" s="2"/>
      <c r="L3" s="2"/>
      <c r="M3" s="2"/>
      <c r="N3" s="2"/>
      <c r="O3" s="2"/>
      <c r="P3" s="2"/>
      <c r="Q3" s="2"/>
      <c r="R3" s="2"/>
      <c r="S3" s="2"/>
      <c r="T3" s="2"/>
      <c r="U3" s="2"/>
      <c r="V3" s="2"/>
      <c r="W3" s="2"/>
      <c r="X3" s="2"/>
      <c r="Y3" s="2"/>
      <c r="Z3" s="2"/>
      <c r="AA3" s="2"/>
    </row>
    <row r="4" customFormat="false" ht="15" hidden="false" customHeight="false" outlineLevel="0" collapsed="false">
      <c r="B4" s="63" t="s">
        <v>151</v>
      </c>
    </row>
    <row r="6" customFormat="false" ht="63.75" hidden="false" customHeight="true" outlineLevel="0" collapsed="false">
      <c r="B6" s="42" t="s">
        <v>152</v>
      </c>
      <c r="C6" s="42" t="s">
        <v>153</v>
      </c>
      <c r="D6" s="42" t="s">
        <v>154</v>
      </c>
      <c r="E6" s="42" t="s">
        <v>113</v>
      </c>
      <c r="F6" s="42" t="s">
        <v>155</v>
      </c>
      <c r="G6" s="42" t="s">
        <v>156</v>
      </c>
      <c r="H6" s="42" t="s">
        <v>157</v>
      </c>
      <c r="I6" s="42" t="s">
        <v>158</v>
      </c>
      <c r="J6" s="42" t="s">
        <v>159</v>
      </c>
      <c r="K6" s="42" t="s">
        <v>160</v>
      </c>
      <c r="L6" s="42" t="s">
        <v>161</v>
      </c>
      <c r="M6" s="42" t="s">
        <v>162</v>
      </c>
      <c r="N6" s="42" t="s">
        <v>163</v>
      </c>
      <c r="O6" s="42" t="s">
        <v>164</v>
      </c>
      <c r="P6" s="42" t="s">
        <v>165</v>
      </c>
      <c r="Q6" s="42" t="s">
        <v>166</v>
      </c>
      <c r="R6" s="42" t="s">
        <v>167</v>
      </c>
      <c r="S6" s="42" t="s">
        <v>168</v>
      </c>
      <c r="T6" s="42" t="s">
        <v>169</v>
      </c>
      <c r="U6" s="42" t="s">
        <v>170</v>
      </c>
      <c r="V6" s="53" t="s">
        <v>171</v>
      </c>
      <c r="W6" s="53" t="s">
        <v>172</v>
      </c>
      <c r="X6" s="53" t="s">
        <v>173</v>
      </c>
      <c r="Y6" s="53" t="s">
        <v>174</v>
      </c>
      <c r="Z6" s="53" t="s">
        <v>175</v>
      </c>
      <c r="AA6" s="53" t="s">
        <v>176</v>
      </c>
    </row>
    <row r="7" customFormat="false" ht="15" hidden="false" customHeight="false" outlineLevel="0" collapsed="false">
      <c r="B7" s="64" t="s">
        <v>177</v>
      </c>
      <c r="C7" s="64" t="s">
        <v>178</v>
      </c>
      <c r="D7" s="64" t="s">
        <v>179</v>
      </c>
      <c r="E7" s="64" t="s">
        <v>180</v>
      </c>
      <c r="F7" s="64" t="s">
        <v>181</v>
      </c>
      <c r="G7" s="65" t="n">
        <v>44256</v>
      </c>
      <c r="H7" s="65"/>
      <c r="I7" s="64"/>
      <c r="J7" s="66" t="n">
        <v>42</v>
      </c>
      <c r="K7" s="64" t="s">
        <v>182</v>
      </c>
      <c r="L7" s="67" t="n">
        <v>100000</v>
      </c>
      <c r="M7" s="67" t="n">
        <v>60000</v>
      </c>
      <c r="N7" s="67" t="n">
        <v>40000</v>
      </c>
      <c r="O7" s="64" t="s">
        <v>183</v>
      </c>
      <c r="P7" s="64" t="s">
        <v>184</v>
      </c>
      <c r="Q7" s="68" t="n">
        <v>4.2</v>
      </c>
      <c r="R7" s="66" t="n">
        <v>1</v>
      </c>
      <c r="S7" s="66" t="n">
        <v>8</v>
      </c>
      <c r="T7" s="69" t="n">
        <v>60</v>
      </c>
      <c r="U7" s="64" t="s">
        <v>185</v>
      </c>
      <c r="V7" s="70" t="str">
        <f aca="false">IF(B7="","",IF(NOT(ISNUMBER(G7)),"⚠ Falta fecha ingreso",IF(G7&gt;FECHA_CORTE,"Por ingresar",IF(H7="","Activo",IF(H7&lt;FECHA_CORTE,"Desvinculado","Activo (egreso programado)")))))</f>
        <v>Activo</v>
      </c>
      <c r="W7" s="70" t="str">
        <f aca="false">IF(OR(B7="",NOT(ISNUMBER(G7))),"",IF(G7&gt;FECHA_CORTE,"",DATEDIF(G7,IF(H7="",FECHA_CORTE,MIN(H7,FECHA_CORTE))+1,"y")&amp;" a "&amp;DATEDIF(G7,IF(H7="",FECHA_CORTE,MIN(H7,FECHA_CORTE))+1,"ym")&amp;" m"))</f>
        <v>5 a 7 m</v>
      </c>
      <c r="X7" s="71" t="n">
        <f aca="false">IF(B7="","",IFERROR(INDEX(C_SUELDO,MATCH(B7&amp;"-S"&amp;MAX(1,COUNTIFS(C_ID,B7,C_SUELDO,"&lt;&gt;",C_INICIO,"&lt;="&amp;FECHA_CORTE)),C_CLAVES,0)),0))</f>
        <v>1250000</v>
      </c>
      <c r="Y7" s="70" t="str">
        <f aca="false">IF(B7="","",IFERROR(INDEX(C_TIPO,MATCH(B7&amp;"-P"&amp;MAX(1,COUNTIFS(C_ID,B7,C_DEFINE,"Sí",C_INICIO,"&lt;="&amp;FECHA_CORTE)),C_CLAVE,0))&amp;"","Sin contrato"))</f>
        <v>Indefinido</v>
      </c>
      <c r="Z7" s="70" t="str">
        <f aca="false">IF(B7="","",IF(COUNTIF(T_ID,B7)&gt;1,"⚠ ID duplicado",IF(Y7="Sin contrato","⚠ Registrar el contrato en la hoja Contratos",IF(AND(LEFT(V7,6)="Activo",X7&lt;IMM_HOY*MIN(1,IF(N(J7)=0,JORNADA_LEGAL,J7)/JORNADA_LEGAL)),"⚠ Sueldo base bajo el ingreso mínimo",IF(O7="","⚠ Falta AFP",IF(P7="","⚠ Falta sistema de salud",IF(AND(P7="Isapre",N(Q7)=0),"⚠ Falta plan Isapre (UF)",IF(AND(N(J7)&gt;JORNADA_LEGAL,LEFT(V7,6)="Activo"),"⚠ Jornada sobre el máximo legal","OK"))))))))</f>
        <v>OK</v>
      </c>
      <c r="AA7" s="72" t="n">
        <f aca="false">IFERROR(IF(AND(B7&lt;&gt;"",ISNUMBER(G7)),IF(AND(G7&lt;=EOMONTH(ENVIO_PER,0),OR(H7="",H7&gt;=ENVIO_PER)),MAX(AA$6:AA6)+1,""),""),"")</f>
        <v>1</v>
      </c>
    </row>
    <row r="8" customFormat="false" ht="15" hidden="false" customHeight="false" outlineLevel="0" collapsed="false">
      <c r="B8" s="64" t="s">
        <v>186</v>
      </c>
      <c r="C8" s="64" t="s">
        <v>187</v>
      </c>
      <c r="D8" s="64" t="s">
        <v>188</v>
      </c>
      <c r="E8" s="64" t="s">
        <v>189</v>
      </c>
      <c r="F8" s="64" t="s">
        <v>190</v>
      </c>
      <c r="G8" s="65" t="n">
        <v>46237</v>
      </c>
      <c r="H8" s="65"/>
      <c r="I8" s="64"/>
      <c r="J8" s="66" t="n">
        <v>42</v>
      </c>
      <c r="K8" s="64" t="s">
        <v>182</v>
      </c>
      <c r="L8" s="67" t="n">
        <v>0</v>
      </c>
      <c r="M8" s="67" t="n">
        <v>40000</v>
      </c>
      <c r="N8" s="67" t="n">
        <v>30000</v>
      </c>
      <c r="O8" s="64" t="s">
        <v>191</v>
      </c>
      <c r="P8" s="64" t="s">
        <v>192</v>
      </c>
      <c r="Q8" s="68"/>
      <c r="R8" s="66" t="n">
        <v>0</v>
      </c>
      <c r="S8" s="66" t="n">
        <v>3</v>
      </c>
      <c r="T8" s="69" t="n">
        <v>0</v>
      </c>
      <c r="U8" s="64" t="s">
        <v>185</v>
      </c>
      <c r="V8" s="70" t="str">
        <f aca="false">IF(B8="","",IF(NOT(ISNUMBER(G8)),"⚠ Falta fecha ingreso",IF(G8&gt;FECHA_CORTE,"Por ingresar",IF(H8="","Activo",IF(H8&lt;FECHA_CORTE,"Desvinculado","Activo (egreso programado)")))))</f>
        <v>Activo</v>
      </c>
      <c r="W8" s="70" t="str">
        <f aca="false">IF(OR(B8="",NOT(ISNUMBER(G8))),"",IF(G8&gt;FECHA_CORTE,"",DATEDIF(G8,IF(H8="",FECHA_CORTE,MIN(H8,FECHA_CORTE))+1,"y")&amp;" a "&amp;DATEDIF(G8,IF(H8="",FECHA_CORTE,MIN(H8,FECHA_CORTE))+1,"ym")&amp;" m"))</f>
        <v>0 a 2 m</v>
      </c>
      <c r="X8" s="71" t="n">
        <f aca="false">IF(B8="","",IFERROR(INDEX(C_SUELDO,MATCH(B8&amp;"-S"&amp;MAX(1,COUNTIFS(C_ID,B8,C_SUELDO,"&lt;&gt;",C_INICIO,"&lt;="&amp;FECHA_CORTE)),C_CLAVES,0)),0))</f>
        <v>580000</v>
      </c>
      <c r="Y8" s="70" t="str">
        <f aca="false">IF(B8="","",IFERROR(INDEX(C_TIPO,MATCH(B8&amp;"-P"&amp;MAX(1,COUNTIFS(C_ID,B8,C_DEFINE,"Sí",C_INICIO,"&lt;="&amp;FECHA_CORTE)),C_CLAVE,0))&amp;"","Sin contrato"))</f>
        <v>Plazo fijo</v>
      </c>
      <c r="Z8" s="70" t="str">
        <f aca="false">IF(B8="","",IF(COUNTIF(T_ID,B8)&gt;1,"⚠ ID duplicado",IF(Y8="Sin contrato","⚠ Registrar el contrato en la hoja Contratos",IF(AND(LEFT(V8,6)="Activo",X8&lt;IMM_HOY*MIN(1,IF(N(J8)=0,JORNADA_LEGAL,J8)/JORNADA_LEGAL)),"⚠ Sueldo base bajo el ingreso mínimo",IF(O8="","⚠ Falta AFP",IF(P8="","⚠ Falta sistema de salud",IF(AND(P8="Isapre",N(Q8)=0),"⚠ Falta plan Isapre (UF)",IF(AND(N(J8)&gt;JORNADA_LEGAL,LEFT(V8,6)="Activo"),"⚠ Jornada sobre el máximo legal","OK"))))))))</f>
        <v>OK</v>
      </c>
      <c r="AA8" s="72" t="n">
        <f aca="false">IFERROR(IF(AND(B8&lt;&gt;"",ISNUMBER(G8)),IF(AND(G8&lt;=EOMONTH(ENVIO_PER,0),OR(H8="",H8&gt;=ENVIO_PER)),MAX(AA$6:AA7)+1,""),""),"")</f>
        <v>2</v>
      </c>
    </row>
    <row r="9" customFormat="false" ht="15" hidden="false" customHeight="false" outlineLevel="0" collapsed="false">
      <c r="B9" s="64" t="s">
        <v>193</v>
      </c>
      <c r="C9" s="64" t="s">
        <v>194</v>
      </c>
      <c r="D9" s="64" t="s">
        <v>195</v>
      </c>
      <c r="E9" s="64" t="s">
        <v>196</v>
      </c>
      <c r="F9" s="64" t="s">
        <v>197</v>
      </c>
      <c r="G9" s="65" t="n">
        <v>46097</v>
      </c>
      <c r="H9" s="65"/>
      <c r="I9" s="64"/>
      <c r="J9" s="66" t="n">
        <v>42</v>
      </c>
      <c r="K9" s="64" t="s">
        <v>182</v>
      </c>
      <c r="L9" s="67" t="n">
        <v>0</v>
      </c>
      <c r="M9" s="67" t="n">
        <v>50000</v>
      </c>
      <c r="N9" s="67" t="n">
        <v>30000</v>
      </c>
      <c r="O9" s="64" t="s">
        <v>198</v>
      </c>
      <c r="P9" s="64" t="s">
        <v>192</v>
      </c>
      <c r="Q9" s="68"/>
      <c r="R9" s="66" t="n">
        <v>0</v>
      </c>
      <c r="S9" s="66" t="n">
        <v>2</v>
      </c>
      <c r="T9" s="69" t="n">
        <v>0</v>
      </c>
      <c r="U9" s="64" t="s">
        <v>185</v>
      </c>
      <c r="V9" s="70" t="str">
        <f aca="false">IF(B9="","",IF(NOT(ISNUMBER(G9)),"⚠ Falta fecha ingreso",IF(G9&gt;FECHA_CORTE,"Por ingresar",IF(H9="","Activo",IF(H9&lt;FECHA_CORTE,"Desvinculado","Activo (egreso programado)")))))</f>
        <v>Activo</v>
      </c>
      <c r="W9" s="70" t="str">
        <f aca="false">IF(OR(B9="",NOT(ISNUMBER(G9))),"",IF(G9&gt;FECHA_CORTE,"",DATEDIF(G9,IF(H9="",FECHA_CORTE,MIN(H9,FECHA_CORTE))+1,"y")&amp;" a "&amp;DATEDIF(G9,IF(H9="",FECHA_CORTE,MIN(H9,FECHA_CORTE))+1,"ym")&amp;" m"))</f>
        <v>0 a 7 m</v>
      </c>
      <c r="X9" s="71" t="n">
        <f aca="false">IF(B9="","",IFERROR(INDEX(C_SUELDO,MATCH(B9&amp;"-S"&amp;MAX(1,COUNTIFS(C_ID,B9,C_SUELDO,"&lt;&gt;",C_INICIO,"&lt;="&amp;FECHA_CORTE)),C_CLAVES,0)),0))</f>
        <v>850000</v>
      </c>
      <c r="Y9" s="70" t="str">
        <f aca="false">IF(B9="","",IFERROR(INDEX(C_TIPO,MATCH(B9&amp;"-P"&amp;MAX(1,COUNTIFS(C_ID,B9,C_DEFINE,"Sí",C_INICIO,"&lt;="&amp;FECHA_CORTE)),C_CLAVE,0))&amp;"","Sin contrato"))</f>
        <v>Plazo fijo</v>
      </c>
      <c r="Z9" s="70" t="str">
        <f aca="false">IF(B9="","",IF(COUNTIF(T_ID,B9)&gt;1,"⚠ ID duplicado",IF(Y9="Sin contrato","⚠ Registrar el contrato en la hoja Contratos",IF(AND(LEFT(V9,6)="Activo",X9&lt;IMM_HOY*MIN(1,IF(N(J9)=0,JORNADA_LEGAL,J9)/JORNADA_LEGAL)),"⚠ Sueldo base bajo el ingreso mínimo",IF(O9="","⚠ Falta AFP",IF(P9="","⚠ Falta sistema de salud",IF(AND(P9="Isapre",N(Q9)=0),"⚠ Falta plan Isapre (UF)",IF(AND(N(J9)&gt;JORNADA_LEGAL,LEFT(V9,6)="Activo"),"⚠ Jornada sobre el máximo legal","OK"))))))))</f>
        <v>OK</v>
      </c>
      <c r="AA9" s="72" t="n">
        <f aca="false">IFERROR(IF(AND(B9&lt;&gt;"",ISNUMBER(G9)),IF(AND(G9&lt;=EOMONTH(ENVIO_PER,0),OR(H9="",H9&gt;=ENVIO_PER)),MAX(AA$6:AA8)+1,""),""),"")</f>
        <v>3</v>
      </c>
    </row>
    <row r="10" customFormat="false" ht="15" hidden="false" customHeight="false" outlineLevel="0" collapsed="false">
      <c r="B10" s="64" t="s">
        <v>199</v>
      </c>
      <c r="C10" s="64" t="s">
        <v>200</v>
      </c>
      <c r="D10" s="64" t="s">
        <v>201</v>
      </c>
      <c r="E10" s="64" t="s">
        <v>202</v>
      </c>
      <c r="F10" s="64" t="s">
        <v>203</v>
      </c>
      <c r="G10" s="65" t="n">
        <v>45110</v>
      </c>
      <c r="H10" s="65"/>
      <c r="I10" s="64"/>
      <c r="J10" s="66" t="n">
        <v>42</v>
      </c>
      <c r="K10" s="64" t="s">
        <v>182</v>
      </c>
      <c r="L10" s="67" t="n">
        <v>0</v>
      </c>
      <c r="M10" s="67" t="n">
        <v>40000</v>
      </c>
      <c r="N10" s="67" t="n">
        <v>30000</v>
      </c>
      <c r="O10" s="64" t="s">
        <v>204</v>
      </c>
      <c r="P10" s="64" t="s">
        <v>192</v>
      </c>
      <c r="Q10" s="68"/>
      <c r="R10" s="66" t="n">
        <v>2</v>
      </c>
      <c r="S10" s="66" t="n">
        <v>12</v>
      </c>
      <c r="T10" s="69" t="n">
        <v>0</v>
      </c>
      <c r="U10" s="64" t="s">
        <v>185</v>
      </c>
      <c r="V10" s="70" t="str">
        <f aca="false">IF(B10="","",IF(NOT(ISNUMBER(G10)),"⚠ Falta fecha ingreso",IF(G10&gt;FECHA_CORTE,"Por ingresar",IF(H10="","Activo",IF(H10&lt;FECHA_CORTE,"Desvinculado","Activo (egreso programado)")))))</f>
        <v>Activo</v>
      </c>
      <c r="W10" s="70" t="str">
        <f aca="false">IF(OR(B10="",NOT(ISNUMBER(G10))),"",IF(G10&gt;FECHA_CORTE,"",DATEDIF(G10,IF(H10="",FECHA_CORTE,MIN(H10,FECHA_CORTE))+1,"y")&amp;" a "&amp;DATEDIF(G10,IF(H10="",FECHA_CORTE,MIN(H10,FECHA_CORTE))+1,"ym")&amp;" m"))</f>
        <v>3 a 3 m</v>
      </c>
      <c r="X10" s="71" t="n">
        <f aca="false">IF(B10="","",IFERROR(INDEX(C_SUELDO,MATCH(B10&amp;"-S"&amp;MAX(1,COUNTIFS(C_ID,B10,C_SUELDO,"&lt;&gt;",C_INICIO,"&lt;="&amp;FECHA_CORTE)),C_CLAVES,0)),0))</f>
        <v>720000</v>
      </c>
      <c r="Y10" s="70" t="str">
        <f aca="false">IF(B10="","",IFERROR(INDEX(C_TIPO,MATCH(B10&amp;"-P"&amp;MAX(1,COUNTIFS(C_ID,B10,C_DEFINE,"Sí",C_INICIO,"&lt;="&amp;FECHA_CORTE)),C_CLAVE,0))&amp;"","Sin contrato"))</f>
        <v>Indefinido</v>
      </c>
      <c r="Z10" s="70" t="str">
        <f aca="false">IF(B10="","",IF(COUNTIF(T_ID,B10)&gt;1,"⚠ ID duplicado",IF(Y10="Sin contrato","⚠ Registrar el contrato en la hoja Contratos",IF(AND(LEFT(V10,6)="Activo",X10&lt;IMM_HOY*MIN(1,IF(N(J10)=0,JORNADA_LEGAL,J10)/JORNADA_LEGAL)),"⚠ Sueldo base bajo el ingreso mínimo",IF(O10="","⚠ Falta AFP",IF(P10="","⚠ Falta sistema de salud",IF(AND(P10="Isapre",N(Q10)=0),"⚠ Falta plan Isapre (UF)",IF(AND(N(J10)&gt;JORNADA_LEGAL,LEFT(V10,6)="Activo"),"⚠ Jornada sobre el máximo legal","OK"))))))))</f>
        <v>OK</v>
      </c>
      <c r="AA10" s="72" t="n">
        <f aca="false">IFERROR(IF(AND(B10&lt;&gt;"",ISNUMBER(G10)),IF(AND(G10&lt;=EOMONTH(ENVIO_PER,0),OR(H10="",H10&gt;=ENVIO_PER)),MAX(AA$6:AA9)+1,""),""),"")</f>
        <v>4</v>
      </c>
    </row>
    <row r="11" customFormat="false" ht="15" hidden="false" customHeight="false" outlineLevel="0" collapsed="false">
      <c r="B11" s="64" t="s">
        <v>205</v>
      </c>
      <c r="C11" s="64" t="s">
        <v>206</v>
      </c>
      <c r="D11" s="64" t="s">
        <v>207</v>
      </c>
      <c r="E11" s="64" t="s">
        <v>208</v>
      </c>
      <c r="F11" s="64" t="s">
        <v>209</v>
      </c>
      <c r="G11" s="65" t="n">
        <v>46266</v>
      </c>
      <c r="H11" s="65"/>
      <c r="I11" s="64"/>
      <c r="J11" s="66" t="n">
        <v>42</v>
      </c>
      <c r="K11" s="64" t="s">
        <v>182</v>
      </c>
      <c r="L11" s="67" t="n">
        <v>0</v>
      </c>
      <c r="M11" s="67" t="n">
        <v>40000</v>
      </c>
      <c r="N11" s="67" t="n">
        <v>20000</v>
      </c>
      <c r="O11" s="64" t="s">
        <v>210</v>
      </c>
      <c r="P11" s="64" t="s">
        <v>192</v>
      </c>
      <c r="Q11" s="68"/>
      <c r="R11" s="66" t="n">
        <v>1</v>
      </c>
      <c r="S11" s="66" t="n">
        <v>5</v>
      </c>
      <c r="T11" s="69" t="n">
        <v>0</v>
      </c>
      <c r="U11" s="64" t="s">
        <v>185</v>
      </c>
      <c r="V11" s="70" t="str">
        <f aca="false">IF(B11="","",IF(NOT(ISNUMBER(G11)),"⚠ Falta fecha ingreso",IF(G11&gt;FECHA_CORTE,"Por ingresar",IF(H11="","Activo",IF(H11&lt;FECHA_CORTE,"Desvinculado","Activo (egreso programado)")))))</f>
        <v>Activo</v>
      </c>
      <c r="W11" s="70" t="str">
        <f aca="false">IF(OR(B11="",NOT(ISNUMBER(G11))),"",IF(G11&gt;FECHA_CORTE,"",DATEDIF(G11,IF(H11="",FECHA_CORTE,MIN(H11,FECHA_CORTE))+1,"y")&amp;" a "&amp;DATEDIF(G11,IF(H11="",FECHA_CORTE,MIN(H11,FECHA_CORTE))+1,"ym")&amp;" m"))</f>
        <v>0 a 1 m</v>
      </c>
      <c r="X11" s="71" t="n">
        <f aca="false">IF(B11="","",IFERROR(INDEX(C_SUELDO,MATCH(B11&amp;"-S"&amp;MAX(1,COUNTIFS(C_ID,B11,C_SUELDO,"&lt;&gt;",C_INICIO,"&lt;="&amp;FECHA_CORTE)),C_CLAVES,0)),0))</f>
        <v>560000</v>
      </c>
      <c r="Y11" s="70" t="str">
        <f aca="false">IF(B11="","",IFERROR(INDEX(C_TIPO,MATCH(B11&amp;"-P"&amp;MAX(1,COUNTIFS(C_ID,B11,C_DEFINE,"Sí",C_INICIO,"&lt;="&amp;FECHA_CORTE)),C_CLAVE,0))&amp;"","Sin contrato"))</f>
        <v>Obra o faena</v>
      </c>
      <c r="Z11" s="70" t="str">
        <f aca="false">IF(B11="","",IF(COUNTIF(T_ID,B11)&gt;1,"⚠ ID duplicado",IF(Y11="Sin contrato","⚠ Registrar el contrato en la hoja Contratos",IF(AND(LEFT(V11,6)="Activo",X11&lt;IMM_HOY*MIN(1,IF(N(J11)=0,JORNADA_LEGAL,J11)/JORNADA_LEGAL)),"⚠ Sueldo base bajo el ingreso mínimo",IF(O11="","⚠ Falta AFP",IF(P11="","⚠ Falta sistema de salud",IF(AND(P11="Isapre",N(Q11)=0),"⚠ Falta plan Isapre (UF)",IF(AND(N(J11)&gt;JORNADA_LEGAL,LEFT(V11,6)="Activo"),"⚠ Jornada sobre el máximo legal","OK"))))))))</f>
        <v>OK</v>
      </c>
      <c r="AA11" s="72" t="n">
        <f aca="false">IFERROR(IF(AND(B11&lt;&gt;"",ISNUMBER(G11)),IF(AND(G11&lt;=EOMONTH(ENVIO_PER,0),OR(H11="",H11&gt;=ENVIO_PER)),MAX(AA$6:AA10)+1,""),""),"")</f>
        <v>5</v>
      </c>
    </row>
    <row r="12" customFormat="false" ht="15" hidden="false" customHeight="false" outlineLevel="0" collapsed="false">
      <c r="B12" s="64" t="s">
        <v>211</v>
      </c>
      <c r="C12" s="64" t="s">
        <v>212</v>
      </c>
      <c r="D12" s="64" t="s">
        <v>213</v>
      </c>
      <c r="E12" s="64" t="s">
        <v>214</v>
      </c>
      <c r="F12" s="64" t="s">
        <v>215</v>
      </c>
      <c r="G12" s="65" t="n">
        <v>45964</v>
      </c>
      <c r="H12" s="65" t="n">
        <v>46055</v>
      </c>
      <c r="I12" s="64" t="s">
        <v>216</v>
      </c>
      <c r="J12" s="66" t="n">
        <v>42</v>
      </c>
      <c r="K12" s="64" t="s">
        <v>182</v>
      </c>
      <c r="L12" s="67" t="n">
        <v>0</v>
      </c>
      <c r="M12" s="67" t="n">
        <v>40000</v>
      </c>
      <c r="N12" s="67" t="n">
        <v>20000</v>
      </c>
      <c r="O12" s="64" t="s">
        <v>217</v>
      </c>
      <c r="P12" s="64" t="s">
        <v>192</v>
      </c>
      <c r="Q12" s="68"/>
      <c r="R12" s="66" t="n">
        <v>0</v>
      </c>
      <c r="S12" s="66" t="n">
        <v>1</v>
      </c>
      <c r="T12" s="69" t="n">
        <v>0</v>
      </c>
      <c r="U12" s="64" t="s">
        <v>185</v>
      </c>
      <c r="V12" s="70" t="str">
        <f aca="false">IF(B12="","",IF(NOT(ISNUMBER(G12)),"⚠ Falta fecha ingreso",IF(G12&gt;FECHA_CORTE,"Por ingresar",IF(H12="","Activo",IF(H12&lt;FECHA_CORTE,"Desvinculado","Activo (egreso programado)")))))</f>
        <v>Desvinculado</v>
      </c>
      <c r="W12" s="70" t="str">
        <f aca="false">IF(OR(B12="",NOT(ISNUMBER(G12))),"",IF(G12&gt;FECHA_CORTE,"",DATEDIF(G12,IF(H12="",FECHA_CORTE,MIN(H12,FECHA_CORTE))+1,"y")&amp;" a "&amp;DATEDIF(G12,IF(H12="",FECHA_CORTE,MIN(H12,FECHA_CORTE))+1,"ym")&amp;" m"))</f>
        <v>0 a 3 m</v>
      </c>
      <c r="X12" s="71" t="n">
        <f aca="false">IF(B12="","",IFERROR(INDEX(C_SUELDO,MATCH(B12&amp;"-S"&amp;MAX(1,COUNTIFS(C_ID,B12,C_SUELDO,"&lt;&gt;",C_INICIO,"&lt;="&amp;FECHA_CORTE)),C_CLAVES,0)),0))</f>
        <v>540000</v>
      </c>
      <c r="Y12" s="70" t="str">
        <f aca="false">IF(B12="","",IFERROR(INDEX(C_TIPO,MATCH(B12&amp;"-P"&amp;MAX(1,COUNTIFS(C_ID,B12,C_DEFINE,"Sí",C_INICIO,"&lt;="&amp;FECHA_CORTE)),C_CLAVE,0))&amp;"","Sin contrato"))</f>
        <v>Plazo fijo</v>
      </c>
      <c r="Z12" s="70" t="str">
        <f aca="false">IF(B12="","",IF(COUNTIF(T_ID,B12)&gt;1,"⚠ ID duplicado",IF(Y12="Sin contrato","⚠ Registrar el contrato en la hoja Contratos",IF(AND(LEFT(V12,6)="Activo",X12&lt;IMM_HOY*MIN(1,IF(N(J12)=0,JORNADA_LEGAL,J12)/JORNADA_LEGAL)),"⚠ Sueldo base bajo el ingreso mínimo",IF(O12="","⚠ Falta AFP",IF(P12="","⚠ Falta sistema de salud",IF(AND(P12="Isapre",N(Q12)=0),"⚠ Falta plan Isapre (UF)",IF(AND(N(J12)&gt;JORNADA_LEGAL,LEFT(V12,6)="Activo"),"⚠ Jornada sobre el máximo legal","OK"))))))))</f>
        <v>OK</v>
      </c>
      <c r="AA12" s="72" t="str">
        <f aca="false">IFERROR(IF(AND(B12&lt;&gt;"",ISNUMBER(G12)),IF(AND(G12&lt;=EOMONTH(ENVIO_PER,0),OR(H12="",H12&gt;=ENVIO_PER)),MAX(AA$6:AA11)+1,""),""),"")</f>
        <v/>
      </c>
    </row>
    <row r="13" customFormat="false" ht="15" hidden="false" customHeight="false" outlineLevel="0" collapsed="false">
      <c r="B13" s="64"/>
      <c r="C13" s="64"/>
      <c r="D13" s="64"/>
      <c r="E13" s="64"/>
      <c r="F13" s="64"/>
      <c r="G13" s="65"/>
      <c r="H13" s="65"/>
      <c r="I13" s="64"/>
      <c r="J13" s="66"/>
      <c r="K13" s="64"/>
      <c r="L13" s="67"/>
      <c r="M13" s="67"/>
      <c r="N13" s="67"/>
      <c r="O13" s="64"/>
      <c r="P13" s="64"/>
      <c r="Q13" s="68"/>
      <c r="R13" s="66"/>
      <c r="S13" s="66"/>
      <c r="T13" s="69"/>
      <c r="U13" s="64"/>
      <c r="V13" s="70" t="str">
        <f aca="false">IF(B13="","",IF(NOT(ISNUMBER(G13)),"⚠ Falta fecha ingreso",IF(G13&gt;FECHA_CORTE,"Por ingresar",IF(H13="","Activo",IF(H13&lt;FECHA_CORTE,"Desvinculado","Activo (egreso programado)")))))</f>
        <v/>
      </c>
      <c r="W13" s="70" t="str">
        <f aca="false">IF(OR(B13="",NOT(ISNUMBER(G13))),"",IF(G13&gt;FECHA_CORTE,"",DATEDIF(G13,IF(H13="",FECHA_CORTE,MIN(H13,FECHA_CORTE))+1,"y")&amp;" a "&amp;DATEDIF(G13,IF(H13="",FECHA_CORTE,MIN(H13,FECHA_CORTE))+1,"ym")&amp;" m"))</f>
        <v/>
      </c>
      <c r="X13" s="71" t="str">
        <f aca="false">IF(B13="","",IFERROR(INDEX(C_SUELDO,MATCH(B13&amp;"-S"&amp;MAX(1,COUNTIFS(C_ID,B13,C_SUELDO,"&lt;&gt;",C_INICIO,"&lt;="&amp;FECHA_CORTE)),C_CLAVES,0)),0))</f>
        <v/>
      </c>
      <c r="Y13" s="70" t="str">
        <f aca="false">IF(B13="","",IFERROR(INDEX(C_TIPO,MATCH(B13&amp;"-P"&amp;MAX(1,COUNTIFS(C_ID,B13,C_DEFINE,"Sí",C_INICIO,"&lt;="&amp;FECHA_CORTE)),C_CLAVE,0))&amp;"","Sin contrato"))</f>
        <v/>
      </c>
      <c r="Z13" s="70" t="str">
        <f aca="false">IF(B13="","",IF(COUNTIF(T_ID,B13)&gt;1,"⚠ ID duplicado",IF(Y13="Sin contrato","⚠ Registrar el contrato en la hoja Contratos",IF(AND(LEFT(V13,6)="Activo",X13&lt;IMM_HOY*MIN(1,IF(N(J13)=0,JORNADA_LEGAL,J13)/JORNADA_LEGAL)),"⚠ Sueldo base bajo el ingreso mínimo",IF(O13="","⚠ Falta AFP",IF(P13="","⚠ Falta sistema de salud",IF(AND(P13="Isapre",N(Q13)=0),"⚠ Falta plan Isapre (UF)",IF(AND(N(J13)&gt;JORNADA_LEGAL,LEFT(V13,6)="Activo"),"⚠ Jornada sobre el máximo legal","OK"))))))))</f>
        <v/>
      </c>
      <c r="AA13" s="72" t="str">
        <f aca="false">IFERROR(IF(AND(B13&lt;&gt;"",ISNUMBER(G13)),IF(AND(G13&lt;=EOMONTH(ENVIO_PER,0),OR(H13="",H13&gt;=ENVIO_PER)),MAX(AA$6:AA12)+1,""),""),"")</f>
        <v/>
      </c>
    </row>
    <row r="14" customFormat="false" ht="15" hidden="false" customHeight="false" outlineLevel="0" collapsed="false">
      <c r="B14" s="64"/>
      <c r="C14" s="64"/>
      <c r="D14" s="64"/>
      <c r="E14" s="64"/>
      <c r="F14" s="64"/>
      <c r="G14" s="65"/>
      <c r="H14" s="65"/>
      <c r="I14" s="64"/>
      <c r="J14" s="66"/>
      <c r="K14" s="64"/>
      <c r="L14" s="67"/>
      <c r="M14" s="67"/>
      <c r="N14" s="67"/>
      <c r="O14" s="64"/>
      <c r="P14" s="64"/>
      <c r="Q14" s="68"/>
      <c r="R14" s="66"/>
      <c r="S14" s="66"/>
      <c r="T14" s="69"/>
      <c r="U14" s="64"/>
      <c r="V14" s="70" t="str">
        <f aca="false">IF(B14="","",IF(NOT(ISNUMBER(G14)),"⚠ Falta fecha ingreso",IF(G14&gt;FECHA_CORTE,"Por ingresar",IF(H14="","Activo",IF(H14&lt;FECHA_CORTE,"Desvinculado","Activo (egreso programado)")))))</f>
        <v/>
      </c>
      <c r="W14" s="70" t="str">
        <f aca="false">IF(OR(B14="",NOT(ISNUMBER(G14))),"",IF(G14&gt;FECHA_CORTE,"",DATEDIF(G14,IF(H14="",FECHA_CORTE,MIN(H14,FECHA_CORTE))+1,"y")&amp;" a "&amp;DATEDIF(G14,IF(H14="",FECHA_CORTE,MIN(H14,FECHA_CORTE))+1,"ym")&amp;" m"))</f>
        <v/>
      </c>
      <c r="X14" s="71" t="str">
        <f aca="false">IF(B14="","",IFERROR(INDEX(C_SUELDO,MATCH(B14&amp;"-S"&amp;MAX(1,COUNTIFS(C_ID,B14,C_SUELDO,"&lt;&gt;",C_INICIO,"&lt;="&amp;FECHA_CORTE)),C_CLAVES,0)),0))</f>
        <v/>
      </c>
      <c r="Y14" s="70" t="str">
        <f aca="false">IF(B14="","",IFERROR(INDEX(C_TIPO,MATCH(B14&amp;"-P"&amp;MAX(1,COUNTIFS(C_ID,B14,C_DEFINE,"Sí",C_INICIO,"&lt;="&amp;FECHA_CORTE)),C_CLAVE,0))&amp;"","Sin contrato"))</f>
        <v/>
      </c>
      <c r="Z14" s="70" t="str">
        <f aca="false">IF(B14="","",IF(COUNTIF(T_ID,B14)&gt;1,"⚠ ID duplicado",IF(Y14="Sin contrato","⚠ Registrar el contrato en la hoja Contratos",IF(AND(LEFT(V14,6)="Activo",X14&lt;IMM_HOY*MIN(1,IF(N(J14)=0,JORNADA_LEGAL,J14)/JORNADA_LEGAL)),"⚠ Sueldo base bajo el ingreso mínimo",IF(O14="","⚠ Falta AFP",IF(P14="","⚠ Falta sistema de salud",IF(AND(P14="Isapre",N(Q14)=0),"⚠ Falta plan Isapre (UF)",IF(AND(N(J14)&gt;JORNADA_LEGAL,LEFT(V14,6)="Activo"),"⚠ Jornada sobre el máximo legal","OK"))))))))</f>
        <v/>
      </c>
      <c r="AA14" s="72" t="str">
        <f aca="false">IFERROR(IF(AND(B14&lt;&gt;"",ISNUMBER(G14)),IF(AND(G14&lt;=EOMONTH(ENVIO_PER,0),OR(H14="",H14&gt;=ENVIO_PER)),MAX(AA$6:AA13)+1,""),""),"")</f>
        <v/>
      </c>
    </row>
    <row r="15" customFormat="false" ht="15" hidden="false" customHeight="false" outlineLevel="0" collapsed="false">
      <c r="B15" s="64"/>
      <c r="C15" s="64"/>
      <c r="D15" s="64"/>
      <c r="E15" s="64"/>
      <c r="F15" s="64"/>
      <c r="G15" s="65"/>
      <c r="H15" s="65"/>
      <c r="I15" s="64"/>
      <c r="J15" s="66"/>
      <c r="K15" s="64"/>
      <c r="L15" s="67"/>
      <c r="M15" s="67"/>
      <c r="N15" s="67"/>
      <c r="O15" s="64"/>
      <c r="P15" s="64"/>
      <c r="Q15" s="68"/>
      <c r="R15" s="66"/>
      <c r="S15" s="66"/>
      <c r="T15" s="69"/>
      <c r="U15" s="64"/>
      <c r="V15" s="70" t="str">
        <f aca="false">IF(B15="","",IF(NOT(ISNUMBER(G15)),"⚠ Falta fecha ingreso",IF(G15&gt;FECHA_CORTE,"Por ingresar",IF(H15="","Activo",IF(H15&lt;FECHA_CORTE,"Desvinculado","Activo (egreso programado)")))))</f>
        <v/>
      </c>
      <c r="W15" s="70" t="str">
        <f aca="false">IF(OR(B15="",NOT(ISNUMBER(G15))),"",IF(G15&gt;FECHA_CORTE,"",DATEDIF(G15,IF(H15="",FECHA_CORTE,MIN(H15,FECHA_CORTE))+1,"y")&amp;" a "&amp;DATEDIF(G15,IF(H15="",FECHA_CORTE,MIN(H15,FECHA_CORTE))+1,"ym")&amp;" m"))</f>
        <v/>
      </c>
      <c r="X15" s="71" t="str">
        <f aca="false">IF(B15="","",IFERROR(INDEX(C_SUELDO,MATCH(B15&amp;"-S"&amp;MAX(1,COUNTIFS(C_ID,B15,C_SUELDO,"&lt;&gt;",C_INICIO,"&lt;="&amp;FECHA_CORTE)),C_CLAVES,0)),0))</f>
        <v/>
      </c>
      <c r="Y15" s="70" t="str">
        <f aca="false">IF(B15="","",IFERROR(INDEX(C_TIPO,MATCH(B15&amp;"-P"&amp;MAX(1,COUNTIFS(C_ID,B15,C_DEFINE,"Sí",C_INICIO,"&lt;="&amp;FECHA_CORTE)),C_CLAVE,0))&amp;"","Sin contrato"))</f>
        <v/>
      </c>
      <c r="Z15" s="70" t="str">
        <f aca="false">IF(B15="","",IF(COUNTIF(T_ID,B15)&gt;1,"⚠ ID duplicado",IF(Y15="Sin contrato","⚠ Registrar el contrato en la hoja Contratos",IF(AND(LEFT(V15,6)="Activo",X15&lt;IMM_HOY*MIN(1,IF(N(J15)=0,JORNADA_LEGAL,J15)/JORNADA_LEGAL)),"⚠ Sueldo base bajo el ingreso mínimo",IF(O15="","⚠ Falta AFP",IF(P15="","⚠ Falta sistema de salud",IF(AND(P15="Isapre",N(Q15)=0),"⚠ Falta plan Isapre (UF)",IF(AND(N(J15)&gt;JORNADA_LEGAL,LEFT(V15,6)="Activo"),"⚠ Jornada sobre el máximo legal","OK"))))))))</f>
        <v/>
      </c>
      <c r="AA15" s="72" t="str">
        <f aca="false">IFERROR(IF(AND(B15&lt;&gt;"",ISNUMBER(G15)),IF(AND(G15&lt;=EOMONTH(ENVIO_PER,0),OR(H15="",H15&gt;=ENVIO_PER)),MAX(AA$6:AA14)+1,""),""),"")</f>
        <v/>
      </c>
    </row>
    <row r="16" customFormat="false" ht="15" hidden="false" customHeight="false" outlineLevel="0" collapsed="false">
      <c r="B16" s="64"/>
      <c r="C16" s="64"/>
      <c r="D16" s="64"/>
      <c r="E16" s="64"/>
      <c r="F16" s="64"/>
      <c r="G16" s="65"/>
      <c r="H16" s="65"/>
      <c r="I16" s="64"/>
      <c r="J16" s="66"/>
      <c r="K16" s="64"/>
      <c r="L16" s="67"/>
      <c r="M16" s="67"/>
      <c r="N16" s="67"/>
      <c r="O16" s="64"/>
      <c r="P16" s="64"/>
      <c r="Q16" s="68"/>
      <c r="R16" s="66"/>
      <c r="S16" s="66"/>
      <c r="T16" s="69"/>
      <c r="U16" s="64"/>
      <c r="V16" s="70" t="str">
        <f aca="false">IF(B16="","",IF(NOT(ISNUMBER(G16)),"⚠ Falta fecha ingreso",IF(G16&gt;FECHA_CORTE,"Por ingresar",IF(H16="","Activo",IF(H16&lt;FECHA_CORTE,"Desvinculado","Activo (egreso programado)")))))</f>
        <v/>
      </c>
      <c r="W16" s="70" t="str">
        <f aca="false">IF(OR(B16="",NOT(ISNUMBER(G16))),"",IF(G16&gt;FECHA_CORTE,"",DATEDIF(G16,IF(H16="",FECHA_CORTE,MIN(H16,FECHA_CORTE))+1,"y")&amp;" a "&amp;DATEDIF(G16,IF(H16="",FECHA_CORTE,MIN(H16,FECHA_CORTE))+1,"ym")&amp;" m"))</f>
        <v/>
      </c>
      <c r="X16" s="71" t="str">
        <f aca="false">IF(B16="","",IFERROR(INDEX(C_SUELDO,MATCH(B16&amp;"-S"&amp;MAX(1,COUNTIFS(C_ID,B16,C_SUELDO,"&lt;&gt;",C_INICIO,"&lt;="&amp;FECHA_CORTE)),C_CLAVES,0)),0))</f>
        <v/>
      </c>
      <c r="Y16" s="70" t="str">
        <f aca="false">IF(B16="","",IFERROR(INDEX(C_TIPO,MATCH(B16&amp;"-P"&amp;MAX(1,COUNTIFS(C_ID,B16,C_DEFINE,"Sí",C_INICIO,"&lt;="&amp;FECHA_CORTE)),C_CLAVE,0))&amp;"","Sin contrato"))</f>
        <v/>
      </c>
      <c r="Z16" s="70" t="str">
        <f aca="false">IF(B16="","",IF(COUNTIF(T_ID,B16)&gt;1,"⚠ ID duplicado",IF(Y16="Sin contrato","⚠ Registrar el contrato en la hoja Contratos",IF(AND(LEFT(V16,6)="Activo",X16&lt;IMM_HOY*MIN(1,IF(N(J16)=0,JORNADA_LEGAL,J16)/JORNADA_LEGAL)),"⚠ Sueldo base bajo el ingreso mínimo",IF(O16="","⚠ Falta AFP",IF(P16="","⚠ Falta sistema de salud",IF(AND(P16="Isapre",N(Q16)=0),"⚠ Falta plan Isapre (UF)",IF(AND(N(J16)&gt;JORNADA_LEGAL,LEFT(V16,6)="Activo"),"⚠ Jornada sobre el máximo legal","OK"))))))))</f>
        <v/>
      </c>
      <c r="AA16" s="72" t="str">
        <f aca="false">IFERROR(IF(AND(B16&lt;&gt;"",ISNUMBER(G16)),IF(AND(G16&lt;=EOMONTH(ENVIO_PER,0),OR(H16="",H16&gt;=ENVIO_PER)),MAX(AA$6:AA15)+1,""),""),"")</f>
        <v/>
      </c>
    </row>
    <row r="17" customFormat="false" ht="15" hidden="false" customHeight="false" outlineLevel="0" collapsed="false">
      <c r="B17" s="64"/>
      <c r="C17" s="64"/>
      <c r="D17" s="64"/>
      <c r="E17" s="64"/>
      <c r="F17" s="64"/>
      <c r="G17" s="65"/>
      <c r="H17" s="65"/>
      <c r="I17" s="64"/>
      <c r="J17" s="66"/>
      <c r="K17" s="64"/>
      <c r="L17" s="67"/>
      <c r="M17" s="67"/>
      <c r="N17" s="67"/>
      <c r="O17" s="64"/>
      <c r="P17" s="64"/>
      <c r="Q17" s="68"/>
      <c r="R17" s="66"/>
      <c r="S17" s="66"/>
      <c r="T17" s="69"/>
      <c r="U17" s="64"/>
      <c r="V17" s="70" t="str">
        <f aca="false">IF(B17="","",IF(NOT(ISNUMBER(G17)),"⚠ Falta fecha ingreso",IF(G17&gt;FECHA_CORTE,"Por ingresar",IF(H17="","Activo",IF(H17&lt;FECHA_CORTE,"Desvinculado","Activo (egreso programado)")))))</f>
        <v/>
      </c>
      <c r="W17" s="70" t="str">
        <f aca="false">IF(OR(B17="",NOT(ISNUMBER(G17))),"",IF(G17&gt;FECHA_CORTE,"",DATEDIF(G17,IF(H17="",FECHA_CORTE,MIN(H17,FECHA_CORTE))+1,"y")&amp;" a "&amp;DATEDIF(G17,IF(H17="",FECHA_CORTE,MIN(H17,FECHA_CORTE))+1,"ym")&amp;" m"))</f>
        <v/>
      </c>
      <c r="X17" s="71" t="str">
        <f aca="false">IF(B17="","",IFERROR(INDEX(C_SUELDO,MATCH(B17&amp;"-S"&amp;MAX(1,COUNTIFS(C_ID,B17,C_SUELDO,"&lt;&gt;",C_INICIO,"&lt;="&amp;FECHA_CORTE)),C_CLAVES,0)),0))</f>
        <v/>
      </c>
      <c r="Y17" s="70" t="str">
        <f aca="false">IF(B17="","",IFERROR(INDEX(C_TIPO,MATCH(B17&amp;"-P"&amp;MAX(1,COUNTIFS(C_ID,B17,C_DEFINE,"Sí",C_INICIO,"&lt;="&amp;FECHA_CORTE)),C_CLAVE,0))&amp;"","Sin contrato"))</f>
        <v/>
      </c>
      <c r="Z17" s="70" t="str">
        <f aca="false">IF(B17="","",IF(COUNTIF(T_ID,B17)&gt;1,"⚠ ID duplicado",IF(Y17="Sin contrato","⚠ Registrar el contrato en la hoja Contratos",IF(AND(LEFT(V17,6)="Activo",X17&lt;IMM_HOY*MIN(1,IF(N(J17)=0,JORNADA_LEGAL,J17)/JORNADA_LEGAL)),"⚠ Sueldo base bajo el ingreso mínimo",IF(O17="","⚠ Falta AFP",IF(P17="","⚠ Falta sistema de salud",IF(AND(P17="Isapre",N(Q17)=0),"⚠ Falta plan Isapre (UF)",IF(AND(N(J17)&gt;JORNADA_LEGAL,LEFT(V17,6)="Activo"),"⚠ Jornada sobre el máximo legal","OK"))))))))</f>
        <v/>
      </c>
      <c r="AA17" s="72" t="str">
        <f aca="false">IFERROR(IF(AND(B17&lt;&gt;"",ISNUMBER(G17)),IF(AND(G17&lt;=EOMONTH(ENVIO_PER,0),OR(H17="",H17&gt;=ENVIO_PER)),MAX(AA$6:AA16)+1,""),""),"")</f>
        <v/>
      </c>
    </row>
    <row r="18" customFormat="false" ht="15" hidden="false" customHeight="false" outlineLevel="0" collapsed="false">
      <c r="B18" s="64"/>
      <c r="C18" s="64"/>
      <c r="D18" s="64"/>
      <c r="E18" s="64"/>
      <c r="F18" s="64"/>
      <c r="G18" s="65"/>
      <c r="H18" s="65"/>
      <c r="I18" s="64"/>
      <c r="J18" s="66"/>
      <c r="K18" s="64"/>
      <c r="L18" s="67"/>
      <c r="M18" s="67"/>
      <c r="N18" s="67"/>
      <c r="O18" s="64"/>
      <c r="P18" s="64"/>
      <c r="Q18" s="68"/>
      <c r="R18" s="66"/>
      <c r="S18" s="66"/>
      <c r="T18" s="69"/>
      <c r="U18" s="64"/>
      <c r="V18" s="70" t="str">
        <f aca="false">IF(B18="","",IF(NOT(ISNUMBER(G18)),"⚠ Falta fecha ingreso",IF(G18&gt;FECHA_CORTE,"Por ingresar",IF(H18="","Activo",IF(H18&lt;FECHA_CORTE,"Desvinculado","Activo (egreso programado)")))))</f>
        <v/>
      </c>
      <c r="W18" s="70" t="str">
        <f aca="false">IF(OR(B18="",NOT(ISNUMBER(G18))),"",IF(G18&gt;FECHA_CORTE,"",DATEDIF(G18,IF(H18="",FECHA_CORTE,MIN(H18,FECHA_CORTE))+1,"y")&amp;" a "&amp;DATEDIF(G18,IF(H18="",FECHA_CORTE,MIN(H18,FECHA_CORTE))+1,"ym")&amp;" m"))</f>
        <v/>
      </c>
      <c r="X18" s="71" t="str">
        <f aca="false">IF(B18="","",IFERROR(INDEX(C_SUELDO,MATCH(B18&amp;"-S"&amp;MAX(1,COUNTIFS(C_ID,B18,C_SUELDO,"&lt;&gt;",C_INICIO,"&lt;="&amp;FECHA_CORTE)),C_CLAVES,0)),0))</f>
        <v/>
      </c>
      <c r="Y18" s="70" t="str">
        <f aca="false">IF(B18="","",IFERROR(INDEX(C_TIPO,MATCH(B18&amp;"-P"&amp;MAX(1,COUNTIFS(C_ID,B18,C_DEFINE,"Sí",C_INICIO,"&lt;="&amp;FECHA_CORTE)),C_CLAVE,0))&amp;"","Sin contrato"))</f>
        <v/>
      </c>
      <c r="Z18" s="70" t="str">
        <f aca="false">IF(B18="","",IF(COUNTIF(T_ID,B18)&gt;1,"⚠ ID duplicado",IF(Y18="Sin contrato","⚠ Registrar el contrato en la hoja Contratos",IF(AND(LEFT(V18,6)="Activo",X18&lt;IMM_HOY*MIN(1,IF(N(J18)=0,JORNADA_LEGAL,J18)/JORNADA_LEGAL)),"⚠ Sueldo base bajo el ingreso mínimo",IF(O18="","⚠ Falta AFP",IF(P18="","⚠ Falta sistema de salud",IF(AND(P18="Isapre",N(Q18)=0),"⚠ Falta plan Isapre (UF)",IF(AND(N(J18)&gt;JORNADA_LEGAL,LEFT(V18,6)="Activo"),"⚠ Jornada sobre el máximo legal","OK"))))))))</f>
        <v/>
      </c>
      <c r="AA18" s="72" t="str">
        <f aca="false">IFERROR(IF(AND(B18&lt;&gt;"",ISNUMBER(G18)),IF(AND(G18&lt;=EOMONTH(ENVIO_PER,0),OR(H18="",H18&gt;=ENVIO_PER)),MAX(AA$6:AA17)+1,""),""),"")</f>
        <v/>
      </c>
    </row>
    <row r="19" customFormat="false" ht="15" hidden="false" customHeight="false" outlineLevel="0" collapsed="false">
      <c r="B19" s="64"/>
      <c r="C19" s="64"/>
      <c r="D19" s="64"/>
      <c r="E19" s="64"/>
      <c r="F19" s="64"/>
      <c r="G19" s="65"/>
      <c r="H19" s="65"/>
      <c r="I19" s="64"/>
      <c r="J19" s="66"/>
      <c r="K19" s="64"/>
      <c r="L19" s="67"/>
      <c r="M19" s="67"/>
      <c r="N19" s="67"/>
      <c r="O19" s="64"/>
      <c r="P19" s="64"/>
      <c r="Q19" s="68"/>
      <c r="R19" s="66"/>
      <c r="S19" s="66"/>
      <c r="T19" s="69"/>
      <c r="U19" s="64"/>
      <c r="V19" s="70" t="str">
        <f aca="false">IF(B19="","",IF(NOT(ISNUMBER(G19)),"⚠ Falta fecha ingreso",IF(G19&gt;FECHA_CORTE,"Por ingresar",IF(H19="","Activo",IF(H19&lt;FECHA_CORTE,"Desvinculado","Activo (egreso programado)")))))</f>
        <v/>
      </c>
      <c r="W19" s="70" t="str">
        <f aca="false">IF(OR(B19="",NOT(ISNUMBER(G19))),"",IF(G19&gt;FECHA_CORTE,"",DATEDIF(G19,IF(H19="",FECHA_CORTE,MIN(H19,FECHA_CORTE))+1,"y")&amp;" a "&amp;DATEDIF(G19,IF(H19="",FECHA_CORTE,MIN(H19,FECHA_CORTE))+1,"ym")&amp;" m"))</f>
        <v/>
      </c>
      <c r="X19" s="71" t="str">
        <f aca="false">IF(B19="","",IFERROR(INDEX(C_SUELDO,MATCH(B19&amp;"-S"&amp;MAX(1,COUNTIFS(C_ID,B19,C_SUELDO,"&lt;&gt;",C_INICIO,"&lt;="&amp;FECHA_CORTE)),C_CLAVES,0)),0))</f>
        <v/>
      </c>
      <c r="Y19" s="70" t="str">
        <f aca="false">IF(B19="","",IFERROR(INDEX(C_TIPO,MATCH(B19&amp;"-P"&amp;MAX(1,COUNTIFS(C_ID,B19,C_DEFINE,"Sí",C_INICIO,"&lt;="&amp;FECHA_CORTE)),C_CLAVE,0))&amp;"","Sin contrato"))</f>
        <v/>
      </c>
      <c r="Z19" s="70" t="str">
        <f aca="false">IF(B19="","",IF(COUNTIF(T_ID,B19)&gt;1,"⚠ ID duplicado",IF(Y19="Sin contrato","⚠ Registrar el contrato en la hoja Contratos",IF(AND(LEFT(V19,6)="Activo",X19&lt;IMM_HOY*MIN(1,IF(N(J19)=0,JORNADA_LEGAL,J19)/JORNADA_LEGAL)),"⚠ Sueldo base bajo el ingreso mínimo",IF(O19="","⚠ Falta AFP",IF(P19="","⚠ Falta sistema de salud",IF(AND(P19="Isapre",N(Q19)=0),"⚠ Falta plan Isapre (UF)",IF(AND(N(J19)&gt;JORNADA_LEGAL,LEFT(V19,6)="Activo"),"⚠ Jornada sobre el máximo legal","OK"))))))))</f>
        <v/>
      </c>
      <c r="AA19" s="72" t="str">
        <f aca="false">IFERROR(IF(AND(B19&lt;&gt;"",ISNUMBER(G19)),IF(AND(G19&lt;=EOMONTH(ENVIO_PER,0),OR(H19="",H19&gt;=ENVIO_PER)),MAX(AA$6:AA18)+1,""),""),"")</f>
        <v/>
      </c>
    </row>
    <row r="20" customFormat="false" ht="15" hidden="false" customHeight="false" outlineLevel="0" collapsed="false">
      <c r="B20" s="64"/>
      <c r="C20" s="64"/>
      <c r="D20" s="64"/>
      <c r="E20" s="64"/>
      <c r="F20" s="64"/>
      <c r="G20" s="65"/>
      <c r="H20" s="65"/>
      <c r="I20" s="64"/>
      <c r="J20" s="66"/>
      <c r="K20" s="64"/>
      <c r="L20" s="67"/>
      <c r="M20" s="67"/>
      <c r="N20" s="67"/>
      <c r="O20" s="64"/>
      <c r="P20" s="64"/>
      <c r="Q20" s="68"/>
      <c r="R20" s="66"/>
      <c r="S20" s="66"/>
      <c r="T20" s="69"/>
      <c r="U20" s="64"/>
      <c r="V20" s="70" t="str">
        <f aca="false">IF(B20="","",IF(NOT(ISNUMBER(G20)),"⚠ Falta fecha ingreso",IF(G20&gt;FECHA_CORTE,"Por ingresar",IF(H20="","Activo",IF(H20&lt;FECHA_CORTE,"Desvinculado","Activo (egreso programado)")))))</f>
        <v/>
      </c>
      <c r="W20" s="70" t="str">
        <f aca="false">IF(OR(B20="",NOT(ISNUMBER(G20))),"",IF(G20&gt;FECHA_CORTE,"",DATEDIF(G20,IF(H20="",FECHA_CORTE,MIN(H20,FECHA_CORTE))+1,"y")&amp;" a "&amp;DATEDIF(G20,IF(H20="",FECHA_CORTE,MIN(H20,FECHA_CORTE))+1,"ym")&amp;" m"))</f>
        <v/>
      </c>
      <c r="X20" s="71" t="str">
        <f aca="false">IF(B20="","",IFERROR(INDEX(C_SUELDO,MATCH(B20&amp;"-S"&amp;MAX(1,COUNTIFS(C_ID,B20,C_SUELDO,"&lt;&gt;",C_INICIO,"&lt;="&amp;FECHA_CORTE)),C_CLAVES,0)),0))</f>
        <v/>
      </c>
      <c r="Y20" s="70" t="str">
        <f aca="false">IF(B20="","",IFERROR(INDEX(C_TIPO,MATCH(B20&amp;"-P"&amp;MAX(1,COUNTIFS(C_ID,B20,C_DEFINE,"Sí",C_INICIO,"&lt;="&amp;FECHA_CORTE)),C_CLAVE,0))&amp;"","Sin contrato"))</f>
        <v/>
      </c>
      <c r="Z20" s="70" t="str">
        <f aca="false">IF(B20="","",IF(COUNTIF(T_ID,B20)&gt;1,"⚠ ID duplicado",IF(Y20="Sin contrato","⚠ Registrar el contrato en la hoja Contratos",IF(AND(LEFT(V20,6)="Activo",X20&lt;IMM_HOY*MIN(1,IF(N(J20)=0,JORNADA_LEGAL,J20)/JORNADA_LEGAL)),"⚠ Sueldo base bajo el ingreso mínimo",IF(O20="","⚠ Falta AFP",IF(P20="","⚠ Falta sistema de salud",IF(AND(P20="Isapre",N(Q20)=0),"⚠ Falta plan Isapre (UF)",IF(AND(N(J20)&gt;JORNADA_LEGAL,LEFT(V20,6)="Activo"),"⚠ Jornada sobre el máximo legal","OK"))))))))</f>
        <v/>
      </c>
      <c r="AA20" s="72" t="str">
        <f aca="false">IFERROR(IF(AND(B20&lt;&gt;"",ISNUMBER(G20)),IF(AND(G20&lt;=EOMONTH(ENVIO_PER,0),OR(H20="",H20&gt;=ENVIO_PER)),MAX(AA$6:AA19)+1,""),""),"")</f>
        <v/>
      </c>
    </row>
    <row r="21" customFormat="false" ht="15" hidden="false" customHeight="false" outlineLevel="0" collapsed="false">
      <c r="B21" s="64"/>
      <c r="C21" s="64"/>
      <c r="D21" s="64"/>
      <c r="E21" s="64"/>
      <c r="F21" s="64"/>
      <c r="G21" s="65"/>
      <c r="H21" s="65"/>
      <c r="I21" s="64"/>
      <c r="J21" s="66"/>
      <c r="K21" s="64"/>
      <c r="L21" s="67"/>
      <c r="M21" s="67"/>
      <c r="N21" s="67"/>
      <c r="O21" s="64"/>
      <c r="P21" s="64"/>
      <c r="Q21" s="68"/>
      <c r="R21" s="66"/>
      <c r="S21" s="66"/>
      <c r="T21" s="69"/>
      <c r="U21" s="64"/>
      <c r="V21" s="70" t="str">
        <f aca="false">IF(B21="","",IF(NOT(ISNUMBER(G21)),"⚠ Falta fecha ingreso",IF(G21&gt;FECHA_CORTE,"Por ingresar",IF(H21="","Activo",IF(H21&lt;FECHA_CORTE,"Desvinculado","Activo (egreso programado)")))))</f>
        <v/>
      </c>
      <c r="W21" s="70" t="str">
        <f aca="false">IF(OR(B21="",NOT(ISNUMBER(G21))),"",IF(G21&gt;FECHA_CORTE,"",DATEDIF(G21,IF(H21="",FECHA_CORTE,MIN(H21,FECHA_CORTE))+1,"y")&amp;" a "&amp;DATEDIF(G21,IF(H21="",FECHA_CORTE,MIN(H21,FECHA_CORTE))+1,"ym")&amp;" m"))</f>
        <v/>
      </c>
      <c r="X21" s="71" t="str">
        <f aca="false">IF(B21="","",IFERROR(INDEX(C_SUELDO,MATCH(B21&amp;"-S"&amp;MAX(1,COUNTIFS(C_ID,B21,C_SUELDO,"&lt;&gt;",C_INICIO,"&lt;="&amp;FECHA_CORTE)),C_CLAVES,0)),0))</f>
        <v/>
      </c>
      <c r="Y21" s="70" t="str">
        <f aca="false">IF(B21="","",IFERROR(INDEX(C_TIPO,MATCH(B21&amp;"-P"&amp;MAX(1,COUNTIFS(C_ID,B21,C_DEFINE,"Sí",C_INICIO,"&lt;="&amp;FECHA_CORTE)),C_CLAVE,0))&amp;"","Sin contrato"))</f>
        <v/>
      </c>
      <c r="Z21" s="70" t="str">
        <f aca="false">IF(B21="","",IF(COUNTIF(T_ID,B21)&gt;1,"⚠ ID duplicado",IF(Y21="Sin contrato","⚠ Registrar el contrato en la hoja Contratos",IF(AND(LEFT(V21,6)="Activo",X21&lt;IMM_HOY*MIN(1,IF(N(J21)=0,JORNADA_LEGAL,J21)/JORNADA_LEGAL)),"⚠ Sueldo base bajo el ingreso mínimo",IF(O21="","⚠ Falta AFP",IF(P21="","⚠ Falta sistema de salud",IF(AND(P21="Isapre",N(Q21)=0),"⚠ Falta plan Isapre (UF)",IF(AND(N(J21)&gt;JORNADA_LEGAL,LEFT(V21,6)="Activo"),"⚠ Jornada sobre el máximo legal","OK"))))))))</f>
        <v/>
      </c>
      <c r="AA21" s="72" t="str">
        <f aca="false">IFERROR(IF(AND(B21&lt;&gt;"",ISNUMBER(G21)),IF(AND(G21&lt;=EOMONTH(ENVIO_PER,0),OR(H21="",H21&gt;=ENVIO_PER)),MAX(AA$6:AA20)+1,""),""),"")</f>
        <v/>
      </c>
    </row>
    <row r="22" customFormat="false" ht="15" hidden="false" customHeight="false" outlineLevel="0" collapsed="false">
      <c r="B22" s="64"/>
      <c r="C22" s="64"/>
      <c r="D22" s="64"/>
      <c r="E22" s="64"/>
      <c r="F22" s="64"/>
      <c r="G22" s="65"/>
      <c r="H22" s="65"/>
      <c r="I22" s="64"/>
      <c r="J22" s="66"/>
      <c r="K22" s="64"/>
      <c r="L22" s="67"/>
      <c r="M22" s="67"/>
      <c r="N22" s="67"/>
      <c r="O22" s="64"/>
      <c r="P22" s="64"/>
      <c r="Q22" s="68"/>
      <c r="R22" s="66"/>
      <c r="S22" s="66"/>
      <c r="T22" s="69"/>
      <c r="U22" s="64"/>
      <c r="V22" s="70" t="str">
        <f aca="false">IF(B22="","",IF(NOT(ISNUMBER(G22)),"⚠ Falta fecha ingreso",IF(G22&gt;FECHA_CORTE,"Por ingresar",IF(H22="","Activo",IF(H22&lt;FECHA_CORTE,"Desvinculado","Activo (egreso programado)")))))</f>
        <v/>
      </c>
      <c r="W22" s="70" t="str">
        <f aca="false">IF(OR(B22="",NOT(ISNUMBER(G22))),"",IF(G22&gt;FECHA_CORTE,"",DATEDIF(G22,IF(H22="",FECHA_CORTE,MIN(H22,FECHA_CORTE))+1,"y")&amp;" a "&amp;DATEDIF(G22,IF(H22="",FECHA_CORTE,MIN(H22,FECHA_CORTE))+1,"ym")&amp;" m"))</f>
        <v/>
      </c>
      <c r="X22" s="71" t="str">
        <f aca="false">IF(B22="","",IFERROR(INDEX(C_SUELDO,MATCH(B22&amp;"-S"&amp;MAX(1,COUNTIFS(C_ID,B22,C_SUELDO,"&lt;&gt;",C_INICIO,"&lt;="&amp;FECHA_CORTE)),C_CLAVES,0)),0))</f>
        <v/>
      </c>
      <c r="Y22" s="70" t="str">
        <f aca="false">IF(B22="","",IFERROR(INDEX(C_TIPO,MATCH(B22&amp;"-P"&amp;MAX(1,COUNTIFS(C_ID,B22,C_DEFINE,"Sí",C_INICIO,"&lt;="&amp;FECHA_CORTE)),C_CLAVE,0))&amp;"","Sin contrato"))</f>
        <v/>
      </c>
      <c r="Z22" s="70" t="str">
        <f aca="false">IF(B22="","",IF(COUNTIF(T_ID,B22)&gt;1,"⚠ ID duplicado",IF(Y22="Sin contrato","⚠ Registrar el contrato en la hoja Contratos",IF(AND(LEFT(V22,6)="Activo",X22&lt;IMM_HOY*MIN(1,IF(N(J22)=0,JORNADA_LEGAL,J22)/JORNADA_LEGAL)),"⚠ Sueldo base bajo el ingreso mínimo",IF(O22="","⚠ Falta AFP",IF(P22="","⚠ Falta sistema de salud",IF(AND(P22="Isapre",N(Q22)=0),"⚠ Falta plan Isapre (UF)",IF(AND(N(J22)&gt;JORNADA_LEGAL,LEFT(V22,6)="Activo"),"⚠ Jornada sobre el máximo legal","OK"))))))))</f>
        <v/>
      </c>
      <c r="AA22" s="72" t="str">
        <f aca="false">IFERROR(IF(AND(B22&lt;&gt;"",ISNUMBER(G22)),IF(AND(G22&lt;=EOMONTH(ENVIO_PER,0),OR(H22="",H22&gt;=ENVIO_PER)),MAX(AA$6:AA21)+1,""),""),"")</f>
        <v/>
      </c>
    </row>
    <row r="23" customFormat="false" ht="15" hidden="false" customHeight="false" outlineLevel="0" collapsed="false">
      <c r="B23" s="64"/>
      <c r="C23" s="64"/>
      <c r="D23" s="64"/>
      <c r="E23" s="64"/>
      <c r="F23" s="64"/>
      <c r="G23" s="65"/>
      <c r="H23" s="65"/>
      <c r="I23" s="64"/>
      <c r="J23" s="66"/>
      <c r="K23" s="64"/>
      <c r="L23" s="67"/>
      <c r="M23" s="67"/>
      <c r="N23" s="67"/>
      <c r="O23" s="64"/>
      <c r="P23" s="64"/>
      <c r="Q23" s="68"/>
      <c r="R23" s="66"/>
      <c r="S23" s="66"/>
      <c r="T23" s="69"/>
      <c r="U23" s="64"/>
      <c r="V23" s="70" t="str">
        <f aca="false">IF(B23="","",IF(NOT(ISNUMBER(G23)),"⚠ Falta fecha ingreso",IF(G23&gt;FECHA_CORTE,"Por ingresar",IF(H23="","Activo",IF(H23&lt;FECHA_CORTE,"Desvinculado","Activo (egreso programado)")))))</f>
        <v/>
      </c>
      <c r="W23" s="70" t="str">
        <f aca="false">IF(OR(B23="",NOT(ISNUMBER(G23))),"",IF(G23&gt;FECHA_CORTE,"",DATEDIF(G23,IF(H23="",FECHA_CORTE,MIN(H23,FECHA_CORTE))+1,"y")&amp;" a "&amp;DATEDIF(G23,IF(H23="",FECHA_CORTE,MIN(H23,FECHA_CORTE))+1,"ym")&amp;" m"))</f>
        <v/>
      </c>
      <c r="X23" s="71" t="str">
        <f aca="false">IF(B23="","",IFERROR(INDEX(C_SUELDO,MATCH(B23&amp;"-S"&amp;MAX(1,COUNTIFS(C_ID,B23,C_SUELDO,"&lt;&gt;",C_INICIO,"&lt;="&amp;FECHA_CORTE)),C_CLAVES,0)),0))</f>
        <v/>
      </c>
      <c r="Y23" s="70" t="str">
        <f aca="false">IF(B23="","",IFERROR(INDEX(C_TIPO,MATCH(B23&amp;"-P"&amp;MAX(1,COUNTIFS(C_ID,B23,C_DEFINE,"Sí",C_INICIO,"&lt;="&amp;FECHA_CORTE)),C_CLAVE,0))&amp;"","Sin contrato"))</f>
        <v/>
      </c>
      <c r="Z23" s="70" t="str">
        <f aca="false">IF(B23="","",IF(COUNTIF(T_ID,B23)&gt;1,"⚠ ID duplicado",IF(Y23="Sin contrato","⚠ Registrar el contrato en la hoja Contratos",IF(AND(LEFT(V23,6)="Activo",X23&lt;IMM_HOY*MIN(1,IF(N(J23)=0,JORNADA_LEGAL,J23)/JORNADA_LEGAL)),"⚠ Sueldo base bajo el ingreso mínimo",IF(O23="","⚠ Falta AFP",IF(P23="","⚠ Falta sistema de salud",IF(AND(P23="Isapre",N(Q23)=0),"⚠ Falta plan Isapre (UF)",IF(AND(N(J23)&gt;JORNADA_LEGAL,LEFT(V23,6)="Activo"),"⚠ Jornada sobre el máximo legal","OK"))))))))</f>
        <v/>
      </c>
      <c r="AA23" s="72" t="str">
        <f aca="false">IFERROR(IF(AND(B23&lt;&gt;"",ISNUMBER(G23)),IF(AND(G23&lt;=EOMONTH(ENVIO_PER,0),OR(H23="",H23&gt;=ENVIO_PER)),MAX(AA$6:AA22)+1,""),""),"")</f>
        <v/>
      </c>
    </row>
    <row r="24" customFormat="false" ht="15" hidden="false" customHeight="false" outlineLevel="0" collapsed="false">
      <c r="B24" s="64"/>
      <c r="C24" s="64"/>
      <c r="D24" s="64"/>
      <c r="E24" s="64"/>
      <c r="F24" s="64"/>
      <c r="G24" s="65"/>
      <c r="H24" s="65"/>
      <c r="I24" s="64"/>
      <c r="J24" s="66"/>
      <c r="K24" s="64"/>
      <c r="L24" s="67"/>
      <c r="M24" s="67"/>
      <c r="N24" s="67"/>
      <c r="O24" s="64"/>
      <c r="P24" s="64"/>
      <c r="Q24" s="68"/>
      <c r="R24" s="66"/>
      <c r="S24" s="66"/>
      <c r="T24" s="69"/>
      <c r="U24" s="64"/>
      <c r="V24" s="70" t="str">
        <f aca="false">IF(B24="","",IF(NOT(ISNUMBER(G24)),"⚠ Falta fecha ingreso",IF(G24&gt;FECHA_CORTE,"Por ingresar",IF(H24="","Activo",IF(H24&lt;FECHA_CORTE,"Desvinculado","Activo (egreso programado)")))))</f>
        <v/>
      </c>
      <c r="W24" s="70" t="str">
        <f aca="false">IF(OR(B24="",NOT(ISNUMBER(G24))),"",IF(G24&gt;FECHA_CORTE,"",DATEDIF(G24,IF(H24="",FECHA_CORTE,MIN(H24,FECHA_CORTE))+1,"y")&amp;" a "&amp;DATEDIF(G24,IF(H24="",FECHA_CORTE,MIN(H24,FECHA_CORTE))+1,"ym")&amp;" m"))</f>
        <v/>
      </c>
      <c r="X24" s="71" t="str">
        <f aca="false">IF(B24="","",IFERROR(INDEX(C_SUELDO,MATCH(B24&amp;"-S"&amp;MAX(1,COUNTIFS(C_ID,B24,C_SUELDO,"&lt;&gt;",C_INICIO,"&lt;="&amp;FECHA_CORTE)),C_CLAVES,0)),0))</f>
        <v/>
      </c>
      <c r="Y24" s="70" t="str">
        <f aca="false">IF(B24="","",IFERROR(INDEX(C_TIPO,MATCH(B24&amp;"-P"&amp;MAX(1,COUNTIFS(C_ID,B24,C_DEFINE,"Sí",C_INICIO,"&lt;="&amp;FECHA_CORTE)),C_CLAVE,0))&amp;"","Sin contrato"))</f>
        <v/>
      </c>
      <c r="Z24" s="70" t="str">
        <f aca="false">IF(B24="","",IF(COUNTIF(T_ID,B24)&gt;1,"⚠ ID duplicado",IF(Y24="Sin contrato","⚠ Registrar el contrato en la hoja Contratos",IF(AND(LEFT(V24,6)="Activo",X24&lt;IMM_HOY*MIN(1,IF(N(J24)=0,JORNADA_LEGAL,J24)/JORNADA_LEGAL)),"⚠ Sueldo base bajo el ingreso mínimo",IF(O24="","⚠ Falta AFP",IF(P24="","⚠ Falta sistema de salud",IF(AND(P24="Isapre",N(Q24)=0),"⚠ Falta plan Isapre (UF)",IF(AND(N(J24)&gt;JORNADA_LEGAL,LEFT(V24,6)="Activo"),"⚠ Jornada sobre el máximo legal","OK"))))))))</f>
        <v/>
      </c>
      <c r="AA24" s="72" t="str">
        <f aca="false">IFERROR(IF(AND(B24&lt;&gt;"",ISNUMBER(G24)),IF(AND(G24&lt;=EOMONTH(ENVIO_PER,0),OR(H24="",H24&gt;=ENVIO_PER)),MAX(AA$6:AA23)+1,""),""),"")</f>
        <v/>
      </c>
    </row>
    <row r="25" customFormat="false" ht="15" hidden="false" customHeight="false" outlineLevel="0" collapsed="false">
      <c r="B25" s="64"/>
      <c r="C25" s="64"/>
      <c r="D25" s="64"/>
      <c r="E25" s="64"/>
      <c r="F25" s="64"/>
      <c r="G25" s="65"/>
      <c r="H25" s="65"/>
      <c r="I25" s="64"/>
      <c r="J25" s="66"/>
      <c r="K25" s="64"/>
      <c r="L25" s="67"/>
      <c r="M25" s="67"/>
      <c r="N25" s="67"/>
      <c r="O25" s="64"/>
      <c r="P25" s="64"/>
      <c r="Q25" s="68"/>
      <c r="R25" s="66"/>
      <c r="S25" s="66"/>
      <c r="T25" s="69"/>
      <c r="U25" s="64"/>
      <c r="V25" s="70" t="str">
        <f aca="false">IF(B25="","",IF(NOT(ISNUMBER(G25)),"⚠ Falta fecha ingreso",IF(G25&gt;FECHA_CORTE,"Por ingresar",IF(H25="","Activo",IF(H25&lt;FECHA_CORTE,"Desvinculado","Activo (egreso programado)")))))</f>
        <v/>
      </c>
      <c r="W25" s="70" t="str">
        <f aca="false">IF(OR(B25="",NOT(ISNUMBER(G25))),"",IF(G25&gt;FECHA_CORTE,"",DATEDIF(G25,IF(H25="",FECHA_CORTE,MIN(H25,FECHA_CORTE))+1,"y")&amp;" a "&amp;DATEDIF(G25,IF(H25="",FECHA_CORTE,MIN(H25,FECHA_CORTE))+1,"ym")&amp;" m"))</f>
        <v/>
      </c>
      <c r="X25" s="71" t="str">
        <f aca="false">IF(B25="","",IFERROR(INDEX(C_SUELDO,MATCH(B25&amp;"-S"&amp;MAX(1,COUNTIFS(C_ID,B25,C_SUELDO,"&lt;&gt;",C_INICIO,"&lt;="&amp;FECHA_CORTE)),C_CLAVES,0)),0))</f>
        <v/>
      </c>
      <c r="Y25" s="70" t="str">
        <f aca="false">IF(B25="","",IFERROR(INDEX(C_TIPO,MATCH(B25&amp;"-P"&amp;MAX(1,COUNTIFS(C_ID,B25,C_DEFINE,"Sí",C_INICIO,"&lt;="&amp;FECHA_CORTE)),C_CLAVE,0))&amp;"","Sin contrato"))</f>
        <v/>
      </c>
      <c r="Z25" s="70" t="str">
        <f aca="false">IF(B25="","",IF(COUNTIF(T_ID,B25)&gt;1,"⚠ ID duplicado",IF(Y25="Sin contrato","⚠ Registrar el contrato en la hoja Contratos",IF(AND(LEFT(V25,6)="Activo",X25&lt;IMM_HOY*MIN(1,IF(N(J25)=0,JORNADA_LEGAL,J25)/JORNADA_LEGAL)),"⚠ Sueldo base bajo el ingreso mínimo",IF(O25="","⚠ Falta AFP",IF(P25="","⚠ Falta sistema de salud",IF(AND(P25="Isapre",N(Q25)=0),"⚠ Falta plan Isapre (UF)",IF(AND(N(J25)&gt;JORNADA_LEGAL,LEFT(V25,6)="Activo"),"⚠ Jornada sobre el máximo legal","OK"))))))))</f>
        <v/>
      </c>
      <c r="AA25" s="72" t="str">
        <f aca="false">IFERROR(IF(AND(B25&lt;&gt;"",ISNUMBER(G25)),IF(AND(G25&lt;=EOMONTH(ENVIO_PER,0),OR(H25="",H25&gt;=ENVIO_PER)),MAX(AA$6:AA24)+1,""),""),"")</f>
        <v/>
      </c>
    </row>
    <row r="26" customFormat="false" ht="15" hidden="false" customHeight="false" outlineLevel="0" collapsed="false">
      <c r="B26" s="64"/>
      <c r="C26" s="64"/>
      <c r="D26" s="64"/>
      <c r="E26" s="64"/>
      <c r="F26" s="64"/>
      <c r="G26" s="65"/>
      <c r="H26" s="65"/>
      <c r="I26" s="64"/>
      <c r="J26" s="66"/>
      <c r="K26" s="64"/>
      <c r="L26" s="67"/>
      <c r="M26" s="67"/>
      <c r="N26" s="67"/>
      <c r="O26" s="64"/>
      <c r="P26" s="64"/>
      <c r="Q26" s="68"/>
      <c r="R26" s="66"/>
      <c r="S26" s="66"/>
      <c r="T26" s="69"/>
      <c r="U26" s="64"/>
      <c r="V26" s="70" t="str">
        <f aca="false">IF(B26="","",IF(NOT(ISNUMBER(G26)),"⚠ Falta fecha ingreso",IF(G26&gt;FECHA_CORTE,"Por ingresar",IF(H26="","Activo",IF(H26&lt;FECHA_CORTE,"Desvinculado","Activo (egreso programado)")))))</f>
        <v/>
      </c>
      <c r="W26" s="70" t="str">
        <f aca="false">IF(OR(B26="",NOT(ISNUMBER(G26))),"",IF(G26&gt;FECHA_CORTE,"",DATEDIF(G26,IF(H26="",FECHA_CORTE,MIN(H26,FECHA_CORTE))+1,"y")&amp;" a "&amp;DATEDIF(G26,IF(H26="",FECHA_CORTE,MIN(H26,FECHA_CORTE))+1,"ym")&amp;" m"))</f>
        <v/>
      </c>
      <c r="X26" s="71" t="str">
        <f aca="false">IF(B26="","",IFERROR(INDEX(C_SUELDO,MATCH(B26&amp;"-S"&amp;MAX(1,COUNTIFS(C_ID,B26,C_SUELDO,"&lt;&gt;",C_INICIO,"&lt;="&amp;FECHA_CORTE)),C_CLAVES,0)),0))</f>
        <v/>
      </c>
      <c r="Y26" s="70" t="str">
        <f aca="false">IF(B26="","",IFERROR(INDEX(C_TIPO,MATCH(B26&amp;"-P"&amp;MAX(1,COUNTIFS(C_ID,B26,C_DEFINE,"Sí",C_INICIO,"&lt;="&amp;FECHA_CORTE)),C_CLAVE,0))&amp;"","Sin contrato"))</f>
        <v/>
      </c>
      <c r="Z26" s="70" t="str">
        <f aca="false">IF(B26="","",IF(COUNTIF(T_ID,B26)&gt;1,"⚠ ID duplicado",IF(Y26="Sin contrato","⚠ Registrar el contrato en la hoja Contratos",IF(AND(LEFT(V26,6)="Activo",X26&lt;IMM_HOY*MIN(1,IF(N(J26)=0,JORNADA_LEGAL,J26)/JORNADA_LEGAL)),"⚠ Sueldo base bajo el ingreso mínimo",IF(O26="","⚠ Falta AFP",IF(P26="","⚠ Falta sistema de salud",IF(AND(P26="Isapre",N(Q26)=0),"⚠ Falta plan Isapre (UF)",IF(AND(N(J26)&gt;JORNADA_LEGAL,LEFT(V26,6)="Activo"),"⚠ Jornada sobre el máximo legal","OK"))))))))</f>
        <v/>
      </c>
      <c r="AA26" s="72" t="str">
        <f aca="false">IFERROR(IF(AND(B26&lt;&gt;"",ISNUMBER(G26)),IF(AND(G26&lt;=EOMONTH(ENVIO_PER,0),OR(H26="",H26&gt;=ENVIO_PER)),MAX(AA$6:AA25)+1,""),""),"")</f>
        <v/>
      </c>
    </row>
    <row r="27" customFormat="false" ht="15" hidden="false" customHeight="false" outlineLevel="0" collapsed="false">
      <c r="B27" s="64"/>
      <c r="C27" s="64"/>
      <c r="D27" s="64"/>
      <c r="E27" s="64"/>
      <c r="F27" s="64"/>
      <c r="G27" s="65"/>
      <c r="H27" s="65"/>
      <c r="I27" s="64"/>
      <c r="J27" s="66"/>
      <c r="K27" s="64"/>
      <c r="L27" s="67"/>
      <c r="M27" s="67"/>
      <c r="N27" s="67"/>
      <c r="O27" s="64"/>
      <c r="P27" s="64"/>
      <c r="Q27" s="68"/>
      <c r="R27" s="66"/>
      <c r="S27" s="66"/>
      <c r="T27" s="69"/>
      <c r="U27" s="64"/>
      <c r="V27" s="70" t="str">
        <f aca="false">IF(B27="","",IF(NOT(ISNUMBER(G27)),"⚠ Falta fecha ingreso",IF(G27&gt;FECHA_CORTE,"Por ingresar",IF(H27="","Activo",IF(H27&lt;FECHA_CORTE,"Desvinculado","Activo (egreso programado)")))))</f>
        <v/>
      </c>
      <c r="W27" s="70" t="str">
        <f aca="false">IF(OR(B27="",NOT(ISNUMBER(G27))),"",IF(G27&gt;FECHA_CORTE,"",DATEDIF(G27,IF(H27="",FECHA_CORTE,MIN(H27,FECHA_CORTE))+1,"y")&amp;" a "&amp;DATEDIF(G27,IF(H27="",FECHA_CORTE,MIN(H27,FECHA_CORTE))+1,"ym")&amp;" m"))</f>
        <v/>
      </c>
      <c r="X27" s="71" t="str">
        <f aca="false">IF(B27="","",IFERROR(INDEX(C_SUELDO,MATCH(B27&amp;"-S"&amp;MAX(1,COUNTIFS(C_ID,B27,C_SUELDO,"&lt;&gt;",C_INICIO,"&lt;="&amp;FECHA_CORTE)),C_CLAVES,0)),0))</f>
        <v/>
      </c>
      <c r="Y27" s="70" t="str">
        <f aca="false">IF(B27="","",IFERROR(INDEX(C_TIPO,MATCH(B27&amp;"-P"&amp;MAX(1,COUNTIFS(C_ID,B27,C_DEFINE,"Sí",C_INICIO,"&lt;="&amp;FECHA_CORTE)),C_CLAVE,0))&amp;"","Sin contrato"))</f>
        <v/>
      </c>
      <c r="Z27" s="70" t="str">
        <f aca="false">IF(B27="","",IF(COUNTIF(T_ID,B27)&gt;1,"⚠ ID duplicado",IF(Y27="Sin contrato","⚠ Registrar el contrato en la hoja Contratos",IF(AND(LEFT(V27,6)="Activo",X27&lt;IMM_HOY*MIN(1,IF(N(J27)=0,JORNADA_LEGAL,J27)/JORNADA_LEGAL)),"⚠ Sueldo base bajo el ingreso mínimo",IF(O27="","⚠ Falta AFP",IF(P27="","⚠ Falta sistema de salud",IF(AND(P27="Isapre",N(Q27)=0),"⚠ Falta plan Isapre (UF)",IF(AND(N(J27)&gt;JORNADA_LEGAL,LEFT(V27,6)="Activo"),"⚠ Jornada sobre el máximo legal","OK"))))))))</f>
        <v/>
      </c>
      <c r="AA27" s="72" t="str">
        <f aca="false">IFERROR(IF(AND(B27&lt;&gt;"",ISNUMBER(G27)),IF(AND(G27&lt;=EOMONTH(ENVIO_PER,0),OR(H27="",H27&gt;=ENVIO_PER)),MAX(AA$6:AA26)+1,""),""),"")</f>
        <v/>
      </c>
    </row>
    <row r="28" customFormat="false" ht="15" hidden="false" customHeight="false" outlineLevel="0" collapsed="false">
      <c r="B28" s="64"/>
      <c r="C28" s="64"/>
      <c r="D28" s="64"/>
      <c r="E28" s="64"/>
      <c r="F28" s="64"/>
      <c r="G28" s="65"/>
      <c r="H28" s="65"/>
      <c r="I28" s="64"/>
      <c r="J28" s="66"/>
      <c r="K28" s="64"/>
      <c r="L28" s="67"/>
      <c r="M28" s="67"/>
      <c r="N28" s="67"/>
      <c r="O28" s="64"/>
      <c r="P28" s="64"/>
      <c r="Q28" s="68"/>
      <c r="R28" s="66"/>
      <c r="S28" s="66"/>
      <c r="T28" s="69"/>
      <c r="U28" s="64"/>
      <c r="V28" s="70" t="str">
        <f aca="false">IF(B28="","",IF(NOT(ISNUMBER(G28)),"⚠ Falta fecha ingreso",IF(G28&gt;FECHA_CORTE,"Por ingresar",IF(H28="","Activo",IF(H28&lt;FECHA_CORTE,"Desvinculado","Activo (egreso programado)")))))</f>
        <v/>
      </c>
      <c r="W28" s="70" t="str">
        <f aca="false">IF(OR(B28="",NOT(ISNUMBER(G28))),"",IF(G28&gt;FECHA_CORTE,"",DATEDIF(G28,IF(H28="",FECHA_CORTE,MIN(H28,FECHA_CORTE))+1,"y")&amp;" a "&amp;DATEDIF(G28,IF(H28="",FECHA_CORTE,MIN(H28,FECHA_CORTE))+1,"ym")&amp;" m"))</f>
        <v/>
      </c>
      <c r="X28" s="71" t="str">
        <f aca="false">IF(B28="","",IFERROR(INDEX(C_SUELDO,MATCH(B28&amp;"-S"&amp;MAX(1,COUNTIFS(C_ID,B28,C_SUELDO,"&lt;&gt;",C_INICIO,"&lt;="&amp;FECHA_CORTE)),C_CLAVES,0)),0))</f>
        <v/>
      </c>
      <c r="Y28" s="70" t="str">
        <f aca="false">IF(B28="","",IFERROR(INDEX(C_TIPO,MATCH(B28&amp;"-P"&amp;MAX(1,COUNTIFS(C_ID,B28,C_DEFINE,"Sí",C_INICIO,"&lt;="&amp;FECHA_CORTE)),C_CLAVE,0))&amp;"","Sin contrato"))</f>
        <v/>
      </c>
      <c r="Z28" s="70" t="str">
        <f aca="false">IF(B28="","",IF(COUNTIF(T_ID,B28)&gt;1,"⚠ ID duplicado",IF(Y28="Sin contrato","⚠ Registrar el contrato en la hoja Contratos",IF(AND(LEFT(V28,6)="Activo",X28&lt;IMM_HOY*MIN(1,IF(N(J28)=0,JORNADA_LEGAL,J28)/JORNADA_LEGAL)),"⚠ Sueldo base bajo el ingreso mínimo",IF(O28="","⚠ Falta AFP",IF(P28="","⚠ Falta sistema de salud",IF(AND(P28="Isapre",N(Q28)=0),"⚠ Falta plan Isapre (UF)",IF(AND(N(J28)&gt;JORNADA_LEGAL,LEFT(V28,6)="Activo"),"⚠ Jornada sobre el máximo legal","OK"))))))))</f>
        <v/>
      </c>
      <c r="AA28" s="72" t="str">
        <f aca="false">IFERROR(IF(AND(B28&lt;&gt;"",ISNUMBER(G28)),IF(AND(G28&lt;=EOMONTH(ENVIO_PER,0),OR(H28="",H28&gt;=ENVIO_PER)),MAX(AA$6:AA27)+1,""),""),"")</f>
        <v/>
      </c>
    </row>
    <row r="29" customFormat="false" ht="15" hidden="false" customHeight="false" outlineLevel="0" collapsed="false">
      <c r="B29" s="64"/>
      <c r="C29" s="64"/>
      <c r="D29" s="64"/>
      <c r="E29" s="64"/>
      <c r="F29" s="64"/>
      <c r="G29" s="65"/>
      <c r="H29" s="65"/>
      <c r="I29" s="64"/>
      <c r="J29" s="66"/>
      <c r="K29" s="64"/>
      <c r="L29" s="67"/>
      <c r="M29" s="67"/>
      <c r="N29" s="67"/>
      <c r="O29" s="64"/>
      <c r="P29" s="64"/>
      <c r="Q29" s="68"/>
      <c r="R29" s="66"/>
      <c r="S29" s="66"/>
      <c r="T29" s="69"/>
      <c r="U29" s="64"/>
      <c r="V29" s="70" t="str">
        <f aca="false">IF(B29="","",IF(NOT(ISNUMBER(G29)),"⚠ Falta fecha ingreso",IF(G29&gt;FECHA_CORTE,"Por ingresar",IF(H29="","Activo",IF(H29&lt;FECHA_CORTE,"Desvinculado","Activo (egreso programado)")))))</f>
        <v/>
      </c>
      <c r="W29" s="70" t="str">
        <f aca="false">IF(OR(B29="",NOT(ISNUMBER(G29))),"",IF(G29&gt;FECHA_CORTE,"",DATEDIF(G29,IF(H29="",FECHA_CORTE,MIN(H29,FECHA_CORTE))+1,"y")&amp;" a "&amp;DATEDIF(G29,IF(H29="",FECHA_CORTE,MIN(H29,FECHA_CORTE))+1,"ym")&amp;" m"))</f>
        <v/>
      </c>
      <c r="X29" s="71" t="str">
        <f aca="false">IF(B29="","",IFERROR(INDEX(C_SUELDO,MATCH(B29&amp;"-S"&amp;MAX(1,COUNTIFS(C_ID,B29,C_SUELDO,"&lt;&gt;",C_INICIO,"&lt;="&amp;FECHA_CORTE)),C_CLAVES,0)),0))</f>
        <v/>
      </c>
      <c r="Y29" s="70" t="str">
        <f aca="false">IF(B29="","",IFERROR(INDEX(C_TIPO,MATCH(B29&amp;"-P"&amp;MAX(1,COUNTIFS(C_ID,B29,C_DEFINE,"Sí",C_INICIO,"&lt;="&amp;FECHA_CORTE)),C_CLAVE,0))&amp;"","Sin contrato"))</f>
        <v/>
      </c>
      <c r="Z29" s="70" t="str">
        <f aca="false">IF(B29="","",IF(COUNTIF(T_ID,B29)&gt;1,"⚠ ID duplicado",IF(Y29="Sin contrato","⚠ Registrar el contrato en la hoja Contratos",IF(AND(LEFT(V29,6)="Activo",X29&lt;IMM_HOY*MIN(1,IF(N(J29)=0,JORNADA_LEGAL,J29)/JORNADA_LEGAL)),"⚠ Sueldo base bajo el ingreso mínimo",IF(O29="","⚠ Falta AFP",IF(P29="","⚠ Falta sistema de salud",IF(AND(P29="Isapre",N(Q29)=0),"⚠ Falta plan Isapre (UF)",IF(AND(N(J29)&gt;JORNADA_LEGAL,LEFT(V29,6)="Activo"),"⚠ Jornada sobre el máximo legal","OK"))))))))</f>
        <v/>
      </c>
      <c r="AA29" s="72" t="str">
        <f aca="false">IFERROR(IF(AND(B29&lt;&gt;"",ISNUMBER(G29)),IF(AND(G29&lt;=EOMONTH(ENVIO_PER,0),OR(H29="",H29&gt;=ENVIO_PER)),MAX(AA$6:AA28)+1,""),""),"")</f>
        <v/>
      </c>
    </row>
    <row r="30" customFormat="false" ht="15" hidden="false" customHeight="false" outlineLevel="0" collapsed="false">
      <c r="B30" s="64"/>
      <c r="C30" s="64"/>
      <c r="D30" s="64"/>
      <c r="E30" s="64"/>
      <c r="F30" s="64"/>
      <c r="G30" s="65"/>
      <c r="H30" s="65"/>
      <c r="I30" s="64"/>
      <c r="J30" s="66"/>
      <c r="K30" s="64"/>
      <c r="L30" s="67"/>
      <c r="M30" s="67"/>
      <c r="N30" s="67"/>
      <c r="O30" s="64"/>
      <c r="P30" s="64"/>
      <c r="Q30" s="68"/>
      <c r="R30" s="66"/>
      <c r="S30" s="66"/>
      <c r="T30" s="69"/>
      <c r="U30" s="64"/>
      <c r="V30" s="70" t="str">
        <f aca="false">IF(B30="","",IF(NOT(ISNUMBER(G30)),"⚠ Falta fecha ingreso",IF(G30&gt;FECHA_CORTE,"Por ingresar",IF(H30="","Activo",IF(H30&lt;FECHA_CORTE,"Desvinculado","Activo (egreso programado)")))))</f>
        <v/>
      </c>
      <c r="W30" s="70" t="str">
        <f aca="false">IF(OR(B30="",NOT(ISNUMBER(G30))),"",IF(G30&gt;FECHA_CORTE,"",DATEDIF(G30,IF(H30="",FECHA_CORTE,MIN(H30,FECHA_CORTE))+1,"y")&amp;" a "&amp;DATEDIF(G30,IF(H30="",FECHA_CORTE,MIN(H30,FECHA_CORTE))+1,"ym")&amp;" m"))</f>
        <v/>
      </c>
      <c r="X30" s="71" t="str">
        <f aca="false">IF(B30="","",IFERROR(INDEX(C_SUELDO,MATCH(B30&amp;"-S"&amp;MAX(1,COUNTIFS(C_ID,B30,C_SUELDO,"&lt;&gt;",C_INICIO,"&lt;="&amp;FECHA_CORTE)),C_CLAVES,0)),0))</f>
        <v/>
      </c>
      <c r="Y30" s="70" t="str">
        <f aca="false">IF(B30="","",IFERROR(INDEX(C_TIPO,MATCH(B30&amp;"-P"&amp;MAX(1,COUNTIFS(C_ID,B30,C_DEFINE,"Sí",C_INICIO,"&lt;="&amp;FECHA_CORTE)),C_CLAVE,0))&amp;"","Sin contrato"))</f>
        <v/>
      </c>
      <c r="Z30" s="70" t="str">
        <f aca="false">IF(B30="","",IF(COUNTIF(T_ID,B30)&gt;1,"⚠ ID duplicado",IF(Y30="Sin contrato","⚠ Registrar el contrato en la hoja Contratos",IF(AND(LEFT(V30,6)="Activo",X30&lt;IMM_HOY*MIN(1,IF(N(J30)=0,JORNADA_LEGAL,J30)/JORNADA_LEGAL)),"⚠ Sueldo base bajo el ingreso mínimo",IF(O30="","⚠ Falta AFP",IF(P30="","⚠ Falta sistema de salud",IF(AND(P30="Isapre",N(Q30)=0),"⚠ Falta plan Isapre (UF)",IF(AND(N(J30)&gt;JORNADA_LEGAL,LEFT(V30,6)="Activo"),"⚠ Jornada sobre el máximo legal","OK"))))))))</f>
        <v/>
      </c>
      <c r="AA30" s="72" t="str">
        <f aca="false">IFERROR(IF(AND(B30&lt;&gt;"",ISNUMBER(G30)),IF(AND(G30&lt;=EOMONTH(ENVIO_PER,0),OR(H30="",H30&gt;=ENVIO_PER)),MAX(AA$6:AA29)+1,""),""),"")</f>
        <v/>
      </c>
    </row>
    <row r="31" customFormat="false" ht="15" hidden="false" customHeight="false" outlineLevel="0" collapsed="false">
      <c r="B31" s="64"/>
      <c r="C31" s="64"/>
      <c r="D31" s="64"/>
      <c r="E31" s="64"/>
      <c r="F31" s="64"/>
      <c r="G31" s="65"/>
      <c r="H31" s="65"/>
      <c r="I31" s="64"/>
      <c r="J31" s="66"/>
      <c r="K31" s="64"/>
      <c r="L31" s="67"/>
      <c r="M31" s="67"/>
      <c r="N31" s="67"/>
      <c r="O31" s="64"/>
      <c r="P31" s="64"/>
      <c r="Q31" s="68"/>
      <c r="R31" s="66"/>
      <c r="S31" s="66"/>
      <c r="T31" s="69"/>
      <c r="U31" s="64"/>
      <c r="V31" s="70" t="str">
        <f aca="false">IF(B31="","",IF(NOT(ISNUMBER(G31)),"⚠ Falta fecha ingreso",IF(G31&gt;FECHA_CORTE,"Por ingresar",IF(H31="","Activo",IF(H31&lt;FECHA_CORTE,"Desvinculado","Activo (egreso programado)")))))</f>
        <v/>
      </c>
      <c r="W31" s="70" t="str">
        <f aca="false">IF(OR(B31="",NOT(ISNUMBER(G31))),"",IF(G31&gt;FECHA_CORTE,"",DATEDIF(G31,IF(H31="",FECHA_CORTE,MIN(H31,FECHA_CORTE))+1,"y")&amp;" a "&amp;DATEDIF(G31,IF(H31="",FECHA_CORTE,MIN(H31,FECHA_CORTE))+1,"ym")&amp;" m"))</f>
        <v/>
      </c>
      <c r="X31" s="71" t="str">
        <f aca="false">IF(B31="","",IFERROR(INDEX(C_SUELDO,MATCH(B31&amp;"-S"&amp;MAX(1,COUNTIFS(C_ID,B31,C_SUELDO,"&lt;&gt;",C_INICIO,"&lt;="&amp;FECHA_CORTE)),C_CLAVES,0)),0))</f>
        <v/>
      </c>
      <c r="Y31" s="70" t="str">
        <f aca="false">IF(B31="","",IFERROR(INDEX(C_TIPO,MATCH(B31&amp;"-P"&amp;MAX(1,COUNTIFS(C_ID,B31,C_DEFINE,"Sí",C_INICIO,"&lt;="&amp;FECHA_CORTE)),C_CLAVE,0))&amp;"","Sin contrato"))</f>
        <v/>
      </c>
      <c r="Z31" s="70" t="str">
        <f aca="false">IF(B31="","",IF(COUNTIF(T_ID,B31)&gt;1,"⚠ ID duplicado",IF(Y31="Sin contrato","⚠ Registrar el contrato en la hoja Contratos",IF(AND(LEFT(V31,6)="Activo",X31&lt;IMM_HOY*MIN(1,IF(N(J31)=0,JORNADA_LEGAL,J31)/JORNADA_LEGAL)),"⚠ Sueldo base bajo el ingreso mínimo",IF(O31="","⚠ Falta AFP",IF(P31="","⚠ Falta sistema de salud",IF(AND(P31="Isapre",N(Q31)=0),"⚠ Falta plan Isapre (UF)",IF(AND(N(J31)&gt;JORNADA_LEGAL,LEFT(V31,6)="Activo"),"⚠ Jornada sobre el máximo legal","OK"))))))))</f>
        <v/>
      </c>
      <c r="AA31" s="72" t="str">
        <f aca="false">IFERROR(IF(AND(B31&lt;&gt;"",ISNUMBER(G31)),IF(AND(G31&lt;=EOMONTH(ENVIO_PER,0),OR(H31="",H31&gt;=ENVIO_PER)),MAX(AA$6:AA30)+1,""),""),"")</f>
        <v/>
      </c>
    </row>
    <row r="32" customFormat="false" ht="15" hidden="false" customHeight="false" outlineLevel="0" collapsed="false">
      <c r="B32" s="64"/>
      <c r="C32" s="64"/>
      <c r="D32" s="64"/>
      <c r="E32" s="64"/>
      <c r="F32" s="64"/>
      <c r="G32" s="65"/>
      <c r="H32" s="65"/>
      <c r="I32" s="64"/>
      <c r="J32" s="66"/>
      <c r="K32" s="64"/>
      <c r="L32" s="67"/>
      <c r="M32" s="67"/>
      <c r="N32" s="67"/>
      <c r="O32" s="64"/>
      <c r="P32" s="64"/>
      <c r="Q32" s="68"/>
      <c r="R32" s="66"/>
      <c r="S32" s="66"/>
      <c r="T32" s="69"/>
      <c r="U32" s="64"/>
      <c r="V32" s="70" t="str">
        <f aca="false">IF(B32="","",IF(NOT(ISNUMBER(G32)),"⚠ Falta fecha ingreso",IF(G32&gt;FECHA_CORTE,"Por ingresar",IF(H32="","Activo",IF(H32&lt;FECHA_CORTE,"Desvinculado","Activo (egreso programado)")))))</f>
        <v/>
      </c>
      <c r="W32" s="70" t="str">
        <f aca="false">IF(OR(B32="",NOT(ISNUMBER(G32))),"",IF(G32&gt;FECHA_CORTE,"",DATEDIF(G32,IF(H32="",FECHA_CORTE,MIN(H32,FECHA_CORTE))+1,"y")&amp;" a "&amp;DATEDIF(G32,IF(H32="",FECHA_CORTE,MIN(H32,FECHA_CORTE))+1,"ym")&amp;" m"))</f>
        <v/>
      </c>
      <c r="X32" s="71" t="str">
        <f aca="false">IF(B32="","",IFERROR(INDEX(C_SUELDO,MATCH(B32&amp;"-S"&amp;MAX(1,COUNTIFS(C_ID,B32,C_SUELDO,"&lt;&gt;",C_INICIO,"&lt;="&amp;FECHA_CORTE)),C_CLAVES,0)),0))</f>
        <v/>
      </c>
      <c r="Y32" s="70" t="str">
        <f aca="false">IF(B32="","",IFERROR(INDEX(C_TIPO,MATCH(B32&amp;"-P"&amp;MAX(1,COUNTIFS(C_ID,B32,C_DEFINE,"Sí",C_INICIO,"&lt;="&amp;FECHA_CORTE)),C_CLAVE,0))&amp;"","Sin contrato"))</f>
        <v/>
      </c>
      <c r="Z32" s="70" t="str">
        <f aca="false">IF(B32="","",IF(COUNTIF(T_ID,B32)&gt;1,"⚠ ID duplicado",IF(Y32="Sin contrato","⚠ Registrar el contrato en la hoja Contratos",IF(AND(LEFT(V32,6)="Activo",X32&lt;IMM_HOY*MIN(1,IF(N(J32)=0,JORNADA_LEGAL,J32)/JORNADA_LEGAL)),"⚠ Sueldo base bajo el ingreso mínimo",IF(O32="","⚠ Falta AFP",IF(P32="","⚠ Falta sistema de salud",IF(AND(P32="Isapre",N(Q32)=0),"⚠ Falta plan Isapre (UF)",IF(AND(N(J32)&gt;JORNADA_LEGAL,LEFT(V32,6)="Activo"),"⚠ Jornada sobre el máximo legal","OK"))))))))</f>
        <v/>
      </c>
      <c r="AA32" s="72" t="str">
        <f aca="false">IFERROR(IF(AND(B32&lt;&gt;"",ISNUMBER(G32)),IF(AND(G32&lt;=EOMONTH(ENVIO_PER,0),OR(H32="",H32&gt;=ENVIO_PER)),MAX(AA$6:AA31)+1,""),""),"")</f>
        <v/>
      </c>
    </row>
    <row r="33" customFormat="false" ht="15" hidden="false" customHeight="false" outlineLevel="0" collapsed="false">
      <c r="B33" s="64"/>
      <c r="C33" s="64"/>
      <c r="D33" s="64"/>
      <c r="E33" s="64"/>
      <c r="F33" s="64"/>
      <c r="G33" s="65"/>
      <c r="H33" s="65"/>
      <c r="I33" s="64"/>
      <c r="J33" s="66"/>
      <c r="K33" s="64"/>
      <c r="L33" s="67"/>
      <c r="M33" s="67"/>
      <c r="N33" s="67"/>
      <c r="O33" s="64"/>
      <c r="P33" s="64"/>
      <c r="Q33" s="68"/>
      <c r="R33" s="66"/>
      <c r="S33" s="66"/>
      <c r="T33" s="69"/>
      <c r="U33" s="64"/>
      <c r="V33" s="70" t="str">
        <f aca="false">IF(B33="","",IF(NOT(ISNUMBER(G33)),"⚠ Falta fecha ingreso",IF(G33&gt;FECHA_CORTE,"Por ingresar",IF(H33="","Activo",IF(H33&lt;FECHA_CORTE,"Desvinculado","Activo (egreso programado)")))))</f>
        <v/>
      </c>
      <c r="W33" s="70" t="str">
        <f aca="false">IF(OR(B33="",NOT(ISNUMBER(G33))),"",IF(G33&gt;FECHA_CORTE,"",DATEDIF(G33,IF(H33="",FECHA_CORTE,MIN(H33,FECHA_CORTE))+1,"y")&amp;" a "&amp;DATEDIF(G33,IF(H33="",FECHA_CORTE,MIN(H33,FECHA_CORTE))+1,"ym")&amp;" m"))</f>
        <v/>
      </c>
      <c r="X33" s="71" t="str">
        <f aca="false">IF(B33="","",IFERROR(INDEX(C_SUELDO,MATCH(B33&amp;"-S"&amp;MAX(1,COUNTIFS(C_ID,B33,C_SUELDO,"&lt;&gt;",C_INICIO,"&lt;="&amp;FECHA_CORTE)),C_CLAVES,0)),0))</f>
        <v/>
      </c>
      <c r="Y33" s="70" t="str">
        <f aca="false">IF(B33="","",IFERROR(INDEX(C_TIPO,MATCH(B33&amp;"-P"&amp;MAX(1,COUNTIFS(C_ID,B33,C_DEFINE,"Sí",C_INICIO,"&lt;="&amp;FECHA_CORTE)),C_CLAVE,0))&amp;"","Sin contrato"))</f>
        <v/>
      </c>
      <c r="Z33" s="70" t="str">
        <f aca="false">IF(B33="","",IF(COUNTIF(T_ID,B33)&gt;1,"⚠ ID duplicado",IF(Y33="Sin contrato","⚠ Registrar el contrato en la hoja Contratos",IF(AND(LEFT(V33,6)="Activo",X33&lt;IMM_HOY*MIN(1,IF(N(J33)=0,JORNADA_LEGAL,J33)/JORNADA_LEGAL)),"⚠ Sueldo base bajo el ingreso mínimo",IF(O33="","⚠ Falta AFP",IF(P33="","⚠ Falta sistema de salud",IF(AND(P33="Isapre",N(Q33)=0),"⚠ Falta plan Isapre (UF)",IF(AND(N(J33)&gt;JORNADA_LEGAL,LEFT(V33,6)="Activo"),"⚠ Jornada sobre el máximo legal","OK"))))))))</f>
        <v/>
      </c>
      <c r="AA33" s="72" t="str">
        <f aca="false">IFERROR(IF(AND(B33&lt;&gt;"",ISNUMBER(G33)),IF(AND(G33&lt;=EOMONTH(ENVIO_PER,0),OR(H33="",H33&gt;=ENVIO_PER)),MAX(AA$6:AA32)+1,""),""),"")</f>
        <v/>
      </c>
    </row>
    <row r="34" customFormat="false" ht="15" hidden="false" customHeight="false" outlineLevel="0" collapsed="false">
      <c r="B34" s="64"/>
      <c r="C34" s="64"/>
      <c r="D34" s="64"/>
      <c r="E34" s="64"/>
      <c r="F34" s="64"/>
      <c r="G34" s="65"/>
      <c r="H34" s="65"/>
      <c r="I34" s="64"/>
      <c r="J34" s="66"/>
      <c r="K34" s="64"/>
      <c r="L34" s="67"/>
      <c r="M34" s="67"/>
      <c r="N34" s="67"/>
      <c r="O34" s="64"/>
      <c r="P34" s="64"/>
      <c r="Q34" s="68"/>
      <c r="R34" s="66"/>
      <c r="S34" s="66"/>
      <c r="T34" s="69"/>
      <c r="U34" s="64"/>
      <c r="V34" s="70" t="str">
        <f aca="false">IF(B34="","",IF(NOT(ISNUMBER(G34)),"⚠ Falta fecha ingreso",IF(G34&gt;FECHA_CORTE,"Por ingresar",IF(H34="","Activo",IF(H34&lt;FECHA_CORTE,"Desvinculado","Activo (egreso programado)")))))</f>
        <v/>
      </c>
      <c r="W34" s="70" t="str">
        <f aca="false">IF(OR(B34="",NOT(ISNUMBER(G34))),"",IF(G34&gt;FECHA_CORTE,"",DATEDIF(G34,IF(H34="",FECHA_CORTE,MIN(H34,FECHA_CORTE))+1,"y")&amp;" a "&amp;DATEDIF(G34,IF(H34="",FECHA_CORTE,MIN(H34,FECHA_CORTE))+1,"ym")&amp;" m"))</f>
        <v/>
      </c>
      <c r="X34" s="71" t="str">
        <f aca="false">IF(B34="","",IFERROR(INDEX(C_SUELDO,MATCH(B34&amp;"-S"&amp;MAX(1,COUNTIFS(C_ID,B34,C_SUELDO,"&lt;&gt;",C_INICIO,"&lt;="&amp;FECHA_CORTE)),C_CLAVES,0)),0))</f>
        <v/>
      </c>
      <c r="Y34" s="70" t="str">
        <f aca="false">IF(B34="","",IFERROR(INDEX(C_TIPO,MATCH(B34&amp;"-P"&amp;MAX(1,COUNTIFS(C_ID,B34,C_DEFINE,"Sí",C_INICIO,"&lt;="&amp;FECHA_CORTE)),C_CLAVE,0))&amp;"","Sin contrato"))</f>
        <v/>
      </c>
      <c r="Z34" s="70" t="str">
        <f aca="false">IF(B34="","",IF(COUNTIF(T_ID,B34)&gt;1,"⚠ ID duplicado",IF(Y34="Sin contrato","⚠ Registrar el contrato en la hoja Contratos",IF(AND(LEFT(V34,6)="Activo",X34&lt;IMM_HOY*MIN(1,IF(N(J34)=0,JORNADA_LEGAL,J34)/JORNADA_LEGAL)),"⚠ Sueldo base bajo el ingreso mínimo",IF(O34="","⚠ Falta AFP",IF(P34="","⚠ Falta sistema de salud",IF(AND(P34="Isapre",N(Q34)=0),"⚠ Falta plan Isapre (UF)",IF(AND(N(J34)&gt;JORNADA_LEGAL,LEFT(V34,6)="Activo"),"⚠ Jornada sobre el máximo legal","OK"))))))))</f>
        <v/>
      </c>
      <c r="AA34" s="72" t="str">
        <f aca="false">IFERROR(IF(AND(B34&lt;&gt;"",ISNUMBER(G34)),IF(AND(G34&lt;=EOMONTH(ENVIO_PER,0),OR(H34="",H34&gt;=ENVIO_PER)),MAX(AA$6:AA33)+1,""),""),"")</f>
        <v/>
      </c>
    </row>
    <row r="35" customFormat="false" ht="15" hidden="false" customHeight="false" outlineLevel="0" collapsed="false">
      <c r="B35" s="64"/>
      <c r="C35" s="64"/>
      <c r="D35" s="64"/>
      <c r="E35" s="64"/>
      <c r="F35" s="64"/>
      <c r="G35" s="65"/>
      <c r="H35" s="65"/>
      <c r="I35" s="64"/>
      <c r="J35" s="66"/>
      <c r="K35" s="64"/>
      <c r="L35" s="67"/>
      <c r="M35" s="67"/>
      <c r="N35" s="67"/>
      <c r="O35" s="64"/>
      <c r="P35" s="64"/>
      <c r="Q35" s="68"/>
      <c r="R35" s="66"/>
      <c r="S35" s="66"/>
      <c r="T35" s="69"/>
      <c r="U35" s="64"/>
      <c r="V35" s="70" t="str">
        <f aca="false">IF(B35="","",IF(NOT(ISNUMBER(G35)),"⚠ Falta fecha ingreso",IF(G35&gt;FECHA_CORTE,"Por ingresar",IF(H35="","Activo",IF(H35&lt;FECHA_CORTE,"Desvinculado","Activo (egreso programado)")))))</f>
        <v/>
      </c>
      <c r="W35" s="70" t="str">
        <f aca="false">IF(OR(B35="",NOT(ISNUMBER(G35))),"",IF(G35&gt;FECHA_CORTE,"",DATEDIF(G35,IF(H35="",FECHA_CORTE,MIN(H35,FECHA_CORTE))+1,"y")&amp;" a "&amp;DATEDIF(G35,IF(H35="",FECHA_CORTE,MIN(H35,FECHA_CORTE))+1,"ym")&amp;" m"))</f>
        <v/>
      </c>
      <c r="X35" s="71" t="str">
        <f aca="false">IF(B35="","",IFERROR(INDEX(C_SUELDO,MATCH(B35&amp;"-S"&amp;MAX(1,COUNTIFS(C_ID,B35,C_SUELDO,"&lt;&gt;",C_INICIO,"&lt;="&amp;FECHA_CORTE)),C_CLAVES,0)),0))</f>
        <v/>
      </c>
      <c r="Y35" s="70" t="str">
        <f aca="false">IF(B35="","",IFERROR(INDEX(C_TIPO,MATCH(B35&amp;"-P"&amp;MAX(1,COUNTIFS(C_ID,B35,C_DEFINE,"Sí",C_INICIO,"&lt;="&amp;FECHA_CORTE)),C_CLAVE,0))&amp;"","Sin contrato"))</f>
        <v/>
      </c>
      <c r="Z35" s="70" t="str">
        <f aca="false">IF(B35="","",IF(COUNTIF(T_ID,B35)&gt;1,"⚠ ID duplicado",IF(Y35="Sin contrato","⚠ Registrar el contrato en la hoja Contratos",IF(AND(LEFT(V35,6)="Activo",X35&lt;IMM_HOY*MIN(1,IF(N(J35)=0,JORNADA_LEGAL,J35)/JORNADA_LEGAL)),"⚠ Sueldo base bajo el ingreso mínimo",IF(O35="","⚠ Falta AFP",IF(P35="","⚠ Falta sistema de salud",IF(AND(P35="Isapre",N(Q35)=0),"⚠ Falta plan Isapre (UF)",IF(AND(N(J35)&gt;JORNADA_LEGAL,LEFT(V35,6)="Activo"),"⚠ Jornada sobre el máximo legal","OK"))))))))</f>
        <v/>
      </c>
      <c r="AA35" s="72" t="str">
        <f aca="false">IFERROR(IF(AND(B35&lt;&gt;"",ISNUMBER(G35)),IF(AND(G35&lt;=EOMONTH(ENVIO_PER,0),OR(H35="",H35&gt;=ENVIO_PER)),MAX(AA$6:AA34)+1,""),""),"")</f>
        <v/>
      </c>
    </row>
    <row r="36" customFormat="false" ht="15" hidden="false" customHeight="false" outlineLevel="0" collapsed="false">
      <c r="B36" s="64"/>
      <c r="C36" s="64"/>
      <c r="D36" s="64"/>
      <c r="E36" s="64"/>
      <c r="F36" s="64"/>
      <c r="G36" s="65"/>
      <c r="H36" s="65"/>
      <c r="I36" s="64"/>
      <c r="J36" s="66"/>
      <c r="K36" s="64"/>
      <c r="L36" s="67"/>
      <c r="M36" s="67"/>
      <c r="N36" s="67"/>
      <c r="O36" s="64"/>
      <c r="P36" s="64"/>
      <c r="Q36" s="68"/>
      <c r="R36" s="66"/>
      <c r="S36" s="66"/>
      <c r="T36" s="69"/>
      <c r="U36" s="64"/>
      <c r="V36" s="70" t="str">
        <f aca="false">IF(B36="","",IF(NOT(ISNUMBER(G36)),"⚠ Falta fecha ingreso",IF(G36&gt;FECHA_CORTE,"Por ingresar",IF(H36="","Activo",IF(H36&lt;FECHA_CORTE,"Desvinculado","Activo (egreso programado)")))))</f>
        <v/>
      </c>
      <c r="W36" s="70" t="str">
        <f aca="false">IF(OR(B36="",NOT(ISNUMBER(G36))),"",IF(G36&gt;FECHA_CORTE,"",DATEDIF(G36,IF(H36="",FECHA_CORTE,MIN(H36,FECHA_CORTE))+1,"y")&amp;" a "&amp;DATEDIF(G36,IF(H36="",FECHA_CORTE,MIN(H36,FECHA_CORTE))+1,"ym")&amp;" m"))</f>
        <v/>
      </c>
      <c r="X36" s="71" t="str">
        <f aca="false">IF(B36="","",IFERROR(INDEX(C_SUELDO,MATCH(B36&amp;"-S"&amp;MAX(1,COUNTIFS(C_ID,B36,C_SUELDO,"&lt;&gt;",C_INICIO,"&lt;="&amp;FECHA_CORTE)),C_CLAVES,0)),0))</f>
        <v/>
      </c>
      <c r="Y36" s="70" t="str">
        <f aca="false">IF(B36="","",IFERROR(INDEX(C_TIPO,MATCH(B36&amp;"-P"&amp;MAX(1,COUNTIFS(C_ID,B36,C_DEFINE,"Sí",C_INICIO,"&lt;="&amp;FECHA_CORTE)),C_CLAVE,0))&amp;"","Sin contrato"))</f>
        <v/>
      </c>
      <c r="Z36" s="70" t="str">
        <f aca="false">IF(B36="","",IF(COUNTIF(T_ID,B36)&gt;1,"⚠ ID duplicado",IF(Y36="Sin contrato","⚠ Registrar el contrato en la hoja Contratos",IF(AND(LEFT(V36,6)="Activo",X36&lt;IMM_HOY*MIN(1,IF(N(J36)=0,JORNADA_LEGAL,J36)/JORNADA_LEGAL)),"⚠ Sueldo base bajo el ingreso mínimo",IF(O36="","⚠ Falta AFP",IF(P36="","⚠ Falta sistema de salud",IF(AND(P36="Isapre",N(Q36)=0),"⚠ Falta plan Isapre (UF)",IF(AND(N(J36)&gt;JORNADA_LEGAL,LEFT(V36,6)="Activo"),"⚠ Jornada sobre el máximo legal","OK"))))))))</f>
        <v/>
      </c>
      <c r="AA36" s="72" t="str">
        <f aca="false">IFERROR(IF(AND(B36&lt;&gt;"",ISNUMBER(G36)),IF(AND(G36&lt;=EOMONTH(ENVIO_PER,0),OR(H36="",H36&gt;=ENVIO_PER)),MAX(AA$6:AA35)+1,""),""),"")</f>
        <v/>
      </c>
    </row>
    <row r="37" customFormat="false" ht="15" hidden="false" customHeight="false" outlineLevel="0" collapsed="false">
      <c r="B37" s="64"/>
      <c r="C37" s="64"/>
      <c r="D37" s="64"/>
      <c r="E37" s="64"/>
      <c r="F37" s="64"/>
      <c r="G37" s="65"/>
      <c r="H37" s="65"/>
      <c r="I37" s="64"/>
      <c r="J37" s="66"/>
      <c r="K37" s="64"/>
      <c r="L37" s="67"/>
      <c r="M37" s="67"/>
      <c r="N37" s="67"/>
      <c r="O37" s="64"/>
      <c r="P37" s="64"/>
      <c r="Q37" s="68"/>
      <c r="R37" s="66"/>
      <c r="S37" s="66"/>
      <c r="T37" s="69"/>
      <c r="U37" s="64"/>
      <c r="V37" s="70" t="str">
        <f aca="false">IF(B37="","",IF(NOT(ISNUMBER(G37)),"⚠ Falta fecha ingreso",IF(G37&gt;FECHA_CORTE,"Por ingresar",IF(H37="","Activo",IF(H37&lt;FECHA_CORTE,"Desvinculado","Activo (egreso programado)")))))</f>
        <v/>
      </c>
      <c r="W37" s="70" t="str">
        <f aca="false">IF(OR(B37="",NOT(ISNUMBER(G37))),"",IF(G37&gt;FECHA_CORTE,"",DATEDIF(G37,IF(H37="",FECHA_CORTE,MIN(H37,FECHA_CORTE))+1,"y")&amp;" a "&amp;DATEDIF(G37,IF(H37="",FECHA_CORTE,MIN(H37,FECHA_CORTE))+1,"ym")&amp;" m"))</f>
        <v/>
      </c>
      <c r="X37" s="71" t="str">
        <f aca="false">IF(B37="","",IFERROR(INDEX(C_SUELDO,MATCH(B37&amp;"-S"&amp;MAX(1,COUNTIFS(C_ID,B37,C_SUELDO,"&lt;&gt;",C_INICIO,"&lt;="&amp;FECHA_CORTE)),C_CLAVES,0)),0))</f>
        <v/>
      </c>
      <c r="Y37" s="70" t="str">
        <f aca="false">IF(B37="","",IFERROR(INDEX(C_TIPO,MATCH(B37&amp;"-P"&amp;MAX(1,COUNTIFS(C_ID,B37,C_DEFINE,"Sí",C_INICIO,"&lt;="&amp;FECHA_CORTE)),C_CLAVE,0))&amp;"","Sin contrato"))</f>
        <v/>
      </c>
      <c r="Z37" s="70" t="str">
        <f aca="false">IF(B37="","",IF(COUNTIF(T_ID,B37)&gt;1,"⚠ ID duplicado",IF(Y37="Sin contrato","⚠ Registrar el contrato en la hoja Contratos",IF(AND(LEFT(V37,6)="Activo",X37&lt;IMM_HOY*MIN(1,IF(N(J37)=0,JORNADA_LEGAL,J37)/JORNADA_LEGAL)),"⚠ Sueldo base bajo el ingreso mínimo",IF(O37="","⚠ Falta AFP",IF(P37="","⚠ Falta sistema de salud",IF(AND(P37="Isapre",N(Q37)=0),"⚠ Falta plan Isapre (UF)",IF(AND(N(J37)&gt;JORNADA_LEGAL,LEFT(V37,6)="Activo"),"⚠ Jornada sobre el máximo legal","OK"))))))))</f>
        <v/>
      </c>
      <c r="AA37" s="72" t="str">
        <f aca="false">IFERROR(IF(AND(B37&lt;&gt;"",ISNUMBER(G37)),IF(AND(G37&lt;=EOMONTH(ENVIO_PER,0),OR(H37="",H37&gt;=ENVIO_PER)),MAX(AA$6:AA36)+1,""),""),"")</f>
        <v/>
      </c>
    </row>
    <row r="38" customFormat="false" ht="15" hidden="false" customHeight="false" outlineLevel="0" collapsed="false">
      <c r="B38" s="64"/>
      <c r="C38" s="64"/>
      <c r="D38" s="64"/>
      <c r="E38" s="64"/>
      <c r="F38" s="64"/>
      <c r="G38" s="65"/>
      <c r="H38" s="65"/>
      <c r="I38" s="64"/>
      <c r="J38" s="66"/>
      <c r="K38" s="64"/>
      <c r="L38" s="67"/>
      <c r="M38" s="67"/>
      <c r="N38" s="67"/>
      <c r="O38" s="64"/>
      <c r="P38" s="64"/>
      <c r="Q38" s="68"/>
      <c r="R38" s="66"/>
      <c r="S38" s="66"/>
      <c r="T38" s="69"/>
      <c r="U38" s="64"/>
      <c r="V38" s="70" t="str">
        <f aca="false">IF(B38="","",IF(NOT(ISNUMBER(G38)),"⚠ Falta fecha ingreso",IF(G38&gt;FECHA_CORTE,"Por ingresar",IF(H38="","Activo",IF(H38&lt;FECHA_CORTE,"Desvinculado","Activo (egreso programado)")))))</f>
        <v/>
      </c>
      <c r="W38" s="70" t="str">
        <f aca="false">IF(OR(B38="",NOT(ISNUMBER(G38))),"",IF(G38&gt;FECHA_CORTE,"",DATEDIF(G38,IF(H38="",FECHA_CORTE,MIN(H38,FECHA_CORTE))+1,"y")&amp;" a "&amp;DATEDIF(G38,IF(H38="",FECHA_CORTE,MIN(H38,FECHA_CORTE))+1,"ym")&amp;" m"))</f>
        <v/>
      </c>
      <c r="X38" s="71" t="str">
        <f aca="false">IF(B38="","",IFERROR(INDEX(C_SUELDO,MATCH(B38&amp;"-S"&amp;MAX(1,COUNTIFS(C_ID,B38,C_SUELDO,"&lt;&gt;",C_INICIO,"&lt;="&amp;FECHA_CORTE)),C_CLAVES,0)),0))</f>
        <v/>
      </c>
      <c r="Y38" s="70" t="str">
        <f aca="false">IF(B38="","",IFERROR(INDEX(C_TIPO,MATCH(B38&amp;"-P"&amp;MAX(1,COUNTIFS(C_ID,B38,C_DEFINE,"Sí",C_INICIO,"&lt;="&amp;FECHA_CORTE)),C_CLAVE,0))&amp;"","Sin contrato"))</f>
        <v/>
      </c>
      <c r="Z38" s="70" t="str">
        <f aca="false">IF(B38="","",IF(COUNTIF(T_ID,B38)&gt;1,"⚠ ID duplicado",IF(Y38="Sin contrato","⚠ Registrar el contrato en la hoja Contratos",IF(AND(LEFT(V38,6)="Activo",X38&lt;IMM_HOY*MIN(1,IF(N(J38)=0,JORNADA_LEGAL,J38)/JORNADA_LEGAL)),"⚠ Sueldo base bajo el ingreso mínimo",IF(O38="","⚠ Falta AFP",IF(P38="","⚠ Falta sistema de salud",IF(AND(P38="Isapre",N(Q38)=0),"⚠ Falta plan Isapre (UF)",IF(AND(N(J38)&gt;JORNADA_LEGAL,LEFT(V38,6)="Activo"),"⚠ Jornada sobre el máximo legal","OK"))))))))</f>
        <v/>
      </c>
      <c r="AA38" s="72" t="str">
        <f aca="false">IFERROR(IF(AND(B38&lt;&gt;"",ISNUMBER(G38)),IF(AND(G38&lt;=EOMONTH(ENVIO_PER,0),OR(H38="",H38&gt;=ENVIO_PER)),MAX(AA$6:AA37)+1,""),""),"")</f>
        <v/>
      </c>
    </row>
    <row r="39" customFormat="false" ht="15" hidden="false" customHeight="false" outlineLevel="0" collapsed="false">
      <c r="B39" s="64"/>
      <c r="C39" s="64"/>
      <c r="D39" s="64"/>
      <c r="E39" s="64"/>
      <c r="F39" s="64"/>
      <c r="G39" s="65"/>
      <c r="H39" s="65"/>
      <c r="I39" s="64"/>
      <c r="J39" s="66"/>
      <c r="K39" s="64"/>
      <c r="L39" s="67"/>
      <c r="M39" s="67"/>
      <c r="N39" s="67"/>
      <c r="O39" s="64"/>
      <c r="P39" s="64"/>
      <c r="Q39" s="68"/>
      <c r="R39" s="66"/>
      <c r="S39" s="66"/>
      <c r="T39" s="69"/>
      <c r="U39" s="64"/>
      <c r="V39" s="70" t="str">
        <f aca="false">IF(B39="","",IF(NOT(ISNUMBER(G39)),"⚠ Falta fecha ingreso",IF(G39&gt;FECHA_CORTE,"Por ingresar",IF(H39="","Activo",IF(H39&lt;FECHA_CORTE,"Desvinculado","Activo (egreso programado)")))))</f>
        <v/>
      </c>
      <c r="W39" s="70" t="str">
        <f aca="false">IF(OR(B39="",NOT(ISNUMBER(G39))),"",IF(G39&gt;FECHA_CORTE,"",DATEDIF(G39,IF(H39="",FECHA_CORTE,MIN(H39,FECHA_CORTE))+1,"y")&amp;" a "&amp;DATEDIF(G39,IF(H39="",FECHA_CORTE,MIN(H39,FECHA_CORTE))+1,"ym")&amp;" m"))</f>
        <v/>
      </c>
      <c r="X39" s="71" t="str">
        <f aca="false">IF(B39="","",IFERROR(INDEX(C_SUELDO,MATCH(B39&amp;"-S"&amp;MAX(1,COUNTIFS(C_ID,B39,C_SUELDO,"&lt;&gt;",C_INICIO,"&lt;="&amp;FECHA_CORTE)),C_CLAVES,0)),0))</f>
        <v/>
      </c>
      <c r="Y39" s="70" t="str">
        <f aca="false">IF(B39="","",IFERROR(INDEX(C_TIPO,MATCH(B39&amp;"-P"&amp;MAX(1,COUNTIFS(C_ID,B39,C_DEFINE,"Sí",C_INICIO,"&lt;="&amp;FECHA_CORTE)),C_CLAVE,0))&amp;"","Sin contrato"))</f>
        <v/>
      </c>
      <c r="Z39" s="70" t="str">
        <f aca="false">IF(B39="","",IF(COUNTIF(T_ID,B39)&gt;1,"⚠ ID duplicado",IF(Y39="Sin contrato","⚠ Registrar el contrato en la hoja Contratos",IF(AND(LEFT(V39,6)="Activo",X39&lt;IMM_HOY*MIN(1,IF(N(J39)=0,JORNADA_LEGAL,J39)/JORNADA_LEGAL)),"⚠ Sueldo base bajo el ingreso mínimo",IF(O39="","⚠ Falta AFP",IF(P39="","⚠ Falta sistema de salud",IF(AND(P39="Isapre",N(Q39)=0),"⚠ Falta plan Isapre (UF)",IF(AND(N(J39)&gt;JORNADA_LEGAL,LEFT(V39,6)="Activo"),"⚠ Jornada sobre el máximo legal","OK"))))))))</f>
        <v/>
      </c>
      <c r="AA39" s="72" t="str">
        <f aca="false">IFERROR(IF(AND(B39&lt;&gt;"",ISNUMBER(G39)),IF(AND(G39&lt;=EOMONTH(ENVIO_PER,0),OR(H39="",H39&gt;=ENVIO_PER)),MAX(AA$6:AA38)+1,""),""),"")</f>
        <v/>
      </c>
    </row>
    <row r="40" customFormat="false" ht="15" hidden="false" customHeight="false" outlineLevel="0" collapsed="false">
      <c r="B40" s="64"/>
      <c r="C40" s="64"/>
      <c r="D40" s="64"/>
      <c r="E40" s="64"/>
      <c r="F40" s="64"/>
      <c r="G40" s="65"/>
      <c r="H40" s="65"/>
      <c r="I40" s="64"/>
      <c r="J40" s="66"/>
      <c r="K40" s="64"/>
      <c r="L40" s="67"/>
      <c r="M40" s="67"/>
      <c r="N40" s="67"/>
      <c r="O40" s="64"/>
      <c r="P40" s="64"/>
      <c r="Q40" s="68"/>
      <c r="R40" s="66"/>
      <c r="S40" s="66"/>
      <c r="T40" s="69"/>
      <c r="U40" s="64"/>
      <c r="V40" s="70" t="str">
        <f aca="false">IF(B40="","",IF(NOT(ISNUMBER(G40)),"⚠ Falta fecha ingreso",IF(G40&gt;FECHA_CORTE,"Por ingresar",IF(H40="","Activo",IF(H40&lt;FECHA_CORTE,"Desvinculado","Activo (egreso programado)")))))</f>
        <v/>
      </c>
      <c r="W40" s="70" t="str">
        <f aca="false">IF(OR(B40="",NOT(ISNUMBER(G40))),"",IF(G40&gt;FECHA_CORTE,"",DATEDIF(G40,IF(H40="",FECHA_CORTE,MIN(H40,FECHA_CORTE))+1,"y")&amp;" a "&amp;DATEDIF(G40,IF(H40="",FECHA_CORTE,MIN(H40,FECHA_CORTE))+1,"ym")&amp;" m"))</f>
        <v/>
      </c>
      <c r="X40" s="71" t="str">
        <f aca="false">IF(B40="","",IFERROR(INDEX(C_SUELDO,MATCH(B40&amp;"-S"&amp;MAX(1,COUNTIFS(C_ID,B40,C_SUELDO,"&lt;&gt;",C_INICIO,"&lt;="&amp;FECHA_CORTE)),C_CLAVES,0)),0))</f>
        <v/>
      </c>
      <c r="Y40" s="70" t="str">
        <f aca="false">IF(B40="","",IFERROR(INDEX(C_TIPO,MATCH(B40&amp;"-P"&amp;MAX(1,COUNTIFS(C_ID,B40,C_DEFINE,"Sí",C_INICIO,"&lt;="&amp;FECHA_CORTE)),C_CLAVE,0))&amp;"","Sin contrato"))</f>
        <v/>
      </c>
      <c r="Z40" s="70" t="str">
        <f aca="false">IF(B40="","",IF(COUNTIF(T_ID,B40)&gt;1,"⚠ ID duplicado",IF(Y40="Sin contrato","⚠ Registrar el contrato en la hoja Contratos",IF(AND(LEFT(V40,6)="Activo",X40&lt;IMM_HOY*MIN(1,IF(N(J40)=0,JORNADA_LEGAL,J40)/JORNADA_LEGAL)),"⚠ Sueldo base bajo el ingreso mínimo",IF(O40="","⚠ Falta AFP",IF(P40="","⚠ Falta sistema de salud",IF(AND(P40="Isapre",N(Q40)=0),"⚠ Falta plan Isapre (UF)",IF(AND(N(J40)&gt;JORNADA_LEGAL,LEFT(V40,6)="Activo"),"⚠ Jornada sobre el máximo legal","OK"))))))))</f>
        <v/>
      </c>
      <c r="AA40" s="72" t="str">
        <f aca="false">IFERROR(IF(AND(B40&lt;&gt;"",ISNUMBER(G40)),IF(AND(G40&lt;=EOMONTH(ENVIO_PER,0),OR(H40="",H40&gt;=ENVIO_PER)),MAX(AA$6:AA39)+1,""),""),"")</f>
        <v/>
      </c>
    </row>
    <row r="41" customFormat="false" ht="15" hidden="false" customHeight="false" outlineLevel="0" collapsed="false">
      <c r="B41" s="64"/>
      <c r="C41" s="64"/>
      <c r="D41" s="64"/>
      <c r="E41" s="64"/>
      <c r="F41" s="64"/>
      <c r="G41" s="65"/>
      <c r="H41" s="65"/>
      <c r="I41" s="64"/>
      <c r="J41" s="66"/>
      <c r="K41" s="64"/>
      <c r="L41" s="67"/>
      <c r="M41" s="67"/>
      <c r="N41" s="67"/>
      <c r="O41" s="64"/>
      <c r="P41" s="64"/>
      <c r="Q41" s="68"/>
      <c r="R41" s="66"/>
      <c r="S41" s="66"/>
      <c r="T41" s="69"/>
      <c r="U41" s="64"/>
      <c r="V41" s="70" t="str">
        <f aca="false">IF(B41="","",IF(NOT(ISNUMBER(G41)),"⚠ Falta fecha ingreso",IF(G41&gt;FECHA_CORTE,"Por ingresar",IF(H41="","Activo",IF(H41&lt;FECHA_CORTE,"Desvinculado","Activo (egreso programado)")))))</f>
        <v/>
      </c>
      <c r="W41" s="70" t="str">
        <f aca="false">IF(OR(B41="",NOT(ISNUMBER(G41))),"",IF(G41&gt;FECHA_CORTE,"",DATEDIF(G41,IF(H41="",FECHA_CORTE,MIN(H41,FECHA_CORTE))+1,"y")&amp;" a "&amp;DATEDIF(G41,IF(H41="",FECHA_CORTE,MIN(H41,FECHA_CORTE))+1,"ym")&amp;" m"))</f>
        <v/>
      </c>
      <c r="X41" s="71" t="str">
        <f aca="false">IF(B41="","",IFERROR(INDEX(C_SUELDO,MATCH(B41&amp;"-S"&amp;MAX(1,COUNTIFS(C_ID,B41,C_SUELDO,"&lt;&gt;",C_INICIO,"&lt;="&amp;FECHA_CORTE)),C_CLAVES,0)),0))</f>
        <v/>
      </c>
      <c r="Y41" s="70" t="str">
        <f aca="false">IF(B41="","",IFERROR(INDEX(C_TIPO,MATCH(B41&amp;"-P"&amp;MAX(1,COUNTIFS(C_ID,B41,C_DEFINE,"Sí",C_INICIO,"&lt;="&amp;FECHA_CORTE)),C_CLAVE,0))&amp;"","Sin contrato"))</f>
        <v/>
      </c>
      <c r="Z41" s="70" t="str">
        <f aca="false">IF(B41="","",IF(COUNTIF(T_ID,B41)&gt;1,"⚠ ID duplicado",IF(Y41="Sin contrato","⚠ Registrar el contrato en la hoja Contratos",IF(AND(LEFT(V41,6)="Activo",X41&lt;IMM_HOY*MIN(1,IF(N(J41)=0,JORNADA_LEGAL,J41)/JORNADA_LEGAL)),"⚠ Sueldo base bajo el ingreso mínimo",IF(O41="","⚠ Falta AFP",IF(P41="","⚠ Falta sistema de salud",IF(AND(P41="Isapre",N(Q41)=0),"⚠ Falta plan Isapre (UF)",IF(AND(N(J41)&gt;JORNADA_LEGAL,LEFT(V41,6)="Activo"),"⚠ Jornada sobre el máximo legal","OK"))))))))</f>
        <v/>
      </c>
      <c r="AA41" s="72" t="str">
        <f aca="false">IFERROR(IF(AND(B41&lt;&gt;"",ISNUMBER(G41)),IF(AND(G41&lt;=EOMONTH(ENVIO_PER,0),OR(H41="",H41&gt;=ENVIO_PER)),MAX(AA$6:AA40)+1,""),""),"")</f>
        <v/>
      </c>
    </row>
    <row r="42" customFormat="false" ht="15" hidden="false" customHeight="false" outlineLevel="0" collapsed="false">
      <c r="B42" s="64"/>
      <c r="C42" s="64"/>
      <c r="D42" s="64"/>
      <c r="E42" s="64"/>
      <c r="F42" s="64"/>
      <c r="G42" s="65"/>
      <c r="H42" s="65"/>
      <c r="I42" s="64"/>
      <c r="J42" s="66"/>
      <c r="K42" s="64"/>
      <c r="L42" s="67"/>
      <c r="M42" s="67"/>
      <c r="N42" s="67"/>
      <c r="O42" s="64"/>
      <c r="P42" s="64"/>
      <c r="Q42" s="68"/>
      <c r="R42" s="66"/>
      <c r="S42" s="66"/>
      <c r="T42" s="69"/>
      <c r="U42" s="64"/>
      <c r="V42" s="70" t="str">
        <f aca="false">IF(B42="","",IF(NOT(ISNUMBER(G42)),"⚠ Falta fecha ingreso",IF(G42&gt;FECHA_CORTE,"Por ingresar",IF(H42="","Activo",IF(H42&lt;FECHA_CORTE,"Desvinculado","Activo (egreso programado)")))))</f>
        <v/>
      </c>
      <c r="W42" s="70" t="str">
        <f aca="false">IF(OR(B42="",NOT(ISNUMBER(G42))),"",IF(G42&gt;FECHA_CORTE,"",DATEDIF(G42,IF(H42="",FECHA_CORTE,MIN(H42,FECHA_CORTE))+1,"y")&amp;" a "&amp;DATEDIF(G42,IF(H42="",FECHA_CORTE,MIN(H42,FECHA_CORTE))+1,"ym")&amp;" m"))</f>
        <v/>
      </c>
      <c r="X42" s="71" t="str">
        <f aca="false">IF(B42="","",IFERROR(INDEX(C_SUELDO,MATCH(B42&amp;"-S"&amp;MAX(1,COUNTIFS(C_ID,B42,C_SUELDO,"&lt;&gt;",C_INICIO,"&lt;="&amp;FECHA_CORTE)),C_CLAVES,0)),0))</f>
        <v/>
      </c>
      <c r="Y42" s="70" t="str">
        <f aca="false">IF(B42="","",IFERROR(INDEX(C_TIPO,MATCH(B42&amp;"-P"&amp;MAX(1,COUNTIFS(C_ID,B42,C_DEFINE,"Sí",C_INICIO,"&lt;="&amp;FECHA_CORTE)),C_CLAVE,0))&amp;"","Sin contrato"))</f>
        <v/>
      </c>
      <c r="Z42" s="70" t="str">
        <f aca="false">IF(B42="","",IF(COUNTIF(T_ID,B42)&gt;1,"⚠ ID duplicado",IF(Y42="Sin contrato","⚠ Registrar el contrato en la hoja Contratos",IF(AND(LEFT(V42,6)="Activo",X42&lt;IMM_HOY*MIN(1,IF(N(J42)=0,JORNADA_LEGAL,J42)/JORNADA_LEGAL)),"⚠ Sueldo base bajo el ingreso mínimo",IF(O42="","⚠ Falta AFP",IF(P42="","⚠ Falta sistema de salud",IF(AND(P42="Isapre",N(Q42)=0),"⚠ Falta plan Isapre (UF)",IF(AND(N(J42)&gt;JORNADA_LEGAL,LEFT(V42,6)="Activo"),"⚠ Jornada sobre el máximo legal","OK"))))))))</f>
        <v/>
      </c>
      <c r="AA42" s="72" t="str">
        <f aca="false">IFERROR(IF(AND(B42&lt;&gt;"",ISNUMBER(G42)),IF(AND(G42&lt;=EOMONTH(ENVIO_PER,0),OR(H42="",H42&gt;=ENVIO_PER)),MAX(AA$6:AA41)+1,""),""),"")</f>
        <v/>
      </c>
    </row>
    <row r="43" customFormat="false" ht="15" hidden="false" customHeight="false" outlineLevel="0" collapsed="false">
      <c r="B43" s="64"/>
      <c r="C43" s="64"/>
      <c r="D43" s="64"/>
      <c r="E43" s="64"/>
      <c r="F43" s="64"/>
      <c r="G43" s="65"/>
      <c r="H43" s="65"/>
      <c r="I43" s="64"/>
      <c r="J43" s="66"/>
      <c r="K43" s="64"/>
      <c r="L43" s="67"/>
      <c r="M43" s="67"/>
      <c r="N43" s="67"/>
      <c r="O43" s="64"/>
      <c r="P43" s="64"/>
      <c r="Q43" s="68"/>
      <c r="R43" s="66"/>
      <c r="S43" s="66"/>
      <c r="T43" s="69"/>
      <c r="U43" s="64"/>
      <c r="V43" s="70" t="str">
        <f aca="false">IF(B43="","",IF(NOT(ISNUMBER(G43)),"⚠ Falta fecha ingreso",IF(G43&gt;FECHA_CORTE,"Por ingresar",IF(H43="","Activo",IF(H43&lt;FECHA_CORTE,"Desvinculado","Activo (egreso programado)")))))</f>
        <v/>
      </c>
      <c r="W43" s="70" t="str">
        <f aca="false">IF(OR(B43="",NOT(ISNUMBER(G43))),"",IF(G43&gt;FECHA_CORTE,"",DATEDIF(G43,IF(H43="",FECHA_CORTE,MIN(H43,FECHA_CORTE))+1,"y")&amp;" a "&amp;DATEDIF(G43,IF(H43="",FECHA_CORTE,MIN(H43,FECHA_CORTE))+1,"ym")&amp;" m"))</f>
        <v/>
      </c>
      <c r="X43" s="71" t="str">
        <f aca="false">IF(B43="","",IFERROR(INDEX(C_SUELDO,MATCH(B43&amp;"-S"&amp;MAX(1,COUNTIFS(C_ID,B43,C_SUELDO,"&lt;&gt;",C_INICIO,"&lt;="&amp;FECHA_CORTE)),C_CLAVES,0)),0))</f>
        <v/>
      </c>
      <c r="Y43" s="70" t="str">
        <f aca="false">IF(B43="","",IFERROR(INDEX(C_TIPO,MATCH(B43&amp;"-P"&amp;MAX(1,COUNTIFS(C_ID,B43,C_DEFINE,"Sí",C_INICIO,"&lt;="&amp;FECHA_CORTE)),C_CLAVE,0))&amp;"","Sin contrato"))</f>
        <v/>
      </c>
      <c r="Z43" s="70" t="str">
        <f aca="false">IF(B43="","",IF(COUNTIF(T_ID,B43)&gt;1,"⚠ ID duplicado",IF(Y43="Sin contrato","⚠ Registrar el contrato en la hoja Contratos",IF(AND(LEFT(V43,6)="Activo",X43&lt;IMM_HOY*MIN(1,IF(N(J43)=0,JORNADA_LEGAL,J43)/JORNADA_LEGAL)),"⚠ Sueldo base bajo el ingreso mínimo",IF(O43="","⚠ Falta AFP",IF(P43="","⚠ Falta sistema de salud",IF(AND(P43="Isapre",N(Q43)=0),"⚠ Falta plan Isapre (UF)",IF(AND(N(J43)&gt;JORNADA_LEGAL,LEFT(V43,6)="Activo"),"⚠ Jornada sobre el máximo legal","OK"))))))))</f>
        <v/>
      </c>
      <c r="AA43" s="72" t="str">
        <f aca="false">IFERROR(IF(AND(B43&lt;&gt;"",ISNUMBER(G43)),IF(AND(G43&lt;=EOMONTH(ENVIO_PER,0),OR(H43="",H43&gt;=ENVIO_PER)),MAX(AA$6:AA42)+1,""),""),"")</f>
        <v/>
      </c>
    </row>
    <row r="44" customFormat="false" ht="15" hidden="false" customHeight="false" outlineLevel="0" collapsed="false">
      <c r="B44" s="64"/>
      <c r="C44" s="64"/>
      <c r="D44" s="64"/>
      <c r="E44" s="64"/>
      <c r="F44" s="64"/>
      <c r="G44" s="65"/>
      <c r="H44" s="65"/>
      <c r="I44" s="64"/>
      <c r="J44" s="66"/>
      <c r="K44" s="64"/>
      <c r="L44" s="67"/>
      <c r="M44" s="67"/>
      <c r="N44" s="67"/>
      <c r="O44" s="64"/>
      <c r="P44" s="64"/>
      <c r="Q44" s="68"/>
      <c r="R44" s="66"/>
      <c r="S44" s="66"/>
      <c r="T44" s="69"/>
      <c r="U44" s="64"/>
      <c r="V44" s="70" t="str">
        <f aca="false">IF(B44="","",IF(NOT(ISNUMBER(G44)),"⚠ Falta fecha ingreso",IF(G44&gt;FECHA_CORTE,"Por ingresar",IF(H44="","Activo",IF(H44&lt;FECHA_CORTE,"Desvinculado","Activo (egreso programado)")))))</f>
        <v/>
      </c>
      <c r="W44" s="70" t="str">
        <f aca="false">IF(OR(B44="",NOT(ISNUMBER(G44))),"",IF(G44&gt;FECHA_CORTE,"",DATEDIF(G44,IF(H44="",FECHA_CORTE,MIN(H44,FECHA_CORTE))+1,"y")&amp;" a "&amp;DATEDIF(G44,IF(H44="",FECHA_CORTE,MIN(H44,FECHA_CORTE))+1,"ym")&amp;" m"))</f>
        <v/>
      </c>
      <c r="X44" s="71" t="str">
        <f aca="false">IF(B44="","",IFERROR(INDEX(C_SUELDO,MATCH(B44&amp;"-S"&amp;MAX(1,COUNTIFS(C_ID,B44,C_SUELDO,"&lt;&gt;",C_INICIO,"&lt;="&amp;FECHA_CORTE)),C_CLAVES,0)),0))</f>
        <v/>
      </c>
      <c r="Y44" s="70" t="str">
        <f aca="false">IF(B44="","",IFERROR(INDEX(C_TIPO,MATCH(B44&amp;"-P"&amp;MAX(1,COUNTIFS(C_ID,B44,C_DEFINE,"Sí",C_INICIO,"&lt;="&amp;FECHA_CORTE)),C_CLAVE,0))&amp;"","Sin contrato"))</f>
        <v/>
      </c>
      <c r="Z44" s="70" t="str">
        <f aca="false">IF(B44="","",IF(COUNTIF(T_ID,B44)&gt;1,"⚠ ID duplicado",IF(Y44="Sin contrato","⚠ Registrar el contrato en la hoja Contratos",IF(AND(LEFT(V44,6)="Activo",X44&lt;IMM_HOY*MIN(1,IF(N(J44)=0,JORNADA_LEGAL,J44)/JORNADA_LEGAL)),"⚠ Sueldo base bajo el ingreso mínimo",IF(O44="","⚠ Falta AFP",IF(P44="","⚠ Falta sistema de salud",IF(AND(P44="Isapre",N(Q44)=0),"⚠ Falta plan Isapre (UF)",IF(AND(N(J44)&gt;JORNADA_LEGAL,LEFT(V44,6)="Activo"),"⚠ Jornada sobre el máximo legal","OK"))))))))</f>
        <v/>
      </c>
      <c r="AA44" s="72" t="str">
        <f aca="false">IFERROR(IF(AND(B44&lt;&gt;"",ISNUMBER(G44)),IF(AND(G44&lt;=EOMONTH(ENVIO_PER,0),OR(H44="",H44&gt;=ENVIO_PER)),MAX(AA$6:AA43)+1,""),""),"")</f>
        <v/>
      </c>
    </row>
    <row r="45" customFormat="false" ht="15" hidden="false" customHeight="false" outlineLevel="0" collapsed="false">
      <c r="B45" s="64"/>
      <c r="C45" s="64"/>
      <c r="D45" s="64"/>
      <c r="E45" s="64"/>
      <c r="F45" s="64"/>
      <c r="G45" s="65"/>
      <c r="H45" s="65"/>
      <c r="I45" s="64"/>
      <c r="J45" s="66"/>
      <c r="K45" s="64"/>
      <c r="L45" s="67"/>
      <c r="M45" s="67"/>
      <c r="N45" s="67"/>
      <c r="O45" s="64"/>
      <c r="P45" s="64"/>
      <c r="Q45" s="68"/>
      <c r="R45" s="66"/>
      <c r="S45" s="66"/>
      <c r="T45" s="69"/>
      <c r="U45" s="64"/>
      <c r="V45" s="70" t="str">
        <f aca="false">IF(B45="","",IF(NOT(ISNUMBER(G45)),"⚠ Falta fecha ingreso",IF(G45&gt;FECHA_CORTE,"Por ingresar",IF(H45="","Activo",IF(H45&lt;FECHA_CORTE,"Desvinculado","Activo (egreso programado)")))))</f>
        <v/>
      </c>
      <c r="W45" s="70" t="str">
        <f aca="false">IF(OR(B45="",NOT(ISNUMBER(G45))),"",IF(G45&gt;FECHA_CORTE,"",DATEDIF(G45,IF(H45="",FECHA_CORTE,MIN(H45,FECHA_CORTE))+1,"y")&amp;" a "&amp;DATEDIF(G45,IF(H45="",FECHA_CORTE,MIN(H45,FECHA_CORTE))+1,"ym")&amp;" m"))</f>
        <v/>
      </c>
      <c r="X45" s="71" t="str">
        <f aca="false">IF(B45="","",IFERROR(INDEX(C_SUELDO,MATCH(B45&amp;"-S"&amp;MAX(1,COUNTIFS(C_ID,B45,C_SUELDO,"&lt;&gt;",C_INICIO,"&lt;="&amp;FECHA_CORTE)),C_CLAVES,0)),0))</f>
        <v/>
      </c>
      <c r="Y45" s="70" t="str">
        <f aca="false">IF(B45="","",IFERROR(INDEX(C_TIPO,MATCH(B45&amp;"-P"&amp;MAX(1,COUNTIFS(C_ID,B45,C_DEFINE,"Sí",C_INICIO,"&lt;="&amp;FECHA_CORTE)),C_CLAVE,0))&amp;"","Sin contrato"))</f>
        <v/>
      </c>
      <c r="Z45" s="70" t="str">
        <f aca="false">IF(B45="","",IF(COUNTIF(T_ID,B45)&gt;1,"⚠ ID duplicado",IF(Y45="Sin contrato","⚠ Registrar el contrato en la hoja Contratos",IF(AND(LEFT(V45,6)="Activo",X45&lt;IMM_HOY*MIN(1,IF(N(J45)=0,JORNADA_LEGAL,J45)/JORNADA_LEGAL)),"⚠ Sueldo base bajo el ingreso mínimo",IF(O45="","⚠ Falta AFP",IF(P45="","⚠ Falta sistema de salud",IF(AND(P45="Isapre",N(Q45)=0),"⚠ Falta plan Isapre (UF)",IF(AND(N(J45)&gt;JORNADA_LEGAL,LEFT(V45,6)="Activo"),"⚠ Jornada sobre el máximo legal","OK"))))))))</f>
        <v/>
      </c>
      <c r="AA45" s="72" t="str">
        <f aca="false">IFERROR(IF(AND(B45&lt;&gt;"",ISNUMBER(G45)),IF(AND(G45&lt;=EOMONTH(ENVIO_PER,0),OR(H45="",H45&gt;=ENVIO_PER)),MAX(AA$6:AA44)+1,""),""),"")</f>
        <v/>
      </c>
    </row>
    <row r="46" customFormat="false" ht="15" hidden="false" customHeight="false" outlineLevel="0" collapsed="false">
      <c r="B46" s="64"/>
      <c r="C46" s="64"/>
      <c r="D46" s="64"/>
      <c r="E46" s="64"/>
      <c r="F46" s="64"/>
      <c r="G46" s="65"/>
      <c r="H46" s="65"/>
      <c r="I46" s="64"/>
      <c r="J46" s="66"/>
      <c r="K46" s="64"/>
      <c r="L46" s="67"/>
      <c r="M46" s="67"/>
      <c r="N46" s="67"/>
      <c r="O46" s="64"/>
      <c r="P46" s="64"/>
      <c r="Q46" s="68"/>
      <c r="R46" s="66"/>
      <c r="S46" s="66"/>
      <c r="T46" s="69"/>
      <c r="U46" s="64"/>
      <c r="V46" s="70" t="str">
        <f aca="false">IF(B46="","",IF(NOT(ISNUMBER(G46)),"⚠ Falta fecha ingreso",IF(G46&gt;FECHA_CORTE,"Por ingresar",IF(H46="","Activo",IF(H46&lt;FECHA_CORTE,"Desvinculado","Activo (egreso programado)")))))</f>
        <v/>
      </c>
      <c r="W46" s="70" t="str">
        <f aca="false">IF(OR(B46="",NOT(ISNUMBER(G46))),"",IF(G46&gt;FECHA_CORTE,"",DATEDIF(G46,IF(H46="",FECHA_CORTE,MIN(H46,FECHA_CORTE))+1,"y")&amp;" a "&amp;DATEDIF(G46,IF(H46="",FECHA_CORTE,MIN(H46,FECHA_CORTE))+1,"ym")&amp;" m"))</f>
        <v/>
      </c>
      <c r="X46" s="71" t="str">
        <f aca="false">IF(B46="","",IFERROR(INDEX(C_SUELDO,MATCH(B46&amp;"-S"&amp;MAX(1,COUNTIFS(C_ID,B46,C_SUELDO,"&lt;&gt;",C_INICIO,"&lt;="&amp;FECHA_CORTE)),C_CLAVES,0)),0))</f>
        <v/>
      </c>
      <c r="Y46" s="70" t="str">
        <f aca="false">IF(B46="","",IFERROR(INDEX(C_TIPO,MATCH(B46&amp;"-P"&amp;MAX(1,COUNTIFS(C_ID,B46,C_DEFINE,"Sí",C_INICIO,"&lt;="&amp;FECHA_CORTE)),C_CLAVE,0))&amp;"","Sin contrato"))</f>
        <v/>
      </c>
      <c r="Z46" s="70" t="str">
        <f aca="false">IF(B46="","",IF(COUNTIF(T_ID,B46)&gt;1,"⚠ ID duplicado",IF(Y46="Sin contrato","⚠ Registrar el contrato en la hoja Contratos",IF(AND(LEFT(V46,6)="Activo",X46&lt;IMM_HOY*MIN(1,IF(N(J46)=0,JORNADA_LEGAL,J46)/JORNADA_LEGAL)),"⚠ Sueldo base bajo el ingreso mínimo",IF(O46="","⚠ Falta AFP",IF(P46="","⚠ Falta sistema de salud",IF(AND(P46="Isapre",N(Q46)=0),"⚠ Falta plan Isapre (UF)",IF(AND(N(J46)&gt;JORNADA_LEGAL,LEFT(V46,6)="Activo"),"⚠ Jornada sobre el máximo legal","OK"))))))))</f>
        <v/>
      </c>
      <c r="AA46" s="72" t="str">
        <f aca="false">IFERROR(IF(AND(B46&lt;&gt;"",ISNUMBER(G46)),IF(AND(G46&lt;=EOMONTH(ENVIO_PER,0),OR(H46="",H46&gt;=ENVIO_PER)),MAX(AA$6:AA45)+1,""),""),"")</f>
        <v/>
      </c>
    </row>
    <row r="47" customFormat="false" ht="15" hidden="false" customHeight="false" outlineLevel="0" collapsed="false">
      <c r="B47" s="64"/>
      <c r="C47" s="64"/>
      <c r="D47" s="64"/>
      <c r="E47" s="64"/>
      <c r="F47" s="64"/>
      <c r="G47" s="65"/>
      <c r="H47" s="65"/>
      <c r="I47" s="64"/>
      <c r="J47" s="66"/>
      <c r="K47" s="64"/>
      <c r="L47" s="67"/>
      <c r="M47" s="67"/>
      <c r="N47" s="67"/>
      <c r="O47" s="64"/>
      <c r="P47" s="64"/>
      <c r="Q47" s="68"/>
      <c r="R47" s="66"/>
      <c r="S47" s="66"/>
      <c r="T47" s="69"/>
      <c r="U47" s="64"/>
      <c r="V47" s="70" t="str">
        <f aca="false">IF(B47="","",IF(NOT(ISNUMBER(G47)),"⚠ Falta fecha ingreso",IF(G47&gt;FECHA_CORTE,"Por ingresar",IF(H47="","Activo",IF(H47&lt;FECHA_CORTE,"Desvinculado","Activo (egreso programado)")))))</f>
        <v/>
      </c>
      <c r="W47" s="70" t="str">
        <f aca="false">IF(OR(B47="",NOT(ISNUMBER(G47))),"",IF(G47&gt;FECHA_CORTE,"",DATEDIF(G47,IF(H47="",FECHA_CORTE,MIN(H47,FECHA_CORTE))+1,"y")&amp;" a "&amp;DATEDIF(G47,IF(H47="",FECHA_CORTE,MIN(H47,FECHA_CORTE))+1,"ym")&amp;" m"))</f>
        <v/>
      </c>
      <c r="X47" s="71" t="str">
        <f aca="false">IF(B47="","",IFERROR(INDEX(C_SUELDO,MATCH(B47&amp;"-S"&amp;MAX(1,COUNTIFS(C_ID,B47,C_SUELDO,"&lt;&gt;",C_INICIO,"&lt;="&amp;FECHA_CORTE)),C_CLAVES,0)),0))</f>
        <v/>
      </c>
      <c r="Y47" s="70" t="str">
        <f aca="false">IF(B47="","",IFERROR(INDEX(C_TIPO,MATCH(B47&amp;"-P"&amp;MAX(1,COUNTIFS(C_ID,B47,C_DEFINE,"Sí",C_INICIO,"&lt;="&amp;FECHA_CORTE)),C_CLAVE,0))&amp;"","Sin contrato"))</f>
        <v/>
      </c>
      <c r="Z47" s="70" t="str">
        <f aca="false">IF(B47="","",IF(COUNTIF(T_ID,B47)&gt;1,"⚠ ID duplicado",IF(Y47="Sin contrato","⚠ Registrar el contrato en la hoja Contratos",IF(AND(LEFT(V47,6)="Activo",X47&lt;IMM_HOY*MIN(1,IF(N(J47)=0,JORNADA_LEGAL,J47)/JORNADA_LEGAL)),"⚠ Sueldo base bajo el ingreso mínimo",IF(O47="","⚠ Falta AFP",IF(P47="","⚠ Falta sistema de salud",IF(AND(P47="Isapre",N(Q47)=0),"⚠ Falta plan Isapre (UF)",IF(AND(N(J47)&gt;JORNADA_LEGAL,LEFT(V47,6)="Activo"),"⚠ Jornada sobre el máximo legal","OK"))))))))</f>
        <v/>
      </c>
      <c r="AA47" s="72" t="str">
        <f aca="false">IFERROR(IF(AND(B47&lt;&gt;"",ISNUMBER(G47)),IF(AND(G47&lt;=EOMONTH(ENVIO_PER,0),OR(H47="",H47&gt;=ENVIO_PER)),MAX(AA$6:AA46)+1,""),""),"")</f>
        <v/>
      </c>
    </row>
    <row r="48" customFormat="false" ht="15" hidden="false" customHeight="false" outlineLevel="0" collapsed="false">
      <c r="B48" s="64"/>
      <c r="C48" s="64"/>
      <c r="D48" s="64"/>
      <c r="E48" s="64"/>
      <c r="F48" s="64"/>
      <c r="G48" s="65"/>
      <c r="H48" s="65"/>
      <c r="I48" s="64"/>
      <c r="J48" s="66"/>
      <c r="K48" s="64"/>
      <c r="L48" s="67"/>
      <c r="M48" s="67"/>
      <c r="N48" s="67"/>
      <c r="O48" s="64"/>
      <c r="P48" s="64"/>
      <c r="Q48" s="68"/>
      <c r="R48" s="66"/>
      <c r="S48" s="66"/>
      <c r="T48" s="69"/>
      <c r="U48" s="64"/>
      <c r="V48" s="70" t="str">
        <f aca="false">IF(B48="","",IF(NOT(ISNUMBER(G48)),"⚠ Falta fecha ingreso",IF(G48&gt;FECHA_CORTE,"Por ingresar",IF(H48="","Activo",IF(H48&lt;FECHA_CORTE,"Desvinculado","Activo (egreso programado)")))))</f>
        <v/>
      </c>
      <c r="W48" s="70" t="str">
        <f aca="false">IF(OR(B48="",NOT(ISNUMBER(G48))),"",IF(G48&gt;FECHA_CORTE,"",DATEDIF(G48,IF(H48="",FECHA_CORTE,MIN(H48,FECHA_CORTE))+1,"y")&amp;" a "&amp;DATEDIF(G48,IF(H48="",FECHA_CORTE,MIN(H48,FECHA_CORTE))+1,"ym")&amp;" m"))</f>
        <v/>
      </c>
      <c r="X48" s="71" t="str">
        <f aca="false">IF(B48="","",IFERROR(INDEX(C_SUELDO,MATCH(B48&amp;"-S"&amp;MAX(1,COUNTIFS(C_ID,B48,C_SUELDO,"&lt;&gt;",C_INICIO,"&lt;="&amp;FECHA_CORTE)),C_CLAVES,0)),0))</f>
        <v/>
      </c>
      <c r="Y48" s="70" t="str">
        <f aca="false">IF(B48="","",IFERROR(INDEX(C_TIPO,MATCH(B48&amp;"-P"&amp;MAX(1,COUNTIFS(C_ID,B48,C_DEFINE,"Sí",C_INICIO,"&lt;="&amp;FECHA_CORTE)),C_CLAVE,0))&amp;"","Sin contrato"))</f>
        <v/>
      </c>
      <c r="Z48" s="70" t="str">
        <f aca="false">IF(B48="","",IF(COUNTIF(T_ID,B48)&gt;1,"⚠ ID duplicado",IF(Y48="Sin contrato","⚠ Registrar el contrato en la hoja Contratos",IF(AND(LEFT(V48,6)="Activo",X48&lt;IMM_HOY*MIN(1,IF(N(J48)=0,JORNADA_LEGAL,J48)/JORNADA_LEGAL)),"⚠ Sueldo base bajo el ingreso mínimo",IF(O48="","⚠ Falta AFP",IF(P48="","⚠ Falta sistema de salud",IF(AND(P48="Isapre",N(Q48)=0),"⚠ Falta plan Isapre (UF)",IF(AND(N(J48)&gt;JORNADA_LEGAL,LEFT(V48,6)="Activo"),"⚠ Jornada sobre el máximo legal","OK"))))))))</f>
        <v/>
      </c>
      <c r="AA48" s="72" t="str">
        <f aca="false">IFERROR(IF(AND(B48&lt;&gt;"",ISNUMBER(G48)),IF(AND(G48&lt;=EOMONTH(ENVIO_PER,0),OR(H48="",H48&gt;=ENVIO_PER)),MAX(AA$6:AA47)+1,""),""),"")</f>
        <v/>
      </c>
    </row>
    <row r="49" customFormat="false" ht="15" hidden="false" customHeight="false" outlineLevel="0" collapsed="false">
      <c r="B49" s="64"/>
      <c r="C49" s="64"/>
      <c r="D49" s="64"/>
      <c r="E49" s="64"/>
      <c r="F49" s="64"/>
      <c r="G49" s="65"/>
      <c r="H49" s="65"/>
      <c r="I49" s="64"/>
      <c r="J49" s="66"/>
      <c r="K49" s="64"/>
      <c r="L49" s="67"/>
      <c r="M49" s="67"/>
      <c r="N49" s="67"/>
      <c r="O49" s="64"/>
      <c r="P49" s="64"/>
      <c r="Q49" s="68"/>
      <c r="R49" s="66"/>
      <c r="S49" s="66"/>
      <c r="T49" s="69"/>
      <c r="U49" s="64"/>
      <c r="V49" s="70" t="str">
        <f aca="false">IF(B49="","",IF(NOT(ISNUMBER(G49)),"⚠ Falta fecha ingreso",IF(G49&gt;FECHA_CORTE,"Por ingresar",IF(H49="","Activo",IF(H49&lt;FECHA_CORTE,"Desvinculado","Activo (egreso programado)")))))</f>
        <v/>
      </c>
      <c r="W49" s="70" t="str">
        <f aca="false">IF(OR(B49="",NOT(ISNUMBER(G49))),"",IF(G49&gt;FECHA_CORTE,"",DATEDIF(G49,IF(H49="",FECHA_CORTE,MIN(H49,FECHA_CORTE))+1,"y")&amp;" a "&amp;DATEDIF(G49,IF(H49="",FECHA_CORTE,MIN(H49,FECHA_CORTE))+1,"ym")&amp;" m"))</f>
        <v/>
      </c>
      <c r="X49" s="71" t="str">
        <f aca="false">IF(B49="","",IFERROR(INDEX(C_SUELDO,MATCH(B49&amp;"-S"&amp;MAX(1,COUNTIFS(C_ID,B49,C_SUELDO,"&lt;&gt;",C_INICIO,"&lt;="&amp;FECHA_CORTE)),C_CLAVES,0)),0))</f>
        <v/>
      </c>
      <c r="Y49" s="70" t="str">
        <f aca="false">IF(B49="","",IFERROR(INDEX(C_TIPO,MATCH(B49&amp;"-P"&amp;MAX(1,COUNTIFS(C_ID,B49,C_DEFINE,"Sí",C_INICIO,"&lt;="&amp;FECHA_CORTE)),C_CLAVE,0))&amp;"","Sin contrato"))</f>
        <v/>
      </c>
      <c r="Z49" s="70" t="str">
        <f aca="false">IF(B49="","",IF(COUNTIF(T_ID,B49)&gt;1,"⚠ ID duplicado",IF(Y49="Sin contrato","⚠ Registrar el contrato en la hoja Contratos",IF(AND(LEFT(V49,6)="Activo",X49&lt;IMM_HOY*MIN(1,IF(N(J49)=0,JORNADA_LEGAL,J49)/JORNADA_LEGAL)),"⚠ Sueldo base bajo el ingreso mínimo",IF(O49="","⚠ Falta AFP",IF(P49="","⚠ Falta sistema de salud",IF(AND(P49="Isapre",N(Q49)=0),"⚠ Falta plan Isapre (UF)",IF(AND(N(J49)&gt;JORNADA_LEGAL,LEFT(V49,6)="Activo"),"⚠ Jornada sobre el máximo legal","OK"))))))))</f>
        <v/>
      </c>
      <c r="AA49" s="72" t="str">
        <f aca="false">IFERROR(IF(AND(B49&lt;&gt;"",ISNUMBER(G49)),IF(AND(G49&lt;=EOMONTH(ENVIO_PER,0),OR(H49="",H49&gt;=ENVIO_PER)),MAX(AA$6:AA48)+1,""),""),"")</f>
        <v/>
      </c>
    </row>
    <row r="50" customFormat="false" ht="15" hidden="false" customHeight="false" outlineLevel="0" collapsed="false">
      <c r="B50" s="64"/>
      <c r="C50" s="64"/>
      <c r="D50" s="64"/>
      <c r="E50" s="64"/>
      <c r="F50" s="64"/>
      <c r="G50" s="65"/>
      <c r="H50" s="65"/>
      <c r="I50" s="64"/>
      <c r="J50" s="66"/>
      <c r="K50" s="64"/>
      <c r="L50" s="67"/>
      <c r="M50" s="67"/>
      <c r="N50" s="67"/>
      <c r="O50" s="64"/>
      <c r="P50" s="64"/>
      <c r="Q50" s="68"/>
      <c r="R50" s="66"/>
      <c r="S50" s="66"/>
      <c r="T50" s="69"/>
      <c r="U50" s="64"/>
      <c r="V50" s="70" t="str">
        <f aca="false">IF(B50="","",IF(NOT(ISNUMBER(G50)),"⚠ Falta fecha ingreso",IF(G50&gt;FECHA_CORTE,"Por ingresar",IF(H50="","Activo",IF(H50&lt;FECHA_CORTE,"Desvinculado","Activo (egreso programado)")))))</f>
        <v/>
      </c>
      <c r="W50" s="70" t="str">
        <f aca="false">IF(OR(B50="",NOT(ISNUMBER(G50))),"",IF(G50&gt;FECHA_CORTE,"",DATEDIF(G50,IF(H50="",FECHA_CORTE,MIN(H50,FECHA_CORTE))+1,"y")&amp;" a "&amp;DATEDIF(G50,IF(H50="",FECHA_CORTE,MIN(H50,FECHA_CORTE))+1,"ym")&amp;" m"))</f>
        <v/>
      </c>
      <c r="X50" s="71" t="str">
        <f aca="false">IF(B50="","",IFERROR(INDEX(C_SUELDO,MATCH(B50&amp;"-S"&amp;MAX(1,COUNTIFS(C_ID,B50,C_SUELDO,"&lt;&gt;",C_INICIO,"&lt;="&amp;FECHA_CORTE)),C_CLAVES,0)),0))</f>
        <v/>
      </c>
      <c r="Y50" s="70" t="str">
        <f aca="false">IF(B50="","",IFERROR(INDEX(C_TIPO,MATCH(B50&amp;"-P"&amp;MAX(1,COUNTIFS(C_ID,B50,C_DEFINE,"Sí",C_INICIO,"&lt;="&amp;FECHA_CORTE)),C_CLAVE,0))&amp;"","Sin contrato"))</f>
        <v/>
      </c>
      <c r="Z50" s="70" t="str">
        <f aca="false">IF(B50="","",IF(COUNTIF(T_ID,B50)&gt;1,"⚠ ID duplicado",IF(Y50="Sin contrato","⚠ Registrar el contrato en la hoja Contratos",IF(AND(LEFT(V50,6)="Activo",X50&lt;IMM_HOY*MIN(1,IF(N(J50)=0,JORNADA_LEGAL,J50)/JORNADA_LEGAL)),"⚠ Sueldo base bajo el ingreso mínimo",IF(O50="","⚠ Falta AFP",IF(P50="","⚠ Falta sistema de salud",IF(AND(P50="Isapre",N(Q50)=0),"⚠ Falta plan Isapre (UF)",IF(AND(N(J50)&gt;JORNADA_LEGAL,LEFT(V50,6)="Activo"),"⚠ Jornada sobre el máximo legal","OK"))))))))</f>
        <v/>
      </c>
      <c r="AA50" s="72" t="str">
        <f aca="false">IFERROR(IF(AND(B50&lt;&gt;"",ISNUMBER(G50)),IF(AND(G50&lt;=EOMONTH(ENVIO_PER,0),OR(H50="",H50&gt;=ENVIO_PER)),MAX(AA$6:AA49)+1,""),""),"")</f>
        <v/>
      </c>
    </row>
    <row r="51" customFormat="false" ht="15" hidden="false" customHeight="false" outlineLevel="0" collapsed="false">
      <c r="B51" s="64"/>
      <c r="C51" s="64"/>
      <c r="D51" s="64"/>
      <c r="E51" s="64"/>
      <c r="F51" s="64"/>
      <c r="G51" s="65"/>
      <c r="H51" s="65"/>
      <c r="I51" s="64"/>
      <c r="J51" s="66"/>
      <c r="K51" s="64"/>
      <c r="L51" s="67"/>
      <c r="M51" s="67"/>
      <c r="N51" s="67"/>
      <c r="O51" s="64"/>
      <c r="P51" s="64"/>
      <c r="Q51" s="68"/>
      <c r="R51" s="66"/>
      <c r="S51" s="66"/>
      <c r="T51" s="69"/>
      <c r="U51" s="64"/>
      <c r="V51" s="70" t="str">
        <f aca="false">IF(B51="","",IF(NOT(ISNUMBER(G51)),"⚠ Falta fecha ingreso",IF(G51&gt;FECHA_CORTE,"Por ingresar",IF(H51="","Activo",IF(H51&lt;FECHA_CORTE,"Desvinculado","Activo (egreso programado)")))))</f>
        <v/>
      </c>
      <c r="W51" s="70" t="str">
        <f aca="false">IF(OR(B51="",NOT(ISNUMBER(G51))),"",IF(G51&gt;FECHA_CORTE,"",DATEDIF(G51,IF(H51="",FECHA_CORTE,MIN(H51,FECHA_CORTE))+1,"y")&amp;" a "&amp;DATEDIF(G51,IF(H51="",FECHA_CORTE,MIN(H51,FECHA_CORTE))+1,"ym")&amp;" m"))</f>
        <v/>
      </c>
      <c r="X51" s="71" t="str">
        <f aca="false">IF(B51="","",IFERROR(INDEX(C_SUELDO,MATCH(B51&amp;"-S"&amp;MAX(1,COUNTIFS(C_ID,B51,C_SUELDO,"&lt;&gt;",C_INICIO,"&lt;="&amp;FECHA_CORTE)),C_CLAVES,0)),0))</f>
        <v/>
      </c>
      <c r="Y51" s="70" t="str">
        <f aca="false">IF(B51="","",IFERROR(INDEX(C_TIPO,MATCH(B51&amp;"-P"&amp;MAX(1,COUNTIFS(C_ID,B51,C_DEFINE,"Sí",C_INICIO,"&lt;="&amp;FECHA_CORTE)),C_CLAVE,0))&amp;"","Sin contrato"))</f>
        <v/>
      </c>
      <c r="Z51" s="70" t="str">
        <f aca="false">IF(B51="","",IF(COUNTIF(T_ID,B51)&gt;1,"⚠ ID duplicado",IF(Y51="Sin contrato","⚠ Registrar el contrato en la hoja Contratos",IF(AND(LEFT(V51,6)="Activo",X51&lt;IMM_HOY*MIN(1,IF(N(J51)=0,JORNADA_LEGAL,J51)/JORNADA_LEGAL)),"⚠ Sueldo base bajo el ingreso mínimo",IF(O51="","⚠ Falta AFP",IF(P51="","⚠ Falta sistema de salud",IF(AND(P51="Isapre",N(Q51)=0),"⚠ Falta plan Isapre (UF)",IF(AND(N(J51)&gt;JORNADA_LEGAL,LEFT(V51,6)="Activo"),"⚠ Jornada sobre el máximo legal","OK"))))))))</f>
        <v/>
      </c>
      <c r="AA51" s="72" t="str">
        <f aca="false">IFERROR(IF(AND(B51&lt;&gt;"",ISNUMBER(G51)),IF(AND(G51&lt;=EOMONTH(ENVIO_PER,0),OR(H51="",H51&gt;=ENVIO_PER)),MAX(AA$6:AA50)+1,""),""),"")</f>
        <v/>
      </c>
    </row>
    <row r="52" customFormat="false" ht="15" hidden="false" customHeight="false" outlineLevel="0" collapsed="false">
      <c r="B52" s="64"/>
      <c r="C52" s="64"/>
      <c r="D52" s="64"/>
      <c r="E52" s="64"/>
      <c r="F52" s="64"/>
      <c r="G52" s="65"/>
      <c r="H52" s="65"/>
      <c r="I52" s="64"/>
      <c r="J52" s="66"/>
      <c r="K52" s="64"/>
      <c r="L52" s="67"/>
      <c r="M52" s="67"/>
      <c r="N52" s="67"/>
      <c r="O52" s="64"/>
      <c r="P52" s="64"/>
      <c r="Q52" s="68"/>
      <c r="R52" s="66"/>
      <c r="S52" s="66"/>
      <c r="T52" s="69"/>
      <c r="U52" s="64"/>
      <c r="V52" s="70" t="str">
        <f aca="false">IF(B52="","",IF(NOT(ISNUMBER(G52)),"⚠ Falta fecha ingreso",IF(G52&gt;FECHA_CORTE,"Por ingresar",IF(H52="","Activo",IF(H52&lt;FECHA_CORTE,"Desvinculado","Activo (egreso programado)")))))</f>
        <v/>
      </c>
      <c r="W52" s="70" t="str">
        <f aca="false">IF(OR(B52="",NOT(ISNUMBER(G52))),"",IF(G52&gt;FECHA_CORTE,"",DATEDIF(G52,IF(H52="",FECHA_CORTE,MIN(H52,FECHA_CORTE))+1,"y")&amp;" a "&amp;DATEDIF(G52,IF(H52="",FECHA_CORTE,MIN(H52,FECHA_CORTE))+1,"ym")&amp;" m"))</f>
        <v/>
      </c>
      <c r="X52" s="71" t="str">
        <f aca="false">IF(B52="","",IFERROR(INDEX(C_SUELDO,MATCH(B52&amp;"-S"&amp;MAX(1,COUNTIFS(C_ID,B52,C_SUELDO,"&lt;&gt;",C_INICIO,"&lt;="&amp;FECHA_CORTE)),C_CLAVES,0)),0))</f>
        <v/>
      </c>
      <c r="Y52" s="70" t="str">
        <f aca="false">IF(B52="","",IFERROR(INDEX(C_TIPO,MATCH(B52&amp;"-P"&amp;MAX(1,COUNTIFS(C_ID,B52,C_DEFINE,"Sí",C_INICIO,"&lt;="&amp;FECHA_CORTE)),C_CLAVE,0))&amp;"","Sin contrato"))</f>
        <v/>
      </c>
      <c r="Z52" s="70" t="str">
        <f aca="false">IF(B52="","",IF(COUNTIF(T_ID,B52)&gt;1,"⚠ ID duplicado",IF(Y52="Sin contrato","⚠ Registrar el contrato en la hoja Contratos",IF(AND(LEFT(V52,6)="Activo",X52&lt;IMM_HOY*MIN(1,IF(N(J52)=0,JORNADA_LEGAL,J52)/JORNADA_LEGAL)),"⚠ Sueldo base bajo el ingreso mínimo",IF(O52="","⚠ Falta AFP",IF(P52="","⚠ Falta sistema de salud",IF(AND(P52="Isapre",N(Q52)=0),"⚠ Falta plan Isapre (UF)",IF(AND(N(J52)&gt;JORNADA_LEGAL,LEFT(V52,6)="Activo"),"⚠ Jornada sobre el máximo legal","OK"))))))))</f>
        <v/>
      </c>
      <c r="AA52" s="72" t="str">
        <f aca="false">IFERROR(IF(AND(B52&lt;&gt;"",ISNUMBER(G52)),IF(AND(G52&lt;=EOMONTH(ENVIO_PER,0),OR(H52="",H52&gt;=ENVIO_PER)),MAX(AA$6:AA51)+1,""),""),"")</f>
        <v/>
      </c>
    </row>
    <row r="53" customFormat="false" ht="15" hidden="false" customHeight="false" outlineLevel="0" collapsed="false">
      <c r="B53" s="64"/>
      <c r="C53" s="64"/>
      <c r="D53" s="64"/>
      <c r="E53" s="64"/>
      <c r="F53" s="64"/>
      <c r="G53" s="65"/>
      <c r="H53" s="65"/>
      <c r="I53" s="64"/>
      <c r="J53" s="66"/>
      <c r="K53" s="64"/>
      <c r="L53" s="67"/>
      <c r="M53" s="67"/>
      <c r="N53" s="67"/>
      <c r="O53" s="64"/>
      <c r="P53" s="64"/>
      <c r="Q53" s="68"/>
      <c r="R53" s="66"/>
      <c r="S53" s="66"/>
      <c r="T53" s="69"/>
      <c r="U53" s="64"/>
      <c r="V53" s="70" t="str">
        <f aca="false">IF(B53="","",IF(NOT(ISNUMBER(G53)),"⚠ Falta fecha ingreso",IF(G53&gt;FECHA_CORTE,"Por ingresar",IF(H53="","Activo",IF(H53&lt;FECHA_CORTE,"Desvinculado","Activo (egreso programado)")))))</f>
        <v/>
      </c>
      <c r="W53" s="70" t="str">
        <f aca="false">IF(OR(B53="",NOT(ISNUMBER(G53))),"",IF(G53&gt;FECHA_CORTE,"",DATEDIF(G53,IF(H53="",FECHA_CORTE,MIN(H53,FECHA_CORTE))+1,"y")&amp;" a "&amp;DATEDIF(G53,IF(H53="",FECHA_CORTE,MIN(H53,FECHA_CORTE))+1,"ym")&amp;" m"))</f>
        <v/>
      </c>
      <c r="X53" s="71" t="str">
        <f aca="false">IF(B53="","",IFERROR(INDEX(C_SUELDO,MATCH(B53&amp;"-S"&amp;MAX(1,COUNTIFS(C_ID,B53,C_SUELDO,"&lt;&gt;",C_INICIO,"&lt;="&amp;FECHA_CORTE)),C_CLAVES,0)),0))</f>
        <v/>
      </c>
      <c r="Y53" s="70" t="str">
        <f aca="false">IF(B53="","",IFERROR(INDEX(C_TIPO,MATCH(B53&amp;"-P"&amp;MAX(1,COUNTIFS(C_ID,B53,C_DEFINE,"Sí",C_INICIO,"&lt;="&amp;FECHA_CORTE)),C_CLAVE,0))&amp;"","Sin contrato"))</f>
        <v/>
      </c>
      <c r="Z53" s="70" t="str">
        <f aca="false">IF(B53="","",IF(COUNTIF(T_ID,B53)&gt;1,"⚠ ID duplicado",IF(Y53="Sin contrato","⚠ Registrar el contrato en la hoja Contratos",IF(AND(LEFT(V53,6)="Activo",X53&lt;IMM_HOY*MIN(1,IF(N(J53)=0,JORNADA_LEGAL,J53)/JORNADA_LEGAL)),"⚠ Sueldo base bajo el ingreso mínimo",IF(O53="","⚠ Falta AFP",IF(P53="","⚠ Falta sistema de salud",IF(AND(P53="Isapre",N(Q53)=0),"⚠ Falta plan Isapre (UF)",IF(AND(N(J53)&gt;JORNADA_LEGAL,LEFT(V53,6)="Activo"),"⚠ Jornada sobre el máximo legal","OK"))))))))</f>
        <v/>
      </c>
      <c r="AA53" s="72" t="str">
        <f aca="false">IFERROR(IF(AND(B53&lt;&gt;"",ISNUMBER(G53)),IF(AND(G53&lt;=EOMONTH(ENVIO_PER,0),OR(H53="",H53&gt;=ENVIO_PER)),MAX(AA$6:AA52)+1,""),""),"")</f>
        <v/>
      </c>
    </row>
    <row r="54" customFormat="false" ht="15" hidden="false" customHeight="false" outlineLevel="0" collapsed="false">
      <c r="B54" s="64"/>
      <c r="C54" s="64"/>
      <c r="D54" s="64"/>
      <c r="E54" s="64"/>
      <c r="F54" s="64"/>
      <c r="G54" s="65"/>
      <c r="H54" s="65"/>
      <c r="I54" s="64"/>
      <c r="J54" s="66"/>
      <c r="K54" s="64"/>
      <c r="L54" s="67"/>
      <c r="M54" s="67"/>
      <c r="N54" s="67"/>
      <c r="O54" s="64"/>
      <c r="P54" s="64"/>
      <c r="Q54" s="68"/>
      <c r="R54" s="66"/>
      <c r="S54" s="66"/>
      <c r="T54" s="69"/>
      <c r="U54" s="64"/>
      <c r="V54" s="70" t="str">
        <f aca="false">IF(B54="","",IF(NOT(ISNUMBER(G54)),"⚠ Falta fecha ingreso",IF(G54&gt;FECHA_CORTE,"Por ingresar",IF(H54="","Activo",IF(H54&lt;FECHA_CORTE,"Desvinculado","Activo (egreso programado)")))))</f>
        <v/>
      </c>
      <c r="W54" s="70" t="str">
        <f aca="false">IF(OR(B54="",NOT(ISNUMBER(G54))),"",IF(G54&gt;FECHA_CORTE,"",DATEDIF(G54,IF(H54="",FECHA_CORTE,MIN(H54,FECHA_CORTE))+1,"y")&amp;" a "&amp;DATEDIF(G54,IF(H54="",FECHA_CORTE,MIN(H54,FECHA_CORTE))+1,"ym")&amp;" m"))</f>
        <v/>
      </c>
      <c r="X54" s="71" t="str">
        <f aca="false">IF(B54="","",IFERROR(INDEX(C_SUELDO,MATCH(B54&amp;"-S"&amp;MAX(1,COUNTIFS(C_ID,B54,C_SUELDO,"&lt;&gt;",C_INICIO,"&lt;="&amp;FECHA_CORTE)),C_CLAVES,0)),0))</f>
        <v/>
      </c>
      <c r="Y54" s="70" t="str">
        <f aca="false">IF(B54="","",IFERROR(INDEX(C_TIPO,MATCH(B54&amp;"-P"&amp;MAX(1,COUNTIFS(C_ID,B54,C_DEFINE,"Sí",C_INICIO,"&lt;="&amp;FECHA_CORTE)),C_CLAVE,0))&amp;"","Sin contrato"))</f>
        <v/>
      </c>
      <c r="Z54" s="70" t="str">
        <f aca="false">IF(B54="","",IF(COUNTIF(T_ID,B54)&gt;1,"⚠ ID duplicado",IF(Y54="Sin contrato","⚠ Registrar el contrato en la hoja Contratos",IF(AND(LEFT(V54,6)="Activo",X54&lt;IMM_HOY*MIN(1,IF(N(J54)=0,JORNADA_LEGAL,J54)/JORNADA_LEGAL)),"⚠ Sueldo base bajo el ingreso mínimo",IF(O54="","⚠ Falta AFP",IF(P54="","⚠ Falta sistema de salud",IF(AND(P54="Isapre",N(Q54)=0),"⚠ Falta plan Isapre (UF)",IF(AND(N(J54)&gt;JORNADA_LEGAL,LEFT(V54,6)="Activo"),"⚠ Jornada sobre el máximo legal","OK"))))))))</f>
        <v/>
      </c>
      <c r="AA54" s="72" t="str">
        <f aca="false">IFERROR(IF(AND(B54&lt;&gt;"",ISNUMBER(G54)),IF(AND(G54&lt;=EOMONTH(ENVIO_PER,0),OR(H54="",H54&gt;=ENVIO_PER)),MAX(AA$6:AA53)+1,""),""),"")</f>
        <v/>
      </c>
    </row>
    <row r="55" customFormat="false" ht="15" hidden="false" customHeight="false" outlineLevel="0" collapsed="false">
      <c r="B55" s="64"/>
      <c r="C55" s="64"/>
      <c r="D55" s="64"/>
      <c r="E55" s="64"/>
      <c r="F55" s="64"/>
      <c r="G55" s="65"/>
      <c r="H55" s="65"/>
      <c r="I55" s="64"/>
      <c r="J55" s="66"/>
      <c r="K55" s="64"/>
      <c r="L55" s="67"/>
      <c r="M55" s="67"/>
      <c r="N55" s="67"/>
      <c r="O55" s="64"/>
      <c r="P55" s="64"/>
      <c r="Q55" s="68"/>
      <c r="R55" s="66"/>
      <c r="S55" s="66"/>
      <c r="T55" s="69"/>
      <c r="U55" s="64"/>
      <c r="V55" s="70" t="str">
        <f aca="false">IF(B55="","",IF(NOT(ISNUMBER(G55)),"⚠ Falta fecha ingreso",IF(G55&gt;FECHA_CORTE,"Por ingresar",IF(H55="","Activo",IF(H55&lt;FECHA_CORTE,"Desvinculado","Activo (egreso programado)")))))</f>
        <v/>
      </c>
      <c r="W55" s="70" t="str">
        <f aca="false">IF(OR(B55="",NOT(ISNUMBER(G55))),"",IF(G55&gt;FECHA_CORTE,"",DATEDIF(G55,IF(H55="",FECHA_CORTE,MIN(H55,FECHA_CORTE))+1,"y")&amp;" a "&amp;DATEDIF(G55,IF(H55="",FECHA_CORTE,MIN(H55,FECHA_CORTE))+1,"ym")&amp;" m"))</f>
        <v/>
      </c>
      <c r="X55" s="71" t="str">
        <f aca="false">IF(B55="","",IFERROR(INDEX(C_SUELDO,MATCH(B55&amp;"-S"&amp;MAX(1,COUNTIFS(C_ID,B55,C_SUELDO,"&lt;&gt;",C_INICIO,"&lt;="&amp;FECHA_CORTE)),C_CLAVES,0)),0))</f>
        <v/>
      </c>
      <c r="Y55" s="70" t="str">
        <f aca="false">IF(B55="","",IFERROR(INDEX(C_TIPO,MATCH(B55&amp;"-P"&amp;MAX(1,COUNTIFS(C_ID,B55,C_DEFINE,"Sí",C_INICIO,"&lt;="&amp;FECHA_CORTE)),C_CLAVE,0))&amp;"","Sin contrato"))</f>
        <v/>
      </c>
      <c r="Z55" s="70" t="str">
        <f aca="false">IF(B55="","",IF(COUNTIF(T_ID,B55)&gt;1,"⚠ ID duplicado",IF(Y55="Sin contrato","⚠ Registrar el contrato en la hoja Contratos",IF(AND(LEFT(V55,6)="Activo",X55&lt;IMM_HOY*MIN(1,IF(N(J55)=0,JORNADA_LEGAL,J55)/JORNADA_LEGAL)),"⚠ Sueldo base bajo el ingreso mínimo",IF(O55="","⚠ Falta AFP",IF(P55="","⚠ Falta sistema de salud",IF(AND(P55="Isapre",N(Q55)=0),"⚠ Falta plan Isapre (UF)",IF(AND(N(J55)&gt;JORNADA_LEGAL,LEFT(V55,6)="Activo"),"⚠ Jornada sobre el máximo legal","OK"))))))))</f>
        <v/>
      </c>
      <c r="AA55" s="72" t="str">
        <f aca="false">IFERROR(IF(AND(B55&lt;&gt;"",ISNUMBER(G55)),IF(AND(G55&lt;=EOMONTH(ENVIO_PER,0),OR(H55="",H55&gt;=ENVIO_PER)),MAX(AA$6:AA54)+1,""),""),"")</f>
        <v/>
      </c>
    </row>
    <row r="56" customFormat="false" ht="15" hidden="false" customHeight="false" outlineLevel="0" collapsed="false">
      <c r="B56" s="64"/>
      <c r="C56" s="64"/>
      <c r="D56" s="64"/>
      <c r="E56" s="64"/>
      <c r="F56" s="64"/>
      <c r="G56" s="65"/>
      <c r="H56" s="65"/>
      <c r="I56" s="64"/>
      <c r="J56" s="66"/>
      <c r="K56" s="64"/>
      <c r="L56" s="67"/>
      <c r="M56" s="67"/>
      <c r="N56" s="67"/>
      <c r="O56" s="64"/>
      <c r="P56" s="64"/>
      <c r="Q56" s="68"/>
      <c r="R56" s="66"/>
      <c r="S56" s="66"/>
      <c r="T56" s="69"/>
      <c r="U56" s="64"/>
      <c r="V56" s="70" t="str">
        <f aca="false">IF(B56="","",IF(NOT(ISNUMBER(G56)),"⚠ Falta fecha ingreso",IF(G56&gt;FECHA_CORTE,"Por ingresar",IF(H56="","Activo",IF(H56&lt;FECHA_CORTE,"Desvinculado","Activo (egreso programado)")))))</f>
        <v/>
      </c>
      <c r="W56" s="70" t="str">
        <f aca="false">IF(OR(B56="",NOT(ISNUMBER(G56))),"",IF(G56&gt;FECHA_CORTE,"",DATEDIF(G56,IF(H56="",FECHA_CORTE,MIN(H56,FECHA_CORTE))+1,"y")&amp;" a "&amp;DATEDIF(G56,IF(H56="",FECHA_CORTE,MIN(H56,FECHA_CORTE))+1,"ym")&amp;" m"))</f>
        <v/>
      </c>
      <c r="X56" s="71" t="str">
        <f aca="false">IF(B56="","",IFERROR(INDEX(C_SUELDO,MATCH(B56&amp;"-S"&amp;MAX(1,COUNTIFS(C_ID,B56,C_SUELDO,"&lt;&gt;",C_INICIO,"&lt;="&amp;FECHA_CORTE)),C_CLAVES,0)),0))</f>
        <v/>
      </c>
      <c r="Y56" s="70" t="str">
        <f aca="false">IF(B56="","",IFERROR(INDEX(C_TIPO,MATCH(B56&amp;"-P"&amp;MAX(1,COUNTIFS(C_ID,B56,C_DEFINE,"Sí",C_INICIO,"&lt;="&amp;FECHA_CORTE)),C_CLAVE,0))&amp;"","Sin contrato"))</f>
        <v/>
      </c>
      <c r="Z56" s="70" t="str">
        <f aca="false">IF(B56="","",IF(COUNTIF(T_ID,B56)&gt;1,"⚠ ID duplicado",IF(Y56="Sin contrato","⚠ Registrar el contrato en la hoja Contratos",IF(AND(LEFT(V56,6)="Activo",X56&lt;IMM_HOY*MIN(1,IF(N(J56)=0,JORNADA_LEGAL,J56)/JORNADA_LEGAL)),"⚠ Sueldo base bajo el ingreso mínimo",IF(O56="","⚠ Falta AFP",IF(P56="","⚠ Falta sistema de salud",IF(AND(P56="Isapre",N(Q56)=0),"⚠ Falta plan Isapre (UF)",IF(AND(N(J56)&gt;JORNADA_LEGAL,LEFT(V56,6)="Activo"),"⚠ Jornada sobre el máximo legal","OK"))))))))</f>
        <v/>
      </c>
      <c r="AA56" s="72" t="str">
        <f aca="false">IFERROR(IF(AND(B56&lt;&gt;"",ISNUMBER(G56)),IF(AND(G56&lt;=EOMONTH(ENVIO_PER,0),OR(H56="",H56&gt;=ENVIO_PER)),MAX(AA$6:AA55)+1,""),""),"")</f>
        <v/>
      </c>
    </row>
    <row r="57" customFormat="false" ht="15" hidden="false" customHeight="false" outlineLevel="0" collapsed="false">
      <c r="B57" s="64"/>
      <c r="C57" s="64"/>
      <c r="D57" s="64"/>
      <c r="E57" s="64"/>
      <c r="F57" s="64"/>
      <c r="G57" s="65"/>
      <c r="H57" s="65"/>
      <c r="I57" s="64"/>
      <c r="J57" s="66"/>
      <c r="K57" s="64"/>
      <c r="L57" s="67"/>
      <c r="M57" s="67"/>
      <c r="N57" s="67"/>
      <c r="O57" s="64"/>
      <c r="P57" s="64"/>
      <c r="Q57" s="68"/>
      <c r="R57" s="66"/>
      <c r="S57" s="66"/>
      <c r="T57" s="69"/>
      <c r="U57" s="64"/>
      <c r="V57" s="70" t="str">
        <f aca="false">IF(B57="","",IF(NOT(ISNUMBER(G57)),"⚠ Falta fecha ingreso",IF(G57&gt;FECHA_CORTE,"Por ingresar",IF(H57="","Activo",IF(H57&lt;FECHA_CORTE,"Desvinculado","Activo (egreso programado)")))))</f>
        <v/>
      </c>
      <c r="W57" s="70" t="str">
        <f aca="false">IF(OR(B57="",NOT(ISNUMBER(G57))),"",IF(G57&gt;FECHA_CORTE,"",DATEDIF(G57,IF(H57="",FECHA_CORTE,MIN(H57,FECHA_CORTE))+1,"y")&amp;" a "&amp;DATEDIF(G57,IF(H57="",FECHA_CORTE,MIN(H57,FECHA_CORTE))+1,"ym")&amp;" m"))</f>
        <v/>
      </c>
      <c r="X57" s="71" t="str">
        <f aca="false">IF(B57="","",IFERROR(INDEX(C_SUELDO,MATCH(B57&amp;"-S"&amp;MAX(1,COUNTIFS(C_ID,B57,C_SUELDO,"&lt;&gt;",C_INICIO,"&lt;="&amp;FECHA_CORTE)),C_CLAVES,0)),0))</f>
        <v/>
      </c>
      <c r="Y57" s="70" t="str">
        <f aca="false">IF(B57="","",IFERROR(INDEX(C_TIPO,MATCH(B57&amp;"-P"&amp;MAX(1,COUNTIFS(C_ID,B57,C_DEFINE,"Sí",C_INICIO,"&lt;="&amp;FECHA_CORTE)),C_CLAVE,0))&amp;"","Sin contrato"))</f>
        <v/>
      </c>
      <c r="Z57" s="70" t="str">
        <f aca="false">IF(B57="","",IF(COUNTIF(T_ID,B57)&gt;1,"⚠ ID duplicado",IF(Y57="Sin contrato","⚠ Registrar el contrato en la hoja Contratos",IF(AND(LEFT(V57,6)="Activo",X57&lt;IMM_HOY*MIN(1,IF(N(J57)=0,JORNADA_LEGAL,J57)/JORNADA_LEGAL)),"⚠ Sueldo base bajo el ingreso mínimo",IF(O57="","⚠ Falta AFP",IF(P57="","⚠ Falta sistema de salud",IF(AND(P57="Isapre",N(Q57)=0),"⚠ Falta plan Isapre (UF)",IF(AND(N(J57)&gt;JORNADA_LEGAL,LEFT(V57,6)="Activo"),"⚠ Jornada sobre el máximo legal","OK"))))))))</f>
        <v/>
      </c>
      <c r="AA57" s="72" t="str">
        <f aca="false">IFERROR(IF(AND(B57&lt;&gt;"",ISNUMBER(G57)),IF(AND(G57&lt;=EOMONTH(ENVIO_PER,0),OR(H57="",H57&gt;=ENVIO_PER)),MAX(AA$6:AA56)+1,""),""),"")</f>
        <v/>
      </c>
    </row>
    <row r="58" customFormat="false" ht="15" hidden="false" customHeight="false" outlineLevel="0" collapsed="false">
      <c r="B58" s="64"/>
      <c r="C58" s="64"/>
      <c r="D58" s="64"/>
      <c r="E58" s="64"/>
      <c r="F58" s="64"/>
      <c r="G58" s="65"/>
      <c r="H58" s="65"/>
      <c r="I58" s="64"/>
      <c r="J58" s="66"/>
      <c r="K58" s="64"/>
      <c r="L58" s="67"/>
      <c r="M58" s="67"/>
      <c r="N58" s="67"/>
      <c r="O58" s="64"/>
      <c r="P58" s="64"/>
      <c r="Q58" s="68"/>
      <c r="R58" s="66"/>
      <c r="S58" s="66"/>
      <c r="T58" s="69"/>
      <c r="U58" s="64"/>
      <c r="V58" s="70" t="str">
        <f aca="false">IF(B58="","",IF(NOT(ISNUMBER(G58)),"⚠ Falta fecha ingreso",IF(G58&gt;FECHA_CORTE,"Por ingresar",IF(H58="","Activo",IF(H58&lt;FECHA_CORTE,"Desvinculado","Activo (egreso programado)")))))</f>
        <v/>
      </c>
      <c r="W58" s="70" t="str">
        <f aca="false">IF(OR(B58="",NOT(ISNUMBER(G58))),"",IF(G58&gt;FECHA_CORTE,"",DATEDIF(G58,IF(H58="",FECHA_CORTE,MIN(H58,FECHA_CORTE))+1,"y")&amp;" a "&amp;DATEDIF(G58,IF(H58="",FECHA_CORTE,MIN(H58,FECHA_CORTE))+1,"ym")&amp;" m"))</f>
        <v/>
      </c>
      <c r="X58" s="71" t="str">
        <f aca="false">IF(B58="","",IFERROR(INDEX(C_SUELDO,MATCH(B58&amp;"-S"&amp;MAX(1,COUNTIFS(C_ID,B58,C_SUELDO,"&lt;&gt;",C_INICIO,"&lt;="&amp;FECHA_CORTE)),C_CLAVES,0)),0))</f>
        <v/>
      </c>
      <c r="Y58" s="70" t="str">
        <f aca="false">IF(B58="","",IFERROR(INDEX(C_TIPO,MATCH(B58&amp;"-P"&amp;MAX(1,COUNTIFS(C_ID,B58,C_DEFINE,"Sí",C_INICIO,"&lt;="&amp;FECHA_CORTE)),C_CLAVE,0))&amp;"","Sin contrato"))</f>
        <v/>
      </c>
      <c r="Z58" s="70" t="str">
        <f aca="false">IF(B58="","",IF(COUNTIF(T_ID,B58)&gt;1,"⚠ ID duplicado",IF(Y58="Sin contrato","⚠ Registrar el contrato en la hoja Contratos",IF(AND(LEFT(V58,6)="Activo",X58&lt;IMM_HOY*MIN(1,IF(N(J58)=0,JORNADA_LEGAL,J58)/JORNADA_LEGAL)),"⚠ Sueldo base bajo el ingreso mínimo",IF(O58="","⚠ Falta AFP",IF(P58="","⚠ Falta sistema de salud",IF(AND(P58="Isapre",N(Q58)=0),"⚠ Falta plan Isapre (UF)",IF(AND(N(J58)&gt;JORNADA_LEGAL,LEFT(V58,6)="Activo"),"⚠ Jornada sobre el máximo legal","OK"))))))))</f>
        <v/>
      </c>
      <c r="AA58" s="72" t="str">
        <f aca="false">IFERROR(IF(AND(B58&lt;&gt;"",ISNUMBER(G58)),IF(AND(G58&lt;=EOMONTH(ENVIO_PER,0),OR(H58="",H58&gt;=ENVIO_PER)),MAX(AA$6:AA57)+1,""),""),"")</f>
        <v/>
      </c>
    </row>
    <row r="59" customFormat="false" ht="15" hidden="false" customHeight="false" outlineLevel="0" collapsed="false">
      <c r="B59" s="64"/>
      <c r="C59" s="64"/>
      <c r="D59" s="64"/>
      <c r="E59" s="64"/>
      <c r="F59" s="64"/>
      <c r="G59" s="65"/>
      <c r="H59" s="65"/>
      <c r="I59" s="64"/>
      <c r="J59" s="66"/>
      <c r="K59" s="64"/>
      <c r="L59" s="67"/>
      <c r="M59" s="67"/>
      <c r="N59" s="67"/>
      <c r="O59" s="64"/>
      <c r="P59" s="64"/>
      <c r="Q59" s="68"/>
      <c r="R59" s="66"/>
      <c r="S59" s="66"/>
      <c r="T59" s="69"/>
      <c r="U59" s="64"/>
      <c r="V59" s="70" t="str">
        <f aca="false">IF(B59="","",IF(NOT(ISNUMBER(G59)),"⚠ Falta fecha ingreso",IF(G59&gt;FECHA_CORTE,"Por ingresar",IF(H59="","Activo",IF(H59&lt;FECHA_CORTE,"Desvinculado","Activo (egreso programado)")))))</f>
        <v/>
      </c>
      <c r="W59" s="70" t="str">
        <f aca="false">IF(OR(B59="",NOT(ISNUMBER(G59))),"",IF(G59&gt;FECHA_CORTE,"",DATEDIF(G59,IF(H59="",FECHA_CORTE,MIN(H59,FECHA_CORTE))+1,"y")&amp;" a "&amp;DATEDIF(G59,IF(H59="",FECHA_CORTE,MIN(H59,FECHA_CORTE))+1,"ym")&amp;" m"))</f>
        <v/>
      </c>
      <c r="X59" s="71" t="str">
        <f aca="false">IF(B59="","",IFERROR(INDEX(C_SUELDO,MATCH(B59&amp;"-S"&amp;MAX(1,COUNTIFS(C_ID,B59,C_SUELDO,"&lt;&gt;",C_INICIO,"&lt;="&amp;FECHA_CORTE)),C_CLAVES,0)),0))</f>
        <v/>
      </c>
      <c r="Y59" s="70" t="str">
        <f aca="false">IF(B59="","",IFERROR(INDEX(C_TIPO,MATCH(B59&amp;"-P"&amp;MAX(1,COUNTIFS(C_ID,B59,C_DEFINE,"Sí",C_INICIO,"&lt;="&amp;FECHA_CORTE)),C_CLAVE,0))&amp;"","Sin contrato"))</f>
        <v/>
      </c>
      <c r="Z59" s="70" t="str">
        <f aca="false">IF(B59="","",IF(COUNTIF(T_ID,B59)&gt;1,"⚠ ID duplicado",IF(Y59="Sin contrato","⚠ Registrar el contrato en la hoja Contratos",IF(AND(LEFT(V59,6)="Activo",X59&lt;IMM_HOY*MIN(1,IF(N(J59)=0,JORNADA_LEGAL,J59)/JORNADA_LEGAL)),"⚠ Sueldo base bajo el ingreso mínimo",IF(O59="","⚠ Falta AFP",IF(P59="","⚠ Falta sistema de salud",IF(AND(P59="Isapre",N(Q59)=0),"⚠ Falta plan Isapre (UF)",IF(AND(N(J59)&gt;JORNADA_LEGAL,LEFT(V59,6)="Activo"),"⚠ Jornada sobre el máximo legal","OK"))))))))</f>
        <v/>
      </c>
      <c r="AA59" s="72" t="str">
        <f aca="false">IFERROR(IF(AND(B59&lt;&gt;"",ISNUMBER(G59)),IF(AND(G59&lt;=EOMONTH(ENVIO_PER,0),OR(H59="",H59&gt;=ENVIO_PER)),MAX(AA$6:AA58)+1,""),""),"")</f>
        <v/>
      </c>
    </row>
    <row r="60" customFormat="false" ht="15" hidden="false" customHeight="false" outlineLevel="0" collapsed="false">
      <c r="B60" s="64"/>
      <c r="C60" s="64"/>
      <c r="D60" s="64"/>
      <c r="E60" s="64"/>
      <c r="F60" s="64"/>
      <c r="G60" s="65"/>
      <c r="H60" s="65"/>
      <c r="I60" s="64"/>
      <c r="J60" s="66"/>
      <c r="K60" s="64"/>
      <c r="L60" s="67"/>
      <c r="M60" s="67"/>
      <c r="N60" s="67"/>
      <c r="O60" s="64"/>
      <c r="P60" s="64"/>
      <c r="Q60" s="68"/>
      <c r="R60" s="66"/>
      <c r="S60" s="66"/>
      <c r="T60" s="69"/>
      <c r="U60" s="64"/>
      <c r="V60" s="70" t="str">
        <f aca="false">IF(B60="","",IF(NOT(ISNUMBER(G60)),"⚠ Falta fecha ingreso",IF(G60&gt;FECHA_CORTE,"Por ingresar",IF(H60="","Activo",IF(H60&lt;FECHA_CORTE,"Desvinculado","Activo (egreso programado)")))))</f>
        <v/>
      </c>
      <c r="W60" s="70" t="str">
        <f aca="false">IF(OR(B60="",NOT(ISNUMBER(G60))),"",IF(G60&gt;FECHA_CORTE,"",DATEDIF(G60,IF(H60="",FECHA_CORTE,MIN(H60,FECHA_CORTE))+1,"y")&amp;" a "&amp;DATEDIF(G60,IF(H60="",FECHA_CORTE,MIN(H60,FECHA_CORTE))+1,"ym")&amp;" m"))</f>
        <v/>
      </c>
      <c r="X60" s="71" t="str">
        <f aca="false">IF(B60="","",IFERROR(INDEX(C_SUELDO,MATCH(B60&amp;"-S"&amp;MAX(1,COUNTIFS(C_ID,B60,C_SUELDO,"&lt;&gt;",C_INICIO,"&lt;="&amp;FECHA_CORTE)),C_CLAVES,0)),0))</f>
        <v/>
      </c>
      <c r="Y60" s="70" t="str">
        <f aca="false">IF(B60="","",IFERROR(INDEX(C_TIPO,MATCH(B60&amp;"-P"&amp;MAX(1,COUNTIFS(C_ID,B60,C_DEFINE,"Sí",C_INICIO,"&lt;="&amp;FECHA_CORTE)),C_CLAVE,0))&amp;"","Sin contrato"))</f>
        <v/>
      </c>
      <c r="Z60" s="70" t="str">
        <f aca="false">IF(B60="","",IF(COUNTIF(T_ID,B60)&gt;1,"⚠ ID duplicado",IF(Y60="Sin contrato","⚠ Registrar el contrato en la hoja Contratos",IF(AND(LEFT(V60,6)="Activo",X60&lt;IMM_HOY*MIN(1,IF(N(J60)=0,JORNADA_LEGAL,J60)/JORNADA_LEGAL)),"⚠ Sueldo base bajo el ingreso mínimo",IF(O60="","⚠ Falta AFP",IF(P60="","⚠ Falta sistema de salud",IF(AND(P60="Isapre",N(Q60)=0),"⚠ Falta plan Isapre (UF)",IF(AND(N(J60)&gt;JORNADA_LEGAL,LEFT(V60,6)="Activo"),"⚠ Jornada sobre el máximo legal","OK"))))))))</f>
        <v/>
      </c>
      <c r="AA60" s="72" t="str">
        <f aca="false">IFERROR(IF(AND(B60&lt;&gt;"",ISNUMBER(G60)),IF(AND(G60&lt;=EOMONTH(ENVIO_PER,0),OR(H60="",H60&gt;=ENVIO_PER)),MAX(AA$6:AA59)+1,""),""),"")</f>
        <v/>
      </c>
    </row>
    <row r="61" customFormat="false" ht="15" hidden="false" customHeight="false" outlineLevel="0" collapsed="false">
      <c r="B61" s="64"/>
      <c r="C61" s="64"/>
      <c r="D61" s="64"/>
      <c r="E61" s="64"/>
      <c r="F61" s="64"/>
      <c r="G61" s="65"/>
      <c r="H61" s="65"/>
      <c r="I61" s="64"/>
      <c r="J61" s="66"/>
      <c r="K61" s="64"/>
      <c r="L61" s="67"/>
      <c r="M61" s="67"/>
      <c r="N61" s="67"/>
      <c r="O61" s="64"/>
      <c r="P61" s="64"/>
      <c r="Q61" s="68"/>
      <c r="R61" s="66"/>
      <c r="S61" s="66"/>
      <c r="T61" s="69"/>
      <c r="U61" s="64"/>
      <c r="V61" s="70" t="str">
        <f aca="false">IF(B61="","",IF(NOT(ISNUMBER(G61)),"⚠ Falta fecha ingreso",IF(G61&gt;FECHA_CORTE,"Por ingresar",IF(H61="","Activo",IF(H61&lt;FECHA_CORTE,"Desvinculado","Activo (egreso programado)")))))</f>
        <v/>
      </c>
      <c r="W61" s="70" t="str">
        <f aca="false">IF(OR(B61="",NOT(ISNUMBER(G61))),"",IF(G61&gt;FECHA_CORTE,"",DATEDIF(G61,IF(H61="",FECHA_CORTE,MIN(H61,FECHA_CORTE))+1,"y")&amp;" a "&amp;DATEDIF(G61,IF(H61="",FECHA_CORTE,MIN(H61,FECHA_CORTE))+1,"ym")&amp;" m"))</f>
        <v/>
      </c>
      <c r="X61" s="71" t="str">
        <f aca="false">IF(B61="","",IFERROR(INDEX(C_SUELDO,MATCH(B61&amp;"-S"&amp;MAX(1,COUNTIFS(C_ID,B61,C_SUELDO,"&lt;&gt;",C_INICIO,"&lt;="&amp;FECHA_CORTE)),C_CLAVES,0)),0))</f>
        <v/>
      </c>
      <c r="Y61" s="70" t="str">
        <f aca="false">IF(B61="","",IFERROR(INDEX(C_TIPO,MATCH(B61&amp;"-P"&amp;MAX(1,COUNTIFS(C_ID,B61,C_DEFINE,"Sí",C_INICIO,"&lt;="&amp;FECHA_CORTE)),C_CLAVE,0))&amp;"","Sin contrato"))</f>
        <v/>
      </c>
      <c r="Z61" s="70" t="str">
        <f aca="false">IF(B61="","",IF(COUNTIF(T_ID,B61)&gt;1,"⚠ ID duplicado",IF(Y61="Sin contrato","⚠ Registrar el contrato en la hoja Contratos",IF(AND(LEFT(V61,6)="Activo",X61&lt;IMM_HOY*MIN(1,IF(N(J61)=0,JORNADA_LEGAL,J61)/JORNADA_LEGAL)),"⚠ Sueldo base bajo el ingreso mínimo",IF(O61="","⚠ Falta AFP",IF(P61="","⚠ Falta sistema de salud",IF(AND(P61="Isapre",N(Q61)=0),"⚠ Falta plan Isapre (UF)",IF(AND(N(J61)&gt;JORNADA_LEGAL,LEFT(V61,6)="Activo"),"⚠ Jornada sobre el máximo legal","OK"))))))))</f>
        <v/>
      </c>
      <c r="AA61" s="72" t="str">
        <f aca="false">IFERROR(IF(AND(B61&lt;&gt;"",ISNUMBER(G61)),IF(AND(G61&lt;=EOMONTH(ENVIO_PER,0),OR(H61="",H61&gt;=ENVIO_PER)),MAX(AA$6:AA60)+1,""),""),"")</f>
        <v/>
      </c>
    </row>
    <row r="62" customFormat="false" ht="15" hidden="false" customHeight="false" outlineLevel="0" collapsed="false">
      <c r="B62" s="64"/>
      <c r="C62" s="64"/>
      <c r="D62" s="64"/>
      <c r="E62" s="64"/>
      <c r="F62" s="64"/>
      <c r="G62" s="65"/>
      <c r="H62" s="65"/>
      <c r="I62" s="64"/>
      <c r="J62" s="66"/>
      <c r="K62" s="64"/>
      <c r="L62" s="67"/>
      <c r="M62" s="67"/>
      <c r="N62" s="67"/>
      <c r="O62" s="64"/>
      <c r="P62" s="64"/>
      <c r="Q62" s="68"/>
      <c r="R62" s="66"/>
      <c r="S62" s="66"/>
      <c r="T62" s="69"/>
      <c r="U62" s="64"/>
      <c r="V62" s="70" t="str">
        <f aca="false">IF(B62="","",IF(NOT(ISNUMBER(G62)),"⚠ Falta fecha ingreso",IF(G62&gt;FECHA_CORTE,"Por ingresar",IF(H62="","Activo",IF(H62&lt;FECHA_CORTE,"Desvinculado","Activo (egreso programado)")))))</f>
        <v/>
      </c>
      <c r="W62" s="70" t="str">
        <f aca="false">IF(OR(B62="",NOT(ISNUMBER(G62))),"",IF(G62&gt;FECHA_CORTE,"",DATEDIF(G62,IF(H62="",FECHA_CORTE,MIN(H62,FECHA_CORTE))+1,"y")&amp;" a "&amp;DATEDIF(G62,IF(H62="",FECHA_CORTE,MIN(H62,FECHA_CORTE))+1,"ym")&amp;" m"))</f>
        <v/>
      </c>
      <c r="X62" s="71" t="str">
        <f aca="false">IF(B62="","",IFERROR(INDEX(C_SUELDO,MATCH(B62&amp;"-S"&amp;MAX(1,COUNTIFS(C_ID,B62,C_SUELDO,"&lt;&gt;",C_INICIO,"&lt;="&amp;FECHA_CORTE)),C_CLAVES,0)),0))</f>
        <v/>
      </c>
      <c r="Y62" s="70" t="str">
        <f aca="false">IF(B62="","",IFERROR(INDEX(C_TIPO,MATCH(B62&amp;"-P"&amp;MAX(1,COUNTIFS(C_ID,B62,C_DEFINE,"Sí",C_INICIO,"&lt;="&amp;FECHA_CORTE)),C_CLAVE,0))&amp;"","Sin contrato"))</f>
        <v/>
      </c>
      <c r="Z62" s="70" t="str">
        <f aca="false">IF(B62="","",IF(COUNTIF(T_ID,B62)&gt;1,"⚠ ID duplicado",IF(Y62="Sin contrato","⚠ Registrar el contrato en la hoja Contratos",IF(AND(LEFT(V62,6)="Activo",X62&lt;IMM_HOY*MIN(1,IF(N(J62)=0,JORNADA_LEGAL,J62)/JORNADA_LEGAL)),"⚠ Sueldo base bajo el ingreso mínimo",IF(O62="","⚠ Falta AFP",IF(P62="","⚠ Falta sistema de salud",IF(AND(P62="Isapre",N(Q62)=0),"⚠ Falta plan Isapre (UF)",IF(AND(N(J62)&gt;JORNADA_LEGAL,LEFT(V62,6)="Activo"),"⚠ Jornada sobre el máximo legal","OK"))))))))</f>
        <v/>
      </c>
      <c r="AA62" s="72" t="str">
        <f aca="false">IFERROR(IF(AND(B62&lt;&gt;"",ISNUMBER(G62)),IF(AND(G62&lt;=EOMONTH(ENVIO_PER,0),OR(H62="",H62&gt;=ENVIO_PER)),MAX(AA$6:AA61)+1,""),""),"")</f>
        <v/>
      </c>
    </row>
    <row r="63" customFormat="false" ht="15" hidden="false" customHeight="false" outlineLevel="0" collapsed="false">
      <c r="B63" s="64"/>
      <c r="C63" s="64"/>
      <c r="D63" s="64"/>
      <c r="E63" s="64"/>
      <c r="F63" s="64"/>
      <c r="G63" s="65"/>
      <c r="H63" s="65"/>
      <c r="I63" s="64"/>
      <c r="J63" s="66"/>
      <c r="K63" s="64"/>
      <c r="L63" s="67"/>
      <c r="M63" s="67"/>
      <c r="N63" s="67"/>
      <c r="O63" s="64"/>
      <c r="P63" s="64"/>
      <c r="Q63" s="68"/>
      <c r="R63" s="66"/>
      <c r="S63" s="66"/>
      <c r="T63" s="69"/>
      <c r="U63" s="64"/>
      <c r="V63" s="70" t="str">
        <f aca="false">IF(B63="","",IF(NOT(ISNUMBER(G63)),"⚠ Falta fecha ingreso",IF(G63&gt;FECHA_CORTE,"Por ingresar",IF(H63="","Activo",IF(H63&lt;FECHA_CORTE,"Desvinculado","Activo (egreso programado)")))))</f>
        <v/>
      </c>
      <c r="W63" s="70" t="str">
        <f aca="false">IF(OR(B63="",NOT(ISNUMBER(G63))),"",IF(G63&gt;FECHA_CORTE,"",DATEDIF(G63,IF(H63="",FECHA_CORTE,MIN(H63,FECHA_CORTE))+1,"y")&amp;" a "&amp;DATEDIF(G63,IF(H63="",FECHA_CORTE,MIN(H63,FECHA_CORTE))+1,"ym")&amp;" m"))</f>
        <v/>
      </c>
      <c r="X63" s="71" t="str">
        <f aca="false">IF(B63="","",IFERROR(INDEX(C_SUELDO,MATCH(B63&amp;"-S"&amp;MAX(1,COUNTIFS(C_ID,B63,C_SUELDO,"&lt;&gt;",C_INICIO,"&lt;="&amp;FECHA_CORTE)),C_CLAVES,0)),0))</f>
        <v/>
      </c>
      <c r="Y63" s="70" t="str">
        <f aca="false">IF(B63="","",IFERROR(INDEX(C_TIPO,MATCH(B63&amp;"-P"&amp;MAX(1,COUNTIFS(C_ID,B63,C_DEFINE,"Sí",C_INICIO,"&lt;="&amp;FECHA_CORTE)),C_CLAVE,0))&amp;"","Sin contrato"))</f>
        <v/>
      </c>
      <c r="Z63" s="70" t="str">
        <f aca="false">IF(B63="","",IF(COUNTIF(T_ID,B63)&gt;1,"⚠ ID duplicado",IF(Y63="Sin contrato","⚠ Registrar el contrato en la hoja Contratos",IF(AND(LEFT(V63,6)="Activo",X63&lt;IMM_HOY*MIN(1,IF(N(J63)=0,JORNADA_LEGAL,J63)/JORNADA_LEGAL)),"⚠ Sueldo base bajo el ingreso mínimo",IF(O63="","⚠ Falta AFP",IF(P63="","⚠ Falta sistema de salud",IF(AND(P63="Isapre",N(Q63)=0),"⚠ Falta plan Isapre (UF)",IF(AND(N(J63)&gt;JORNADA_LEGAL,LEFT(V63,6)="Activo"),"⚠ Jornada sobre el máximo legal","OK"))))))))</f>
        <v/>
      </c>
      <c r="AA63" s="72" t="str">
        <f aca="false">IFERROR(IF(AND(B63&lt;&gt;"",ISNUMBER(G63)),IF(AND(G63&lt;=EOMONTH(ENVIO_PER,0),OR(H63="",H63&gt;=ENVIO_PER)),MAX(AA$6:AA62)+1,""),""),"")</f>
        <v/>
      </c>
    </row>
    <row r="64" customFormat="false" ht="15" hidden="false" customHeight="false" outlineLevel="0" collapsed="false">
      <c r="B64" s="64"/>
      <c r="C64" s="64"/>
      <c r="D64" s="64"/>
      <c r="E64" s="64"/>
      <c r="F64" s="64"/>
      <c r="G64" s="65"/>
      <c r="H64" s="65"/>
      <c r="I64" s="64"/>
      <c r="J64" s="66"/>
      <c r="K64" s="64"/>
      <c r="L64" s="67"/>
      <c r="M64" s="67"/>
      <c r="N64" s="67"/>
      <c r="O64" s="64"/>
      <c r="P64" s="64"/>
      <c r="Q64" s="68"/>
      <c r="R64" s="66"/>
      <c r="S64" s="66"/>
      <c r="T64" s="69"/>
      <c r="U64" s="64"/>
      <c r="V64" s="70" t="str">
        <f aca="false">IF(B64="","",IF(NOT(ISNUMBER(G64)),"⚠ Falta fecha ingreso",IF(G64&gt;FECHA_CORTE,"Por ingresar",IF(H64="","Activo",IF(H64&lt;FECHA_CORTE,"Desvinculado","Activo (egreso programado)")))))</f>
        <v/>
      </c>
      <c r="W64" s="70" t="str">
        <f aca="false">IF(OR(B64="",NOT(ISNUMBER(G64))),"",IF(G64&gt;FECHA_CORTE,"",DATEDIF(G64,IF(H64="",FECHA_CORTE,MIN(H64,FECHA_CORTE))+1,"y")&amp;" a "&amp;DATEDIF(G64,IF(H64="",FECHA_CORTE,MIN(H64,FECHA_CORTE))+1,"ym")&amp;" m"))</f>
        <v/>
      </c>
      <c r="X64" s="71" t="str">
        <f aca="false">IF(B64="","",IFERROR(INDEX(C_SUELDO,MATCH(B64&amp;"-S"&amp;MAX(1,COUNTIFS(C_ID,B64,C_SUELDO,"&lt;&gt;",C_INICIO,"&lt;="&amp;FECHA_CORTE)),C_CLAVES,0)),0))</f>
        <v/>
      </c>
      <c r="Y64" s="70" t="str">
        <f aca="false">IF(B64="","",IFERROR(INDEX(C_TIPO,MATCH(B64&amp;"-P"&amp;MAX(1,COUNTIFS(C_ID,B64,C_DEFINE,"Sí",C_INICIO,"&lt;="&amp;FECHA_CORTE)),C_CLAVE,0))&amp;"","Sin contrato"))</f>
        <v/>
      </c>
      <c r="Z64" s="70" t="str">
        <f aca="false">IF(B64="","",IF(COUNTIF(T_ID,B64)&gt;1,"⚠ ID duplicado",IF(Y64="Sin contrato","⚠ Registrar el contrato en la hoja Contratos",IF(AND(LEFT(V64,6)="Activo",X64&lt;IMM_HOY*MIN(1,IF(N(J64)=0,JORNADA_LEGAL,J64)/JORNADA_LEGAL)),"⚠ Sueldo base bajo el ingreso mínimo",IF(O64="","⚠ Falta AFP",IF(P64="","⚠ Falta sistema de salud",IF(AND(P64="Isapre",N(Q64)=0),"⚠ Falta plan Isapre (UF)",IF(AND(N(J64)&gt;JORNADA_LEGAL,LEFT(V64,6)="Activo"),"⚠ Jornada sobre el máximo legal","OK"))))))))</f>
        <v/>
      </c>
      <c r="AA64" s="72" t="str">
        <f aca="false">IFERROR(IF(AND(B64&lt;&gt;"",ISNUMBER(G64)),IF(AND(G64&lt;=EOMONTH(ENVIO_PER,0),OR(H64="",H64&gt;=ENVIO_PER)),MAX(AA$6:AA63)+1,""),""),"")</f>
        <v/>
      </c>
    </row>
    <row r="65" customFormat="false" ht="15" hidden="false" customHeight="false" outlineLevel="0" collapsed="false">
      <c r="B65" s="64"/>
      <c r="C65" s="64"/>
      <c r="D65" s="64"/>
      <c r="E65" s="64"/>
      <c r="F65" s="64"/>
      <c r="G65" s="65"/>
      <c r="H65" s="65"/>
      <c r="I65" s="64"/>
      <c r="J65" s="66"/>
      <c r="K65" s="64"/>
      <c r="L65" s="67"/>
      <c r="M65" s="67"/>
      <c r="N65" s="67"/>
      <c r="O65" s="64"/>
      <c r="P65" s="64"/>
      <c r="Q65" s="68"/>
      <c r="R65" s="66"/>
      <c r="S65" s="66"/>
      <c r="T65" s="69"/>
      <c r="U65" s="64"/>
      <c r="V65" s="70" t="str">
        <f aca="false">IF(B65="","",IF(NOT(ISNUMBER(G65)),"⚠ Falta fecha ingreso",IF(G65&gt;FECHA_CORTE,"Por ingresar",IF(H65="","Activo",IF(H65&lt;FECHA_CORTE,"Desvinculado","Activo (egreso programado)")))))</f>
        <v/>
      </c>
      <c r="W65" s="70" t="str">
        <f aca="false">IF(OR(B65="",NOT(ISNUMBER(G65))),"",IF(G65&gt;FECHA_CORTE,"",DATEDIF(G65,IF(H65="",FECHA_CORTE,MIN(H65,FECHA_CORTE))+1,"y")&amp;" a "&amp;DATEDIF(G65,IF(H65="",FECHA_CORTE,MIN(H65,FECHA_CORTE))+1,"ym")&amp;" m"))</f>
        <v/>
      </c>
      <c r="X65" s="71" t="str">
        <f aca="false">IF(B65="","",IFERROR(INDEX(C_SUELDO,MATCH(B65&amp;"-S"&amp;MAX(1,COUNTIFS(C_ID,B65,C_SUELDO,"&lt;&gt;",C_INICIO,"&lt;="&amp;FECHA_CORTE)),C_CLAVES,0)),0))</f>
        <v/>
      </c>
      <c r="Y65" s="70" t="str">
        <f aca="false">IF(B65="","",IFERROR(INDEX(C_TIPO,MATCH(B65&amp;"-P"&amp;MAX(1,COUNTIFS(C_ID,B65,C_DEFINE,"Sí",C_INICIO,"&lt;="&amp;FECHA_CORTE)),C_CLAVE,0))&amp;"","Sin contrato"))</f>
        <v/>
      </c>
      <c r="Z65" s="70" t="str">
        <f aca="false">IF(B65="","",IF(COUNTIF(T_ID,B65)&gt;1,"⚠ ID duplicado",IF(Y65="Sin contrato","⚠ Registrar el contrato en la hoja Contratos",IF(AND(LEFT(V65,6)="Activo",X65&lt;IMM_HOY*MIN(1,IF(N(J65)=0,JORNADA_LEGAL,J65)/JORNADA_LEGAL)),"⚠ Sueldo base bajo el ingreso mínimo",IF(O65="","⚠ Falta AFP",IF(P65="","⚠ Falta sistema de salud",IF(AND(P65="Isapre",N(Q65)=0),"⚠ Falta plan Isapre (UF)",IF(AND(N(J65)&gt;JORNADA_LEGAL,LEFT(V65,6)="Activo"),"⚠ Jornada sobre el máximo legal","OK"))))))))</f>
        <v/>
      </c>
      <c r="AA65" s="72" t="str">
        <f aca="false">IFERROR(IF(AND(B65&lt;&gt;"",ISNUMBER(G65)),IF(AND(G65&lt;=EOMONTH(ENVIO_PER,0),OR(H65="",H65&gt;=ENVIO_PER)),MAX(AA$6:AA64)+1,""),""),"")</f>
        <v/>
      </c>
    </row>
    <row r="66" customFormat="false" ht="15" hidden="false" customHeight="false" outlineLevel="0" collapsed="false">
      <c r="B66" s="64"/>
      <c r="C66" s="64"/>
      <c r="D66" s="64"/>
      <c r="E66" s="64"/>
      <c r="F66" s="64"/>
      <c r="G66" s="65"/>
      <c r="H66" s="65"/>
      <c r="I66" s="64"/>
      <c r="J66" s="66"/>
      <c r="K66" s="64"/>
      <c r="L66" s="67"/>
      <c r="M66" s="67"/>
      <c r="N66" s="67"/>
      <c r="O66" s="64"/>
      <c r="P66" s="64"/>
      <c r="Q66" s="68"/>
      <c r="R66" s="66"/>
      <c r="S66" s="66"/>
      <c r="T66" s="69"/>
      <c r="U66" s="64"/>
      <c r="V66" s="70" t="str">
        <f aca="false">IF(B66="","",IF(NOT(ISNUMBER(G66)),"⚠ Falta fecha ingreso",IF(G66&gt;FECHA_CORTE,"Por ingresar",IF(H66="","Activo",IF(H66&lt;FECHA_CORTE,"Desvinculado","Activo (egreso programado)")))))</f>
        <v/>
      </c>
      <c r="W66" s="70" t="str">
        <f aca="false">IF(OR(B66="",NOT(ISNUMBER(G66))),"",IF(G66&gt;FECHA_CORTE,"",DATEDIF(G66,IF(H66="",FECHA_CORTE,MIN(H66,FECHA_CORTE))+1,"y")&amp;" a "&amp;DATEDIF(G66,IF(H66="",FECHA_CORTE,MIN(H66,FECHA_CORTE))+1,"ym")&amp;" m"))</f>
        <v/>
      </c>
      <c r="X66" s="71" t="str">
        <f aca="false">IF(B66="","",IFERROR(INDEX(C_SUELDO,MATCH(B66&amp;"-S"&amp;MAX(1,COUNTIFS(C_ID,B66,C_SUELDO,"&lt;&gt;",C_INICIO,"&lt;="&amp;FECHA_CORTE)),C_CLAVES,0)),0))</f>
        <v/>
      </c>
      <c r="Y66" s="70" t="str">
        <f aca="false">IF(B66="","",IFERROR(INDEX(C_TIPO,MATCH(B66&amp;"-P"&amp;MAX(1,COUNTIFS(C_ID,B66,C_DEFINE,"Sí",C_INICIO,"&lt;="&amp;FECHA_CORTE)),C_CLAVE,0))&amp;"","Sin contrato"))</f>
        <v/>
      </c>
      <c r="Z66" s="70" t="str">
        <f aca="false">IF(B66="","",IF(COUNTIF(T_ID,B66)&gt;1,"⚠ ID duplicado",IF(Y66="Sin contrato","⚠ Registrar el contrato en la hoja Contratos",IF(AND(LEFT(V66,6)="Activo",X66&lt;IMM_HOY*MIN(1,IF(N(J66)=0,JORNADA_LEGAL,J66)/JORNADA_LEGAL)),"⚠ Sueldo base bajo el ingreso mínimo",IF(O66="","⚠ Falta AFP",IF(P66="","⚠ Falta sistema de salud",IF(AND(P66="Isapre",N(Q66)=0),"⚠ Falta plan Isapre (UF)",IF(AND(N(J66)&gt;JORNADA_LEGAL,LEFT(V66,6)="Activo"),"⚠ Jornada sobre el máximo legal","OK"))))))))</f>
        <v/>
      </c>
      <c r="AA66" s="72" t="str">
        <f aca="false">IFERROR(IF(AND(B66&lt;&gt;"",ISNUMBER(G66)),IF(AND(G66&lt;=EOMONTH(ENVIO_PER,0),OR(H66="",H66&gt;=ENVIO_PER)),MAX(AA$6:AA65)+1,""),""),"")</f>
        <v/>
      </c>
    </row>
    <row r="67" customFormat="false" ht="15" hidden="false" customHeight="false" outlineLevel="0" collapsed="false">
      <c r="B67" s="64"/>
      <c r="C67" s="64"/>
      <c r="D67" s="64"/>
      <c r="E67" s="64"/>
      <c r="F67" s="64"/>
      <c r="G67" s="65"/>
      <c r="H67" s="65"/>
      <c r="I67" s="64"/>
      <c r="J67" s="66"/>
      <c r="K67" s="64"/>
      <c r="L67" s="67"/>
      <c r="M67" s="67"/>
      <c r="N67" s="67"/>
      <c r="O67" s="64"/>
      <c r="P67" s="64"/>
      <c r="Q67" s="68"/>
      <c r="R67" s="66"/>
      <c r="S67" s="66"/>
      <c r="T67" s="69"/>
      <c r="U67" s="64"/>
      <c r="V67" s="70" t="str">
        <f aca="false">IF(B67="","",IF(NOT(ISNUMBER(G67)),"⚠ Falta fecha ingreso",IF(G67&gt;FECHA_CORTE,"Por ingresar",IF(H67="","Activo",IF(H67&lt;FECHA_CORTE,"Desvinculado","Activo (egreso programado)")))))</f>
        <v/>
      </c>
      <c r="W67" s="70" t="str">
        <f aca="false">IF(OR(B67="",NOT(ISNUMBER(G67))),"",IF(G67&gt;FECHA_CORTE,"",DATEDIF(G67,IF(H67="",FECHA_CORTE,MIN(H67,FECHA_CORTE))+1,"y")&amp;" a "&amp;DATEDIF(G67,IF(H67="",FECHA_CORTE,MIN(H67,FECHA_CORTE))+1,"ym")&amp;" m"))</f>
        <v/>
      </c>
      <c r="X67" s="71" t="str">
        <f aca="false">IF(B67="","",IFERROR(INDEX(C_SUELDO,MATCH(B67&amp;"-S"&amp;MAX(1,COUNTIFS(C_ID,B67,C_SUELDO,"&lt;&gt;",C_INICIO,"&lt;="&amp;FECHA_CORTE)),C_CLAVES,0)),0))</f>
        <v/>
      </c>
      <c r="Y67" s="70" t="str">
        <f aca="false">IF(B67="","",IFERROR(INDEX(C_TIPO,MATCH(B67&amp;"-P"&amp;MAX(1,COUNTIFS(C_ID,B67,C_DEFINE,"Sí",C_INICIO,"&lt;="&amp;FECHA_CORTE)),C_CLAVE,0))&amp;"","Sin contrato"))</f>
        <v/>
      </c>
      <c r="Z67" s="70" t="str">
        <f aca="false">IF(B67="","",IF(COUNTIF(T_ID,B67)&gt;1,"⚠ ID duplicado",IF(Y67="Sin contrato","⚠ Registrar el contrato en la hoja Contratos",IF(AND(LEFT(V67,6)="Activo",X67&lt;IMM_HOY*MIN(1,IF(N(J67)=0,JORNADA_LEGAL,J67)/JORNADA_LEGAL)),"⚠ Sueldo base bajo el ingreso mínimo",IF(O67="","⚠ Falta AFP",IF(P67="","⚠ Falta sistema de salud",IF(AND(P67="Isapre",N(Q67)=0),"⚠ Falta plan Isapre (UF)",IF(AND(N(J67)&gt;JORNADA_LEGAL,LEFT(V67,6)="Activo"),"⚠ Jornada sobre el máximo legal","OK"))))))))</f>
        <v/>
      </c>
      <c r="AA67" s="72" t="str">
        <f aca="false">IFERROR(IF(AND(B67&lt;&gt;"",ISNUMBER(G67)),IF(AND(G67&lt;=EOMONTH(ENVIO_PER,0),OR(H67="",H67&gt;=ENVIO_PER)),MAX(AA$6:AA66)+1,""),""),"")</f>
        <v/>
      </c>
    </row>
    <row r="68" customFormat="false" ht="15" hidden="false" customHeight="false" outlineLevel="0" collapsed="false">
      <c r="B68" s="64"/>
      <c r="C68" s="64"/>
      <c r="D68" s="64"/>
      <c r="E68" s="64"/>
      <c r="F68" s="64"/>
      <c r="G68" s="65"/>
      <c r="H68" s="65"/>
      <c r="I68" s="64"/>
      <c r="J68" s="66"/>
      <c r="K68" s="64"/>
      <c r="L68" s="67"/>
      <c r="M68" s="67"/>
      <c r="N68" s="67"/>
      <c r="O68" s="64"/>
      <c r="P68" s="64"/>
      <c r="Q68" s="68"/>
      <c r="R68" s="66"/>
      <c r="S68" s="66"/>
      <c r="T68" s="69"/>
      <c r="U68" s="64"/>
      <c r="V68" s="70" t="str">
        <f aca="false">IF(B68="","",IF(NOT(ISNUMBER(G68)),"⚠ Falta fecha ingreso",IF(G68&gt;FECHA_CORTE,"Por ingresar",IF(H68="","Activo",IF(H68&lt;FECHA_CORTE,"Desvinculado","Activo (egreso programado)")))))</f>
        <v/>
      </c>
      <c r="W68" s="70" t="str">
        <f aca="false">IF(OR(B68="",NOT(ISNUMBER(G68))),"",IF(G68&gt;FECHA_CORTE,"",DATEDIF(G68,IF(H68="",FECHA_CORTE,MIN(H68,FECHA_CORTE))+1,"y")&amp;" a "&amp;DATEDIF(G68,IF(H68="",FECHA_CORTE,MIN(H68,FECHA_CORTE))+1,"ym")&amp;" m"))</f>
        <v/>
      </c>
      <c r="X68" s="71" t="str">
        <f aca="false">IF(B68="","",IFERROR(INDEX(C_SUELDO,MATCH(B68&amp;"-S"&amp;MAX(1,COUNTIFS(C_ID,B68,C_SUELDO,"&lt;&gt;",C_INICIO,"&lt;="&amp;FECHA_CORTE)),C_CLAVES,0)),0))</f>
        <v/>
      </c>
      <c r="Y68" s="70" t="str">
        <f aca="false">IF(B68="","",IFERROR(INDEX(C_TIPO,MATCH(B68&amp;"-P"&amp;MAX(1,COUNTIFS(C_ID,B68,C_DEFINE,"Sí",C_INICIO,"&lt;="&amp;FECHA_CORTE)),C_CLAVE,0))&amp;"","Sin contrato"))</f>
        <v/>
      </c>
      <c r="Z68" s="70" t="str">
        <f aca="false">IF(B68="","",IF(COUNTIF(T_ID,B68)&gt;1,"⚠ ID duplicado",IF(Y68="Sin contrato","⚠ Registrar el contrato en la hoja Contratos",IF(AND(LEFT(V68,6)="Activo",X68&lt;IMM_HOY*MIN(1,IF(N(J68)=0,JORNADA_LEGAL,J68)/JORNADA_LEGAL)),"⚠ Sueldo base bajo el ingreso mínimo",IF(O68="","⚠ Falta AFP",IF(P68="","⚠ Falta sistema de salud",IF(AND(P68="Isapre",N(Q68)=0),"⚠ Falta plan Isapre (UF)",IF(AND(N(J68)&gt;JORNADA_LEGAL,LEFT(V68,6)="Activo"),"⚠ Jornada sobre el máximo legal","OK"))))))))</f>
        <v/>
      </c>
      <c r="AA68" s="72" t="str">
        <f aca="false">IFERROR(IF(AND(B68&lt;&gt;"",ISNUMBER(G68)),IF(AND(G68&lt;=EOMONTH(ENVIO_PER,0),OR(H68="",H68&gt;=ENVIO_PER)),MAX(AA$6:AA67)+1,""),""),"")</f>
        <v/>
      </c>
    </row>
    <row r="69" customFormat="false" ht="15" hidden="false" customHeight="false" outlineLevel="0" collapsed="false">
      <c r="B69" s="64"/>
      <c r="C69" s="64"/>
      <c r="D69" s="64"/>
      <c r="E69" s="64"/>
      <c r="F69" s="64"/>
      <c r="G69" s="65"/>
      <c r="H69" s="65"/>
      <c r="I69" s="64"/>
      <c r="J69" s="66"/>
      <c r="K69" s="64"/>
      <c r="L69" s="67"/>
      <c r="M69" s="67"/>
      <c r="N69" s="67"/>
      <c r="O69" s="64"/>
      <c r="P69" s="64"/>
      <c r="Q69" s="68"/>
      <c r="R69" s="66"/>
      <c r="S69" s="66"/>
      <c r="T69" s="69"/>
      <c r="U69" s="64"/>
      <c r="V69" s="70" t="str">
        <f aca="false">IF(B69="","",IF(NOT(ISNUMBER(G69)),"⚠ Falta fecha ingreso",IF(G69&gt;FECHA_CORTE,"Por ingresar",IF(H69="","Activo",IF(H69&lt;FECHA_CORTE,"Desvinculado","Activo (egreso programado)")))))</f>
        <v/>
      </c>
      <c r="W69" s="70" t="str">
        <f aca="false">IF(OR(B69="",NOT(ISNUMBER(G69))),"",IF(G69&gt;FECHA_CORTE,"",DATEDIF(G69,IF(H69="",FECHA_CORTE,MIN(H69,FECHA_CORTE))+1,"y")&amp;" a "&amp;DATEDIF(G69,IF(H69="",FECHA_CORTE,MIN(H69,FECHA_CORTE))+1,"ym")&amp;" m"))</f>
        <v/>
      </c>
      <c r="X69" s="71" t="str">
        <f aca="false">IF(B69="","",IFERROR(INDEX(C_SUELDO,MATCH(B69&amp;"-S"&amp;MAX(1,COUNTIFS(C_ID,B69,C_SUELDO,"&lt;&gt;",C_INICIO,"&lt;="&amp;FECHA_CORTE)),C_CLAVES,0)),0))</f>
        <v/>
      </c>
      <c r="Y69" s="70" t="str">
        <f aca="false">IF(B69="","",IFERROR(INDEX(C_TIPO,MATCH(B69&amp;"-P"&amp;MAX(1,COUNTIFS(C_ID,B69,C_DEFINE,"Sí",C_INICIO,"&lt;="&amp;FECHA_CORTE)),C_CLAVE,0))&amp;"","Sin contrato"))</f>
        <v/>
      </c>
      <c r="Z69" s="70" t="str">
        <f aca="false">IF(B69="","",IF(COUNTIF(T_ID,B69)&gt;1,"⚠ ID duplicado",IF(Y69="Sin contrato","⚠ Registrar el contrato en la hoja Contratos",IF(AND(LEFT(V69,6)="Activo",X69&lt;IMM_HOY*MIN(1,IF(N(J69)=0,JORNADA_LEGAL,J69)/JORNADA_LEGAL)),"⚠ Sueldo base bajo el ingreso mínimo",IF(O69="","⚠ Falta AFP",IF(P69="","⚠ Falta sistema de salud",IF(AND(P69="Isapre",N(Q69)=0),"⚠ Falta plan Isapre (UF)",IF(AND(N(J69)&gt;JORNADA_LEGAL,LEFT(V69,6)="Activo"),"⚠ Jornada sobre el máximo legal","OK"))))))))</f>
        <v/>
      </c>
      <c r="AA69" s="72" t="str">
        <f aca="false">IFERROR(IF(AND(B69&lt;&gt;"",ISNUMBER(G69)),IF(AND(G69&lt;=EOMONTH(ENVIO_PER,0),OR(H69="",H69&gt;=ENVIO_PER)),MAX(AA$6:AA68)+1,""),""),"")</f>
        <v/>
      </c>
    </row>
    <row r="70" customFormat="false" ht="15" hidden="false" customHeight="false" outlineLevel="0" collapsed="false">
      <c r="B70" s="64"/>
      <c r="C70" s="64"/>
      <c r="D70" s="64"/>
      <c r="E70" s="64"/>
      <c r="F70" s="64"/>
      <c r="G70" s="65"/>
      <c r="H70" s="65"/>
      <c r="I70" s="64"/>
      <c r="J70" s="66"/>
      <c r="K70" s="64"/>
      <c r="L70" s="67"/>
      <c r="M70" s="67"/>
      <c r="N70" s="67"/>
      <c r="O70" s="64"/>
      <c r="P70" s="64"/>
      <c r="Q70" s="68"/>
      <c r="R70" s="66"/>
      <c r="S70" s="66"/>
      <c r="T70" s="69"/>
      <c r="U70" s="64"/>
      <c r="V70" s="70" t="str">
        <f aca="false">IF(B70="","",IF(NOT(ISNUMBER(G70)),"⚠ Falta fecha ingreso",IF(G70&gt;FECHA_CORTE,"Por ingresar",IF(H70="","Activo",IF(H70&lt;FECHA_CORTE,"Desvinculado","Activo (egreso programado)")))))</f>
        <v/>
      </c>
      <c r="W70" s="70" t="str">
        <f aca="false">IF(OR(B70="",NOT(ISNUMBER(G70))),"",IF(G70&gt;FECHA_CORTE,"",DATEDIF(G70,IF(H70="",FECHA_CORTE,MIN(H70,FECHA_CORTE))+1,"y")&amp;" a "&amp;DATEDIF(G70,IF(H70="",FECHA_CORTE,MIN(H70,FECHA_CORTE))+1,"ym")&amp;" m"))</f>
        <v/>
      </c>
      <c r="X70" s="71" t="str">
        <f aca="false">IF(B70="","",IFERROR(INDEX(C_SUELDO,MATCH(B70&amp;"-S"&amp;MAX(1,COUNTIFS(C_ID,B70,C_SUELDO,"&lt;&gt;",C_INICIO,"&lt;="&amp;FECHA_CORTE)),C_CLAVES,0)),0))</f>
        <v/>
      </c>
      <c r="Y70" s="70" t="str">
        <f aca="false">IF(B70="","",IFERROR(INDEX(C_TIPO,MATCH(B70&amp;"-P"&amp;MAX(1,COUNTIFS(C_ID,B70,C_DEFINE,"Sí",C_INICIO,"&lt;="&amp;FECHA_CORTE)),C_CLAVE,0))&amp;"","Sin contrato"))</f>
        <v/>
      </c>
      <c r="Z70" s="70" t="str">
        <f aca="false">IF(B70="","",IF(COUNTIF(T_ID,B70)&gt;1,"⚠ ID duplicado",IF(Y70="Sin contrato","⚠ Registrar el contrato en la hoja Contratos",IF(AND(LEFT(V70,6)="Activo",X70&lt;IMM_HOY*MIN(1,IF(N(J70)=0,JORNADA_LEGAL,J70)/JORNADA_LEGAL)),"⚠ Sueldo base bajo el ingreso mínimo",IF(O70="","⚠ Falta AFP",IF(P70="","⚠ Falta sistema de salud",IF(AND(P70="Isapre",N(Q70)=0),"⚠ Falta plan Isapre (UF)",IF(AND(N(J70)&gt;JORNADA_LEGAL,LEFT(V70,6)="Activo"),"⚠ Jornada sobre el máximo legal","OK"))))))))</f>
        <v/>
      </c>
      <c r="AA70" s="72" t="str">
        <f aca="false">IFERROR(IF(AND(B70&lt;&gt;"",ISNUMBER(G70)),IF(AND(G70&lt;=EOMONTH(ENVIO_PER,0),OR(H70="",H70&gt;=ENVIO_PER)),MAX(AA$6:AA69)+1,""),""),"")</f>
        <v/>
      </c>
    </row>
    <row r="71" customFormat="false" ht="15" hidden="false" customHeight="false" outlineLevel="0" collapsed="false">
      <c r="B71" s="64"/>
      <c r="C71" s="64"/>
      <c r="D71" s="64"/>
      <c r="E71" s="64"/>
      <c r="F71" s="64"/>
      <c r="G71" s="65"/>
      <c r="H71" s="65"/>
      <c r="I71" s="64"/>
      <c r="J71" s="66"/>
      <c r="K71" s="64"/>
      <c r="L71" s="67"/>
      <c r="M71" s="67"/>
      <c r="N71" s="67"/>
      <c r="O71" s="64"/>
      <c r="P71" s="64"/>
      <c r="Q71" s="68"/>
      <c r="R71" s="66"/>
      <c r="S71" s="66"/>
      <c r="T71" s="69"/>
      <c r="U71" s="64"/>
      <c r="V71" s="70" t="str">
        <f aca="false">IF(B71="","",IF(NOT(ISNUMBER(G71)),"⚠ Falta fecha ingreso",IF(G71&gt;FECHA_CORTE,"Por ingresar",IF(H71="","Activo",IF(H71&lt;FECHA_CORTE,"Desvinculado","Activo (egreso programado)")))))</f>
        <v/>
      </c>
      <c r="W71" s="70" t="str">
        <f aca="false">IF(OR(B71="",NOT(ISNUMBER(G71))),"",IF(G71&gt;FECHA_CORTE,"",DATEDIF(G71,IF(H71="",FECHA_CORTE,MIN(H71,FECHA_CORTE))+1,"y")&amp;" a "&amp;DATEDIF(G71,IF(H71="",FECHA_CORTE,MIN(H71,FECHA_CORTE))+1,"ym")&amp;" m"))</f>
        <v/>
      </c>
      <c r="X71" s="71" t="str">
        <f aca="false">IF(B71="","",IFERROR(INDEX(C_SUELDO,MATCH(B71&amp;"-S"&amp;MAX(1,COUNTIFS(C_ID,B71,C_SUELDO,"&lt;&gt;",C_INICIO,"&lt;="&amp;FECHA_CORTE)),C_CLAVES,0)),0))</f>
        <v/>
      </c>
      <c r="Y71" s="70" t="str">
        <f aca="false">IF(B71="","",IFERROR(INDEX(C_TIPO,MATCH(B71&amp;"-P"&amp;MAX(1,COUNTIFS(C_ID,B71,C_DEFINE,"Sí",C_INICIO,"&lt;="&amp;FECHA_CORTE)),C_CLAVE,0))&amp;"","Sin contrato"))</f>
        <v/>
      </c>
      <c r="Z71" s="70" t="str">
        <f aca="false">IF(B71="","",IF(COUNTIF(T_ID,B71)&gt;1,"⚠ ID duplicado",IF(Y71="Sin contrato","⚠ Registrar el contrato en la hoja Contratos",IF(AND(LEFT(V71,6)="Activo",X71&lt;IMM_HOY*MIN(1,IF(N(J71)=0,JORNADA_LEGAL,J71)/JORNADA_LEGAL)),"⚠ Sueldo base bajo el ingreso mínimo",IF(O71="","⚠ Falta AFP",IF(P71="","⚠ Falta sistema de salud",IF(AND(P71="Isapre",N(Q71)=0),"⚠ Falta plan Isapre (UF)",IF(AND(N(J71)&gt;JORNADA_LEGAL,LEFT(V71,6)="Activo"),"⚠ Jornada sobre el máximo legal","OK"))))))))</f>
        <v/>
      </c>
      <c r="AA71" s="72" t="str">
        <f aca="false">IFERROR(IF(AND(B71&lt;&gt;"",ISNUMBER(G71)),IF(AND(G71&lt;=EOMONTH(ENVIO_PER,0),OR(H71="",H71&gt;=ENVIO_PER)),MAX(AA$6:AA70)+1,""),""),"")</f>
        <v/>
      </c>
    </row>
    <row r="72" customFormat="false" ht="15" hidden="false" customHeight="false" outlineLevel="0" collapsed="false">
      <c r="B72" s="64"/>
      <c r="C72" s="64"/>
      <c r="D72" s="64"/>
      <c r="E72" s="64"/>
      <c r="F72" s="64"/>
      <c r="G72" s="65"/>
      <c r="H72" s="65"/>
      <c r="I72" s="64"/>
      <c r="J72" s="66"/>
      <c r="K72" s="64"/>
      <c r="L72" s="67"/>
      <c r="M72" s="67"/>
      <c r="N72" s="67"/>
      <c r="O72" s="64"/>
      <c r="P72" s="64"/>
      <c r="Q72" s="68"/>
      <c r="R72" s="66"/>
      <c r="S72" s="66"/>
      <c r="T72" s="69"/>
      <c r="U72" s="64"/>
      <c r="V72" s="70" t="str">
        <f aca="false">IF(B72="","",IF(NOT(ISNUMBER(G72)),"⚠ Falta fecha ingreso",IF(G72&gt;FECHA_CORTE,"Por ingresar",IF(H72="","Activo",IF(H72&lt;FECHA_CORTE,"Desvinculado","Activo (egreso programado)")))))</f>
        <v/>
      </c>
      <c r="W72" s="70" t="str">
        <f aca="false">IF(OR(B72="",NOT(ISNUMBER(G72))),"",IF(G72&gt;FECHA_CORTE,"",DATEDIF(G72,IF(H72="",FECHA_CORTE,MIN(H72,FECHA_CORTE))+1,"y")&amp;" a "&amp;DATEDIF(G72,IF(H72="",FECHA_CORTE,MIN(H72,FECHA_CORTE))+1,"ym")&amp;" m"))</f>
        <v/>
      </c>
      <c r="X72" s="71" t="str">
        <f aca="false">IF(B72="","",IFERROR(INDEX(C_SUELDO,MATCH(B72&amp;"-S"&amp;MAX(1,COUNTIFS(C_ID,B72,C_SUELDO,"&lt;&gt;",C_INICIO,"&lt;="&amp;FECHA_CORTE)),C_CLAVES,0)),0))</f>
        <v/>
      </c>
      <c r="Y72" s="70" t="str">
        <f aca="false">IF(B72="","",IFERROR(INDEX(C_TIPO,MATCH(B72&amp;"-P"&amp;MAX(1,COUNTIFS(C_ID,B72,C_DEFINE,"Sí",C_INICIO,"&lt;="&amp;FECHA_CORTE)),C_CLAVE,0))&amp;"","Sin contrato"))</f>
        <v/>
      </c>
      <c r="Z72" s="70" t="str">
        <f aca="false">IF(B72="","",IF(COUNTIF(T_ID,B72)&gt;1,"⚠ ID duplicado",IF(Y72="Sin contrato","⚠ Registrar el contrato en la hoja Contratos",IF(AND(LEFT(V72,6)="Activo",X72&lt;IMM_HOY*MIN(1,IF(N(J72)=0,JORNADA_LEGAL,J72)/JORNADA_LEGAL)),"⚠ Sueldo base bajo el ingreso mínimo",IF(O72="","⚠ Falta AFP",IF(P72="","⚠ Falta sistema de salud",IF(AND(P72="Isapre",N(Q72)=0),"⚠ Falta plan Isapre (UF)",IF(AND(N(J72)&gt;JORNADA_LEGAL,LEFT(V72,6)="Activo"),"⚠ Jornada sobre el máximo legal","OK"))))))))</f>
        <v/>
      </c>
      <c r="AA72" s="72" t="str">
        <f aca="false">IFERROR(IF(AND(B72&lt;&gt;"",ISNUMBER(G72)),IF(AND(G72&lt;=EOMONTH(ENVIO_PER,0),OR(H72="",H72&gt;=ENVIO_PER)),MAX(AA$6:AA71)+1,""),""),"")</f>
        <v/>
      </c>
    </row>
    <row r="73" customFormat="false" ht="15" hidden="false" customHeight="false" outlineLevel="0" collapsed="false">
      <c r="B73" s="64"/>
      <c r="C73" s="64"/>
      <c r="D73" s="64"/>
      <c r="E73" s="64"/>
      <c r="F73" s="64"/>
      <c r="G73" s="65"/>
      <c r="H73" s="65"/>
      <c r="I73" s="64"/>
      <c r="J73" s="66"/>
      <c r="K73" s="64"/>
      <c r="L73" s="67"/>
      <c r="M73" s="67"/>
      <c r="N73" s="67"/>
      <c r="O73" s="64"/>
      <c r="P73" s="64"/>
      <c r="Q73" s="68"/>
      <c r="R73" s="66"/>
      <c r="S73" s="66"/>
      <c r="T73" s="69"/>
      <c r="U73" s="64"/>
      <c r="V73" s="70" t="str">
        <f aca="false">IF(B73="","",IF(NOT(ISNUMBER(G73)),"⚠ Falta fecha ingreso",IF(G73&gt;FECHA_CORTE,"Por ingresar",IF(H73="","Activo",IF(H73&lt;FECHA_CORTE,"Desvinculado","Activo (egreso programado)")))))</f>
        <v/>
      </c>
      <c r="W73" s="70" t="str">
        <f aca="false">IF(OR(B73="",NOT(ISNUMBER(G73))),"",IF(G73&gt;FECHA_CORTE,"",DATEDIF(G73,IF(H73="",FECHA_CORTE,MIN(H73,FECHA_CORTE))+1,"y")&amp;" a "&amp;DATEDIF(G73,IF(H73="",FECHA_CORTE,MIN(H73,FECHA_CORTE))+1,"ym")&amp;" m"))</f>
        <v/>
      </c>
      <c r="X73" s="71" t="str">
        <f aca="false">IF(B73="","",IFERROR(INDEX(C_SUELDO,MATCH(B73&amp;"-S"&amp;MAX(1,COUNTIFS(C_ID,B73,C_SUELDO,"&lt;&gt;",C_INICIO,"&lt;="&amp;FECHA_CORTE)),C_CLAVES,0)),0))</f>
        <v/>
      </c>
      <c r="Y73" s="70" t="str">
        <f aca="false">IF(B73="","",IFERROR(INDEX(C_TIPO,MATCH(B73&amp;"-P"&amp;MAX(1,COUNTIFS(C_ID,B73,C_DEFINE,"Sí",C_INICIO,"&lt;="&amp;FECHA_CORTE)),C_CLAVE,0))&amp;"","Sin contrato"))</f>
        <v/>
      </c>
      <c r="Z73" s="70" t="str">
        <f aca="false">IF(B73="","",IF(COUNTIF(T_ID,B73)&gt;1,"⚠ ID duplicado",IF(Y73="Sin contrato","⚠ Registrar el contrato en la hoja Contratos",IF(AND(LEFT(V73,6)="Activo",X73&lt;IMM_HOY*MIN(1,IF(N(J73)=0,JORNADA_LEGAL,J73)/JORNADA_LEGAL)),"⚠ Sueldo base bajo el ingreso mínimo",IF(O73="","⚠ Falta AFP",IF(P73="","⚠ Falta sistema de salud",IF(AND(P73="Isapre",N(Q73)=0),"⚠ Falta plan Isapre (UF)",IF(AND(N(J73)&gt;JORNADA_LEGAL,LEFT(V73,6)="Activo"),"⚠ Jornada sobre el máximo legal","OK"))))))))</f>
        <v/>
      </c>
      <c r="AA73" s="72" t="str">
        <f aca="false">IFERROR(IF(AND(B73&lt;&gt;"",ISNUMBER(G73)),IF(AND(G73&lt;=EOMONTH(ENVIO_PER,0),OR(H73="",H73&gt;=ENVIO_PER)),MAX(AA$6:AA72)+1,""),""),"")</f>
        <v/>
      </c>
    </row>
    <row r="74" customFormat="false" ht="15" hidden="false" customHeight="false" outlineLevel="0" collapsed="false">
      <c r="B74" s="64"/>
      <c r="C74" s="64"/>
      <c r="D74" s="64"/>
      <c r="E74" s="64"/>
      <c r="F74" s="64"/>
      <c r="G74" s="65"/>
      <c r="H74" s="65"/>
      <c r="I74" s="64"/>
      <c r="J74" s="66"/>
      <c r="K74" s="64"/>
      <c r="L74" s="67"/>
      <c r="M74" s="67"/>
      <c r="N74" s="67"/>
      <c r="O74" s="64"/>
      <c r="P74" s="64"/>
      <c r="Q74" s="68"/>
      <c r="R74" s="66"/>
      <c r="S74" s="66"/>
      <c r="T74" s="69"/>
      <c r="U74" s="64"/>
      <c r="V74" s="70" t="str">
        <f aca="false">IF(B74="","",IF(NOT(ISNUMBER(G74)),"⚠ Falta fecha ingreso",IF(G74&gt;FECHA_CORTE,"Por ingresar",IF(H74="","Activo",IF(H74&lt;FECHA_CORTE,"Desvinculado","Activo (egreso programado)")))))</f>
        <v/>
      </c>
      <c r="W74" s="70" t="str">
        <f aca="false">IF(OR(B74="",NOT(ISNUMBER(G74))),"",IF(G74&gt;FECHA_CORTE,"",DATEDIF(G74,IF(H74="",FECHA_CORTE,MIN(H74,FECHA_CORTE))+1,"y")&amp;" a "&amp;DATEDIF(G74,IF(H74="",FECHA_CORTE,MIN(H74,FECHA_CORTE))+1,"ym")&amp;" m"))</f>
        <v/>
      </c>
      <c r="X74" s="71" t="str">
        <f aca="false">IF(B74="","",IFERROR(INDEX(C_SUELDO,MATCH(B74&amp;"-S"&amp;MAX(1,COUNTIFS(C_ID,B74,C_SUELDO,"&lt;&gt;",C_INICIO,"&lt;="&amp;FECHA_CORTE)),C_CLAVES,0)),0))</f>
        <v/>
      </c>
      <c r="Y74" s="70" t="str">
        <f aca="false">IF(B74="","",IFERROR(INDEX(C_TIPO,MATCH(B74&amp;"-P"&amp;MAX(1,COUNTIFS(C_ID,B74,C_DEFINE,"Sí",C_INICIO,"&lt;="&amp;FECHA_CORTE)),C_CLAVE,0))&amp;"","Sin contrato"))</f>
        <v/>
      </c>
      <c r="Z74" s="70" t="str">
        <f aca="false">IF(B74="","",IF(COUNTIF(T_ID,B74)&gt;1,"⚠ ID duplicado",IF(Y74="Sin contrato","⚠ Registrar el contrato en la hoja Contratos",IF(AND(LEFT(V74,6)="Activo",X74&lt;IMM_HOY*MIN(1,IF(N(J74)=0,JORNADA_LEGAL,J74)/JORNADA_LEGAL)),"⚠ Sueldo base bajo el ingreso mínimo",IF(O74="","⚠ Falta AFP",IF(P74="","⚠ Falta sistema de salud",IF(AND(P74="Isapre",N(Q74)=0),"⚠ Falta plan Isapre (UF)",IF(AND(N(J74)&gt;JORNADA_LEGAL,LEFT(V74,6)="Activo"),"⚠ Jornada sobre el máximo legal","OK"))))))))</f>
        <v/>
      </c>
      <c r="AA74" s="72" t="str">
        <f aca="false">IFERROR(IF(AND(B74&lt;&gt;"",ISNUMBER(G74)),IF(AND(G74&lt;=EOMONTH(ENVIO_PER,0),OR(H74="",H74&gt;=ENVIO_PER)),MAX(AA$6:AA73)+1,""),""),"")</f>
        <v/>
      </c>
    </row>
    <row r="75" customFormat="false" ht="15" hidden="false" customHeight="false" outlineLevel="0" collapsed="false">
      <c r="B75" s="64"/>
      <c r="C75" s="64"/>
      <c r="D75" s="64"/>
      <c r="E75" s="64"/>
      <c r="F75" s="64"/>
      <c r="G75" s="65"/>
      <c r="H75" s="65"/>
      <c r="I75" s="64"/>
      <c r="J75" s="66"/>
      <c r="K75" s="64"/>
      <c r="L75" s="67"/>
      <c r="M75" s="67"/>
      <c r="N75" s="67"/>
      <c r="O75" s="64"/>
      <c r="P75" s="64"/>
      <c r="Q75" s="68"/>
      <c r="R75" s="66"/>
      <c r="S75" s="66"/>
      <c r="T75" s="69"/>
      <c r="U75" s="64"/>
      <c r="V75" s="70" t="str">
        <f aca="false">IF(B75="","",IF(NOT(ISNUMBER(G75)),"⚠ Falta fecha ingreso",IF(G75&gt;FECHA_CORTE,"Por ingresar",IF(H75="","Activo",IF(H75&lt;FECHA_CORTE,"Desvinculado","Activo (egreso programado)")))))</f>
        <v/>
      </c>
      <c r="W75" s="70" t="str">
        <f aca="false">IF(OR(B75="",NOT(ISNUMBER(G75))),"",IF(G75&gt;FECHA_CORTE,"",DATEDIF(G75,IF(H75="",FECHA_CORTE,MIN(H75,FECHA_CORTE))+1,"y")&amp;" a "&amp;DATEDIF(G75,IF(H75="",FECHA_CORTE,MIN(H75,FECHA_CORTE))+1,"ym")&amp;" m"))</f>
        <v/>
      </c>
      <c r="X75" s="71" t="str">
        <f aca="false">IF(B75="","",IFERROR(INDEX(C_SUELDO,MATCH(B75&amp;"-S"&amp;MAX(1,COUNTIFS(C_ID,B75,C_SUELDO,"&lt;&gt;",C_INICIO,"&lt;="&amp;FECHA_CORTE)),C_CLAVES,0)),0))</f>
        <v/>
      </c>
      <c r="Y75" s="70" t="str">
        <f aca="false">IF(B75="","",IFERROR(INDEX(C_TIPO,MATCH(B75&amp;"-P"&amp;MAX(1,COUNTIFS(C_ID,B75,C_DEFINE,"Sí",C_INICIO,"&lt;="&amp;FECHA_CORTE)),C_CLAVE,0))&amp;"","Sin contrato"))</f>
        <v/>
      </c>
      <c r="Z75" s="70" t="str">
        <f aca="false">IF(B75="","",IF(COUNTIF(T_ID,B75)&gt;1,"⚠ ID duplicado",IF(Y75="Sin contrato","⚠ Registrar el contrato en la hoja Contratos",IF(AND(LEFT(V75,6)="Activo",X75&lt;IMM_HOY*MIN(1,IF(N(J75)=0,JORNADA_LEGAL,J75)/JORNADA_LEGAL)),"⚠ Sueldo base bajo el ingreso mínimo",IF(O75="","⚠ Falta AFP",IF(P75="","⚠ Falta sistema de salud",IF(AND(P75="Isapre",N(Q75)=0),"⚠ Falta plan Isapre (UF)",IF(AND(N(J75)&gt;JORNADA_LEGAL,LEFT(V75,6)="Activo"),"⚠ Jornada sobre el máximo legal","OK"))))))))</f>
        <v/>
      </c>
      <c r="AA75" s="72" t="str">
        <f aca="false">IFERROR(IF(AND(B75&lt;&gt;"",ISNUMBER(G75)),IF(AND(G75&lt;=EOMONTH(ENVIO_PER,0),OR(H75="",H75&gt;=ENVIO_PER)),MAX(AA$6:AA74)+1,""),""),"")</f>
        <v/>
      </c>
    </row>
    <row r="76" customFormat="false" ht="15" hidden="false" customHeight="false" outlineLevel="0" collapsed="false">
      <c r="B76" s="64"/>
      <c r="C76" s="64"/>
      <c r="D76" s="64"/>
      <c r="E76" s="64"/>
      <c r="F76" s="64"/>
      <c r="G76" s="65"/>
      <c r="H76" s="65"/>
      <c r="I76" s="64"/>
      <c r="J76" s="66"/>
      <c r="K76" s="64"/>
      <c r="L76" s="67"/>
      <c r="M76" s="67"/>
      <c r="N76" s="67"/>
      <c r="O76" s="64"/>
      <c r="P76" s="64"/>
      <c r="Q76" s="68"/>
      <c r="R76" s="66"/>
      <c r="S76" s="66"/>
      <c r="T76" s="69"/>
      <c r="U76" s="64"/>
      <c r="V76" s="70" t="str">
        <f aca="false">IF(B76="","",IF(NOT(ISNUMBER(G76)),"⚠ Falta fecha ingreso",IF(G76&gt;FECHA_CORTE,"Por ingresar",IF(H76="","Activo",IF(H76&lt;FECHA_CORTE,"Desvinculado","Activo (egreso programado)")))))</f>
        <v/>
      </c>
      <c r="W76" s="70" t="str">
        <f aca="false">IF(OR(B76="",NOT(ISNUMBER(G76))),"",IF(G76&gt;FECHA_CORTE,"",DATEDIF(G76,IF(H76="",FECHA_CORTE,MIN(H76,FECHA_CORTE))+1,"y")&amp;" a "&amp;DATEDIF(G76,IF(H76="",FECHA_CORTE,MIN(H76,FECHA_CORTE))+1,"ym")&amp;" m"))</f>
        <v/>
      </c>
      <c r="X76" s="71" t="str">
        <f aca="false">IF(B76="","",IFERROR(INDEX(C_SUELDO,MATCH(B76&amp;"-S"&amp;MAX(1,COUNTIFS(C_ID,B76,C_SUELDO,"&lt;&gt;",C_INICIO,"&lt;="&amp;FECHA_CORTE)),C_CLAVES,0)),0))</f>
        <v/>
      </c>
      <c r="Y76" s="70" t="str">
        <f aca="false">IF(B76="","",IFERROR(INDEX(C_TIPO,MATCH(B76&amp;"-P"&amp;MAX(1,COUNTIFS(C_ID,B76,C_DEFINE,"Sí",C_INICIO,"&lt;="&amp;FECHA_CORTE)),C_CLAVE,0))&amp;"","Sin contrato"))</f>
        <v/>
      </c>
      <c r="Z76" s="70" t="str">
        <f aca="false">IF(B76="","",IF(COUNTIF(T_ID,B76)&gt;1,"⚠ ID duplicado",IF(Y76="Sin contrato","⚠ Registrar el contrato en la hoja Contratos",IF(AND(LEFT(V76,6)="Activo",X76&lt;IMM_HOY*MIN(1,IF(N(J76)=0,JORNADA_LEGAL,J76)/JORNADA_LEGAL)),"⚠ Sueldo base bajo el ingreso mínimo",IF(O76="","⚠ Falta AFP",IF(P76="","⚠ Falta sistema de salud",IF(AND(P76="Isapre",N(Q76)=0),"⚠ Falta plan Isapre (UF)",IF(AND(N(J76)&gt;JORNADA_LEGAL,LEFT(V76,6)="Activo"),"⚠ Jornada sobre el máximo legal","OK"))))))))</f>
        <v/>
      </c>
      <c r="AA76" s="72" t="str">
        <f aca="false">IFERROR(IF(AND(B76&lt;&gt;"",ISNUMBER(G76)),IF(AND(G76&lt;=EOMONTH(ENVIO_PER,0),OR(H76="",H76&gt;=ENVIO_PER)),MAX(AA$6:AA75)+1,""),""),"")</f>
        <v/>
      </c>
    </row>
    <row r="77" customFormat="false" ht="15" hidden="false" customHeight="false" outlineLevel="0" collapsed="false">
      <c r="B77" s="64"/>
      <c r="C77" s="64"/>
      <c r="D77" s="64"/>
      <c r="E77" s="64"/>
      <c r="F77" s="64"/>
      <c r="G77" s="65"/>
      <c r="H77" s="65"/>
      <c r="I77" s="64"/>
      <c r="J77" s="66"/>
      <c r="K77" s="64"/>
      <c r="L77" s="67"/>
      <c r="M77" s="67"/>
      <c r="N77" s="67"/>
      <c r="O77" s="64"/>
      <c r="P77" s="64"/>
      <c r="Q77" s="68"/>
      <c r="R77" s="66"/>
      <c r="S77" s="66"/>
      <c r="T77" s="69"/>
      <c r="U77" s="64"/>
      <c r="V77" s="70" t="str">
        <f aca="false">IF(B77="","",IF(NOT(ISNUMBER(G77)),"⚠ Falta fecha ingreso",IF(G77&gt;FECHA_CORTE,"Por ingresar",IF(H77="","Activo",IF(H77&lt;FECHA_CORTE,"Desvinculado","Activo (egreso programado)")))))</f>
        <v/>
      </c>
      <c r="W77" s="70" t="str">
        <f aca="false">IF(OR(B77="",NOT(ISNUMBER(G77))),"",IF(G77&gt;FECHA_CORTE,"",DATEDIF(G77,IF(H77="",FECHA_CORTE,MIN(H77,FECHA_CORTE))+1,"y")&amp;" a "&amp;DATEDIF(G77,IF(H77="",FECHA_CORTE,MIN(H77,FECHA_CORTE))+1,"ym")&amp;" m"))</f>
        <v/>
      </c>
      <c r="X77" s="71" t="str">
        <f aca="false">IF(B77="","",IFERROR(INDEX(C_SUELDO,MATCH(B77&amp;"-S"&amp;MAX(1,COUNTIFS(C_ID,B77,C_SUELDO,"&lt;&gt;",C_INICIO,"&lt;="&amp;FECHA_CORTE)),C_CLAVES,0)),0))</f>
        <v/>
      </c>
      <c r="Y77" s="70" t="str">
        <f aca="false">IF(B77="","",IFERROR(INDEX(C_TIPO,MATCH(B77&amp;"-P"&amp;MAX(1,COUNTIFS(C_ID,B77,C_DEFINE,"Sí",C_INICIO,"&lt;="&amp;FECHA_CORTE)),C_CLAVE,0))&amp;"","Sin contrato"))</f>
        <v/>
      </c>
      <c r="Z77" s="70" t="str">
        <f aca="false">IF(B77="","",IF(COUNTIF(T_ID,B77)&gt;1,"⚠ ID duplicado",IF(Y77="Sin contrato","⚠ Registrar el contrato en la hoja Contratos",IF(AND(LEFT(V77,6)="Activo",X77&lt;IMM_HOY*MIN(1,IF(N(J77)=0,JORNADA_LEGAL,J77)/JORNADA_LEGAL)),"⚠ Sueldo base bajo el ingreso mínimo",IF(O77="","⚠ Falta AFP",IF(P77="","⚠ Falta sistema de salud",IF(AND(P77="Isapre",N(Q77)=0),"⚠ Falta plan Isapre (UF)",IF(AND(N(J77)&gt;JORNADA_LEGAL,LEFT(V77,6)="Activo"),"⚠ Jornada sobre el máximo legal","OK"))))))))</f>
        <v/>
      </c>
      <c r="AA77" s="72" t="str">
        <f aca="false">IFERROR(IF(AND(B77&lt;&gt;"",ISNUMBER(G77)),IF(AND(G77&lt;=EOMONTH(ENVIO_PER,0),OR(H77="",H77&gt;=ENVIO_PER)),MAX(AA$6:AA76)+1,""),""),"")</f>
        <v/>
      </c>
    </row>
    <row r="78" customFormat="false" ht="15" hidden="false" customHeight="false" outlineLevel="0" collapsed="false">
      <c r="B78" s="64"/>
      <c r="C78" s="64"/>
      <c r="D78" s="64"/>
      <c r="E78" s="64"/>
      <c r="F78" s="64"/>
      <c r="G78" s="65"/>
      <c r="H78" s="65"/>
      <c r="I78" s="64"/>
      <c r="J78" s="66"/>
      <c r="K78" s="64"/>
      <c r="L78" s="67"/>
      <c r="M78" s="67"/>
      <c r="N78" s="67"/>
      <c r="O78" s="64"/>
      <c r="P78" s="64"/>
      <c r="Q78" s="68"/>
      <c r="R78" s="66"/>
      <c r="S78" s="66"/>
      <c r="T78" s="69"/>
      <c r="U78" s="64"/>
      <c r="V78" s="70" t="str">
        <f aca="false">IF(B78="","",IF(NOT(ISNUMBER(G78)),"⚠ Falta fecha ingreso",IF(G78&gt;FECHA_CORTE,"Por ingresar",IF(H78="","Activo",IF(H78&lt;FECHA_CORTE,"Desvinculado","Activo (egreso programado)")))))</f>
        <v/>
      </c>
      <c r="W78" s="70" t="str">
        <f aca="false">IF(OR(B78="",NOT(ISNUMBER(G78))),"",IF(G78&gt;FECHA_CORTE,"",DATEDIF(G78,IF(H78="",FECHA_CORTE,MIN(H78,FECHA_CORTE))+1,"y")&amp;" a "&amp;DATEDIF(G78,IF(H78="",FECHA_CORTE,MIN(H78,FECHA_CORTE))+1,"ym")&amp;" m"))</f>
        <v/>
      </c>
      <c r="X78" s="71" t="str">
        <f aca="false">IF(B78="","",IFERROR(INDEX(C_SUELDO,MATCH(B78&amp;"-S"&amp;MAX(1,COUNTIFS(C_ID,B78,C_SUELDO,"&lt;&gt;",C_INICIO,"&lt;="&amp;FECHA_CORTE)),C_CLAVES,0)),0))</f>
        <v/>
      </c>
      <c r="Y78" s="70" t="str">
        <f aca="false">IF(B78="","",IFERROR(INDEX(C_TIPO,MATCH(B78&amp;"-P"&amp;MAX(1,COUNTIFS(C_ID,B78,C_DEFINE,"Sí",C_INICIO,"&lt;="&amp;FECHA_CORTE)),C_CLAVE,0))&amp;"","Sin contrato"))</f>
        <v/>
      </c>
      <c r="Z78" s="70" t="str">
        <f aca="false">IF(B78="","",IF(COUNTIF(T_ID,B78)&gt;1,"⚠ ID duplicado",IF(Y78="Sin contrato","⚠ Registrar el contrato en la hoja Contratos",IF(AND(LEFT(V78,6)="Activo",X78&lt;IMM_HOY*MIN(1,IF(N(J78)=0,JORNADA_LEGAL,J78)/JORNADA_LEGAL)),"⚠ Sueldo base bajo el ingreso mínimo",IF(O78="","⚠ Falta AFP",IF(P78="","⚠ Falta sistema de salud",IF(AND(P78="Isapre",N(Q78)=0),"⚠ Falta plan Isapre (UF)",IF(AND(N(J78)&gt;JORNADA_LEGAL,LEFT(V78,6)="Activo"),"⚠ Jornada sobre el máximo legal","OK"))))))))</f>
        <v/>
      </c>
      <c r="AA78" s="72" t="str">
        <f aca="false">IFERROR(IF(AND(B78&lt;&gt;"",ISNUMBER(G78)),IF(AND(G78&lt;=EOMONTH(ENVIO_PER,0),OR(H78="",H78&gt;=ENVIO_PER)),MAX(AA$6:AA77)+1,""),""),"")</f>
        <v/>
      </c>
    </row>
    <row r="79" customFormat="false" ht="15" hidden="false" customHeight="false" outlineLevel="0" collapsed="false">
      <c r="B79" s="64"/>
      <c r="C79" s="64"/>
      <c r="D79" s="64"/>
      <c r="E79" s="64"/>
      <c r="F79" s="64"/>
      <c r="G79" s="65"/>
      <c r="H79" s="65"/>
      <c r="I79" s="64"/>
      <c r="J79" s="66"/>
      <c r="K79" s="64"/>
      <c r="L79" s="67"/>
      <c r="M79" s="67"/>
      <c r="N79" s="67"/>
      <c r="O79" s="64"/>
      <c r="P79" s="64"/>
      <c r="Q79" s="68"/>
      <c r="R79" s="66"/>
      <c r="S79" s="66"/>
      <c r="T79" s="69"/>
      <c r="U79" s="64"/>
      <c r="V79" s="70" t="str">
        <f aca="false">IF(B79="","",IF(NOT(ISNUMBER(G79)),"⚠ Falta fecha ingreso",IF(G79&gt;FECHA_CORTE,"Por ingresar",IF(H79="","Activo",IF(H79&lt;FECHA_CORTE,"Desvinculado","Activo (egreso programado)")))))</f>
        <v/>
      </c>
      <c r="W79" s="70" t="str">
        <f aca="false">IF(OR(B79="",NOT(ISNUMBER(G79))),"",IF(G79&gt;FECHA_CORTE,"",DATEDIF(G79,IF(H79="",FECHA_CORTE,MIN(H79,FECHA_CORTE))+1,"y")&amp;" a "&amp;DATEDIF(G79,IF(H79="",FECHA_CORTE,MIN(H79,FECHA_CORTE))+1,"ym")&amp;" m"))</f>
        <v/>
      </c>
      <c r="X79" s="71" t="str">
        <f aca="false">IF(B79="","",IFERROR(INDEX(C_SUELDO,MATCH(B79&amp;"-S"&amp;MAX(1,COUNTIFS(C_ID,B79,C_SUELDO,"&lt;&gt;",C_INICIO,"&lt;="&amp;FECHA_CORTE)),C_CLAVES,0)),0))</f>
        <v/>
      </c>
      <c r="Y79" s="70" t="str">
        <f aca="false">IF(B79="","",IFERROR(INDEX(C_TIPO,MATCH(B79&amp;"-P"&amp;MAX(1,COUNTIFS(C_ID,B79,C_DEFINE,"Sí",C_INICIO,"&lt;="&amp;FECHA_CORTE)),C_CLAVE,0))&amp;"","Sin contrato"))</f>
        <v/>
      </c>
      <c r="Z79" s="70" t="str">
        <f aca="false">IF(B79="","",IF(COUNTIF(T_ID,B79)&gt;1,"⚠ ID duplicado",IF(Y79="Sin contrato","⚠ Registrar el contrato en la hoja Contratos",IF(AND(LEFT(V79,6)="Activo",X79&lt;IMM_HOY*MIN(1,IF(N(J79)=0,JORNADA_LEGAL,J79)/JORNADA_LEGAL)),"⚠ Sueldo base bajo el ingreso mínimo",IF(O79="","⚠ Falta AFP",IF(P79="","⚠ Falta sistema de salud",IF(AND(P79="Isapre",N(Q79)=0),"⚠ Falta plan Isapre (UF)",IF(AND(N(J79)&gt;JORNADA_LEGAL,LEFT(V79,6)="Activo"),"⚠ Jornada sobre el máximo legal","OK"))))))))</f>
        <v/>
      </c>
      <c r="AA79" s="72" t="str">
        <f aca="false">IFERROR(IF(AND(B79&lt;&gt;"",ISNUMBER(G79)),IF(AND(G79&lt;=EOMONTH(ENVIO_PER,0),OR(H79="",H79&gt;=ENVIO_PER)),MAX(AA$6:AA78)+1,""),""),"")</f>
        <v/>
      </c>
    </row>
    <row r="80" customFormat="false" ht="15" hidden="false" customHeight="false" outlineLevel="0" collapsed="false">
      <c r="B80" s="64"/>
      <c r="C80" s="64"/>
      <c r="D80" s="64"/>
      <c r="E80" s="64"/>
      <c r="F80" s="64"/>
      <c r="G80" s="65"/>
      <c r="H80" s="65"/>
      <c r="I80" s="64"/>
      <c r="J80" s="66"/>
      <c r="K80" s="64"/>
      <c r="L80" s="67"/>
      <c r="M80" s="67"/>
      <c r="N80" s="67"/>
      <c r="O80" s="64"/>
      <c r="P80" s="64"/>
      <c r="Q80" s="68"/>
      <c r="R80" s="66"/>
      <c r="S80" s="66"/>
      <c r="T80" s="69"/>
      <c r="U80" s="64"/>
      <c r="V80" s="70" t="str">
        <f aca="false">IF(B80="","",IF(NOT(ISNUMBER(G80)),"⚠ Falta fecha ingreso",IF(G80&gt;FECHA_CORTE,"Por ingresar",IF(H80="","Activo",IF(H80&lt;FECHA_CORTE,"Desvinculado","Activo (egreso programado)")))))</f>
        <v/>
      </c>
      <c r="W80" s="70" t="str">
        <f aca="false">IF(OR(B80="",NOT(ISNUMBER(G80))),"",IF(G80&gt;FECHA_CORTE,"",DATEDIF(G80,IF(H80="",FECHA_CORTE,MIN(H80,FECHA_CORTE))+1,"y")&amp;" a "&amp;DATEDIF(G80,IF(H80="",FECHA_CORTE,MIN(H80,FECHA_CORTE))+1,"ym")&amp;" m"))</f>
        <v/>
      </c>
      <c r="X80" s="71" t="str">
        <f aca="false">IF(B80="","",IFERROR(INDEX(C_SUELDO,MATCH(B80&amp;"-S"&amp;MAX(1,COUNTIFS(C_ID,B80,C_SUELDO,"&lt;&gt;",C_INICIO,"&lt;="&amp;FECHA_CORTE)),C_CLAVES,0)),0))</f>
        <v/>
      </c>
      <c r="Y80" s="70" t="str">
        <f aca="false">IF(B80="","",IFERROR(INDEX(C_TIPO,MATCH(B80&amp;"-P"&amp;MAX(1,COUNTIFS(C_ID,B80,C_DEFINE,"Sí",C_INICIO,"&lt;="&amp;FECHA_CORTE)),C_CLAVE,0))&amp;"","Sin contrato"))</f>
        <v/>
      </c>
      <c r="Z80" s="70" t="str">
        <f aca="false">IF(B80="","",IF(COUNTIF(T_ID,B80)&gt;1,"⚠ ID duplicado",IF(Y80="Sin contrato","⚠ Registrar el contrato en la hoja Contratos",IF(AND(LEFT(V80,6)="Activo",X80&lt;IMM_HOY*MIN(1,IF(N(J80)=0,JORNADA_LEGAL,J80)/JORNADA_LEGAL)),"⚠ Sueldo base bajo el ingreso mínimo",IF(O80="","⚠ Falta AFP",IF(P80="","⚠ Falta sistema de salud",IF(AND(P80="Isapre",N(Q80)=0),"⚠ Falta plan Isapre (UF)",IF(AND(N(J80)&gt;JORNADA_LEGAL,LEFT(V80,6)="Activo"),"⚠ Jornada sobre el máximo legal","OK"))))))))</f>
        <v/>
      </c>
      <c r="AA80" s="72" t="str">
        <f aca="false">IFERROR(IF(AND(B80&lt;&gt;"",ISNUMBER(G80)),IF(AND(G80&lt;=EOMONTH(ENVIO_PER,0),OR(H80="",H80&gt;=ENVIO_PER)),MAX(AA$6:AA79)+1,""),""),"")</f>
        <v/>
      </c>
    </row>
    <row r="81" customFormat="false" ht="15" hidden="false" customHeight="false" outlineLevel="0" collapsed="false">
      <c r="B81" s="64"/>
      <c r="C81" s="64"/>
      <c r="D81" s="64"/>
      <c r="E81" s="64"/>
      <c r="F81" s="64"/>
      <c r="G81" s="65"/>
      <c r="H81" s="65"/>
      <c r="I81" s="64"/>
      <c r="J81" s="66"/>
      <c r="K81" s="64"/>
      <c r="L81" s="67"/>
      <c r="M81" s="67"/>
      <c r="N81" s="67"/>
      <c r="O81" s="64"/>
      <c r="P81" s="64"/>
      <c r="Q81" s="68"/>
      <c r="R81" s="66"/>
      <c r="S81" s="66"/>
      <c r="T81" s="69"/>
      <c r="U81" s="64"/>
      <c r="V81" s="70" t="str">
        <f aca="false">IF(B81="","",IF(NOT(ISNUMBER(G81)),"⚠ Falta fecha ingreso",IF(G81&gt;FECHA_CORTE,"Por ingresar",IF(H81="","Activo",IF(H81&lt;FECHA_CORTE,"Desvinculado","Activo (egreso programado)")))))</f>
        <v/>
      </c>
      <c r="W81" s="70" t="str">
        <f aca="false">IF(OR(B81="",NOT(ISNUMBER(G81))),"",IF(G81&gt;FECHA_CORTE,"",DATEDIF(G81,IF(H81="",FECHA_CORTE,MIN(H81,FECHA_CORTE))+1,"y")&amp;" a "&amp;DATEDIF(G81,IF(H81="",FECHA_CORTE,MIN(H81,FECHA_CORTE))+1,"ym")&amp;" m"))</f>
        <v/>
      </c>
      <c r="X81" s="71" t="str">
        <f aca="false">IF(B81="","",IFERROR(INDEX(C_SUELDO,MATCH(B81&amp;"-S"&amp;MAX(1,COUNTIFS(C_ID,B81,C_SUELDO,"&lt;&gt;",C_INICIO,"&lt;="&amp;FECHA_CORTE)),C_CLAVES,0)),0))</f>
        <v/>
      </c>
      <c r="Y81" s="70" t="str">
        <f aca="false">IF(B81="","",IFERROR(INDEX(C_TIPO,MATCH(B81&amp;"-P"&amp;MAX(1,COUNTIFS(C_ID,B81,C_DEFINE,"Sí",C_INICIO,"&lt;="&amp;FECHA_CORTE)),C_CLAVE,0))&amp;"","Sin contrato"))</f>
        <v/>
      </c>
      <c r="Z81" s="70" t="str">
        <f aca="false">IF(B81="","",IF(COUNTIF(T_ID,B81)&gt;1,"⚠ ID duplicado",IF(Y81="Sin contrato","⚠ Registrar el contrato en la hoja Contratos",IF(AND(LEFT(V81,6)="Activo",X81&lt;IMM_HOY*MIN(1,IF(N(J81)=0,JORNADA_LEGAL,J81)/JORNADA_LEGAL)),"⚠ Sueldo base bajo el ingreso mínimo",IF(O81="","⚠ Falta AFP",IF(P81="","⚠ Falta sistema de salud",IF(AND(P81="Isapre",N(Q81)=0),"⚠ Falta plan Isapre (UF)",IF(AND(N(J81)&gt;JORNADA_LEGAL,LEFT(V81,6)="Activo"),"⚠ Jornada sobre el máximo legal","OK"))))))))</f>
        <v/>
      </c>
      <c r="AA81" s="72" t="str">
        <f aca="false">IFERROR(IF(AND(B81&lt;&gt;"",ISNUMBER(G81)),IF(AND(G81&lt;=EOMONTH(ENVIO_PER,0),OR(H81="",H81&gt;=ENVIO_PER)),MAX(AA$6:AA80)+1,""),""),"")</f>
        <v/>
      </c>
    </row>
    <row r="82" customFormat="false" ht="15" hidden="false" customHeight="false" outlineLevel="0" collapsed="false">
      <c r="B82" s="64"/>
      <c r="C82" s="64"/>
      <c r="D82" s="64"/>
      <c r="E82" s="64"/>
      <c r="F82" s="64"/>
      <c r="G82" s="65"/>
      <c r="H82" s="65"/>
      <c r="I82" s="64"/>
      <c r="J82" s="66"/>
      <c r="K82" s="64"/>
      <c r="L82" s="67"/>
      <c r="M82" s="67"/>
      <c r="N82" s="67"/>
      <c r="O82" s="64"/>
      <c r="P82" s="64"/>
      <c r="Q82" s="68"/>
      <c r="R82" s="66"/>
      <c r="S82" s="66"/>
      <c r="T82" s="69"/>
      <c r="U82" s="64"/>
      <c r="V82" s="70" t="str">
        <f aca="false">IF(B82="","",IF(NOT(ISNUMBER(G82)),"⚠ Falta fecha ingreso",IF(G82&gt;FECHA_CORTE,"Por ingresar",IF(H82="","Activo",IF(H82&lt;FECHA_CORTE,"Desvinculado","Activo (egreso programado)")))))</f>
        <v/>
      </c>
      <c r="W82" s="70" t="str">
        <f aca="false">IF(OR(B82="",NOT(ISNUMBER(G82))),"",IF(G82&gt;FECHA_CORTE,"",DATEDIF(G82,IF(H82="",FECHA_CORTE,MIN(H82,FECHA_CORTE))+1,"y")&amp;" a "&amp;DATEDIF(G82,IF(H82="",FECHA_CORTE,MIN(H82,FECHA_CORTE))+1,"ym")&amp;" m"))</f>
        <v/>
      </c>
      <c r="X82" s="71" t="str">
        <f aca="false">IF(B82="","",IFERROR(INDEX(C_SUELDO,MATCH(B82&amp;"-S"&amp;MAX(1,COUNTIFS(C_ID,B82,C_SUELDO,"&lt;&gt;",C_INICIO,"&lt;="&amp;FECHA_CORTE)),C_CLAVES,0)),0))</f>
        <v/>
      </c>
      <c r="Y82" s="70" t="str">
        <f aca="false">IF(B82="","",IFERROR(INDEX(C_TIPO,MATCH(B82&amp;"-P"&amp;MAX(1,COUNTIFS(C_ID,B82,C_DEFINE,"Sí",C_INICIO,"&lt;="&amp;FECHA_CORTE)),C_CLAVE,0))&amp;"","Sin contrato"))</f>
        <v/>
      </c>
      <c r="Z82" s="70" t="str">
        <f aca="false">IF(B82="","",IF(COUNTIF(T_ID,B82)&gt;1,"⚠ ID duplicado",IF(Y82="Sin contrato","⚠ Registrar el contrato en la hoja Contratos",IF(AND(LEFT(V82,6)="Activo",X82&lt;IMM_HOY*MIN(1,IF(N(J82)=0,JORNADA_LEGAL,J82)/JORNADA_LEGAL)),"⚠ Sueldo base bajo el ingreso mínimo",IF(O82="","⚠ Falta AFP",IF(P82="","⚠ Falta sistema de salud",IF(AND(P82="Isapre",N(Q82)=0),"⚠ Falta plan Isapre (UF)",IF(AND(N(J82)&gt;JORNADA_LEGAL,LEFT(V82,6)="Activo"),"⚠ Jornada sobre el máximo legal","OK"))))))))</f>
        <v/>
      </c>
      <c r="AA82" s="72" t="str">
        <f aca="false">IFERROR(IF(AND(B82&lt;&gt;"",ISNUMBER(G82)),IF(AND(G82&lt;=EOMONTH(ENVIO_PER,0),OR(H82="",H82&gt;=ENVIO_PER)),MAX(AA$6:AA81)+1,""),""),"")</f>
        <v/>
      </c>
    </row>
    <row r="83" customFormat="false" ht="15" hidden="false" customHeight="false" outlineLevel="0" collapsed="false">
      <c r="B83" s="64"/>
      <c r="C83" s="64"/>
      <c r="D83" s="64"/>
      <c r="E83" s="64"/>
      <c r="F83" s="64"/>
      <c r="G83" s="65"/>
      <c r="H83" s="65"/>
      <c r="I83" s="64"/>
      <c r="J83" s="66"/>
      <c r="K83" s="64"/>
      <c r="L83" s="67"/>
      <c r="M83" s="67"/>
      <c r="N83" s="67"/>
      <c r="O83" s="64"/>
      <c r="P83" s="64"/>
      <c r="Q83" s="68"/>
      <c r="R83" s="66"/>
      <c r="S83" s="66"/>
      <c r="T83" s="69"/>
      <c r="U83" s="64"/>
      <c r="V83" s="70" t="str">
        <f aca="false">IF(B83="","",IF(NOT(ISNUMBER(G83)),"⚠ Falta fecha ingreso",IF(G83&gt;FECHA_CORTE,"Por ingresar",IF(H83="","Activo",IF(H83&lt;FECHA_CORTE,"Desvinculado","Activo (egreso programado)")))))</f>
        <v/>
      </c>
      <c r="W83" s="70" t="str">
        <f aca="false">IF(OR(B83="",NOT(ISNUMBER(G83))),"",IF(G83&gt;FECHA_CORTE,"",DATEDIF(G83,IF(H83="",FECHA_CORTE,MIN(H83,FECHA_CORTE))+1,"y")&amp;" a "&amp;DATEDIF(G83,IF(H83="",FECHA_CORTE,MIN(H83,FECHA_CORTE))+1,"ym")&amp;" m"))</f>
        <v/>
      </c>
      <c r="X83" s="71" t="str">
        <f aca="false">IF(B83="","",IFERROR(INDEX(C_SUELDO,MATCH(B83&amp;"-S"&amp;MAX(1,COUNTIFS(C_ID,B83,C_SUELDO,"&lt;&gt;",C_INICIO,"&lt;="&amp;FECHA_CORTE)),C_CLAVES,0)),0))</f>
        <v/>
      </c>
      <c r="Y83" s="70" t="str">
        <f aca="false">IF(B83="","",IFERROR(INDEX(C_TIPO,MATCH(B83&amp;"-P"&amp;MAX(1,COUNTIFS(C_ID,B83,C_DEFINE,"Sí",C_INICIO,"&lt;="&amp;FECHA_CORTE)),C_CLAVE,0))&amp;"","Sin contrato"))</f>
        <v/>
      </c>
      <c r="Z83" s="70" t="str">
        <f aca="false">IF(B83="","",IF(COUNTIF(T_ID,B83)&gt;1,"⚠ ID duplicado",IF(Y83="Sin contrato","⚠ Registrar el contrato en la hoja Contratos",IF(AND(LEFT(V83,6)="Activo",X83&lt;IMM_HOY*MIN(1,IF(N(J83)=0,JORNADA_LEGAL,J83)/JORNADA_LEGAL)),"⚠ Sueldo base bajo el ingreso mínimo",IF(O83="","⚠ Falta AFP",IF(P83="","⚠ Falta sistema de salud",IF(AND(P83="Isapre",N(Q83)=0),"⚠ Falta plan Isapre (UF)",IF(AND(N(J83)&gt;JORNADA_LEGAL,LEFT(V83,6)="Activo"),"⚠ Jornada sobre el máximo legal","OK"))))))))</f>
        <v/>
      </c>
      <c r="AA83" s="72" t="str">
        <f aca="false">IFERROR(IF(AND(B83&lt;&gt;"",ISNUMBER(G83)),IF(AND(G83&lt;=EOMONTH(ENVIO_PER,0),OR(H83="",H83&gt;=ENVIO_PER)),MAX(AA$6:AA82)+1,""),""),"")</f>
        <v/>
      </c>
    </row>
    <row r="84" customFormat="false" ht="15" hidden="false" customHeight="false" outlineLevel="0" collapsed="false">
      <c r="B84" s="64"/>
      <c r="C84" s="64"/>
      <c r="D84" s="64"/>
      <c r="E84" s="64"/>
      <c r="F84" s="64"/>
      <c r="G84" s="65"/>
      <c r="H84" s="65"/>
      <c r="I84" s="64"/>
      <c r="J84" s="66"/>
      <c r="K84" s="64"/>
      <c r="L84" s="67"/>
      <c r="M84" s="67"/>
      <c r="N84" s="67"/>
      <c r="O84" s="64"/>
      <c r="P84" s="64"/>
      <c r="Q84" s="68"/>
      <c r="R84" s="66"/>
      <c r="S84" s="66"/>
      <c r="T84" s="69"/>
      <c r="U84" s="64"/>
      <c r="V84" s="70" t="str">
        <f aca="false">IF(B84="","",IF(NOT(ISNUMBER(G84)),"⚠ Falta fecha ingreso",IF(G84&gt;FECHA_CORTE,"Por ingresar",IF(H84="","Activo",IF(H84&lt;FECHA_CORTE,"Desvinculado","Activo (egreso programado)")))))</f>
        <v/>
      </c>
      <c r="W84" s="70" t="str">
        <f aca="false">IF(OR(B84="",NOT(ISNUMBER(G84))),"",IF(G84&gt;FECHA_CORTE,"",DATEDIF(G84,IF(H84="",FECHA_CORTE,MIN(H84,FECHA_CORTE))+1,"y")&amp;" a "&amp;DATEDIF(G84,IF(H84="",FECHA_CORTE,MIN(H84,FECHA_CORTE))+1,"ym")&amp;" m"))</f>
        <v/>
      </c>
      <c r="X84" s="71" t="str">
        <f aca="false">IF(B84="","",IFERROR(INDEX(C_SUELDO,MATCH(B84&amp;"-S"&amp;MAX(1,COUNTIFS(C_ID,B84,C_SUELDO,"&lt;&gt;",C_INICIO,"&lt;="&amp;FECHA_CORTE)),C_CLAVES,0)),0))</f>
        <v/>
      </c>
      <c r="Y84" s="70" t="str">
        <f aca="false">IF(B84="","",IFERROR(INDEX(C_TIPO,MATCH(B84&amp;"-P"&amp;MAX(1,COUNTIFS(C_ID,B84,C_DEFINE,"Sí",C_INICIO,"&lt;="&amp;FECHA_CORTE)),C_CLAVE,0))&amp;"","Sin contrato"))</f>
        <v/>
      </c>
      <c r="Z84" s="70" t="str">
        <f aca="false">IF(B84="","",IF(COUNTIF(T_ID,B84)&gt;1,"⚠ ID duplicado",IF(Y84="Sin contrato","⚠ Registrar el contrato en la hoja Contratos",IF(AND(LEFT(V84,6)="Activo",X84&lt;IMM_HOY*MIN(1,IF(N(J84)=0,JORNADA_LEGAL,J84)/JORNADA_LEGAL)),"⚠ Sueldo base bajo el ingreso mínimo",IF(O84="","⚠ Falta AFP",IF(P84="","⚠ Falta sistema de salud",IF(AND(P84="Isapre",N(Q84)=0),"⚠ Falta plan Isapre (UF)",IF(AND(N(J84)&gt;JORNADA_LEGAL,LEFT(V84,6)="Activo"),"⚠ Jornada sobre el máximo legal","OK"))))))))</f>
        <v/>
      </c>
      <c r="AA84" s="72" t="str">
        <f aca="false">IFERROR(IF(AND(B84&lt;&gt;"",ISNUMBER(G84)),IF(AND(G84&lt;=EOMONTH(ENVIO_PER,0),OR(H84="",H84&gt;=ENVIO_PER)),MAX(AA$6:AA83)+1,""),""),"")</f>
        <v/>
      </c>
    </row>
    <row r="85" customFormat="false" ht="15" hidden="false" customHeight="false" outlineLevel="0" collapsed="false">
      <c r="B85" s="64"/>
      <c r="C85" s="64"/>
      <c r="D85" s="64"/>
      <c r="E85" s="64"/>
      <c r="F85" s="64"/>
      <c r="G85" s="65"/>
      <c r="H85" s="65"/>
      <c r="I85" s="64"/>
      <c r="J85" s="66"/>
      <c r="K85" s="64"/>
      <c r="L85" s="67"/>
      <c r="M85" s="67"/>
      <c r="N85" s="67"/>
      <c r="O85" s="64"/>
      <c r="P85" s="64"/>
      <c r="Q85" s="68"/>
      <c r="R85" s="66"/>
      <c r="S85" s="66"/>
      <c r="T85" s="69"/>
      <c r="U85" s="64"/>
      <c r="V85" s="70" t="str">
        <f aca="false">IF(B85="","",IF(NOT(ISNUMBER(G85)),"⚠ Falta fecha ingreso",IF(G85&gt;FECHA_CORTE,"Por ingresar",IF(H85="","Activo",IF(H85&lt;FECHA_CORTE,"Desvinculado","Activo (egreso programado)")))))</f>
        <v/>
      </c>
      <c r="W85" s="70" t="str">
        <f aca="false">IF(OR(B85="",NOT(ISNUMBER(G85))),"",IF(G85&gt;FECHA_CORTE,"",DATEDIF(G85,IF(H85="",FECHA_CORTE,MIN(H85,FECHA_CORTE))+1,"y")&amp;" a "&amp;DATEDIF(G85,IF(H85="",FECHA_CORTE,MIN(H85,FECHA_CORTE))+1,"ym")&amp;" m"))</f>
        <v/>
      </c>
      <c r="X85" s="71" t="str">
        <f aca="false">IF(B85="","",IFERROR(INDEX(C_SUELDO,MATCH(B85&amp;"-S"&amp;MAX(1,COUNTIFS(C_ID,B85,C_SUELDO,"&lt;&gt;",C_INICIO,"&lt;="&amp;FECHA_CORTE)),C_CLAVES,0)),0))</f>
        <v/>
      </c>
      <c r="Y85" s="70" t="str">
        <f aca="false">IF(B85="","",IFERROR(INDEX(C_TIPO,MATCH(B85&amp;"-P"&amp;MAX(1,COUNTIFS(C_ID,B85,C_DEFINE,"Sí",C_INICIO,"&lt;="&amp;FECHA_CORTE)),C_CLAVE,0))&amp;"","Sin contrato"))</f>
        <v/>
      </c>
      <c r="Z85" s="70" t="str">
        <f aca="false">IF(B85="","",IF(COUNTIF(T_ID,B85)&gt;1,"⚠ ID duplicado",IF(Y85="Sin contrato","⚠ Registrar el contrato en la hoja Contratos",IF(AND(LEFT(V85,6)="Activo",X85&lt;IMM_HOY*MIN(1,IF(N(J85)=0,JORNADA_LEGAL,J85)/JORNADA_LEGAL)),"⚠ Sueldo base bajo el ingreso mínimo",IF(O85="","⚠ Falta AFP",IF(P85="","⚠ Falta sistema de salud",IF(AND(P85="Isapre",N(Q85)=0),"⚠ Falta plan Isapre (UF)",IF(AND(N(J85)&gt;JORNADA_LEGAL,LEFT(V85,6)="Activo"),"⚠ Jornada sobre el máximo legal","OK"))))))))</f>
        <v/>
      </c>
      <c r="AA85" s="72" t="str">
        <f aca="false">IFERROR(IF(AND(B85&lt;&gt;"",ISNUMBER(G85)),IF(AND(G85&lt;=EOMONTH(ENVIO_PER,0),OR(H85="",H85&gt;=ENVIO_PER)),MAX(AA$6:AA84)+1,""),""),"")</f>
        <v/>
      </c>
    </row>
    <row r="86" customFormat="false" ht="15" hidden="false" customHeight="false" outlineLevel="0" collapsed="false">
      <c r="B86" s="64"/>
      <c r="C86" s="64"/>
      <c r="D86" s="64"/>
      <c r="E86" s="64"/>
      <c r="F86" s="64"/>
      <c r="G86" s="65"/>
      <c r="H86" s="65"/>
      <c r="I86" s="64"/>
      <c r="J86" s="66"/>
      <c r="K86" s="64"/>
      <c r="L86" s="67"/>
      <c r="M86" s="67"/>
      <c r="N86" s="67"/>
      <c r="O86" s="64"/>
      <c r="P86" s="64"/>
      <c r="Q86" s="68"/>
      <c r="R86" s="66"/>
      <c r="S86" s="66"/>
      <c r="T86" s="69"/>
      <c r="U86" s="64"/>
      <c r="V86" s="70" t="str">
        <f aca="false">IF(B86="","",IF(NOT(ISNUMBER(G86)),"⚠ Falta fecha ingreso",IF(G86&gt;FECHA_CORTE,"Por ingresar",IF(H86="","Activo",IF(H86&lt;FECHA_CORTE,"Desvinculado","Activo (egreso programado)")))))</f>
        <v/>
      </c>
      <c r="W86" s="70" t="str">
        <f aca="false">IF(OR(B86="",NOT(ISNUMBER(G86))),"",IF(G86&gt;FECHA_CORTE,"",DATEDIF(G86,IF(H86="",FECHA_CORTE,MIN(H86,FECHA_CORTE))+1,"y")&amp;" a "&amp;DATEDIF(G86,IF(H86="",FECHA_CORTE,MIN(H86,FECHA_CORTE))+1,"ym")&amp;" m"))</f>
        <v/>
      </c>
      <c r="X86" s="71" t="str">
        <f aca="false">IF(B86="","",IFERROR(INDEX(C_SUELDO,MATCH(B86&amp;"-S"&amp;MAX(1,COUNTIFS(C_ID,B86,C_SUELDO,"&lt;&gt;",C_INICIO,"&lt;="&amp;FECHA_CORTE)),C_CLAVES,0)),0))</f>
        <v/>
      </c>
      <c r="Y86" s="70" t="str">
        <f aca="false">IF(B86="","",IFERROR(INDEX(C_TIPO,MATCH(B86&amp;"-P"&amp;MAX(1,COUNTIFS(C_ID,B86,C_DEFINE,"Sí",C_INICIO,"&lt;="&amp;FECHA_CORTE)),C_CLAVE,0))&amp;"","Sin contrato"))</f>
        <v/>
      </c>
      <c r="Z86" s="70" t="str">
        <f aca="false">IF(B86="","",IF(COUNTIF(T_ID,B86)&gt;1,"⚠ ID duplicado",IF(Y86="Sin contrato","⚠ Registrar el contrato en la hoja Contratos",IF(AND(LEFT(V86,6)="Activo",X86&lt;IMM_HOY*MIN(1,IF(N(J86)=0,JORNADA_LEGAL,J86)/JORNADA_LEGAL)),"⚠ Sueldo base bajo el ingreso mínimo",IF(O86="","⚠ Falta AFP",IF(P86="","⚠ Falta sistema de salud",IF(AND(P86="Isapre",N(Q86)=0),"⚠ Falta plan Isapre (UF)",IF(AND(N(J86)&gt;JORNADA_LEGAL,LEFT(V86,6)="Activo"),"⚠ Jornada sobre el máximo legal","OK"))))))))</f>
        <v/>
      </c>
      <c r="AA86" s="72" t="str">
        <f aca="false">IFERROR(IF(AND(B86&lt;&gt;"",ISNUMBER(G86)),IF(AND(G86&lt;=EOMONTH(ENVIO_PER,0),OR(H86="",H86&gt;=ENVIO_PER)),MAX(AA$6:AA85)+1,""),""),"")</f>
        <v/>
      </c>
    </row>
    <row r="87" customFormat="false" ht="15" hidden="false" customHeight="false" outlineLevel="0" collapsed="false">
      <c r="B87" s="64"/>
      <c r="C87" s="64"/>
      <c r="D87" s="64"/>
      <c r="E87" s="64"/>
      <c r="F87" s="64"/>
      <c r="G87" s="65"/>
      <c r="H87" s="65"/>
      <c r="I87" s="64"/>
      <c r="J87" s="66"/>
      <c r="K87" s="64"/>
      <c r="L87" s="67"/>
      <c r="M87" s="67"/>
      <c r="N87" s="67"/>
      <c r="O87" s="64"/>
      <c r="P87" s="64"/>
      <c r="Q87" s="68"/>
      <c r="R87" s="66"/>
      <c r="S87" s="66"/>
      <c r="T87" s="69"/>
      <c r="U87" s="64"/>
      <c r="V87" s="70" t="str">
        <f aca="false">IF(B87="","",IF(NOT(ISNUMBER(G87)),"⚠ Falta fecha ingreso",IF(G87&gt;FECHA_CORTE,"Por ingresar",IF(H87="","Activo",IF(H87&lt;FECHA_CORTE,"Desvinculado","Activo (egreso programado)")))))</f>
        <v/>
      </c>
      <c r="W87" s="70" t="str">
        <f aca="false">IF(OR(B87="",NOT(ISNUMBER(G87))),"",IF(G87&gt;FECHA_CORTE,"",DATEDIF(G87,IF(H87="",FECHA_CORTE,MIN(H87,FECHA_CORTE))+1,"y")&amp;" a "&amp;DATEDIF(G87,IF(H87="",FECHA_CORTE,MIN(H87,FECHA_CORTE))+1,"ym")&amp;" m"))</f>
        <v/>
      </c>
      <c r="X87" s="71" t="str">
        <f aca="false">IF(B87="","",IFERROR(INDEX(C_SUELDO,MATCH(B87&amp;"-S"&amp;MAX(1,COUNTIFS(C_ID,B87,C_SUELDO,"&lt;&gt;",C_INICIO,"&lt;="&amp;FECHA_CORTE)),C_CLAVES,0)),0))</f>
        <v/>
      </c>
      <c r="Y87" s="70" t="str">
        <f aca="false">IF(B87="","",IFERROR(INDEX(C_TIPO,MATCH(B87&amp;"-P"&amp;MAX(1,COUNTIFS(C_ID,B87,C_DEFINE,"Sí",C_INICIO,"&lt;="&amp;FECHA_CORTE)),C_CLAVE,0))&amp;"","Sin contrato"))</f>
        <v/>
      </c>
      <c r="Z87" s="70" t="str">
        <f aca="false">IF(B87="","",IF(COUNTIF(T_ID,B87)&gt;1,"⚠ ID duplicado",IF(Y87="Sin contrato","⚠ Registrar el contrato en la hoja Contratos",IF(AND(LEFT(V87,6)="Activo",X87&lt;IMM_HOY*MIN(1,IF(N(J87)=0,JORNADA_LEGAL,J87)/JORNADA_LEGAL)),"⚠ Sueldo base bajo el ingreso mínimo",IF(O87="","⚠ Falta AFP",IF(P87="","⚠ Falta sistema de salud",IF(AND(P87="Isapre",N(Q87)=0),"⚠ Falta plan Isapre (UF)",IF(AND(N(J87)&gt;JORNADA_LEGAL,LEFT(V87,6)="Activo"),"⚠ Jornada sobre el máximo legal","OK"))))))))</f>
        <v/>
      </c>
      <c r="AA87" s="72" t="str">
        <f aca="false">IFERROR(IF(AND(B87&lt;&gt;"",ISNUMBER(G87)),IF(AND(G87&lt;=EOMONTH(ENVIO_PER,0),OR(H87="",H87&gt;=ENVIO_PER)),MAX(AA$6:AA86)+1,""),""),"")</f>
        <v/>
      </c>
    </row>
    <row r="88" customFormat="false" ht="15" hidden="false" customHeight="false" outlineLevel="0" collapsed="false">
      <c r="B88" s="64"/>
      <c r="C88" s="64"/>
      <c r="D88" s="64"/>
      <c r="E88" s="64"/>
      <c r="F88" s="64"/>
      <c r="G88" s="65"/>
      <c r="H88" s="65"/>
      <c r="I88" s="64"/>
      <c r="J88" s="66"/>
      <c r="K88" s="64"/>
      <c r="L88" s="67"/>
      <c r="M88" s="67"/>
      <c r="N88" s="67"/>
      <c r="O88" s="64"/>
      <c r="P88" s="64"/>
      <c r="Q88" s="68"/>
      <c r="R88" s="66"/>
      <c r="S88" s="66"/>
      <c r="T88" s="69"/>
      <c r="U88" s="64"/>
      <c r="V88" s="70" t="str">
        <f aca="false">IF(B88="","",IF(NOT(ISNUMBER(G88)),"⚠ Falta fecha ingreso",IF(G88&gt;FECHA_CORTE,"Por ingresar",IF(H88="","Activo",IF(H88&lt;FECHA_CORTE,"Desvinculado","Activo (egreso programado)")))))</f>
        <v/>
      </c>
      <c r="W88" s="70" t="str">
        <f aca="false">IF(OR(B88="",NOT(ISNUMBER(G88))),"",IF(G88&gt;FECHA_CORTE,"",DATEDIF(G88,IF(H88="",FECHA_CORTE,MIN(H88,FECHA_CORTE))+1,"y")&amp;" a "&amp;DATEDIF(G88,IF(H88="",FECHA_CORTE,MIN(H88,FECHA_CORTE))+1,"ym")&amp;" m"))</f>
        <v/>
      </c>
      <c r="X88" s="71" t="str">
        <f aca="false">IF(B88="","",IFERROR(INDEX(C_SUELDO,MATCH(B88&amp;"-S"&amp;MAX(1,COUNTIFS(C_ID,B88,C_SUELDO,"&lt;&gt;",C_INICIO,"&lt;="&amp;FECHA_CORTE)),C_CLAVES,0)),0))</f>
        <v/>
      </c>
      <c r="Y88" s="70" t="str">
        <f aca="false">IF(B88="","",IFERROR(INDEX(C_TIPO,MATCH(B88&amp;"-P"&amp;MAX(1,COUNTIFS(C_ID,B88,C_DEFINE,"Sí",C_INICIO,"&lt;="&amp;FECHA_CORTE)),C_CLAVE,0))&amp;"","Sin contrato"))</f>
        <v/>
      </c>
      <c r="Z88" s="70" t="str">
        <f aca="false">IF(B88="","",IF(COUNTIF(T_ID,B88)&gt;1,"⚠ ID duplicado",IF(Y88="Sin contrato","⚠ Registrar el contrato en la hoja Contratos",IF(AND(LEFT(V88,6)="Activo",X88&lt;IMM_HOY*MIN(1,IF(N(J88)=0,JORNADA_LEGAL,J88)/JORNADA_LEGAL)),"⚠ Sueldo base bajo el ingreso mínimo",IF(O88="","⚠ Falta AFP",IF(P88="","⚠ Falta sistema de salud",IF(AND(P88="Isapre",N(Q88)=0),"⚠ Falta plan Isapre (UF)",IF(AND(N(J88)&gt;JORNADA_LEGAL,LEFT(V88,6)="Activo"),"⚠ Jornada sobre el máximo legal","OK"))))))))</f>
        <v/>
      </c>
      <c r="AA88" s="72" t="str">
        <f aca="false">IFERROR(IF(AND(B88&lt;&gt;"",ISNUMBER(G88)),IF(AND(G88&lt;=EOMONTH(ENVIO_PER,0),OR(H88="",H88&gt;=ENVIO_PER)),MAX(AA$6:AA87)+1,""),""),"")</f>
        <v/>
      </c>
    </row>
    <row r="89" customFormat="false" ht="15" hidden="false" customHeight="false" outlineLevel="0" collapsed="false">
      <c r="B89" s="64"/>
      <c r="C89" s="64"/>
      <c r="D89" s="64"/>
      <c r="E89" s="64"/>
      <c r="F89" s="64"/>
      <c r="G89" s="65"/>
      <c r="H89" s="65"/>
      <c r="I89" s="64"/>
      <c r="J89" s="66"/>
      <c r="K89" s="64"/>
      <c r="L89" s="67"/>
      <c r="M89" s="67"/>
      <c r="N89" s="67"/>
      <c r="O89" s="64"/>
      <c r="P89" s="64"/>
      <c r="Q89" s="68"/>
      <c r="R89" s="66"/>
      <c r="S89" s="66"/>
      <c r="T89" s="69"/>
      <c r="U89" s="64"/>
      <c r="V89" s="70" t="str">
        <f aca="false">IF(B89="","",IF(NOT(ISNUMBER(G89)),"⚠ Falta fecha ingreso",IF(G89&gt;FECHA_CORTE,"Por ingresar",IF(H89="","Activo",IF(H89&lt;FECHA_CORTE,"Desvinculado","Activo (egreso programado)")))))</f>
        <v/>
      </c>
      <c r="W89" s="70" t="str">
        <f aca="false">IF(OR(B89="",NOT(ISNUMBER(G89))),"",IF(G89&gt;FECHA_CORTE,"",DATEDIF(G89,IF(H89="",FECHA_CORTE,MIN(H89,FECHA_CORTE))+1,"y")&amp;" a "&amp;DATEDIF(G89,IF(H89="",FECHA_CORTE,MIN(H89,FECHA_CORTE))+1,"ym")&amp;" m"))</f>
        <v/>
      </c>
      <c r="X89" s="71" t="str">
        <f aca="false">IF(B89="","",IFERROR(INDEX(C_SUELDO,MATCH(B89&amp;"-S"&amp;MAX(1,COUNTIFS(C_ID,B89,C_SUELDO,"&lt;&gt;",C_INICIO,"&lt;="&amp;FECHA_CORTE)),C_CLAVES,0)),0))</f>
        <v/>
      </c>
      <c r="Y89" s="70" t="str">
        <f aca="false">IF(B89="","",IFERROR(INDEX(C_TIPO,MATCH(B89&amp;"-P"&amp;MAX(1,COUNTIFS(C_ID,B89,C_DEFINE,"Sí",C_INICIO,"&lt;="&amp;FECHA_CORTE)),C_CLAVE,0))&amp;"","Sin contrato"))</f>
        <v/>
      </c>
      <c r="Z89" s="70" t="str">
        <f aca="false">IF(B89="","",IF(COUNTIF(T_ID,B89)&gt;1,"⚠ ID duplicado",IF(Y89="Sin contrato","⚠ Registrar el contrato en la hoja Contratos",IF(AND(LEFT(V89,6)="Activo",X89&lt;IMM_HOY*MIN(1,IF(N(J89)=0,JORNADA_LEGAL,J89)/JORNADA_LEGAL)),"⚠ Sueldo base bajo el ingreso mínimo",IF(O89="","⚠ Falta AFP",IF(P89="","⚠ Falta sistema de salud",IF(AND(P89="Isapre",N(Q89)=0),"⚠ Falta plan Isapre (UF)",IF(AND(N(J89)&gt;JORNADA_LEGAL,LEFT(V89,6)="Activo"),"⚠ Jornada sobre el máximo legal","OK"))))))))</f>
        <v/>
      </c>
      <c r="AA89" s="72" t="str">
        <f aca="false">IFERROR(IF(AND(B89&lt;&gt;"",ISNUMBER(G89)),IF(AND(G89&lt;=EOMONTH(ENVIO_PER,0),OR(H89="",H89&gt;=ENVIO_PER)),MAX(AA$6:AA88)+1,""),""),"")</f>
        <v/>
      </c>
    </row>
    <row r="90" customFormat="false" ht="15" hidden="false" customHeight="false" outlineLevel="0" collapsed="false">
      <c r="B90" s="64"/>
      <c r="C90" s="64"/>
      <c r="D90" s="64"/>
      <c r="E90" s="64"/>
      <c r="F90" s="64"/>
      <c r="G90" s="65"/>
      <c r="H90" s="65"/>
      <c r="I90" s="64"/>
      <c r="J90" s="66"/>
      <c r="K90" s="64"/>
      <c r="L90" s="67"/>
      <c r="M90" s="67"/>
      <c r="N90" s="67"/>
      <c r="O90" s="64"/>
      <c r="P90" s="64"/>
      <c r="Q90" s="68"/>
      <c r="R90" s="66"/>
      <c r="S90" s="66"/>
      <c r="T90" s="69"/>
      <c r="U90" s="64"/>
      <c r="V90" s="70" t="str">
        <f aca="false">IF(B90="","",IF(NOT(ISNUMBER(G90)),"⚠ Falta fecha ingreso",IF(G90&gt;FECHA_CORTE,"Por ingresar",IF(H90="","Activo",IF(H90&lt;FECHA_CORTE,"Desvinculado","Activo (egreso programado)")))))</f>
        <v/>
      </c>
      <c r="W90" s="70" t="str">
        <f aca="false">IF(OR(B90="",NOT(ISNUMBER(G90))),"",IF(G90&gt;FECHA_CORTE,"",DATEDIF(G90,IF(H90="",FECHA_CORTE,MIN(H90,FECHA_CORTE))+1,"y")&amp;" a "&amp;DATEDIF(G90,IF(H90="",FECHA_CORTE,MIN(H90,FECHA_CORTE))+1,"ym")&amp;" m"))</f>
        <v/>
      </c>
      <c r="X90" s="71" t="str">
        <f aca="false">IF(B90="","",IFERROR(INDEX(C_SUELDO,MATCH(B90&amp;"-S"&amp;MAX(1,COUNTIFS(C_ID,B90,C_SUELDO,"&lt;&gt;",C_INICIO,"&lt;="&amp;FECHA_CORTE)),C_CLAVES,0)),0))</f>
        <v/>
      </c>
      <c r="Y90" s="70" t="str">
        <f aca="false">IF(B90="","",IFERROR(INDEX(C_TIPO,MATCH(B90&amp;"-P"&amp;MAX(1,COUNTIFS(C_ID,B90,C_DEFINE,"Sí",C_INICIO,"&lt;="&amp;FECHA_CORTE)),C_CLAVE,0))&amp;"","Sin contrato"))</f>
        <v/>
      </c>
      <c r="Z90" s="70" t="str">
        <f aca="false">IF(B90="","",IF(COUNTIF(T_ID,B90)&gt;1,"⚠ ID duplicado",IF(Y90="Sin contrato","⚠ Registrar el contrato en la hoja Contratos",IF(AND(LEFT(V90,6)="Activo",X90&lt;IMM_HOY*MIN(1,IF(N(J90)=0,JORNADA_LEGAL,J90)/JORNADA_LEGAL)),"⚠ Sueldo base bajo el ingreso mínimo",IF(O90="","⚠ Falta AFP",IF(P90="","⚠ Falta sistema de salud",IF(AND(P90="Isapre",N(Q90)=0),"⚠ Falta plan Isapre (UF)",IF(AND(N(J90)&gt;JORNADA_LEGAL,LEFT(V90,6)="Activo"),"⚠ Jornada sobre el máximo legal","OK"))))))))</f>
        <v/>
      </c>
      <c r="AA90" s="72" t="str">
        <f aca="false">IFERROR(IF(AND(B90&lt;&gt;"",ISNUMBER(G90)),IF(AND(G90&lt;=EOMONTH(ENVIO_PER,0),OR(H90="",H90&gt;=ENVIO_PER)),MAX(AA$6:AA89)+1,""),""),"")</f>
        <v/>
      </c>
    </row>
    <row r="91" customFormat="false" ht="15" hidden="false" customHeight="false" outlineLevel="0" collapsed="false">
      <c r="B91" s="64"/>
      <c r="C91" s="64"/>
      <c r="D91" s="64"/>
      <c r="E91" s="64"/>
      <c r="F91" s="64"/>
      <c r="G91" s="65"/>
      <c r="H91" s="65"/>
      <c r="I91" s="64"/>
      <c r="J91" s="66"/>
      <c r="K91" s="64"/>
      <c r="L91" s="67"/>
      <c r="M91" s="67"/>
      <c r="N91" s="67"/>
      <c r="O91" s="64"/>
      <c r="P91" s="64"/>
      <c r="Q91" s="68"/>
      <c r="R91" s="66"/>
      <c r="S91" s="66"/>
      <c r="T91" s="69"/>
      <c r="U91" s="64"/>
      <c r="V91" s="70" t="str">
        <f aca="false">IF(B91="","",IF(NOT(ISNUMBER(G91)),"⚠ Falta fecha ingreso",IF(G91&gt;FECHA_CORTE,"Por ingresar",IF(H91="","Activo",IF(H91&lt;FECHA_CORTE,"Desvinculado","Activo (egreso programado)")))))</f>
        <v/>
      </c>
      <c r="W91" s="70" t="str">
        <f aca="false">IF(OR(B91="",NOT(ISNUMBER(G91))),"",IF(G91&gt;FECHA_CORTE,"",DATEDIF(G91,IF(H91="",FECHA_CORTE,MIN(H91,FECHA_CORTE))+1,"y")&amp;" a "&amp;DATEDIF(G91,IF(H91="",FECHA_CORTE,MIN(H91,FECHA_CORTE))+1,"ym")&amp;" m"))</f>
        <v/>
      </c>
      <c r="X91" s="71" t="str">
        <f aca="false">IF(B91="","",IFERROR(INDEX(C_SUELDO,MATCH(B91&amp;"-S"&amp;MAX(1,COUNTIFS(C_ID,B91,C_SUELDO,"&lt;&gt;",C_INICIO,"&lt;="&amp;FECHA_CORTE)),C_CLAVES,0)),0))</f>
        <v/>
      </c>
      <c r="Y91" s="70" t="str">
        <f aca="false">IF(B91="","",IFERROR(INDEX(C_TIPO,MATCH(B91&amp;"-P"&amp;MAX(1,COUNTIFS(C_ID,B91,C_DEFINE,"Sí",C_INICIO,"&lt;="&amp;FECHA_CORTE)),C_CLAVE,0))&amp;"","Sin contrato"))</f>
        <v/>
      </c>
      <c r="Z91" s="70" t="str">
        <f aca="false">IF(B91="","",IF(COUNTIF(T_ID,B91)&gt;1,"⚠ ID duplicado",IF(Y91="Sin contrato","⚠ Registrar el contrato en la hoja Contratos",IF(AND(LEFT(V91,6)="Activo",X91&lt;IMM_HOY*MIN(1,IF(N(J91)=0,JORNADA_LEGAL,J91)/JORNADA_LEGAL)),"⚠ Sueldo base bajo el ingreso mínimo",IF(O91="","⚠ Falta AFP",IF(P91="","⚠ Falta sistema de salud",IF(AND(P91="Isapre",N(Q91)=0),"⚠ Falta plan Isapre (UF)",IF(AND(N(J91)&gt;JORNADA_LEGAL,LEFT(V91,6)="Activo"),"⚠ Jornada sobre el máximo legal","OK"))))))))</f>
        <v/>
      </c>
      <c r="AA91" s="72" t="str">
        <f aca="false">IFERROR(IF(AND(B91&lt;&gt;"",ISNUMBER(G91)),IF(AND(G91&lt;=EOMONTH(ENVIO_PER,0),OR(H91="",H91&gt;=ENVIO_PER)),MAX(AA$6:AA90)+1,""),""),"")</f>
        <v/>
      </c>
    </row>
    <row r="92" customFormat="false" ht="15" hidden="false" customHeight="false" outlineLevel="0" collapsed="false">
      <c r="B92" s="64"/>
      <c r="C92" s="64"/>
      <c r="D92" s="64"/>
      <c r="E92" s="64"/>
      <c r="F92" s="64"/>
      <c r="G92" s="65"/>
      <c r="H92" s="65"/>
      <c r="I92" s="64"/>
      <c r="J92" s="66"/>
      <c r="K92" s="64"/>
      <c r="L92" s="67"/>
      <c r="M92" s="67"/>
      <c r="N92" s="67"/>
      <c r="O92" s="64"/>
      <c r="P92" s="64"/>
      <c r="Q92" s="68"/>
      <c r="R92" s="66"/>
      <c r="S92" s="66"/>
      <c r="T92" s="69"/>
      <c r="U92" s="64"/>
      <c r="V92" s="70" t="str">
        <f aca="false">IF(B92="","",IF(NOT(ISNUMBER(G92)),"⚠ Falta fecha ingreso",IF(G92&gt;FECHA_CORTE,"Por ingresar",IF(H92="","Activo",IF(H92&lt;FECHA_CORTE,"Desvinculado","Activo (egreso programado)")))))</f>
        <v/>
      </c>
      <c r="W92" s="70" t="str">
        <f aca="false">IF(OR(B92="",NOT(ISNUMBER(G92))),"",IF(G92&gt;FECHA_CORTE,"",DATEDIF(G92,IF(H92="",FECHA_CORTE,MIN(H92,FECHA_CORTE))+1,"y")&amp;" a "&amp;DATEDIF(G92,IF(H92="",FECHA_CORTE,MIN(H92,FECHA_CORTE))+1,"ym")&amp;" m"))</f>
        <v/>
      </c>
      <c r="X92" s="71" t="str">
        <f aca="false">IF(B92="","",IFERROR(INDEX(C_SUELDO,MATCH(B92&amp;"-S"&amp;MAX(1,COUNTIFS(C_ID,B92,C_SUELDO,"&lt;&gt;",C_INICIO,"&lt;="&amp;FECHA_CORTE)),C_CLAVES,0)),0))</f>
        <v/>
      </c>
      <c r="Y92" s="70" t="str">
        <f aca="false">IF(B92="","",IFERROR(INDEX(C_TIPO,MATCH(B92&amp;"-P"&amp;MAX(1,COUNTIFS(C_ID,B92,C_DEFINE,"Sí",C_INICIO,"&lt;="&amp;FECHA_CORTE)),C_CLAVE,0))&amp;"","Sin contrato"))</f>
        <v/>
      </c>
      <c r="Z92" s="70" t="str">
        <f aca="false">IF(B92="","",IF(COUNTIF(T_ID,B92)&gt;1,"⚠ ID duplicado",IF(Y92="Sin contrato","⚠ Registrar el contrato en la hoja Contratos",IF(AND(LEFT(V92,6)="Activo",X92&lt;IMM_HOY*MIN(1,IF(N(J92)=0,JORNADA_LEGAL,J92)/JORNADA_LEGAL)),"⚠ Sueldo base bajo el ingreso mínimo",IF(O92="","⚠ Falta AFP",IF(P92="","⚠ Falta sistema de salud",IF(AND(P92="Isapre",N(Q92)=0),"⚠ Falta plan Isapre (UF)",IF(AND(N(J92)&gt;JORNADA_LEGAL,LEFT(V92,6)="Activo"),"⚠ Jornada sobre el máximo legal","OK"))))))))</f>
        <v/>
      </c>
      <c r="AA92" s="72" t="str">
        <f aca="false">IFERROR(IF(AND(B92&lt;&gt;"",ISNUMBER(G92)),IF(AND(G92&lt;=EOMONTH(ENVIO_PER,0),OR(H92="",H92&gt;=ENVIO_PER)),MAX(AA$6:AA91)+1,""),""),"")</f>
        <v/>
      </c>
    </row>
    <row r="93" customFormat="false" ht="15" hidden="false" customHeight="false" outlineLevel="0" collapsed="false">
      <c r="B93" s="64"/>
      <c r="C93" s="64"/>
      <c r="D93" s="64"/>
      <c r="E93" s="64"/>
      <c r="F93" s="64"/>
      <c r="G93" s="65"/>
      <c r="H93" s="65"/>
      <c r="I93" s="64"/>
      <c r="J93" s="66"/>
      <c r="K93" s="64"/>
      <c r="L93" s="67"/>
      <c r="M93" s="67"/>
      <c r="N93" s="67"/>
      <c r="O93" s="64"/>
      <c r="P93" s="64"/>
      <c r="Q93" s="68"/>
      <c r="R93" s="66"/>
      <c r="S93" s="66"/>
      <c r="T93" s="69"/>
      <c r="U93" s="64"/>
      <c r="V93" s="70" t="str">
        <f aca="false">IF(B93="","",IF(NOT(ISNUMBER(G93)),"⚠ Falta fecha ingreso",IF(G93&gt;FECHA_CORTE,"Por ingresar",IF(H93="","Activo",IF(H93&lt;FECHA_CORTE,"Desvinculado","Activo (egreso programado)")))))</f>
        <v/>
      </c>
      <c r="W93" s="70" t="str">
        <f aca="false">IF(OR(B93="",NOT(ISNUMBER(G93))),"",IF(G93&gt;FECHA_CORTE,"",DATEDIF(G93,IF(H93="",FECHA_CORTE,MIN(H93,FECHA_CORTE))+1,"y")&amp;" a "&amp;DATEDIF(G93,IF(H93="",FECHA_CORTE,MIN(H93,FECHA_CORTE))+1,"ym")&amp;" m"))</f>
        <v/>
      </c>
      <c r="X93" s="71" t="str">
        <f aca="false">IF(B93="","",IFERROR(INDEX(C_SUELDO,MATCH(B93&amp;"-S"&amp;MAX(1,COUNTIFS(C_ID,B93,C_SUELDO,"&lt;&gt;",C_INICIO,"&lt;="&amp;FECHA_CORTE)),C_CLAVES,0)),0))</f>
        <v/>
      </c>
      <c r="Y93" s="70" t="str">
        <f aca="false">IF(B93="","",IFERROR(INDEX(C_TIPO,MATCH(B93&amp;"-P"&amp;MAX(1,COUNTIFS(C_ID,B93,C_DEFINE,"Sí",C_INICIO,"&lt;="&amp;FECHA_CORTE)),C_CLAVE,0))&amp;"","Sin contrato"))</f>
        <v/>
      </c>
      <c r="Z93" s="70" t="str">
        <f aca="false">IF(B93="","",IF(COUNTIF(T_ID,B93)&gt;1,"⚠ ID duplicado",IF(Y93="Sin contrato","⚠ Registrar el contrato en la hoja Contratos",IF(AND(LEFT(V93,6)="Activo",X93&lt;IMM_HOY*MIN(1,IF(N(J93)=0,JORNADA_LEGAL,J93)/JORNADA_LEGAL)),"⚠ Sueldo base bajo el ingreso mínimo",IF(O93="","⚠ Falta AFP",IF(P93="","⚠ Falta sistema de salud",IF(AND(P93="Isapre",N(Q93)=0),"⚠ Falta plan Isapre (UF)",IF(AND(N(J93)&gt;JORNADA_LEGAL,LEFT(V93,6)="Activo"),"⚠ Jornada sobre el máximo legal","OK"))))))))</f>
        <v/>
      </c>
      <c r="AA93" s="72" t="str">
        <f aca="false">IFERROR(IF(AND(B93&lt;&gt;"",ISNUMBER(G93)),IF(AND(G93&lt;=EOMONTH(ENVIO_PER,0),OR(H93="",H93&gt;=ENVIO_PER)),MAX(AA$6:AA92)+1,""),""),"")</f>
        <v/>
      </c>
    </row>
    <row r="94" customFormat="false" ht="15" hidden="false" customHeight="false" outlineLevel="0" collapsed="false">
      <c r="B94" s="64"/>
      <c r="C94" s="64"/>
      <c r="D94" s="64"/>
      <c r="E94" s="64"/>
      <c r="F94" s="64"/>
      <c r="G94" s="65"/>
      <c r="H94" s="65"/>
      <c r="I94" s="64"/>
      <c r="J94" s="66"/>
      <c r="K94" s="64"/>
      <c r="L94" s="67"/>
      <c r="M94" s="67"/>
      <c r="N94" s="67"/>
      <c r="O94" s="64"/>
      <c r="P94" s="64"/>
      <c r="Q94" s="68"/>
      <c r="R94" s="66"/>
      <c r="S94" s="66"/>
      <c r="T94" s="69"/>
      <c r="U94" s="64"/>
      <c r="V94" s="70" t="str">
        <f aca="false">IF(B94="","",IF(NOT(ISNUMBER(G94)),"⚠ Falta fecha ingreso",IF(G94&gt;FECHA_CORTE,"Por ingresar",IF(H94="","Activo",IF(H94&lt;FECHA_CORTE,"Desvinculado","Activo (egreso programado)")))))</f>
        <v/>
      </c>
      <c r="W94" s="70" t="str">
        <f aca="false">IF(OR(B94="",NOT(ISNUMBER(G94))),"",IF(G94&gt;FECHA_CORTE,"",DATEDIF(G94,IF(H94="",FECHA_CORTE,MIN(H94,FECHA_CORTE))+1,"y")&amp;" a "&amp;DATEDIF(G94,IF(H94="",FECHA_CORTE,MIN(H94,FECHA_CORTE))+1,"ym")&amp;" m"))</f>
        <v/>
      </c>
      <c r="X94" s="71" t="str">
        <f aca="false">IF(B94="","",IFERROR(INDEX(C_SUELDO,MATCH(B94&amp;"-S"&amp;MAX(1,COUNTIFS(C_ID,B94,C_SUELDO,"&lt;&gt;",C_INICIO,"&lt;="&amp;FECHA_CORTE)),C_CLAVES,0)),0))</f>
        <v/>
      </c>
      <c r="Y94" s="70" t="str">
        <f aca="false">IF(B94="","",IFERROR(INDEX(C_TIPO,MATCH(B94&amp;"-P"&amp;MAX(1,COUNTIFS(C_ID,B94,C_DEFINE,"Sí",C_INICIO,"&lt;="&amp;FECHA_CORTE)),C_CLAVE,0))&amp;"","Sin contrato"))</f>
        <v/>
      </c>
      <c r="Z94" s="70" t="str">
        <f aca="false">IF(B94="","",IF(COUNTIF(T_ID,B94)&gt;1,"⚠ ID duplicado",IF(Y94="Sin contrato","⚠ Registrar el contrato en la hoja Contratos",IF(AND(LEFT(V94,6)="Activo",X94&lt;IMM_HOY*MIN(1,IF(N(J94)=0,JORNADA_LEGAL,J94)/JORNADA_LEGAL)),"⚠ Sueldo base bajo el ingreso mínimo",IF(O94="","⚠ Falta AFP",IF(P94="","⚠ Falta sistema de salud",IF(AND(P94="Isapre",N(Q94)=0),"⚠ Falta plan Isapre (UF)",IF(AND(N(J94)&gt;JORNADA_LEGAL,LEFT(V94,6)="Activo"),"⚠ Jornada sobre el máximo legal","OK"))))))))</f>
        <v/>
      </c>
      <c r="AA94" s="72" t="str">
        <f aca="false">IFERROR(IF(AND(B94&lt;&gt;"",ISNUMBER(G94)),IF(AND(G94&lt;=EOMONTH(ENVIO_PER,0),OR(H94="",H94&gt;=ENVIO_PER)),MAX(AA$6:AA93)+1,""),""),"")</f>
        <v/>
      </c>
    </row>
    <row r="95" customFormat="false" ht="15" hidden="false" customHeight="false" outlineLevel="0" collapsed="false">
      <c r="B95" s="64"/>
      <c r="C95" s="64"/>
      <c r="D95" s="64"/>
      <c r="E95" s="64"/>
      <c r="F95" s="64"/>
      <c r="G95" s="65"/>
      <c r="H95" s="65"/>
      <c r="I95" s="64"/>
      <c r="J95" s="66"/>
      <c r="K95" s="64"/>
      <c r="L95" s="67"/>
      <c r="M95" s="67"/>
      <c r="N95" s="67"/>
      <c r="O95" s="64"/>
      <c r="P95" s="64"/>
      <c r="Q95" s="68"/>
      <c r="R95" s="66"/>
      <c r="S95" s="66"/>
      <c r="T95" s="69"/>
      <c r="U95" s="64"/>
      <c r="V95" s="70" t="str">
        <f aca="false">IF(B95="","",IF(NOT(ISNUMBER(G95)),"⚠ Falta fecha ingreso",IF(G95&gt;FECHA_CORTE,"Por ingresar",IF(H95="","Activo",IF(H95&lt;FECHA_CORTE,"Desvinculado","Activo (egreso programado)")))))</f>
        <v/>
      </c>
      <c r="W95" s="70" t="str">
        <f aca="false">IF(OR(B95="",NOT(ISNUMBER(G95))),"",IF(G95&gt;FECHA_CORTE,"",DATEDIF(G95,IF(H95="",FECHA_CORTE,MIN(H95,FECHA_CORTE))+1,"y")&amp;" a "&amp;DATEDIF(G95,IF(H95="",FECHA_CORTE,MIN(H95,FECHA_CORTE))+1,"ym")&amp;" m"))</f>
        <v/>
      </c>
      <c r="X95" s="71" t="str">
        <f aca="false">IF(B95="","",IFERROR(INDEX(C_SUELDO,MATCH(B95&amp;"-S"&amp;MAX(1,COUNTIFS(C_ID,B95,C_SUELDO,"&lt;&gt;",C_INICIO,"&lt;="&amp;FECHA_CORTE)),C_CLAVES,0)),0))</f>
        <v/>
      </c>
      <c r="Y95" s="70" t="str">
        <f aca="false">IF(B95="","",IFERROR(INDEX(C_TIPO,MATCH(B95&amp;"-P"&amp;MAX(1,COUNTIFS(C_ID,B95,C_DEFINE,"Sí",C_INICIO,"&lt;="&amp;FECHA_CORTE)),C_CLAVE,0))&amp;"","Sin contrato"))</f>
        <v/>
      </c>
      <c r="Z95" s="70" t="str">
        <f aca="false">IF(B95="","",IF(COUNTIF(T_ID,B95)&gt;1,"⚠ ID duplicado",IF(Y95="Sin contrato","⚠ Registrar el contrato en la hoja Contratos",IF(AND(LEFT(V95,6)="Activo",X95&lt;IMM_HOY*MIN(1,IF(N(J95)=0,JORNADA_LEGAL,J95)/JORNADA_LEGAL)),"⚠ Sueldo base bajo el ingreso mínimo",IF(O95="","⚠ Falta AFP",IF(P95="","⚠ Falta sistema de salud",IF(AND(P95="Isapre",N(Q95)=0),"⚠ Falta plan Isapre (UF)",IF(AND(N(J95)&gt;JORNADA_LEGAL,LEFT(V95,6)="Activo"),"⚠ Jornada sobre el máximo legal","OK"))))))))</f>
        <v/>
      </c>
      <c r="AA95" s="72" t="str">
        <f aca="false">IFERROR(IF(AND(B95&lt;&gt;"",ISNUMBER(G95)),IF(AND(G95&lt;=EOMONTH(ENVIO_PER,0),OR(H95="",H95&gt;=ENVIO_PER)),MAX(AA$6:AA94)+1,""),""),"")</f>
        <v/>
      </c>
    </row>
    <row r="96" customFormat="false" ht="15" hidden="false" customHeight="false" outlineLevel="0" collapsed="false">
      <c r="B96" s="64"/>
      <c r="C96" s="64"/>
      <c r="D96" s="64"/>
      <c r="E96" s="64"/>
      <c r="F96" s="64"/>
      <c r="G96" s="65"/>
      <c r="H96" s="65"/>
      <c r="I96" s="64"/>
      <c r="J96" s="66"/>
      <c r="K96" s="64"/>
      <c r="L96" s="67"/>
      <c r="M96" s="67"/>
      <c r="N96" s="67"/>
      <c r="O96" s="64"/>
      <c r="P96" s="64"/>
      <c r="Q96" s="68"/>
      <c r="R96" s="66"/>
      <c r="S96" s="66"/>
      <c r="T96" s="69"/>
      <c r="U96" s="64"/>
      <c r="V96" s="70" t="str">
        <f aca="false">IF(B96="","",IF(NOT(ISNUMBER(G96)),"⚠ Falta fecha ingreso",IF(G96&gt;FECHA_CORTE,"Por ingresar",IF(H96="","Activo",IF(H96&lt;FECHA_CORTE,"Desvinculado","Activo (egreso programado)")))))</f>
        <v/>
      </c>
      <c r="W96" s="70" t="str">
        <f aca="false">IF(OR(B96="",NOT(ISNUMBER(G96))),"",IF(G96&gt;FECHA_CORTE,"",DATEDIF(G96,IF(H96="",FECHA_CORTE,MIN(H96,FECHA_CORTE))+1,"y")&amp;" a "&amp;DATEDIF(G96,IF(H96="",FECHA_CORTE,MIN(H96,FECHA_CORTE))+1,"ym")&amp;" m"))</f>
        <v/>
      </c>
      <c r="X96" s="71" t="str">
        <f aca="false">IF(B96="","",IFERROR(INDEX(C_SUELDO,MATCH(B96&amp;"-S"&amp;MAX(1,COUNTIFS(C_ID,B96,C_SUELDO,"&lt;&gt;",C_INICIO,"&lt;="&amp;FECHA_CORTE)),C_CLAVES,0)),0))</f>
        <v/>
      </c>
      <c r="Y96" s="70" t="str">
        <f aca="false">IF(B96="","",IFERROR(INDEX(C_TIPO,MATCH(B96&amp;"-P"&amp;MAX(1,COUNTIFS(C_ID,B96,C_DEFINE,"Sí",C_INICIO,"&lt;="&amp;FECHA_CORTE)),C_CLAVE,0))&amp;"","Sin contrato"))</f>
        <v/>
      </c>
      <c r="Z96" s="70" t="str">
        <f aca="false">IF(B96="","",IF(COUNTIF(T_ID,B96)&gt;1,"⚠ ID duplicado",IF(Y96="Sin contrato","⚠ Registrar el contrato en la hoja Contratos",IF(AND(LEFT(V96,6)="Activo",X96&lt;IMM_HOY*MIN(1,IF(N(J96)=0,JORNADA_LEGAL,J96)/JORNADA_LEGAL)),"⚠ Sueldo base bajo el ingreso mínimo",IF(O96="","⚠ Falta AFP",IF(P96="","⚠ Falta sistema de salud",IF(AND(P96="Isapre",N(Q96)=0),"⚠ Falta plan Isapre (UF)",IF(AND(N(J96)&gt;JORNADA_LEGAL,LEFT(V96,6)="Activo"),"⚠ Jornada sobre el máximo legal","OK"))))))))</f>
        <v/>
      </c>
      <c r="AA96" s="72" t="str">
        <f aca="false">IFERROR(IF(AND(B96&lt;&gt;"",ISNUMBER(G96)),IF(AND(G96&lt;=EOMONTH(ENVIO_PER,0),OR(H96="",H96&gt;=ENVIO_PER)),MAX(AA$6:AA95)+1,""),""),"")</f>
        <v/>
      </c>
    </row>
    <row r="97" customFormat="false" ht="15" hidden="false" customHeight="false" outlineLevel="0" collapsed="false">
      <c r="B97" s="64"/>
      <c r="C97" s="64"/>
      <c r="D97" s="64"/>
      <c r="E97" s="64"/>
      <c r="F97" s="64"/>
      <c r="G97" s="65"/>
      <c r="H97" s="65"/>
      <c r="I97" s="64"/>
      <c r="J97" s="66"/>
      <c r="K97" s="64"/>
      <c r="L97" s="67"/>
      <c r="M97" s="67"/>
      <c r="N97" s="67"/>
      <c r="O97" s="64"/>
      <c r="P97" s="64"/>
      <c r="Q97" s="68"/>
      <c r="R97" s="66"/>
      <c r="S97" s="66"/>
      <c r="T97" s="69"/>
      <c r="U97" s="64"/>
      <c r="V97" s="70" t="str">
        <f aca="false">IF(B97="","",IF(NOT(ISNUMBER(G97)),"⚠ Falta fecha ingreso",IF(G97&gt;FECHA_CORTE,"Por ingresar",IF(H97="","Activo",IF(H97&lt;FECHA_CORTE,"Desvinculado","Activo (egreso programado)")))))</f>
        <v/>
      </c>
      <c r="W97" s="70" t="str">
        <f aca="false">IF(OR(B97="",NOT(ISNUMBER(G97))),"",IF(G97&gt;FECHA_CORTE,"",DATEDIF(G97,IF(H97="",FECHA_CORTE,MIN(H97,FECHA_CORTE))+1,"y")&amp;" a "&amp;DATEDIF(G97,IF(H97="",FECHA_CORTE,MIN(H97,FECHA_CORTE))+1,"ym")&amp;" m"))</f>
        <v/>
      </c>
      <c r="X97" s="71" t="str">
        <f aca="false">IF(B97="","",IFERROR(INDEX(C_SUELDO,MATCH(B97&amp;"-S"&amp;MAX(1,COUNTIFS(C_ID,B97,C_SUELDO,"&lt;&gt;",C_INICIO,"&lt;="&amp;FECHA_CORTE)),C_CLAVES,0)),0))</f>
        <v/>
      </c>
      <c r="Y97" s="70" t="str">
        <f aca="false">IF(B97="","",IFERROR(INDEX(C_TIPO,MATCH(B97&amp;"-P"&amp;MAX(1,COUNTIFS(C_ID,B97,C_DEFINE,"Sí",C_INICIO,"&lt;="&amp;FECHA_CORTE)),C_CLAVE,0))&amp;"","Sin contrato"))</f>
        <v/>
      </c>
      <c r="Z97" s="70" t="str">
        <f aca="false">IF(B97="","",IF(COUNTIF(T_ID,B97)&gt;1,"⚠ ID duplicado",IF(Y97="Sin contrato","⚠ Registrar el contrato en la hoja Contratos",IF(AND(LEFT(V97,6)="Activo",X97&lt;IMM_HOY*MIN(1,IF(N(J97)=0,JORNADA_LEGAL,J97)/JORNADA_LEGAL)),"⚠ Sueldo base bajo el ingreso mínimo",IF(O97="","⚠ Falta AFP",IF(P97="","⚠ Falta sistema de salud",IF(AND(P97="Isapre",N(Q97)=0),"⚠ Falta plan Isapre (UF)",IF(AND(N(J97)&gt;JORNADA_LEGAL,LEFT(V97,6)="Activo"),"⚠ Jornada sobre el máximo legal","OK"))))))))</f>
        <v/>
      </c>
      <c r="AA97" s="72" t="str">
        <f aca="false">IFERROR(IF(AND(B97&lt;&gt;"",ISNUMBER(G97)),IF(AND(G97&lt;=EOMONTH(ENVIO_PER,0),OR(H97="",H97&gt;=ENVIO_PER)),MAX(AA$6:AA96)+1,""),""),"")</f>
        <v/>
      </c>
    </row>
    <row r="98" customFormat="false" ht="15" hidden="false" customHeight="false" outlineLevel="0" collapsed="false">
      <c r="B98" s="64"/>
      <c r="C98" s="64"/>
      <c r="D98" s="64"/>
      <c r="E98" s="64"/>
      <c r="F98" s="64"/>
      <c r="G98" s="65"/>
      <c r="H98" s="65"/>
      <c r="I98" s="64"/>
      <c r="J98" s="66"/>
      <c r="K98" s="64"/>
      <c r="L98" s="67"/>
      <c r="M98" s="67"/>
      <c r="N98" s="67"/>
      <c r="O98" s="64"/>
      <c r="P98" s="64"/>
      <c r="Q98" s="68"/>
      <c r="R98" s="66"/>
      <c r="S98" s="66"/>
      <c r="T98" s="69"/>
      <c r="U98" s="64"/>
      <c r="V98" s="70" t="str">
        <f aca="false">IF(B98="","",IF(NOT(ISNUMBER(G98)),"⚠ Falta fecha ingreso",IF(G98&gt;FECHA_CORTE,"Por ingresar",IF(H98="","Activo",IF(H98&lt;FECHA_CORTE,"Desvinculado","Activo (egreso programado)")))))</f>
        <v/>
      </c>
      <c r="W98" s="70" t="str">
        <f aca="false">IF(OR(B98="",NOT(ISNUMBER(G98))),"",IF(G98&gt;FECHA_CORTE,"",DATEDIF(G98,IF(H98="",FECHA_CORTE,MIN(H98,FECHA_CORTE))+1,"y")&amp;" a "&amp;DATEDIF(G98,IF(H98="",FECHA_CORTE,MIN(H98,FECHA_CORTE))+1,"ym")&amp;" m"))</f>
        <v/>
      </c>
      <c r="X98" s="71" t="str">
        <f aca="false">IF(B98="","",IFERROR(INDEX(C_SUELDO,MATCH(B98&amp;"-S"&amp;MAX(1,COUNTIFS(C_ID,B98,C_SUELDO,"&lt;&gt;",C_INICIO,"&lt;="&amp;FECHA_CORTE)),C_CLAVES,0)),0))</f>
        <v/>
      </c>
      <c r="Y98" s="70" t="str">
        <f aca="false">IF(B98="","",IFERROR(INDEX(C_TIPO,MATCH(B98&amp;"-P"&amp;MAX(1,COUNTIFS(C_ID,B98,C_DEFINE,"Sí",C_INICIO,"&lt;="&amp;FECHA_CORTE)),C_CLAVE,0))&amp;"","Sin contrato"))</f>
        <v/>
      </c>
      <c r="Z98" s="70" t="str">
        <f aca="false">IF(B98="","",IF(COUNTIF(T_ID,B98)&gt;1,"⚠ ID duplicado",IF(Y98="Sin contrato","⚠ Registrar el contrato en la hoja Contratos",IF(AND(LEFT(V98,6)="Activo",X98&lt;IMM_HOY*MIN(1,IF(N(J98)=0,JORNADA_LEGAL,J98)/JORNADA_LEGAL)),"⚠ Sueldo base bajo el ingreso mínimo",IF(O98="","⚠ Falta AFP",IF(P98="","⚠ Falta sistema de salud",IF(AND(P98="Isapre",N(Q98)=0),"⚠ Falta plan Isapre (UF)",IF(AND(N(J98)&gt;JORNADA_LEGAL,LEFT(V98,6)="Activo"),"⚠ Jornada sobre el máximo legal","OK"))))))))</f>
        <v/>
      </c>
      <c r="AA98" s="72" t="str">
        <f aca="false">IFERROR(IF(AND(B98&lt;&gt;"",ISNUMBER(G98)),IF(AND(G98&lt;=EOMONTH(ENVIO_PER,0),OR(H98="",H98&gt;=ENVIO_PER)),MAX(AA$6:AA97)+1,""),""),"")</f>
        <v/>
      </c>
    </row>
    <row r="99" customFormat="false" ht="15" hidden="false" customHeight="false" outlineLevel="0" collapsed="false">
      <c r="B99" s="64"/>
      <c r="C99" s="64"/>
      <c r="D99" s="64"/>
      <c r="E99" s="64"/>
      <c r="F99" s="64"/>
      <c r="G99" s="65"/>
      <c r="H99" s="65"/>
      <c r="I99" s="64"/>
      <c r="J99" s="66"/>
      <c r="K99" s="64"/>
      <c r="L99" s="67"/>
      <c r="M99" s="67"/>
      <c r="N99" s="67"/>
      <c r="O99" s="64"/>
      <c r="P99" s="64"/>
      <c r="Q99" s="68"/>
      <c r="R99" s="66"/>
      <c r="S99" s="66"/>
      <c r="T99" s="69"/>
      <c r="U99" s="64"/>
      <c r="V99" s="70" t="str">
        <f aca="false">IF(B99="","",IF(NOT(ISNUMBER(G99)),"⚠ Falta fecha ingreso",IF(G99&gt;FECHA_CORTE,"Por ingresar",IF(H99="","Activo",IF(H99&lt;FECHA_CORTE,"Desvinculado","Activo (egreso programado)")))))</f>
        <v/>
      </c>
      <c r="W99" s="70" t="str">
        <f aca="false">IF(OR(B99="",NOT(ISNUMBER(G99))),"",IF(G99&gt;FECHA_CORTE,"",DATEDIF(G99,IF(H99="",FECHA_CORTE,MIN(H99,FECHA_CORTE))+1,"y")&amp;" a "&amp;DATEDIF(G99,IF(H99="",FECHA_CORTE,MIN(H99,FECHA_CORTE))+1,"ym")&amp;" m"))</f>
        <v/>
      </c>
      <c r="X99" s="71" t="str">
        <f aca="false">IF(B99="","",IFERROR(INDEX(C_SUELDO,MATCH(B99&amp;"-S"&amp;MAX(1,COUNTIFS(C_ID,B99,C_SUELDO,"&lt;&gt;",C_INICIO,"&lt;="&amp;FECHA_CORTE)),C_CLAVES,0)),0))</f>
        <v/>
      </c>
      <c r="Y99" s="70" t="str">
        <f aca="false">IF(B99="","",IFERROR(INDEX(C_TIPO,MATCH(B99&amp;"-P"&amp;MAX(1,COUNTIFS(C_ID,B99,C_DEFINE,"Sí",C_INICIO,"&lt;="&amp;FECHA_CORTE)),C_CLAVE,0))&amp;"","Sin contrato"))</f>
        <v/>
      </c>
      <c r="Z99" s="70" t="str">
        <f aca="false">IF(B99="","",IF(COUNTIF(T_ID,B99)&gt;1,"⚠ ID duplicado",IF(Y99="Sin contrato","⚠ Registrar el contrato en la hoja Contratos",IF(AND(LEFT(V99,6)="Activo",X99&lt;IMM_HOY*MIN(1,IF(N(J99)=0,JORNADA_LEGAL,J99)/JORNADA_LEGAL)),"⚠ Sueldo base bajo el ingreso mínimo",IF(O99="","⚠ Falta AFP",IF(P99="","⚠ Falta sistema de salud",IF(AND(P99="Isapre",N(Q99)=0),"⚠ Falta plan Isapre (UF)",IF(AND(N(J99)&gt;JORNADA_LEGAL,LEFT(V99,6)="Activo"),"⚠ Jornada sobre el máximo legal","OK"))))))))</f>
        <v/>
      </c>
      <c r="AA99" s="72" t="str">
        <f aca="false">IFERROR(IF(AND(B99&lt;&gt;"",ISNUMBER(G99)),IF(AND(G99&lt;=EOMONTH(ENVIO_PER,0),OR(H99="",H99&gt;=ENVIO_PER)),MAX(AA$6:AA98)+1,""),""),"")</f>
        <v/>
      </c>
    </row>
    <row r="100" customFormat="false" ht="15" hidden="false" customHeight="false" outlineLevel="0" collapsed="false">
      <c r="B100" s="64"/>
      <c r="C100" s="64"/>
      <c r="D100" s="64"/>
      <c r="E100" s="64"/>
      <c r="F100" s="64"/>
      <c r="G100" s="65"/>
      <c r="H100" s="65"/>
      <c r="I100" s="64"/>
      <c r="J100" s="66"/>
      <c r="K100" s="64"/>
      <c r="L100" s="67"/>
      <c r="M100" s="67"/>
      <c r="N100" s="67"/>
      <c r="O100" s="64"/>
      <c r="P100" s="64"/>
      <c r="Q100" s="68"/>
      <c r="R100" s="66"/>
      <c r="S100" s="66"/>
      <c r="T100" s="69"/>
      <c r="U100" s="64"/>
      <c r="V100" s="70" t="str">
        <f aca="false">IF(B100="","",IF(NOT(ISNUMBER(G100)),"⚠ Falta fecha ingreso",IF(G100&gt;FECHA_CORTE,"Por ingresar",IF(H100="","Activo",IF(H100&lt;FECHA_CORTE,"Desvinculado","Activo (egreso programado)")))))</f>
        <v/>
      </c>
      <c r="W100" s="70" t="str">
        <f aca="false">IF(OR(B100="",NOT(ISNUMBER(G100))),"",IF(G100&gt;FECHA_CORTE,"",DATEDIF(G100,IF(H100="",FECHA_CORTE,MIN(H100,FECHA_CORTE))+1,"y")&amp;" a "&amp;DATEDIF(G100,IF(H100="",FECHA_CORTE,MIN(H100,FECHA_CORTE))+1,"ym")&amp;" m"))</f>
        <v/>
      </c>
      <c r="X100" s="71" t="str">
        <f aca="false">IF(B100="","",IFERROR(INDEX(C_SUELDO,MATCH(B100&amp;"-S"&amp;MAX(1,COUNTIFS(C_ID,B100,C_SUELDO,"&lt;&gt;",C_INICIO,"&lt;="&amp;FECHA_CORTE)),C_CLAVES,0)),0))</f>
        <v/>
      </c>
      <c r="Y100" s="70" t="str">
        <f aca="false">IF(B100="","",IFERROR(INDEX(C_TIPO,MATCH(B100&amp;"-P"&amp;MAX(1,COUNTIFS(C_ID,B100,C_DEFINE,"Sí",C_INICIO,"&lt;="&amp;FECHA_CORTE)),C_CLAVE,0))&amp;"","Sin contrato"))</f>
        <v/>
      </c>
      <c r="Z100" s="70" t="str">
        <f aca="false">IF(B100="","",IF(COUNTIF(T_ID,B100)&gt;1,"⚠ ID duplicado",IF(Y100="Sin contrato","⚠ Registrar el contrato en la hoja Contratos",IF(AND(LEFT(V100,6)="Activo",X100&lt;IMM_HOY*MIN(1,IF(N(J100)=0,JORNADA_LEGAL,J100)/JORNADA_LEGAL)),"⚠ Sueldo base bajo el ingreso mínimo",IF(O100="","⚠ Falta AFP",IF(P100="","⚠ Falta sistema de salud",IF(AND(P100="Isapre",N(Q100)=0),"⚠ Falta plan Isapre (UF)",IF(AND(N(J100)&gt;JORNADA_LEGAL,LEFT(V100,6)="Activo"),"⚠ Jornada sobre el máximo legal","OK"))))))))</f>
        <v/>
      </c>
      <c r="AA100" s="72" t="str">
        <f aca="false">IFERROR(IF(AND(B100&lt;&gt;"",ISNUMBER(G100)),IF(AND(G100&lt;=EOMONTH(ENVIO_PER,0),OR(H100="",H100&gt;=ENVIO_PER)),MAX(AA$6:AA99)+1,""),""),"")</f>
        <v/>
      </c>
    </row>
    <row r="101" customFormat="false" ht="15" hidden="false" customHeight="false" outlineLevel="0" collapsed="false">
      <c r="B101" s="64"/>
      <c r="C101" s="64"/>
      <c r="D101" s="64"/>
      <c r="E101" s="64"/>
      <c r="F101" s="64"/>
      <c r="G101" s="65"/>
      <c r="H101" s="65"/>
      <c r="I101" s="64"/>
      <c r="J101" s="66"/>
      <c r="K101" s="64"/>
      <c r="L101" s="67"/>
      <c r="M101" s="67"/>
      <c r="N101" s="67"/>
      <c r="O101" s="64"/>
      <c r="P101" s="64"/>
      <c r="Q101" s="68"/>
      <c r="R101" s="66"/>
      <c r="S101" s="66"/>
      <c r="T101" s="69"/>
      <c r="U101" s="64"/>
      <c r="V101" s="70" t="str">
        <f aca="false">IF(B101="","",IF(NOT(ISNUMBER(G101)),"⚠ Falta fecha ingreso",IF(G101&gt;FECHA_CORTE,"Por ingresar",IF(H101="","Activo",IF(H101&lt;FECHA_CORTE,"Desvinculado","Activo (egreso programado)")))))</f>
        <v/>
      </c>
      <c r="W101" s="70" t="str">
        <f aca="false">IF(OR(B101="",NOT(ISNUMBER(G101))),"",IF(G101&gt;FECHA_CORTE,"",DATEDIF(G101,IF(H101="",FECHA_CORTE,MIN(H101,FECHA_CORTE))+1,"y")&amp;" a "&amp;DATEDIF(G101,IF(H101="",FECHA_CORTE,MIN(H101,FECHA_CORTE))+1,"ym")&amp;" m"))</f>
        <v/>
      </c>
      <c r="X101" s="71" t="str">
        <f aca="false">IF(B101="","",IFERROR(INDEX(C_SUELDO,MATCH(B101&amp;"-S"&amp;MAX(1,COUNTIFS(C_ID,B101,C_SUELDO,"&lt;&gt;",C_INICIO,"&lt;="&amp;FECHA_CORTE)),C_CLAVES,0)),0))</f>
        <v/>
      </c>
      <c r="Y101" s="70" t="str">
        <f aca="false">IF(B101="","",IFERROR(INDEX(C_TIPO,MATCH(B101&amp;"-P"&amp;MAX(1,COUNTIFS(C_ID,B101,C_DEFINE,"Sí",C_INICIO,"&lt;="&amp;FECHA_CORTE)),C_CLAVE,0))&amp;"","Sin contrato"))</f>
        <v/>
      </c>
      <c r="Z101" s="70" t="str">
        <f aca="false">IF(B101="","",IF(COUNTIF(T_ID,B101)&gt;1,"⚠ ID duplicado",IF(Y101="Sin contrato","⚠ Registrar el contrato en la hoja Contratos",IF(AND(LEFT(V101,6)="Activo",X101&lt;IMM_HOY*MIN(1,IF(N(J101)=0,JORNADA_LEGAL,J101)/JORNADA_LEGAL)),"⚠ Sueldo base bajo el ingreso mínimo",IF(O101="","⚠ Falta AFP",IF(P101="","⚠ Falta sistema de salud",IF(AND(P101="Isapre",N(Q101)=0),"⚠ Falta plan Isapre (UF)",IF(AND(N(J101)&gt;JORNADA_LEGAL,LEFT(V101,6)="Activo"),"⚠ Jornada sobre el máximo legal","OK"))))))))</f>
        <v/>
      </c>
      <c r="AA101" s="72" t="str">
        <f aca="false">IFERROR(IF(AND(B101&lt;&gt;"",ISNUMBER(G101)),IF(AND(G101&lt;=EOMONTH(ENVIO_PER,0),OR(H101="",H101&gt;=ENVIO_PER)),MAX(AA$6:AA100)+1,""),""),"")</f>
        <v/>
      </c>
    </row>
    <row r="102" customFormat="false" ht="15" hidden="false" customHeight="false" outlineLevel="0" collapsed="false">
      <c r="B102" s="64"/>
      <c r="C102" s="64"/>
      <c r="D102" s="64"/>
      <c r="E102" s="64"/>
      <c r="F102" s="64"/>
      <c r="G102" s="65"/>
      <c r="H102" s="65"/>
      <c r="I102" s="64"/>
      <c r="J102" s="66"/>
      <c r="K102" s="64"/>
      <c r="L102" s="67"/>
      <c r="M102" s="67"/>
      <c r="N102" s="67"/>
      <c r="O102" s="64"/>
      <c r="P102" s="64"/>
      <c r="Q102" s="68"/>
      <c r="R102" s="66"/>
      <c r="S102" s="66"/>
      <c r="T102" s="69"/>
      <c r="U102" s="64"/>
      <c r="V102" s="70" t="str">
        <f aca="false">IF(B102="","",IF(NOT(ISNUMBER(G102)),"⚠ Falta fecha ingreso",IF(G102&gt;FECHA_CORTE,"Por ingresar",IF(H102="","Activo",IF(H102&lt;FECHA_CORTE,"Desvinculado","Activo (egreso programado)")))))</f>
        <v/>
      </c>
      <c r="W102" s="70" t="str">
        <f aca="false">IF(OR(B102="",NOT(ISNUMBER(G102))),"",IF(G102&gt;FECHA_CORTE,"",DATEDIF(G102,IF(H102="",FECHA_CORTE,MIN(H102,FECHA_CORTE))+1,"y")&amp;" a "&amp;DATEDIF(G102,IF(H102="",FECHA_CORTE,MIN(H102,FECHA_CORTE))+1,"ym")&amp;" m"))</f>
        <v/>
      </c>
      <c r="X102" s="71" t="str">
        <f aca="false">IF(B102="","",IFERROR(INDEX(C_SUELDO,MATCH(B102&amp;"-S"&amp;MAX(1,COUNTIFS(C_ID,B102,C_SUELDO,"&lt;&gt;",C_INICIO,"&lt;="&amp;FECHA_CORTE)),C_CLAVES,0)),0))</f>
        <v/>
      </c>
      <c r="Y102" s="70" t="str">
        <f aca="false">IF(B102="","",IFERROR(INDEX(C_TIPO,MATCH(B102&amp;"-P"&amp;MAX(1,COUNTIFS(C_ID,B102,C_DEFINE,"Sí",C_INICIO,"&lt;="&amp;FECHA_CORTE)),C_CLAVE,0))&amp;"","Sin contrato"))</f>
        <v/>
      </c>
      <c r="Z102" s="70" t="str">
        <f aca="false">IF(B102="","",IF(COUNTIF(T_ID,B102)&gt;1,"⚠ ID duplicado",IF(Y102="Sin contrato","⚠ Registrar el contrato en la hoja Contratos",IF(AND(LEFT(V102,6)="Activo",X102&lt;IMM_HOY*MIN(1,IF(N(J102)=0,JORNADA_LEGAL,J102)/JORNADA_LEGAL)),"⚠ Sueldo base bajo el ingreso mínimo",IF(O102="","⚠ Falta AFP",IF(P102="","⚠ Falta sistema de salud",IF(AND(P102="Isapre",N(Q102)=0),"⚠ Falta plan Isapre (UF)",IF(AND(N(J102)&gt;JORNADA_LEGAL,LEFT(V102,6)="Activo"),"⚠ Jornada sobre el máximo legal","OK"))))))))</f>
        <v/>
      </c>
      <c r="AA102" s="72" t="str">
        <f aca="false">IFERROR(IF(AND(B102&lt;&gt;"",ISNUMBER(G102)),IF(AND(G102&lt;=EOMONTH(ENVIO_PER,0),OR(H102="",H102&gt;=ENVIO_PER)),MAX(AA$6:AA101)+1,""),""),"")</f>
        <v/>
      </c>
    </row>
    <row r="103" customFormat="false" ht="15" hidden="false" customHeight="false" outlineLevel="0" collapsed="false">
      <c r="B103" s="64"/>
      <c r="C103" s="64"/>
      <c r="D103" s="64"/>
      <c r="E103" s="64"/>
      <c r="F103" s="64"/>
      <c r="G103" s="65"/>
      <c r="H103" s="65"/>
      <c r="I103" s="64"/>
      <c r="J103" s="66"/>
      <c r="K103" s="64"/>
      <c r="L103" s="67"/>
      <c r="M103" s="67"/>
      <c r="N103" s="67"/>
      <c r="O103" s="64"/>
      <c r="P103" s="64"/>
      <c r="Q103" s="68"/>
      <c r="R103" s="66"/>
      <c r="S103" s="66"/>
      <c r="T103" s="69"/>
      <c r="U103" s="64"/>
      <c r="V103" s="70" t="str">
        <f aca="false">IF(B103="","",IF(NOT(ISNUMBER(G103)),"⚠ Falta fecha ingreso",IF(G103&gt;FECHA_CORTE,"Por ingresar",IF(H103="","Activo",IF(H103&lt;FECHA_CORTE,"Desvinculado","Activo (egreso programado)")))))</f>
        <v/>
      </c>
      <c r="W103" s="70" t="str">
        <f aca="false">IF(OR(B103="",NOT(ISNUMBER(G103))),"",IF(G103&gt;FECHA_CORTE,"",DATEDIF(G103,IF(H103="",FECHA_CORTE,MIN(H103,FECHA_CORTE))+1,"y")&amp;" a "&amp;DATEDIF(G103,IF(H103="",FECHA_CORTE,MIN(H103,FECHA_CORTE))+1,"ym")&amp;" m"))</f>
        <v/>
      </c>
      <c r="X103" s="71" t="str">
        <f aca="false">IF(B103="","",IFERROR(INDEX(C_SUELDO,MATCH(B103&amp;"-S"&amp;MAX(1,COUNTIFS(C_ID,B103,C_SUELDO,"&lt;&gt;",C_INICIO,"&lt;="&amp;FECHA_CORTE)),C_CLAVES,0)),0))</f>
        <v/>
      </c>
      <c r="Y103" s="70" t="str">
        <f aca="false">IF(B103="","",IFERROR(INDEX(C_TIPO,MATCH(B103&amp;"-P"&amp;MAX(1,COUNTIFS(C_ID,B103,C_DEFINE,"Sí",C_INICIO,"&lt;="&amp;FECHA_CORTE)),C_CLAVE,0))&amp;"","Sin contrato"))</f>
        <v/>
      </c>
      <c r="Z103" s="70" t="str">
        <f aca="false">IF(B103="","",IF(COUNTIF(T_ID,B103)&gt;1,"⚠ ID duplicado",IF(Y103="Sin contrato","⚠ Registrar el contrato en la hoja Contratos",IF(AND(LEFT(V103,6)="Activo",X103&lt;IMM_HOY*MIN(1,IF(N(J103)=0,JORNADA_LEGAL,J103)/JORNADA_LEGAL)),"⚠ Sueldo base bajo el ingreso mínimo",IF(O103="","⚠ Falta AFP",IF(P103="","⚠ Falta sistema de salud",IF(AND(P103="Isapre",N(Q103)=0),"⚠ Falta plan Isapre (UF)",IF(AND(N(J103)&gt;JORNADA_LEGAL,LEFT(V103,6)="Activo"),"⚠ Jornada sobre el máximo legal","OK"))))))))</f>
        <v/>
      </c>
      <c r="AA103" s="72" t="str">
        <f aca="false">IFERROR(IF(AND(B103&lt;&gt;"",ISNUMBER(G103)),IF(AND(G103&lt;=EOMONTH(ENVIO_PER,0),OR(H103="",H103&gt;=ENVIO_PER)),MAX(AA$6:AA102)+1,""),""),"")</f>
        <v/>
      </c>
    </row>
    <row r="104" customFormat="false" ht="15" hidden="false" customHeight="false" outlineLevel="0" collapsed="false">
      <c r="B104" s="64"/>
      <c r="C104" s="64"/>
      <c r="D104" s="64"/>
      <c r="E104" s="64"/>
      <c r="F104" s="64"/>
      <c r="G104" s="65"/>
      <c r="H104" s="65"/>
      <c r="I104" s="64"/>
      <c r="J104" s="66"/>
      <c r="K104" s="64"/>
      <c r="L104" s="67"/>
      <c r="M104" s="67"/>
      <c r="N104" s="67"/>
      <c r="O104" s="64"/>
      <c r="P104" s="64"/>
      <c r="Q104" s="68"/>
      <c r="R104" s="66"/>
      <c r="S104" s="66"/>
      <c r="T104" s="69"/>
      <c r="U104" s="64"/>
      <c r="V104" s="70" t="str">
        <f aca="false">IF(B104="","",IF(NOT(ISNUMBER(G104)),"⚠ Falta fecha ingreso",IF(G104&gt;FECHA_CORTE,"Por ingresar",IF(H104="","Activo",IF(H104&lt;FECHA_CORTE,"Desvinculado","Activo (egreso programado)")))))</f>
        <v/>
      </c>
      <c r="W104" s="70" t="str">
        <f aca="false">IF(OR(B104="",NOT(ISNUMBER(G104))),"",IF(G104&gt;FECHA_CORTE,"",DATEDIF(G104,IF(H104="",FECHA_CORTE,MIN(H104,FECHA_CORTE))+1,"y")&amp;" a "&amp;DATEDIF(G104,IF(H104="",FECHA_CORTE,MIN(H104,FECHA_CORTE))+1,"ym")&amp;" m"))</f>
        <v/>
      </c>
      <c r="X104" s="71" t="str">
        <f aca="false">IF(B104="","",IFERROR(INDEX(C_SUELDO,MATCH(B104&amp;"-S"&amp;MAX(1,COUNTIFS(C_ID,B104,C_SUELDO,"&lt;&gt;",C_INICIO,"&lt;="&amp;FECHA_CORTE)),C_CLAVES,0)),0))</f>
        <v/>
      </c>
      <c r="Y104" s="70" t="str">
        <f aca="false">IF(B104="","",IFERROR(INDEX(C_TIPO,MATCH(B104&amp;"-P"&amp;MAX(1,COUNTIFS(C_ID,B104,C_DEFINE,"Sí",C_INICIO,"&lt;="&amp;FECHA_CORTE)),C_CLAVE,0))&amp;"","Sin contrato"))</f>
        <v/>
      </c>
      <c r="Z104" s="70" t="str">
        <f aca="false">IF(B104="","",IF(COUNTIF(T_ID,B104)&gt;1,"⚠ ID duplicado",IF(Y104="Sin contrato","⚠ Registrar el contrato en la hoja Contratos",IF(AND(LEFT(V104,6)="Activo",X104&lt;IMM_HOY*MIN(1,IF(N(J104)=0,JORNADA_LEGAL,J104)/JORNADA_LEGAL)),"⚠ Sueldo base bajo el ingreso mínimo",IF(O104="","⚠ Falta AFP",IF(P104="","⚠ Falta sistema de salud",IF(AND(P104="Isapre",N(Q104)=0),"⚠ Falta plan Isapre (UF)",IF(AND(N(J104)&gt;JORNADA_LEGAL,LEFT(V104,6)="Activo"),"⚠ Jornada sobre el máximo legal","OK"))))))))</f>
        <v/>
      </c>
      <c r="AA104" s="72" t="str">
        <f aca="false">IFERROR(IF(AND(B104&lt;&gt;"",ISNUMBER(G104)),IF(AND(G104&lt;=EOMONTH(ENVIO_PER,0),OR(H104="",H104&gt;=ENVIO_PER)),MAX(AA$6:AA103)+1,""),""),"")</f>
        <v/>
      </c>
    </row>
    <row r="105" customFormat="false" ht="15" hidden="false" customHeight="false" outlineLevel="0" collapsed="false">
      <c r="B105" s="64"/>
      <c r="C105" s="64"/>
      <c r="D105" s="64"/>
      <c r="E105" s="64"/>
      <c r="F105" s="64"/>
      <c r="G105" s="65"/>
      <c r="H105" s="65"/>
      <c r="I105" s="64"/>
      <c r="J105" s="66"/>
      <c r="K105" s="64"/>
      <c r="L105" s="67"/>
      <c r="M105" s="67"/>
      <c r="N105" s="67"/>
      <c r="O105" s="64"/>
      <c r="P105" s="64"/>
      <c r="Q105" s="68"/>
      <c r="R105" s="66"/>
      <c r="S105" s="66"/>
      <c r="T105" s="69"/>
      <c r="U105" s="64"/>
      <c r="V105" s="70" t="str">
        <f aca="false">IF(B105="","",IF(NOT(ISNUMBER(G105)),"⚠ Falta fecha ingreso",IF(G105&gt;FECHA_CORTE,"Por ingresar",IF(H105="","Activo",IF(H105&lt;FECHA_CORTE,"Desvinculado","Activo (egreso programado)")))))</f>
        <v/>
      </c>
      <c r="W105" s="70" t="str">
        <f aca="false">IF(OR(B105="",NOT(ISNUMBER(G105))),"",IF(G105&gt;FECHA_CORTE,"",DATEDIF(G105,IF(H105="",FECHA_CORTE,MIN(H105,FECHA_CORTE))+1,"y")&amp;" a "&amp;DATEDIF(G105,IF(H105="",FECHA_CORTE,MIN(H105,FECHA_CORTE))+1,"ym")&amp;" m"))</f>
        <v/>
      </c>
      <c r="X105" s="71" t="str">
        <f aca="false">IF(B105="","",IFERROR(INDEX(C_SUELDO,MATCH(B105&amp;"-S"&amp;MAX(1,COUNTIFS(C_ID,B105,C_SUELDO,"&lt;&gt;",C_INICIO,"&lt;="&amp;FECHA_CORTE)),C_CLAVES,0)),0))</f>
        <v/>
      </c>
      <c r="Y105" s="70" t="str">
        <f aca="false">IF(B105="","",IFERROR(INDEX(C_TIPO,MATCH(B105&amp;"-P"&amp;MAX(1,COUNTIFS(C_ID,B105,C_DEFINE,"Sí",C_INICIO,"&lt;="&amp;FECHA_CORTE)),C_CLAVE,0))&amp;"","Sin contrato"))</f>
        <v/>
      </c>
      <c r="Z105" s="70" t="str">
        <f aca="false">IF(B105="","",IF(COUNTIF(T_ID,B105)&gt;1,"⚠ ID duplicado",IF(Y105="Sin contrato","⚠ Registrar el contrato en la hoja Contratos",IF(AND(LEFT(V105,6)="Activo",X105&lt;IMM_HOY*MIN(1,IF(N(J105)=0,JORNADA_LEGAL,J105)/JORNADA_LEGAL)),"⚠ Sueldo base bajo el ingreso mínimo",IF(O105="","⚠ Falta AFP",IF(P105="","⚠ Falta sistema de salud",IF(AND(P105="Isapre",N(Q105)=0),"⚠ Falta plan Isapre (UF)",IF(AND(N(J105)&gt;JORNADA_LEGAL,LEFT(V105,6)="Activo"),"⚠ Jornada sobre el máximo legal","OK"))))))))</f>
        <v/>
      </c>
      <c r="AA105" s="72" t="str">
        <f aca="false">IFERROR(IF(AND(B105&lt;&gt;"",ISNUMBER(G105)),IF(AND(G105&lt;=EOMONTH(ENVIO_PER,0),OR(H105="",H105&gt;=ENVIO_PER)),MAX(AA$6:AA104)+1,""),""),"")</f>
        <v/>
      </c>
    </row>
    <row r="106" customFormat="false" ht="15" hidden="false" customHeight="false" outlineLevel="0" collapsed="false">
      <c r="B106" s="64"/>
      <c r="C106" s="64"/>
      <c r="D106" s="64"/>
      <c r="E106" s="64"/>
      <c r="F106" s="64"/>
      <c r="G106" s="65"/>
      <c r="H106" s="65"/>
      <c r="I106" s="64"/>
      <c r="J106" s="66"/>
      <c r="K106" s="64"/>
      <c r="L106" s="67"/>
      <c r="M106" s="67"/>
      <c r="N106" s="67"/>
      <c r="O106" s="64"/>
      <c r="P106" s="64"/>
      <c r="Q106" s="68"/>
      <c r="R106" s="66"/>
      <c r="S106" s="66"/>
      <c r="T106" s="69"/>
      <c r="U106" s="64"/>
      <c r="V106" s="70" t="str">
        <f aca="false">IF(B106="","",IF(NOT(ISNUMBER(G106)),"⚠ Falta fecha ingreso",IF(G106&gt;FECHA_CORTE,"Por ingresar",IF(H106="","Activo",IF(H106&lt;FECHA_CORTE,"Desvinculado","Activo (egreso programado)")))))</f>
        <v/>
      </c>
      <c r="W106" s="70" t="str">
        <f aca="false">IF(OR(B106="",NOT(ISNUMBER(G106))),"",IF(G106&gt;FECHA_CORTE,"",DATEDIF(G106,IF(H106="",FECHA_CORTE,MIN(H106,FECHA_CORTE))+1,"y")&amp;" a "&amp;DATEDIF(G106,IF(H106="",FECHA_CORTE,MIN(H106,FECHA_CORTE))+1,"ym")&amp;" m"))</f>
        <v/>
      </c>
      <c r="X106" s="71" t="str">
        <f aca="false">IF(B106="","",IFERROR(INDEX(C_SUELDO,MATCH(B106&amp;"-S"&amp;MAX(1,COUNTIFS(C_ID,B106,C_SUELDO,"&lt;&gt;",C_INICIO,"&lt;="&amp;FECHA_CORTE)),C_CLAVES,0)),0))</f>
        <v/>
      </c>
      <c r="Y106" s="70" t="str">
        <f aca="false">IF(B106="","",IFERROR(INDEX(C_TIPO,MATCH(B106&amp;"-P"&amp;MAX(1,COUNTIFS(C_ID,B106,C_DEFINE,"Sí",C_INICIO,"&lt;="&amp;FECHA_CORTE)),C_CLAVE,0))&amp;"","Sin contrato"))</f>
        <v/>
      </c>
      <c r="Z106" s="70" t="str">
        <f aca="false">IF(B106="","",IF(COUNTIF(T_ID,B106)&gt;1,"⚠ ID duplicado",IF(Y106="Sin contrato","⚠ Registrar el contrato en la hoja Contratos",IF(AND(LEFT(V106,6)="Activo",X106&lt;IMM_HOY*MIN(1,IF(N(J106)=0,JORNADA_LEGAL,J106)/JORNADA_LEGAL)),"⚠ Sueldo base bajo el ingreso mínimo",IF(O106="","⚠ Falta AFP",IF(P106="","⚠ Falta sistema de salud",IF(AND(P106="Isapre",N(Q106)=0),"⚠ Falta plan Isapre (UF)",IF(AND(N(J106)&gt;JORNADA_LEGAL,LEFT(V106,6)="Activo"),"⚠ Jornada sobre el máximo legal","OK"))))))))</f>
        <v/>
      </c>
      <c r="AA106" s="72" t="str">
        <f aca="false">IFERROR(IF(AND(B106&lt;&gt;"",ISNUMBER(G106)),IF(AND(G106&lt;=EOMONTH(ENVIO_PER,0),OR(H106="",H106&gt;=ENVIO_PER)),MAX(AA$6:AA105)+1,""),""),"")</f>
        <v/>
      </c>
    </row>
    <row r="107" customFormat="false" ht="15" hidden="false" customHeight="false" outlineLevel="0" collapsed="false">
      <c r="B107" s="64"/>
      <c r="C107" s="64"/>
      <c r="D107" s="64"/>
      <c r="E107" s="64"/>
      <c r="F107" s="64"/>
      <c r="G107" s="65"/>
      <c r="H107" s="65"/>
      <c r="I107" s="64"/>
      <c r="J107" s="66"/>
      <c r="K107" s="64"/>
      <c r="L107" s="67"/>
      <c r="M107" s="67"/>
      <c r="N107" s="67"/>
      <c r="O107" s="64"/>
      <c r="P107" s="64"/>
      <c r="Q107" s="68"/>
      <c r="R107" s="66"/>
      <c r="S107" s="66"/>
      <c r="T107" s="69"/>
      <c r="U107" s="64"/>
      <c r="V107" s="70" t="str">
        <f aca="false">IF(B107="","",IF(NOT(ISNUMBER(G107)),"⚠ Falta fecha ingreso",IF(G107&gt;FECHA_CORTE,"Por ingresar",IF(H107="","Activo",IF(H107&lt;FECHA_CORTE,"Desvinculado","Activo (egreso programado)")))))</f>
        <v/>
      </c>
      <c r="W107" s="70" t="str">
        <f aca="false">IF(OR(B107="",NOT(ISNUMBER(G107))),"",IF(G107&gt;FECHA_CORTE,"",DATEDIF(G107,IF(H107="",FECHA_CORTE,MIN(H107,FECHA_CORTE))+1,"y")&amp;" a "&amp;DATEDIF(G107,IF(H107="",FECHA_CORTE,MIN(H107,FECHA_CORTE))+1,"ym")&amp;" m"))</f>
        <v/>
      </c>
      <c r="X107" s="71" t="str">
        <f aca="false">IF(B107="","",IFERROR(INDEX(C_SUELDO,MATCH(B107&amp;"-S"&amp;MAX(1,COUNTIFS(C_ID,B107,C_SUELDO,"&lt;&gt;",C_INICIO,"&lt;="&amp;FECHA_CORTE)),C_CLAVES,0)),0))</f>
        <v/>
      </c>
      <c r="Y107" s="70" t="str">
        <f aca="false">IF(B107="","",IFERROR(INDEX(C_TIPO,MATCH(B107&amp;"-P"&amp;MAX(1,COUNTIFS(C_ID,B107,C_DEFINE,"Sí",C_INICIO,"&lt;="&amp;FECHA_CORTE)),C_CLAVE,0))&amp;"","Sin contrato"))</f>
        <v/>
      </c>
      <c r="Z107" s="70" t="str">
        <f aca="false">IF(B107="","",IF(COUNTIF(T_ID,B107)&gt;1,"⚠ ID duplicado",IF(Y107="Sin contrato","⚠ Registrar el contrato en la hoja Contratos",IF(AND(LEFT(V107,6)="Activo",X107&lt;IMM_HOY*MIN(1,IF(N(J107)=0,JORNADA_LEGAL,J107)/JORNADA_LEGAL)),"⚠ Sueldo base bajo el ingreso mínimo",IF(O107="","⚠ Falta AFP",IF(P107="","⚠ Falta sistema de salud",IF(AND(P107="Isapre",N(Q107)=0),"⚠ Falta plan Isapre (UF)",IF(AND(N(J107)&gt;JORNADA_LEGAL,LEFT(V107,6)="Activo"),"⚠ Jornada sobre el máximo legal","OK"))))))))</f>
        <v/>
      </c>
      <c r="AA107" s="72" t="str">
        <f aca="false">IFERROR(IF(AND(B107&lt;&gt;"",ISNUMBER(G107)),IF(AND(G107&lt;=EOMONTH(ENVIO_PER,0),OR(H107="",H107&gt;=ENVIO_PER)),MAX(AA$6:AA106)+1,""),""),"")</f>
        <v/>
      </c>
    </row>
    <row r="108" customFormat="false" ht="15" hidden="false" customHeight="false" outlineLevel="0" collapsed="false">
      <c r="B108" s="64"/>
      <c r="C108" s="64"/>
      <c r="D108" s="64"/>
      <c r="E108" s="64"/>
      <c r="F108" s="64"/>
      <c r="G108" s="65"/>
      <c r="H108" s="65"/>
      <c r="I108" s="64"/>
      <c r="J108" s="66"/>
      <c r="K108" s="64"/>
      <c r="L108" s="67"/>
      <c r="M108" s="67"/>
      <c r="N108" s="67"/>
      <c r="O108" s="64"/>
      <c r="P108" s="64"/>
      <c r="Q108" s="68"/>
      <c r="R108" s="66"/>
      <c r="S108" s="66"/>
      <c r="T108" s="69"/>
      <c r="U108" s="64"/>
      <c r="V108" s="70" t="str">
        <f aca="false">IF(B108="","",IF(NOT(ISNUMBER(G108)),"⚠ Falta fecha ingreso",IF(G108&gt;FECHA_CORTE,"Por ingresar",IF(H108="","Activo",IF(H108&lt;FECHA_CORTE,"Desvinculado","Activo (egreso programado)")))))</f>
        <v/>
      </c>
      <c r="W108" s="70" t="str">
        <f aca="false">IF(OR(B108="",NOT(ISNUMBER(G108))),"",IF(G108&gt;FECHA_CORTE,"",DATEDIF(G108,IF(H108="",FECHA_CORTE,MIN(H108,FECHA_CORTE))+1,"y")&amp;" a "&amp;DATEDIF(G108,IF(H108="",FECHA_CORTE,MIN(H108,FECHA_CORTE))+1,"ym")&amp;" m"))</f>
        <v/>
      </c>
      <c r="X108" s="71" t="str">
        <f aca="false">IF(B108="","",IFERROR(INDEX(C_SUELDO,MATCH(B108&amp;"-S"&amp;MAX(1,COUNTIFS(C_ID,B108,C_SUELDO,"&lt;&gt;",C_INICIO,"&lt;="&amp;FECHA_CORTE)),C_CLAVES,0)),0))</f>
        <v/>
      </c>
      <c r="Y108" s="70" t="str">
        <f aca="false">IF(B108="","",IFERROR(INDEX(C_TIPO,MATCH(B108&amp;"-P"&amp;MAX(1,COUNTIFS(C_ID,B108,C_DEFINE,"Sí",C_INICIO,"&lt;="&amp;FECHA_CORTE)),C_CLAVE,0))&amp;"","Sin contrato"))</f>
        <v/>
      </c>
      <c r="Z108" s="70" t="str">
        <f aca="false">IF(B108="","",IF(COUNTIF(T_ID,B108)&gt;1,"⚠ ID duplicado",IF(Y108="Sin contrato","⚠ Registrar el contrato en la hoja Contratos",IF(AND(LEFT(V108,6)="Activo",X108&lt;IMM_HOY*MIN(1,IF(N(J108)=0,JORNADA_LEGAL,J108)/JORNADA_LEGAL)),"⚠ Sueldo base bajo el ingreso mínimo",IF(O108="","⚠ Falta AFP",IF(P108="","⚠ Falta sistema de salud",IF(AND(P108="Isapre",N(Q108)=0),"⚠ Falta plan Isapre (UF)",IF(AND(N(J108)&gt;JORNADA_LEGAL,LEFT(V108,6)="Activo"),"⚠ Jornada sobre el máximo legal","OK"))))))))</f>
        <v/>
      </c>
      <c r="AA108" s="72" t="str">
        <f aca="false">IFERROR(IF(AND(B108&lt;&gt;"",ISNUMBER(G108)),IF(AND(G108&lt;=EOMONTH(ENVIO_PER,0),OR(H108="",H108&gt;=ENVIO_PER)),MAX(AA$6:AA107)+1,""),""),"")</f>
        <v/>
      </c>
    </row>
    <row r="109" customFormat="false" ht="15" hidden="false" customHeight="false" outlineLevel="0" collapsed="false">
      <c r="B109" s="64"/>
      <c r="C109" s="64"/>
      <c r="D109" s="64"/>
      <c r="E109" s="64"/>
      <c r="F109" s="64"/>
      <c r="G109" s="65"/>
      <c r="H109" s="65"/>
      <c r="I109" s="64"/>
      <c r="J109" s="66"/>
      <c r="K109" s="64"/>
      <c r="L109" s="67"/>
      <c r="M109" s="67"/>
      <c r="N109" s="67"/>
      <c r="O109" s="64"/>
      <c r="P109" s="64"/>
      <c r="Q109" s="68"/>
      <c r="R109" s="66"/>
      <c r="S109" s="66"/>
      <c r="T109" s="69"/>
      <c r="U109" s="64"/>
      <c r="V109" s="70" t="str">
        <f aca="false">IF(B109="","",IF(NOT(ISNUMBER(G109)),"⚠ Falta fecha ingreso",IF(G109&gt;FECHA_CORTE,"Por ingresar",IF(H109="","Activo",IF(H109&lt;FECHA_CORTE,"Desvinculado","Activo (egreso programado)")))))</f>
        <v/>
      </c>
      <c r="W109" s="70" t="str">
        <f aca="false">IF(OR(B109="",NOT(ISNUMBER(G109))),"",IF(G109&gt;FECHA_CORTE,"",DATEDIF(G109,IF(H109="",FECHA_CORTE,MIN(H109,FECHA_CORTE))+1,"y")&amp;" a "&amp;DATEDIF(G109,IF(H109="",FECHA_CORTE,MIN(H109,FECHA_CORTE))+1,"ym")&amp;" m"))</f>
        <v/>
      </c>
      <c r="X109" s="71" t="str">
        <f aca="false">IF(B109="","",IFERROR(INDEX(C_SUELDO,MATCH(B109&amp;"-S"&amp;MAX(1,COUNTIFS(C_ID,B109,C_SUELDO,"&lt;&gt;",C_INICIO,"&lt;="&amp;FECHA_CORTE)),C_CLAVES,0)),0))</f>
        <v/>
      </c>
      <c r="Y109" s="70" t="str">
        <f aca="false">IF(B109="","",IFERROR(INDEX(C_TIPO,MATCH(B109&amp;"-P"&amp;MAX(1,COUNTIFS(C_ID,B109,C_DEFINE,"Sí",C_INICIO,"&lt;="&amp;FECHA_CORTE)),C_CLAVE,0))&amp;"","Sin contrato"))</f>
        <v/>
      </c>
      <c r="Z109" s="70" t="str">
        <f aca="false">IF(B109="","",IF(COUNTIF(T_ID,B109)&gt;1,"⚠ ID duplicado",IF(Y109="Sin contrato","⚠ Registrar el contrato en la hoja Contratos",IF(AND(LEFT(V109,6)="Activo",X109&lt;IMM_HOY*MIN(1,IF(N(J109)=0,JORNADA_LEGAL,J109)/JORNADA_LEGAL)),"⚠ Sueldo base bajo el ingreso mínimo",IF(O109="","⚠ Falta AFP",IF(P109="","⚠ Falta sistema de salud",IF(AND(P109="Isapre",N(Q109)=0),"⚠ Falta plan Isapre (UF)",IF(AND(N(J109)&gt;JORNADA_LEGAL,LEFT(V109,6)="Activo"),"⚠ Jornada sobre el máximo legal","OK"))))))))</f>
        <v/>
      </c>
      <c r="AA109" s="72" t="str">
        <f aca="false">IFERROR(IF(AND(B109&lt;&gt;"",ISNUMBER(G109)),IF(AND(G109&lt;=EOMONTH(ENVIO_PER,0),OR(H109="",H109&gt;=ENVIO_PER)),MAX(AA$6:AA108)+1,""),""),"")</f>
        <v/>
      </c>
    </row>
    <row r="110" customFormat="false" ht="15" hidden="false" customHeight="false" outlineLevel="0" collapsed="false">
      <c r="B110" s="64"/>
      <c r="C110" s="64"/>
      <c r="D110" s="64"/>
      <c r="E110" s="64"/>
      <c r="F110" s="64"/>
      <c r="G110" s="65"/>
      <c r="H110" s="65"/>
      <c r="I110" s="64"/>
      <c r="J110" s="66"/>
      <c r="K110" s="64"/>
      <c r="L110" s="67"/>
      <c r="M110" s="67"/>
      <c r="N110" s="67"/>
      <c r="O110" s="64"/>
      <c r="P110" s="64"/>
      <c r="Q110" s="68"/>
      <c r="R110" s="66"/>
      <c r="S110" s="66"/>
      <c r="T110" s="69"/>
      <c r="U110" s="64"/>
      <c r="V110" s="70" t="str">
        <f aca="false">IF(B110="","",IF(NOT(ISNUMBER(G110)),"⚠ Falta fecha ingreso",IF(G110&gt;FECHA_CORTE,"Por ingresar",IF(H110="","Activo",IF(H110&lt;FECHA_CORTE,"Desvinculado","Activo (egreso programado)")))))</f>
        <v/>
      </c>
      <c r="W110" s="70" t="str">
        <f aca="false">IF(OR(B110="",NOT(ISNUMBER(G110))),"",IF(G110&gt;FECHA_CORTE,"",DATEDIF(G110,IF(H110="",FECHA_CORTE,MIN(H110,FECHA_CORTE))+1,"y")&amp;" a "&amp;DATEDIF(G110,IF(H110="",FECHA_CORTE,MIN(H110,FECHA_CORTE))+1,"ym")&amp;" m"))</f>
        <v/>
      </c>
      <c r="X110" s="71" t="str">
        <f aca="false">IF(B110="","",IFERROR(INDEX(C_SUELDO,MATCH(B110&amp;"-S"&amp;MAX(1,COUNTIFS(C_ID,B110,C_SUELDO,"&lt;&gt;",C_INICIO,"&lt;="&amp;FECHA_CORTE)),C_CLAVES,0)),0))</f>
        <v/>
      </c>
      <c r="Y110" s="70" t="str">
        <f aca="false">IF(B110="","",IFERROR(INDEX(C_TIPO,MATCH(B110&amp;"-P"&amp;MAX(1,COUNTIFS(C_ID,B110,C_DEFINE,"Sí",C_INICIO,"&lt;="&amp;FECHA_CORTE)),C_CLAVE,0))&amp;"","Sin contrato"))</f>
        <v/>
      </c>
      <c r="Z110" s="70" t="str">
        <f aca="false">IF(B110="","",IF(COUNTIF(T_ID,B110)&gt;1,"⚠ ID duplicado",IF(Y110="Sin contrato","⚠ Registrar el contrato en la hoja Contratos",IF(AND(LEFT(V110,6)="Activo",X110&lt;IMM_HOY*MIN(1,IF(N(J110)=0,JORNADA_LEGAL,J110)/JORNADA_LEGAL)),"⚠ Sueldo base bajo el ingreso mínimo",IF(O110="","⚠ Falta AFP",IF(P110="","⚠ Falta sistema de salud",IF(AND(P110="Isapre",N(Q110)=0),"⚠ Falta plan Isapre (UF)",IF(AND(N(J110)&gt;JORNADA_LEGAL,LEFT(V110,6)="Activo"),"⚠ Jornada sobre el máximo legal","OK"))))))))</f>
        <v/>
      </c>
      <c r="AA110" s="72" t="str">
        <f aca="false">IFERROR(IF(AND(B110&lt;&gt;"",ISNUMBER(G110)),IF(AND(G110&lt;=EOMONTH(ENVIO_PER,0),OR(H110="",H110&gt;=ENVIO_PER)),MAX(AA$6:AA109)+1,""),""),"")</f>
        <v/>
      </c>
    </row>
    <row r="111" customFormat="false" ht="15" hidden="false" customHeight="false" outlineLevel="0" collapsed="false">
      <c r="B111" s="64"/>
      <c r="C111" s="64"/>
      <c r="D111" s="64"/>
      <c r="E111" s="64"/>
      <c r="F111" s="64"/>
      <c r="G111" s="65"/>
      <c r="H111" s="65"/>
      <c r="I111" s="64"/>
      <c r="J111" s="66"/>
      <c r="K111" s="64"/>
      <c r="L111" s="67"/>
      <c r="M111" s="67"/>
      <c r="N111" s="67"/>
      <c r="O111" s="64"/>
      <c r="P111" s="64"/>
      <c r="Q111" s="68"/>
      <c r="R111" s="66"/>
      <c r="S111" s="66"/>
      <c r="T111" s="69"/>
      <c r="U111" s="64"/>
      <c r="V111" s="70" t="str">
        <f aca="false">IF(B111="","",IF(NOT(ISNUMBER(G111)),"⚠ Falta fecha ingreso",IF(G111&gt;FECHA_CORTE,"Por ingresar",IF(H111="","Activo",IF(H111&lt;FECHA_CORTE,"Desvinculado","Activo (egreso programado)")))))</f>
        <v/>
      </c>
      <c r="W111" s="70" t="str">
        <f aca="false">IF(OR(B111="",NOT(ISNUMBER(G111))),"",IF(G111&gt;FECHA_CORTE,"",DATEDIF(G111,IF(H111="",FECHA_CORTE,MIN(H111,FECHA_CORTE))+1,"y")&amp;" a "&amp;DATEDIF(G111,IF(H111="",FECHA_CORTE,MIN(H111,FECHA_CORTE))+1,"ym")&amp;" m"))</f>
        <v/>
      </c>
      <c r="X111" s="71" t="str">
        <f aca="false">IF(B111="","",IFERROR(INDEX(C_SUELDO,MATCH(B111&amp;"-S"&amp;MAX(1,COUNTIFS(C_ID,B111,C_SUELDO,"&lt;&gt;",C_INICIO,"&lt;="&amp;FECHA_CORTE)),C_CLAVES,0)),0))</f>
        <v/>
      </c>
      <c r="Y111" s="70" t="str">
        <f aca="false">IF(B111="","",IFERROR(INDEX(C_TIPO,MATCH(B111&amp;"-P"&amp;MAX(1,COUNTIFS(C_ID,B111,C_DEFINE,"Sí",C_INICIO,"&lt;="&amp;FECHA_CORTE)),C_CLAVE,0))&amp;"","Sin contrato"))</f>
        <v/>
      </c>
      <c r="Z111" s="70" t="str">
        <f aca="false">IF(B111="","",IF(COUNTIF(T_ID,B111)&gt;1,"⚠ ID duplicado",IF(Y111="Sin contrato","⚠ Registrar el contrato en la hoja Contratos",IF(AND(LEFT(V111,6)="Activo",X111&lt;IMM_HOY*MIN(1,IF(N(J111)=0,JORNADA_LEGAL,J111)/JORNADA_LEGAL)),"⚠ Sueldo base bajo el ingreso mínimo",IF(O111="","⚠ Falta AFP",IF(P111="","⚠ Falta sistema de salud",IF(AND(P111="Isapre",N(Q111)=0),"⚠ Falta plan Isapre (UF)",IF(AND(N(J111)&gt;JORNADA_LEGAL,LEFT(V111,6)="Activo"),"⚠ Jornada sobre el máximo legal","OK"))))))))</f>
        <v/>
      </c>
      <c r="AA111" s="72" t="str">
        <f aca="false">IFERROR(IF(AND(B111&lt;&gt;"",ISNUMBER(G111)),IF(AND(G111&lt;=EOMONTH(ENVIO_PER,0),OR(H111="",H111&gt;=ENVIO_PER)),MAX(AA$6:AA110)+1,""),""),"")</f>
        <v/>
      </c>
    </row>
    <row r="112" customFormat="false" ht="15" hidden="false" customHeight="false" outlineLevel="0" collapsed="false">
      <c r="B112" s="64"/>
      <c r="C112" s="64"/>
      <c r="D112" s="64"/>
      <c r="E112" s="64"/>
      <c r="F112" s="64"/>
      <c r="G112" s="65"/>
      <c r="H112" s="65"/>
      <c r="I112" s="64"/>
      <c r="J112" s="66"/>
      <c r="K112" s="64"/>
      <c r="L112" s="67"/>
      <c r="M112" s="67"/>
      <c r="N112" s="67"/>
      <c r="O112" s="64"/>
      <c r="P112" s="64"/>
      <c r="Q112" s="68"/>
      <c r="R112" s="66"/>
      <c r="S112" s="66"/>
      <c r="T112" s="69"/>
      <c r="U112" s="64"/>
      <c r="V112" s="70" t="str">
        <f aca="false">IF(B112="","",IF(NOT(ISNUMBER(G112)),"⚠ Falta fecha ingreso",IF(G112&gt;FECHA_CORTE,"Por ingresar",IF(H112="","Activo",IF(H112&lt;FECHA_CORTE,"Desvinculado","Activo (egreso programado)")))))</f>
        <v/>
      </c>
      <c r="W112" s="70" t="str">
        <f aca="false">IF(OR(B112="",NOT(ISNUMBER(G112))),"",IF(G112&gt;FECHA_CORTE,"",DATEDIF(G112,IF(H112="",FECHA_CORTE,MIN(H112,FECHA_CORTE))+1,"y")&amp;" a "&amp;DATEDIF(G112,IF(H112="",FECHA_CORTE,MIN(H112,FECHA_CORTE))+1,"ym")&amp;" m"))</f>
        <v/>
      </c>
      <c r="X112" s="71" t="str">
        <f aca="false">IF(B112="","",IFERROR(INDEX(C_SUELDO,MATCH(B112&amp;"-S"&amp;MAX(1,COUNTIFS(C_ID,B112,C_SUELDO,"&lt;&gt;",C_INICIO,"&lt;="&amp;FECHA_CORTE)),C_CLAVES,0)),0))</f>
        <v/>
      </c>
      <c r="Y112" s="70" t="str">
        <f aca="false">IF(B112="","",IFERROR(INDEX(C_TIPO,MATCH(B112&amp;"-P"&amp;MAX(1,COUNTIFS(C_ID,B112,C_DEFINE,"Sí",C_INICIO,"&lt;="&amp;FECHA_CORTE)),C_CLAVE,0))&amp;"","Sin contrato"))</f>
        <v/>
      </c>
      <c r="Z112" s="70" t="str">
        <f aca="false">IF(B112="","",IF(COUNTIF(T_ID,B112)&gt;1,"⚠ ID duplicado",IF(Y112="Sin contrato","⚠ Registrar el contrato en la hoja Contratos",IF(AND(LEFT(V112,6)="Activo",X112&lt;IMM_HOY*MIN(1,IF(N(J112)=0,JORNADA_LEGAL,J112)/JORNADA_LEGAL)),"⚠ Sueldo base bajo el ingreso mínimo",IF(O112="","⚠ Falta AFP",IF(P112="","⚠ Falta sistema de salud",IF(AND(P112="Isapre",N(Q112)=0),"⚠ Falta plan Isapre (UF)",IF(AND(N(J112)&gt;JORNADA_LEGAL,LEFT(V112,6)="Activo"),"⚠ Jornada sobre el máximo legal","OK"))))))))</f>
        <v/>
      </c>
      <c r="AA112" s="72" t="str">
        <f aca="false">IFERROR(IF(AND(B112&lt;&gt;"",ISNUMBER(G112)),IF(AND(G112&lt;=EOMONTH(ENVIO_PER,0),OR(H112="",H112&gt;=ENVIO_PER)),MAX(AA$6:AA111)+1,""),""),"")</f>
        <v/>
      </c>
    </row>
    <row r="113" customFormat="false" ht="15" hidden="false" customHeight="false" outlineLevel="0" collapsed="false">
      <c r="B113" s="64"/>
      <c r="C113" s="64"/>
      <c r="D113" s="64"/>
      <c r="E113" s="64"/>
      <c r="F113" s="64"/>
      <c r="G113" s="65"/>
      <c r="H113" s="65"/>
      <c r="I113" s="64"/>
      <c r="J113" s="66"/>
      <c r="K113" s="64"/>
      <c r="L113" s="67"/>
      <c r="M113" s="67"/>
      <c r="N113" s="67"/>
      <c r="O113" s="64"/>
      <c r="P113" s="64"/>
      <c r="Q113" s="68"/>
      <c r="R113" s="66"/>
      <c r="S113" s="66"/>
      <c r="T113" s="69"/>
      <c r="U113" s="64"/>
      <c r="V113" s="70" t="str">
        <f aca="false">IF(B113="","",IF(NOT(ISNUMBER(G113)),"⚠ Falta fecha ingreso",IF(G113&gt;FECHA_CORTE,"Por ingresar",IF(H113="","Activo",IF(H113&lt;FECHA_CORTE,"Desvinculado","Activo (egreso programado)")))))</f>
        <v/>
      </c>
      <c r="W113" s="70" t="str">
        <f aca="false">IF(OR(B113="",NOT(ISNUMBER(G113))),"",IF(G113&gt;FECHA_CORTE,"",DATEDIF(G113,IF(H113="",FECHA_CORTE,MIN(H113,FECHA_CORTE))+1,"y")&amp;" a "&amp;DATEDIF(G113,IF(H113="",FECHA_CORTE,MIN(H113,FECHA_CORTE))+1,"ym")&amp;" m"))</f>
        <v/>
      </c>
      <c r="X113" s="71" t="str">
        <f aca="false">IF(B113="","",IFERROR(INDEX(C_SUELDO,MATCH(B113&amp;"-S"&amp;MAX(1,COUNTIFS(C_ID,B113,C_SUELDO,"&lt;&gt;",C_INICIO,"&lt;="&amp;FECHA_CORTE)),C_CLAVES,0)),0))</f>
        <v/>
      </c>
      <c r="Y113" s="70" t="str">
        <f aca="false">IF(B113="","",IFERROR(INDEX(C_TIPO,MATCH(B113&amp;"-P"&amp;MAX(1,COUNTIFS(C_ID,B113,C_DEFINE,"Sí",C_INICIO,"&lt;="&amp;FECHA_CORTE)),C_CLAVE,0))&amp;"","Sin contrato"))</f>
        <v/>
      </c>
      <c r="Z113" s="70" t="str">
        <f aca="false">IF(B113="","",IF(COUNTIF(T_ID,B113)&gt;1,"⚠ ID duplicado",IF(Y113="Sin contrato","⚠ Registrar el contrato en la hoja Contratos",IF(AND(LEFT(V113,6)="Activo",X113&lt;IMM_HOY*MIN(1,IF(N(J113)=0,JORNADA_LEGAL,J113)/JORNADA_LEGAL)),"⚠ Sueldo base bajo el ingreso mínimo",IF(O113="","⚠ Falta AFP",IF(P113="","⚠ Falta sistema de salud",IF(AND(P113="Isapre",N(Q113)=0),"⚠ Falta plan Isapre (UF)",IF(AND(N(J113)&gt;JORNADA_LEGAL,LEFT(V113,6)="Activo"),"⚠ Jornada sobre el máximo legal","OK"))))))))</f>
        <v/>
      </c>
      <c r="AA113" s="72" t="str">
        <f aca="false">IFERROR(IF(AND(B113&lt;&gt;"",ISNUMBER(G113)),IF(AND(G113&lt;=EOMONTH(ENVIO_PER,0),OR(H113="",H113&gt;=ENVIO_PER)),MAX(AA$6:AA112)+1,""),""),"")</f>
        <v/>
      </c>
    </row>
    <row r="114" customFormat="false" ht="15" hidden="false" customHeight="false" outlineLevel="0" collapsed="false">
      <c r="B114" s="64"/>
      <c r="C114" s="64"/>
      <c r="D114" s="64"/>
      <c r="E114" s="64"/>
      <c r="F114" s="64"/>
      <c r="G114" s="65"/>
      <c r="H114" s="65"/>
      <c r="I114" s="64"/>
      <c r="J114" s="66"/>
      <c r="K114" s="64"/>
      <c r="L114" s="67"/>
      <c r="M114" s="67"/>
      <c r="N114" s="67"/>
      <c r="O114" s="64"/>
      <c r="P114" s="64"/>
      <c r="Q114" s="68"/>
      <c r="R114" s="66"/>
      <c r="S114" s="66"/>
      <c r="T114" s="69"/>
      <c r="U114" s="64"/>
      <c r="V114" s="70" t="str">
        <f aca="false">IF(B114="","",IF(NOT(ISNUMBER(G114)),"⚠ Falta fecha ingreso",IF(G114&gt;FECHA_CORTE,"Por ingresar",IF(H114="","Activo",IF(H114&lt;FECHA_CORTE,"Desvinculado","Activo (egreso programado)")))))</f>
        <v/>
      </c>
      <c r="W114" s="70" t="str">
        <f aca="false">IF(OR(B114="",NOT(ISNUMBER(G114))),"",IF(G114&gt;FECHA_CORTE,"",DATEDIF(G114,IF(H114="",FECHA_CORTE,MIN(H114,FECHA_CORTE))+1,"y")&amp;" a "&amp;DATEDIF(G114,IF(H114="",FECHA_CORTE,MIN(H114,FECHA_CORTE))+1,"ym")&amp;" m"))</f>
        <v/>
      </c>
      <c r="X114" s="71" t="str">
        <f aca="false">IF(B114="","",IFERROR(INDEX(C_SUELDO,MATCH(B114&amp;"-S"&amp;MAX(1,COUNTIFS(C_ID,B114,C_SUELDO,"&lt;&gt;",C_INICIO,"&lt;="&amp;FECHA_CORTE)),C_CLAVES,0)),0))</f>
        <v/>
      </c>
      <c r="Y114" s="70" t="str">
        <f aca="false">IF(B114="","",IFERROR(INDEX(C_TIPO,MATCH(B114&amp;"-P"&amp;MAX(1,COUNTIFS(C_ID,B114,C_DEFINE,"Sí",C_INICIO,"&lt;="&amp;FECHA_CORTE)),C_CLAVE,0))&amp;"","Sin contrato"))</f>
        <v/>
      </c>
      <c r="Z114" s="70" t="str">
        <f aca="false">IF(B114="","",IF(COUNTIF(T_ID,B114)&gt;1,"⚠ ID duplicado",IF(Y114="Sin contrato","⚠ Registrar el contrato en la hoja Contratos",IF(AND(LEFT(V114,6)="Activo",X114&lt;IMM_HOY*MIN(1,IF(N(J114)=0,JORNADA_LEGAL,J114)/JORNADA_LEGAL)),"⚠ Sueldo base bajo el ingreso mínimo",IF(O114="","⚠ Falta AFP",IF(P114="","⚠ Falta sistema de salud",IF(AND(P114="Isapre",N(Q114)=0),"⚠ Falta plan Isapre (UF)",IF(AND(N(J114)&gt;JORNADA_LEGAL,LEFT(V114,6)="Activo"),"⚠ Jornada sobre el máximo legal","OK"))))))))</f>
        <v/>
      </c>
      <c r="AA114" s="72" t="str">
        <f aca="false">IFERROR(IF(AND(B114&lt;&gt;"",ISNUMBER(G114)),IF(AND(G114&lt;=EOMONTH(ENVIO_PER,0),OR(H114="",H114&gt;=ENVIO_PER)),MAX(AA$6:AA113)+1,""),""),"")</f>
        <v/>
      </c>
    </row>
    <row r="115" customFormat="false" ht="15" hidden="false" customHeight="false" outlineLevel="0" collapsed="false">
      <c r="B115" s="64"/>
      <c r="C115" s="64"/>
      <c r="D115" s="64"/>
      <c r="E115" s="64"/>
      <c r="F115" s="64"/>
      <c r="G115" s="65"/>
      <c r="H115" s="65"/>
      <c r="I115" s="64"/>
      <c r="J115" s="66"/>
      <c r="K115" s="64"/>
      <c r="L115" s="67"/>
      <c r="M115" s="67"/>
      <c r="N115" s="67"/>
      <c r="O115" s="64"/>
      <c r="P115" s="64"/>
      <c r="Q115" s="68"/>
      <c r="R115" s="66"/>
      <c r="S115" s="66"/>
      <c r="T115" s="69"/>
      <c r="U115" s="64"/>
      <c r="V115" s="70" t="str">
        <f aca="false">IF(B115="","",IF(NOT(ISNUMBER(G115)),"⚠ Falta fecha ingreso",IF(G115&gt;FECHA_CORTE,"Por ingresar",IF(H115="","Activo",IF(H115&lt;FECHA_CORTE,"Desvinculado","Activo (egreso programado)")))))</f>
        <v/>
      </c>
      <c r="W115" s="70" t="str">
        <f aca="false">IF(OR(B115="",NOT(ISNUMBER(G115))),"",IF(G115&gt;FECHA_CORTE,"",DATEDIF(G115,IF(H115="",FECHA_CORTE,MIN(H115,FECHA_CORTE))+1,"y")&amp;" a "&amp;DATEDIF(G115,IF(H115="",FECHA_CORTE,MIN(H115,FECHA_CORTE))+1,"ym")&amp;" m"))</f>
        <v/>
      </c>
      <c r="X115" s="71" t="str">
        <f aca="false">IF(B115="","",IFERROR(INDEX(C_SUELDO,MATCH(B115&amp;"-S"&amp;MAX(1,COUNTIFS(C_ID,B115,C_SUELDO,"&lt;&gt;",C_INICIO,"&lt;="&amp;FECHA_CORTE)),C_CLAVES,0)),0))</f>
        <v/>
      </c>
      <c r="Y115" s="70" t="str">
        <f aca="false">IF(B115="","",IFERROR(INDEX(C_TIPO,MATCH(B115&amp;"-P"&amp;MAX(1,COUNTIFS(C_ID,B115,C_DEFINE,"Sí",C_INICIO,"&lt;="&amp;FECHA_CORTE)),C_CLAVE,0))&amp;"","Sin contrato"))</f>
        <v/>
      </c>
      <c r="Z115" s="70" t="str">
        <f aca="false">IF(B115="","",IF(COUNTIF(T_ID,B115)&gt;1,"⚠ ID duplicado",IF(Y115="Sin contrato","⚠ Registrar el contrato en la hoja Contratos",IF(AND(LEFT(V115,6)="Activo",X115&lt;IMM_HOY*MIN(1,IF(N(J115)=0,JORNADA_LEGAL,J115)/JORNADA_LEGAL)),"⚠ Sueldo base bajo el ingreso mínimo",IF(O115="","⚠ Falta AFP",IF(P115="","⚠ Falta sistema de salud",IF(AND(P115="Isapre",N(Q115)=0),"⚠ Falta plan Isapre (UF)",IF(AND(N(J115)&gt;JORNADA_LEGAL,LEFT(V115,6)="Activo"),"⚠ Jornada sobre el máximo legal","OK"))))))))</f>
        <v/>
      </c>
      <c r="AA115" s="72" t="str">
        <f aca="false">IFERROR(IF(AND(B115&lt;&gt;"",ISNUMBER(G115)),IF(AND(G115&lt;=EOMONTH(ENVIO_PER,0),OR(H115="",H115&gt;=ENVIO_PER)),MAX(AA$6:AA114)+1,""),""),"")</f>
        <v/>
      </c>
    </row>
    <row r="116" customFormat="false" ht="15" hidden="false" customHeight="false" outlineLevel="0" collapsed="false">
      <c r="B116" s="64"/>
      <c r="C116" s="64"/>
      <c r="D116" s="64"/>
      <c r="E116" s="64"/>
      <c r="F116" s="64"/>
      <c r="G116" s="65"/>
      <c r="H116" s="65"/>
      <c r="I116" s="64"/>
      <c r="J116" s="66"/>
      <c r="K116" s="64"/>
      <c r="L116" s="67"/>
      <c r="M116" s="67"/>
      <c r="N116" s="67"/>
      <c r="O116" s="64"/>
      <c r="P116" s="64"/>
      <c r="Q116" s="68"/>
      <c r="R116" s="66"/>
      <c r="S116" s="66"/>
      <c r="T116" s="69"/>
      <c r="U116" s="64"/>
      <c r="V116" s="70" t="str">
        <f aca="false">IF(B116="","",IF(NOT(ISNUMBER(G116)),"⚠ Falta fecha ingreso",IF(G116&gt;FECHA_CORTE,"Por ingresar",IF(H116="","Activo",IF(H116&lt;FECHA_CORTE,"Desvinculado","Activo (egreso programado)")))))</f>
        <v/>
      </c>
      <c r="W116" s="70" t="str">
        <f aca="false">IF(OR(B116="",NOT(ISNUMBER(G116))),"",IF(G116&gt;FECHA_CORTE,"",DATEDIF(G116,IF(H116="",FECHA_CORTE,MIN(H116,FECHA_CORTE))+1,"y")&amp;" a "&amp;DATEDIF(G116,IF(H116="",FECHA_CORTE,MIN(H116,FECHA_CORTE))+1,"ym")&amp;" m"))</f>
        <v/>
      </c>
      <c r="X116" s="71" t="str">
        <f aca="false">IF(B116="","",IFERROR(INDEX(C_SUELDO,MATCH(B116&amp;"-S"&amp;MAX(1,COUNTIFS(C_ID,B116,C_SUELDO,"&lt;&gt;",C_INICIO,"&lt;="&amp;FECHA_CORTE)),C_CLAVES,0)),0))</f>
        <v/>
      </c>
      <c r="Y116" s="70" t="str">
        <f aca="false">IF(B116="","",IFERROR(INDEX(C_TIPO,MATCH(B116&amp;"-P"&amp;MAX(1,COUNTIFS(C_ID,B116,C_DEFINE,"Sí",C_INICIO,"&lt;="&amp;FECHA_CORTE)),C_CLAVE,0))&amp;"","Sin contrato"))</f>
        <v/>
      </c>
      <c r="Z116" s="70" t="str">
        <f aca="false">IF(B116="","",IF(COUNTIF(T_ID,B116)&gt;1,"⚠ ID duplicado",IF(Y116="Sin contrato","⚠ Registrar el contrato en la hoja Contratos",IF(AND(LEFT(V116,6)="Activo",X116&lt;IMM_HOY*MIN(1,IF(N(J116)=0,JORNADA_LEGAL,J116)/JORNADA_LEGAL)),"⚠ Sueldo base bajo el ingreso mínimo",IF(O116="","⚠ Falta AFP",IF(P116="","⚠ Falta sistema de salud",IF(AND(P116="Isapre",N(Q116)=0),"⚠ Falta plan Isapre (UF)",IF(AND(N(J116)&gt;JORNADA_LEGAL,LEFT(V116,6)="Activo"),"⚠ Jornada sobre el máximo legal","OK"))))))))</f>
        <v/>
      </c>
      <c r="AA116" s="72" t="str">
        <f aca="false">IFERROR(IF(AND(B116&lt;&gt;"",ISNUMBER(G116)),IF(AND(G116&lt;=EOMONTH(ENVIO_PER,0),OR(H116="",H116&gt;=ENVIO_PER)),MAX(AA$6:AA115)+1,""),""),"")</f>
        <v/>
      </c>
    </row>
    <row r="117" customFormat="false" ht="15" hidden="false" customHeight="false" outlineLevel="0" collapsed="false">
      <c r="B117" s="64"/>
      <c r="C117" s="64"/>
      <c r="D117" s="64"/>
      <c r="E117" s="64"/>
      <c r="F117" s="64"/>
      <c r="G117" s="65"/>
      <c r="H117" s="65"/>
      <c r="I117" s="64"/>
      <c r="J117" s="66"/>
      <c r="K117" s="64"/>
      <c r="L117" s="67"/>
      <c r="M117" s="67"/>
      <c r="N117" s="67"/>
      <c r="O117" s="64"/>
      <c r="P117" s="64"/>
      <c r="Q117" s="68"/>
      <c r="R117" s="66"/>
      <c r="S117" s="66"/>
      <c r="T117" s="69"/>
      <c r="U117" s="64"/>
      <c r="V117" s="70" t="str">
        <f aca="false">IF(B117="","",IF(NOT(ISNUMBER(G117)),"⚠ Falta fecha ingreso",IF(G117&gt;FECHA_CORTE,"Por ingresar",IF(H117="","Activo",IF(H117&lt;FECHA_CORTE,"Desvinculado","Activo (egreso programado)")))))</f>
        <v/>
      </c>
      <c r="W117" s="70" t="str">
        <f aca="false">IF(OR(B117="",NOT(ISNUMBER(G117))),"",IF(G117&gt;FECHA_CORTE,"",DATEDIF(G117,IF(H117="",FECHA_CORTE,MIN(H117,FECHA_CORTE))+1,"y")&amp;" a "&amp;DATEDIF(G117,IF(H117="",FECHA_CORTE,MIN(H117,FECHA_CORTE))+1,"ym")&amp;" m"))</f>
        <v/>
      </c>
      <c r="X117" s="71" t="str">
        <f aca="false">IF(B117="","",IFERROR(INDEX(C_SUELDO,MATCH(B117&amp;"-S"&amp;MAX(1,COUNTIFS(C_ID,B117,C_SUELDO,"&lt;&gt;",C_INICIO,"&lt;="&amp;FECHA_CORTE)),C_CLAVES,0)),0))</f>
        <v/>
      </c>
      <c r="Y117" s="70" t="str">
        <f aca="false">IF(B117="","",IFERROR(INDEX(C_TIPO,MATCH(B117&amp;"-P"&amp;MAX(1,COUNTIFS(C_ID,B117,C_DEFINE,"Sí",C_INICIO,"&lt;="&amp;FECHA_CORTE)),C_CLAVE,0))&amp;"","Sin contrato"))</f>
        <v/>
      </c>
      <c r="Z117" s="70" t="str">
        <f aca="false">IF(B117="","",IF(COUNTIF(T_ID,B117)&gt;1,"⚠ ID duplicado",IF(Y117="Sin contrato","⚠ Registrar el contrato en la hoja Contratos",IF(AND(LEFT(V117,6)="Activo",X117&lt;IMM_HOY*MIN(1,IF(N(J117)=0,JORNADA_LEGAL,J117)/JORNADA_LEGAL)),"⚠ Sueldo base bajo el ingreso mínimo",IF(O117="","⚠ Falta AFP",IF(P117="","⚠ Falta sistema de salud",IF(AND(P117="Isapre",N(Q117)=0),"⚠ Falta plan Isapre (UF)",IF(AND(N(J117)&gt;JORNADA_LEGAL,LEFT(V117,6)="Activo"),"⚠ Jornada sobre el máximo legal","OK"))))))))</f>
        <v/>
      </c>
      <c r="AA117" s="72" t="str">
        <f aca="false">IFERROR(IF(AND(B117&lt;&gt;"",ISNUMBER(G117)),IF(AND(G117&lt;=EOMONTH(ENVIO_PER,0),OR(H117="",H117&gt;=ENVIO_PER)),MAX(AA$6:AA116)+1,""),""),"")</f>
        <v/>
      </c>
    </row>
    <row r="118" customFormat="false" ht="15" hidden="false" customHeight="false" outlineLevel="0" collapsed="false">
      <c r="B118" s="64"/>
      <c r="C118" s="64"/>
      <c r="D118" s="64"/>
      <c r="E118" s="64"/>
      <c r="F118" s="64"/>
      <c r="G118" s="65"/>
      <c r="H118" s="65"/>
      <c r="I118" s="64"/>
      <c r="J118" s="66"/>
      <c r="K118" s="64"/>
      <c r="L118" s="67"/>
      <c r="M118" s="67"/>
      <c r="N118" s="67"/>
      <c r="O118" s="64"/>
      <c r="P118" s="64"/>
      <c r="Q118" s="68"/>
      <c r="R118" s="66"/>
      <c r="S118" s="66"/>
      <c r="T118" s="69"/>
      <c r="U118" s="64"/>
      <c r="V118" s="70" t="str">
        <f aca="false">IF(B118="","",IF(NOT(ISNUMBER(G118)),"⚠ Falta fecha ingreso",IF(G118&gt;FECHA_CORTE,"Por ingresar",IF(H118="","Activo",IF(H118&lt;FECHA_CORTE,"Desvinculado","Activo (egreso programado)")))))</f>
        <v/>
      </c>
      <c r="W118" s="70" t="str">
        <f aca="false">IF(OR(B118="",NOT(ISNUMBER(G118))),"",IF(G118&gt;FECHA_CORTE,"",DATEDIF(G118,IF(H118="",FECHA_CORTE,MIN(H118,FECHA_CORTE))+1,"y")&amp;" a "&amp;DATEDIF(G118,IF(H118="",FECHA_CORTE,MIN(H118,FECHA_CORTE))+1,"ym")&amp;" m"))</f>
        <v/>
      </c>
      <c r="X118" s="71" t="str">
        <f aca="false">IF(B118="","",IFERROR(INDEX(C_SUELDO,MATCH(B118&amp;"-S"&amp;MAX(1,COUNTIFS(C_ID,B118,C_SUELDO,"&lt;&gt;",C_INICIO,"&lt;="&amp;FECHA_CORTE)),C_CLAVES,0)),0))</f>
        <v/>
      </c>
      <c r="Y118" s="70" t="str">
        <f aca="false">IF(B118="","",IFERROR(INDEX(C_TIPO,MATCH(B118&amp;"-P"&amp;MAX(1,COUNTIFS(C_ID,B118,C_DEFINE,"Sí",C_INICIO,"&lt;="&amp;FECHA_CORTE)),C_CLAVE,0))&amp;"","Sin contrato"))</f>
        <v/>
      </c>
      <c r="Z118" s="70" t="str">
        <f aca="false">IF(B118="","",IF(COUNTIF(T_ID,B118)&gt;1,"⚠ ID duplicado",IF(Y118="Sin contrato","⚠ Registrar el contrato en la hoja Contratos",IF(AND(LEFT(V118,6)="Activo",X118&lt;IMM_HOY*MIN(1,IF(N(J118)=0,JORNADA_LEGAL,J118)/JORNADA_LEGAL)),"⚠ Sueldo base bajo el ingreso mínimo",IF(O118="","⚠ Falta AFP",IF(P118="","⚠ Falta sistema de salud",IF(AND(P118="Isapre",N(Q118)=0),"⚠ Falta plan Isapre (UF)",IF(AND(N(J118)&gt;JORNADA_LEGAL,LEFT(V118,6)="Activo"),"⚠ Jornada sobre el máximo legal","OK"))))))))</f>
        <v/>
      </c>
      <c r="AA118" s="72" t="str">
        <f aca="false">IFERROR(IF(AND(B118&lt;&gt;"",ISNUMBER(G118)),IF(AND(G118&lt;=EOMONTH(ENVIO_PER,0),OR(H118="",H118&gt;=ENVIO_PER)),MAX(AA$6:AA117)+1,""),""),"")</f>
        <v/>
      </c>
    </row>
    <row r="119" customFormat="false" ht="15" hidden="false" customHeight="false" outlineLevel="0" collapsed="false">
      <c r="B119" s="64"/>
      <c r="C119" s="64"/>
      <c r="D119" s="64"/>
      <c r="E119" s="64"/>
      <c r="F119" s="64"/>
      <c r="G119" s="65"/>
      <c r="H119" s="65"/>
      <c r="I119" s="64"/>
      <c r="J119" s="66"/>
      <c r="K119" s="64"/>
      <c r="L119" s="67"/>
      <c r="M119" s="67"/>
      <c r="N119" s="67"/>
      <c r="O119" s="64"/>
      <c r="P119" s="64"/>
      <c r="Q119" s="68"/>
      <c r="R119" s="66"/>
      <c r="S119" s="66"/>
      <c r="T119" s="69"/>
      <c r="U119" s="64"/>
      <c r="V119" s="70" t="str">
        <f aca="false">IF(B119="","",IF(NOT(ISNUMBER(G119)),"⚠ Falta fecha ingreso",IF(G119&gt;FECHA_CORTE,"Por ingresar",IF(H119="","Activo",IF(H119&lt;FECHA_CORTE,"Desvinculado","Activo (egreso programado)")))))</f>
        <v/>
      </c>
      <c r="W119" s="70" t="str">
        <f aca="false">IF(OR(B119="",NOT(ISNUMBER(G119))),"",IF(G119&gt;FECHA_CORTE,"",DATEDIF(G119,IF(H119="",FECHA_CORTE,MIN(H119,FECHA_CORTE))+1,"y")&amp;" a "&amp;DATEDIF(G119,IF(H119="",FECHA_CORTE,MIN(H119,FECHA_CORTE))+1,"ym")&amp;" m"))</f>
        <v/>
      </c>
      <c r="X119" s="71" t="str">
        <f aca="false">IF(B119="","",IFERROR(INDEX(C_SUELDO,MATCH(B119&amp;"-S"&amp;MAX(1,COUNTIFS(C_ID,B119,C_SUELDO,"&lt;&gt;",C_INICIO,"&lt;="&amp;FECHA_CORTE)),C_CLAVES,0)),0))</f>
        <v/>
      </c>
      <c r="Y119" s="70" t="str">
        <f aca="false">IF(B119="","",IFERROR(INDEX(C_TIPO,MATCH(B119&amp;"-P"&amp;MAX(1,COUNTIFS(C_ID,B119,C_DEFINE,"Sí",C_INICIO,"&lt;="&amp;FECHA_CORTE)),C_CLAVE,0))&amp;"","Sin contrato"))</f>
        <v/>
      </c>
      <c r="Z119" s="70" t="str">
        <f aca="false">IF(B119="","",IF(COUNTIF(T_ID,B119)&gt;1,"⚠ ID duplicado",IF(Y119="Sin contrato","⚠ Registrar el contrato en la hoja Contratos",IF(AND(LEFT(V119,6)="Activo",X119&lt;IMM_HOY*MIN(1,IF(N(J119)=0,JORNADA_LEGAL,J119)/JORNADA_LEGAL)),"⚠ Sueldo base bajo el ingreso mínimo",IF(O119="","⚠ Falta AFP",IF(P119="","⚠ Falta sistema de salud",IF(AND(P119="Isapre",N(Q119)=0),"⚠ Falta plan Isapre (UF)",IF(AND(N(J119)&gt;JORNADA_LEGAL,LEFT(V119,6)="Activo"),"⚠ Jornada sobre el máximo legal","OK"))))))))</f>
        <v/>
      </c>
      <c r="AA119" s="72" t="str">
        <f aca="false">IFERROR(IF(AND(B119&lt;&gt;"",ISNUMBER(G119)),IF(AND(G119&lt;=EOMONTH(ENVIO_PER,0),OR(H119="",H119&gt;=ENVIO_PER)),MAX(AA$6:AA118)+1,""),""),"")</f>
        <v/>
      </c>
    </row>
    <row r="120" customFormat="false" ht="15" hidden="false" customHeight="false" outlineLevel="0" collapsed="false">
      <c r="B120" s="64"/>
      <c r="C120" s="64"/>
      <c r="D120" s="64"/>
      <c r="E120" s="64"/>
      <c r="F120" s="64"/>
      <c r="G120" s="65"/>
      <c r="H120" s="65"/>
      <c r="I120" s="64"/>
      <c r="J120" s="66"/>
      <c r="K120" s="64"/>
      <c r="L120" s="67"/>
      <c r="M120" s="67"/>
      <c r="N120" s="67"/>
      <c r="O120" s="64"/>
      <c r="P120" s="64"/>
      <c r="Q120" s="68"/>
      <c r="R120" s="66"/>
      <c r="S120" s="66"/>
      <c r="T120" s="69"/>
      <c r="U120" s="64"/>
      <c r="V120" s="70" t="str">
        <f aca="false">IF(B120="","",IF(NOT(ISNUMBER(G120)),"⚠ Falta fecha ingreso",IF(G120&gt;FECHA_CORTE,"Por ingresar",IF(H120="","Activo",IF(H120&lt;FECHA_CORTE,"Desvinculado","Activo (egreso programado)")))))</f>
        <v/>
      </c>
      <c r="W120" s="70" t="str">
        <f aca="false">IF(OR(B120="",NOT(ISNUMBER(G120))),"",IF(G120&gt;FECHA_CORTE,"",DATEDIF(G120,IF(H120="",FECHA_CORTE,MIN(H120,FECHA_CORTE))+1,"y")&amp;" a "&amp;DATEDIF(G120,IF(H120="",FECHA_CORTE,MIN(H120,FECHA_CORTE))+1,"ym")&amp;" m"))</f>
        <v/>
      </c>
      <c r="X120" s="71" t="str">
        <f aca="false">IF(B120="","",IFERROR(INDEX(C_SUELDO,MATCH(B120&amp;"-S"&amp;MAX(1,COUNTIFS(C_ID,B120,C_SUELDO,"&lt;&gt;",C_INICIO,"&lt;="&amp;FECHA_CORTE)),C_CLAVES,0)),0))</f>
        <v/>
      </c>
      <c r="Y120" s="70" t="str">
        <f aca="false">IF(B120="","",IFERROR(INDEX(C_TIPO,MATCH(B120&amp;"-P"&amp;MAX(1,COUNTIFS(C_ID,B120,C_DEFINE,"Sí",C_INICIO,"&lt;="&amp;FECHA_CORTE)),C_CLAVE,0))&amp;"","Sin contrato"))</f>
        <v/>
      </c>
      <c r="Z120" s="70" t="str">
        <f aca="false">IF(B120="","",IF(COUNTIF(T_ID,B120)&gt;1,"⚠ ID duplicado",IF(Y120="Sin contrato","⚠ Registrar el contrato en la hoja Contratos",IF(AND(LEFT(V120,6)="Activo",X120&lt;IMM_HOY*MIN(1,IF(N(J120)=0,JORNADA_LEGAL,J120)/JORNADA_LEGAL)),"⚠ Sueldo base bajo el ingreso mínimo",IF(O120="","⚠ Falta AFP",IF(P120="","⚠ Falta sistema de salud",IF(AND(P120="Isapre",N(Q120)=0),"⚠ Falta plan Isapre (UF)",IF(AND(N(J120)&gt;JORNADA_LEGAL,LEFT(V120,6)="Activo"),"⚠ Jornada sobre el máximo legal","OK"))))))))</f>
        <v/>
      </c>
      <c r="AA120" s="72" t="str">
        <f aca="false">IFERROR(IF(AND(B120&lt;&gt;"",ISNUMBER(G120)),IF(AND(G120&lt;=EOMONTH(ENVIO_PER,0),OR(H120="",H120&gt;=ENVIO_PER)),MAX(AA$6:AA119)+1,""),""),"")</f>
        <v/>
      </c>
    </row>
    <row r="121" customFormat="false" ht="15" hidden="false" customHeight="false" outlineLevel="0" collapsed="false">
      <c r="B121" s="64"/>
      <c r="C121" s="64"/>
      <c r="D121" s="64"/>
      <c r="E121" s="64"/>
      <c r="F121" s="64"/>
      <c r="G121" s="65"/>
      <c r="H121" s="65"/>
      <c r="I121" s="64"/>
      <c r="J121" s="66"/>
      <c r="K121" s="64"/>
      <c r="L121" s="67"/>
      <c r="M121" s="67"/>
      <c r="N121" s="67"/>
      <c r="O121" s="64"/>
      <c r="P121" s="64"/>
      <c r="Q121" s="68"/>
      <c r="R121" s="66"/>
      <c r="S121" s="66"/>
      <c r="T121" s="69"/>
      <c r="U121" s="64"/>
      <c r="V121" s="70" t="str">
        <f aca="false">IF(B121="","",IF(NOT(ISNUMBER(G121)),"⚠ Falta fecha ingreso",IF(G121&gt;FECHA_CORTE,"Por ingresar",IF(H121="","Activo",IF(H121&lt;FECHA_CORTE,"Desvinculado","Activo (egreso programado)")))))</f>
        <v/>
      </c>
      <c r="W121" s="70" t="str">
        <f aca="false">IF(OR(B121="",NOT(ISNUMBER(G121))),"",IF(G121&gt;FECHA_CORTE,"",DATEDIF(G121,IF(H121="",FECHA_CORTE,MIN(H121,FECHA_CORTE))+1,"y")&amp;" a "&amp;DATEDIF(G121,IF(H121="",FECHA_CORTE,MIN(H121,FECHA_CORTE))+1,"ym")&amp;" m"))</f>
        <v/>
      </c>
      <c r="X121" s="71" t="str">
        <f aca="false">IF(B121="","",IFERROR(INDEX(C_SUELDO,MATCH(B121&amp;"-S"&amp;MAX(1,COUNTIFS(C_ID,B121,C_SUELDO,"&lt;&gt;",C_INICIO,"&lt;="&amp;FECHA_CORTE)),C_CLAVES,0)),0))</f>
        <v/>
      </c>
      <c r="Y121" s="70" t="str">
        <f aca="false">IF(B121="","",IFERROR(INDEX(C_TIPO,MATCH(B121&amp;"-P"&amp;MAX(1,COUNTIFS(C_ID,B121,C_DEFINE,"Sí",C_INICIO,"&lt;="&amp;FECHA_CORTE)),C_CLAVE,0))&amp;"","Sin contrato"))</f>
        <v/>
      </c>
      <c r="Z121" s="70" t="str">
        <f aca="false">IF(B121="","",IF(COUNTIF(T_ID,B121)&gt;1,"⚠ ID duplicado",IF(Y121="Sin contrato","⚠ Registrar el contrato en la hoja Contratos",IF(AND(LEFT(V121,6)="Activo",X121&lt;IMM_HOY*MIN(1,IF(N(J121)=0,JORNADA_LEGAL,J121)/JORNADA_LEGAL)),"⚠ Sueldo base bajo el ingreso mínimo",IF(O121="","⚠ Falta AFP",IF(P121="","⚠ Falta sistema de salud",IF(AND(P121="Isapre",N(Q121)=0),"⚠ Falta plan Isapre (UF)",IF(AND(N(J121)&gt;JORNADA_LEGAL,LEFT(V121,6)="Activo"),"⚠ Jornada sobre el máximo legal","OK"))))))))</f>
        <v/>
      </c>
      <c r="AA121" s="72" t="str">
        <f aca="false">IFERROR(IF(AND(B121&lt;&gt;"",ISNUMBER(G121)),IF(AND(G121&lt;=EOMONTH(ENVIO_PER,0),OR(H121="",H121&gt;=ENVIO_PER)),MAX(AA$6:AA120)+1,""),""),"")</f>
        <v/>
      </c>
    </row>
    <row r="122" customFormat="false" ht="15" hidden="false" customHeight="false" outlineLevel="0" collapsed="false">
      <c r="B122" s="64"/>
      <c r="C122" s="64"/>
      <c r="D122" s="64"/>
      <c r="E122" s="64"/>
      <c r="F122" s="64"/>
      <c r="G122" s="65"/>
      <c r="H122" s="65"/>
      <c r="I122" s="64"/>
      <c r="J122" s="66"/>
      <c r="K122" s="64"/>
      <c r="L122" s="67"/>
      <c r="M122" s="67"/>
      <c r="N122" s="67"/>
      <c r="O122" s="64"/>
      <c r="P122" s="64"/>
      <c r="Q122" s="68"/>
      <c r="R122" s="66"/>
      <c r="S122" s="66"/>
      <c r="T122" s="69"/>
      <c r="U122" s="64"/>
      <c r="V122" s="70" t="str">
        <f aca="false">IF(B122="","",IF(NOT(ISNUMBER(G122)),"⚠ Falta fecha ingreso",IF(G122&gt;FECHA_CORTE,"Por ingresar",IF(H122="","Activo",IF(H122&lt;FECHA_CORTE,"Desvinculado","Activo (egreso programado)")))))</f>
        <v/>
      </c>
      <c r="W122" s="70" t="str">
        <f aca="false">IF(OR(B122="",NOT(ISNUMBER(G122))),"",IF(G122&gt;FECHA_CORTE,"",DATEDIF(G122,IF(H122="",FECHA_CORTE,MIN(H122,FECHA_CORTE))+1,"y")&amp;" a "&amp;DATEDIF(G122,IF(H122="",FECHA_CORTE,MIN(H122,FECHA_CORTE))+1,"ym")&amp;" m"))</f>
        <v/>
      </c>
      <c r="X122" s="71" t="str">
        <f aca="false">IF(B122="","",IFERROR(INDEX(C_SUELDO,MATCH(B122&amp;"-S"&amp;MAX(1,COUNTIFS(C_ID,B122,C_SUELDO,"&lt;&gt;",C_INICIO,"&lt;="&amp;FECHA_CORTE)),C_CLAVES,0)),0))</f>
        <v/>
      </c>
      <c r="Y122" s="70" t="str">
        <f aca="false">IF(B122="","",IFERROR(INDEX(C_TIPO,MATCH(B122&amp;"-P"&amp;MAX(1,COUNTIFS(C_ID,B122,C_DEFINE,"Sí",C_INICIO,"&lt;="&amp;FECHA_CORTE)),C_CLAVE,0))&amp;"","Sin contrato"))</f>
        <v/>
      </c>
      <c r="Z122" s="70" t="str">
        <f aca="false">IF(B122="","",IF(COUNTIF(T_ID,B122)&gt;1,"⚠ ID duplicado",IF(Y122="Sin contrato","⚠ Registrar el contrato en la hoja Contratos",IF(AND(LEFT(V122,6)="Activo",X122&lt;IMM_HOY*MIN(1,IF(N(J122)=0,JORNADA_LEGAL,J122)/JORNADA_LEGAL)),"⚠ Sueldo base bajo el ingreso mínimo",IF(O122="","⚠ Falta AFP",IF(P122="","⚠ Falta sistema de salud",IF(AND(P122="Isapre",N(Q122)=0),"⚠ Falta plan Isapre (UF)",IF(AND(N(J122)&gt;JORNADA_LEGAL,LEFT(V122,6)="Activo"),"⚠ Jornada sobre el máximo legal","OK"))))))))</f>
        <v/>
      </c>
      <c r="AA122" s="72" t="str">
        <f aca="false">IFERROR(IF(AND(B122&lt;&gt;"",ISNUMBER(G122)),IF(AND(G122&lt;=EOMONTH(ENVIO_PER,0),OR(H122="",H122&gt;=ENVIO_PER)),MAX(AA$6:AA121)+1,""),""),"")</f>
        <v/>
      </c>
    </row>
    <row r="123" customFormat="false" ht="15" hidden="false" customHeight="false" outlineLevel="0" collapsed="false">
      <c r="B123" s="64"/>
      <c r="C123" s="64"/>
      <c r="D123" s="64"/>
      <c r="E123" s="64"/>
      <c r="F123" s="64"/>
      <c r="G123" s="65"/>
      <c r="H123" s="65"/>
      <c r="I123" s="64"/>
      <c r="J123" s="66"/>
      <c r="K123" s="64"/>
      <c r="L123" s="67"/>
      <c r="M123" s="67"/>
      <c r="N123" s="67"/>
      <c r="O123" s="64"/>
      <c r="P123" s="64"/>
      <c r="Q123" s="68"/>
      <c r="R123" s="66"/>
      <c r="S123" s="66"/>
      <c r="T123" s="69"/>
      <c r="U123" s="64"/>
      <c r="V123" s="70" t="str">
        <f aca="false">IF(B123="","",IF(NOT(ISNUMBER(G123)),"⚠ Falta fecha ingreso",IF(G123&gt;FECHA_CORTE,"Por ingresar",IF(H123="","Activo",IF(H123&lt;FECHA_CORTE,"Desvinculado","Activo (egreso programado)")))))</f>
        <v/>
      </c>
      <c r="W123" s="70" t="str">
        <f aca="false">IF(OR(B123="",NOT(ISNUMBER(G123))),"",IF(G123&gt;FECHA_CORTE,"",DATEDIF(G123,IF(H123="",FECHA_CORTE,MIN(H123,FECHA_CORTE))+1,"y")&amp;" a "&amp;DATEDIF(G123,IF(H123="",FECHA_CORTE,MIN(H123,FECHA_CORTE))+1,"ym")&amp;" m"))</f>
        <v/>
      </c>
      <c r="X123" s="71" t="str">
        <f aca="false">IF(B123="","",IFERROR(INDEX(C_SUELDO,MATCH(B123&amp;"-S"&amp;MAX(1,COUNTIFS(C_ID,B123,C_SUELDO,"&lt;&gt;",C_INICIO,"&lt;="&amp;FECHA_CORTE)),C_CLAVES,0)),0))</f>
        <v/>
      </c>
      <c r="Y123" s="70" t="str">
        <f aca="false">IF(B123="","",IFERROR(INDEX(C_TIPO,MATCH(B123&amp;"-P"&amp;MAX(1,COUNTIFS(C_ID,B123,C_DEFINE,"Sí",C_INICIO,"&lt;="&amp;FECHA_CORTE)),C_CLAVE,0))&amp;"","Sin contrato"))</f>
        <v/>
      </c>
      <c r="Z123" s="70" t="str">
        <f aca="false">IF(B123="","",IF(COUNTIF(T_ID,B123)&gt;1,"⚠ ID duplicado",IF(Y123="Sin contrato","⚠ Registrar el contrato en la hoja Contratos",IF(AND(LEFT(V123,6)="Activo",X123&lt;IMM_HOY*MIN(1,IF(N(J123)=0,JORNADA_LEGAL,J123)/JORNADA_LEGAL)),"⚠ Sueldo base bajo el ingreso mínimo",IF(O123="","⚠ Falta AFP",IF(P123="","⚠ Falta sistema de salud",IF(AND(P123="Isapre",N(Q123)=0),"⚠ Falta plan Isapre (UF)",IF(AND(N(J123)&gt;JORNADA_LEGAL,LEFT(V123,6)="Activo"),"⚠ Jornada sobre el máximo legal","OK"))))))))</f>
        <v/>
      </c>
      <c r="AA123" s="72" t="str">
        <f aca="false">IFERROR(IF(AND(B123&lt;&gt;"",ISNUMBER(G123)),IF(AND(G123&lt;=EOMONTH(ENVIO_PER,0),OR(H123="",H123&gt;=ENVIO_PER)),MAX(AA$6:AA122)+1,""),""),"")</f>
        <v/>
      </c>
    </row>
    <row r="124" customFormat="false" ht="15" hidden="false" customHeight="false" outlineLevel="0" collapsed="false">
      <c r="B124" s="64"/>
      <c r="C124" s="64"/>
      <c r="D124" s="64"/>
      <c r="E124" s="64"/>
      <c r="F124" s="64"/>
      <c r="G124" s="65"/>
      <c r="H124" s="65"/>
      <c r="I124" s="64"/>
      <c r="J124" s="66"/>
      <c r="K124" s="64"/>
      <c r="L124" s="67"/>
      <c r="M124" s="67"/>
      <c r="N124" s="67"/>
      <c r="O124" s="64"/>
      <c r="P124" s="64"/>
      <c r="Q124" s="68"/>
      <c r="R124" s="66"/>
      <c r="S124" s="66"/>
      <c r="T124" s="69"/>
      <c r="U124" s="64"/>
      <c r="V124" s="70" t="str">
        <f aca="false">IF(B124="","",IF(NOT(ISNUMBER(G124)),"⚠ Falta fecha ingreso",IF(G124&gt;FECHA_CORTE,"Por ingresar",IF(H124="","Activo",IF(H124&lt;FECHA_CORTE,"Desvinculado","Activo (egreso programado)")))))</f>
        <v/>
      </c>
      <c r="W124" s="70" t="str">
        <f aca="false">IF(OR(B124="",NOT(ISNUMBER(G124))),"",IF(G124&gt;FECHA_CORTE,"",DATEDIF(G124,IF(H124="",FECHA_CORTE,MIN(H124,FECHA_CORTE))+1,"y")&amp;" a "&amp;DATEDIF(G124,IF(H124="",FECHA_CORTE,MIN(H124,FECHA_CORTE))+1,"ym")&amp;" m"))</f>
        <v/>
      </c>
      <c r="X124" s="71" t="str">
        <f aca="false">IF(B124="","",IFERROR(INDEX(C_SUELDO,MATCH(B124&amp;"-S"&amp;MAX(1,COUNTIFS(C_ID,B124,C_SUELDO,"&lt;&gt;",C_INICIO,"&lt;="&amp;FECHA_CORTE)),C_CLAVES,0)),0))</f>
        <v/>
      </c>
      <c r="Y124" s="70" t="str">
        <f aca="false">IF(B124="","",IFERROR(INDEX(C_TIPO,MATCH(B124&amp;"-P"&amp;MAX(1,COUNTIFS(C_ID,B124,C_DEFINE,"Sí",C_INICIO,"&lt;="&amp;FECHA_CORTE)),C_CLAVE,0))&amp;"","Sin contrato"))</f>
        <v/>
      </c>
      <c r="Z124" s="70" t="str">
        <f aca="false">IF(B124="","",IF(COUNTIF(T_ID,B124)&gt;1,"⚠ ID duplicado",IF(Y124="Sin contrato","⚠ Registrar el contrato en la hoja Contratos",IF(AND(LEFT(V124,6)="Activo",X124&lt;IMM_HOY*MIN(1,IF(N(J124)=0,JORNADA_LEGAL,J124)/JORNADA_LEGAL)),"⚠ Sueldo base bajo el ingreso mínimo",IF(O124="","⚠ Falta AFP",IF(P124="","⚠ Falta sistema de salud",IF(AND(P124="Isapre",N(Q124)=0),"⚠ Falta plan Isapre (UF)",IF(AND(N(J124)&gt;JORNADA_LEGAL,LEFT(V124,6)="Activo"),"⚠ Jornada sobre el máximo legal","OK"))))))))</f>
        <v/>
      </c>
      <c r="AA124" s="72" t="str">
        <f aca="false">IFERROR(IF(AND(B124&lt;&gt;"",ISNUMBER(G124)),IF(AND(G124&lt;=EOMONTH(ENVIO_PER,0),OR(H124="",H124&gt;=ENVIO_PER)),MAX(AA$6:AA123)+1,""),""),"")</f>
        <v/>
      </c>
    </row>
    <row r="125" customFormat="false" ht="15" hidden="false" customHeight="false" outlineLevel="0" collapsed="false">
      <c r="B125" s="64"/>
      <c r="C125" s="64"/>
      <c r="D125" s="64"/>
      <c r="E125" s="64"/>
      <c r="F125" s="64"/>
      <c r="G125" s="65"/>
      <c r="H125" s="65"/>
      <c r="I125" s="64"/>
      <c r="J125" s="66"/>
      <c r="K125" s="64"/>
      <c r="L125" s="67"/>
      <c r="M125" s="67"/>
      <c r="N125" s="67"/>
      <c r="O125" s="64"/>
      <c r="P125" s="64"/>
      <c r="Q125" s="68"/>
      <c r="R125" s="66"/>
      <c r="S125" s="66"/>
      <c r="T125" s="69"/>
      <c r="U125" s="64"/>
      <c r="V125" s="70" t="str">
        <f aca="false">IF(B125="","",IF(NOT(ISNUMBER(G125)),"⚠ Falta fecha ingreso",IF(G125&gt;FECHA_CORTE,"Por ingresar",IF(H125="","Activo",IF(H125&lt;FECHA_CORTE,"Desvinculado","Activo (egreso programado)")))))</f>
        <v/>
      </c>
      <c r="W125" s="70" t="str">
        <f aca="false">IF(OR(B125="",NOT(ISNUMBER(G125))),"",IF(G125&gt;FECHA_CORTE,"",DATEDIF(G125,IF(H125="",FECHA_CORTE,MIN(H125,FECHA_CORTE))+1,"y")&amp;" a "&amp;DATEDIF(G125,IF(H125="",FECHA_CORTE,MIN(H125,FECHA_CORTE))+1,"ym")&amp;" m"))</f>
        <v/>
      </c>
      <c r="X125" s="71" t="str">
        <f aca="false">IF(B125="","",IFERROR(INDEX(C_SUELDO,MATCH(B125&amp;"-S"&amp;MAX(1,COUNTIFS(C_ID,B125,C_SUELDO,"&lt;&gt;",C_INICIO,"&lt;="&amp;FECHA_CORTE)),C_CLAVES,0)),0))</f>
        <v/>
      </c>
      <c r="Y125" s="70" t="str">
        <f aca="false">IF(B125="","",IFERROR(INDEX(C_TIPO,MATCH(B125&amp;"-P"&amp;MAX(1,COUNTIFS(C_ID,B125,C_DEFINE,"Sí",C_INICIO,"&lt;="&amp;FECHA_CORTE)),C_CLAVE,0))&amp;"","Sin contrato"))</f>
        <v/>
      </c>
      <c r="Z125" s="70" t="str">
        <f aca="false">IF(B125="","",IF(COUNTIF(T_ID,B125)&gt;1,"⚠ ID duplicado",IF(Y125="Sin contrato","⚠ Registrar el contrato en la hoja Contratos",IF(AND(LEFT(V125,6)="Activo",X125&lt;IMM_HOY*MIN(1,IF(N(J125)=0,JORNADA_LEGAL,J125)/JORNADA_LEGAL)),"⚠ Sueldo base bajo el ingreso mínimo",IF(O125="","⚠ Falta AFP",IF(P125="","⚠ Falta sistema de salud",IF(AND(P125="Isapre",N(Q125)=0),"⚠ Falta plan Isapre (UF)",IF(AND(N(J125)&gt;JORNADA_LEGAL,LEFT(V125,6)="Activo"),"⚠ Jornada sobre el máximo legal","OK"))))))))</f>
        <v/>
      </c>
      <c r="AA125" s="72" t="str">
        <f aca="false">IFERROR(IF(AND(B125&lt;&gt;"",ISNUMBER(G125)),IF(AND(G125&lt;=EOMONTH(ENVIO_PER,0),OR(H125="",H125&gt;=ENVIO_PER)),MAX(AA$6:AA124)+1,""),""),"")</f>
        <v/>
      </c>
    </row>
    <row r="126" customFormat="false" ht="15" hidden="false" customHeight="false" outlineLevel="0" collapsed="false">
      <c r="B126" s="64"/>
      <c r="C126" s="64"/>
      <c r="D126" s="64"/>
      <c r="E126" s="64"/>
      <c r="F126" s="64"/>
      <c r="G126" s="65"/>
      <c r="H126" s="65"/>
      <c r="I126" s="64"/>
      <c r="J126" s="66"/>
      <c r="K126" s="64"/>
      <c r="L126" s="67"/>
      <c r="M126" s="67"/>
      <c r="N126" s="67"/>
      <c r="O126" s="64"/>
      <c r="P126" s="64"/>
      <c r="Q126" s="68"/>
      <c r="R126" s="66"/>
      <c r="S126" s="66"/>
      <c r="T126" s="69"/>
      <c r="U126" s="64"/>
      <c r="V126" s="70" t="str">
        <f aca="false">IF(B126="","",IF(NOT(ISNUMBER(G126)),"⚠ Falta fecha ingreso",IF(G126&gt;FECHA_CORTE,"Por ingresar",IF(H126="","Activo",IF(H126&lt;FECHA_CORTE,"Desvinculado","Activo (egreso programado)")))))</f>
        <v/>
      </c>
      <c r="W126" s="70" t="str">
        <f aca="false">IF(OR(B126="",NOT(ISNUMBER(G126))),"",IF(G126&gt;FECHA_CORTE,"",DATEDIF(G126,IF(H126="",FECHA_CORTE,MIN(H126,FECHA_CORTE))+1,"y")&amp;" a "&amp;DATEDIF(G126,IF(H126="",FECHA_CORTE,MIN(H126,FECHA_CORTE))+1,"ym")&amp;" m"))</f>
        <v/>
      </c>
      <c r="X126" s="71" t="str">
        <f aca="false">IF(B126="","",IFERROR(INDEX(C_SUELDO,MATCH(B126&amp;"-S"&amp;MAX(1,COUNTIFS(C_ID,B126,C_SUELDO,"&lt;&gt;",C_INICIO,"&lt;="&amp;FECHA_CORTE)),C_CLAVES,0)),0))</f>
        <v/>
      </c>
      <c r="Y126" s="70" t="str">
        <f aca="false">IF(B126="","",IFERROR(INDEX(C_TIPO,MATCH(B126&amp;"-P"&amp;MAX(1,COUNTIFS(C_ID,B126,C_DEFINE,"Sí",C_INICIO,"&lt;="&amp;FECHA_CORTE)),C_CLAVE,0))&amp;"","Sin contrato"))</f>
        <v/>
      </c>
      <c r="Z126" s="70" t="str">
        <f aca="false">IF(B126="","",IF(COUNTIF(T_ID,B126)&gt;1,"⚠ ID duplicado",IF(Y126="Sin contrato","⚠ Registrar el contrato en la hoja Contratos",IF(AND(LEFT(V126,6)="Activo",X126&lt;IMM_HOY*MIN(1,IF(N(J126)=0,JORNADA_LEGAL,J126)/JORNADA_LEGAL)),"⚠ Sueldo base bajo el ingreso mínimo",IF(O126="","⚠ Falta AFP",IF(P126="","⚠ Falta sistema de salud",IF(AND(P126="Isapre",N(Q126)=0),"⚠ Falta plan Isapre (UF)",IF(AND(N(J126)&gt;JORNADA_LEGAL,LEFT(V126,6)="Activo"),"⚠ Jornada sobre el máximo legal","OK"))))))))</f>
        <v/>
      </c>
      <c r="AA126" s="72" t="str">
        <f aca="false">IFERROR(IF(AND(B126&lt;&gt;"",ISNUMBER(G126)),IF(AND(G126&lt;=EOMONTH(ENVIO_PER,0),OR(H126="",H126&gt;=ENVIO_PER)),MAX(AA$6:AA125)+1,""),""),"")</f>
        <v/>
      </c>
    </row>
    <row r="127" customFormat="false" ht="15" hidden="false" customHeight="false" outlineLevel="0" collapsed="false">
      <c r="B127" s="64"/>
      <c r="C127" s="64"/>
      <c r="D127" s="64"/>
      <c r="E127" s="64"/>
      <c r="F127" s="64"/>
      <c r="G127" s="65"/>
      <c r="H127" s="65"/>
      <c r="I127" s="64"/>
      <c r="J127" s="66"/>
      <c r="K127" s="64"/>
      <c r="L127" s="67"/>
      <c r="M127" s="67"/>
      <c r="N127" s="67"/>
      <c r="O127" s="64"/>
      <c r="P127" s="64"/>
      <c r="Q127" s="68"/>
      <c r="R127" s="66"/>
      <c r="S127" s="66"/>
      <c r="T127" s="69"/>
      <c r="U127" s="64"/>
      <c r="V127" s="70" t="str">
        <f aca="false">IF(B127="","",IF(NOT(ISNUMBER(G127)),"⚠ Falta fecha ingreso",IF(G127&gt;FECHA_CORTE,"Por ingresar",IF(H127="","Activo",IF(H127&lt;FECHA_CORTE,"Desvinculado","Activo (egreso programado)")))))</f>
        <v/>
      </c>
      <c r="W127" s="70" t="str">
        <f aca="false">IF(OR(B127="",NOT(ISNUMBER(G127))),"",IF(G127&gt;FECHA_CORTE,"",DATEDIF(G127,IF(H127="",FECHA_CORTE,MIN(H127,FECHA_CORTE))+1,"y")&amp;" a "&amp;DATEDIF(G127,IF(H127="",FECHA_CORTE,MIN(H127,FECHA_CORTE))+1,"ym")&amp;" m"))</f>
        <v/>
      </c>
      <c r="X127" s="71" t="str">
        <f aca="false">IF(B127="","",IFERROR(INDEX(C_SUELDO,MATCH(B127&amp;"-S"&amp;MAX(1,COUNTIFS(C_ID,B127,C_SUELDO,"&lt;&gt;",C_INICIO,"&lt;="&amp;FECHA_CORTE)),C_CLAVES,0)),0))</f>
        <v/>
      </c>
      <c r="Y127" s="70" t="str">
        <f aca="false">IF(B127="","",IFERROR(INDEX(C_TIPO,MATCH(B127&amp;"-P"&amp;MAX(1,COUNTIFS(C_ID,B127,C_DEFINE,"Sí",C_INICIO,"&lt;="&amp;FECHA_CORTE)),C_CLAVE,0))&amp;"","Sin contrato"))</f>
        <v/>
      </c>
      <c r="Z127" s="70" t="str">
        <f aca="false">IF(B127="","",IF(COUNTIF(T_ID,B127)&gt;1,"⚠ ID duplicado",IF(Y127="Sin contrato","⚠ Registrar el contrato en la hoja Contratos",IF(AND(LEFT(V127,6)="Activo",X127&lt;IMM_HOY*MIN(1,IF(N(J127)=0,JORNADA_LEGAL,J127)/JORNADA_LEGAL)),"⚠ Sueldo base bajo el ingreso mínimo",IF(O127="","⚠ Falta AFP",IF(P127="","⚠ Falta sistema de salud",IF(AND(P127="Isapre",N(Q127)=0),"⚠ Falta plan Isapre (UF)",IF(AND(N(J127)&gt;JORNADA_LEGAL,LEFT(V127,6)="Activo"),"⚠ Jornada sobre el máximo legal","OK"))))))))</f>
        <v/>
      </c>
      <c r="AA127" s="72" t="str">
        <f aca="false">IFERROR(IF(AND(B127&lt;&gt;"",ISNUMBER(G127)),IF(AND(G127&lt;=EOMONTH(ENVIO_PER,0),OR(H127="",H127&gt;=ENVIO_PER)),MAX(AA$6:AA126)+1,""),""),"")</f>
        <v/>
      </c>
    </row>
    <row r="128" customFormat="false" ht="15" hidden="false" customHeight="false" outlineLevel="0" collapsed="false">
      <c r="B128" s="64"/>
      <c r="C128" s="64"/>
      <c r="D128" s="64"/>
      <c r="E128" s="64"/>
      <c r="F128" s="64"/>
      <c r="G128" s="65"/>
      <c r="H128" s="65"/>
      <c r="I128" s="64"/>
      <c r="J128" s="66"/>
      <c r="K128" s="64"/>
      <c r="L128" s="67"/>
      <c r="M128" s="67"/>
      <c r="N128" s="67"/>
      <c r="O128" s="64"/>
      <c r="P128" s="64"/>
      <c r="Q128" s="68"/>
      <c r="R128" s="66"/>
      <c r="S128" s="66"/>
      <c r="T128" s="69"/>
      <c r="U128" s="64"/>
      <c r="V128" s="70" t="str">
        <f aca="false">IF(B128="","",IF(NOT(ISNUMBER(G128)),"⚠ Falta fecha ingreso",IF(G128&gt;FECHA_CORTE,"Por ingresar",IF(H128="","Activo",IF(H128&lt;FECHA_CORTE,"Desvinculado","Activo (egreso programado)")))))</f>
        <v/>
      </c>
      <c r="W128" s="70" t="str">
        <f aca="false">IF(OR(B128="",NOT(ISNUMBER(G128))),"",IF(G128&gt;FECHA_CORTE,"",DATEDIF(G128,IF(H128="",FECHA_CORTE,MIN(H128,FECHA_CORTE))+1,"y")&amp;" a "&amp;DATEDIF(G128,IF(H128="",FECHA_CORTE,MIN(H128,FECHA_CORTE))+1,"ym")&amp;" m"))</f>
        <v/>
      </c>
      <c r="X128" s="71" t="str">
        <f aca="false">IF(B128="","",IFERROR(INDEX(C_SUELDO,MATCH(B128&amp;"-S"&amp;MAX(1,COUNTIFS(C_ID,B128,C_SUELDO,"&lt;&gt;",C_INICIO,"&lt;="&amp;FECHA_CORTE)),C_CLAVES,0)),0))</f>
        <v/>
      </c>
      <c r="Y128" s="70" t="str">
        <f aca="false">IF(B128="","",IFERROR(INDEX(C_TIPO,MATCH(B128&amp;"-P"&amp;MAX(1,COUNTIFS(C_ID,B128,C_DEFINE,"Sí",C_INICIO,"&lt;="&amp;FECHA_CORTE)),C_CLAVE,0))&amp;"","Sin contrato"))</f>
        <v/>
      </c>
      <c r="Z128" s="70" t="str">
        <f aca="false">IF(B128="","",IF(COUNTIF(T_ID,B128)&gt;1,"⚠ ID duplicado",IF(Y128="Sin contrato","⚠ Registrar el contrato en la hoja Contratos",IF(AND(LEFT(V128,6)="Activo",X128&lt;IMM_HOY*MIN(1,IF(N(J128)=0,JORNADA_LEGAL,J128)/JORNADA_LEGAL)),"⚠ Sueldo base bajo el ingreso mínimo",IF(O128="","⚠ Falta AFP",IF(P128="","⚠ Falta sistema de salud",IF(AND(P128="Isapre",N(Q128)=0),"⚠ Falta plan Isapre (UF)",IF(AND(N(J128)&gt;JORNADA_LEGAL,LEFT(V128,6)="Activo"),"⚠ Jornada sobre el máximo legal","OK"))))))))</f>
        <v/>
      </c>
      <c r="AA128" s="72" t="str">
        <f aca="false">IFERROR(IF(AND(B128&lt;&gt;"",ISNUMBER(G128)),IF(AND(G128&lt;=EOMONTH(ENVIO_PER,0),OR(H128="",H128&gt;=ENVIO_PER)),MAX(AA$6:AA127)+1,""),""),"")</f>
        <v/>
      </c>
    </row>
    <row r="129" customFormat="false" ht="15" hidden="false" customHeight="false" outlineLevel="0" collapsed="false">
      <c r="B129" s="64"/>
      <c r="C129" s="64"/>
      <c r="D129" s="64"/>
      <c r="E129" s="64"/>
      <c r="F129" s="64"/>
      <c r="G129" s="65"/>
      <c r="H129" s="65"/>
      <c r="I129" s="64"/>
      <c r="J129" s="66"/>
      <c r="K129" s="64"/>
      <c r="L129" s="67"/>
      <c r="M129" s="67"/>
      <c r="N129" s="67"/>
      <c r="O129" s="64"/>
      <c r="P129" s="64"/>
      <c r="Q129" s="68"/>
      <c r="R129" s="66"/>
      <c r="S129" s="66"/>
      <c r="T129" s="69"/>
      <c r="U129" s="64"/>
      <c r="V129" s="70" t="str">
        <f aca="false">IF(B129="","",IF(NOT(ISNUMBER(G129)),"⚠ Falta fecha ingreso",IF(G129&gt;FECHA_CORTE,"Por ingresar",IF(H129="","Activo",IF(H129&lt;FECHA_CORTE,"Desvinculado","Activo (egreso programado)")))))</f>
        <v/>
      </c>
      <c r="W129" s="70" t="str">
        <f aca="false">IF(OR(B129="",NOT(ISNUMBER(G129))),"",IF(G129&gt;FECHA_CORTE,"",DATEDIF(G129,IF(H129="",FECHA_CORTE,MIN(H129,FECHA_CORTE))+1,"y")&amp;" a "&amp;DATEDIF(G129,IF(H129="",FECHA_CORTE,MIN(H129,FECHA_CORTE))+1,"ym")&amp;" m"))</f>
        <v/>
      </c>
      <c r="X129" s="71" t="str">
        <f aca="false">IF(B129="","",IFERROR(INDEX(C_SUELDO,MATCH(B129&amp;"-S"&amp;MAX(1,COUNTIFS(C_ID,B129,C_SUELDO,"&lt;&gt;",C_INICIO,"&lt;="&amp;FECHA_CORTE)),C_CLAVES,0)),0))</f>
        <v/>
      </c>
      <c r="Y129" s="70" t="str">
        <f aca="false">IF(B129="","",IFERROR(INDEX(C_TIPO,MATCH(B129&amp;"-P"&amp;MAX(1,COUNTIFS(C_ID,B129,C_DEFINE,"Sí",C_INICIO,"&lt;="&amp;FECHA_CORTE)),C_CLAVE,0))&amp;"","Sin contrato"))</f>
        <v/>
      </c>
      <c r="Z129" s="70" t="str">
        <f aca="false">IF(B129="","",IF(COUNTIF(T_ID,B129)&gt;1,"⚠ ID duplicado",IF(Y129="Sin contrato","⚠ Registrar el contrato en la hoja Contratos",IF(AND(LEFT(V129,6)="Activo",X129&lt;IMM_HOY*MIN(1,IF(N(J129)=0,JORNADA_LEGAL,J129)/JORNADA_LEGAL)),"⚠ Sueldo base bajo el ingreso mínimo",IF(O129="","⚠ Falta AFP",IF(P129="","⚠ Falta sistema de salud",IF(AND(P129="Isapre",N(Q129)=0),"⚠ Falta plan Isapre (UF)",IF(AND(N(J129)&gt;JORNADA_LEGAL,LEFT(V129,6)="Activo"),"⚠ Jornada sobre el máximo legal","OK"))))))))</f>
        <v/>
      </c>
      <c r="AA129" s="72" t="str">
        <f aca="false">IFERROR(IF(AND(B129&lt;&gt;"",ISNUMBER(G129)),IF(AND(G129&lt;=EOMONTH(ENVIO_PER,0),OR(H129="",H129&gt;=ENVIO_PER)),MAX(AA$6:AA128)+1,""),""),"")</f>
        <v/>
      </c>
    </row>
    <row r="130" customFormat="false" ht="15" hidden="false" customHeight="false" outlineLevel="0" collapsed="false">
      <c r="B130" s="64"/>
      <c r="C130" s="64"/>
      <c r="D130" s="64"/>
      <c r="E130" s="64"/>
      <c r="F130" s="64"/>
      <c r="G130" s="65"/>
      <c r="H130" s="65"/>
      <c r="I130" s="64"/>
      <c r="J130" s="66"/>
      <c r="K130" s="64"/>
      <c r="L130" s="67"/>
      <c r="M130" s="67"/>
      <c r="N130" s="67"/>
      <c r="O130" s="64"/>
      <c r="P130" s="64"/>
      <c r="Q130" s="68"/>
      <c r="R130" s="66"/>
      <c r="S130" s="66"/>
      <c r="T130" s="69"/>
      <c r="U130" s="64"/>
      <c r="V130" s="70" t="str">
        <f aca="false">IF(B130="","",IF(NOT(ISNUMBER(G130)),"⚠ Falta fecha ingreso",IF(G130&gt;FECHA_CORTE,"Por ingresar",IF(H130="","Activo",IF(H130&lt;FECHA_CORTE,"Desvinculado","Activo (egreso programado)")))))</f>
        <v/>
      </c>
      <c r="W130" s="70" t="str">
        <f aca="false">IF(OR(B130="",NOT(ISNUMBER(G130))),"",IF(G130&gt;FECHA_CORTE,"",DATEDIF(G130,IF(H130="",FECHA_CORTE,MIN(H130,FECHA_CORTE))+1,"y")&amp;" a "&amp;DATEDIF(G130,IF(H130="",FECHA_CORTE,MIN(H130,FECHA_CORTE))+1,"ym")&amp;" m"))</f>
        <v/>
      </c>
      <c r="X130" s="71" t="str">
        <f aca="false">IF(B130="","",IFERROR(INDEX(C_SUELDO,MATCH(B130&amp;"-S"&amp;MAX(1,COUNTIFS(C_ID,B130,C_SUELDO,"&lt;&gt;",C_INICIO,"&lt;="&amp;FECHA_CORTE)),C_CLAVES,0)),0))</f>
        <v/>
      </c>
      <c r="Y130" s="70" t="str">
        <f aca="false">IF(B130="","",IFERROR(INDEX(C_TIPO,MATCH(B130&amp;"-P"&amp;MAX(1,COUNTIFS(C_ID,B130,C_DEFINE,"Sí",C_INICIO,"&lt;="&amp;FECHA_CORTE)),C_CLAVE,0))&amp;"","Sin contrato"))</f>
        <v/>
      </c>
      <c r="Z130" s="70" t="str">
        <f aca="false">IF(B130="","",IF(COUNTIF(T_ID,B130)&gt;1,"⚠ ID duplicado",IF(Y130="Sin contrato","⚠ Registrar el contrato en la hoja Contratos",IF(AND(LEFT(V130,6)="Activo",X130&lt;IMM_HOY*MIN(1,IF(N(J130)=0,JORNADA_LEGAL,J130)/JORNADA_LEGAL)),"⚠ Sueldo base bajo el ingreso mínimo",IF(O130="","⚠ Falta AFP",IF(P130="","⚠ Falta sistema de salud",IF(AND(P130="Isapre",N(Q130)=0),"⚠ Falta plan Isapre (UF)",IF(AND(N(J130)&gt;JORNADA_LEGAL,LEFT(V130,6)="Activo"),"⚠ Jornada sobre el máximo legal","OK"))))))))</f>
        <v/>
      </c>
      <c r="AA130" s="72" t="str">
        <f aca="false">IFERROR(IF(AND(B130&lt;&gt;"",ISNUMBER(G130)),IF(AND(G130&lt;=EOMONTH(ENVIO_PER,0),OR(H130="",H130&gt;=ENVIO_PER)),MAX(AA$6:AA129)+1,""),""),"")</f>
        <v/>
      </c>
    </row>
    <row r="131" customFormat="false" ht="15" hidden="false" customHeight="false" outlineLevel="0" collapsed="false">
      <c r="B131" s="64"/>
      <c r="C131" s="64"/>
      <c r="D131" s="64"/>
      <c r="E131" s="64"/>
      <c r="F131" s="64"/>
      <c r="G131" s="65"/>
      <c r="H131" s="65"/>
      <c r="I131" s="64"/>
      <c r="J131" s="66"/>
      <c r="K131" s="64"/>
      <c r="L131" s="67"/>
      <c r="M131" s="67"/>
      <c r="N131" s="67"/>
      <c r="O131" s="64"/>
      <c r="P131" s="64"/>
      <c r="Q131" s="68"/>
      <c r="R131" s="66"/>
      <c r="S131" s="66"/>
      <c r="T131" s="69"/>
      <c r="U131" s="64"/>
      <c r="V131" s="70" t="str">
        <f aca="false">IF(B131="","",IF(NOT(ISNUMBER(G131)),"⚠ Falta fecha ingreso",IF(G131&gt;FECHA_CORTE,"Por ingresar",IF(H131="","Activo",IF(H131&lt;FECHA_CORTE,"Desvinculado","Activo (egreso programado)")))))</f>
        <v/>
      </c>
      <c r="W131" s="70" t="str">
        <f aca="false">IF(OR(B131="",NOT(ISNUMBER(G131))),"",IF(G131&gt;FECHA_CORTE,"",DATEDIF(G131,IF(H131="",FECHA_CORTE,MIN(H131,FECHA_CORTE))+1,"y")&amp;" a "&amp;DATEDIF(G131,IF(H131="",FECHA_CORTE,MIN(H131,FECHA_CORTE))+1,"ym")&amp;" m"))</f>
        <v/>
      </c>
      <c r="X131" s="71" t="str">
        <f aca="false">IF(B131="","",IFERROR(INDEX(C_SUELDO,MATCH(B131&amp;"-S"&amp;MAX(1,COUNTIFS(C_ID,B131,C_SUELDO,"&lt;&gt;",C_INICIO,"&lt;="&amp;FECHA_CORTE)),C_CLAVES,0)),0))</f>
        <v/>
      </c>
      <c r="Y131" s="70" t="str">
        <f aca="false">IF(B131="","",IFERROR(INDEX(C_TIPO,MATCH(B131&amp;"-P"&amp;MAX(1,COUNTIFS(C_ID,B131,C_DEFINE,"Sí",C_INICIO,"&lt;="&amp;FECHA_CORTE)),C_CLAVE,0))&amp;"","Sin contrato"))</f>
        <v/>
      </c>
      <c r="Z131" s="70" t="str">
        <f aca="false">IF(B131="","",IF(COUNTIF(T_ID,B131)&gt;1,"⚠ ID duplicado",IF(Y131="Sin contrato","⚠ Registrar el contrato en la hoja Contratos",IF(AND(LEFT(V131,6)="Activo",X131&lt;IMM_HOY*MIN(1,IF(N(J131)=0,JORNADA_LEGAL,J131)/JORNADA_LEGAL)),"⚠ Sueldo base bajo el ingreso mínimo",IF(O131="","⚠ Falta AFP",IF(P131="","⚠ Falta sistema de salud",IF(AND(P131="Isapre",N(Q131)=0),"⚠ Falta plan Isapre (UF)",IF(AND(N(J131)&gt;JORNADA_LEGAL,LEFT(V131,6)="Activo"),"⚠ Jornada sobre el máximo legal","OK"))))))))</f>
        <v/>
      </c>
      <c r="AA131" s="72" t="str">
        <f aca="false">IFERROR(IF(AND(B131&lt;&gt;"",ISNUMBER(G131)),IF(AND(G131&lt;=EOMONTH(ENVIO_PER,0),OR(H131="",H131&gt;=ENVIO_PER)),MAX(AA$6:AA130)+1,""),""),"")</f>
        <v/>
      </c>
    </row>
    <row r="132" customFormat="false" ht="15" hidden="false" customHeight="false" outlineLevel="0" collapsed="false">
      <c r="B132" s="64"/>
      <c r="C132" s="64"/>
      <c r="D132" s="64"/>
      <c r="E132" s="64"/>
      <c r="F132" s="64"/>
      <c r="G132" s="65"/>
      <c r="H132" s="65"/>
      <c r="I132" s="64"/>
      <c r="J132" s="66"/>
      <c r="K132" s="64"/>
      <c r="L132" s="67"/>
      <c r="M132" s="67"/>
      <c r="N132" s="67"/>
      <c r="O132" s="64"/>
      <c r="P132" s="64"/>
      <c r="Q132" s="68"/>
      <c r="R132" s="66"/>
      <c r="S132" s="66"/>
      <c r="T132" s="69"/>
      <c r="U132" s="64"/>
      <c r="V132" s="70" t="str">
        <f aca="false">IF(B132="","",IF(NOT(ISNUMBER(G132)),"⚠ Falta fecha ingreso",IF(G132&gt;FECHA_CORTE,"Por ingresar",IF(H132="","Activo",IF(H132&lt;FECHA_CORTE,"Desvinculado","Activo (egreso programado)")))))</f>
        <v/>
      </c>
      <c r="W132" s="70" t="str">
        <f aca="false">IF(OR(B132="",NOT(ISNUMBER(G132))),"",IF(G132&gt;FECHA_CORTE,"",DATEDIF(G132,IF(H132="",FECHA_CORTE,MIN(H132,FECHA_CORTE))+1,"y")&amp;" a "&amp;DATEDIF(G132,IF(H132="",FECHA_CORTE,MIN(H132,FECHA_CORTE))+1,"ym")&amp;" m"))</f>
        <v/>
      </c>
      <c r="X132" s="71" t="str">
        <f aca="false">IF(B132="","",IFERROR(INDEX(C_SUELDO,MATCH(B132&amp;"-S"&amp;MAX(1,COUNTIFS(C_ID,B132,C_SUELDO,"&lt;&gt;",C_INICIO,"&lt;="&amp;FECHA_CORTE)),C_CLAVES,0)),0))</f>
        <v/>
      </c>
      <c r="Y132" s="70" t="str">
        <f aca="false">IF(B132="","",IFERROR(INDEX(C_TIPO,MATCH(B132&amp;"-P"&amp;MAX(1,COUNTIFS(C_ID,B132,C_DEFINE,"Sí",C_INICIO,"&lt;="&amp;FECHA_CORTE)),C_CLAVE,0))&amp;"","Sin contrato"))</f>
        <v/>
      </c>
      <c r="Z132" s="70" t="str">
        <f aca="false">IF(B132="","",IF(COUNTIF(T_ID,B132)&gt;1,"⚠ ID duplicado",IF(Y132="Sin contrato","⚠ Registrar el contrato en la hoja Contratos",IF(AND(LEFT(V132,6)="Activo",X132&lt;IMM_HOY*MIN(1,IF(N(J132)=0,JORNADA_LEGAL,J132)/JORNADA_LEGAL)),"⚠ Sueldo base bajo el ingreso mínimo",IF(O132="","⚠ Falta AFP",IF(P132="","⚠ Falta sistema de salud",IF(AND(P132="Isapre",N(Q132)=0),"⚠ Falta plan Isapre (UF)",IF(AND(N(J132)&gt;JORNADA_LEGAL,LEFT(V132,6)="Activo"),"⚠ Jornada sobre el máximo legal","OK"))))))))</f>
        <v/>
      </c>
      <c r="AA132" s="72" t="str">
        <f aca="false">IFERROR(IF(AND(B132&lt;&gt;"",ISNUMBER(G132)),IF(AND(G132&lt;=EOMONTH(ENVIO_PER,0),OR(H132="",H132&gt;=ENVIO_PER)),MAX(AA$6:AA131)+1,""),""),"")</f>
        <v/>
      </c>
    </row>
    <row r="133" customFormat="false" ht="15" hidden="false" customHeight="false" outlineLevel="0" collapsed="false">
      <c r="B133" s="64"/>
      <c r="C133" s="64"/>
      <c r="D133" s="64"/>
      <c r="E133" s="64"/>
      <c r="F133" s="64"/>
      <c r="G133" s="65"/>
      <c r="H133" s="65"/>
      <c r="I133" s="64"/>
      <c r="J133" s="66"/>
      <c r="K133" s="64"/>
      <c r="L133" s="67"/>
      <c r="M133" s="67"/>
      <c r="N133" s="67"/>
      <c r="O133" s="64"/>
      <c r="P133" s="64"/>
      <c r="Q133" s="68"/>
      <c r="R133" s="66"/>
      <c r="S133" s="66"/>
      <c r="T133" s="69"/>
      <c r="U133" s="64"/>
      <c r="V133" s="70" t="str">
        <f aca="false">IF(B133="","",IF(NOT(ISNUMBER(G133)),"⚠ Falta fecha ingreso",IF(G133&gt;FECHA_CORTE,"Por ingresar",IF(H133="","Activo",IF(H133&lt;FECHA_CORTE,"Desvinculado","Activo (egreso programado)")))))</f>
        <v/>
      </c>
      <c r="W133" s="70" t="str">
        <f aca="false">IF(OR(B133="",NOT(ISNUMBER(G133))),"",IF(G133&gt;FECHA_CORTE,"",DATEDIF(G133,IF(H133="",FECHA_CORTE,MIN(H133,FECHA_CORTE))+1,"y")&amp;" a "&amp;DATEDIF(G133,IF(H133="",FECHA_CORTE,MIN(H133,FECHA_CORTE))+1,"ym")&amp;" m"))</f>
        <v/>
      </c>
      <c r="X133" s="71" t="str">
        <f aca="false">IF(B133="","",IFERROR(INDEX(C_SUELDO,MATCH(B133&amp;"-S"&amp;MAX(1,COUNTIFS(C_ID,B133,C_SUELDO,"&lt;&gt;",C_INICIO,"&lt;="&amp;FECHA_CORTE)),C_CLAVES,0)),0))</f>
        <v/>
      </c>
      <c r="Y133" s="70" t="str">
        <f aca="false">IF(B133="","",IFERROR(INDEX(C_TIPO,MATCH(B133&amp;"-P"&amp;MAX(1,COUNTIFS(C_ID,B133,C_DEFINE,"Sí",C_INICIO,"&lt;="&amp;FECHA_CORTE)),C_CLAVE,0))&amp;"","Sin contrato"))</f>
        <v/>
      </c>
      <c r="Z133" s="70" t="str">
        <f aca="false">IF(B133="","",IF(COUNTIF(T_ID,B133)&gt;1,"⚠ ID duplicado",IF(Y133="Sin contrato","⚠ Registrar el contrato en la hoja Contratos",IF(AND(LEFT(V133,6)="Activo",X133&lt;IMM_HOY*MIN(1,IF(N(J133)=0,JORNADA_LEGAL,J133)/JORNADA_LEGAL)),"⚠ Sueldo base bajo el ingreso mínimo",IF(O133="","⚠ Falta AFP",IF(P133="","⚠ Falta sistema de salud",IF(AND(P133="Isapre",N(Q133)=0),"⚠ Falta plan Isapre (UF)",IF(AND(N(J133)&gt;JORNADA_LEGAL,LEFT(V133,6)="Activo"),"⚠ Jornada sobre el máximo legal","OK"))))))))</f>
        <v/>
      </c>
      <c r="AA133" s="72" t="str">
        <f aca="false">IFERROR(IF(AND(B133&lt;&gt;"",ISNUMBER(G133)),IF(AND(G133&lt;=EOMONTH(ENVIO_PER,0),OR(H133="",H133&gt;=ENVIO_PER)),MAX(AA$6:AA132)+1,""),""),"")</f>
        <v/>
      </c>
    </row>
    <row r="134" customFormat="false" ht="15" hidden="false" customHeight="false" outlineLevel="0" collapsed="false">
      <c r="B134" s="64"/>
      <c r="C134" s="64"/>
      <c r="D134" s="64"/>
      <c r="E134" s="64"/>
      <c r="F134" s="64"/>
      <c r="G134" s="65"/>
      <c r="H134" s="65"/>
      <c r="I134" s="64"/>
      <c r="J134" s="66"/>
      <c r="K134" s="64"/>
      <c r="L134" s="67"/>
      <c r="M134" s="67"/>
      <c r="N134" s="67"/>
      <c r="O134" s="64"/>
      <c r="P134" s="64"/>
      <c r="Q134" s="68"/>
      <c r="R134" s="66"/>
      <c r="S134" s="66"/>
      <c r="T134" s="69"/>
      <c r="U134" s="64"/>
      <c r="V134" s="70" t="str">
        <f aca="false">IF(B134="","",IF(NOT(ISNUMBER(G134)),"⚠ Falta fecha ingreso",IF(G134&gt;FECHA_CORTE,"Por ingresar",IF(H134="","Activo",IF(H134&lt;FECHA_CORTE,"Desvinculado","Activo (egreso programado)")))))</f>
        <v/>
      </c>
      <c r="W134" s="70" t="str">
        <f aca="false">IF(OR(B134="",NOT(ISNUMBER(G134))),"",IF(G134&gt;FECHA_CORTE,"",DATEDIF(G134,IF(H134="",FECHA_CORTE,MIN(H134,FECHA_CORTE))+1,"y")&amp;" a "&amp;DATEDIF(G134,IF(H134="",FECHA_CORTE,MIN(H134,FECHA_CORTE))+1,"ym")&amp;" m"))</f>
        <v/>
      </c>
      <c r="X134" s="71" t="str">
        <f aca="false">IF(B134="","",IFERROR(INDEX(C_SUELDO,MATCH(B134&amp;"-S"&amp;MAX(1,COUNTIFS(C_ID,B134,C_SUELDO,"&lt;&gt;",C_INICIO,"&lt;="&amp;FECHA_CORTE)),C_CLAVES,0)),0))</f>
        <v/>
      </c>
      <c r="Y134" s="70" t="str">
        <f aca="false">IF(B134="","",IFERROR(INDEX(C_TIPO,MATCH(B134&amp;"-P"&amp;MAX(1,COUNTIFS(C_ID,B134,C_DEFINE,"Sí",C_INICIO,"&lt;="&amp;FECHA_CORTE)),C_CLAVE,0))&amp;"","Sin contrato"))</f>
        <v/>
      </c>
      <c r="Z134" s="70" t="str">
        <f aca="false">IF(B134="","",IF(COUNTIF(T_ID,B134)&gt;1,"⚠ ID duplicado",IF(Y134="Sin contrato","⚠ Registrar el contrato en la hoja Contratos",IF(AND(LEFT(V134,6)="Activo",X134&lt;IMM_HOY*MIN(1,IF(N(J134)=0,JORNADA_LEGAL,J134)/JORNADA_LEGAL)),"⚠ Sueldo base bajo el ingreso mínimo",IF(O134="","⚠ Falta AFP",IF(P134="","⚠ Falta sistema de salud",IF(AND(P134="Isapre",N(Q134)=0),"⚠ Falta plan Isapre (UF)",IF(AND(N(J134)&gt;JORNADA_LEGAL,LEFT(V134,6)="Activo"),"⚠ Jornada sobre el máximo legal","OK"))))))))</f>
        <v/>
      </c>
      <c r="AA134" s="72" t="str">
        <f aca="false">IFERROR(IF(AND(B134&lt;&gt;"",ISNUMBER(G134)),IF(AND(G134&lt;=EOMONTH(ENVIO_PER,0),OR(H134="",H134&gt;=ENVIO_PER)),MAX(AA$6:AA133)+1,""),""),"")</f>
        <v/>
      </c>
    </row>
    <row r="135" customFormat="false" ht="15" hidden="false" customHeight="false" outlineLevel="0" collapsed="false">
      <c r="B135" s="64"/>
      <c r="C135" s="64"/>
      <c r="D135" s="64"/>
      <c r="E135" s="64"/>
      <c r="F135" s="64"/>
      <c r="G135" s="65"/>
      <c r="H135" s="65"/>
      <c r="I135" s="64"/>
      <c r="J135" s="66"/>
      <c r="K135" s="64"/>
      <c r="L135" s="67"/>
      <c r="M135" s="67"/>
      <c r="N135" s="67"/>
      <c r="O135" s="64"/>
      <c r="P135" s="64"/>
      <c r="Q135" s="68"/>
      <c r="R135" s="66"/>
      <c r="S135" s="66"/>
      <c r="T135" s="69"/>
      <c r="U135" s="64"/>
      <c r="V135" s="70" t="str">
        <f aca="false">IF(B135="","",IF(NOT(ISNUMBER(G135)),"⚠ Falta fecha ingreso",IF(G135&gt;FECHA_CORTE,"Por ingresar",IF(H135="","Activo",IF(H135&lt;FECHA_CORTE,"Desvinculado","Activo (egreso programado)")))))</f>
        <v/>
      </c>
      <c r="W135" s="70" t="str">
        <f aca="false">IF(OR(B135="",NOT(ISNUMBER(G135))),"",IF(G135&gt;FECHA_CORTE,"",DATEDIF(G135,IF(H135="",FECHA_CORTE,MIN(H135,FECHA_CORTE))+1,"y")&amp;" a "&amp;DATEDIF(G135,IF(H135="",FECHA_CORTE,MIN(H135,FECHA_CORTE))+1,"ym")&amp;" m"))</f>
        <v/>
      </c>
      <c r="X135" s="71" t="str">
        <f aca="false">IF(B135="","",IFERROR(INDEX(C_SUELDO,MATCH(B135&amp;"-S"&amp;MAX(1,COUNTIFS(C_ID,B135,C_SUELDO,"&lt;&gt;",C_INICIO,"&lt;="&amp;FECHA_CORTE)),C_CLAVES,0)),0))</f>
        <v/>
      </c>
      <c r="Y135" s="70" t="str">
        <f aca="false">IF(B135="","",IFERROR(INDEX(C_TIPO,MATCH(B135&amp;"-P"&amp;MAX(1,COUNTIFS(C_ID,B135,C_DEFINE,"Sí",C_INICIO,"&lt;="&amp;FECHA_CORTE)),C_CLAVE,0))&amp;"","Sin contrato"))</f>
        <v/>
      </c>
      <c r="Z135" s="70" t="str">
        <f aca="false">IF(B135="","",IF(COUNTIF(T_ID,B135)&gt;1,"⚠ ID duplicado",IF(Y135="Sin contrato","⚠ Registrar el contrato en la hoja Contratos",IF(AND(LEFT(V135,6)="Activo",X135&lt;IMM_HOY*MIN(1,IF(N(J135)=0,JORNADA_LEGAL,J135)/JORNADA_LEGAL)),"⚠ Sueldo base bajo el ingreso mínimo",IF(O135="","⚠ Falta AFP",IF(P135="","⚠ Falta sistema de salud",IF(AND(P135="Isapre",N(Q135)=0),"⚠ Falta plan Isapre (UF)",IF(AND(N(J135)&gt;JORNADA_LEGAL,LEFT(V135,6)="Activo"),"⚠ Jornada sobre el máximo legal","OK"))))))))</f>
        <v/>
      </c>
      <c r="AA135" s="72" t="str">
        <f aca="false">IFERROR(IF(AND(B135&lt;&gt;"",ISNUMBER(G135)),IF(AND(G135&lt;=EOMONTH(ENVIO_PER,0),OR(H135="",H135&gt;=ENVIO_PER)),MAX(AA$6:AA134)+1,""),""),"")</f>
        <v/>
      </c>
    </row>
    <row r="136" customFormat="false" ht="15" hidden="false" customHeight="false" outlineLevel="0" collapsed="false">
      <c r="B136" s="64"/>
      <c r="C136" s="64"/>
      <c r="D136" s="64"/>
      <c r="E136" s="64"/>
      <c r="F136" s="64"/>
      <c r="G136" s="65"/>
      <c r="H136" s="65"/>
      <c r="I136" s="64"/>
      <c r="J136" s="66"/>
      <c r="K136" s="64"/>
      <c r="L136" s="67"/>
      <c r="M136" s="67"/>
      <c r="N136" s="67"/>
      <c r="O136" s="64"/>
      <c r="P136" s="64"/>
      <c r="Q136" s="68"/>
      <c r="R136" s="66"/>
      <c r="S136" s="66"/>
      <c r="T136" s="69"/>
      <c r="U136" s="64"/>
      <c r="V136" s="70" t="str">
        <f aca="false">IF(B136="","",IF(NOT(ISNUMBER(G136)),"⚠ Falta fecha ingreso",IF(G136&gt;FECHA_CORTE,"Por ingresar",IF(H136="","Activo",IF(H136&lt;FECHA_CORTE,"Desvinculado","Activo (egreso programado)")))))</f>
        <v/>
      </c>
      <c r="W136" s="70" t="str">
        <f aca="false">IF(OR(B136="",NOT(ISNUMBER(G136))),"",IF(G136&gt;FECHA_CORTE,"",DATEDIF(G136,IF(H136="",FECHA_CORTE,MIN(H136,FECHA_CORTE))+1,"y")&amp;" a "&amp;DATEDIF(G136,IF(H136="",FECHA_CORTE,MIN(H136,FECHA_CORTE))+1,"ym")&amp;" m"))</f>
        <v/>
      </c>
      <c r="X136" s="71" t="str">
        <f aca="false">IF(B136="","",IFERROR(INDEX(C_SUELDO,MATCH(B136&amp;"-S"&amp;MAX(1,COUNTIFS(C_ID,B136,C_SUELDO,"&lt;&gt;",C_INICIO,"&lt;="&amp;FECHA_CORTE)),C_CLAVES,0)),0))</f>
        <v/>
      </c>
      <c r="Y136" s="70" t="str">
        <f aca="false">IF(B136="","",IFERROR(INDEX(C_TIPO,MATCH(B136&amp;"-P"&amp;MAX(1,COUNTIFS(C_ID,B136,C_DEFINE,"Sí",C_INICIO,"&lt;="&amp;FECHA_CORTE)),C_CLAVE,0))&amp;"","Sin contrato"))</f>
        <v/>
      </c>
      <c r="Z136" s="70" t="str">
        <f aca="false">IF(B136="","",IF(COUNTIF(T_ID,B136)&gt;1,"⚠ ID duplicado",IF(Y136="Sin contrato","⚠ Registrar el contrato en la hoja Contratos",IF(AND(LEFT(V136,6)="Activo",X136&lt;IMM_HOY*MIN(1,IF(N(J136)=0,JORNADA_LEGAL,J136)/JORNADA_LEGAL)),"⚠ Sueldo base bajo el ingreso mínimo",IF(O136="","⚠ Falta AFP",IF(P136="","⚠ Falta sistema de salud",IF(AND(P136="Isapre",N(Q136)=0),"⚠ Falta plan Isapre (UF)",IF(AND(N(J136)&gt;JORNADA_LEGAL,LEFT(V136,6)="Activo"),"⚠ Jornada sobre el máximo legal","OK"))))))))</f>
        <v/>
      </c>
      <c r="AA136" s="72" t="str">
        <f aca="false">IFERROR(IF(AND(B136&lt;&gt;"",ISNUMBER(G136)),IF(AND(G136&lt;=EOMONTH(ENVIO_PER,0),OR(H136="",H136&gt;=ENVIO_PER)),MAX(AA$6:AA135)+1,""),""),"")</f>
        <v/>
      </c>
    </row>
    <row r="137" customFormat="false" ht="15" hidden="false" customHeight="false" outlineLevel="0" collapsed="false">
      <c r="B137" s="64"/>
      <c r="C137" s="64"/>
      <c r="D137" s="64"/>
      <c r="E137" s="64"/>
      <c r="F137" s="64"/>
      <c r="G137" s="65"/>
      <c r="H137" s="65"/>
      <c r="I137" s="64"/>
      <c r="J137" s="66"/>
      <c r="K137" s="64"/>
      <c r="L137" s="67"/>
      <c r="M137" s="67"/>
      <c r="N137" s="67"/>
      <c r="O137" s="64"/>
      <c r="P137" s="64"/>
      <c r="Q137" s="68"/>
      <c r="R137" s="66"/>
      <c r="S137" s="66"/>
      <c r="T137" s="69"/>
      <c r="U137" s="64"/>
      <c r="V137" s="70" t="str">
        <f aca="false">IF(B137="","",IF(NOT(ISNUMBER(G137)),"⚠ Falta fecha ingreso",IF(G137&gt;FECHA_CORTE,"Por ingresar",IF(H137="","Activo",IF(H137&lt;FECHA_CORTE,"Desvinculado","Activo (egreso programado)")))))</f>
        <v/>
      </c>
      <c r="W137" s="70" t="str">
        <f aca="false">IF(OR(B137="",NOT(ISNUMBER(G137))),"",IF(G137&gt;FECHA_CORTE,"",DATEDIF(G137,IF(H137="",FECHA_CORTE,MIN(H137,FECHA_CORTE))+1,"y")&amp;" a "&amp;DATEDIF(G137,IF(H137="",FECHA_CORTE,MIN(H137,FECHA_CORTE))+1,"ym")&amp;" m"))</f>
        <v/>
      </c>
      <c r="X137" s="71" t="str">
        <f aca="false">IF(B137="","",IFERROR(INDEX(C_SUELDO,MATCH(B137&amp;"-S"&amp;MAX(1,COUNTIFS(C_ID,B137,C_SUELDO,"&lt;&gt;",C_INICIO,"&lt;="&amp;FECHA_CORTE)),C_CLAVES,0)),0))</f>
        <v/>
      </c>
      <c r="Y137" s="70" t="str">
        <f aca="false">IF(B137="","",IFERROR(INDEX(C_TIPO,MATCH(B137&amp;"-P"&amp;MAX(1,COUNTIFS(C_ID,B137,C_DEFINE,"Sí",C_INICIO,"&lt;="&amp;FECHA_CORTE)),C_CLAVE,0))&amp;"","Sin contrato"))</f>
        <v/>
      </c>
      <c r="Z137" s="70" t="str">
        <f aca="false">IF(B137="","",IF(COUNTIF(T_ID,B137)&gt;1,"⚠ ID duplicado",IF(Y137="Sin contrato","⚠ Registrar el contrato en la hoja Contratos",IF(AND(LEFT(V137,6)="Activo",X137&lt;IMM_HOY*MIN(1,IF(N(J137)=0,JORNADA_LEGAL,J137)/JORNADA_LEGAL)),"⚠ Sueldo base bajo el ingreso mínimo",IF(O137="","⚠ Falta AFP",IF(P137="","⚠ Falta sistema de salud",IF(AND(P137="Isapre",N(Q137)=0),"⚠ Falta plan Isapre (UF)",IF(AND(N(J137)&gt;JORNADA_LEGAL,LEFT(V137,6)="Activo"),"⚠ Jornada sobre el máximo legal","OK"))))))))</f>
        <v/>
      </c>
      <c r="AA137" s="72" t="str">
        <f aca="false">IFERROR(IF(AND(B137&lt;&gt;"",ISNUMBER(G137)),IF(AND(G137&lt;=EOMONTH(ENVIO_PER,0),OR(H137="",H137&gt;=ENVIO_PER)),MAX(AA$6:AA136)+1,""),""),"")</f>
        <v/>
      </c>
    </row>
    <row r="138" customFormat="false" ht="15" hidden="false" customHeight="false" outlineLevel="0" collapsed="false">
      <c r="B138" s="64"/>
      <c r="C138" s="64"/>
      <c r="D138" s="64"/>
      <c r="E138" s="64"/>
      <c r="F138" s="64"/>
      <c r="G138" s="65"/>
      <c r="H138" s="65"/>
      <c r="I138" s="64"/>
      <c r="J138" s="66"/>
      <c r="K138" s="64"/>
      <c r="L138" s="67"/>
      <c r="M138" s="67"/>
      <c r="N138" s="67"/>
      <c r="O138" s="64"/>
      <c r="P138" s="64"/>
      <c r="Q138" s="68"/>
      <c r="R138" s="66"/>
      <c r="S138" s="66"/>
      <c r="T138" s="69"/>
      <c r="U138" s="64"/>
      <c r="V138" s="70" t="str">
        <f aca="false">IF(B138="","",IF(NOT(ISNUMBER(G138)),"⚠ Falta fecha ingreso",IF(G138&gt;FECHA_CORTE,"Por ingresar",IF(H138="","Activo",IF(H138&lt;FECHA_CORTE,"Desvinculado","Activo (egreso programado)")))))</f>
        <v/>
      </c>
      <c r="W138" s="70" t="str">
        <f aca="false">IF(OR(B138="",NOT(ISNUMBER(G138))),"",IF(G138&gt;FECHA_CORTE,"",DATEDIF(G138,IF(H138="",FECHA_CORTE,MIN(H138,FECHA_CORTE))+1,"y")&amp;" a "&amp;DATEDIF(G138,IF(H138="",FECHA_CORTE,MIN(H138,FECHA_CORTE))+1,"ym")&amp;" m"))</f>
        <v/>
      </c>
      <c r="X138" s="71" t="str">
        <f aca="false">IF(B138="","",IFERROR(INDEX(C_SUELDO,MATCH(B138&amp;"-S"&amp;MAX(1,COUNTIFS(C_ID,B138,C_SUELDO,"&lt;&gt;",C_INICIO,"&lt;="&amp;FECHA_CORTE)),C_CLAVES,0)),0))</f>
        <v/>
      </c>
      <c r="Y138" s="70" t="str">
        <f aca="false">IF(B138="","",IFERROR(INDEX(C_TIPO,MATCH(B138&amp;"-P"&amp;MAX(1,COUNTIFS(C_ID,B138,C_DEFINE,"Sí",C_INICIO,"&lt;="&amp;FECHA_CORTE)),C_CLAVE,0))&amp;"","Sin contrato"))</f>
        <v/>
      </c>
      <c r="Z138" s="70" t="str">
        <f aca="false">IF(B138="","",IF(COUNTIF(T_ID,B138)&gt;1,"⚠ ID duplicado",IF(Y138="Sin contrato","⚠ Registrar el contrato en la hoja Contratos",IF(AND(LEFT(V138,6)="Activo",X138&lt;IMM_HOY*MIN(1,IF(N(J138)=0,JORNADA_LEGAL,J138)/JORNADA_LEGAL)),"⚠ Sueldo base bajo el ingreso mínimo",IF(O138="","⚠ Falta AFP",IF(P138="","⚠ Falta sistema de salud",IF(AND(P138="Isapre",N(Q138)=0),"⚠ Falta plan Isapre (UF)",IF(AND(N(J138)&gt;JORNADA_LEGAL,LEFT(V138,6)="Activo"),"⚠ Jornada sobre el máximo legal","OK"))))))))</f>
        <v/>
      </c>
      <c r="AA138" s="72" t="str">
        <f aca="false">IFERROR(IF(AND(B138&lt;&gt;"",ISNUMBER(G138)),IF(AND(G138&lt;=EOMONTH(ENVIO_PER,0),OR(H138="",H138&gt;=ENVIO_PER)),MAX(AA$6:AA137)+1,""),""),"")</f>
        <v/>
      </c>
    </row>
    <row r="139" customFormat="false" ht="15" hidden="false" customHeight="false" outlineLevel="0" collapsed="false">
      <c r="B139" s="64"/>
      <c r="C139" s="64"/>
      <c r="D139" s="64"/>
      <c r="E139" s="64"/>
      <c r="F139" s="64"/>
      <c r="G139" s="65"/>
      <c r="H139" s="65"/>
      <c r="I139" s="64"/>
      <c r="J139" s="66"/>
      <c r="K139" s="64"/>
      <c r="L139" s="67"/>
      <c r="M139" s="67"/>
      <c r="N139" s="67"/>
      <c r="O139" s="64"/>
      <c r="P139" s="64"/>
      <c r="Q139" s="68"/>
      <c r="R139" s="66"/>
      <c r="S139" s="66"/>
      <c r="T139" s="69"/>
      <c r="U139" s="64"/>
      <c r="V139" s="70" t="str">
        <f aca="false">IF(B139="","",IF(NOT(ISNUMBER(G139)),"⚠ Falta fecha ingreso",IF(G139&gt;FECHA_CORTE,"Por ingresar",IF(H139="","Activo",IF(H139&lt;FECHA_CORTE,"Desvinculado","Activo (egreso programado)")))))</f>
        <v/>
      </c>
      <c r="W139" s="70" t="str">
        <f aca="false">IF(OR(B139="",NOT(ISNUMBER(G139))),"",IF(G139&gt;FECHA_CORTE,"",DATEDIF(G139,IF(H139="",FECHA_CORTE,MIN(H139,FECHA_CORTE))+1,"y")&amp;" a "&amp;DATEDIF(G139,IF(H139="",FECHA_CORTE,MIN(H139,FECHA_CORTE))+1,"ym")&amp;" m"))</f>
        <v/>
      </c>
      <c r="X139" s="71" t="str">
        <f aca="false">IF(B139="","",IFERROR(INDEX(C_SUELDO,MATCH(B139&amp;"-S"&amp;MAX(1,COUNTIFS(C_ID,B139,C_SUELDO,"&lt;&gt;",C_INICIO,"&lt;="&amp;FECHA_CORTE)),C_CLAVES,0)),0))</f>
        <v/>
      </c>
      <c r="Y139" s="70" t="str">
        <f aca="false">IF(B139="","",IFERROR(INDEX(C_TIPO,MATCH(B139&amp;"-P"&amp;MAX(1,COUNTIFS(C_ID,B139,C_DEFINE,"Sí",C_INICIO,"&lt;="&amp;FECHA_CORTE)),C_CLAVE,0))&amp;"","Sin contrato"))</f>
        <v/>
      </c>
      <c r="Z139" s="70" t="str">
        <f aca="false">IF(B139="","",IF(COUNTIF(T_ID,B139)&gt;1,"⚠ ID duplicado",IF(Y139="Sin contrato","⚠ Registrar el contrato en la hoja Contratos",IF(AND(LEFT(V139,6)="Activo",X139&lt;IMM_HOY*MIN(1,IF(N(J139)=0,JORNADA_LEGAL,J139)/JORNADA_LEGAL)),"⚠ Sueldo base bajo el ingreso mínimo",IF(O139="","⚠ Falta AFP",IF(P139="","⚠ Falta sistema de salud",IF(AND(P139="Isapre",N(Q139)=0),"⚠ Falta plan Isapre (UF)",IF(AND(N(J139)&gt;JORNADA_LEGAL,LEFT(V139,6)="Activo"),"⚠ Jornada sobre el máximo legal","OK"))))))))</f>
        <v/>
      </c>
      <c r="AA139" s="72" t="str">
        <f aca="false">IFERROR(IF(AND(B139&lt;&gt;"",ISNUMBER(G139)),IF(AND(G139&lt;=EOMONTH(ENVIO_PER,0),OR(H139="",H139&gt;=ENVIO_PER)),MAX(AA$6:AA138)+1,""),""),"")</f>
        <v/>
      </c>
    </row>
    <row r="140" customFormat="false" ht="15" hidden="false" customHeight="false" outlineLevel="0" collapsed="false">
      <c r="B140" s="64"/>
      <c r="C140" s="64"/>
      <c r="D140" s="64"/>
      <c r="E140" s="64"/>
      <c r="F140" s="64"/>
      <c r="G140" s="65"/>
      <c r="H140" s="65"/>
      <c r="I140" s="64"/>
      <c r="J140" s="66"/>
      <c r="K140" s="64"/>
      <c r="L140" s="67"/>
      <c r="M140" s="67"/>
      <c r="N140" s="67"/>
      <c r="O140" s="64"/>
      <c r="P140" s="64"/>
      <c r="Q140" s="68"/>
      <c r="R140" s="66"/>
      <c r="S140" s="66"/>
      <c r="T140" s="69"/>
      <c r="U140" s="64"/>
      <c r="V140" s="70" t="str">
        <f aca="false">IF(B140="","",IF(NOT(ISNUMBER(G140)),"⚠ Falta fecha ingreso",IF(G140&gt;FECHA_CORTE,"Por ingresar",IF(H140="","Activo",IF(H140&lt;FECHA_CORTE,"Desvinculado","Activo (egreso programado)")))))</f>
        <v/>
      </c>
      <c r="W140" s="70" t="str">
        <f aca="false">IF(OR(B140="",NOT(ISNUMBER(G140))),"",IF(G140&gt;FECHA_CORTE,"",DATEDIF(G140,IF(H140="",FECHA_CORTE,MIN(H140,FECHA_CORTE))+1,"y")&amp;" a "&amp;DATEDIF(G140,IF(H140="",FECHA_CORTE,MIN(H140,FECHA_CORTE))+1,"ym")&amp;" m"))</f>
        <v/>
      </c>
      <c r="X140" s="71" t="str">
        <f aca="false">IF(B140="","",IFERROR(INDEX(C_SUELDO,MATCH(B140&amp;"-S"&amp;MAX(1,COUNTIFS(C_ID,B140,C_SUELDO,"&lt;&gt;",C_INICIO,"&lt;="&amp;FECHA_CORTE)),C_CLAVES,0)),0))</f>
        <v/>
      </c>
      <c r="Y140" s="70" t="str">
        <f aca="false">IF(B140="","",IFERROR(INDEX(C_TIPO,MATCH(B140&amp;"-P"&amp;MAX(1,COUNTIFS(C_ID,B140,C_DEFINE,"Sí",C_INICIO,"&lt;="&amp;FECHA_CORTE)),C_CLAVE,0))&amp;"","Sin contrato"))</f>
        <v/>
      </c>
      <c r="Z140" s="70" t="str">
        <f aca="false">IF(B140="","",IF(COUNTIF(T_ID,B140)&gt;1,"⚠ ID duplicado",IF(Y140="Sin contrato","⚠ Registrar el contrato en la hoja Contratos",IF(AND(LEFT(V140,6)="Activo",X140&lt;IMM_HOY*MIN(1,IF(N(J140)=0,JORNADA_LEGAL,J140)/JORNADA_LEGAL)),"⚠ Sueldo base bajo el ingreso mínimo",IF(O140="","⚠ Falta AFP",IF(P140="","⚠ Falta sistema de salud",IF(AND(P140="Isapre",N(Q140)=0),"⚠ Falta plan Isapre (UF)",IF(AND(N(J140)&gt;JORNADA_LEGAL,LEFT(V140,6)="Activo"),"⚠ Jornada sobre el máximo legal","OK"))))))))</f>
        <v/>
      </c>
      <c r="AA140" s="72" t="str">
        <f aca="false">IFERROR(IF(AND(B140&lt;&gt;"",ISNUMBER(G140)),IF(AND(G140&lt;=EOMONTH(ENVIO_PER,0),OR(H140="",H140&gt;=ENVIO_PER)),MAX(AA$6:AA139)+1,""),""),"")</f>
        <v/>
      </c>
    </row>
    <row r="141" customFormat="false" ht="15" hidden="false" customHeight="false" outlineLevel="0" collapsed="false">
      <c r="B141" s="64"/>
      <c r="C141" s="64"/>
      <c r="D141" s="64"/>
      <c r="E141" s="64"/>
      <c r="F141" s="64"/>
      <c r="G141" s="65"/>
      <c r="H141" s="65"/>
      <c r="I141" s="64"/>
      <c r="J141" s="66"/>
      <c r="K141" s="64"/>
      <c r="L141" s="67"/>
      <c r="M141" s="67"/>
      <c r="N141" s="67"/>
      <c r="O141" s="64"/>
      <c r="P141" s="64"/>
      <c r="Q141" s="68"/>
      <c r="R141" s="66"/>
      <c r="S141" s="66"/>
      <c r="T141" s="69"/>
      <c r="U141" s="64"/>
      <c r="V141" s="70" t="str">
        <f aca="false">IF(B141="","",IF(NOT(ISNUMBER(G141)),"⚠ Falta fecha ingreso",IF(G141&gt;FECHA_CORTE,"Por ingresar",IF(H141="","Activo",IF(H141&lt;FECHA_CORTE,"Desvinculado","Activo (egreso programado)")))))</f>
        <v/>
      </c>
      <c r="W141" s="70" t="str">
        <f aca="false">IF(OR(B141="",NOT(ISNUMBER(G141))),"",IF(G141&gt;FECHA_CORTE,"",DATEDIF(G141,IF(H141="",FECHA_CORTE,MIN(H141,FECHA_CORTE))+1,"y")&amp;" a "&amp;DATEDIF(G141,IF(H141="",FECHA_CORTE,MIN(H141,FECHA_CORTE))+1,"ym")&amp;" m"))</f>
        <v/>
      </c>
      <c r="X141" s="71" t="str">
        <f aca="false">IF(B141="","",IFERROR(INDEX(C_SUELDO,MATCH(B141&amp;"-S"&amp;MAX(1,COUNTIFS(C_ID,B141,C_SUELDO,"&lt;&gt;",C_INICIO,"&lt;="&amp;FECHA_CORTE)),C_CLAVES,0)),0))</f>
        <v/>
      </c>
      <c r="Y141" s="70" t="str">
        <f aca="false">IF(B141="","",IFERROR(INDEX(C_TIPO,MATCH(B141&amp;"-P"&amp;MAX(1,COUNTIFS(C_ID,B141,C_DEFINE,"Sí",C_INICIO,"&lt;="&amp;FECHA_CORTE)),C_CLAVE,0))&amp;"","Sin contrato"))</f>
        <v/>
      </c>
      <c r="Z141" s="70" t="str">
        <f aca="false">IF(B141="","",IF(COUNTIF(T_ID,B141)&gt;1,"⚠ ID duplicado",IF(Y141="Sin contrato","⚠ Registrar el contrato en la hoja Contratos",IF(AND(LEFT(V141,6)="Activo",X141&lt;IMM_HOY*MIN(1,IF(N(J141)=0,JORNADA_LEGAL,J141)/JORNADA_LEGAL)),"⚠ Sueldo base bajo el ingreso mínimo",IF(O141="","⚠ Falta AFP",IF(P141="","⚠ Falta sistema de salud",IF(AND(P141="Isapre",N(Q141)=0),"⚠ Falta plan Isapre (UF)",IF(AND(N(J141)&gt;JORNADA_LEGAL,LEFT(V141,6)="Activo"),"⚠ Jornada sobre el máximo legal","OK"))))))))</f>
        <v/>
      </c>
      <c r="AA141" s="72" t="str">
        <f aca="false">IFERROR(IF(AND(B141&lt;&gt;"",ISNUMBER(G141)),IF(AND(G141&lt;=EOMONTH(ENVIO_PER,0),OR(H141="",H141&gt;=ENVIO_PER)),MAX(AA$6:AA140)+1,""),""),"")</f>
        <v/>
      </c>
    </row>
    <row r="142" customFormat="false" ht="15" hidden="false" customHeight="false" outlineLevel="0" collapsed="false">
      <c r="B142" s="64"/>
      <c r="C142" s="64"/>
      <c r="D142" s="64"/>
      <c r="E142" s="64"/>
      <c r="F142" s="64"/>
      <c r="G142" s="65"/>
      <c r="H142" s="65"/>
      <c r="I142" s="64"/>
      <c r="J142" s="66"/>
      <c r="K142" s="64"/>
      <c r="L142" s="67"/>
      <c r="M142" s="67"/>
      <c r="N142" s="67"/>
      <c r="O142" s="64"/>
      <c r="P142" s="64"/>
      <c r="Q142" s="68"/>
      <c r="R142" s="66"/>
      <c r="S142" s="66"/>
      <c r="T142" s="69"/>
      <c r="U142" s="64"/>
      <c r="V142" s="70" t="str">
        <f aca="false">IF(B142="","",IF(NOT(ISNUMBER(G142)),"⚠ Falta fecha ingreso",IF(G142&gt;FECHA_CORTE,"Por ingresar",IF(H142="","Activo",IF(H142&lt;FECHA_CORTE,"Desvinculado","Activo (egreso programado)")))))</f>
        <v/>
      </c>
      <c r="W142" s="70" t="str">
        <f aca="false">IF(OR(B142="",NOT(ISNUMBER(G142))),"",IF(G142&gt;FECHA_CORTE,"",DATEDIF(G142,IF(H142="",FECHA_CORTE,MIN(H142,FECHA_CORTE))+1,"y")&amp;" a "&amp;DATEDIF(G142,IF(H142="",FECHA_CORTE,MIN(H142,FECHA_CORTE))+1,"ym")&amp;" m"))</f>
        <v/>
      </c>
      <c r="X142" s="71" t="str">
        <f aca="false">IF(B142="","",IFERROR(INDEX(C_SUELDO,MATCH(B142&amp;"-S"&amp;MAX(1,COUNTIFS(C_ID,B142,C_SUELDO,"&lt;&gt;",C_INICIO,"&lt;="&amp;FECHA_CORTE)),C_CLAVES,0)),0))</f>
        <v/>
      </c>
      <c r="Y142" s="70" t="str">
        <f aca="false">IF(B142="","",IFERROR(INDEX(C_TIPO,MATCH(B142&amp;"-P"&amp;MAX(1,COUNTIFS(C_ID,B142,C_DEFINE,"Sí",C_INICIO,"&lt;="&amp;FECHA_CORTE)),C_CLAVE,0))&amp;"","Sin contrato"))</f>
        <v/>
      </c>
      <c r="Z142" s="70" t="str">
        <f aca="false">IF(B142="","",IF(COUNTIF(T_ID,B142)&gt;1,"⚠ ID duplicado",IF(Y142="Sin contrato","⚠ Registrar el contrato en la hoja Contratos",IF(AND(LEFT(V142,6)="Activo",X142&lt;IMM_HOY*MIN(1,IF(N(J142)=0,JORNADA_LEGAL,J142)/JORNADA_LEGAL)),"⚠ Sueldo base bajo el ingreso mínimo",IF(O142="","⚠ Falta AFP",IF(P142="","⚠ Falta sistema de salud",IF(AND(P142="Isapre",N(Q142)=0),"⚠ Falta plan Isapre (UF)",IF(AND(N(J142)&gt;JORNADA_LEGAL,LEFT(V142,6)="Activo"),"⚠ Jornada sobre el máximo legal","OK"))))))))</f>
        <v/>
      </c>
      <c r="AA142" s="72" t="str">
        <f aca="false">IFERROR(IF(AND(B142&lt;&gt;"",ISNUMBER(G142)),IF(AND(G142&lt;=EOMONTH(ENVIO_PER,0),OR(H142="",H142&gt;=ENVIO_PER)),MAX(AA$6:AA141)+1,""),""),"")</f>
        <v/>
      </c>
    </row>
    <row r="143" customFormat="false" ht="15" hidden="false" customHeight="false" outlineLevel="0" collapsed="false">
      <c r="B143" s="64"/>
      <c r="C143" s="64"/>
      <c r="D143" s="64"/>
      <c r="E143" s="64"/>
      <c r="F143" s="64"/>
      <c r="G143" s="65"/>
      <c r="H143" s="65"/>
      <c r="I143" s="64"/>
      <c r="J143" s="66"/>
      <c r="K143" s="64"/>
      <c r="L143" s="67"/>
      <c r="M143" s="67"/>
      <c r="N143" s="67"/>
      <c r="O143" s="64"/>
      <c r="P143" s="64"/>
      <c r="Q143" s="68"/>
      <c r="R143" s="66"/>
      <c r="S143" s="66"/>
      <c r="T143" s="69"/>
      <c r="U143" s="64"/>
      <c r="V143" s="70" t="str">
        <f aca="false">IF(B143="","",IF(NOT(ISNUMBER(G143)),"⚠ Falta fecha ingreso",IF(G143&gt;FECHA_CORTE,"Por ingresar",IF(H143="","Activo",IF(H143&lt;FECHA_CORTE,"Desvinculado","Activo (egreso programado)")))))</f>
        <v/>
      </c>
      <c r="W143" s="70" t="str">
        <f aca="false">IF(OR(B143="",NOT(ISNUMBER(G143))),"",IF(G143&gt;FECHA_CORTE,"",DATEDIF(G143,IF(H143="",FECHA_CORTE,MIN(H143,FECHA_CORTE))+1,"y")&amp;" a "&amp;DATEDIF(G143,IF(H143="",FECHA_CORTE,MIN(H143,FECHA_CORTE))+1,"ym")&amp;" m"))</f>
        <v/>
      </c>
      <c r="X143" s="71" t="str">
        <f aca="false">IF(B143="","",IFERROR(INDEX(C_SUELDO,MATCH(B143&amp;"-S"&amp;MAX(1,COUNTIFS(C_ID,B143,C_SUELDO,"&lt;&gt;",C_INICIO,"&lt;="&amp;FECHA_CORTE)),C_CLAVES,0)),0))</f>
        <v/>
      </c>
      <c r="Y143" s="70" t="str">
        <f aca="false">IF(B143="","",IFERROR(INDEX(C_TIPO,MATCH(B143&amp;"-P"&amp;MAX(1,COUNTIFS(C_ID,B143,C_DEFINE,"Sí",C_INICIO,"&lt;="&amp;FECHA_CORTE)),C_CLAVE,0))&amp;"","Sin contrato"))</f>
        <v/>
      </c>
      <c r="Z143" s="70" t="str">
        <f aca="false">IF(B143="","",IF(COUNTIF(T_ID,B143)&gt;1,"⚠ ID duplicado",IF(Y143="Sin contrato","⚠ Registrar el contrato en la hoja Contratos",IF(AND(LEFT(V143,6)="Activo",X143&lt;IMM_HOY*MIN(1,IF(N(J143)=0,JORNADA_LEGAL,J143)/JORNADA_LEGAL)),"⚠ Sueldo base bajo el ingreso mínimo",IF(O143="","⚠ Falta AFP",IF(P143="","⚠ Falta sistema de salud",IF(AND(P143="Isapre",N(Q143)=0),"⚠ Falta plan Isapre (UF)",IF(AND(N(J143)&gt;JORNADA_LEGAL,LEFT(V143,6)="Activo"),"⚠ Jornada sobre el máximo legal","OK"))))))))</f>
        <v/>
      </c>
      <c r="AA143" s="72" t="str">
        <f aca="false">IFERROR(IF(AND(B143&lt;&gt;"",ISNUMBER(G143)),IF(AND(G143&lt;=EOMONTH(ENVIO_PER,0),OR(H143="",H143&gt;=ENVIO_PER)),MAX(AA$6:AA142)+1,""),""),"")</f>
        <v/>
      </c>
    </row>
    <row r="144" customFormat="false" ht="15" hidden="false" customHeight="false" outlineLevel="0" collapsed="false">
      <c r="B144" s="64"/>
      <c r="C144" s="64"/>
      <c r="D144" s="64"/>
      <c r="E144" s="64"/>
      <c r="F144" s="64"/>
      <c r="G144" s="65"/>
      <c r="H144" s="65"/>
      <c r="I144" s="64"/>
      <c r="J144" s="66"/>
      <c r="K144" s="64"/>
      <c r="L144" s="67"/>
      <c r="M144" s="67"/>
      <c r="N144" s="67"/>
      <c r="O144" s="64"/>
      <c r="P144" s="64"/>
      <c r="Q144" s="68"/>
      <c r="R144" s="66"/>
      <c r="S144" s="66"/>
      <c r="T144" s="69"/>
      <c r="U144" s="64"/>
      <c r="V144" s="70" t="str">
        <f aca="false">IF(B144="","",IF(NOT(ISNUMBER(G144)),"⚠ Falta fecha ingreso",IF(G144&gt;FECHA_CORTE,"Por ingresar",IF(H144="","Activo",IF(H144&lt;FECHA_CORTE,"Desvinculado","Activo (egreso programado)")))))</f>
        <v/>
      </c>
      <c r="W144" s="70" t="str">
        <f aca="false">IF(OR(B144="",NOT(ISNUMBER(G144))),"",IF(G144&gt;FECHA_CORTE,"",DATEDIF(G144,IF(H144="",FECHA_CORTE,MIN(H144,FECHA_CORTE))+1,"y")&amp;" a "&amp;DATEDIF(G144,IF(H144="",FECHA_CORTE,MIN(H144,FECHA_CORTE))+1,"ym")&amp;" m"))</f>
        <v/>
      </c>
      <c r="X144" s="71" t="str">
        <f aca="false">IF(B144="","",IFERROR(INDEX(C_SUELDO,MATCH(B144&amp;"-S"&amp;MAX(1,COUNTIFS(C_ID,B144,C_SUELDO,"&lt;&gt;",C_INICIO,"&lt;="&amp;FECHA_CORTE)),C_CLAVES,0)),0))</f>
        <v/>
      </c>
      <c r="Y144" s="70" t="str">
        <f aca="false">IF(B144="","",IFERROR(INDEX(C_TIPO,MATCH(B144&amp;"-P"&amp;MAX(1,COUNTIFS(C_ID,B144,C_DEFINE,"Sí",C_INICIO,"&lt;="&amp;FECHA_CORTE)),C_CLAVE,0))&amp;"","Sin contrato"))</f>
        <v/>
      </c>
      <c r="Z144" s="70" t="str">
        <f aca="false">IF(B144="","",IF(COUNTIF(T_ID,B144)&gt;1,"⚠ ID duplicado",IF(Y144="Sin contrato","⚠ Registrar el contrato en la hoja Contratos",IF(AND(LEFT(V144,6)="Activo",X144&lt;IMM_HOY*MIN(1,IF(N(J144)=0,JORNADA_LEGAL,J144)/JORNADA_LEGAL)),"⚠ Sueldo base bajo el ingreso mínimo",IF(O144="","⚠ Falta AFP",IF(P144="","⚠ Falta sistema de salud",IF(AND(P144="Isapre",N(Q144)=0),"⚠ Falta plan Isapre (UF)",IF(AND(N(J144)&gt;JORNADA_LEGAL,LEFT(V144,6)="Activo"),"⚠ Jornada sobre el máximo legal","OK"))))))))</f>
        <v/>
      </c>
      <c r="AA144" s="72" t="str">
        <f aca="false">IFERROR(IF(AND(B144&lt;&gt;"",ISNUMBER(G144)),IF(AND(G144&lt;=EOMONTH(ENVIO_PER,0),OR(H144="",H144&gt;=ENVIO_PER)),MAX(AA$6:AA143)+1,""),""),"")</f>
        <v/>
      </c>
    </row>
    <row r="145" customFormat="false" ht="15" hidden="false" customHeight="false" outlineLevel="0" collapsed="false">
      <c r="B145" s="64"/>
      <c r="C145" s="64"/>
      <c r="D145" s="64"/>
      <c r="E145" s="64"/>
      <c r="F145" s="64"/>
      <c r="G145" s="65"/>
      <c r="H145" s="65"/>
      <c r="I145" s="64"/>
      <c r="J145" s="66"/>
      <c r="K145" s="64"/>
      <c r="L145" s="67"/>
      <c r="M145" s="67"/>
      <c r="N145" s="67"/>
      <c r="O145" s="64"/>
      <c r="P145" s="64"/>
      <c r="Q145" s="68"/>
      <c r="R145" s="66"/>
      <c r="S145" s="66"/>
      <c r="T145" s="69"/>
      <c r="U145" s="64"/>
      <c r="V145" s="70" t="str">
        <f aca="false">IF(B145="","",IF(NOT(ISNUMBER(G145)),"⚠ Falta fecha ingreso",IF(G145&gt;FECHA_CORTE,"Por ingresar",IF(H145="","Activo",IF(H145&lt;FECHA_CORTE,"Desvinculado","Activo (egreso programado)")))))</f>
        <v/>
      </c>
      <c r="W145" s="70" t="str">
        <f aca="false">IF(OR(B145="",NOT(ISNUMBER(G145))),"",IF(G145&gt;FECHA_CORTE,"",DATEDIF(G145,IF(H145="",FECHA_CORTE,MIN(H145,FECHA_CORTE))+1,"y")&amp;" a "&amp;DATEDIF(G145,IF(H145="",FECHA_CORTE,MIN(H145,FECHA_CORTE))+1,"ym")&amp;" m"))</f>
        <v/>
      </c>
      <c r="X145" s="71" t="str">
        <f aca="false">IF(B145="","",IFERROR(INDEX(C_SUELDO,MATCH(B145&amp;"-S"&amp;MAX(1,COUNTIFS(C_ID,B145,C_SUELDO,"&lt;&gt;",C_INICIO,"&lt;="&amp;FECHA_CORTE)),C_CLAVES,0)),0))</f>
        <v/>
      </c>
      <c r="Y145" s="70" t="str">
        <f aca="false">IF(B145="","",IFERROR(INDEX(C_TIPO,MATCH(B145&amp;"-P"&amp;MAX(1,COUNTIFS(C_ID,B145,C_DEFINE,"Sí",C_INICIO,"&lt;="&amp;FECHA_CORTE)),C_CLAVE,0))&amp;"","Sin contrato"))</f>
        <v/>
      </c>
      <c r="Z145" s="70" t="str">
        <f aca="false">IF(B145="","",IF(COUNTIF(T_ID,B145)&gt;1,"⚠ ID duplicado",IF(Y145="Sin contrato","⚠ Registrar el contrato en la hoja Contratos",IF(AND(LEFT(V145,6)="Activo",X145&lt;IMM_HOY*MIN(1,IF(N(J145)=0,JORNADA_LEGAL,J145)/JORNADA_LEGAL)),"⚠ Sueldo base bajo el ingreso mínimo",IF(O145="","⚠ Falta AFP",IF(P145="","⚠ Falta sistema de salud",IF(AND(P145="Isapre",N(Q145)=0),"⚠ Falta plan Isapre (UF)",IF(AND(N(J145)&gt;JORNADA_LEGAL,LEFT(V145,6)="Activo"),"⚠ Jornada sobre el máximo legal","OK"))))))))</f>
        <v/>
      </c>
      <c r="AA145" s="72" t="str">
        <f aca="false">IFERROR(IF(AND(B145&lt;&gt;"",ISNUMBER(G145)),IF(AND(G145&lt;=EOMONTH(ENVIO_PER,0),OR(H145="",H145&gt;=ENVIO_PER)),MAX(AA$6:AA144)+1,""),""),"")</f>
        <v/>
      </c>
    </row>
    <row r="146" customFormat="false" ht="15" hidden="false" customHeight="false" outlineLevel="0" collapsed="false">
      <c r="B146" s="64"/>
      <c r="C146" s="64"/>
      <c r="D146" s="64"/>
      <c r="E146" s="64"/>
      <c r="F146" s="64"/>
      <c r="G146" s="65"/>
      <c r="H146" s="65"/>
      <c r="I146" s="64"/>
      <c r="J146" s="66"/>
      <c r="K146" s="64"/>
      <c r="L146" s="67"/>
      <c r="M146" s="67"/>
      <c r="N146" s="67"/>
      <c r="O146" s="64"/>
      <c r="P146" s="64"/>
      <c r="Q146" s="68"/>
      <c r="R146" s="66"/>
      <c r="S146" s="66"/>
      <c r="T146" s="69"/>
      <c r="U146" s="64"/>
      <c r="V146" s="70" t="str">
        <f aca="false">IF(B146="","",IF(NOT(ISNUMBER(G146)),"⚠ Falta fecha ingreso",IF(G146&gt;FECHA_CORTE,"Por ingresar",IF(H146="","Activo",IF(H146&lt;FECHA_CORTE,"Desvinculado","Activo (egreso programado)")))))</f>
        <v/>
      </c>
      <c r="W146" s="70" t="str">
        <f aca="false">IF(OR(B146="",NOT(ISNUMBER(G146))),"",IF(G146&gt;FECHA_CORTE,"",DATEDIF(G146,IF(H146="",FECHA_CORTE,MIN(H146,FECHA_CORTE))+1,"y")&amp;" a "&amp;DATEDIF(G146,IF(H146="",FECHA_CORTE,MIN(H146,FECHA_CORTE))+1,"ym")&amp;" m"))</f>
        <v/>
      </c>
      <c r="X146" s="71" t="str">
        <f aca="false">IF(B146="","",IFERROR(INDEX(C_SUELDO,MATCH(B146&amp;"-S"&amp;MAX(1,COUNTIFS(C_ID,B146,C_SUELDO,"&lt;&gt;",C_INICIO,"&lt;="&amp;FECHA_CORTE)),C_CLAVES,0)),0))</f>
        <v/>
      </c>
      <c r="Y146" s="70" t="str">
        <f aca="false">IF(B146="","",IFERROR(INDEX(C_TIPO,MATCH(B146&amp;"-P"&amp;MAX(1,COUNTIFS(C_ID,B146,C_DEFINE,"Sí",C_INICIO,"&lt;="&amp;FECHA_CORTE)),C_CLAVE,0))&amp;"","Sin contrato"))</f>
        <v/>
      </c>
      <c r="Z146" s="70" t="str">
        <f aca="false">IF(B146="","",IF(COUNTIF(T_ID,B146)&gt;1,"⚠ ID duplicado",IF(Y146="Sin contrato","⚠ Registrar el contrato en la hoja Contratos",IF(AND(LEFT(V146,6)="Activo",X146&lt;IMM_HOY*MIN(1,IF(N(J146)=0,JORNADA_LEGAL,J146)/JORNADA_LEGAL)),"⚠ Sueldo base bajo el ingreso mínimo",IF(O146="","⚠ Falta AFP",IF(P146="","⚠ Falta sistema de salud",IF(AND(P146="Isapre",N(Q146)=0),"⚠ Falta plan Isapre (UF)",IF(AND(N(J146)&gt;JORNADA_LEGAL,LEFT(V146,6)="Activo"),"⚠ Jornada sobre el máximo legal","OK"))))))))</f>
        <v/>
      </c>
      <c r="AA146" s="72" t="str">
        <f aca="false">IFERROR(IF(AND(B146&lt;&gt;"",ISNUMBER(G146)),IF(AND(G146&lt;=EOMONTH(ENVIO_PER,0),OR(H146="",H146&gt;=ENVIO_PER)),MAX(AA$6:AA145)+1,""),""),"")</f>
        <v/>
      </c>
    </row>
    <row r="147" customFormat="false" ht="15" hidden="false" customHeight="false" outlineLevel="0" collapsed="false">
      <c r="B147" s="64"/>
      <c r="C147" s="64"/>
      <c r="D147" s="64"/>
      <c r="E147" s="64"/>
      <c r="F147" s="64"/>
      <c r="G147" s="65"/>
      <c r="H147" s="65"/>
      <c r="I147" s="64"/>
      <c r="J147" s="66"/>
      <c r="K147" s="64"/>
      <c r="L147" s="67"/>
      <c r="M147" s="67"/>
      <c r="N147" s="67"/>
      <c r="O147" s="64"/>
      <c r="P147" s="64"/>
      <c r="Q147" s="68"/>
      <c r="R147" s="66"/>
      <c r="S147" s="66"/>
      <c r="T147" s="69"/>
      <c r="U147" s="64"/>
      <c r="V147" s="70" t="str">
        <f aca="false">IF(B147="","",IF(NOT(ISNUMBER(G147)),"⚠ Falta fecha ingreso",IF(G147&gt;FECHA_CORTE,"Por ingresar",IF(H147="","Activo",IF(H147&lt;FECHA_CORTE,"Desvinculado","Activo (egreso programado)")))))</f>
        <v/>
      </c>
      <c r="W147" s="70" t="str">
        <f aca="false">IF(OR(B147="",NOT(ISNUMBER(G147))),"",IF(G147&gt;FECHA_CORTE,"",DATEDIF(G147,IF(H147="",FECHA_CORTE,MIN(H147,FECHA_CORTE))+1,"y")&amp;" a "&amp;DATEDIF(G147,IF(H147="",FECHA_CORTE,MIN(H147,FECHA_CORTE))+1,"ym")&amp;" m"))</f>
        <v/>
      </c>
      <c r="X147" s="71" t="str">
        <f aca="false">IF(B147="","",IFERROR(INDEX(C_SUELDO,MATCH(B147&amp;"-S"&amp;MAX(1,COUNTIFS(C_ID,B147,C_SUELDO,"&lt;&gt;",C_INICIO,"&lt;="&amp;FECHA_CORTE)),C_CLAVES,0)),0))</f>
        <v/>
      </c>
      <c r="Y147" s="70" t="str">
        <f aca="false">IF(B147="","",IFERROR(INDEX(C_TIPO,MATCH(B147&amp;"-P"&amp;MAX(1,COUNTIFS(C_ID,B147,C_DEFINE,"Sí",C_INICIO,"&lt;="&amp;FECHA_CORTE)),C_CLAVE,0))&amp;"","Sin contrato"))</f>
        <v/>
      </c>
      <c r="Z147" s="70" t="str">
        <f aca="false">IF(B147="","",IF(COUNTIF(T_ID,B147)&gt;1,"⚠ ID duplicado",IF(Y147="Sin contrato","⚠ Registrar el contrato en la hoja Contratos",IF(AND(LEFT(V147,6)="Activo",X147&lt;IMM_HOY*MIN(1,IF(N(J147)=0,JORNADA_LEGAL,J147)/JORNADA_LEGAL)),"⚠ Sueldo base bajo el ingreso mínimo",IF(O147="","⚠ Falta AFP",IF(P147="","⚠ Falta sistema de salud",IF(AND(P147="Isapre",N(Q147)=0),"⚠ Falta plan Isapre (UF)",IF(AND(N(J147)&gt;JORNADA_LEGAL,LEFT(V147,6)="Activo"),"⚠ Jornada sobre el máximo legal","OK"))))))))</f>
        <v/>
      </c>
      <c r="AA147" s="72" t="str">
        <f aca="false">IFERROR(IF(AND(B147&lt;&gt;"",ISNUMBER(G147)),IF(AND(G147&lt;=EOMONTH(ENVIO_PER,0),OR(H147="",H147&gt;=ENVIO_PER)),MAX(AA$6:AA146)+1,""),""),"")</f>
        <v/>
      </c>
    </row>
    <row r="148" customFormat="false" ht="15" hidden="false" customHeight="false" outlineLevel="0" collapsed="false">
      <c r="B148" s="64"/>
      <c r="C148" s="64"/>
      <c r="D148" s="64"/>
      <c r="E148" s="64"/>
      <c r="F148" s="64"/>
      <c r="G148" s="65"/>
      <c r="H148" s="65"/>
      <c r="I148" s="64"/>
      <c r="J148" s="66"/>
      <c r="K148" s="64"/>
      <c r="L148" s="67"/>
      <c r="M148" s="67"/>
      <c r="N148" s="67"/>
      <c r="O148" s="64"/>
      <c r="P148" s="64"/>
      <c r="Q148" s="68"/>
      <c r="R148" s="66"/>
      <c r="S148" s="66"/>
      <c r="T148" s="69"/>
      <c r="U148" s="64"/>
      <c r="V148" s="70" t="str">
        <f aca="false">IF(B148="","",IF(NOT(ISNUMBER(G148)),"⚠ Falta fecha ingreso",IF(G148&gt;FECHA_CORTE,"Por ingresar",IF(H148="","Activo",IF(H148&lt;FECHA_CORTE,"Desvinculado","Activo (egreso programado)")))))</f>
        <v/>
      </c>
      <c r="W148" s="70" t="str">
        <f aca="false">IF(OR(B148="",NOT(ISNUMBER(G148))),"",IF(G148&gt;FECHA_CORTE,"",DATEDIF(G148,IF(H148="",FECHA_CORTE,MIN(H148,FECHA_CORTE))+1,"y")&amp;" a "&amp;DATEDIF(G148,IF(H148="",FECHA_CORTE,MIN(H148,FECHA_CORTE))+1,"ym")&amp;" m"))</f>
        <v/>
      </c>
      <c r="X148" s="71" t="str">
        <f aca="false">IF(B148="","",IFERROR(INDEX(C_SUELDO,MATCH(B148&amp;"-S"&amp;MAX(1,COUNTIFS(C_ID,B148,C_SUELDO,"&lt;&gt;",C_INICIO,"&lt;="&amp;FECHA_CORTE)),C_CLAVES,0)),0))</f>
        <v/>
      </c>
      <c r="Y148" s="70" t="str">
        <f aca="false">IF(B148="","",IFERROR(INDEX(C_TIPO,MATCH(B148&amp;"-P"&amp;MAX(1,COUNTIFS(C_ID,B148,C_DEFINE,"Sí",C_INICIO,"&lt;="&amp;FECHA_CORTE)),C_CLAVE,0))&amp;"","Sin contrato"))</f>
        <v/>
      </c>
      <c r="Z148" s="70" t="str">
        <f aca="false">IF(B148="","",IF(COUNTIF(T_ID,B148)&gt;1,"⚠ ID duplicado",IF(Y148="Sin contrato","⚠ Registrar el contrato en la hoja Contratos",IF(AND(LEFT(V148,6)="Activo",X148&lt;IMM_HOY*MIN(1,IF(N(J148)=0,JORNADA_LEGAL,J148)/JORNADA_LEGAL)),"⚠ Sueldo base bajo el ingreso mínimo",IF(O148="","⚠ Falta AFP",IF(P148="","⚠ Falta sistema de salud",IF(AND(P148="Isapre",N(Q148)=0),"⚠ Falta plan Isapre (UF)",IF(AND(N(J148)&gt;JORNADA_LEGAL,LEFT(V148,6)="Activo"),"⚠ Jornada sobre el máximo legal","OK"))))))))</f>
        <v/>
      </c>
      <c r="AA148" s="72" t="str">
        <f aca="false">IFERROR(IF(AND(B148&lt;&gt;"",ISNUMBER(G148)),IF(AND(G148&lt;=EOMONTH(ENVIO_PER,0),OR(H148="",H148&gt;=ENVIO_PER)),MAX(AA$6:AA147)+1,""),""),"")</f>
        <v/>
      </c>
    </row>
    <row r="149" customFormat="false" ht="15" hidden="false" customHeight="false" outlineLevel="0" collapsed="false">
      <c r="B149" s="64"/>
      <c r="C149" s="64"/>
      <c r="D149" s="64"/>
      <c r="E149" s="64"/>
      <c r="F149" s="64"/>
      <c r="G149" s="65"/>
      <c r="H149" s="65"/>
      <c r="I149" s="64"/>
      <c r="J149" s="66"/>
      <c r="K149" s="64"/>
      <c r="L149" s="67"/>
      <c r="M149" s="67"/>
      <c r="N149" s="67"/>
      <c r="O149" s="64"/>
      <c r="P149" s="64"/>
      <c r="Q149" s="68"/>
      <c r="R149" s="66"/>
      <c r="S149" s="66"/>
      <c r="T149" s="69"/>
      <c r="U149" s="64"/>
      <c r="V149" s="70" t="str">
        <f aca="false">IF(B149="","",IF(NOT(ISNUMBER(G149)),"⚠ Falta fecha ingreso",IF(G149&gt;FECHA_CORTE,"Por ingresar",IF(H149="","Activo",IF(H149&lt;FECHA_CORTE,"Desvinculado","Activo (egreso programado)")))))</f>
        <v/>
      </c>
      <c r="W149" s="70" t="str">
        <f aca="false">IF(OR(B149="",NOT(ISNUMBER(G149))),"",IF(G149&gt;FECHA_CORTE,"",DATEDIF(G149,IF(H149="",FECHA_CORTE,MIN(H149,FECHA_CORTE))+1,"y")&amp;" a "&amp;DATEDIF(G149,IF(H149="",FECHA_CORTE,MIN(H149,FECHA_CORTE))+1,"ym")&amp;" m"))</f>
        <v/>
      </c>
      <c r="X149" s="71" t="str">
        <f aca="false">IF(B149="","",IFERROR(INDEX(C_SUELDO,MATCH(B149&amp;"-S"&amp;MAX(1,COUNTIFS(C_ID,B149,C_SUELDO,"&lt;&gt;",C_INICIO,"&lt;="&amp;FECHA_CORTE)),C_CLAVES,0)),0))</f>
        <v/>
      </c>
      <c r="Y149" s="70" t="str">
        <f aca="false">IF(B149="","",IFERROR(INDEX(C_TIPO,MATCH(B149&amp;"-P"&amp;MAX(1,COUNTIFS(C_ID,B149,C_DEFINE,"Sí",C_INICIO,"&lt;="&amp;FECHA_CORTE)),C_CLAVE,0))&amp;"","Sin contrato"))</f>
        <v/>
      </c>
      <c r="Z149" s="70" t="str">
        <f aca="false">IF(B149="","",IF(COUNTIF(T_ID,B149)&gt;1,"⚠ ID duplicado",IF(Y149="Sin contrato","⚠ Registrar el contrato en la hoja Contratos",IF(AND(LEFT(V149,6)="Activo",X149&lt;IMM_HOY*MIN(1,IF(N(J149)=0,JORNADA_LEGAL,J149)/JORNADA_LEGAL)),"⚠ Sueldo base bajo el ingreso mínimo",IF(O149="","⚠ Falta AFP",IF(P149="","⚠ Falta sistema de salud",IF(AND(P149="Isapre",N(Q149)=0),"⚠ Falta plan Isapre (UF)",IF(AND(N(J149)&gt;JORNADA_LEGAL,LEFT(V149,6)="Activo"),"⚠ Jornada sobre el máximo legal","OK"))))))))</f>
        <v/>
      </c>
      <c r="AA149" s="72" t="str">
        <f aca="false">IFERROR(IF(AND(B149&lt;&gt;"",ISNUMBER(G149)),IF(AND(G149&lt;=EOMONTH(ENVIO_PER,0),OR(H149="",H149&gt;=ENVIO_PER)),MAX(AA$6:AA148)+1,""),""),"")</f>
        <v/>
      </c>
    </row>
    <row r="150" customFormat="false" ht="15" hidden="false" customHeight="false" outlineLevel="0" collapsed="false">
      <c r="B150" s="64"/>
      <c r="C150" s="64"/>
      <c r="D150" s="64"/>
      <c r="E150" s="64"/>
      <c r="F150" s="64"/>
      <c r="G150" s="65"/>
      <c r="H150" s="65"/>
      <c r="I150" s="64"/>
      <c r="J150" s="66"/>
      <c r="K150" s="64"/>
      <c r="L150" s="67"/>
      <c r="M150" s="67"/>
      <c r="N150" s="67"/>
      <c r="O150" s="64"/>
      <c r="P150" s="64"/>
      <c r="Q150" s="68"/>
      <c r="R150" s="66"/>
      <c r="S150" s="66"/>
      <c r="T150" s="69"/>
      <c r="U150" s="64"/>
      <c r="V150" s="70" t="str">
        <f aca="false">IF(B150="","",IF(NOT(ISNUMBER(G150)),"⚠ Falta fecha ingreso",IF(G150&gt;FECHA_CORTE,"Por ingresar",IF(H150="","Activo",IF(H150&lt;FECHA_CORTE,"Desvinculado","Activo (egreso programado)")))))</f>
        <v/>
      </c>
      <c r="W150" s="70" t="str">
        <f aca="false">IF(OR(B150="",NOT(ISNUMBER(G150))),"",IF(G150&gt;FECHA_CORTE,"",DATEDIF(G150,IF(H150="",FECHA_CORTE,MIN(H150,FECHA_CORTE))+1,"y")&amp;" a "&amp;DATEDIF(G150,IF(H150="",FECHA_CORTE,MIN(H150,FECHA_CORTE))+1,"ym")&amp;" m"))</f>
        <v/>
      </c>
      <c r="X150" s="71" t="str">
        <f aca="false">IF(B150="","",IFERROR(INDEX(C_SUELDO,MATCH(B150&amp;"-S"&amp;MAX(1,COUNTIFS(C_ID,B150,C_SUELDO,"&lt;&gt;",C_INICIO,"&lt;="&amp;FECHA_CORTE)),C_CLAVES,0)),0))</f>
        <v/>
      </c>
      <c r="Y150" s="70" t="str">
        <f aca="false">IF(B150="","",IFERROR(INDEX(C_TIPO,MATCH(B150&amp;"-P"&amp;MAX(1,COUNTIFS(C_ID,B150,C_DEFINE,"Sí",C_INICIO,"&lt;="&amp;FECHA_CORTE)),C_CLAVE,0))&amp;"","Sin contrato"))</f>
        <v/>
      </c>
      <c r="Z150" s="70" t="str">
        <f aca="false">IF(B150="","",IF(COUNTIF(T_ID,B150)&gt;1,"⚠ ID duplicado",IF(Y150="Sin contrato","⚠ Registrar el contrato en la hoja Contratos",IF(AND(LEFT(V150,6)="Activo",X150&lt;IMM_HOY*MIN(1,IF(N(J150)=0,JORNADA_LEGAL,J150)/JORNADA_LEGAL)),"⚠ Sueldo base bajo el ingreso mínimo",IF(O150="","⚠ Falta AFP",IF(P150="","⚠ Falta sistema de salud",IF(AND(P150="Isapre",N(Q150)=0),"⚠ Falta plan Isapre (UF)",IF(AND(N(J150)&gt;JORNADA_LEGAL,LEFT(V150,6)="Activo"),"⚠ Jornada sobre el máximo legal","OK"))))))))</f>
        <v/>
      </c>
      <c r="AA150" s="72" t="str">
        <f aca="false">IFERROR(IF(AND(B150&lt;&gt;"",ISNUMBER(G150)),IF(AND(G150&lt;=EOMONTH(ENVIO_PER,0),OR(H150="",H150&gt;=ENVIO_PER)),MAX(AA$6:AA149)+1,""),""),"")</f>
        <v/>
      </c>
    </row>
    <row r="151" customFormat="false" ht="15" hidden="false" customHeight="false" outlineLevel="0" collapsed="false">
      <c r="B151" s="64"/>
      <c r="C151" s="64"/>
      <c r="D151" s="64"/>
      <c r="E151" s="64"/>
      <c r="F151" s="64"/>
      <c r="G151" s="65"/>
      <c r="H151" s="65"/>
      <c r="I151" s="64"/>
      <c r="J151" s="66"/>
      <c r="K151" s="64"/>
      <c r="L151" s="67"/>
      <c r="M151" s="67"/>
      <c r="N151" s="67"/>
      <c r="O151" s="64"/>
      <c r="P151" s="64"/>
      <c r="Q151" s="68"/>
      <c r="R151" s="66"/>
      <c r="S151" s="66"/>
      <c r="T151" s="69"/>
      <c r="U151" s="64"/>
      <c r="V151" s="70" t="str">
        <f aca="false">IF(B151="","",IF(NOT(ISNUMBER(G151)),"⚠ Falta fecha ingreso",IF(G151&gt;FECHA_CORTE,"Por ingresar",IF(H151="","Activo",IF(H151&lt;FECHA_CORTE,"Desvinculado","Activo (egreso programado)")))))</f>
        <v/>
      </c>
      <c r="W151" s="70" t="str">
        <f aca="false">IF(OR(B151="",NOT(ISNUMBER(G151))),"",IF(G151&gt;FECHA_CORTE,"",DATEDIF(G151,IF(H151="",FECHA_CORTE,MIN(H151,FECHA_CORTE))+1,"y")&amp;" a "&amp;DATEDIF(G151,IF(H151="",FECHA_CORTE,MIN(H151,FECHA_CORTE))+1,"ym")&amp;" m"))</f>
        <v/>
      </c>
      <c r="X151" s="71" t="str">
        <f aca="false">IF(B151="","",IFERROR(INDEX(C_SUELDO,MATCH(B151&amp;"-S"&amp;MAX(1,COUNTIFS(C_ID,B151,C_SUELDO,"&lt;&gt;",C_INICIO,"&lt;="&amp;FECHA_CORTE)),C_CLAVES,0)),0))</f>
        <v/>
      </c>
      <c r="Y151" s="70" t="str">
        <f aca="false">IF(B151="","",IFERROR(INDEX(C_TIPO,MATCH(B151&amp;"-P"&amp;MAX(1,COUNTIFS(C_ID,B151,C_DEFINE,"Sí",C_INICIO,"&lt;="&amp;FECHA_CORTE)),C_CLAVE,0))&amp;"","Sin contrato"))</f>
        <v/>
      </c>
      <c r="Z151" s="70" t="str">
        <f aca="false">IF(B151="","",IF(COUNTIF(T_ID,B151)&gt;1,"⚠ ID duplicado",IF(Y151="Sin contrato","⚠ Registrar el contrato en la hoja Contratos",IF(AND(LEFT(V151,6)="Activo",X151&lt;IMM_HOY*MIN(1,IF(N(J151)=0,JORNADA_LEGAL,J151)/JORNADA_LEGAL)),"⚠ Sueldo base bajo el ingreso mínimo",IF(O151="","⚠ Falta AFP",IF(P151="","⚠ Falta sistema de salud",IF(AND(P151="Isapre",N(Q151)=0),"⚠ Falta plan Isapre (UF)",IF(AND(N(J151)&gt;JORNADA_LEGAL,LEFT(V151,6)="Activo"),"⚠ Jornada sobre el máximo legal","OK"))))))))</f>
        <v/>
      </c>
      <c r="AA151" s="72" t="str">
        <f aca="false">IFERROR(IF(AND(B151&lt;&gt;"",ISNUMBER(G151)),IF(AND(G151&lt;=EOMONTH(ENVIO_PER,0),OR(H151="",H151&gt;=ENVIO_PER)),MAX(AA$6:AA150)+1,""),""),"")</f>
        <v/>
      </c>
    </row>
    <row r="152" customFormat="false" ht="15" hidden="false" customHeight="false" outlineLevel="0" collapsed="false">
      <c r="B152" s="64"/>
      <c r="C152" s="64"/>
      <c r="D152" s="64"/>
      <c r="E152" s="64"/>
      <c r="F152" s="64"/>
      <c r="G152" s="65"/>
      <c r="H152" s="65"/>
      <c r="I152" s="64"/>
      <c r="J152" s="66"/>
      <c r="K152" s="64"/>
      <c r="L152" s="67"/>
      <c r="M152" s="67"/>
      <c r="N152" s="67"/>
      <c r="O152" s="64"/>
      <c r="P152" s="64"/>
      <c r="Q152" s="68"/>
      <c r="R152" s="66"/>
      <c r="S152" s="66"/>
      <c r="T152" s="69"/>
      <c r="U152" s="64"/>
      <c r="V152" s="70" t="str">
        <f aca="false">IF(B152="","",IF(NOT(ISNUMBER(G152)),"⚠ Falta fecha ingreso",IF(G152&gt;FECHA_CORTE,"Por ingresar",IF(H152="","Activo",IF(H152&lt;FECHA_CORTE,"Desvinculado","Activo (egreso programado)")))))</f>
        <v/>
      </c>
      <c r="W152" s="70" t="str">
        <f aca="false">IF(OR(B152="",NOT(ISNUMBER(G152))),"",IF(G152&gt;FECHA_CORTE,"",DATEDIF(G152,IF(H152="",FECHA_CORTE,MIN(H152,FECHA_CORTE))+1,"y")&amp;" a "&amp;DATEDIF(G152,IF(H152="",FECHA_CORTE,MIN(H152,FECHA_CORTE))+1,"ym")&amp;" m"))</f>
        <v/>
      </c>
      <c r="X152" s="71" t="str">
        <f aca="false">IF(B152="","",IFERROR(INDEX(C_SUELDO,MATCH(B152&amp;"-S"&amp;MAX(1,COUNTIFS(C_ID,B152,C_SUELDO,"&lt;&gt;",C_INICIO,"&lt;="&amp;FECHA_CORTE)),C_CLAVES,0)),0))</f>
        <v/>
      </c>
      <c r="Y152" s="70" t="str">
        <f aca="false">IF(B152="","",IFERROR(INDEX(C_TIPO,MATCH(B152&amp;"-P"&amp;MAX(1,COUNTIFS(C_ID,B152,C_DEFINE,"Sí",C_INICIO,"&lt;="&amp;FECHA_CORTE)),C_CLAVE,0))&amp;"","Sin contrato"))</f>
        <v/>
      </c>
      <c r="Z152" s="70" t="str">
        <f aca="false">IF(B152="","",IF(COUNTIF(T_ID,B152)&gt;1,"⚠ ID duplicado",IF(Y152="Sin contrato","⚠ Registrar el contrato en la hoja Contratos",IF(AND(LEFT(V152,6)="Activo",X152&lt;IMM_HOY*MIN(1,IF(N(J152)=0,JORNADA_LEGAL,J152)/JORNADA_LEGAL)),"⚠ Sueldo base bajo el ingreso mínimo",IF(O152="","⚠ Falta AFP",IF(P152="","⚠ Falta sistema de salud",IF(AND(P152="Isapre",N(Q152)=0),"⚠ Falta plan Isapre (UF)",IF(AND(N(J152)&gt;JORNADA_LEGAL,LEFT(V152,6)="Activo"),"⚠ Jornada sobre el máximo legal","OK"))))))))</f>
        <v/>
      </c>
      <c r="AA152" s="72" t="str">
        <f aca="false">IFERROR(IF(AND(B152&lt;&gt;"",ISNUMBER(G152)),IF(AND(G152&lt;=EOMONTH(ENVIO_PER,0),OR(H152="",H152&gt;=ENVIO_PER)),MAX(AA$6:AA151)+1,""),""),"")</f>
        <v/>
      </c>
    </row>
    <row r="153" customFormat="false" ht="15" hidden="false" customHeight="false" outlineLevel="0" collapsed="false">
      <c r="B153" s="64"/>
      <c r="C153" s="64"/>
      <c r="D153" s="64"/>
      <c r="E153" s="64"/>
      <c r="F153" s="64"/>
      <c r="G153" s="65"/>
      <c r="H153" s="65"/>
      <c r="I153" s="64"/>
      <c r="J153" s="66"/>
      <c r="K153" s="64"/>
      <c r="L153" s="67"/>
      <c r="M153" s="67"/>
      <c r="N153" s="67"/>
      <c r="O153" s="64"/>
      <c r="P153" s="64"/>
      <c r="Q153" s="68"/>
      <c r="R153" s="66"/>
      <c r="S153" s="66"/>
      <c r="T153" s="69"/>
      <c r="U153" s="64"/>
      <c r="V153" s="70" t="str">
        <f aca="false">IF(B153="","",IF(NOT(ISNUMBER(G153)),"⚠ Falta fecha ingreso",IF(G153&gt;FECHA_CORTE,"Por ingresar",IF(H153="","Activo",IF(H153&lt;FECHA_CORTE,"Desvinculado","Activo (egreso programado)")))))</f>
        <v/>
      </c>
      <c r="W153" s="70" t="str">
        <f aca="false">IF(OR(B153="",NOT(ISNUMBER(G153))),"",IF(G153&gt;FECHA_CORTE,"",DATEDIF(G153,IF(H153="",FECHA_CORTE,MIN(H153,FECHA_CORTE))+1,"y")&amp;" a "&amp;DATEDIF(G153,IF(H153="",FECHA_CORTE,MIN(H153,FECHA_CORTE))+1,"ym")&amp;" m"))</f>
        <v/>
      </c>
      <c r="X153" s="71" t="str">
        <f aca="false">IF(B153="","",IFERROR(INDEX(C_SUELDO,MATCH(B153&amp;"-S"&amp;MAX(1,COUNTIFS(C_ID,B153,C_SUELDO,"&lt;&gt;",C_INICIO,"&lt;="&amp;FECHA_CORTE)),C_CLAVES,0)),0))</f>
        <v/>
      </c>
      <c r="Y153" s="70" t="str">
        <f aca="false">IF(B153="","",IFERROR(INDEX(C_TIPO,MATCH(B153&amp;"-P"&amp;MAX(1,COUNTIFS(C_ID,B153,C_DEFINE,"Sí",C_INICIO,"&lt;="&amp;FECHA_CORTE)),C_CLAVE,0))&amp;"","Sin contrato"))</f>
        <v/>
      </c>
      <c r="Z153" s="70" t="str">
        <f aca="false">IF(B153="","",IF(COUNTIF(T_ID,B153)&gt;1,"⚠ ID duplicado",IF(Y153="Sin contrato","⚠ Registrar el contrato en la hoja Contratos",IF(AND(LEFT(V153,6)="Activo",X153&lt;IMM_HOY*MIN(1,IF(N(J153)=0,JORNADA_LEGAL,J153)/JORNADA_LEGAL)),"⚠ Sueldo base bajo el ingreso mínimo",IF(O153="","⚠ Falta AFP",IF(P153="","⚠ Falta sistema de salud",IF(AND(P153="Isapre",N(Q153)=0),"⚠ Falta plan Isapre (UF)",IF(AND(N(J153)&gt;JORNADA_LEGAL,LEFT(V153,6)="Activo"),"⚠ Jornada sobre el máximo legal","OK"))))))))</f>
        <v/>
      </c>
      <c r="AA153" s="72" t="str">
        <f aca="false">IFERROR(IF(AND(B153&lt;&gt;"",ISNUMBER(G153)),IF(AND(G153&lt;=EOMONTH(ENVIO_PER,0),OR(H153="",H153&gt;=ENVIO_PER)),MAX(AA$6:AA152)+1,""),""),"")</f>
        <v/>
      </c>
    </row>
    <row r="154" customFormat="false" ht="15" hidden="false" customHeight="false" outlineLevel="0" collapsed="false">
      <c r="B154" s="64"/>
      <c r="C154" s="64"/>
      <c r="D154" s="64"/>
      <c r="E154" s="64"/>
      <c r="F154" s="64"/>
      <c r="G154" s="65"/>
      <c r="H154" s="65"/>
      <c r="I154" s="64"/>
      <c r="J154" s="66"/>
      <c r="K154" s="64"/>
      <c r="L154" s="67"/>
      <c r="M154" s="67"/>
      <c r="N154" s="67"/>
      <c r="O154" s="64"/>
      <c r="P154" s="64"/>
      <c r="Q154" s="68"/>
      <c r="R154" s="66"/>
      <c r="S154" s="66"/>
      <c r="T154" s="69"/>
      <c r="U154" s="64"/>
      <c r="V154" s="70" t="str">
        <f aca="false">IF(B154="","",IF(NOT(ISNUMBER(G154)),"⚠ Falta fecha ingreso",IF(G154&gt;FECHA_CORTE,"Por ingresar",IF(H154="","Activo",IF(H154&lt;FECHA_CORTE,"Desvinculado","Activo (egreso programado)")))))</f>
        <v/>
      </c>
      <c r="W154" s="70" t="str">
        <f aca="false">IF(OR(B154="",NOT(ISNUMBER(G154))),"",IF(G154&gt;FECHA_CORTE,"",DATEDIF(G154,IF(H154="",FECHA_CORTE,MIN(H154,FECHA_CORTE))+1,"y")&amp;" a "&amp;DATEDIF(G154,IF(H154="",FECHA_CORTE,MIN(H154,FECHA_CORTE))+1,"ym")&amp;" m"))</f>
        <v/>
      </c>
      <c r="X154" s="71" t="str">
        <f aca="false">IF(B154="","",IFERROR(INDEX(C_SUELDO,MATCH(B154&amp;"-S"&amp;MAX(1,COUNTIFS(C_ID,B154,C_SUELDO,"&lt;&gt;",C_INICIO,"&lt;="&amp;FECHA_CORTE)),C_CLAVES,0)),0))</f>
        <v/>
      </c>
      <c r="Y154" s="70" t="str">
        <f aca="false">IF(B154="","",IFERROR(INDEX(C_TIPO,MATCH(B154&amp;"-P"&amp;MAX(1,COUNTIFS(C_ID,B154,C_DEFINE,"Sí",C_INICIO,"&lt;="&amp;FECHA_CORTE)),C_CLAVE,0))&amp;"","Sin contrato"))</f>
        <v/>
      </c>
      <c r="Z154" s="70" t="str">
        <f aca="false">IF(B154="","",IF(COUNTIF(T_ID,B154)&gt;1,"⚠ ID duplicado",IF(Y154="Sin contrato","⚠ Registrar el contrato en la hoja Contratos",IF(AND(LEFT(V154,6)="Activo",X154&lt;IMM_HOY*MIN(1,IF(N(J154)=0,JORNADA_LEGAL,J154)/JORNADA_LEGAL)),"⚠ Sueldo base bajo el ingreso mínimo",IF(O154="","⚠ Falta AFP",IF(P154="","⚠ Falta sistema de salud",IF(AND(P154="Isapre",N(Q154)=0),"⚠ Falta plan Isapre (UF)",IF(AND(N(J154)&gt;JORNADA_LEGAL,LEFT(V154,6)="Activo"),"⚠ Jornada sobre el máximo legal","OK"))))))))</f>
        <v/>
      </c>
      <c r="AA154" s="72" t="str">
        <f aca="false">IFERROR(IF(AND(B154&lt;&gt;"",ISNUMBER(G154)),IF(AND(G154&lt;=EOMONTH(ENVIO_PER,0),OR(H154="",H154&gt;=ENVIO_PER)),MAX(AA$6:AA153)+1,""),""),"")</f>
        <v/>
      </c>
    </row>
    <row r="155" customFormat="false" ht="15" hidden="false" customHeight="false" outlineLevel="0" collapsed="false">
      <c r="B155" s="64"/>
      <c r="C155" s="64"/>
      <c r="D155" s="64"/>
      <c r="E155" s="64"/>
      <c r="F155" s="64"/>
      <c r="G155" s="65"/>
      <c r="H155" s="65"/>
      <c r="I155" s="64"/>
      <c r="J155" s="66"/>
      <c r="K155" s="64"/>
      <c r="L155" s="67"/>
      <c r="M155" s="67"/>
      <c r="N155" s="67"/>
      <c r="O155" s="64"/>
      <c r="P155" s="64"/>
      <c r="Q155" s="68"/>
      <c r="R155" s="66"/>
      <c r="S155" s="66"/>
      <c r="T155" s="69"/>
      <c r="U155" s="64"/>
      <c r="V155" s="70" t="str">
        <f aca="false">IF(B155="","",IF(NOT(ISNUMBER(G155)),"⚠ Falta fecha ingreso",IF(G155&gt;FECHA_CORTE,"Por ingresar",IF(H155="","Activo",IF(H155&lt;FECHA_CORTE,"Desvinculado","Activo (egreso programado)")))))</f>
        <v/>
      </c>
      <c r="W155" s="70" t="str">
        <f aca="false">IF(OR(B155="",NOT(ISNUMBER(G155))),"",IF(G155&gt;FECHA_CORTE,"",DATEDIF(G155,IF(H155="",FECHA_CORTE,MIN(H155,FECHA_CORTE))+1,"y")&amp;" a "&amp;DATEDIF(G155,IF(H155="",FECHA_CORTE,MIN(H155,FECHA_CORTE))+1,"ym")&amp;" m"))</f>
        <v/>
      </c>
      <c r="X155" s="71" t="str">
        <f aca="false">IF(B155="","",IFERROR(INDEX(C_SUELDO,MATCH(B155&amp;"-S"&amp;MAX(1,COUNTIFS(C_ID,B155,C_SUELDO,"&lt;&gt;",C_INICIO,"&lt;="&amp;FECHA_CORTE)),C_CLAVES,0)),0))</f>
        <v/>
      </c>
      <c r="Y155" s="70" t="str">
        <f aca="false">IF(B155="","",IFERROR(INDEX(C_TIPO,MATCH(B155&amp;"-P"&amp;MAX(1,COUNTIFS(C_ID,B155,C_DEFINE,"Sí",C_INICIO,"&lt;="&amp;FECHA_CORTE)),C_CLAVE,0))&amp;"","Sin contrato"))</f>
        <v/>
      </c>
      <c r="Z155" s="70" t="str">
        <f aca="false">IF(B155="","",IF(COUNTIF(T_ID,B155)&gt;1,"⚠ ID duplicado",IF(Y155="Sin contrato","⚠ Registrar el contrato en la hoja Contratos",IF(AND(LEFT(V155,6)="Activo",X155&lt;IMM_HOY*MIN(1,IF(N(J155)=0,JORNADA_LEGAL,J155)/JORNADA_LEGAL)),"⚠ Sueldo base bajo el ingreso mínimo",IF(O155="","⚠ Falta AFP",IF(P155="","⚠ Falta sistema de salud",IF(AND(P155="Isapre",N(Q155)=0),"⚠ Falta plan Isapre (UF)",IF(AND(N(J155)&gt;JORNADA_LEGAL,LEFT(V155,6)="Activo"),"⚠ Jornada sobre el máximo legal","OK"))))))))</f>
        <v/>
      </c>
      <c r="AA155" s="72" t="str">
        <f aca="false">IFERROR(IF(AND(B155&lt;&gt;"",ISNUMBER(G155)),IF(AND(G155&lt;=EOMONTH(ENVIO_PER,0),OR(H155="",H155&gt;=ENVIO_PER)),MAX(AA$6:AA154)+1,""),""),"")</f>
        <v/>
      </c>
    </row>
    <row r="156" customFormat="false" ht="15" hidden="false" customHeight="false" outlineLevel="0" collapsed="false">
      <c r="B156" s="64"/>
      <c r="C156" s="64"/>
      <c r="D156" s="64"/>
      <c r="E156" s="64"/>
      <c r="F156" s="64"/>
      <c r="G156" s="65"/>
      <c r="H156" s="65"/>
      <c r="I156" s="64"/>
      <c r="J156" s="66"/>
      <c r="K156" s="64"/>
      <c r="L156" s="67"/>
      <c r="M156" s="67"/>
      <c r="N156" s="67"/>
      <c r="O156" s="64"/>
      <c r="P156" s="64"/>
      <c r="Q156" s="68"/>
      <c r="R156" s="66"/>
      <c r="S156" s="66"/>
      <c r="T156" s="69"/>
      <c r="U156" s="64"/>
      <c r="V156" s="70" t="str">
        <f aca="false">IF(B156="","",IF(NOT(ISNUMBER(G156)),"⚠ Falta fecha ingreso",IF(G156&gt;FECHA_CORTE,"Por ingresar",IF(H156="","Activo",IF(H156&lt;FECHA_CORTE,"Desvinculado","Activo (egreso programado)")))))</f>
        <v/>
      </c>
      <c r="W156" s="70" t="str">
        <f aca="false">IF(OR(B156="",NOT(ISNUMBER(G156))),"",IF(G156&gt;FECHA_CORTE,"",DATEDIF(G156,IF(H156="",FECHA_CORTE,MIN(H156,FECHA_CORTE))+1,"y")&amp;" a "&amp;DATEDIF(G156,IF(H156="",FECHA_CORTE,MIN(H156,FECHA_CORTE))+1,"ym")&amp;" m"))</f>
        <v/>
      </c>
      <c r="X156" s="71" t="str">
        <f aca="false">IF(B156="","",IFERROR(INDEX(C_SUELDO,MATCH(B156&amp;"-S"&amp;MAX(1,COUNTIFS(C_ID,B156,C_SUELDO,"&lt;&gt;",C_INICIO,"&lt;="&amp;FECHA_CORTE)),C_CLAVES,0)),0))</f>
        <v/>
      </c>
      <c r="Y156" s="70" t="str">
        <f aca="false">IF(B156="","",IFERROR(INDEX(C_TIPO,MATCH(B156&amp;"-P"&amp;MAX(1,COUNTIFS(C_ID,B156,C_DEFINE,"Sí",C_INICIO,"&lt;="&amp;FECHA_CORTE)),C_CLAVE,0))&amp;"","Sin contrato"))</f>
        <v/>
      </c>
      <c r="Z156" s="70" t="str">
        <f aca="false">IF(B156="","",IF(COUNTIF(T_ID,B156)&gt;1,"⚠ ID duplicado",IF(Y156="Sin contrato","⚠ Registrar el contrato en la hoja Contratos",IF(AND(LEFT(V156,6)="Activo",X156&lt;IMM_HOY*MIN(1,IF(N(J156)=0,JORNADA_LEGAL,J156)/JORNADA_LEGAL)),"⚠ Sueldo base bajo el ingreso mínimo",IF(O156="","⚠ Falta AFP",IF(P156="","⚠ Falta sistema de salud",IF(AND(P156="Isapre",N(Q156)=0),"⚠ Falta plan Isapre (UF)",IF(AND(N(J156)&gt;JORNADA_LEGAL,LEFT(V156,6)="Activo"),"⚠ Jornada sobre el máximo legal","OK"))))))))</f>
        <v/>
      </c>
      <c r="AA156" s="72" t="str">
        <f aca="false">IFERROR(IF(AND(B156&lt;&gt;"",ISNUMBER(G156)),IF(AND(G156&lt;=EOMONTH(ENVIO_PER,0),OR(H156="",H156&gt;=ENVIO_PER)),MAX(AA$6:AA155)+1,""),""),"")</f>
        <v/>
      </c>
    </row>
  </sheetData>
  <autoFilter ref="B6:Z156"/>
  <conditionalFormatting sqref="B7:Z156">
    <cfRule type="expression" priority="2" aboveAverage="0" equalAverage="0" bottom="0" percent="0" rank="0" text="" dxfId="14">
      <formula>$V7="Desvinculado"</formula>
    </cfRule>
  </conditionalFormatting>
  <conditionalFormatting sqref="Z7:Z156">
    <cfRule type="expression" priority="3" aboveAverage="0" equalAverage="0" bottom="0" percent="0" rank="0" text="" dxfId="15">
      <formula>LEFT($Z7,1)="⚠"</formula>
    </cfRule>
    <cfRule type="expression" priority="4" aboveAverage="0" equalAverage="0" bottom="0" percent="0" rank="0" text="" dxfId="16">
      <formula>$Z7="OK"</formula>
    </cfRule>
  </conditionalFormatting>
  <dataValidations count="8">
    <dataValidation allowBlank="true" error="Seleccione un valor de la lista desplegable." errorStyle="stop" errorTitle="Valor no válido" operator="between" showDropDown="false" showErrorMessage="true" showInputMessage="false" sqref="F7:F156" type="list">
      <formula1>LS_AREAS</formula1>
      <formula2>0</formula2>
    </dataValidation>
    <dataValidation allowBlank="true" error="Seleccione un valor de la lista desplegable." errorStyle="stop" errorTitle="Valor no válido" operator="between" showDropDown="false" showErrorMessage="true" showInputMessage="false" sqref="I7:I156" type="list">
      <formula1>LS_CAUSALES</formula1>
      <formula2>0</formula2>
    </dataValidation>
    <dataValidation allowBlank="true" error="Seleccione un valor de la lista desplegable." errorStyle="stop" errorTitle="Valor no válido" operator="between" showDropDown="false" showErrorMessage="true" showInputMessage="false" sqref="K7:K156" type="list">
      <formula1>LS_GRAT</formula1>
      <formula2>0</formula2>
    </dataValidation>
    <dataValidation allowBlank="true" error="Seleccione un valor de la lista desplegable." errorStyle="stop" errorTitle="Valor no válido" operator="between" showDropDown="false" showErrorMessage="true" showInputMessage="false" sqref="O7:O156" type="list">
      <formula1>AFP_NOMBRES</formula1>
      <formula2>0</formula2>
    </dataValidation>
    <dataValidation allowBlank="true" error="Seleccione un valor de la lista desplegable." errorStyle="stop" errorTitle="Valor no válido" operator="between" showDropDown="false" showErrorMessage="true" showInputMessage="false" sqref="P7:P156" type="list">
      <formula1>LS_SALUD</formula1>
      <formula2>0</formula2>
    </dataValidation>
    <dataValidation allowBlank="true" error="Ingrese una fecha (dd-mm-aaaa)." errorStyle="stop" errorTitle="Fecha no válida" operator="between" showDropDown="false" showErrorMessage="true" showInputMessage="false" sqref="G7:H156" type="date">
      <formula1>32874</formula1>
      <formula2>73051</formula2>
    </dataValidation>
    <dataValidation allowBlank="true" error="Ingrese un número entre 1 y 60." errorStyle="stop" errorTitle="Número no válido" operator="between" showDropDown="false" showErrorMessage="true" showInputMessage="false" sqref="J7:J156" type="decimal">
      <formula1>1</formula1>
      <formula2>60</formula2>
    </dataValidation>
    <dataValidation allowBlank="true" error="Ingrese un número entre 0 y 60." errorStyle="stop" errorTitle="Número no válido" operator="between" showDropDown="false" showErrorMessage="true" showInputMessage="false" sqref="S7:S156" type="decimal">
      <formula1>0</formula1>
      <formula2>60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U8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1"/>
  <cols>
    <col collapsed="false" customWidth="true" hidden="false" outlineLevel="0" max="1" min="1" style="0" width="2"/>
    <col collapsed="false" customWidth="true" hidden="false" outlineLevel="0" max="2" min="2" style="0" width="10"/>
    <col collapsed="false" customWidth="true" hidden="false" outlineLevel="0" max="3" min="3" style="0" width="24"/>
    <col collapsed="false" customWidth="true" hidden="false" outlineLevel="0" max="4" min="4" style="0" width="21"/>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4"/>
    <col collapsed="false" customWidth="true" hidden="false" outlineLevel="0" max="9" min="9" style="0" width="34"/>
    <col collapsed="false" customWidth="true" hidden="false" outlineLevel="0" max="10" min="10" style="0" width="11"/>
    <col collapsed="false" customWidth="true" hidden="false" outlineLevel="0" max="11" min="11" style="0" width="10"/>
    <col collapsed="false" customWidth="true" hidden="false" outlineLevel="0" max="12" min="12" style="0" width="26"/>
    <col collapsed="false" customWidth="true" hidden="false" outlineLevel="0" max="13" min="13" style="0" width="20"/>
    <col collapsed="false" customWidth="true" hidden="false" outlineLevel="1" max="14" min="14" style="0" width="8"/>
    <col collapsed="false" customWidth="true" hidden="false" outlineLevel="1" max="15" min="15" style="0" width="7"/>
    <col collapsed="false" customWidth="true" hidden="false" outlineLevel="1" max="16" min="16" style="0" width="9"/>
    <col collapsed="false" customWidth="true" hidden="false" outlineLevel="0" max="17" min="17" style="0" width="10"/>
    <col collapsed="false" customWidth="true" hidden="false" outlineLevel="1" max="18" min="18" style="0" width="7"/>
    <col collapsed="false" customWidth="true" hidden="false" outlineLevel="1" max="19" min="19" style="0" width="9"/>
    <col collapsed="false" customWidth="true" hidden="false" outlineLevel="0" max="20" min="20" style="0" width="9"/>
    <col collapsed="false" customWidth="true" hidden="false" outlineLevel="0" max="21" min="21" style="0" width="52"/>
  </cols>
  <sheetData>
    <row r="2" customFormat="false" ht="24" hidden="false" customHeight="true" outlineLevel="0" collapsed="false">
      <c r="B2" s="1" t="s">
        <v>218</v>
      </c>
      <c r="C2" s="2"/>
      <c r="D2" s="2"/>
      <c r="E2" s="2"/>
      <c r="F2" s="2"/>
      <c r="G2" s="2"/>
      <c r="H2" s="2"/>
      <c r="I2" s="2"/>
      <c r="J2" s="2"/>
      <c r="K2" s="2"/>
      <c r="L2" s="2"/>
      <c r="M2" s="2"/>
      <c r="N2" s="2"/>
      <c r="O2" s="2"/>
      <c r="P2" s="2"/>
      <c r="Q2" s="2"/>
      <c r="R2" s="2"/>
      <c r="S2" s="2"/>
      <c r="T2" s="2"/>
      <c r="U2" s="2"/>
    </row>
    <row r="3" customFormat="false" ht="15.75" hidden="false" customHeight="true" outlineLevel="0" collapsed="false">
      <c r="B3" s="3" t="s">
        <v>219</v>
      </c>
      <c r="C3" s="2"/>
      <c r="D3" s="2"/>
      <c r="E3" s="2"/>
      <c r="F3" s="2"/>
      <c r="G3" s="2"/>
      <c r="H3" s="2"/>
      <c r="I3" s="2"/>
      <c r="J3" s="2"/>
      <c r="K3" s="2"/>
      <c r="L3" s="2"/>
      <c r="M3" s="2"/>
      <c r="N3" s="2"/>
      <c r="O3" s="2"/>
      <c r="P3" s="2"/>
      <c r="Q3" s="2"/>
      <c r="R3" s="2"/>
      <c r="S3" s="2"/>
      <c r="T3" s="2"/>
      <c r="U3" s="2"/>
    </row>
    <row r="4" customFormat="false" ht="15" hidden="false" customHeight="false" outlineLevel="0" collapsed="false">
      <c r="B4" s="63" t="s">
        <v>220</v>
      </c>
    </row>
    <row r="6" customFormat="false" ht="48" hidden="false" customHeight="true" outlineLevel="0" collapsed="false">
      <c r="B6" s="42" t="s">
        <v>221</v>
      </c>
      <c r="C6" s="53" t="s">
        <v>222</v>
      </c>
      <c r="D6" s="42" t="s">
        <v>223</v>
      </c>
      <c r="E6" s="42" t="s">
        <v>224</v>
      </c>
      <c r="F6" s="42" t="s">
        <v>225</v>
      </c>
      <c r="G6" s="42" t="s">
        <v>226</v>
      </c>
      <c r="H6" s="42" t="s">
        <v>227</v>
      </c>
      <c r="I6" s="42" t="s">
        <v>228</v>
      </c>
      <c r="J6" s="42" t="s">
        <v>229</v>
      </c>
      <c r="K6" s="42" t="s">
        <v>230</v>
      </c>
      <c r="L6" s="42" t="s">
        <v>231</v>
      </c>
      <c r="M6" s="42" t="s">
        <v>170</v>
      </c>
      <c r="N6" s="53" t="s">
        <v>232</v>
      </c>
      <c r="O6" s="53" t="s">
        <v>233</v>
      </c>
      <c r="P6" s="53" t="s">
        <v>234</v>
      </c>
      <c r="Q6" s="53" t="s">
        <v>235</v>
      </c>
      <c r="R6" s="53" t="s">
        <v>236</v>
      </c>
      <c r="S6" s="53" t="s">
        <v>237</v>
      </c>
      <c r="T6" s="53" t="s">
        <v>238</v>
      </c>
      <c r="U6" s="53" t="s">
        <v>239</v>
      </c>
    </row>
    <row r="7" customFormat="false" ht="15" hidden="false" customHeight="false" outlineLevel="0" collapsed="false">
      <c r="B7" s="64" t="s">
        <v>177</v>
      </c>
      <c r="C7" s="72" t="str">
        <f aca="false">IF(B7="","",IFERROR(INDEX(T_NOMBRE,MATCH(B7,T_ID,0)),"⚠ ID no existe en Trabajadores"))</f>
        <v>María Soto (EJEMPLO)</v>
      </c>
      <c r="D7" s="64" t="s">
        <v>240</v>
      </c>
      <c r="E7" s="64" t="s">
        <v>241</v>
      </c>
      <c r="F7" s="65" t="n">
        <v>44256</v>
      </c>
      <c r="G7" s="65" t="n">
        <v>44347</v>
      </c>
      <c r="H7" s="67" t="n">
        <v>750000</v>
      </c>
      <c r="I7" s="64" t="s">
        <v>242</v>
      </c>
      <c r="J7" s="65" t="n">
        <v>44258</v>
      </c>
      <c r="K7" s="64" t="s">
        <v>243</v>
      </c>
      <c r="L7" s="64" t="s">
        <v>244</v>
      </c>
      <c r="M7" s="64"/>
      <c r="N7" s="72" t="str">
        <f aca="false">IF(B7="","",IF(D7="Anexo de modificación","No","Sí"))</f>
        <v>Sí</v>
      </c>
      <c r="O7" s="73" t="n">
        <f aca="false">IF(AND(N7="Sí",ISNUMBER(F7)),COUNTIFS(C_ID,B7,C_DEFINE,"Sí",C_INICIO,"&lt;"&amp;F7)+COUNTIFS(B$7:B7,B7,N$7:N7,"Sí",F$7:F7,F7),"")</f>
        <v>1</v>
      </c>
      <c r="P7" s="72" t="str">
        <f aca="false">IF(O7="","",B7&amp;"-P"&amp;O7)</f>
        <v>T001-P1</v>
      </c>
      <c r="Q7" s="73" t="n">
        <f aca="false">IF(AND(N7="Sí",E7="Plazo fijo",ISNUMBER(F7)),COUNTIFS(C_ID,B7,C_TIPO,"Plazo fijo",C_DEFINE,"Sí",C_INICIO,"&lt;"&amp;F7)+COUNTIFS(B$7:B7,B7,E$7:E7,"Plazo fijo",N$7:N7,"Sí",F$7:F7,F7),"")</f>
        <v>1</v>
      </c>
      <c r="R7" s="73" t="n">
        <f aca="false">IF(AND(B7&lt;&gt;"",ISNUMBER(H7),ISNUMBER(F7)),COUNTIFS(C_ID,B7,C_SUELDO,"&lt;&gt;",C_INICIO,"&lt;"&amp;F7)+COUNTIFS(B$7:B7,B7,H$7:H7,"&lt;&gt;",F$7:F7,F7),"")</f>
        <v>1</v>
      </c>
      <c r="S7" s="72" t="str">
        <f aca="false">IF(R7="","",B7&amp;"-S"&amp;R7)</f>
        <v>T001-S1</v>
      </c>
      <c r="T7" s="74" t="n">
        <f aca="false">IF(AND(ISNUMBER(F7),ISNUMBER(G7)),ROUND((G7-F7+1)/30.4375,1),"")</f>
        <v>3</v>
      </c>
      <c r="U7" s="70" t="str">
        <f aca="false">IF(B7="","",IF(AND(N7="Sí",OR(E7="",NOT(ISNUMBER(F7)))),"⚠ Falta tipo de contrato o fecha de inicio",IF(NOT(ISNUMBER(F7)),"⚠ Falta fecha de inicio",IF(AND(N7="Sí",E7&lt;&gt;"Indefinido",NOT(ISNUMBER(G7))),"⚠ Falta fecha de término",IF(AND(D7="Paso a indefinido",E7&lt;&gt;"Indefinido"),"⚠ Un paso a indefinido debe tener tipo Indefinido",IF(N(Q7)&gt;=3,"⚠ 3er contrato a plazo fijo: por ley ya es INDEFINIDO (Art. 159 N°4)",IF(AND(E7="Plazo fijo",N(T7)&gt;12),"⚠ Plazo fijo mayor a 1 año (máx. legal; 2 años solo profesionales o técnicos)",IF(AND(ISNUMBER(G7),G7&lt;F7),"⚠ Término anterior al inicio",IF(AND(D7="Contrato inicial",ISNUMBER(J7),J7-F7&gt;15),"⚠ Escriturado fuera de plazo (Art. 9: 15 días)",IF(K7&lt;&gt;"Sí","Pendiente de firma","OK"))))))))))</f>
        <v>OK</v>
      </c>
    </row>
    <row r="8" customFormat="false" ht="15" hidden="false" customHeight="false" outlineLevel="0" collapsed="false">
      <c r="B8" s="64" t="s">
        <v>177</v>
      </c>
      <c r="C8" s="72" t="str">
        <f aca="false">IF(B8="","",IFERROR(INDEX(T_NOMBRE,MATCH(B8,T_ID,0)),"⚠ ID no existe en Trabajadores"))</f>
        <v>María Soto (EJEMPLO)</v>
      </c>
      <c r="D8" s="64" t="s">
        <v>245</v>
      </c>
      <c r="E8" s="64" t="s">
        <v>241</v>
      </c>
      <c r="F8" s="65" t="n">
        <v>44348</v>
      </c>
      <c r="G8" s="65" t="n">
        <v>44439</v>
      </c>
      <c r="H8" s="67"/>
      <c r="I8" s="64" t="s">
        <v>246</v>
      </c>
      <c r="J8" s="65" t="n">
        <v>44344</v>
      </c>
      <c r="K8" s="64" t="s">
        <v>243</v>
      </c>
      <c r="L8" s="64" t="s">
        <v>247</v>
      </c>
      <c r="M8" s="64"/>
      <c r="N8" s="72" t="str">
        <f aca="false">IF(B8="","",IF(D8="Anexo de modificación","No","Sí"))</f>
        <v>Sí</v>
      </c>
      <c r="O8" s="73" t="n">
        <f aca="false">IF(AND(N8="Sí",ISNUMBER(F8)),COUNTIFS(C_ID,B8,C_DEFINE,"Sí",C_INICIO,"&lt;"&amp;F8)+COUNTIFS(B$7:B8,B8,N$7:N8,"Sí",F$7:F8,F8),"")</f>
        <v>2</v>
      </c>
      <c r="P8" s="72" t="str">
        <f aca="false">IF(O8="","",B8&amp;"-P"&amp;O8)</f>
        <v>T001-P2</v>
      </c>
      <c r="Q8" s="73" t="n">
        <f aca="false">IF(AND(N8="Sí",E8="Plazo fijo",ISNUMBER(F8)),COUNTIFS(C_ID,B8,C_TIPO,"Plazo fijo",C_DEFINE,"Sí",C_INICIO,"&lt;"&amp;F8)+COUNTIFS(B$7:B8,B8,E$7:E8,"Plazo fijo",N$7:N8,"Sí",F$7:F8,F8),"")</f>
        <v>2</v>
      </c>
      <c r="R8" s="73" t="str">
        <f aca="false">IF(AND(B8&lt;&gt;"",ISNUMBER(H8),ISNUMBER(F8)),COUNTIFS(C_ID,B8,C_SUELDO,"&lt;&gt;",C_INICIO,"&lt;"&amp;F8)+COUNTIFS(B$7:B8,B8,H$7:H8,"&lt;&gt;",F$7:F8,F8),"")</f>
        <v/>
      </c>
      <c r="S8" s="72" t="str">
        <f aca="false">IF(R8="","",B8&amp;"-S"&amp;R8)</f>
        <v/>
      </c>
      <c r="T8" s="74" t="n">
        <f aca="false">IF(AND(ISNUMBER(F8),ISNUMBER(G8)),ROUND((G8-F8+1)/30.4375,1),"")</f>
        <v>3</v>
      </c>
      <c r="U8" s="70" t="str">
        <f aca="false">IF(B8="","",IF(AND(N8="Sí",OR(E8="",NOT(ISNUMBER(F8)))),"⚠ Falta tipo de contrato o fecha de inicio",IF(NOT(ISNUMBER(F8)),"⚠ Falta fecha de inicio",IF(AND(N8="Sí",E8&lt;&gt;"Indefinido",NOT(ISNUMBER(G8))),"⚠ Falta fecha de término",IF(AND(D8="Paso a indefinido",E8&lt;&gt;"Indefinido"),"⚠ Un paso a indefinido debe tener tipo Indefinido",IF(N(Q8)&gt;=3,"⚠ 3er contrato a plazo fijo: por ley ya es INDEFINIDO (Art. 159 N°4)",IF(AND(E8="Plazo fijo",N(T8)&gt;12),"⚠ Plazo fijo mayor a 1 año (máx. legal; 2 años solo profesionales o técnicos)",IF(AND(ISNUMBER(G8),G8&lt;F8),"⚠ Término anterior al inicio",IF(AND(D8="Contrato inicial",ISNUMBER(J8),J8-F8&gt;15),"⚠ Escriturado fuera de plazo (Art. 9: 15 días)",IF(K8&lt;&gt;"Sí","Pendiente de firma","OK"))))))))))</f>
        <v>OK</v>
      </c>
    </row>
    <row r="9" customFormat="false" ht="15" hidden="false" customHeight="false" outlineLevel="0" collapsed="false">
      <c r="B9" s="64" t="s">
        <v>177</v>
      </c>
      <c r="C9" s="72" t="str">
        <f aca="false">IF(B9="","",IFERROR(INDEX(T_NOMBRE,MATCH(B9,T_ID,0)),"⚠ ID no existe en Trabajadores"))</f>
        <v>María Soto (EJEMPLO)</v>
      </c>
      <c r="D9" s="64" t="s">
        <v>248</v>
      </c>
      <c r="E9" s="64" t="s">
        <v>249</v>
      </c>
      <c r="F9" s="65" t="n">
        <v>44440</v>
      </c>
      <c r="G9" s="65"/>
      <c r="H9" s="67"/>
      <c r="I9" s="64" t="s">
        <v>250</v>
      </c>
      <c r="J9" s="65" t="n">
        <v>44438</v>
      </c>
      <c r="K9" s="64" t="s">
        <v>243</v>
      </c>
      <c r="L9" s="64" t="s">
        <v>251</v>
      </c>
      <c r="M9" s="64"/>
      <c r="N9" s="72" t="str">
        <f aca="false">IF(B9="","",IF(D9="Anexo de modificación","No","Sí"))</f>
        <v>Sí</v>
      </c>
      <c r="O9" s="73" t="n">
        <f aca="false">IF(AND(N9="Sí",ISNUMBER(F9)),COUNTIFS(C_ID,B9,C_DEFINE,"Sí",C_INICIO,"&lt;"&amp;F9)+COUNTIFS(B$7:B9,B9,N$7:N9,"Sí",F$7:F9,F9),"")</f>
        <v>3</v>
      </c>
      <c r="P9" s="72" t="str">
        <f aca="false">IF(O9="","",B9&amp;"-P"&amp;O9)</f>
        <v>T001-P3</v>
      </c>
      <c r="Q9" s="73" t="str">
        <f aca="false">IF(AND(N9="Sí",E9="Plazo fijo",ISNUMBER(F9)),COUNTIFS(C_ID,B9,C_TIPO,"Plazo fijo",C_DEFINE,"Sí",C_INICIO,"&lt;"&amp;F9)+COUNTIFS(B$7:B9,B9,E$7:E9,"Plazo fijo",N$7:N9,"Sí",F$7:F9,F9),"")</f>
        <v/>
      </c>
      <c r="R9" s="73" t="str">
        <f aca="false">IF(AND(B9&lt;&gt;"",ISNUMBER(H9),ISNUMBER(F9)),COUNTIFS(C_ID,B9,C_SUELDO,"&lt;&gt;",C_INICIO,"&lt;"&amp;F9)+COUNTIFS(B$7:B9,B9,H$7:H9,"&lt;&gt;",F$7:F9,F9),"")</f>
        <v/>
      </c>
      <c r="S9" s="72" t="str">
        <f aca="false">IF(R9="","",B9&amp;"-S"&amp;R9)</f>
        <v/>
      </c>
      <c r="T9" s="74" t="str">
        <f aca="false">IF(AND(ISNUMBER(F9),ISNUMBER(G9)),ROUND((G9-F9+1)/30.4375,1),"")</f>
        <v/>
      </c>
      <c r="U9" s="70" t="str">
        <f aca="false">IF(B9="","",IF(AND(N9="Sí",OR(E9="",NOT(ISNUMBER(F9)))),"⚠ Falta tipo de contrato o fecha de inicio",IF(NOT(ISNUMBER(F9)),"⚠ Falta fecha de inicio",IF(AND(N9="Sí",E9&lt;&gt;"Indefinido",NOT(ISNUMBER(G9))),"⚠ Falta fecha de término",IF(AND(D9="Paso a indefinido",E9&lt;&gt;"Indefinido"),"⚠ Un paso a indefinido debe tener tipo Indefinido",IF(N(Q9)&gt;=3,"⚠ 3er contrato a plazo fijo: por ley ya es INDEFINIDO (Art. 159 N°4)",IF(AND(E9="Plazo fijo",N(T9)&gt;12),"⚠ Plazo fijo mayor a 1 año (máx. legal; 2 años solo profesionales o técnicos)",IF(AND(ISNUMBER(G9),G9&lt;F9),"⚠ Término anterior al inicio",IF(AND(D9="Contrato inicial",ISNUMBER(J9),J9-F9&gt;15),"⚠ Escriturado fuera de plazo (Art. 9: 15 días)",IF(K9&lt;&gt;"Sí","Pendiente de firma","OK"))))))))))</f>
        <v>OK</v>
      </c>
    </row>
    <row r="10" customFormat="false" ht="15" hidden="false" customHeight="false" outlineLevel="0" collapsed="false">
      <c r="B10" s="64" t="s">
        <v>177</v>
      </c>
      <c r="C10" s="72" t="str">
        <f aca="false">IF(B10="","",IFERROR(INDEX(T_NOMBRE,MATCH(B10,T_ID,0)),"⚠ ID no existe en Trabajadores"))</f>
        <v>María Soto (EJEMPLO)</v>
      </c>
      <c r="D10" s="64" t="s">
        <v>252</v>
      </c>
      <c r="E10" s="64"/>
      <c r="F10" s="65" t="n">
        <v>45352</v>
      </c>
      <c r="G10" s="65"/>
      <c r="H10" s="67" t="n">
        <v>1100000</v>
      </c>
      <c r="I10" s="64" t="s">
        <v>253</v>
      </c>
      <c r="J10" s="65" t="n">
        <v>45349</v>
      </c>
      <c r="K10" s="64" t="s">
        <v>243</v>
      </c>
      <c r="L10" s="64" t="s">
        <v>254</v>
      </c>
      <c r="M10" s="64"/>
      <c r="N10" s="72" t="str">
        <f aca="false">IF(B10="","",IF(D10="Anexo de modificación","No","Sí"))</f>
        <v>No</v>
      </c>
      <c r="O10" s="73" t="str">
        <f aca="false">IF(AND(N10="Sí",ISNUMBER(F10)),COUNTIFS(C_ID,B10,C_DEFINE,"Sí",C_INICIO,"&lt;"&amp;F10)+COUNTIFS(B$7:B10,B10,N$7:N10,"Sí",F$7:F10,F10),"")</f>
        <v/>
      </c>
      <c r="P10" s="72" t="str">
        <f aca="false">IF(O10="","",B10&amp;"-P"&amp;O10)</f>
        <v/>
      </c>
      <c r="Q10" s="73" t="str">
        <f aca="false">IF(AND(N10="Sí",E10="Plazo fijo",ISNUMBER(F10)),COUNTIFS(C_ID,B10,C_TIPO,"Plazo fijo",C_DEFINE,"Sí",C_INICIO,"&lt;"&amp;F10)+COUNTIFS(B$7:B10,B10,E$7:E10,"Plazo fijo",N$7:N10,"Sí",F$7:F10,F10),"")</f>
        <v/>
      </c>
      <c r="R10" s="73" t="n">
        <f aca="false">IF(AND(B10&lt;&gt;"",ISNUMBER(H10),ISNUMBER(F10)),COUNTIFS(C_ID,B10,C_SUELDO,"&lt;&gt;",C_INICIO,"&lt;"&amp;F10)+COUNTIFS(B$7:B10,B10,H$7:H10,"&lt;&gt;",F$7:F10,F10),"")</f>
        <v>2</v>
      </c>
      <c r="S10" s="72" t="str">
        <f aca="false">IF(R10="","",B10&amp;"-S"&amp;R10)</f>
        <v>T001-S2</v>
      </c>
      <c r="T10" s="74" t="str">
        <f aca="false">IF(AND(ISNUMBER(F10),ISNUMBER(G10)),ROUND((G10-F10+1)/30.4375,1),"")</f>
        <v/>
      </c>
      <c r="U10" s="70" t="str">
        <f aca="false">IF(B10="","",IF(AND(N10="Sí",OR(E10="",NOT(ISNUMBER(F10)))),"⚠ Falta tipo de contrato o fecha de inicio",IF(NOT(ISNUMBER(F10)),"⚠ Falta fecha de inicio",IF(AND(N10="Sí",E10&lt;&gt;"Indefinido",NOT(ISNUMBER(G10))),"⚠ Falta fecha de término",IF(AND(D10="Paso a indefinido",E10&lt;&gt;"Indefinido"),"⚠ Un paso a indefinido debe tener tipo Indefinido",IF(N(Q10)&gt;=3,"⚠ 3er contrato a plazo fijo: por ley ya es INDEFINIDO (Art. 159 N°4)",IF(AND(E10="Plazo fijo",N(T10)&gt;12),"⚠ Plazo fijo mayor a 1 año (máx. legal; 2 años solo profesionales o técnicos)",IF(AND(ISNUMBER(G10),G10&lt;F10),"⚠ Término anterior al inicio",IF(AND(D10="Contrato inicial",ISNUMBER(J10),J10-F10&gt;15),"⚠ Escriturado fuera de plazo (Art. 9: 15 días)",IF(K10&lt;&gt;"Sí","Pendiente de firma","OK"))))))))))</f>
        <v>OK</v>
      </c>
    </row>
    <row r="11" customFormat="false" ht="15" hidden="false" customHeight="false" outlineLevel="0" collapsed="false">
      <c r="B11" s="64" t="s">
        <v>177</v>
      </c>
      <c r="C11" s="72" t="str">
        <f aca="false">IF(B11="","",IFERROR(INDEX(T_NOMBRE,MATCH(B11,T_ID,0)),"⚠ ID no existe en Trabajadores"))</f>
        <v>María Soto (EJEMPLO)</v>
      </c>
      <c r="D11" s="64" t="s">
        <v>252</v>
      </c>
      <c r="E11" s="64"/>
      <c r="F11" s="65" t="n">
        <v>46138</v>
      </c>
      <c r="G11" s="65"/>
      <c r="H11" s="67"/>
      <c r="I11" s="64" t="s">
        <v>255</v>
      </c>
      <c r="J11" s="65" t="n">
        <v>46132</v>
      </c>
      <c r="K11" s="64" t="s">
        <v>243</v>
      </c>
      <c r="L11" s="64" t="s">
        <v>256</v>
      </c>
      <c r="M11" s="64"/>
      <c r="N11" s="72" t="str">
        <f aca="false">IF(B11="","",IF(D11="Anexo de modificación","No","Sí"))</f>
        <v>No</v>
      </c>
      <c r="O11" s="73" t="str">
        <f aca="false">IF(AND(N11="Sí",ISNUMBER(F11)),COUNTIFS(C_ID,B11,C_DEFINE,"Sí",C_INICIO,"&lt;"&amp;F11)+COUNTIFS(B$7:B11,B11,N$7:N11,"Sí",F$7:F11,F11),"")</f>
        <v/>
      </c>
      <c r="P11" s="72" t="str">
        <f aca="false">IF(O11="","",B11&amp;"-P"&amp;O11)</f>
        <v/>
      </c>
      <c r="Q11" s="73" t="str">
        <f aca="false">IF(AND(N11="Sí",E11="Plazo fijo",ISNUMBER(F11)),COUNTIFS(C_ID,B11,C_TIPO,"Plazo fijo",C_DEFINE,"Sí",C_INICIO,"&lt;"&amp;F11)+COUNTIFS(B$7:B11,B11,E$7:E11,"Plazo fijo",N$7:N11,"Sí",F$7:F11,F11),"")</f>
        <v/>
      </c>
      <c r="R11" s="73" t="str">
        <f aca="false">IF(AND(B11&lt;&gt;"",ISNUMBER(H11),ISNUMBER(F11)),COUNTIFS(C_ID,B11,C_SUELDO,"&lt;&gt;",C_INICIO,"&lt;"&amp;F11)+COUNTIFS(B$7:B11,B11,H$7:H11,"&lt;&gt;",F$7:F11,F11),"")</f>
        <v/>
      </c>
      <c r="S11" s="72" t="str">
        <f aca="false">IF(R11="","",B11&amp;"-S"&amp;R11)</f>
        <v/>
      </c>
      <c r="T11" s="74" t="str">
        <f aca="false">IF(AND(ISNUMBER(F11),ISNUMBER(G11)),ROUND((G11-F11+1)/30.4375,1),"")</f>
        <v/>
      </c>
      <c r="U11" s="70" t="str">
        <f aca="false">IF(B11="","",IF(AND(N11="Sí",OR(E11="",NOT(ISNUMBER(F11)))),"⚠ Falta tipo de contrato o fecha de inicio",IF(NOT(ISNUMBER(F11)),"⚠ Falta fecha de inicio",IF(AND(N11="Sí",E11&lt;&gt;"Indefinido",NOT(ISNUMBER(G11))),"⚠ Falta fecha de término",IF(AND(D11="Paso a indefinido",E11&lt;&gt;"Indefinido"),"⚠ Un paso a indefinido debe tener tipo Indefinido",IF(N(Q11)&gt;=3,"⚠ 3er contrato a plazo fijo: por ley ya es INDEFINIDO (Art. 159 N°4)",IF(AND(E11="Plazo fijo",N(T11)&gt;12),"⚠ Plazo fijo mayor a 1 año (máx. legal; 2 años solo profesionales o técnicos)",IF(AND(ISNUMBER(G11),G11&lt;F11),"⚠ Término anterior al inicio",IF(AND(D11="Contrato inicial",ISNUMBER(J11),J11-F11&gt;15),"⚠ Escriturado fuera de plazo (Art. 9: 15 días)",IF(K11&lt;&gt;"Sí","Pendiente de firma","OK"))))))))))</f>
        <v>OK</v>
      </c>
    </row>
    <row r="12" customFormat="false" ht="15" hidden="false" customHeight="false" outlineLevel="0" collapsed="false">
      <c r="B12" s="64" t="s">
        <v>177</v>
      </c>
      <c r="C12" s="72" t="str">
        <f aca="false">IF(B12="","",IFERROR(INDEX(T_NOMBRE,MATCH(B12,T_ID,0)),"⚠ ID no existe en Trabajadores"))</f>
        <v>María Soto (EJEMPLO)</v>
      </c>
      <c r="D12" s="64" t="s">
        <v>252</v>
      </c>
      <c r="E12" s="64"/>
      <c r="F12" s="65" t="n">
        <v>46143</v>
      </c>
      <c r="G12" s="65"/>
      <c r="H12" s="67" t="n">
        <v>1250000</v>
      </c>
      <c r="I12" s="64" t="s">
        <v>257</v>
      </c>
      <c r="J12" s="65" t="n">
        <v>46141</v>
      </c>
      <c r="K12" s="64" t="s">
        <v>243</v>
      </c>
      <c r="L12" s="64" t="s">
        <v>258</v>
      </c>
      <c r="M12" s="64"/>
      <c r="N12" s="72" t="str">
        <f aca="false">IF(B12="","",IF(D12="Anexo de modificación","No","Sí"))</f>
        <v>No</v>
      </c>
      <c r="O12" s="73" t="str">
        <f aca="false">IF(AND(N12="Sí",ISNUMBER(F12)),COUNTIFS(C_ID,B12,C_DEFINE,"Sí",C_INICIO,"&lt;"&amp;F12)+COUNTIFS(B$7:B12,B12,N$7:N12,"Sí",F$7:F12,F12),"")</f>
        <v/>
      </c>
      <c r="P12" s="72" t="str">
        <f aca="false">IF(O12="","",B12&amp;"-P"&amp;O12)</f>
        <v/>
      </c>
      <c r="Q12" s="73" t="str">
        <f aca="false">IF(AND(N12="Sí",E12="Plazo fijo",ISNUMBER(F12)),COUNTIFS(C_ID,B12,C_TIPO,"Plazo fijo",C_DEFINE,"Sí",C_INICIO,"&lt;"&amp;F12)+COUNTIFS(B$7:B12,B12,E$7:E12,"Plazo fijo",N$7:N12,"Sí",F$7:F12,F12),"")</f>
        <v/>
      </c>
      <c r="R12" s="73" t="n">
        <f aca="false">IF(AND(B12&lt;&gt;"",ISNUMBER(H12),ISNUMBER(F12)),COUNTIFS(C_ID,B12,C_SUELDO,"&lt;&gt;",C_INICIO,"&lt;"&amp;F12)+COUNTIFS(B$7:B12,B12,H$7:H12,"&lt;&gt;",F$7:F12,F12),"")</f>
        <v>3</v>
      </c>
      <c r="S12" s="72" t="str">
        <f aca="false">IF(R12="","",B12&amp;"-S"&amp;R12)</f>
        <v>T001-S3</v>
      </c>
      <c r="T12" s="74" t="str">
        <f aca="false">IF(AND(ISNUMBER(F12),ISNUMBER(G12)),ROUND((G12-F12+1)/30.4375,1),"")</f>
        <v/>
      </c>
      <c r="U12" s="70" t="str">
        <f aca="false">IF(B12="","",IF(AND(N12="Sí",OR(E12="",NOT(ISNUMBER(F12)))),"⚠ Falta tipo de contrato o fecha de inicio",IF(NOT(ISNUMBER(F12)),"⚠ Falta fecha de inicio",IF(AND(N12="Sí",E12&lt;&gt;"Indefinido",NOT(ISNUMBER(G12))),"⚠ Falta fecha de término",IF(AND(D12="Paso a indefinido",E12&lt;&gt;"Indefinido"),"⚠ Un paso a indefinido debe tener tipo Indefinido",IF(N(Q12)&gt;=3,"⚠ 3er contrato a plazo fijo: por ley ya es INDEFINIDO (Art. 159 N°4)",IF(AND(E12="Plazo fijo",N(T12)&gt;12),"⚠ Plazo fijo mayor a 1 año (máx. legal; 2 años solo profesionales o técnicos)",IF(AND(ISNUMBER(G12),G12&lt;F12),"⚠ Término anterior al inicio",IF(AND(D12="Contrato inicial",ISNUMBER(J12),J12-F12&gt;15),"⚠ Escriturado fuera de plazo (Art. 9: 15 días)",IF(K12&lt;&gt;"Sí","Pendiente de firma","OK"))))))))))</f>
        <v>OK</v>
      </c>
    </row>
    <row r="13" customFormat="false" ht="15" hidden="false" customHeight="false" outlineLevel="0" collapsed="false">
      <c r="B13" s="64" t="s">
        <v>186</v>
      </c>
      <c r="C13" s="72" t="str">
        <f aca="false">IF(B13="","",IFERROR(INDEX(T_NOMBRE,MATCH(B13,T_ID,0)),"⚠ ID no existe en Trabajadores"))</f>
        <v>Juan Pérez (EJEMPLO)</v>
      </c>
      <c r="D13" s="64" t="s">
        <v>240</v>
      </c>
      <c r="E13" s="64" t="s">
        <v>241</v>
      </c>
      <c r="F13" s="65" t="n">
        <v>46237</v>
      </c>
      <c r="G13" s="65" t="n">
        <v>46328</v>
      </c>
      <c r="H13" s="67" t="n">
        <v>580000</v>
      </c>
      <c r="I13" s="64" t="s">
        <v>259</v>
      </c>
      <c r="J13" s="65" t="n">
        <v>46237</v>
      </c>
      <c r="K13" s="64" t="s">
        <v>243</v>
      </c>
      <c r="L13" s="64" t="s">
        <v>260</v>
      </c>
      <c r="M13" s="64"/>
      <c r="N13" s="72" t="str">
        <f aca="false">IF(B13="","",IF(D13="Anexo de modificación","No","Sí"))</f>
        <v>Sí</v>
      </c>
      <c r="O13" s="73" t="n">
        <f aca="false">IF(AND(N13="Sí",ISNUMBER(F13)),COUNTIFS(C_ID,B13,C_DEFINE,"Sí",C_INICIO,"&lt;"&amp;F13)+COUNTIFS(B$7:B13,B13,N$7:N13,"Sí",F$7:F13,F13),"")</f>
        <v>1</v>
      </c>
      <c r="P13" s="72" t="str">
        <f aca="false">IF(O13="","",B13&amp;"-P"&amp;O13)</f>
        <v>T002-P1</v>
      </c>
      <c r="Q13" s="73" t="n">
        <f aca="false">IF(AND(N13="Sí",E13="Plazo fijo",ISNUMBER(F13)),COUNTIFS(C_ID,B13,C_TIPO,"Plazo fijo",C_DEFINE,"Sí",C_INICIO,"&lt;"&amp;F13)+COUNTIFS(B$7:B13,B13,E$7:E13,"Plazo fijo",N$7:N13,"Sí",F$7:F13,F13),"")</f>
        <v>1</v>
      </c>
      <c r="R13" s="73" t="n">
        <f aca="false">IF(AND(B13&lt;&gt;"",ISNUMBER(H13),ISNUMBER(F13)),COUNTIFS(C_ID,B13,C_SUELDO,"&lt;&gt;",C_INICIO,"&lt;"&amp;F13)+COUNTIFS(B$7:B13,B13,H$7:H13,"&lt;&gt;",F$7:F13,F13),"")</f>
        <v>1</v>
      </c>
      <c r="S13" s="72" t="str">
        <f aca="false">IF(R13="","",B13&amp;"-S"&amp;R13)</f>
        <v>T002-S1</v>
      </c>
      <c r="T13" s="74" t="n">
        <f aca="false">IF(AND(ISNUMBER(F13),ISNUMBER(G13)),ROUND((G13-F13+1)/30.4375,1),"")</f>
        <v>3</v>
      </c>
      <c r="U13" s="70" t="str">
        <f aca="false">IF(B13="","",IF(AND(N13="Sí",OR(E13="",NOT(ISNUMBER(F13)))),"⚠ Falta tipo de contrato o fecha de inicio",IF(NOT(ISNUMBER(F13)),"⚠ Falta fecha de inicio",IF(AND(N13="Sí",E13&lt;&gt;"Indefinido",NOT(ISNUMBER(G13))),"⚠ Falta fecha de término",IF(AND(D13="Paso a indefinido",E13&lt;&gt;"Indefinido"),"⚠ Un paso a indefinido debe tener tipo Indefinido",IF(N(Q13)&gt;=3,"⚠ 3er contrato a plazo fijo: por ley ya es INDEFINIDO (Art. 159 N°4)",IF(AND(E13="Plazo fijo",N(T13)&gt;12),"⚠ Plazo fijo mayor a 1 año (máx. legal; 2 años solo profesionales o técnicos)",IF(AND(ISNUMBER(G13),G13&lt;F13),"⚠ Término anterior al inicio",IF(AND(D13="Contrato inicial",ISNUMBER(J13),J13-F13&gt;15),"⚠ Escriturado fuera de plazo (Art. 9: 15 días)",IF(K13&lt;&gt;"Sí","Pendiente de firma","OK"))))))))))</f>
        <v>OK</v>
      </c>
    </row>
    <row r="14" customFormat="false" ht="15" hidden="false" customHeight="false" outlineLevel="0" collapsed="false">
      <c r="B14" s="64" t="s">
        <v>193</v>
      </c>
      <c r="C14" s="72" t="str">
        <f aca="false">IF(B14="","",IFERROR(INDEX(T_NOMBRE,MATCH(B14,T_ID,0)),"⚠ ID no existe en Trabajadores"))</f>
        <v>Camila Rojas (EJEMPLO)</v>
      </c>
      <c r="D14" s="64" t="s">
        <v>240</v>
      </c>
      <c r="E14" s="64" t="s">
        <v>241</v>
      </c>
      <c r="F14" s="65" t="n">
        <v>46097</v>
      </c>
      <c r="G14" s="65" t="n">
        <v>46188</v>
      </c>
      <c r="H14" s="67" t="n">
        <v>850000</v>
      </c>
      <c r="I14" s="64" t="s">
        <v>261</v>
      </c>
      <c r="J14" s="65" t="n">
        <v>46097</v>
      </c>
      <c r="K14" s="64" t="s">
        <v>243</v>
      </c>
      <c r="L14" s="64" t="s">
        <v>262</v>
      </c>
      <c r="M14" s="64"/>
      <c r="N14" s="72" t="str">
        <f aca="false">IF(B14="","",IF(D14="Anexo de modificación","No","Sí"))</f>
        <v>Sí</v>
      </c>
      <c r="O14" s="73" t="n">
        <f aca="false">IF(AND(N14="Sí",ISNUMBER(F14)),COUNTIFS(C_ID,B14,C_DEFINE,"Sí",C_INICIO,"&lt;"&amp;F14)+COUNTIFS(B$7:B14,B14,N$7:N14,"Sí",F$7:F14,F14),"")</f>
        <v>1</v>
      </c>
      <c r="P14" s="72" t="str">
        <f aca="false">IF(O14="","",B14&amp;"-P"&amp;O14)</f>
        <v>T003-P1</v>
      </c>
      <c r="Q14" s="73" t="n">
        <f aca="false">IF(AND(N14="Sí",E14="Plazo fijo",ISNUMBER(F14)),COUNTIFS(C_ID,B14,C_TIPO,"Plazo fijo",C_DEFINE,"Sí",C_INICIO,"&lt;"&amp;F14)+COUNTIFS(B$7:B14,B14,E$7:E14,"Plazo fijo",N$7:N14,"Sí",F$7:F14,F14),"")</f>
        <v>1</v>
      </c>
      <c r="R14" s="73" t="n">
        <f aca="false">IF(AND(B14&lt;&gt;"",ISNUMBER(H14),ISNUMBER(F14)),COUNTIFS(C_ID,B14,C_SUELDO,"&lt;&gt;",C_INICIO,"&lt;"&amp;F14)+COUNTIFS(B$7:B14,B14,H$7:H14,"&lt;&gt;",F$7:F14,F14),"")</f>
        <v>1</v>
      </c>
      <c r="S14" s="72" t="str">
        <f aca="false">IF(R14="","",B14&amp;"-S"&amp;R14)</f>
        <v>T003-S1</v>
      </c>
      <c r="T14" s="74" t="n">
        <f aca="false">IF(AND(ISNUMBER(F14),ISNUMBER(G14)),ROUND((G14-F14+1)/30.4375,1),"")</f>
        <v>3</v>
      </c>
      <c r="U14" s="70" t="str">
        <f aca="false">IF(B14="","",IF(AND(N14="Sí",OR(E14="",NOT(ISNUMBER(F14)))),"⚠ Falta tipo de contrato o fecha de inicio",IF(NOT(ISNUMBER(F14)),"⚠ Falta fecha de inicio",IF(AND(N14="Sí",E14&lt;&gt;"Indefinido",NOT(ISNUMBER(G14))),"⚠ Falta fecha de término",IF(AND(D14="Paso a indefinido",E14&lt;&gt;"Indefinido"),"⚠ Un paso a indefinido debe tener tipo Indefinido",IF(N(Q14)&gt;=3,"⚠ 3er contrato a plazo fijo: por ley ya es INDEFINIDO (Art. 159 N°4)",IF(AND(E14="Plazo fijo",N(T14)&gt;12),"⚠ Plazo fijo mayor a 1 año (máx. legal; 2 años solo profesionales o técnicos)",IF(AND(ISNUMBER(G14),G14&lt;F14),"⚠ Término anterior al inicio",IF(AND(D14="Contrato inicial",ISNUMBER(J14),J14-F14&gt;15),"⚠ Escriturado fuera de plazo (Art. 9: 15 días)",IF(K14&lt;&gt;"Sí","Pendiente de firma","OK"))))))))))</f>
        <v>OK</v>
      </c>
    </row>
    <row r="15" customFormat="false" ht="15" hidden="false" customHeight="false" outlineLevel="0" collapsed="false">
      <c r="B15" s="64" t="s">
        <v>193</v>
      </c>
      <c r="C15" s="72" t="str">
        <f aca="false">IF(B15="","",IFERROR(INDEX(T_NOMBRE,MATCH(B15,T_ID,0)),"⚠ ID no existe en Trabajadores"))</f>
        <v>Camila Rojas (EJEMPLO)</v>
      </c>
      <c r="D15" s="64" t="s">
        <v>245</v>
      </c>
      <c r="E15" s="64" t="s">
        <v>241</v>
      </c>
      <c r="F15" s="65" t="n">
        <v>46189</v>
      </c>
      <c r="G15" s="65" t="n">
        <v>46371</v>
      </c>
      <c r="H15" s="67"/>
      <c r="I15" s="64" t="s">
        <v>263</v>
      </c>
      <c r="J15" s="65" t="n">
        <v>46185</v>
      </c>
      <c r="K15" s="64" t="s">
        <v>243</v>
      </c>
      <c r="L15" s="64" t="s">
        <v>264</v>
      </c>
      <c r="M15" s="64"/>
      <c r="N15" s="72" t="str">
        <f aca="false">IF(B15="","",IF(D15="Anexo de modificación","No","Sí"))</f>
        <v>Sí</v>
      </c>
      <c r="O15" s="73" t="n">
        <f aca="false">IF(AND(N15="Sí",ISNUMBER(F15)),COUNTIFS(C_ID,B15,C_DEFINE,"Sí",C_INICIO,"&lt;"&amp;F15)+COUNTIFS(B$7:B15,B15,N$7:N15,"Sí",F$7:F15,F15),"")</f>
        <v>2</v>
      </c>
      <c r="P15" s="72" t="str">
        <f aca="false">IF(O15="","",B15&amp;"-P"&amp;O15)</f>
        <v>T003-P2</v>
      </c>
      <c r="Q15" s="73" t="n">
        <f aca="false">IF(AND(N15="Sí",E15="Plazo fijo",ISNUMBER(F15)),COUNTIFS(C_ID,B15,C_TIPO,"Plazo fijo",C_DEFINE,"Sí",C_INICIO,"&lt;"&amp;F15)+COUNTIFS(B$7:B15,B15,E$7:E15,"Plazo fijo",N$7:N15,"Sí",F$7:F15,F15),"")</f>
        <v>2</v>
      </c>
      <c r="R15" s="73" t="str">
        <f aca="false">IF(AND(B15&lt;&gt;"",ISNUMBER(H15),ISNUMBER(F15)),COUNTIFS(C_ID,B15,C_SUELDO,"&lt;&gt;",C_INICIO,"&lt;"&amp;F15)+COUNTIFS(B$7:B15,B15,H$7:H15,"&lt;&gt;",F$7:F15,F15),"")</f>
        <v/>
      </c>
      <c r="S15" s="72" t="str">
        <f aca="false">IF(R15="","",B15&amp;"-S"&amp;R15)</f>
        <v/>
      </c>
      <c r="T15" s="74" t="n">
        <f aca="false">IF(AND(ISNUMBER(F15),ISNUMBER(G15)),ROUND((G15-F15+1)/30.4375,1),"")</f>
        <v>6</v>
      </c>
      <c r="U15" s="70" t="str">
        <f aca="false">IF(B15="","",IF(AND(N15="Sí",OR(E15="",NOT(ISNUMBER(F15)))),"⚠ Falta tipo de contrato o fecha de inicio",IF(NOT(ISNUMBER(F15)),"⚠ Falta fecha de inicio",IF(AND(N15="Sí",E15&lt;&gt;"Indefinido",NOT(ISNUMBER(G15))),"⚠ Falta fecha de término",IF(AND(D15="Paso a indefinido",E15&lt;&gt;"Indefinido"),"⚠ Un paso a indefinido debe tener tipo Indefinido",IF(N(Q15)&gt;=3,"⚠ 3er contrato a plazo fijo: por ley ya es INDEFINIDO (Art. 159 N°4)",IF(AND(E15="Plazo fijo",N(T15)&gt;12),"⚠ Plazo fijo mayor a 1 año (máx. legal; 2 años solo profesionales o técnicos)",IF(AND(ISNUMBER(G15),G15&lt;F15),"⚠ Término anterior al inicio",IF(AND(D15="Contrato inicial",ISNUMBER(J15),J15-F15&gt;15),"⚠ Escriturado fuera de plazo (Art. 9: 15 días)",IF(K15&lt;&gt;"Sí","Pendiente de firma","OK"))))))))))</f>
        <v>OK</v>
      </c>
    </row>
    <row r="16" customFormat="false" ht="15" hidden="false" customHeight="false" outlineLevel="0" collapsed="false">
      <c r="B16" s="64" t="s">
        <v>199</v>
      </c>
      <c r="C16" s="72" t="str">
        <f aca="false">IF(B16="","",IFERROR(INDEX(T_NOMBRE,MATCH(B16,T_ID,0)),"⚠ ID no existe en Trabajadores"))</f>
        <v>Pedro Muñoz (EJEMPLO)</v>
      </c>
      <c r="D16" s="64" t="s">
        <v>240</v>
      </c>
      <c r="E16" s="64" t="s">
        <v>249</v>
      </c>
      <c r="F16" s="65" t="n">
        <v>45110</v>
      </c>
      <c r="G16" s="65"/>
      <c r="H16" s="67" t="n">
        <v>650000</v>
      </c>
      <c r="I16" s="64" t="s">
        <v>265</v>
      </c>
      <c r="J16" s="65" t="n">
        <v>45112</v>
      </c>
      <c r="K16" s="64" t="s">
        <v>243</v>
      </c>
      <c r="L16" s="64" t="s">
        <v>266</v>
      </c>
      <c r="M16" s="64"/>
      <c r="N16" s="72" t="str">
        <f aca="false">IF(B16="","",IF(D16="Anexo de modificación","No","Sí"))</f>
        <v>Sí</v>
      </c>
      <c r="O16" s="73" t="n">
        <f aca="false">IF(AND(N16="Sí",ISNUMBER(F16)),COUNTIFS(C_ID,B16,C_DEFINE,"Sí",C_INICIO,"&lt;"&amp;F16)+COUNTIFS(B$7:B16,B16,N$7:N16,"Sí",F$7:F16,F16),"")</f>
        <v>1</v>
      </c>
      <c r="P16" s="72" t="str">
        <f aca="false">IF(O16="","",B16&amp;"-P"&amp;O16)</f>
        <v>T004-P1</v>
      </c>
      <c r="Q16" s="73" t="str">
        <f aca="false">IF(AND(N16="Sí",E16="Plazo fijo",ISNUMBER(F16)),COUNTIFS(C_ID,B16,C_TIPO,"Plazo fijo",C_DEFINE,"Sí",C_INICIO,"&lt;"&amp;F16)+COUNTIFS(B$7:B16,B16,E$7:E16,"Plazo fijo",N$7:N16,"Sí",F$7:F16,F16),"")</f>
        <v/>
      </c>
      <c r="R16" s="73" t="n">
        <f aca="false">IF(AND(B16&lt;&gt;"",ISNUMBER(H16),ISNUMBER(F16)),COUNTIFS(C_ID,B16,C_SUELDO,"&lt;&gt;",C_INICIO,"&lt;"&amp;F16)+COUNTIFS(B$7:B16,B16,H$7:H16,"&lt;&gt;",F$7:F16,F16),"")</f>
        <v>1</v>
      </c>
      <c r="S16" s="72" t="str">
        <f aca="false">IF(R16="","",B16&amp;"-S"&amp;R16)</f>
        <v>T004-S1</v>
      </c>
      <c r="T16" s="74" t="str">
        <f aca="false">IF(AND(ISNUMBER(F16),ISNUMBER(G16)),ROUND((G16-F16+1)/30.4375,1),"")</f>
        <v/>
      </c>
      <c r="U16" s="70" t="str">
        <f aca="false">IF(B16="","",IF(AND(N16="Sí",OR(E16="",NOT(ISNUMBER(F16)))),"⚠ Falta tipo de contrato o fecha de inicio",IF(NOT(ISNUMBER(F16)),"⚠ Falta fecha de inicio",IF(AND(N16="Sí",E16&lt;&gt;"Indefinido",NOT(ISNUMBER(G16))),"⚠ Falta fecha de término",IF(AND(D16="Paso a indefinido",E16&lt;&gt;"Indefinido"),"⚠ Un paso a indefinido debe tener tipo Indefinido",IF(N(Q16)&gt;=3,"⚠ 3er contrato a plazo fijo: por ley ya es INDEFINIDO (Art. 159 N°4)",IF(AND(E16="Plazo fijo",N(T16)&gt;12),"⚠ Plazo fijo mayor a 1 año (máx. legal; 2 años solo profesionales o técnicos)",IF(AND(ISNUMBER(G16),G16&lt;F16),"⚠ Término anterior al inicio",IF(AND(D16="Contrato inicial",ISNUMBER(J16),J16-F16&gt;15),"⚠ Escriturado fuera de plazo (Art. 9: 15 días)",IF(K16&lt;&gt;"Sí","Pendiente de firma","OK"))))))))))</f>
        <v>OK</v>
      </c>
    </row>
    <row r="17" customFormat="false" ht="15" hidden="false" customHeight="false" outlineLevel="0" collapsed="false">
      <c r="B17" s="64" t="s">
        <v>199</v>
      </c>
      <c r="C17" s="72" t="str">
        <f aca="false">IF(B17="","",IFERROR(INDEX(T_NOMBRE,MATCH(B17,T_ID,0)),"⚠ ID no existe en Trabajadores"))</f>
        <v>Pedro Muñoz (EJEMPLO)</v>
      </c>
      <c r="D17" s="64" t="s">
        <v>252</v>
      </c>
      <c r="E17" s="64"/>
      <c r="F17" s="65" t="n">
        <v>45839</v>
      </c>
      <c r="G17" s="65"/>
      <c r="H17" s="67" t="n">
        <v>720000</v>
      </c>
      <c r="I17" s="64" t="s">
        <v>257</v>
      </c>
      <c r="J17" s="65" t="n">
        <v>45838</v>
      </c>
      <c r="K17" s="64" t="s">
        <v>243</v>
      </c>
      <c r="L17" s="64" t="s">
        <v>267</v>
      </c>
      <c r="M17" s="64"/>
      <c r="N17" s="72" t="str">
        <f aca="false">IF(B17="","",IF(D17="Anexo de modificación","No","Sí"))</f>
        <v>No</v>
      </c>
      <c r="O17" s="73" t="str">
        <f aca="false">IF(AND(N17="Sí",ISNUMBER(F17)),COUNTIFS(C_ID,B17,C_DEFINE,"Sí",C_INICIO,"&lt;"&amp;F17)+COUNTIFS(B$7:B17,B17,N$7:N17,"Sí",F$7:F17,F17),"")</f>
        <v/>
      </c>
      <c r="P17" s="72" t="str">
        <f aca="false">IF(O17="","",B17&amp;"-P"&amp;O17)</f>
        <v/>
      </c>
      <c r="Q17" s="73" t="str">
        <f aca="false">IF(AND(N17="Sí",E17="Plazo fijo",ISNUMBER(F17)),COUNTIFS(C_ID,B17,C_TIPO,"Plazo fijo",C_DEFINE,"Sí",C_INICIO,"&lt;"&amp;F17)+COUNTIFS(B$7:B17,B17,E$7:E17,"Plazo fijo",N$7:N17,"Sí",F$7:F17,F17),"")</f>
        <v/>
      </c>
      <c r="R17" s="73" t="n">
        <f aca="false">IF(AND(B17&lt;&gt;"",ISNUMBER(H17),ISNUMBER(F17)),COUNTIFS(C_ID,B17,C_SUELDO,"&lt;&gt;",C_INICIO,"&lt;"&amp;F17)+COUNTIFS(B$7:B17,B17,H$7:H17,"&lt;&gt;",F$7:F17,F17),"")</f>
        <v>2</v>
      </c>
      <c r="S17" s="72" t="str">
        <f aca="false">IF(R17="","",B17&amp;"-S"&amp;R17)</f>
        <v>T004-S2</v>
      </c>
      <c r="T17" s="74" t="str">
        <f aca="false">IF(AND(ISNUMBER(F17),ISNUMBER(G17)),ROUND((G17-F17+1)/30.4375,1),"")</f>
        <v/>
      </c>
      <c r="U17" s="70" t="str">
        <f aca="false">IF(B17="","",IF(AND(N17="Sí",OR(E17="",NOT(ISNUMBER(F17)))),"⚠ Falta tipo de contrato o fecha de inicio",IF(NOT(ISNUMBER(F17)),"⚠ Falta fecha de inicio",IF(AND(N17="Sí",E17&lt;&gt;"Indefinido",NOT(ISNUMBER(G17))),"⚠ Falta fecha de término",IF(AND(D17="Paso a indefinido",E17&lt;&gt;"Indefinido"),"⚠ Un paso a indefinido debe tener tipo Indefinido",IF(N(Q17)&gt;=3,"⚠ 3er contrato a plazo fijo: por ley ya es INDEFINIDO (Art. 159 N°4)",IF(AND(E17="Plazo fijo",N(T17)&gt;12),"⚠ Plazo fijo mayor a 1 año (máx. legal; 2 años solo profesionales o técnicos)",IF(AND(ISNUMBER(G17),G17&lt;F17),"⚠ Término anterior al inicio",IF(AND(D17="Contrato inicial",ISNUMBER(J17),J17-F17&gt;15),"⚠ Escriturado fuera de plazo (Art. 9: 15 días)",IF(K17&lt;&gt;"Sí","Pendiente de firma","OK"))))))))))</f>
        <v>OK</v>
      </c>
    </row>
    <row r="18" customFormat="false" ht="15" hidden="false" customHeight="false" outlineLevel="0" collapsed="false">
      <c r="B18" s="64" t="s">
        <v>205</v>
      </c>
      <c r="C18" s="72" t="str">
        <f aca="false">IF(B18="","",IFERROR(INDEX(T_NOMBRE,MATCH(B18,T_ID,0)),"⚠ ID no existe en Trabajadores"))</f>
        <v>Ana Díaz (EJEMPLO)</v>
      </c>
      <c r="D18" s="64" t="s">
        <v>240</v>
      </c>
      <c r="E18" s="64" t="s">
        <v>268</v>
      </c>
      <c r="F18" s="65" t="n">
        <v>46266</v>
      </c>
      <c r="G18" s="65" t="n">
        <v>46387</v>
      </c>
      <c r="H18" s="67" t="n">
        <v>560000</v>
      </c>
      <c r="I18" s="64" t="s">
        <v>269</v>
      </c>
      <c r="J18" s="65"/>
      <c r="K18" s="64" t="s">
        <v>270</v>
      </c>
      <c r="L18" s="64"/>
      <c r="M18" s="64" t="s">
        <v>271</v>
      </c>
      <c r="N18" s="72" t="str">
        <f aca="false">IF(B18="","",IF(D18="Anexo de modificación","No","Sí"))</f>
        <v>Sí</v>
      </c>
      <c r="O18" s="73" t="n">
        <f aca="false">IF(AND(N18="Sí",ISNUMBER(F18)),COUNTIFS(C_ID,B18,C_DEFINE,"Sí",C_INICIO,"&lt;"&amp;F18)+COUNTIFS(B$7:B18,B18,N$7:N18,"Sí",F$7:F18,F18),"")</f>
        <v>1</v>
      </c>
      <c r="P18" s="72" t="str">
        <f aca="false">IF(O18="","",B18&amp;"-P"&amp;O18)</f>
        <v>T005-P1</v>
      </c>
      <c r="Q18" s="73" t="str">
        <f aca="false">IF(AND(N18="Sí",E18="Plazo fijo",ISNUMBER(F18)),COUNTIFS(C_ID,B18,C_TIPO,"Plazo fijo",C_DEFINE,"Sí",C_INICIO,"&lt;"&amp;F18)+COUNTIFS(B$7:B18,B18,E$7:E18,"Plazo fijo",N$7:N18,"Sí",F$7:F18,F18),"")</f>
        <v/>
      </c>
      <c r="R18" s="73" t="n">
        <f aca="false">IF(AND(B18&lt;&gt;"",ISNUMBER(H18),ISNUMBER(F18)),COUNTIFS(C_ID,B18,C_SUELDO,"&lt;&gt;",C_INICIO,"&lt;"&amp;F18)+COUNTIFS(B$7:B18,B18,H$7:H18,"&lt;&gt;",F$7:F18,F18),"")</f>
        <v>1</v>
      </c>
      <c r="S18" s="72" t="str">
        <f aca="false">IF(R18="","",B18&amp;"-S"&amp;R18)</f>
        <v>T005-S1</v>
      </c>
      <c r="T18" s="74" t="n">
        <f aca="false">IF(AND(ISNUMBER(F18),ISNUMBER(G18)),ROUND((G18-F18+1)/30.4375,1),"")</f>
        <v>4</v>
      </c>
      <c r="U18" s="70" t="str">
        <f aca="false">IF(B18="","",IF(AND(N18="Sí",OR(E18="",NOT(ISNUMBER(F18)))),"⚠ Falta tipo de contrato o fecha de inicio",IF(NOT(ISNUMBER(F18)),"⚠ Falta fecha de inicio",IF(AND(N18="Sí",E18&lt;&gt;"Indefinido",NOT(ISNUMBER(G18))),"⚠ Falta fecha de término",IF(AND(D18="Paso a indefinido",E18&lt;&gt;"Indefinido"),"⚠ Un paso a indefinido debe tener tipo Indefinido",IF(N(Q18)&gt;=3,"⚠ 3er contrato a plazo fijo: por ley ya es INDEFINIDO (Art. 159 N°4)",IF(AND(E18="Plazo fijo",N(T18)&gt;12),"⚠ Plazo fijo mayor a 1 año (máx. legal; 2 años solo profesionales o técnicos)",IF(AND(ISNUMBER(G18),G18&lt;F18),"⚠ Término anterior al inicio",IF(AND(D18="Contrato inicial",ISNUMBER(J18),J18-F18&gt;15),"⚠ Escriturado fuera de plazo (Art. 9: 15 días)",IF(K18&lt;&gt;"Sí","Pendiente de firma","OK"))))))))))</f>
        <v>Pendiente de firma</v>
      </c>
    </row>
    <row r="19" customFormat="false" ht="15" hidden="false" customHeight="false" outlineLevel="0" collapsed="false">
      <c r="B19" s="64" t="s">
        <v>211</v>
      </c>
      <c r="C19" s="72" t="str">
        <f aca="false">IF(B19="","",IFERROR(INDEX(T_NOMBRE,MATCH(B19,T_ID,0)),"⚠ ID no existe en Trabajadores"))</f>
        <v>Luis Vega (EJEMPLO)</v>
      </c>
      <c r="D19" s="64" t="s">
        <v>240</v>
      </c>
      <c r="E19" s="64" t="s">
        <v>241</v>
      </c>
      <c r="F19" s="65" t="n">
        <v>45964</v>
      </c>
      <c r="G19" s="65" t="n">
        <v>46055</v>
      </c>
      <c r="H19" s="67" t="n">
        <v>540000</v>
      </c>
      <c r="I19" s="64" t="s">
        <v>214</v>
      </c>
      <c r="J19" s="65" t="n">
        <v>45964</v>
      </c>
      <c r="K19" s="64" t="s">
        <v>243</v>
      </c>
      <c r="L19" s="64" t="s">
        <v>272</v>
      </c>
      <c r="M19" s="64" t="s">
        <v>273</v>
      </c>
      <c r="N19" s="72" t="str">
        <f aca="false">IF(B19="","",IF(D19="Anexo de modificación","No","Sí"))</f>
        <v>Sí</v>
      </c>
      <c r="O19" s="73" t="n">
        <f aca="false">IF(AND(N19="Sí",ISNUMBER(F19)),COUNTIFS(C_ID,B19,C_DEFINE,"Sí",C_INICIO,"&lt;"&amp;F19)+COUNTIFS(B$7:B19,B19,N$7:N19,"Sí",F$7:F19,F19),"")</f>
        <v>1</v>
      </c>
      <c r="P19" s="72" t="str">
        <f aca="false">IF(O19="","",B19&amp;"-P"&amp;O19)</f>
        <v>T006-P1</v>
      </c>
      <c r="Q19" s="73" t="n">
        <f aca="false">IF(AND(N19="Sí",E19="Plazo fijo",ISNUMBER(F19)),COUNTIFS(C_ID,B19,C_TIPO,"Plazo fijo",C_DEFINE,"Sí",C_INICIO,"&lt;"&amp;F19)+COUNTIFS(B$7:B19,B19,E$7:E19,"Plazo fijo",N$7:N19,"Sí",F$7:F19,F19),"")</f>
        <v>1</v>
      </c>
      <c r="R19" s="73" t="n">
        <f aca="false">IF(AND(B19&lt;&gt;"",ISNUMBER(H19),ISNUMBER(F19)),COUNTIFS(C_ID,B19,C_SUELDO,"&lt;&gt;",C_INICIO,"&lt;"&amp;F19)+COUNTIFS(B$7:B19,B19,H$7:H19,"&lt;&gt;",F$7:F19,F19),"")</f>
        <v>1</v>
      </c>
      <c r="S19" s="72" t="str">
        <f aca="false">IF(R19="","",B19&amp;"-S"&amp;R19)</f>
        <v>T006-S1</v>
      </c>
      <c r="T19" s="74" t="n">
        <f aca="false">IF(AND(ISNUMBER(F19),ISNUMBER(G19)),ROUND((G19-F19+1)/30.4375,1),"")</f>
        <v>3</v>
      </c>
      <c r="U19" s="70" t="str">
        <f aca="false">IF(B19="","",IF(AND(N19="Sí",OR(E19="",NOT(ISNUMBER(F19)))),"⚠ Falta tipo de contrato o fecha de inicio",IF(NOT(ISNUMBER(F19)),"⚠ Falta fecha de inicio",IF(AND(N19="Sí",E19&lt;&gt;"Indefinido",NOT(ISNUMBER(G19))),"⚠ Falta fecha de término",IF(AND(D19="Paso a indefinido",E19&lt;&gt;"Indefinido"),"⚠ Un paso a indefinido debe tener tipo Indefinido",IF(N(Q19)&gt;=3,"⚠ 3er contrato a plazo fijo: por ley ya es INDEFINIDO (Art. 159 N°4)",IF(AND(E19="Plazo fijo",N(T19)&gt;12),"⚠ Plazo fijo mayor a 1 año (máx. legal; 2 años solo profesionales o técnicos)",IF(AND(ISNUMBER(G19),G19&lt;F19),"⚠ Término anterior al inicio",IF(AND(D19="Contrato inicial",ISNUMBER(J19),J19-F19&gt;15),"⚠ Escriturado fuera de plazo (Art. 9: 15 días)",IF(K19&lt;&gt;"Sí","Pendiente de firma","OK"))))))))))</f>
        <v>OK</v>
      </c>
    </row>
    <row r="20" customFormat="false" ht="15" hidden="false" customHeight="false" outlineLevel="0" collapsed="false">
      <c r="B20" s="64"/>
      <c r="C20" s="72" t="str">
        <f aca="false">IF(B20="","",IFERROR(INDEX(T_NOMBRE,MATCH(B20,T_ID,0)),"⚠ ID no existe en Trabajadores"))</f>
        <v/>
      </c>
      <c r="D20" s="64"/>
      <c r="E20" s="64"/>
      <c r="F20" s="65"/>
      <c r="G20" s="65"/>
      <c r="H20" s="67"/>
      <c r="I20" s="64"/>
      <c r="J20" s="65"/>
      <c r="K20" s="64"/>
      <c r="L20" s="64"/>
      <c r="M20" s="64"/>
      <c r="N20" s="72" t="str">
        <f aca="false">IF(B20="","",IF(D20="Anexo de modificación","No","Sí"))</f>
        <v/>
      </c>
      <c r="O20" s="73" t="str">
        <f aca="false">IF(AND(N20="Sí",ISNUMBER(F20)),COUNTIFS(C_ID,B20,C_DEFINE,"Sí",C_INICIO,"&lt;"&amp;F20)+COUNTIFS(B$7:B20,B20,N$7:N20,"Sí",F$7:F20,F20),"")</f>
        <v/>
      </c>
      <c r="P20" s="72" t="str">
        <f aca="false">IF(O20="","",B20&amp;"-P"&amp;O20)</f>
        <v/>
      </c>
      <c r="Q20" s="73" t="str">
        <f aca="false">IF(AND(N20="Sí",E20="Plazo fijo",ISNUMBER(F20)),COUNTIFS(C_ID,B20,C_TIPO,"Plazo fijo",C_DEFINE,"Sí",C_INICIO,"&lt;"&amp;F20)+COUNTIFS(B$7:B20,B20,E$7:E20,"Plazo fijo",N$7:N20,"Sí",F$7:F20,F20),"")</f>
        <v/>
      </c>
      <c r="R20" s="73" t="str">
        <f aca="false">IF(AND(B20&lt;&gt;"",ISNUMBER(H20),ISNUMBER(F20)),COUNTIFS(C_ID,B20,C_SUELDO,"&lt;&gt;",C_INICIO,"&lt;"&amp;F20)+COUNTIFS(B$7:B20,B20,H$7:H20,"&lt;&gt;",F$7:F20,F20),"")</f>
        <v/>
      </c>
      <c r="S20" s="72" t="str">
        <f aca="false">IF(R20="","",B20&amp;"-S"&amp;R20)</f>
        <v/>
      </c>
      <c r="T20" s="74" t="str">
        <f aca="false">IF(AND(ISNUMBER(F20),ISNUMBER(G20)),ROUND((G20-F20+1)/30.4375,1),"")</f>
        <v/>
      </c>
      <c r="U20" s="70" t="str">
        <f aca="false">IF(B20="","",IF(AND(N20="Sí",OR(E20="",NOT(ISNUMBER(F20)))),"⚠ Falta tipo de contrato o fecha de inicio",IF(NOT(ISNUMBER(F20)),"⚠ Falta fecha de inicio",IF(AND(N20="Sí",E20&lt;&gt;"Indefinido",NOT(ISNUMBER(G20))),"⚠ Falta fecha de término",IF(AND(D20="Paso a indefinido",E20&lt;&gt;"Indefinido"),"⚠ Un paso a indefinido debe tener tipo Indefinido",IF(N(Q20)&gt;=3,"⚠ 3er contrato a plazo fijo: por ley ya es INDEFINIDO (Art. 159 N°4)",IF(AND(E20="Plazo fijo",N(T20)&gt;12),"⚠ Plazo fijo mayor a 1 año (máx. legal; 2 años solo profesionales o técnicos)",IF(AND(ISNUMBER(G20),G20&lt;F20),"⚠ Término anterior al inicio",IF(AND(D20="Contrato inicial",ISNUMBER(J20),J20-F20&gt;15),"⚠ Escriturado fuera de plazo (Art. 9: 15 días)",IF(K20&lt;&gt;"Sí","Pendiente de firma","OK"))))))))))</f>
        <v/>
      </c>
    </row>
    <row r="21" customFormat="false" ht="15" hidden="false" customHeight="false" outlineLevel="0" collapsed="false">
      <c r="B21" s="64"/>
      <c r="C21" s="72" t="str">
        <f aca="false">IF(B21="","",IFERROR(INDEX(T_NOMBRE,MATCH(B21,T_ID,0)),"⚠ ID no existe en Trabajadores"))</f>
        <v/>
      </c>
      <c r="D21" s="64"/>
      <c r="E21" s="64"/>
      <c r="F21" s="65"/>
      <c r="G21" s="65"/>
      <c r="H21" s="67"/>
      <c r="I21" s="64"/>
      <c r="J21" s="65"/>
      <c r="K21" s="64"/>
      <c r="L21" s="64"/>
      <c r="M21" s="64"/>
      <c r="N21" s="72" t="str">
        <f aca="false">IF(B21="","",IF(D21="Anexo de modificación","No","Sí"))</f>
        <v/>
      </c>
      <c r="O21" s="73" t="str">
        <f aca="false">IF(AND(N21="Sí",ISNUMBER(F21)),COUNTIFS(C_ID,B21,C_DEFINE,"Sí",C_INICIO,"&lt;"&amp;F21)+COUNTIFS(B$7:B21,B21,N$7:N21,"Sí",F$7:F21,F21),"")</f>
        <v/>
      </c>
      <c r="P21" s="72" t="str">
        <f aca="false">IF(O21="","",B21&amp;"-P"&amp;O21)</f>
        <v/>
      </c>
      <c r="Q21" s="73" t="str">
        <f aca="false">IF(AND(N21="Sí",E21="Plazo fijo",ISNUMBER(F21)),COUNTIFS(C_ID,B21,C_TIPO,"Plazo fijo",C_DEFINE,"Sí",C_INICIO,"&lt;"&amp;F21)+COUNTIFS(B$7:B21,B21,E$7:E21,"Plazo fijo",N$7:N21,"Sí",F$7:F21,F21),"")</f>
        <v/>
      </c>
      <c r="R21" s="73" t="str">
        <f aca="false">IF(AND(B21&lt;&gt;"",ISNUMBER(H21),ISNUMBER(F21)),COUNTIFS(C_ID,B21,C_SUELDO,"&lt;&gt;",C_INICIO,"&lt;"&amp;F21)+COUNTIFS(B$7:B21,B21,H$7:H21,"&lt;&gt;",F$7:F21,F21),"")</f>
        <v/>
      </c>
      <c r="S21" s="72" t="str">
        <f aca="false">IF(R21="","",B21&amp;"-S"&amp;R21)</f>
        <v/>
      </c>
      <c r="T21" s="74" t="str">
        <f aca="false">IF(AND(ISNUMBER(F21),ISNUMBER(G21)),ROUND((G21-F21+1)/30.4375,1),"")</f>
        <v/>
      </c>
      <c r="U21" s="70" t="str">
        <f aca="false">IF(B21="","",IF(AND(N21="Sí",OR(E21="",NOT(ISNUMBER(F21)))),"⚠ Falta tipo de contrato o fecha de inicio",IF(NOT(ISNUMBER(F21)),"⚠ Falta fecha de inicio",IF(AND(N21="Sí",E21&lt;&gt;"Indefinido",NOT(ISNUMBER(G21))),"⚠ Falta fecha de término",IF(AND(D21="Paso a indefinido",E21&lt;&gt;"Indefinido"),"⚠ Un paso a indefinido debe tener tipo Indefinido",IF(N(Q21)&gt;=3,"⚠ 3er contrato a plazo fijo: por ley ya es INDEFINIDO (Art. 159 N°4)",IF(AND(E21="Plazo fijo",N(T21)&gt;12),"⚠ Plazo fijo mayor a 1 año (máx. legal; 2 años solo profesionales o técnicos)",IF(AND(ISNUMBER(G21),G21&lt;F21),"⚠ Término anterior al inicio",IF(AND(D21="Contrato inicial",ISNUMBER(J21),J21-F21&gt;15),"⚠ Escriturado fuera de plazo (Art. 9: 15 días)",IF(K21&lt;&gt;"Sí","Pendiente de firma","OK"))))))))))</f>
        <v/>
      </c>
    </row>
    <row r="22" customFormat="false" ht="15" hidden="false" customHeight="false" outlineLevel="0" collapsed="false">
      <c r="B22" s="64"/>
      <c r="C22" s="72" t="str">
        <f aca="false">IF(B22="","",IFERROR(INDEX(T_NOMBRE,MATCH(B22,T_ID,0)),"⚠ ID no existe en Trabajadores"))</f>
        <v/>
      </c>
      <c r="D22" s="64"/>
      <c r="E22" s="64"/>
      <c r="F22" s="65"/>
      <c r="G22" s="65"/>
      <c r="H22" s="67"/>
      <c r="I22" s="64"/>
      <c r="J22" s="65"/>
      <c r="K22" s="64"/>
      <c r="L22" s="64"/>
      <c r="M22" s="64"/>
      <c r="N22" s="72" t="str">
        <f aca="false">IF(B22="","",IF(D22="Anexo de modificación","No","Sí"))</f>
        <v/>
      </c>
      <c r="O22" s="73" t="str">
        <f aca="false">IF(AND(N22="Sí",ISNUMBER(F22)),COUNTIFS(C_ID,B22,C_DEFINE,"Sí",C_INICIO,"&lt;"&amp;F22)+COUNTIFS(B$7:B22,B22,N$7:N22,"Sí",F$7:F22,F22),"")</f>
        <v/>
      </c>
      <c r="P22" s="72" t="str">
        <f aca="false">IF(O22="","",B22&amp;"-P"&amp;O22)</f>
        <v/>
      </c>
      <c r="Q22" s="73" t="str">
        <f aca="false">IF(AND(N22="Sí",E22="Plazo fijo",ISNUMBER(F22)),COUNTIFS(C_ID,B22,C_TIPO,"Plazo fijo",C_DEFINE,"Sí",C_INICIO,"&lt;"&amp;F22)+COUNTIFS(B$7:B22,B22,E$7:E22,"Plazo fijo",N$7:N22,"Sí",F$7:F22,F22),"")</f>
        <v/>
      </c>
      <c r="R22" s="73" t="str">
        <f aca="false">IF(AND(B22&lt;&gt;"",ISNUMBER(H22),ISNUMBER(F22)),COUNTIFS(C_ID,B22,C_SUELDO,"&lt;&gt;",C_INICIO,"&lt;"&amp;F22)+COUNTIFS(B$7:B22,B22,H$7:H22,"&lt;&gt;",F$7:F22,F22),"")</f>
        <v/>
      </c>
      <c r="S22" s="72" t="str">
        <f aca="false">IF(R22="","",B22&amp;"-S"&amp;R22)</f>
        <v/>
      </c>
      <c r="T22" s="74" t="str">
        <f aca="false">IF(AND(ISNUMBER(F22),ISNUMBER(G22)),ROUND((G22-F22+1)/30.4375,1),"")</f>
        <v/>
      </c>
      <c r="U22" s="70" t="str">
        <f aca="false">IF(B22="","",IF(AND(N22="Sí",OR(E22="",NOT(ISNUMBER(F22)))),"⚠ Falta tipo de contrato o fecha de inicio",IF(NOT(ISNUMBER(F22)),"⚠ Falta fecha de inicio",IF(AND(N22="Sí",E22&lt;&gt;"Indefinido",NOT(ISNUMBER(G22))),"⚠ Falta fecha de término",IF(AND(D22="Paso a indefinido",E22&lt;&gt;"Indefinido"),"⚠ Un paso a indefinido debe tener tipo Indefinido",IF(N(Q22)&gt;=3,"⚠ 3er contrato a plazo fijo: por ley ya es INDEFINIDO (Art. 159 N°4)",IF(AND(E22="Plazo fijo",N(T22)&gt;12),"⚠ Plazo fijo mayor a 1 año (máx. legal; 2 años solo profesionales o técnicos)",IF(AND(ISNUMBER(G22),G22&lt;F22),"⚠ Término anterior al inicio",IF(AND(D22="Contrato inicial",ISNUMBER(J22),J22-F22&gt;15),"⚠ Escriturado fuera de plazo (Art. 9: 15 días)",IF(K22&lt;&gt;"Sí","Pendiente de firma","OK"))))))))))</f>
        <v/>
      </c>
    </row>
    <row r="23" customFormat="false" ht="15" hidden="false" customHeight="false" outlineLevel="0" collapsed="false">
      <c r="B23" s="64"/>
      <c r="C23" s="72" t="str">
        <f aca="false">IF(B23="","",IFERROR(INDEX(T_NOMBRE,MATCH(B23,T_ID,0)),"⚠ ID no existe en Trabajadores"))</f>
        <v/>
      </c>
      <c r="D23" s="64"/>
      <c r="E23" s="64"/>
      <c r="F23" s="65"/>
      <c r="G23" s="65"/>
      <c r="H23" s="67"/>
      <c r="I23" s="64"/>
      <c r="J23" s="65"/>
      <c r="K23" s="64"/>
      <c r="L23" s="64"/>
      <c r="M23" s="64"/>
      <c r="N23" s="72" t="str">
        <f aca="false">IF(B23="","",IF(D23="Anexo de modificación","No","Sí"))</f>
        <v/>
      </c>
      <c r="O23" s="73" t="str">
        <f aca="false">IF(AND(N23="Sí",ISNUMBER(F23)),COUNTIFS(C_ID,B23,C_DEFINE,"Sí",C_INICIO,"&lt;"&amp;F23)+COUNTIFS(B$7:B23,B23,N$7:N23,"Sí",F$7:F23,F23),"")</f>
        <v/>
      </c>
      <c r="P23" s="72" t="str">
        <f aca="false">IF(O23="","",B23&amp;"-P"&amp;O23)</f>
        <v/>
      </c>
      <c r="Q23" s="73" t="str">
        <f aca="false">IF(AND(N23="Sí",E23="Plazo fijo",ISNUMBER(F23)),COUNTIFS(C_ID,B23,C_TIPO,"Plazo fijo",C_DEFINE,"Sí",C_INICIO,"&lt;"&amp;F23)+COUNTIFS(B$7:B23,B23,E$7:E23,"Plazo fijo",N$7:N23,"Sí",F$7:F23,F23),"")</f>
        <v/>
      </c>
      <c r="R23" s="73" t="str">
        <f aca="false">IF(AND(B23&lt;&gt;"",ISNUMBER(H23),ISNUMBER(F23)),COUNTIFS(C_ID,B23,C_SUELDO,"&lt;&gt;",C_INICIO,"&lt;"&amp;F23)+COUNTIFS(B$7:B23,B23,H$7:H23,"&lt;&gt;",F$7:F23,F23),"")</f>
        <v/>
      </c>
      <c r="S23" s="72" t="str">
        <f aca="false">IF(R23="","",B23&amp;"-S"&amp;R23)</f>
        <v/>
      </c>
      <c r="T23" s="74" t="str">
        <f aca="false">IF(AND(ISNUMBER(F23),ISNUMBER(G23)),ROUND((G23-F23+1)/30.4375,1),"")</f>
        <v/>
      </c>
      <c r="U23" s="70" t="str">
        <f aca="false">IF(B23="","",IF(AND(N23="Sí",OR(E23="",NOT(ISNUMBER(F23)))),"⚠ Falta tipo de contrato o fecha de inicio",IF(NOT(ISNUMBER(F23)),"⚠ Falta fecha de inicio",IF(AND(N23="Sí",E23&lt;&gt;"Indefinido",NOT(ISNUMBER(G23))),"⚠ Falta fecha de término",IF(AND(D23="Paso a indefinido",E23&lt;&gt;"Indefinido"),"⚠ Un paso a indefinido debe tener tipo Indefinido",IF(N(Q23)&gt;=3,"⚠ 3er contrato a plazo fijo: por ley ya es INDEFINIDO (Art. 159 N°4)",IF(AND(E23="Plazo fijo",N(T23)&gt;12),"⚠ Plazo fijo mayor a 1 año (máx. legal; 2 años solo profesionales o técnicos)",IF(AND(ISNUMBER(G23),G23&lt;F23),"⚠ Término anterior al inicio",IF(AND(D23="Contrato inicial",ISNUMBER(J23),J23-F23&gt;15),"⚠ Escriturado fuera de plazo (Art. 9: 15 días)",IF(K23&lt;&gt;"Sí","Pendiente de firma","OK"))))))))))</f>
        <v/>
      </c>
    </row>
    <row r="24" customFormat="false" ht="15" hidden="false" customHeight="false" outlineLevel="0" collapsed="false">
      <c r="B24" s="64"/>
      <c r="C24" s="72" t="str">
        <f aca="false">IF(B24="","",IFERROR(INDEX(T_NOMBRE,MATCH(B24,T_ID,0)),"⚠ ID no existe en Trabajadores"))</f>
        <v/>
      </c>
      <c r="D24" s="64"/>
      <c r="E24" s="64"/>
      <c r="F24" s="65"/>
      <c r="G24" s="65"/>
      <c r="H24" s="67"/>
      <c r="I24" s="64"/>
      <c r="J24" s="65"/>
      <c r="K24" s="64"/>
      <c r="L24" s="64"/>
      <c r="M24" s="64"/>
      <c r="N24" s="72" t="str">
        <f aca="false">IF(B24="","",IF(D24="Anexo de modificación","No","Sí"))</f>
        <v/>
      </c>
      <c r="O24" s="73" t="str">
        <f aca="false">IF(AND(N24="Sí",ISNUMBER(F24)),COUNTIFS(C_ID,B24,C_DEFINE,"Sí",C_INICIO,"&lt;"&amp;F24)+COUNTIFS(B$7:B24,B24,N$7:N24,"Sí",F$7:F24,F24),"")</f>
        <v/>
      </c>
      <c r="P24" s="72" t="str">
        <f aca="false">IF(O24="","",B24&amp;"-P"&amp;O24)</f>
        <v/>
      </c>
      <c r="Q24" s="73" t="str">
        <f aca="false">IF(AND(N24="Sí",E24="Plazo fijo",ISNUMBER(F24)),COUNTIFS(C_ID,B24,C_TIPO,"Plazo fijo",C_DEFINE,"Sí",C_INICIO,"&lt;"&amp;F24)+COUNTIFS(B$7:B24,B24,E$7:E24,"Plazo fijo",N$7:N24,"Sí",F$7:F24,F24),"")</f>
        <v/>
      </c>
      <c r="R24" s="73" t="str">
        <f aca="false">IF(AND(B24&lt;&gt;"",ISNUMBER(H24),ISNUMBER(F24)),COUNTIFS(C_ID,B24,C_SUELDO,"&lt;&gt;",C_INICIO,"&lt;"&amp;F24)+COUNTIFS(B$7:B24,B24,H$7:H24,"&lt;&gt;",F$7:F24,F24),"")</f>
        <v/>
      </c>
      <c r="S24" s="72" t="str">
        <f aca="false">IF(R24="","",B24&amp;"-S"&amp;R24)</f>
        <v/>
      </c>
      <c r="T24" s="74" t="str">
        <f aca="false">IF(AND(ISNUMBER(F24),ISNUMBER(G24)),ROUND((G24-F24+1)/30.4375,1),"")</f>
        <v/>
      </c>
      <c r="U24" s="70" t="str">
        <f aca="false">IF(B24="","",IF(AND(N24="Sí",OR(E24="",NOT(ISNUMBER(F24)))),"⚠ Falta tipo de contrato o fecha de inicio",IF(NOT(ISNUMBER(F24)),"⚠ Falta fecha de inicio",IF(AND(N24="Sí",E24&lt;&gt;"Indefinido",NOT(ISNUMBER(G24))),"⚠ Falta fecha de término",IF(AND(D24="Paso a indefinido",E24&lt;&gt;"Indefinido"),"⚠ Un paso a indefinido debe tener tipo Indefinido",IF(N(Q24)&gt;=3,"⚠ 3er contrato a plazo fijo: por ley ya es INDEFINIDO (Art. 159 N°4)",IF(AND(E24="Plazo fijo",N(T24)&gt;12),"⚠ Plazo fijo mayor a 1 año (máx. legal; 2 años solo profesionales o técnicos)",IF(AND(ISNUMBER(G24),G24&lt;F24),"⚠ Término anterior al inicio",IF(AND(D24="Contrato inicial",ISNUMBER(J24),J24-F24&gt;15),"⚠ Escriturado fuera de plazo (Art. 9: 15 días)",IF(K24&lt;&gt;"Sí","Pendiente de firma","OK"))))))))))</f>
        <v/>
      </c>
    </row>
    <row r="25" customFormat="false" ht="15" hidden="false" customHeight="false" outlineLevel="0" collapsed="false">
      <c r="B25" s="64"/>
      <c r="C25" s="72" t="str">
        <f aca="false">IF(B25="","",IFERROR(INDEX(T_NOMBRE,MATCH(B25,T_ID,0)),"⚠ ID no existe en Trabajadores"))</f>
        <v/>
      </c>
      <c r="D25" s="64"/>
      <c r="E25" s="64"/>
      <c r="F25" s="65"/>
      <c r="G25" s="65"/>
      <c r="H25" s="67"/>
      <c r="I25" s="64"/>
      <c r="J25" s="65"/>
      <c r="K25" s="64"/>
      <c r="L25" s="64"/>
      <c r="M25" s="64"/>
      <c r="N25" s="72" t="str">
        <f aca="false">IF(B25="","",IF(D25="Anexo de modificación","No","Sí"))</f>
        <v/>
      </c>
      <c r="O25" s="73" t="str">
        <f aca="false">IF(AND(N25="Sí",ISNUMBER(F25)),COUNTIFS(C_ID,B25,C_DEFINE,"Sí",C_INICIO,"&lt;"&amp;F25)+COUNTIFS(B$7:B25,B25,N$7:N25,"Sí",F$7:F25,F25),"")</f>
        <v/>
      </c>
      <c r="P25" s="72" t="str">
        <f aca="false">IF(O25="","",B25&amp;"-P"&amp;O25)</f>
        <v/>
      </c>
      <c r="Q25" s="73" t="str">
        <f aca="false">IF(AND(N25="Sí",E25="Plazo fijo",ISNUMBER(F25)),COUNTIFS(C_ID,B25,C_TIPO,"Plazo fijo",C_DEFINE,"Sí",C_INICIO,"&lt;"&amp;F25)+COUNTIFS(B$7:B25,B25,E$7:E25,"Plazo fijo",N$7:N25,"Sí",F$7:F25,F25),"")</f>
        <v/>
      </c>
      <c r="R25" s="73" t="str">
        <f aca="false">IF(AND(B25&lt;&gt;"",ISNUMBER(H25),ISNUMBER(F25)),COUNTIFS(C_ID,B25,C_SUELDO,"&lt;&gt;",C_INICIO,"&lt;"&amp;F25)+COUNTIFS(B$7:B25,B25,H$7:H25,"&lt;&gt;",F$7:F25,F25),"")</f>
        <v/>
      </c>
      <c r="S25" s="72" t="str">
        <f aca="false">IF(R25="","",B25&amp;"-S"&amp;R25)</f>
        <v/>
      </c>
      <c r="T25" s="74" t="str">
        <f aca="false">IF(AND(ISNUMBER(F25),ISNUMBER(G25)),ROUND((G25-F25+1)/30.4375,1),"")</f>
        <v/>
      </c>
      <c r="U25" s="70" t="str">
        <f aca="false">IF(B25="","",IF(AND(N25="Sí",OR(E25="",NOT(ISNUMBER(F25)))),"⚠ Falta tipo de contrato o fecha de inicio",IF(NOT(ISNUMBER(F25)),"⚠ Falta fecha de inicio",IF(AND(N25="Sí",E25&lt;&gt;"Indefinido",NOT(ISNUMBER(G25))),"⚠ Falta fecha de término",IF(AND(D25="Paso a indefinido",E25&lt;&gt;"Indefinido"),"⚠ Un paso a indefinido debe tener tipo Indefinido",IF(N(Q25)&gt;=3,"⚠ 3er contrato a plazo fijo: por ley ya es INDEFINIDO (Art. 159 N°4)",IF(AND(E25="Plazo fijo",N(T25)&gt;12),"⚠ Plazo fijo mayor a 1 año (máx. legal; 2 años solo profesionales o técnicos)",IF(AND(ISNUMBER(G25),G25&lt;F25),"⚠ Término anterior al inicio",IF(AND(D25="Contrato inicial",ISNUMBER(J25),J25-F25&gt;15),"⚠ Escriturado fuera de plazo (Art. 9: 15 días)",IF(K25&lt;&gt;"Sí","Pendiente de firma","OK"))))))))))</f>
        <v/>
      </c>
    </row>
    <row r="26" customFormat="false" ht="15" hidden="false" customHeight="false" outlineLevel="0" collapsed="false">
      <c r="B26" s="64"/>
      <c r="C26" s="72" t="str">
        <f aca="false">IF(B26="","",IFERROR(INDEX(T_NOMBRE,MATCH(B26,T_ID,0)),"⚠ ID no existe en Trabajadores"))</f>
        <v/>
      </c>
      <c r="D26" s="64"/>
      <c r="E26" s="64"/>
      <c r="F26" s="65"/>
      <c r="G26" s="65"/>
      <c r="H26" s="67"/>
      <c r="I26" s="64"/>
      <c r="J26" s="65"/>
      <c r="K26" s="64"/>
      <c r="L26" s="64"/>
      <c r="M26" s="64"/>
      <c r="N26" s="72" t="str">
        <f aca="false">IF(B26="","",IF(D26="Anexo de modificación","No","Sí"))</f>
        <v/>
      </c>
      <c r="O26" s="73" t="str">
        <f aca="false">IF(AND(N26="Sí",ISNUMBER(F26)),COUNTIFS(C_ID,B26,C_DEFINE,"Sí",C_INICIO,"&lt;"&amp;F26)+COUNTIFS(B$7:B26,B26,N$7:N26,"Sí",F$7:F26,F26),"")</f>
        <v/>
      </c>
      <c r="P26" s="72" t="str">
        <f aca="false">IF(O26="","",B26&amp;"-P"&amp;O26)</f>
        <v/>
      </c>
      <c r="Q26" s="73" t="str">
        <f aca="false">IF(AND(N26="Sí",E26="Plazo fijo",ISNUMBER(F26)),COUNTIFS(C_ID,B26,C_TIPO,"Plazo fijo",C_DEFINE,"Sí",C_INICIO,"&lt;"&amp;F26)+COUNTIFS(B$7:B26,B26,E$7:E26,"Plazo fijo",N$7:N26,"Sí",F$7:F26,F26),"")</f>
        <v/>
      </c>
      <c r="R26" s="73" t="str">
        <f aca="false">IF(AND(B26&lt;&gt;"",ISNUMBER(H26),ISNUMBER(F26)),COUNTIFS(C_ID,B26,C_SUELDO,"&lt;&gt;",C_INICIO,"&lt;"&amp;F26)+COUNTIFS(B$7:B26,B26,H$7:H26,"&lt;&gt;",F$7:F26,F26),"")</f>
        <v/>
      </c>
      <c r="S26" s="72" t="str">
        <f aca="false">IF(R26="","",B26&amp;"-S"&amp;R26)</f>
        <v/>
      </c>
      <c r="T26" s="74" t="str">
        <f aca="false">IF(AND(ISNUMBER(F26),ISNUMBER(G26)),ROUND((G26-F26+1)/30.4375,1),"")</f>
        <v/>
      </c>
      <c r="U26" s="70" t="str">
        <f aca="false">IF(B26="","",IF(AND(N26="Sí",OR(E26="",NOT(ISNUMBER(F26)))),"⚠ Falta tipo de contrato o fecha de inicio",IF(NOT(ISNUMBER(F26)),"⚠ Falta fecha de inicio",IF(AND(N26="Sí",E26&lt;&gt;"Indefinido",NOT(ISNUMBER(G26))),"⚠ Falta fecha de término",IF(AND(D26="Paso a indefinido",E26&lt;&gt;"Indefinido"),"⚠ Un paso a indefinido debe tener tipo Indefinido",IF(N(Q26)&gt;=3,"⚠ 3er contrato a plazo fijo: por ley ya es INDEFINIDO (Art. 159 N°4)",IF(AND(E26="Plazo fijo",N(T26)&gt;12),"⚠ Plazo fijo mayor a 1 año (máx. legal; 2 años solo profesionales o técnicos)",IF(AND(ISNUMBER(G26),G26&lt;F26),"⚠ Término anterior al inicio",IF(AND(D26="Contrato inicial",ISNUMBER(J26),J26-F26&gt;15),"⚠ Escriturado fuera de plazo (Art. 9: 15 días)",IF(K26&lt;&gt;"Sí","Pendiente de firma","OK"))))))))))</f>
        <v/>
      </c>
    </row>
    <row r="27" customFormat="false" ht="15" hidden="false" customHeight="false" outlineLevel="0" collapsed="false">
      <c r="B27" s="64"/>
      <c r="C27" s="72" t="str">
        <f aca="false">IF(B27="","",IFERROR(INDEX(T_NOMBRE,MATCH(B27,T_ID,0)),"⚠ ID no existe en Trabajadores"))</f>
        <v/>
      </c>
      <c r="D27" s="64"/>
      <c r="E27" s="64"/>
      <c r="F27" s="65"/>
      <c r="G27" s="65"/>
      <c r="H27" s="67"/>
      <c r="I27" s="64"/>
      <c r="J27" s="65"/>
      <c r="K27" s="64"/>
      <c r="L27" s="64"/>
      <c r="M27" s="64"/>
      <c r="N27" s="72" t="str">
        <f aca="false">IF(B27="","",IF(D27="Anexo de modificación","No","Sí"))</f>
        <v/>
      </c>
      <c r="O27" s="73" t="str">
        <f aca="false">IF(AND(N27="Sí",ISNUMBER(F27)),COUNTIFS(C_ID,B27,C_DEFINE,"Sí",C_INICIO,"&lt;"&amp;F27)+COUNTIFS(B$7:B27,B27,N$7:N27,"Sí",F$7:F27,F27),"")</f>
        <v/>
      </c>
      <c r="P27" s="72" t="str">
        <f aca="false">IF(O27="","",B27&amp;"-P"&amp;O27)</f>
        <v/>
      </c>
      <c r="Q27" s="73" t="str">
        <f aca="false">IF(AND(N27="Sí",E27="Plazo fijo",ISNUMBER(F27)),COUNTIFS(C_ID,B27,C_TIPO,"Plazo fijo",C_DEFINE,"Sí",C_INICIO,"&lt;"&amp;F27)+COUNTIFS(B$7:B27,B27,E$7:E27,"Plazo fijo",N$7:N27,"Sí",F$7:F27,F27),"")</f>
        <v/>
      </c>
      <c r="R27" s="73" t="str">
        <f aca="false">IF(AND(B27&lt;&gt;"",ISNUMBER(H27),ISNUMBER(F27)),COUNTIFS(C_ID,B27,C_SUELDO,"&lt;&gt;",C_INICIO,"&lt;"&amp;F27)+COUNTIFS(B$7:B27,B27,H$7:H27,"&lt;&gt;",F$7:F27,F27),"")</f>
        <v/>
      </c>
      <c r="S27" s="72" t="str">
        <f aca="false">IF(R27="","",B27&amp;"-S"&amp;R27)</f>
        <v/>
      </c>
      <c r="T27" s="74" t="str">
        <f aca="false">IF(AND(ISNUMBER(F27),ISNUMBER(G27)),ROUND((G27-F27+1)/30.4375,1),"")</f>
        <v/>
      </c>
      <c r="U27" s="70" t="str">
        <f aca="false">IF(B27="","",IF(AND(N27="Sí",OR(E27="",NOT(ISNUMBER(F27)))),"⚠ Falta tipo de contrato o fecha de inicio",IF(NOT(ISNUMBER(F27)),"⚠ Falta fecha de inicio",IF(AND(N27="Sí",E27&lt;&gt;"Indefinido",NOT(ISNUMBER(G27))),"⚠ Falta fecha de término",IF(AND(D27="Paso a indefinido",E27&lt;&gt;"Indefinido"),"⚠ Un paso a indefinido debe tener tipo Indefinido",IF(N(Q27)&gt;=3,"⚠ 3er contrato a plazo fijo: por ley ya es INDEFINIDO (Art. 159 N°4)",IF(AND(E27="Plazo fijo",N(T27)&gt;12),"⚠ Plazo fijo mayor a 1 año (máx. legal; 2 años solo profesionales o técnicos)",IF(AND(ISNUMBER(G27),G27&lt;F27),"⚠ Término anterior al inicio",IF(AND(D27="Contrato inicial",ISNUMBER(J27),J27-F27&gt;15),"⚠ Escriturado fuera de plazo (Art. 9: 15 días)",IF(K27&lt;&gt;"Sí","Pendiente de firma","OK"))))))))))</f>
        <v/>
      </c>
    </row>
    <row r="28" customFormat="false" ht="15" hidden="false" customHeight="false" outlineLevel="0" collapsed="false">
      <c r="B28" s="64"/>
      <c r="C28" s="72" t="str">
        <f aca="false">IF(B28="","",IFERROR(INDEX(T_NOMBRE,MATCH(B28,T_ID,0)),"⚠ ID no existe en Trabajadores"))</f>
        <v/>
      </c>
      <c r="D28" s="64"/>
      <c r="E28" s="64"/>
      <c r="F28" s="65"/>
      <c r="G28" s="65"/>
      <c r="H28" s="67"/>
      <c r="I28" s="64"/>
      <c r="J28" s="65"/>
      <c r="K28" s="64"/>
      <c r="L28" s="64"/>
      <c r="M28" s="64"/>
      <c r="N28" s="72" t="str">
        <f aca="false">IF(B28="","",IF(D28="Anexo de modificación","No","Sí"))</f>
        <v/>
      </c>
      <c r="O28" s="73" t="str">
        <f aca="false">IF(AND(N28="Sí",ISNUMBER(F28)),COUNTIFS(C_ID,B28,C_DEFINE,"Sí",C_INICIO,"&lt;"&amp;F28)+COUNTIFS(B$7:B28,B28,N$7:N28,"Sí",F$7:F28,F28),"")</f>
        <v/>
      </c>
      <c r="P28" s="72" t="str">
        <f aca="false">IF(O28="","",B28&amp;"-P"&amp;O28)</f>
        <v/>
      </c>
      <c r="Q28" s="73" t="str">
        <f aca="false">IF(AND(N28="Sí",E28="Plazo fijo",ISNUMBER(F28)),COUNTIFS(C_ID,B28,C_TIPO,"Plazo fijo",C_DEFINE,"Sí",C_INICIO,"&lt;"&amp;F28)+COUNTIFS(B$7:B28,B28,E$7:E28,"Plazo fijo",N$7:N28,"Sí",F$7:F28,F28),"")</f>
        <v/>
      </c>
      <c r="R28" s="73" t="str">
        <f aca="false">IF(AND(B28&lt;&gt;"",ISNUMBER(H28),ISNUMBER(F28)),COUNTIFS(C_ID,B28,C_SUELDO,"&lt;&gt;",C_INICIO,"&lt;"&amp;F28)+COUNTIFS(B$7:B28,B28,H$7:H28,"&lt;&gt;",F$7:F28,F28),"")</f>
        <v/>
      </c>
      <c r="S28" s="72" t="str">
        <f aca="false">IF(R28="","",B28&amp;"-S"&amp;R28)</f>
        <v/>
      </c>
      <c r="T28" s="74" t="str">
        <f aca="false">IF(AND(ISNUMBER(F28),ISNUMBER(G28)),ROUND((G28-F28+1)/30.4375,1),"")</f>
        <v/>
      </c>
      <c r="U28" s="70" t="str">
        <f aca="false">IF(B28="","",IF(AND(N28="Sí",OR(E28="",NOT(ISNUMBER(F28)))),"⚠ Falta tipo de contrato o fecha de inicio",IF(NOT(ISNUMBER(F28)),"⚠ Falta fecha de inicio",IF(AND(N28="Sí",E28&lt;&gt;"Indefinido",NOT(ISNUMBER(G28))),"⚠ Falta fecha de término",IF(AND(D28="Paso a indefinido",E28&lt;&gt;"Indefinido"),"⚠ Un paso a indefinido debe tener tipo Indefinido",IF(N(Q28)&gt;=3,"⚠ 3er contrato a plazo fijo: por ley ya es INDEFINIDO (Art. 159 N°4)",IF(AND(E28="Plazo fijo",N(T28)&gt;12),"⚠ Plazo fijo mayor a 1 año (máx. legal; 2 años solo profesionales o técnicos)",IF(AND(ISNUMBER(G28),G28&lt;F28),"⚠ Término anterior al inicio",IF(AND(D28="Contrato inicial",ISNUMBER(J28),J28-F28&gt;15),"⚠ Escriturado fuera de plazo (Art. 9: 15 días)",IF(K28&lt;&gt;"Sí","Pendiente de firma","OK"))))))))))</f>
        <v/>
      </c>
    </row>
    <row r="29" customFormat="false" ht="15" hidden="false" customHeight="false" outlineLevel="0" collapsed="false">
      <c r="B29" s="64"/>
      <c r="C29" s="72" t="str">
        <f aca="false">IF(B29="","",IFERROR(INDEX(T_NOMBRE,MATCH(B29,T_ID,0)),"⚠ ID no existe en Trabajadores"))</f>
        <v/>
      </c>
      <c r="D29" s="64"/>
      <c r="E29" s="64"/>
      <c r="F29" s="65"/>
      <c r="G29" s="65"/>
      <c r="H29" s="67"/>
      <c r="I29" s="64"/>
      <c r="J29" s="65"/>
      <c r="K29" s="64"/>
      <c r="L29" s="64"/>
      <c r="M29" s="64"/>
      <c r="N29" s="72" t="str">
        <f aca="false">IF(B29="","",IF(D29="Anexo de modificación","No","Sí"))</f>
        <v/>
      </c>
      <c r="O29" s="73" t="str">
        <f aca="false">IF(AND(N29="Sí",ISNUMBER(F29)),COUNTIFS(C_ID,B29,C_DEFINE,"Sí",C_INICIO,"&lt;"&amp;F29)+COUNTIFS(B$7:B29,B29,N$7:N29,"Sí",F$7:F29,F29),"")</f>
        <v/>
      </c>
      <c r="P29" s="72" t="str">
        <f aca="false">IF(O29="","",B29&amp;"-P"&amp;O29)</f>
        <v/>
      </c>
      <c r="Q29" s="73" t="str">
        <f aca="false">IF(AND(N29="Sí",E29="Plazo fijo",ISNUMBER(F29)),COUNTIFS(C_ID,B29,C_TIPO,"Plazo fijo",C_DEFINE,"Sí",C_INICIO,"&lt;"&amp;F29)+COUNTIFS(B$7:B29,B29,E$7:E29,"Plazo fijo",N$7:N29,"Sí",F$7:F29,F29),"")</f>
        <v/>
      </c>
      <c r="R29" s="73" t="str">
        <f aca="false">IF(AND(B29&lt;&gt;"",ISNUMBER(H29),ISNUMBER(F29)),COUNTIFS(C_ID,B29,C_SUELDO,"&lt;&gt;",C_INICIO,"&lt;"&amp;F29)+COUNTIFS(B$7:B29,B29,H$7:H29,"&lt;&gt;",F$7:F29,F29),"")</f>
        <v/>
      </c>
      <c r="S29" s="72" t="str">
        <f aca="false">IF(R29="","",B29&amp;"-S"&amp;R29)</f>
        <v/>
      </c>
      <c r="T29" s="74" t="str">
        <f aca="false">IF(AND(ISNUMBER(F29),ISNUMBER(G29)),ROUND((G29-F29+1)/30.4375,1),"")</f>
        <v/>
      </c>
      <c r="U29" s="70" t="str">
        <f aca="false">IF(B29="","",IF(AND(N29="Sí",OR(E29="",NOT(ISNUMBER(F29)))),"⚠ Falta tipo de contrato o fecha de inicio",IF(NOT(ISNUMBER(F29)),"⚠ Falta fecha de inicio",IF(AND(N29="Sí",E29&lt;&gt;"Indefinido",NOT(ISNUMBER(G29))),"⚠ Falta fecha de término",IF(AND(D29="Paso a indefinido",E29&lt;&gt;"Indefinido"),"⚠ Un paso a indefinido debe tener tipo Indefinido",IF(N(Q29)&gt;=3,"⚠ 3er contrato a plazo fijo: por ley ya es INDEFINIDO (Art. 159 N°4)",IF(AND(E29="Plazo fijo",N(T29)&gt;12),"⚠ Plazo fijo mayor a 1 año (máx. legal; 2 años solo profesionales o técnicos)",IF(AND(ISNUMBER(G29),G29&lt;F29),"⚠ Término anterior al inicio",IF(AND(D29="Contrato inicial",ISNUMBER(J29),J29-F29&gt;15),"⚠ Escriturado fuera de plazo (Art. 9: 15 días)",IF(K29&lt;&gt;"Sí","Pendiente de firma","OK"))))))))))</f>
        <v/>
      </c>
    </row>
    <row r="30" customFormat="false" ht="15" hidden="false" customHeight="false" outlineLevel="0" collapsed="false">
      <c r="B30" s="64"/>
      <c r="C30" s="72" t="str">
        <f aca="false">IF(B30="","",IFERROR(INDEX(T_NOMBRE,MATCH(B30,T_ID,0)),"⚠ ID no existe en Trabajadores"))</f>
        <v/>
      </c>
      <c r="D30" s="64"/>
      <c r="E30" s="64"/>
      <c r="F30" s="65"/>
      <c r="G30" s="65"/>
      <c r="H30" s="67"/>
      <c r="I30" s="64"/>
      <c r="J30" s="65"/>
      <c r="K30" s="64"/>
      <c r="L30" s="64"/>
      <c r="M30" s="64"/>
      <c r="N30" s="72" t="str">
        <f aca="false">IF(B30="","",IF(D30="Anexo de modificación","No","Sí"))</f>
        <v/>
      </c>
      <c r="O30" s="73" t="str">
        <f aca="false">IF(AND(N30="Sí",ISNUMBER(F30)),COUNTIFS(C_ID,B30,C_DEFINE,"Sí",C_INICIO,"&lt;"&amp;F30)+COUNTIFS(B$7:B30,B30,N$7:N30,"Sí",F$7:F30,F30),"")</f>
        <v/>
      </c>
      <c r="P30" s="72" t="str">
        <f aca="false">IF(O30="","",B30&amp;"-P"&amp;O30)</f>
        <v/>
      </c>
      <c r="Q30" s="73" t="str">
        <f aca="false">IF(AND(N30="Sí",E30="Plazo fijo",ISNUMBER(F30)),COUNTIFS(C_ID,B30,C_TIPO,"Plazo fijo",C_DEFINE,"Sí",C_INICIO,"&lt;"&amp;F30)+COUNTIFS(B$7:B30,B30,E$7:E30,"Plazo fijo",N$7:N30,"Sí",F$7:F30,F30),"")</f>
        <v/>
      </c>
      <c r="R30" s="73" t="str">
        <f aca="false">IF(AND(B30&lt;&gt;"",ISNUMBER(H30),ISNUMBER(F30)),COUNTIFS(C_ID,B30,C_SUELDO,"&lt;&gt;",C_INICIO,"&lt;"&amp;F30)+COUNTIFS(B$7:B30,B30,H$7:H30,"&lt;&gt;",F$7:F30,F30),"")</f>
        <v/>
      </c>
      <c r="S30" s="72" t="str">
        <f aca="false">IF(R30="","",B30&amp;"-S"&amp;R30)</f>
        <v/>
      </c>
      <c r="T30" s="74" t="str">
        <f aca="false">IF(AND(ISNUMBER(F30),ISNUMBER(G30)),ROUND((G30-F30+1)/30.4375,1),"")</f>
        <v/>
      </c>
      <c r="U30" s="70" t="str">
        <f aca="false">IF(B30="","",IF(AND(N30="Sí",OR(E30="",NOT(ISNUMBER(F30)))),"⚠ Falta tipo de contrato o fecha de inicio",IF(NOT(ISNUMBER(F30)),"⚠ Falta fecha de inicio",IF(AND(N30="Sí",E30&lt;&gt;"Indefinido",NOT(ISNUMBER(G30))),"⚠ Falta fecha de término",IF(AND(D30="Paso a indefinido",E30&lt;&gt;"Indefinido"),"⚠ Un paso a indefinido debe tener tipo Indefinido",IF(N(Q30)&gt;=3,"⚠ 3er contrato a plazo fijo: por ley ya es INDEFINIDO (Art. 159 N°4)",IF(AND(E30="Plazo fijo",N(T30)&gt;12),"⚠ Plazo fijo mayor a 1 año (máx. legal; 2 años solo profesionales o técnicos)",IF(AND(ISNUMBER(G30),G30&lt;F30),"⚠ Término anterior al inicio",IF(AND(D30="Contrato inicial",ISNUMBER(J30),J30-F30&gt;15),"⚠ Escriturado fuera de plazo (Art. 9: 15 días)",IF(K30&lt;&gt;"Sí","Pendiente de firma","OK"))))))))))</f>
        <v/>
      </c>
    </row>
    <row r="31" customFormat="false" ht="15" hidden="false" customHeight="false" outlineLevel="0" collapsed="false">
      <c r="B31" s="64"/>
      <c r="C31" s="72" t="str">
        <f aca="false">IF(B31="","",IFERROR(INDEX(T_NOMBRE,MATCH(B31,T_ID,0)),"⚠ ID no existe en Trabajadores"))</f>
        <v/>
      </c>
      <c r="D31" s="64"/>
      <c r="E31" s="64"/>
      <c r="F31" s="65"/>
      <c r="G31" s="65"/>
      <c r="H31" s="67"/>
      <c r="I31" s="64"/>
      <c r="J31" s="65"/>
      <c r="K31" s="64"/>
      <c r="L31" s="64"/>
      <c r="M31" s="64"/>
      <c r="N31" s="72" t="str">
        <f aca="false">IF(B31="","",IF(D31="Anexo de modificación","No","Sí"))</f>
        <v/>
      </c>
      <c r="O31" s="73" t="str">
        <f aca="false">IF(AND(N31="Sí",ISNUMBER(F31)),COUNTIFS(C_ID,B31,C_DEFINE,"Sí",C_INICIO,"&lt;"&amp;F31)+COUNTIFS(B$7:B31,B31,N$7:N31,"Sí",F$7:F31,F31),"")</f>
        <v/>
      </c>
      <c r="P31" s="72" t="str">
        <f aca="false">IF(O31="","",B31&amp;"-P"&amp;O31)</f>
        <v/>
      </c>
      <c r="Q31" s="73" t="str">
        <f aca="false">IF(AND(N31="Sí",E31="Plazo fijo",ISNUMBER(F31)),COUNTIFS(C_ID,B31,C_TIPO,"Plazo fijo",C_DEFINE,"Sí",C_INICIO,"&lt;"&amp;F31)+COUNTIFS(B$7:B31,B31,E$7:E31,"Plazo fijo",N$7:N31,"Sí",F$7:F31,F31),"")</f>
        <v/>
      </c>
      <c r="R31" s="73" t="str">
        <f aca="false">IF(AND(B31&lt;&gt;"",ISNUMBER(H31),ISNUMBER(F31)),COUNTIFS(C_ID,B31,C_SUELDO,"&lt;&gt;",C_INICIO,"&lt;"&amp;F31)+COUNTIFS(B$7:B31,B31,H$7:H31,"&lt;&gt;",F$7:F31,F31),"")</f>
        <v/>
      </c>
      <c r="S31" s="72" t="str">
        <f aca="false">IF(R31="","",B31&amp;"-S"&amp;R31)</f>
        <v/>
      </c>
      <c r="T31" s="74" t="str">
        <f aca="false">IF(AND(ISNUMBER(F31),ISNUMBER(G31)),ROUND((G31-F31+1)/30.4375,1),"")</f>
        <v/>
      </c>
      <c r="U31" s="70" t="str">
        <f aca="false">IF(B31="","",IF(AND(N31="Sí",OR(E31="",NOT(ISNUMBER(F31)))),"⚠ Falta tipo de contrato o fecha de inicio",IF(NOT(ISNUMBER(F31)),"⚠ Falta fecha de inicio",IF(AND(N31="Sí",E31&lt;&gt;"Indefinido",NOT(ISNUMBER(G31))),"⚠ Falta fecha de término",IF(AND(D31="Paso a indefinido",E31&lt;&gt;"Indefinido"),"⚠ Un paso a indefinido debe tener tipo Indefinido",IF(N(Q31)&gt;=3,"⚠ 3er contrato a plazo fijo: por ley ya es INDEFINIDO (Art. 159 N°4)",IF(AND(E31="Plazo fijo",N(T31)&gt;12),"⚠ Plazo fijo mayor a 1 año (máx. legal; 2 años solo profesionales o técnicos)",IF(AND(ISNUMBER(G31),G31&lt;F31),"⚠ Término anterior al inicio",IF(AND(D31="Contrato inicial",ISNUMBER(J31),J31-F31&gt;15),"⚠ Escriturado fuera de plazo (Art. 9: 15 días)",IF(K31&lt;&gt;"Sí","Pendiente de firma","OK"))))))))))</f>
        <v/>
      </c>
    </row>
    <row r="32" customFormat="false" ht="15" hidden="false" customHeight="false" outlineLevel="0" collapsed="false">
      <c r="B32" s="64"/>
      <c r="C32" s="72" t="str">
        <f aca="false">IF(B32="","",IFERROR(INDEX(T_NOMBRE,MATCH(B32,T_ID,0)),"⚠ ID no existe en Trabajadores"))</f>
        <v/>
      </c>
      <c r="D32" s="64"/>
      <c r="E32" s="64"/>
      <c r="F32" s="65"/>
      <c r="G32" s="65"/>
      <c r="H32" s="67"/>
      <c r="I32" s="64"/>
      <c r="J32" s="65"/>
      <c r="K32" s="64"/>
      <c r="L32" s="64"/>
      <c r="M32" s="64"/>
      <c r="N32" s="72" t="str">
        <f aca="false">IF(B32="","",IF(D32="Anexo de modificación","No","Sí"))</f>
        <v/>
      </c>
      <c r="O32" s="73" t="str">
        <f aca="false">IF(AND(N32="Sí",ISNUMBER(F32)),COUNTIFS(C_ID,B32,C_DEFINE,"Sí",C_INICIO,"&lt;"&amp;F32)+COUNTIFS(B$7:B32,B32,N$7:N32,"Sí",F$7:F32,F32),"")</f>
        <v/>
      </c>
      <c r="P32" s="72" t="str">
        <f aca="false">IF(O32="","",B32&amp;"-P"&amp;O32)</f>
        <v/>
      </c>
      <c r="Q32" s="73" t="str">
        <f aca="false">IF(AND(N32="Sí",E32="Plazo fijo",ISNUMBER(F32)),COUNTIFS(C_ID,B32,C_TIPO,"Plazo fijo",C_DEFINE,"Sí",C_INICIO,"&lt;"&amp;F32)+COUNTIFS(B$7:B32,B32,E$7:E32,"Plazo fijo",N$7:N32,"Sí",F$7:F32,F32),"")</f>
        <v/>
      </c>
      <c r="R32" s="73" t="str">
        <f aca="false">IF(AND(B32&lt;&gt;"",ISNUMBER(H32),ISNUMBER(F32)),COUNTIFS(C_ID,B32,C_SUELDO,"&lt;&gt;",C_INICIO,"&lt;"&amp;F32)+COUNTIFS(B$7:B32,B32,H$7:H32,"&lt;&gt;",F$7:F32,F32),"")</f>
        <v/>
      </c>
      <c r="S32" s="72" t="str">
        <f aca="false">IF(R32="","",B32&amp;"-S"&amp;R32)</f>
        <v/>
      </c>
      <c r="T32" s="74" t="str">
        <f aca="false">IF(AND(ISNUMBER(F32),ISNUMBER(G32)),ROUND((G32-F32+1)/30.4375,1),"")</f>
        <v/>
      </c>
      <c r="U32" s="70" t="str">
        <f aca="false">IF(B32="","",IF(AND(N32="Sí",OR(E32="",NOT(ISNUMBER(F32)))),"⚠ Falta tipo de contrato o fecha de inicio",IF(NOT(ISNUMBER(F32)),"⚠ Falta fecha de inicio",IF(AND(N32="Sí",E32&lt;&gt;"Indefinido",NOT(ISNUMBER(G32))),"⚠ Falta fecha de término",IF(AND(D32="Paso a indefinido",E32&lt;&gt;"Indefinido"),"⚠ Un paso a indefinido debe tener tipo Indefinido",IF(N(Q32)&gt;=3,"⚠ 3er contrato a plazo fijo: por ley ya es INDEFINIDO (Art. 159 N°4)",IF(AND(E32="Plazo fijo",N(T32)&gt;12),"⚠ Plazo fijo mayor a 1 año (máx. legal; 2 años solo profesionales o técnicos)",IF(AND(ISNUMBER(G32),G32&lt;F32),"⚠ Término anterior al inicio",IF(AND(D32="Contrato inicial",ISNUMBER(J32),J32-F32&gt;15),"⚠ Escriturado fuera de plazo (Art. 9: 15 días)",IF(K32&lt;&gt;"Sí","Pendiente de firma","OK"))))))))))</f>
        <v/>
      </c>
    </row>
    <row r="33" customFormat="false" ht="15" hidden="false" customHeight="false" outlineLevel="0" collapsed="false">
      <c r="B33" s="64"/>
      <c r="C33" s="72" t="str">
        <f aca="false">IF(B33="","",IFERROR(INDEX(T_NOMBRE,MATCH(B33,T_ID,0)),"⚠ ID no existe en Trabajadores"))</f>
        <v/>
      </c>
      <c r="D33" s="64"/>
      <c r="E33" s="64"/>
      <c r="F33" s="65"/>
      <c r="G33" s="65"/>
      <c r="H33" s="67"/>
      <c r="I33" s="64"/>
      <c r="J33" s="65"/>
      <c r="K33" s="64"/>
      <c r="L33" s="64"/>
      <c r="M33" s="64"/>
      <c r="N33" s="72" t="str">
        <f aca="false">IF(B33="","",IF(D33="Anexo de modificación","No","Sí"))</f>
        <v/>
      </c>
      <c r="O33" s="73" t="str">
        <f aca="false">IF(AND(N33="Sí",ISNUMBER(F33)),COUNTIFS(C_ID,B33,C_DEFINE,"Sí",C_INICIO,"&lt;"&amp;F33)+COUNTIFS(B$7:B33,B33,N$7:N33,"Sí",F$7:F33,F33),"")</f>
        <v/>
      </c>
      <c r="P33" s="72" t="str">
        <f aca="false">IF(O33="","",B33&amp;"-P"&amp;O33)</f>
        <v/>
      </c>
      <c r="Q33" s="73" t="str">
        <f aca="false">IF(AND(N33="Sí",E33="Plazo fijo",ISNUMBER(F33)),COUNTIFS(C_ID,B33,C_TIPO,"Plazo fijo",C_DEFINE,"Sí",C_INICIO,"&lt;"&amp;F33)+COUNTIFS(B$7:B33,B33,E$7:E33,"Plazo fijo",N$7:N33,"Sí",F$7:F33,F33),"")</f>
        <v/>
      </c>
      <c r="R33" s="73" t="str">
        <f aca="false">IF(AND(B33&lt;&gt;"",ISNUMBER(H33),ISNUMBER(F33)),COUNTIFS(C_ID,B33,C_SUELDO,"&lt;&gt;",C_INICIO,"&lt;"&amp;F33)+COUNTIFS(B$7:B33,B33,H$7:H33,"&lt;&gt;",F$7:F33,F33),"")</f>
        <v/>
      </c>
      <c r="S33" s="72" t="str">
        <f aca="false">IF(R33="","",B33&amp;"-S"&amp;R33)</f>
        <v/>
      </c>
      <c r="T33" s="74" t="str">
        <f aca="false">IF(AND(ISNUMBER(F33),ISNUMBER(G33)),ROUND((G33-F33+1)/30.4375,1),"")</f>
        <v/>
      </c>
      <c r="U33" s="70" t="str">
        <f aca="false">IF(B33="","",IF(AND(N33="Sí",OR(E33="",NOT(ISNUMBER(F33)))),"⚠ Falta tipo de contrato o fecha de inicio",IF(NOT(ISNUMBER(F33)),"⚠ Falta fecha de inicio",IF(AND(N33="Sí",E33&lt;&gt;"Indefinido",NOT(ISNUMBER(G33))),"⚠ Falta fecha de término",IF(AND(D33="Paso a indefinido",E33&lt;&gt;"Indefinido"),"⚠ Un paso a indefinido debe tener tipo Indefinido",IF(N(Q33)&gt;=3,"⚠ 3er contrato a plazo fijo: por ley ya es INDEFINIDO (Art. 159 N°4)",IF(AND(E33="Plazo fijo",N(T33)&gt;12),"⚠ Plazo fijo mayor a 1 año (máx. legal; 2 años solo profesionales o técnicos)",IF(AND(ISNUMBER(G33),G33&lt;F33),"⚠ Término anterior al inicio",IF(AND(D33="Contrato inicial",ISNUMBER(J33),J33-F33&gt;15),"⚠ Escriturado fuera de plazo (Art. 9: 15 días)",IF(K33&lt;&gt;"Sí","Pendiente de firma","OK"))))))))))</f>
        <v/>
      </c>
    </row>
    <row r="34" customFormat="false" ht="15" hidden="false" customHeight="false" outlineLevel="0" collapsed="false">
      <c r="B34" s="64"/>
      <c r="C34" s="72" t="str">
        <f aca="false">IF(B34="","",IFERROR(INDEX(T_NOMBRE,MATCH(B34,T_ID,0)),"⚠ ID no existe en Trabajadores"))</f>
        <v/>
      </c>
      <c r="D34" s="64"/>
      <c r="E34" s="64"/>
      <c r="F34" s="65"/>
      <c r="G34" s="65"/>
      <c r="H34" s="67"/>
      <c r="I34" s="64"/>
      <c r="J34" s="65"/>
      <c r="K34" s="64"/>
      <c r="L34" s="64"/>
      <c r="M34" s="64"/>
      <c r="N34" s="72" t="str">
        <f aca="false">IF(B34="","",IF(D34="Anexo de modificación","No","Sí"))</f>
        <v/>
      </c>
      <c r="O34" s="73" t="str">
        <f aca="false">IF(AND(N34="Sí",ISNUMBER(F34)),COUNTIFS(C_ID,B34,C_DEFINE,"Sí",C_INICIO,"&lt;"&amp;F34)+COUNTIFS(B$7:B34,B34,N$7:N34,"Sí",F$7:F34,F34),"")</f>
        <v/>
      </c>
      <c r="P34" s="72" t="str">
        <f aca="false">IF(O34="","",B34&amp;"-P"&amp;O34)</f>
        <v/>
      </c>
      <c r="Q34" s="73" t="str">
        <f aca="false">IF(AND(N34="Sí",E34="Plazo fijo",ISNUMBER(F34)),COUNTIFS(C_ID,B34,C_TIPO,"Plazo fijo",C_DEFINE,"Sí",C_INICIO,"&lt;"&amp;F34)+COUNTIFS(B$7:B34,B34,E$7:E34,"Plazo fijo",N$7:N34,"Sí",F$7:F34,F34),"")</f>
        <v/>
      </c>
      <c r="R34" s="73" t="str">
        <f aca="false">IF(AND(B34&lt;&gt;"",ISNUMBER(H34),ISNUMBER(F34)),COUNTIFS(C_ID,B34,C_SUELDO,"&lt;&gt;",C_INICIO,"&lt;"&amp;F34)+COUNTIFS(B$7:B34,B34,H$7:H34,"&lt;&gt;",F$7:F34,F34),"")</f>
        <v/>
      </c>
      <c r="S34" s="72" t="str">
        <f aca="false">IF(R34="","",B34&amp;"-S"&amp;R34)</f>
        <v/>
      </c>
      <c r="T34" s="74" t="str">
        <f aca="false">IF(AND(ISNUMBER(F34),ISNUMBER(G34)),ROUND((G34-F34+1)/30.4375,1),"")</f>
        <v/>
      </c>
      <c r="U34" s="70" t="str">
        <f aca="false">IF(B34="","",IF(AND(N34="Sí",OR(E34="",NOT(ISNUMBER(F34)))),"⚠ Falta tipo de contrato o fecha de inicio",IF(NOT(ISNUMBER(F34)),"⚠ Falta fecha de inicio",IF(AND(N34="Sí",E34&lt;&gt;"Indefinido",NOT(ISNUMBER(G34))),"⚠ Falta fecha de término",IF(AND(D34="Paso a indefinido",E34&lt;&gt;"Indefinido"),"⚠ Un paso a indefinido debe tener tipo Indefinido",IF(N(Q34)&gt;=3,"⚠ 3er contrato a plazo fijo: por ley ya es INDEFINIDO (Art. 159 N°4)",IF(AND(E34="Plazo fijo",N(T34)&gt;12),"⚠ Plazo fijo mayor a 1 año (máx. legal; 2 años solo profesionales o técnicos)",IF(AND(ISNUMBER(G34),G34&lt;F34),"⚠ Término anterior al inicio",IF(AND(D34="Contrato inicial",ISNUMBER(J34),J34-F34&gt;15),"⚠ Escriturado fuera de plazo (Art. 9: 15 días)",IF(K34&lt;&gt;"Sí","Pendiente de firma","OK"))))))))))</f>
        <v/>
      </c>
    </row>
    <row r="35" customFormat="false" ht="15" hidden="false" customHeight="false" outlineLevel="0" collapsed="false">
      <c r="B35" s="64"/>
      <c r="C35" s="72" t="str">
        <f aca="false">IF(B35="","",IFERROR(INDEX(T_NOMBRE,MATCH(B35,T_ID,0)),"⚠ ID no existe en Trabajadores"))</f>
        <v/>
      </c>
      <c r="D35" s="64"/>
      <c r="E35" s="64"/>
      <c r="F35" s="65"/>
      <c r="G35" s="65"/>
      <c r="H35" s="67"/>
      <c r="I35" s="64"/>
      <c r="J35" s="65"/>
      <c r="K35" s="64"/>
      <c r="L35" s="64"/>
      <c r="M35" s="64"/>
      <c r="N35" s="72" t="str">
        <f aca="false">IF(B35="","",IF(D35="Anexo de modificación","No","Sí"))</f>
        <v/>
      </c>
      <c r="O35" s="73" t="str">
        <f aca="false">IF(AND(N35="Sí",ISNUMBER(F35)),COUNTIFS(C_ID,B35,C_DEFINE,"Sí",C_INICIO,"&lt;"&amp;F35)+COUNTIFS(B$7:B35,B35,N$7:N35,"Sí",F$7:F35,F35),"")</f>
        <v/>
      </c>
      <c r="P35" s="72" t="str">
        <f aca="false">IF(O35="","",B35&amp;"-P"&amp;O35)</f>
        <v/>
      </c>
      <c r="Q35" s="73" t="str">
        <f aca="false">IF(AND(N35="Sí",E35="Plazo fijo",ISNUMBER(F35)),COUNTIFS(C_ID,B35,C_TIPO,"Plazo fijo",C_DEFINE,"Sí",C_INICIO,"&lt;"&amp;F35)+COUNTIFS(B$7:B35,B35,E$7:E35,"Plazo fijo",N$7:N35,"Sí",F$7:F35,F35),"")</f>
        <v/>
      </c>
      <c r="R35" s="73" t="str">
        <f aca="false">IF(AND(B35&lt;&gt;"",ISNUMBER(H35),ISNUMBER(F35)),COUNTIFS(C_ID,B35,C_SUELDO,"&lt;&gt;",C_INICIO,"&lt;"&amp;F35)+COUNTIFS(B$7:B35,B35,H$7:H35,"&lt;&gt;",F$7:F35,F35),"")</f>
        <v/>
      </c>
      <c r="S35" s="72" t="str">
        <f aca="false">IF(R35="","",B35&amp;"-S"&amp;R35)</f>
        <v/>
      </c>
      <c r="T35" s="74" t="str">
        <f aca="false">IF(AND(ISNUMBER(F35),ISNUMBER(G35)),ROUND((G35-F35+1)/30.4375,1),"")</f>
        <v/>
      </c>
      <c r="U35" s="70" t="str">
        <f aca="false">IF(B35="","",IF(AND(N35="Sí",OR(E35="",NOT(ISNUMBER(F35)))),"⚠ Falta tipo de contrato o fecha de inicio",IF(NOT(ISNUMBER(F35)),"⚠ Falta fecha de inicio",IF(AND(N35="Sí",E35&lt;&gt;"Indefinido",NOT(ISNUMBER(G35))),"⚠ Falta fecha de término",IF(AND(D35="Paso a indefinido",E35&lt;&gt;"Indefinido"),"⚠ Un paso a indefinido debe tener tipo Indefinido",IF(N(Q35)&gt;=3,"⚠ 3er contrato a plazo fijo: por ley ya es INDEFINIDO (Art. 159 N°4)",IF(AND(E35="Plazo fijo",N(T35)&gt;12),"⚠ Plazo fijo mayor a 1 año (máx. legal; 2 años solo profesionales o técnicos)",IF(AND(ISNUMBER(G35),G35&lt;F35),"⚠ Término anterior al inicio",IF(AND(D35="Contrato inicial",ISNUMBER(J35),J35-F35&gt;15),"⚠ Escriturado fuera de plazo (Art. 9: 15 días)",IF(K35&lt;&gt;"Sí","Pendiente de firma","OK"))))))))))</f>
        <v/>
      </c>
    </row>
    <row r="36" customFormat="false" ht="15" hidden="false" customHeight="false" outlineLevel="0" collapsed="false">
      <c r="B36" s="64"/>
      <c r="C36" s="72" t="str">
        <f aca="false">IF(B36="","",IFERROR(INDEX(T_NOMBRE,MATCH(B36,T_ID,0)),"⚠ ID no existe en Trabajadores"))</f>
        <v/>
      </c>
      <c r="D36" s="64"/>
      <c r="E36" s="64"/>
      <c r="F36" s="65"/>
      <c r="G36" s="65"/>
      <c r="H36" s="67"/>
      <c r="I36" s="64"/>
      <c r="J36" s="65"/>
      <c r="K36" s="64"/>
      <c r="L36" s="64"/>
      <c r="M36" s="64"/>
      <c r="N36" s="72" t="str">
        <f aca="false">IF(B36="","",IF(D36="Anexo de modificación","No","Sí"))</f>
        <v/>
      </c>
      <c r="O36" s="73" t="str">
        <f aca="false">IF(AND(N36="Sí",ISNUMBER(F36)),COUNTIFS(C_ID,B36,C_DEFINE,"Sí",C_INICIO,"&lt;"&amp;F36)+COUNTIFS(B$7:B36,B36,N$7:N36,"Sí",F$7:F36,F36),"")</f>
        <v/>
      </c>
      <c r="P36" s="72" t="str">
        <f aca="false">IF(O36="","",B36&amp;"-P"&amp;O36)</f>
        <v/>
      </c>
      <c r="Q36" s="73" t="str">
        <f aca="false">IF(AND(N36="Sí",E36="Plazo fijo",ISNUMBER(F36)),COUNTIFS(C_ID,B36,C_TIPO,"Plazo fijo",C_DEFINE,"Sí",C_INICIO,"&lt;"&amp;F36)+COUNTIFS(B$7:B36,B36,E$7:E36,"Plazo fijo",N$7:N36,"Sí",F$7:F36,F36),"")</f>
        <v/>
      </c>
      <c r="R36" s="73" t="str">
        <f aca="false">IF(AND(B36&lt;&gt;"",ISNUMBER(H36),ISNUMBER(F36)),COUNTIFS(C_ID,B36,C_SUELDO,"&lt;&gt;",C_INICIO,"&lt;"&amp;F36)+COUNTIFS(B$7:B36,B36,H$7:H36,"&lt;&gt;",F$7:F36,F36),"")</f>
        <v/>
      </c>
      <c r="S36" s="72" t="str">
        <f aca="false">IF(R36="","",B36&amp;"-S"&amp;R36)</f>
        <v/>
      </c>
      <c r="T36" s="74" t="str">
        <f aca="false">IF(AND(ISNUMBER(F36),ISNUMBER(G36)),ROUND((G36-F36+1)/30.4375,1),"")</f>
        <v/>
      </c>
      <c r="U36" s="70" t="str">
        <f aca="false">IF(B36="","",IF(AND(N36="Sí",OR(E36="",NOT(ISNUMBER(F36)))),"⚠ Falta tipo de contrato o fecha de inicio",IF(NOT(ISNUMBER(F36)),"⚠ Falta fecha de inicio",IF(AND(N36="Sí",E36&lt;&gt;"Indefinido",NOT(ISNUMBER(G36))),"⚠ Falta fecha de término",IF(AND(D36="Paso a indefinido",E36&lt;&gt;"Indefinido"),"⚠ Un paso a indefinido debe tener tipo Indefinido",IF(N(Q36)&gt;=3,"⚠ 3er contrato a plazo fijo: por ley ya es INDEFINIDO (Art. 159 N°4)",IF(AND(E36="Plazo fijo",N(T36)&gt;12),"⚠ Plazo fijo mayor a 1 año (máx. legal; 2 años solo profesionales o técnicos)",IF(AND(ISNUMBER(G36),G36&lt;F36),"⚠ Término anterior al inicio",IF(AND(D36="Contrato inicial",ISNUMBER(J36),J36-F36&gt;15),"⚠ Escriturado fuera de plazo (Art. 9: 15 días)",IF(K36&lt;&gt;"Sí","Pendiente de firma","OK"))))))))))</f>
        <v/>
      </c>
    </row>
    <row r="37" customFormat="false" ht="15" hidden="false" customHeight="false" outlineLevel="0" collapsed="false">
      <c r="B37" s="64"/>
      <c r="C37" s="72" t="str">
        <f aca="false">IF(B37="","",IFERROR(INDEX(T_NOMBRE,MATCH(B37,T_ID,0)),"⚠ ID no existe en Trabajadores"))</f>
        <v/>
      </c>
      <c r="D37" s="64"/>
      <c r="E37" s="64"/>
      <c r="F37" s="65"/>
      <c r="G37" s="65"/>
      <c r="H37" s="67"/>
      <c r="I37" s="64"/>
      <c r="J37" s="65"/>
      <c r="K37" s="64"/>
      <c r="L37" s="64"/>
      <c r="M37" s="64"/>
      <c r="N37" s="72" t="str">
        <f aca="false">IF(B37="","",IF(D37="Anexo de modificación","No","Sí"))</f>
        <v/>
      </c>
      <c r="O37" s="73" t="str">
        <f aca="false">IF(AND(N37="Sí",ISNUMBER(F37)),COUNTIFS(C_ID,B37,C_DEFINE,"Sí",C_INICIO,"&lt;"&amp;F37)+COUNTIFS(B$7:B37,B37,N$7:N37,"Sí",F$7:F37,F37),"")</f>
        <v/>
      </c>
      <c r="P37" s="72" t="str">
        <f aca="false">IF(O37="","",B37&amp;"-P"&amp;O37)</f>
        <v/>
      </c>
      <c r="Q37" s="73" t="str">
        <f aca="false">IF(AND(N37="Sí",E37="Plazo fijo",ISNUMBER(F37)),COUNTIFS(C_ID,B37,C_TIPO,"Plazo fijo",C_DEFINE,"Sí",C_INICIO,"&lt;"&amp;F37)+COUNTIFS(B$7:B37,B37,E$7:E37,"Plazo fijo",N$7:N37,"Sí",F$7:F37,F37),"")</f>
        <v/>
      </c>
      <c r="R37" s="73" t="str">
        <f aca="false">IF(AND(B37&lt;&gt;"",ISNUMBER(H37),ISNUMBER(F37)),COUNTIFS(C_ID,B37,C_SUELDO,"&lt;&gt;",C_INICIO,"&lt;"&amp;F37)+COUNTIFS(B$7:B37,B37,H$7:H37,"&lt;&gt;",F$7:F37,F37),"")</f>
        <v/>
      </c>
      <c r="S37" s="72" t="str">
        <f aca="false">IF(R37="","",B37&amp;"-S"&amp;R37)</f>
        <v/>
      </c>
      <c r="T37" s="74" t="str">
        <f aca="false">IF(AND(ISNUMBER(F37),ISNUMBER(G37)),ROUND((G37-F37+1)/30.4375,1),"")</f>
        <v/>
      </c>
      <c r="U37" s="70" t="str">
        <f aca="false">IF(B37="","",IF(AND(N37="Sí",OR(E37="",NOT(ISNUMBER(F37)))),"⚠ Falta tipo de contrato o fecha de inicio",IF(NOT(ISNUMBER(F37)),"⚠ Falta fecha de inicio",IF(AND(N37="Sí",E37&lt;&gt;"Indefinido",NOT(ISNUMBER(G37))),"⚠ Falta fecha de término",IF(AND(D37="Paso a indefinido",E37&lt;&gt;"Indefinido"),"⚠ Un paso a indefinido debe tener tipo Indefinido",IF(N(Q37)&gt;=3,"⚠ 3er contrato a plazo fijo: por ley ya es INDEFINIDO (Art. 159 N°4)",IF(AND(E37="Plazo fijo",N(T37)&gt;12),"⚠ Plazo fijo mayor a 1 año (máx. legal; 2 años solo profesionales o técnicos)",IF(AND(ISNUMBER(G37),G37&lt;F37),"⚠ Término anterior al inicio",IF(AND(D37="Contrato inicial",ISNUMBER(J37),J37-F37&gt;15),"⚠ Escriturado fuera de plazo (Art. 9: 15 días)",IF(K37&lt;&gt;"Sí","Pendiente de firma","OK"))))))))))</f>
        <v/>
      </c>
    </row>
    <row r="38" customFormat="false" ht="15" hidden="false" customHeight="false" outlineLevel="0" collapsed="false">
      <c r="B38" s="64"/>
      <c r="C38" s="72" t="str">
        <f aca="false">IF(B38="","",IFERROR(INDEX(T_NOMBRE,MATCH(B38,T_ID,0)),"⚠ ID no existe en Trabajadores"))</f>
        <v/>
      </c>
      <c r="D38" s="64"/>
      <c r="E38" s="64"/>
      <c r="F38" s="65"/>
      <c r="G38" s="65"/>
      <c r="H38" s="67"/>
      <c r="I38" s="64"/>
      <c r="J38" s="65"/>
      <c r="K38" s="64"/>
      <c r="L38" s="64"/>
      <c r="M38" s="64"/>
      <c r="N38" s="72" t="str">
        <f aca="false">IF(B38="","",IF(D38="Anexo de modificación","No","Sí"))</f>
        <v/>
      </c>
      <c r="O38" s="73" t="str">
        <f aca="false">IF(AND(N38="Sí",ISNUMBER(F38)),COUNTIFS(C_ID,B38,C_DEFINE,"Sí",C_INICIO,"&lt;"&amp;F38)+COUNTIFS(B$7:B38,B38,N$7:N38,"Sí",F$7:F38,F38),"")</f>
        <v/>
      </c>
      <c r="P38" s="72" t="str">
        <f aca="false">IF(O38="","",B38&amp;"-P"&amp;O38)</f>
        <v/>
      </c>
      <c r="Q38" s="73" t="str">
        <f aca="false">IF(AND(N38="Sí",E38="Plazo fijo",ISNUMBER(F38)),COUNTIFS(C_ID,B38,C_TIPO,"Plazo fijo",C_DEFINE,"Sí",C_INICIO,"&lt;"&amp;F38)+COUNTIFS(B$7:B38,B38,E$7:E38,"Plazo fijo",N$7:N38,"Sí",F$7:F38,F38),"")</f>
        <v/>
      </c>
      <c r="R38" s="73" t="str">
        <f aca="false">IF(AND(B38&lt;&gt;"",ISNUMBER(H38),ISNUMBER(F38)),COUNTIFS(C_ID,B38,C_SUELDO,"&lt;&gt;",C_INICIO,"&lt;"&amp;F38)+COUNTIFS(B$7:B38,B38,H$7:H38,"&lt;&gt;",F$7:F38,F38),"")</f>
        <v/>
      </c>
      <c r="S38" s="72" t="str">
        <f aca="false">IF(R38="","",B38&amp;"-S"&amp;R38)</f>
        <v/>
      </c>
      <c r="T38" s="74" t="str">
        <f aca="false">IF(AND(ISNUMBER(F38),ISNUMBER(G38)),ROUND((G38-F38+1)/30.4375,1),"")</f>
        <v/>
      </c>
      <c r="U38" s="70" t="str">
        <f aca="false">IF(B38="","",IF(AND(N38="Sí",OR(E38="",NOT(ISNUMBER(F38)))),"⚠ Falta tipo de contrato o fecha de inicio",IF(NOT(ISNUMBER(F38)),"⚠ Falta fecha de inicio",IF(AND(N38="Sí",E38&lt;&gt;"Indefinido",NOT(ISNUMBER(G38))),"⚠ Falta fecha de término",IF(AND(D38="Paso a indefinido",E38&lt;&gt;"Indefinido"),"⚠ Un paso a indefinido debe tener tipo Indefinido",IF(N(Q38)&gt;=3,"⚠ 3er contrato a plazo fijo: por ley ya es INDEFINIDO (Art. 159 N°4)",IF(AND(E38="Plazo fijo",N(T38)&gt;12),"⚠ Plazo fijo mayor a 1 año (máx. legal; 2 años solo profesionales o técnicos)",IF(AND(ISNUMBER(G38),G38&lt;F38),"⚠ Término anterior al inicio",IF(AND(D38="Contrato inicial",ISNUMBER(J38),J38-F38&gt;15),"⚠ Escriturado fuera de plazo (Art. 9: 15 días)",IF(K38&lt;&gt;"Sí","Pendiente de firma","OK"))))))))))</f>
        <v/>
      </c>
    </row>
    <row r="39" customFormat="false" ht="15" hidden="false" customHeight="false" outlineLevel="0" collapsed="false">
      <c r="B39" s="64"/>
      <c r="C39" s="72" t="str">
        <f aca="false">IF(B39="","",IFERROR(INDEX(T_NOMBRE,MATCH(B39,T_ID,0)),"⚠ ID no existe en Trabajadores"))</f>
        <v/>
      </c>
      <c r="D39" s="64"/>
      <c r="E39" s="64"/>
      <c r="F39" s="65"/>
      <c r="G39" s="65"/>
      <c r="H39" s="67"/>
      <c r="I39" s="64"/>
      <c r="J39" s="65"/>
      <c r="K39" s="64"/>
      <c r="L39" s="64"/>
      <c r="M39" s="64"/>
      <c r="N39" s="72" t="str">
        <f aca="false">IF(B39="","",IF(D39="Anexo de modificación","No","Sí"))</f>
        <v/>
      </c>
      <c r="O39" s="73" t="str">
        <f aca="false">IF(AND(N39="Sí",ISNUMBER(F39)),COUNTIFS(C_ID,B39,C_DEFINE,"Sí",C_INICIO,"&lt;"&amp;F39)+COUNTIFS(B$7:B39,B39,N$7:N39,"Sí",F$7:F39,F39),"")</f>
        <v/>
      </c>
      <c r="P39" s="72" t="str">
        <f aca="false">IF(O39="","",B39&amp;"-P"&amp;O39)</f>
        <v/>
      </c>
      <c r="Q39" s="73" t="str">
        <f aca="false">IF(AND(N39="Sí",E39="Plazo fijo",ISNUMBER(F39)),COUNTIFS(C_ID,B39,C_TIPO,"Plazo fijo",C_DEFINE,"Sí",C_INICIO,"&lt;"&amp;F39)+COUNTIFS(B$7:B39,B39,E$7:E39,"Plazo fijo",N$7:N39,"Sí",F$7:F39,F39),"")</f>
        <v/>
      </c>
      <c r="R39" s="73" t="str">
        <f aca="false">IF(AND(B39&lt;&gt;"",ISNUMBER(H39),ISNUMBER(F39)),COUNTIFS(C_ID,B39,C_SUELDO,"&lt;&gt;",C_INICIO,"&lt;"&amp;F39)+COUNTIFS(B$7:B39,B39,H$7:H39,"&lt;&gt;",F$7:F39,F39),"")</f>
        <v/>
      </c>
      <c r="S39" s="72" t="str">
        <f aca="false">IF(R39="","",B39&amp;"-S"&amp;R39)</f>
        <v/>
      </c>
      <c r="T39" s="74" t="str">
        <f aca="false">IF(AND(ISNUMBER(F39),ISNUMBER(G39)),ROUND((G39-F39+1)/30.4375,1),"")</f>
        <v/>
      </c>
      <c r="U39" s="70" t="str">
        <f aca="false">IF(B39="","",IF(AND(N39="Sí",OR(E39="",NOT(ISNUMBER(F39)))),"⚠ Falta tipo de contrato o fecha de inicio",IF(NOT(ISNUMBER(F39)),"⚠ Falta fecha de inicio",IF(AND(N39="Sí",E39&lt;&gt;"Indefinido",NOT(ISNUMBER(G39))),"⚠ Falta fecha de término",IF(AND(D39="Paso a indefinido",E39&lt;&gt;"Indefinido"),"⚠ Un paso a indefinido debe tener tipo Indefinido",IF(N(Q39)&gt;=3,"⚠ 3er contrato a plazo fijo: por ley ya es INDEFINIDO (Art. 159 N°4)",IF(AND(E39="Plazo fijo",N(T39)&gt;12),"⚠ Plazo fijo mayor a 1 año (máx. legal; 2 años solo profesionales o técnicos)",IF(AND(ISNUMBER(G39),G39&lt;F39),"⚠ Término anterior al inicio",IF(AND(D39="Contrato inicial",ISNUMBER(J39),J39-F39&gt;15),"⚠ Escriturado fuera de plazo (Art. 9: 15 días)",IF(K39&lt;&gt;"Sí","Pendiente de firma","OK"))))))))))</f>
        <v/>
      </c>
    </row>
    <row r="40" customFormat="false" ht="15" hidden="false" customHeight="false" outlineLevel="0" collapsed="false">
      <c r="B40" s="64"/>
      <c r="C40" s="72" t="str">
        <f aca="false">IF(B40="","",IFERROR(INDEX(T_NOMBRE,MATCH(B40,T_ID,0)),"⚠ ID no existe en Trabajadores"))</f>
        <v/>
      </c>
      <c r="D40" s="64"/>
      <c r="E40" s="64"/>
      <c r="F40" s="65"/>
      <c r="G40" s="65"/>
      <c r="H40" s="67"/>
      <c r="I40" s="64"/>
      <c r="J40" s="65"/>
      <c r="K40" s="64"/>
      <c r="L40" s="64"/>
      <c r="M40" s="64"/>
      <c r="N40" s="72" t="str">
        <f aca="false">IF(B40="","",IF(D40="Anexo de modificación","No","Sí"))</f>
        <v/>
      </c>
      <c r="O40" s="73" t="str">
        <f aca="false">IF(AND(N40="Sí",ISNUMBER(F40)),COUNTIFS(C_ID,B40,C_DEFINE,"Sí",C_INICIO,"&lt;"&amp;F40)+COUNTIFS(B$7:B40,B40,N$7:N40,"Sí",F$7:F40,F40),"")</f>
        <v/>
      </c>
      <c r="P40" s="72" t="str">
        <f aca="false">IF(O40="","",B40&amp;"-P"&amp;O40)</f>
        <v/>
      </c>
      <c r="Q40" s="73" t="str">
        <f aca="false">IF(AND(N40="Sí",E40="Plazo fijo",ISNUMBER(F40)),COUNTIFS(C_ID,B40,C_TIPO,"Plazo fijo",C_DEFINE,"Sí",C_INICIO,"&lt;"&amp;F40)+COUNTIFS(B$7:B40,B40,E$7:E40,"Plazo fijo",N$7:N40,"Sí",F$7:F40,F40),"")</f>
        <v/>
      </c>
      <c r="R40" s="73" t="str">
        <f aca="false">IF(AND(B40&lt;&gt;"",ISNUMBER(H40),ISNUMBER(F40)),COUNTIFS(C_ID,B40,C_SUELDO,"&lt;&gt;",C_INICIO,"&lt;"&amp;F40)+COUNTIFS(B$7:B40,B40,H$7:H40,"&lt;&gt;",F$7:F40,F40),"")</f>
        <v/>
      </c>
      <c r="S40" s="72" t="str">
        <f aca="false">IF(R40="","",B40&amp;"-S"&amp;R40)</f>
        <v/>
      </c>
      <c r="T40" s="74" t="str">
        <f aca="false">IF(AND(ISNUMBER(F40),ISNUMBER(G40)),ROUND((G40-F40+1)/30.4375,1),"")</f>
        <v/>
      </c>
      <c r="U40" s="70" t="str">
        <f aca="false">IF(B40="","",IF(AND(N40="Sí",OR(E40="",NOT(ISNUMBER(F40)))),"⚠ Falta tipo de contrato o fecha de inicio",IF(NOT(ISNUMBER(F40)),"⚠ Falta fecha de inicio",IF(AND(N40="Sí",E40&lt;&gt;"Indefinido",NOT(ISNUMBER(G40))),"⚠ Falta fecha de término",IF(AND(D40="Paso a indefinido",E40&lt;&gt;"Indefinido"),"⚠ Un paso a indefinido debe tener tipo Indefinido",IF(N(Q40)&gt;=3,"⚠ 3er contrato a plazo fijo: por ley ya es INDEFINIDO (Art. 159 N°4)",IF(AND(E40="Plazo fijo",N(T40)&gt;12),"⚠ Plazo fijo mayor a 1 año (máx. legal; 2 años solo profesionales o técnicos)",IF(AND(ISNUMBER(G40),G40&lt;F40),"⚠ Término anterior al inicio",IF(AND(D40="Contrato inicial",ISNUMBER(J40),J40-F40&gt;15),"⚠ Escriturado fuera de plazo (Art. 9: 15 días)",IF(K40&lt;&gt;"Sí","Pendiente de firma","OK"))))))))))</f>
        <v/>
      </c>
    </row>
    <row r="41" customFormat="false" ht="15" hidden="false" customHeight="false" outlineLevel="0" collapsed="false">
      <c r="B41" s="64"/>
      <c r="C41" s="72" t="str">
        <f aca="false">IF(B41="","",IFERROR(INDEX(T_NOMBRE,MATCH(B41,T_ID,0)),"⚠ ID no existe en Trabajadores"))</f>
        <v/>
      </c>
      <c r="D41" s="64"/>
      <c r="E41" s="64"/>
      <c r="F41" s="65"/>
      <c r="G41" s="65"/>
      <c r="H41" s="67"/>
      <c r="I41" s="64"/>
      <c r="J41" s="65"/>
      <c r="K41" s="64"/>
      <c r="L41" s="64"/>
      <c r="M41" s="64"/>
      <c r="N41" s="72" t="str">
        <f aca="false">IF(B41="","",IF(D41="Anexo de modificación","No","Sí"))</f>
        <v/>
      </c>
      <c r="O41" s="73" t="str">
        <f aca="false">IF(AND(N41="Sí",ISNUMBER(F41)),COUNTIFS(C_ID,B41,C_DEFINE,"Sí",C_INICIO,"&lt;"&amp;F41)+COUNTIFS(B$7:B41,B41,N$7:N41,"Sí",F$7:F41,F41),"")</f>
        <v/>
      </c>
      <c r="P41" s="72" t="str">
        <f aca="false">IF(O41="","",B41&amp;"-P"&amp;O41)</f>
        <v/>
      </c>
      <c r="Q41" s="73" t="str">
        <f aca="false">IF(AND(N41="Sí",E41="Plazo fijo",ISNUMBER(F41)),COUNTIFS(C_ID,B41,C_TIPO,"Plazo fijo",C_DEFINE,"Sí",C_INICIO,"&lt;"&amp;F41)+COUNTIFS(B$7:B41,B41,E$7:E41,"Plazo fijo",N$7:N41,"Sí",F$7:F41,F41),"")</f>
        <v/>
      </c>
      <c r="R41" s="73" t="str">
        <f aca="false">IF(AND(B41&lt;&gt;"",ISNUMBER(H41),ISNUMBER(F41)),COUNTIFS(C_ID,B41,C_SUELDO,"&lt;&gt;",C_INICIO,"&lt;"&amp;F41)+COUNTIFS(B$7:B41,B41,H$7:H41,"&lt;&gt;",F$7:F41,F41),"")</f>
        <v/>
      </c>
      <c r="S41" s="72" t="str">
        <f aca="false">IF(R41="","",B41&amp;"-S"&amp;R41)</f>
        <v/>
      </c>
      <c r="T41" s="74" t="str">
        <f aca="false">IF(AND(ISNUMBER(F41),ISNUMBER(G41)),ROUND((G41-F41+1)/30.4375,1),"")</f>
        <v/>
      </c>
      <c r="U41" s="70" t="str">
        <f aca="false">IF(B41="","",IF(AND(N41="Sí",OR(E41="",NOT(ISNUMBER(F41)))),"⚠ Falta tipo de contrato o fecha de inicio",IF(NOT(ISNUMBER(F41)),"⚠ Falta fecha de inicio",IF(AND(N41="Sí",E41&lt;&gt;"Indefinido",NOT(ISNUMBER(G41))),"⚠ Falta fecha de término",IF(AND(D41="Paso a indefinido",E41&lt;&gt;"Indefinido"),"⚠ Un paso a indefinido debe tener tipo Indefinido",IF(N(Q41)&gt;=3,"⚠ 3er contrato a plazo fijo: por ley ya es INDEFINIDO (Art. 159 N°4)",IF(AND(E41="Plazo fijo",N(T41)&gt;12),"⚠ Plazo fijo mayor a 1 año (máx. legal; 2 años solo profesionales o técnicos)",IF(AND(ISNUMBER(G41),G41&lt;F41),"⚠ Término anterior al inicio",IF(AND(D41="Contrato inicial",ISNUMBER(J41),J41-F41&gt;15),"⚠ Escriturado fuera de plazo (Art. 9: 15 días)",IF(K41&lt;&gt;"Sí","Pendiente de firma","OK"))))))))))</f>
        <v/>
      </c>
    </row>
    <row r="42" customFormat="false" ht="15" hidden="false" customHeight="false" outlineLevel="0" collapsed="false">
      <c r="B42" s="64"/>
      <c r="C42" s="72" t="str">
        <f aca="false">IF(B42="","",IFERROR(INDEX(T_NOMBRE,MATCH(B42,T_ID,0)),"⚠ ID no existe en Trabajadores"))</f>
        <v/>
      </c>
      <c r="D42" s="64"/>
      <c r="E42" s="64"/>
      <c r="F42" s="65"/>
      <c r="G42" s="65"/>
      <c r="H42" s="67"/>
      <c r="I42" s="64"/>
      <c r="J42" s="65"/>
      <c r="K42" s="64"/>
      <c r="L42" s="64"/>
      <c r="M42" s="64"/>
      <c r="N42" s="72" t="str">
        <f aca="false">IF(B42="","",IF(D42="Anexo de modificación","No","Sí"))</f>
        <v/>
      </c>
      <c r="O42" s="73" t="str">
        <f aca="false">IF(AND(N42="Sí",ISNUMBER(F42)),COUNTIFS(C_ID,B42,C_DEFINE,"Sí",C_INICIO,"&lt;"&amp;F42)+COUNTIFS(B$7:B42,B42,N$7:N42,"Sí",F$7:F42,F42),"")</f>
        <v/>
      </c>
      <c r="P42" s="72" t="str">
        <f aca="false">IF(O42="","",B42&amp;"-P"&amp;O42)</f>
        <v/>
      </c>
      <c r="Q42" s="73" t="str">
        <f aca="false">IF(AND(N42="Sí",E42="Plazo fijo",ISNUMBER(F42)),COUNTIFS(C_ID,B42,C_TIPO,"Plazo fijo",C_DEFINE,"Sí",C_INICIO,"&lt;"&amp;F42)+COUNTIFS(B$7:B42,B42,E$7:E42,"Plazo fijo",N$7:N42,"Sí",F$7:F42,F42),"")</f>
        <v/>
      </c>
      <c r="R42" s="73" t="str">
        <f aca="false">IF(AND(B42&lt;&gt;"",ISNUMBER(H42),ISNUMBER(F42)),COUNTIFS(C_ID,B42,C_SUELDO,"&lt;&gt;",C_INICIO,"&lt;"&amp;F42)+COUNTIFS(B$7:B42,B42,H$7:H42,"&lt;&gt;",F$7:F42,F42),"")</f>
        <v/>
      </c>
      <c r="S42" s="72" t="str">
        <f aca="false">IF(R42="","",B42&amp;"-S"&amp;R42)</f>
        <v/>
      </c>
      <c r="T42" s="74" t="str">
        <f aca="false">IF(AND(ISNUMBER(F42),ISNUMBER(G42)),ROUND((G42-F42+1)/30.4375,1),"")</f>
        <v/>
      </c>
      <c r="U42" s="70" t="str">
        <f aca="false">IF(B42="","",IF(AND(N42="Sí",OR(E42="",NOT(ISNUMBER(F42)))),"⚠ Falta tipo de contrato o fecha de inicio",IF(NOT(ISNUMBER(F42)),"⚠ Falta fecha de inicio",IF(AND(N42="Sí",E42&lt;&gt;"Indefinido",NOT(ISNUMBER(G42))),"⚠ Falta fecha de término",IF(AND(D42="Paso a indefinido",E42&lt;&gt;"Indefinido"),"⚠ Un paso a indefinido debe tener tipo Indefinido",IF(N(Q42)&gt;=3,"⚠ 3er contrato a plazo fijo: por ley ya es INDEFINIDO (Art. 159 N°4)",IF(AND(E42="Plazo fijo",N(T42)&gt;12),"⚠ Plazo fijo mayor a 1 año (máx. legal; 2 años solo profesionales o técnicos)",IF(AND(ISNUMBER(G42),G42&lt;F42),"⚠ Término anterior al inicio",IF(AND(D42="Contrato inicial",ISNUMBER(J42),J42-F42&gt;15),"⚠ Escriturado fuera de plazo (Art. 9: 15 días)",IF(K42&lt;&gt;"Sí","Pendiente de firma","OK"))))))))))</f>
        <v/>
      </c>
    </row>
    <row r="43" customFormat="false" ht="15" hidden="false" customHeight="false" outlineLevel="0" collapsed="false">
      <c r="B43" s="64"/>
      <c r="C43" s="72" t="str">
        <f aca="false">IF(B43="","",IFERROR(INDEX(T_NOMBRE,MATCH(B43,T_ID,0)),"⚠ ID no existe en Trabajadores"))</f>
        <v/>
      </c>
      <c r="D43" s="64"/>
      <c r="E43" s="64"/>
      <c r="F43" s="65"/>
      <c r="G43" s="65"/>
      <c r="H43" s="67"/>
      <c r="I43" s="64"/>
      <c r="J43" s="65"/>
      <c r="K43" s="64"/>
      <c r="L43" s="64"/>
      <c r="M43" s="64"/>
      <c r="N43" s="72" t="str">
        <f aca="false">IF(B43="","",IF(D43="Anexo de modificación","No","Sí"))</f>
        <v/>
      </c>
      <c r="O43" s="73" t="str">
        <f aca="false">IF(AND(N43="Sí",ISNUMBER(F43)),COUNTIFS(C_ID,B43,C_DEFINE,"Sí",C_INICIO,"&lt;"&amp;F43)+COUNTIFS(B$7:B43,B43,N$7:N43,"Sí",F$7:F43,F43),"")</f>
        <v/>
      </c>
      <c r="P43" s="72" t="str">
        <f aca="false">IF(O43="","",B43&amp;"-P"&amp;O43)</f>
        <v/>
      </c>
      <c r="Q43" s="73" t="str">
        <f aca="false">IF(AND(N43="Sí",E43="Plazo fijo",ISNUMBER(F43)),COUNTIFS(C_ID,B43,C_TIPO,"Plazo fijo",C_DEFINE,"Sí",C_INICIO,"&lt;"&amp;F43)+COUNTIFS(B$7:B43,B43,E$7:E43,"Plazo fijo",N$7:N43,"Sí",F$7:F43,F43),"")</f>
        <v/>
      </c>
      <c r="R43" s="73" t="str">
        <f aca="false">IF(AND(B43&lt;&gt;"",ISNUMBER(H43),ISNUMBER(F43)),COUNTIFS(C_ID,B43,C_SUELDO,"&lt;&gt;",C_INICIO,"&lt;"&amp;F43)+COUNTIFS(B$7:B43,B43,H$7:H43,"&lt;&gt;",F$7:F43,F43),"")</f>
        <v/>
      </c>
      <c r="S43" s="72" t="str">
        <f aca="false">IF(R43="","",B43&amp;"-S"&amp;R43)</f>
        <v/>
      </c>
      <c r="T43" s="74" t="str">
        <f aca="false">IF(AND(ISNUMBER(F43),ISNUMBER(G43)),ROUND((G43-F43+1)/30.4375,1),"")</f>
        <v/>
      </c>
      <c r="U43" s="70" t="str">
        <f aca="false">IF(B43="","",IF(AND(N43="Sí",OR(E43="",NOT(ISNUMBER(F43)))),"⚠ Falta tipo de contrato o fecha de inicio",IF(NOT(ISNUMBER(F43)),"⚠ Falta fecha de inicio",IF(AND(N43="Sí",E43&lt;&gt;"Indefinido",NOT(ISNUMBER(G43))),"⚠ Falta fecha de término",IF(AND(D43="Paso a indefinido",E43&lt;&gt;"Indefinido"),"⚠ Un paso a indefinido debe tener tipo Indefinido",IF(N(Q43)&gt;=3,"⚠ 3er contrato a plazo fijo: por ley ya es INDEFINIDO (Art. 159 N°4)",IF(AND(E43="Plazo fijo",N(T43)&gt;12),"⚠ Plazo fijo mayor a 1 año (máx. legal; 2 años solo profesionales o técnicos)",IF(AND(ISNUMBER(G43),G43&lt;F43),"⚠ Término anterior al inicio",IF(AND(D43="Contrato inicial",ISNUMBER(J43),J43-F43&gt;15),"⚠ Escriturado fuera de plazo (Art. 9: 15 días)",IF(K43&lt;&gt;"Sí","Pendiente de firma","OK"))))))))))</f>
        <v/>
      </c>
    </row>
    <row r="44" customFormat="false" ht="15" hidden="false" customHeight="false" outlineLevel="0" collapsed="false">
      <c r="B44" s="64"/>
      <c r="C44" s="72" t="str">
        <f aca="false">IF(B44="","",IFERROR(INDEX(T_NOMBRE,MATCH(B44,T_ID,0)),"⚠ ID no existe en Trabajadores"))</f>
        <v/>
      </c>
      <c r="D44" s="64"/>
      <c r="E44" s="64"/>
      <c r="F44" s="65"/>
      <c r="G44" s="65"/>
      <c r="H44" s="67"/>
      <c r="I44" s="64"/>
      <c r="J44" s="65"/>
      <c r="K44" s="64"/>
      <c r="L44" s="64"/>
      <c r="M44" s="64"/>
      <c r="N44" s="72" t="str">
        <f aca="false">IF(B44="","",IF(D44="Anexo de modificación","No","Sí"))</f>
        <v/>
      </c>
      <c r="O44" s="73" t="str">
        <f aca="false">IF(AND(N44="Sí",ISNUMBER(F44)),COUNTIFS(C_ID,B44,C_DEFINE,"Sí",C_INICIO,"&lt;"&amp;F44)+COUNTIFS(B$7:B44,B44,N$7:N44,"Sí",F$7:F44,F44),"")</f>
        <v/>
      </c>
      <c r="P44" s="72" t="str">
        <f aca="false">IF(O44="","",B44&amp;"-P"&amp;O44)</f>
        <v/>
      </c>
      <c r="Q44" s="73" t="str">
        <f aca="false">IF(AND(N44="Sí",E44="Plazo fijo",ISNUMBER(F44)),COUNTIFS(C_ID,B44,C_TIPO,"Plazo fijo",C_DEFINE,"Sí",C_INICIO,"&lt;"&amp;F44)+COUNTIFS(B$7:B44,B44,E$7:E44,"Plazo fijo",N$7:N44,"Sí",F$7:F44,F44),"")</f>
        <v/>
      </c>
      <c r="R44" s="73" t="str">
        <f aca="false">IF(AND(B44&lt;&gt;"",ISNUMBER(H44),ISNUMBER(F44)),COUNTIFS(C_ID,B44,C_SUELDO,"&lt;&gt;",C_INICIO,"&lt;"&amp;F44)+COUNTIFS(B$7:B44,B44,H$7:H44,"&lt;&gt;",F$7:F44,F44),"")</f>
        <v/>
      </c>
      <c r="S44" s="72" t="str">
        <f aca="false">IF(R44="","",B44&amp;"-S"&amp;R44)</f>
        <v/>
      </c>
      <c r="T44" s="74" t="str">
        <f aca="false">IF(AND(ISNUMBER(F44),ISNUMBER(G44)),ROUND((G44-F44+1)/30.4375,1),"")</f>
        <v/>
      </c>
      <c r="U44" s="70" t="str">
        <f aca="false">IF(B44="","",IF(AND(N44="Sí",OR(E44="",NOT(ISNUMBER(F44)))),"⚠ Falta tipo de contrato o fecha de inicio",IF(NOT(ISNUMBER(F44)),"⚠ Falta fecha de inicio",IF(AND(N44="Sí",E44&lt;&gt;"Indefinido",NOT(ISNUMBER(G44))),"⚠ Falta fecha de término",IF(AND(D44="Paso a indefinido",E44&lt;&gt;"Indefinido"),"⚠ Un paso a indefinido debe tener tipo Indefinido",IF(N(Q44)&gt;=3,"⚠ 3er contrato a plazo fijo: por ley ya es INDEFINIDO (Art. 159 N°4)",IF(AND(E44="Plazo fijo",N(T44)&gt;12),"⚠ Plazo fijo mayor a 1 año (máx. legal; 2 años solo profesionales o técnicos)",IF(AND(ISNUMBER(G44),G44&lt;F44),"⚠ Término anterior al inicio",IF(AND(D44="Contrato inicial",ISNUMBER(J44),J44-F44&gt;15),"⚠ Escriturado fuera de plazo (Art. 9: 15 días)",IF(K44&lt;&gt;"Sí","Pendiente de firma","OK"))))))))))</f>
        <v/>
      </c>
    </row>
    <row r="45" customFormat="false" ht="15" hidden="false" customHeight="false" outlineLevel="0" collapsed="false">
      <c r="B45" s="64"/>
      <c r="C45" s="72" t="str">
        <f aca="false">IF(B45="","",IFERROR(INDEX(T_NOMBRE,MATCH(B45,T_ID,0)),"⚠ ID no existe en Trabajadores"))</f>
        <v/>
      </c>
      <c r="D45" s="64"/>
      <c r="E45" s="64"/>
      <c r="F45" s="65"/>
      <c r="G45" s="65"/>
      <c r="H45" s="67"/>
      <c r="I45" s="64"/>
      <c r="J45" s="65"/>
      <c r="K45" s="64"/>
      <c r="L45" s="64"/>
      <c r="M45" s="64"/>
      <c r="N45" s="72" t="str">
        <f aca="false">IF(B45="","",IF(D45="Anexo de modificación","No","Sí"))</f>
        <v/>
      </c>
      <c r="O45" s="73" t="str">
        <f aca="false">IF(AND(N45="Sí",ISNUMBER(F45)),COUNTIFS(C_ID,B45,C_DEFINE,"Sí",C_INICIO,"&lt;"&amp;F45)+COUNTIFS(B$7:B45,B45,N$7:N45,"Sí",F$7:F45,F45),"")</f>
        <v/>
      </c>
      <c r="P45" s="72" t="str">
        <f aca="false">IF(O45="","",B45&amp;"-P"&amp;O45)</f>
        <v/>
      </c>
      <c r="Q45" s="73" t="str">
        <f aca="false">IF(AND(N45="Sí",E45="Plazo fijo",ISNUMBER(F45)),COUNTIFS(C_ID,B45,C_TIPO,"Plazo fijo",C_DEFINE,"Sí",C_INICIO,"&lt;"&amp;F45)+COUNTIFS(B$7:B45,B45,E$7:E45,"Plazo fijo",N$7:N45,"Sí",F$7:F45,F45),"")</f>
        <v/>
      </c>
      <c r="R45" s="73" t="str">
        <f aca="false">IF(AND(B45&lt;&gt;"",ISNUMBER(H45),ISNUMBER(F45)),COUNTIFS(C_ID,B45,C_SUELDO,"&lt;&gt;",C_INICIO,"&lt;"&amp;F45)+COUNTIFS(B$7:B45,B45,H$7:H45,"&lt;&gt;",F$7:F45,F45),"")</f>
        <v/>
      </c>
      <c r="S45" s="72" t="str">
        <f aca="false">IF(R45="","",B45&amp;"-S"&amp;R45)</f>
        <v/>
      </c>
      <c r="T45" s="74" t="str">
        <f aca="false">IF(AND(ISNUMBER(F45),ISNUMBER(G45)),ROUND((G45-F45+1)/30.4375,1),"")</f>
        <v/>
      </c>
      <c r="U45" s="70" t="str">
        <f aca="false">IF(B45="","",IF(AND(N45="Sí",OR(E45="",NOT(ISNUMBER(F45)))),"⚠ Falta tipo de contrato o fecha de inicio",IF(NOT(ISNUMBER(F45)),"⚠ Falta fecha de inicio",IF(AND(N45="Sí",E45&lt;&gt;"Indefinido",NOT(ISNUMBER(G45))),"⚠ Falta fecha de término",IF(AND(D45="Paso a indefinido",E45&lt;&gt;"Indefinido"),"⚠ Un paso a indefinido debe tener tipo Indefinido",IF(N(Q45)&gt;=3,"⚠ 3er contrato a plazo fijo: por ley ya es INDEFINIDO (Art. 159 N°4)",IF(AND(E45="Plazo fijo",N(T45)&gt;12),"⚠ Plazo fijo mayor a 1 año (máx. legal; 2 años solo profesionales o técnicos)",IF(AND(ISNUMBER(G45),G45&lt;F45),"⚠ Término anterior al inicio",IF(AND(D45="Contrato inicial",ISNUMBER(J45),J45-F45&gt;15),"⚠ Escriturado fuera de plazo (Art. 9: 15 días)",IF(K45&lt;&gt;"Sí","Pendiente de firma","OK"))))))))))</f>
        <v/>
      </c>
    </row>
    <row r="46" customFormat="false" ht="15" hidden="false" customHeight="false" outlineLevel="0" collapsed="false">
      <c r="B46" s="64"/>
      <c r="C46" s="72" t="str">
        <f aca="false">IF(B46="","",IFERROR(INDEX(T_NOMBRE,MATCH(B46,T_ID,0)),"⚠ ID no existe en Trabajadores"))</f>
        <v/>
      </c>
      <c r="D46" s="64"/>
      <c r="E46" s="64"/>
      <c r="F46" s="65"/>
      <c r="G46" s="65"/>
      <c r="H46" s="67"/>
      <c r="I46" s="64"/>
      <c r="J46" s="65"/>
      <c r="K46" s="64"/>
      <c r="L46" s="64"/>
      <c r="M46" s="64"/>
      <c r="N46" s="72" t="str">
        <f aca="false">IF(B46="","",IF(D46="Anexo de modificación","No","Sí"))</f>
        <v/>
      </c>
      <c r="O46" s="73" t="str">
        <f aca="false">IF(AND(N46="Sí",ISNUMBER(F46)),COUNTIFS(C_ID,B46,C_DEFINE,"Sí",C_INICIO,"&lt;"&amp;F46)+COUNTIFS(B$7:B46,B46,N$7:N46,"Sí",F$7:F46,F46),"")</f>
        <v/>
      </c>
      <c r="P46" s="72" t="str">
        <f aca="false">IF(O46="","",B46&amp;"-P"&amp;O46)</f>
        <v/>
      </c>
      <c r="Q46" s="73" t="str">
        <f aca="false">IF(AND(N46="Sí",E46="Plazo fijo",ISNUMBER(F46)),COUNTIFS(C_ID,B46,C_TIPO,"Plazo fijo",C_DEFINE,"Sí",C_INICIO,"&lt;"&amp;F46)+COUNTIFS(B$7:B46,B46,E$7:E46,"Plazo fijo",N$7:N46,"Sí",F$7:F46,F46),"")</f>
        <v/>
      </c>
      <c r="R46" s="73" t="str">
        <f aca="false">IF(AND(B46&lt;&gt;"",ISNUMBER(H46),ISNUMBER(F46)),COUNTIFS(C_ID,B46,C_SUELDO,"&lt;&gt;",C_INICIO,"&lt;"&amp;F46)+COUNTIFS(B$7:B46,B46,H$7:H46,"&lt;&gt;",F$7:F46,F46),"")</f>
        <v/>
      </c>
      <c r="S46" s="72" t="str">
        <f aca="false">IF(R46="","",B46&amp;"-S"&amp;R46)</f>
        <v/>
      </c>
      <c r="T46" s="74" t="str">
        <f aca="false">IF(AND(ISNUMBER(F46),ISNUMBER(G46)),ROUND((G46-F46+1)/30.4375,1),"")</f>
        <v/>
      </c>
      <c r="U46" s="70" t="str">
        <f aca="false">IF(B46="","",IF(AND(N46="Sí",OR(E46="",NOT(ISNUMBER(F46)))),"⚠ Falta tipo de contrato o fecha de inicio",IF(NOT(ISNUMBER(F46)),"⚠ Falta fecha de inicio",IF(AND(N46="Sí",E46&lt;&gt;"Indefinido",NOT(ISNUMBER(G46))),"⚠ Falta fecha de término",IF(AND(D46="Paso a indefinido",E46&lt;&gt;"Indefinido"),"⚠ Un paso a indefinido debe tener tipo Indefinido",IF(N(Q46)&gt;=3,"⚠ 3er contrato a plazo fijo: por ley ya es INDEFINIDO (Art. 159 N°4)",IF(AND(E46="Plazo fijo",N(T46)&gt;12),"⚠ Plazo fijo mayor a 1 año (máx. legal; 2 años solo profesionales o técnicos)",IF(AND(ISNUMBER(G46),G46&lt;F46),"⚠ Término anterior al inicio",IF(AND(D46="Contrato inicial",ISNUMBER(J46),J46-F46&gt;15),"⚠ Escriturado fuera de plazo (Art. 9: 15 días)",IF(K46&lt;&gt;"Sí","Pendiente de firma","OK"))))))))))</f>
        <v/>
      </c>
    </row>
    <row r="47" customFormat="false" ht="15" hidden="false" customHeight="false" outlineLevel="0" collapsed="false">
      <c r="B47" s="64"/>
      <c r="C47" s="72" t="str">
        <f aca="false">IF(B47="","",IFERROR(INDEX(T_NOMBRE,MATCH(B47,T_ID,0)),"⚠ ID no existe en Trabajadores"))</f>
        <v/>
      </c>
      <c r="D47" s="64"/>
      <c r="E47" s="64"/>
      <c r="F47" s="65"/>
      <c r="G47" s="65"/>
      <c r="H47" s="67"/>
      <c r="I47" s="64"/>
      <c r="J47" s="65"/>
      <c r="K47" s="64"/>
      <c r="L47" s="64"/>
      <c r="M47" s="64"/>
      <c r="N47" s="72" t="str">
        <f aca="false">IF(B47="","",IF(D47="Anexo de modificación","No","Sí"))</f>
        <v/>
      </c>
      <c r="O47" s="73" t="str">
        <f aca="false">IF(AND(N47="Sí",ISNUMBER(F47)),COUNTIFS(C_ID,B47,C_DEFINE,"Sí",C_INICIO,"&lt;"&amp;F47)+COUNTIFS(B$7:B47,B47,N$7:N47,"Sí",F$7:F47,F47),"")</f>
        <v/>
      </c>
      <c r="P47" s="72" t="str">
        <f aca="false">IF(O47="","",B47&amp;"-P"&amp;O47)</f>
        <v/>
      </c>
      <c r="Q47" s="73" t="str">
        <f aca="false">IF(AND(N47="Sí",E47="Plazo fijo",ISNUMBER(F47)),COUNTIFS(C_ID,B47,C_TIPO,"Plazo fijo",C_DEFINE,"Sí",C_INICIO,"&lt;"&amp;F47)+COUNTIFS(B$7:B47,B47,E$7:E47,"Plazo fijo",N$7:N47,"Sí",F$7:F47,F47),"")</f>
        <v/>
      </c>
      <c r="R47" s="73" t="str">
        <f aca="false">IF(AND(B47&lt;&gt;"",ISNUMBER(H47),ISNUMBER(F47)),COUNTIFS(C_ID,B47,C_SUELDO,"&lt;&gt;",C_INICIO,"&lt;"&amp;F47)+COUNTIFS(B$7:B47,B47,H$7:H47,"&lt;&gt;",F$7:F47,F47),"")</f>
        <v/>
      </c>
      <c r="S47" s="72" t="str">
        <f aca="false">IF(R47="","",B47&amp;"-S"&amp;R47)</f>
        <v/>
      </c>
      <c r="T47" s="74" t="str">
        <f aca="false">IF(AND(ISNUMBER(F47),ISNUMBER(G47)),ROUND((G47-F47+1)/30.4375,1),"")</f>
        <v/>
      </c>
      <c r="U47" s="70" t="str">
        <f aca="false">IF(B47="","",IF(AND(N47="Sí",OR(E47="",NOT(ISNUMBER(F47)))),"⚠ Falta tipo de contrato o fecha de inicio",IF(NOT(ISNUMBER(F47)),"⚠ Falta fecha de inicio",IF(AND(N47="Sí",E47&lt;&gt;"Indefinido",NOT(ISNUMBER(G47))),"⚠ Falta fecha de término",IF(AND(D47="Paso a indefinido",E47&lt;&gt;"Indefinido"),"⚠ Un paso a indefinido debe tener tipo Indefinido",IF(N(Q47)&gt;=3,"⚠ 3er contrato a plazo fijo: por ley ya es INDEFINIDO (Art. 159 N°4)",IF(AND(E47="Plazo fijo",N(T47)&gt;12),"⚠ Plazo fijo mayor a 1 año (máx. legal; 2 años solo profesionales o técnicos)",IF(AND(ISNUMBER(G47),G47&lt;F47),"⚠ Término anterior al inicio",IF(AND(D47="Contrato inicial",ISNUMBER(J47),J47-F47&gt;15),"⚠ Escriturado fuera de plazo (Art. 9: 15 días)",IF(K47&lt;&gt;"Sí","Pendiente de firma","OK"))))))))))</f>
        <v/>
      </c>
    </row>
    <row r="48" customFormat="false" ht="15" hidden="false" customHeight="false" outlineLevel="0" collapsed="false">
      <c r="B48" s="64"/>
      <c r="C48" s="72" t="str">
        <f aca="false">IF(B48="","",IFERROR(INDEX(T_NOMBRE,MATCH(B48,T_ID,0)),"⚠ ID no existe en Trabajadores"))</f>
        <v/>
      </c>
      <c r="D48" s="64"/>
      <c r="E48" s="64"/>
      <c r="F48" s="65"/>
      <c r="G48" s="65"/>
      <c r="H48" s="67"/>
      <c r="I48" s="64"/>
      <c r="J48" s="65"/>
      <c r="K48" s="64"/>
      <c r="L48" s="64"/>
      <c r="M48" s="64"/>
      <c r="N48" s="72" t="str">
        <f aca="false">IF(B48="","",IF(D48="Anexo de modificación","No","Sí"))</f>
        <v/>
      </c>
      <c r="O48" s="73" t="str">
        <f aca="false">IF(AND(N48="Sí",ISNUMBER(F48)),COUNTIFS(C_ID,B48,C_DEFINE,"Sí",C_INICIO,"&lt;"&amp;F48)+COUNTIFS(B$7:B48,B48,N$7:N48,"Sí",F$7:F48,F48),"")</f>
        <v/>
      </c>
      <c r="P48" s="72" t="str">
        <f aca="false">IF(O48="","",B48&amp;"-P"&amp;O48)</f>
        <v/>
      </c>
      <c r="Q48" s="73" t="str">
        <f aca="false">IF(AND(N48="Sí",E48="Plazo fijo",ISNUMBER(F48)),COUNTIFS(C_ID,B48,C_TIPO,"Plazo fijo",C_DEFINE,"Sí",C_INICIO,"&lt;"&amp;F48)+COUNTIFS(B$7:B48,B48,E$7:E48,"Plazo fijo",N$7:N48,"Sí",F$7:F48,F48),"")</f>
        <v/>
      </c>
      <c r="R48" s="73" t="str">
        <f aca="false">IF(AND(B48&lt;&gt;"",ISNUMBER(H48),ISNUMBER(F48)),COUNTIFS(C_ID,B48,C_SUELDO,"&lt;&gt;",C_INICIO,"&lt;"&amp;F48)+COUNTIFS(B$7:B48,B48,H$7:H48,"&lt;&gt;",F$7:F48,F48),"")</f>
        <v/>
      </c>
      <c r="S48" s="72" t="str">
        <f aca="false">IF(R48="","",B48&amp;"-S"&amp;R48)</f>
        <v/>
      </c>
      <c r="T48" s="74" t="str">
        <f aca="false">IF(AND(ISNUMBER(F48),ISNUMBER(G48)),ROUND((G48-F48+1)/30.4375,1),"")</f>
        <v/>
      </c>
      <c r="U48" s="70" t="str">
        <f aca="false">IF(B48="","",IF(AND(N48="Sí",OR(E48="",NOT(ISNUMBER(F48)))),"⚠ Falta tipo de contrato o fecha de inicio",IF(NOT(ISNUMBER(F48)),"⚠ Falta fecha de inicio",IF(AND(N48="Sí",E48&lt;&gt;"Indefinido",NOT(ISNUMBER(G48))),"⚠ Falta fecha de término",IF(AND(D48="Paso a indefinido",E48&lt;&gt;"Indefinido"),"⚠ Un paso a indefinido debe tener tipo Indefinido",IF(N(Q48)&gt;=3,"⚠ 3er contrato a plazo fijo: por ley ya es INDEFINIDO (Art. 159 N°4)",IF(AND(E48="Plazo fijo",N(T48)&gt;12),"⚠ Plazo fijo mayor a 1 año (máx. legal; 2 años solo profesionales o técnicos)",IF(AND(ISNUMBER(G48),G48&lt;F48),"⚠ Término anterior al inicio",IF(AND(D48="Contrato inicial",ISNUMBER(J48),J48-F48&gt;15),"⚠ Escriturado fuera de plazo (Art. 9: 15 días)",IF(K48&lt;&gt;"Sí","Pendiente de firma","OK"))))))))))</f>
        <v/>
      </c>
    </row>
    <row r="49" customFormat="false" ht="15" hidden="false" customHeight="false" outlineLevel="0" collapsed="false">
      <c r="B49" s="64"/>
      <c r="C49" s="72" t="str">
        <f aca="false">IF(B49="","",IFERROR(INDEX(T_NOMBRE,MATCH(B49,T_ID,0)),"⚠ ID no existe en Trabajadores"))</f>
        <v/>
      </c>
      <c r="D49" s="64"/>
      <c r="E49" s="64"/>
      <c r="F49" s="65"/>
      <c r="G49" s="65"/>
      <c r="H49" s="67"/>
      <c r="I49" s="64"/>
      <c r="J49" s="65"/>
      <c r="K49" s="64"/>
      <c r="L49" s="64"/>
      <c r="M49" s="64"/>
      <c r="N49" s="72" t="str">
        <f aca="false">IF(B49="","",IF(D49="Anexo de modificación","No","Sí"))</f>
        <v/>
      </c>
      <c r="O49" s="73" t="str">
        <f aca="false">IF(AND(N49="Sí",ISNUMBER(F49)),COUNTIFS(C_ID,B49,C_DEFINE,"Sí",C_INICIO,"&lt;"&amp;F49)+COUNTIFS(B$7:B49,B49,N$7:N49,"Sí",F$7:F49,F49),"")</f>
        <v/>
      </c>
      <c r="P49" s="72" t="str">
        <f aca="false">IF(O49="","",B49&amp;"-P"&amp;O49)</f>
        <v/>
      </c>
      <c r="Q49" s="73" t="str">
        <f aca="false">IF(AND(N49="Sí",E49="Plazo fijo",ISNUMBER(F49)),COUNTIFS(C_ID,B49,C_TIPO,"Plazo fijo",C_DEFINE,"Sí",C_INICIO,"&lt;"&amp;F49)+COUNTIFS(B$7:B49,B49,E$7:E49,"Plazo fijo",N$7:N49,"Sí",F$7:F49,F49),"")</f>
        <v/>
      </c>
      <c r="R49" s="73" t="str">
        <f aca="false">IF(AND(B49&lt;&gt;"",ISNUMBER(H49),ISNUMBER(F49)),COUNTIFS(C_ID,B49,C_SUELDO,"&lt;&gt;",C_INICIO,"&lt;"&amp;F49)+COUNTIFS(B$7:B49,B49,H$7:H49,"&lt;&gt;",F$7:F49,F49),"")</f>
        <v/>
      </c>
      <c r="S49" s="72" t="str">
        <f aca="false">IF(R49="","",B49&amp;"-S"&amp;R49)</f>
        <v/>
      </c>
      <c r="T49" s="74" t="str">
        <f aca="false">IF(AND(ISNUMBER(F49),ISNUMBER(G49)),ROUND((G49-F49+1)/30.4375,1),"")</f>
        <v/>
      </c>
      <c r="U49" s="70" t="str">
        <f aca="false">IF(B49="","",IF(AND(N49="Sí",OR(E49="",NOT(ISNUMBER(F49)))),"⚠ Falta tipo de contrato o fecha de inicio",IF(NOT(ISNUMBER(F49)),"⚠ Falta fecha de inicio",IF(AND(N49="Sí",E49&lt;&gt;"Indefinido",NOT(ISNUMBER(G49))),"⚠ Falta fecha de término",IF(AND(D49="Paso a indefinido",E49&lt;&gt;"Indefinido"),"⚠ Un paso a indefinido debe tener tipo Indefinido",IF(N(Q49)&gt;=3,"⚠ 3er contrato a plazo fijo: por ley ya es INDEFINIDO (Art. 159 N°4)",IF(AND(E49="Plazo fijo",N(T49)&gt;12),"⚠ Plazo fijo mayor a 1 año (máx. legal; 2 años solo profesionales o técnicos)",IF(AND(ISNUMBER(G49),G49&lt;F49),"⚠ Término anterior al inicio",IF(AND(D49="Contrato inicial",ISNUMBER(J49),J49-F49&gt;15),"⚠ Escriturado fuera de plazo (Art. 9: 15 días)",IF(K49&lt;&gt;"Sí","Pendiente de firma","OK"))))))))))</f>
        <v/>
      </c>
    </row>
    <row r="50" customFormat="false" ht="15" hidden="false" customHeight="false" outlineLevel="0" collapsed="false">
      <c r="B50" s="64"/>
      <c r="C50" s="72" t="str">
        <f aca="false">IF(B50="","",IFERROR(INDEX(T_NOMBRE,MATCH(B50,T_ID,0)),"⚠ ID no existe en Trabajadores"))</f>
        <v/>
      </c>
      <c r="D50" s="64"/>
      <c r="E50" s="64"/>
      <c r="F50" s="65"/>
      <c r="G50" s="65"/>
      <c r="H50" s="67"/>
      <c r="I50" s="64"/>
      <c r="J50" s="65"/>
      <c r="K50" s="64"/>
      <c r="L50" s="64"/>
      <c r="M50" s="64"/>
      <c r="N50" s="72" t="str">
        <f aca="false">IF(B50="","",IF(D50="Anexo de modificación","No","Sí"))</f>
        <v/>
      </c>
      <c r="O50" s="73" t="str">
        <f aca="false">IF(AND(N50="Sí",ISNUMBER(F50)),COUNTIFS(C_ID,B50,C_DEFINE,"Sí",C_INICIO,"&lt;"&amp;F50)+COUNTIFS(B$7:B50,B50,N$7:N50,"Sí",F$7:F50,F50),"")</f>
        <v/>
      </c>
      <c r="P50" s="72" t="str">
        <f aca="false">IF(O50="","",B50&amp;"-P"&amp;O50)</f>
        <v/>
      </c>
      <c r="Q50" s="73" t="str">
        <f aca="false">IF(AND(N50="Sí",E50="Plazo fijo",ISNUMBER(F50)),COUNTIFS(C_ID,B50,C_TIPO,"Plazo fijo",C_DEFINE,"Sí",C_INICIO,"&lt;"&amp;F50)+COUNTIFS(B$7:B50,B50,E$7:E50,"Plazo fijo",N$7:N50,"Sí",F$7:F50,F50),"")</f>
        <v/>
      </c>
      <c r="R50" s="73" t="str">
        <f aca="false">IF(AND(B50&lt;&gt;"",ISNUMBER(H50),ISNUMBER(F50)),COUNTIFS(C_ID,B50,C_SUELDO,"&lt;&gt;",C_INICIO,"&lt;"&amp;F50)+COUNTIFS(B$7:B50,B50,H$7:H50,"&lt;&gt;",F$7:F50,F50),"")</f>
        <v/>
      </c>
      <c r="S50" s="72" t="str">
        <f aca="false">IF(R50="","",B50&amp;"-S"&amp;R50)</f>
        <v/>
      </c>
      <c r="T50" s="74" t="str">
        <f aca="false">IF(AND(ISNUMBER(F50),ISNUMBER(G50)),ROUND((G50-F50+1)/30.4375,1),"")</f>
        <v/>
      </c>
      <c r="U50" s="70" t="str">
        <f aca="false">IF(B50="","",IF(AND(N50="Sí",OR(E50="",NOT(ISNUMBER(F50)))),"⚠ Falta tipo de contrato o fecha de inicio",IF(NOT(ISNUMBER(F50)),"⚠ Falta fecha de inicio",IF(AND(N50="Sí",E50&lt;&gt;"Indefinido",NOT(ISNUMBER(G50))),"⚠ Falta fecha de término",IF(AND(D50="Paso a indefinido",E50&lt;&gt;"Indefinido"),"⚠ Un paso a indefinido debe tener tipo Indefinido",IF(N(Q50)&gt;=3,"⚠ 3er contrato a plazo fijo: por ley ya es INDEFINIDO (Art. 159 N°4)",IF(AND(E50="Plazo fijo",N(T50)&gt;12),"⚠ Plazo fijo mayor a 1 año (máx. legal; 2 años solo profesionales o técnicos)",IF(AND(ISNUMBER(G50),G50&lt;F50),"⚠ Término anterior al inicio",IF(AND(D50="Contrato inicial",ISNUMBER(J50),J50-F50&gt;15),"⚠ Escriturado fuera de plazo (Art. 9: 15 días)",IF(K50&lt;&gt;"Sí","Pendiente de firma","OK"))))))))))</f>
        <v/>
      </c>
    </row>
    <row r="51" customFormat="false" ht="15" hidden="false" customHeight="false" outlineLevel="0" collapsed="false">
      <c r="B51" s="64"/>
      <c r="C51" s="72" t="str">
        <f aca="false">IF(B51="","",IFERROR(INDEX(T_NOMBRE,MATCH(B51,T_ID,0)),"⚠ ID no existe en Trabajadores"))</f>
        <v/>
      </c>
      <c r="D51" s="64"/>
      <c r="E51" s="64"/>
      <c r="F51" s="65"/>
      <c r="G51" s="65"/>
      <c r="H51" s="67"/>
      <c r="I51" s="64"/>
      <c r="J51" s="65"/>
      <c r="K51" s="64"/>
      <c r="L51" s="64"/>
      <c r="M51" s="64"/>
      <c r="N51" s="72" t="str">
        <f aca="false">IF(B51="","",IF(D51="Anexo de modificación","No","Sí"))</f>
        <v/>
      </c>
      <c r="O51" s="73" t="str">
        <f aca="false">IF(AND(N51="Sí",ISNUMBER(F51)),COUNTIFS(C_ID,B51,C_DEFINE,"Sí",C_INICIO,"&lt;"&amp;F51)+COUNTIFS(B$7:B51,B51,N$7:N51,"Sí",F$7:F51,F51),"")</f>
        <v/>
      </c>
      <c r="P51" s="72" t="str">
        <f aca="false">IF(O51="","",B51&amp;"-P"&amp;O51)</f>
        <v/>
      </c>
      <c r="Q51" s="73" t="str">
        <f aca="false">IF(AND(N51="Sí",E51="Plazo fijo",ISNUMBER(F51)),COUNTIFS(C_ID,B51,C_TIPO,"Plazo fijo",C_DEFINE,"Sí",C_INICIO,"&lt;"&amp;F51)+COUNTIFS(B$7:B51,B51,E$7:E51,"Plazo fijo",N$7:N51,"Sí",F$7:F51,F51),"")</f>
        <v/>
      </c>
      <c r="R51" s="73" t="str">
        <f aca="false">IF(AND(B51&lt;&gt;"",ISNUMBER(H51),ISNUMBER(F51)),COUNTIFS(C_ID,B51,C_SUELDO,"&lt;&gt;",C_INICIO,"&lt;"&amp;F51)+COUNTIFS(B$7:B51,B51,H$7:H51,"&lt;&gt;",F$7:F51,F51),"")</f>
        <v/>
      </c>
      <c r="S51" s="72" t="str">
        <f aca="false">IF(R51="","",B51&amp;"-S"&amp;R51)</f>
        <v/>
      </c>
      <c r="T51" s="74" t="str">
        <f aca="false">IF(AND(ISNUMBER(F51),ISNUMBER(G51)),ROUND((G51-F51+1)/30.4375,1),"")</f>
        <v/>
      </c>
      <c r="U51" s="70" t="str">
        <f aca="false">IF(B51="","",IF(AND(N51="Sí",OR(E51="",NOT(ISNUMBER(F51)))),"⚠ Falta tipo de contrato o fecha de inicio",IF(NOT(ISNUMBER(F51)),"⚠ Falta fecha de inicio",IF(AND(N51="Sí",E51&lt;&gt;"Indefinido",NOT(ISNUMBER(G51))),"⚠ Falta fecha de término",IF(AND(D51="Paso a indefinido",E51&lt;&gt;"Indefinido"),"⚠ Un paso a indefinido debe tener tipo Indefinido",IF(N(Q51)&gt;=3,"⚠ 3er contrato a plazo fijo: por ley ya es INDEFINIDO (Art. 159 N°4)",IF(AND(E51="Plazo fijo",N(T51)&gt;12),"⚠ Plazo fijo mayor a 1 año (máx. legal; 2 años solo profesionales o técnicos)",IF(AND(ISNUMBER(G51),G51&lt;F51),"⚠ Término anterior al inicio",IF(AND(D51="Contrato inicial",ISNUMBER(J51),J51-F51&gt;15),"⚠ Escriturado fuera de plazo (Art. 9: 15 días)",IF(K51&lt;&gt;"Sí","Pendiente de firma","OK"))))))))))</f>
        <v/>
      </c>
    </row>
    <row r="52" customFormat="false" ht="15" hidden="false" customHeight="false" outlineLevel="0" collapsed="false">
      <c r="B52" s="64"/>
      <c r="C52" s="72" t="str">
        <f aca="false">IF(B52="","",IFERROR(INDEX(T_NOMBRE,MATCH(B52,T_ID,0)),"⚠ ID no existe en Trabajadores"))</f>
        <v/>
      </c>
      <c r="D52" s="64"/>
      <c r="E52" s="64"/>
      <c r="F52" s="65"/>
      <c r="G52" s="65"/>
      <c r="H52" s="67"/>
      <c r="I52" s="64"/>
      <c r="J52" s="65"/>
      <c r="K52" s="64"/>
      <c r="L52" s="64"/>
      <c r="M52" s="64"/>
      <c r="N52" s="72" t="str">
        <f aca="false">IF(B52="","",IF(D52="Anexo de modificación","No","Sí"))</f>
        <v/>
      </c>
      <c r="O52" s="73" t="str">
        <f aca="false">IF(AND(N52="Sí",ISNUMBER(F52)),COUNTIFS(C_ID,B52,C_DEFINE,"Sí",C_INICIO,"&lt;"&amp;F52)+COUNTIFS(B$7:B52,B52,N$7:N52,"Sí",F$7:F52,F52),"")</f>
        <v/>
      </c>
      <c r="P52" s="72" t="str">
        <f aca="false">IF(O52="","",B52&amp;"-P"&amp;O52)</f>
        <v/>
      </c>
      <c r="Q52" s="73" t="str">
        <f aca="false">IF(AND(N52="Sí",E52="Plazo fijo",ISNUMBER(F52)),COUNTIFS(C_ID,B52,C_TIPO,"Plazo fijo",C_DEFINE,"Sí",C_INICIO,"&lt;"&amp;F52)+COUNTIFS(B$7:B52,B52,E$7:E52,"Plazo fijo",N$7:N52,"Sí",F$7:F52,F52),"")</f>
        <v/>
      </c>
      <c r="R52" s="73" t="str">
        <f aca="false">IF(AND(B52&lt;&gt;"",ISNUMBER(H52),ISNUMBER(F52)),COUNTIFS(C_ID,B52,C_SUELDO,"&lt;&gt;",C_INICIO,"&lt;"&amp;F52)+COUNTIFS(B$7:B52,B52,H$7:H52,"&lt;&gt;",F$7:F52,F52),"")</f>
        <v/>
      </c>
      <c r="S52" s="72" t="str">
        <f aca="false">IF(R52="","",B52&amp;"-S"&amp;R52)</f>
        <v/>
      </c>
      <c r="T52" s="74" t="str">
        <f aca="false">IF(AND(ISNUMBER(F52),ISNUMBER(G52)),ROUND((G52-F52+1)/30.4375,1),"")</f>
        <v/>
      </c>
      <c r="U52" s="70" t="str">
        <f aca="false">IF(B52="","",IF(AND(N52="Sí",OR(E52="",NOT(ISNUMBER(F52)))),"⚠ Falta tipo de contrato o fecha de inicio",IF(NOT(ISNUMBER(F52)),"⚠ Falta fecha de inicio",IF(AND(N52="Sí",E52&lt;&gt;"Indefinido",NOT(ISNUMBER(G52))),"⚠ Falta fecha de término",IF(AND(D52="Paso a indefinido",E52&lt;&gt;"Indefinido"),"⚠ Un paso a indefinido debe tener tipo Indefinido",IF(N(Q52)&gt;=3,"⚠ 3er contrato a plazo fijo: por ley ya es INDEFINIDO (Art. 159 N°4)",IF(AND(E52="Plazo fijo",N(T52)&gt;12),"⚠ Plazo fijo mayor a 1 año (máx. legal; 2 años solo profesionales o técnicos)",IF(AND(ISNUMBER(G52),G52&lt;F52),"⚠ Término anterior al inicio",IF(AND(D52="Contrato inicial",ISNUMBER(J52),J52-F52&gt;15),"⚠ Escriturado fuera de plazo (Art. 9: 15 días)",IF(K52&lt;&gt;"Sí","Pendiente de firma","OK"))))))))))</f>
        <v/>
      </c>
    </row>
    <row r="53" customFormat="false" ht="15" hidden="false" customHeight="false" outlineLevel="0" collapsed="false">
      <c r="B53" s="64"/>
      <c r="C53" s="72" t="str">
        <f aca="false">IF(B53="","",IFERROR(INDEX(T_NOMBRE,MATCH(B53,T_ID,0)),"⚠ ID no existe en Trabajadores"))</f>
        <v/>
      </c>
      <c r="D53" s="64"/>
      <c r="E53" s="64"/>
      <c r="F53" s="65"/>
      <c r="G53" s="65"/>
      <c r="H53" s="67"/>
      <c r="I53" s="64"/>
      <c r="J53" s="65"/>
      <c r="K53" s="64"/>
      <c r="L53" s="64"/>
      <c r="M53" s="64"/>
      <c r="N53" s="72" t="str">
        <f aca="false">IF(B53="","",IF(D53="Anexo de modificación","No","Sí"))</f>
        <v/>
      </c>
      <c r="O53" s="73" t="str">
        <f aca="false">IF(AND(N53="Sí",ISNUMBER(F53)),COUNTIFS(C_ID,B53,C_DEFINE,"Sí",C_INICIO,"&lt;"&amp;F53)+COUNTIFS(B$7:B53,B53,N$7:N53,"Sí",F$7:F53,F53),"")</f>
        <v/>
      </c>
      <c r="P53" s="72" t="str">
        <f aca="false">IF(O53="","",B53&amp;"-P"&amp;O53)</f>
        <v/>
      </c>
      <c r="Q53" s="73" t="str">
        <f aca="false">IF(AND(N53="Sí",E53="Plazo fijo",ISNUMBER(F53)),COUNTIFS(C_ID,B53,C_TIPO,"Plazo fijo",C_DEFINE,"Sí",C_INICIO,"&lt;"&amp;F53)+COUNTIFS(B$7:B53,B53,E$7:E53,"Plazo fijo",N$7:N53,"Sí",F$7:F53,F53),"")</f>
        <v/>
      </c>
      <c r="R53" s="73" t="str">
        <f aca="false">IF(AND(B53&lt;&gt;"",ISNUMBER(H53),ISNUMBER(F53)),COUNTIFS(C_ID,B53,C_SUELDO,"&lt;&gt;",C_INICIO,"&lt;"&amp;F53)+COUNTIFS(B$7:B53,B53,H$7:H53,"&lt;&gt;",F$7:F53,F53),"")</f>
        <v/>
      </c>
      <c r="S53" s="72" t="str">
        <f aca="false">IF(R53="","",B53&amp;"-S"&amp;R53)</f>
        <v/>
      </c>
      <c r="T53" s="74" t="str">
        <f aca="false">IF(AND(ISNUMBER(F53),ISNUMBER(G53)),ROUND((G53-F53+1)/30.4375,1),"")</f>
        <v/>
      </c>
      <c r="U53" s="70" t="str">
        <f aca="false">IF(B53="","",IF(AND(N53="Sí",OR(E53="",NOT(ISNUMBER(F53)))),"⚠ Falta tipo de contrato o fecha de inicio",IF(NOT(ISNUMBER(F53)),"⚠ Falta fecha de inicio",IF(AND(N53="Sí",E53&lt;&gt;"Indefinido",NOT(ISNUMBER(G53))),"⚠ Falta fecha de término",IF(AND(D53="Paso a indefinido",E53&lt;&gt;"Indefinido"),"⚠ Un paso a indefinido debe tener tipo Indefinido",IF(N(Q53)&gt;=3,"⚠ 3er contrato a plazo fijo: por ley ya es INDEFINIDO (Art. 159 N°4)",IF(AND(E53="Plazo fijo",N(T53)&gt;12),"⚠ Plazo fijo mayor a 1 año (máx. legal; 2 años solo profesionales o técnicos)",IF(AND(ISNUMBER(G53),G53&lt;F53),"⚠ Término anterior al inicio",IF(AND(D53="Contrato inicial",ISNUMBER(J53),J53-F53&gt;15),"⚠ Escriturado fuera de plazo (Art. 9: 15 días)",IF(K53&lt;&gt;"Sí","Pendiente de firma","OK"))))))))))</f>
        <v/>
      </c>
    </row>
    <row r="54" customFormat="false" ht="15" hidden="false" customHeight="false" outlineLevel="0" collapsed="false">
      <c r="B54" s="64"/>
      <c r="C54" s="72" t="str">
        <f aca="false">IF(B54="","",IFERROR(INDEX(T_NOMBRE,MATCH(B54,T_ID,0)),"⚠ ID no existe en Trabajadores"))</f>
        <v/>
      </c>
      <c r="D54" s="64"/>
      <c r="E54" s="64"/>
      <c r="F54" s="65"/>
      <c r="G54" s="65"/>
      <c r="H54" s="67"/>
      <c r="I54" s="64"/>
      <c r="J54" s="65"/>
      <c r="K54" s="64"/>
      <c r="L54" s="64"/>
      <c r="M54" s="64"/>
      <c r="N54" s="72" t="str">
        <f aca="false">IF(B54="","",IF(D54="Anexo de modificación","No","Sí"))</f>
        <v/>
      </c>
      <c r="O54" s="73" t="str">
        <f aca="false">IF(AND(N54="Sí",ISNUMBER(F54)),COUNTIFS(C_ID,B54,C_DEFINE,"Sí",C_INICIO,"&lt;"&amp;F54)+COUNTIFS(B$7:B54,B54,N$7:N54,"Sí",F$7:F54,F54),"")</f>
        <v/>
      </c>
      <c r="P54" s="72" t="str">
        <f aca="false">IF(O54="","",B54&amp;"-P"&amp;O54)</f>
        <v/>
      </c>
      <c r="Q54" s="73" t="str">
        <f aca="false">IF(AND(N54="Sí",E54="Plazo fijo",ISNUMBER(F54)),COUNTIFS(C_ID,B54,C_TIPO,"Plazo fijo",C_DEFINE,"Sí",C_INICIO,"&lt;"&amp;F54)+COUNTIFS(B$7:B54,B54,E$7:E54,"Plazo fijo",N$7:N54,"Sí",F$7:F54,F54),"")</f>
        <v/>
      </c>
      <c r="R54" s="73" t="str">
        <f aca="false">IF(AND(B54&lt;&gt;"",ISNUMBER(H54),ISNUMBER(F54)),COUNTIFS(C_ID,B54,C_SUELDO,"&lt;&gt;",C_INICIO,"&lt;"&amp;F54)+COUNTIFS(B$7:B54,B54,H$7:H54,"&lt;&gt;",F$7:F54,F54),"")</f>
        <v/>
      </c>
      <c r="S54" s="72" t="str">
        <f aca="false">IF(R54="","",B54&amp;"-S"&amp;R54)</f>
        <v/>
      </c>
      <c r="T54" s="74" t="str">
        <f aca="false">IF(AND(ISNUMBER(F54),ISNUMBER(G54)),ROUND((G54-F54+1)/30.4375,1),"")</f>
        <v/>
      </c>
      <c r="U54" s="70" t="str">
        <f aca="false">IF(B54="","",IF(AND(N54="Sí",OR(E54="",NOT(ISNUMBER(F54)))),"⚠ Falta tipo de contrato o fecha de inicio",IF(NOT(ISNUMBER(F54)),"⚠ Falta fecha de inicio",IF(AND(N54="Sí",E54&lt;&gt;"Indefinido",NOT(ISNUMBER(G54))),"⚠ Falta fecha de término",IF(AND(D54="Paso a indefinido",E54&lt;&gt;"Indefinido"),"⚠ Un paso a indefinido debe tener tipo Indefinido",IF(N(Q54)&gt;=3,"⚠ 3er contrato a plazo fijo: por ley ya es INDEFINIDO (Art. 159 N°4)",IF(AND(E54="Plazo fijo",N(T54)&gt;12),"⚠ Plazo fijo mayor a 1 año (máx. legal; 2 años solo profesionales o técnicos)",IF(AND(ISNUMBER(G54),G54&lt;F54),"⚠ Término anterior al inicio",IF(AND(D54="Contrato inicial",ISNUMBER(J54),J54-F54&gt;15),"⚠ Escriturado fuera de plazo (Art. 9: 15 días)",IF(K54&lt;&gt;"Sí","Pendiente de firma","OK"))))))))))</f>
        <v/>
      </c>
    </row>
    <row r="55" customFormat="false" ht="15" hidden="false" customHeight="false" outlineLevel="0" collapsed="false">
      <c r="B55" s="64"/>
      <c r="C55" s="72" t="str">
        <f aca="false">IF(B55="","",IFERROR(INDEX(T_NOMBRE,MATCH(B55,T_ID,0)),"⚠ ID no existe en Trabajadores"))</f>
        <v/>
      </c>
      <c r="D55" s="64"/>
      <c r="E55" s="64"/>
      <c r="F55" s="65"/>
      <c r="G55" s="65"/>
      <c r="H55" s="67"/>
      <c r="I55" s="64"/>
      <c r="J55" s="65"/>
      <c r="K55" s="64"/>
      <c r="L55" s="64"/>
      <c r="M55" s="64"/>
      <c r="N55" s="72" t="str">
        <f aca="false">IF(B55="","",IF(D55="Anexo de modificación","No","Sí"))</f>
        <v/>
      </c>
      <c r="O55" s="73" t="str">
        <f aca="false">IF(AND(N55="Sí",ISNUMBER(F55)),COUNTIFS(C_ID,B55,C_DEFINE,"Sí",C_INICIO,"&lt;"&amp;F55)+COUNTIFS(B$7:B55,B55,N$7:N55,"Sí",F$7:F55,F55),"")</f>
        <v/>
      </c>
      <c r="P55" s="72" t="str">
        <f aca="false">IF(O55="","",B55&amp;"-P"&amp;O55)</f>
        <v/>
      </c>
      <c r="Q55" s="73" t="str">
        <f aca="false">IF(AND(N55="Sí",E55="Plazo fijo",ISNUMBER(F55)),COUNTIFS(C_ID,B55,C_TIPO,"Plazo fijo",C_DEFINE,"Sí",C_INICIO,"&lt;"&amp;F55)+COUNTIFS(B$7:B55,B55,E$7:E55,"Plazo fijo",N$7:N55,"Sí",F$7:F55,F55),"")</f>
        <v/>
      </c>
      <c r="R55" s="73" t="str">
        <f aca="false">IF(AND(B55&lt;&gt;"",ISNUMBER(H55),ISNUMBER(F55)),COUNTIFS(C_ID,B55,C_SUELDO,"&lt;&gt;",C_INICIO,"&lt;"&amp;F55)+COUNTIFS(B$7:B55,B55,H$7:H55,"&lt;&gt;",F$7:F55,F55),"")</f>
        <v/>
      </c>
      <c r="S55" s="72" t="str">
        <f aca="false">IF(R55="","",B55&amp;"-S"&amp;R55)</f>
        <v/>
      </c>
      <c r="T55" s="74" t="str">
        <f aca="false">IF(AND(ISNUMBER(F55),ISNUMBER(G55)),ROUND((G55-F55+1)/30.4375,1),"")</f>
        <v/>
      </c>
      <c r="U55" s="70" t="str">
        <f aca="false">IF(B55="","",IF(AND(N55="Sí",OR(E55="",NOT(ISNUMBER(F55)))),"⚠ Falta tipo de contrato o fecha de inicio",IF(NOT(ISNUMBER(F55)),"⚠ Falta fecha de inicio",IF(AND(N55="Sí",E55&lt;&gt;"Indefinido",NOT(ISNUMBER(G55))),"⚠ Falta fecha de término",IF(AND(D55="Paso a indefinido",E55&lt;&gt;"Indefinido"),"⚠ Un paso a indefinido debe tener tipo Indefinido",IF(N(Q55)&gt;=3,"⚠ 3er contrato a plazo fijo: por ley ya es INDEFINIDO (Art. 159 N°4)",IF(AND(E55="Plazo fijo",N(T55)&gt;12),"⚠ Plazo fijo mayor a 1 año (máx. legal; 2 años solo profesionales o técnicos)",IF(AND(ISNUMBER(G55),G55&lt;F55),"⚠ Término anterior al inicio",IF(AND(D55="Contrato inicial",ISNUMBER(J55),J55-F55&gt;15),"⚠ Escriturado fuera de plazo (Art. 9: 15 días)",IF(K55&lt;&gt;"Sí","Pendiente de firma","OK"))))))))))</f>
        <v/>
      </c>
    </row>
    <row r="56" customFormat="false" ht="15" hidden="false" customHeight="false" outlineLevel="0" collapsed="false">
      <c r="B56" s="64"/>
      <c r="C56" s="72" t="str">
        <f aca="false">IF(B56="","",IFERROR(INDEX(T_NOMBRE,MATCH(B56,T_ID,0)),"⚠ ID no existe en Trabajadores"))</f>
        <v/>
      </c>
      <c r="D56" s="64"/>
      <c r="E56" s="64"/>
      <c r="F56" s="65"/>
      <c r="G56" s="65"/>
      <c r="H56" s="67"/>
      <c r="I56" s="64"/>
      <c r="J56" s="65"/>
      <c r="K56" s="64"/>
      <c r="L56" s="64"/>
      <c r="M56" s="64"/>
      <c r="N56" s="72" t="str">
        <f aca="false">IF(B56="","",IF(D56="Anexo de modificación","No","Sí"))</f>
        <v/>
      </c>
      <c r="O56" s="73" t="str">
        <f aca="false">IF(AND(N56="Sí",ISNUMBER(F56)),COUNTIFS(C_ID,B56,C_DEFINE,"Sí",C_INICIO,"&lt;"&amp;F56)+COUNTIFS(B$7:B56,B56,N$7:N56,"Sí",F$7:F56,F56),"")</f>
        <v/>
      </c>
      <c r="P56" s="72" t="str">
        <f aca="false">IF(O56="","",B56&amp;"-P"&amp;O56)</f>
        <v/>
      </c>
      <c r="Q56" s="73" t="str">
        <f aca="false">IF(AND(N56="Sí",E56="Plazo fijo",ISNUMBER(F56)),COUNTIFS(C_ID,B56,C_TIPO,"Plazo fijo",C_DEFINE,"Sí",C_INICIO,"&lt;"&amp;F56)+COUNTIFS(B$7:B56,B56,E$7:E56,"Plazo fijo",N$7:N56,"Sí",F$7:F56,F56),"")</f>
        <v/>
      </c>
      <c r="R56" s="73" t="str">
        <f aca="false">IF(AND(B56&lt;&gt;"",ISNUMBER(H56),ISNUMBER(F56)),COUNTIFS(C_ID,B56,C_SUELDO,"&lt;&gt;",C_INICIO,"&lt;"&amp;F56)+COUNTIFS(B$7:B56,B56,H$7:H56,"&lt;&gt;",F$7:F56,F56),"")</f>
        <v/>
      </c>
      <c r="S56" s="72" t="str">
        <f aca="false">IF(R56="","",B56&amp;"-S"&amp;R56)</f>
        <v/>
      </c>
      <c r="T56" s="74" t="str">
        <f aca="false">IF(AND(ISNUMBER(F56),ISNUMBER(G56)),ROUND((G56-F56+1)/30.4375,1),"")</f>
        <v/>
      </c>
      <c r="U56" s="70" t="str">
        <f aca="false">IF(B56="","",IF(AND(N56="Sí",OR(E56="",NOT(ISNUMBER(F56)))),"⚠ Falta tipo de contrato o fecha de inicio",IF(NOT(ISNUMBER(F56)),"⚠ Falta fecha de inicio",IF(AND(N56="Sí",E56&lt;&gt;"Indefinido",NOT(ISNUMBER(G56))),"⚠ Falta fecha de término",IF(AND(D56="Paso a indefinido",E56&lt;&gt;"Indefinido"),"⚠ Un paso a indefinido debe tener tipo Indefinido",IF(N(Q56)&gt;=3,"⚠ 3er contrato a plazo fijo: por ley ya es INDEFINIDO (Art. 159 N°4)",IF(AND(E56="Plazo fijo",N(T56)&gt;12),"⚠ Plazo fijo mayor a 1 año (máx. legal; 2 años solo profesionales o técnicos)",IF(AND(ISNUMBER(G56),G56&lt;F56),"⚠ Término anterior al inicio",IF(AND(D56="Contrato inicial",ISNUMBER(J56),J56-F56&gt;15),"⚠ Escriturado fuera de plazo (Art. 9: 15 días)",IF(K56&lt;&gt;"Sí","Pendiente de firma","OK"))))))))))</f>
        <v/>
      </c>
    </row>
    <row r="57" customFormat="false" ht="15" hidden="false" customHeight="false" outlineLevel="0" collapsed="false">
      <c r="B57" s="64"/>
      <c r="C57" s="72" t="str">
        <f aca="false">IF(B57="","",IFERROR(INDEX(T_NOMBRE,MATCH(B57,T_ID,0)),"⚠ ID no existe en Trabajadores"))</f>
        <v/>
      </c>
      <c r="D57" s="64"/>
      <c r="E57" s="64"/>
      <c r="F57" s="65"/>
      <c r="G57" s="65"/>
      <c r="H57" s="67"/>
      <c r="I57" s="64"/>
      <c r="J57" s="65"/>
      <c r="K57" s="64"/>
      <c r="L57" s="64"/>
      <c r="M57" s="64"/>
      <c r="N57" s="72" t="str">
        <f aca="false">IF(B57="","",IF(D57="Anexo de modificación","No","Sí"))</f>
        <v/>
      </c>
      <c r="O57" s="73" t="str">
        <f aca="false">IF(AND(N57="Sí",ISNUMBER(F57)),COUNTIFS(C_ID,B57,C_DEFINE,"Sí",C_INICIO,"&lt;"&amp;F57)+COUNTIFS(B$7:B57,B57,N$7:N57,"Sí",F$7:F57,F57),"")</f>
        <v/>
      </c>
      <c r="P57" s="72" t="str">
        <f aca="false">IF(O57="","",B57&amp;"-P"&amp;O57)</f>
        <v/>
      </c>
      <c r="Q57" s="73" t="str">
        <f aca="false">IF(AND(N57="Sí",E57="Plazo fijo",ISNUMBER(F57)),COUNTIFS(C_ID,B57,C_TIPO,"Plazo fijo",C_DEFINE,"Sí",C_INICIO,"&lt;"&amp;F57)+COUNTIFS(B$7:B57,B57,E$7:E57,"Plazo fijo",N$7:N57,"Sí",F$7:F57,F57),"")</f>
        <v/>
      </c>
      <c r="R57" s="73" t="str">
        <f aca="false">IF(AND(B57&lt;&gt;"",ISNUMBER(H57),ISNUMBER(F57)),COUNTIFS(C_ID,B57,C_SUELDO,"&lt;&gt;",C_INICIO,"&lt;"&amp;F57)+COUNTIFS(B$7:B57,B57,H$7:H57,"&lt;&gt;",F$7:F57,F57),"")</f>
        <v/>
      </c>
      <c r="S57" s="72" t="str">
        <f aca="false">IF(R57="","",B57&amp;"-S"&amp;R57)</f>
        <v/>
      </c>
      <c r="T57" s="74" t="str">
        <f aca="false">IF(AND(ISNUMBER(F57),ISNUMBER(G57)),ROUND((G57-F57+1)/30.4375,1),"")</f>
        <v/>
      </c>
      <c r="U57" s="70" t="str">
        <f aca="false">IF(B57="","",IF(AND(N57="Sí",OR(E57="",NOT(ISNUMBER(F57)))),"⚠ Falta tipo de contrato o fecha de inicio",IF(NOT(ISNUMBER(F57)),"⚠ Falta fecha de inicio",IF(AND(N57="Sí",E57&lt;&gt;"Indefinido",NOT(ISNUMBER(G57))),"⚠ Falta fecha de término",IF(AND(D57="Paso a indefinido",E57&lt;&gt;"Indefinido"),"⚠ Un paso a indefinido debe tener tipo Indefinido",IF(N(Q57)&gt;=3,"⚠ 3er contrato a plazo fijo: por ley ya es INDEFINIDO (Art. 159 N°4)",IF(AND(E57="Plazo fijo",N(T57)&gt;12),"⚠ Plazo fijo mayor a 1 año (máx. legal; 2 años solo profesionales o técnicos)",IF(AND(ISNUMBER(G57),G57&lt;F57),"⚠ Término anterior al inicio",IF(AND(D57="Contrato inicial",ISNUMBER(J57),J57-F57&gt;15),"⚠ Escriturado fuera de plazo (Art. 9: 15 días)",IF(K57&lt;&gt;"Sí","Pendiente de firma","OK"))))))))))</f>
        <v/>
      </c>
    </row>
    <row r="58" customFormat="false" ht="15" hidden="false" customHeight="false" outlineLevel="0" collapsed="false">
      <c r="B58" s="64"/>
      <c r="C58" s="72" t="str">
        <f aca="false">IF(B58="","",IFERROR(INDEX(T_NOMBRE,MATCH(B58,T_ID,0)),"⚠ ID no existe en Trabajadores"))</f>
        <v/>
      </c>
      <c r="D58" s="64"/>
      <c r="E58" s="64"/>
      <c r="F58" s="65"/>
      <c r="G58" s="65"/>
      <c r="H58" s="67"/>
      <c r="I58" s="64"/>
      <c r="J58" s="65"/>
      <c r="K58" s="64"/>
      <c r="L58" s="64"/>
      <c r="M58" s="64"/>
      <c r="N58" s="72" t="str">
        <f aca="false">IF(B58="","",IF(D58="Anexo de modificación","No","Sí"))</f>
        <v/>
      </c>
      <c r="O58" s="73" t="str">
        <f aca="false">IF(AND(N58="Sí",ISNUMBER(F58)),COUNTIFS(C_ID,B58,C_DEFINE,"Sí",C_INICIO,"&lt;"&amp;F58)+COUNTIFS(B$7:B58,B58,N$7:N58,"Sí",F$7:F58,F58),"")</f>
        <v/>
      </c>
      <c r="P58" s="72" t="str">
        <f aca="false">IF(O58="","",B58&amp;"-P"&amp;O58)</f>
        <v/>
      </c>
      <c r="Q58" s="73" t="str">
        <f aca="false">IF(AND(N58="Sí",E58="Plazo fijo",ISNUMBER(F58)),COUNTIFS(C_ID,B58,C_TIPO,"Plazo fijo",C_DEFINE,"Sí",C_INICIO,"&lt;"&amp;F58)+COUNTIFS(B$7:B58,B58,E$7:E58,"Plazo fijo",N$7:N58,"Sí",F$7:F58,F58),"")</f>
        <v/>
      </c>
      <c r="R58" s="73" t="str">
        <f aca="false">IF(AND(B58&lt;&gt;"",ISNUMBER(H58),ISNUMBER(F58)),COUNTIFS(C_ID,B58,C_SUELDO,"&lt;&gt;",C_INICIO,"&lt;"&amp;F58)+COUNTIFS(B$7:B58,B58,H$7:H58,"&lt;&gt;",F$7:F58,F58),"")</f>
        <v/>
      </c>
      <c r="S58" s="72" t="str">
        <f aca="false">IF(R58="","",B58&amp;"-S"&amp;R58)</f>
        <v/>
      </c>
      <c r="T58" s="74" t="str">
        <f aca="false">IF(AND(ISNUMBER(F58),ISNUMBER(G58)),ROUND((G58-F58+1)/30.4375,1),"")</f>
        <v/>
      </c>
      <c r="U58" s="70" t="str">
        <f aca="false">IF(B58="","",IF(AND(N58="Sí",OR(E58="",NOT(ISNUMBER(F58)))),"⚠ Falta tipo de contrato o fecha de inicio",IF(NOT(ISNUMBER(F58)),"⚠ Falta fecha de inicio",IF(AND(N58="Sí",E58&lt;&gt;"Indefinido",NOT(ISNUMBER(G58))),"⚠ Falta fecha de término",IF(AND(D58="Paso a indefinido",E58&lt;&gt;"Indefinido"),"⚠ Un paso a indefinido debe tener tipo Indefinido",IF(N(Q58)&gt;=3,"⚠ 3er contrato a plazo fijo: por ley ya es INDEFINIDO (Art. 159 N°4)",IF(AND(E58="Plazo fijo",N(T58)&gt;12),"⚠ Plazo fijo mayor a 1 año (máx. legal; 2 años solo profesionales o técnicos)",IF(AND(ISNUMBER(G58),G58&lt;F58),"⚠ Término anterior al inicio",IF(AND(D58="Contrato inicial",ISNUMBER(J58),J58-F58&gt;15),"⚠ Escriturado fuera de plazo (Art. 9: 15 días)",IF(K58&lt;&gt;"Sí","Pendiente de firma","OK"))))))))))</f>
        <v/>
      </c>
    </row>
    <row r="59" customFormat="false" ht="15" hidden="false" customHeight="false" outlineLevel="0" collapsed="false">
      <c r="B59" s="64"/>
      <c r="C59" s="72" t="str">
        <f aca="false">IF(B59="","",IFERROR(INDEX(T_NOMBRE,MATCH(B59,T_ID,0)),"⚠ ID no existe en Trabajadores"))</f>
        <v/>
      </c>
      <c r="D59" s="64"/>
      <c r="E59" s="64"/>
      <c r="F59" s="65"/>
      <c r="G59" s="65"/>
      <c r="H59" s="67"/>
      <c r="I59" s="64"/>
      <c r="J59" s="65"/>
      <c r="K59" s="64"/>
      <c r="L59" s="64"/>
      <c r="M59" s="64"/>
      <c r="N59" s="72" t="str">
        <f aca="false">IF(B59="","",IF(D59="Anexo de modificación","No","Sí"))</f>
        <v/>
      </c>
      <c r="O59" s="73" t="str">
        <f aca="false">IF(AND(N59="Sí",ISNUMBER(F59)),COUNTIFS(C_ID,B59,C_DEFINE,"Sí",C_INICIO,"&lt;"&amp;F59)+COUNTIFS(B$7:B59,B59,N$7:N59,"Sí",F$7:F59,F59),"")</f>
        <v/>
      </c>
      <c r="P59" s="72" t="str">
        <f aca="false">IF(O59="","",B59&amp;"-P"&amp;O59)</f>
        <v/>
      </c>
      <c r="Q59" s="73" t="str">
        <f aca="false">IF(AND(N59="Sí",E59="Plazo fijo",ISNUMBER(F59)),COUNTIFS(C_ID,B59,C_TIPO,"Plazo fijo",C_DEFINE,"Sí",C_INICIO,"&lt;"&amp;F59)+COUNTIFS(B$7:B59,B59,E$7:E59,"Plazo fijo",N$7:N59,"Sí",F$7:F59,F59),"")</f>
        <v/>
      </c>
      <c r="R59" s="73" t="str">
        <f aca="false">IF(AND(B59&lt;&gt;"",ISNUMBER(H59),ISNUMBER(F59)),COUNTIFS(C_ID,B59,C_SUELDO,"&lt;&gt;",C_INICIO,"&lt;"&amp;F59)+COUNTIFS(B$7:B59,B59,H$7:H59,"&lt;&gt;",F$7:F59,F59),"")</f>
        <v/>
      </c>
      <c r="S59" s="72" t="str">
        <f aca="false">IF(R59="","",B59&amp;"-S"&amp;R59)</f>
        <v/>
      </c>
      <c r="T59" s="74" t="str">
        <f aca="false">IF(AND(ISNUMBER(F59),ISNUMBER(G59)),ROUND((G59-F59+1)/30.4375,1),"")</f>
        <v/>
      </c>
      <c r="U59" s="70" t="str">
        <f aca="false">IF(B59="","",IF(AND(N59="Sí",OR(E59="",NOT(ISNUMBER(F59)))),"⚠ Falta tipo de contrato o fecha de inicio",IF(NOT(ISNUMBER(F59)),"⚠ Falta fecha de inicio",IF(AND(N59="Sí",E59&lt;&gt;"Indefinido",NOT(ISNUMBER(G59))),"⚠ Falta fecha de término",IF(AND(D59="Paso a indefinido",E59&lt;&gt;"Indefinido"),"⚠ Un paso a indefinido debe tener tipo Indefinido",IF(N(Q59)&gt;=3,"⚠ 3er contrato a plazo fijo: por ley ya es INDEFINIDO (Art. 159 N°4)",IF(AND(E59="Plazo fijo",N(T59)&gt;12),"⚠ Plazo fijo mayor a 1 año (máx. legal; 2 años solo profesionales o técnicos)",IF(AND(ISNUMBER(G59),G59&lt;F59),"⚠ Término anterior al inicio",IF(AND(D59="Contrato inicial",ISNUMBER(J59),J59-F59&gt;15),"⚠ Escriturado fuera de plazo (Art. 9: 15 días)",IF(K59&lt;&gt;"Sí","Pendiente de firma","OK"))))))))))</f>
        <v/>
      </c>
    </row>
    <row r="60" customFormat="false" ht="15" hidden="false" customHeight="false" outlineLevel="0" collapsed="false">
      <c r="B60" s="64"/>
      <c r="C60" s="72" t="str">
        <f aca="false">IF(B60="","",IFERROR(INDEX(T_NOMBRE,MATCH(B60,T_ID,0)),"⚠ ID no existe en Trabajadores"))</f>
        <v/>
      </c>
      <c r="D60" s="64"/>
      <c r="E60" s="64"/>
      <c r="F60" s="65"/>
      <c r="G60" s="65"/>
      <c r="H60" s="67"/>
      <c r="I60" s="64"/>
      <c r="J60" s="65"/>
      <c r="K60" s="64"/>
      <c r="L60" s="64"/>
      <c r="M60" s="64"/>
      <c r="N60" s="72" t="str">
        <f aca="false">IF(B60="","",IF(D60="Anexo de modificación","No","Sí"))</f>
        <v/>
      </c>
      <c r="O60" s="73" t="str">
        <f aca="false">IF(AND(N60="Sí",ISNUMBER(F60)),COUNTIFS(C_ID,B60,C_DEFINE,"Sí",C_INICIO,"&lt;"&amp;F60)+COUNTIFS(B$7:B60,B60,N$7:N60,"Sí",F$7:F60,F60),"")</f>
        <v/>
      </c>
      <c r="P60" s="72" t="str">
        <f aca="false">IF(O60="","",B60&amp;"-P"&amp;O60)</f>
        <v/>
      </c>
      <c r="Q60" s="73" t="str">
        <f aca="false">IF(AND(N60="Sí",E60="Plazo fijo",ISNUMBER(F60)),COUNTIFS(C_ID,B60,C_TIPO,"Plazo fijo",C_DEFINE,"Sí",C_INICIO,"&lt;"&amp;F60)+COUNTIFS(B$7:B60,B60,E$7:E60,"Plazo fijo",N$7:N60,"Sí",F$7:F60,F60),"")</f>
        <v/>
      </c>
      <c r="R60" s="73" t="str">
        <f aca="false">IF(AND(B60&lt;&gt;"",ISNUMBER(H60),ISNUMBER(F60)),COUNTIFS(C_ID,B60,C_SUELDO,"&lt;&gt;",C_INICIO,"&lt;"&amp;F60)+COUNTIFS(B$7:B60,B60,H$7:H60,"&lt;&gt;",F$7:F60,F60),"")</f>
        <v/>
      </c>
      <c r="S60" s="72" t="str">
        <f aca="false">IF(R60="","",B60&amp;"-S"&amp;R60)</f>
        <v/>
      </c>
      <c r="T60" s="74" t="str">
        <f aca="false">IF(AND(ISNUMBER(F60),ISNUMBER(G60)),ROUND((G60-F60+1)/30.4375,1),"")</f>
        <v/>
      </c>
      <c r="U60" s="70" t="str">
        <f aca="false">IF(B60="","",IF(AND(N60="Sí",OR(E60="",NOT(ISNUMBER(F60)))),"⚠ Falta tipo de contrato o fecha de inicio",IF(NOT(ISNUMBER(F60)),"⚠ Falta fecha de inicio",IF(AND(N60="Sí",E60&lt;&gt;"Indefinido",NOT(ISNUMBER(G60))),"⚠ Falta fecha de término",IF(AND(D60="Paso a indefinido",E60&lt;&gt;"Indefinido"),"⚠ Un paso a indefinido debe tener tipo Indefinido",IF(N(Q60)&gt;=3,"⚠ 3er contrato a plazo fijo: por ley ya es INDEFINIDO (Art. 159 N°4)",IF(AND(E60="Plazo fijo",N(T60)&gt;12),"⚠ Plazo fijo mayor a 1 año (máx. legal; 2 años solo profesionales o técnicos)",IF(AND(ISNUMBER(G60),G60&lt;F60),"⚠ Término anterior al inicio",IF(AND(D60="Contrato inicial",ISNUMBER(J60),J60-F60&gt;15),"⚠ Escriturado fuera de plazo (Art. 9: 15 días)",IF(K60&lt;&gt;"Sí","Pendiente de firma","OK"))))))))))</f>
        <v/>
      </c>
    </row>
    <row r="61" customFormat="false" ht="15" hidden="false" customHeight="false" outlineLevel="0" collapsed="false">
      <c r="B61" s="64"/>
      <c r="C61" s="72" t="str">
        <f aca="false">IF(B61="","",IFERROR(INDEX(T_NOMBRE,MATCH(B61,T_ID,0)),"⚠ ID no existe en Trabajadores"))</f>
        <v/>
      </c>
      <c r="D61" s="64"/>
      <c r="E61" s="64"/>
      <c r="F61" s="65"/>
      <c r="G61" s="65"/>
      <c r="H61" s="67"/>
      <c r="I61" s="64"/>
      <c r="J61" s="65"/>
      <c r="K61" s="64"/>
      <c r="L61" s="64"/>
      <c r="M61" s="64"/>
      <c r="N61" s="72" t="str">
        <f aca="false">IF(B61="","",IF(D61="Anexo de modificación","No","Sí"))</f>
        <v/>
      </c>
      <c r="O61" s="73" t="str">
        <f aca="false">IF(AND(N61="Sí",ISNUMBER(F61)),COUNTIFS(C_ID,B61,C_DEFINE,"Sí",C_INICIO,"&lt;"&amp;F61)+COUNTIFS(B$7:B61,B61,N$7:N61,"Sí",F$7:F61,F61),"")</f>
        <v/>
      </c>
      <c r="P61" s="72" t="str">
        <f aca="false">IF(O61="","",B61&amp;"-P"&amp;O61)</f>
        <v/>
      </c>
      <c r="Q61" s="73" t="str">
        <f aca="false">IF(AND(N61="Sí",E61="Plazo fijo",ISNUMBER(F61)),COUNTIFS(C_ID,B61,C_TIPO,"Plazo fijo",C_DEFINE,"Sí",C_INICIO,"&lt;"&amp;F61)+COUNTIFS(B$7:B61,B61,E$7:E61,"Plazo fijo",N$7:N61,"Sí",F$7:F61,F61),"")</f>
        <v/>
      </c>
      <c r="R61" s="73" t="str">
        <f aca="false">IF(AND(B61&lt;&gt;"",ISNUMBER(H61),ISNUMBER(F61)),COUNTIFS(C_ID,B61,C_SUELDO,"&lt;&gt;",C_INICIO,"&lt;"&amp;F61)+COUNTIFS(B$7:B61,B61,H$7:H61,"&lt;&gt;",F$7:F61,F61),"")</f>
        <v/>
      </c>
      <c r="S61" s="72" t="str">
        <f aca="false">IF(R61="","",B61&amp;"-S"&amp;R61)</f>
        <v/>
      </c>
      <c r="T61" s="74" t="str">
        <f aca="false">IF(AND(ISNUMBER(F61),ISNUMBER(G61)),ROUND((G61-F61+1)/30.4375,1),"")</f>
        <v/>
      </c>
      <c r="U61" s="70" t="str">
        <f aca="false">IF(B61="","",IF(AND(N61="Sí",OR(E61="",NOT(ISNUMBER(F61)))),"⚠ Falta tipo de contrato o fecha de inicio",IF(NOT(ISNUMBER(F61)),"⚠ Falta fecha de inicio",IF(AND(N61="Sí",E61&lt;&gt;"Indefinido",NOT(ISNUMBER(G61))),"⚠ Falta fecha de término",IF(AND(D61="Paso a indefinido",E61&lt;&gt;"Indefinido"),"⚠ Un paso a indefinido debe tener tipo Indefinido",IF(N(Q61)&gt;=3,"⚠ 3er contrato a plazo fijo: por ley ya es INDEFINIDO (Art. 159 N°4)",IF(AND(E61="Plazo fijo",N(T61)&gt;12),"⚠ Plazo fijo mayor a 1 año (máx. legal; 2 años solo profesionales o técnicos)",IF(AND(ISNUMBER(G61),G61&lt;F61),"⚠ Término anterior al inicio",IF(AND(D61="Contrato inicial",ISNUMBER(J61),J61-F61&gt;15),"⚠ Escriturado fuera de plazo (Art. 9: 15 días)",IF(K61&lt;&gt;"Sí","Pendiente de firma","OK"))))))))))</f>
        <v/>
      </c>
    </row>
    <row r="62" customFormat="false" ht="15" hidden="false" customHeight="false" outlineLevel="0" collapsed="false">
      <c r="B62" s="64"/>
      <c r="C62" s="72" t="str">
        <f aca="false">IF(B62="","",IFERROR(INDEX(T_NOMBRE,MATCH(B62,T_ID,0)),"⚠ ID no existe en Trabajadores"))</f>
        <v/>
      </c>
      <c r="D62" s="64"/>
      <c r="E62" s="64"/>
      <c r="F62" s="65"/>
      <c r="G62" s="65"/>
      <c r="H62" s="67"/>
      <c r="I62" s="64"/>
      <c r="J62" s="65"/>
      <c r="K62" s="64"/>
      <c r="L62" s="64"/>
      <c r="M62" s="64"/>
      <c r="N62" s="72" t="str">
        <f aca="false">IF(B62="","",IF(D62="Anexo de modificación","No","Sí"))</f>
        <v/>
      </c>
      <c r="O62" s="73" t="str">
        <f aca="false">IF(AND(N62="Sí",ISNUMBER(F62)),COUNTIFS(C_ID,B62,C_DEFINE,"Sí",C_INICIO,"&lt;"&amp;F62)+COUNTIFS(B$7:B62,B62,N$7:N62,"Sí",F$7:F62,F62),"")</f>
        <v/>
      </c>
      <c r="P62" s="72" t="str">
        <f aca="false">IF(O62="","",B62&amp;"-P"&amp;O62)</f>
        <v/>
      </c>
      <c r="Q62" s="73" t="str">
        <f aca="false">IF(AND(N62="Sí",E62="Plazo fijo",ISNUMBER(F62)),COUNTIFS(C_ID,B62,C_TIPO,"Plazo fijo",C_DEFINE,"Sí",C_INICIO,"&lt;"&amp;F62)+COUNTIFS(B$7:B62,B62,E$7:E62,"Plazo fijo",N$7:N62,"Sí",F$7:F62,F62),"")</f>
        <v/>
      </c>
      <c r="R62" s="73" t="str">
        <f aca="false">IF(AND(B62&lt;&gt;"",ISNUMBER(H62),ISNUMBER(F62)),COUNTIFS(C_ID,B62,C_SUELDO,"&lt;&gt;",C_INICIO,"&lt;"&amp;F62)+COUNTIFS(B$7:B62,B62,H$7:H62,"&lt;&gt;",F$7:F62,F62),"")</f>
        <v/>
      </c>
      <c r="S62" s="72" t="str">
        <f aca="false">IF(R62="","",B62&amp;"-S"&amp;R62)</f>
        <v/>
      </c>
      <c r="T62" s="74" t="str">
        <f aca="false">IF(AND(ISNUMBER(F62),ISNUMBER(G62)),ROUND((G62-F62+1)/30.4375,1),"")</f>
        <v/>
      </c>
      <c r="U62" s="70" t="str">
        <f aca="false">IF(B62="","",IF(AND(N62="Sí",OR(E62="",NOT(ISNUMBER(F62)))),"⚠ Falta tipo de contrato o fecha de inicio",IF(NOT(ISNUMBER(F62)),"⚠ Falta fecha de inicio",IF(AND(N62="Sí",E62&lt;&gt;"Indefinido",NOT(ISNUMBER(G62))),"⚠ Falta fecha de término",IF(AND(D62="Paso a indefinido",E62&lt;&gt;"Indefinido"),"⚠ Un paso a indefinido debe tener tipo Indefinido",IF(N(Q62)&gt;=3,"⚠ 3er contrato a plazo fijo: por ley ya es INDEFINIDO (Art. 159 N°4)",IF(AND(E62="Plazo fijo",N(T62)&gt;12),"⚠ Plazo fijo mayor a 1 año (máx. legal; 2 años solo profesionales o técnicos)",IF(AND(ISNUMBER(G62),G62&lt;F62),"⚠ Término anterior al inicio",IF(AND(D62="Contrato inicial",ISNUMBER(J62),J62-F62&gt;15),"⚠ Escriturado fuera de plazo (Art. 9: 15 días)",IF(K62&lt;&gt;"Sí","Pendiente de firma","OK"))))))))))</f>
        <v/>
      </c>
    </row>
    <row r="63" customFormat="false" ht="15" hidden="false" customHeight="false" outlineLevel="0" collapsed="false">
      <c r="B63" s="64"/>
      <c r="C63" s="72" t="str">
        <f aca="false">IF(B63="","",IFERROR(INDEX(T_NOMBRE,MATCH(B63,T_ID,0)),"⚠ ID no existe en Trabajadores"))</f>
        <v/>
      </c>
      <c r="D63" s="64"/>
      <c r="E63" s="64"/>
      <c r="F63" s="65"/>
      <c r="G63" s="65"/>
      <c r="H63" s="67"/>
      <c r="I63" s="64"/>
      <c r="J63" s="65"/>
      <c r="K63" s="64"/>
      <c r="L63" s="64"/>
      <c r="M63" s="64"/>
      <c r="N63" s="72" t="str">
        <f aca="false">IF(B63="","",IF(D63="Anexo de modificación","No","Sí"))</f>
        <v/>
      </c>
      <c r="O63" s="73" t="str">
        <f aca="false">IF(AND(N63="Sí",ISNUMBER(F63)),COUNTIFS(C_ID,B63,C_DEFINE,"Sí",C_INICIO,"&lt;"&amp;F63)+COUNTIFS(B$7:B63,B63,N$7:N63,"Sí",F$7:F63,F63),"")</f>
        <v/>
      </c>
      <c r="P63" s="72" t="str">
        <f aca="false">IF(O63="","",B63&amp;"-P"&amp;O63)</f>
        <v/>
      </c>
      <c r="Q63" s="73" t="str">
        <f aca="false">IF(AND(N63="Sí",E63="Plazo fijo",ISNUMBER(F63)),COUNTIFS(C_ID,B63,C_TIPO,"Plazo fijo",C_DEFINE,"Sí",C_INICIO,"&lt;"&amp;F63)+COUNTIFS(B$7:B63,B63,E$7:E63,"Plazo fijo",N$7:N63,"Sí",F$7:F63,F63),"")</f>
        <v/>
      </c>
      <c r="R63" s="73" t="str">
        <f aca="false">IF(AND(B63&lt;&gt;"",ISNUMBER(H63),ISNUMBER(F63)),COUNTIFS(C_ID,B63,C_SUELDO,"&lt;&gt;",C_INICIO,"&lt;"&amp;F63)+COUNTIFS(B$7:B63,B63,H$7:H63,"&lt;&gt;",F$7:F63,F63),"")</f>
        <v/>
      </c>
      <c r="S63" s="72" t="str">
        <f aca="false">IF(R63="","",B63&amp;"-S"&amp;R63)</f>
        <v/>
      </c>
      <c r="T63" s="74" t="str">
        <f aca="false">IF(AND(ISNUMBER(F63),ISNUMBER(G63)),ROUND((G63-F63+1)/30.4375,1),"")</f>
        <v/>
      </c>
      <c r="U63" s="70" t="str">
        <f aca="false">IF(B63="","",IF(AND(N63="Sí",OR(E63="",NOT(ISNUMBER(F63)))),"⚠ Falta tipo de contrato o fecha de inicio",IF(NOT(ISNUMBER(F63)),"⚠ Falta fecha de inicio",IF(AND(N63="Sí",E63&lt;&gt;"Indefinido",NOT(ISNUMBER(G63))),"⚠ Falta fecha de término",IF(AND(D63="Paso a indefinido",E63&lt;&gt;"Indefinido"),"⚠ Un paso a indefinido debe tener tipo Indefinido",IF(N(Q63)&gt;=3,"⚠ 3er contrato a plazo fijo: por ley ya es INDEFINIDO (Art. 159 N°4)",IF(AND(E63="Plazo fijo",N(T63)&gt;12),"⚠ Plazo fijo mayor a 1 año (máx. legal; 2 años solo profesionales o técnicos)",IF(AND(ISNUMBER(G63),G63&lt;F63),"⚠ Término anterior al inicio",IF(AND(D63="Contrato inicial",ISNUMBER(J63),J63-F63&gt;15),"⚠ Escriturado fuera de plazo (Art. 9: 15 días)",IF(K63&lt;&gt;"Sí","Pendiente de firma","OK"))))))))))</f>
        <v/>
      </c>
    </row>
    <row r="64" customFormat="false" ht="15" hidden="false" customHeight="false" outlineLevel="0" collapsed="false">
      <c r="B64" s="64"/>
      <c r="C64" s="72" t="str">
        <f aca="false">IF(B64="","",IFERROR(INDEX(T_NOMBRE,MATCH(B64,T_ID,0)),"⚠ ID no existe en Trabajadores"))</f>
        <v/>
      </c>
      <c r="D64" s="64"/>
      <c r="E64" s="64"/>
      <c r="F64" s="65"/>
      <c r="G64" s="65"/>
      <c r="H64" s="67"/>
      <c r="I64" s="64"/>
      <c r="J64" s="65"/>
      <c r="K64" s="64"/>
      <c r="L64" s="64"/>
      <c r="M64" s="64"/>
      <c r="N64" s="72" t="str">
        <f aca="false">IF(B64="","",IF(D64="Anexo de modificación","No","Sí"))</f>
        <v/>
      </c>
      <c r="O64" s="73" t="str">
        <f aca="false">IF(AND(N64="Sí",ISNUMBER(F64)),COUNTIFS(C_ID,B64,C_DEFINE,"Sí",C_INICIO,"&lt;"&amp;F64)+COUNTIFS(B$7:B64,B64,N$7:N64,"Sí",F$7:F64,F64),"")</f>
        <v/>
      </c>
      <c r="P64" s="72" t="str">
        <f aca="false">IF(O64="","",B64&amp;"-P"&amp;O64)</f>
        <v/>
      </c>
      <c r="Q64" s="73" t="str">
        <f aca="false">IF(AND(N64="Sí",E64="Plazo fijo",ISNUMBER(F64)),COUNTIFS(C_ID,B64,C_TIPO,"Plazo fijo",C_DEFINE,"Sí",C_INICIO,"&lt;"&amp;F64)+COUNTIFS(B$7:B64,B64,E$7:E64,"Plazo fijo",N$7:N64,"Sí",F$7:F64,F64),"")</f>
        <v/>
      </c>
      <c r="R64" s="73" t="str">
        <f aca="false">IF(AND(B64&lt;&gt;"",ISNUMBER(H64),ISNUMBER(F64)),COUNTIFS(C_ID,B64,C_SUELDO,"&lt;&gt;",C_INICIO,"&lt;"&amp;F64)+COUNTIFS(B$7:B64,B64,H$7:H64,"&lt;&gt;",F$7:F64,F64),"")</f>
        <v/>
      </c>
      <c r="S64" s="72" t="str">
        <f aca="false">IF(R64="","",B64&amp;"-S"&amp;R64)</f>
        <v/>
      </c>
      <c r="T64" s="74" t="str">
        <f aca="false">IF(AND(ISNUMBER(F64),ISNUMBER(G64)),ROUND((G64-F64+1)/30.4375,1),"")</f>
        <v/>
      </c>
      <c r="U64" s="70" t="str">
        <f aca="false">IF(B64="","",IF(AND(N64="Sí",OR(E64="",NOT(ISNUMBER(F64)))),"⚠ Falta tipo de contrato o fecha de inicio",IF(NOT(ISNUMBER(F64)),"⚠ Falta fecha de inicio",IF(AND(N64="Sí",E64&lt;&gt;"Indefinido",NOT(ISNUMBER(G64))),"⚠ Falta fecha de término",IF(AND(D64="Paso a indefinido",E64&lt;&gt;"Indefinido"),"⚠ Un paso a indefinido debe tener tipo Indefinido",IF(N(Q64)&gt;=3,"⚠ 3er contrato a plazo fijo: por ley ya es INDEFINIDO (Art. 159 N°4)",IF(AND(E64="Plazo fijo",N(T64)&gt;12),"⚠ Plazo fijo mayor a 1 año (máx. legal; 2 años solo profesionales o técnicos)",IF(AND(ISNUMBER(G64),G64&lt;F64),"⚠ Término anterior al inicio",IF(AND(D64="Contrato inicial",ISNUMBER(J64),J64-F64&gt;15),"⚠ Escriturado fuera de plazo (Art. 9: 15 días)",IF(K64&lt;&gt;"Sí","Pendiente de firma","OK"))))))))))</f>
        <v/>
      </c>
    </row>
    <row r="65" customFormat="false" ht="15" hidden="false" customHeight="false" outlineLevel="0" collapsed="false">
      <c r="B65" s="64"/>
      <c r="C65" s="72" t="str">
        <f aca="false">IF(B65="","",IFERROR(INDEX(T_NOMBRE,MATCH(B65,T_ID,0)),"⚠ ID no existe en Trabajadores"))</f>
        <v/>
      </c>
      <c r="D65" s="64"/>
      <c r="E65" s="64"/>
      <c r="F65" s="65"/>
      <c r="G65" s="65"/>
      <c r="H65" s="67"/>
      <c r="I65" s="64"/>
      <c r="J65" s="65"/>
      <c r="K65" s="64"/>
      <c r="L65" s="64"/>
      <c r="M65" s="64"/>
      <c r="N65" s="72" t="str">
        <f aca="false">IF(B65="","",IF(D65="Anexo de modificación","No","Sí"))</f>
        <v/>
      </c>
      <c r="O65" s="73" t="str">
        <f aca="false">IF(AND(N65="Sí",ISNUMBER(F65)),COUNTIFS(C_ID,B65,C_DEFINE,"Sí",C_INICIO,"&lt;"&amp;F65)+COUNTIFS(B$7:B65,B65,N$7:N65,"Sí",F$7:F65,F65),"")</f>
        <v/>
      </c>
      <c r="P65" s="72" t="str">
        <f aca="false">IF(O65="","",B65&amp;"-P"&amp;O65)</f>
        <v/>
      </c>
      <c r="Q65" s="73" t="str">
        <f aca="false">IF(AND(N65="Sí",E65="Plazo fijo",ISNUMBER(F65)),COUNTIFS(C_ID,B65,C_TIPO,"Plazo fijo",C_DEFINE,"Sí",C_INICIO,"&lt;"&amp;F65)+COUNTIFS(B$7:B65,B65,E$7:E65,"Plazo fijo",N$7:N65,"Sí",F$7:F65,F65),"")</f>
        <v/>
      </c>
      <c r="R65" s="73" t="str">
        <f aca="false">IF(AND(B65&lt;&gt;"",ISNUMBER(H65),ISNUMBER(F65)),COUNTIFS(C_ID,B65,C_SUELDO,"&lt;&gt;",C_INICIO,"&lt;"&amp;F65)+COUNTIFS(B$7:B65,B65,H$7:H65,"&lt;&gt;",F$7:F65,F65),"")</f>
        <v/>
      </c>
      <c r="S65" s="72" t="str">
        <f aca="false">IF(R65="","",B65&amp;"-S"&amp;R65)</f>
        <v/>
      </c>
      <c r="T65" s="74" t="str">
        <f aca="false">IF(AND(ISNUMBER(F65),ISNUMBER(G65)),ROUND((G65-F65+1)/30.4375,1),"")</f>
        <v/>
      </c>
      <c r="U65" s="70" t="str">
        <f aca="false">IF(B65="","",IF(AND(N65="Sí",OR(E65="",NOT(ISNUMBER(F65)))),"⚠ Falta tipo de contrato o fecha de inicio",IF(NOT(ISNUMBER(F65)),"⚠ Falta fecha de inicio",IF(AND(N65="Sí",E65&lt;&gt;"Indefinido",NOT(ISNUMBER(G65))),"⚠ Falta fecha de término",IF(AND(D65="Paso a indefinido",E65&lt;&gt;"Indefinido"),"⚠ Un paso a indefinido debe tener tipo Indefinido",IF(N(Q65)&gt;=3,"⚠ 3er contrato a plazo fijo: por ley ya es INDEFINIDO (Art. 159 N°4)",IF(AND(E65="Plazo fijo",N(T65)&gt;12),"⚠ Plazo fijo mayor a 1 año (máx. legal; 2 años solo profesionales o técnicos)",IF(AND(ISNUMBER(G65),G65&lt;F65),"⚠ Término anterior al inicio",IF(AND(D65="Contrato inicial",ISNUMBER(J65),J65-F65&gt;15),"⚠ Escriturado fuera de plazo (Art. 9: 15 días)",IF(K65&lt;&gt;"Sí","Pendiente de firma","OK"))))))))))</f>
        <v/>
      </c>
    </row>
    <row r="66" customFormat="false" ht="15" hidden="false" customHeight="false" outlineLevel="0" collapsed="false">
      <c r="B66" s="64"/>
      <c r="C66" s="72" t="str">
        <f aca="false">IF(B66="","",IFERROR(INDEX(T_NOMBRE,MATCH(B66,T_ID,0)),"⚠ ID no existe en Trabajadores"))</f>
        <v/>
      </c>
      <c r="D66" s="64"/>
      <c r="E66" s="64"/>
      <c r="F66" s="65"/>
      <c r="G66" s="65"/>
      <c r="H66" s="67"/>
      <c r="I66" s="64"/>
      <c r="J66" s="65"/>
      <c r="K66" s="64"/>
      <c r="L66" s="64"/>
      <c r="M66" s="64"/>
      <c r="N66" s="72" t="str">
        <f aca="false">IF(B66="","",IF(D66="Anexo de modificación","No","Sí"))</f>
        <v/>
      </c>
      <c r="O66" s="73" t="str">
        <f aca="false">IF(AND(N66="Sí",ISNUMBER(F66)),COUNTIFS(C_ID,B66,C_DEFINE,"Sí",C_INICIO,"&lt;"&amp;F66)+COUNTIFS(B$7:B66,B66,N$7:N66,"Sí",F$7:F66,F66),"")</f>
        <v/>
      </c>
      <c r="P66" s="72" t="str">
        <f aca="false">IF(O66="","",B66&amp;"-P"&amp;O66)</f>
        <v/>
      </c>
      <c r="Q66" s="73" t="str">
        <f aca="false">IF(AND(N66="Sí",E66="Plazo fijo",ISNUMBER(F66)),COUNTIFS(C_ID,B66,C_TIPO,"Plazo fijo",C_DEFINE,"Sí",C_INICIO,"&lt;"&amp;F66)+COUNTIFS(B$7:B66,B66,E$7:E66,"Plazo fijo",N$7:N66,"Sí",F$7:F66,F66),"")</f>
        <v/>
      </c>
      <c r="R66" s="73" t="str">
        <f aca="false">IF(AND(B66&lt;&gt;"",ISNUMBER(H66),ISNUMBER(F66)),COUNTIFS(C_ID,B66,C_SUELDO,"&lt;&gt;",C_INICIO,"&lt;"&amp;F66)+COUNTIFS(B$7:B66,B66,H$7:H66,"&lt;&gt;",F$7:F66,F66),"")</f>
        <v/>
      </c>
      <c r="S66" s="72" t="str">
        <f aca="false">IF(R66="","",B66&amp;"-S"&amp;R66)</f>
        <v/>
      </c>
      <c r="T66" s="74" t="str">
        <f aca="false">IF(AND(ISNUMBER(F66),ISNUMBER(G66)),ROUND((G66-F66+1)/30.4375,1),"")</f>
        <v/>
      </c>
      <c r="U66" s="70" t="str">
        <f aca="false">IF(B66="","",IF(AND(N66="Sí",OR(E66="",NOT(ISNUMBER(F66)))),"⚠ Falta tipo de contrato o fecha de inicio",IF(NOT(ISNUMBER(F66)),"⚠ Falta fecha de inicio",IF(AND(N66="Sí",E66&lt;&gt;"Indefinido",NOT(ISNUMBER(G66))),"⚠ Falta fecha de término",IF(AND(D66="Paso a indefinido",E66&lt;&gt;"Indefinido"),"⚠ Un paso a indefinido debe tener tipo Indefinido",IF(N(Q66)&gt;=3,"⚠ 3er contrato a plazo fijo: por ley ya es INDEFINIDO (Art. 159 N°4)",IF(AND(E66="Plazo fijo",N(T66)&gt;12),"⚠ Plazo fijo mayor a 1 año (máx. legal; 2 años solo profesionales o técnicos)",IF(AND(ISNUMBER(G66),G66&lt;F66),"⚠ Término anterior al inicio",IF(AND(D66="Contrato inicial",ISNUMBER(J66),J66-F66&gt;15),"⚠ Escriturado fuera de plazo (Art. 9: 15 días)",IF(K66&lt;&gt;"Sí","Pendiente de firma","OK"))))))))))</f>
        <v/>
      </c>
    </row>
    <row r="67" customFormat="false" ht="15" hidden="false" customHeight="false" outlineLevel="0" collapsed="false">
      <c r="B67" s="64"/>
      <c r="C67" s="72" t="str">
        <f aca="false">IF(B67="","",IFERROR(INDEX(T_NOMBRE,MATCH(B67,T_ID,0)),"⚠ ID no existe en Trabajadores"))</f>
        <v/>
      </c>
      <c r="D67" s="64"/>
      <c r="E67" s="64"/>
      <c r="F67" s="65"/>
      <c r="G67" s="65"/>
      <c r="H67" s="67"/>
      <c r="I67" s="64"/>
      <c r="J67" s="65"/>
      <c r="K67" s="64"/>
      <c r="L67" s="64"/>
      <c r="M67" s="64"/>
      <c r="N67" s="72" t="str">
        <f aca="false">IF(B67="","",IF(D67="Anexo de modificación","No","Sí"))</f>
        <v/>
      </c>
      <c r="O67" s="73" t="str">
        <f aca="false">IF(AND(N67="Sí",ISNUMBER(F67)),COUNTIFS(C_ID,B67,C_DEFINE,"Sí",C_INICIO,"&lt;"&amp;F67)+COUNTIFS(B$7:B67,B67,N$7:N67,"Sí",F$7:F67,F67),"")</f>
        <v/>
      </c>
      <c r="P67" s="72" t="str">
        <f aca="false">IF(O67="","",B67&amp;"-P"&amp;O67)</f>
        <v/>
      </c>
      <c r="Q67" s="73" t="str">
        <f aca="false">IF(AND(N67="Sí",E67="Plazo fijo",ISNUMBER(F67)),COUNTIFS(C_ID,B67,C_TIPO,"Plazo fijo",C_DEFINE,"Sí",C_INICIO,"&lt;"&amp;F67)+COUNTIFS(B$7:B67,B67,E$7:E67,"Plazo fijo",N$7:N67,"Sí",F$7:F67,F67),"")</f>
        <v/>
      </c>
      <c r="R67" s="73" t="str">
        <f aca="false">IF(AND(B67&lt;&gt;"",ISNUMBER(H67),ISNUMBER(F67)),COUNTIFS(C_ID,B67,C_SUELDO,"&lt;&gt;",C_INICIO,"&lt;"&amp;F67)+COUNTIFS(B$7:B67,B67,H$7:H67,"&lt;&gt;",F$7:F67,F67),"")</f>
        <v/>
      </c>
      <c r="S67" s="72" t="str">
        <f aca="false">IF(R67="","",B67&amp;"-S"&amp;R67)</f>
        <v/>
      </c>
      <c r="T67" s="74" t="str">
        <f aca="false">IF(AND(ISNUMBER(F67),ISNUMBER(G67)),ROUND((G67-F67+1)/30.4375,1),"")</f>
        <v/>
      </c>
      <c r="U67" s="70" t="str">
        <f aca="false">IF(B67="","",IF(AND(N67="Sí",OR(E67="",NOT(ISNUMBER(F67)))),"⚠ Falta tipo de contrato o fecha de inicio",IF(NOT(ISNUMBER(F67)),"⚠ Falta fecha de inicio",IF(AND(N67="Sí",E67&lt;&gt;"Indefinido",NOT(ISNUMBER(G67))),"⚠ Falta fecha de término",IF(AND(D67="Paso a indefinido",E67&lt;&gt;"Indefinido"),"⚠ Un paso a indefinido debe tener tipo Indefinido",IF(N(Q67)&gt;=3,"⚠ 3er contrato a plazo fijo: por ley ya es INDEFINIDO (Art. 159 N°4)",IF(AND(E67="Plazo fijo",N(T67)&gt;12),"⚠ Plazo fijo mayor a 1 año (máx. legal; 2 años solo profesionales o técnicos)",IF(AND(ISNUMBER(G67),G67&lt;F67),"⚠ Término anterior al inicio",IF(AND(D67="Contrato inicial",ISNUMBER(J67),J67-F67&gt;15),"⚠ Escriturado fuera de plazo (Art. 9: 15 días)",IF(K67&lt;&gt;"Sí","Pendiente de firma","OK"))))))))))</f>
        <v/>
      </c>
    </row>
    <row r="68" customFormat="false" ht="15" hidden="false" customHeight="false" outlineLevel="0" collapsed="false">
      <c r="B68" s="64"/>
      <c r="C68" s="72" t="str">
        <f aca="false">IF(B68="","",IFERROR(INDEX(T_NOMBRE,MATCH(B68,T_ID,0)),"⚠ ID no existe en Trabajadores"))</f>
        <v/>
      </c>
      <c r="D68" s="64"/>
      <c r="E68" s="64"/>
      <c r="F68" s="65"/>
      <c r="G68" s="65"/>
      <c r="H68" s="67"/>
      <c r="I68" s="64"/>
      <c r="J68" s="65"/>
      <c r="K68" s="64"/>
      <c r="L68" s="64"/>
      <c r="M68" s="64"/>
      <c r="N68" s="72" t="str">
        <f aca="false">IF(B68="","",IF(D68="Anexo de modificación","No","Sí"))</f>
        <v/>
      </c>
      <c r="O68" s="73" t="str">
        <f aca="false">IF(AND(N68="Sí",ISNUMBER(F68)),COUNTIFS(C_ID,B68,C_DEFINE,"Sí",C_INICIO,"&lt;"&amp;F68)+COUNTIFS(B$7:B68,B68,N$7:N68,"Sí",F$7:F68,F68),"")</f>
        <v/>
      </c>
      <c r="P68" s="72" t="str">
        <f aca="false">IF(O68="","",B68&amp;"-P"&amp;O68)</f>
        <v/>
      </c>
      <c r="Q68" s="73" t="str">
        <f aca="false">IF(AND(N68="Sí",E68="Plazo fijo",ISNUMBER(F68)),COUNTIFS(C_ID,B68,C_TIPO,"Plazo fijo",C_DEFINE,"Sí",C_INICIO,"&lt;"&amp;F68)+COUNTIFS(B$7:B68,B68,E$7:E68,"Plazo fijo",N$7:N68,"Sí",F$7:F68,F68),"")</f>
        <v/>
      </c>
      <c r="R68" s="73" t="str">
        <f aca="false">IF(AND(B68&lt;&gt;"",ISNUMBER(H68),ISNUMBER(F68)),COUNTIFS(C_ID,B68,C_SUELDO,"&lt;&gt;",C_INICIO,"&lt;"&amp;F68)+COUNTIFS(B$7:B68,B68,H$7:H68,"&lt;&gt;",F$7:F68,F68),"")</f>
        <v/>
      </c>
      <c r="S68" s="72" t="str">
        <f aca="false">IF(R68="","",B68&amp;"-S"&amp;R68)</f>
        <v/>
      </c>
      <c r="T68" s="74" t="str">
        <f aca="false">IF(AND(ISNUMBER(F68),ISNUMBER(G68)),ROUND((G68-F68+1)/30.4375,1),"")</f>
        <v/>
      </c>
      <c r="U68" s="70" t="str">
        <f aca="false">IF(B68="","",IF(AND(N68="Sí",OR(E68="",NOT(ISNUMBER(F68)))),"⚠ Falta tipo de contrato o fecha de inicio",IF(NOT(ISNUMBER(F68)),"⚠ Falta fecha de inicio",IF(AND(N68="Sí",E68&lt;&gt;"Indefinido",NOT(ISNUMBER(G68))),"⚠ Falta fecha de término",IF(AND(D68="Paso a indefinido",E68&lt;&gt;"Indefinido"),"⚠ Un paso a indefinido debe tener tipo Indefinido",IF(N(Q68)&gt;=3,"⚠ 3er contrato a plazo fijo: por ley ya es INDEFINIDO (Art. 159 N°4)",IF(AND(E68="Plazo fijo",N(T68)&gt;12),"⚠ Plazo fijo mayor a 1 año (máx. legal; 2 años solo profesionales o técnicos)",IF(AND(ISNUMBER(G68),G68&lt;F68),"⚠ Término anterior al inicio",IF(AND(D68="Contrato inicial",ISNUMBER(J68),J68-F68&gt;15),"⚠ Escriturado fuera de plazo (Art. 9: 15 días)",IF(K68&lt;&gt;"Sí","Pendiente de firma","OK"))))))))))</f>
        <v/>
      </c>
    </row>
    <row r="69" customFormat="false" ht="15" hidden="false" customHeight="false" outlineLevel="0" collapsed="false">
      <c r="B69" s="64"/>
      <c r="C69" s="72" t="str">
        <f aca="false">IF(B69="","",IFERROR(INDEX(T_NOMBRE,MATCH(B69,T_ID,0)),"⚠ ID no existe en Trabajadores"))</f>
        <v/>
      </c>
      <c r="D69" s="64"/>
      <c r="E69" s="64"/>
      <c r="F69" s="65"/>
      <c r="G69" s="65"/>
      <c r="H69" s="67"/>
      <c r="I69" s="64"/>
      <c r="J69" s="65"/>
      <c r="K69" s="64"/>
      <c r="L69" s="64"/>
      <c r="M69" s="64"/>
      <c r="N69" s="72" t="str">
        <f aca="false">IF(B69="","",IF(D69="Anexo de modificación","No","Sí"))</f>
        <v/>
      </c>
      <c r="O69" s="73" t="str">
        <f aca="false">IF(AND(N69="Sí",ISNUMBER(F69)),COUNTIFS(C_ID,B69,C_DEFINE,"Sí",C_INICIO,"&lt;"&amp;F69)+COUNTIFS(B$7:B69,B69,N$7:N69,"Sí",F$7:F69,F69),"")</f>
        <v/>
      </c>
      <c r="P69" s="72" t="str">
        <f aca="false">IF(O69="","",B69&amp;"-P"&amp;O69)</f>
        <v/>
      </c>
      <c r="Q69" s="73" t="str">
        <f aca="false">IF(AND(N69="Sí",E69="Plazo fijo",ISNUMBER(F69)),COUNTIFS(C_ID,B69,C_TIPO,"Plazo fijo",C_DEFINE,"Sí",C_INICIO,"&lt;"&amp;F69)+COUNTIFS(B$7:B69,B69,E$7:E69,"Plazo fijo",N$7:N69,"Sí",F$7:F69,F69),"")</f>
        <v/>
      </c>
      <c r="R69" s="73" t="str">
        <f aca="false">IF(AND(B69&lt;&gt;"",ISNUMBER(H69),ISNUMBER(F69)),COUNTIFS(C_ID,B69,C_SUELDO,"&lt;&gt;",C_INICIO,"&lt;"&amp;F69)+COUNTIFS(B$7:B69,B69,H$7:H69,"&lt;&gt;",F$7:F69,F69),"")</f>
        <v/>
      </c>
      <c r="S69" s="72" t="str">
        <f aca="false">IF(R69="","",B69&amp;"-S"&amp;R69)</f>
        <v/>
      </c>
      <c r="T69" s="74" t="str">
        <f aca="false">IF(AND(ISNUMBER(F69),ISNUMBER(G69)),ROUND((G69-F69+1)/30.4375,1),"")</f>
        <v/>
      </c>
      <c r="U69" s="70" t="str">
        <f aca="false">IF(B69="","",IF(AND(N69="Sí",OR(E69="",NOT(ISNUMBER(F69)))),"⚠ Falta tipo de contrato o fecha de inicio",IF(NOT(ISNUMBER(F69)),"⚠ Falta fecha de inicio",IF(AND(N69="Sí",E69&lt;&gt;"Indefinido",NOT(ISNUMBER(G69))),"⚠ Falta fecha de término",IF(AND(D69="Paso a indefinido",E69&lt;&gt;"Indefinido"),"⚠ Un paso a indefinido debe tener tipo Indefinido",IF(N(Q69)&gt;=3,"⚠ 3er contrato a plazo fijo: por ley ya es INDEFINIDO (Art. 159 N°4)",IF(AND(E69="Plazo fijo",N(T69)&gt;12),"⚠ Plazo fijo mayor a 1 año (máx. legal; 2 años solo profesionales o técnicos)",IF(AND(ISNUMBER(G69),G69&lt;F69),"⚠ Término anterior al inicio",IF(AND(D69="Contrato inicial",ISNUMBER(J69),J69-F69&gt;15),"⚠ Escriturado fuera de plazo (Art. 9: 15 días)",IF(K69&lt;&gt;"Sí","Pendiente de firma","OK"))))))))))</f>
        <v/>
      </c>
    </row>
    <row r="70" customFormat="false" ht="15" hidden="false" customHeight="false" outlineLevel="0" collapsed="false">
      <c r="B70" s="64"/>
      <c r="C70" s="72" t="str">
        <f aca="false">IF(B70="","",IFERROR(INDEX(T_NOMBRE,MATCH(B70,T_ID,0)),"⚠ ID no existe en Trabajadores"))</f>
        <v/>
      </c>
      <c r="D70" s="64"/>
      <c r="E70" s="64"/>
      <c r="F70" s="65"/>
      <c r="G70" s="65"/>
      <c r="H70" s="67"/>
      <c r="I70" s="64"/>
      <c r="J70" s="65"/>
      <c r="K70" s="64"/>
      <c r="L70" s="64"/>
      <c r="M70" s="64"/>
      <c r="N70" s="72" t="str">
        <f aca="false">IF(B70="","",IF(D70="Anexo de modificación","No","Sí"))</f>
        <v/>
      </c>
      <c r="O70" s="73" t="str">
        <f aca="false">IF(AND(N70="Sí",ISNUMBER(F70)),COUNTIFS(C_ID,B70,C_DEFINE,"Sí",C_INICIO,"&lt;"&amp;F70)+COUNTIFS(B$7:B70,B70,N$7:N70,"Sí",F$7:F70,F70),"")</f>
        <v/>
      </c>
      <c r="P70" s="72" t="str">
        <f aca="false">IF(O70="","",B70&amp;"-P"&amp;O70)</f>
        <v/>
      </c>
      <c r="Q70" s="73" t="str">
        <f aca="false">IF(AND(N70="Sí",E70="Plazo fijo",ISNUMBER(F70)),COUNTIFS(C_ID,B70,C_TIPO,"Plazo fijo",C_DEFINE,"Sí",C_INICIO,"&lt;"&amp;F70)+COUNTIFS(B$7:B70,B70,E$7:E70,"Plazo fijo",N$7:N70,"Sí",F$7:F70,F70),"")</f>
        <v/>
      </c>
      <c r="R70" s="73" t="str">
        <f aca="false">IF(AND(B70&lt;&gt;"",ISNUMBER(H70),ISNUMBER(F70)),COUNTIFS(C_ID,B70,C_SUELDO,"&lt;&gt;",C_INICIO,"&lt;"&amp;F70)+COUNTIFS(B$7:B70,B70,H$7:H70,"&lt;&gt;",F$7:F70,F70),"")</f>
        <v/>
      </c>
      <c r="S70" s="72" t="str">
        <f aca="false">IF(R70="","",B70&amp;"-S"&amp;R70)</f>
        <v/>
      </c>
      <c r="T70" s="74" t="str">
        <f aca="false">IF(AND(ISNUMBER(F70),ISNUMBER(G70)),ROUND((G70-F70+1)/30.4375,1),"")</f>
        <v/>
      </c>
      <c r="U70" s="70" t="str">
        <f aca="false">IF(B70="","",IF(AND(N70="Sí",OR(E70="",NOT(ISNUMBER(F70)))),"⚠ Falta tipo de contrato o fecha de inicio",IF(NOT(ISNUMBER(F70)),"⚠ Falta fecha de inicio",IF(AND(N70="Sí",E70&lt;&gt;"Indefinido",NOT(ISNUMBER(G70))),"⚠ Falta fecha de término",IF(AND(D70="Paso a indefinido",E70&lt;&gt;"Indefinido"),"⚠ Un paso a indefinido debe tener tipo Indefinido",IF(N(Q70)&gt;=3,"⚠ 3er contrato a plazo fijo: por ley ya es INDEFINIDO (Art. 159 N°4)",IF(AND(E70="Plazo fijo",N(T70)&gt;12),"⚠ Plazo fijo mayor a 1 año (máx. legal; 2 años solo profesionales o técnicos)",IF(AND(ISNUMBER(G70),G70&lt;F70),"⚠ Término anterior al inicio",IF(AND(D70="Contrato inicial",ISNUMBER(J70),J70-F70&gt;15),"⚠ Escriturado fuera de plazo (Art. 9: 15 días)",IF(K70&lt;&gt;"Sí","Pendiente de firma","OK"))))))))))</f>
        <v/>
      </c>
    </row>
    <row r="71" customFormat="false" ht="15" hidden="false" customHeight="false" outlineLevel="0" collapsed="false">
      <c r="B71" s="64"/>
      <c r="C71" s="72" t="str">
        <f aca="false">IF(B71="","",IFERROR(INDEX(T_NOMBRE,MATCH(B71,T_ID,0)),"⚠ ID no existe en Trabajadores"))</f>
        <v/>
      </c>
      <c r="D71" s="64"/>
      <c r="E71" s="64"/>
      <c r="F71" s="65"/>
      <c r="G71" s="65"/>
      <c r="H71" s="67"/>
      <c r="I71" s="64"/>
      <c r="J71" s="65"/>
      <c r="K71" s="64"/>
      <c r="L71" s="64"/>
      <c r="M71" s="64"/>
      <c r="N71" s="72" t="str">
        <f aca="false">IF(B71="","",IF(D71="Anexo de modificación","No","Sí"))</f>
        <v/>
      </c>
      <c r="O71" s="73" t="str">
        <f aca="false">IF(AND(N71="Sí",ISNUMBER(F71)),COUNTIFS(C_ID,B71,C_DEFINE,"Sí",C_INICIO,"&lt;"&amp;F71)+COUNTIFS(B$7:B71,B71,N$7:N71,"Sí",F$7:F71,F71),"")</f>
        <v/>
      </c>
      <c r="P71" s="72" t="str">
        <f aca="false">IF(O71="","",B71&amp;"-P"&amp;O71)</f>
        <v/>
      </c>
      <c r="Q71" s="73" t="str">
        <f aca="false">IF(AND(N71="Sí",E71="Plazo fijo",ISNUMBER(F71)),COUNTIFS(C_ID,B71,C_TIPO,"Plazo fijo",C_DEFINE,"Sí",C_INICIO,"&lt;"&amp;F71)+COUNTIFS(B$7:B71,B71,E$7:E71,"Plazo fijo",N$7:N71,"Sí",F$7:F71,F71),"")</f>
        <v/>
      </c>
      <c r="R71" s="73" t="str">
        <f aca="false">IF(AND(B71&lt;&gt;"",ISNUMBER(H71),ISNUMBER(F71)),COUNTIFS(C_ID,B71,C_SUELDO,"&lt;&gt;",C_INICIO,"&lt;"&amp;F71)+COUNTIFS(B$7:B71,B71,H$7:H71,"&lt;&gt;",F$7:F71,F71),"")</f>
        <v/>
      </c>
      <c r="S71" s="72" t="str">
        <f aca="false">IF(R71="","",B71&amp;"-S"&amp;R71)</f>
        <v/>
      </c>
      <c r="T71" s="74" t="str">
        <f aca="false">IF(AND(ISNUMBER(F71),ISNUMBER(G71)),ROUND((G71-F71+1)/30.4375,1),"")</f>
        <v/>
      </c>
      <c r="U71" s="70" t="str">
        <f aca="false">IF(B71="","",IF(AND(N71="Sí",OR(E71="",NOT(ISNUMBER(F71)))),"⚠ Falta tipo de contrato o fecha de inicio",IF(NOT(ISNUMBER(F71)),"⚠ Falta fecha de inicio",IF(AND(N71="Sí",E71&lt;&gt;"Indefinido",NOT(ISNUMBER(G71))),"⚠ Falta fecha de término",IF(AND(D71="Paso a indefinido",E71&lt;&gt;"Indefinido"),"⚠ Un paso a indefinido debe tener tipo Indefinido",IF(N(Q71)&gt;=3,"⚠ 3er contrato a plazo fijo: por ley ya es INDEFINIDO (Art. 159 N°4)",IF(AND(E71="Plazo fijo",N(T71)&gt;12),"⚠ Plazo fijo mayor a 1 año (máx. legal; 2 años solo profesionales o técnicos)",IF(AND(ISNUMBER(G71),G71&lt;F71),"⚠ Término anterior al inicio",IF(AND(D71="Contrato inicial",ISNUMBER(J71),J71-F71&gt;15),"⚠ Escriturado fuera de plazo (Art. 9: 15 días)",IF(K71&lt;&gt;"Sí","Pendiente de firma","OK"))))))))))</f>
        <v/>
      </c>
    </row>
    <row r="72" customFormat="false" ht="15" hidden="false" customHeight="false" outlineLevel="0" collapsed="false">
      <c r="B72" s="64"/>
      <c r="C72" s="72" t="str">
        <f aca="false">IF(B72="","",IFERROR(INDEX(T_NOMBRE,MATCH(B72,T_ID,0)),"⚠ ID no existe en Trabajadores"))</f>
        <v/>
      </c>
      <c r="D72" s="64"/>
      <c r="E72" s="64"/>
      <c r="F72" s="65"/>
      <c r="G72" s="65"/>
      <c r="H72" s="67"/>
      <c r="I72" s="64"/>
      <c r="J72" s="65"/>
      <c r="K72" s="64"/>
      <c r="L72" s="64"/>
      <c r="M72" s="64"/>
      <c r="N72" s="72" t="str">
        <f aca="false">IF(B72="","",IF(D72="Anexo de modificación","No","Sí"))</f>
        <v/>
      </c>
      <c r="O72" s="73" t="str">
        <f aca="false">IF(AND(N72="Sí",ISNUMBER(F72)),COUNTIFS(C_ID,B72,C_DEFINE,"Sí",C_INICIO,"&lt;"&amp;F72)+COUNTIFS(B$7:B72,B72,N$7:N72,"Sí",F$7:F72,F72),"")</f>
        <v/>
      </c>
      <c r="P72" s="72" t="str">
        <f aca="false">IF(O72="","",B72&amp;"-P"&amp;O72)</f>
        <v/>
      </c>
      <c r="Q72" s="73" t="str">
        <f aca="false">IF(AND(N72="Sí",E72="Plazo fijo",ISNUMBER(F72)),COUNTIFS(C_ID,B72,C_TIPO,"Plazo fijo",C_DEFINE,"Sí",C_INICIO,"&lt;"&amp;F72)+COUNTIFS(B$7:B72,B72,E$7:E72,"Plazo fijo",N$7:N72,"Sí",F$7:F72,F72),"")</f>
        <v/>
      </c>
      <c r="R72" s="73" t="str">
        <f aca="false">IF(AND(B72&lt;&gt;"",ISNUMBER(H72),ISNUMBER(F72)),COUNTIFS(C_ID,B72,C_SUELDO,"&lt;&gt;",C_INICIO,"&lt;"&amp;F72)+COUNTIFS(B$7:B72,B72,H$7:H72,"&lt;&gt;",F$7:F72,F72),"")</f>
        <v/>
      </c>
      <c r="S72" s="72" t="str">
        <f aca="false">IF(R72="","",B72&amp;"-S"&amp;R72)</f>
        <v/>
      </c>
      <c r="T72" s="74" t="str">
        <f aca="false">IF(AND(ISNUMBER(F72),ISNUMBER(G72)),ROUND((G72-F72+1)/30.4375,1),"")</f>
        <v/>
      </c>
      <c r="U72" s="70" t="str">
        <f aca="false">IF(B72="","",IF(AND(N72="Sí",OR(E72="",NOT(ISNUMBER(F72)))),"⚠ Falta tipo de contrato o fecha de inicio",IF(NOT(ISNUMBER(F72)),"⚠ Falta fecha de inicio",IF(AND(N72="Sí",E72&lt;&gt;"Indefinido",NOT(ISNUMBER(G72))),"⚠ Falta fecha de término",IF(AND(D72="Paso a indefinido",E72&lt;&gt;"Indefinido"),"⚠ Un paso a indefinido debe tener tipo Indefinido",IF(N(Q72)&gt;=3,"⚠ 3er contrato a plazo fijo: por ley ya es INDEFINIDO (Art. 159 N°4)",IF(AND(E72="Plazo fijo",N(T72)&gt;12),"⚠ Plazo fijo mayor a 1 año (máx. legal; 2 años solo profesionales o técnicos)",IF(AND(ISNUMBER(G72),G72&lt;F72),"⚠ Término anterior al inicio",IF(AND(D72="Contrato inicial",ISNUMBER(J72),J72-F72&gt;15),"⚠ Escriturado fuera de plazo (Art. 9: 15 días)",IF(K72&lt;&gt;"Sí","Pendiente de firma","OK"))))))))))</f>
        <v/>
      </c>
    </row>
    <row r="73" customFormat="false" ht="15" hidden="false" customHeight="false" outlineLevel="0" collapsed="false">
      <c r="B73" s="64"/>
      <c r="C73" s="72" t="str">
        <f aca="false">IF(B73="","",IFERROR(INDEX(T_NOMBRE,MATCH(B73,T_ID,0)),"⚠ ID no existe en Trabajadores"))</f>
        <v/>
      </c>
      <c r="D73" s="64"/>
      <c r="E73" s="64"/>
      <c r="F73" s="65"/>
      <c r="G73" s="65"/>
      <c r="H73" s="67"/>
      <c r="I73" s="64"/>
      <c r="J73" s="65"/>
      <c r="K73" s="64"/>
      <c r="L73" s="64"/>
      <c r="M73" s="64"/>
      <c r="N73" s="72" t="str">
        <f aca="false">IF(B73="","",IF(D73="Anexo de modificación","No","Sí"))</f>
        <v/>
      </c>
      <c r="O73" s="73" t="str">
        <f aca="false">IF(AND(N73="Sí",ISNUMBER(F73)),COUNTIFS(C_ID,B73,C_DEFINE,"Sí",C_INICIO,"&lt;"&amp;F73)+COUNTIFS(B$7:B73,B73,N$7:N73,"Sí",F$7:F73,F73),"")</f>
        <v/>
      </c>
      <c r="P73" s="72" t="str">
        <f aca="false">IF(O73="","",B73&amp;"-P"&amp;O73)</f>
        <v/>
      </c>
      <c r="Q73" s="73" t="str">
        <f aca="false">IF(AND(N73="Sí",E73="Plazo fijo",ISNUMBER(F73)),COUNTIFS(C_ID,B73,C_TIPO,"Plazo fijo",C_DEFINE,"Sí",C_INICIO,"&lt;"&amp;F73)+COUNTIFS(B$7:B73,B73,E$7:E73,"Plazo fijo",N$7:N73,"Sí",F$7:F73,F73),"")</f>
        <v/>
      </c>
      <c r="R73" s="73" t="str">
        <f aca="false">IF(AND(B73&lt;&gt;"",ISNUMBER(H73),ISNUMBER(F73)),COUNTIFS(C_ID,B73,C_SUELDO,"&lt;&gt;",C_INICIO,"&lt;"&amp;F73)+COUNTIFS(B$7:B73,B73,H$7:H73,"&lt;&gt;",F$7:F73,F73),"")</f>
        <v/>
      </c>
      <c r="S73" s="72" t="str">
        <f aca="false">IF(R73="","",B73&amp;"-S"&amp;R73)</f>
        <v/>
      </c>
      <c r="T73" s="74" t="str">
        <f aca="false">IF(AND(ISNUMBER(F73),ISNUMBER(G73)),ROUND((G73-F73+1)/30.4375,1),"")</f>
        <v/>
      </c>
      <c r="U73" s="70" t="str">
        <f aca="false">IF(B73="","",IF(AND(N73="Sí",OR(E73="",NOT(ISNUMBER(F73)))),"⚠ Falta tipo de contrato o fecha de inicio",IF(NOT(ISNUMBER(F73)),"⚠ Falta fecha de inicio",IF(AND(N73="Sí",E73&lt;&gt;"Indefinido",NOT(ISNUMBER(G73))),"⚠ Falta fecha de término",IF(AND(D73="Paso a indefinido",E73&lt;&gt;"Indefinido"),"⚠ Un paso a indefinido debe tener tipo Indefinido",IF(N(Q73)&gt;=3,"⚠ 3er contrato a plazo fijo: por ley ya es INDEFINIDO (Art. 159 N°4)",IF(AND(E73="Plazo fijo",N(T73)&gt;12),"⚠ Plazo fijo mayor a 1 año (máx. legal; 2 años solo profesionales o técnicos)",IF(AND(ISNUMBER(G73),G73&lt;F73),"⚠ Término anterior al inicio",IF(AND(D73="Contrato inicial",ISNUMBER(J73),J73-F73&gt;15),"⚠ Escriturado fuera de plazo (Art. 9: 15 días)",IF(K73&lt;&gt;"Sí","Pendiente de firma","OK"))))))))))</f>
        <v/>
      </c>
    </row>
    <row r="74" customFormat="false" ht="15" hidden="false" customHeight="false" outlineLevel="0" collapsed="false">
      <c r="B74" s="64"/>
      <c r="C74" s="72" t="str">
        <f aca="false">IF(B74="","",IFERROR(INDEX(T_NOMBRE,MATCH(B74,T_ID,0)),"⚠ ID no existe en Trabajadores"))</f>
        <v/>
      </c>
      <c r="D74" s="64"/>
      <c r="E74" s="64"/>
      <c r="F74" s="65"/>
      <c r="G74" s="65"/>
      <c r="H74" s="67"/>
      <c r="I74" s="64"/>
      <c r="J74" s="65"/>
      <c r="K74" s="64"/>
      <c r="L74" s="64"/>
      <c r="M74" s="64"/>
      <c r="N74" s="72" t="str">
        <f aca="false">IF(B74="","",IF(D74="Anexo de modificación","No","Sí"))</f>
        <v/>
      </c>
      <c r="O74" s="73" t="str">
        <f aca="false">IF(AND(N74="Sí",ISNUMBER(F74)),COUNTIFS(C_ID,B74,C_DEFINE,"Sí",C_INICIO,"&lt;"&amp;F74)+COUNTIFS(B$7:B74,B74,N$7:N74,"Sí",F$7:F74,F74),"")</f>
        <v/>
      </c>
      <c r="P74" s="72" t="str">
        <f aca="false">IF(O74="","",B74&amp;"-P"&amp;O74)</f>
        <v/>
      </c>
      <c r="Q74" s="73" t="str">
        <f aca="false">IF(AND(N74="Sí",E74="Plazo fijo",ISNUMBER(F74)),COUNTIFS(C_ID,B74,C_TIPO,"Plazo fijo",C_DEFINE,"Sí",C_INICIO,"&lt;"&amp;F74)+COUNTIFS(B$7:B74,B74,E$7:E74,"Plazo fijo",N$7:N74,"Sí",F$7:F74,F74),"")</f>
        <v/>
      </c>
      <c r="R74" s="73" t="str">
        <f aca="false">IF(AND(B74&lt;&gt;"",ISNUMBER(H74),ISNUMBER(F74)),COUNTIFS(C_ID,B74,C_SUELDO,"&lt;&gt;",C_INICIO,"&lt;"&amp;F74)+COUNTIFS(B$7:B74,B74,H$7:H74,"&lt;&gt;",F$7:F74,F74),"")</f>
        <v/>
      </c>
      <c r="S74" s="72" t="str">
        <f aca="false">IF(R74="","",B74&amp;"-S"&amp;R74)</f>
        <v/>
      </c>
      <c r="T74" s="74" t="str">
        <f aca="false">IF(AND(ISNUMBER(F74),ISNUMBER(G74)),ROUND((G74-F74+1)/30.4375,1),"")</f>
        <v/>
      </c>
      <c r="U74" s="70" t="str">
        <f aca="false">IF(B74="","",IF(AND(N74="Sí",OR(E74="",NOT(ISNUMBER(F74)))),"⚠ Falta tipo de contrato o fecha de inicio",IF(NOT(ISNUMBER(F74)),"⚠ Falta fecha de inicio",IF(AND(N74="Sí",E74&lt;&gt;"Indefinido",NOT(ISNUMBER(G74))),"⚠ Falta fecha de término",IF(AND(D74="Paso a indefinido",E74&lt;&gt;"Indefinido"),"⚠ Un paso a indefinido debe tener tipo Indefinido",IF(N(Q74)&gt;=3,"⚠ 3er contrato a plazo fijo: por ley ya es INDEFINIDO (Art. 159 N°4)",IF(AND(E74="Plazo fijo",N(T74)&gt;12),"⚠ Plazo fijo mayor a 1 año (máx. legal; 2 años solo profesionales o técnicos)",IF(AND(ISNUMBER(G74),G74&lt;F74),"⚠ Término anterior al inicio",IF(AND(D74="Contrato inicial",ISNUMBER(J74),J74-F74&gt;15),"⚠ Escriturado fuera de plazo (Art. 9: 15 días)",IF(K74&lt;&gt;"Sí","Pendiente de firma","OK"))))))))))</f>
        <v/>
      </c>
    </row>
    <row r="75" customFormat="false" ht="15" hidden="false" customHeight="false" outlineLevel="0" collapsed="false">
      <c r="B75" s="64"/>
      <c r="C75" s="72" t="str">
        <f aca="false">IF(B75="","",IFERROR(INDEX(T_NOMBRE,MATCH(B75,T_ID,0)),"⚠ ID no existe en Trabajadores"))</f>
        <v/>
      </c>
      <c r="D75" s="64"/>
      <c r="E75" s="64"/>
      <c r="F75" s="65"/>
      <c r="G75" s="65"/>
      <c r="H75" s="67"/>
      <c r="I75" s="64"/>
      <c r="J75" s="65"/>
      <c r="K75" s="64"/>
      <c r="L75" s="64"/>
      <c r="M75" s="64"/>
      <c r="N75" s="72" t="str">
        <f aca="false">IF(B75="","",IF(D75="Anexo de modificación","No","Sí"))</f>
        <v/>
      </c>
      <c r="O75" s="73" t="str">
        <f aca="false">IF(AND(N75="Sí",ISNUMBER(F75)),COUNTIFS(C_ID,B75,C_DEFINE,"Sí",C_INICIO,"&lt;"&amp;F75)+COUNTIFS(B$7:B75,B75,N$7:N75,"Sí",F$7:F75,F75),"")</f>
        <v/>
      </c>
      <c r="P75" s="72" t="str">
        <f aca="false">IF(O75="","",B75&amp;"-P"&amp;O75)</f>
        <v/>
      </c>
      <c r="Q75" s="73" t="str">
        <f aca="false">IF(AND(N75="Sí",E75="Plazo fijo",ISNUMBER(F75)),COUNTIFS(C_ID,B75,C_TIPO,"Plazo fijo",C_DEFINE,"Sí",C_INICIO,"&lt;"&amp;F75)+COUNTIFS(B$7:B75,B75,E$7:E75,"Plazo fijo",N$7:N75,"Sí",F$7:F75,F75),"")</f>
        <v/>
      </c>
      <c r="R75" s="73" t="str">
        <f aca="false">IF(AND(B75&lt;&gt;"",ISNUMBER(H75),ISNUMBER(F75)),COUNTIFS(C_ID,B75,C_SUELDO,"&lt;&gt;",C_INICIO,"&lt;"&amp;F75)+COUNTIFS(B$7:B75,B75,H$7:H75,"&lt;&gt;",F$7:F75,F75),"")</f>
        <v/>
      </c>
      <c r="S75" s="72" t="str">
        <f aca="false">IF(R75="","",B75&amp;"-S"&amp;R75)</f>
        <v/>
      </c>
      <c r="T75" s="74" t="str">
        <f aca="false">IF(AND(ISNUMBER(F75),ISNUMBER(G75)),ROUND((G75-F75+1)/30.4375,1),"")</f>
        <v/>
      </c>
      <c r="U75" s="70" t="str">
        <f aca="false">IF(B75="","",IF(AND(N75="Sí",OR(E75="",NOT(ISNUMBER(F75)))),"⚠ Falta tipo de contrato o fecha de inicio",IF(NOT(ISNUMBER(F75)),"⚠ Falta fecha de inicio",IF(AND(N75="Sí",E75&lt;&gt;"Indefinido",NOT(ISNUMBER(G75))),"⚠ Falta fecha de término",IF(AND(D75="Paso a indefinido",E75&lt;&gt;"Indefinido"),"⚠ Un paso a indefinido debe tener tipo Indefinido",IF(N(Q75)&gt;=3,"⚠ 3er contrato a plazo fijo: por ley ya es INDEFINIDO (Art. 159 N°4)",IF(AND(E75="Plazo fijo",N(T75)&gt;12),"⚠ Plazo fijo mayor a 1 año (máx. legal; 2 años solo profesionales o técnicos)",IF(AND(ISNUMBER(G75),G75&lt;F75),"⚠ Término anterior al inicio",IF(AND(D75="Contrato inicial",ISNUMBER(J75),J75-F75&gt;15),"⚠ Escriturado fuera de plazo (Art. 9: 15 días)",IF(K75&lt;&gt;"Sí","Pendiente de firma","OK"))))))))))</f>
        <v/>
      </c>
    </row>
    <row r="76" customFormat="false" ht="15" hidden="false" customHeight="false" outlineLevel="0" collapsed="false">
      <c r="B76" s="64"/>
      <c r="C76" s="72" t="str">
        <f aca="false">IF(B76="","",IFERROR(INDEX(T_NOMBRE,MATCH(B76,T_ID,0)),"⚠ ID no existe en Trabajadores"))</f>
        <v/>
      </c>
      <c r="D76" s="64"/>
      <c r="E76" s="64"/>
      <c r="F76" s="65"/>
      <c r="G76" s="65"/>
      <c r="H76" s="67"/>
      <c r="I76" s="64"/>
      <c r="J76" s="65"/>
      <c r="K76" s="64"/>
      <c r="L76" s="64"/>
      <c r="M76" s="64"/>
      <c r="N76" s="72" t="str">
        <f aca="false">IF(B76="","",IF(D76="Anexo de modificación","No","Sí"))</f>
        <v/>
      </c>
      <c r="O76" s="73" t="str">
        <f aca="false">IF(AND(N76="Sí",ISNUMBER(F76)),COUNTIFS(C_ID,B76,C_DEFINE,"Sí",C_INICIO,"&lt;"&amp;F76)+COUNTIFS(B$7:B76,B76,N$7:N76,"Sí",F$7:F76,F76),"")</f>
        <v/>
      </c>
      <c r="P76" s="72" t="str">
        <f aca="false">IF(O76="","",B76&amp;"-P"&amp;O76)</f>
        <v/>
      </c>
      <c r="Q76" s="73" t="str">
        <f aca="false">IF(AND(N76="Sí",E76="Plazo fijo",ISNUMBER(F76)),COUNTIFS(C_ID,B76,C_TIPO,"Plazo fijo",C_DEFINE,"Sí",C_INICIO,"&lt;"&amp;F76)+COUNTIFS(B$7:B76,B76,E$7:E76,"Plazo fijo",N$7:N76,"Sí",F$7:F76,F76),"")</f>
        <v/>
      </c>
      <c r="R76" s="73" t="str">
        <f aca="false">IF(AND(B76&lt;&gt;"",ISNUMBER(H76),ISNUMBER(F76)),COUNTIFS(C_ID,B76,C_SUELDO,"&lt;&gt;",C_INICIO,"&lt;"&amp;F76)+COUNTIFS(B$7:B76,B76,H$7:H76,"&lt;&gt;",F$7:F76,F76),"")</f>
        <v/>
      </c>
      <c r="S76" s="72" t="str">
        <f aca="false">IF(R76="","",B76&amp;"-S"&amp;R76)</f>
        <v/>
      </c>
      <c r="T76" s="74" t="str">
        <f aca="false">IF(AND(ISNUMBER(F76),ISNUMBER(G76)),ROUND((G76-F76+1)/30.4375,1),"")</f>
        <v/>
      </c>
      <c r="U76" s="70" t="str">
        <f aca="false">IF(B76="","",IF(AND(N76="Sí",OR(E76="",NOT(ISNUMBER(F76)))),"⚠ Falta tipo de contrato o fecha de inicio",IF(NOT(ISNUMBER(F76)),"⚠ Falta fecha de inicio",IF(AND(N76="Sí",E76&lt;&gt;"Indefinido",NOT(ISNUMBER(G76))),"⚠ Falta fecha de término",IF(AND(D76="Paso a indefinido",E76&lt;&gt;"Indefinido"),"⚠ Un paso a indefinido debe tener tipo Indefinido",IF(N(Q76)&gt;=3,"⚠ 3er contrato a plazo fijo: por ley ya es INDEFINIDO (Art. 159 N°4)",IF(AND(E76="Plazo fijo",N(T76)&gt;12),"⚠ Plazo fijo mayor a 1 año (máx. legal; 2 años solo profesionales o técnicos)",IF(AND(ISNUMBER(G76),G76&lt;F76),"⚠ Término anterior al inicio",IF(AND(D76="Contrato inicial",ISNUMBER(J76),J76-F76&gt;15),"⚠ Escriturado fuera de plazo (Art. 9: 15 días)",IF(K76&lt;&gt;"Sí","Pendiente de firma","OK"))))))))))</f>
        <v/>
      </c>
    </row>
    <row r="77" customFormat="false" ht="15" hidden="false" customHeight="false" outlineLevel="0" collapsed="false">
      <c r="B77" s="64"/>
      <c r="C77" s="72" t="str">
        <f aca="false">IF(B77="","",IFERROR(INDEX(T_NOMBRE,MATCH(B77,T_ID,0)),"⚠ ID no existe en Trabajadores"))</f>
        <v/>
      </c>
      <c r="D77" s="64"/>
      <c r="E77" s="64"/>
      <c r="F77" s="65"/>
      <c r="G77" s="65"/>
      <c r="H77" s="67"/>
      <c r="I77" s="64"/>
      <c r="J77" s="65"/>
      <c r="K77" s="64"/>
      <c r="L77" s="64"/>
      <c r="M77" s="64"/>
      <c r="N77" s="72" t="str">
        <f aca="false">IF(B77="","",IF(D77="Anexo de modificación","No","Sí"))</f>
        <v/>
      </c>
      <c r="O77" s="73" t="str">
        <f aca="false">IF(AND(N77="Sí",ISNUMBER(F77)),COUNTIFS(C_ID,B77,C_DEFINE,"Sí",C_INICIO,"&lt;"&amp;F77)+COUNTIFS(B$7:B77,B77,N$7:N77,"Sí",F$7:F77,F77),"")</f>
        <v/>
      </c>
      <c r="P77" s="72" t="str">
        <f aca="false">IF(O77="","",B77&amp;"-P"&amp;O77)</f>
        <v/>
      </c>
      <c r="Q77" s="73" t="str">
        <f aca="false">IF(AND(N77="Sí",E77="Plazo fijo",ISNUMBER(F77)),COUNTIFS(C_ID,B77,C_TIPO,"Plazo fijo",C_DEFINE,"Sí",C_INICIO,"&lt;"&amp;F77)+COUNTIFS(B$7:B77,B77,E$7:E77,"Plazo fijo",N$7:N77,"Sí",F$7:F77,F77),"")</f>
        <v/>
      </c>
      <c r="R77" s="73" t="str">
        <f aca="false">IF(AND(B77&lt;&gt;"",ISNUMBER(H77),ISNUMBER(F77)),COUNTIFS(C_ID,B77,C_SUELDO,"&lt;&gt;",C_INICIO,"&lt;"&amp;F77)+COUNTIFS(B$7:B77,B77,H$7:H77,"&lt;&gt;",F$7:F77,F77),"")</f>
        <v/>
      </c>
      <c r="S77" s="72" t="str">
        <f aca="false">IF(R77="","",B77&amp;"-S"&amp;R77)</f>
        <v/>
      </c>
      <c r="T77" s="74" t="str">
        <f aca="false">IF(AND(ISNUMBER(F77),ISNUMBER(G77)),ROUND((G77-F77+1)/30.4375,1),"")</f>
        <v/>
      </c>
      <c r="U77" s="70" t="str">
        <f aca="false">IF(B77="","",IF(AND(N77="Sí",OR(E77="",NOT(ISNUMBER(F77)))),"⚠ Falta tipo de contrato o fecha de inicio",IF(NOT(ISNUMBER(F77)),"⚠ Falta fecha de inicio",IF(AND(N77="Sí",E77&lt;&gt;"Indefinido",NOT(ISNUMBER(G77))),"⚠ Falta fecha de término",IF(AND(D77="Paso a indefinido",E77&lt;&gt;"Indefinido"),"⚠ Un paso a indefinido debe tener tipo Indefinido",IF(N(Q77)&gt;=3,"⚠ 3er contrato a plazo fijo: por ley ya es INDEFINIDO (Art. 159 N°4)",IF(AND(E77="Plazo fijo",N(T77)&gt;12),"⚠ Plazo fijo mayor a 1 año (máx. legal; 2 años solo profesionales o técnicos)",IF(AND(ISNUMBER(G77),G77&lt;F77),"⚠ Término anterior al inicio",IF(AND(D77="Contrato inicial",ISNUMBER(J77),J77-F77&gt;15),"⚠ Escriturado fuera de plazo (Art. 9: 15 días)",IF(K77&lt;&gt;"Sí","Pendiente de firma","OK"))))))))))</f>
        <v/>
      </c>
    </row>
    <row r="78" customFormat="false" ht="15" hidden="false" customHeight="false" outlineLevel="0" collapsed="false">
      <c r="B78" s="64"/>
      <c r="C78" s="72" t="str">
        <f aca="false">IF(B78="","",IFERROR(INDEX(T_NOMBRE,MATCH(B78,T_ID,0)),"⚠ ID no existe en Trabajadores"))</f>
        <v/>
      </c>
      <c r="D78" s="64"/>
      <c r="E78" s="64"/>
      <c r="F78" s="65"/>
      <c r="G78" s="65"/>
      <c r="H78" s="67"/>
      <c r="I78" s="64"/>
      <c r="J78" s="65"/>
      <c r="K78" s="64"/>
      <c r="L78" s="64"/>
      <c r="M78" s="64"/>
      <c r="N78" s="72" t="str">
        <f aca="false">IF(B78="","",IF(D78="Anexo de modificación","No","Sí"))</f>
        <v/>
      </c>
      <c r="O78" s="73" t="str">
        <f aca="false">IF(AND(N78="Sí",ISNUMBER(F78)),COUNTIFS(C_ID,B78,C_DEFINE,"Sí",C_INICIO,"&lt;"&amp;F78)+COUNTIFS(B$7:B78,B78,N$7:N78,"Sí",F$7:F78,F78),"")</f>
        <v/>
      </c>
      <c r="P78" s="72" t="str">
        <f aca="false">IF(O78="","",B78&amp;"-P"&amp;O78)</f>
        <v/>
      </c>
      <c r="Q78" s="73" t="str">
        <f aca="false">IF(AND(N78="Sí",E78="Plazo fijo",ISNUMBER(F78)),COUNTIFS(C_ID,B78,C_TIPO,"Plazo fijo",C_DEFINE,"Sí",C_INICIO,"&lt;"&amp;F78)+COUNTIFS(B$7:B78,B78,E$7:E78,"Plazo fijo",N$7:N78,"Sí",F$7:F78,F78),"")</f>
        <v/>
      </c>
      <c r="R78" s="73" t="str">
        <f aca="false">IF(AND(B78&lt;&gt;"",ISNUMBER(H78),ISNUMBER(F78)),COUNTIFS(C_ID,B78,C_SUELDO,"&lt;&gt;",C_INICIO,"&lt;"&amp;F78)+COUNTIFS(B$7:B78,B78,H$7:H78,"&lt;&gt;",F$7:F78,F78),"")</f>
        <v/>
      </c>
      <c r="S78" s="72" t="str">
        <f aca="false">IF(R78="","",B78&amp;"-S"&amp;R78)</f>
        <v/>
      </c>
      <c r="T78" s="74" t="str">
        <f aca="false">IF(AND(ISNUMBER(F78),ISNUMBER(G78)),ROUND((G78-F78+1)/30.4375,1),"")</f>
        <v/>
      </c>
      <c r="U78" s="70" t="str">
        <f aca="false">IF(B78="","",IF(AND(N78="Sí",OR(E78="",NOT(ISNUMBER(F78)))),"⚠ Falta tipo de contrato o fecha de inicio",IF(NOT(ISNUMBER(F78)),"⚠ Falta fecha de inicio",IF(AND(N78="Sí",E78&lt;&gt;"Indefinido",NOT(ISNUMBER(G78))),"⚠ Falta fecha de término",IF(AND(D78="Paso a indefinido",E78&lt;&gt;"Indefinido"),"⚠ Un paso a indefinido debe tener tipo Indefinido",IF(N(Q78)&gt;=3,"⚠ 3er contrato a plazo fijo: por ley ya es INDEFINIDO (Art. 159 N°4)",IF(AND(E78="Plazo fijo",N(T78)&gt;12),"⚠ Plazo fijo mayor a 1 año (máx. legal; 2 años solo profesionales o técnicos)",IF(AND(ISNUMBER(G78),G78&lt;F78),"⚠ Término anterior al inicio",IF(AND(D78="Contrato inicial",ISNUMBER(J78),J78-F78&gt;15),"⚠ Escriturado fuera de plazo (Art. 9: 15 días)",IF(K78&lt;&gt;"Sí","Pendiente de firma","OK"))))))))))</f>
        <v/>
      </c>
    </row>
    <row r="79" customFormat="false" ht="15" hidden="false" customHeight="false" outlineLevel="0" collapsed="false">
      <c r="B79" s="64"/>
      <c r="C79" s="72" t="str">
        <f aca="false">IF(B79="","",IFERROR(INDEX(T_NOMBRE,MATCH(B79,T_ID,0)),"⚠ ID no existe en Trabajadores"))</f>
        <v/>
      </c>
      <c r="D79" s="64"/>
      <c r="E79" s="64"/>
      <c r="F79" s="65"/>
      <c r="G79" s="65"/>
      <c r="H79" s="67"/>
      <c r="I79" s="64"/>
      <c r="J79" s="65"/>
      <c r="K79" s="64"/>
      <c r="L79" s="64"/>
      <c r="M79" s="64"/>
      <c r="N79" s="72" t="str">
        <f aca="false">IF(B79="","",IF(D79="Anexo de modificación","No","Sí"))</f>
        <v/>
      </c>
      <c r="O79" s="73" t="str">
        <f aca="false">IF(AND(N79="Sí",ISNUMBER(F79)),COUNTIFS(C_ID,B79,C_DEFINE,"Sí",C_INICIO,"&lt;"&amp;F79)+COUNTIFS(B$7:B79,B79,N$7:N79,"Sí",F$7:F79,F79),"")</f>
        <v/>
      </c>
      <c r="P79" s="72" t="str">
        <f aca="false">IF(O79="","",B79&amp;"-P"&amp;O79)</f>
        <v/>
      </c>
      <c r="Q79" s="73" t="str">
        <f aca="false">IF(AND(N79="Sí",E79="Plazo fijo",ISNUMBER(F79)),COUNTIFS(C_ID,B79,C_TIPO,"Plazo fijo",C_DEFINE,"Sí",C_INICIO,"&lt;"&amp;F79)+COUNTIFS(B$7:B79,B79,E$7:E79,"Plazo fijo",N$7:N79,"Sí",F$7:F79,F79),"")</f>
        <v/>
      </c>
      <c r="R79" s="73" t="str">
        <f aca="false">IF(AND(B79&lt;&gt;"",ISNUMBER(H79),ISNUMBER(F79)),COUNTIFS(C_ID,B79,C_SUELDO,"&lt;&gt;",C_INICIO,"&lt;"&amp;F79)+COUNTIFS(B$7:B79,B79,H$7:H79,"&lt;&gt;",F$7:F79,F79),"")</f>
        <v/>
      </c>
      <c r="S79" s="72" t="str">
        <f aca="false">IF(R79="","",B79&amp;"-S"&amp;R79)</f>
        <v/>
      </c>
      <c r="T79" s="74" t="str">
        <f aca="false">IF(AND(ISNUMBER(F79),ISNUMBER(G79)),ROUND((G79-F79+1)/30.4375,1),"")</f>
        <v/>
      </c>
      <c r="U79" s="70" t="str">
        <f aca="false">IF(B79="","",IF(AND(N79="Sí",OR(E79="",NOT(ISNUMBER(F79)))),"⚠ Falta tipo de contrato o fecha de inicio",IF(NOT(ISNUMBER(F79)),"⚠ Falta fecha de inicio",IF(AND(N79="Sí",E79&lt;&gt;"Indefinido",NOT(ISNUMBER(G79))),"⚠ Falta fecha de término",IF(AND(D79="Paso a indefinido",E79&lt;&gt;"Indefinido"),"⚠ Un paso a indefinido debe tener tipo Indefinido",IF(N(Q79)&gt;=3,"⚠ 3er contrato a plazo fijo: por ley ya es INDEFINIDO (Art. 159 N°4)",IF(AND(E79="Plazo fijo",N(T79)&gt;12),"⚠ Plazo fijo mayor a 1 año (máx. legal; 2 años solo profesionales o técnicos)",IF(AND(ISNUMBER(G79),G79&lt;F79),"⚠ Término anterior al inicio",IF(AND(D79="Contrato inicial",ISNUMBER(J79),J79-F79&gt;15),"⚠ Escriturado fuera de plazo (Art. 9: 15 días)",IF(K79&lt;&gt;"Sí","Pendiente de firma","OK"))))))))))</f>
        <v/>
      </c>
    </row>
    <row r="80" customFormat="false" ht="15" hidden="false" customHeight="false" outlineLevel="0" collapsed="false">
      <c r="B80" s="64"/>
      <c r="C80" s="72" t="str">
        <f aca="false">IF(B80="","",IFERROR(INDEX(T_NOMBRE,MATCH(B80,T_ID,0)),"⚠ ID no existe en Trabajadores"))</f>
        <v/>
      </c>
      <c r="D80" s="64"/>
      <c r="E80" s="64"/>
      <c r="F80" s="65"/>
      <c r="G80" s="65"/>
      <c r="H80" s="67"/>
      <c r="I80" s="64"/>
      <c r="J80" s="65"/>
      <c r="K80" s="64"/>
      <c r="L80" s="64"/>
      <c r="M80" s="64"/>
      <c r="N80" s="72" t="str">
        <f aca="false">IF(B80="","",IF(D80="Anexo de modificación","No","Sí"))</f>
        <v/>
      </c>
      <c r="O80" s="73" t="str">
        <f aca="false">IF(AND(N80="Sí",ISNUMBER(F80)),COUNTIFS(C_ID,B80,C_DEFINE,"Sí",C_INICIO,"&lt;"&amp;F80)+COUNTIFS(B$7:B80,B80,N$7:N80,"Sí",F$7:F80,F80),"")</f>
        <v/>
      </c>
      <c r="P80" s="72" t="str">
        <f aca="false">IF(O80="","",B80&amp;"-P"&amp;O80)</f>
        <v/>
      </c>
      <c r="Q80" s="73" t="str">
        <f aca="false">IF(AND(N80="Sí",E80="Plazo fijo",ISNUMBER(F80)),COUNTIFS(C_ID,B80,C_TIPO,"Plazo fijo",C_DEFINE,"Sí",C_INICIO,"&lt;"&amp;F80)+COUNTIFS(B$7:B80,B80,E$7:E80,"Plazo fijo",N$7:N80,"Sí",F$7:F80,F80),"")</f>
        <v/>
      </c>
      <c r="R80" s="73" t="str">
        <f aca="false">IF(AND(B80&lt;&gt;"",ISNUMBER(H80),ISNUMBER(F80)),COUNTIFS(C_ID,B80,C_SUELDO,"&lt;&gt;",C_INICIO,"&lt;"&amp;F80)+COUNTIFS(B$7:B80,B80,H$7:H80,"&lt;&gt;",F$7:F80,F80),"")</f>
        <v/>
      </c>
      <c r="S80" s="72" t="str">
        <f aca="false">IF(R80="","",B80&amp;"-S"&amp;R80)</f>
        <v/>
      </c>
      <c r="T80" s="74" t="str">
        <f aca="false">IF(AND(ISNUMBER(F80),ISNUMBER(G80)),ROUND((G80-F80+1)/30.4375,1),"")</f>
        <v/>
      </c>
      <c r="U80" s="70" t="str">
        <f aca="false">IF(B80="","",IF(AND(N80="Sí",OR(E80="",NOT(ISNUMBER(F80)))),"⚠ Falta tipo de contrato o fecha de inicio",IF(NOT(ISNUMBER(F80)),"⚠ Falta fecha de inicio",IF(AND(N80="Sí",E80&lt;&gt;"Indefinido",NOT(ISNUMBER(G80))),"⚠ Falta fecha de término",IF(AND(D80="Paso a indefinido",E80&lt;&gt;"Indefinido"),"⚠ Un paso a indefinido debe tener tipo Indefinido",IF(N(Q80)&gt;=3,"⚠ 3er contrato a plazo fijo: por ley ya es INDEFINIDO (Art. 159 N°4)",IF(AND(E80="Plazo fijo",N(T80)&gt;12),"⚠ Plazo fijo mayor a 1 año (máx. legal; 2 años solo profesionales o técnicos)",IF(AND(ISNUMBER(G80),G80&lt;F80),"⚠ Término anterior al inicio",IF(AND(D80="Contrato inicial",ISNUMBER(J80),J80-F80&gt;15),"⚠ Escriturado fuera de plazo (Art. 9: 15 días)",IF(K80&lt;&gt;"Sí","Pendiente de firma","OK"))))))))))</f>
        <v/>
      </c>
    </row>
    <row r="81" customFormat="false" ht="15" hidden="false" customHeight="false" outlineLevel="0" collapsed="false">
      <c r="B81" s="64"/>
      <c r="C81" s="72" t="str">
        <f aca="false">IF(B81="","",IFERROR(INDEX(T_NOMBRE,MATCH(B81,T_ID,0)),"⚠ ID no existe en Trabajadores"))</f>
        <v/>
      </c>
      <c r="D81" s="64"/>
      <c r="E81" s="64"/>
      <c r="F81" s="65"/>
      <c r="G81" s="65"/>
      <c r="H81" s="67"/>
      <c r="I81" s="64"/>
      <c r="J81" s="65"/>
      <c r="K81" s="64"/>
      <c r="L81" s="64"/>
      <c r="M81" s="64"/>
      <c r="N81" s="72" t="str">
        <f aca="false">IF(B81="","",IF(D81="Anexo de modificación","No","Sí"))</f>
        <v/>
      </c>
      <c r="O81" s="73" t="str">
        <f aca="false">IF(AND(N81="Sí",ISNUMBER(F81)),COUNTIFS(C_ID,B81,C_DEFINE,"Sí",C_INICIO,"&lt;"&amp;F81)+COUNTIFS(B$7:B81,B81,N$7:N81,"Sí",F$7:F81,F81),"")</f>
        <v/>
      </c>
      <c r="P81" s="72" t="str">
        <f aca="false">IF(O81="","",B81&amp;"-P"&amp;O81)</f>
        <v/>
      </c>
      <c r="Q81" s="73" t="str">
        <f aca="false">IF(AND(N81="Sí",E81="Plazo fijo",ISNUMBER(F81)),COUNTIFS(C_ID,B81,C_TIPO,"Plazo fijo",C_DEFINE,"Sí",C_INICIO,"&lt;"&amp;F81)+COUNTIFS(B$7:B81,B81,E$7:E81,"Plazo fijo",N$7:N81,"Sí",F$7:F81,F81),"")</f>
        <v/>
      </c>
      <c r="R81" s="73" t="str">
        <f aca="false">IF(AND(B81&lt;&gt;"",ISNUMBER(H81),ISNUMBER(F81)),COUNTIFS(C_ID,B81,C_SUELDO,"&lt;&gt;",C_INICIO,"&lt;"&amp;F81)+COUNTIFS(B$7:B81,B81,H$7:H81,"&lt;&gt;",F$7:F81,F81),"")</f>
        <v/>
      </c>
      <c r="S81" s="72" t="str">
        <f aca="false">IF(R81="","",B81&amp;"-S"&amp;R81)</f>
        <v/>
      </c>
      <c r="T81" s="74" t="str">
        <f aca="false">IF(AND(ISNUMBER(F81),ISNUMBER(G81)),ROUND((G81-F81+1)/30.4375,1),"")</f>
        <v/>
      </c>
      <c r="U81" s="70" t="str">
        <f aca="false">IF(B81="","",IF(AND(N81="Sí",OR(E81="",NOT(ISNUMBER(F81)))),"⚠ Falta tipo de contrato o fecha de inicio",IF(NOT(ISNUMBER(F81)),"⚠ Falta fecha de inicio",IF(AND(N81="Sí",E81&lt;&gt;"Indefinido",NOT(ISNUMBER(G81))),"⚠ Falta fecha de término",IF(AND(D81="Paso a indefinido",E81&lt;&gt;"Indefinido"),"⚠ Un paso a indefinido debe tener tipo Indefinido",IF(N(Q81)&gt;=3,"⚠ 3er contrato a plazo fijo: por ley ya es INDEFINIDO (Art. 159 N°4)",IF(AND(E81="Plazo fijo",N(T81)&gt;12),"⚠ Plazo fijo mayor a 1 año (máx. legal; 2 años solo profesionales o técnicos)",IF(AND(ISNUMBER(G81),G81&lt;F81),"⚠ Término anterior al inicio",IF(AND(D81="Contrato inicial",ISNUMBER(J81),J81-F81&gt;15),"⚠ Escriturado fuera de plazo (Art. 9: 15 días)",IF(K81&lt;&gt;"Sí","Pendiente de firma","OK"))))))))))</f>
        <v/>
      </c>
    </row>
    <row r="82" customFormat="false" ht="15" hidden="false" customHeight="false" outlineLevel="0" collapsed="false">
      <c r="B82" s="64"/>
      <c r="C82" s="72" t="str">
        <f aca="false">IF(B82="","",IFERROR(INDEX(T_NOMBRE,MATCH(B82,T_ID,0)),"⚠ ID no existe en Trabajadores"))</f>
        <v/>
      </c>
      <c r="D82" s="64"/>
      <c r="E82" s="64"/>
      <c r="F82" s="65"/>
      <c r="G82" s="65"/>
      <c r="H82" s="67"/>
      <c r="I82" s="64"/>
      <c r="J82" s="65"/>
      <c r="K82" s="64"/>
      <c r="L82" s="64"/>
      <c r="M82" s="64"/>
      <c r="N82" s="72" t="str">
        <f aca="false">IF(B82="","",IF(D82="Anexo de modificación","No","Sí"))</f>
        <v/>
      </c>
      <c r="O82" s="73" t="str">
        <f aca="false">IF(AND(N82="Sí",ISNUMBER(F82)),COUNTIFS(C_ID,B82,C_DEFINE,"Sí",C_INICIO,"&lt;"&amp;F82)+COUNTIFS(B$7:B82,B82,N$7:N82,"Sí",F$7:F82,F82),"")</f>
        <v/>
      </c>
      <c r="P82" s="72" t="str">
        <f aca="false">IF(O82="","",B82&amp;"-P"&amp;O82)</f>
        <v/>
      </c>
      <c r="Q82" s="73" t="str">
        <f aca="false">IF(AND(N82="Sí",E82="Plazo fijo",ISNUMBER(F82)),COUNTIFS(C_ID,B82,C_TIPO,"Plazo fijo",C_DEFINE,"Sí",C_INICIO,"&lt;"&amp;F82)+COUNTIFS(B$7:B82,B82,E$7:E82,"Plazo fijo",N$7:N82,"Sí",F$7:F82,F82),"")</f>
        <v/>
      </c>
      <c r="R82" s="73" t="str">
        <f aca="false">IF(AND(B82&lt;&gt;"",ISNUMBER(H82),ISNUMBER(F82)),COUNTIFS(C_ID,B82,C_SUELDO,"&lt;&gt;",C_INICIO,"&lt;"&amp;F82)+COUNTIFS(B$7:B82,B82,H$7:H82,"&lt;&gt;",F$7:F82,F82),"")</f>
        <v/>
      </c>
      <c r="S82" s="72" t="str">
        <f aca="false">IF(R82="","",B82&amp;"-S"&amp;R82)</f>
        <v/>
      </c>
      <c r="T82" s="74" t="str">
        <f aca="false">IF(AND(ISNUMBER(F82),ISNUMBER(G82)),ROUND((G82-F82+1)/30.4375,1),"")</f>
        <v/>
      </c>
      <c r="U82" s="70" t="str">
        <f aca="false">IF(B82="","",IF(AND(N82="Sí",OR(E82="",NOT(ISNUMBER(F82)))),"⚠ Falta tipo de contrato o fecha de inicio",IF(NOT(ISNUMBER(F82)),"⚠ Falta fecha de inicio",IF(AND(N82="Sí",E82&lt;&gt;"Indefinido",NOT(ISNUMBER(G82))),"⚠ Falta fecha de término",IF(AND(D82="Paso a indefinido",E82&lt;&gt;"Indefinido"),"⚠ Un paso a indefinido debe tener tipo Indefinido",IF(N(Q82)&gt;=3,"⚠ 3er contrato a plazo fijo: por ley ya es INDEFINIDO (Art. 159 N°4)",IF(AND(E82="Plazo fijo",N(T82)&gt;12),"⚠ Plazo fijo mayor a 1 año (máx. legal; 2 años solo profesionales o técnicos)",IF(AND(ISNUMBER(G82),G82&lt;F82),"⚠ Término anterior al inicio",IF(AND(D82="Contrato inicial",ISNUMBER(J82),J82-F82&gt;15),"⚠ Escriturado fuera de plazo (Art. 9: 15 días)",IF(K82&lt;&gt;"Sí","Pendiente de firma","OK"))))))))))</f>
        <v/>
      </c>
    </row>
    <row r="83" customFormat="false" ht="15" hidden="false" customHeight="false" outlineLevel="0" collapsed="false">
      <c r="B83" s="64"/>
      <c r="C83" s="72" t="str">
        <f aca="false">IF(B83="","",IFERROR(INDEX(T_NOMBRE,MATCH(B83,T_ID,0)),"⚠ ID no existe en Trabajadores"))</f>
        <v/>
      </c>
      <c r="D83" s="64"/>
      <c r="E83" s="64"/>
      <c r="F83" s="65"/>
      <c r="G83" s="65"/>
      <c r="H83" s="67"/>
      <c r="I83" s="64"/>
      <c r="J83" s="65"/>
      <c r="K83" s="64"/>
      <c r="L83" s="64"/>
      <c r="M83" s="64"/>
      <c r="N83" s="72" t="str">
        <f aca="false">IF(B83="","",IF(D83="Anexo de modificación","No","Sí"))</f>
        <v/>
      </c>
      <c r="O83" s="73" t="str">
        <f aca="false">IF(AND(N83="Sí",ISNUMBER(F83)),COUNTIFS(C_ID,B83,C_DEFINE,"Sí",C_INICIO,"&lt;"&amp;F83)+COUNTIFS(B$7:B83,B83,N$7:N83,"Sí",F$7:F83,F83),"")</f>
        <v/>
      </c>
      <c r="P83" s="72" t="str">
        <f aca="false">IF(O83="","",B83&amp;"-P"&amp;O83)</f>
        <v/>
      </c>
      <c r="Q83" s="73" t="str">
        <f aca="false">IF(AND(N83="Sí",E83="Plazo fijo",ISNUMBER(F83)),COUNTIFS(C_ID,B83,C_TIPO,"Plazo fijo",C_DEFINE,"Sí",C_INICIO,"&lt;"&amp;F83)+COUNTIFS(B$7:B83,B83,E$7:E83,"Plazo fijo",N$7:N83,"Sí",F$7:F83,F83),"")</f>
        <v/>
      </c>
      <c r="R83" s="73" t="str">
        <f aca="false">IF(AND(B83&lt;&gt;"",ISNUMBER(H83),ISNUMBER(F83)),COUNTIFS(C_ID,B83,C_SUELDO,"&lt;&gt;",C_INICIO,"&lt;"&amp;F83)+COUNTIFS(B$7:B83,B83,H$7:H83,"&lt;&gt;",F$7:F83,F83),"")</f>
        <v/>
      </c>
      <c r="S83" s="72" t="str">
        <f aca="false">IF(R83="","",B83&amp;"-S"&amp;R83)</f>
        <v/>
      </c>
      <c r="T83" s="74" t="str">
        <f aca="false">IF(AND(ISNUMBER(F83),ISNUMBER(G83)),ROUND((G83-F83+1)/30.4375,1),"")</f>
        <v/>
      </c>
      <c r="U83" s="70" t="str">
        <f aca="false">IF(B83="","",IF(AND(N83="Sí",OR(E83="",NOT(ISNUMBER(F83)))),"⚠ Falta tipo de contrato o fecha de inicio",IF(NOT(ISNUMBER(F83)),"⚠ Falta fecha de inicio",IF(AND(N83="Sí",E83&lt;&gt;"Indefinido",NOT(ISNUMBER(G83))),"⚠ Falta fecha de término",IF(AND(D83="Paso a indefinido",E83&lt;&gt;"Indefinido"),"⚠ Un paso a indefinido debe tener tipo Indefinido",IF(N(Q83)&gt;=3,"⚠ 3er contrato a plazo fijo: por ley ya es INDEFINIDO (Art. 159 N°4)",IF(AND(E83="Plazo fijo",N(T83)&gt;12),"⚠ Plazo fijo mayor a 1 año (máx. legal; 2 años solo profesionales o técnicos)",IF(AND(ISNUMBER(G83),G83&lt;F83),"⚠ Término anterior al inicio",IF(AND(D83="Contrato inicial",ISNUMBER(J83),J83-F83&gt;15),"⚠ Escriturado fuera de plazo (Art. 9: 15 días)",IF(K83&lt;&gt;"Sí","Pendiente de firma","OK"))))))))))</f>
        <v/>
      </c>
    </row>
    <row r="84" customFormat="false" ht="15" hidden="false" customHeight="false" outlineLevel="0" collapsed="false">
      <c r="B84" s="64"/>
      <c r="C84" s="72" t="str">
        <f aca="false">IF(B84="","",IFERROR(INDEX(T_NOMBRE,MATCH(B84,T_ID,0)),"⚠ ID no existe en Trabajadores"))</f>
        <v/>
      </c>
      <c r="D84" s="64"/>
      <c r="E84" s="64"/>
      <c r="F84" s="65"/>
      <c r="G84" s="65"/>
      <c r="H84" s="67"/>
      <c r="I84" s="64"/>
      <c r="J84" s="65"/>
      <c r="K84" s="64"/>
      <c r="L84" s="64"/>
      <c r="M84" s="64"/>
      <c r="N84" s="72" t="str">
        <f aca="false">IF(B84="","",IF(D84="Anexo de modificación","No","Sí"))</f>
        <v/>
      </c>
      <c r="O84" s="73" t="str">
        <f aca="false">IF(AND(N84="Sí",ISNUMBER(F84)),COUNTIFS(C_ID,B84,C_DEFINE,"Sí",C_INICIO,"&lt;"&amp;F84)+COUNTIFS(B$7:B84,B84,N$7:N84,"Sí",F$7:F84,F84),"")</f>
        <v/>
      </c>
      <c r="P84" s="72" t="str">
        <f aca="false">IF(O84="","",B84&amp;"-P"&amp;O84)</f>
        <v/>
      </c>
      <c r="Q84" s="73" t="str">
        <f aca="false">IF(AND(N84="Sí",E84="Plazo fijo",ISNUMBER(F84)),COUNTIFS(C_ID,B84,C_TIPO,"Plazo fijo",C_DEFINE,"Sí",C_INICIO,"&lt;"&amp;F84)+COUNTIFS(B$7:B84,B84,E$7:E84,"Plazo fijo",N$7:N84,"Sí",F$7:F84,F84),"")</f>
        <v/>
      </c>
      <c r="R84" s="73" t="str">
        <f aca="false">IF(AND(B84&lt;&gt;"",ISNUMBER(H84),ISNUMBER(F84)),COUNTIFS(C_ID,B84,C_SUELDO,"&lt;&gt;",C_INICIO,"&lt;"&amp;F84)+COUNTIFS(B$7:B84,B84,H$7:H84,"&lt;&gt;",F$7:F84,F84),"")</f>
        <v/>
      </c>
      <c r="S84" s="72" t="str">
        <f aca="false">IF(R84="","",B84&amp;"-S"&amp;R84)</f>
        <v/>
      </c>
      <c r="T84" s="74" t="str">
        <f aca="false">IF(AND(ISNUMBER(F84),ISNUMBER(G84)),ROUND((G84-F84+1)/30.4375,1),"")</f>
        <v/>
      </c>
      <c r="U84" s="70" t="str">
        <f aca="false">IF(B84="","",IF(AND(N84="Sí",OR(E84="",NOT(ISNUMBER(F84)))),"⚠ Falta tipo de contrato o fecha de inicio",IF(NOT(ISNUMBER(F84)),"⚠ Falta fecha de inicio",IF(AND(N84="Sí",E84&lt;&gt;"Indefinido",NOT(ISNUMBER(G84))),"⚠ Falta fecha de término",IF(AND(D84="Paso a indefinido",E84&lt;&gt;"Indefinido"),"⚠ Un paso a indefinido debe tener tipo Indefinido",IF(N(Q84)&gt;=3,"⚠ 3er contrato a plazo fijo: por ley ya es INDEFINIDO (Art. 159 N°4)",IF(AND(E84="Plazo fijo",N(T84)&gt;12),"⚠ Plazo fijo mayor a 1 año (máx. legal; 2 años solo profesionales o técnicos)",IF(AND(ISNUMBER(G84),G84&lt;F84),"⚠ Término anterior al inicio",IF(AND(D84="Contrato inicial",ISNUMBER(J84),J84-F84&gt;15),"⚠ Escriturado fuera de plazo (Art. 9: 15 días)",IF(K84&lt;&gt;"Sí","Pendiente de firma","OK"))))))))))</f>
        <v/>
      </c>
    </row>
    <row r="85" customFormat="false" ht="15" hidden="false" customHeight="false" outlineLevel="0" collapsed="false">
      <c r="B85" s="64"/>
      <c r="C85" s="72" t="str">
        <f aca="false">IF(B85="","",IFERROR(INDEX(T_NOMBRE,MATCH(B85,T_ID,0)),"⚠ ID no existe en Trabajadores"))</f>
        <v/>
      </c>
      <c r="D85" s="64"/>
      <c r="E85" s="64"/>
      <c r="F85" s="65"/>
      <c r="G85" s="65"/>
      <c r="H85" s="67"/>
      <c r="I85" s="64"/>
      <c r="J85" s="65"/>
      <c r="K85" s="64"/>
      <c r="L85" s="64"/>
      <c r="M85" s="64"/>
      <c r="N85" s="72" t="str">
        <f aca="false">IF(B85="","",IF(D85="Anexo de modificación","No","Sí"))</f>
        <v/>
      </c>
      <c r="O85" s="73" t="str">
        <f aca="false">IF(AND(N85="Sí",ISNUMBER(F85)),COUNTIFS(C_ID,B85,C_DEFINE,"Sí",C_INICIO,"&lt;"&amp;F85)+COUNTIFS(B$7:B85,B85,N$7:N85,"Sí",F$7:F85,F85),"")</f>
        <v/>
      </c>
      <c r="P85" s="72" t="str">
        <f aca="false">IF(O85="","",B85&amp;"-P"&amp;O85)</f>
        <v/>
      </c>
      <c r="Q85" s="73" t="str">
        <f aca="false">IF(AND(N85="Sí",E85="Plazo fijo",ISNUMBER(F85)),COUNTIFS(C_ID,B85,C_TIPO,"Plazo fijo",C_DEFINE,"Sí",C_INICIO,"&lt;"&amp;F85)+COUNTIFS(B$7:B85,B85,E$7:E85,"Plazo fijo",N$7:N85,"Sí",F$7:F85,F85),"")</f>
        <v/>
      </c>
      <c r="R85" s="73" t="str">
        <f aca="false">IF(AND(B85&lt;&gt;"",ISNUMBER(H85),ISNUMBER(F85)),COUNTIFS(C_ID,B85,C_SUELDO,"&lt;&gt;",C_INICIO,"&lt;"&amp;F85)+COUNTIFS(B$7:B85,B85,H$7:H85,"&lt;&gt;",F$7:F85,F85),"")</f>
        <v/>
      </c>
      <c r="S85" s="72" t="str">
        <f aca="false">IF(R85="","",B85&amp;"-S"&amp;R85)</f>
        <v/>
      </c>
      <c r="T85" s="74" t="str">
        <f aca="false">IF(AND(ISNUMBER(F85),ISNUMBER(G85)),ROUND((G85-F85+1)/30.4375,1),"")</f>
        <v/>
      </c>
      <c r="U85" s="70" t="str">
        <f aca="false">IF(B85="","",IF(AND(N85="Sí",OR(E85="",NOT(ISNUMBER(F85)))),"⚠ Falta tipo de contrato o fecha de inicio",IF(NOT(ISNUMBER(F85)),"⚠ Falta fecha de inicio",IF(AND(N85="Sí",E85&lt;&gt;"Indefinido",NOT(ISNUMBER(G85))),"⚠ Falta fecha de término",IF(AND(D85="Paso a indefinido",E85&lt;&gt;"Indefinido"),"⚠ Un paso a indefinido debe tener tipo Indefinido",IF(N(Q85)&gt;=3,"⚠ 3er contrato a plazo fijo: por ley ya es INDEFINIDO (Art. 159 N°4)",IF(AND(E85="Plazo fijo",N(T85)&gt;12),"⚠ Plazo fijo mayor a 1 año (máx. legal; 2 años solo profesionales o técnicos)",IF(AND(ISNUMBER(G85),G85&lt;F85),"⚠ Término anterior al inicio",IF(AND(D85="Contrato inicial",ISNUMBER(J85),J85-F85&gt;15),"⚠ Escriturado fuera de plazo (Art. 9: 15 días)",IF(K85&lt;&gt;"Sí","Pendiente de firma","OK"))))))))))</f>
        <v/>
      </c>
    </row>
    <row r="86" customFormat="false" ht="15" hidden="false" customHeight="false" outlineLevel="0" collapsed="false">
      <c r="B86" s="64"/>
      <c r="C86" s="72" t="str">
        <f aca="false">IF(B86="","",IFERROR(INDEX(T_NOMBRE,MATCH(B86,T_ID,0)),"⚠ ID no existe en Trabajadores"))</f>
        <v/>
      </c>
      <c r="D86" s="64"/>
      <c r="E86" s="64"/>
      <c r="F86" s="65"/>
      <c r="G86" s="65"/>
      <c r="H86" s="67"/>
      <c r="I86" s="64"/>
      <c r="J86" s="65"/>
      <c r="K86" s="64"/>
      <c r="L86" s="64"/>
      <c r="M86" s="64"/>
      <c r="N86" s="72" t="str">
        <f aca="false">IF(B86="","",IF(D86="Anexo de modificación","No","Sí"))</f>
        <v/>
      </c>
      <c r="O86" s="73" t="str">
        <f aca="false">IF(AND(N86="Sí",ISNUMBER(F86)),COUNTIFS(C_ID,B86,C_DEFINE,"Sí",C_INICIO,"&lt;"&amp;F86)+COUNTIFS(B$7:B86,B86,N$7:N86,"Sí",F$7:F86,F86),"")</f>
        <v/>
      </c>
      <c r="P86" s="72" t="str">
        <f aca="false">IF(O86="","",B86&amp;"-P"&amp;O86)</f>
        <v/>
      </c>
      <c r="Q86" s="73" t="str">
        <f aca="false">IF(AND(N86="Sí",E86="Plazo fijo",ISNUMBER(F86)),COUNTIFS(C_ID,B86,C_TIPO,"Plazo fijo",C_DEFINE,"Sí",C_INICIO,"&lt;"&amp;F86)+COUNTIFS(B$7:B86,B86,E$7:E86,"Plazo fijo",N$7:N86,"Sí",F$7:F86,F86),"")</f>
        <v/>
      </c>
      <c r="R86" s="73" t="str">
        <f aca="false">IF(AND(B86&lt;&gt;"",ISNUMBER(H86),ISNUMBER(F86)),COUNTIFS(C_ID,B86,C_SUELDO,"&lt;&gt;",C_INICIO,"&lt;"&amp;F86)+COUNTIFS(B$7:B86,B86,H$7:H86,"&lt;&gt;",F$7:F86,F86),"")</f>
        <v/>
      </c>
      <c r="S86" s="72" t="str">
        <f aca="false">IF(R86="","",B86&amp;"-S"&amp;R86)</f>
        <v/>
      </c>
      <c r="T86" s="74" t="str">
        <f aca="false">IF(AND(ISNUMBER(F86),ISNUMBER(G86)),ROUND((G86-F86+1)/30.4375,1),"")</f>
        <v/>
      </c>
      <c r="U86" s="70" t="str">
        <f aca="false">IF(B86="","",IF(AND(N86="Sí",OR(E86="",NOT(ISNUMBER(F86)))),"⚠ Falta tipo de contrato o fecha de inicio",IF(NOT(ISNUMBER(F86)),"⚠ Falta fecha de inicio",IF(AND(N86="Sí",E86&lt;&gt;"Indefinido",NOT(ISNUMBER(G86))),"⚠ Falta fecha de término",IF(AND(D86="Paso a indefinido",E86&lt;&gt;"Indefinido"),"⚠ Un paso a indefinido debe tener tipo Indefinido",IF(N(Q86)&gt;=3,"⚠ 3er contrato a plazo fijo: por ley ya es INDEFINIDO (Art. 159 N°4)",IF(AND(E86="Plazo fijo",N(T86)&gt;12),"⚠ Plazo fijo mayor a 1 año (máx. legal; 2 años solo profesionales o técnicos)",IF(AND(ISNUMBER(G86),G86&lt;F86),"⚠ Término anterior al inicio",IF(AND(D86="Contrato inicial",ISNUMBER(J86),J86-F86&gt;15),"⚠ Escriturado fuera de plazo (Art. 9: 15 días)",IF(K86&lt;&gt;"Sí","Pendiente de firma","OK"))))))))))</f>
        <v/>
      </c>
    </row>
    <row r="87" customFormat="false" ht="15" hidden="false" customHeight="false" outlineLevel="0" collapsed="false">
      <c r="B87" s="64"/>
      <c r="C87" s="72" t="str">
        <f aca="false">IF(B87="","",IFERROR(INDEX(T_NOMBRE,MATCH(B87,T_ID,0)),"⚠ ID no existe en Trabajadores"))</f>
        <v/>
      </c>
      <c r="D87" s="64"/>
      <c r="E87" s="64"/>
      <c r="F87" s="65"/>
      <c r="G87" s="65"/>
      <c r="H87" s="67"/>
      <c r="I87" s="64"/>
      <c r="J87" s="65"/>
      <c r="K87" s="64"/>
      <c r="L87" s="64"/>
      <c r="M87" s="64"/>
      <c r="N87" s="72" t="str">
        <f aca="false">IF(B87="","",IF(D87="Anexo de modificación","No","Sí"))</f>
        <v/>
      </c>
      <c r="O87" s="73" t="str">
        <f aca="false">IF(AND(N87="Sí",ISNUMBER(F87)),COUNTIFS(C_ID,B87,C_DEFINE,"Sí",C_INICIO,"&lt;"&amp;F87)+COUNTIFS(B$7:B87,B87,N$7:N87,"Sí",F$7:F87,F87),"")</f>
        <v/>
      </c>
      <c r="P87" s="72" t="str">
        <f aca="false">IF(O87="","",B87&amp;"-P"&amp;O87)</f>
        <v/>
      </c>
      <c r="Q87" s="73" t="str">
        <f aca="false">IF(AND(N87="Sí",E87="Plazo fijo",ISNUMBER(F87)),COUNTIFS(C_ID,B87,C_TIPO,"Plazo fijo",C_DEFINE,"Sí",C_INICIO,"&lt;"&amp;F87)+COUNTIFS(B$7:B87,B87,E$7:E87,"Plazo fijo",N$7:N87,"Sí",F$7:F87,F87),"")</f>
        <v/>
      </c>
      <c r="R87" s="73" t="str">
        <f aca="false">IF(AND(B87&lt;&gt;"",ISNUMBER(H87),ISNUMBER(F87)),COUNTIFS(C_ID,B87,C_SUELDO,"&lt;&gt;",C_INICIO,"&lt;"&amp;F87)+COUNTIFS(B$7:B87,B87,H$7:H87,"&lt;&gt;",F$7:F87,F87),"")</f>
        <v/>
      </c>
      <c r="S87" s="72" t="str">
        <f aca="false">IF(R87="","",B87&amp;"-S"&amp;R87)</f>
        <v/>
      </c>
      <c r="T87" s="74" t="str">
        <f aca="false">IF(AND(ISNUMBER(F87),ISNUMBER(G87)),ROUND((G87-F87+1)/30.4375,1),"")</f>
        <v/>
      </c>
      <c r="U87" s="70" t="str">
        <f aca="false">IF(B87="","",IF(AND(N87="Sí",OR(E87="",NOT(ISNUMBER(F87)))),"⚠ Falta tipo de contrato o fecha de inicio",IF(NOT(ISNUMBER(F87)),"⚠ Falta fecha de inicio",IF(AND(N87="Sí",E87&lt;&gt;"Indefinido",NOT(ISNUMBER(G87))),"⚠ Falta fecha de término",IF(AND(D87="Paso a indefinido",E87&lt;&gt;"Indefinido"),"⚠ Un paso a indefinido debe tener tipo Indefinido",IF(N(Q87)&gt;=3,"⚠ 3er contrato a plazo fijo: por ley ya es INDEFINIDO (Art. 159 N°4)",IF(AND(E87="Plazo fijo",N(T87)&gt;12),"⚠ Plazo fijo mayor a 1 año (máx. legal; 2 años solo profesionales o técnicos)",IF(AND(ISNUMBER(G87),G87&lt;F87),"⚠ Término anterior al inicio",IF(AND(D87="Contrato inicial",ISNUMBER(J87),J87-F87&gt;15),"⚠ Escriturado fuera de plazo (Art. 9: 15 días)",IF(K87&lt;&gt;"Sí","Pendiente de firma","OK"))))))))))</f>
        <v/>
      </c>
    </row>
    <row r="88" customFormat="false" ht="15" hidden="false" customHeight="false" outlineLevel="0" collapsed="false">
      <c r="B88" s="64"/>
      <c r="C88" s="72" t="str">
        <f aca="false">IF(B88="","",IFERROR(INDEX(T_NOMBRE,MATCH(B88,T_ID,0)),"⚠ ID no existe en Trabajadores"))</f>
        <v/>
      </c>
      <c r="D88" s="64"/>
      <c r="E88" s="64"/>
      <c r="F88" s="65"/>
      <c r="G88" s="65"/>
      <c r="H88" s="67"/>
      <c r="I88" s="64"/>
      <c r="J88" s="65"/>
      <c r="K88" s="64"/>
      <c r="L88" s="64"/>
      <c r="M88" s="64"/>
      <c r="N88" s="72" t="str">
        <f aca="false">IF(B88="","",IF(D88="Anexo de modificación","No","Sí"))</f>
        <v/>
      </c>
      <c r="O88" s="73" t="str">
        <f aca="false">IF(AND(N88="Sí",ISNUMBER(F88)),COUNTIFS(C_ID,B88,C_DEFINE,"Sí",C_INICIO,"&lt;"&amp;F88)+COUNTIFS(B$7:B88,B88,N$7:N88,"Sí",F$7:F88,F88),"")</f>
        <v/>
      </c>
      <c r="P88" s="72" t="str">
        <f aca="false">IF(O88="","",B88&amp;"-P"&amp;O88)</f>
        <v/>
      </c>
      <c r="Q88" s="73" t="str">
        <f aca="false">IF(AND(N88="Sí",E88="Plazo fijo",ISNUMBER(F88)),COUNTIFS(C_ID,B88,C_TIPO,"Plazo fijo",C_DEFINE,"Sí",C_INICIO,"&lt;"&amp;F88)+COUNTIFS(B$7:B88,B88,E$7:E88,"Plazo fijo",N$7:N88,"Sí",F$7:F88,F88),"")</f>
        <v/>
      </c>
      <c r="R88" s="73" t="str">
        <f aca="false">IF(AND(B88&lt;&gt;"",ISNUMBER(H88),ISNUMBER(F88)),COUNTIFS(C_ID,B88,C_SUELDO,"&lt;&gt;",C_INICIO,"&lt;"&amp;F88)+COUNTIFS(B$7:B88,B88,H$7:H88,"&lt;&gt;",F$7:F88,F88),"")</f>
        <v/>
      </c>
      <c r="S88" s="72" t="str">
        <f aca="false">IF(R88="","",B88&amp;"-S"&amp;R88)</f>
        <v/>
      </c>
      <c r="T88" s="74" t="str">
        <f aca="false">IF(AND(ISNUMBER(F88),ISNUMBER(G88)),ROUND((G88-F88+1)/30.4375,1),"")</f>
        <v/>
      </c>
      <c r="U88" s="70" t="str">
        <f aca="false">IF(B88="","",IF(AND(N88="Sí",OR(E88="",NOT(ISNUMBER(F88)))),"⚠ Falta tipo de contrato o fecha de inicio",IF(NOT(ISNUMBER(F88)),"⚠ Falta fecha de inicio",IF(AND(N88="Sí",E88&lt;&gt;"Indefinido",NOT(ISNUMBER(G88))),"⚠ Falta fecha de término",IF(AND(D88="Paso a indefinido",E88&lt;&gt;"Indefinido"),"⚠ Un paso a indefinido debe tener tipo Indefinido",IF(N(Q88)&gt;=3,"⚠ 3er contrato a plazo fijo: por ley ya es INDEFINIDO (Art. 159 N°4)",IF(AND(E88="Plazo fijo",N(T88)&gt;12),"⚠ Plazo fijo mayor a 1 año (máx. legal; 2 años solo profesionales o técnicos)",IF(AND(ISNUMBER(G88),G88&lt;F88),"⚠ Término anterior al inicio",IF(AND(D88="Contrato inicial",ISNUMBER(J88),J88-F88&gt;15),"⚠ Escriturado fuera de plazo (Art. 9: 15 días)",IF(K88&lt;&gt;"Sí","Pendiente de firma","OK"))))))))))</f>
        <v/>
      </c>
    </row>
    <row r="89" customFormat="false" ht="15" hidden="false" customHeight="false" outlineLevel="0" collapsed="false">
      <c r="B89" s="64"/>
      <c r="C89" s="72" t="str">
        <f aca="false">IF(B89="","",IFERROR(INDEX(T_NOMBRE,MATCH(B89,T_ID,0)),"⚠ ID no existe en Trabajadores"))</f>
        <v/>
      </c>
      <c r="D89" s="64"/>
      <c r="E89" s="64"/>
      <c r="F89" s="65"/>
      <c r="G89" s="65"/>
      <c r="H89" s="67"/>
      <c r="I89" s="64"/>
      <c r="J89" s="65"/>
      <c r="K89" s="64"/>
      <c r="L89" s="64"/>
      <c r="M89" s="64"/>
      <c r="N89" s="72" t="str">
        <f aca="false">IF(B89="","",IF(D89="Anexo de modificación","No","Sí"))</f>
        <v/>
      </c>
      <c r="O89" s="73" t="str">
        <f aca="false">IF(AND(N89="Sí",ISNUMBER(F89)),COUNTIFS(C_ID,B89,C_DEFINE,"Sí",C_INICIO,"&lt;"&amp;F89)+COUNTIFS(B$7:B89,B89,N$7:N89,"Sí",F$7:F89,F89),"")</f>
        <v/>
      </c>
      <c r="P89" s="72" t="str">
        <f aca="false">IF(O89="","",B89&amp;"-P"&amp;O89)</f>
        <v/>
      </c>
      <c r="Q89" s="73" t="str">
        <f aca="false">IF(AND(N89="Sí",E89="Plazo fijo",ISNUMBER(F89)),COUNTIFS(C_ID,B89,C_TIPO,"Plazo fijo",C_DEFINE,"Sí",C_INICIO,"&lt;"&amp;F89)+COUNTIFS(B$7:B89,B89,E$7:E89,"Plazo fijo",N$7:N89,"Sí",F$7:F89,F89),"")</f>
        <v/>
      </c>
      <c r="R89" s="73" t="str">
        <f aca="false">IF(AND(B89&lt;&gt;"",ISNUMBER(H89),ISNUMBER(F89)),COUNTIFS(C_ID,B89,C_SUELDO,"&lt;&gt;",C_INICIO,"&lt;"&amp;F89)+COUNTIFS(B$7:B89,B89,H$7:H89,"&lt;&gt;",F$7:F89,F89),"")</f>
        <v/>
      </c>
      <c r="S89" s="72" t="str">
        <f aca="false">IF(R89="","",B89&amp;"-S"&amp;R89)</f>
        <v/>
      </c>
      <c r="T89" s="74" t="str">
        <f aca="false">IF(AND(ISNUMBER(F89),ISNUMBER(G89)),ROUND((G89-F89+1)/30.4375,1),"")</f>
        <v/>
      </c>
      <c r="U89" s="70" t="str">
        <f aca="false">IF(B89="","",IF(AND(N89="Sí",OR(E89="",NOT(ISNUMBER(F89)))),"⚠ Falta tipo de contrato o fecha de inicio",IF(NOT(ISNUMBER(F89)),"⚠ Falta fecha de inicio",IF(AND(N89="Sí",E89&lt;&gt;"Indefinido",NOT(ISNUMBER(G89))),"⚠ Falta fecha de término",IF(AND(D89="Paso a indefinido",E89&lt;&gt;"Indefinido"),"⚠ Un paso a indefinido debe tener tipo Indefinido",IF(N(Q89)&gt;=3,"⚠ 3er contrato a plazo fijo: por ley ya es INDEFINIDO (Art. 159 N°4)",IF(AND(E89="Plazo fijo",N(T89)&gt;12),"⚠ Plazo fijo mayor a 1 año (máx. legal; 2 años solo profesionales o técnicos)",IF(AND(ISNUMBER(G89),G89&lt;F89),"⚠ Término anterior al inicio",IF(AND(D89="Contrato inicial",ISNUMBER(J89),J89-F89&gt;15),"⚠ Escriturado fuera de plazo (Art. 9: 15 días)",IF(K89&lt;&gt;"Sí","Pendiente de firma","OK"))))))))))</f>
        <v/>
      </c>
    </row>
    <row r="90" customFormat="false" ht="15" hidden="false" customHeight="false" outlineLevel="0" collapsed="false">
      <c r="B90" s="64"/>
      <c r="C90" s="72" t="str">
        <f aca="false">IF(B90="","",IFERROR(INDEX(T_NOMBRE,MATCH(B90,T_ID,0)),"⚠ ID no existe en Trabajadores"))</f>
        <v/>
      </c>
      <c r="D90" s="64"/>
      <c r="E90" s="64"/>
      <c r="F90" s="65"/>
      <c r="G90" s="65"/>
      <c r="H90" s="67"/>
      <c r="I90" s="64"/>
      <c r="J90" s="65"/>
      <c r="K90" s="64"/>
      <c r="L90" s="64"/>
      <c r="M90" s="64"/>
      <c r="N90" s="72" t="str">
        <f aca="false">IF(B90="","",IF(D90="Anexo de modificación","No","Sí"))</f>
        <v/>
      </c>
      <c r="O90" s="73" t="str">
        <f aca="false">IF(AND(N90="Sí",ISNUMBER(F90)),COUNTIFS(C_ID,B90,C_DEFINE,"Sí",C_INICIO,"&lt;"&amp;F90)+COUNTIFS(B$7:B90,B90,N$7:N90,"Sí",F$7:F90,F90),"")</f>
        <v/>
      </c>
      <c r="P90" s="72" t="str">
        <f aca="false">IF(O90="","",B90&amp;"-P"&amp;O90)</f>
        <v/>
      </c>
      <c r="Q90" s="73" t="str">
        <f aca="false">IF(AND(N90="Sí",E90="Plazo fijo",ISNUMBER(F90)),COUNTIFS(C_ID,B90,C_TIPO,"Plazo fijo",C_DEFINE,"Sí",C_INICIO,"&lt;"&amp;F90)+COUNTIFS(B$7:B90,B90,E$7:E90,"Plazo fijo",N$7:N90,"Sí",F$7:F90,F90),"")</f>
        <v/>
      </c>
      <c r="R90" s="73" t="str">
        <f aca="false">IF(AND(B90&lt;&gt;"",ISNUMBER(H90),ISNUMBER(F90)),COUNTIFS(C_ID,B90,C_SUELDO,"&lt;&gt;",C_INICIO,"&lt;"&amp;F90)+COUNTIFS(B$7:B90,B90,H$7:H90,"&lt;&gt;",F$7:F90,F90),"")</f>
        <v/>
      </c>
      <c r="S90" s="72" t="str">
        <f aca="false">IF(R90="","",B90&amp;"-S"&amp;R90)</f>
        <v/>
      </c>
      <c r="T90" s="74" t="str">
        <f aca="false">IF(AND(ISNUMBER(F90),ISNUMBER(G90)),ROUND((G90-F90+1)/30.4375,1),"")</f>
        <v/>
      </c>
      <c r="U90" s="70" t="str">
        <f aca="false">IF(B90="","",IF(AND(N90="Sí",OR(E90="",NOT(ISNUMBER(F90)))),"⚠ Falta tipo de contrato o fecha de inicio",IF(NOT(ISNUMBER(F90)),"⚠ Falta fecha de inicio",IF(AND(N90="Sí",E90&lt;&gt;"Indefinido",NOT(ISNUMBER(G90))),"⚠ Falta fecha de término",IF(AND(D90="Paso a indefinido",E90&lt;&gt;"Indefinido"),"⚠ Un paso a indefinido debe tener tipo Indefinido",IF(N(Q90)&gt;=3,"⚠ 3er contrato a plazo fijo: por ley ya es INDEFINIDO (Art. 159 N°4)",IF(AND(E90="Plazo fijo",N(T90)&gt;12),"⚠ Plazo fijo mayor a 1 año (máx. legal; 2 años solo profesionales o técnicos)",IF(AND(ISNUMBER(G90),G90&lt;F90),"⚠ Término anterior al inicio",IF(AND(D90="Contrato inicial",ISNUMBER(J90),J90-F90&gt;15),"⚠ Escriturado fuera de plazo (Art. 9: 15 días)",IF(K90&lt;&gt;"Sí","Pendiente de firma","OK"))))))))))</f>
        <v/>
      </c>
    </row>
    <row r="91" customFormat="false" ht="15" hidden="false" customHeight="false" outlineLevel="0" collapsed="false">
      <c r="B91" s="64"/>
      <c r="C91" s="72" t="str">
        <f aca="false">IF(B91="","",IFERROR(INDEX(T_NOMBRE,MATCH(B91,T_ID,0)),"⚠ ID no existe en Trabajadores"))</f>
        <v/>
      </c>
      <c r="D91" s="64"/>
      <c r="E91" s="64"/>
      <c r="F91" s="65"/>
      <c r="G91" s="65"/>
      <c r="H91" s="67"/>
      <c r="I91" s="64"/>
      <c r="J91" s="65"/>
      <c r="K91" s="64"/>
      <c r="L91" s="64"/>
      <c r="M91" s="64"/>
      <c r="N91" s="72" t="str">
        <f aca="false">IF(B91="","",IF(D91="Anexo de modificación","No","Sí"))</f>
        <v/>
      </c>
      <c r="O91" s="73" t="str">
        <f aca="false">IF(AND(N91="Sí",ISNUMBER(F91)),COUNTIFS(C_ID,B91,C_DEFINE,"Sí",C_INICIO,"&lt;"&amp;F91)+COUNTIFS(B$7:B91,B91,N$7:N91,"Sí",F$7:F91,F91),"")</f>
        <v/>
      </c>
      <c r="P91" s="72" t="str">
        <f aca="false">IF(O91="","",B91&amp;"-P"&amp;O91)</f>
        <v/>
      </c>
      <c r="Q91" s="73" t="str">
        <f aca="false">IF(AND(N91="Sí",E91="Plazo fijo",ISNUMBER(F91)),COUNTIFS(C_ID,B91,C_TIPO,"Plazo fijo",C_DEFINE,"Sí",C_INICIO,"&lt;"&amp;F91)+COUNTIFS(B$7:B91,B91,E$7:E91,"Plazo fijo",N$7:N91,"Sí",F$7:F91,F91),"")</f>
        <v/>
      </c>
      <c r="R91" s="73" t="str">
        <f aca="false">IF(AND(B91&lt;&gt;"",ISNUMBER(H91),ISNUMBER(F91)),COUNTIFS(C_ID,B91,C_SUELDO,"&lt;&gt;",C_INICIO,"&lt;"&amp;F91)+COUNTIFS(B$7:B91,B91,H$7:H91,"&lt;&gt;",F$7:F91,F91),"")</f>
        <v/>
      </c>
      <c r="S91" s="72" t="str">
        <f aca="false">IF(R91="","",B91&amp;"-S"&amp;R91)</f>
        <v/>
      </c>
      <c r="T91" s="74" t="str">
        <f aca="false">IF(AND(ISNUMBER(F91),ISNUMBER(G91)),ROUND((G91-F91+1)/30.4375,1),"")</f>
        <v/>
      </c>
      <c r="U91" s="70" t="str">
        <f aca="false">IF(B91="","",IF(AND(N91="Sí",OR(E91="",NOT(ISNUMBER(F91)))),"⚠ Falta tipo de contrato o fecha de inicio",IF(NOT(ISNUMBER(F91)),"⚠ Falta fecha de inicio",IF(AND(N91="Sí",E91&lt;&gt;"Indefinido",NOT(ISNUMBER(G91))),"⚠ Falta fecha de término",IF(AND(D91="Paso a indefinido",E91&lt;&gt;"Indefinido"),"⚠ Un paso a indefinido debe tener tipo Indefinido",IF(N(Q91)&gt;=3,"⚠ 3er contrato a plazo fijo: por ley ya es INDEFINIDO (Art. 159 N°4)",IF(AND(E91="Plazo fijo",N(T91)&gt;12),"⚠ Plazo fijo mayor a 1 año (máx. legal; 2 años solo profesionales o técnicos)",IF(AND(ISNUMBER(G91),G91&lt;F91),"⚠ Término anterior al inicio",IF(AND(D91="Contrato inicial",ISNUMBER(J91),J91-F91&gt;15),"⚠ Escriturado fuera de plazo (Art. 9: 15 días)",IF(K91&lt;&gt;"Sí","Pendiente de firma","OK"))))))))))</f>
        <v/>
      </c>
    </row>
    <row r="92" customFormat="false" ht="15" hidden="false" customHeight="false" outlineLevel="0" collapsed="false">
      <c r="B92" s="64"/>
      <c r="C92" s="72" t="str">
        <f aca="false">IF(B92="","",IFERROR(INDEX(T_NOMBRE,MATCH(B92,T_ID,0)),"⚠ ID no existe en Trabajadores"))</f>
        <v/>
      </c>
      <c r="D92" s="64"/>
      <c r="E92" s="64"/>
      <c r="F92" s="65"/>
      <c r="G92" s="65"/>
      <c r="H92" s="67"/>
      <c r="I92" s="64"/>
      <c r="J92" s="65"/>
      <c r="K92" s="64"/>
      <c r="L92" s="64"/>
      <c r="M92" s="64"/>
      <c r="N92" s="72" t="str">
        <f aca="false">IF(B92="","",IF(D92="Anexo de modificación","No","Sí"))</f>
        <v/>
      </c>
      <c r="O92" s="73" t="str">
        <f aca="false">IF(AND(N92="Sí",ISNUMBER(F92)),COUNTIFS(C_ID,B92,C_DEFINE,"Sí",C_INICIO,"&lt;"&amp;F92)+COUNTIFS(B$7:B92,B92,N$7:N92,"Sí",F$7:F92,F92),"")</f>
        <v/>
      </c>
      <c r="P92" s="72" t="str">
        <f aca="false">IF(O92="","",B92&amp;"-P"&amp;O92)</f>
        <v/>
      </c>
      <c r="Q92" s="73" t="str">
        <f aca="false">IF(AND(N92="Sí",E92="Plazo fijo",ISNUMBER(F92)),COUNTIFS(C_ID,B92,C_TIPO,"Plazo fijo",C_DEFINE,"Sí",C_INICIO,"&lt;"&amp;F92)+COUNTIFS(B$7:B92,B92,E$7:E92,"Plazo fijo",N$7:N92,"Sí",F$7:F92,F92),"")</f>
        <v/>
      </c>
      <c r="R92" s="73" t="str">
        <f aca="false">IF(AND(B92&lt;&gt;"",ISNUMBER(H92),ISNUMBER(F92)),COUNTIFS(C_ID,B92,C_SUELDO,"&lt;&gt;",C_INICIO,"&lt;"&amp;F92)+COUNTIFS(B$7:B92,B92,H$7:H92,"&lt;&gt;",F$7:F92,F92),"")</f>
        <v/>
      </c>
      <c r="S92" s="72" t="str">
        <f aca="false">IF(R92="","",B92&amp;"-S"&amp;R92)</f>
        <v/>
      </c>
      <c r="T92" s="74" t="str">
        <f aca="false">IF(AND(ISNUMBER(F92),ISNUMBER(G92)),ROUND((G92-F92+1)/30.4375,1),"")</f>
        <v/>
      </c>
      <c r="U92" s="70" t="str">
        <f aca="false">IF(B92="","",IF(AND(N92="Sí",OR(E92="",NOT(ISNUMBER(F92)))),"⚠ Falta tipo de contrato o fecha de inicio",IF(NOT(ISNUMBER(F92)),"⚠ Falta fecha de inicio",IF(AND(N92="Sí",E92&lt;&gt;"Indefinido",NOT(ISNUMBER(G92))),"⚠ Falta fecha de término",IF(AND(D92="Paso a indefinido",E92&lt;&gt;"Indefinido"),"⚠ Un paso a indefinido debe tener tipo Indefinido",IF(N(Q92)&gt;=3,"⚠ 3er contrato a plazo fijo: por ley ya es INDEFINIDO (Art. 159 N°4)",IF(AND(E92="Plazo fijo",N(T92)&gt;12),"⚠ Plazo fijo mayor a 1 año (máx. legal; 2 años solo profesionales o técnicos)",IF(AND(ISNUMBER(G92),G92&lt;F92),"⚠ Término anterior al inicio",IF(AND(D92="Contrato inicial",ISNUMBER(J92),J92-F92&gt;15),"⚠ Escriturado fuera de plazo (Art. 9: 15 días)",IF(K92&lt;&gt;"Sí","Pendiente de firma","OK"))))))))))</f>
        <v/>
      </c>
    </row>
    <row r="93" customFormat="false" ht="15" hidden="false" customHeight="false" outlineLevel="0" collapsed="false">
      <c r="B93" s="64"/>
      <c r="C93" s="72" t="str">
        <f aca="false">IF(B93="","",IFERROR(INDEX(T_NOMBRE,MATCH(B93,T_ID,0)),"⚠ ID no existe en Trabajadores"))</f>
        <v/>
      </c>
      <c r="D93" s="64"/>
      <c r="E93" s="64"/>
      <c r="F93" s="65"/>
      <c r="G93" s="65"/>
      <c r="H93" s="67"/>
      <c r="I93" s="64"/>
      <c r="J93" s="65"/>
      <c r="K93" s="64"/>
      <c r="L93" s="64"/>
      <c r="M93" s="64"/>
      <c r="N93" s="72" t="str">
        <f aca="false">IF(B93="","",IF(D93="Anexo de modificación","No","Sí"))</f>
        <v/>
      </c>
      <c r="O93" s="73" t="str">
        <f aca="false">IF(AND(N93="Sí",ISNUMBER(F93)),COUNTIFS(C_ID,B93,C_DEFINE,"Sí",C_INICIO,"&lt;"&amp;F93)+COUNTIFS(B$7:B93,B93,N$7:N93,"Sí",F$7:F93,F93),"")</f>
        <v/>
      </c>
      <c r="P93" s="72" t="str">
        <f aca="false">IF(O93="","",B93&amp;"-P"&amp;O93)</f>
        <v/>
      </c>
      <c r="Q93" s="73" t="str">
        <f aca="false">IF(AND(N93="Sí",E93="Plazo fijo",ISNUMBER(F93)),COUNTIFS(C_ID,B93,C_TIPO,"Plazo fijo",C_DEFINE,"Sí",C_INICIO,"&lt;"&amp;F93)+COUNTIFS(B$7:B93,B93,E$7:E93,"Plazo fijo",N$7:N93,"Sí",F$7:F93,F93),"")</f>
        <v/>
      </c>
      <c r="R93" s="73" t="str">
        <f aca="false">IF(AND(B93&lt;&gt;"",ISNUMBER(H93),ISNUMBER(F93)),COUNTIFS(C_ID,B93,C_SUELDO,"&lt;&gt;",C_INICIO,"&lt;"&amp;F93)+COUNTIFS(B$7:B93,B93,H$7:H93,"&lt;&gt;",F$7:F93,F93),"")</f>
        <v/>
      </c>
      <c r="S93" s="72" t="str">
        <f aca="false">IF(R93="","",B93&amp;"-S"&amp;R93)</f>
        <v/>
      </c>
      <c r="T93" s="74" t="str">
        <f aca="false">IF(AND(ISNUMBER(F93),ISNUMBER(G93)),ROUND((G93-F93+1)/30.4375,1),"")</f>
        <v/>
      </c>
      <c r="U93" s="70" t="str">
        <f aca="false">IF(B93="","",IF(AND(N93="Sí",OR(E93="",NOT(ISNUMBER(F93)))),"⚠ Falta tipo de contrato o fecha de inicio",IF(NOT(ISNUMBER(F93)),"⚠ Falta fecha de inicio",IF(AND(N93="Sí",E93&lt;&gt;"Indefinido",NOT(ISNUMBER(G93))),"⚠ Falta fecha de término",IF(AND(D93="Paso a indefinido",E93&lt;&gt;"Indefinido"),"⚠ Un paso a indefinido debe tener tipo Indefinido",IF(N(Q93)&gt;=3,"⚠ 3er contrato a plazo fijo: por ley ya es INDEFINIDO (Art. 159 N°4)",IF(AND(E93="Plazo fijo",N(T93)&gt;12),"⚠ Plazo fijo mayor a 1 año (máx. legal; 2 años solo profesionales o técnicos)",IF(AND(ISNUMBER(G93),G93&lt;F93),"⚠ Término anterior al inicio",IF(AND(D93="Contrato inicial",ISNUMBER(J93),J93-F93&gt;15),"⚠ Escriturado fuera de plazo (Art. 9: 15 días)",IF(K93&lt;&gt;"Sí","Pendiente de firma","OK"))))))))))</f>
        <v/>
      </c>
    </row>
    <row r="94" customFormat="false" ht="15" hidden="false" customHeight="false" outlineLevel="0" collapsed="false">
      <c r="B94" s="64"/>
      <c r="C94" s="72" t="str">
        <f aca="false">IF(B94="","",IFERROR(INDEX(T_NOMBRE,MATCH(B94,T_ID,0)),"⚠ ID no existe en Trabajadores"))</f>
        <v/>
      </c>
      <c r="D94" s="64"/>
      <c r="E94" s="64"/>
      <c r="F94" s="65"/>
      <c r="G94" s="65"/>
      <c r="H94" s="67"/>
      <c r="I94" s="64"/>
      <c r="J94" s="65"/>
      <c r="K94" s="64"/>
      <c r="L94" s="64"/>
      <c r="M94" s="64"/>
      <c r="N94" s="72" t="str">
        <f aca="false">IF(B94="","",IF(D94="Anexo de modificación","No","Sí"))</f>
        <v/>
      </c>
      <c r="O94" s="73" t="str">
        <f aca="false">IF(AND(N94="Sí",ISNUMBER(F94)),COUNTIFS(C_ID,B94,C_DEFINE,"Sí",C_INICIO,"&lt;"&amp;F94)+COUNTIFS(B$7:B94,B94,N$7:N94,"Sí",F$7:F94,F94),"")</f>
        <v/>
      </c>
      <c r="P94" s="72" t="str">
        <f aca="false">IF(O94="","",B94&amp;"-P"&amp;O94)</f>
        <v/>
      </c>
      <c r="Q94" s="73" t="str">
        <f aca="false">IF(AND(N94="Sí",E94="Plazo fijo",ISNUMBER(F94)),COUNTIFS(C_ID,B94,C_TIPO,"Plazo fijo",C_DEFINE,"Sí",C_INICIO,"&lt;"&amp;F94)+COUNTIFS(B$7:B94,B94,E$7:E94,"Plazo fijo",N$7:N94,"Sí",F$7:F94,F94),"")</f>
        <v/>
      </c>
      <c r="R94" s="73" t="str">
        <f aca="false">IF(AND(B94&lt;&gt;"",ISNUMBER(H94),ISNUMBER(F94)),COUNTIFS(C_ID,B94,C_SUELDO,"&lt;&gt;",C_INICIO,"&lt;"&amp;F94)+COUNTIFS(B$7:B94,B94,H$7:H94,"&lt;&gt;",F$7:F94,F94),"")</f>
        <v/>
      </c>
      <c r="S94" s="72" t="str">
        <f aca="false">IF(R94="","",B94&amp;"-S"&amp;R94)</f>
        <v/>
      </c>
      <c r="T94" s="74" t="str">
        <f aca="false">IF(AND(ISNUMBER(F94),ISNUMBER(G94)),ROUND((G94-F94+1)/30.4375,1),"")</f>
        <v/>
      </c>
      <c r="U94" s="70" t="str">
        <f aca="false">IF(B94="","",IF(AND(N94="Sí",OR(E94="",NOT(ISNUMBER(F94)))),"⚠ Falta tipo de contrato o fecha de inicio",IF(NOT(ISNUMBER(F94)),"⚠ Falta fecha de inicio",IF(AND(N94="Sí",E94&lt;&gt;"Indefinido",NOT(ISNUMBER(G94))),"⚠ Falta fecha de término",IF(AND(D94="Paso a indefinido",E94&lt;&gt;"Indefinido"),"⚠ Un paso a indefinido debe tener tipo Indefinido",IF(N(Q94)&gt;=3,"⚠ 3er contrato a plazo fijo: por ley ya es INDEFINIDO (Art. 159 N°4)",IF(AND(E94="Plazo fijo",N(T94)&gt;12),"⚠ Plazo fijo mayor a 1 año (máx. legal; 2 años solo profesionales o técnicos)",IF(AND(ISNUMBER(G94),G94&lt;F94),"⚠ Término anterior al inicio",IF(AND(D94="Contrato inicial",ISNUMBER(J94),J94-F94&gt;15),"⚠ Escriturado fuera de plazo (Art. 9: 15 días)",IF(K94&lt;&gt;"Sí","Pendiente de firma","OK"))))))))))</f>
        <v/>
      </c>
    </row>
    <row r="95" customFormat="false" ht="15" hidden="false" customHeight="false" outlineLevel="0" collapsed="false">
      <c r="B95" s="64"/>
      <c r="C95" s="72" t="str">
        <f aca="false">IF(B95="","",IFERROR(INDEX(T_NOMBRE,MATCH(B95,T_ID,0)),"⚠ ID no existe en Trabajadores"))</f>
        <v/>
      </c>
      <c r="D95" s="64"/>
      <c r="E95" s="64"/>
      <c r="F95" s="65"/>
      <c r="G95" s="65"/>
      <c r="H95" s="67"/>
      <c r="I95" s="64"/>
      <c r="J95" s="65"/>
      <c r="K95" s="64"/>
      <c r="L95" s="64"/>
      <c r="M95" s="64"/>
      <c r="N95" s="72" t="str">
        <f aca="false">IF(B95="","",IF(D95="Anexo de modificación","No","Sí"))</f>
        <v/>
      </c>
      <c r="O95" s="73" t="str">
        <f aca="false">IF(AND(N95="Sí",ISNUMBER(F95)),COUNTIFS(C_ID,B95,C_DEFINE,"Sí",C_INICIO,"&lt;"&amp;F95)+COUNTIFS(B$7:B95,B95,N$7:N95,"Sí",F$7:F95,F95),"")</f>
        <v/>
      </c>
      <c r="P95" s="72" t="str">
        <f aca="false">IF(O95="","",B95&amp;"-P"&amp;O95)</f>
        <v/>
      </c>
      <c r="Q95" s="73" t="str">
        <f aca="false">IF(AND(N95="Sí",E95="Plazo fijo",ISNUMBER(F95)),COUNTIFS(C_ID,B95,C_TIPO,"Plazo fijo",C_DEFINE,"Sí",C_INICIO,"&lt;"&amp;F95)+COUNTIFS(B$7:B95,B95,E$7:E95,"Plazo fijo",N$7:N95,"Sí",F$7:F95,F95),"")</f>
        <v/>
      </c>
      <c r="R95" s="73" t="str">
        <f aca="false">IF(AND(B95&lt;&gt;"",ISNUMBER(H95),ISNUMBER(F95)),COUNTIFS(C_ID,B95,C_SUELDO,"&lt;&gt;",C_INICIO,"&lt;"&amp;F95)+COUNTIFS(B$7:B95,B95,H$7:H95,"&lt;&gt;",F$7:F95,F95),"")</f>
        <v/>
      </c>
      <c r="S95" s="72" t="str">
        <f aca="false">IF(R95="","",B95&amp;"-S"&amp;R95)</f>
        <v/>
      </c>
      <c r="T95" s="74" t="str">
        <f aca="false">IF(AND(ISNUMBER(F95),ISNUMBER(G95)),ROUND((G95-F95+1)/30.4375,1),"")</f>
        <v/>
      </c>
      <c r="U95" s="70" t="str">
        <f aca="false">IF(B95="","",IF(AND(N95="Sí",OR(E95="",NOT(ISNUMBER(F95)))),"⚠ Falta tipo de contrato o fecha de inicio",IF(NOT(ISNUMBER(F95)),"⚠ Falta fecha de inicio",IF(AND(N95="Sí",E95&lt;&gt;"Indefinido",NOT(ISNUMBER(G95))),"⚠ Falta fecha de término",IF(AND(D95="Paso a indefinido",E95&lt;&gt;"Indefinido"),"⚠ Un paso a indefinido debe tener tipo Indefinido",IF(N(Q95)&gt;=3,"⚠ 3er contrato a plazo fijo: por ley ya es INDEFINIDO (Art. 159 N°4)",IF(AND(E95="Plazo fijo",N(T95)&gt;12),"⚠ Plazo fijo mayor a 1 año (máx. legal; 2 años solo profesionales o técnicos)",IF(AND(ISNUMBER(G95),G95&lt;F95),"⚠ Término anterior al inicio",IF(AND(D95="Contrato inicial",ISNUMBER(J95),J95-F95&gt;15),"⚠ Escriturado fuera de plazo (Art. 9: 15 días)",IF(K95&lt;&gt;"Sí","Pendiente de firma","OK"))))))))))</f>
        <v/>
      </c>
    </row>
    <row r="96" customFormat="false" ht="15" hidden="false" customHeight="false" outlineLevel="0" collapsed="false">
      <c r="B96" s="64"/>
      <c r="C96" s="72" t="str">
        <f aca="false">IF(B96="","",IFERROR(INDEX(T_NOMBRE,MATCH(B96,T_ID,0)),"⚠ ID no existe en Trabajadores"))</f>
        <v/>
      </c>
      <c r="D96" s="64"/>
      <c r="E96" s="64"/>
      <c r="F96" s="65"/>
      <c r="G96" s="65"/>
      <c r="H96" s="67"/>
      <c r="I96" s="64"/>
      <c r="J96" s="65"/>
      <c r="K96" s="64"/>
      <c r="L96" s="64"/>
      <c r="M96" s="64"/>
      <c r="N96" s="72" t="str">
        <f aca="false">IF(B96="","",IF(D96="Anexo de modificación","No","Sí"))</f>
        <v/>
      </c>
      <c r="O96" s="73" t="str">
        <f aca="false">IF(AND(N96="Sí",ISNUMBER(F96)),COUNTIFS(C_ID,B96,C_DEFINE,"Sí",C_INICIO,"&lt;"&amp;F96)+COUNTIFS(B$7:B96,B96,N$7:N96,"Sí",F$7:F96,F96),"")</f>
        <v/>
      </c>
      <c r="P96" s="72" t="str">
        <f aca="false">IF(O96="","",B96&amp;"-P"&amp;O96)</f>
        <v/>
      </c>
      <c r="Q96" s="73" t="str">
        <f aca="false">IF(AND(N96="Sí",E96="Plazo fijo",ISNUMBER(F96)),COUNTIFS(C_ID,B96,C_TIPO,"Plazo fijo",C_DEFINE,"Sí",C_INICIO,"&lt;"&amp;F96)+COUNTIFS(B$7:B96,B96,E$7:E96,"Plazo fijo",N$7:N96,"Sí",F$7:F96,F96),"")</f>
        <v/>
      </c>
      <c r="R96" s="73" t="str">
        <f aca="false">IF(AND(B96&lt;&gt;"",ISNUMBER(H96),ISNUMBER(F96)),COUNTIFS(C_ID,B96,C_SUELDO,"&lt;&gt;",C_INICIO,"&lt;"&amp;F96)+COUNTIFS(B$7:B96,B96,H$7:H96,"&lt;&gt;",F$7:F96,F96),"")</f>
        <v/>
      </c>
      <c r="S96" s="72" t="str">
        <f aca="false">IF(R96="","",B96&amp;"-S"&amp;R96)</f>
        <v/>
      </c>
      <c r="T96" s="74" t="str">
        <f aca="false">IF(AND(ISNUMBER(F96),ISNUMBER(G96)),ROUND((G96-F96+1)/30.4375,1),"")</f>
        <v/>
      </c>
      <c r="U96" s="70" t="str">
        <f aca="false">IF(B96="","",IF(AND(N96="Sí",OR(E96="",NOT(ISNUMBER(F96)))),"⚠ Falta tipo de contrato o fecha de inicio",IF(NOT(ISNUMBER(F96)),"⚠ Falta fecha de inicio",IF(AND(N96="Sí",E96&lt;&gt;"Indefinido",NOT(ISNUMBER(G96))),"⚠ Falta fecha de término",IF(AND(D96="Paso a indefinido",E96&lt;&gt;"Indefinido"),"⚠ Un paso a indefinido debe tener tipo Indefinido",IF(N(Q96)&gt;=3,"⚠ 3er contrato a plazo fijo: por ley ya es INDEFINIDO (Art. 159 N°4)",IF(AND(E96="Plazo fijo",N(T96)&gt;12),"⚠ Plazo fijo mayor a 1 año (máx. legal; 2 años solo profesionales o técnicos)",IF(AND(ISNUMBER(G96),G96&lt;F96),"⚠ Término anterior al inicio",IF(AND(D96="Contrato inicial",ISNUMBER(J96),J96-F96&gt;15),"⚠ Escriturado fuera de plazo (Art. 9: 15 días)",IF(K96&lt;&gt;"Sí","Pendiente de firma","OK"))))))))))</f>
        <v/>
      </c>
    </row>
    <row r="97" customFormat="false" ht="15" hidden="false" customHeight="false" outlineLevel="0" collapsed="false">
      <c r="B97" s="64"/>
      <c r="C97" s="72" t="str">
        <f aca="false">IF(B97="","",IFERROR(INDEX(T_NOMBRE,MATCH(B97,T_ID,0)),"⚠ ID no existe en Trabajadores"))</f>
        <v/>
      </c>
      <c r="D97" s="64"/>
      <c r="E97" s="64"/>
      <c r="F97" s="65"/>
      <c r="G97" s="65"/>
      <c r="H97" s="67"/>
      <c r="I97" s="64"/>
      <c r="J97" s="65"/>
      <c r="K97" s="64"/>
      <c r="L97" s="64"/>
      <c r="M97" s="64"/>
      <c r="N97" s="72" t="str">
        <f aca="false">IF(B97="","",IF(D97="Anexo de modificación","No","Sí"))</f>
        <v/>
      </c>
      <c r="O97" s="73" t="str">
        <f aca="false">IF(AND(N97="Sí",ISNUMBER(F97)),COUNTIFS(C_ID,B97,C_DEFINE,"Sí",C_INICIO,"&lt;"&amp;F97)+COUNTIFS(B$7:B97,B97,N$7:N97,"Sí",F$7:F97,F97),"")</f>
        <v/>
      </c>
      <c r="P97" s="72" t="str">
        <f aca="false">IF(O97="","",B97&amp;"-P"&amp;O97)</f>
        <v/>
      </c>
      <c r="Q97" s="73" t="str">
        <f aca="false">IF(AND(N97="Sí",E97="Plazo fijo",ISNUMBER(F97)),COUNTIFS(C_ID,B97,C_TIPO,"Plazo fijo",C_DEFINE,"Sí",C_INICIO,"&lt;"&amp;F97)+COUNTIFS(B$7:B97,B97,E$7:E97,"Plazo fijo",N$7:N97,"Sí",F$7:F97,F97),"")</f>
        <v/>
      </c>
      <c r="R97" s="73" t="str">
        <f aca="false">IF(AND(B97&lt;&gt;"",ISNUMBER(H97),ISNUMBER(F97)),COUNTIFS(C_ID,B97,C_SUELDO,"&lt;&gt;",C_INICIO,"&lt;"&amp;F97)+COUNTIFS(B$7:B97,B97,H$7:H97,"&lt;&gt;",F$7:F97,F97),"")</f>
        <v/>
      </c>
      <c r="S97" s="72" t="str">
        <f aca="false">IF(R97="","",B97&amp;"-S"&amp;R97)</f>
        <v/>
      </c>
      <c r="T97" s="74" t="str">
        <f aca="false">IF(AND(ISNUMBER(F97),ISNUMBER(G97)),ROUND((G97-F97+1)/30.4375,1),"")</f>
        <v/>
      </c>
      <c r="U97" s="70" t="str">
        <f aca="false">IF(B97="","",IF(AND(N97="Sí",OR(E97="",NOT(ISNUMBER(F97)))),"⚠ Falta tipo de contrato o fecha de inicio",IF(NOT(ISNUMBER(F97)),"⚠ Falta fecha de inicio",IF(AND(N97="Sí",E97&lt;&gt;"Indefinido",NOT(ISNUMBER(G97))),"⚠ Falta fecha de término",IF(AND(D97="Paso a indefinido",E97&lt;&gt;"Indefinido"),"⚠ Un paso a indefinido debe tener tipo Indefinido",IF(N(Q97)&gt;=3,"⚠ 3er contrato a plazo fijo: por ley ya es INDEFINIDO (Art. 159 N°4)",IF(AND(E97="Plazo fijo",N(T97)&gt;12),"⚠ Plazo fijo mayor a 1 año (máx. legal; 2 años solo profesionales o técnicos)",IF(AND(ISNUMBER(G97),G97&lt;F97),"⚠ Término anterior al inicio",IF(AND(D97="Contrato inicial",ISNUMBER(J97),J97-F97&gt;15),"⚠ Escriturado fuera de plazo (Art. 9: 15 días)",IF(K97&lt;&gt;"Sí","Pendiente de firma","OK"))))))))))</f>
        <v/>
      </c>
    </row>
    <row r="98" customFormat="false" ht="15" hidden="false" customHeight="false" outlineLevel="0" collapsed="false">
      <c r="B98" s="64"/>
      <c r="C98" s="72" t="str">
        <f aca="false">IF(B98="","",IFERROR(INDEX(T_NOMBRE,MATCH(B98,T_ID,0)),"⚠ ID no existe en Trabajadores"))</f>
        <v/>
      </c>
      <c r="D98" s="64"/>
      <c r="E98" s="64"/>
      <c r="F98" s="65"/>
      <c r="G98" s="65"/>
      <c r="H98" s="67"/>
      <c r="I98" s="64"/>
      <c r="J98" s="65"/>
      <c r="K98" s="64"/>
      <c r="L98" s="64"/>
      <c r="M98" s="64"/>
      <c r="N98" s="72" t="str">
        <f aca="false">IF(B98="","",IF(D98="Anexo de modificación","No","Sí"))</f>
        <v/>
      </c>
      <c r="O98" s="73" t="str">
        <f aca="false">IF(AND(N98="Sí",ISNUMBER(F98)),COUNTIFS(C_ID,B98,C_DEFINE,"Sí",C_INICIO,"&lt;"&amp;F98)+COUNTIFS(B$7:B98,B98,N$7:N98,"Sí",F$7:F98,F98),"")</f>
        <v/>
      </c>
      <c r="P98" s="72" t="str">
        <f aca="false">IF(O98="","",B98&amp;"-P"&amp;O98)</f>
        <v/>
      </c>
      <c r="Q98" s="73" t="str">
        <f aca="false">IF(AND(N98="Sí",E98="Plazo fijo",ISNUMBER(F98)),COUNTIFS(C_ID,B98,C_TIPO,"Plazo fijo",C_DEFINE,"Sí",C_INICIO,"&lt;"&amp;F98)+COUNTIFS(B$7:B98,B98,E$7:E98,"Plazo fijo",N$7:N98,"Sí",F$7:F98,F98),"")</f>
        <v/>
      </c>
      <c r="R98" s="73" t="str">
        <f aca="false">IF(AND(B98&lt;&gt;"",ISNUMBER(H98),ISNUMBER(F98)),COUNTIFS(C_ID,B98,C_SUELDO,"&lt;&gt;",C_INICIO,"&lt;"&amp;F98)+COUNTIFS(B$7:B98,B98,H$7:H98,"&lt;&gt;",F$7:F98,F98),"")</f>
        <v/>
      </c>
      <c r="S98" s="72" t="str">
        <f aca="false">IF(R98="","",B98&amp;"-S"&amp;R98)</f>
        <v/>
      </c>
      <c r="T98" s="74" t="str">
        <f aca="false">IF(AND(ISNUMBER(F98),ISNUMBER(G98)),ROUND((G98-F98+1)/30.4375,1),"")</f>
        <v/>
      </c>
      <c r="U98" s="70" t="str">
        <f aca="false">IF(B98="","",IF(AND(N98="Sí",OR(E98="",NOT(ISNUMBER(F98)))),"⚠ Falta tipo de contrato o fecha de inicio",IF(NOT(ISNUMBER(F98)),"⚠ Falta fecha de inicio",IF(AND(N98="Sí",E98&lt;&gt;"Indefinido",NOT(ISNUMBER(G98))),"⚠ Falta fecha de término",IF(AND(D98="Paso a indefinido",E98&lt;&gt;"Indefinido"),"⚠ Un paso a indefinido debe tener tipo Indefinido",IF(N(Q98)&gt;=3,"⚠ 3er contrato a plazo fijo: por ley ya es INDEFINIDO (Art. 159 N°4)",IF(AND(E98="Plazo fijo",N(T98)&gt;12),"⚠ Plazo fijo mayor a 1 año (máx. legal; 2 años solo profesionales o técnicos)",IF(AND(ISNUMBER(G98),G98&lt;F98),"⚠ Término anterior al inicio",IF(AND(D98="Contrato inicial",ISNUMBER(J98),J98-F98&gt;15),"⚠ Escriturado fuera de plazo (Art. 9: 15 días)",IF(K98&lt;&gt;"Sí","Pendiente de firma","OK"))))))))))</f>
        <v/>
      </c>
    </row>
    <row r="99" customFormat="false" ht="15" hidden="false" customHeight="false" outlineLevel="0" collapsed="false">
      <c r="B99" s="64"/>
      <c r="C99" s="72" t="str">
        <f aca="false">IF(B99="","",IFERROR(INDEX(T_NOMBRE,MATCH(B99,T_ID,0)),"⚠ ID no existe en Trabajadores"))</f>
        <v/>
      </c>
      <c r="D99" s="64"/>
      <c r="E99" s="64"/>
      <c r="F99" s="65"/>
      <c r="G99" s="65"/>
      <c r="H99" s="67"/>
      <c r="I99" s="64"/>
      <c r="J99" s="65"/>
      <c r="K99" s="64"/>
      <c r="L99" s="64"/>
      <c r="M99" s="64"/>
      <c r="N99" s="72" t="str">
        <f aca="false">IF(B99="","",IF(D99="Anexo de modificación","No","Sí"))</f>
        <v/>
      </c>
      <c r="O99" s="73" t="str">
        <f aca="false">IF(AND(N99="Sí",ISNUMBER(F99)),COUNTIFS(C_ID,B99,C_DEFINE,"Sí",C_INICIO,"&lt;"&amp;F99)+COUNTIFS(B$7:B99,B99,N$7:N99,"Sí",F$7:F99,F99),"")</f>
        <v/>
      </c>
      <c r="P99" s="72" t="str">
        <f aca="false">IF(O99="","",B99&amp;"-P"&amp;O99)</f>
        <v/>
      </c>
      <c r="Q99" s="73" t="str">
        <f aca="false">IF(AND(N99="Sí",E99="Plazo fijo",ISNUMBER(F99)),COUNTIFS(C_ID,B99,C_TIPO,"Plazo fijo",C_DEFINE,"Sí",C_INICIO,"&lt;"&amp;F99)+COUNTIFS(B$7:B99,B99,E$7:E99,"Plazo fijo",N$7:N99,"Sí",F$7:F99,F99),"")</f>
        <v/>
      </c>
      <c r="R99" s="73" t="str">
        <f aca="false">IF(AND(B99&lt;&gt;"",ISNUMBER(H99),ISNUMBER(F99)),COUNTIFS(C_ID,B99,C_SUELDO,"&lt;&gt;",C_INICIO,"&lt;"&amp;F99)+COUNTIFS(B$7:B99,B99,H$7:H99,"&lt;&gt;",F$7:F99,F99),"")</f>
        <v/>
      </c>
      <c r="S99" s="72" t="str">
        <f aca="false">IF(R99="","",B99&amp;"-S"&amp;R99)</f>
        <v/>
      </c>
      <c r="T99" s="74" t="str">
        <f aca="false">IF(AND(ISNUMBER(F99),ISNUMBER(G99)),ROUND((G99-F99+1)/30.4375,1),"")</f>
        <v/>
      </c>
      <c r="U99" s="70" t="str">
        <f aca="false">IF(B99="","",IF(AND(N99="Sí",OR(E99="",NOT(ISNUMBER(F99)))),"⚠ Falta tipo de contrato o fecha de inicio",IF(NOT(ISNUMBER(F99)),"⚠ Falta fecha de inicio",IF(AND(N99="Sí",E99&lt;&gt;"Indefinido",NOT(ISNUMBER(G99))),"⚠ Falta fecha de término",IF(AND(D99="Paso a indefinido",E99&lt;&gt;"Indefinido"),"⚠ Un paso a indefinido debe tener tipo Indefinido",IF(N(Q99)&gt;=3,"⚠ 3er contrato a plazo fijo: por ley ya es INDEFINIDO (Art. 159 N°4)",IF(AND(E99="Plazo fijo",N(T99)&gt;12),"⚠ Plazo fijo mayor a 1 año (máx. legal; 2 años solo profesionales o técnicos)",IF(AND(ISNUMBER(G99),G99&lt;F99),"⚠ Término anterior al inicio",IF(AND(D99="Contrato inicial",ISNUMBER(J99),J99-F99&gt;15),"⚠ Escriturado fuera de plazo (Art. 9: 15 días)",IF(K99&lt;&gt;"Sí","Pendiente de firma","OK"))))))))))</f>
        <v/>
      </c>
    </row>
    <row r="100" customFormat="false" ht="15" hidden="false" customHeight="false" outlineLevel="0" collapsed="false">
      <c r="B100" s="64"/>
      <c r="C100" s="72" t="str">
        <f aca="false">IF(B100="","",IFERROR(INDEX(T_NOMBRE,MATCH(B100,T_ID,0)),"⚠ ID no existe en Trabajadores"))</f>
        <v/>
      </c>
      <c r="D100" s="64"/>
      <c r="E100" s="64"/>
      <c r="F100" s="65"/>
      <c r="G100" s="65"/>
      <c r="H100" s="67"/>
      <c r="I100" s="64"/>
      <c r="J100" s="65"/>
      <c r="K100" s="64"/>
      <c r="L100" s="64"/>
      <c r="M100" s="64"/>
      <c r="N100" s="72" t="str">
        <f aca="false">IF(B100="","",IF(D100="Anexo de modificación","No","Sí"))</f>
        <v/>
      </c>
      <c r="O100" s="73" t="str">
        <f aca="false">IF(AND(N100="Sí",ISNUMBER(F100)),COUNTIFS(C_ID,B100,C_DEFINE,"Sí",C_INICIO,"&lt;"&amp;F100)+COUNTIFS(B$7:B100,B100,N$7:N100,"Sí",F$7:F100,F100),"")</f>
        <v/>
      </c>
      <c r="P100" s="72" t="str">
        <f aca="false">IF(O100="","",B100&amp;"-P"&amp;O100)</f>
        <v/>
      </c>
      <c r="Q100" s="73" t="str">
        <f aca="false">IF(AND(N100="Sí",E100="Plazo fijo",ISNUMBER(F100)),COUNTIFS(C_ID,B100,C_TIPO,"Plazo fijo",C_DEFINE,"Sí",C_INICIO,"&lt;"&amp;F100)+COUNTIFS(B$7:B100,B100,E$7:E100,"Plazo fijo",N$7:N100,"Sí",F$7:F100,F100),"")</f>
        <v/>
      </c>
      <c r="R100" s="73" t="str">
        <f aca="false">IF(AND(B100&lt;&gt;"",ISNUMBER(H100),ISNUMBER(F100)),COUNTIFS(C_ID,B100,C_SUELDO,"&lt;&gt;",C_INICIO,"&lt;"&amp;F100)+COUNTIFS(B$7:B100,B100,H$7:H100,"&lt;&gt;",F$7:F100,F100),"")</f>
        <v/>
      </c>
      <c r="S100" s="72" t="str">
        <f aca="false">IF(R100="","",B100&amp;"-S"&amp;R100)</f>
        <v/>
      </c>
      <c r="T100" s="74" t="str">
        <f aca="false">IF(AND(ISNUMBER(F100),ISNUMBER(G100)),ROUND((G100-F100+1)/30.4375,1),"")</f>
        <v/>
      </c>
      <c r="U100" s="70" t="str">
        <f aca="false">IF(B100="","",IF(AND(N100="Sí",OR(E100="",NOT(ISNUMBER(F100)))),"⚠ Falta tipo de contrato o fecha de inicio",IF(NOT(ISNUMBER(F100)),"⚠ Falta fecha de inicio",IF(AND(N100="Sí",E100&lt;&gt;"Indefinido",NOT(ISNUMBER(G100))),"⚠ Falta fecha de término",IF(AND(D100="Paso a indefinido",E100&lt;&gt;"Indefinido"),"⚠ Un paso a indefinido debe tener tipo Indefinido",IF(N(Q100)&gt;=3,"⚠ 3er contrato a plazo fijo: por ley ya es INDEFINIDO (Art. 159 N°4)",IF(AND(E100="Plazo fijo",N(T100)&gt;12),"⚠ Plazo fijo mayor a 1 año (máx. legal; 2 años solo profesionales o técnicos)",IF(AND(ISNUMBER(G100),G100&lt;F100),"⚠ Término anterior al inicio",IF(AND(D100="Contrato inicial",ISNUMBER(J100),J100-F100&gt;15),"⚠ Escriturado fuera de plazo (Art. 9: 15 días)",IF(K100&lt;&gt;"Sí","Pendiente de firma","OK"))))))))))</f>
        <v/>
      </c>
    </row>
    <row r="101" customFormat="false" ht="15" hidden="false" customHeight="false" outlineLevel="0" collapsed="false">
      <c r="B101" s="64"/>
      <c r="C101" s="72" t="str">
        <f aca="false">IF(B101="","",IFERROR(INDEX(T_NOMBRE,MATCH(B101,T_ID,0)),"⚠ ID no existe en Trabajadores"))</f>
        <v/>
      </c>
      <c r="D101" s="64"/>
      <c r="E101" s="64"/>
      <c r="F101" s="65"/>
      <c r="G101" s="65"/>
      <c r="H101" s="67"/>
      <c r="I101" s="64"/>
      <c r="J101" s="65"/>
      <c r="K101" s="64"/>
      <c r="L101" s="64"/>
      <c r="M101" s="64"/>
      <c r="N101" s="72" t="str">
        <f aca="false">IF(B101="","",IF(D101="Anexo de modificación","No","Sí"))</f>
        <v/>
      </c>
      <c r="O101" s="73" t="str">
        <f aca="false">IF(AND(N101="Sí",ISNUMBER(F101)),COUNTIFS(C_ID,B101,C_DEFINE,"Sí",C_INICIO,"&lt;"&amp;F101)+COUNTIFS(B$7:B101,B101,N$7:N101,"Sí",F$7:F101,F101),"")</f>
        <v/>
      </c>
      <c r="P101" s="72" t="str">
        <f aca="false">IF(O101="","",B101&amp;"-P"&amp;O101)</f>
        <v/>
      </c>
      <c r="Q101" s="73" t="str">
        <f aca="false">IF(AND(N101="Sí",E101="Plazo fijo",ISNUMBER(F101)),COUNTIFS(C_ID,B101,C_TIPO,"Plazo fijo",C_DEFINE,"Sí",C_INICIO,"&lt;"&amp;F101)+COUNTIFS(B$7:B101,B101,E$7:E101,"Plazo fijo",N$7:N101,"Sí",F$7:F101,F101),"")</f>
        <v/>
      </c>
      <c r="R101" s="73" t="str">
        <f aca="false">IF(AND(B101&lt;&gt;"",ISNUMBER(H101),ISNUMBER(F101)),COUNTIFS(C_ID,B101,C_SUELDO,"&lt;&gt;",C_INICIO,"&lt;"&amp;F101)+COUNTIFS(B$7:B101,B101,H$7:H101,"&lt;&gt;",F$7:F101,F101),"")</f>
        <v/>
      </c>
      <c r="S101" s="72" t="str">
        <f aca="false">IF(R101="","",B101&amp;"-S"&amp;R101)</f>
        <v/>
      </c>
      <c r="T101" s="74" t="str">
        <f aca="false">IF(AND(ISNUMBER(F101),ISNUMBER(G101)),ROUND((G101-F101+1)/30.4375,1),"")</f>
        <v/>
      </c>
      <c r="U101" s="70" t="str">
        <f aca="false">IF(B101="","",IF(AND(N101="Sí",OR(E101="",NOT(ISNUMBER(F101)))),"⚠ Falta tipo de contrato o fecha de inicio",IF(NOT(ISNUMBER(F101)),"⚠ Falta fecha de inicio",IF(AND(N101="Sí",E101&lt;&gt;"Indefinido",NOT(ISNUMBER(G101))),"⚠ Falta fecha de término",IF(AND(D101="Paso a indefinido",E101&lt;&gt;"Indefinido"),"⚠ Un paso a indefinido debe tener tipo Indefinido",IF(N(Q101)&gt;=3,"⚠ 3er contrato a plazo fijo: por ley ya es INDEFINIDO (Art. 159 N°4)",IF(AND(E101="Plazo fijo",N(T101)&gt;12),"⚠ Plazo fijo mayor a 1 año (máx. legal; 2 años solo profesionales o técnicos)",IF(AND(ISNUMBER(G101),G101&lt;F101),"⚠ Término anterior al inicio",IF(AND(D101="Contrato inicial",ISNUMBER(J101),J101-F101&gt;15),"⚠ Escriturado fuera de plazo (Art. 9: 15 días)",IF(K101&lt;&gt;"Sí","Pendiente de firma","OK"))))))))))</f>
        <v/>
      </c>
    </row>
    <row r="102" customFormat="false" ht="15" hidden="false" customHeight="false" outlineLevel="0" collapsed="false">
      <c r="B102" s="64"/>
      <c r="C102" s="72" t="str">
        <f aca="false">IF(B102="","",IFERROR(INDEX(T_NOMBRE,MATCH(B102,T_ID,0)),"⚠ ID no existe en Trabajadores"))</f>
        <v/>
      </c>
      <c r="D102" s="64"/>
      <c r="E102" s="64"/>
      <c r="F102" s="65"/>
      <c r="G102" s="65"/>
      <c r="H102" s="67"/>
      <c r="I102" s="64"/>
      <c r="J102" s="65"/>
      <c r="K102" s="64"/>
      <c r="L102" s="64"/>
      <c r="M102" s="64"/>
      <c r="N102" s="72" t="str">
        <f aca="false">IF(B102="","",IF(D102="Anexo de modificación","No","Sí"))</f>
        <v/>
      </c>
      <c r="O102" s="73" t="str">
        <f aca="false">IF(AND(N102="Sí",ISNUMBER(F102)),COUNTIFS(C_ID,B102,C_DEFINE,"Sí",C_INICIO,"&lt;"&amp;F102)+COUNTIFS(B$7:B102,B102,N$7:N102,"Sí",F$7:F102,F102),"")</f>
        <v/>
      </c>
      <c r="P102" s="72" t="str">
        <f aca="false">IF(O102="","",B102&amp;"-P"&amp;O102)</f>
        <v/>
      </c>
      <c r="Q102" s="73" t="str">
        <f aca="false">IF(AND(N102="Sí",E102="Plazo fijo",ISNUMBER(F102)),COUNTIFS(C_ID,B102,C_TIPO,"Plazo fijo",C_DEFINE,"Sí",C_INICIO,"&lt;"&amp;F102)+COUNTIFS(B$7:B102,B102,E$7:E102,"Plazo fijo",N$7:N102,"Sí",F$7:F102,F102),"")</f>
        <v/>
      </c>
      <c r="R102" s="73" t="str">
        <f aca="false">IF(AND(B102&lt;&gt;"",ISNUMBER(H102),ISNUMBER(F102)),COUNTIFS(C_ID,B102,C_SUELDO,"&lt;&gt;",C_INICIO,"&lt;"&amp;F102)+COUNTIFS(B$7:B102,B102,H$7:H102,"&lt;&gt;",F$7:F102,F102),"")</f>
        <v/>
      </c>
      <c r="S102" s="72" t="str">
        <f aca="false">IF(R102="","",B102&amp;"-S"&amp;R102)</f>
        <v/>
      </c>
      <c r="T102" s="74" t="str">
        <f aca="false">IF(AND(ISNUMBER(F102),ISNUMBER(G102)),ROUND((G102-F102+1)/30.4375,1),"")</f>
        <v/>
      </c>
      <c r="U102" s="70" t="str">
        <f aca="false">IF(B102="","",IF(AND(N102="Sí",OR(E102="",NOT(ISNUMBER(F102)))),"⚠ Falta tipo de contrato o fecha de inicio",IF(NOT(ISNUMBER(F102)),"⚠ Falta fecha de inicio",IF(AND(N102="Sí",E102&lt;&gt;"Indefinido",NOT(ISNUMBER(G102))),"⚠ Falta fecha de término",IF(AND(D102="Paso a indefinido",E102&lt;&gt;"Indefinido"),"⚠ Un paso a indefinido debe tener tipo Indefinido",IF(N(Q102)&gt;=3,"⚠ 3er contrato a plazo fijo: por ley ya es INDEFINIDO (Art. 159 N°4)",IF(AND(E102="Plazo fijo",N(T102)&gt;12),"⚠ Plazo fijo mayor a 1 año (máx. legal; 2 años solo profesionales o técnicos)",IF(AND(ISNUMBER(G102),G102&lt;F102),"⚠ Término anterior al inicio",IF(AND(D102="Contrato inicial",ISNUMBER(J102),J102-F102&gt;15),"⚠ Escriturado fuera de plazo (Art. 9: 15 días)",IF(K102&lt;&gt;"Sí","Pendiente de firma","OK"))))))))))</f>
        <v/>
      </c>
    </row>
    <row r="103" customFormat="false" ht="15" hidden="false" customHeight="false" outlineLevel="0" collapsed="false">
      <c r="B103" s="64"/>
      <c r="C103" s="72" t="str">
        <f aca="false">IF(B103="","",IFERROR(INDEX(T_NOMBRE,MATCH(B103,T_ID,0)),"⚠ ID no existe en Trabajadores"))</f>
        <v/>
      </c>
      <c r="D103" s="64"/>
      <c r="E103" s="64"/>
      <c r="F103" s="65"/>
      <c r="G103" s="65"/>
      <c r="H103" s="67"/>
      <c r="I103" s="64"/>
      <c r="J103" s="65"/>
      <c r="K103" s="64"/>
      <c r="L103" s="64"/>
      <c r="M103" s="64"/>
      <c r="N103" s="72" t="str">
        <f aca="false">IF(B103="","",IF(D103="Anexo de modificación","No","Sí"))</f>
        <v/>
      </c>
      <c r="O103" s="73" t="str">
        <f aca="false">IF(AND(N103="Sí",ISNUMBER(F103)),COUNTIFS(C_ID,B103,C_DEFINE,"Sí",C_INICIO,"&lt;"&amp;F103)+COUNTIFS(B$7:B103,B103,N$7:N103,"Sí",F$7:F103,F103),"")</f>
        <v/>
      </c>
      <c r="P103" s="72" t="str">
        <f aca="false">IF(O103="","",B103&amp;"-P"&amp;O103)</f>
        <v/>
      </c>
      <c r="Q103" s="73" t="str">
        <f aca="false">IF(AND(N103="Sí",E103="Plazo fijo",ISNUMBER(F103)),COUNTIFS(C_ID,B103,C_TIPO,"Plazo fijo",C_DEFINE,"Sí",C_INICIO,"&lt;"&amp;F103)+COUNTIFS(B$7:B103,B103,E$7:E103,"Plazo fijo",N$7:N103,"Sí",F$7:F103,F103),"")</f>
        <v/>
      </c>
      <c r="R103" s="73" t="str">
        <f aca="false">IF(AND(B103&lt;&gt;"",ISNUMBER(H103),ISNUMBER(F103)),COUNTIFS(C_ID,B103,C_SUELDO,"&lt;&gt;",C_INICIO,"&lt;"&amp;F103)+COUNTIFS(B$7:B103,B103,H$7:H103,"&lt;&gt;",F$7:F103,F103),"")</f>
        <v/>
      </c>
      <c r="S103" s="72" t="str">
        <f aca="false">IF(R103="","",B103&amp;"-S"&amp;R103)</f>
        <v/>
      </c>
      <c r="T103" s="74" t="str">
        <f aca="false">IF(AND(ISNUMBER(F103),ISNUMBER(G103)),ROUND((G103-F103+1)/30.4375,1),"")</f>
        <v/>
      </c>
      <c r="U103" s="70" t="str">
        <f aca="false">IF(B103="","",IF(AND(N103="Sí",OR(E103="",NOT(ISNUMBER(F103)))),"⚠ Falta tipo de contrato o fecha de inicio",IF(NOT(ISNUMBER(F103)),"⚠ Falta fecha de inicio",IF(AND(N103="Sí",E103&lt;&gt;"Indefinido",NOT(ISNUMBER(G103))),"⚠ Falta fecha de término",IF(AND(D103="Paso a indefinido",E103&lt;&gt;"Indefinido"),"⚠ Un paso a indefinido debe tener tipo Indefinido",IF(N(Q103)&gt;=3,"⚠ 3er contrato a plazo fijo: por ley ya es INDEFINIDO (Art. 159 N°4)",IF(AND(E103="Plazo fijo",N(T103)&gt;12),"⚠ Plazo fijo mayor a 1 año (máx. legal; 2 años solo profesionales o técnicos)",IF(AND(ISNUMBER(G103),G103&lt;F103),"⚠ Término anterior al inicio",IF(AND(D103="Contrato inicial",ISNUMBER(J103),J103-F103&gt;15),"⚠ Escriturado fuera de plazo (Art. 9: 15 días)",IF(K103&lt;&gt;"Sí","Pendiente de firma","OK"))))))))))</f>
        <v/>
      </c>
    </row>
    <row r="104" customFormat="false" ht="15" hidden="false" customHeight="false" outlineLevel="0" collapsed="false">
      <c r="B104" s="64"/>
      <c r="C104" s="72" t="str">
        <f aca="false">IF(B104="","",IFERROR(INDEX(T_NOMBRE,MATCH(B104,T_ID,0)),"⚠ ID no existe en Trabajadores"))</f>
        <v/>
      </c>
      <c r="D104" s="64"/>
      <c r="E104" s="64"/>
      <c r="F104" s="65"/>
      <c r="G104" s="65"/>
      <c r="H104" s="67"/>
      <c r="I104" s="64"/>
      <c r="J104" s="65"/>
      <c r="K104" s="64"/>
      <c r="L104" s="64"/>
      <c r="M104" s="64"/>
      <c r="N104" s="72" t="str">
        <f aca="false">IF(B104="","",IF(D104="Anexo de modificación","No","Sí"))</f>
        <v/>
      </c>
      <c r="O104" s="73" t="str">
        <f aca="false">IF(AND(N104="Sí",ISNUMBER(F104)),COUNTIFS(C_ID,B104,C_DEFINE,"Sí",C_INICIO,"&lt;"&amp;F104)+COUNTIFS(B$7:B104,B104,N$7:N104,"Sí",F$7:F104,F104),"")</f>
        <v/>
      </c>
      <c r="P104" s="72" t="str">
        <f aca="false">IF(O104="","",B104&amp;"-P"&amp;O104)</f>
        <v/>
      </c>
      <c r="Q104" s="73" t="str">
        <f aca="false">IF(AND(N104="Sí",E104="Plazo fijo",ISNUMBER(F104)),COUNTIFS(C_ID,B104,C_TIPO,"Plazo fijo",C_DEFINE,"Sí",C_INICIO,"&lt;"&amp;F104)+COUNTIFS(B$7:B104,B104,E$7:E104,"Plazo fijo",N$7:N104,"Sí",F$7:F104,F104),"")</f>
        <v/>
      </c>
      <c r="R104" s="73" t="str">
        <f aca="false">IF(AND(B104&lt;&gt;"",ISNUMBER(H104),ISNUMBER(F104)),COUNTIFS(C_ID,B104,C_SUELDO,"&lt;&gt;",C_INICIO,"&lt;"&amp;F104)+COUNTIFS(B$7:B104,B104,H$7:H104,"&lt;&gt;",F$7:F104,F104),"")</f>
        <v/>
      </c>
      <c r="S104" s="72" t="str">
        <f aca="false">IF(R104="","",B104&amp;"-S"&amp;R104)</f>
        <v/>
      </c>
      <c r="T104" s="74" t="str">
        <f aca="false">IF(AND(ISNUMBER(F104),ISNUMBER(G104)),ROUND((G104-F104+1)/30.4375,1),"")</f>
        <v/>
      </c>
      <c r="U104" s="70" t="str">
        <f aca="false">IF(B104="","",IF(AND(N104="Sí",OR(E104="",NOT(ISNUMBER(F104)))),"⚠ Falta tipo de contrato o fecha de inicio",IF(NOT(ISNUMBER(F104)),"⚠ Falta fecha de inicio",IF(AND(N104="Sí",E104&lt;&gt;"Indefinido",NOT(ISNUMBER(G104))),"⚠ Falta fecha de término",IF(AND(D104="Paso a indefinido",E104&lt;&gt;"Indefinido"),"⚠ Un paso a indefinido debe tener tipo Indefinido",IF(N(Q104)&gt;=3,"⚠ 3er contrato a plazo fijo: por ley ya es INDEFINIDO (Art. 159 N°4)",IF(AND(E104="Plazo fijo",N(T104)&gt;12),"⚠ Plazo fijo mayor a 1 año (máx. legal; 2 años solo profesionales o técnicos)",IF(AND(ISNUMBER(G104),G104&lt;F104),"⚠ Término anterior al inicio",IF(AND(D104="Contrato inicial",ISNUMBER(J104),J104-F104&gt;15),"⚠ Escriturado fuera de plazo (Art. 9: 15 días)",IF(K104&lt;&gt;"Sí","Pendiente de firma","OK"))))))))))</f>
        <v/>
      </c>
    </row>
    <row r="105" customFormat="false" ht="15" hidden="false" customHeight="false" outlineLevel="0" collapsed="false">
      <c r="B105" s="64"/>
      <c r="C105" s="72" t="str">
        <f aca="false">IF(B105="","",IFERROR(INDEX(T_NOMBRE,MATCH(B105,T_ID,0)),"⚠ ID no existe en Trabajadores"))</f>
        <v/>
      </c>
      <c r="D105" s="64"/>
      <c r="E105" s="64"/>
      <c r="F105" s="65"/>
      <c r="G105" s="65"/>
      <c r="H105" s="67"/>
      <c r="I105" s="64"/>
      <c r="J105" s="65"/>
      <c r="K105" s="64"/>
      <c r="L105" s="64"/>
      <c r="M105" s="64"/>
      <c r="N105" s="72" t="str">
        <f aca="false">IF(B105="","",IF(D105="Anexo de modificación","No","Sí"))</f>
        <v/>
      </c>
      <c r="O105" s="73" t="str">
        <f aca="false">IF(AND(N105="Sí",ISNUMBER(F105)),COUNTIFS(C_ID,B105,C_DEFINE,"Sí",C_INICIO,"&lt;"&amp;F105)+COUNTIFS(B$7:B105,B105,N$7:N105,"Sí",F$7:F105,F105),"")</f>
        <v/>
      </c>
      <c r="P105" s="72" t="str">
        <f aca="false">IF(O105="","",B105&amp;"-P"&amp;O105)</f>
        <v/>
      </c>
      <c r="Q105" s="73" t="str">
        <f aca="false">IF(AND(N105="Sí",E105="Plazo fijo",ISNUMBER(F105)),COUNTIFS(C_ID,B105,C_TIPO,"Plazo fijo",C_DEFINE,"Sí",C_INICIO,"&lt;"&amp;F105)+COUNTIFS(B$7:B105,B105,E$7:E105,"Plazo fijo",N$7:N105,"Sí",F$7:F105,F105),"")</f>
        <v/>
      </c>
      <c r="R105" s="73" t="str">
        <f aca="false">IF(AND(B105&lt;&gt;"",ISNUMBER(H105),ISNUMBER(F105)),COUNTIFS(C_ID,B105,C_SUELDO,"&lt;&gt;",C_INICIO,"&lt;"&amp;F105)+COUNTIFS(B$7:B105,B105,H$7:H105,"&lt;&gt;",F$7:F105,F105),"")</f>
        <v/>
      </c>
      <c r="S105" s="72" t="str">
        <f aca="false">IF(R105="","",B105&amp;"-S"&amp;R105)</f>
        <v/>
      </c>
      <c r="T105" s="74" t="str">
        <f aca="false">IF(AND(ISNUMBER(F105),ISNUMBER(G105)),ROUND((G105-F105+1)/30.4375,1),"")</f>
        <v/>
      </c>
      <c r="U105" s="70" t="str">
        <f aca="false">IF(B105="","",IF(AND(N105="Sí",OR(E105="",NOT(ISNUMBER(F105)))),"⚠ Falta tipo de contrato o fecha de inicio",IF(NOT(ISNUMBER(F105)),"⚠ Falta fecha de inicio",IF(AND(N105="Sí",E105&lt;&gt;"Indefinido",NOT(ISNUMBER(G105))),"⚠ Falta fecha de término",IF(AND(D105="Paso a indefinido",E105&lt;&gt;"Indefinido"),"⚠ Un paso a indefinido debe tener tipo Indefinido",IF(N(Q105)&gt;=3,"⚠ 3er contrato a plazo fijo: por ley ya es INDEFINIDO (Art. 159 N°4)",IF(AND(E105="Plazo fijo",N(T105)&gt;12),"⚠ Plazo fijo mayor a 1 año (máx. legal; 2 años solo profesionales o técnicos)",IF(AND(ISNUMBER(G105),G105&lt;F105),"⚠ Término anterior al inicio",IF(AND(D105="Contrato inicial",ISNUMBER(J105),J105-F105&gt;15),"⚠ Escriturado fuera de plazo (Art. 9: 15 días)",IF(K105&lt;&gt;"Sí","Pendiente de firma","OK"))))))))))</f>
        <v/>
      </c>
    </row>
    <row r="106" customFormat="false" ht="15" hidden="false" customHeight="false" outlineLevel="0" collapsed="false">
      <c r="B106" s="64"/>
      <c r="C106" s="72" t="str">
        <f aca="false">IF(B106="","",IFERROR(INDEX(T_NOMBRE,MATCH(B106,T_ID,0)),"⚠ ID no existe en Trabajadores"))</f>
        <v/>
      </c>
      <c r="D106" s="64"/>
      <c r="E106" s="64"/>
      <c r="F106" s="65"/>
      <c r="G106" s="65"/>
      <c r="H106" s="67"/>
      <c r="I106" s="64"/>
      <c r="J106" s="65"/>
      <c r="K106" s="64"/>
      <c r="L106" s="64"/>
      <c r="M106" s="64"/>
      <c r="N106" s="72" t="str">
        <f aca="false">IF(B106="","",IF(D106="Anexo de modificación","No","Sí"))</f>
        <v/>
      </c>
      <c r="O106" s="73" t="str">
        <f aca="false">IF(AND(N106="Sí",ISNUMBER(F106)),COUNTIFS(C_ID,B106,C_DEFINE,"Sí",C_INICIO,"&lt;"&amp;F106)+COUNTIFS(B$7:B106,B106,N$7:N106,"Sí",F$7:F106,F106),"")</f>
        <v/>
      </c>
      <c r="P106" s="72" t="str">
        <f aca="false">IF(O106="","",B106&amp;"-P"&amp;O106)</f>
        <v/>
      </c>
      <c r="Q106" s="73" t="str">
        <f aca="false">IF(AND(N106="Sí",E106="Plazo fijo",ISNUMBER(F106)),COUNTIFS(C_ID,B106,C_TIPO,"Plazo fijo",C_DEFINE,"Sí",C_INICIO,"&lt;"&amp;F106)+COUNTIFS(B$7:B106,B106,E$7:E106,"Plazo fijo",N$7:N106,"Sí",F$7:F106,F106),"")</f>
        <v/>
      </c>
      <c r="R106" s="73" t="str">
        <f aca="false">IF(AND(B106&lt;&gt;"",ISNUMBER(H106),ISNUMBER(F106)),COUNTIFS(C_ID,B106,C_SUELDO,"&lt;&gt;",C_INICIO,"&lt;"&amp;F106)+COUNTIFS(B$7:B106,B106,H$7:H106,"&lt;&gt;",F$7:F106,F106),"")</f>
        <v/>
      </c>
      <c r="S106" s="72" t="str">
        <f aca="false">IF(R106="","",B106&amp;"-S"&amp;R106)</f>
        <v/>
      </c>
      <c r="T106" s="74" t="str">
        <f aca="false">IF(AND(ISNUMBER(F106),ISNUMBER(G106)),ROUND((G106-F106+1)/30.4375,1),"")</f>
        <v/>
      </c>
      <c r="U106" s="70" t="str">
        <f aca="false">IF(B106="","",IF(AND(N106="Sí",OR(E106="",NOT(ISNUMBER(F106)))),"⚠ Falta tipo de contrato o fecha de inicio",IF(NOT(ISNUMBER(F106)),"⚠ Falta fecha de inicio",IF(AND(N106="Sí",E106&lt;&gt;"Indefinido",NOT(ISNUMBER(G106))),"⚠ Falta fecha de término",IF(AND(D106="Paso a indefinido",E106&lt;&gt;"Indefinido"),"⚠ Un paso a indefinido debe tener tipo Indefinido",IF(N(Q106)&gt;=3,"⚠ 3er contrato a plazo fijo: por ley ya es INDEFINIDO (Art. 159 N°4)",IF(AND(E106="Plazo fijo",N(T106)&gt;12),"⚠ Plazo fijo mayor a 1 año (máx. legal; 2 años solo profesionales o técnicos)",IF(AND(ISNUMBER(G106),G106&lt;F106),"⚠ Término anterior al inicio",IF(AND(D106="Contrato inicial",ISNUMBER(J106),J106-F106&gt;15),"⚠ Escriturado fuera de plazo (Art. 9: 15 días)",IF(K106&lt;&gt;"Sí","Pendiente de firma","OK"))))))))))</f>
        <v/>
      </c>
    </row>
    <row r="107" customFormat="false" ht="15" hidden="false" customHeight="false" outlineLevel="0" collapsed="false">
      <c r="B107" s="64"/>
      <c r="C107" s="72" t="str">
        <f aca="false">IF(B107="","",IFERROR(INDEX(T_NOMBRE,MATCH(B107,T_ID,0)),"⚠ ID no existe en Trabajadores"))</f>
        <v/>
      </c>
      <c r="D107" s="64"/>
      <c r="E107" s="64"/>
      <c r="F107" s="65"/>
      <c r="G107" s="65"/>
      <c r="H107" s="67"/>
      <c r="I107" s="64"/>
      <c r="J107" s="65"/>
      <c r="K107" s="64"/>
      <c r="L107" s="64"/>
      <c r="M107" s="64"/>
      <c r="N107" s="72" t="str">
        <f aca="false">IF(B107="","",IF(D107="Anexo de modificación","No","Sí"))</f>
        <v/>
      </c>
      <c r="O107" s="73" t="str">
        <f aca="false">IF(AND(N107="Sí",ISNUMBER(F107)),COUNTIFS(C_ID,B107,C_DEFINE,"Sí",C_INICIO,"&lt;"&amp;F107)+COUNTIFS(B$7:B107,B107,N$7:N107,"Sí",F$7:F107,F107),"")</f>
        <v/>
      </c>
      <c r="P107" s="72" t="str">
        <f aca="false">IF(O107="","",B107&amp;"-P"&amp;O107)</f>
        <v/>
      </c>
      <c r="Q107" s="73" t="str">
        <f aca="false">IF(AND(N107="Sí",E107="Plazo fijo",ISNUMBER(F107)),COUNTIFS(C_ID,B107,C_TIPO,"Plazo fijo",C_DEFINE,"Sí",C_INICIO,"&lt;"&amp;F107)+COUNTIFS(B$7:B107,B107,E$7:E107,"Plazo fijo",N$7:N107,"Sí",F$7:F107,F107),"")</f>
        <v/>
      </c>
      <c r="R107" s="73" t="str">
        <f aca="false">IF(AND(B107&lt;&gt;"",ISNUMBER(H107),ISNUMBER(F107)),COUNTIFS(C_ID,B107,C_SUELDO,"&lt;&gt;",C_INICIO,"&lt;"&amp;F107)+COUNTIFS(B$7:B107,B107,H$7:H107,"&lt;&gt;",F$7:F107,F107),"")</f>
        <v/>
      </c>
      <c r="S107" s="72" t="str">
        <f aca="false">IF(R107="","",B107&amp;"-S"&amp;R107)</f>
        <v/>
      </c>
      <c r="T107" s="74" t="str">
        <f aca="false">IF(AND(ISNUMBER(F107),ISNUMBER(G107)),ROUND((G107-F107+1)/30.4375,1),"")</f>
        <v/>
      </c>
      <c r="U107" s="70" t="str">
        <f aca="false">IF(B107="","",IF(AND(N107="Sí",OR(E107="",NOT(ISNUMBER(F107)))),"⚠ Falta tipo de contrato o fecha de inicio",IF(NOT(ISNUMBER(F107)),"⚠ Falta fecha de inicio",IF(AND(N107="Sí",E107&lt;&gt;"Indefinido",NOT(ISNUMBER(G107))),"⚠ Falta fecha de término",IF(AND(D107="Paso a indefinido",E107&lt;&gt;"Indefinido"),"⚠ Un paso a indefinido debe tener tipo Indefinido",IF(N(Q107)&gt;=3,"⚠ 3er contrato a plazo fijo: por ley ya es INDEFINIDO (Art. 159 N°4)",IF(AND(E107="Plazo fijo",N(T107)&gt;12),"⚠ Plazo fijo mayor a 1 año (máx. legal; 2 años solo profesionales o técnicos)",IF(AND(ISNUMBER(G107),G107&lt;F107),"⚠ Término anterior al inicio",IF(AND(D107="Contrato inicial",ISNUMBER(J107),J107-F107&gt;15),"⚠ Escriturado fuera de plazo (Art. 9: 15 días)",IF(K107&lt;&gt;"Sí","Pendiente de firma","OK"))))))))))</f>
        <v/>
      </c>
    </row>
    <row r="108" customFormat="false" ht="15" hidden="false" customHeight="false" outlineLevel="0" collapsed="false">
      <c r="B108" s="64"/>
      <c r="C108" s="72" t="str">
        <f aca="false">IF(B108="","",IFERROR(INDEX(T_NOMBRE,MATCH(B108,T_ID,0)),"⚠ ID no existe en Trabajadores"))</f>
        <v/>
      </c>
      <c r="D108" s="64"/>
      <c r="E108" s="64"/>
      <c r="F108" s="65"/>
      <c r="G108" s="65"/>
      <c r="H108" s="67"/>
      <c r="I108" s="64"/>
      <c r="J108" s="65"/>
      <c r="K108" s="64"/>
      <c r="L108" s="64"/>
      <c r="M108" s="64"/>
      <c r="N108" s="72" t="str">
        <f aca="false">IF(B108="","",IF(D108="Anexo de modificación","No","Sí"))</f>
        <v/>
      </c>
      <c r="O108" s="73" t="str">
        <f aca="false">IF(AND(N108="Sí",ISNUMBER(F108)),COUNTIFS(C_ID,B108,C_DEFINE,"Sí",C_INICIO,"&lt;"&amp;F108)+COUNTIFS(B$7:B108,B108,N$7:N108,"Sí",F$7:F108,F108),"")</f>
        <v/>
      </c>
      <c r="P108" s="72" t="str">
        <f aca="false">IF(O108="","",B108&amp;"-P"&amp;O108)</f>
        <v/>
      </c>
      <c r="Q108" s="73" t="str">
        <f aca="false">IF(AND(N108="Sí",E108="Plazo fijo",ISNUMBER(F108)),COUNTIFS(C_ID,B108,C_TIPO,"Plazo fijo",C_DEFINE,"Sí",C_INICIO,"&lt;"&amp;F108)+COUNTIFS(B$7:B108,B108,E$7:E108,"Plazo fijo",N$7:N108,"Sí",F$7:F108,F108),"")</f>
        <v/>
      </c>
      <c r="R108" s="73" t="str">
        <f aca="false">IF(AND(B108&lt;&gt;"",ISNUMBER(H108),ISNUMBER(F108)),COUNTIFS(C_ID,B108,C_SUELDO,"&lt;&gt;",C_INICIO,"&lt;"&amp;F108)+COUNTIFS(B$7:B108,B108,H$7:H108,"&lt;&gt;",F$7:F108,F108),"")</f>
        <v/>
      </c>
      <c r="S108" s="72" t="str">
        <f aca="false">IF(R108="","",B108&amp;"-S"&amp;R108)</f>
        <v/>
      </c>
      <c r="T108" s="74" t="str">
        <f aca="false">IF(AND(ISNUMBER(F108),ISNUMBER(G108)),ROUND((G108-F108+1)/30.4375,1),"")</f>
        <v/>
      </c>
      <c r="U108" s="70" t="str">
        <f aca="false">IF(B108="","",IF(AND(N108="Sí",OR(E108="",NOT(ISNUMBER(F108)))),"⚠ Falta tipo de contrato o fecha de inicio",IF(NOT(ISNUMBER(F108)),"⚠ Falta fecha de inicio",IF(AND(N108="Sí",E108&lt;&gt;"Indefinido",NOT(ISNUMBER(G108))),"⚠ Falta fecha de término",IF(AND(D108="Paso a indefinido",E108&lt;&gt;"Indefinido"),"⚠ Un paso a indefinido debe tener tipo Indefinido",IF(N(Q108)&gt;=3,"⚠ 3er contrato a plazo fijo: por ley ya es INDEFINIDO (Art. 159 N°4)",IF(AND(E108="Plazo fijo",N(T108)&gt;12),"⚠ Plazo fijo mayor a 1 año (máx. legal; 2 años solo profesionales o técnicos)",IF(AND(ISNUMBER(G108),G108&lt;F108),"⚠ Término anterior al inicio",IF(AND(D108="Contrato inicial",ISNUMBER(J108),J108-F108&gt;15),"⚠ Escriturado fuera de plazo (Art. 9: 15 días)",IF(K108&lt;&gt;"Sí","Pendiente de firma","OK"))))))))))</f>
        <v/>
      </c>
    </row>
    <row r="109" customFormat="false" ht="15" hidden="false" customHeight="false" outlineLevel="0" collapsed="false">
      <c r="B109" s="64"/>
      <c r="C109" s="72" t="str">
        <f aca="false">IF(B109="","",IFERROR(INDEX(T_NOMBRE,MATCH(B109,T_ID,0)),"⚠ ID no existe en Trabajadores"))</f>
        <v/>
      </c>
      <c r="D109" s="64"/>
      <c r="E109" s="64"/>
      <c r="F109" s="65"/>
      <c r="G109" s="65"/>
      <c r="H109" s="67"/>
      <c r="I109" s="64"/>
      <c r="J109" s="65"/>
      <c r="K109" s="64"/>
      <c r="L109" s="64"/>
      <c r="M109" s="64"/>
      <c r="N109" s="72" t="str">
        <f aca="false">IF(B109="","",IF(D109="Anexo de modificación","No","Sí"))</f>
        <v/>
      </c>
      <c r="O109" s="73" t="str">
        <f aca="false">IF(AND(N109="Sí",ISNUMBER(F109)),COUNTIFS(C_ID,B109,C_DEFINE,"Sí",C_INICIO,"&lt;"&amp;F109)+COUNTIFS(B$7:B109,B109,N$7:N109,"Sí",F$7:F109,F109),"")</f>
        <v/>
      </c>
      <c r="P109" s="72" t="str">
        <f aca="false">IF(O109="","",B109&amp;"-P"&amp;O109)</f>
        <v/>
      </c>
      <c r="Q109" s="73" t="str">
        <f aca="false">IF(AND(N109="Sí",E109="Plazo fijo",ISNUMBER(F109)),COUNTIFS(C_ID,B109,C_TIPO,"Plazo fijo",C_DEFINE,"Sí",C_INICIO,"&lt;"&amp;F109)+COUNTIFS(B$7:B109,B109,E$7:E109,"Plazo fijo",N$7:N109,"Sí",F$7:F109,F109),"")</f>
        <v/>
      </c>
      <c r="R109" s="73" t="str">
        <f aca="false">IF(AND(B109&lt;&gt;"",ISNUMBER(H109),ISNUMBER(F109)),COUNTIFS(C_ID,B109,C_SUELDO,"&lt;&gt;",C_INICIO,"&lt;"&amp;F109)+COUNTIFS(B$7:B109,B109,H$7:H109,"&lt;&gt;",F$7:F109,F109),"")</f>
        <v/>
      </c>
      <c r="S109" s="72" t="str">
        <f aca="false">IF(R109="","",B109&amp;"-S"&amp;R109)</f>
        <v/>
      </c>
      <c r="T109" s="74" t="str">
        <f aca="false">IF(AND(ISNUMBER(F109),ISNUMBER(G109)),ROUND((G109-F109+1)/30.4375,1),"")</f>
        <v/>
      </c>
      <c r="U109" s="70" t="str">
        <f aca="false">IF(B109="","",IF(AND(N109="Sí",OR(E109="",NOT(ISNUMBER(F109)))),"⚠ Falta tipo de contrato o fecha de inicio",IF(NOT(ISNUMBER(F109)),"⚠ Falta fecha de inicio",IF(AND(N109="Sí",E109&lt;&gt;"Indefinido",NOT(ISNUMBER(G109))),"⚠ Falta fecha de término",IF(AND(D109="Paso a indefinido",E109&lt;&gt;"Indefinido"),"⚠ Un paso a indefinido debe tener tipo Indefinido",IF(N(Q109)&gt;=3,"⚠ 3er contrato a plazo fijo: por ley ya es INDEFINIDO (Art. 159 N°4)",IF(AND(E109="Plazo fijo",N(T109)&gt;12),"⚠ Plazo fijo mayor a 1 año (máx. legal; 2 años solo profesionales o técnicos)",IF(AND(ISNUMBER(G109),G109&lt;F109),"⚠ Término anterior al inicio",IF(AND(D109="Contrato inicial",ISNUMBER(J109),J109-F109&gt;15),"⚠ Escriturado fuera de plazo (Art. 9: 15 días)",IF(K109&lt;&gt;"Sí","Pendiente de firma","OK"))))))))))</f>
        <v/>
      </c>
    </row>
    <row r="110" customFormat="false" ht="15" hidden="false" customHeight="false" outlineLevel="0" collapsed="false">
      <c r="B110" s="64"/>
      <c r="C110" s="72" t="str">
        <f aca="false">IF(B110="","",IFERROR(INDEX(T_NOMBRE,MATCH(B110,T_ID,0)),"⚠ ID no existe en Trabajadores"))</f>
        <v/>
      </c>
      <c r="D110" s="64"/>
      <c r="E110" s="64"/>
      <c r="F110" s="65"/>
      <c r="G110" s="65"/>
      <c r="H110" s="67"/>
      <c r="I110" s="64"/>
      <c r="J110" s="65"/>
      <c r="K110" s="64"/>
      <c r="L110" s="64"/>
      <c r="M110" s="64"/>
      <c r="N110" s="72" t="str">
        <f aca="false">IF(B110="","",IF(D110="Anexo de modificación","No","Sí"))</f>
        <v/>
      </c>
      <c r="O110" s="73" t="str">
        <f aca="false">IF(AND(N110="Sí",ISNUMBER(F110)),COUNTIFS(C_ID,B110,C_DEFINE,"Sí",C_INICIO,"&lt;"&amp;F110)+COUNTIFS(B$7:B110,B110,N$7:N110,"Sí",F$7:F110,F110),"")</f>
        <v/>
      </c>
      <c r="P110" s="72" t="str">
        <f aca="false">IF(O110="","",B110&amp;"-P"&amp;O110)</f>
        <v/>
      </c>
      <c r="Q110" s="73" t="str">
        <f aca="false">IF(AND(N110="Sí",E110="Plazo fijo",ISNUMBER(F110)),COUNTIFS(C_ID,B110,C_TIPO,"Plazo fijo",C_DEFINE,"Sí",C_INICIO,"&lt;"&amp;F110)+COUNTIFS(B$7:B110,B110,E$7:E110,"Plazo fijo",N$7:N110,"Sí",F$7:F110,F110),"")</f>
        <v/>
      </c>
      <c r="R110" s="73" t="str">
        <f aca="false">IF(AND(B110&lt;&gt;"",ISNUMBER(H110),ISNUMBER(F110)),COUNTIFS(C_ID,B110,C_SUELDO,"&lt;&gt;",C_INICIO,"&lt;"&amp;F110)+COUNTIFS(B$7:B110,B110,H$7:H110,"&lt;&gt;",F$7:F110,F110),"")</f>
        <v/>
      </c>
      <c r="S110" s="72" t="str">
        <f aca="false">IF(R110="","",B110&amp;"-S"&amp;R110)</f>
        <v/>
      </c>
      <c r="T110" s="74" t="str">
        <f aca="false">IF(AND(ISNUMBER(F110),ISNUMBER(G110)),ROUND((G110-F110+1)/30.4375,1),"")</f>
        <v/>
      </c>
      <c r="U110" s="70" t="str">
        <f aca="false">IF(B110="","",IF(AND(N110="Sí",OR(E110="",NOT(ISNUMBER(F110)))),"⚠ Falta tipo de contrato o fecha de inicio",IF(NOT(ISNUMBER(F110)),"⚠ Falta fecha de inicio",IF(AND(N110="Sí",E110&lt;&gt;"Indefinido",NOT(ISNUMBER(G110))),"⚠ Falta fecha de término",IF(AND(D110="Paso a indefinido",E110&lt;&gt;"Indefinido"),"⚠ Un paso a indefinido debe tener tipo Indefinido",IF(N(Q110)&gt;=3,"⚠ 3er contrato a plazo fijo: por ley ya es INDEFINIDO (Art. 159 N°4)",IF(AND(E110="Plazo fijo",N(T110)&gt;12),"⚠ Plazo fijo mayor a 1 año (máx. legal; 2 años solo profesionales o técnicos)",IF(AND(ISNUMBER(G110),G110&lt;F110),"⚠ Término anterior al inicio",IF(AND(D110="Contrato inicial",ISNUMBER(J110),J110-F110&gt;15),"⚠ Escriturado fuera de plazo (Art. 9: 15 días)",IF(K110&lt;&gt;"Sí","Pendiente de firma","OK"))))))))))</f>
        <v/>
      </c>
    </row>
    <row r="111" customFormat="false" ht="15" hidden="false" customHeight="false" outlineLevel="0" collapsed="false">
      <c r="B111" s="64"/>
      <c r="C111" s="72" t="str">
        <f aca="false">IF(B111="","",IFERROR(INDEX(T_NOMBRE,MATCH(B111,T_ID,0)),"⚠ ID no existe en Trabajadores"))</f>
        <v/>
      </c>
      <c r="D111" s="64"/>
      <c r="E111" s="64"/>
      <c r="F111" s="65"/>
      <c r="G111" s="65"/>
      <c r="H111" s="67"/>
      <c r="I111" s="64"/>
      <c r="J111" s="65"/>
      <c r="K111" s="64"/>
      <c r="L111" s="64"/>
      <c r="M111" s="64"/>
      <c r="N111" s="72" t="str">
        <f aca="false">IF(B111="","",IF(D111="Anexo de modificación","No","Sí"))</f>
        <v/>
      </c>
      <c r="O111" s="73" t="str">
        <f aca="false">IF(AND(N111="Sí",ISNUMBER(F111)),COUNTIFS(C_ID,B111,C_DEFINE,"Sí",C_INICIO,"&lt;"&amp;F111)+COUNTIFS(B$7:B111,B111,N$7:N111,"Sí",F$7:F111,F111),"")</f>
        <v/>
      </c>
      <c r="P111" s="72" t="str">
        <f aca="false">IF(O111="","",B111&amp;"-P"&amp;O111)</f>
        <v/>
      </c>
      <c r="Q111" s="73" t="str">
        <f aca="false">IF(AND(N111="Sí",E111="Plazo fijo",ISNUMBER(F111)),COUNTIFS(C_ID,B111,C_TIPO,"Plazo fijo",C_DEFINE,"Sí",C_INICIO,"&lt;"&amp;F111)+COUNTIFS(B$7:B111,B111,E$7:E111,"Plazo fijo",N$7:N111,"Sí",F$7:F111,F111),"")</f>
        <v/>
      </c>
      <c r="R111" s="73" t="str">
        <f aca="false">IF(AND(B111&lt;&gt;"",ISNUMBER(H111),ISNUMBER(F111)),COUNTIFS(C_ID,B111,C_SUELDO,"&lt;&gt;",C_INICIO,"&lt;"&amp;F111)+COUNTIFS(B$7:B111,B111,H$7:H111,"&lt;&gt;",F$7:F111,F111),"")</f>
        <v/>
      </c>
      <c r="S111" s="72" t="str">
        <f aca="false">IF(R111="","",B111&amp;"-S"&amp;R111)</f>
        <v/>
      </c>
      <c r="T111" s="74" t="str">
        <f aca="false">IF(AND(ISNUMBER(F111),ISNUMBER(G111)),ROUND((G111-F111+1)/30.4375,1),"")</f>
        <v/>
      </c>
      <c r="U111" s="70" t="str">
        <f aca="false">IF(B111="","",IF(AND(N111="Sí",OR(E111="",NOT(ISNUMBER(F111)))),"⚠ Falta tipo de contrato o fecha de inicio",IF(NOT(ISNUMBER(F111)),"⚠ Falta fecha de inicio",IF(AND(N111="Sí",E111&lt;&gt;"Indefinido",NOT(ISNUMBER(G111))),"⚠ Falta fecha de término",IF(AND(D111="Paso a indefinido",E111&lt;&gt;"Indefinido"),"⚠ Un paso a indefinido debe tener tipo Indefinido",IF(N(Q111)&gt;=3,"⚠ 3er contrato a plazo fijo: por ley ya es INDEFINIDO (Art. 159 N°4)",IF(AND(E111="Plazo fijo",N(T111)&gt;12),"⚠ Plazo fijo mayor a 1 año (máx. legal; 2 años solo profesionales o técnicos)",IF(AND(ISNUMBER(G111),G111&lt;F111),"⚠ Término anterior al inicio",IF(AND(D111="Contrato inicial",ISNUMBER(J111),J111-F111&gt;15),"⚠ Escriturado fuera de plazo (Art. 9: 15 días)",IF(K111&lt;&gt;"Sí","Pendiente de firma","OK"))))))))))</f>
        <v/>
      </c>
    </row>
    <row r="112" customFormat="false" ht="15" hidden="false" customHeight="false" outlineLevel="0" collapsed="false">
      <c r="B112" s="64"/>
      <c r="C112" s="72" t="str">
        <f aca="false">IF(B112="","",IFERROR(INDEX(T_NOMBRE,MATCH(B112,T_ID,0)),"⚠ ID no existe en Trabajadores"))</f>
        <v/>
      </c>
      <c r="D112" s="64"/>
      <c r="E112" s="64"/>
      <c r="F112" s="65"/>
      <c r="G112" s="65"/>
      <c r="H112" s="67"/>
      <c r="I112" s="64"/>
      <c r="J112" s="65"/>
      <c r="K112" s="64"/>
      <c r="L112" s="64"/>
      <c r="M112" s="64"/>
      <c r="N112" s="72" t="str">
        <f aca="false">IF(B112="","",IF(D112="Anexo de modificación","No","Sí"))</f>
        <v/>
      </c>
      <c r="O112" s="73" t="str">
        <f aca="false">IF(AND(N112="Sí",ISNUMBER(F112)),COUNTIFS(C_ID,B112,C_DEFINE,"Sí",C_INICIO,"&lt;"&amp;F112)+COUNTIFS(B$7:B112,B112,N$7:N112,"Sí",F$7:F112,F112),"")</f>
        <v/>
      </c>
      <c r="P112" s="72" t="str">
        <f aca="false">IF(O112="","",B112&amp;"-P"&amp;O112)</f>
        <v/>
      </c>
      <c r="Q112" s="73" t="str">
        <f aca="false">IF(AND(N112="Sí",E112="Plazo fijo",ISNUMBER(F112)),COUNTIFS(C_ID,B112,C_TIPO,"Plazo fijo",C_DEFINE,"Sí",C_INICIO,"&lt;"&amp;F112)+COUNTIFS(B$7:B112,B112,E$7:E112,"Plazo fijo",N$7:N112,"Sí",F$7:F112,F112),"")</f>
        <v/>
      </c>
      <c r="R112" s="73" t="str">
        <f aca="false">IF(AND(B112&lt;&gt;"",ISNUMBER(H112),ISNUMBER(F112)),COUNTIFS(C_ID,B112,C_SUELDO,"&lt;&gt;",C_INICIO,"&lt;"&amp;F112)+COUNTIFS(B$7:B112,B112,H$7:H112,"&lt;&gt;",F$7:F112,F112),"")</f>
        <v/>
      </c>
      <c r="S112" s="72" t="str">
        <f aca="false">IF(R112="","",B112&amp;"-S"&amp;R112)</f>
        <v/>
      </c>
      <c r="T112" s="74" t="str">
        <f aca="false">IF(AND(ISNUMBER(F112),ISNUMBER(G112)),ROUND((G112-F112+1)/30.4375,1),"")</f>
        <v/>
      </c>
      <c r="U112" s="70" t="str">
        <f aca="false">IF(B112="","",IF(AND(N112="Sí",OR(E112="",NOT(ISNUMBER(F112)))),"⚠ Falta tipo de contrato o fecha de inicio",IF(NOT(ISNUMBER(F112)),"⚠ Falta fecha de inicio",IF(AND(N112="Sí",E112&lt;&gt;"Indefinido",NOT(ISNUMBER(G112))),"⚠ Falta fecha de término",IF(AND(D112="Paso a indefinido",E112&lt;&gt;"Indefinido"),"⚠ Un paso a indefinido debe tener tipo Indefinido",IF(N(Q112)&gt;=3,"⚠ 3er contrato a plazo fijo: por ley ya es INDEFINIDO (Art. 159 N°4)",IF(AND(E112="Plazo fijo",N(T112)&gt;12),"⚠ Plazo fijo mayor a 1 año (máx. legal; 2 años solo profesionales o técnicos)",IF(AND(ISNUMBER(G112),G112&lt;F112),"⚠ Término anterior al inicio",IF(AND(D112="Contrato inicial",ISNUMBER(J112),J112-F112&gt;15),"⚠ Escriturado fuera de plazo (Art. 9: 15 días)",IF(K112&lt;&gt;"Sí","Pendiente de firma","OK"))))))))))</f>
        <v/>
      </c>
    </row>
    <row r="113" customFormat="false" ht="15" hidden="false" customHeight="false" outlineLevel="0" collapsed="false">
      <c r="B113" s="64"/>
      <c r="C113" s="72" t="str">
        <f aca="false">IF(B113="","",IFERROR(INDEX(T_NOMBRE,MATCH(B113,T_ID,0)),"⚠ ID no existe en Trabajadores"))</f>
        <v/>
      </c>
      <c r="D113" s="64"/>
      <c r="E113" s="64"/>
      <c r="F113" s="65"/>
      <c r="G113" s="65"/>
      <c r="H113" s="67"/>
      <c r="I113" s="64"/>
      <c r="J113" s="65"/>
      <c r="K113" s="64"/>
      <c r="L113" s="64"/>
      <c r="M113" s="64"/>
      <c r="N113" s="72" t="str">
        <f aca="false">IF(B113="","",IF(D113="Anexo de modificación","No","Sí"))</f>
        <v/>
      </c>
      <c r="O113" s="73" t="str">
        <f aca="false">IF(AND(N113="Sí",ISNUMBER(F113)),COUNTIFS(C_ID,B113,C_DEFINE,"Sí",C_INICIO,"&lt;"&amp;F113)+COUNTIFS(B$7:B113,B113,N$7:N113,"Sí",F$7:F113,F113),"")</f>
        <v/>
      </c>
      <c r="P113" s="72" t="str">
        <f aca="false">IF(O113="","",B113&amp;"-P"&amp;O113)</f>
        <v/>
      </c>
      <c r="Q113" s="73" t="str">
        <f aca="false">IF(AND(N113="Sí",E113="Plazo fijo",ISNUMBER(F113)),COUNTIFS(C_ID,B113,C_TIPO,"Plazo fijo",C_DEFINE,"Sí",C_INICIO,"&lt;"&amp;F113)+COUNTIFS(B$7:B113,B113,E$7:E113,"Plazo fijo",N$7:N113,"Sí",F$7:F113,F113),"")</f>
        <v/>
      </c>
      <c r="R113" s="73" t="str">
        <f aca="false">IF(AND(B113&lt;&gt;"",ISNUMBER(H113),ISNUMBER(F113)),COUNTIFS(C_ID,B113,C_SUELDO,"&lt;&gt;",C_INICIO,"&lt;"&amp;F113)+COUNTIFS(B$7:B113,B113,H$7:H113,"&lt;&gt;",F$7:F113,F113),"")</f>
        <v/>
      </c>
      <c r="S113" s="72" t="str">
        <f aca="false">IF(R113="","",B113&amp;"-S"&amp;R113)</f>
        <v/>
      </c>
      <c r="T113" s="74" t="str">
        <f aca="false">IF(AND(ISNUMBER(F113),ISNUMBER(G113)),ROUND((G113-F113+1)/30.4375,1),"")</f>
        <v/>
      </c>
      <c r="U113" s="70" t="str">
        <f aca="false">IF(B113="","",IF(AND(N113="Sí",OR(E113="",NOT(ISNUMBER(F113)))),"⚠ Falta tipo de contrato o fecha de inicio",IF(NOT(ISNUMBER(F113)),"⚠ Falta fecha de inicio",IF(AND(N113="Sí",E113&lt;&gt;"Indefinido",NOT(ISNUMBER(G113))),"⚠ Falta fecha de término",IF(AND(D113="Paso a indefinido",E113&lt;&gt;"Indefinido"),"⚠ Un paso a indefinido debe tener tipo Indefinido",IF(N(Q113)&gt;=3,"⚠ 3er contrato a plazo fijo: por ley ya es INDEFINIDO (Art. 159 N°4)",IF(AND(E113="Plazo fijo",N(T113)&gt;12),"⚠ Plazo fijo mayor a 1 año (máx. legal; 2 años solo profesionales o técnicos)",IF(AND(ISNUMBER(G113),G113&lt;F113),"⚠ Término anterior al inicio",IF(AND(D113="Contrato inicial",ISNUMBER(J113),J113-F113&gt;15),"⚠ Escriturado fuera de plazo (Art. 9: 15 días)",IF(K113&lt;&gt;"Sí","Pendiente de firma","OK"))))))))))</f>
        <v/>
      </c>
    </row>
    <row r="114" customFormat="false" ht="15" hidden="false" customHeight="false" outlineLevel="0" collapsed="false">
      <c r="B114" s="64"/>
      <c r="C114" s="72" t="str">
        <f aca="false">IF(B114="","",IFERROR(INDEX(T_NOMBRE,MATCH(B114,T_ID,0)),"⚠ ID no existe en Trabajadores"))</f>
        <v/>
      </c>
      <c r="D114" s="64"/>
      <c r="E114" s="64"/>
      <c r="F114" s="65"/>
      <c r="G114" s="65"/>
      <c r="H114" s="67"/>
      <c r="I114" s="64"/>
      <c r="J114" s="65"/>
      <c r="K114" s="64"/>
      <c r="L114" s="64"/>
      <c r="M114" s="64"/>
      <c r="N114" s="72" t="str">
        <f aca="false">IF(B114="","",IF(D114="Anexo de modificación","No","Sí"))</f>
        <v/>
      </c>
      <c r="O114" s="73" t="str">
        <f aca="false">IF(AND(N114="Sí",ISNUMBER(F114)),COUNTIFS(C_ID,B114,C_DEFINE,"Sí",C_INICIO,"&lt;"&amp;F114)+COUNTIFS(B$7:B114,B114,N$7:N114,"Sí",F$7:F114,F114),"")</f>
        <v/>
      </c>
      <c r="P114" s="72" t="str">
        <f aca="false">IF(O114="","",B114&amp;"-P"&amp;O114)</f>
        <v/>
      </c>
      <c r="Q114" s="73" t="str">
        <f aca="false">IF(AND(N114="Sí",E114="Plazo fijo",ISNUMBER(F114)),COUNTIFS(C_ID,B114,C_TIPO,"Plazo fijo",C_DEFINE,"Sí",C_INICIO,"&lt;"&amp;F114)+COUNTIFS(B$7:B114,B114,E$7:E114,"Plazo fijo",N$7:N114,"Sí",F$7:F114,F114),"")</f>
        <v/>
      </c>
      <c r="R114" s="73" t="str">
        <f aca="false">IF(AND(B114&lt;&gt;"",ISNUMBER(H114),ISNUMBER(F114)),COUNTIFS(C_ID,B114,C_SUELDO,"&lt;&gt;",C_INICIO,"&lt;"&amp;F114)+COUNTIFS(B$7:B114,B114,H$7:H114,"&lt;&gt;",F$7:F114,F114),"")</f>
        <v/>
      </c>
      <c r="S114" s="72" t="str">
        <f aca="false">IF(R114="","",B114&amp;"-S"&amp;R114)</f>
        <v/>
      </c>
      <c r="T114" s="74" t="str">
        <f aca="false">IF(AND(ISNUMBER(F114),ISNUMBER(G114)),ROUND((G114-F114+1)/30.4375,1),"")</f>
        <v/>
      </c>
      <c r="U114" s="70" t="str">
        <f aca="false">IF(B114="","",IF(AND(N114="Sí",OR(E114="",NOT(ISNUMBER(F114)))),"⚠ Falta tipo de contrato o fecha de inicio",IF(NOT(ISNUMBER(F114)),"⚠ Falta fecha de inicio",IF(AND(N114="Sí",E114&lt;&gt;"Indefinido",NOT(ISNUMBER(G114))),"⚠ Falta fecha de término",IF(AND(D114="Paso a indefinido",E114&lt;&gt;"Indefinido"),"⚠ Un paso a indefinido debe tener tipo Indefinido",IF(N(Q114)&gt;=3,"⚠ 3er contrato a plazo fijo: por ley ya es INDEFINIDO (Art. 159 N°4)",IF(AND(E114="Plazo fijo",N(T114)&gt;12),"⚠ Plazo fijo mayor a 1 año (máx. legal; 2 años solo profesionales o técnicos)",IF(AND(ISNUMBER(G114),G114&lt;F114),"⚠ Término anterior al inicio",IF(AND(D114="Contrato inicial",ISNUMBER(J114),J114-F114&gt;15),"⚠ Escriturado fuera de plazo (Art. 9: 15 días)",IF(K114&lt;&gt;"Sí","Pendiente de firma","OK"))))))))))</f>
        <v/>
      </c>
    </row>
    <row r="115" customFormat="false" ht="15" hidden="false" customHeight="false" outlineLevel="0" collapsed="false">
      <c r="B115" s="64"/>
      <c r="C115" s="72" t="str">
        <f aca="false">IF(B115="","",IFERROR(INDEX(T_NOMBRE,MATCH(B115,T_ID,0)),"⚠ ID no existe en Trabajadores"))</f>
        <v/>
      </c>
      <c r="D115" s="64"/>
      <c r="E115" s="64"/>
      <c r="F115" s="65"/>
      <c r="G115" s="65"/>
      <c r="H115" s="67"/>
      <c r="I115" s="64"/>
      <c r="J115" s="65"/>
      <c r="K115" s="64"/>
      <c r="L115" s="64"/>
      <c r="M115" s="64"/>
      <c r="N115" s="72" t="str">
        <f aca="false">IF(B115="","",IF(D115="Anexo de modificación","No","Sí"))</f>
        <v/>
      </c>
      <c r="O115" s="73" t="str">
        <f aca="false">IF(AND(N115="Sí",ISNUMBER(F115)),COUNTIFS(C_ID,B115,C_DEFINE,"Sí",C_INICIO,"&lt;"&amp;F115)+COUNTIFS(B$7:B115,B115,N$7:N115,"Sí",F$7:F115,F115),"")</f>
        <v/>
      </c>
      <c r="P115" s="72" t="str">
        <f aca="false">IF(O115="","",B115&amp;"-P"&amp;O115)</f>
        <v/>
      </c>
      <c r="Q115" s="73" t="str">
        <f aca="false">IF(AND(N115="Sí",E115="Plazo fijo",ISNUMBER(F115)),COUNTIFS(C_ID,B115,C_TIPO,"Plazo fijo",C_DEFINE,"Sí",C_INICIO,"&lt;"&amp;F115)+COUNTIFS(B$7:B115,B115,E$7:E115,"Plazo fijo",N$7:N115,"Sí",F$7:F115,F115),"")</f>
        <v/>
      </c>
      <c r="R115" s="73" t="str">
        <f aca="false">IF(AND(B115&lt;&gt;"",ISNUMBER(H115),ISNUMBER(F115)),COUNTIFS(C_ID,B115,C_SUELDO,"&lt;&gt;",C_INICIO,"&lt;"&amp;F115)+COUNTIFS(B$7:B115,B115,H$7:H115,"&lt;&gt;",F$7:F115,F115),"")</f>
        <v/>
      </c>
      <c r="S115" s="72" t="str">
        <f aca="false">IF(R115="","",B115&amp;"-S"&amp;R115)</f>
        <v/>
      </c>
      <c r="T115" s="74" t="str">
        <f aca="false">IF(AND(ISNUMBER(F115),ISNUMBER(G115)),ROUND((G115-F115+1)/30.4375,1),"")</f>
        <v/>
      </c>
      <c r="U115" s="70" t="str">
        <f aca="false">IF(B115="","",IF(AND(N115="Sí",OR(E115="",NOT(ISNUMBER(F115)))),"⚠ Falta tipo de contrato o fecha de inicio",IF(NOT(ISNUMBER(F115)),"⚠ Falta fecha de inicio",IF(AND(N115="Sí",E115&lt;&gt;"Indefinido",NOT(ISNUMBER(G115))),"⚠ Falta fecha de término",IF(AND(D115="Paso a indefinido",E115&lt;&gt;"Indefinido"),"⚠ Un paso a indefinido debe tener tipo Indefinido",IF(N(Q115)&gt;=3,"⚠ 3er contrato a plazo fijo: por ley ya es INDEFINIDO (Art. 159 N°4)",IF(AND(E115="Plazo fijo",N(T115)&gt;12),"⚠ Plazo fijo mayor a 1 año (máx. legal; 2 años solo profesionales o técnicos)",IF(AND(ISNUMBER(G115),G115&lt;F115),"⚠ Término anterior al inicio",IF(AND(D115="Contrato inicial",ISNUMBER(J115),J115-F115&gt;15),"⚠ Escriturado fuera de plazo (Art. 9: 15 días)",IF(K115&lt;&gt;"Sí","Pendiente de firma","OK"))))))))))</f>
        <v/>
      </c>
    </row>
    <row r="116" customFormat="false" ht="15" hidden="false" customHeight="false" outlineLevel="0" collapsed="false">
      <c r="B116" s="64"/>
      <c r="C116" s="72" t="str">
        <f aca="false">IF(B116="","",IFERROR(INDEX(T_NOMBRE,MATCH(B116,T_ID,0)),"⚠ ID no existe en Trabajadores"))</f>
        <v/>
      </c>
      <c r="D116" s="64"/>
      <c r="E116" s="64"/>
      <c r="F116" s="65"/>
      <c r="G116" s="65"/>
      <c r="H116" s="67"/>
      <c r="I116" s="64"/>
      <c r="J116" s="65"/>
      <c r="K116" s="64"/>
      <c r="L116" s="64"/>
      <c r="M116" s="64"/>
      <c r="N116" s="72" t="str">
        <f aca="false">IF(B116="","",IF(D116="Anexo de modificación","No","Sí"))</f>
        <v/>
      </c>
      <c r="O116" s="73" t="str">
        <f aca="false">IF(AND(N116="Sí",ISNUMBER(F116)),COUNTIFS(C_ID,B116,C_DEFINE,"Sí",C_INICIO,"&lt;"&amp;F116)+COUNTIFS(B$7:B116,B116,N$7:N116,"Sí",F$7:F116,F116),"")</f>
        <v/>
      </c>
      <c r="P116" s="72" t="str">
        <f aca="false">IF(O116="","",B116&amp;"-P"&amp;O116)</f>
        <v/>
      </c>
      <c r="Q116" s="73" t="str">
        <f aca="false">IF(AND(N116="Sí",E116="Plazo fijo",ISNUMBER(F116)),COUNTIFS(C_ID,B116,C_TIPO,"Plazo fijo",C_DEFINE,"Sí",C_INICIO,"&lt;"&amp;F116)+COUNTIFS(B$7:B116,B116,E$7:E116,"Plazo fijo",N$7:N116,"Sí",F$7:F116,F116),"")</f>
        <v/>
      </c>
      <c r="R116" s="73" t="str">
        <f aca="false">IF(AND(B116&lt;&gt;"",ISNUMBER(H116),ISNUMBER(F116)),COUNTIFS(C_ID,B116,C_SUELDO,"&lt;&gt;",C_INICIO,"&lt;"&amp;F116)+COUNTIFS(B$7:B116,B116,H$7:H116,"&lt;&gt;",F$7:F116,F116),"")</f>
        <v/>
      </c>
      <c r="S116" s="72" t="str">
        <f aca="false">IF(R116="","",B116&amp;"-S"&amp;R116)</f>
        <v/>
      </c>
      <c r="T116" s="74" t="str">
        <f aca="false">IF(AND(ISNUMBER(F116),ISNUMBER(G116)),ROUND((G116-F116+1)/30.4375,1),"")</f>
        <v/>
      </c>
      <c r="U116" s="70" t="str">
        <f aca="false">IF(B116="","",IF(AND(N116="Sí",OR(E116="",NOT(ISNUMBER(F116)))),"⚠ Falta tipo de contrato o fecha de inicio",IF(NOT(ISNUMBER(F116)),"⚠ Falta fecha de inicio",IF(AND(N116="Sí",E116&lt;&gt;"Indefinido",NOT(ISNUMBER(G116))),"⚠ Falta fecha de término",IF(AND(D116="Paso a indefinido",E116&lt;&gt;"Indefinido"),"⚠ Un paso a indefinido debe tener tipo Indefinido",IF(N(Q116)&gt;=3,"⚠ 3er contrato a plazo fijo: por ley ya es INDEFINIDO (Art. 159 N°4)",IF(AND(E116="Plazo fijo",N(T116)&gt;12),"⚠ Plazo fijo mayor a 1 año (máx. legal; 2 años solo profesionales o técnicos)",IF(AND(ISNUMBER(G116),G116&lt;F116),"⚠ Término anterior al inicio",IF(AND(D116="Contrato inicial",ISNUMBER(J116),J116-F116&gt;15),"⚠ Escriturado fuera de plazo (Art. 9: 15 días)",IF(K116&lt;&gt;"Sí","Pendiente de firma","OK"))))))))))</f>
        <v/>
      </c>
    </row>
    <row r="117" customFormat="false" ht="15" hidden="false" customHeight="false" outlineLevel="0" collapsed="false">
      <c r="B117" s="64"/>
      <c r="C117" s="72" t="str">
        <f aca="false">IF(B117="","",IFERROR(INDEX(T_NOMBRE,MATCH(B117,T_ID,0)),"⚠ ID no existe en Trabajadores"))</f>
        <v/>
      </c>
      <c r="D117" s="64"/>
      <c r="E117" s="64"/>
      <c r="F117" s="65"/>
      <c r="G117" s="65"/>
      <c r="H117" s="67"/>
      <c r="I117" s="64"/>
      <c r="J117" s="65"/>
      <c r="K117" s="64"/>
      <c r="L117" s="64"/>
      <c r="M117" s="64"/>
      <c r="N117" s="72" t="str">
        <f aca="false">IF(B117="","",IF(D117="Anexo de modificación","No","Sí"))</f>
        <v/>
      </c>
      <c r="O117" s="73" t="str">
        <f aca="false">IF(AND(N117="Sí",ISNUMBER(F117)),COUNTIFS(C_ID,B117,C_DEFINE,"Sí",C_INICIO,"&lt;"&amp;F117)+COUNTIFS(B$7:B117,B117,N$7:N117,"Sí",F$7:F117,F117),"")</f>
        <v/>
      </c>
      <c r="P117" s="72" t="str">
        <f aca="false">IF(O117="","",B117&amp;"-P"&amp;O117)</f>
        <v/>
      </c>
      <c r="Q117" s="73" t="str">
        <f aca="false">IF(AND(N117="Sí",E117="Plazo fijo",ISNUMBER(F117)),COUNTIFS(C_ID,B117,C_TIPO,"Plazo fijo",C_DEFINE,"Sí",C_INICIO,"&lt;"&amp;F117)+COUNTIFS(B$7:B117,B117,E$7:E117,"Plazo fijo",N$7:N117,"Sí",F$7:F117,F117),"")</f>
        <v/>
      </c>
      <c r="R117" s="73" t="str">
        <f aca="false">IF(AND(B117&lt;&gt;"",ISNUMBER(H117),ISNUMBER(F117)),COUNTIFS(C_ID,B117,C_SUELDO,"&lt;&gt;",C_INICIO,"&lt;"&amp;F117)+COUNTIFS(B$7:B117,B117,H$7:H117,"&lt;&gt;",F$7:F117,F117),"")</f>
        <v/>
      </c>
      <c r="S117" s="72" t="str">
        <f aca="false">IF(R117="","",B117&amp;"-S"&amp;R117)</f>
        <v/>
      </c>
      <c r="T117" s="74" t="str">
        <f aca="false">IF(AND(ISNUMBER(F117),ISNUMBER(G117)),ROUND((G117-F117+1)/30.4375,1),"")</f>
        <v/>
      </c>
      <c r="U117" s="70" t="str">
        <f aca="false">IF(B117="","",IF(AND(N117="Sí",OR(E117="",NOT(ISNUMBER(F117)))),"⚠ Falta tipo de contrato o fecha de inicio",IF(NOT(ISNUMBER(F117)),"⚠ Falta fecha de inicio",IF(AND(N117="Sí",E117&lt;&gt;"Indefinido",NOT(ISNUMBER(G117))),"⚠ Falta fecha de término",IF(AND(D117="Paso a indefinido",E117&lt;&gt;"Indefinido"),"⚠ Un paso a indefinido debe tener tipo Indefinido",IF(N(Q117)&gt;=3,"⚠ 3er contrato a plazo fijo: por ley ya es INDEFINIDO (Art. 159 N°4)",IF(AND(E117="Plazo fijo",N(T117)&gt;12),"⚠ Plazo fijo mayor a 1 año (máx. legal; 2 años solo profesionales o técnicos)",IF(AND(ISNUMBER(G117),G117&lt;F117),"⚠ Término anterior al inicio",IF(AND(D117="Contrato inicial",ISNUMBER(J117),J117-F117&gt;15),"⚠ Escriturado fuera de plazo (Art. 9: 15 días)",IF(K117&lt;&gt;"Sí","Pendiente de firma","OK"))))))))))</f>
        <v/>
      </c>
    </row>
    <row r="118" customFormat="false" ht="15" hidden="false" customHeight="false" outlineLevel="0" collapsed="false">
      <c r="B118" s="64"/>
      <c r="C118" s="72" t="str">
        <f aca="false">IF(B118="","",IFERROR(INDEX(T_NOMBRE,MATCH(B118,T_ID,0)),"⚠ ID no existe en Trabajadores"))</f>
        <v/>
      </c>
      <c r="D118" s="64"/>
      <c r="E118" s="64"/>
      <c r="F118" s="65"/>
      <c r="G118" s="65"/>
      <c r="H118" s="67"/>
      <c r="I118" s="64"/>
      <c r="J118" s="65"/>
      <c r="K118" s="64"/>
      <c r="L118" s="64"/>
      <c r="M118" s="64"/>
      <c r="N118" s="72" t="str">
        <f aca="false">IF(B118="","",IF(D118="Anexo de modificación","No","Sí"))</f>
        <v/>
      </c>
      <c r="O118" s="73" t="str">
        <f aca="false">IF(AND(N118="Sí",ISNUMBER(F118)),COUNTIFS(C_ID,B118,C_DEFINE,"Sí",C_INICIO,"&lt;"&amp;F118)+COUNTIFS(B$7:B118,B118,N$7:N118,"Sí",F$7:F118,F118),"")</f>
        <v/>
      </c>
      <c r="P118" s="72" t="str">
        <f aca="false">IF(O118="","",B118&amp;"-P"&amp;O118)</f>
        <v/>
      </c>
      <c r="Q118" s="73" t="str">
        <f aca="false">IF(AND(N118="Sí",E118="Plazo fijo",ISNUMBER(F118)),COUNTIFS(C_ID,B118,C_TIPO,"Plazo fijo",C_DEFINE,"Sí",C_INICIO,"&lt;"&amp;F118)+COUNTIFS(B$7:B118,B118,E$7:E118,"Plazo fijo",N$7:N118,"Sí",F$7:F118,F118),"")</f>
        <v/>
      </c>
      <c r="R118" s="73" t="str">
        <f aca="false">IF(AND(B118&lt;&gt;"",ISNUMBER(H118),ISNUMBER(F118)),COUNTIFS(C_ID,B118,C_SUELDO,"&lt;&gt;",C_INICIO,"&lt;"&amp;F118)+COUNTIFS(B$7:B118,B118,H$7:H118,"&lt;&gt;",F$7:F118,F118),"")</f>
        <v/>
      </c>
      <c r="S118" s="72" t="str">
        <f aca="false">IF(R118="","",B118&amp;"-S"&amp;R118)</f>
        <v/>
      </c>
      <c r="T118" s="74" t="str">
        <f aca="false">IF(AND(ISNUMBER(F118),ISNUMBER(G118)),ROUND((G118-F118+1)/30.4375,1),"")</f>
        <v/>
      </c>
      <c r="U118" s="70" t="str">
        <f aca="false">IF(B118="","",IF(AND(N118="Sí",OR(E118="",NOT(ISNUMBER(F118)))),"⚠ Falta tipo de contrato o fecha de inicio",IF(NOT(ISNUMBER(F118)),"⚠ Falta fecha de inicio",IF(AND(N118="Sí",E118&lt;&gt;"Indefinido",NOT(ISNUMBER(G118))),"⚠ Falta fecha de término",IF(AND(D118="Paso a indefinido",E118&lt;&gt;"Indefinido"),"⚠ Un paso a indefinido debe tener tipo Indefinido",IF(N(Q118)&gt;=3,"⚠ 3er contrato a plazo fijo: por ley ya es INDEFINIDO (Art. 159 N°4)",IF(AND(E118="Plazo fijo",N(T118)&gt;12),"⚠ Plazo fijo mayor a 1 año (máx. legal; 2 años solo profesionales o técnicos)",IF(AND(ISNUMBER(G118),G118&lt;F118),"⚠ Término anterior al inicio",IF(AND(D118="Contrato inicial",ISNUMBER(J118),J118-F118&gt;15),"⚠ Escriturado fuera de plazo (Art. 9: 15 días)",IF(K118&lt;&gt;"Sí","Pendiente de firma","OK"))))))))))</f>
        <v/>
      </c>
    </row>
    <row r="119" customFormat="false" ht="15" hidden="false" customHeight="false" outlineLevel="0" collapsed="false">
      <c r="B119" s="64"/>
      <c r="C119" s="72" t="str">
        <f aca="false">IF(B119="","",IFERROR(INDEX(T_NOMBRE,MATCH(B119,T_ID,0)),"⚠ ID no existe en Trabajadores"))</f>
        <v/>
      </c>
      <c r="D119" s="64"/>
      <c r="E119" s="64"/>
      <c r="F119" s="65"/>
      <c r="G119" s="65"/>
      <c r="H119" s="67"/>
      <c r="I119" s="64"/>
      <c r="J119" s="65"/>
      <c r="K119" s="64"/>
      <c r="L119" s="64"/>
      <c r="M119" s="64"/>
      <c r="N119" s="72" t="str">
        <f aca="false">IF(B119="","",IF(D119="Anexo de modificación","No","Sí"))</f>
        <v/>
      </c>
      <c r="O119" s="73" t="str">
        <f aca="false">IF(AND(N119="Sí",ISNUMBER(F119)),COUNTIFS(C_ID,B119,C_DEFINE,"Sí",C_INICIO,"&lt;"&amp;F119)+COUNTIFS(B$7:B119,B119,N$7:N119,"Sí",F$7:F119,F119),"")</f>
        <v/>
      </c>
      <c r="P119" s="72" t="str">
        <f aca="false">IF(O119="","",B119&amp;"-P"&amp;O119)</f>
        <v/>
      </c>
      <c r="Q119" s="73" t="str">
        <f aca="false">IF(AND(N119="Sí",E119="Plazo fijo",ISNUMBER(F119)),COUNTIFS(C_ID,B119,C_TIPO,"Plazo fijo",C_DEFINE,"Sí",C_INICIO,"&lt;"&amp;F119)+COUNTIFS(B$7:B119,B119,E$7:E119,"Plazo fijo",N$7:N119,"Sí",F$7:F119,F119),"")</f>
        <v/>
      </c>
      <c r="R119" s="73" t="str">
        <f aca="false">IF(AND(B119&lt;&gt;"",ISNUMBER(H119),ISNUMBER(F119)),COUNTIFS(C_ID,B119,C_SUELDO,"&lt;&gt;",C_INICIO,"&lt;"&amp;F119)+COUNTIFS(B$7:B119,B119,H$7:H119,"&lt;&gt;",F$7:F119,F119),"")</f>
        <v/>
      </c>
      <c r="S119" s="72" t="str">
        <f aca="false">IF(R119="","",B119&amp;"-S"&amp;R119)</f>
        <v/>
      </c>
      <c r="T119" s="74" t="str">
        <f aca="false">IF(AND(ISNUMBER(F119),ISNUMBER(G119)),ROUND((G119-F119+1)/30.4375,1),"")</f>
        <v/>
      </c>
      <c r="U119" s="70" t="str">
        <f aca="false">IF(B119="","",IF(AND(N119="Sí",OR(E119="",NOT(ISNUMBER(F119)))),"⚠ Falta tipo de contrato o fecha de inicio",IF(NOT(ISNUMBER(F119)),"⚠ Falta fecha de inicio",IF(AND(N119="Sí",E119&lt;&gt;"Indefinido",NOT(ISNUMBER(G119))),"⚠ Falta fecha de término",IF(AND(D119="Paso a indefinido",E119&lt;&gt;"Indefinido"),"⚠ Un paso a indefinido debe tener tipo Indefinido",IF(N(Q119)&gt;=3,"⚠ 3er contrato a plazo fijo: por ley ya es INDEFINIDO (Art. 159 N°4)",IF(AND(E119="Plazo fijo",N(T119)&gt;12),"⚠ Plazo fijo mayor a 1 año (máx. legal; 2 años solo profesionales o técnicos)",IF(AND(ISNUMBER(G119),G119&lt;F119),"⚠ Término anterior al inicio",IF(AND(D119="Contrato inicial",ISNUMBER(J119),J119-F119&gt;15),"⚠ Escriturado fuera de plazo (Art. 9: 15 días)",IF(K119&lt;&gt;"Sí","Pendiente de firma","OK"))))))))))</f>
        <v/>
      </c>
    </row>
    <row r="120" customFormat="false" ht="15" hidden="false" customHeight="false" outlineLevel="0" collapsed="false">
      <c r="B120" s="64"/>
      <c r="C120" s="72" t="str">
        <f aca="false">IF(B120="","",IFERROR(INDEX(T_NOMBRE,MATCH(B120,T_ID,0)),"⚠ ID no existe en Trabajadores"))</f>
        <v/>
      </c>
      <c r="D120" s="64"/>
      <c r="E120" s="64"/>
      <c r="F120" s="65"/>
      <c r="G120" s="65"/>
      <c r="H120" s="67"/>
      <c r="I120" s="64"/>
      <c r="J120" s="65"/>
      <c r="K120" s="64"/>
      <c r="L120" s="64"/>
      <c r="M120" s="64"/>
      <c r="N120" s="72" t="str">
        <f aca="false">IF(B120="","",IF(D120="Anexo de modificación","No","Sí"))</f>
        <v/>
      </c>
      <c r="O120" s="73" t="str">
        <f aca="false">IF(AND(N120="Sí",ISNUMBER(F120)),COUNTIFS(C_ID,B120,C_DEFINE,"Sí",C_INICIO,"&lt;"&amp;F120)+COUNTIFS(B$7:B120,B120,N$7:N120,"Sí",F$7:F120,F120),"")</f>
        <v/>
      </c>
      <c r="P120" s="72" t="str">
        <f aca="false">IF(O120="","",B120&amp;"-P"&amp;O120)</f>
        <v/>
      </c>
      <c r="Q120" s="73" t="str">
        <f aca="false">IF(AND(N120="Sí",E120="Plazo fijo",ISNUMBER(F120)),COUNTIFS(C_ID,B120,C_TIPO,"Plazo fijo",C_DEFINE,"Sí",C_INICIO,"&lt;"&amp;F120)+COUNTIFS(B$7:B120,B120,E$7:E120,"Plazo fijo",N$7:N120,"Sí",F$7:F120,F120),"")</f>
        <v/>
      </c>
      <c r="R120" s="73" t="str">
        <f aca="false">IF(AND(B120&lt;&gt;"",ISNUMBER(H120),ISNUMBER(F120)),COUNTIFS(C_ID,B120,C_SUELDO,"&lt;&gt;",C_INICIO,"&lt;"&amp;F120)+COUNTIFS(B$7:B120,B120,H$7:H120,"&lt;&gt;",F$7:F120,F120),"")</f>
        <v/>
      </c>
      <c r="S120" s="72" t="str">
        <f aca="false">IF(R120="","",B120&amp;"-S"&amp;R120)</f>
        <v/>
      </c>
      <c r="T120" s="74" t="str">
        <f aca="false">IF(AND(ISNUMBER(F120),ISNUMBER(G120)),ROUND((G120-F120+1)/30.4375,1),"")</f>
        <v/>
      </c>
      <c r="U120" s="70" t="str">
        <f aca="false">IF(B120="","",IF(AND(N120="Sí",OR(E120="",NOT(ISNUMBER(F120)))),"⚠ Falta tipo de contrato o fecha de inicio",IF(NOT(ISNUMBER(F120)),"⚠ Falta fecha de inicio",IF(AND(N120="Sí",E120&lt;&gt;"Indefinido",NOT(ISNUMBER(G120))),"⚠ Falta fecha de término",IF(AND(D120="Paso a indefinido",E120&lt;&gt;"Indefinido"),"⚠ Un paso a indefinido debe tener tipo Indefinido",IF(N(Q120)&gt;=3,"⚠ 3er contrato a plazo fijo: por ley ya es INDEFINIDO (Art. 159 N°4)",IF(AND(E120="Plazo fijo",N(T120)&gt;12),"⚠ Plazo fijo mayor a 1 año (máx. legal; 2 años solo profesionales o técnicos)",IF(AND(ISNUMBER(G120),G120&lt;F120),"⚠ Término anterior al inicio",IF(AND(D120="Contrato inicial",ISNUMBER(J120),J120-F120&gt;15),"⚠ Escriturado fuera de plazo (Art. 9: 15 días)",IF(K120&lt;&gt;"Sí","Pendiente de firma","OK"))))))))))</f>
        <v/>
      </c>
    </row>
    <row r="121" customFormat="false" ht="15" hidden="false" customHeight="false" outlineLevel="0" collapsed="false">
      <c r="B121" s="64"/>
      <c r="C121" s="72" t="str">
        <f aca="false">IF(B121="","",IFERROR(INDEX(T_NOMBRE,MATCH(B121,T_ID,0)),"⚠ ID no existe en Trabajadores"))</f>
        <v/>
      </c>
      <c r="D121" s="64"/>
      <c r="E121" s="64"/>
      <c r="F121" s="65"/>
      <c r="G121" s="65"/>
      <c r="H121" s="67"/>
      <c r="I121" s="64"/>
      <c r="J121" s="65"/>
      <c r="K121" s="64"/>
      <c r="L121" s="64"/>
      <c r="M121" s="64"/>
      <c r="N121" s="72" t="str">
        <f aca="false">IF(B121="","",IF(D121="Anexo de modificación","No","Sí"))</f>
        <v/>
      </c>
      <c r="O121" s="73" t="str">
        <f aca="false">IF(AND(N121="Sí",ISNUMBER(F121)),COUNTIFS(C_ID,B121,C_DEFINE,"Sí",C_INICIO,"&lt;"&amp;F121)+COUNTIFS(B$7:B121,B121,N$7:N121,"Sí",F$7:F121,F121),"")</f>
        <v/>
      </c>
      <c r="P121" s="72" t="str">
        <f aca="false">IF(O121="","",B121&amp;"-P"&amp;O121)</f>
        <v/>
      </c>
      <c r="Q121" s="73" t="str">
        <f aca="false">IF(AND(N121="Sí",E121="Plazo fijo",ISNUMBER(F121)),COUNTIFS(C_ID,B121,C_TIPO,"Plazo fijo",C_DEFINE,"Sí",C_INICIO,"&lt;"&amp;F121)+COUNTIFS(B$7:B121,B121,E$7:E121,"Plazo fijo",N$7:N121,"Sí",F$7:F121,F121),"")</f>
        <v/>
      </c>
      <c r="R121" s="73" t="str">
        <f aca="false">IF(AND(B121&lt;&gt;"",ISNUMBER(H121),ISNUMBER(F121)),COUNTIFS(C_ID,B121,C_SUELDO,"&lt;&gt;",C_INICIO,"&lt;"&amp;F121)+COUNTIFS(B$7:B121,B121,H$7:H121,"&lt;&gt;",F$7:F121,F121),"")</f>
        <v/>
      </c>
      <c r="S121" s="72" t="str">
        <f aca="false">IF(R121="","",B121&amp;"-S"&amp;R121)</f>
        <v/>
      </c>
      <c r="T121" s="74" t="str">
        <f aca="false">IF(AND(ISNUMBER(F121),ISNUMBER(G121)),ROUND((G121-F121+1)/30.4375,1),"")</f>
        <v/>
      </c>
      <c r="U121" s="70" t="str">
        <f aca="false">IF(B121="","",IF(AND(N121="Sí",OR(E121="",NOT(ISNUMBER(F121)))),"⚠ Falta tipo de contrato o fecha de inicio",IF(NOT(ISNUMBER(F121)),"⚠ Falta fecha de inicio",IF(AND(N121="Sí",E121&lt;&gt;"Indefinido",NOT(ISNUMBER(G121))),"⚠ Falta fecha de término",IF(AND(D121="Paso a indefinido",E121&lt;&gt;"Indefinido"),"⚠ Un paso a indefinido debe tener tipo Indefinido",IF(N(Q121)&gt;=3,"⚠ 3er contrato a plazo fijo: por ley ya es INDEFINIDO (Art. 159 N°4)",IF(AND(E121="Plazo fijo",N(T121)&gt;12),"⚠ Plazo fijo mayor a 1 año (máx. legal; 2 años solo profesionales o técnicos)",IF(AND(ISNUMBER(G121),G121&lt;F121),"⚠ Término anterior al inicio",IF(AND(D121="Contrato inicial",ISNUMBER(J121),J121-F121&gt;15),"⚠ Escriturado fuera de plazo (Art. 9: 15 días)",IF(K121&lt;&gt;"Sí","Pendiente de firma","OK"))))))))))</f>
        <v/>
      </c>
    </row>
    <row r="122" customFormat="false" ht="15" hidden="false" customHeight="false" outlineLevel="0" collapsed="false">
      <c r="B122" s="64"/>
      <c r="C122" s="72" t="str">
        <f aca="false">IF(B122="","",IFERROR(INDEX(T_NOMBRE,MATCH(B122,T_ID,0)),"⚠ ID no existe en Trabajadores"))</f>
        <v/>
      </c>
      <c r="D122" s="64"/>
      <c r="E122" s="64"/>
      <c r="F122" s="65"/>
      <c r="G122" s="65"/>
      <c r="H122" s="67"/>
      <c r="I122" s="64"/>
      <c r="J122" s="65"/>
      <c r="K122" s="64"/>
      <c r="L122" s="64"/>
      <c r="M122" s="64"/>
      <c r="N122" s="72" t="str">
        <f aca="false">IF(B122="","",IF(D122="Anexo de modificación","No","Sí"))</f>
        <v/>
      </c>
      <c r="O122" s="73" t="str">
        <f aca="false">IF(AND(N122="Sí",ISNUMBER(F122)),COUNTIFS(C_ID,B122,C_DEFINE,"Sí",C_INICIO,"&lt;"&amp;F122)+COUNTIFS(B$7:B122,B122,N$7:N122,"Sí",F$7:F122,F122),"")</f>
        <v/>
      </c>
      <c r="P122" s="72" t="str">
        <f aca="false">IF(O122="","",B122&amp;"-P"&amp;O122)</f>
        <v/>
      </c>
      <c r="Q122" s="73" t="str">
        <f aca="false">IF(AND(N122="Sí",E122="Plazo fijo",ISNUMBER(F122)),COUNTIFS(C_ID,B122,C_TIPO,"Plazo fijo",C_DEFINE,"Sí",C_INICIO,"&lt;"&amp;F122)+COUNTIFS(B$7:B122,B122,E$7:E122,"Plazo fijo",N$7:N122,"Sí",F$7:F122,F122),"")</f>
        <v/>
      </c>
      <c r="R122" s="73" t="str">
        <f aca="false">IF(AND(B122&lt;&gt;"",ISNUMBER(H122),ISNUMBER(F122)),COUNTIFS(C_ID,B122,C_SUELDO,"&lt;&gt;",C_INICIO,"&lt;"&amp;F122)+COUNTIFS(B$7:B122,B122,H$7:H122,"&lt;&gt;",F$7:F122,F122),"")</f>
        <v/>
      </c>
      <c r="S122" s="72" t="str">
        <f aca="false">IF(R122="","",B122&amp;"-S"&amp;R122)</f>
        <v/>
      </c>
      <c r="T122" s="74" t="str">
        <f aca="false">IF(AND(ISNUMBER(F122),ISNUMBER(G122)),ROUND((G122-F122+1)/30.4375,1),"")</f>
        <v/>
      </c>
      <c r="U122" s="70" t="str">
        <f aca="false">IF(B122="","",IF(AND(N122="Sí",OR(E122="",NOT(ISNUMBER(F122)))),"⚠ Falta tipo de contrato o fecha de inicio",IF(NOT(ISNUMBER(F122)),"⚠ Falta fecha de inicio",IF(AND(N122="Sí",E122&lt;&gt;"Indefinido",NOT(ISNUMBER(G122))),"⚠ Falta fecha de término",IF(AND(D122="Paso a indefinido",E122&lt;&gt;"Indefinido"),"⚠ Un paso a indefinido debe tener tipo Indefinido",IF(N(Q122)&gt;=3,"⚠ 3er contrato a plazo fijo: por ley ya es INDEFINIDO (Art. 159 N°4)",IF(AND(E122="Plazo fijo",N(T122)&gt;12),"⚠ Plazo fijo mayor a 1 año (máx. legal; 2 años solo profesionales o técnicos)",IF(AND(ISNUMBER(G122),G122&lt;F122),"⚠ Término anterior al inicio",IF(AND(D122="Contrato inicial",ISNUMBER(J122),J122-F122&gt;15),"⚠ Escriturado fuera de plazo (Art. 9: 15 días)",IF(K122&lt;&gt;"Sí","Pendiente de firma","OK"))))))))))</f>
        <v/>
      </c>
    </row>
    <row r="123" customFormat="false" ht="15" hidden="false" customHeight="false" outlineLevel="0" collapsed="false">
      <c r="B123" s="64"/>
      <c r="C123" s="72" t="str">
        <f aca="false">IF(B123="","",IFERROR(INDEX(T_NOMBRE,MATCH(B123,T_ID,0)),"⚠ ID no existe en Trabajadores"))</f>
        <v/>
      </c>
      <c r="D123" s="64"/>
      <c r="E123" s="64"/>
      <c r="F123" s="65"/>
      <c r="G123" s="65"/>
      <c r="H123" s="67"/>
      <c r="I123" s="64"/>
      <c r="J123" s="65"/>
      <c r="K123" s="64"/>
      <c r="L123" s="64"/>
      <c r="M123" s="64"/>
      <c r="N123" s="72" t="str">
        <f aca="false">IF(B123="","",IF(D123="Anexo de modificación","No","Sí"))</f>
        <v/>
      </c>
      <c r="O123" s="73" t="str">
        <f aca="false">IF(AND(N123="Sí",ISNUMBER(F123)),COUNTIFS(C_ID,B123,C_DEFINE,"Sí",C_INICIO,"&lt;"&amp;F123)+COUNTIFS(B$7:B123,B123,N$7:N123,"Sí",F$7:F123,F123),"")</f>
        <v/>
      </c>
      <c r="P123" s="72" t="str">
        <f aca="false">IF(O123="","",B123&amp;"-P"&amp;O123)</f>
        <v/>
      </c>
      <c r="Q123" s="73" t="str">
        <f aca="false">IF(AND(N123="Sí",E123="Plazo fijo",ISNUMBER(F123)),COUNTIFS(C_ID,B123,C_TIPO,"Plazo fijo",C_DEFINE,"Sí",C_INICIO,"&lt;"&amp;F123)+COUNTIFS(B$7:B123,B123,E$7:E123,"Plazo fijo",N$7:N123,"Sí",F$7:F123,F123),"")</f>
        <v/>
      </c>
      <c r="R123" s="73" t="str">
        <f aca="false">IF(AND(B123&lt;&gt;"",ISNUMBER(H123),ISNUMBER(F123)),COUNTIFS(C_ID,B123,C_SUELDO,"&lt;&gt;",C_INICIO,"&lt;"&amp;F123)+COUNTIFS(B$7:B123,B123,H$7:H123,"&lt;&gt;",F$7:F123,F123),"")</f>
        <v/>
      </c>
      <c r="S123" s="72" t="str">
        <f aca="false">IF(R123="","",B123&amp;"-S"&amp;R123)</f>
        <v/>
      </c>
      <c r="T123" s="74" t="str">
        <f aca="false">IF(AND(ISNUMBER(F123),ISNUMBER(G123)),ROUND((G123-F123+1)/30.4375,1),"")</f>
        <v/>
      </c>
      <c r="U123" s="70" t="str">
        <f aca="false">IF(B123="","",IF(AND(N123="Sí",OR(E123="",NOT(ISNUMBER(F123)))),"⚠ Falta tipo de contrato o fecha de inicio",IF(NOT(ISNUMBER(F123)),"⚠ Falta fecha de inicio",IF(AND(N123="Sí",E123&lt;&gt;"Indefinido",NOT(ISNUMBER(G123))),"⚠ Falta fecha de término",IF(AND(D123="Paso a indefinido",E123&lt;&gt;"Indefinido"),"⚠ Un paso a indefinido debe tener tipo Indefinido",IF(N(Q123)&gt;=3,"⚠ 3er contrato a plazo fijo: por ley ya es INDEFINIDO (Art. 159 N°4)",IF(AND(E123="Plazo fijo",N(T123)&gt;12),"⚠ Plazo fijo mayor a 1 año (máx. legal; 2 años solo profesionales o técnicos)",IF(AND(ISNUMBER(G123),G123&lt;F123),"⚠ Término anterior al inicio",IF(AND(D123="Contrato inicial",ISNUMBER(J123),J123-F123&gt;15),"⚠ Escriturado fuera de plazo (Art. 9: 15 días)",IF(K123&lt;&gt;"Sí","Pendiente de firma","OK"))))))))))</f>
        <v/>
      </c>
    </row>
    <row r="124" customFormat="false" ht="15" hidden="false" customHeight="false" outlineLevel="0" collapsed="false">
      <c r="B124" s="64"/>
      <c r="C124" s="72" t="str">
        <f aca="false">IF(B124="","",IFERROR(INDEX(T_NOMBRE,MATCH(B124,T_ID,0)),"⚠ ID no existe en Trabajadores"))</f>
        <v/>
      </c>
      <c r="D124" s="64"/>
      <c r="E124" s="64"/>
      <c r="F124" s="65"/>
      <c r="G124" s="65"/>
      <c r="H124" s="67"/>
      <c r="I124" s="64"/>
      <c r="J124" s="65"/>
      <c r="K124" s="64"/>
      <c r="L124" s="64"/>
      <c r="M124" s="64"/>
      <c r="N124" s="72" t="str">
        <f aca="false">IF(B124="","",IF(D124="Anexo de modificación","No","Sí"))</f>
        <v/>
      </c>
      <c r="O124" s="73" t="str">
        <f aca="false">IF(AND(N124="Sí",ISNUMBER(F124)),COUNTIFS(C_ID,B124,C_DEFINE,"Sí",C_INICIO,"&lt;"&amp;F124)+COUNTIFS(B$7:B124,B124,N$7:N124,"Sí",F$7:F124,F124),"")</f>
        <v/>
      </c>
      <c r="P124" s="72" t="str">
        <f aca="false">IF(O124="","",B124&amp;"-P"&amp;O124)</f>
        <v/>
      </c>
      <c r="Q124" s="73" t="str">
        <f aca="false">IF(AND(N124="Sí",E124="Plazo fijo",ISNUMBER(F124)),COUNTIFS(C_ID,B124,C_TIPO,"Plazo fijo",C_DEFINE,"Sí",C_INICIO,"&lt;"&amp;F124)+COUNTIFS(B$7:B124,B124,E$7:E124,"Plazo fijo",N$7:N124,"Sí",F$7:F124,F124),"")</f>
        <v/>
      </c>
      <c r="R124" s="73" t="str">
        <f aca="false">IF(AND(B124&lt;&gt;"",ISNUMBER(H124),ISNUMBER(F124)),COUNTIFS(C_ID,B124,C_SUELDO,"&lt;&gt;",C_INICIO,"&lt;"&amp;F124)+COUNTIFS(B$7:B124,B124,H$7:H124,"&lt;&gt;",F$7:F124,F124),"")</f>
        <v/>
      </c>
      <c r="S124" s="72" t="str">
        <f aca="false">IF(R124="","",B124&amp;"-S"&amp;R124)</f>
        <v/>
      </c>
      <c r="T124" s="74" t="str">
        <f aca="false">IF(AND(ISNUMBER(F124),ISNUMBER(G124)),ROUND((G124-F124+1)/30.4375,1),"")</f>
        <v/>
      </c>
      <c r="U124" s="70" t="str">
        <f aca="false">IF(B124="","",IF(AND(N124="Sí",OR(E124="",NOT(ISNUMBER(F124)))),"⚠ Falta tipo de contrato o fecha de inicio",IF(NOT(ISNUMBER(F124)),"⚠ Falta fecha de inicio",IF(AND(N124="Sí",E124&lt;&gt;"Indefinido",NOT(ISNUMBER(G124))),"⚠ Falta fecha de término",IF(AND(D124="Paso a indefinido",E124&lt;&gt;"Indefinido"),"⚠ Un paso a indefinido debe tener tipo Indefinido",IF(N(Q124)&gt;=3,"⚠ 3er contrato a plazo fijo: por ley ya es INDEFINIDO (Art. 159 N°4)",IF(AND(E124="Plazo fijo",N(T124)&gt;12),"⚠ Plazo fijo mayor a 1 año (máx. legal; 2 años solo profesionales o técnicos)",IF(AND(ISNUMBER(G124),G124&lt;F124),"⚠ Término anterior al inicio",IF(AND(D124="Contrato inicial",ISNUMBER(J124),J124-F124&gt;15),"⚠ Escriturado fuera de plazo (Art. 9: 15 días)",IF(K124&lt;&gt;"Sí","Pendiente de firma","OK"))))))))))</f>
        <v/>
      </c>
    </row>
    <row r="125" customFormat="false" ht="15" hidden="false" customHeight="false" outlineLevel="0" collapsed="false">
      <c r="B125" s="64"/>
      <c r="C125" s="72" t="str">
        <f aca="false">IF(B125="","",IFERROR(INDEX(T_NOMBRE,MATCH(B125,T_ID,0)),"⚠ ID no existe en Trabajadores"))</f>
        <v/>
      </c>
      <c r="D125" s="64"/>
      <c r="E125" s="64"/>
      <c r="F125" s="65"/>
      <c r="G125" s="65"/>
      <c r="H125" s="67"/>
      <c r="I125" s="64"/>
      <c r="J125" s="65"/>
      <c r="K125" s="64"/>
      <c r="L125" s="64"/>
      <c r="M125" s="64"/>
      <c r="N125" s="72" t="str">
        <f aca="false">IF(B125="","",IF(D125="Anexo de modificación","No","Sí"))</f>
        <v/>
      </c>
      <c r="O125" s="73" t="str">
        <f aca="false">IF(AND(N125="Sí",ISNUMBER(F125)),COUNTIFS(C_ID,B125,C_DEFINE,"Sí",C_INICIO,"&lt;"&amp;F125)+COUNTIFS(B$7:B125,B125,N$7:N125,"Sí",F$7:F125,F125),"")</f>
        <v/>
      </c>
      <c r="P125" s="72" t="str">
        <f aca="false">IF(O125="","",B125&amp;"-P"&amp;O125)</f>
        <v/>
      </c>
      <c r="Q125" s="73" t="str">
        <f aca="false">IF(AND(N125="Sí",E125="Plazo fijo",ISNUMBER(F125)),COUNTIFS(C_ID,B125,C_TIPO,"Plazo fijo",C_DEFINE,"Sí",C_INICIO,"&lt;"&amp;F125)+COUNTIFS(B$7:B125,B125,E$7:E125,"Plazo fijo",N$7:N125,"Sí",F$7:F125,F125),"")</f>
        <v/>
      </c>
      <c r="R125" s="73" t="str">
        <f aca="false">IF(AND(B125&lt;&gt;"",ISNUMBER(H125),ISNUMBER(F125)),COUNTIFS(C_ID,B125,C_SUELDO,"&lt;&gt;",C_INICIO,"&lt;"&amp;F125)+COUNTIFS(B$7:B125,B125,H$7:H125,"&lt;&gt;",F$7:F125,F125),"")</f>
        <v/>
      </c>
      <c r="S125" s="72" t="str">
        <f aca="false">IF(R125="","",B125&amp;"-S"&amp;R125)</f>
        <v/>
      </c>
      <c r="T125" s="74" t="str">
        <f aca="false">IF(AND(ISNUMBER(F125),ISNUMBER(G125)),ROUND((G125-F125+1)/30.4375,1),"")</f>
        <v/>
      </c>
      <c r="U125" s="70" t="str">
        <f aca="false">IF(B125="","",IF(AND(N125="Sí",OR(E125="",NOT(ISNUMBER(F125)))),"⚠ Falta tipo de contrato o fecha de inicio",IF(NOT(ISNUMBER(F125)),"⚠ Falta fecha de inicio",IF(AND(N125="Sí",E125&lt;&gt;"Indefinido",NOT(ISNUMBER(G125))),"⚠ Falta fecha de término",IF(AND(D125="Paso a indefinido",E125&lt;&gt;"Indefinido"),"⚠ Un paso a indefinido debe tener tipo Indefinido",IF(N(Q125)&gt;=3,"⚠ 3er contrato a plazo fijo: por ley ya es INDEFINIDO (Art. 159 N°4)",IF(AND(E125="Plazo fijo",N(T125)&gt;12),"⚠ Plazo fijo mayor a 1 año (máx. legal; 2 años solo profesionales o técnicos)",IF(AND(ISNUMBER(G125),G125&lt;F125),"⚠ Término anterior al inicio",IF(AND(D125="Contrato inicial",ISNUMBER(J125),J125-F125&gt;15),"⚠ Escriturado fuera de plazo (Art. 9: 15 días)",IF(K125&lt;&gt;"Sí","Pendiente de firma","OK"))))))))))</f>
        <v/>
      </c>
    </row>
    <row r="126" customFormat="false" ht="15" hidden="false" customHeight="false" outlineLevel="0" collapsed="false">
      <c r="B126" s="64"/>
      <c r="C126" s="72" t="str">
        <f aca="false">IF(B126="","",IFERROR(INDEX(T_NOMBRE,MATCH(B126,T_ID,0)),"⚠ ID no existe en Trabajadores"))</f>
        <v/>
      </c>
      <c r="D126" s="64"/>
      <c r="E126" s="64"/>
      <c r="F126" s="65"/>
      <c r="G126" s="65"/>
      <c r="H126" s="67"/>
      <c r="I126" s="64"/>
      <c r="J126" s="65"/>
      <c r="K126" s="64"/>
      <c r="L126" s="64"/>
      <c r="M126" s="64"/>
      <c r="N126" s="72" t="str">
        <f aca="false">IF(B126="","",IF(D126="Anexo de modificación","No","Sí"))</f>
        <v/>
      </c>
      <c r="O126" s="73" t="str">
        <f aca="false">IF(AND(N126="Sí",ISNUMBER(F126)),COUNTIFS(C_ID,B126,C_DEFINE,"Sí",C_INICIO,"&lt;"&amp;F126)+COUNTIFS(B$7:B126,B126,N$7:N126,"Sí",F$7:F126,F126),"")</f>
        <v/>
      </c>
      <c r="P126" s="72" t="str">
        <f aca="false">IF(O126="","",B126&amp;"-P"&amp;O126)</f>
        <v/>
      </c>
      <c r="Q126" s="73" t="str">
        <f aca="false">IF(AND(N126="Sí",E126="Plazo fijo",ISNUMBER(F126)),COUNTIFS(C_ID,B126,C_TIPO,"Plazo fijo",C_DEFINE,"Sí",C_INICIO,"&lt;"&amp;F126)+COUNTIFS(B$7:B126,B126,E$7:E126,"Plazo fijo",N$7:N126,"Sí",F$7:F126,F126),"")</f>
        <v/>
      </c>
      <c r="R126" s="73" t="str">
        <f aca="false">IF(AND(B126&lt;&gt;"",ISNUMBER(H126),ISNUMBER(F126)),COUNTIFS(C_ID,B126,C_SUELDO,"&lt;&gt;",C_INICIO,"&lt;"&amp;F126)+COUNTIFS(B$7:B126,B126,H$7:H126,"&lt;&gt;",F$7:F126,F126),"")</f>
        <v/>
      </c>
      <c r="S126" s="72" t="str">
        <f aca="false">IF(R126="","",B126&amp;"-S"&amp;R126)</f>
        <v/>
      </c>
      <c r="T126" s="74" t="str">
        <f aca="false">IF(AND(ISNUMBER(F126),ISNUMBER(G126)),ROUND((G126-F126+1)/30.4375,1),"")</f>
        <v/>
      </c>
      <c r="U126" s="70" t="str">
        <f aca="false">IF(B126="","",IF(AND(N126="Sí",OR(E126="",NOT(ISNUMBER(F126)))),"⚠ Falta tipo de contrato o fecha de inicio",IF(NOT(ISNUMBER(F126)),"⚠ Falta fecha de inicio",IF(AND(N126="Sí",E126&lt;&gt;"Indefinido",NOT(ISNUMBER(G126))),"⚠ Falta fecha de término",IF(AND(D126="Paso a indefinido",E126&lt;&gt;"Indefinido"),"⚠ Un paso a indefinido debe tener tipo Indefinido",IF(N(Q126)&gt;=3,"⚠ 3er contrato a plazo fijo: por ley ya es INDEFINIDO (Art. 159 N°4)",IF(AND(E126="Plazo fijo",N(T126)&gt;12),"⚠ Plazo fijo mayor a 1 año (máx. legal; 2 años solo profesionales o técnicos)",IF(AND(ISNUMBER(G126),G126&lt;F126),"⚠ Término anterior al inicio",IF(AND(D126="Contrato inicial",ISNUMBER(J126),J126-F126&gt;15),"⚠ Escriturado fuera de plazo (Art. 9: 15 días)",IF(K126&lt;&gt;"Sí","Pendiente de firma","OK"))))))))))</f>
        <v/>
      </c>
    </row>
    <row r="127" customFormat="false" ht="15" hidden="false" customHeight="false" outlineLevel="0" collapsed="false">
      <c r="B127" s="64"/>
      <c r="C127" s="72" t="str">
        <f aca="false">IF(B127="","",IFERROR(INDEX(T_NOMBRE,MATCH(B127,T_ID,0)),"⚠ ID no existe en Trabajadores"))</f>
        <v/>
      </c>
      <c r="D127" s="64"/>
      <c r="E127" s="64"/>
      <c r="F127" s="65"/>
      <c r="G127" s="65"/>
      <c r="H127" s="67"/>
      <c r="I127" s="64"/>
      <c r="J127" s="65"/>
      <c r="K127" s="64"/>
      <c r="L127" s="64"/>
      <c r="M127" s="64"/>
      <c r="N127" s="72" t="str">
        <f aca="false">IF(B127="","",IF(D127="Anexo de modificación","No","Sí"))</f>
        <v/>
      </c>
      <c r="O127" s="73" t="str">
        <f aca="false">IF(AND(N127="Sí",ISNUMBER(F127)),COUNTIFS(C_ID,B127,C_DEFINE,"Sí",C_INICIO,"&lt;"&amp;F127)+COUNTIFS(B$7:B127,B127,N$7:N127,"Sí",F$7:F127,F127),"")</f>
        <v/>
      </c>
      <c r="P127" s="72" t="str">
        <f aca="false">IF(O127="","",B127&amp;"-P"&amp;O127)</f>
        <v/>
      </c>
      <c r="Q127" s="73" t="str">
        <f aca="false">IF(AND(N127="Sí",E127="Plazo fijo",ISNUMBER(F127)),COUNTIFS(C_ID,B127,C_TIPO,"Plazo fijo",C_DEFINE,"Sí",C_INICIO,"&lt;"&amp;F127)+COUNTIFS(B$7:B127,B127,E$7:E127,"Plazo fijo",N$7:N127,"Sí",F$7:F127,F127),"")</f>
        <v/>
      </c>
      <c r="R127" s="73" t="str">
        <f aca="false">IF(AND(B127&lt;&gt;"",ISNUMBER(H127),ISNUMBER(F127)),COUNTIFS(C_ID,B127,C_SUELDO,"&lt;&gt;",C_INICIO,"&lt;"&amp;F127)+COUNTIFS(B$7:B127,B127,H$7:H127,"&lt;&gt;",F$7:F127,F127),"")</f>
        <v/>
      </c>
      <c r="S127" s="72" t="str">
        <f aca="false">IF(R127="","",B127&amp;"-S"&amp;R127)</f>
        <v/>
      </c>
      <c r="T127" s="74" t="str">
        <f aca="false">IF(AND(ISNUMBER(F127),ISNUMBER(G127)),ROUND((G127-F127+1)/30.4375,1),"")</f>
        <v/>
      </c>
      <c r="U127" s="70" t="str">
        <f aca="false">IF(B127="","",IF(AND(N127="Sí",OR(E127="",NOT(ISNUMBER(F127)))),"⚠ Falta tipo de contrato o fecha de inicio",IF(NOT(ISNUMBER(F127)),"⚠ Falta fecha de inicio",IF(AND(N127="Sí",E127&lt;&gt;"Indefinido",NOT(ISNUMBER(G127))),"⚠ Falta fecha de término",IF(AND(D127="Paso a indefinido",E127&lt;&gt;"Indefinido"),"⚠ Un paso a indefinido debe tener tipo Indefinido",IF(N(Q127)&gt;=3,"⚠ 3er contrato a plazo fijo: por ley ya es INDEFINIDO (Art. 159 N°4)",IF(AND(E127="Plazo fijo",N(T127)&gt;12),"⚠ Plazo fijo mayor a 1 año (máx. legal; 2 años solo profesionales o técnicos)",IF(AND(ISNUMBER(G127),G127&lt;F127),"⚠ Término anterior al inicio",IF(AND(D127="Contrato inicial",ISNUMBER(J127),J127-F127&gt;15),"⚠ Escriturado fuera de plazo (Art. 9: 15 días)",IF(K127&lt;&gt;"Sí","Pendiente de firma","OK"))))))))))</f>
        <v/>
      </c>
    </row>
    <row r="128" customFormat="false" ht="15" hidden="false" customHeight="false" outlineLevel="0" collapsed="false">
      <c r="B128" s="64"/>
      <c r="C128" s="72" t="str">
        <f aca="false">IF(B128="","",IFERROR(INDEX(T_NOMBRE,MATCH(B128,T_ID,0)),"⚠ ID no existe en Trabajadores"))</f>
        <v/>
      </c>
      <c r="D128" s="64"/>
      <c r="E128" s="64"/>
      <c r="F128" s="65"/>
      <c r="G128" s="65"/>
      <c r="H128" s="67"/>
      <c r="I128" s="64"/>
      <c r="J128" s="65"/>
      <c r="K128" s="64"/>
      <c r="L128" s="64"/>
      <c r="M128" s="64"/>
      <c r="N128" s="72" t="str">
        <f aca="false">IF(B128="","",IF(D128="Anexo de modificación","No","Sí"))</f>
        <v/>
      </c>
      <c r="O128" s="73" t="str">
        <f aca="false">IF(AND(N128="Sí",ISNUMBER(F128)),COUNTIFS(C_ID,B128,C_DEFINE,"Sí",C_INICIO,"&lt;"&amp;F128)+COUNTIFS(B$7:B128,B128,N$7:N128,"Sí",F$7:F128,F128),"")</f>
        <v/>
      </c>
      <c r="P128" s="72" t="str">
        <f aca="false">IF(O128="","",B128&amp;"-P"&amp;O128)</f>
        <v/>
      </c>
      <c r="Q128" s="73" t="str">
        <f aca="false">IF(AND(N128="Sí",E128="Plazo fijo",ISNUMBER(F128)),COUNTIFS(C_ID,B128,C_TIPO,"Plazo fijo",C_DEFINE,"Sí",C_INICIO,"&lt;"&amp;F128)+COUNTIFS(B$7:B128,B128,E$7:E128,"Plazo fijo",N$7:N128,"Sí",F$7:F128,F128),"")</f>
        <v/>
      </c>
      <c r="R128" s="73" t="str">
        <f aca="false">IF(AND(B128&lt;&gt;"",ISNUMBER(H128),ISNUMBER(F128)),COUNTIFS(C_ID,B128,C_SUELDO,"&lt;&gt;",C_INICIO,"&lt;"&amp;F128)+COUNTIFS(B$7:B128,B128,H$7:H128,"&lt;&gt;",F$7:F128,F128),"")</f>
        <v/>
      </c>
      <c r="S128" s="72" t="str">
        <f aca="false">IF(R128="","",B128&amp;"-S"&amp;R128)</f>
        <v/>
      </c>
      <c r="T128" s="74" t="str">
        <f aca="false">IF(AND(ISNUMBER(F128),ISNUMBER(G128)),ROUND((G128-F128+1)/30.4375,1),"")</f>
        <v/>
      </c>
      <c r="U128" s="70" t="str">
        <f aca="false">IF(B128="","",IF(AND(N128="Sí",OR(E128="",NOT(ISNUMBER(F128)))),"⚠ Falta tipo de contrato o fecha de inicio",IF(NOT(ISNUMBER(F128)),"⚠ Falta fecha de inicio",IF(AND(N128="Sí",E128&lt;&gt;"Indefinido",NOT(ISNUMBER(G128))),"⚠ Falta fecha de término",IF(AND(D128="Paso a indefinido",E128&lt;&gt;"Indefinido"),"⚠ Un paso a indefinido debe tener tipo Indefinido",IF(N(Q128)&gt;=3,"⚠ 3er contrato a plazo fijo: por ley ya es INDEFINIDO (Art. 159 N°4)",IF(AND(E128="Plazo fijo",N(T128)&gt;12),"⚠ Plazo fijo mayor a 1 año (máx. legal; 2 años solo profesionales o técnicos)",IF(AND(ISNUMBER(G128),G128&lt;F128),"⚠ Término anterior al inicio",IF(AND(D128="Contrato inicial",ISNUMBER(J128),J128-F128&gt;15),"⚠ Escriturado fuera de plazo (Art. 9: 15 días)",IF(K128&lt;&gt;"Sí","Pendiente de firma","OK"))))))))))</f>
        <v/>
      </c>
    </row>
    <row r="129" customFormat="false" ht="15" hidden="false" customHeight="false" outlineLevel="0" collapsed="false">
      <c r="B129" s="64"/>
      <c r="C129" s="72" t="str">
        <f aca="false">IF(B129="","",IFERROR(INDEX(T_NOMBRE,MATCH(B129,T_ID,0)),"⚠ ID no existe en Trabajadores"))</f>
        <v/>
      </c>
      <c r="D129" s="64"/>
      <c r="E129" s="64"/>
      <c r="F129" s="65"/>
      <c r="G129" s="65"/>
      <c r="H129" s="67"/>
      <c r="I129" s="64"/>
      <c r="J129" s="65"/>
      <c r="K129" s="64"/>
      <c r="L129" s="64"/>
      <c r="M129" s="64"/>
      <c r="N129" s="72" t="str">
        <f aca="false">IF(B129="","",IF(D129="Anexo de modificación","No","Sí"))</f>
        <v/>
      </c>
      <c r="O129" s="73" t="str">
        <f aca="false">IF(AND(N129="Sí",ISNUMBER(F129)),COUNTIFS(C_ID,B129,C_DEFINE,"Sí",C_INICIO,"&lt;"&amp;F129)+COUNTIFS(B$7:B129,B129,N$7:N129,"Sí",F$7:F129,F129),"")</f>
        <v/>
      </c>
      <c r="P129" s="72" t="str">
        <f aca="false">IF(O129="","",B129&amp;"-P"&amp;O129)</f>
        <v/>
      </c>
      <c r="Q129" s="73" t="str">
        <f aca="false">IF(AND(N129="Sí",E129="Plazo fijo",ISNUMBER(F129)),COUNTIFS(C_ID,B129,C_TIPO,"Plazo fijo",C_DEFINE,"Sí",C_INICIO,"&lt;"&amp;F129)+COUNTIFS(B$7:B129,B129,E$7:E129,"Plazo fijo",N$7:N129,"Sí",F$7:F129,F129),"")</f>
        <v/>
      </c>
      <c r="R129" s="73" t="str">
        <f aca="false">IF(AND(B129&lt;&gt;"",ISNUMBER(H129),ISNUMBER(F129)),COUNTIFS(C_ID,B129,C_SUELDO,"&lt;&gt;",C_INICIO,"&lt;"&amp;F129)+COUNTIFS(B$7:B129,B129,H$7:H129,"&lt;&gt;",F$7:F129,F129),"")</f>
        <v/>
      </c>
      <c r="S129" s="72" t="str">
        <f aca="false">IF(R129="","",B129&amp;"-S"&amp;R129)</f>
        <v/>
      </c>
      <c r="T129" s="74" t="str">
        <f aca="false">IF(AND(ISNUMBER(F129),ISNUMBER(G129)),ROUND((G129-F129+1)/30.4375,1),"")</f>
        <v/>
      </c>
      <c r="U129" s="70" t="str">
        <f aca="false">IF(B129="","",IF(AND(N129="Sí",OR(E129="",NOT(ISNUMBER(F129)))),"⚠ Falta tipo de contrato o fecha de inicio",IF(NOT(ISNUMBER(F129)),"⚠ Falta fecha de inicio",IF(AND(N129="Sí",E129&lt;&gt;"Indefinido",NOT(ISNUMBER(G129))),"⚠ Falta fecha de término",IF(AND(D129="Paso a indefinido",E129&lt;&gt;"Indefinido"),"⚠ Un paso a indefinido debe tener tipo Indefinido",IF(N(Q129)&gt;=3,"⚠ 3er contrato a plazo fijo: por ley ya es INDEFINIDO (Art. 159 N°4)",IF(AND(E129="Plazo fijo",N(T129)&gt;12),"⚠ Plazo fijo mayor a 1 año (máx. legal; 2 años solo profesionales o técnicos)",IF(AND(ISNUMBER(G129),G129&lt;F129),"⚠ Término anterior al inicio",IF(AND(D129="Contrato inicial",ISNUMBER(J129),J129-F129&gt;15),"⚠ Escriturado fuera de plazo (Art. 9: 15 días)",IF(K129&lt;&gt;"Sí","Pendiente de firma","OK"))))))))))</f>
        <v/>
      </c>
    </row>
    <row r="130" customFormat="false" ht="15" hidden="false" customHeight="false" outlineLevel="0" collapsed="false">
      <c r="B130" s="64"/>
      <c r="C130" s="72" t="str">
        <f aca="false">IF(B130="","",IFERROR(INDEX(T_NOMBRE,MATCH(B130,T_ID,0)),"⚠ ID no existe en Trabajadores"))</f>
        <v/>
      </c>
      <c r="D130" s="64"/>
      <c r="E130" s="64"/>
      <c r="F130" s="65"/>
      <c r="G130" s="65"/>
      <c r="H130" s="67"/>
      <c r="I130" s="64"/>
      <c r="J130" s="65"/>
      <c r="K130" s="64"/>
      <c r="L130" s="64"/>
      <c r="M130" s="64"/>
      <c r="N130" s="72" t="str">
        <f aca="false">IF(B130="","",IF(D130="Anexo de modificación","No","Sí"))</f>
        <v/>
      </c>
      <c r="O130" s="73" t="str">
        <f aca="false">IF(AND(N130="Sí",ISNUMBER(F130)),COUNTIFS(C_ID,B130,C_DEFINE,"Sí",C_INICIO,"&lt;"&amp;F130)+COUNTIFS(B$7:B130,B130,N$7:N130,"Sí",F$7:F130,F130),"")</f>
        <v/>
      </c>
      <c r="P130" s="72" t="str">
        <f aca="false">IF(O130="","",B130&amp;"-P"&amp;O130)</f>
        <v/>
      </c>
      <c r="Q130" s="73" t="str">
        <f aca="false">IF(AND(N130="Sí",E130="Plazo fijo",ISNUMBER(F130)),COUNTIFS(C_ID,B130,C_TIPO,"Plazo fijo",C_DEFINE,"Sí",C_INICIO,"&lt;"&amp;F130)+COUNTIFS(B$7:B130,B130,E$7:E130,"Plazo fijo",N$7:N130,"Sí",F$7:F130,F130),"")</f>
        <v/>
      </c>
      <c r="R130" s="73" t="str">
        <f aca="false">IF(AND(B130&lt;&gt;"",ISNUMBER(H130),ISNUMBER(F130)),COUNTIFS(C_ID,B130,C_SUELDO,"&lt;&gt;",C_INICIO,"&lt;"&amp;F130)+COUNTIFS(B$7:B130,B130,H$7:H130,"&lt;&gt;",F$7:F130,F130),"")</f>
        <v/>
      </c>
      <c r="S130" s="72" t="str">
        <f aca="false">IF(R130="","",B130&amp;"-S"&amp;R130)</f>
        <v/>
      </c>
      <c r="T130" s="74" t="str">
        <f aca="false">IF(AND(ISNUMBER(F130),ISNUMBER(G130)),ROUND((G130-F130+1)/30.4375,1),"")</f>
        <v/>
      </c>
      <c r="U130" s="70" t="str">
        <f aca="false">IF(B130="","",IF(AND(N130="Sí",OR(E130="",NOT(ISNUMBER(F130)))),"⚠ Falta tipo de contrato o fecha de inicio",IF(NOT(ISNUMBER(F130)),"⚠ Falta fecha de inicio",IF(AND(N130="Sí",E130&lt;&gt;"Indefinido",NOT(ISNUMBER(G130))),"⚠ Falta fecha de término",IF(AND(D130="Paso a indefinido",E130&lt;&gt;"Indefinido"),"⚠ Un paso a indefinido debe tener tipo Indefinido",IF(N(Q130)&gt;=3,"⚠ 3er contrato a plazo fijo: por ley ya es INDEFINIDO (Art. 159 N°4)",IF(AND(E130="Plazo fijo",N(T130)&gt;12),"⚠ Plazo fijo mayor a 1 año (máx. legal; 2 años solo profesionales o técnicos)",IF(AND(ISNUMBER(G130),G130&lt;F130),"⚠ Término anterior al inicio",IF(AND(D130="Contrato inicial",ISNUMBER(J130),J130-F130&gt;15),"⚠ Escriturado fuera de plazo (Art. 9: 15 días)",IF(K130&lt;&gt;"Sí","Pendiente de firma","OK"))))))))))</f>
        <v/>
      </c>
    </row>
    <row r="131" customFormat="false" ht="15" hidden="false" customHeight="false" outlineLevel="0" collapsed="false">
      <c r="B131" s="64"/>
      <c r="C131" s="72" t="str">
        <f aca="false">IF(B131="","",IFERROR(INDEX(T_NOMBRE,MATCH(B131,T_ID,0)),"⚠ ID no existe en Trabajadores"))</f>
        <v/>
      </c>
      <c r="D131" s="64"/>
      <c r="E131" s="64"/>
      <c r="F131" s="65"/>
      <c r="G131" s="65"/>
      <c r="H131" s="67"/>
      <c r="I131" s="64"/>
      <c r="J131" s="65"/>
      <c r="K131" s="64"/>
      <c r="L131" s="64"/>
      <c r="M131" s="64"/>
      <c r="N131" s="72" t="str">
        <f aca="false">IF(B131="","",IF(D131="Anexo de modificación","No","Sí"))</f>
        <v/>
      </c>
      <c r="O131" s="73" t="str">
        <f aca="false">IF(AND(N131="Sí",ISNUMBER(F131)),COUNTIFS(C_ID,B131,C_DEFINE,"Sí",C_INICIO,"&lt;"&amp;F131)+COUNTIFS(B$7:B131,B131,N$7:N131,"Sí",F$7:F131,F131),"")</f>
        <v/>
      </c>
      <c r="P131" s="72" t="str">
        <f aca="false">IF(O131="","",B131&amp;"-P"&amp;O131)</f>
        <v/>
      </c>
      <c r="Q131" s="73" t="str">
        <f aca="false">IF(AND(N131="Sí",E131="Plazo fijo",ISNUMBER(F131)),COUNTIFS(C_ID,B131,C_TIPO,"Plazo fijo",C_DEFINE,"Sí",C_INICIO,"&lt;"&amp;F131)+COUNTIFS(B$7:B131,B131,E$7:E131,"Plazo fijo",N$7:N131,"Sí",F$7:F131,F131),"")</f>
        <v/>
      </c>
      <c r="R131" s="73" t="str">
        <f aca="false">IF(AND(B131&lt;&gt;"",ISNUMBER(H131),ISNUMBER(F131)),COUNTIFS(C_ID,B131,C_SUELDO,"&lt;&gt;",C_INICIO,"&lt;"&amp;F131)+COUNTIFS(B$7:B131,B131,H$7:H131,"&lt;&gt;",F$7:F131,F131),"")</f>
        <v/>
      </c>
      <c r="S131" s="72" t="str">
        <f aca="false">IF(R131="","",B131&amp;"-S"&amp;R131)</f>
        <v/>
      </c>
      <c r="T131" s="74" t="str">
        <f aca="false">IF(AND(ISNUMBER(F131),ISNUMBER(G131)),ROUND((G131-F131+1)/30.4375,1),"")</f>
        <v/>
      </c>
      <c r="U131" s="70" t="str">
        <f aca="false">IF(B131="","",IF(AND(N131="Sí",OR(E131="",NOT(ISNUMBER(F131)))),"⚠ Falta tipo de contrato o fecha de inicio",IF(NOT(ISNUMBER(F131)),"⚠ Falta fecha de inicio",IF(AND(N131="Sí",E131&lt;&gt;"Indefinido",NOT(ISNUMBER(G131))),"⚠ Falta fecha de término",IF(AND(D131="Paso a indefinido",E131&lt;&gt;"Indefinido"),"⚠ Un paso a indefinido debe tener tipo Indefinido",IF(N(Q131)&gt;=3,"⚠ 3er contrato a plazo fijo: por ley ya es INDEFINIDO (Art. 159 N°4)",IF(AND(E131="Plazo fijo",N(T131)&gt;12),"⚠ Plazo fijo mayor a 1 año (máx. legal; 2 años solo profesionales o técnicos)",IF(AND(ISNUMBER(G131),G131&lt;F131),"⚠ Término anterior al inicio",IF(AND(D131="Contrato inicial",ISNUMBER(J131),J131-F131&gt;15),"⚠ Escriturado fuera de plazo (Art. 9: 15 días)",IF(K131&lt;&gt;"Sí","Pendiente de firma","OK"))))))))))</f>
        <v/>
      </c>
    </row>
    <row r="132" customFormat="false" ht="15" hidden="false" customHeight="false" outlineLevel="0" collapsed="false">
      <c r="B132" s="64"/>
      <c r="C132" s="72" t="str">
        <f aca="false">IF(B132="","",IFERROR(INDEX(T_NOMBRE,MATCH(B132,T_ID,0)),"⚠ ID no existe en Trabajadores"))</f>
        <v/>
      </c>
      <c r="D132" s="64"/>
      <c r="E132" s="64"/>
      <c r="F132" s="65"/>
      <c r="G132" s="65"/>
      <c r="H132" s="67"/>
      <c r="I132" s="64"/>
      <c r="J132" s="65"/>
      <c r="K132" s="64"/>
      <c r="L132" s="64"/>
      <c r="M132" s="64"/>
      <c r="N132" s="72" t="str">
        <f aca="false">IF(B132="","",IF(D132="Anexo de modificación","No","Sí"))</f>
        <v/>
      </c>
      <c r="O132" s="73" t="str">
        <f aca="false">IF(AND(N132="Sí",ISNUMBER(F132)),COUNTIFS(C_ID,B132,C_DEFINE,"Sí",C_INICIO,"&lt;"&amp;F132)+COUNTIFS(B$7:B132,B132,N$7:N132,"Sí",F$7:F132,F132),"")</f>
        <v/>
      </c>
      <c r="P132" s="72" t="str">
        <f aca="false">IF(O132="","",B132&amp;"-P"&amp;O132)</f>
        <v/>
      </c>
      <c r="Q132" s="73" t="str">
        <f aca="false">IF(AND(N132="Sí",E132="Plazo fijo",ISNUMBER(F132)),COUNTIFS(C_ID,B132,C_TIPO,"Plazo fijo",C_DEFINE,"Sí",C_INICIO,"&lt;"&amp;F132)+COUNTIFS(B$7:B132,B132,E$7:E132,"Plazo fijo",N$7:N132,"Sí",F$7:F132,F132),"")</f>
        <v/>
      </c>
      <c r="R132" s="73" t="str">
        <f aca="false">IF(AND(B132&lt;&gt;"",ISNUMBER(H132),ISNUMBER(F132)),COUNTIFS(C_ID,B132,C_SUELDO,"&lt;&gt;",C_INICIO,"&lt;"&amp;F132)+COUNTIFS(B$7:B132,B132,H$7:H132,"&lt;&gt;",F$7:F132,F132),"")</f>
        <v/>
      </c>
      <c r="S132" s="72" t="str">
        <f aca="false">IF(R132="","",B132&amp;"-S"&amp;R132)</f>
        <v/>
      </c>
      <c r="T132" s="74" t="str">
        <f aca="false">IF(AND(ISNUMBER(F132),ISNUMBER(G132)),ROUND((G132-F132+1)/30.4375,1),"")</f>
        <v/>
      </c>
      <c r="U132" s="70" t="str">
        <f aca="false">IF(B132="","",IF(AND(N132="Sí",OR(E132="",NOT(ISNUMBER(F132)))),"⚠ Falta tipo de contrato o fecha de inicio",IF(NOT(ISNUMBER(F132)),"⚠ Falta fecha de inicio",IF(AND(N132="Sí",E132&lt;&gt;"Indefinido",NOT(ISNUMBER(G132))),"⚠ Falta fecha de término",IF(AND(D132="Paso a indefinido",E132&lt;&gt;"Indefinido"),"⚠ Un paso a indefinido debe tener tipo Indefinido",IF(N(Q132)&gt;=3,"⚠ 3er contrato a plazo fijo: por ley ya es INDEFINIDO (Art. 159 N°4)",IF(AND(E132="Plazo fijo",N(T132)&gt;12),"⚠ Plazo fijo mayor a 1 año (máx. legal; 2 años solo profesionales o técnicos)",IF(AND(ISNUMBER(G132),G132&lt;F132),"⚠ Término anterior al inicio",IF(AND(D132="Contrato inicial",ISNUMBER(J132),J132-F132&gt;15),"⚠ Escriturado fuera de plazo (Art. 9: 15 días)",IF(K132&lt;&gt;"Sí","Pendiente de firma","OK"))))))))))</f>
        <v/>
      </c>
    </row>
    <row r="133" customFormat="false" ht="15" hidden="false" customHeight="false" outlineLevel="0" collapsed="false">
      <c r="B133" s="64"/>
      <c r="C133" s="72" t="str">
        <f aca="false">IF(B133="","",IFERROR(INDEX(T_NOMBRE,MATCH(B133,T_ID,0)),"⚠ ID no existe en Trabajadores"))</f>
        <v/>
      </c>
      <c r="D133" s="64"/>
      <c r="E133" s="64"/>
      <c r="F133" s="65"/>
      <c r="G133" s="65"/>
      <c r="H133" s="67"/>
      <c r="I133" s="64"/>
      <c r="J133" s="65"/>
      <c r="K133" s="64"/>
      <c r="L133" s="64"/>
      <c r="M133" s="64"/>
      <c r="N133" s="72" t="str">
        <f aca="false">IF(B133="","",IF(D133="Anexo de modificación","No","Sí"))</f>
        <v/>
      </c>
      <c r="O133" s="73" t="str">
        <f aca="false">IF(AND(N133="Sí",ISNUMBER(F133)),COUNTIFS(C_ID,B133,C_DEFINE,"Sí",C_INICIO,"&lt;"&amp;F133)+COUNTIFS(B$7:B133,B133,N$7:N133,"Sí",F$7:F133,F133),"")</f>
        <v/>
      </c>
      <c r="P133" s="72" t="str">
        <f aca="false">IF(O133="","",B133&amp;"-P"&amp;O133)</f>
        <v/>
      </c>
      <c r="Q133" s="73" t="str">
        <f aca="false">IF(AND(N133="Sí",E133="Plazo fijo",ISNUMBER(F133)),COUNTIFS(C_ID,B133,C_TIPO,"Plazo fijo",C_DEFINE,"Sí",C_INICIO,"&lt;"&amp;F133)+COUNTIFS(B$7:B133,B133,E$7:E133,"Plazo fijo",N$7:N133,"Sí",F$7:F133,F133),"")</f>
        <v/>
      </c>
      <c r="R133" s="73" t="str">
        <f aca="false">IF(AND(B133&lt;&gt;"",ISNUMBER(H133),ISNUMBER(F133)),COUNTIFS(C_ID,B133,C_SUELDO,"&lt;&gt;",C_INICIO,"&lt;"&amp;F133)+COUNTIFS(B$7:B133,B133,H$7:H133,"&lt;&gt;",F$7:F133,F133),"")</f>
        <v/>
      </c>
      <c r="S133" s="72" t="str">
        <f aca="false">IF(R133="","",B133&amp;"-S"&amp;R133)</f>
        <v/>
      </c>
      <c r="T133" s="74" t="str">
        <f aca="false">IF(AND(ISNUMBER(F133),ISNUMBER(G133)),ROUND((G133-F133+1)/30.4375,1),"")</f>
        <v/>
      </c>
      <c r="U133" s="70" t="str">
        <f aca="false">IF(B133="","",IF(AND(N133="Sí",OR(E133="",NOT(ISNUMBER(F133)))),"⚠ Falta tipo de contrato o fecha de inicio",IF(NOT(ISNUMBER(F133)),"⚠ Falta fecha de inicio",IF(AND(N133="Sí",E133&lt;&gt;"Indefinido",NOT(ISNUMBER(G133))),"⚠ Falta fecha de término",IF(AND(D133="Paso a indefinido",E133&lt;&gt;"Indefinido"),"⚠ Un paso a indefinido debe tener tipo Indefinido",IF(N(Q133)&gt;=3,"⚠ 3er contrato a plazo fijo: por ley ya es INDEFINIDO (Art. 159 N°4)",IF(AND(E133="Plazo fijo",N(T133)&gt;12),"⚠ Plazo fijo mayor a 1 año (máx. legal; 2 años solo profesionales o técnicos)",IF(AND(ISNUMBER(G133),G133&lt;F133),"⚠ Término anterior al inicio",IF(AND(D133="Contrato inicial",ISNUMBER(J133),J133-F133&gt;15),"⚠ Escriturado fuera de plazo (Art. 9: 15 días)",IF(K133&lt;&gt;"Sí","Pendiente de firma","OK"))))))))))</f>
        <v/>
      </c>
    </row>
    <row r="134" customFormat="false" ht="15" hidden="false" customHeight="false" outlineLevel="0" collapsed="false">
      <c r="B134" s="64"/>
      <c r="C134" s="72" t="str">
        <f aca="false">IF(B134="","",IFERROR(INDEX(T_NOMBRE,MATCH(B134,T_ID,0)),"⚠ ID no existe en Trabajadores"))</f>
        <v/>
      </c>
      <c r="D134" s="64"/>
      <c r="E134" s="64"/>
      <c r="F134" s="65"/>
      <c r="G134" s="65"/>
      <c r="H134" s="67"/>
      <c r="I134" s="64"/>
      <c r="J134" s="65"/>
      <c r="K134" s="64"/>
      <c r="L134" s="64"/>
      <c r="M134" s="64"/>
      <c r="N134" s="72" t="str">
        <f aca="false">IF(B134="","",IF(D134="Anexo de modificación","No","Sí"))</f>
        <v/>
      </c>
      <c r="O134" s="73" t="str">
        <f aca="false">IF(AND(N134="Sí",ISNUMBER(F134)),COUNTIFS(C_ID,B134,C_DEFINE,"Sí",C_INICIO,"&lt;"&amp;F134)+COUNTIFS(B$7:B134,B134,N$7:N134,"Sí",F$7:F134,F134),"")</f>
        <v/>
      </c>
      <c r="P134" s="72" t="str">
        <f aca="false">IF(O134="","",B134&amp;"-P"&amp;O134)</f>
        <v/>
      </c>
      <c r="Q134" s="73" t="str">
        <f aca="false">IF(AND(N134="Sí",E134="Plazo fijo",ISNUMBER(F134)),COUNTIFS(C_ID,B134,C_TIPO,"Plazo fijo",C_DEFINE,"Sí",C_INICIO,"&lt;"&amp;F134)+COUNTIFS(B$7:B134,B134,E$7:E134,"Plazo fijo",N$7:N134,"Sí",F$7:F134,F134),"")</f>
        <v/>
      </c>
      <c r="R134" s="73" t="str">
        <f aca="false">IF(AND(B134&lt;&gt;"",ISNUMBER(H134),ISNUMBER(F134)),COUNTIFS(C_ID,B134,C_SUELDO,"&lt;&gt;",C_INICIO,"&lt;"&amp;F134)+COUNTIFS(B$7:B134,B134,H$7:H134,"&lt;&gt;",F$7:F134,F134),"")</f>
        <v/>
      </c>
      <c r="S134" s="72" t="str">
        <f aca="false">IF(R134="","",B134&amp;"-S"&amp;R134)</f>
        <v/>
      </c>
      <c r="T134" s="74" t="str">
        <f aca="false">IF(AND(ISNUMBER(F134),ISNUMBER(G134)),ROUND((G134-F134+1)/30.4375,1),"")</f>
        <v/>
      </c>
      <c r="U134" s="70" t="str">
        <f aca="false">IF(B134="","",IF(AND(N134="Sí",OR(E134="",NOT(ISNUMBER(F134)))),"⚠ Falta tipo de contrato o fecha de inicio",IF(NOT(ISNUMBER(F134)),"⚠ Falta fecha de inicio",IF(AND(N134="Sí",E134&lt;&gt;"Indefinido",NOT(ISNUMBER(G134))),"⚠ Falta fecha de término",IF(AND(D134="Paso a indefinido",E134&lt;&gt;"Indefinido"),"⚠ Un paso a indefinido debe tener tipo Indefinido",IF(N(Q134)&gt;=3,"⚠ 3er contrato a plazo fijo: por ley ya es INDEFINIDO (Art. 159 N°4)",IF(AND(E134="Plazo fijo",N(T134)&gt;12),"⚠ Plazo fijo mayor a 1 año (máx. legal; 2 años solo profesionales o técnicos)",IF(AND(ISNUMBER(G134),G134&lt;F134),"⚠ Término anterior al inicio",IF(AND(D134="Contrato inicial",ISNUMBER(J134),J134-F134&gt;15),"⚠ Escriturado fuera de plazo (Art. 9: 15 días)",IF(K134&lt;&gt;"Sí","Pendiente de firma","OK"))))))))))</f>
        <v/>
      </c>
    </row>
    <row r="135" customFormat="false" ht="15" hidden="false" customHeight="false" outlineLevel="0" collapsed="false">
      <c r="B135" s="64"/>
      <c r="C135" s="72" t="str">
        <f aca="false">IF(B135="","",IFERROR(INDEX(T_NOMBRE,MATCH(B135,T_ID,0)),"⚠ ID no existe en Trabajadores"))</f>
        <v/>
      </c>
      <c r="D135" s="64"/>
      <c r="E135" s="64"/>
      <c r="F135" s="65"/>
      <c r="G135" s="65"/>
      <c r="H135" s="67"/>
      <c r="I135" s="64"/>
      <c r="J135" s="65"/>
      <c r="K135" s="64"/>
      <c r="L135" s="64"/>
      <c r="M135" s="64"/>
      <c r="N135" s="72" t="str">
        <f aca="false">IF(B135="","",IF(D135="Anexo de modificación","No","Sí"))</f>
        <v/>
      </c>
      <c r="O135" s="73" t="str">
        <f aca="false">IF(AND(N135="Sí",ISNUMBER(F135)),COUNTIFS(C_ID,B135,C_DEFINE,"Sí",C_INICIO,"&lt;"&amp;F135)+COUNTIFS(B$7:B135,B135,N$7:N135,"Sí",F$7:F135,F135),"")</f>
        <v/>
      </c>
      <c r="P135" s="72" t="str">
        <f aca="false">IF(O135="","",B135&amp;"-P"&amp;O135)</f>
        <v/>
      </c>
      <c r="Q135" s="73" t="str">
        <f aca="false">IF(AND(N135="Sí",E135="Plazo fijo",ISNUMBER(F135)),COUNTIFS(C_ID,B135,C_TIPO,"Plazo fijo",C_DEFINE,"Sí",C_INICIO,"&lt;"&amp;F135)+COUNTIFS(B$7:B135,B135,E$7:E135,"Plazo fijo",N$7:N135,"Sí",F$7:F135,F135),"")</f>
        <v/>
      </c>
      <c r="R135" s="73" t="str">
        <f aca="false">IF(AND(B135&lt;&gt;"",ISNUMBER(H135),ISNUMBER(F135)),COUNTIFS(C_ID,B135,C_SUELDO,"&lt;&gt;",C_INICIO,"&lt;"&amp;F135)+COUNTIFS(B$7:B135,B135,H$7:H135,"&lt;&gt;",F$7:F135,F135),"")</f>
        <v/>
      </c>
      <c r="S135" s="72" t="str">
        <f aca="false">IF(R135="","",B135&amp;"-S"&amp;R135)</f>
        <v/>
      </c>
      <c r="T135" s="74" t="str">
        <f aca="false">IF(AND(ISNUMBER(F135),ISNUMBER(G135)),ROUND((G135-F135+1)/30.4375,1),"")</f>
        <v/>
      </c>
      <c r="U135" s="70" t="str">
        <f aca="false">IF(B135="","",IF(AND(N135="Sí",OR(E135="",NOT(ISNUMBER(F135)))),"⚠ Falta tipo de contrato o fecha de inicio",IF(NOT(ISNUMBER(F135)),"⚠ Falta fecha de inicio",IF(AND(N135="Sí",E135&lt;&gt;"Indefinido",NOT(ISNUMBER(G135))),"⚠ Falta fecha de término",IF(AND(D135="Paso a indefinido",E135&lt;&gt;"Indefinido"),"⚠ Un paso a indefinido debe tener tipo Indefinido",IF(N(Q135)&gt;=3,"⚠ 3er contrato a plazo fijo: por ley ya es INDEFINIDO (Art. 159 N°4)",IF(AND(E135="Plazo fijo",N(T135)&gt;12),"⚠ Plazo fijo mayor a 1 año (máx. legal; 2 años solo profesionales o técnicos)",IF(AND(ISNUMBER(G135),G135&lt;F135),"⚠ Término anterior al inicio",IF(AND(D135="Contrato inicial",ISNUMBER(J135),J135-F135&gt;15),"⚠ Escriturado fuera de plazo (Art. 9: 15 días)",IF(K135&lt;&gt;"Sí","Pendiente de firma","OK"))))))))))</f>
        <v/>
      </c>
    </row>
    <row r="136" customFormat="false" ht="15" hidden="false" customHeight="false" outlineLevel="0" collapsed="false">
      <c r="B136" s="64"/>
      <c r="C136" s="72" t="str">
        <f aca="false">IF(B136="","",IFERROR(INDEX(T_NOMBRE,MATCH(B136,T_ID,0)),"⚠ ID no existe en Trabajadores"))</f>
        <v/>
      </c>
      <c r="D136" s="64"/>
      <c r="E136" s="64"/>
      <c r="F136" s="65"/>
      <c r="G136" s="65"/>
      <c r="H136" s="67"/>
      <c r="I136" s="64"/>
      <c r="J136" s="65"/>
      <c r="K136" s="64"/>
      <c r="L136" s="64"/>
      <c r="M136" s="64"/>
      <c r="N136" s="72" t="str">
        <f aca="false">IF(B136="","",IF(D136="Anexo de modificación","No","Sí"))</f>
        <v/>
      </c>
      <c r="O136" s="73" t="str">
        <f aca="false">IF(AND(N136="Sí",ISNUMBER(F136)),COUNTIFS(C_ID,B136,C_DEFINE,"Sí",C_INICIO,"&lt;"&amp;F136)+COUNTIFS(B$7:B136,B136,N$7:N136,"Sí",F$7:F136,F136),"")</f>
        <v/>
      </c>
      <c r="P136" s="72" t="str">
        <f aca="false">IF(O136="","",B136&amp;"-P"&amp;O136)</f>
        <v/>
      </c>
      <c r="Q136" s="73" t="str">
        <f aca="false">IF(AND(N136="Sí",E136="Plazo fijo",ISNUMBER(F136)),COUNTIFS(C_ID,B136,C_TIPO,"Plazo fijo",C_DEFINE,"Sí",C_INICIO,"&lt;"&amp;F136)+COUNTIFS(B$7:B136,B136,E$7:E136,"Plazo fijo",N$7:N136,"Sí",F$7:F136,F136),"")</f>
        <v/>
      </c>
      <c r="R136" s="73" t="str">
        <f aca="false">IF(AND(B136&lt;&gt;"",ISNUMBER(H136),ISNUMBER(F136)),COUNTIFS(C_ID,B136,C_SUELDO,"&lt;&gt;",C_INICIO,"&lt;"&amp;F136)+COUNTIFS(B$7:B136,B136,H$7:H136,"&lt;&gt;",F$7:F136,F136),"")</f>
        <v/>
      </c>
      <c r="S136" s="72" t="str">
        <f aca="false">IF(R136="","",B136&amp;"-S"&amp;R136)</f>
        <v/>
      </c>
      <c r="T136" s="74" t="str">
        <f aca="false">IF(AND(ISNUMBER(F136),ISNUMBER(G136)),ROUND((G136-F136+1)/30.4375,1),"")</f>
        <v/>
      </c>
      <c r="U136" s="70" t="str">
        <f aca="false">IF(B136="","",IF(AND(N136="Sí",OR(E136="",NOT(ISNUMBER(F136)))),"⚠ Falta tipo de contrato o fecha de inicio",IF(NOT(ISNUMBER(F136)),"⚠ Falta fecha de inicio",IF(AND(N136="Sí",E136&lt;&gt;"Indefinido",NOT(ISNUMBER(G136))),"⚠ Falta fecha de término",IF(AND(D136="Paso a indefinido",E136&lt;&gt;"Indefinido"),"⚠ Un paso a indefinido debe tener tipo Indefinido",IF(N(Q136)&gt;=3,"⚠ 3er contrato a plazo fijo: por ley ya es INDEFINIDO (Art. 159 N°4)",IF(AND(E136="Plazo fijo",N(T136)&gt;12),"⚠ Plazo fijo mayor a 1 año (máx. legal; 2 años solo profesionales o técnicos)",IF(AND(ISNUMBER(G136),G136&lt;F136),"⚠ Término anterior al inicio",IF(AND(D136="Contrato inicial",ISNUMBER(J136),J136-F136&gt;15),"⚠ Escriturado fuera de plazo (Art. 9: 15 días)",IF(K136&lt;&gt;"Sí","Pendiente de firma","OK"))))))))))</f>
        <v/>
      </c>
    </row>
    <row r="137" customFormat="false" ht="15" hidden="false" customHeight="false" outlineLevel="0" collapsed="false">
      <c r="B137" s="64"/>
      <c r="C137" s="72" t="str">
        <f aca="false">IF(B137="","",IFERROR(INDEX(T_NOMBRE,MATCH(B137,T_ID,0)),"⚠ ID no existe en Trabajadores"))</f>
        <v/>
      </c>
      <c r="D137" s="64"/>
      <c r="E137" s="64"/>
      <c r="F137" s="65"/>
      <c r="G137" s="65"/>
      <c r="H137" s="67"/>
      <c r="I137" s="64"/>
      <c r="J137" s="65"/>
      <c r="K137" s="64"/>
      <c r="L137" s="64"/>
      <c r="M137" s="64"/>
      <c r="N137" s="72" t="str">
        <f aca="false">IF(B137="","",IF(D137="Anexo de modificación","No","Sí"))</f>
        <v/>
      </c>
      <c r="O137" s="73" t="str">
        <f aca="false">IF(AND(N137="Sí",ISNUMBER(F137)),COUNTIFS(C_ID,B137,C_DEFINE,"Sí",C_INICIO,"&lt;"&amp;F137)+COUNTIFS(B$7:B137,B137,N$7:N137,"Sí",F$7:F137,F137),"")</f>
        <v/>
      </c>
      <c r="P137" s="72" t="str">
        <f aca="false">IF(O137="","",B137&amp;"-P"&amp;O137)</f>
        <v/>
      </c>
      <c r="Q137" s="73" t="str">
        <f aca="false">IF(AND(N137="Sí",E137="Plazo fijo",ISNUMBER(F137)),COUNTIFS(C_ID,B137,C_TIPO,"Plazo fijo",C_DEFINE,"Sí",C_INICIO,"&lt;"&amp;F137)+COUNTIFS(B$7:B137,B137,E$7:E137,"Plazo fijo",N$7:N137,"Sí",F$7:F137,F137),"")</f>
        <v/>
      </c>
      <c r="R137" s="73" t="str">
        <f aca="false">IF(AND(B137&lt;&gt;"",ISNUMBER(H137),ISNUMBER(F137)),COUNTIFS(C_ID,B137,C_SUELDO,"&lt;&gt;",C_INICIO,"&lt;"&amp;F137)+COUNTIFS(B$7:B137,B137,H$7:H137,"&lt;&gt;",F$7:F137,F137),"")</f>
        <v/>
      </c>
      <c r="S137" s="72" t="str">
        <f aca="false">IF(R137="","",B137&amp;"-S"&amp;R137)</f>
        <v/>
      </c>
      <c r="T137" s="74" t="str">
        <f aca="false">IF(AND(ISNUMBER(F137),ISNUMBER(G137)),ROUND((G137-F137+1)/30.4375,1),"")</f>
        <v/>
      </c>
      <c r="U137" s="70" t="str">
        <f aca="false">IF(B137="","",IF(AND(N137="Sí",OR(E137="",NOT(ISNUMBER(F137)))),"⚠ Falta tipo de contrato o fecha de inicio",IF(NOT(ISNUMBER(F137)),"⚠ Falta fecha de inicio",IF(AND(N137="Sí",E137&lt;&gt;"Indefinido",NOT(ISNUMBER(G137))),"⚠ Falta fecha de término",IF(AND(D137="Paso a indefinido",E137&lt;&gt;"Indefinido"),"⚠ Un paso a indefinido debe tener tipo Indefinido",IF(N(Q137)&gt;=3,"⚠ 3er contrato a plazo fijo: por ley ya es INDEFINIDO (Art. 159 N°4)",IF(AND(E137="Plazo fijo",N(T137)&gt;12),"⚠ Plazo fijo mayor a 1 año (máx. legal; 2 años solo profesionales o técnicos)",IF(AND(ISNUMBER(G137),G137&lt;F137),"⚠ Término anterior al inicio",IF(AND(D137="Contrato inicial",ISNUMBER(J137),J137-F137&gt;15),"⚠ Escriturado fuera de plazo (Art. 9: 15 días)",IF(K137&lt;&gt;"Sí","Pendiente de firma","OK"))))))))))</f>
        <v/>
      </c>
    </row>
    <row r="138" customFormat="false" ht="15" hidden="false" customHeight="false" outlineLevel="0" collapsed="false">
      <c r="B138" s="64"/>
      <c r="C138" s="72" t="str">
        <f aca="false">IF(B138="","",IFERROR(INDEX(T_NOMBRE,MATCH(B138,T_ID,0)),"⚠ ID no existe en Trabajadores"))</f>
        <v/>
      </c>
      <c r="D138" s="64"/>
      <c r="E138" s="64"/>
      <c r="F138" s="65"/>
      <c r="G138" s="65"/>
      <c r="H138" s="67"/>
      <c r="I138" s="64"/>
      <c r="J138" s="65"/>
      <c r="K138" s="64"/>
      <c r="L138" s="64"/>
      <c r="M138" s="64"/>
      <c r="N138" s="72" t="str">
        <f aca="false">IF(B138="","",IF(D138="Anexo de modificación","No","Sí"))</f>
        <v/>
      </c>
      <c r="O138" s="73" t="str">
        <f aca="false">IF(AND(N138="Sí",ISNUMBER(F138)),COUNTIFS(C_ID,B138,C_DEFINE,"Sí",C_INICIO,"&lt;"&amp;F138)+COUNTIFS(B$7:B138,B138,N$7:N138,"Sí",F$7:F138,F138),"")</f>
        <v/>
      </c>
      <c r="P138" s="72" t="str">
        <f aca="false">IF(O138="","",B138&amp;"-P"&amp;O138)</f>
        <v/>
      </c>
      <c r="Q138" s="73" t="str">
        <f aca="false">IF(AND(N138="Sí",E138="Plazo fijo",ISNUMBER(F138)),COUNTIFS(C_ID,B138,C_TIPO,"Plazo fijo",C_DEFINE,"Sí",C_INICIO,"&lt;"&amp;F138)+COUNTIFS(B$7:B138,B138,E$7:E138,"Plazo fijo",N$7:N138,"Sí",F$7:F138,F138),"")</f>
        <v/>
      </c>
      <c r="R138" s="73" t="str">
        <f aca="false">IF(AND(B138&lt;&gt;"",ISNUMBER(H138),ISNUMBER(F138)),COUNTIFS(C_ID,B138,C_SUELDO,"&lt;&gt;",C_INICIO,"&lt;"&amp;F138)+COUNTIFS(B$7:B138,B138,H$7:H138,"&lt;&gt;",F$7:F138,F138),"")</f>
        <v/>
      </c>
      <c r="S138" s="72" t="str">
        <f aca="false">IF(R138="","",B138&amp;"-S"&amp;R138)</f>
        <v/>
      </c>
      <c r="T138" s="74" t="str">
        <f aca="false">IF(AND(ISNUMBER(F138),ISNUMBER(G138)),ROUND((G138-F138+1)/30.4375,1),"")</f>
        <v/>
      </c>
      <c r="U138" s="70" t="str">
        <f aca="false">IF(B138="","",IF(AND(N138="Sí",OR(E138="",NOT(ISNUMBER(F138)))),"⚠ Falta tipo de contrato o fecha de inicio",IF(NOT(ISNUMBER(F138)),"⚠ Falta fecha de inicio",IF(AND(N138="Sí",E138&lt;&gt;"Indefinido",NOT(ISNUMBER(G138))),"⚠ Falta fecha de término",IF(AND(D138="Paso a indefinido",E138&lt;&gt;"Indefinido"),"⚠ Un paso a indefinido debe tener tipo Indefinido",IF(N(Q138)&gt;=3,"⚠ 3er contrato a plazo fijo: por ley ya es INDEFINIDO (Art. 159 N°4)",IF(AND(E138="Plazo fijo",N(T138)&gt;12),"⚠ Plazo fijo mayor a 1 año (máx. legal; 2 años solo profesionales o técnicos)",IF(AND(ISNUMBER(G138),G138&lt;F138),"⚠ Término anterior al inicio",IF(AND(D138="Contrato inicial",ISNUMBER(J138),J138-F138&gt;15),"⚠ Escriturado fuera de plazo (Art. 9: 15 días)",IF(K138&lt;&gt;"Sí","Pendiente de firma","OK"))))))))))</f>
        <v/>
      </c>
    </row>
    <row r="139" customFormat="false" ht="15" hidden="false" customHeight="false" outlineLevel="0" collapsed="false">
      <c r="B139" s="64"/>
      <c r="C139" s="72" t="str">
        <f aca="false">IF(B139="","",IFERROR(INDEX(T_NOMBRE,MATCH(B139,T_ID,0)),"⚠ ID no existe en Trabajadores"))</f>
        <v/>
      </c>
      <c r="D139" s="64"/>
      <c r="E139" s="64"/>
      <c r="F139" s="65"/>
      <c r="G139" s="65"/>
      <c r="H139" s="67"/>
      <c r="I139" s="64"/>
      <c r="J139" s="65"/>
      <c r="K139" s="64"/>
      <c r="L139" s="64"/>
      <c r="M139" s="64"/>
      <c r="N139" s="72" t="str">
        <f aca="false">IF(B139="","",IF(D139="Anexo de modificación","No","Sí"))</f>
        <v/>
      </c>
      <c r="O139" s="73" t="str">
        <f aca="false">IF(AND(N139="Sí",ISNUMBER(F139)),COUNTIFS(C_ID,B139,C_DEFINE,"Sí",C_INICIO,"&lt;"&amp;F139)+COUNTIFS(B$7:B139,B139,N$7:N139,"Sí",F$7:F139,F139),"")</f>
        <v/>
      </c>
      <c r="P139" s="72" t="str">
        <f aca="false">IF(O139="","",B139&amp;"-P"&amp;O139)</f>
        <v/>
      </c>
      <c r="Q139" s="73" t="str">
        <f aca="false">IF(AND(N139="Sí",E139="Plazo fijo",ISNUMBER(F139)),COUNTIFS(C_ID,B139,C_TIPO,"Plazo fijo",C_DEFINE,"Sí",C_INICIO,"&lt;"&amp;F139)+COUNTIFS(B$7:B139,B139,E$7:E139,"Plazo fijo",N$7:N139,"Sí",F$7:F139,F139),"")</f>
        <v/>
      </c>
      <c r="R139" s="73" t="str">
        <f aca="false">IF(AND(B139&lt;&gt;"",ISNUMBER(H139),ISNUMBER(F139)),COUNTIFS(C_ID,B139,C_SUELDO,"&lt;&gt;",C_INICIO,"&lt;"&amp;F139)+COUNTIFS(B$7:B139,B139,H$7:H139,"&lt;&gt;",F$7:F139,F139),"")</f>
        <v/>
      </c>
      <c r="S139" s="72" t="str">
        <f aca="false">IF(R139="","",B139&amp;"-S"&amp;R139)</f>
        <v/>
      </c>
      <c r="T139" s="74" t="str">
        <f aca="false">IF(AND(ISNUMBER(F139),ISNUMBER(G139)),ROUND((G139-F139+1)/30.4375,1),"")</f>
        <v/>
      </c>
      <c r="U139" s="70" t="str">
        <f aca="false">IF(B139="","",IF(AND(N139="Sí",OR(E139="",NOT(ISNUMBER(F139)))),"⚠ Falta tipo de contrato o fecha de inicio",IF(NOT(ISNUMBER(F139)),"⚠ Falta fecha de inicio",IF(AND(N139="Sí",E139&lt;&gt;"Indefinido",NOT(ISNUMBER(G139))),"⚠ Falta fecha de término",IF(AND(D139="Paso a indefinido",E139&lt;&gt;"Indefinido"),"⚠ Un paso a indefinido debe tener tipo Indefinido",IF(N(Q139)&gt;=3,"⚠ 3er contrato a plazo fijo: por ley ya es INDEFINIDO (Art. 159 N°4)",IF(AND(E139="Plazo fijo",N(T139)&gt;12),"⚠ Plazo fijo mayor a 1 año (máx. legal; 2 años solo profesionales o técnicos)",IF(AND(ISNUMBER(G139),G139&lt;F139),"⚠ Término anterior al inicio",IF(AND(D139="Contrato inicial",ISNUMBER(J139),J139-F139&gt;15),"⚠ Escriturado fuera de plazo (Art. 9: 15 días)",IF(K139&lt;&gt;"Sí","Pendiente de firma","OK"))))))))))</f>
        <v/>
      </c>
    </row>
    <row r="140" customFormat="false" ht="15" hidden="false" customHeight="false" outlineLevel="0" collapsed="false">
      <c r="B140" s="64"/>
      <c r="C140" s="72" t="str">
        <f aca="false">IF(B140="","",IFERROR(INDEX(T_NOMBRE,MATCH(B140,T_ID,0)),"⚠ ID no existe en Trabajadores"))</f>
        <v/>
      </c>
      <c r="D140" s="64"/>
      <c r="E140" s="64"/>
      <c r="F140" s="65"/>
      <c r="G140" s="65"/>
      <c r="H140" s="67"/>
      <c r="I140" s="64"/>
      <c r="J140" s="65"/>
      <c r="K140" s="64"/>
      <c r="L140" s="64"/>
      <c r="M140" s="64"/>
      <c r="N140" s="72" t="str">
        <f aca="false">IF(B140="","",IF(D140="Anexo de modificación","No","Sí"))</f>
        <v/>
      </c>
      <c r="O140" s="73" t="str">
        <f aca="false">IF(AND(N140="Sí",ISNUMBER(F140)),COUNTIFS(C_ID,B140,C_DEFINE,"Sí",C_INICIO,"&lt;"&amp;F140)+COUNTIFS(B$7:B140,B140,N$7:N140,"Sí",F$7:F140,F140),"")</f>
        <v/>
      </c>
      <c r="P140" s="72" t="str">
        <f aca="false">IF(O140="","",B140&amp;"-P"&amp;O140)</f>
        <v/>
      </c>
      <c r="Q140" s="73" t="str">
        <f aca="false">IF(AND(N140="Sí",E140="Plazo fijo",ISNUMBER(F140)),COUNTIFS(C_ID,B140,C_TIPO,"Plazo fijo",C_DEFINE,"Sí",C_INICIO,"&lt;"&amp;F140)+COUNTIFS(B$7:B140,B140,E$7:E140,"Plazo fijo",N$7:N140,"Sí",F$7:F140,F140),"")</f>
        <v/>
      </c>
      <c r="R140" s="73" t="str">
        <f aca="false">IF(AND(B140&lt;&gt;"",ISNUMBER(H140),ISNUMBER(F140)),COUNTIFS(C_ID,B140,C_SUELDO,"&lt;&gt;",C_INICIO,"&lt;"&amp;F140)+COUNTIFS(B$7:B140,B140,H$7:H140,"&lt;&gt;",F$7:F140,F140),"")</f>
        <v/>
      </c>
      <c r="S140" s="72" t="str">
        <f aca="false">IF(R140="","",B140&amp;"-S"&amp;R140)</f>
        <v/>
      </c>
      <c r="T140" s="74" t="str">
        <f aca="false">IF(AND(ISNUMBER(F140),ISNUMBER(G140)),ROUND((G140-F140+1)/30.4375,1),"")</f>
        <v/>
      </c>
      <c r="U140" s="70" t="str">
        <f aca="false">IF(B140="","",IF(AND(N140="Sí",OR(E140="",NOT(ISNUMBER(F140)))),"⚠ Falta tipo de contrato o fecha de inicio",IF(NOT(ISNUMBER(F140)),"⚠ Falta fecha de inicio",IF(AND(N140="Sí",E140&lt;&gt;"Indefinido",NOT(ISNUMBER(G140))),"⚠ Falta fecha de término",IF(AND(D140="Paso a indefinido",E140&lt;&gt;"Indefinido"),"⚠ Un paso a indefinido debe tener tipo Indefinido",IF(N(Q140)&gt;=3,"⚠ 3er contrato a plazo fijo: por ley ya es INDEFINIDO (Art. 159 N°4)",IF(AND(E140="Plazo fijo",N(T140)&gt;12),"⚠ Plazo fijo mayor a 1 año (máx. legal; 2 años solo profesionales o técnicos)",IF(AND(ISNUMBER(G140),G140&lt;F140),"⚠ Término anterior al inicio",IF(AND(D140="Contrato inicial",ISNUMBER(J140),J140-F140&gt;15),"⚠ Escriturado fuera de plazo (Art. 9: 15 días)",IF(K140&lt;&gt;"Sí","Pendiente de firma","OK"))))))))))</f>
        <v/>
      </c>
    </row>
    <row r="141" customFormat="false" ht="15" hidden="false" customHeight="false" outlineLevel="0" collapsed="false">
      <c r="B141" s="64"/>
      <c r="C141" s="72" t="str">
        <f aca="false">IF(B141="","",IFERROR(INDEX(T_NOMBRE,MATCH(B141,T_ID,0)),"⚠ ID no existe en Trabajadores"))</f>
        <v/>
      </c>
      <c r="D141" s="64"/>
      <c r="E141" s="64"/>
      <c r="F141" s="65"/>
      <c r="G141" s="65"/>
      <c r="H141" s="67"/>
      <c r="I141" s="64"/>
      <c r="J141" s="65"/>
      <c r="K141" s="64"/>
      <c r="L141" s="64"/>
      <c r="M141" s="64"/>
      <c r="N141" s="72" t="str">
        <f aca="false">IF(B141="","",IF(D141="Anexo de modificación","No","Sí"))</f>
        <v/>
      </c>
      <c r="O141" s="73" t="str">
        <f aca="false">IF(AND(N141="Sí",ISNUMBER(F141)),COUNTIFS(C_ID,B141,C_DEFINE,"Sí",C_INICIO,"&lt;"&amp;F141)+COUNTIFS(B$7:B141,B141,N$7:N141,"Sí",F$7:F141,F141),"")</f>
        <v/>
      </c>
      <c r="P141" s="72" t="str">
        <f aca="false">IF(O141="","",B141&amp;"-P"&amp;O141)</f>
        <v/>
      </c>
      <c r="Q141" s="73" t="str">
        <f aca="false">IF(AND(N141="Sí",E141="Plazo fijo",ISNUMBER(F141)),COUNTIFS(C_ID,B141,C_TIPO,"Plazo fijo",C_DEFINE,"Sí",C_INICIO,"&lt;"&amp;F141)+COUNTIFS(B$7:B141,B141,E$7:E141,"Plazo fijo",N$7:N141,"Sí",F$7:F141,F141),"")</f>
        <v/>
      </c>
      <c r="R141" s="73" t="str">
        <f aca="false">IF(AND(B141&lt;&gt;"",ISNUMBER(H141),ISNUMBER(F141)),COUNTIFS(C_ID,B141,C_SUELDO,"&lt;&gt;",C_INICIO,"&lt;"&amp;F141)+COUNTIFS(B$7:B141,B141,H$7:H141,"&lt;&gt;",F$7:F141,F141),"")</f>
        <v/>
      </c>
      <c r="S141" s="72" t="str">
        <f aca="false">IF(R141="","",B141&amp;"-S"&amp;R141)</f>
        <v/>
      </c>
      <c r="T141" s="74" t="str">
        <f aca="false">IF(AND(ISNUMBER(F141),ISNUMBER(G141)),ROUND((G141-F141+1)/30.4375,1),"")</f>
        <v/>
      </c>
      <c r="U141" s="70" t="str">
        <f aca="false">IF(B141="","",IF(AND(N141="Sí",OR(E141="",NOT(ISNUMBER(F141)))),"⚠ Falta tipo de contrato o fecha de inicio",IF(NOT(ISNUMBER(F141)),"⚠ Falta fecha de inicio",IF(AND(N141="Sí",E141&lt;&gt;"Indefinido",NOT(ISNUMBER(G141))),"⚠ Falta fecha de término",IF(AND(D141="Paso a indefinido",E141&lt;&gt;"Indefinido"),"⚠ Un paso a indefinido debe tener tipo Indefinido",IF(N(Q141)&gt;=3,"⚠ 3er contrato a plazo fijo: por ley ya es INDEFINIDO (Art. 159 N°4)",IF(AND(E141="Plazo fijo",N(T141)&gt;12),"⚠ Plazo fijo mayor a 1 año (máx. legal; 2 años solo profesionales o técnicos)",IF(AND(ISNUMBER(G141),G141&lt;F141),"⚠ Término anterior al inicio",IF(AND(D141="Contrato inicial",ISNUMBER(J141),J141-F141&gt;15),"⚠ Escriturado fuera de plazo (Art. 9: 15 días)",IF(K141&lt;&gt;"Sí","Pendiente de firma","OK"))))))))))</f>
        <v/>
      </c>
    </row>
    <row r="142" customFormat="false" ht="15" hidden="false" customHeight="false" outlineLevel="0" collapsed="false">
      <c r="B142" s="64"/>
      <c r="C142" s="72" t="str">
        <f aca="false">IF(B142="","",IFERROR(INDEX(T_NOMBRE,MATCH(B142,T_ID,0)),"⚠ ID no existe en Trabajadores"))</f>
        <v/>
      </c>
      <c r="D142" s="64"/>
      <c r="E142" s="64"/>
      <c r="F142" s="65"/>
      <c r="G142" s="65"/>
      <c r="H142" s="67"/>
      <c r="I142" s="64"/>
      <c r="J142" s="65"/>
      <c r="K142" s="64"/>
      <c r="L142" s="64"/>
      <c r="M142" s="64"/>
      <c r="N142" s="72" t="str">
        <f aca="false">IF(B142="","",IF(D142="Anexo de modificación","No","Sí"))</f>
        <v/>
      </c>
      <c r="O142" s="73" t="str">
        <f aca="false">IF(AND(N142="Sí",ISNUMBER(F142)),COUNTIFS(C_ID,B142,C_DEFINE,"Sí",C_INICIO,"&lt;"&amp;F142)+COUNTIFS(B$7:B142,B142,N$7:N142,"Sí",F$7:F142,F142),"")</f>
        <v/>
      </c>
      <c r="P142" s="72" t="str">
        <f aca="false">IF(O142="","",B142&amp;"-P"&amp;O142)</f>
        <v/>
      </c>
      <c r="Q142" s="73" t="str">
        <f aca="false">IF(AND(N142="Sí",E142="Plazo fijo",ISNUMBER(F142)),COUNTIFS(C_ID,B142,C_TIPO,"Plazo fijo",C_DEFINE,"Sí",C_INICIO,"&lt;"&amp;F142)+COUNTIFS(B$7:B142,B142,E$7:E142,"Plazo fijo",N$7:N142,"Sí",F$7:F142,F142),"")</f>
        <v/>
      </c>
      <c r="R142" s="73" t="str">
        <f aca="false">IF(AND(B142&lt;&gt;"",ISNUMBER(H142),ISNUMBER(F142)),COUNTIFS(C_ID,B142,C_SUELDO,"&lt;&gt;",C_INICIO,"&lt;"&amp;F142)+COUNTIFS(B$7:B142,B142,H$7:H142,"&lt;&gt;",F$7:F142,F142),"")</f>
        <v/>
      </c>
      <c r="S142" s="72" t="str">
        <f aca="false">IF(R142="","",B142&amp;"-S"&amp;R142)</f>
        <v/>
      </c>
      <c r="T142" s="74" t="str">
        <f aca="false">IF(AND(ISNUMBER(F142),ISNUMBER(G142)),ROUND((G142-F142+1)/30.4375,1),"")</f>
        <v/>
      </c>
      <c r="U142" s="70" t="str">
        <f aca="false">IF(B142="","",IF(AND(N142="Sí",OR(E142="",NOT(ISNUMBER(F142)))),"⚠ Falta tipo de contrato o fecha de inicio",IF(NOT(ISNUMBER(F142)),"⚠ Falta fecha de inicio",IF(AND(N142="Sí",E142&lt;&gt;"Indefinido",NOT(ISNUMBER(G142))),"⚠ Falta fecha de término",IF(AND(D142="Paso a indefinido",E142&lt;&gt;"Indefinido"),"⚠ Un paso a indefinido debe tener tipo Indefinido",IF(N(Q142)&gt;=3,"⚠ 3er contrato a plazo fijo: por ley ya es INDEFINIDO (Art. 159 N°4)",IF(AND(E142="Plazo fijo",N(T142)&gt;12),"⚠ Plazo fijo mayor a 1 año (máx. legal; 2 años solo profesionales o técnicos)",IF(AND(ISNUMBER(G142),G142&lt;F142),"⚠ Término anterior al inicio",IF(AND(D142="Contrato inicial",ISNUMBER(J142),J142-F142&gt;15),"⚠ Escriturado fuera de plazo (Art. 9: 15 días)",IF(K142&lt;&gt;"Sí","Pendiente de firma","OK"))))))))))</f>
        <v/>
      </c>
    </row>
    <row r="143" customFormat="false" ht="15" hidden="false" customHeight="false" outlineLevel="0" collapsed="false">
      <c r="B143" s="64"/>
      <c r="C143" s="72" t="str">
        <f aca="false">IF(B143="","",IFERROR(INDEX(T_NOMBRE,MATCH(B143,T_ID,0)),"⚠ ID no existe en Trabajadores"))</f>
        <v/>
      </c>
      <c r="D143" s="64"/>
      <c r="E143" s="64"/>
      <c r="F143" s="65"/>
      <c r="G143" s="65"/>
      <c r="H143" s="67"/>
      <c r="I143" s="64"/>
      <c r="J143" s="65"/>
      <c r="K143" s="64"/>
      <c r="L143" s="64"/>
      <c r="M143" s="64"/>
      <c r="N143" s="72" t="str">
        <f aca="false">IF(B143="","",IF(D143="Anexo de modificación","No","Sí"))</f>
        <v/>
      </c>
      <c r="O143" s="73" t="str">
        <f aca="false">IF(AND(N143="Sí",ISNUMBER(F143)),COUNTIFS(C_ID,B143,C_DEFINE,"Sí",C_INICIO,"&lt;"&amp;F143)+COUNTIFS(B$7:B143,B143,N$7:N143,"Sí",F$7:F143,F143),"")</f>
        <v/>
      </c>
      <c r="P143" s="72" t="str">
        <f aca="false">IF(O143="","",B143&amp;"-P"&amp;O143)</f>
        <v/>
      </c>
      <c r="Q143" s="73" t="str">
        <f aca="false">IF(AND(N143="Sí",E143="Plazo fijo",ISNUMBER(F143)),COUNTIFS(C_ID,B143,C_TIPO,"Plazo fijo",C_DEFINE,"Sí",C_INICIO,"&lt;"&amp;F143)+COUNTIFS(B$7:B143,B143,E$7:E143,"Plazo fijo",N$7:N143,"Sí",F$7:F143,F143),"")</f>
        <v/>
      </c>
      <c r="R143" s="73" t="str">
        <f aca="false">IF(AND(B143&lt;&gt;"",ISNUMBER(H143),ISNUMBER(F143)),COUNTIFS(C_ID,B143,C_SUELDO,"&lt;&gt;",C_INICIO,"&lt;"&amp;F143)+COUNTIFS(B$7:B143,B143,H$7:H143,"&lt;&gt;",F$7:F143,F143),"")</f>
        <v/>
      </c>
      <c r="S143" s="72" t="str">
        <f aca="false">IF(R143="","",B143&amp;"-S"&amp;R143)</f>
        <v/>
      </c>
      <c r="T143" s="74" t="str">
        <f aca="false">IF(AND(ISNUMBER(F143),ISNUMBER(G143)),ROUND((G143-F143+1)/30.4375,1),"")</f>
        <v/>
      </c>
      <c r="U143" s="70" t="str">
        <f aca="false">IF(B143="","",IF(AND(N143="Sí",OR(E143="",NOT(ISNUMBER(F143)))),"⚠ Falta tipo de contrato o fecha de inicio",IF(NOT(ISNUMBER(F143)),"⚠ Falta fecha de inicio",IF(AND(N143="Sí",E143&lt;&gt;"Indefinido",NOT(ISNUMBER(G143))),"⚠ Falta fecha de término",IF(AND(D143="Paso a indefinido",E143&lt;&gt;"Indefinido"),"⚠ Un paso a indefinido debe tener tipo Indefinido",IF(N(Q143)&gt;=3,"⚠ 3er contrato a plazo fijo: por ley ya es INDEFINIDO (Art. 159 N°4)",IF(AND(E143="Plazo fijo",N(T143)&gt;12),"⚠ Plazo fijo mayor a 1 año (máx. legal; 2 años solo profesionales o técnicos)",IF(AND(ISNUMBER(G143),G143&lt;F143),"⚠ Término anterior al inicio",IF(AND(D143="Contrato inicial",ISNUMBER(J143),J143-F143&gt;15),"⚠ Escriturado fuera de plazo (Art. 9: 15 días)",IF(K143&lt;&gt;"Sí","Pendiente de firma","OK"))))))))))</f>
        <v/>
      </c>
    </row>
    <row r="144" customFormat="false" ht="15" hidden="false" customHeight="false" outlineLevel="0" collapsed="false">
      <c r="B144" s="64"/>
      <c r="C144" s="72" t="str">
        <f aca="false">IF(B144="","",IFERROR(INDEX(T_NOMBRE,MATCH(B144,T_ID,0)),"⚠ ID no existe en Trabajadores"))</f>
        <v/>
      </c>
      <c r="D144" s="64"/>
      <c r="E144" s="64"/>
      <c r="F144" s="65"/>
      <c r="G144" s="65"/>
      <c r="H144" s="67"/>
      <c r="I144" s="64"/>
      <c r="J144" s="65"/>
      <c r="K144" s="64"/>
      <c r="L144" s="64"/>
      <c r="M144" s="64"/>
      <c r="N144" s="72" t="str">
        <f aca="false">IF(B144="","",IF(D144="Anexo de modificación","No","Sí"))</f>
        <v/>
      </c>
      <c r="O144" s="73" t="str">
        <f aca="false">IF(AND(N144="Sí",ISNUMBER(F144)),COUNTIFS(C_ID,B144,C_DEFINE,"Sí",C_INICIO,"&lt;"&amp;F144)+COUNTIFS(B$7:B144,B144,N$7:N144,"Sí",F$7:F144,F144),"")</f>
        <v/>
      </c>
      <c r="P144" s="72" t="str">
        <f aca="false">IF(O144="","",B144&amp;"-P"&amp;O144)</f>
        <v/>
      </c>
      <c r="Q144" s="73" t="str">
        <f aca="false">IF(AND(N144="Sí",E144="Plazo fijo",ISNUMBER(F144)),COUNTIFS(C_ID,B144,C_TIPO,"Plazo fijo",C_DEFINE,"Sí",C_INICIO,"&lt;"&amp;F144)+COUNTIFS(B$7:B144,B144,E$7:E144,"Plazo fijo",N$7:N144,"Sí",F$7:F144,F144),"")</f>
        <v/>
      </c>
      <c r="R144" s="73" t="str">
        <f aca="false">IF(AND(B144&lt;&gt;"",ISNUMBER(H144),ISNUMBER(F144)),COUNTIFS(C_ID,B144,C_SUELDO,"&lt;&gt;",C_INICIO,"&lt;"&amp;F144)+COUNTIFS(B$7:B144,B144,H$7:H144,"&lt;&gt;",F$7:F144,F144),"")</f>
        <v/>
      </c>
      <c r="S144" s="72" t="str">
        <f aca="false">IF(R144="","",B144&amp;"-S"&amp;R144)</f>
        <v/>
      </c>
      <c r="T144" s="74" t="str">
        <f aca="false">IF(AND(ISNUMBER(F144),ISNUMBER(G144)),ROUND((G144-F144+1)/30.4375,1),"")</f>
        <v/>
      </c>
      <c r="U144" s="70" t="str">
        <f aca="false">IF(B144="","",IF(AND(N144="Sí",OR(E144="",NOT(ISNUMBER(F144)))),"⚠ Falta tipo de contrato o fecha de inicio",IF(NOT(ISNUMBER(F144)),"⚠ Falta fecha de inicio",IF(AND(N144="Sí",E144&lt;&gt;"Indefinido",NOT(ISNUMBER(G144))),"⚠ Falta fecha de término",IF(AND(D144="Paso a indefinido",E144&lt;&gt;"Indefinido"),"⚠ Un paso a indefinido debe tener tipo Indefinido",IF(N(Q144)&gt;=3,"⚠ 3er contrato a plazo fijo: por ley ya es INDEFINIDO (Art. 159 N°4)",IF(AND(E144="Plazo fijo",N(T144)&gt;12),"⚠ Plazo fijo mayor a 1 año (máx. legal; 2 años solo profesionales o técnicos)",IF(AND(ISNUMBER(G144),G144&lt;F144),"⚠ Término anterior al inicio",IF(AND(D144="Contrato inicial",ISNUMBER(J144),J144-F144&gt;15),"⚠ Escriturado fuera de plazo (Art. 9: 15 días)",IF(K144&lt;&gt;"Sí","Pendiente de firma","OK"))))))))))</f>
        <v/>
      </c>
    </row>
    <row r="145" customFormat="false" ht="15" hidden="false" customHeight="false" outlineLevel="0" collapsed="false">
      <c r="B145" s="64"/>
      <c r="C145" s="72" t="str">
        <f aca="false">IF(B145="","",IFERROR(INDEX(T_NOMBRE,MATCH(B145,T_ID,0)),"⚠ ID no existe en Trabajadores"))</f>
        <v/>
      </c>
      <c r="D145" s="64"/>
      <c r="E145" s="64"/>
      <c r="F145" s="65"/>
      <c r="G145" s="65"/>
      <c r="H145" s="67"/>
      <c r="I145" s="64"/>
      <c r="J145" s="65"/>
      <c r="K145" s="64"/>
      <c r="L145" s="64"/>
      <c r="M145" s="64"/>
      <c r="N145" s="72" t="str">
        <f aca="false">IF(B145="","",IF(D145="Anexo de modificación","No","Sí"))</f>
        <v/>
      </c>
      <c r="O145" s="73" t="str">
        <f aca="false">IF(AND(N145="Sí",ISNUMBER(F145)),COUNTIFS(C_ID,B145,C_DEFINE,"Sí",C_INICIO,"&lt;"&amp;F145)+COUNTIFS(B$7:B145,B145,N$7:N145,"Sí",F$7:F145,F145),"")</f>
        <v/>
      </c>
      <c r="P145" s="72" t="str">
        <f aca="false">IF(O145="","",B145&amp;"-P"&amp;O145)</f>
        <v/>
      </c>
      <c r="Q145" s="73" t="str">
        <f aca="false">IF(AND(N145="Sí",E145="Plazo fijo",ISNUMBER(F145)),COUNTIFS(C_ID,B145,C_TIPO,"Plazo fijo",C_DEFINE,"Sí",C_INICIO,"&lt;"&amp;F145)+COUNTIFS(B$7:B145,B145,E$7:E145,"Plazo fijo",N$7:N145,"Sí",F$7:F145,F145),"")</f>
        <v/>
      </c>
      <c r="R145" s="73" t="str">
        <f aca="false">IF(AND(B145&lt;&gt;"",ISNUMBER(H145),ISNUMBER(F145)),COUNTIFS(C_ID,B145,C_SUELDO,"&lt;&gt;",C_INICIO,"&lt;"&amp;F145)+COUNTIFS(B$7:B145,B145,H$7:H145,"&lt;&gt;",F$7:F145,F145),"")</f>
        <v/>
      </c>
      <c r="S145" s="72" t="str">
        <f aca="false">IF(R145="","",B145&amp;"-S"&amp;R145)</f>
        <v/>
      </c>
      <c r="T145" s="74" t="str">
        <f aca="false">IF(AND(ISNUMBER(F145),ISNUMBER(G145)),ROUND((G145-F145+1)/30.4375,1),"")</f>
        <v/>
      </c>
      <c r="U145" s="70" t="str">
        <f aca="false">IF(B145="","",IF(AND(N145="Sí",OR(E145="",NOT(ISNUMBER(F145)))),"⚠ Falta tipo de contrato o fecha de inicio",IF(NOT(ISNUMBER(F145)),"⚠ Falta fecha de inicio",IF(AND(N145="Sí",E145&lt;&gt;"Indefinido",NOT(ISNUMBER(G145))),"⚠ Falta fecha de término",IF(AND(D145="Paso a indefinido",E145&lt;&gt;"Indefinido"),"⚠ Un paso a indefinido debe tener tipo Indefinido",IF(N(Q145)&gt;=3,"⚠ 3er contrato a plazo fijo: por ley ya es INDEFINIDO (Art. 159 N°4)",IF(AND(E145="Plazo fijo",N(T145)&gt;12),"⚠ Plazo fijo mayor a 1 año (máx. legal; 2 años solo profesionales o técnicos)",IF(AND(ISNUMBER(G145),G145&lt;F145),"⚠ Término anterior al inicio",IF(AND(D145="Contrato inicial",ISNUMBER(J145),J145-F145&gt;15),"⚠ Escriturado fuera de plazo (Art. 9: 15 días)",IF(K145&lt;&gt;"Sí","Pendiente de firma","OK"))))))))))</f>
        <v/>
      </c>
    </row>
    <row r="146" customFormat="false" ht="15" hidden="false" customHeight="false" outlineLevel="0" collapsed="false">
      <c r="B146" s="64"/>
      <c r="C146" s="72" t="str">
        <f aca="false">IF(B146="","",IFERROR(INDEX(T_NOMBRE,MATCH(B146,T_ID,0)),"⚠ ID no existe en Trabajadores"))</f>
        <v/>
      </c>
      <c r="D146" s="64"/>
      <c r="E146" s="64"/>
      <c r="F146" s="65"/>
      <c r="G146" s="65"/>
      <c r="H146" s="67"/>
      <c r="I146" s="64"/>
      <c r="J146" s="65"/>
      <c r="K146" s="64"/>
      <c r="L146" s="64"/>
      <c r="M146" s="64"/>
      <c r="N146" s="72" t="str">
        <f aca="false">IF(B146="","",IF(D146="Anexo de modificación","No","Sí"))</f>
        <v/>
      </c>
      <c r="O146" s="73" t="str">
        <f aca="false">IF(AND(N146="Sí",ISNUMBER(F146)),COUNTIFS(C_ID,B146,C_DEFINE,"Sí",C_INICIO,"&lt;"&amp;F146)+COUNTIFS(B$7:B146,B146,N$7:N146,"Sí",F$7:F146,F146),"")</f>
        <v/>
      </c>
      <c r="P146" s="72" t="str">
        <f aca="false">IF(O146="","",B146&amp;"-P"&amp;O146)</f>
        <v/>
      </c>
      <c r="Q146" s="73" t="str">
        <f aca="false">IF(AND(N146="Sí",E146="Plazo fijo",ISNUMBER(F146)),COUNTIFS(C_ID,B146,C_TIPO,"Plazo fijo",C_DEFINE,"Sí",C_INICIO,"&lt;"&amp;F146)+COUNTIFS(B$7:B146,B146,E$7:E146,"Plazo fijo",N$7:N146,"Sí",F$7:F146,F146),"")</f>
        <v/>
      </c>
      <c r="R146" s="73" t="str">
        <f aca="false">IF(AND(B146&lt;&gt;"",ISNUMBER(H146),ISNUMBER(F146)),COUNTIFS(C_ID,B146,C_SUELDO,"&lt;&gt;",C_INICIO,"&lt;"&amp;F146)+COUNTIFS(B$7:B146,B146,H$7:H146,"&lt;&gt;",F$7:F146,F146),"")</f>
        <v/>
      </c>
      <c r="S146" s="72" t="str">
        <f aca="false">IF(R146="","",B146&amp;"-S"&amp;R146)</f>
        <v/>
      </c>
      <c r="T146" s="74" t="str">
        <f aca="false">IF(AND(ISNUMBER(F146),ISNUMBER(G146)),ROUND((G146-F146+1)/30.4375,1),"")</f>
        <v/>
      </c>
      <c r="U146" s="70" t="str">
        <f aca="false">IF(B146="","",IF(AND(N146="Sí",OR(E146="",NOT(ISNUMBER(F146)))),"⚠ Falta tipo de contrato o fecha de inicio",IF(NOT(ISNUMBER(F146)),"⚠ Falta fecha de inicio",IF(AND(N146="Sí",E146&lt;&gt;"Indefinido",NOT(ISNUMBER(G146))),"⚠ Falta fecha de término",IF(AND(D146="Paso a indefinido",E146&lt;&gt;"Indefinido"),"⚠ Un paso a indefinido debe tener tipo Indefinido",IF(N(Q146)&gt;=3,"⚠ 3er contrato a plazo fijo: por ley ya es INDEFINIDO (Art. 159 N°4)",IF(AND(E146="Plazo fijo",N(T146)&gt;12),"⚠ Plazo fijo mayor a 1 año (máx. legal; 2 años solo profesionales o técnicos)",IF(AND(ISNUMBER(G146),G146&lt;F146),"⚠ Término anterior al inicio",IF(AND(D146="Contrato inicial",ISNUMBER(J146),J146-F146&gt;15),"⚠ Escriturado fuera de plazo (Art. 9: 15 días)",IF(K146&lt;&gt;"Sí","Pendiente de firma","OK"))))))))))</f>
        <v/>
      </c>
    </row>
    <row r="147" customFormat="false" ht="15" hidden="false" customHeight="false" outlineLevel="0" collapsed="false">
      <c r="B147" s="64"/>
      <c r="C147" s="72" t="str">
        <f aca="false">IF(B147="","",IFERROR(INDEX(T_NOMBRE,MATCH(B147,T_ID,0)),"⚠ ID no existe en Trabajadores"))</f>
        <v/>
      </c>
      <c r="D147" s="64"/>
      <c r="E147" s="64"/>
      <c r="F147" s="65"/>
      <c r="G147" s="65"/>
      <c r="H147" s="67"/>
      <c r="I147" s="64"/>
      <c r="J147" s="65"/>
      <c r="K147" s="64"/>
      <c r="L147" s="64"/>
      <c r="M147" s="64"/>
      <c r="N147" s="72" t="str">
        <f aca="false">IF(B147="","",IF(D147="Anexo de modificación","No","Sí"))</f>
        <v/>
      </c>
      <c r="O147" s="73" t="str">
        <f aca="false">IF(AND(N147="Sí",ISNUMBER(F147)),COUNTIFS(C_ID,B147,C_DEFINE,"Sí",C_INICIO,"&lt;"&amp;F147)+COUNTIFS(B$7:B147,B147,N$7:N147,"Sí",F$7:F147,F147),"")</f>
        <v/>
      </c>
      <c r="P147" s="72" t="str">
        <f aca="false">IF(O147="","",B147&amp;"-P"&amp;O147)</f>
        <v/>
      </c>
      <c r="Q147" s="73" t="str">
        <f aca="false">IF(AND(N147="Sí",E147="Plazo fijo",ISNUMBER(F147)),COUNTIFS(C_ID,B147,C_TIPO,"Plazo fijo",C_DEFINE,"Sí",C_INICIO,"&lt;"&amp;F147)+COUNTIFS(B$7:B147,B147,E$7:E147,"Plazo fijo",N$7:N147,"Sí",F$7:F147,F147),"")</f>
        <v/>
      </c>
      <c r="R147" s="73" t="str">
        <f aca="false">IF(AND(B147&lt;&gt;"",ISNUMBER(H147),ISNUMBER(F147)),COUNTIFS(C_ID,B147,C_SUELDO,"&lt;&gt;",C_INICIO,"&lt;"&amp;F147)+COUNTIFS(B$7:B147,B147,H$7:H147,"&lt;&gt;",F$7:F147,F147),"")</f>
        <v/>
      </c>
      <c r="S147" s="72" t="str">
        <f aca="false">IF(R147="","",B147&amp;"-S"&amp;R147)</f>
        <v/>
      </c>
      <c r="T147" s="74" t="str">
        <f aca="false">IF(AND(ISNUMBER(F147),ISNUMBER(G147)),ROUND((G147-F147+1)/30.4375,1),"")</f>
        <v/>
      </c>
      <c r="U147" s="70" t="str">
        <f aca="false">IF(B147="","",IF(AND(N147="Sí",OR(E147="",NOT(ISNUMBER(F147)))),"⚠ Falta tipo de contrato o fecha de inicio",IF(NOT(ISNUMBER(F147)),"⚠ Falta fecha de inicio",IF(AND(N147="Sí",E147&lt;&gt;"Indefinido",NOT(ISNUMBER(G147))),"⚠ Falta fecha de término",IF(AND(D147="Paso a indefinido",E147&lt;&gt;"Indefinido"),"⚠ Un paso a indefinido debe tener tipo Indefinido",IF(N(Q147)&gt;=3,"⚠ 3er contrato a plazo fijo: por ley ya es INDEFINIDO (Art. 159 N°4)",IF(AND(E147="Plazo fijo",N(T147)&gt;12),"⚠ Plazo fijo mayor a 1 año (máx. legal; 2 años solo profesionales o técnicos)",IF(AND(ISNUMBER(G147),G147&lt;F147),"⚠ Término anterior al inicio",IF(AND(D147="Contrato inicial",ISNUMBER(J147),J147-F147&gt;15),"⚠ Escriturado fuera de plazo (Art. 9: 15 días)",IF(K147&lt;&gt;"Sí","Pendiente de firma","OK"))))))))))</f>
        <v/>
      </c>
    </row>
    <row r="148" customFormat="false" ht="15" hidden="false" customHeight="false" outlineLevel="0" collapsed="false">
      <c r="B148" s="64"/>
      <c r="C148" s="72" t="str">
        <f aca="false">IF(B148="","",IFERROR(INDEX(T_NOMBRE,MATCH(B148,T_ID,0)),"⚠ ID no existe en Trabajadores"))</f>
        <v/>
      </c>
      <c r="D148" s="64"/>
      <c r="E148" s="64"/>
      <c r="F148" s="65"/>
      <c r="G148" s="65"/>
      <c r="H148" s="67"/>
      <c r="I148" s="64"/>
      <c r="J148" s="65"/>
      <c r="K148" s="64"/>
      <c r="L148" s="64"/>
      <c r="M148" s="64"/>
      <c r="N148" s="72" t="str">
        <f aca="false">IF(B148="","",IF(D148="Anexo de modificación","No","Sí"))</f>
        <v/>
      </c>
      <c r="O148" s="73" t="str">
        <f aca="false">IF(AND(N148="Sí",ISNUMBER(F148)),COUNTIFS(C_ID,B148,C_DEFINE,"Sí",C_INICIO,"&lt;"&amp;F148)+COUNTIFS(B$7:B148,B148,N$7:N148,"Sí",F$7:F148,F148),"")</f>
        <v/>
      </c>
      <c r="P148" s="72" t="str">
        <f aca="false">IF(O148="","",B148&amp;"-P"&amp;O148)</f>
        <v/>
      </c>
      <c r="Q148" s="73" t="str">
        <f aca="false">IF(AND(N148="Sí",E148="Plazo fijo",ISNUMBER(F148)),COUNTIFS(C_ID,B148,C_TIPO,"Plazo fijo",C_DEFINE,"Sí",C_INICIO,"&lt;"&amp;F148)+COUNTIFS(B$7:B148,B148,E$7:E148,"Plazo fijo",N$7:N148,"Sí",F$7:F148,F148),"")</f>
        <v/>
      </c>
      <c r="R148" s="73" t="str">
        <f aca="false">IF(AND(B148&lt;&gt;"",ISNUMBER(H148),ISNUMBER(F148)),COUNTIFS(C_ID,B148,C_SUELDO,"&lt;&gt;",C_INICIO,"&lt;"&amp;F148)+COUNTIFS(B$7:B148,B148,H$7:H148,"&lt;&gt;",F$7:F148,F148),"")</f>
        <v/>
      </c>
      <c r="S148" s="72" t="str">
        <f aca="false">IF(R148="","",B148&amp;"-S"&amp;R148)</f>
        <v/>
      </c>
      <c r="T148" s="74" t="str">
        <f aca="false">IF(AND(ISNUMBER(F148),ISNUMBER(G148)),ROUND((G148-F148+1)/30.4375,1),"")</f>
        <v/>
      </c>
      <c r="U148" s="70" t="str">
        <f aca="false">IF(B148="","",IF(AND(N148="Sí",OR(E148="",NOT(ISNUMBER(F148)))),"⚠ Falta tipo de contrato o fecha de inicio",IF(NOT(ISNUMBER(F148)),"⚠ Falta fecha de inicio",IF(AND(N148="Sí",E148&lt;&gt;"Indefinido",NOT(ISNUMBER(G148))),"⚠ Falta fecha de término",IF(AND(D148="Paso a indefinido",E148&lt;&gt;"Indefinido"),"⚠ Un paso a indefinido debe tener tipo Indefinido",IF(N(Q148)&gt;=3,"⚠ 3er contrato a plazo fijo: por ley ya es INDEFINIDO (Art. 159 N°4)",IF(AND(E148="Plazo fijo",N(T148)&gt;12),"⚠ Plazo fijo mayor a 1 año (máx. legal; 2 años solo profesionales o técnicos)",IF(AND(ISNUMBER(G148),G148&lt;F148),"⚠ Término anterior al inicio",IF(AND(D148="Contrato inicial",ISNUMBER(J148),J148-F148&gt;15),"⚠ Escriturado fuera de plazo (Art. 9: 15 días)",IF(K148&lt;&gt;"Sí","Pendiente de firma","OK"))))))))))</f>
        <v/>
      </c>
    </row>
    <row r="149" customFormat="false" ht="15" hidden="false" customHeight="false" outlineLevel="0" collapsed="false">
      <c r="B149" s="64"/>
      <c r="C149" s="72" t="str">
        <f aca="false">IF(B149="","",IFERROR(INDEX(T_NOMBRE,MATCH(B149,T_ID,0)),"⚠ ID no existe en Trabajadores"))</f>
        <v/>
      </c>
      <c r="D149" s="64"/>
      <c r="E149" s="64"/>
      <c r="F149" s="65"/>
      <c r="G149" s="65"/>
      <c r="H149" s="67"/>
      <c r="I149" s="64"/>
      <c r="J149" s="65"/>
      <c r="K149" s="64"/>
      <c r="L149" s="64"/>
      <c r="M149" s="64"/>
      <c r="N149" s="72" t="str">
        <f aca="false">IF(B149="","",IF(D149="Anexo de modificación","No","Sí"))</f>
        <v/>
      </c>
      <c r="O149" s="73" t="str">
        <f aca="false">IF(AND(N149="Sí",ISNUMBER(F149)),COUNTIFS(C_ID,B149,C_DEFINE,"Sí",C_INICIO,"&lt;"&amp;F149)+COUNTIFS(B$7:B149,B149,N$7:N149,"Sí",F$7:F149,F149),"")</f>
        <v/>
      </c>
      <c r="P149" s="72" t="str">
        <f aca="false">IF(O149="","",B149&amp;"-P"&amp;O149)</f>
        <v/>
      </c>
      <c r="Q149" s="73" t="str">
        <f aca="false">IF(AND(N149="Sí",E149="Plazo fijo",ISNUMBER(F149)),COUNTIFS(C_ID,B149,C_TIPO,"Plazo fijo",C_DEFINE,"Sí",C_INICIO,"&lt;"&amp;F149)+COUNTIFS(B$7:B149,B149,E$7:E149,"Plazo fijo",N$7:N149,"Sí",F$7:F149,F149),"")</f>
        <v/>
      </c>
      <c r="R149" s="73" t="str">
        <f aca="false">IF(AND(B149&lt;&gt;"",ISNUMBER(H149),ISNUMBER(F149)),COUNTIFS(C_ID,B149,C_SUELDO,"&lt;&gt;",C_INICIO,"&lt;"&amp;F149)+COUNTIFS(B$7:B149,B149,H$7:H149,"&lt;&gt;",F$7:F149,F149),"")</f>
        <v/>
      </c>
      <c r="S149" s="72" t="str">
        <f aca="false">IF(R149="","",B149&amp;"-S"&amp;R149)</f>
        <v/>
      </c>
      <c r="T149" s="74" t="str">
        <f aca="false">IF(AND(ISNUMBER(F149),ISNUMBER(G149)),ROUND((G149-F149+1)/30.4375,1),"")</f>
        <v/>
      </c>
      <c r="U149" s="70" t="str">
        <f aca="false">IF(B149="","",IF(AND(N149="Sí",OR(E149="",NOT(ISNUMBER(F149)))),"⚠ Falta tipo de contrato o fecha de inicio",IF(NOT(ISNUMBER(F149)),"⚠ Falta fecha de inicio",IF(AND(N149="Sí",E149&lt;&gt;"Indefinido",NOT(ISNUMBER(G149))),"⚠ Falta fecha de término",IF(AND(D149="Paso a indefinido",E149&lt;&gt;"Indefinido"),"⚠ Un paso a indefinido debe tener tipo Indefinido",IF(N(Q149)&gt;=3,"⚠ 3er contrato a plazo fijo: por ley ya es INDEFINIDO (Art. 159 N°4)",IF(AND(E149="Plazo fijo",N(T149)&gt;12),"⚠ Plazo fijo mayor a 1 año (máx. legal; 2 años solo profesionales o técnicos)",IF(AND(ISNUMBER(G149),G149&lt;F149),"⚠ Término anterior al inicio",IF(AND(D149="Contrato inicial",ISNUMBER(J149),J149-F149&gt;15),"⚠ Escriturado fuera de plazo (Art. 9: 15 días)",IF(K149&lt;&gt;"Sí","Pendiente de firma","OK"))))))))))</f>
        <v/>
      </c>
    </row>
    <row r="150" customFormat="false" ht="15" hidden="false" customHeight="false" outlineLevel="0" collapsed="false">
      <c r="B150" s="64"/>
      <c r="C150" s="72" t="str">
        <f aca="false">IF(B150="","",IFERROR(INDEX(T_NOMBRE,MATCH(B150,T_ID,0)),"⚠ ID no existe en Trabajadores"))</f>
        <v/>
      </c>
      <c r="D150" s="64"/>
      <c r="E150" s="64"/>
      <c r="F150" s="65"/>
      <c r="G150" s="65"/>
      <c r="H150" s="67"/>
      <c r="I150" s="64"/>
      <c r="J150" s="65"/>
      <c r="K150" s="64"/>
      <c r="L150" s="64"/>
      <c r="M150" s="64"/>
      <c r="N150" s="72" t="str">
        <f aca="false">IF(B150="","",IF(D150="Anexo de modificación","No","Sí"))</f>
        <v/>
      </c>
      <c r="O150" s="73" t="str">
        <f aca="false">IF(AND(N150="Sí",ISNUMBER(F150)),COUNTIFS(C_ID,B150,C_DEFINE,"Sí",C_INICIO,"&lt;"&amp;F150)+COUNTIFS(B$7:B150,B150,N$7:N150,"Sí",F$7:F150,F150),"")</f>
        <v/>
      </c>
      <c r="P150" s="72" t="str">
        <f aca="false">IF(O150="","",B150&amp;"-P"&amp;O150)</f>
        <v/>
      </c>
      <c r="Q150" s="73" t="str">
        <f aca="false">IF(AND(N150="Sí",E150="Plazo fijo",ISNUMBER(F150)),COUNTIFS(C_ID,B150,C_TIPO,"Plazo fijo",C_DEFINE,"Sí",C_INICIO,"&lt;"&amp;F150)+COUNTIFS(B$7:B150,B150,E$7:E150,"Plazo fijo",N$7:N150,"Sí",F$7:F150,F150),"")</f>
        <v/>
      </c>
      <c r="R150" s="73" t="str">
        <f aca="false">IF(AND(B150&lt;&gt;"",ISNUMBER(H150),ISNUMBER(F150)),COUNTIFS(C_ID,B150,C_SUELDO,"&lt;&gt;",C_INICIO,"&lt;"&amp;F150)+COUNTIFS(B$7:B150,B150,H$7:H150,"&lt;&gt;",F$7:F150,F150),"")</f>
        <v/>
      </c>
      <c r="S150" s="72" t="str">
        <f aca="false">IF(R150="","",B150&amp;"-S"&amp;R150)</f>
        <v/>
      </c>
      <c r="T150" s="74" t="str">
        <f aca="false">IF(AND(ISNUMBER(F150),ISNUMBER(G150)),ROUND((G150-F150+1)/30.4375,1),"")</f>
        <v/>
      </c>
      <c r="U150" s="70" t="str">
        <f aca="false">IF(B150="","",IF(AND(N150="Sí",OR(E150="",NOT(ISNUMBER(F150)))),"⚠ Falta tipo de contrato o fecha de inicio",IF(NOT(ISNUMBER(F150)),"⚠ Falta fecha de inicio",IF(AND(N150="Sí",E150&lt;&gt;"Indefinido",NOT(ISNUMBER(G150))),"⚠ Falta fecha de término",IF(AND(D150="Paso a indefinido",E150&lt;&gt;"Indefinido"),"⚠ Un paso a indefinido debe tener tipo Indefinido",IF(N(Q150)&gt;=3,"⚠ 3er contrato a plazo fijo: por ley ya es INDEFINIDO (Art. 159 N°4)",IF(AND(E150="Plazo fijo",N(T150)&gt;12),"⚠ Plazo fijo mayor a 1 año (máx. legal; 2 años solo profesionales o técnicos)",IF(AND(ISNUMBER(G150),G150&lt;F150),"⚠ Término anterior al inicio",IF(AND(D150="Contrato inicial",ISNUMBER(J150),J150-F150&gt;15),"⚠ Escriturado fuera de plazo (Art. 9: 15 días)",IF(K150&lt;&gt;"Sí","Pendiente de firma","OK"))))))))))</f>
        <v/>
      </c>
    </row>
    <row r="151" customFormat="false" ht="15" hidden="false" customHeight="false" outlineLevel="0" collapsed="false">
      <c r="B151" s="64"/>
      <c r="C151" s="72" t="str">
        <f aca="false">IF(B151="","",IFERROR(INDEX(T_NOMBRE,MATCH(B151,T_ID,0)),"⚠ ID no existe en Trabajadores"))</f>
        <v/>
      </c>
      <c r="D151" s="64"/>
      <c r="E151" s="64"/>
      <c r="F151" s="65"/>
      <c r="G151" s="65"/>
      <c r="H151" s="67"/>
      <c r="I151" s="64"/>
      <c r="J151" s="65"/>
      <c r="K151" s="64"/>
      <c r="L151" s="64"/>
      <c r="M151" s="64"/>
      <c r="N151" s="72" t="str">
        <f aca="false">IF(B151="","",IF(D151="Anexo de modificación","No","Sí"))</f>
        <v/>
      </c>
      <c r="O151" s="73" t="str">
        <f aca="false">IF(AND(N151="Sí",ISNUMBER(F151)),COUNTIFS(C_ID,B151,C_DEFINE,"Sí",C_INICIO,"&lt;"&amp;F151)+COUNTIFS(B$7:B151,B151,N$7:N151,"Sí",F$7:F151,F151),"")</f>
        <v/>
      </c>
      <c r="P151" s="72" t="str">
        <f aca="false">IF(O151="","",B151&amp;"-P"&amp;O151)</f>
        <v/>
      </c>
      <c r="Q151" s="73" t="str">
        <f aca="false">IF(AND(N151="Sí",E151="Plazo fijo",ISNUMBER(F151)),COUNTIFS(C_ID,B151,C_TIPO,"Plazo fijo",C_DEFINE,"Sí",C_INICIO,"&lt;"&amp;F151)+COUNTIFS(B$7:B151,B151,E$7:E151,"Plazo fijo",N$7:N151,"Sí",F$7:F151,F151),"")</f>
        <v/>
      </c>
      <c r="R151" s="73" t="str">
        <f aca="false">IF(AND(B151&lt;&gt;"",ISNUMBER(H151),ISNUMBER(F151)),COUNTIFS(C_ID,B151,C_SUELDO,"&lt;&gt;",C_INICIO,"&lt;"&amp;F151)+COUNTIFS(B$7:B151,B151,H$7:H151,"&lt;&gt;",F$7:F151,F151),"")</f>
        <v/>
      </c>
      <c r="S151" s="72" t="str">
        <f aca="false">IF(R151="","",B151&amp;"-S"&amp;R151)</f>
        <v/>
      </c>
      <c r="T151" s="74" t="str">
        <f aca="false">IF(AND(ISNUMBER(F151),ISNUMBER(G151)),ROUND((G151-F151+1)/30.4375,1),"")</f>
        <v/>
      </c>
      <c r="U151" s="70" t="str">
        <f aca="false">IF(B151="","",IF(AND(N151="Sí",OR(E151="",NOT(ISNUMBER(F151)))),"⚠ Falta tipo de contrato o fecha de inicio",IF(NOT(ISNUMBER(F151)),"⚠ Falta fecha de inicio",IF(AND(N151="Sí",E151&lt;&gt;"Indefinido",NOT(ISNUMBER(G151))),"⚠ Falta fecha de término",IF(AND(D151="Paso a indefinido",E151&lt;&gt;"Indefinido"),"⚠ Un paso a indefinido debe tener tipo Indefinido",IF(N(Q151)&gt;=3,"⚠ 3er contrato a plazo fijo: por ley ya es INDEFINIDO (Art. 159 N°4)",IF(AND(E151="Plazo fijo",N(T151)&gt;12),"⚠ Plazo fijo mayor a 1 año (máx. legal; 2 años solo profesionales o técnicos)",IF(AND(ISNUMBER(G151),G151&lt;F151),"⚠ Término anterior al inicio",IF(AND(D151="Contrato inicial",ISNUMBER(J151),J151-F151&gt;15),"⚠ Escriturado fuera de plazo (Art. 9: 15 días)",IF(K151&lt;&gt;"Sí","Pendiente de firma","OK"))))))))))</f>
        <v/>
      </c>
    </row>
    <row r="152" customFormat="false" ht="15" hidden="false" customHeight="false" outlineLevel="0" collapsed="false">
      <c r="B152" s="64"/>
      <c r="C152" s="72" t="str">
        <f aca="false">IF(B152="","",IFERROR(INDEX(T_NOMBRE,MATCH(B152,T_ID,0)),"⚠ ID no existe en Trabajadores"))</f>
        <v/>
      </c>
      <c r="D152" s="64"/>
      <c r="E152" s="64"/>
      <c r="F152" s="65"/>
      <c r="G152" s="65"/>
      <c r="H152" s="67"/>
      <c r="I152" s="64"/>
      <c r="J152" s="65"/>
      <c r="K152" s="64"/>
      <c r="L152" s="64"/>
      <c r="M152" s="64"/>
      <c r="N152" s="72" t="str">
        <f aca="false">IF(B152="","",IF(D152="Anexo de modificación","No","Sí"))</f>
        <v/>
      </c>
      <c r="O152" s="73" t="str">
        <f aca="false">IF(AND(N152="Sí",ISNUMBER(F152)),COUNTIFS(C_ID,B152,C_DEFINE,"Sí",C_INICIO,"&lt;"&amp;F152)+COUNTIFS(B$7:B152,B152,N$7:N152,"Sí",F$7:F152,F152),"")</f>
        <v/>
      </c>
      <c r="P152" s="72" t="str">
        <f aca="false">IF(O152="","",B152&amp;"-P"&amp;O152)</f>
        <v/>
      </c>
      <c r="Q152" s="73" t="str">
        <f aca="false">IF(AND(N152="Sí",E152="Plazo fijo",ISNUMBER(F152)),COUNTIFS(C_ID,B152,C_TIPO,"Plazo fijo",C_DEFINE,"Sí",C_INICIO,"&lt;"&amp;F152)+COUNTIFS(B$7:B152,B152,E$7:E152,"Plazo fijo",N$7:N152,"Sí",F$7:F152,F152),"")</f>
        <v/>
      </c>
      <c r="R152" s="73" t="str">
        <f aca="false">IF(AND(B152&lt;&gt;"",ISNUMBER(H152),ISNUMBER(F152)),COUNTIFS(C_ID,B152,C_SUELDO,"&lt;&gt;",C_INICIO,"&lt;"&amp;F152)+COUNTIFS(B$7:B152,B152,H$7:H152,"&lt;&gt;",F$7:F152,F152),"")</f>
        <v/>
      </c>
      <c r="S152" s="72" t="str">
        <f aca="false">IF(R152="","",B152&amp;"-S"&amp;R152)</f>
        <v/>
      </c>
      <c r="T152" s="74" t="str">
        <f aca="false">IF(AND(ISNUMBER(F152),ISNUMBER(G152)),ROUND((G152-F152+1)/30.4375,1),"")</f>
        <v/>
      </c>
      <c r="U152" s="70" t="str">
        <f aca="false">IF(B152="","",IF(AND(N152="Sí",OR(E152="",NOT(ISNUMBER(F152)))),"⚠ Falta tipo de contrato o fecha de inicio",IF(NOT(ISNUMBER(F152)),"⚠ Falta fecha de inicio",IF(AND(N152="Sí",E152&lt;&gt;"Indefinido",NOT(ISNUMBER(G152))),"⚠ Falta fecha de término",IF(AND(D152="Paso a indefinido",E152&lt;&gt;"Indefinido"),"⚠ Un paso a indefinido debe tener tipo Indefinido",IF(N(Q152)&gt;=3,"⚠ 3er contrato a plazo fijo: por ley ya es INDEFINIDO (Art. 159 N°4)",IF(AND(E152="Plazo fijo",N(T152)&gt;12),"⚠ Plazo fijo mayor a 1 año (máx. legal; 2 años solo profesionales o técnicos)",IF(AND(ISNUMBER(G152),G152&lt;F152),"⚠ Término anterior al inicio",IF(AND(D152="Contrato inicial",ISNUMBER(J152),J152-F152&gt;15),"⚠ Escriturado fuera de plazo (Art. 9: 15 días)",IF(K152&lt;&gt;"Sí","Pendiente de firma","OK"))))))))))</f>
        <v/>
      </c>
    </row>
    <row r="153" customFormat="false" ht="15" hidden="false" customHeight="false" outlineLevel="0" collapsed="false">
      <c r="B153" s="64"/>
      <c r="C153" s="72" t="str">
        <f aca="false">IF(B153="","",IFERROR(INDEX(T_NOMBRE,MATCH(B153,T_ID,0)),"⚠ ID no existe en Trabajadores"))</f>
        <v/>
      </c>
      <c r="D153" s="64"/>
      <c r="E153" s="64"/>
      <c r="F153" s="65"/>
      <c r="G153" s="65"/>
      <c r="H153" s="67"/>
      <c r="I153" s="64"/>
      <c r="J153" s="65"/>
      <c r="K153" s="64"/>
      <c r="L153" s="64"/>
      <c r="M153" s="64"/>
      <c r="N153" s="72" t="str">
        <f aca="false">IF(B153="","",IF(D153="Anexo de modificación","No","Sí"))</f>
        <v/>
      </c>
      <c r="O153" s="73" t="str">
        <f aca="false">IF(AND(N153="Sí",ISNUMBER(F153)),COUNTIFS(C_ID,B153,C_DEFINE,"Sí",C_INICIO,"&lt;"&amp;F153)+COUNTIFS(B$7:B153,B153,N$7:N153,"Sí",F$7:F153,F153),"")</f>
        <v/>
      </c>
      <c r="P153" s="72" t="str">
        <f aca="false">IF(O153="","",B153&amp;"-P"&amp;O153)</f>
        <v/>
      </c>
      <c r="Q153" s="73" t="str">
        <f aca="false">IF(AND(N153="Sí",E153="Plazo fijo",ISNUMBER(F153)),COUNTIFS(C_ID,B153,C_TIPO,"Plazo fijo",C_DEFINE,"Sí",C_INICIO,"&lt;"&amp;F153)+COUNTIFS(B$7:B153,B153,E$7:E153,"Plazo fijo",N$7:N153,"Sí",F$7:F153,F153),"")</f>
        <v/>
      </c>
      <c r="R153" s="73" t="str">
        <f aca="false">IF(AND(B153&lt;&gt;"",ISNUMBER(H153),ISNUMBER(F153)),COUNTIFS(C_ID,B153,C_SUELDO,"&lt;&gt;",C_INICIO,"&lt;"&amp;F153)+COUNTIFS(B$7:B153,B153,H$7:H153,"&lt;&gt;",F$7:F153,F153),"")</f>
        <v/>
      </c>
      <c r="S153" s="72" t="str">
        <f aca="false">IF(R153="","",B153&amp;"-S"&amp;R153)</f>
        <v/>
      </c>
      <c r="T153" s="74" t="str">
        <f aca="false">IF(AND(ISNUMBER(F153),ISNUMBER(G153)),ROUND((G153-F153+1)/30.4375,1),"")</f>
        <v/>
      </c>
      <c r="U153" s="70" t="str">
        <f aca="false">IF(B153="","",IF(AND(N153="Sí",OR(E153="",NOT(ISNUMBER(F153)))),"⚠ Falta tipo de contrato o fecha de inicio",IF(NOT(ISNUMBER(F153)),"⚠ Falta fecha de inicio",IF(AND(N153="Sí",E153&lt;&gt;"Indefinido",NOT(ISNUMBER(G153))),"⚠ Falta fecha de término",IF(AND(D153="Paso a indefinido",E153&lt;&gt;"Indefinido"),"⚠ Un paso a indefinido debe tener tipo Indefinido",IF(N(Q153)&gt;=3,"⚠ 3er contrato a plazo fijo: por ley ya es INDEFINIDO (Art. 159 N°4)",IF(AND(E153="Plazo fijo",N(T153)&gt;12),"⚠ Plazo fijo mayor a 1 año (máx. legal; 2 años solo profesionales o técnicos)",IF(AND(ISNUMBER(G153),G153&lt;F153),"⚠ Término anterior al inicio",IF(AND(D153="Contrato inicial",ISNUMBER(J153),J153-F153&gt;15),"⚠ Escriturado fuera de plazo (Art. 9: 15 días)",IF(K153&lt;&gt;"Sí","Pendiente de firma","OK"))))))))))</f>
        <v/>
      </c>
    </row>
    <row r="154" customFormat="false" ht="15" hidden="false" customHeight="false" outlineLevel="0" collapsed="false">
      <c r="B154" s="64"/>
      <c r="C154" s="72" t="str">
        <f aca="false">IF(B154="","",IFERROR(INDEX(T_NOMBRE,MATCH(B154,T_ID,0)),"⚠ ID no existe en Trabajadores"))</f>
        <v/>
      </c>
      <c r="D154" s="64"/>
      <c r="E154" s="64"/>
      <c r="F154" s="65"/>
      <c r="G154" s="65"/>
      <c r="H154" s="67"/>
      <c r="I154" s="64"/>
      <c r="J154" s="65"/>
      <c r="K154" s="64"/>
      <c r="L154" s="64"/>
      <c r="M154" s="64"/>
      <c r="N154" s="72" t="str">
        <f aca="false">IF(B154="","",IF(D154="Anexo de modificación","No","Sí"))</f>
        <v/>
      </c>
      <c r="O154" s="73" t="str">
        <f aca="false">IF(AND(N154="Sí",ISNUMBER(F154)),COUNTIFS(C_ID,B154,C_DEFINE,"Sí",C_INICIO,"&lt;"&amp;F154)+COUNTIFS(B$7:B154,B154,N$7:N154,"Sí",F$7:F154,F154),"")</f>
        <v/>
      </c>
      <c r="P154" s="72" t="str">
        <f aca="false">IF(O154="","",B154&amp;"-P"&amp;O154)</f>
        <v/>
      </c>
      <c r="Q154" s="73" t="str">
        <f aca="false">IF(AND(N154="Sí",E154="Plazo fijo",ISNUMBER(F154)),COUNTIFS(C_ID,B154,C_TIPO,"Plazo fijo",C_DEFINE,"Sí",C_INICIO,"&lt;"&amp;F154)+COUNTIFS(B$7:B154,B154,E$7:E154,"Plazo fijo",N$7:N154,"Sí",F$7:F154,F154),"")</f>
        <v/>
      </c>
      <c r="R154" s="73" t="str">
        <f aca="false">IF(AND(B154&lt;&gt;"",ISNUMBER(H154),ISNUMBER(F154)),COUNTIFS(C_ID,B154,C_SUELDO,"&lt;&gt;",C_INICIO,"&lt;"&amp;F154)+COUNTIFS(B$7:B154,B154,H$7:H154,"&lt;&gt;",F$7:F154,F154),"")</f>
        <v/>
      </c>
      <c r="S154" s="72" t="str">
        <f aca="false">IF(R154="","",B154&amp;"-S"&amp;R154)</f>
        <v/>
      </c>
      <c r="T154" s="74" t="str">
        <f aca="false">IF(AND(ISNUMBER(F154),ISNUMBER(G154)),ROUND((G154-F154+1)/30.4375,1),"")</f>
        <v/>
      </c>
      <c r="U154" s="70" t="str">
        <f aca="false">IF(B154="","",IF(AND(N154="Sí",OR(E154="",NOT(ISNUMBER(F154)))),"⚠ Falta tipo de contrato o fecha de inicio",IF(NOT(ISNUMBER(F154)),"⚠ Falta fecha de inicio",IF(AND(N154="Sí",E154&lt;&gt;"Indefinido",NOT(ISNUMBER(G154))),"⚠ Falta fecha de término",IF(AND(D154="Paso a indefinido",E154&lt;&gt;"Indefinido"),"⚠ Un paso a indefinido debe tener tipo Indefinido",IF(N(Q154)&gt;=3,"⚠ 3er contrato a plazo fijo: por ley ya es INDEFINIDO (Art. 159 N°4)",IF(AND(E154="Plazo fijo",N(T154)&gt;12),"⚠ Plazo fijo mayor a 1 año (máx. legal; 2 años solo profesionales o técnicos)",IF(AND(ISNUMBER(G154),G154&lt;F154),"⚠ Término anterior al inicio",IF(AND(D154="Contrato inicial",ISNUMBER(J154),J154-F154&gt;15),"⚠ Escriturado fuera de plazo (Art. 9: 15 días)",IF(K154&lt;&gt;"Sí","Pendiente de firma","OK"))))))))))</f>
        <v/>
      </c>
    </row>
    <row r="155" customFormat="false" ht="15" hidden="false" customHeight="false" outlineLevel="0" collapsed="false">
      <c r="B155" s="64"/>
      <c r="C155" s="72" t="str">
        <f aca="false">IF(B155="","",IFERROR(INDEX(T_NOMBRE,MATCH(B155,T_ID,0)),"⚠ ID no existe en Trabajadores"))</f>
        <v/>
      </c>
      <c r="D155" s="64"/>
      <c r="E155" s="64"/>
      <c r="F155" s="65"/>
      <c r="G155" s="65"/>
      <c r="H155" s="67"/>
      <c r="I155" s="64"/>
      <c r="J155" s="65"/>
      <c r="K155" s="64"/>
      <c r="L155" s="64"/>
      <c r="M155" s="64"/>
      <c r="N155" s="72" t="str">
        <f aca="false">IF(B155="","",IF(D155="Anexo de modificación","No","Sí"))</f>
        <v/>
      </c>
      <c r="O155" s="73" t="str">
        <f aca="false">IF(AND(N155="Sí",ISNUMBER(F155)),COUNTIFS(C_ID,B155,C_DEFINE,"Sí",C_INICIO,"&lt;"&amp;F155)+COUNTIFS(B$7:B155,B155,N$7:N155,"Sí",F$7:F155,F155),"")</f>
        <v/>
      </c>
      <c r="P155" s="72" t="str">
        <f aca="false">IF(O155="","",B155&amp;"-P"&amp;O155)</f>
        <v/>
      </c>
      <c r="Q155" s="73" t="str">
        <f aca="false">IF(AND(N155="Sí",E155="Plazo fijo",ISNUMBER(F155)),COUNTIFS(C_ID,B155,C_TIPO,"Plazo fijo",C_DEFINE,"Sí",C_INICIO,"&lt;"&amp;F155)+COUNTIFS(B$7:B155,B155,E$7:E155,"Plazo fijo",N$7:N155,"Sí",F$7:F155,F155),"")</f>
        <v/>
      </c>
      <c r="R155" s="73" t="str">
        <f aca="false">IF(AND(B155&lt;&gt;"",ISNUMBER(H155),ISNUMBER(F155)),COUNTIFS(C_ID,B155,C_SUELDO,"&lt;&gt;",C_INICIO,"&lt;"&amp;F155)+COUNTIFS(B$7:B155,B155,H$7:H155,"&lt;&gt;",F$7:F155,F155),"")</f>
        <v/>
      </c>
      <c r="S155" s="72" t="str">
        <f aca="false">IF(R155="","",B155&amp;"-S"&amp;R155)</f>
        <v/>
      </c>
      <c r="T155" s="74" t="str">
        <f aca="false">IF(AND(ISNUMBER(F155),ISNUMBER(G155)),ROUND((G155-F155+1)/30.4375,1),"")</f>
        <v/>
      </c>
      <c r="U155" s="70" t="str">
        <f aca="false">IF(B155="","",IF(AND(N155="Sí",OR(E155="",NOT(ISNUMBER(F155)))),"⚠ Falta tipo de contrato o fecha de inicio",IF(NOT(ISNUMBER(F155)),"⚠ Falta fecha de inicio",IF(AND(N155="Sí",E155&lt;&gt;"Indefinido",NOT(ISNUMBER(G155))),"⚠ Falta fecha de término",IF(AND(D155="Paso a indefinido",E155&lt;&gt;"Indefinido"),"⚠ Un paso a indefinido debe tener tipo Indefinido",IF(N(Q155)&gt;=3,"⚠ 3er contrato a plazo fijo: por ley ya es INDEFINIDO (Art. 159 N°4)",IF(AND(E155="Plazo fijo",N(T155)&gt;12),"⚠ Plazo fijo mayor a 1 año (máx. legal; 2 años solo profesionales o técnicos)",IF(AND(ISNUMBER(G155),G155&lt;F155),"⚠ Término anterior al inicio",IF(AND(D155="Contrato inicial",ISNUMBER(J155),J155-F155&gt;15),"⚠ Escriturado fuera de plazo (Art. 9: 15 días)",IF(K155&lt;&gt;"Sí","Pendiente de firma","OK"))))))))))</f>
        <v/>
      </c>
    </row>
    <row r="156" customFormat="false" ht="15" hidden="false" customHeight="false" outlineLevel="0" collapsed="false">
      <c r="B156" s="64"/>
      <c r="C156" s="72" t="str">
        <f aca="false">IF(B156="","",IFERROR(INDEX(T_NOMBRE,MATCH(B156,T_ID,0)),"⚠ ID no existe en Trabajadores"))</f>
        <v/>
      </c>
      <c r="D156" s="64"/>
      <c r="E156" s="64"/>
      <c r="F156" s="65"/>
      <c r="G156" s="65"/>
      <c r="H156" s="67"/>
      <c r="I156" s="64"/>
      <c r="J156" s="65"/>
      <c r="K156" s="64"/>
      <c r="L156" s="64"/>
      <c r="M156" s="64"/>
      <c r="N156" s="72" t="str">
        <f aca="false">IF(B156="","",IF(D156="Anexo de modificación","No","Sí"))</f>
        <v/>
      </c>
      <c r="O156" s="73" t="str">
        <f aca="false">IF(AND(N156="Sí",ISNUMBER(F156)),COUNTIFS(C_ID,B156,C_DEFINE,"Sí",C_INICIO,"&lt;"&amp;F156)+COUNTIFS(B$7:B156,B156,N$7:N156,"Sí",F$7:F156,F156),"")</f>
        <v/>
      </c>
      <c r="P156" s="72" t="str">
        <f aca="false">IF(O156="","",B156&amp;"-P"&amp;O156)</f>
        <v/>
      </c>
      <c r="Q156" s="73" t="str">
        <f aca="false">IF(AND(N156="Sí",E156="Plazo fijo",ISNUMBER(F156)),COUNTIFS(C_ID,B156,C_TIPO,"Plazo fijo",C_DEFINE,"Sí",C_INICIO,"&lt;"&amp;F156)+COUNTIFS(B$7:B156,B156,E$7:E156,"Plazo fijo",N$7:N156,"Sí",F$7:F156,F156),"")</f>
        <v/>
      </c>
      <c r="R156" s="73" t="str">
        <f aca="false">IF(AND(B156&lt;&gt;"",ISNUMBER(H156),ISNUMBER(F156)),COUNTIFS(C_ID,B156,C_SUELDO,"&lt;&gt;",C_INICIO,"&lt;"&amp;F156)+COUNTIFS(B$7:B156,B156,H$7:H156,"&lt;&gt;",F$7:F156,F156),"")</f>
        <v/>
      </c>
      <c r="S156" s="72" t="str">
        <f aca="false">IF(R156="","",B156&amp;"-S"&amp;R156)</f>
        <v/>
      </c>
      <c r="T156" s="74" t="str">
        <f aca="false">IF(AND(ISNUMBER(F156),ISNUMBER(G156)),ROUND((G156-F156+1)/30.4375,1),"")</f>
        <v/>
      </c>
      <c r="U156" s="70" t="str">
        <f aca="false">IF(B156="","",IF(AND(N156="Sí",OR(E156="",NOT(ISNUMBER(F156)))),"⚠ Falta tipo de contrato o fecha de inicio",IF(NOT(ISNUMBER(F156)),"⚠ Falta fecha de inicio",IF(AND(N156="Sí",E156&lt;&gt;"Indefinido",NOT(ISNUMBER(G156))),"⚠ Falta fecha de término",IF(AND(D156="Paso a indefinido",E156&lt;&gt;"Indefinido"),"⚠ Un paso a indefinido debe tener tipo Indefinido",IF(N(Q156)&gt;=3,"⚠ 3er contrato a plazo fijo: por ley ya es INDEFINIDO (Art. 159 N°4)",IF(AND(E156="Plazo fijo",N(T156)&gt;12),"⚠ Plazo fijo mayor a 1 año (máx. legal; 2 años solo profesionales o técnicos)",IF(AND(ISNUMBER(G156),G156&lt;F156),"⚠ Término anterior al inicio",IF(AND(D156="Contrato inicial",ISNUMBER(J156),J156-F156&gt;15),"⚠ Escriturado fuera de plazo (Art. 9: 15 días)",IF(K156&lt;&gt;"Sí","Pendiente de firma","OK"))))))))))</f>
        <v/>
      </c>
    </row>
    <row r="157" customFormat="false" ht="15" hidden="false" customHeight="false" outlineLevel="0" collapsed="false">
      <c r="B157" s="64"/>
      <c r="C157" s="72" t="str">
        <f aca="false">IF(B157="","",IFERROR(INDEX(T_NOMBRE,MATCH(B157,T_ID,0)),"⚠ ID no existe en Trabajadores"))</f>
        <v/>
      </c>
      <c r="D157" s="64"/>
      <c r="E157" s="64"/>
      <c r="F157" s="65"/>
      <c r="G157" s="65"/>
      <c r="H157" s="67"/>
      <c r="I157" s="64"/>
      <c r="J157" s="65"/>
      <c r="K157" s="64"/>
      <c r="L157" s="64"/>
      <c r="M157" s="64"/>
      <c r="N157" s="72" t="str">
        <f aca="false">IF(B157="","",IF(D157="Anexo de modificación","No","Sí"))</f>
        <v/>
      </c>
      <c r="O157" s="73" t="str">
        <f aca="false">IF(AND(N157="Sí",ISNUMBER(F157)),COUNTIFS(C_ID,B157,C_DEFINE,"Sí",C_INICIO,"&lt;"&amp;F157)+COUNTIFS(B$7:B157,B157,N$7:N157,"Sí",F$7:F157,F157),"")</f>
        <v/>
      </c>
      <c r="P157" s="72" t="str">
        <f aca="false">IF(O157="","",B157&amp;"-P"&amp;O157)</f>
        <v/>
      </c>
      <c r="Q157" s="73" t="str">
        <f aca="false">IF(AND(N157="Sí",E157="Plazo fijo",ISNUMBER(F157)),COUNTIFS(C_ID,B157,C_TIPO,"Plazo fijo",C_DEFINE,"Sí",C_INICIO,"&lt;"&amp;F157)+COUNTIFS(B$7:B157,B157,E$7:E157,"Plazo fijo",N$7:N157,"Sí",F$7:F157,F157),"")</f>
        <v/>
      </c>
      <c r="R157" s="73" t="str">
        <f aca="false">IF(AND(B157&lt;&gt;"",ISNUMBER(H157),ISNUMBER(F157)),COUNTIFS(C_ID,B157,C_SUELDO,"&lt;&gt;",C_INICIO,"&lt;"&amp;F157)+COUNTIFS(B$7:B157,B157,H$7:H157,"&lt;&gt;",F$7:F157,F157),"")</f>
        <v/>
      </c>
      <c r="S157" s="72" t="str">
        <f aca="false">IF(R157="","",B157&amp;"-S"&amp;R157)</f>
        <v/>
      </c>
      <c r="T157" s="74" t="str">
        <f aca="false">IF(AND(ISNUMBER(F157),ISNUMBER(G157)),ROUND((G157-F157+1)/30.4375,1),"")</f>
        <v/>
      </c>
      <c r="U157" s="70" t="str">
        <f aca="false">IF(B157="","",IF(AND(N157="Sí",OR(E157="",NOT(ISNUMBER(F157)))),"⚠ Falta tipo de contrato o fecha de inicio",IF(NOT(ISNUMBER(F157)),"⚠ Falta fecha de inicio",IF(AND(N157="Sí",E157&lt;&gt;"Indefinido",NOT(ISNUMBER(G157))),"⚠ Falta fecha de término",IF(AND(D157="Paso a indefinido",E157&lt;&gt;"Indefinido"),"⚠ Un paso a indefinido debe tener tipo Indefinido",IF(N(Q157)&gt;=3,"⚠ 3er contrato a plazo fijo: por ley ya es INDEFINIDO (Art. 159 N°4)",IF(AND(E157="Plazo fijo",N(T157)&gt;12),"⚠ Plazo fijo mayor a 1 año (máx. legal; 2 años solo profesionales o técnicos)",IF(AND(ISNUMBER(G157),G157&lt;F157),"⚠ Término anterior al inicio",IF(AND(D157="Contrato inicial",ISNUMBER(J157),J157-F157&gt;15),"⚠ Escriturado fuera de plazo (Art. 9: 15 días)",IF(K157&lt;&gt;"Sí","Pendiente de firma","OK"))))))))))</f>
        <v/>
      </c>
    </row>
    <row r="158" customFormat="false" ht="15" hidden="false" customHeight="false" outlineLevel="0" collapsed="false">
      <c r="B158" s="64"/>
      <c r="C158" s="72" t="str">
        <f aca="false">IF(B158="","",IFERROR(INDEX(T_NOMBRE,MATCH(B158,T_ID,0)),"⚠ ID no existe en Trabajadores"))</f>
        <v/>
      </c>
      <c r="D158" s="64"/>
      <c r="E158" s="64"/>
      <c r="F158" s="65"/>
      <c r="G158" s="65"/>
      <c r="H158" s="67"/>
      <c r="I158" s="64"/>
      <c r="J158" s="65"/>
      <c r="K158" s="64"/>
      <c r="L158" s="64"/>
      <c r="M158" s="64"/>
      <c r="N158" s="72" t="str">
        <f aca="false">IF(B158="","",IF(D158="Anexo de modificación","No","Sí"))</f>
        <v/>
      </c>
      <c r="O158" s="73" t="str">
        <f aca="false">IF(AND(N158="Sí",ISNUMBER(F158)),COUNTIFS(C_ID,B158,C_DEFINE,"Sí",C_INICIO,"&lt;"&amp;F158)+COUNTIFS(B$7:B158,B158,N$7:N158,"Sí",F$7:F158,F158),"")</f>
        <v/>
      </c>
      <c r="P158" s="72" t="str">
        <f aca="false">IF(O158="","",B158&amp;"-P"&amp;O158)</f>
        <v/>
      </c>
      <c r="Q158" s="73" t="str">
        <f aca="false">IF(AND(N158="Sí",E158="Plazo fijo",ISNUMBER(F158)),COUNTIFS(C_ID,B158,C_TIPO,"Plazo fijo",C_DEFINE,"Sí",C_INICIO,"&lt;"&amp;F158)+COUNTIFS(B$7:B158,B158,E$7:E158,"Plazo fijo",N$7:N158,"Sí",F$7:F158,F158),"")</f>
        <v/>
      </c>
      <c r="R158" s="73" t="str">
        <f aca="false">IF(AND(B158&lt;&gt;"",ISNUMBER(H158),ISNUMBER(F158)),COUNTIFS(C_ID,B158,C_SUELDO,"&lt;&gt;",C_INICIO,"&lt;"&amp;F158)+COUNTIFS(B$7:B158,B158,H$7:H158,"&lt;&gt;",F$7:F158,F158),"")</f>
        <v/>
      </c>
      <c r="S158" s="72" t="str">
        <f aca="false">IF(R158="","",B158&amp;"-S"&amp;R158)</f>
        <v/>
      </c>
      <c r="T158" s="74" t="str">
        <f aca="false">IF(AND(ISNUMBER(F158),ISNUMBER(G158)),ROUND((G158-F158+1)/30.4375,1),"")</f>
        <v/>
      </c>
      <c r="U158" s="70" t="str">
        <f aca="false">IF(B158="","",IF(AND(N158="Sí",OR(E158="",NOT(ISNUMBER(F158)))),"⚠ Falta tipo de contrato o fecha de inicio",IF(NOT(ISNUMBER(F158)),"⚠ Falta fecha de inicio",IF(AND(N158="Sí",E158&lt;&gt;"Indefinido",NOT(ISNUMBER(G158))),"⚠ Falta fecha de término",IF(AND(D158="Paso a indefinido",E158&lt;&gt;"Indefinido"),"⚠ Un paso a indefinido debe tener tipo Indefinido",IF(N(Q158)&gt;=3,"⚠ 3er contrato a plazo fijo: por ley ya es INDEFINIDO (Art. 159 N°4)",IF(AND(E158="Plazo fijo",N(T158)&gt;12),"⚠ Plazo fijo mayor a 1 año (máx. legal; 2 años solo profesionales o técnicos)",IF(AND(ISNUMBER(G158),G158&lt;F158),"⚠ Término anterior al inicio",IF(AND(D158="Contrato inicial",ISNUMBER(J158),J158-F158&gt;15),"⚠ Escriturado fuera de plazo (Art. 9: 15 días)",IF(K158&lt;&gt;"Sí","Pendiente de firma","OK"))))))))))</f>
        <v/>
      </c>
    </row>
    <row r="159" customFormat="false" ht="15" hidden="false" customHeight="false" outlineLevel="0" collapsed="false">
      <c r="B159" s="64"/>
      <c r="C159" s="72" t="str">
        <f aca="false">IF(B159="","",IFERROR(INDEX(T_NOMBRE,MATCH(B159,T_ID,0)),"⚠ ID no existe en Trabajadores"))</f>
        <v/>
      </c>
      <c r="D159" s="64"/>
      <c r="E159" s="64"/>
      <c r="F159" s="65"/>
      <c r="G159" s="65"/>
      <c r="H159" s="67"/>
      <c r="I159" s="64"/>
      <c r="J159" s="65"/>
      <c r="K159" s="64"/>
      <c r="L159" s="64"/>
      <c r="M159" s="64"/>
      <c r="N159" s="72" t="str">
        <f aca="false">IF(B159="","",IF(D159="Anexo de modificación","No","Sí"))</f>
        <v/>
      </c>
      <c r="O159" s="73" t="str">
        <f aca="false">IF(AND(N159="Sí",ISNUMBER(F159)),COUNTIFS(C_ID,B159,C_DEFINE,"Sí",C_INICIO,"&lt;"&amp;F159)+COUNTIFS(B$7:B159,B159,N$7:N159,"Sí",F$7:F159,F159),"")</f>
        <v/>
      </c>
      <c r="P159" s="72" t="str">
        <f aca="false">IF(O159="","",B159&amp;"-P"&amp;O159)</f>
        <v/>
      </c>
      <c r="Q159" s="73" t="str">
        <f aca="false">IF(AND(N159="Sí",E159="Plazo fijo",ISNUMBER(F159)),COUNTIFS(C_ID,B159,C_TIPO,"Plazo fijo",C_DEFINE,"Sí",C_INICIO,"&lt;"&amp;F159)+COUNTIFS(B$7:B159,B159,E$7:E159,"Plazo fijo",N$7:N159,"Sí",F$7:F159,F159),"")</f>
        <v/>
      </c>
      <c r="R159" s="73" t="str">
        <f aca="false">IF(AND(B159&lt;&gt;"",ISNUMBER(H159),ISNUMBER(F159)),COUNTIFS(C_ID,B159,C_SUELDO,"&lt;&gt;",C_INICIO,"&lt;"&amp;F159)+COUNTIFS(B$7:B159,B159,H$7:H159,"&lt;&gt;",F$7:F159,F159),"")</f>
        <v/>
      </c>
      <c r="S159" s="72" t="str">
        <f aca="false">IF(R159="","",B159&amp;"-S"&amp;R159)</f>
        <v/>
      </c>
      <c r="T159" s="74" t="str">
        <f aca="false">IF(AND(ISNUMBER(F159),ISNUMBER(G159)),ROUND((G159-F159+1)/30.4375,1),"")</f>
        <v/>
      </c>
      <c r="U159" s="70" t="str">
        <f aca="false">IF(B159="","",IF(AND(N159="Sí",OR(E159="",NOT(ISNUMBER(F159)))),"⚠ Falta tipo de contrato o fecha de inicio",IF(NOT(ISNUMBER(F159)),"⚠ Falta fecha de inicio",IF(AND(N159="Sí",E159&lt;&gt;"Indefinido",NOT(ISNUMBER(G159))),"⚠ Falta fecha de término",IF(AND(D159="Paso a indefinido",E159&lt;&gt;"Indefinido"),"⚠ Un paso a indefinido debe tener tipo Indefinido",IF(N(Q159)&gt;=3,"⚠ 3er contrato a plazo fijo: por ley ya es INDEFINIDO (Art. 159 N°4)",IF(AND(E159="Plazo fijo",N(T159)&gt;12),"⚠ Plazo fijo mayor a 1 año (máx. legal; 2 años solo profesionales o técnicos)",IF(AND(ISNUMBER(G159),G159&lt;F159),"⚠ Término anterior al inicio",IF(AND(D159="Contrato inicial",ISNUMBER(J159),J159-F159&gt;15),"⚠ Escriturado fuera de plazo (Art. 9: 15 días)",IF(K159&lt;&gt;"Sí","Pendiente de firma","OK"))))))))))</f>
        <v/>
      </c>
    </row>
    <row r="160" customFormat="false" ht="15" hidden="false" customHeight="false" outlineLevel="0" collapsed="false">
      <c r="B160" s="64"/>
      <c r="C160" s="72" t="str">
        <f aca="false">IF(B160="","",IFERROR(INDEX(T_NOMBRE,MATCH(B160,T_ID,0)),"⚠ ID no existe en Trabajadores"))</f>
        <v/>
      </c>
      <c r="D160" s="64"/>
      <c r="E160" s="64"/>
      <c r="F160" s="65"/>
      <c r="G160" s="65"/>
      <c r="H160" s="67"/>
      <c r="I160" s="64"/>
      <c r="J160" s="65"/>
      <c r="K160" s="64"/>
      <c r="L160" s="64"/>
      <c r="M160" s="64"/>
      <c r="N160" s="72" t="str">
        <f aca="false">IF(B160="","",IF(D160="Anexo de modificación","No","Sí"))</f>
        <v/>
      </c>
      <c r="O160" s="73" t="str">
        <f aca="false">IF(AND(N160="Sí",ISNUMBER(F160)),COUNTIFS(C_ID,B160,C_DEFINE,"Sí",C_INICIO,"&lt;"&amp;F160)+COUNTIFS(B$7:B160,B160,N$7:N160,"Sí",F$7:F160,F160),"")</f>
        <v/>
      </c>
      <c r="P160" s="72" t="str">
        <f aca="false">IF(O160="","",B160&amp;"-P"&amp;O160)</f>
        <v/>
      </c>
      <c r="Q160" s="73" t="str">
        <f aca="false">IF(AND(N160="Sí",E160="Plazo fijo",ISNUMBER(F160)),COUNTIFS(C_ID,B160,C_TIPO,"Plazo fijo",C_DEFINE,"Sí",C_INICIO,"&lt;"&amp;F160)+COUNTIFS(B$7:B160,B160,E$7:E160,"Plazo fijo",N$7:N160,"Sí",F$7:F160,F160),"")</f>
        <v/>
      </c>
      <c r="R160" s="73" t="str">
        <f aca="false">IF(AND(B160&lt;&gt;"",ISNUMBER(H160),ISNUMBER(F160)),COUNTIFS(C_ID,B160,C_SUELDO,"&lt;&gt;",C_INICIO,"&lt;"&amp;F160)+COUNTIFS(B$7:B160,B160,H$7:H160,"&lt;&gt;",F$7:F160,F160),"")</f>
        <v/>
      </c>
      <c r="S160" s="72" t="str">
        <f aca="false">IF(R160="","",B160&amp;"-S"&amp;R160)</f>
        <v/>
      </c>
      <c r="T160" s="74" t="str">
        <f aca="false">IF(AND(ISNUMBER(F160),ISNUMBER(G160)),ROUND((G160-F160+1)/30.4375,1),"")</f>
        <v/>
      </c>
      <c r="U160" s="70" t="str">
        <f aca="false">IF(B160="","",IF(AND(N160="Sí",OR(E160="",NOT(ISNUMBER(F160)))),"⚠ Falta tipo de contrato o fecha de inicio",IF(NOT(ISNUMBER(F160)),"⚠ Falta fecha de inicio",IF(AND(N160="Sí",E160&lt;&gt;"Indefinido",NOT(ISNUMBER(G160))),"⚠ Falta fecha de término",IF(AND(D160="Paso a indefinido",E160&lt;&gt;"Indefinido"),"⚠ Un paso a indefinido debe tener tipo Indefinido",IF(N(Q160)&gt;=3,"⚠ 3er contrato a plazo fijo: por ley ya es INDEFINIDO (Art. 159 N°4)",IF(AND(E160="Plazo fijo",N(T160)&gt;12),"⚠ Plazo fijo mayor a 1 año (máx. legal; 2 años solo profesionales o técnicos)",IF(AND(ISNUMBER(G160),G160&lt;F160),"⚠ Término anterior al inicio",IF(AND(D160="Contrato inicial",ISNUMBER(J160),J160-F160&gt;15),"⚠ Escriturado fuera de plazo (Art. 9: 15 días)",IF(K160&lt;&gt;"Sí","Pendiente de firma","OK"))))))))))</f>
        <v/>
      </c>
    </row>
    <row r="161" customFormat="false" ht="15" hidden="false" customHeight="false" outlineLevel="0" collapsed="false">
      <c r="B161" s="64"/>
      <c r="C161" s="72" t="str">
        <f aca="false">IF(B161="","",IFERROR(INDEX(T_NOMBRE,MATCH(B161,T_ID,0)),"⚠ ID no existe en Trabajadores"))</f>
        <v/>
      </c>
      <c r="D161" s="64"/>
      <c r="E161" s="64"/>
      <c r="F161" s="65"/>
      <c r="G161" s="65"/>
      <c r="H161" s="67"/>
      <c r="I161" s="64"/>
      <c r="J161" s="65"/>
      <c r="K161" s="64"/>
      <c r="L161" s="64"/>
      <c r="M161" s="64"/>
      <c r="N161" s="72" t="str">
        <f aca="false">IF(B161="","",IF(D161="Anexo de modificación","No","Sí"))</f>
        <v/>
      </c>
      <c r="O161" s="73" t="str">
        <f aca="false">IF(AND(N161="Sí",ISNUMBER(F161)),COUNTIFS(C_ID,B161,C_DEFINE,"Sí",C_INICIO,"&lt;"&amp;F161)+COUNTIFS(B$7:B161,B161,N$7:N161,"Sí",F$7:F161,F161),"")</f>
        <v/>
      </c>
      <c r="P161" s="72" t="str">
        <f aca="false">IF(O161="","",B161&amp;"-P"&amp;O161)</f>
        <v/>
      </c>
      <c r="Q161" s="73" t="str">
        <f aca="false">IF(AND(N161="Sí",E161="Plazo fijo",ISNUMBER(F161)),COUNTIFS(C_ID,B161,C_TIPO,"Plazo fijo",C_DEFINE,"Sí",C_INICIO,"&lt;"&amp;F161)+COUNTIFS(B$7:B161,B161,E$7:E161,"Plazo fijo",N$7:N161,"Sí",F$7:F161,F161),"")</f>
        <v/>
      </c>
      <c r="R161" s="73" t="str">
        <f aca="false">IF(AND(B161&lt;&gt;"",ISNUMBER(H161),ISNUMBER(F161)),COUNTIFS(C_ID,B161,C_SUELDO,"&lt;&gt;",C_INICIO,"&lt;"&amp;F161)+COUNTIFS(B$7:B161,B161,H$7:H161,"&lt;&gt;",F$7:F161,F161),"")</f>
        <v/>
      </c>
      <c r="S161" s="72" t="str">
        <f aca="false">IF(R161="","",B161&amp;"-S"&amp;R161)</f>
        <v/>
      </c>
      <c r="T161" s="74" t="str">
        <f aca="false">IF(AND(ISNUMBER(F161),ISNUMBER(G161)),ROUND((G161-F161+1)/30.4375,1),"")</f>
        <v/>
      </c>
      <c r="U161" s="70" t="str">
        <f aca="false">IF(B161="","",IF(AND(N161="Sí",OR(E161="",NOT(ISNUMBER(F161)))),"⚠ Falta tipo de contrato o fecha de inicio",IF(NOT(ISNUMBER(F161)),"⚠ Falta fecha de inicio",IF(AND(N161="Sí",E161&lt;&gt;"Indefinido",NOT(ISNUMBER(G161))),"⚠ Falta fecha de término",IF(AND(D161="Paso a indefinido",E161&lt;&gt;"Indefinido"),"⚠ Un paso a indefinido debe tener tipo Indefinido",IF(N(Q161)&gt;=3,"⚠ 3er contrato a plazo fijo: por ley ya es INDEFINIDO (Art. 159 N°4)",IF(AND(E161="Plazo fijo",N(T161)&gt;12),"⚠ Plazo fijo mayor a 1 año (máx. legal; 2 años solo profesionales o técnicos)",IF(AND(ISNUMBER(G161),G161&lt;F161),"⚠ Término anterior al inicio",IF(AND(D161="Contrato inicial",ISNUMBER(J161),J161-F161&gt;15),"⚠ Escriturado fuera de plazo (Art. 9: 15 días)",IF(K161&lt;&gt;"Sí","Pendiente de firma","OK"))))))))))</f>
        <v/>
      </c>
    </row>
    <row r="162" customFormat="false" ht="15" hidden="false" customHeight="false" outlineLevel="0" collapsed="false">
      <c r="B162" s="64"/>
      <c r="C162" s="72" t="str">
        <f aca="false">IF(B162="","",IFERROR(INDEX(T_NOMBRE,MATCH(B162,T_ID,0)),"⚠ ID no existe en Trabajadores"))</f>
        <v/>
      </c>
      <c r="D162" s="64"/>
      <c r="E162" s="64"/>
      <c r="F162" s="65"/>
      <c r="G162" s="65"/>
      <c r="H162" s="67"/>
      <c r="I162" s="64"/>
      <c r="J162" s="65"/>
      <c r="K162" s="64"/>
      <c r="L162" s="64"/>
      <c r="M162" s="64"/>
      <c r="N162" s="72" t="str">
        <f aca="false">IF(B162="","",IF(D162="Anexo de modificación","No","Sí"))</f>
        <v/>
      </c>
      <c r="O162" s="73" t="str">
        <f aca="false">IF(AND(N162="Sí",ISNUMBER(F162)),COUNTIFS(C_ID,B162,C_DEFINE,"Sí",C_INICIO,"&lt;"&amp;F162)+COUNTIFS(B$7:B162,B162,N$7:N162,"Sí",F$7:F162,F162),"")</f>
        <v/>
      </c>
      <c r="P162" s="72" t="str">
        <f aca="false">IF(O162="","",B162&amp;"-P"&amp;O162)</f>
        <v/>
      </c>
      <c r="Q162" s="73" t="str">
        <f aca="false">IF(AND(N162="Sí",E162="Plazo fijo",ISNUMBER(F162)),COUNTIFS(C_ID,B162,C_TIPO,"Plazo fijo",C_DEFINE,"Sí",C_INICIO,"&lt;"&amp;F162)+COUNTIFS(B$7:B162,B162,E$7:E162,"Plazo fijo",N$7:N162,"Sí",F$7:F162,F162),"")</f>
        <v/>
      </c>
      <c r="R162" s="73" t="str">
        <f aca="false">IF(AND(B162&lt;&gt;"",ISNUMBER(H162),ISNUMBER(F162)),COUNTIFS(C_ID,B162,C_SUELDO,"&lt;&gt;",C_INICIO,"&lt;"&amp;F162)+COUNTIFS(B$7:B162,B162,H$7:H162,"&lt;&gt;",F$7:F162,F162),"")</f>
        <v/>
      </c>
      <c r="S162" s="72" t="str">
        <f aca="false">IF(R162="","",B162&amp;"-S"&amp;R162)</f>
        <v/>
      </c>
      <c r="T162" s="74" t="str">
        <f aca="false">IF(AND(ISNUMBER(F162),ISNUMBER(G162)),ROUND((G162-F162+1)/30.4375,1),"")</f>
        <v/>
      </c>
      <c r="U162" s="70" t="str">
        <f aca="false">IF(B162="","",IF(AND(N162="Sí",OR(E162="",NOT(ISNUMBER(F162)))),"⚠ Falta tipo de contrato o fecha de inicio",IF(NOT(ISNUMBER(F162)),"⚠ Falta fecha de inicio",IF(AND(N162="Sí",E162&lt;&gt;"Indefinido",NOT(ISNUMBER(G162))),"⚠ Falta fecha de término",IF(AND(D162="Paso a indefinido",E162&lt;&gt;"Indefinido"),"⚠ Un paso a indefinido debe tener tipo Indefinido",IF(N(Q162)&gt;=3,"⚠ 3er contrato a plazo fijo: por ley ya es INDEFINIDO (Art. 159 N°4)",IF(AND(E162="Plazo fijo",N(T162)&gt;12),"⚠ Plazo fijo mayor a 1 año (máx. legal; 2 años solo profesionales o técnicos)",IF(AND(ISNUMBER(G162),G162&lt;F162),"⚠ Término anterior al inicio",IF(AND(D162="Contrato inicial",ISNUMBER(J162),J162-F162&gt;15),"⚠ Escriturado fuera de plazo (Art. 9: 15 días)",IF(K162&lt;&gt;"Sí","Pendiente de firma","OK"))))))))))</f>
        <v/>
      </c>
    </row>
    <row r="163" customFormat="false" ht="15" hidden="false" customHeight="false" outlineLevel="0" collapsed="false">
      <c r="B163" s="64"/>
      <c r="C163" s="72" t="str">
        <f aca="false">IF(B163="","",IFERROR(INDEX(T_NOMBRE,MATCH(B163,T_ID,0)),"⚠ ID no existe en Trabajadores"))</f>
        <v/>
      </c>
      <c r="D163" s="64"/>
      <c r="E163" s="64"/>
      <c r="F163" s="65"/>
      <c r="G163" s="65"/>
      <c r="H163" s="67"/>
      <c r="I163" s="64"/>
      <c r="J163" s="65"/>
      <c r="K163" s="64"/>
      <c r="L163" s="64"/>
      <c r="M163" s="64"/>
      <c r="N163" s="72" t="str">
        <f aca="false">IF(B163="","",IF(D163="Anexo de modificación","No","Sí"))</f>
        <v/>
      </c>
      <c r="O163" s="73" t="str">
        <f aca="false">IF(AND(N163="Sí",ISNUMBER(F163)),COUNTIFS(C_ID,B163,C_DEFINE,"Sí",C_INICIO,"&lt;"&amp;F163)+COUNTIFS(B$7:B163,B163,N$7:N163,"Sí",F$7:F163,F163),"")</f>
        <v/>
      </c>
      <c r="P163" s="72" t="str">
        <f aca="false">IF(O163="","",B163&amp;"-P"&amp;O163)</f>
        <v/>
      </c>
      <c r="Q163" s="73" t="str">
        <f aca="false">IF(AND(N163="Sí",E163="Plazo fijo",ISNUMBER(F163)),COUNTIFS(C_ID,B163,C_TIPO,"Plazo fijo",C_DEFINE,"Sí",C_INICIO,"&lt;"&amp;F163)+COUNTIFS(B$7:B163,B163,E$7:E163,"Plazo fijo",N$7:N163,"Sí",F$7:F163,F163),"")</f>
        <v/>
      </c>
      <c r="R163" s="73" t="str">
        <f aca="false">IF(AND(B163&lt;&gt;"",ISNUMBER(H163),ISNUMBER(F163)),COUNTIFS(C_ID,B163,C_SUELDO,"&lt;&gt;",C_INICIO,"&lt;"&amp;F163)+COUNTIFS(B$7:B163,B163,H$7:H163,"&lt;&gt;",F$7:F163,F163),"")</f>
        <v/>
      </c>
      <c r="S163" s="72" t="str">
        <f aca="false">IF(R163="","",B163&amp;"-S"&amp;R163)</f>
        <v/>
      </c>
      <c r="T163" s="74" t="str">
        <f aca="false">IF(AND(ISNUMBER(F163),ISNUMBER(G163)),ROUND((G163-F163+1)/30.4375,1),"")</f>
        <v/>
      </c>
      <c r="U163" s="70" t="str">
        <f aca="false">IF(B163="","",IF(AND(N163="Sí",OR(E163="",NOT(ISNUMBER(F163)))),"⚠ Falta tipo de contrato o fecha de inicio",IF(NOT(ISNUMBER(F163)),"⚠ Falta fecha de inicio",IF(AND(N163="Sí",E163&lt;&gt;"Indefinido",NOT(ISNUMBER(G163))),"⚠ Falta fecha de término",IF(AND(D163="Paso a indefinido",E163&lt;&gt;"Indefinido"),"⚠ Un paso a indefinido debe tener tipo Indefinido",IF(N(Q163)&gt;=3,"⚠ 3er contrato a plazo fijo: por ley ya es INDEFINIDO (Art. 159 N°4)",IF(AND(E163="Plazo fijo",N(T163)&gt;12),"⚠ Plazo fijo mayor a 1 año (máx. legal; 2 años solo profesionales o técnicos)",IF(AND(ISNUMBER(G163),G163&lt;F163),"⚠ Término anterior al inicio",IF(AND(D163="Contrato inicial",ISNUMBER(J163),J163-F163&gt;15),"⚠ Escriturado fuera de plazo (Art. 9: 15 días)",IF(K163&lt;&gt;"Sí","Pendiente de firma","OK"))))))))))</f>
        <v/>
      </c>
    </row>
    <row r="164" customFormat="false" ht="15" hidden="false" customHeight="false" outlineLevel="0" collapsed="false">
      <c r="B164" s="64"/>
      <c r="C164" s="72" t="str">
        <f aca="false">IF(B164="","",IFERROR(INDEX(T_NOMBRE,MATCH(B164,T_ID,0)),"⚠ ID no existe en Trabajadores"))</f>
        <v/>
      </c>
      <c r="D164" s="64"/>
      <c r="E164" s="64"/>
      <c r="F164" s="65"/>
      <c r="G164" s="65"/>
      <c r="H164" s="67"/>
      <c r="I164" s="64"/>
      <c r="J164" s="65"/>
      <c r="K164" s="64"/>
      <c r="L164" s="64"/>
      <c r="M164" s="64"/>
      <c r="N164" s="72" t="str">
        <f aca="false">IF(B164="","",IF(D164="Anexo de modificación","No","Sí"))</f>
        <v/>
      </c>
      <c r="O164" s="73" t="str">
        <f aca="false">IF(AND(N164="Sí",ISNUMBER(F164)),COUNTIFS(C_ID,B164,C_DEFINE,"Sí",C_INICIO,"&lt;"&amp;F164)+COUNTIFS(B$7:B164,B164,N$7:N164,"Sí",F$7:F164,F164),"")</f>
        <v/>
      </c>
      <c r="P164" s="72" t="str">
        <f aca="false">IF(O164="","",B164&amp;"-P"&amp;O164)</f>
        <v/>
      </c>
      <c r="Q164" s="73" t="str">
        <f aca="false">IF(AND(N164="Sí",E164="Plazo fijo",ISNUMBER(F164)),COUNTIFS(C_ID,B164,C_TIPO,"Plazo fijo",C_DEFINE,"Sí",C_INICIO,"&lt;"&amp;F164)+COUNTIFS(B$7:B164,B164,E$7:E164,"Plazo fijo",N$7:N164,"Sí",F$7:F164,F164),"")</f>
        <v/>
      </c>
      <c r="R164" s="73" t="str">
        <f aca="false">IF(AND(B164&lt;&gt;"",ISNUMBER(H164),ISNUMBER(F164)),COUNTIFS(C_ID,B164,C_SUELDO,"&lt;&gt;",C_INICIO,"&lt;"&amp;F164)+COUNTIFS(B$7:B164,B164,H$7:H164,"&lt;&gt;",F$7:F164,F164),"")</f>
        <v/>
      </c>
      <c r="S164" s="72" t="str">
        <f aca="false">IF(R164="","",B164&amp;"-S"&amp;R164)</f>
        <v/>
      </c>
      <c r="T164" s="74" t="str">
        <f aca="false">IF(AND(ISNUMBER(F164),ISNUMBER(G164)),ROUND((G164-F164+1)/30.4375,1),"")</f>
        <v/>
      </c>
      <c r="U164" s="70" t="str">
        <f aca="false">IF(B164="","",IF(AND(N164="Sí",OR(E164="",NOT(ISNUMBER(F164)))),"⚠ Falta tipo de contrato o fecha de inicio",IF(NOT(ISNUMBER(F164)),"⚠ Falta fecha de inicio",IF(AND(N164="Sí",E164&lt;&gt;"Indefinido",NOT(ISNUMBER(G164))),"⚠ Falta fecha de término",IF(AND(D164="Paso a indefinido",E164&lt;&gt;"Indefinido"),"⚠ Un paso a indefinido debe tener tipo Indefinido",IF(N(Q164)&gt;=3,"⚠ 3er contrato a plazo fijo: por ley ya es INDEFINIDO (Art. 159 N°4)",IF(AND(E164="Plazo fijo",N(T164)&gt;12),"⚠ Plazo fijo mayor a 1 año (máx. legal; 2 años solo profesionales o técnicos)",IF(AND(ISNUMBER(G164),G164&lt;F164),"⚠ Término anterior al inicio",IF(AND(D164="Contrato inicial",ISNUMBER(J164),J164-F164&gt;15),"⚠ Escriturado fuera de plazo (Art. 9: 15 días)",IF(K164&lt;&gt;"Sí","Pendiente de firma","OK"))))))))))</f>
        <v/>
      </c>
    </row>
    <row r="165" customFormat="false" ht="15" hidden="false" customHeight="false" outlineLevel="0" collapsed="false">
      <c r="B165" s="64"/>
      <c r="C165" s="72" t="str">
        <f aca="false">IF(B165="","",IFERROR(INDEX(T_NOMBRE,MATCH(B165,T_ID,0)),"⚠ ID no existe en Trabajadores"))</f>
        <v/>
      </c>
      <c r="D165" s="64"/>
      <c r="E165" s="64"/>
      <c r="F165" s="65"/>
      <c r="G165" s="65"/>
      <c r="H165" s="67"/>
      <c r="I165" s="64"/>
      <c r="J165" s="65"/>
      <c r="K165" s="64"/>
      <c r="L165" s="64"/>
      <c r="M165" s="64"/>
      <c r="N165" s="72" t="str">
        <f aca="false">IF(B165="","",IF(D165="Anexo de modificación","No","Sí"))</f>
        <v/>
      </c>
      <c r="O165" s="73" t="str">
        <f aca="false">IF(AND(N165="Sí",ISNUMBER(F165)),COUNTIFS(C_ID,B165,C_DEFINE,"Sí",C_INICIO,"&lt;"&amp;F165)+COUNTIFS(B$7:B165,B165,N$7:N165,"Sí",F$7:F165,F165),"")</f>
        <v/>
      </c>
      <c r="P165" s="72" t="str">
        <f aca="false">IF(O165="","",B165&amp;"-P"&amp;O165)</f>
        <v/>
      </c>
      <c r="Q165" s="73" t="str">
        <f aca="false">IF(AND(N165="Sí",E165="Plazo fijo",ISNUMBER(F165)),COUNTIFS(C_ID,B165,C_TIPO,"Plazo fijo",C_DEFINE,"Sí",C_INICIO,"&lt;"&amp;F165)+COUNTIFS(B$7:B165,B165,E$7:E165,"Plazo fijo",N$7:N165,"Sí",F$7:F165,F165),"")</f>
        <v/>
      </c>
      <c r="R165" s="73" t="str">
        <f aca="false">IF(AND(B165&lt;&gt;"",ISNUMBER(H165),ISNUMBER(F165)),COUNTIFS(C_ID,B165,C_SUELDO,"&lt;&gt;",C_INICIO,"&lt;"&amp;F165)+COUNTIFS(B$7:B165,B165,H$7:H165,"&lt;&gt;",F$7:F165,F165),"")</f>
        <v/>
      </c>
      <c r="S165" s="72" t="str">
        <f aca="false">IF(R165="","",B165&amp;"-S"&amp;R165)</f>
        <v/>
      </c>
      <c r="T165" s="74" t="str">
        <f aca="false">IF(AND(ISNUMBER(F165),ISNUMBER(G165)),ROUND((G165-F165+1)/30.4375,1),"")</f>
        <v/>
      </c>
      <c r="U165" s="70" t="str">
        <f aca="false">IF(B165="","",IF(AND(N165="Sí",OR(E165="",NOT(ISNUMBER(F165)))),"⚠ Falta tipo de contrato o fecha de inicio",IF(NOT(ISNUMBER(F165)),"⚠ Falta fecha de inicio",IF(AND(N165="Sí",E165&lt;&gt;"Indefinido",NOT(ISNUMBER(G165))),"⚠ Falta fecha de término",IF(AND(D165="Paso a indefinido",E165&lt;&gt;"Indefinido"),"⚠ Un paso a indefinido debe tener tipo Indefinido",IF(N(Q165)&gt;=3,"⚠ 3er contrato a plazo fijo: por ley ya es INDEFINIDO (Art. 159 N°4)",IF(AND(E165="Plazo fijo",N(T165)&gt;12),"⚠ Plazo fijo mayor a 1 año (máx. legal; 2 años solo profesionales o técnicos)",IF(AND(ISNUMBER(G165),G165&lt;F165),"⚠ Término anterior al inicio",IF(AND(D165="Contrato inicial",ISNUMBER(J165),J165-F165&gt;15),"⚠ Escriturado fuera de plazo (Art. 9: 15 días)",IF(K165&lt;&gt;"Sí","Pendiente de firma","OK"))))))))))</f>
        <v/>
      </c>
    </row>
    <row r="166" customFormat="false" ht="15" hidden="false" customHeight="false" outlineLevel="0" collapsed="false">
      <c r="B166" s="64"/>
      <c r="C166" s="72" t="str">
        <f aca="false">IF(B166="","",IFERROR(INDEX(T_NOMBRE,MATCH(B166,T_ID,0)),"⚠ ID no existe en Trabajadores"))</f>
        <v/>
      </c>
      <c r="D166" s="64"/>
      <c r="E166" s="64"/>
      <c r="F166" s="65"/>
      <c r="G166" s="65"/>
      <c r="H166" s="67"/>
      <c r="I166" s="64"/>
      <c r="J166" s="65"/>
      <c r="K166" s="64"/>
      <c r="L166" s="64"/>
      <c r="M166" s="64"/>
      <c r="N166" s="72" t="str">
        <f aca="false">IF(B166="","",IF(D166="Anexo de modificación","No","Sí"))</f>
        <v/>
      </c>
      <c r="O166" s="73" t="str">
        <f aca="false">IF(AND(N166="Sí",ISNUMBER(F166)),COUNTIFS(C_ID,B166,C_DEFINE,"Sí",C_INICIO,"&lt;"&amp;F166)+COUNTIFS(B$7:B166,B166,N$7:N166,"Sí",F$7:F166,F166),"")</f>
        <v/>
      </c>
      <c r="P166" s="72" t="str">
        <f aca="false">IF(O166="","",B166&amp;"-P"&amp;O166)</f>
        <v/>
      </c>
      <c r="Q166" s="73" t="str">
        <f aca="false">IF(AND(N166="Sí",E166="Plazo fijo",ISNUMBER(F166)),COUNTIFS(C_ID,B166,C_TIPO,"Plazo fijo",C_DEFINE,"Sí",C_INICIO,"&lt;"&amp;F166)+COUNTIFS(B$7:B166,B166,E$7:E166,"Plazo fijo",N$7:N166,"Sí",F$7:F166,F166),"")</f>
        <v/>
      </c>
      <c r="R166" s="73" t="str">
        <f aca="false">IF(AND(B166&lt;&gt;"",ISNUMBER(H166),ISNUMBER(F166)),COUNTIFS(C_ID,B166,C_SUELDO,"&lt;&gt;",C_INICIO,"&lt;"&amp;F166)+COUNTIFS(B$7:B166,B166,H$7:H166,"&lt;&gt;",F$7:F166,F166),"")</f>
        <v/>
      </c>
      <c r="S166" s="72" t="str">
        <f aca="false">IF(R166="","",B166&amp;"-S"&amp;R166)</f>
        <v/>
      </c>
      <c r="T166" s="74" t="str">
        <f aca="false">IF(AND(ISNUMBER(F166),ISNUMBER(G166)),ROUND((G166-F166+1)/30.4375,1),"")</f>
        <v/>
      </c>
      <c r="U166" s="70" t="str">
        <f aca="false">IF(B166="","",IF(AND(N166="Sí",OR(E166="",NOT(ISNUMBER(F166)))),"⚠ Falta tipo de contrato o fecha de inicio",IF(NOT(ISNUMBER(F166)),"⚠ Falta fecha de inicio",IF(AND(N166="Sí",E166&lt;&gt;"Indefinido",NOT(ISNUMBER(G166))),"⚠ Falta fecha de término",IF(AND(D166="Paso a indefinido",E166&lt;&gt;"Indefinido"),"⚠ Un paso a indefinido debe tener tipo Indefinido",IF(N(Q166)&gt;=3,"⚠ 3er contrato a plazo fijo: por ley ya es INDEFINIDO (Art. 159 N°4)",IF(AND(E166="Plazo fijo",N(T166)&gt;12),"⚠ Plazo fijo mayor a 1 año (máx. legal; 2 años solo profesionales o técnicos)",IF(AND(ISNUMBER(G166),G166&lt;F166),"⚠ Término anterior al inicio",IF(AND(D166="Contrato inicial",ISNUMBER(J166),J166-F166&gt;15),"⚠ Escriturado fuera de plazo (Art. 9: 15 días)",IF(K166&lt;&gt;"Sí","Pendiente de firma","OK"))))))))))</f>
        <v/>
      </c>
    </row>
    <row r="167" customFormat="false" ht="15" hidden="false" customHeight="false" outlineLevel="0" collapsed="false">
      <c r="B167" s="64"/>
      <c r="C167" s="72" t="str">
        <f aca="false">IF(B167="","",IFERROR(INDEX(T_NOMBRE,MATCH(B167,T_ID,0)),"⚠ ID no existe en Trabajadores"))</f>
        <v/>
      </c>
      <c r="D167" s="64"/>
      <c r="E167" s="64"/>
      <c r="F167" s="65"/>
      <c r="G167" s="65"/>
      <c r="H167" s="67"/>
      <c r="I167" s="64"/>
      <c r="J167" s="65"/>
      <c r="K167" s="64"/>
      <c r="L167" s="64"/>
      <c r="M167" s="64"/>
      <c r="N167" s="72" t="str">
        <f aca="false">IF(B167="","",IF(D167="Anexo de modificación","No","Sí"))</f>
        <v/>
      </c>
      <c r="O167" s="73" t="str">
        <f aca="false">IF(AND(N167="Sí",ISNUMBER(F167)),COUNTIFS(C_ID,B167,C_DEFINE,"Sí",C_INICIO,"&lt;"&amp;F167)+COUNTIFS(B$7:B167,B167,N$7:N167,"Sí",F$7:F167,F167),"")</f>
        <v/>
      </c>
      <c r="P167" s="72" t="str">
        <f aca="false">IF(O167="","",B167&amp;"-P"&amp;O167)</f>
        <v/>
      </c>
      <c r="Q167" s="73" t="str">
        <f aca="false">IF(AND(N167="Sí",E167="Plazo fijo",ISNUMBER(F167)),COUNTIFS(C_ID,B167,C_TIPO,"Plazo fijo",C_DEFINE,"Sí",C_INICIO,"&lt;"&amp;F167)+COUNTIFS(B$7:B167,B167,E$7:E167,"Plazo fijo",N$7:N167,"Sí",F$7:F167,F167),"")</f>
        <v/>
      </c>
      <c r="R167" s="73" t="str">
        <f aca="false">IF(AND(B167&lt;&gt;"",ISNUMBER(H167),ISNUMBER(F167)),COUNTIFS(C_ID,B167,C_SUELDO,"&lt;&gt;",C_INICIO,"&lt;"&amp;F167)+COUNTIFS(B$7:B167,B167,H$7:H167,"&lt;&gt;",F$7:F167,F167),"")</f>
        <v/>
      </c>
      <c r="S167" s="72" t="str">
        <f aca="false">IF(R167="","",B167&amp;"-S"&amp;R167)</f>
        <v/>
      </c>
      <c r="T167" s="74" t="str">
        <f aca="false">IF(AND(ISNUMBER(F167),ISNUMBER(G167)),ROUND((G167-F167+1)/30.4375,1),"")</f>
        <v/>
      </c>
      <c r="U167" s="70" t="str">
        <f aca="false">IF(B167="","",IF(AND(N167="Sí",OR(E167="",NOT(ISNUMBER(F167)))),"⚠ Falta tipo de contrato o fecha de inicio",IF(NOT(ISNUMBER(F167)),"⚠ Falta fecha de inicio",IF(AND(N167="Sí",E167&lt;&gt;"Indefinido",NOT(ISNUMBER(G167))),"⚠ Falta fecha de término",IF(AND(D167="Paso a indefinido",E167&lt;&gt;"Indefinido"),"⚠ Un paso a indefinido debe tener tipo Indefinido",IF(N(Q167)&gt;=3,"⚠ 3er contrato a plazo fijo: por ley ya es INDEFINIDO (Art. 159 N°4)",IF(AND(E167="Plazo fijo",N(T167)&gt;12),"⚠ Plazo fijo mayor a 1 año (máx. legal; 2 años solo profesionales o técnicos)",IF(AND(ISNUMBER(G167),G167&lt;F167),"⚠ Término anterior al inicio",IF(AND(D167="Contrato inicial",ISNUMBER(J167),J167-F167&gt;15),"⚠ Escriturado fuera de plazo (Art. 9: 15 días)",IF(K167&lt;&gt;"Sí","Pendiente de firma","OK"))))))))))</f>
        <v/>
      </c>
    </row>
    <row r="168" customFormat="false" ht="15" hidden="false" customHeight="false" outlineLevel="0" collapsed="false">
      <c r="B168" s="64"/>
      <c r="C168" s="72" t="str">
        <f aca="false">IF(B168="","",IFERROR(INDEX(T_NOMBRE,MATCH(B168,T_ID,0)),"⚠ ID no existe en Trabajadores"))</f>
        <v/>
      </c>
      <c r="D168" s="64"/>
      <c r="E168" s="64"/>
      <c r="F168" s="65"/>
      <c r="G168" s="65"/>
      <c r="H168" s="67"/>
      <c r="I168" s="64"/>
      <c r="J168" s="65"/>
      <c r="K168" s="64"/>
      <c r="L168" s="64"/>
      <c r="M168" s="64"/>
      <c r="N168" s="72" t="str">
        <f aca="false">IF(B168="","",IF(D168="Anexo de modificación","No","Sí"))</f>
        <v/>
      </c>
      <c r="O168" s="73" t="str">
        <f aca="false">IF(AND(N168="Sí",ISNUMBER(F168)),COUNTIFS(C_ID,B168,C_DEFINE,"Sí",C_INICIO,"&lt;"&amp;F168)+COUNTIFS(B$7:B168,B168,N$7:N168,"Sí",F$7:F168,F168),"")</f>
        <v/>
      </c>
      <c r="P168" s="72" t="str">
        <f aca="false">IF(O168="","",B168&amp;"-P"&amp;O168)</f>
        <v/>
      </c>
      <c r="Q168" s="73" t="str">
        <f aca="false">IF(AND(N168="Sí",E168="Plazo fijo",ISNUMBER(F168)),COUNTIFS(C_ID,B168,C_TIPO,"Plazo fijo",C_DEFINE,"Sí",C_INICIO,"&lt;"&amp;F168)+COUNTIFS(B$7:B168,B168,E$7:E168,"Plazo fijo",N$7:N168,"Sí",F$7:F168,F168),"")</f>
        <v/>
      </c>
      <c r="R168" s="73" t="str">
        <f aca="false">IF(AND(B168&lt;&gt;"",ISNUMBER(H168),ISNUMBER(F168)),COUNTIFS(C_ID,B168,C_SUELDO,"&lt;&gt;",C_INICIO,"&lt;"&amp;F168)+COUNTIFS(B$7:B168,B168,H$7:H168,"&lt;&gt;",F$7:F168,F168),"")</f>
        <v/>
      </c>
      <c r="S168" s="72" t="str">
        <f aca="false">IF(R168="","",B168&amp;"-S"&amp;R168)</f>
        <v/>
      </c>
      <c r="T168" s="74" t="str">
        <f aca="false">IF(AND(ISNUMBER(F168),ISNUMBER(G168)),ROUND((G168-F168+1)/30.4375,1),"")</f>
        <v/>
      </c>
      <c r="U168" s="70" t="str">
        <f aca="false">IF(B168="","",IF(AND(N168="Sí",OR(E168="",NOT(ISNUMBER(F168)))),"⚠ Falta tipo de contrato o fecha de inicio",IF(NOT(ISNUMBER(F168)),"⚠ Falta fecha de inicio",IF(AND(N168="Sí",E168&lt;&gt;"Indefinido",NOT(ISNUMBER(G168))),"⚠ Falta fecha de término",IF(AND(D168="Paso a indefinido",E168&lt;&gt;"Indefinido"),"⚠ Un paso a indefinido debe tener tipo Indefinido",IF(N(Q168)&gt;=3,"⚠ 3er contrato a plazo fijo: por ley ya es INDEFINIDO (Art. 159 N°4)",IF(AND(E168="Plazo fijo",N(T168)&gt;12),"⚠ Plazo fijo mayor a 1 año (máx. legal; 2 años solo profesionales o técnicos)",IF(AND(ISNUMBER(G168),G168&lt;F168),"⚠ Término anterior al inicio",IF(AND(D168="Contrato inicial",ISNUMBER(J168),J168-F168&gt;15),"⚠ Escriturado fuera de plazo (Art. 9: 15 días)",IF(K168&lt;&gt;"Sí","Pendiente de firma","OK"))))))))))</f>
        <v/>
      </c>
    </row>
    <row r="169" customFormat="false" ht="15" hidden="false" customHeight="false" outlineLevel="0" collapsed="false">
      <c r="B169" s="64"/>
      <c r="C169" s="72" t="str">
        <f aca="false">IF(B169="","",IFERROR(INDEX(T_NOMBRE,MATCH(B169,T_ID,0)),"⚠ ID no existe en Trabajadores"))</f>
        <v/>
      </c>
      <c r="D169" s="64"/>
      <c r="E169" s="64"/>
      <c r="F169" s="65"/>
      <c r="G169" s="65"/>
      <c r="H169" s="67"/>
      <c r="I169" s="64"/>
      <c r="J169" s="65"/>
      <c r="K169" s="64"/>
      <c r="L169" s="64"/>
      <c r="M169" s="64"/>
      <c r="N169" s="72" t="str">
        <f aca="false">IF(B169="","",IF(D169="Anexo de modificación","No","Sí"))</f>
        <v/>
      </c>
      <c r="O169" s="73" t="str">
        <f aca="false">IF(AND(N169="Sí",ISNUMBER(F169)),COUNTIFS(C_ID,B169,C_DEFINE,"Sí",C_INICIO,"&lt;"&amp;F169)+COUNTIFS(B$7:B169,B169,N$7:N169,"Sí",F$7:F169,F169),"")</f>
        <v/>
      </c>
      <c r="P169" s="72" t="str">
        <f aca="false">IF(O169="","",B169&amp;"-P"&amp;O169)</f>
        <v/>
      </c>
      <c r="Q169" s="73" t="str">
        <f aca="false">IF(AND(N169="Sí",E169="Plazo fijo",ISNUMBER(F169)),COUNTIFS(C_ID,B169,C_TIPO,"Plazo fijo",C_DEFINE,"Sí",C_INICIO,"&lt;"&amp;F169)+COUNTIFS(B$7:B169,B169,E$7:E169,"Plazo fijo",N$7:N169,"Sí",F$7:F169,F169),"")</f>
        <v/>
      </c>
      <c r="R169" s="73" t="str">
        <f aca="false">IF(AND(B169&lt;&gt;"",ISNUMBER(H169),ISNUMBER(F169)),COUNTIFS(C_ID,B169,C_SUELDO,"&lt;&gt;",C_INICIO,"&lt;"&amp;F169)+COUNTIFS(B$7:B169,B169,H$7:H169,"&lt;&gt;",F$7:F169,F169),"")</f>
        <v/>
      </c>
      <c r="S169" s="72" t="str">
        <f aca="false">IF(R169="","",B169&amp;"-S"&amp;R169)</f>
        <v/>
      </c>
      <c r="T169" s="74" t="str">
        <f aca="false">IF(AND(ISNUMBER(F169),ISNUMBER(G169)),ROUND((G169-F169+1)/30.4375,1),"")</f>
        <v/>
      </c>
      <c r="U169" s="70" t="str">
        <f aca="false">IF(B169="","",IF(AND(N169="Sí",OR(E169="",NOT(ISNUMBER(F169)))),"⚠ Falta tipo de contrato o fecha de inicio",IF(NOT(ISNUMBER(F169)),"⚠ Falta fecha de inicio",IF(AND(N169="Sí",E169&lt;&gt;"Indefinido",NOT(ISNUMBER(G169))),"⚠ Falta fecha de término",IF(AND(D169="Paso a indefinido",E169&lt;&gt;"Indefinido"),"⚠ Un paso a indefinido debe tener tipo Indefinido",IF(N(Q169)&gt;=3,"⚠ 3er contrato a plazo fijo: por ley ya es INDEFINIDO (Art. 159 N°4)",IF(AND(E169="Plazo fijo",N(T169)&gt;12),"⚠ Plazo fijo mayor a 1 año (máx. legal; 2 años solo profesionales o técnicos)",IF(AND(ISNUMBER(G169),G169&lt;F169),"⚠ Término anterior al inicio",IF(AND(D169="Contrato inicial",ISNUMBER(J169),J169-F169&gt;15),"⚠ Escriturado fuera de plazo (Art. 9: 15 días)",IF(K169&lt;&gt;"Sí","Pendiente de firma","OK"))))))))))</f>
        <v/>
      </c>
    </row>
    <row r="170" customFormat="false" ht="15" hidden="false" customHeight="false" outlineLevel="0" collapsed="false">
      <c r="B170" s="64"/>
      <c r="C170" s="72" t="str">
        <f aca="false">IF(B170="","",IFERROR(INDEX(T_NOMBRE,MATCH(B170,T_ID,0)),"⚠ ID no existe en Trabajadores"))</f>
        <v/>
      </c>
      <c r="D170" s="64"/>
      <c r="E170" s="64"/>
      <c r="F170" s="65"/>
      <c r="G170" s="65"/>
      <c r="H170" s="67"/>
      <c r="I170" s="64"/>
      <c r="J170" s="65"/>
      <c r="K170" s="64"/>
      <c r="L170" s="64"/>
      <c r="M170" s="64"/>
      <c r="N170" s="72" t="str">
        <f aca="false">IF(B170="","",IF(D170="Anexo de modificación","No","Sí"))</f>
        <v/>
      </c>
      <c r="O170" s="73" t="str">
        <f aca="false">IF(AND(N170="Sí",ISNUMBER(F170)),COUNTIFS(C_ID,B170,C_DEFINE,"Sí",C_INICIO,"&lt;"&amp;F170)+COUNTIFS(B$7:B170,B170,N$7:N170,"Sí",F$7:F170,F170),"")</f>
        <v/>
      </c>
      <c r="P170" s="72" t="str">
        <f aca="false">IF(O170="","",B170&amp;"-P"&amp;O170)</f>
        <v/>
      </c>
      <c r="Q170" s="73" t="str">
        <f aca="false">IF(AND(N170="Sí",E170="Plazo fijo",ISNUMBER(F170)),COUNTIFS(C_ID,B170,C_TIPO,"Plazo fijo",C_DEFINE,"Sí",C_INICIO,"&lt;"&amp;F170)+COUNTIFS(B$7:B170,B170,E$7:E170,"Plazo fijo",N$7:N170,"Sí",F$7:F170,F170),"")</f>
        <v/>
      </c>
      <c r="R170" s="73" t="str">
        <f aca="false">IF(AND(B170&lt;&gt;"",ISNUMBER(H170),ISNUMBER(F170)),COUNTIFS(C_ID,B170,C_SUELDO,"&lt;&gt;",C_INICIO,"&lt;"&amp;F170)+COUNTIFS(B$7:B170,B170,H$7:H170,"&lt;&gt;",F$7:F170,F170),"")</f>
        <v/>
      </c>
      <c r="S170" s="72" t="str">
        <f aca="false">IF(R170="","",B170&amp;"-S"&amp;R170)</f>
        <v/>
      </c>
      <c r="T170" s="74" t="str">
        <f aca="false">IF(AND(ISNUMBER(F170),ISNUMBER(G170)),ROUND((G170-F170+1)/30.4375,1),"")</f>
        <v/>
      </c>
      <c r="U170" s="70" t="str">
        <f aca="false">IF(B170="","",IF(AND(N170="Sí",OR(E170="",NOT(ISNUMBER(F170)))),"⚠ Falta tipo de contrato o fecha de inicio",IF(NOT(ISNUMBER(F170)),"⚠ Falta fecha de inicio",IF(AND(N170="Sí",E170&lt;&gt;"Indefinido",NOT(ISNUMBER(G170))),"⚠ Falta fecha de término",IF(AND(D170="Paso a indefinido",E170&lt;&gt;"Indefinido"),"⚠ Un paso a indefinido debe tener tipo Indefinido",IF(N(Q170)&gt;=3,"⚠ 3er contrato a plazo fijo: por ley ya es INDEFINIDO (Art. 159 N°4)",IF(AND(E170="Plazo fijo",N(T170)&gt;12),"⚠ Plazo fijo mayor a 1 año (máx. legal; 2 años solo profesionales o técnicos)",IF(AND(ISNUMBER(G170),G170&lt;F170),"⚠ Término anterior al inicio",IF(AND(D170="Contrato inicial",ISNUMBER(J170),J170-F170&gt;15),"⚠ Escriturado fuera de plazo (Art. 9: 15 días)",IF(K170&lt;&gt;"Sí","Pendiente de firma","OK"))))))))))</f>
        <v/>
      </c>
    </row>
    <row r="171" customFormat="false" ht="15" hidden="false" customHeight="false" outlineLevel="0" collapsed="false">
      <c r="B171" s="64"/>
      <c r="C171" s="72" t="str">
        <f aca="false">IF(B171="","",IFERROR(INDEX(T_NOMBRE,MATCH(B171,T_ID,0)),"⚠ ID no existe en Trabajadores"))</f>
        <v/>
      </c>
      <c r="D171" s="64"/>
      <c r="E171" s="64"/>
      <c r="F171" s="65"/>
      <c r="G171" s="65"/>
      <c r="H171" s="67"/>
      <c r="I171" s="64"/>
      <c r="J171" s="65"/>
      <c r="K171" s="64"/>
      <c r="L171" s="64"/>
      <c r="M171" s="64"/>
      <c r="N171" s="72" t="str">
        <f aca="false">IF(B171="","",IF(D171="Anexo de modificación","No","Sí"))</f>
        <v/>
      </c>
      <c r="O171" s="73" t="str">
        <f aca="false">IF(AND(N171="Sí",ISNUMBER(F171)),COUNTIFS(C_ID,B171,C_DEFINE,"Sí",C_INICIO,"&lt;"&amp;F171)+COUNTIFS(B$7:B171,B171,N$7:N171,"Sí",F$7:F171,F171),"")</f>
        <v/>
      </c>
      <c r="P171" s="72" t="str">
        <f aca="false">IF(O171="","",B171&amp;"-P"&amp;O171)</f>
        <v/>
      </c>
      <c r="Q171" s="73" t="str">
        <f aca="false">IF(AND(N171="Sí",E171="Plazo fijo",ISNUMBER(F171)),COUNTIFS(C_ID,B171,C_TIPO,"Plazo fijo",C_DEFINE,"Sí",C_INICIO,"&lt;"&amp;F171)+COUNTIFS(B$7:B171,B171,E$7:E171,"Plazo fijo",N$7:N171,"Sí",F$7:F171,F171),"")</f>
        <v/>
      </c>
      <c r="R171" s="73" t="str">
        <f aca="false">IF(AND(B171&lt;&gt;"",ISNUMBER(H171),ISNUMBER(F171)),COUNTIFS(C_ID,B171,C_SUELDO,"&lt;&gt;",C_INICIO,"&lt;"&amp;F171)+COUNTIFS(B$7:B171,B171,H$7:H171,"&lt;&gt;",F$7:F171,F171),"")</f>
        <v/>
      </c>
      <c r="S171" s="72" t="str">
        <f aca="false">IF(R171="","",B171&amp;"-S"&amp;R171)</f>
        <v/>
      </c>
      <c r="T171" s="74" t="str">
        <f aca="false">IF(AND(ISNUMBER(F171),ISNUMBER(G171)),ROUND((G171-F171+1)/30.4375,1),"")</f>
        <v/>
      </c>
      <c r="U171" s="70" t="str">
        <f aca="false">IF(B171="","",IF(AND(N171="Sí",OR(E171="",NOT(ISNUMBER(F171)))),"⚠ Falta tipo de contrato o fecha de inicio",IF(NOT(ISNUMBER(F171)),"⚠ Falta fecha de inicio",IF(AND(N171="Sí",E171&lt;&gt;"Indefinido",NOT(ISNUMBER(G171))),"⚠ Falta fecha de término",IF(AND(D171="Paso a indefinido",E171&lt;&gt;"Indefinido"),"⚠ Un paso a indefinido debe tener tipo Indefinido",IF(N(Q171)&gt;=3,"⚠ 3er contrato a plazo fijo: por ley ya es INDEFINIDO (Art. 159 N°4)",IF(AND(E171="Plazo fijo",N(T171)&gt;12),"⚠ Plazo fijo mayor a 1 año (máx. legal; 2 años solo profesionales o técnicos)",IF(AND(ISNUMBER(G171),G171&lt;F171),"⚠ Término anterior al inicio",IF(AND(D171="Contrato inicial",ISNUMBER(J171),J171-F171&gt;15),"⚠ Escriturado fuera de plazo (Art. 9: 15 días)",IF(K171&lt;&gt;"Sí","Pendiente de firma","OK"))))))))))</f>
        <v/>
      </c>
    </row>
    <row r="172" customFormat="false" ht="15" hidden="false" customHeight="false" outlineLevel="0" collapsed="false">
      <c r="B172" s="64"/>
      <c r="C172" s="72" t="str">
        <f aca="false">IF(B172="","",IFERROR(INDEX(T_NOMBRE,MATCH(B172,T_ID,0)),"⚠ ID no existe en Trabajadores"))</f>
        <v/>
      </c>
      <c r="D172" s="64"/>
      <c r="E172" s="64"/>
      <c r="F172" s="65"/>
      <c r="G172" s="65"/>
      <c r="H172" s="67"/>
      <c r="I172" s="64"/>
      <c r="J172" s="65"/>
      <c r="K172" s="64"/>
      <c r="L172" s="64"/>
      <c r="M172" s="64"/>
      <c r="N172" s="72" t="str">
        <f aca="false">IF(B172="","",IF(D172="Anexo de modificación","No","Sí"))</f>
        <v/>
      </c>
      <c r="O172" s="73" t="str">
        <f aca="false">IF(AND(N172="Sí",ISNUMBER(F172)),COUNTIFS(C_ID,B172,C_DEFINE,"Sí",C_INICIO,"&lt;"&amp;F172)+COUNTIFS(B$7:B172,B172,N$7:N172,"Sí",F$7:F172,F172),"")</f>
        <v/>
      </c>
      <c r="P172" s="72" t="str">
        <f aca="false">IF(O172="","",B172&amp;"-P"&amp;O172)</f>
        <v/>
      </c>
      <c r="Q172" s="73" t="str">
        <f aca="false">IF(AND(N172="Sí",E172="Plazo fijo",ISNUMBER(F172)),COUNTIFS(C_ID,B172,C_TIPO,"Plazo fijo",C_DEFINE,"Sí",C_INICIO,"&lt;"&amp;F172)+COUNTIFS(B$7:B172,B172,E$7:E172,"Plazo fijo",N$7:N172,"Sí",F$7:F172,F172),"")</f>
        <v/>
      </c>
      <c r="R172" s="73" t="str">
        <f aca="false">IF(AND(B172&lt;&gt;"",ISNUMBER(H172),ISNUMBER(F172)),COUNTIFS(C_ID,B172,C_SUELDO,"&lt;&gt;",C_INICIO,"&lt;"&amp;F172)+COUNTIFS(B$7:B172,B172,H$7:H172,"&lt;&gt;",F$7:F172,F172),"")</f>
        <v/>
      </c>
      <c r="S172" s="72" t="str">
        <f aca="false">IF(R172="","",B172&amp;"-S"&amp;R172)</f>
        <v/>
      </c>
      <c r="T172" s="74" t="str">
        <f aca="false">IF(AND(ISNUMBER(F172),ISNUMBER(G172)),ROUND((G172-F172+1)/30.4375,1),"")</f>
        <v/>
      </c>
      <c r="U172" s="70" t="str">
        <f aca="false">IF(B172="","",IF(AND(N172="Sí",OR(E172="",NOT(ISNUMBER(F172)))),"⚠ Falta tipo de contrato o fecha de inicio",IF(NOT(ISNUMBER(F172)),"⚠ Falta fecha de inicio",IF(AND(N172="Sí",E172&lt;&gt;"Indefinido",NOT(ISNUMBER(G172))),"⚠ Falta fecha de término",IF(AND(D172="Paso a indefinido",E172&lt;&gt;"Indefinido"),"⚠ Un paso a indefinido debe tener tipo Indefinido",IF(N(Q172)&gt;=3,"⚠ 3er contrato a plazo fijo: por ley ya es INDEFINIDO (Art. 159 N°4)",IF(AND(E172="Plazo fijo",N(T172)&gt;12),"⚠ Plazo fijo mayor a 1 año (máx. legal; 2 años solo profesionales o técnicos)",IF(AND(ISNUMBER(G172),G172&lt;F172),"⚠ Término anterior al inicio",IF(AND(D172="Contrato inicial",ISNUMBER(J172),J172-F172&gt;15),"⚠ Escriturado fuera de plazo (Art. 9: 15 días)",IF(K172&lt;&gt;"Sí","Pendiente de firma","OK"))))))))))</f>
        <v/>
      </c>
    </row>
    <row r="173" customFormat="false" ht="15" hidden="false" customHeight="false" outlineLevel="0" collapsed="false">
      <c r="B173" s="64"/>
      <c r="C173" s="72" t="str">
        <f aca="false">IF(B173="","",IFERROR(INDEX(T_NOMBRE,MATCH(B173,T_ID,0)),"⚠ ID no existe en Trabajadores"))</f>
        <v/>
      </c>
      <c r="D173" s="64"/>
      <c r="E173" s="64"/>
      <c r="F173" s="65"/>
      <c r="G173" s="65"/>
      <c r="H173" s="67"/>
      <c r="I173" s="64"/>
      <c r="J173" s="65"/>
      <c r="K173" s="64"/>
      <c r="L173" s="64"/>
      <c r="M173" s="64"/>
      <c r="N173" s="72" t="str">
        <f aca="false">IF(B173="","",IF(D173="Anexo de modificación","No","Sí"))</f>
        <v/>
      </c>
      <c r="O173" s="73" t="str">
        <f aca="false">IF(AND(N173="Sí",ISNUMBER(F173)),COUNTIFS(C_ID,B173,C_DEFINE,"Sí",C_INICIO,"&lt;"&amp;F173)+COUNTIFS(B$7:B173,B173,N$7:N173,"Sí",F$7:F173,F173),"")</f>
        <v/>
      </c>
      <c r="P173" s="72" t="str">
        <f aca="false">IF(O173="","",B173&amp;"-P"&amp;O173)</f>
        <v/>
      </c>
      <c r="Q173" s="73" t="str">
        <f aca="false">IF(AND(N173="Sí",E173="Plazo fijo",ISNUMBER(F173)),COUNTIFS(C_ID,B173,C_TIPO,"Plazo fijo",C_DEFINE,"Sí",C_INICIO,"&lt;"&amp;F173)+COUNTIFS(B$7:B173,B173,E$7:E173,"Plazo fijo",N$7:N173,"Sí",F$7:F173,F173),"")</f>
        <v/>
      </c>
      <c r="R173" s="73" t="str">
        <f aca="false">IF(AND(B173&lt;&gt;"",ISNUMBER(H173),ISNUMBER(F173)),COUNTIFS(C_ID,B173,C_SUELDO,"&lt;&gt;",C_INICIO,"&lt;"&amp;F173)+COUNTIFS(B$7:B173,B173,H$7:H173,"&lt;&gt;",F$7:F173,F173),"")</f>
        <v/>
      </c>
      <c r="S173" s="72" t="str">
        <f aca="false">IF(R173="","",B173&amp;"-S"&amp;R173)</f>
        <v/>
      </c>
      <c r="T173" s="74" t="str">
        <f aca="false">IF(AND(ISNUMBER(F173),ISNUMBER(G173)),ROUND((G173-F173+1)/30.4375,1),"")</f>
        <v/>
      </c>
      <c r="U173" s="70" t="str">
        <f aca="false">IF(B173="","",IF(AND(N173="Sí",OR(E173="",NOT(ISNUMBER(F173)))),"⚠ Falta tipo de contrato o fecha de inicio",IF(NOT(ISNUMBER(F173)),"⚠ Falta fecha de inicio",IF(AND(N173="Sí",E173&lt;&gt;"Indefinido",NOT(ISNUMBER(G173))),"⚠ Falta fecha de término",IF(AND(D173="Paso a indefinido",E173&lt;&gt;"Indefinido"),"⚠ Un paso a indefinido debe tener tipo Indefinido",IF(N(Q173)&gt;=3,"⚠ 3er contrato a plazo fijo: por ley ya es INDEFINIDO (Art. 159 N°4)",IF(AND(E173="Plazo fijo",N(T173)&gt;12),"⚠ Plazo fijo mayor a 1 año (máx. legal; 2 años solo profesionales o técnicos)",IF(AND(ISNUMBER(G173),G173&lt;F173),"⚠ Término anterior al inicio",IF(AND(D173="Contrato inicial",ISNUMBER(J173),J173-F173&gt;15),"⚠ Escriturado fuera de plazo (Art. 9: 15 días)",IF(K173&lt;&gt;"Sí","Pendiente de firma","OK"))))))))))</f>
        <v/>
      </c>
    </row>
    <row r="174" customFormat="false" ht="15" hidden="false" customHeight="false" outlineLevel="0" collapsed="false">
      <c r="B174" s="64"/>
      <c r="C174" s="72" t="str">
        <f aca="false">IF(B174="","",IFERROR(INDEX(T_NOMBRE,MATCH(B174,T_ID,0)),"⚠ ID no existe en Trabajadores"))</f>
        <v/>
      </c>
      <c r="D174" s="64"/>
      <c r="E174" s="64"/>
      <c r="F174" s="65"/>
      <c r="G174" s="65"/>
      <c r="H174" s="67"/>
      <c r="I174" s="64"/>
      <c r="J174" s="65"/>
      <c r="K174" s="64"/>
      <c r="L174" s="64"/>
      <c r="M174" s="64"/>
      <c r="N174" s="72" t="str">
        <f aca="false">IF(B174="","",IF(D174="Anexo de modificación","No","Sí"))</f>
        <v/>
      </c>
      <c r="O174" s="73" t="str">
        <f aca="false">IF(AND(N174="Sí",ISNUMBER(F174)),COUNTIFS(C_ID,B174,C_DEFINE,"Sí",C_INICIO,"&lt;"&amp;F174)+COUNTIFS(B$7:B174,B174,N$7:N174,"Sí",F$7:F174,F174),"")</f>
        <v/>
      </c>
      <c r="P174" s="72" t="str">
        <f aca="false">IF(O174="","",B174&amp;"-P"&amp;O174)</f>
        <v/>
      </c>
      <c r="Q174" s="73" t="str">
        <f aca="false">IF(AND(N174="Sí",E174="Plazo fijo",ISNUMBER(F174)),COUNTIFS(C_ID,B174,C_TIPO,"Plazo fijo",C_DEFINE,"Sí",C_INICIO,"&lt;"&amp;F174)+COUNTIFS(B$7:B174,B174,E$7:E174,"Plazo fijo",N$7:N174,"Sí",F$7:F174,F174),"")</f>
        <v/>
      </c>
      <c r="R174" s="73" t="str">
        <f aca="false">IF(AND(B174&lt;&gt;"",ISNUMBER(H174),ISNUMBER(F174)),COUNTIFS(C_ID,B174,C_SUELDO,"&lt;&gt;",C_INICIO,"&lt;"&amp;F174)+COUNTIFS(B$7:B174,B174,H$7:H174,"&lt;&gt;",F$7:F174,F174),"")</f>
        <v/>
      </c>
      <c r="S174" s="72" t="str">
        <f aca="false">IF(R174="","",B174&amp;"-S"&amp;R174)</f>
        <v/>
      </c>
      <c r="T174" s="74" t="str">
        <f aca="false">IF(AND(ISNUMBER(F174),ISNUMBER(G174)),ROUND((G174-F174+1)/30.4375,1),"")</f>
        <v/>
      </c>
      <c r="U174" s="70" t="str">
        <f aca="false">IF(B174="","",IF(AND(N174="Sí",OR(E174="",NOT(ISNUMBER(F174)))),"⚠ Falta tipo de contrato o fecha de inicio",IF(NOT(ISNUMBER(F174)),"⚠ Falta fecha de inicio",IF(AND(N174="Sí",E174&lt;&gt;"Indefinido",NOT(ISNUMBER(G174))),"⚠ Falta fecha de término",IF(AND(D174="Paso a indefinido",E174&lt;&gt;"Indefinido"),"⚠ Un paso a indefinido debe tener tipo Indefinido",IF(N(Q174)&gt;=3,"⚠ 3er contrato a plazo fijo: por ley ya es INDEFINIDO (Art. 159 N°4)",IF(AND(E174="Plazo fijo",N(T174)&gt;12),"⚠ Plazo fijo mayor a 1 año (máx. legal; 2 años solo profesionales o técnicos)",IF(AND(ISNUMBER(G174),G174&lt;F174),"⚠ Término anterior al inicio",IF(AND(D174="Contrato inicial",ISNUMBER(J174),J174-F174&gt;15),"⚠ Escriturado fuera de plazo (Art. 9: 15 días)",IF(K174&lt;&gt;"Sí","Pendiente de firma","OK"))))))))))</f>
        <v/>
      </c>
    </row>
    <row r="175" customFormat="false" ht="15" hidden="false" customHeight="false" outlineLevel="0" collapsed="false">
      <c r="B175" s="64"/>
      <c r="C175" s="72" t="str">
        <f aca="false">IF(B175="","",IFERROR(INDEX(T_NOMBRE,MATCH(B175,T_ID,0)),"⚠ ID no existe en Trabajadores"))</f>
        <v/>
      </c>
      <c r="D175" s="64"/>
      <c r="E175" s="64"/>
      <c r="F175" s="65"/>
      <c r="G175" s="65"/>
      <c r="H175" s="67"/>
      <c r="I175" s="64"/>
      <c r="J175" s="65"/>
      <c r="K175" s="64"/>
      <c r="L175" s="64"/>
      <c r="M175" s="64"/>
      <c r="N175" s="72" t="str">
        <f aca="false">IF(B175="","",IF(D175="Anexo de modificación","No","Sí"))</f>
        <v/>
      </c>
      <c r="O175" s="73" t="str">
        <f aca="false">IF(AND(N175="Sí",ISNUMBER(F175)),COUNTIFS(C_ID,B175,C_DEFINE,"Sí",C_INICIO,"&lt;"&amp;F175)+COUNTIFS(B$7:B175,B175,N$7:N175,"Sí",F$7:F175,F175),"")</f>
        <v/>
      </c>
      <c r="P175" s="72" t="str">
        <f aca="false">IF(O175="","",B175&amp;"-P"&amp;O175)</f>
        <v/>
      </c>
      <c r="Q175" s="73" t="str">
        <f aca="false">IF(AND(N175="Sí",E175="Plazo fijo",ISNUMBER(F175)),COUNTIFS(C_ID,B175,C_TIPO,"Plazo fijo",C_DEFINE,"Sí",C_INICIO,"&lt;"&amp;F175)+COUNTIFS(B$7:B175,B175,E$7:E175,"Plazo fijo",N$7:N175,"Sí",F$7:F175,F175),"")</f>
        <v/>
      </c>
      <c r="R175" s="73" t="str">
        <f aca="false">IF(AND(B175&lt;&gt;"",ISNUMBER(H175),ISNUMBER(F175)),COUNTIFS(C_ID,B175,C_SUELDO,"&lt;&gt;",C_INICIO,"&lt;"&amp;F175)+COUNTIFS(B$7:B175,B175,H$7:H175,"&lt;&gt;",F$7:F175,F175),"")</f>
        <v/>
      </c>
      <c r="S175" s="72" t="str">
        <f aca="false">IF(R175="","",B175&amp;"-S"&amp;R175)</f>
        <v/>
      </c>
      <c r="T175" s="74" t="str">
        <f aca="false">IF(AND(ISNUMBER(F175),ISNUMBER(G175)),ROUND((G175-F175+1)/30.4375,1),"")</f>
        <v/>
      </c>
      <c r="U175" s="70" t="str">
        <f aca="false">IF(B175="","",IF(AND(N175="Sí",OR(E175="",NOT(ISNUMBER(F175)))),"⚠ Falta tipo de contrato o fecha de inicio",IF(NOT(ISNUMBER(F175)),"⚠ Falta fecha de inicio",IF(AND(N175="Sí",E175&lt;&gt;"Indefinido",NOT(ISNUMBER(G175))),"⚠ Falta fecha de término",IF(AND(D175="Paso a indefinido",E175&lt;&gt;"Indefinido"),"⚠ Un paso a indefinido debe tener tipo Indefinido",IF(N(Q175)&gt;=3,"⚠ 3er contrato a plazo fijo: por ley ya es INDEFINIDO (Art. 159 N°4)",IF(AND(E175="Plazo fijo",N(T175)&gt;12),"⚠ Plazo fijo mayor a 1 año (máx. legal; 2 años solo profesionales o técnicos)",IF(AND(ISNUMBER(G175),G175&lt;F175),"⚠ Término anterior al inicio",IF(AND(D175="Contrato inicial",ISNUMBER(J175),J175-F175&gt;15),"⚠ Escriturado fuera de plazo (Art. 9: 15 días)",IF(K175&lt;&gt;"Sí","Pendiente de firma","OK"))))))))))</f>
        <v/>
      </c>
    </row>
    <row r="176" customFormat="false" ht="15" hidden="false" customHeight="false" outlineLevel="0" collapsed="false">
      <c r="B176" s="64"/>
      <c r="C176" s="72" t="str">
        <f aca="false">IF(B176="","",IFERROR(INDEX(T_NOMBRE,MATCH(B176,T_ID,0)),"⚠ ID no existe en Trabajadores"))</f>
        <v/>
      </c>
      <c r="D176" s="64"/>
      <c r="E176" s="64"/>
      <c r="F176" s="65"/>
      <c r="G176" s="65"/>
      <c r="H176" s="67"/>
      <c r="I176" s="64"/>
      <c r="J176" s="65"/>
      <c r="K176" s="64"/>
      <c r="L176" s="64"/>
      <c r="M176" s="64"/>
      <c r="N176" s="72" t="str">
        <f aca="false">IF(B176="","",IF(D176="Anexo de modificación","No","Sí"))</f>
        <v/>
      </c>
      <c r="O176" s="73" t="str">
        <f aca="false">IF(AND(N176="Sí",ISNUMBER(F176)),COUNTIFS(C_ID,B176,C_DEFINE,"Sí",C_INICIO,"&lt;"&amp;F176)+COUNTIFS(B$7:B176,B176,N$7:N176,"Sí",F$7:F176,F176),"")</f>
        <v/>
      </c>
      <c r="P176" s="72" t="str">
        <f aca="false">IF(O176="","",B176&amp;"-P"&amp;O176)</f>
        <v/>
      </c>
      <c r="Q176" s="73" t="str">
        <f aca="false">IF(AND(N176="Sí",E176="Plazo fijo",ISNUMBER(F176)),COUNTIFS(C_ID,B176,C_TIPO,"Plazo fijo",C_DEFINE,"Sí",C_INICIO,"&lt;"&amp;F176)+COUNTIFS(B$7:B176,B176,E$7:E176,"Plazo fijo",N$7:N176,"Sí",F$7:F176,F176),"")</f>
        <v/>
      </c>
      <c r="R176" s="73" t="str">
        <f aca="false">IF(AND(B176&lt;&gt;"",ISNUMBER(H176),ISNUMBER(F176)),COUNTIFS(C_ID,B176,C_SUELDO,"&lt;&gt;",C_INICIO,"&lt;"&amp;F176)+COUNTIFS(B$7:B176,B176,H$7:H176,"&lt;&gt;",F$7:F176,F176),"")</f>
        <v/>
      </c>
      <c r="S176" s="72" t="str">
        <f aca="false">IF(R176="","",B176&amp;"-S"&amp;R176)</f>
        <v/>
      </c>
      <c r="T176" s="74" t="str">
        <f aca="false">IF(AND(ISNUMBER(F176),ISNUMBER(G176)),ROUND((G176-F176+1)/30.4375,1),"")</f>
        <v/>
      </c>
      <c r="U176" s="70" t="str">
        <f aca="false">IF(B176="","",IF(AND(N176="Sí",OR(E176="",NOT(ISNUMBER(F176)))),"⚠ Falta tipo de contrato o fecha de inicio",IF(NOT(ISNUMBER(F176)),"⚠ Falta fecha de inicio",IF(AND(N176="Sí",E176&lt;&gt;"Indefinido",NOT(ISNUMBER(G176))),"⚠ Falta fecha de término",IF(AND(D176="Paso a indefinido",E176&lt;&gt;"Indefinido"),"⚠ Un paso a indefinido debe tener tipo Indefinido",IF(N(Q176)&gt;=3,"⚠ 3er contrato a plazo fijo: por ley ya es INDEFINIDO (Art. 159 N°4)",IF(AND(E176="Plazo fijo",N(T176)&gt;12),"⚠ Plazo fijo mayor a 1 año (máx. legal; 2 años solo profesionales o técnicos)",IF(AND(ISNUMBER(G176),G176&lt;F176),"⚠ Término anterior al inicio",IF(AND(D176="Contrato inicial",ISNUMBER(J176),J176-F176&gt;15),"⚠ Escriturado fuera de plazo (Art. 9: 15 días)",IF(K176&lt;&gt;"Sí","Pendiente de firma","OK"))))))))))</f>
        <v/>
      </c>
    </row>
    <row r="177" customFormat="false" ht="15" hidden="false" customHeight="false" outlineLevel="0" collapsed="false">
      <c r="B177" s="64"/>
      <c r="C177" s="72" t="str">
        <f aca="false">IF(B177="","",IFERROR(INDEX(T_NOMBRE,MATCH(B177,T_ID,0)),"⚠ ID no existe en Trabajadores"))</f>
        <v/>
      </c>
      <c r="D177" s="64"/>
      <c r="E177" s="64"/>
      <c r="F177" s="65"/>
      <c r="G177" s="65"/>
      <c r="H177" s="67"/>
      <c r="I177" s="64"/>
      <c r="J177" s="65"/>
      <c r="K177" s="64"/>
      <c r="L177" s="64"/>
      <c r="M177" s="64"/>
      <c r="N177" s="72" t="str">
        <f aca="false">IF(B177="","",IF(D177="Anexo de modificación","No","Sí"))</f>
        <v/>
      </c>
      <c r="O177" s="73" t="str">
        <f aca="false">IF(AND(N177="Sí",ISNUMBER(F177)),COUNTIFS(C_ID,B177,C_DEFINE,"Sí",C_INICIO,"&lt;"&amp;F177)+COUNTIFS(B$7:B177,B177,N$7:N177,"Sí",F$7:F177,F177),"")</f>
        <v/>
      </c>
      <c r="P177" s="72" t="str">
        <f aca="false">IF(O177="","",B177&amp;"-P"&amp;O177)</f>
        <v/>
      </c>
      <c r="Q177" s="73" t="str">
        <f aca="false">IF(AND(N177="Sí",E177="Plazo fijo",ISNUMBER(F177)),COUNTIFS(C_ID,B177,C_TIPO,"Plazo fijo",C_DEFINE,"Sí",C_INICIO,"&lt;"&amp;F177)+COUNTIFS(B$7:B177,B177,E$7:E177,"Plazo fijo",N$7:N177,"Sí",F$7:F177,F177),"")</f>
        <v/>
      </c>
      <c r="R177" s="73" t="str">
        <f aca="false">IF(AND(B177&lt;&gt;"",ISNUMBER(H177),ISNUMBER(F177)),COUNTIFS(C_ID,B177,C_SUELDO,"&lt;&gt;",C_INICIO,"&lt;"&amp;F177)+COUNTIFS(B$7:B177,B177,H$7:H177,"&lt;&gt;",F$7:F177,F177),"")</f>
        <v/>
      </c>
      <c r="S177" s="72" t="str">
        <f aca="false">IF(R177="","",B177&amp;"-S"&amp;R177)</f>
        <v/>
      </c>
      <c r="T177" s="74" t="str">
        <f aca="false">IF(AND(ISNUMBER(F177),ISNUMBER(G177)),ROUND((G177-F177+1)/30.4375,1),"")</f>
        <v/>
      </c>
      <c r="U177" s="70" t="str">
        <f aca="false">IF(B177="","",IF(AND(N177="Sí",OR(E177="",NOT(ISNUMBER(F177)))),"⚠ Falta tipo de contrato o fecha de inicio",IF(NOT(ISNUMBER(F177)),"⚠ Falta fecha de inicio",IF(AND(N177="Sí",E177&lt;&gt;"Indefinido",NOT(ISNUMBER(G177))),"⚠ Falta fecha de término",IF(AND(D177="Paso a indefinido",E177&lt;&gt;"Indefinido"),"⚠ Un paso a indefinido debe tener tipo Indefinido",IF(N(Q177)&gt;=3,"⚠ 3er contrato a plazo fijo: por ley ya es INDEFINIDO (Art. 159 N°4)",IF(AND(E177="Plazo fijo",N(T177)&gt;12),"⚠ Plazo fijo mayor a 1 año (máx. legal; 2 años solo profesionales o técnicos)",IF(AND(ISNUMBER(G177),G177&lt;F177),"⚠ Término anterior al inicio",IF(AND(D177="Contrato inicial",ISNUMBER(J177),J177-F177&gt;15),"⚠ Escriturado fuera de plazo (Art. 9: 15 días)",IF(K177&lt;&gt;"Sí","Pendiente de firma","OK"))))))))))</f>
        <v/>
      </c>
    </row>
    <row r="178" customFormat="false" ht="15" hidden="false" customHeight="false" outlineLevel="0" collapsed="false">
      <c r="B178" s="64"/>
      <c r="C178" s="72" t="str">
        <f aca="false">IF(B178="","",IFERROR(INDEX(T_NOMBRE,MATCH(B178,T_ID,0)),"⚠ ID no existe en Trabajadores"))</f>
        <v/>
      </c>
      <c r="D178" s="64"/>
      <c r="E178" s="64"/>
      <c r="F178" s="65"/>
      <c r="G178" s="65"/>
      <c r="H178" s="67"/>
      <c r="I178" s="64"/>
      <c r="J178" s="65"/>
      <c r="K178" s="64"/>
      <c r="L178" s="64"/>
      <c r="M178" s="64"/>
      <c r="N178" s="72" t="str">
        <f aca="false">IF(B178="","",IF(D178="Anexo de modificación","No","Sí"))</f>
        <v/>
      </c>
      <c r="O178" s="73" t="str">
        <f aca="false">IF(AND(N178="Sí",ISNUMBER(F178)),COUNTIFS(C_ID,B178,C_DEFINE,"Sí",C_INICIO,"&lt;"&amp;F178)+COUNTIFS(B$7:B178,B178,N$7:N178,"Sí",F$7:F178,F178),"")</f>
        <v/>
      </c>
      <c r="P178" s="72" t="str">
        <f aca="false">IF(O178="","",B178&amp;"-P"&amp;O178)</f>
        <v/>
      </c>
      <c r="Q178" s="73" t="str">
        <f aca="false">IF(AND(N178="Sí",E178="Plazo fijo",ISNUMBER(F178)),COUNTIFS(C_ID,B178,C_TIPO,"Plazo fijo",C_DEFINE,"Sí",C_INICIO,"&lt;"&amp;F178)+COUNTIFS(B$7:B178,B178,E$7:E178,"Plazo fijo",N$7:N178,"Sí",F$7:F178,F178),"")</f>
        <v/>
      </c>
      <c r="R178" s="73" t="str">
        <f aca="false">IF(AND(B178&lt;&gt;"",ISNUMBER(H178),ISNUMBER(F178)),COUNTIFS(C_ID,B178,C_SUELDO,"&lt;&gt;",C_INICIO,"&lt;"&amp;F178)+COUNTIFS(B$7:B178,B178,H$7:H178,"&lt;&gt;",F$7:F178,F178),"")</f>
        <v/>
      </c>
      <c r="S178" s="72" t="str">
        <f aca="false">IF(R178="","",B178&amp;"-S"&amp;R178)</f>
        <v/>
      </c>
      <c r="T178" s="74" t="str">
        <f aca="false">IF(AND(ISNUMBER(F178),ISNUMBER(G178)),ROUND((G178-F178+1)/30.4375,1),"")</f>
        <v/>
      </c>
      <c r="U178" s="70" t="str">
        <f aca="false">IF(B178="","",IF(AND(N178="Sí",OR(E178="",NOT(ISNUMBER(F178)))),"⚠ Falta tipo de contrato o fecha de inicio",IF(NOT(ISNUMBER(F178)),"⚠ Falta fecha de inicio",IF(AND(N178="Sí",E178&lt;&gt;"Indefinido",NOT(ISNUMBER(G178))),"⚠ Falta fecha de término",IF(AND(D178="Paso a indefinido",E178&lt;&gt;"Indefinido"),"⚠ Un paso a indefinido debe tener tipo Indefinido",IF(N(Q178)&gt;=3,"⚠ 3er contrato a plazo fijo: por ley ya es INDEFINIDO (Art. 159 N°4)",IF(AND(E178="Plazo fijo",N(T178)&gt;12),"⚠ Plazo fijo mayor a 1 año (máx. legal; 2 años solo profesionales o técnicos)",IF(AND(ISNUMBER(G178),G178&lt;F178),"⚠ Término anterior al inicio",IF(AND(D178="Contrato inicial",ISNUMBER(J178),J178-F178&gt;15),"⚠ Escriturado fuera de plazo (Art. 9: 15 días)",IF(K178&lt;&gt;"Sí","Pendiente de firma","OK"))))))))))</f>
        <v/>
      </c>
    </row>
    <row r="179" customFormat="false" ht="15" hidden="false" customHeight="false" outlineLevel="0" collapsed="false">
      <c r="B179" s="64"/>
      <c r="C179" s="72" t="str">
        <f aca="false">IF(B179="","",IFERROR(INDEX(T_NOMBRE,MATCH(B179,T_ID,0)),"⚠ ID no existe en Trabajadores"))</f>
        <v/>
      </c>
      <c r="D179" s="64"/>
      <c r="E179" s="64"/>
      <c r="F179" s="65"/>
      <c r="G179" s="65"/>
      <c r="H179" s="67"/>
      <c r="I179" s="64"/>
      <c r="J179" s="65"/>
      <c r="K179" s="64"/>
      <c r="L179" s="64"/>
      <c r="M179" s="64"/>
      <c r="N179" s="72" t="str">
        <f aca="false">IF(B179="","",IF(D179="Anexo de modificación","No","Sí"))</f>
        <v/>
      </c>
      <c r="O179" s="73" t="str">
        <f aca="false">IF(AND(N179="Sí",ISNUMBER(F179)),COUNTIFS(C_ID,B179,C_DEFINE,"Sí",C_INICIO,"&lt;"&amp;F179)+COUNTIFS(B$7:B179,B179,N$7:N179,"Sí",F$7:F179,F179),"")</f>
        <v/>
      </c>
      <c r="P179" s="72" t="str">
        <f aca="false">IF(O179="","",B179&amp;"-P"&amp;O179)</f>
        <v/>
      </c>
      <c r="Q179" s="73" t="str">
        <f aca="false">IF(AND(N179="Sí",E179="Plazo fijo",ISNUMBER(F179)),COUNTIFS(C_ID,B179,C_TIPO,"Plazo fijo",C_DEFINE,"Sí",C_INICIO,"&lt;"&amp;F179)+COUNTIFS(B$7:B179,B179,E$7:E179,"Plazo fijo",N$7:N179,"Sí",F$7:F179,F179),"")</f>
        <v/>
      </c>
      <c r="R179" s="73" t="str">
        <f aca="false">IF(AND(B179&lt;&gt;"",ISNUMBER(H179),ISNUMBER(F179)),COUNTIFS(C_ID,B179,C_SUELDO,"&lt;&gt;",C_INICIO,"&lt;"&amp;F179)+COUNTIFS(B$7:B179,B179,H$7:H179,"&lt;&gt;",F$7:F179,F179),"")</f>
        <v/>
      </c>
      <c r="S179" s="72" t="str">
        <f aca="false">IF(R179="","",B179&amp;"-S"&amp;R179)</f>
        <v/>
      </c>
      <c r="T179" s="74" t="str">
        <f aca="false">IF(AND(ISNUMBER(F179),ISNUMBER(G179)),ROUND((G179-F179+1)/30.4375,1),"")</f>
        <v/>
      </c>
      <c r="U179" s="70" t="str">
        <f aca="false">IF(B179="","",IF(AND(N179="Sí",OR(E179="",NOT(ISNUMBER(F179)))),"⚠ Falta tipo de contrato o fecha de inicio",IF(NOT(ISNUMBER(F179)),"⚠ Falta fecha de inicio",IF(AND(N179="Sí",E179&lt;&gt;"Indefinido",NOT(ISNUMBER(G179))),"⚠ Falta fecha de término",IF(AND(D179="Paso a indefinido",E179&lt;&gt;"Indefinido"),"⚠ Un paso a indefinido debe tener tipo Indefinido",IF(N(Q179)&gt;=3,"⚠ 3er contrato a plazo fijo: por ley ya es INDEFINIDO (Art. 159 N°4)",IF(AND(E179="Plazo fijo",N(T179)&gt;12),"⚠ Plazo fijo mayor a 1 año (máx. legal; 2 años solo profesionales o técnicos)",IF(AND(ISNUMBER(G179),G179&lt;F179),"⚠ Término anterior al inicio",IF(AND(D179="Contrato inicial",ISNUMBER(J179),J179-F179&gt;15),"⚠ Escriturado fuera de plazo (Art. 9: 15 días)",IF(K179&lt;&gt;"Sí","Pendiente de firma","OK"))))))))))</f>
        <v/>
      </c>
    </row>
    <row r="180" customFormat="false" ht="15" hidden="false" customHeight="false" outlineLevel="0" collapsed="false">
      <c r="B180" s="64"/>
      <c r="C180" s="72" t="str">
        <f aca="false">IF(B180="","",IFERROR(INDEX(T_NOMBRE,MATCH(B180,T_ID,0)),"⚠ ID no existe en Trabajadores"))</f>
        <v/>
      </c>
      <c r="D180" s="64"/>
      <c r="E180" s="64"/>
      <c r="F180" s="65"/>
      <c r="G180" s="65"/>
      <c r="H180" s="67"/>
      <c r="I180" s="64"/>
      <c r="J180" s="65"/>
      <c r="K180" s="64"/>
      <c r="L180" s="64"/>
      <c r="M180" s="64"/>
      <c r="N180" s="72" t="str">
        <f aca="false">IF(B180="","",IF(D180="Anexo de modificación","No","Sí"))</f>
        <v/>
      </c>
      <c r="O180" s="73" t="str">
        <f aca="false">IF(AND(N180="Sí",ISNUMBER(F180)),COUNTIFS(C_ID,B180,C_DEFINE,"Sí",C_INICIO,"&lt;"&amp;F180)+COUNTIFS(B$7:B180,B180,N$7:N180,"Sí",F$7:F180,F180),"")</f>
        <v/>
      </c>
      <c r="P180" s="72" t="str">
        <f aca="false">IF(O180="","",B180&amp;"-P"&amp;O180)</f>
        <v/>
      </c>
      <c r="Q180" s="73" t="str">
        <f aca="false">IF(AND(N180="Sí",E180="Plazo fijo",ISNUMBER(F180)),COUNTIFS(C_ID,B180,C_TIPO,"Plazo fijo",C_DEFINE,"Sí",C_INICIO,"&lt;"&amp;F180)+COUNTIFS(B$7:B180,B180,E$7:E180,"Plazo fijo",N$7:N180,"Sí",F$7:F180,F180),"")</f>
        <v/>
      </c>
      <c r="R180" s="73" t="str">
        <f aca="false">IF(AND(B180&lt;&gt;"",ISNUMBER(H180),ISNUMBER(F180)),COUNTIFS(C_ID,B180,C_SUELDO,"&lt;&gt;",C_INICIO,"&lt;"&amp;F180)+COUNTIFS(B$7:B180,B180,H$7:H180,"&lt;&gt;",F$7:F180,F180),"")</f>
        <v/>
      </c>
      <c r="S180" s="72" t="str">
        <f aca="false">IF(R180="","",B180&amp;"-S"&amp;R180)</f>
        <v/>
      </c>
      <c r="T180" s="74" t="str">
        <f aca="false">IF(AND(ISNUMBER(F180),ISNUMBER(G180)),ROUND((G180-F180+1)/30.4375,1),"")</f>
        <v/>
      </c>
      <c r="U180" s="70" t="str">
        <f aca="false">IF(B180="","",IF(AND(N180="Sí",OR(E180="",NOT(ISNUMBER(F180)))),"⚠ Falta tipo de contrato o fecha de inicio",IF(NOT(ISNUMBER(F180)),"⚠ Falta fecha de inicio",IF(AND(N180="Sí",E180&lt;&gt;"Indefinido",NOT(ISNUMBER(G180))),"⚠ Falta fecha de término",IF(AND(D180="Paso a indefinido",E180&lt;&gt;"Indefinido"),"⚠ Un paso a indefinido debe tener tipo Indefinido",IF(N(Q180)&gt;=3,"⚠ 3er contrato a plazo fijo: por ley ya es INDEFINIDO (Art. 159 N°4)",IF(AND(E180="Plazo fijo",N(T180)&gt;12),"⚠ Plazo fijo mayor a 1 año (máx. legal; 2 años solo profesionales o técnicos)",IF(AND(ISNUMBER(G180),G180&lt;F180),"⚠ Término anterior al inicio",IF(AND(D180="Contrato inicial",ISNUMBER(J180),J180-F180&gt;15),"⚠ Escriturado fuera de plazo (Art. 9: 15 días)",IF(K180&lt;&gt;"Sí","Pendiente de firma","OK"))))))))))</f>
        <v/>
      </c>
    </row>
    <row r="181" customFormat="false" ht="15" hidden="false" customHeight="false" outlineLevel="0" collapsed="false">
      <c r="B181" s="64"/>
      <c r="C181" s="72" t="str">
        <f aca="false">IF(B181="","",IFERROR(INDEX(T_NOMBRE,MATCH(B181,T_ID,0)),"⚠ ID no existe en Trabajadores"))</f>
        <v/>
      </c>
      <c r="D181" s="64"/>
      <c r="E181" s="64"/>
      <c r="F181" s="65"/>
      <c r="G181" s="65"/>
      <c r="H181" s="67"/>
      <c r="I181" s="64"/>
      <c r="J181" s="65"/>
      <c r="K181" s="64"/>
      <c r="L181" s="64"/>
      <c r="M181" s="64"/>
      <c r="N181" s="72" t="str">
        <f aca="false">IF(B181="","",IF(D181="Anexo de modificación","No","Sí"))</f>
        <v/>
      </c>
      <c r="O181" s="73" t="str">
        <f aca="false">IF(AND(N181="Sí",ISNUMBER(F181)),COUNTIFS(C_ID,B181,C_DEFINE,"Sí",C_INICIO,"&lt;"&amp;F181)+COUNTIFS(B$7:B181,B181,N$7:N181,"Sí",F$7:F181,F181),"")</f>
        <v/>
      </c>
      <c r="P181" s="72" t="str">
        <f aca="false">IF(O181="","",B181&amp;"-P"&amp;O181)</f>
        <v/>
      </c>
      <c r="Q181" s="73" t="str">
        <f aca="false">IF(AND(N181="Sí",E181="Plazo fijo",ISNUMBER(F181)),COUNTIFS(C_ID,B181,C_TIPO,"Plazo fijo",C_DEFINE,"Sí",C_INICIO,"&lt;"&amp;F181)+COUNTIFS(B$7:B181,B181,E$7:E181,"Plazo fijo",N$7:N181,"Sí",F$7:F181,F181),"")</f>
        <v/>
      </c>
      <c r="R181" s="73" t="str">
        <f aca="false">IF(AND(B181&lt;&gt;"",ISNUMBER(H181),ISNUMBER(F181)),COUNTIFS(C_ID,B181,C_SUELDO,"&lt;&gt;",C_INICIO,"&lt;"&amp;F181)+COUNTIFS(B$7:B181,B181,H$7:H181,"&lt;&gt;",F$7:F181,F181),"")</f>
        <v/>
      </c>
      <c r="S181" s="72" t="str">
        <f aca="false">IF(R181="","",B181&amp;"-S"&amp;R181)</f>
        <v/>
      </c>
      <c r="T181" s="74" t="str">
        <f aca="false">IF(AND(ISNUMBER(F181),ISNUMBER(G181)),ROUND((G181-F181+1)/30.4375,1),"")</f>
        <v/>
      </c>
      <c r="U181" s="70" t="str">
        <f aca="false">IF(B181="","",IF(AND(N181="Sí",OR(E181="",NOT(ISNUMBER(F181)))),"⚠ Falta tipo de contrato o fecha de inicio",IF(NOT(ISNUMBER(F181)),"⚠ Falta fecha de inicio",IF(AND(N181="Sí",E181&lt;&gt;"Indefinido",NOT(ISNUMBER(G181))),"⚠ Falta fecha de término",IF(AND(D181="Paso a indefinido",E181&lt;&gt;"Indefinido"),"⚠ Un paso a indefinido debe tener tipo Indefinido",IF(N(Q181)&gt;=3,"⚠ 3er contrato a plazo fijo: por ley ya es INDEFINIDO (Art. 159 N°4)",IF(AND(E181="Plazo fijo",N(T181)&gt;12),"⚠ Plazo fijo mayor a 1 año (máx. legal; 2 años solo profesionales o técnicos)",IF(AND(ISNUMBER(G181),G181&lt;F181),"⚠ Término anterior al inicio",IF(AND(D181="Contrato inicial",ISNUMBER(J181),J181-F181&gt;15),"⚠ Escriturado fuera de plazo (Art. 9: 15 días)",IF(K181&lt;&gt;"Sí","Pendiente de firma","OK"))))))))))</f>
        <v/>
      </c>
    </row>
    <row r="182" customFormat="false" ht="15" hidden="false" customHeight="false" outlineLevel="0" collapsed="false">
      <c r="B182" s="64"/>
      <c r="C182" s="72" t="str">
        <f aca="false">IF(B182="","",IFERROR(INDEX(T_NOMBRE,MATCH(B182,T_ID,0)),"⚠ ID no existe en Trabajadores"))</f>
        <v/>
      </c>
      <c r="D182" s="64"/>
      <c r="E182" s="64"/>
      <c r="F182" s="65"/>
      <c r="G182" s="65"/>
      <c r="H182" s="67"/>
      <c r="I182" s="64"/>
      <c r="J182" s="65"/>
      <c r="K182" s="64"/>
      <c r="L182" s="64"/>
      <c r="M182" s="64"/>
      <c r="N182" s="72" t="str">
        <f aca="false">IF(B182="","",IF(D182="Anexo de modificación","No","Sí"))</f>
        <v/>
      </c>
      <c r="O182" s="73" t="str">
        <f aca="false">IF(AND(N182="Sí",ISNUMBER(F182)),COUNTIFS(C_ID,B182,C_DEFINE,"Sí",C_INICIO,"&lt;"&amp;F182)+COUNTIFS(B$7:B182,B182,N$7:N182,"Sí",F$7:F182,F182),"")</f>
        <v/>
      </c>
      <c r="P182" s="72" t="str">
        <f aca="false">IF(O182="","",B182&amp;"-P"&amp;O182)</f>
        <v/>
      </c>
      <c r="Q182" s="73" t="str">
        <f aca="false">IF(AND(N182="Sí",E182="Plazo fijo",ISNUMBER(F182)),COUNTIFS(C_ID,B182,C_TIPO,"Plazo fijo",C_DEFINE,"Sí",C_INICIO,"&lt;"&amp;F182)+COUNTIFS(B$7:B182,B182,E$7:E182,"Plazo fijo",N$7:N182,"Sí",F$7:F182,F182),"")</f>
        <v/>
      </c>
      <c r="R182" s="73" t="str">
        <f aca="false">IF(AND(B182&lt;&gt;"",ISNUMBER(H182),ISNUMBER(F182)),COUNTIFS(C_ID,B182,C_SUELDO,"&lt;&gt;",C_INICIO,"&lt;"&amp;F182)+COUNTIFS(B$7:B182,B182,H$7:H182,"&lt;&gt;",F$7:F182,F182),"")</f>
        <v/>
      </c>
      <c r="S182" s="72" t="str">
        <f aca="false">IF(R182="","",B182&amp;"-S"&amp;R182)</f>
        <v/>
      </c>
      <c r="T182" s="74" t="str">
        <f aca="false">IF(AND(ISNUMBER(F182),ISNUMBER(G182)),ROUND((G182-F182+1)/30.4375,1),"")</f>
        <v/>
      </c>
      <c r="U182" s="70" t="str">
        <f aca="false">IF(B182="","",IF(AND(N182="Sí",OR(E182="",NOT(ISNUMBER(F182)))),"⚠ Falta tipo de contrato o fecha de inicio",IF(NOT(ISNUMBER(F182)),"⚠ Falta fecha de inicio",IF(AND(N182="Sí",E182&lt;&gt;"Indefinido",NOT(ISNUMBER(G182))),"⚠ Falta fecha de término",IF(AND(D182="Paso a indefinido",E182&lt;&gt;"Indefinido"),"⚠ Un paso a indefinido debe tener tipo Indefinido",IF(N(Q182)&gt;=3,"⚠ 3er contrato a plazo fijo: por ley ya es INDEFINIDO (Art. 159 N°4)",IF(AND(E182="Plazo fijo",N(T182)&gt;12),"⚠ Plazo fijo mayor a 1 año (máx. legal; 2 años solo profesionales o técnicos)",IF(AND(ISNUMBER(G182),G182&lt;F182),"⚠ Término anterior al inicio",IF(AND(D182="Contrato inicial",ISNUMBER(J182),J182-F182&gt;15),"⚠ Escriturado fuera de plazo (Art. 9: 15 días)",IF(K182&lt;&gt;"Sí","Pendiente de firma","OK"))))))))))</f>
        <v/>
      </c>
    </row>
    <row r="183" customFormat="false" ht="15" hidden="false" customHeight="false" outlineLevel="0" collapsed="false">
      <c r="B183" s="64"/>
      <c r="C183" s="72" t="str">
        <f aca="false">IF(B183="","",IFERROR(INDEX(T_NOMBRE,MATCH(B183,T_ID,0)),"⚠ ID no existe en Trabajadores"))</f>
        <v/>
      </c>
      <c r="D183" s="64"/>
      <c r="E183" s="64"/>
      <c r="F183" s="65"/>
      <c r="G183" s="65"/>
      <c r="H183" s="67"/>
      <c r="I183" s="64"/>
      <c r="J183" s="65"/>
      <c r="K183" s="64"/>
      <c r="L183" s="64"/>
      <c r="M183" s="64"/>
      <c r="N183" s="72" t="str">
        <f aca="false">IF(B183="","",IF(D183="Anexo de modificación","No","Sí"))</f>
        <v/>
      </c>
      <c r="O183" s="73" t="str">
        <f aca="false">IF(AND(N183="Sí",ISNUMBER(F183)),COUNTIFS(C_ID,B183,C_DEFINE,"Sí",C_INICIO,"&lt;"&amp;F183)+COUNTIFS(B$7:B183,B183,N$7:N183,"Sí",F$7:F183,F183),"")</f>
        <v/>
      </c>
      <c r="P183" s="72" t="str">
        <f aca="false">IF(O183="","",B183&amp;"-P"&amp;O183)</f>
        <v/>
      </c>
      <c r="Q183" s="73" t="str">
        <f aca="false">IF(AND(N183="Sí",E183="Plazo fijo",ISNUMBER(F183)),COUNTIFS(C_ID,B183,C_TIPO,"Plazo fijo",C_DEFINE,"Sí",C_INICIO,"&lt;"&amp;F183)+COUNTIFS(B$7:B183,B183,E$7:E183,"Plazo fijo",N$7:N183,"Sí",F$7:F183,F183),"")</f>
        <v/>
      </c>
      <c r="R183" s="73" t="str">
        <f aca="false">IF(AND(B183&lt;&gt;"",ISNUMBER(H183),ISNUMBER(F183)),COUNTIFS(C_ID,B183,C_SUELDO,"&lt;&gt;",C_INICIO,"&lt;"&amp;F183)+COUNTIFS(B$7:B183,B183,H$7:H183,"&lt;&gt;",F$7:F183,F183),"")</f>
        <v/>
      </c>
      <c r="S183" s="72" t="str">
        <f aca="false">IF(R183="","",B183&amp;"-S"&amp;R183)</f>
        <v/>
      </c>
      <c r="T183" s="74" t="str">
        <f aca="false">IF(AND(ISNUMBER(F183),ISNUMBER(G183)),ROUND((G183-F183+1)/30.4375,1),"")</f>
        <v/>
      </c>
      <c r="U183" s="70" t="str">
        <f aca="false">IF(B183="","",IF(AND(N183="Sí",OR(E183="",NOT(ISNUMBER(F183)))),"⚠ Falta tipo de contrato o fecha de inicio",IF(NOT(ISNUMBER(F183)),"⚠ Falta fecha de inicio",IF(AND(N183="Sí",E183&lt;&gt;"Indefinido",NOT(ISNUMBER(G183))),"⚠ Falta fecha de término",IF(AND(D183="Paso a indefinido",E183&lt;&gt;"Indefinido"),"⚠ Un paso a indefinido debe tener tipo Indefinido",IF(N(Q183)&gt;=3,"⚠ 3er contrato a plazo fijo: por ley ya es INDEFINIDO (Art. 159 N°4)",IF(AND(E183="Plazo fijo",N(T183)&gt;12),"⚠ Plazo fijo mayor a 1 año (máx. legal; 2 años solo profesionales o técnicos)",IF(AND(ISNUMBER(G183),G183&lt;F183),"⚠ Término anterior al inicio",IF(AND(D183="Contrato inicial",ISNUMBER(J183),J183-F183&gt;15),"⚠ Escriturado fuera de plazo (Art. 9: 15 días)",IF(K183&lt;&gt;"Sí","Pendiente de firma","OK"))))))))))</f>
        <v/>
      </c>
    </row>
    <row r="184" customFormat="false" ht="15" hidden="false" customHeight="false" outlineLevel="0" collapsed="false">
      <c r="B184" s="64"/>
      <c r="C184" s="72" t="str">
        <f aca="false">IF(B184="","",IFERROR(INDEX(T_NOMBRE,MATCH(B184,T_ID,0)),"⚠ ID no existe en Trabajadores"))</f>
        <v/>
      </c>
      <c r="D184" s="64"/>
      <c r="E184" s="64"/>
      <c r="F184" s="65"/>
      <c r="G184" s="65"/>
      <c r="H184" s="67"/>
      <c r="I184" s="64"/>
      <c r="J184" s="65"/>
      <c r="K184" s="64"/>
      <c r="L184" s="64"/>
      <c r="M184" s="64"/>
      <c r="N184" s="72" t="str">
        <f aca="false">IF(B184="","",IF(D184="Anexo de modificación","No","Sí"))</f>
        <v/>
      </c>
      <c r="O184" s="73" t="str">
        <f aca="false">IF(AND(N184="Sí",ISNUMBER(F184)),COUNTIFS(C_ID,B184,C_DEFINE,"Sí",C_INICIO,"&lt;"&amp;F184)+COUNTIFS(B$7:B184,B184,N$7:N184,"Sí",F$7:F184,F184),"")</f>
        <v/>
      </c>
      <c r="P184" s="72" t="str">
        <f aca="false">IF(O184="","",B184&amp;"-P"&amp;O184)</f>
        <v/>
      </c>
      <c r="Q184" s="73" t="str">
        <f aca="false">IF(AND(N184="Sí",E184="Plazo fijo",ISNUMBER(F184)),COUNTIFS(C_ID,B184,C_TIPO,"Plazo fijo",C_DEFINE,"Sí",C_INICIO,"&lt;"&amp;F184)+COUNTIFS(B$7:B184,B184,E$7:E184,"Plazo fijo",N$7:N184,"Sí",F$7:F184,F184),"")</f>
        <v/>
      </c>
      <c r="R184" s="73" t="str">
        <f aca="false">IF(AND(B184&lt;&gt;"",ISNUMBER(H184),ISNUMBER(F184)),COUNTIFS(C_ID,B184,C_SUELDO,"&lt;&gt;",C_INICIO,"&lt;"&amp;F184)+COUNTIFS(B$7:B184,B184,H$7:H184,"&lt;&gt;",F$7:F184,F184),"")</f>
        <v/>
      </c>
      <c r="S184" s="72" t="str">
        <f aca="false">IF(R184="","",B184&amp;"-S"&amp;R184)</f>
        <v/>
      </c>
      <c r="T184" s="74" t="str">
        <f aca="false">IF(AND(ISNUMBER(F184),ISNUMBER(G184)),ROUND((G184-F184+1)/30.4375,1),"")</f>
        <v/>
      </c>
      <c r="U184" s="70" t="str">
        <f aca="false">IF(B184="","",IF(AND(N184="Sí",OR(E184="",NOT(ISNUMBER(F184)))),"⚠ Falta tipo de contrato o fecha de inicio",IF(NOT(ISNUMBER(F184)),"⚠ Falta fecha de inicio",IF(AND(N184="Sí",E184&lt;&gt;"Indefinido",NOT(ISNUMBER(G184))),"⚠ Falta fecha de término",IF(AND(D184="Paso a indefinido",E184&lt;&gt;"Indefinido"),"⚠ Un paso a indefinido debe tener tipo Indefinido",IF(N(Q184)&gt;=3,"⚠ 3er contrato a plazo fijo: por ley ya es INDEFINIDO (Art. 159 N°4)",IF(AND(E184="Plazo fijo",N(T184)&gt;12),"⚠ Plazo fijo mayor a 1 año (máx. legal; 2 años solo profesionales o técnicos)",IF(AND(ISNUMBER(G184),G184&lt;F184),"⚠ Término anterior al inicio",IF(AND(D184="Contrato inicial",ISNUMBER(J184),J184-F184&gt;15),"⚠ Escriturado fuera de plazo (Art. 9: 15 días)",IF(K184&lt;&gt;"Sí","Pendiente de firma","OK"))))))))))</f>
        <v/>
      </c>
    </row>
    <row r="185" customFormat="false" ht="15" hidden="false" customHeight="false" outlineLevel="0" collapsed="false">
      <c r="B185" s="64"/>
      <c r="C185" s="72" t="str">
        <f aca="false">IF(B185="","",IFERROR(INDEX(T_NOMBRE,MATCH(B185,T_ID,0)),"⚠ ID no existe en Trabajadores"))</f>
        <v/>
      </c>
      <c r="D185" s="64"/>
      <c r="E185" s="64"/>
      <c r="F185" s="65"/>
      <c r="G185" s="65"/>
      <c r="H185" s="67"/>
      <c r="I185" s="64"/>
      <c r="J185" s="65"/>
      <c r="K185" s="64"/>
      <c r="L185" s="64"/>
      <c r="M185" s="64"/>
      <c r="N185" s="72" t="str">
        <f aca="false">IF(B185="","",IF(D185="Anexo de modificación","No","Sí"))</f>
        <v/>
      </c>
      <c r="O185" s="73" t="str">
        <f aca="false">IF(AND(N185="Sí",ISNUMBER(F185)),COUNTIFS(C_ID,B185,C_DEFINE,"Sí",C_INICIO,"&lt;"&amp;F185)+COUNTIFS(B$7:B185,B185,N$7:N185,"Sí",F$7:F185,F185),"")</f>
        <v/>
      </c>
      <c r="P185" s="72" t="str">
        <f aca="false">IF(O185="","",B185&amp;"-P"&amp;O185)</f>
        <v/>
      </c>
      <c r="Q185" s="73" t="str">
        <f aca="false">IF(AND(N185="Sí",E185="Plazo fijo",ISNUMBER(F185)),COUNTIFS(C_ID,B185,C_TIPO,"Plazo fijo",C_DEFINE,"Sí",C_INICIO,"&lt;"&amp;F185)+COUNTIFS(B$7:B185,B185,E$7:E185,"Plazo fijo",N$7:N185,"Sí",F$7:F185,F185),"")</f>
        <v/>
      </c>
      <c r="R185" s="73" t="str">
        <f aca="false">IF(AND(B185&lt;&gt;"",ISNUMBER(H185),ISNUMBER(F185)),COUNTIFS(C_ID,B185,C_SUELDO,"&lt;&gt;",C_INICIO,"&lt;"&amp;F185)+COUNTIFS(B$7:B185,B185,H$7:H185,"&lt;&gt;",F$7:F185,F185),"")</f>
        <v/>
      </c>
      <c r="S185" s="72" t="str">
        <f aca="false">IF(R185="","",B185&amp;"-S"&amp;R185)</f>
        <v/>
      </c>
      <c r="T185" s="74" t="str">
        <f aca="false">IF(AND(ISNUMBER(F185),ISNUMBER(G185)),ROUND((G185-F185+1)/30.4375,1),"")</f>
        <v/>
      </c>
      <c r="U185" s="70" t="str">
        <f aca="false">IF(B185="","",IF(AND(N185="Sí",OR(E185="",NOT(ISNUMBER(F185)))),"⚠ Falta tipo de contrato o fecha de inicio",IF(NOT(ISNUMBER(F185)),"⚠ Falta fecha de inicio",IF(AND(N185="Sí",E185&lt;&gt;"Indefinido",NOT(ISNUMBER(G185))),"⚠ Falta fecha de término",IF(AND(D185="Paso a indefinido",E185&lt;&gt;"Indefinido"),"⚠ Un paso a indefinido debe tener tipo Indefinido",IF(N(Q185)&gt;=3,"⚠ 3er contrato a plazo fijo: por ley ya es INDEFINIDO (Art. 159 N°4)",IF(AND(E185="Plazo fijo",N(T185)&gt;12),"⚠ Plazo fijo mayor a 1 año (máx. legal; 2 años solo profesionales o técnicos)",IF(AND(ISNUMBER(G185),G185&lt;F185),"⚠ Término anterior al inicio",IF(AND(D185="Contrato inicial",ISNUMBER(J185),J185-F185&gt;15),"⚠ Escriturado fuera de plazo (Art. 9: 15 días)",IF(K185&lt;&gt;"Sí","Pendiente de firma","OK"))))))))))</f>
        <v/>
      </c>
    </row>
    <row r="186" customFormat="false" ht="15" hidden="false" customHeight="false" outlineLevel="0" collapsed="false">
      <c r="B186" s="64"/>
      <c r="C186" s="72" t="str">
        <f aca="false">IF(B186="","",IFERROR(INDEX(T_NOMBRE,MATCH(B186,T_ID,0)),"⚠ ID no existe en Trabajadores"))</f>
        <v/>
      </c>
      <c r="D186" s="64"/>
      <c r="E186" s="64"/>
      <c r="F186" s="65"/>
      <c r="G186" s="65"/>
      <c r="H186" s="67"/>
      <c r="I186" s="64"/>
      <c r="J186" s="65"/>
      <c r="K186" s="64"/>
      <c r="L186" s="64"/>
      <c r="M186" s="64"/>
      <c r="N186" s="72" t="str">
        <f aca="false">IF(B186="","",IF(D186="Anexo de modificación","No","Sí"))</f>
        <v/>
      </c>
      <c r="O186" s="73" t="str">
        <f aca="false">IF(AND(N186="Sí",ISNUMBER(F186)),COUNTIFS(C_ID,B186,C_DEFINE,"Sí",C_INICIO,"&lt;"&amp;F186)+COUNTIFS(B$7:B186,B186,N$7:N186,"Sí",F$7:F186,F186),"")</f>
        <v/>
      </c>
      <c r="P186" s="72" t="str">
        <f aca="false">IF(O186="","",B186&amp;"-P"&amp;O186)</f>
        <v/>
      </c>
      <c r="Q186" s="73" t="str">
        <f aca="false">IF(AND(N186="Sí",E186="Plazo fijo",ISNUMBER(F186)),COUNTIFS(C_ID,B186,C_TIPO,"Plazo fijo",C_DEFINE,"Sí",C_INICIO,"&lt;"&amp;F186)+COUNTIFS(B$7:B186,B186,E$7:E186,"Plazo fijo",N$7:N186,"Sí",F$7:F186,F186),"")</f>
        <v/>
      </c>
      <c r="R186" s="73" t="str">
        <f aca="false">IF(AND(B186&lt;&gt;"",ISNUMBER(H186),ISNUMBER(F186)),COUNTIFS(C_ID,B186,C_SUELDO,"&lt;&gt;",C_INICIO,"&lt;"&amp;F186)+COUNTIFS(B$7:B186,B186,H$7:H186,"&lt;&gt;",F$7:F186,F186),"")</f>
        <v/>
      </c>
      <c r="S186" s="72" t="str">
        <f aca="false">IF(R186="","",B186&amp;"-S"&amp;R186)</f>
        <v/>
      </c>
      <c r="T186" s="74" t="str">
        <f aca="false">IF(AND(ISNUMBER(F186),ISNUMBER(G186)),ROUND((G186-F186+1)/30.4375,1),"")</f>
        <v/>
      </c>
      <c r="U186" s="70" t="str">
        <f aca="false">IF(B186="","",IF(AND(N186="Sí",OR(E186="",NOT(ISNUMBER(F186)))),"⚠ Falta tipo de contrato o fecha de inicio",IF(NOT(ISNUMBER(F186)),"⚠ Falta fecha de inicio",IF(AND(N186="Sí",E186&lt;&gt;"Indefinido",NOT(ISNUMBER(G186))),"⚠ Falta fecha de término",IF(AND(D186="Paso a indefinido",E186&lt;&gt;"Indefinido"),"⚠ Un paso a indefinido debe tener tipo Indefinido",IF(N(Q186)&gt;=3,"⚠ 3er contrato a plazo fijo: por ley ya es INDEFINIDO (Art. 159 N°4)",IF(AND(E186="Plazo fijo",N(T186)&gt;12),"⚠ Plazo fijo mayor a 1 año (máx. legal; 2 años solo profesionales o técnicos)",IF(AND(ISNUMBER(G186),G186&lt;F186),"⚠ Término anterior al inicio",IF(AND(D186="Contrato inicial",ISNUMBER(J186),J186-F186&gt;15),"⚠ Escriturado fuera de plazo (Art. 9: 15 días)",IF(K186&lt;&gt;"Sí","Pendiente de firma","OK"))))))))))</f>
        <v/>
      </c>
    </row>
    <row r="187" customFormat="false" ht="15" hidden="false" customHeight="false" outlineLevel="0" collapsed="false">
      <c r="B187" s="64"/>
      <c r="C187" s="72" t="str">
        <f aca="false">IF(B187="","",IFERROR(INDEX(T_NOMBRE,MATCH(B187,T_ID,0)),"⚠ ID no existe en Trabajadores"))</f>
        <v/>
      </c>
      <c r="D187" s="64"/>
      <c r="E187" s="64"/>
      <c r="F187" s="65"/>
      <c r="G187" s="65"/>
      <c r="H187" s="67"/>
      <c r="I187" s="64"/>
      <c r="J187" s="65"/>
      <c r="K187" s="64"/>
      <c r="L187" s="64"/>
      <c r="M187" s="64"/>
      <c r="N187" s="72" t="str">
        <f aca="false">IF(B187="","",IF(D187="Anexo de modificación","No","Sí"))</f>
        <v/>
      </c>
      <c r="O187" s="73" t="str">
        <f aca="false">IF(AND(N187="Sí",ISNUMBER(F187)),COUNTIFS(C_ID,B187,C_DEFINE,"Sí",C_INICIO,"&lt;"&amp;F187)+COUNTIFS(B$7:B187,B187,N$7:N187,"Sí",F$7:F187,F187),"")</f>
        <v/>
      </c>
      <c r="P187" s="72" t="str">
        <f aca="false">IF(O187="","",B187&amp;"-P"&amp;O187)</f>
        <v/>
      </c>
      <c r="Q187" s="73" t="str">
        <f aca="false">IF(AND(N187="Sí",E187="Plazo fijo",ISNUMBER(F187)),COUNTIFS(C_ID,B187,C_TIPO,"Plazo fijo",C_DEFINE,"Sí",C_INICIO,"&lt;"&amp;F187)+COUNTIFS(B$7:B187,B187,E$7:E187,"Plazo fijo",N$7:N187,"Sí",F$7:F187,F187),"")</f>
        <v/>
      </c>
      <c r="R187" s="73" t="str">
        <f aca="false">IF(AND(B187&lt;&gt;"",ISNUMBER(H187),ISNUMBER(F187)),COUNTIFS(C_ID,B187,C_SUELDO,"&lt;&gt;",C_INICIO,"&lt;"&amp;F187)+COUNTIFS(B$7:B187,B187,H$7:H187,"&lt;&gt;",F$7:F187,F187),"")</f>
        <v/>
      </c>
      <c r="S187" s="72" t="str">
        <f aca="false">IF(R187="","",B187&amp;"-S"&amp;R187)</f>
        <v/>
      </c>
      <c r="T187" s="74" t="str">
        <f aca="false">IF(AND(ISNUMBER(F187),ISNUMBER(G187)),ROUND((G187-F187+1)/30.4375,1),"")</f>
        <v/>
      </c>
      <c r="U187" s="70" t="str">
        <f aca="false">IF(B187="","",IF(AND(N187="Sí",OR(E187="",NOT(ISNUMBER(F187)))),"⚠ Falta tipo de contrato o fecha de inicio",IF(NOT(ISNUMBER(F187)),"⚠ Falta fecha de inicio",IF(AND(N187="Sí",E187&lt;&gt;"Indefinido",NOT(ISNUMBER(G187))),"⚠ Falta fecha de término",IF(AND(D187="Paso a indefinido",E187&lt;&gt;"Indefinido"),"⚠ Un paso a indefinido debe tener tipo Indefinido",IF(N(Q187)&gt;=3,"⚠ 3er contrato a plazo fijo: por ley ya es INDEFINIDO (Art. 159 N°4)",IF(AND(E187="Plazo fijo",N(T187)&gt;12),"⚠ Plazo fijo mayor a 1 año (máx. legal; 2 años solo profesionales o técnicos)",IF(AND(ISNUMBER(G187),G187&lt;F187),"⚠ Término anterior al inicio",IF(AND(D187="Contrato inicial",ISNUMBER(J187),J187-F187&gt;15),"⚠ Escriturado fuera de plazo (Art. 9: 15 días)",IF(K187&lt;&gt;"Sí","Pendiente de firma","OK"))))))))))</f>
        <v/>
      </c>
    </row>
    <row r="188" customFormat="false" ht="15" hidden="false" customHeight="false" outlineLevel="0" collapsed="false">
      <c r="B188" s="64"/>
      <c r="C188" s="72" t="str">
        <f aca="false">IF(B188="","",IFERROR(INDEX(T_NOMBRE,MATCH(B188,T_ID,0)),"⚠ ID no existe en Trabajadores"))</f>
        <v/>
      </c>
      <c r="D188" s="64"/>
      <c r="E188" s="64"/>
      <c r="F188" s="65"/>
      <c r="G188" s="65"/>
      <c r="H188" s="67"/>
      <c r="I188" s="64"/>
      <c r="J188" s="65"/>
      <c r="K188" s="64"/>
      <c r="L188" s="64"/>
      <c r="M188" s="64"/>
      <c r="N188" s="72" t="str">
        <f aca="false">IF(B188="","",IF(D188="Anexo de modificación","No","Sí"))</f>
        <v/>
      </c>
      <c r="O188" s="73" t="str">
        <f aca="false">IF(AND(N188="Sí",ISNUMBER(F188)),COUNTIFS(C_ID,B188,C_DEFINE,"Sí",C_INICIO,"&lt;"&amp;F188)+COUNTIFS(B$7:B188,B188,N$7:N188,"Sí",F$7:F188,F188),"")</f>
        <v/>
      </c>
      <c r="P188" s="72" t="str">
        <f aca="false">IF(O188="","",B188&amp;"-P"&amp;O188)</f>
        <v/>
      </c>
      <c r="Q188" s="73" t="str">
        <f aca="false">IF(AND(N188="Sí",E188="Plazo fijo",ISNUMBER(F188)),COUNTIFS(C_ID,B188,C_TIPO,"Plazo fijo",C_DEFINE,"Sí",C_INICIO,"&lt;"&amp;F188)+COUNTIFS(B$7:B188,B188,E$7:E188,"Plazo fijo",N$7:N188,"Sí",F$7:F188,F188),"")</f>
        <v/>
      </c>
      <c r="R188" s="73" t="str">
        <f aca="false">IF(AND(B188&lt;&gt;"",ISNUMBER(H188),ISNUMBER(F188)),COUNTIFS(C_ID,B188,C_SUELDO,"&lt;&gt;",C_INICIO,"&lt;"&amp;F188)+COUNTIFS(B$7:B188,B188,H$7:H188,"&lt;&gt;",F$7:F188,F188),"")</f>
        <v/>
      </c>
      <c r="S188" s="72" t="str">
        <f aca="false">IF(R188="","",B188&amp;"-S"&amp;R188)</f>
        <v/>
      </c>
      <c r="T188" s="74" t="str">
        <f aca="false">IF(AND(ISNUMBER(F188),ISNUMBER(G188)),ROUND((G188-F188+1)/30.4375,1),"")</f>
        <v/>
      </c>
      <c r="U188" s="70" t="str">
        <f aca="false">IF(B188="","",IF(AND(N188="Sí",OR(E188="",NOT(ISNUMBER(F188)))),"⚠ Falta tipo de contrato o fecha de inicio",IF(NOT(ISNUMBER(F188)),"⚠ Falta fecha de inicio",IF(AND(N188="Sí",E188&lt;&gt;"Indefinido",NOT(ISNUMBER(G188))),"⚠ Falta fecha de término",IF(AND(D188="Paso a indefinido",E188&lt;&gt;"Indefinido"),"⚠ Un paso a indefinido debe tener tipo Indefinido",IF(N(Q188)&gt;=3,"⚠ 3er contrato a plazo fijo: por ley ya es INDEFINIDO (Art. 159 N°4)",IF(AND(E188="Plazo fijo",N(T188)&gt;12),"⚠ Plazo fijo mayor a 1 año (máx. legal; 2 años solo profesionales o técnicos)",IF(AND(ISNUMBER(G188),G188&lt;F188),"⚠ Término anterior al inicio",IF(AND(D188="Contrato inicial",ISNUMBER(J188),J188-F188&gt;15),"⚠ Escriturado fuera de plazo (Art. 9: 15 días)",IF(K188&lt;&gt;"Sí","Pendiente de firma","OK"))))))))))</f>
        <v/>
      </c>
    </row>
    <row r="189" customFormat="false" ht="15" hidden="false" customHeight="false" outlineLevel="0" collapsed="false">
      <c r="B189" s="64"/>
      <c r="C189" s="72" t="str">
        <f aca="false">IF(B189="","",IFERROR(INDEX(T_NOMBRE,MATCH(B189,T_ID,0)),"⚠ ID no existe en Trabajadores"))</f>
        <v/>
      </c>
      <c r="D189" s="64"/>
      <c r="E189" s="64"/>
      <c r="F189" s="65"/>
      <c r="G189" s="65"/>
      <c r="H189" s="67"/>
      <c r="I189" s="64"/>
      <c r="J189" s="65"/>
      <c r="K189" s="64"/>
      <c r="L189" s="64"/>
      <c r="M189" s="64"/>
      <c r="N189" s="72" t="str">
        <f aca="false">IF(B189="","",IF(D189="Anexo de modificación","No","Sí"))</f>
        <v/>
      </c>
      <c r="O189" s="73" t="str">
        <f aca="false">IF(AND(N189="Sí",ISNUMBER(F189)),COUNTIFS(C_ID,B189,C_DEFINE,"Sí",C_INICIO,"&lt;"&amp;F189)+COUNTIFS(B$7:B189,B189,N$7:N189,"Sí",F$7:F189,F189),"")</f>
        <v/>
      </c>
      <c r="P189" s="72" t="str">
        <f aca="false">IF(O189="","",B189&amp;"-P"&amp;O189)</f>
        <v/>
      </c>
      <c r="Q189" s="73" t="str">
        <f aca="false">IF(AND(N189="Sí",E189="Plazo fijo",ISNUMBER(F189)),COUNTIFS(C_ID,B189,C_TIPO,"Plazo fijo",C_DEFINE,"Sí",C_INICIO,"&lt;"&amp;F189)+COUNTIFS(B$7:B189,B189,E$7:E189,"Plazo fijo",N$7:N189,"Sí",F$7:F189,F189),"")</f>
        <v/>
      </c>
      <c r="R189" s="73" t="str">
        <f aca="false">IF(AND(B189&lt;&gt;"",ISNUMBER(H189),ISNUMBER(F189)),COUNTIFS(C_ID,B189,C_SUELDO,"&lt;&gt;",C_INICIO,"&lt;"&amp;F189)+COUNTIFS(B$7:B189,B189,H$7:H189,"&lt;&gt;",F$7:F189,F189),"")</f>
        <v/>
      </c>
      <c r="S189" s="72" t="str">
        <f aca="false">IF(R189="","",B189&amp;"-S"&amp;R189)</f>
        <v/>
      </c>
      <c r="T189" s="74" t="str">
        <f aca="false">IF(AND(ISNUMBER(F189),ISNUMBER(G189)),ROUND((G189-F189+1)/30.4375,1),"")</f>
        <v/>
      </c>
      <c r="U189" s="70" t="str">
        <f aca="false">IF(B189="","",IF(AND(N189="Sí",OR(E189="",NOT(ISNUMBER(F189)))),"⚠ Falta tipo de contrato o fecha de inicio",IF(NOT(ISNUMBER(F189)),"⚠ Falta fecha de inicio",IF(AND(N189="Sí",E189&lt;&gt;"Indefinido",NOT(ISNUMBER(G189))),"⚠ Falta fecha de término",IF(AND(D189="Paso a indefinido",E189&lt;&gt;"Indefinido"),"⚠ Un paso a indefinido debe tener tipo Indefinido",IF(N(Q189)&gt;=3,"⚠ 3er contrato a plazo fijo: por ley ya es INDEFINIDO (Art. 159 N°4)",IF(AND(E189="Plazo fijo",N(T189)&gt;12),"⚠ Plazo fijo mayor a 1 año (máx. legal; 2 años solo profesionales o técnicos)",IF(AND(ISNUMBER(G189),G189&lt;F189),"⚠ Término anterior al inicio",IF(AND(D189="Contrato inicial",ISNUMBER(J189),J189-F189&gt;15),"⚠ Escriturado fuera de plazo (Art. 9: 15 días)",IF(K189&lt;&gt;"Sí","Pendiente de firma","OK"))))))))))</f>
        <v/>
      </c>
    </row>
    <row r="190" customFormat="false" ht="15" hidden="false" customHeight="false" outlineLevel="0" collapsed="false">
      <c r="B190" s="64"/>
      <c r="C190" s="72" t="str">
        <f aca="false">IF(B190="","",IFERROR(INDEX(T_NOMBRE,MATCH(B190,T_ID,0)),"⚠ ID no existe en Trabajadores"))</f>
        <v/>
      </c>
      <c r="D190" s="64"/>
      <c r="E190" s="64"/>
      <c r="F190" s="65"/>
      <c r="G190" s="65"/>
      <c r="H190" s="67"/>
      <c r="I190" s="64"/>
      <c r="J190" s="65"/>
      <c r="K190" s="64"/>
      <c r="L190" s="64"/>
      <c r="M190" s="64"/>
      <c r="N190" s="72" t="str">
        <f aca="false">IF(B190="","",IF(D190="Anexo de modificación","No","Sí"))</f>
        <v/>
      </c>
      <c r="O190" s="73" t="str">
        <f aca="false">IF(AND(N190="Sí",ISNUMBER(F190)),COUNTIFS(C_ID,B190,C_DEFINE,"Sí",C_INICIO,"&lt;"&amp;F190)+COUNTIFS(B$7:B190,B190,N$7:N190,"Sí",F$7:F190,F190),"")</f>
        <v/>
      </c>
      <c r="P190" s="72" t="str">
        <f aca="false">IF(O190="","",B190&amp;"-P"&amp;O190)</f>
        <v/>
      </c>
      <c r="Q190" s="73" t="str">
        <f aca="false">IF(AND(N190="Sí",E190="Plazo fijo",ISNUMBER(F190)),COUNTIFS(C_ID,B190,C_TIPO,"Plazo fijo",C_DEFINE,"Sí",C_INICIO,"&lt;"&amp;F190)+COUNTIFS(B$7:B190,B190,E$7:E190,"Plazo fijo",N$7:N190,"Sí",F$7:F190,F190),"")</f>
        <v/>
      </c>
      <c r="R190" s="73" t="str">
        <f aca="false">IF(AND(B190&lt;&gt;"",ISNUMBER(H190),ISNUMBER(F190)),COUNTIFS(C_ID,B190,C_SUELDO,"&lt;&gt;",C_INICIO,"&lt;"&amp;F190)+COUNTIFS(B$7:B190,B190,H$7:H190,"&lt;&gt;",F$7:F190,F190),"")</f>
        <v/>
      </c>
      <c r="S190" s="72" t="str">
        <f aca="false">IF(R190="","",B190&amp;"-S"&amp;R190)</f>
        <v/>
      </c>
      <c r="T190" s="74" t="str">
        <f aca="false">IF(AND(ISNUMBER(F190),ISNUMBER(G190)),ROUND((G190-F190+1)/30.4375,1),"")</f>
        <v/>
      </c>
      <c r="U190" s="70" t="str">
        <f aca="false">IF(B190="","",IF(AND(N190="Sí",OR(E190="",NOT(ISNUMBER(F190)))),"⚠ Falta tipo de contrato o fecha de inicio",IF(NOT(ISNUMBER(F190)),"⚠ Falta fecha de inicio",IF(AND(N190="Sí",E190&lt;&gt;"Indefinido",NOT(ISNUMBER(G190))),"⚠ Falta fecha de término",IF(AND(D190="Paso a indefinido",E190&lt;&gt;"Indefinido"),"⚠ Un paso a indefinido debe tener tipo Indefinido",IF(N(Q190)&gt;=3,"⚠ 3er contrato a plazo fijo: por ley ya es INDEFINIDO (Art. 159 N°4)",IF(AND(E190="Plazo fijo",N(T190)&gt;12),"⚠ Plazo fijo mayor a 1 año (máx. legal; 2 años solo profesionales o técnicos)",IF(AND(ISNUMBER(G190),G190&lt;F190),"⚠ Término anterior al inicio",IF(AND(D190="Contrato inicial",ISNUMBER(J190),J190-F190&gt;15),"⚠ Escriturado fuera de plazo (Art. 9: 15 días)",IF(K190&lt;&gt;"Sí","Pendiente de firma","OK"))))))))))</f>
        <v/>
      </c>
    </row>
    <row r="191" customFormat="false" ht="15" hidden="false" customHeight="false" outlineLevel="0" collapsed="false">
      <c r="B191" s="64"/>
      <c r="C191" s="72" t="str">
        <f aca="false">IF(B191="","",IFERROR(INDEX(T_NOMBRE,MATCH(B191,T_ID,0)),"⚠ ID no existe en Trabajadores"))</f>
        <v/>
      </c>
      <c r="D191" s="64"/>
      <c r="E191" s="64"/>
      <c r="F191" s="65"/>
      <c r="G191" s="65"/>
      <c r="H191" s="67"/>
      <c r="I191" s="64"/>
      <c r="J191" s="65"/>
      <c r="K191" s="64"/>
      <c r="L191" s="64"/>
      <c r="M191" s="64"/>
      <c r="N191" s="72" t="str">
        <f aca="false">IF(B191="","",IF(D191="Anexo de modificación","No","Sí"))</f>
        <v/>
      </c>
      <c r="O191" s="73" t="str">
        <f aca="false">IF(AND(N191="Sí",ISNUMBER(F191)),COUNTIFS(C_ID,B191,C_DEFINE,"Sí",C_INICIO,"&lt;"&amp;F191)+COUNTIFS(B$7:B191,B191,N$7:N191,"Sí",F$7:F191,F191),"")</f>
        <v/>
      </c>
      <c r="P191" s="72" t="str">
        <f aca="false">IF(O191="","",B191&amp;"-P"&amp;O191)</f>
        <v/>
      </c>
      <c r="Q191" s="73" t="str">
        <f aca="false">IF(AND(N191="Sí",E191="Plazo fijo",ISNUMBER(F191)),COUNTIFS(C_ID,B191,C_TIPO,"Plazo fijo",C_DEFINE,"Sí",C_INICIO,"&lt;"&amp;F191)+COUNTIFS(B$7:B191,B191,E$7:E191,"Plazo fijo",N$7:N191,"Sí",F$7:F191,F191),"")</f>
        <v/>
      </c>
      <c r="R191" s="73" t="str">
        <f aca="false">IF(AND(B191&lt;&gt;"",ISNUMBER(H191),ISNUMBER(F191)),COUNTIFS(C_ID,B191,C_SUELDO,"&lt;&gt;",C_INICIO,"&lt;"&amp;F191)+COUNTIFS(B$7:B191,B191,H$7:H191,"&lt;&gt;",F$7:F191,F191),"")</f>
        <v/>
      </c>
      <c r="S191" s="72" t="str">
        <f aca="false">IF(R191="","",B191&amp;"-S"&amp;R191)</f>
        <v/>
      </c>
      <c r="T191" s="74" t="str">
        <f aca="false">IF(AND(ISNUMBER(F191),ISNUMBER(G191)),ROUND((G191-F191+1)/30.4375,1),"")</f>
        <v/>
      </c>
      <c r="U191" s="70" t="str">
        <f aca="false">IF(B191="","",IF(AND(N191="Sí",OR(E191="",NOT(ISNUMBER(F191)))),"⚠ Falta tipo de contrato o fecha de inicio",IF(NOT(ISNUMBER(F191)),"⚠ Falta fecha de inicio",IF(AND(N191="Sí",E191&lt;&gt;"Indefinido",NOT(ISNUMBER(G191))),"⚠ Falta fecha de término",IF(AND(D191="Paso a indefinido",E191&lt;&gt;"Indefinido"),"⚠ Un paso a indefinido debe tener tipo Indefinido",IF(N(Q191)&gt;=3,"⚠ 3er contrato a plazo fijo: por ley ya es INDEFINIDO (Art. 159 N°4)",IF(AND(E191="Plazo fijo",N(T191)&gt;12),"⚠ Plazo fijo mayor a 1 año (máx. legal; 2 años solo profesionales o técnicos)",IF(AND(ISNUMBER(G191),G191&lt;F191),"⚠ Término anterior al inicio",IF(AND(D191="Contrato inicial",ISNUMBER(J191),J191-F191&gt;15),"⚠ Escriturado fuera de plazo (Art. 9: 15 días)",IF(K191&lt;&gt;"Sí","Pendiente de firma","OK"))))))))))</f>
        <v/>
      </c>
    </row>
    <row r="192" customFormat="false" ht="15" hidden="false" customHeight="false" outlineLevel="0" collapsed="false">
      <c r="B192" s="64"/>
      <c r="C192" s="72" t="str">
        <f aca="false">IF(B192="","",IFERROR(INDEX(T_NOMBRE,MATCH(B192,T_ID,0)),"⚠ ID no existe en Trabajadores"))</f>
        <v/>
      </c>
      <c r="D192" s="64"/>
      <c r="E192" s="64"/>
      <c r="F192" s="65"/>
      <c r="G192" s="65"/>
      <c r="H192" s="67"/>
      <c r="I192" s="64"/>
      <c r="J192" s="65"/>
      <c r="K192" s="64"/>
      <c r="L192" s="64"/>
      <c r="M192" s="64"/>
      <c r="N192" s="72" t="str">
        <f aca="false">IF(B192="","",IF(D192="Anexo de modificación","No","Sí"))</f>
        <v/>
      </c>
      <c r="O192" s="73" t="str">
        <f aca="false">IF(AND(N192="Sí",ISNUMBER(F192)),COUNTIFS(C_ID,B192,C_DEFINE,"Sí",C_INICIO,"&lt;"&amp;F192)+COUNTIFS(B$7:B192,B192,N$7:N192,"Sí",F$7:F192,F192),"")</f>
        <v/>
      </c>
      <c r="P192" s="72" t="str">
        <f aca="false">IF(O192="","",B192&amp;"-P"&amp;O192)</f>
        <v/>
      </c>
      <c r="Q192" s="73" t="str">
        <f aca="false">IF(AND(N192="Sí",E192="Plazo fijo",ISNUMBER(F192)),COUNTIFS(C_ID,B192,C_TIPO,"Plazo fijo",C_DEFINE,"Sí",C_INICIO,"&lt;"&amp;F192)+COUNTIFS(B$7:B192,B192,E$7:E192,"Plazo fijo",N$7:N192,"Sí",F$7:F192,F192),"")</f>
        <v/>
      </c>
      <c r="R192" s="73" t="str">
        <f aca="false">IF(AND(B192&lt;&gt;"",ISNUMBER(H192),ISNUMBER(F192)),COUNTIFS(C_ID,B192,C_SUELDO,"&lt;&gt;",C_INICIO,"&lt;"&amp;F192)+COUNTIFS(B$7:B192,B192,H$7:H192,"&lt;&gt;",F$7:F192,F192),"")</f>
        <v/>
      </c>
      <c r="S192" s="72" t="str">
        <f aca="false">IF(R192="","",B192&amp;"-S"&amp;R192)</f>
        <v/>
      </c>
      <c r="T192" s="74" t="str">
        <f aca="false">IF(AND(ISNUMBER(F192),ISNUMBER(G192)),ROUND((G192-F192+1)/30.4375,1),"")</f>
        <v/>
      </c>
      <c r="U192" s="70" t="str">
        <f aca="false">IF(B192="","",IF(AND(N192="Sí",OR(E192="",NOT(ISNUMBER(F192)))),"⚠ Falta tipo de contrato o fecha de inicio",IF(NOT(ISNUMBER(F192)),"⚠ Falta fecha de inicio",IF(AND(N192="Sí",E192&lt;&gt;"Indefinido",NOT(ISNUMBER(G192))),"⚠ Falta fecha de término",IF(AND(D192="Paso a indefinido",E192&lt;&gt;"Indefinido"),"⚠ Un paso a indefinido debe tener tipo Indefinido",IF(N(Q192)&gt;=3,"⚠ 3er contrato a plazo fijo: por ley ya es INDEFINIDO (Art. 159 N°4)",IF(AND(E192="Plazo fijo",N(T192)&gt;12),"⚠ Plazo fijo mayor a 1 año (máx. legal; 2 años solo profesionales o técnicos)",IF(AND(ISNUMBER(G192),G192&lt;F192),"⚠ Término anterior al inicio",IF(AND(D192="Contrato inicial",ISNUMBER(J192),J192-F192&gt;15),"⚠ Escriturado fuera de plazo (Art. 9: 15 días)",IF(K192&lt;&gt;"Sí","Pendiente de firma","OK"))))))))))</f>
        <v/>
      </c>
    </row>
    <row r="193" customFormat="false" ht="15" hidden="false" customHeight="false" outlineLevel="0" collapsed="false">
      <c r="B193" s="64"/>
      <c r="C193" s="72" t="str">
        <f aca="false">IF(B193="","",IFERROR(INDEX(T_NOMBRE,MATCH(B193,T_ID,0)),"⚠ ID no existe en Trabajadores"))</f>
        <v/>
      </c>
      <c r="D193" s="64"/>
      <c r="E193" s="64"/>
      <c r="F193" s="65"/>
      <c r="G193" s="65"/>
      <c r="H193" s="67"/>
      <c r="I193" s="64"/>
      <c r="J193" s="65"/>
      <c r="K193" s="64"/>
      <c r="L193" s="64"/>
      <c r="M193" s="64"/>
      <c r="N193" s="72" t="str">
        <f aca="false">IF(B193="","",IF(D193="Anexo de modificación","No","Sí"))</f>
        <v/>
      </c>
      <c r="O193" s="73" t="str">
        <f aca="false">IF(AND(N193="Sí",ISNUMBER(F193)),COUNTIFS(C_ID,B193,C_DEFINE,"Sí",C_INICIO,"&lt;"&amp;F193)+COUNTIFS(B$7:B193,B193,N$7:N193,"Sí",F$7:F193,F193),"")</f>
        <v/>
      </c>
      <c r="P193" s="72" t="str">
        <f aca="false">IF(O193="","",B193&amp;"-P"&amp;O193)</f>
        <v/>
      </c>
      <c r="Q193" s="73" t="str">
        <f aca="false">IF(AND(N193="Sí",E193="Plazo fijo",ISNUMBER(F193)),COUNTIFS(C_ID,B193,C_TIPO,"Plazo fijo",C_DEFINE,"Sí",C_INICIO,"&lt;"&amp;F193)+COUNTIFS(B$7:B193,B193,E$7:E193,"Plazo fijo",N$7:N193,"Sí",F$7:F193,F193),"")</f>
        <v/>
      </c>
      <c r="R193" s="73" t="str">
        <f aca="false">IF(AND(B193&lt;&gt;"",ISNUMBER(H193),ISNUMBER(F193)),COUNTIFS(C_ID,B193,C_SUELDO,"&lt;&gt;",C_INICIO,"&lt;"&amp;F193)+COUNTIFS(B$7:B193,B193,H$7:H193,"&lt;&gt;",F$7:F193,F193),"")</f>
        <v/>
      </c>
      <c r="S193" s="72" t="str">
        <f aca="false">IF(R193="","",B193&amp;"-S"&amp;R193)</f>
        <v/>
      </c>
      <c r="T193" s="74" t="str">
        <f aca="false">IF(AND(ISNUMBER(F193),ISNUMBER(G193)),ROUND((G193-F193+1)/30.4375,1),"")</f>
        <v/>
      </c>
      <c r="U193" s="70" t="str">
        <f aca="false">IF(B193="","",IF(AND(N193="Sí",OR(E193="",NOT(ISNUMBER(F193)))),"⚠ Falta tipo de contrato o fecha de inicio",IF(NOT(ISNUMBER(F193)),"⚠ Falta fecha de inicio",IF(AND(N193="Sí",E193&lt;&gt;"Indefinido",NOT(ISNUMBER(G193))),"⚠ Falta fecha de término",IF(AND(D193="Paso a indefinido",E193&lt;&gt;"Indefinido"),"⚠ Un paso a indefinido debe tener tipo Indefinido",IF(N(Q193)&gt;=3,"⚠ 3er contrato a plazo fijo: por ley ya es INDEFINIDO (Art. 159 N°4)",IF(AND(E193="Plazo fijo",N(T193)&gt;12),"⚠ Plazo fijo mayor a 1 año (máx. legal; 2 años solo profesionales o técnicos)",IF(AND(ISNUMBER(G193),G193&lt;F193),"⚠ Término anterior al inicio",IF(AND(D193="Contrato inicial",ISNUMBER(J193),J193-F193&gt;15),"⚠ Escriturado fuera de plazo (Art. 9: 15 días)",IF(K193&lt;&gt;"Sí","Pendiente de firma","OK"))))))))))</f>
        <v/>
      </c>
    </row>
    <row r="194" customFormat="false" ht="15" hidden="false" customHeight="false" outlineLevel="0" collapsed="false">
      <c r="B194" s="64"/>
      <c r="C194" s="72" t="str">
        <f aca="false">IF(B194="","",IFERROR(INDEX(T_NOMBRE,MATCH(B194,T_ID,0)),"⚠ ID no existe en Trabajadores"))</f>
        <v/>
      </c>
      <c r="D194" s="64"/>
      <c r="E194" s="64"/>
      <c r="F194" s="65"/>
      <c r="G194" s="65"/>
      <c r="H194" s="67"/>
      <c r="I194" s="64"/>
      <c r="J194" s="65"/>
      <c r="K194" s="64"/>
      <c r="L194" s="64"/>
      <c r="M194" s="64"/>
      <c r="N194" s="72" t="str">
        <f aca="false">IF(B194="","",IF(D194="Anexo de modificación","No","Sí"))</f>
        <v/>
      </c>
      <c r="O194" s="73" t="str">
        <f aca="false">IF(AND(N194="Sí",ISNUMBER(F194)),COUNTIFS(C_ID,B194,C_DEFINE,"Sí",C_INICIO,"&lt;"&amp;F194)+COUNTIFS(B$7:B194,B194,N$7:N194,"Sí",F$7:F194,F194),"")</f>
        <v/>
      </c>
      <c r="P194" s="72" t="str">
        <f aca="false">IF(O194="","",B194&amp;"-P"&amp;O194)</f>
        <v/>
      </c>
      <c r="Q194" s="73" t="str">
        <f aca="false">IF(AND(N194="Sí",E194="Plazo fijo",ISNUMBER(F194)),COUNTIFS(C_ID,B194,C_TIPO,"Plazo fijo",C_DEFINE,"Sí",C_INICIO,"&lt;"&amp;F194)+COUNTIFS(B$7:B194,B194,E$7:E194,"Plazo fijo",N$7:N194,"Sí",F$7:F194,F194),"")</f>
        <v/>
      </c>
      <c r="R194" s="73" t="str">
        <f aca="false">IF(AND(B194&lt;&gt;"",ISNUMBER(H194),ISNUMBER(F194)),COUNTIFS(C_ID,B194,C_SUELDO,"&lt;&gt;",C_INICIO,"&lt;"&amp;F194)+COUNTIFS(B$7:B194,B194,H$7:H194,"&lt;&gt;",F$7:F194,F194),"")</f>
        <v/>
      </c>
      <c r="S194" s="72" t="str">
        <f aca="false">IF(R194="","",B194&amp;"-S"&amp;R194)</f>
        <v/>
      </c>
      <c r="T194" s="74" t="str">
        <f aca="false">IF(AND(ISNUMBER(F194),ISNUMBER(G194)),ROUND((G194-F194+1)/30.4375,1),"")</f>
        <v/>
      </c>
      <c r="U194" s="70" t="str">
        <f aca="false">IF(B194="","",IF(AND(N194="Sí",OR(E194="",NOT(ISNUMBER(F194)))),"⚠ Falta tipo de contrato o fecha de inicio",IF(NOT(ISNUMBER(F194)),"⚠ Falta fecha de inicio",IF(AND(N194="Sí",E194&lt;&gt;"Indefinido",NOT(ISNUMBER(G194))),"⚠ Falta fecha de término",IF(AND(D194="Paso a indefinido",E194&lt;&gt;"Indefinido"),"⚠ Un paso a indefinido debe tener tipo Indefinido",IF(N(Q194)&gt;=3,"⚠ 3er contrato a plazo fijo: por ley ya es INDEFINIDO (Art. 159 N°4)",IF(AND(E194="Plazo fijo",N(T194)&gt;12),"⚠ Plazo fijo mayor a 1 año (máx. legal; 2 años solo profesionales o técnicos)",IF(AND(ISNUMBER(G194),G194&lt;F194),"⚠ Término anterior al inicio",IF(AND(D194="Contrato inicial",ISNUMBER(J194),J194-F194&gt;15),"⚠ Escriturado fuera de plazo (Art. 9: 15 días)",IF(K194&lt;&gt;"Sí","Pendiente de firma","OK"))))))))))</f>
        <v/>
      </c>
    </row>
    <row r="195" customFormat="false" ht="15" hidden="false" customHeight="false" outlineLevel="0" collapsed="false">
      <c r="B195" s="64"/>
      <c r="C195" s="72" t="str">
        <f aca="false">IF(B195="","",IFERROR(INDEX(T_NOMBRE,MATCH(B195,T_ID,0)),"⚠ ID no existe en Trabajadores"))</f>
        <v/>
      </c>
      <c r="D195" s="64"/>
      <c r="E195" s="64"/>
      <c r="F195" s="65"/>
      <c r="G195" s="65"/>
      <c r="H195" s="67"/>
      <c r="I195" s="64"/>
      <c r="J195" s="65"/>
      <c r="K195" s="64"/>
      <c r="L195" s="64"/>
      <c r="M195" s="64"/>
      <c r="N195" s="72" t="str">
        <f aca="false">IF(B195="","",IF(D195="Anexo de modificación","No","Sí"))</f>
        <v/>
      </c>
      <c r="O195" s="73" t="str">
        <f aca="false">IF(AND(N195="Sí",ISNUMBER(F195)),COUNTIFS(C_ID,B195,C_DEFINE,"Sí",C_INICIO,"&lt;"&amp;F195)+COUNTIFS(B$7:B195,B195,N$7:N195,"Sí",F$7:F195,F195),"")</f>
        <v/>
      </c>
      <c r="P195" s="72" t="str">
        <f aca="false">IF(O195="","",B195&amp;"-P"&amp;O195)</f>
        <v/>
      </c>
      <c r="Q195" s="73" t="str">
        <f aca="false">IF(AND(N195="Sí",E195="Plazo fijo",ISNUMBER(F195)),COUNTIFS(C_ID,B195,C_TIPO,"Plazo fijo",C_DEFINE,"Sí",C_INICIO,"&lt;"&amp;F195)+COUNTIFS(B$7:B195,B195,E$7:E195,"Plazo fijo",N$7:N195,"Sí",F$7:F195,F195),"")</f>
        <v/>
      </c>
      <c r="R195" s="73" t="str">
        <f aca="false">IF(AND(B195&lt;&gt;"",ISNUMBER(H195),ISNUMBER(F195)),COUNTIFS(C_ID,B195,C_SUELDO,"&lt;&gt;",C_INICIO,"&lt;"&amp;F195)+COUNTIFS(B$7:B195,B195,H$7:H195,"&lt;&gt;",F$7:F195,F195),"")</f>
        <v/>
      </c>
      <c r="S195" s="72" t="str">
        <f aca="false">IF(R195="","",B195&amp;"-S"&amp;R195)</f>
        <v/>
      </c>
      <c r="T195" s="74" t="str">
        <f aca="false">IF(AND(ISNUMBER(F195),ISNUMBER(G195)),ROUND((G195-F195+1)/30.4375,1),"")</f>
        <v/>
      </c>
      <c r="U195" s="70" t="str">
        <f aca="false">IF(B195="","",IF(AND(N195="Sí",OR(E195="",NOT(ISNUMBER(F195)))),"⚠ Falta tipo de contrato o fecha de inicio",IF(NOT(ISNUMBER(F195)),"⚠ Falta fecha de inicio",IF(AND(N195="Sí",E195&lt;&gt;"Indefinido",NOT(ISNUMBER(G195))),"⚠ Falta fecha de término",IF(AND(D195="Paso a indefinido",E195&lt;&gt;"Indefinido"),"⚠ Un paso a indefinido debe tener tipo Indefinido",IF(N(Q195)&gt;=3,"⚠ 3er contrato a plazo fijo: por ley ya es INDEFINIDO (Art. 159 N°4)",IF(AND(E195="Plazo fijo",N(T195)&gt;12),"⚠ Plazo fijo mayor a 1 año (máx. legal; 2 años solo profesionales o técnicos)",IF(AND(ISNUMBER(G195),G195&lt;F195),"⚠ Término anterior al inicio",IF(AND(D195="Contrato inicial",ISNUMBER(J195),J195-F195&gt;15),"⚠ Escriturado fuera de plazo (Art. 9: 15 días)",IF(K195&lt;&gt;"Sí","Pendiente de firma","OK"))))))))))</f>
        <v/>
      </c>
    </row>
    <row r="196" customFormat="false" ht="15" hidden="false" customHeight="false" outlineLevel="0" collapsed="false">
      <c r="B196" s="64"/>
      <c r="C196" s="72" t="str">
        <f aca="false">IF(B196="","",IFERROR(INDEX(T_NOMBRE,MATCH(B196,T_ID,0)),"⚠ ID no existe en Trabajadores"))</f>
        <v/>
      </c>
      <c r="D196" s="64"/>
      <c r="E196" s="64"/>
      <c r="F196" s="65"/>
      <c r="G196" s="65"/>
      <c r="H196" s="67"/>
      <c r="I196" s="64"/>
      <c r="J196" s="65"/>
      <c r="K196" s="64"/>
      <c r="L196" s="64"/>
      <c r="M196" s="64"/>
      <c r="N196" s="72" t="str">
        <f aca="false">IF(B196="","",IF(D196="Anexo de modificación","No","Sí"))</f>
        <v/>
      </c>
      <c r="O196" s="73" t="str">
        <f aca="false">IF(AND(N196="Sí",ISNUMBER(F196)),COUNTIFS(C_ID,B196,C_DEFINE,"Sí",C_INICIO,"&lt;"&amp;F196)+COUNTIFS(B$7:B196,B196,N$7:N196,"Sí",F$7:F196,F196),"")</f>
        <v/>
      </c>
      <c r="P196" s="72" t="str">
        <f aca="false">IF(O196="","",B196&amp;"-P"&amp;O196)</f>
        <v/>
      </c>
      <c r="Q196" s="73" t="str">
        <f aca="false">IF(AND(N196="Sí",E196="Plazo fijo",ISNUMBER(F196)),COUNTIFS(C_ID,B196,C_TIPO,"Plazo fijo",C_DEFINE,"Sí",C_INICIO,"&lt;"&amp;F196)+COUNTIFS(B$7:B196,B196,E$7:E196,"Plazo fijo",N$7:N196,"Sí",F$7:F196,F196),"")</f>
        <v/>
      </c>
      <c r="R196" s="73" t="str">
        <f aca="false">IF(AND(B196&lt;&gt;"",ISNUMBER(H196),ISNUMBER(F196)),COUNTIFS(C_ID,B196,C_SUELDO,"&lt;&gt;",C_INICIO,"&lt;"&amp;F196)+COUNTIFS(B$7:B196,B196,H$7:H196,"&lt;&gt;",F$7:F196,F196),"")</f>
        <v/>
      </c>
      <c r="S196" s="72" t="str">
        <f aca="false">IF(R196="","",B196&amp;"-S"&amp;R196)</f>
        <v/>
      </c>
      <c r="T196" s="74" t="str">
        <f aca="false">IF(AND(ISNUMBER(F196),ISNUMBER(G196)),ROUND((G196-F196+1)/30.4375,1),"")</f>
        <v/>
      </c>
      <c r="U196" s="70" t="str">
        <f aca="false">IF(B196="","",IF(AND(N196="Sí",OR(E196="",NOT(ISNUMBER(F196)))),"⚠ Falta tipo de contrato o fecha de inicio",IF(NOT(ISNUMBER(F196)),"⚠ Falta fecha de inicio",IF(AND(N196="Sí",E196&lt;&gt;"Indefinido",NOT(ISNUMBER(G196))),"⚠ Falta fecha de término",IF(AND(D196="Paso a indefinido",E196&lt;&gt;"Indefinido"),"⚠ Un paso a indefinido debe tener tipo Indefinido",IF(N(Q196)&gt;=3,"⚠ 3er contrato a plazo fijo: por ley ya es INDEFINIDO (Art. 159 N°4)",IF(AND(E196="Plazo fijo",N(T196)&gt;12),"⚠ Plazo fijo mayor a 1 año (máx. legal; 2 años solo profesionales o técnicos)",IF(AND(ISNUMBER(G196),G196&lt;F196),"⚠ Término anterior al inicio",IF(AND(D196="Contrato inicial",ISNUMBER(J196),J196-F196&gt;15),"⚠ Escriturado fuera de plazo (Art. 9: 15 días)",IF(K196&lt;&gt;"Sí","Pendiente de firma","OK"))))))))))</f>
        <v/>
      </c>
    </row>
    <row r="197" customFormat="false" ht="15" hidden="false" customHeight="false" outlineLevel="0" collapsed="false">
      <c r="B197" s="64"/>
      <c r="C197" s="72" t="str">
        <f aca="false">IF(B197="","",IFERROR(INDEX(T_NOMBRE,MATCH(B197,T_ID,0)),"⚠ ID no existe en Trabajadores"))</f>
        <v/>
      </c>
      <c r="D197" s="64"/>
      <c r="E197" s="64"/>
      <c r="F197" s="65"/>
      <c r="G197" s="65"/>
      <c r="H197" s="67"/>
      <c r="I197" s="64"/>
      <c r="J197" s="65"/>
      <c r="K197" s="64"/>
      <c r="L197" s="64"/>
      <c r="M197" s="64"/>
      <c r="N197" s="72" t="str">
        <f aca="false">IF(B197="","",IF(D197="Anexo de modificación","No","Sí"))</f>
        <v/>
      </c>
      <c r="O197" s="73" t="str">
        <f aca="false">IF(AND(N197="Sí",ISNUMBER(F197)),COUNTIFS(C_ID,B197,C_DEFINE,"Sí",C_INICIO,"&lt;"&amp;F197)+COUNTIFS(B$7:B197,B197,N$7:N197,"Sí",F$7:F197,F197),"")</f>
        <v/>
      </c>
      <c r="P197" s="72" t="str">
        <f aca="false">IF(O197="","",B197&amp;"-P"&amp;O197)</f>
        <v/>
      </c>
      <c r="Q197" s="73" t="str">
        <f aca="false">IF(AND(N197="Sí",E197="Plazo fijo",ISNUMBER(F197)),COUNTIFS(C_ID,B197,C_TIPO,"Plazo fijo",C_DEFINE,"Sí",C_INICIO,"&lt;"&amp;F197)+COUNTIFS(B$7:B197,B197,E$7:E197,"Plazo fijo",N$7:N197,"Sí",F$7:F197,F197),"")</f>
        <v/>
      </c>
      <c r="R197" s="73" t="str">
        <f aca="false">IF(AND(B197&lt;&gt;"",ISNUMBER(H197),ISNUMBER(F197)),COUNTIFS(C_ID,B197,C_SUELDO,"&lt;&gt;",C_INICIO,"&lt;"&amp;F197)+COUNTIFS(B$7:B197,B197,H$7:H197,"&lt;&gt;",F$7:F197,F197),"")</f>
        <v/>
      </c>
      <c r="S197" s="72" t="str">
        <f aca="false">IF(R197="","",B197&amp;"-S"&amp;R197)</f>
        <v/>
      </c>
      <c r="T197" s="74" t="str">
        <f aca="false">IF(AND(ISNUMBER(F197),ISNUMBER(G197)),ROUND((G197-F197+1)/30.4375,1),"")</f>
        <v/>
      </c>
      <c r="U197" s="70" t="str">
        <f aca="false">IF(B197="","",IF(AND(N197="Sí",OR(E197="",NOT(ISNUMBER(F197)))),"⚠ Falta tipo de contrato o fecha de inicio",IF(NOT(ISNUMBER(F197)),"⚠ Falta fecha de inicio",IF(AND(N197="Sí",E197&lt;&gt;"Indefinido",NOT(ISNUMBER(G197))),"⚠ Falta fecha de término",IF(AND(D197="Paso a indefinido",E197&lt;&gt;"Indefinido"),"⚠ Un paso a indefinido debe tener tipo Indefinido",IF(N(Q197)&gt;=3,"⚠ 3er contrato a plazo fijo: por ley ya es INDEFINIDO (Art. 159 N°4)",IF(AND(E197="Plazo fijo",N(T197)&gt;12),"⚠ Plazo fijo mayor a 1 año (máx. legal; 2 años solo profesionales o técnicos)",IF(AND(ISNUMBER(G197),G197&lt;F197),"⚠ Término anterior al inicio",IF(AND(D197="Contrato inicial",ISNUMBER(J197),J197-F197&gt;15),"⚠ Escriturado fuera de plazo (Art. 9: 15 días)",IF(K197&lt;&gt;"Sí","Pendiente de firma","OK"))))))))))</f>
        <v/>
      </c>
    </row>
    <row r="198" customFormat="false" ht="15" hidden="false" customHeight="false" outlineLevel="0" collapsed="false">
      <c r="B198" s="64"/>
      <c r="C198" s="72" t="str">
        <f aca="false">IF(B198="","",IFERROR(INDEX(T_NOMBRE,MATCH(B198,T_ID,0)),"⚠ ID no existe en Trabajadores"))</f>
        <v/>
      </c>
      <c r="D198" s="64"/>
      <c r="E198" s="64"/>
      <c r="F198" s="65"/>
      <c r="G198" s="65"/>
      <c r="H198" s="67"/>
      <c r="I198" s="64"/>
      <c r="J198" s="65"/>
      <c r="K198" s="64"/>
      <c r="L198" s="64"/>
      <c r="M198" s="64"/>
      <c r="N198" s="72" t="str">
        <f aca="false">IF(B198="","",IF(D198="Anexo de modificación","No","Sí"))</f>
        <v/>
      </c>
      <c r="O198" s="73" t="str">
        <f aca="false">IF(AND(N198="Sí",ISNUMBER(F198)),COUNTIFS(C_ID,B198,C_DEFINE,"Sí",C_INICIO,"&lt;"&amp;F198)+COUNTIFS(B$7:B198,B198,N$7:N198,"Sí",F$7:F198,F198),"")</f>
        <v/>
      </c>
      <c r="P198" s="72" t="str">
        <f aca="false">IF(O198="","",B198&amp;"-P"&amp;O198)</f>
        <v/>
      </c>
      <c r="Q198" s="73" t="str">
        <f aca="false">IF(AND(N198="Sí",E198="Plazo fijo",ISNUMBER(F198)),COUNTIFS(C_ID,B198,C_TIPO,"Plazo fijo",C_DEFINE,"Sí",C_INICIO,"&lt;"&amp;F198)+COUNTIFS(B$7:B198,B198,E$7:E198,"Plazo fijo",N$7:N198,"Sí",F$7:F198,F198),"")</f>
        <v/>
      </c>
      <c r="R198" s="73" t="str">
        <f aca="false">IF(AND(B198&lt;&gt;"",ISNUMBER(H198),ISNUMBER(F198)),COUNTIFS(C_ID,B198,C_SUELDO,"&lt;&gt;",C_INICIO,"&lt;"&amp;F198)+COUNTIFS(B$7:B198,B198,H$7:H198,"&lt;&gt;",F$7:F198,F198),"")</f>
        <v/>
      </c>
      <c r="S198" s="72" t="str">
        <f aca="false">IF(R198="","",B198&amp;"-S"&amp;R198)</f>
        <v/>
      </c>
      <c r="T198" s="74" t="str">
        <f aca="false">IF(AND(ISNUMBER(F198),ISNUMBER(G198)),ROUND((G198-F198+1)/30.4375,1),"")</f>
        <v/>
      </c>
      <c r="U198" s="70" t="str">
        <f aca="false">IF(B198="","",IF(AND(N198="Sí",OR(E198="",NOT(ISNUMBER(F198)))),"⚠ Falta tipo de contrato o fecha de inicio",IF(NOT(ISNUMBER(F198)),"⚠ Falta fecha de inicio",IF(AND(N198="Sí",E198&lt;&gt;"Indefinido",NOT(ISNUMBER(G198))),"⚠ Falta fecha de término",IF(AND(D198="Paso a indefinido",E198&lt;&gt;"Indefinido"),"⚠ Un paso a indefinido debe tener tipo Indefinido",IF(N(Q198)&gt;=3,"⚠ 3er contrato a plazo fijo: por ley ya es INDEFINIDO (Art. 159 N°4)",IF(AND(E198="Plazo fijo",N(T198)&gt;12),"⚠ Plazo fijo mayor a 1 año (máx. legal; 2 años solo profesionales o técnicos)",IF(AND(ISNUMBER(G198),G198&lt;F198),"⚠ Término anterior al inicio",IF(AND(D198="Contrato inicial",ISNUMBER(J198),J198-F198&gt;15),"⚠ Escriturado fuera de plazo (Art. 9: 15 días)",IF(K198&lt;&gt;"Sí","Pendiente de firma","OK"))))))))))</f>
        <v/>
      </c>
    </row>
    <row r="199" customFormat="false" ht="15" hidden="false" customHeight="false" outlineLevel="0" collapsed="false">
      <c r="B199" s="64"/>
      <c r="C199" s="72" t="str">
        <f aca="false">IF(B199="","",IFERROR(INDEX(T_NOMBRE,MATCH(B199,T_ID,0)),"⚠ ID no existe en Trabajadores"))</f>
        <v/>
      </c>
      <c r="D199" s="64"/>
      <c r="E199" s="64"/>
      <c r="F199" s="65"/>
      <c r="G199" s="65"/>
      <c r="H199" s="67"/>
      <c r="I199" s="64"/>
      <c r="J199" s="65"/>
      <c r="K199" s="64"/>
      <c r="L199" s="64"/>
      <c r="M199" s="64"/>
      <c r="N199" s="72" t="str">
        <f aca="false">IF(B199="","",IF(D199="Anexo de modificación","No","Sí"))</f>
        <v/>
      </c>
      <c r="O199" s="73" t="str">
        <f aca="false">IF(AND(N199="Sí",ISNUMBER(F199)),COUNTIFS(C_ID,B199,C_DEFINE,"Sí",C_INICIO,"&lt;"&amp;F199)+COUNTIFS(B$7:B199,B199,N$7:N199,"Sí",F$7:F199,F199),"")</f>
        <v/>
      </c>
      <c r="P199" s="72" t="str">
        <f aca="false">IF(O199="","",B199&amp;"-P"&amp;O199)</f>
        <v/>
      </c>
      <c r="Q199" s="73" t="str">
        <f aca="false">IF(AND(N199="Sí",E199="Plazo fijo",ISNUMBER(F199)),COUNTIFS(C_ID,B199,C_TIPO,"Plazo fijo",C_DEFINE,"Sí",C_INICIO,"&lt;"&amp;F199)+COUNTIFS(B$7:B199,B199,E$7:E199,"Plazo fijo",N$7:N199,"Sí",F$7:F199,F199),"")</f>
        <v/>
      </c>
      <c r="R199" s="73" t="str">
        <f aca="false">IF(AND(B199&lt;&gt;"",ISNUMBER(H199),ISNUMBER(F199)),COUNTIFS(C_ID,B199,C_SUELDO,"&lt;&gt;",C_INICIO,"&lt;"&amp;F199)+COUNTIFS(B$7:B199,B199,H$7:H199,"&lt;&gt;",F$7:F199,F199),"")</f>
        <v/>
      </c>
      <c r="S199" s="72" t="str">
        <f aca="false">IF(R199="","",B199&amp;"-S"&amp;R199)</f>
        <v/>
      </c>
      <c r="T199" s="74" t="str">
        <f aca="false">IF(AND(ISNUMBER(F199),ISNUMBER(G199)),ROUND((G199-F199+1)/30.4375,1),"")</f>
        <v/>
      </c>
      <c r="U199" s="70" t="str">
        <f aca="false">IF(B199="","",IF(AND(N199="Sí",OR(E199="",NOT(ISNUMBER(F199)))),"⚠ Falta tipo de contrato o fecha de inicio",IF(NOT(ISNUMBER(F199)),"⚠ Falta fecha de inicio",IF(AND(N199="Sí",E199&lt;&gt;"Indefinido",NOT(ISNUMBER(G199))),"⚠ Falta fecha de término",IF(AND(D199="Paso a indefinido",E199&lt;&gt;"Indefinido"),"⚠ Un paso a indefinido debe tener tipo Indefinido",IF(N(Q199)&gt;=3,"⚠ 3er contrato a plazo fijo: por ley ya es INDEFINIDO (Art. 159 N°4)",IF(AND(E199="Plazo fijo",N(T199)&gt;12),"⚠ Plazo fijo mayor a 1 año (máx. legal; 2 años solo profesionales o técnicos)",IF(AND(ISNUMBER(G199),G199&lt;F199),"⚠ Término anterior al inicio",IF(AND(D199="Contrato inicial",ISNUMBER(J199),J199-F199&gt;15),"⚠ Escriturado fuera de plazo (Art. 9: 15 días)",IF(K199&lt;&gt;"Sí","Pendiente de firma","OK"))))))))))</f>
        <v/>
      </c>
    </row>
    <row r="200" customFormat="false" ht="15" hidden="false" customHeight="false" outlineLevel="0" collapsed="false">
      <c r="B200" s="64"/>
      <c r="C200" s="72" t="str">
        <f aca="false">IF(B200="","",IFERROR(INDEX(T_NOMBRE,MATCH(B200,T_ID,0)),"⚠ ID no existe en Trabajadores"))</f>
        <v/>
      </c>
      <c r="D200" s="64"/>
      <c r="E200" s="64"/>
      <c r="F200" s="65"/>
      <c r="G200" s="65"/>
      <c r="H200" s="67"/>
      <c r="I200" s="64"/>
      <c r="J200" s="65"/>
      <c r="K200" s="64"/>
      <c r="L200" s="64"/>
      <c r="M200" s="64"/>
      <c r="N200" s="72" t="str">
        <f aca="false">IF(B200="","",IF(D200="Anexo de modificación","No","Sí"))</f>
        <v/>
      </c>
      <c r="O200" s="73" t="str">
        <f aca="false">IF(AND(N200="Sí",ISNUMBER(F200)),COUNTIFS(C_ID,B200,C_DEFINE,"Sí",C_INICIO,"&lt;"&amp;F200)+COUNTIFS(B$7:B200,B200,N$7:N200,"Sí",F$7:F200,F200),"")</f>
        <v/>
      </c>
      <c r="P200" s="72" t="str">
        <f aca="false">IF(O200="","",B200&amp;"-P"&amp;O200)</f>
        <v/>
      </c>
      <c r="Q200" s="73" t="str">
        <f aca="false">IF(AND(N200="Sí",E200="Plazo fijo",ISNUMBER(F200)),COUNTIFS(C_ID,B200,C_TIPO,"Plazo fijo",C_DEFINE,"Sí",C_INICIO,"&lt;"&amp;F200)+COUNTIFS(B$7:B200,B200,E$7:E200,"Plazo fijo",N$7:N200,"Sí",F$7:F200,F200),"")</f>
        <v/>
      </c>
      <c r="R200" s="73" t="str">
        <f aca="false">IF(AND(B200&lt;&gt;"",ISNUMBER(H200),ISNUMBER(F200)),COUNTIFS(C_ID,B200,C_SUELDO,"&lt;&gt;",C_INICIO,"&lt;"&amp;F200)+COUNTIFS(B$7:B200,B200,H$7:H200,"&lt;&gt;",F$7:F200,F200),"")</f>
        <v/>
      </c>
      <c r="S200" s="72" t="str">
        <f aca="false">IF(R200="","",B200&amp;"-S"&amp;R200)</f>
        <v/>
      </c>
      <c r="T200" s="74" t="str">
        <f aca="false">IF(AND(ISNUMBER(F200),ISNUMBER(G200)),ROUND((G200-F200+1)/30.4375,1),"")</f>
        <v/>
      </c>
      <c r="U200" s="70" t="str">
        <f aca="false">IF(B200="","",IF(AND(N200="Sí",OR(E200="",NOT(ISNUMBER(F200)))),"⚠ Falta tipo de contrato o fecha de inicio",IF(NOT(ISNUMBER(F200)),"⚠ Falta fecha de inicio",IF(AND(N200="Sí",E200&lt;&gt;"Indefinido",NOT(ISNUMBER(G200))),"⚠ Falta fecha de término",IF(AND(D200="Paso a indefinido",E200&lt;&gt;"Indefinido"),"⚠ Un paso a indefinido debe tener tipo Indefinido",IF(N(Q200)&gt;=3,"⚠ 3er contrato a plazo fijo: por ley ya es INDEFINIDO (Art. 159 N°4)",IF(AND(E200="Plazo fijo",N(T200)&gt;12),"⚠ Plazo fijo mayor a 1 año (máx. legal; 2 años solo profesionales o técnicos)",IF(AND(ISNUMBER(G200),G200&lt;F200),"⚠ Término anterior al inicio",IF(AND(D200="Contrato inicial",ISNUMBER(J200),J200-F200&gt;15),"⚠ Escriturado fuera de plazo (Art. 9: 15 días)",IF(K200&lt;&gt;"Sí","Pendiente de firma","OK"))))))))))</f>
        <v/>
      </c>
    </row>
    <row r="201" customFormat="false" ht="15" hidden="false" customHeight="false" outlineLevel="0" collapsed="false">
      <c r="B201" s="64"/>
      <c r="C201" s="72" t="str">
        <f aca="false">IF(B201="","",IFERROR(INDEX(T_NOMBRE,MATCH(B201,T_ID,0)),"⚠ ID no existe en Trabajadores"))</f>
        <v/>
      </c>
      <c r="D201" s="64"/>
      <c r="E201" s="64"/>
      <c r="F201" s="65"/>
      <c r="G201" s="65"/>
      <c r="H201" s="67"/>
      <c r="I201" s="64"/>
      <c r="J201" s="65"/>
      <c r="K201" s="64"/>
      <c r="L201" s="64"/>
      <c r="M201" s="64"/>
      <c r="N201" s="72" t="str">
        <f aca="false">IF(B201="","",IF(D201="Anexo de modificación","No","Sí"))</f>
        <v/>
      </c>
      <c r="O201" s="73" t="str">
        <f aca="false">IF(AND(N201="Sí",ISNUMBER(F201)),COUNTIFS(C_ID,B201,C_DEFINE,"Sí",C_INICIO,"&lt;"&amp;F201)+COUNTIFS(B$7:B201,B201,N$7:N201,"Sí",F$7:F201,F201),"")</f>
        <v/>
      </c>
      <c r="P201" s="72" t="str">
        <f aca="false">IF(O201="","",B201&amp;"-P"&amp;O201)</f>
        <v/>
      </c>
      <c r="Q201" s="73" t="str">
        <f aca="false">IF(AND(N201="Sí",E201="Plazo fijo",ISNUMBER(F201)),COUNTIFS(C_ID,B201,C_TIPO,"Plazo fijo",C_DEFINE,"Sí",C_INICIO,"&lt;"&amp;F201)+COUNTIFS(B$7:B201,B201,E$7:E201,"Plazo fijo",N$7:N201,"Sí",F$7:F201,F201),"")</f>
        <v/>
      </c>
      <c r="R201" s="73" t="str">
        <f aca="false">IF(AND(B201&lt;&gt;"",ISNUMBER(H201),ISNUMBER(F201)),COUNTIFS(C_ID,B201,C_SUELDO,"&lt;&gt;",C_INICIO,"&lt;"&amp;F201)+COUNTIFS(B$7:B201,B201,H$7:H201,"&lt;&gt;",F$7:F201,F201),"")</f>
        <v/>
      </c>
      <c r="S201" s="72" t="str">
        <f aca="false">IF(R201="","",B201&amp;"-S"&amp;R201)</f>
        <v/>
      </c>
      <c r="T201" s="74" t="str">
        <f aca="false">IF(AND(ISNUMBER(F201),ISNUMBER(G201)),ROUND((G201-F201+1)/30.4375,1),"")</f>
        <v/>
      </c>
      <c r="U201" s="70" t="str">
        <f aca="false">IF(B201="","",IF(AND(N201="Sí",OR(E201="",NOT(ISNUMBER(F201)))),"⚠ Falta tipo de contrato o fecha de inicio",IF(NOT(ISNUMBER(F201)),"⚠ Falta fecha de inicio",IF(AND(N201="Sí",E201&lt;&gt;"Indefinido",NOT(ISNUMBER(G201))),"⚠ Falta fecha de término",IF(AND(D201="Paso a indefinido",E201&lt;&gt;"Indefinido"),"⚠ Un paso a indefinido debe tener tipo Indefinido",IF(N(Q201)&gt;=3,"⚠ 3er contrato a plazo fijo: por ley ya es INDEFINIDO (Art. 159 N°4)",IF(AND(E201="Plazo fijo",N(T201)&gt;12),"⚠ Plazo fijo mayor a 1 año (máx. legal; 2 años solo profesionales o técnicos)",IF(AND(ISNUMBER(G201),G201&lt;F201),"⚠ Término anterior al inicio",IF(AND(D201="Contrato inicial",ISNUMBER(J201),J201-F201&gt;15),"⚠ Escriturado fuera de plazo (Art. 9: 15 días)",IF(K201&lt;&gt;"Sí","Pendiente de firma","OK"))))))))))</f>
        <v/>
      </c>
    </row>
    <row r="202" customFormat="false" ht="15" hidden="false" customHeight="false" outlineLevel="0" collapsed="false">
      <c r="B202" s="64"/>
      <c r="C202" s="72" t="str">
        <f aca="false">IF(B202="","",IFERROR(INDEX(T_NOMBRE,MATCH(B202,T_ID,0)),"⚠ ID no existe en Trabajadores"))</f>
        <v/>
      </c>
      <c r="D202" s="64"/>
      <c r="E202" s="64"/>
      <c r="F202" s="65"/>
      <c r="G202" s="65"/>
      <c r="H202" s="67"/>
      <c r="I202" s="64"/>
      <c r="J202" s="65"/>
      <c r="K202" s="64"/>
      <c r="L202" s="64"/>
      <c r="M202" s="64"/>
      <c r="N202" s="72" t="str">
        <f aca="false">IF(B202="","",IF(D202="Anexo de modificación","No","Sí"))</f>
        <v/>
      </c>
      <c r="O202" s="73" t="str">
        <f aca="false">IF(AND(N202="Sí",ISNUMBER(F202)),COUNTIFS(C_ID,B202,C_DEFINE,"Sí",C_INICIO,"&lt;"&amp;F202)+COUNTIFS(B$7:B202,B202,N$7:N202,"Sí",F$7:F202,F202),"")</f>
        <v/>
      </c>
      <c r="P202" s="72" t="str">
        <f aca="false">IF(O202="","",B202&amp;"-P"&amp;O202)</f>
        <v/>
      </c>
      <c r="Q202" s="73" t="str">
        <f aca="false">IF(AND(N202="Sí",E202="Plazo fijo",ISNUMBER(F202)),COUNTIFS(C_ID,B202,C_TIPO,"Plazo fijo",C_DEFINE,"Sí",C_INICIO,"&lt;"&amp;F202)+COUNTIFS(B$7:B202,B202,E$7:E202,"Plazo fijo",N$7:N202,"Sí",F$7:F202,F202),"")</f>
        <v/>
      </c>
      <c r="R202" s="73" t="str">
        <f aca="false">IF(AND(B202&lt;&gt;"",ISNUMBER(H202),ISNUMBER(F202)),COUNTIFS(C_ID,B202,C_SUELDO,"&lt;&gt;",C_INICIO,"&lt;"&amp;F202)+COUNTIFS(B$7:B202,B202,H$7:H202,"&lt;&gt;",F$7:F202,F202),"")</f>
        <v/>
      </c>
      <c r="S202" s="72" t="str">
        <f aca="false">IF(R202="","",B202&amp;"-S"&amp;R202)</f>
        <v/>
      </c>
      <c r="T202" s="74" t="str">
        <f aca="false">IF(AND(ISNUMBER(F202),ISNUMBER(G202)),ROUND((G202-F202+1)/30.4375,1),"")</f>
        <v/>
      </c>
      <c r="U202" s="70" t="str">
        <f aca="false">IF(B202="","",IF(AND(N202="Sí",OR(E202="",NOT(ISNUMBER(F202)))),"⚠ Falta tipo de contrato o fecha de inicio",IF(NOT(ISNUMBER(F202)),"⚠ Falta fecha de inicio",IF(AND(N202="Sí",E202&lt;&gt;"Indefinido",NOT(ISNUMBER(G202))),"⚠ Falta fecha de término",IF(AND(D202="Paso a indefinido",E202&lt;&gt;"Indefinido"),"⚠ Un paso a indefinido debe tener tipo Indefinido",IF(N(Q202)&gt;=3,"⚠ 3er contrato a plazo fijo: por ley ya es INDEFINIDO (Art. 159 N°4)",IF(AND(E202="Plazo fijo",N(T202)&gt;12),"⚠ Plazo fijo mayor a 1 año (máx. legal; 2 años solo profesionales o técnicos)",IF(AND(ISNUMBER(G202),G202&lt;F202),"⚠ Término anterior al inicio",IF(AND(D202="Contrato inicial",ISNUMBER(J202),J202-F202&gt;15),"⚠ Escriturado fuera de plazo (Art. 9: 15 días)",IF(K202&lt;&gt;"Sí","Pendiente de firma","OK"))))))))))</f>
        <v/>
      </c>
    </row>
    <row r="203" customFormat="false" ht="15" hidden="false" customHeight="false" outlineLevel="0" collapsed="false">
      <c r="B203" s="64"/>
      <c r="C203" s="72" t="str">
        <f aca="false">IF(B203="","",IFERROR(INDEX(T_NOMBRE,MATCH(B203,T_ID,0)),"⚠ ID no existe en Trabajadores"))</f>
        <v/>
      </c>
      <c r="D203" s="64"/>
      <c r="E203" s="64"/>
      <c r="F203" s="65"/>
      <c r="G203" s="65"/>
      <c r="H203" s="67"/>
      <c r="I203" s="64"/>
      <c r="J203" s="65"/>
      <c r="K203" s="64"/>
      <c r="L203" s="64"/>
      <c r="M203" s="64"/>
      <c r="N203" s="72" t="str">
        <f aca="false">IF(B203="","",IF(D203="Anexo de modificación","No","Sí"))</f>
        <v/>
      </c>
      <c r="O203" s="73" t="str">
        <f aca="false">IF(AND(N203="Sí",ISNUMBER(F203)),COUNTIFS(C_ID,B203,C_DEFINE,"Sí",C_INICIO,"&lt;"&amp;F203)+COUNTIFS(B$7:B203,B203,N$7:N203,"Sí",F$7:F203,F203),"")</f>
        <v/>
      </c>
      <c r="P203" s="72" t="str">
        <f aca="false">IF(O203="","",B203&amp;"-P"&amp;O203)</f>
        <v/>
      </c>
      <c r="Q203" s="73" t="str">
        <f aca="false">IF(AND(N203="Sí",E203="Plazo fijo",ISNUMBER(F203)),COUNTIFS(C_ID,B203,C_TIPO,"Plazo fijo",C_DEFINE,"Sí",C_INICIO,"&lt;"&amp;F203)+COUNTIFS(B$7:B203,B203,E$7:E203,"Plazo fijo",N$7:N203,"Sí",F$7:F203,F203),"")</f>
        <v/>
      </c>
      <c r="R203" s="73" t="str">
        <f aca="false">IF(AND(B203&lt;&gt;"",ISNUMBER(H203),ISNUMBER(F203)),COUNTIFS(C_ID,B203,C_SUELDO,"&lt;&gt;",C_INICIO,"&lt;"&amp;F203)+COUNTIFS(B$7:B203,B203,H$7:H203,"&lt;&gt;",F$7:F203,F203),"")</f>
        <v/>
      </c>
      <c r="S203" s="72" t="str">
        <f aca="false">IF(R203="","",B203&amp;"-S"&amp;R203)</f>
        <v/>
      </c>
      <c r="T203" s="74" t="str">
        <f aca="false">IF(AND(ISNUMBER(F203),ISNUMBER(G203)),ROUND((G203-F203+1)/30.4375,1),"")</f>
        <v/>
      </c>
      <c r="U203" s="70" t="str">
        <f aca="false">IF(B203="","",IF(AND(N203="Sí",OR(E203="",NOT(ISNUMBER(F203)))),"⚠ Falta tipo de contrato o fecha de inicio",IF(NOT(ISNUMBER(F203)),"⚠ Falta fecha de inicio",IF(AND(N203="Sí",E203&lt;&gt;"Indefinido",NOT(ISNUMBER(G203))),"⚠ Falta fecha de término",IF(AND(D203="Paso a indefinido",E203&lt;&gt;"Indefinido"),"⚠ Un paso a indefinido debe tener tipo Indefinido",IF(N(Q203)&gt;=3,"⚠ 3er contrato a plazo fijo: por ley ya es INDEFINIDO (Art. 159 N°4)",IF(AND(E203="Plazo fijo",N(T203)&gt;12),"⚠ Plazo fijo mayor a 1 año (máx. legal; 2 años solo profesionales o técnicos)",IF(AND(ISNUMBER(G203),G203&lt;F203),"⚠ Término anterior al inicio",IF(AND(D203="Contrato inicial",ISNUMBER(J203),J203-F203&gt;15),"⚠ Escriturado fuera de plazo (Art. 9: 15 días)",IF(K203&lt;&gt;"Sí","Pendiente de firma","OK"))))))))))</f>
        <v/>
      </c>
    </row>
    <row r="204" customFormat="false" ht="15" hidden="false" customHeight="false" outlineLevel="0" collapsed="false">
      <c r="B204" s="64"/>
      <c r="C204" s="72" t="str">
        <f aca="false">IF(B204="","",IFERROR(INDEX(T_NOMBRE,MATCH(B204,T_ID,0)),"⚠ ID no existe en Trabajadores"))</f>
        <v/>
      </c>
      <c r="D204" s="64"/>
      <c r="E204" s="64"/>
      <c r="F204" s="65"/>
      <c r="G204" s="65"/>
      <c r="H204" s="67"/>
      <c r="I204" s="64"/>
      <c r="J204" s="65"/>
      <c r="K204" s="64"/>
      <c r="L204" s="64"/>
      <c r="M204" s="64"/>
      <c r="N204" s="72" t="str">
        <f aca="false">IF(B204="","",IF(D204="Anexo de modificación","No","Sí"))</f>
        <v/>
      </c>
      <c r="O204" s="73" t="str">
        <f aca="false">IF(AND(N204="Sí",ISNUMBER(F204)),COUNTIFS(C_ID,B204,C_DEFINE,"Sí",C_INICIO,"&lt;"&amp;F204)+COUNTIFS(B$7:B204,B204,N$7:N204,"Sí",F$7:F204,F204),"")</f>
        <v/>
      </c>
      <c r="P204" s="72" t="str">
        <f aca="false">IF(O204="","",B204&amp;"-P"&amp;O204)</f>
        <v/>
      </c>
      <c r="Q204" s="73" t="str">
        <f aca="false">IF(AND(N204="Sí",E204="Plazo fijo",ISNUMBER(F204)),COUNTIFS(C_ID,B204,C_TIPO,"Plazo fijo",C_DEFINE,"Sí",C_INICIO,"&lt;"&amp;F204)+COUNTIFS(B$7:B204,B204,E$7:E204,"Plazo fijo",N$7:N204,"Sí",F$7:F204,F204),"")</f>
        <v/>
      </c>
      <c r="R204" s="73" t="str">
        <f aca="false">IF(AND(B204&lt;&gt;"",ISNUMBER(H204),ISNUMBER(F204)),COUNTIFS(C_ID,B204,C_SUELDO,"&lt;&gt;",C_INICIO,"&lt;"&amp;F204)+COUNTIFS(B$7:B204,B204,H$7:H204,"&lt;&gt;",F$7:F204,F204),"")</f>
        <v/>
      </c>
      <c r="S204" s="72" t="str">
        <f aca="false">IF(R204="","",B204&amp;"-S"&amp;R204)</f>
        <v/>
      </c>
      <c r="T204" s="74" t="str">
        <f aca="false">IF(AND(ISNUMBER(F204),ISNUMBER(G204)),ROUND((G204-F204+1)/30.4375,1),"")</f>
        <v/>
      </c>
      <c r="U204" s="70" t="str">
        <f aca="false">IF(B204="","",IF(AND(N204="Sí",OR(E204="",NOT(ISNUMBER(F204)))),"⚠ Falta tipo de contrato o fecha de inicio",IF(NOT(ISNUMBER(F204)),"⚠ Falta fecha de inicio",IF(AND(N204="Sí",E204&lt;&gt;"Indefinido",NOT(ISNUMBER(G204))),"⚠ Falta fecha de término",IF(AND(D204="Paso a indefinido",E204&lt;&gt;"Indefinido"),"⚠ Un paso a indefinido debe tener tipo Indefinido",IF(N(Q204)&gt;=3,"⚠ 3er contrato a plazo fijo: por ley ya es INDEFINIDO (Art. 159 N°4)",IF(AND(E204="Plazo fijo",N(T204)&gt;12),"⚠ Plazo fijo mayor a 1 año (máx. legal; 2 años solo profesionales o técnicos)",IF(AND(ISNUMBER(G204),G204&lt;F204),"⚠ Término anterior al inicio",IF(AND(D204="Contrato inicial",ISNUMBER(J204),J204-F204&gt;15),"⚠ Escriturado fuera de plazo (Art. 9: 15 días)",IF(K204&lt;&gt;"Sí","Pendiente de firma","OK"))))))))))</f>
        <v/>
      </c>
    </row>
    <row r="205" customFormat="false" ht="15" hidden="false" customHeight="false" outlineLevel="0" collapsed="false">
      <c r="B205" s="64"/>
      <c r="C205" s="72" t="str">
        <f aca="false">IF(B205="","",IFERROR(INDEX(T_NOMBRE,MATCH(B205,T_ID,0)),"⚠ ID no existe en Trabajadores"))</f>
        <v/>
      </c>
      <c r="D205" s="64"/>
      <c r="E205" s="64"/>
      <c r="F205" s="65"/>
      <c r="G205" s="65"/>
      <c r="H205" s="67"/>
      <c r="I205" s="64"/>
      <c r="J205" s="65"/>
      <c r="K205" s="64"/>
      <c r="L205" s="64"/>
      <c r="M205" s="64"/>
      <c r="N205" s="72" t="str">
        <f aca="false">IF(B205="","",IF(D205="Anexo de modificación","No","Sí"))</f>
        <v/>
      </c>
      <c r="O205" s="73" t="str">
        <f aca="false">IF(AND(N205="Sí",ISNUMBER(F205)),COUNTIFS(C_ID,B205,C_DEFINE,"Sí",C_INICIO,"&lt;"&amp;F205)+COUNTIFS(B$7:B205,B205,N$7:N205,"Sí",F$7:F205,F205),"")</f>
        <v/>
      </c>
      <c r="P205" s="72" t="str">
        <f aca="false">IF(O205="","",B205&amp;"-P"&amp;O205)</f>
        <v/>
      </c>
      <c r="Q205" s="73" t="str">
        <f aca="false">IF(AND(N205="Sí",E205="Plazo fijo",ISNUMBER(F205)),COUNTIFS(C_ID,B205,C_TIPO,"Plazo fijo",C_DEFINE,"Sí",C_INICIO,"&lt;"&amp;F205)+COUNTIFS(B$7:B205,B205,E$7:E205,"Plazo fijo",N$7:N205,"Sí",F$7:F205,F205),"")</f>
        <v/>
      </c>
      <c r="R205" s="73" t="str">
        <f aca="false">IF(AND(B205&lt;&gt;"",ISNUMBER(H205),ISNUMBER(F205)),COUNTIFS(C_ID,B205,C_SUELDO,"&lt;&gt;",C_INICIO,"&lt;"&amp;F205)+COUNTIFS(B$7:B205,B205,H$7:H205,"&lt;&gt;",F$7:F205,F205),"")</f>
        <v/>
      </c>
      <c r="S205" s="72" t="str">
        <f aca="false">IF(R205="","",B205&amp;"-S"&amp;R205)</f>
        <v/>
      </c>
      <c r="T205" s="74" t="str">
        <f aca="false">IF(AND(ISNUMBER(F205),ISNUMBER(G205)),ROUND((G205-F205+1)/30.4375,1),"")</f>
        <v/>
      </c>
      <c r="U205" s="70" t="str">
        <f aca="false">IF(B205="","",IF(AND(N205="Sí",OR(E205="",NOT(ISNUMBER(F205)))),"⚠ Falta tipo de contrato o fecha de inicio",IF(NOT(ISNUMBER(F205)),"⚠ Falta fecha de inicio",IF(AND(N205="Sí",E205&lt;&gt;"Indefinido",NOT(ISNUMBER(G205))),"⚠ Falta fecha de término",IF(AND(D205="Paso a indefinido",E205&lt;&gt;"Indefinido"),"⚠ Un paso a indefinido debe tener tipo Indefinido",IF(N(Q205)&gt;=3,"⚠ 3er contrato a plazo fijo: por ley ya es INDEFINIDO (Art. 159 N°4)",IF(AND(E205="Plazo fijo",N(T205)&gt;12),"⚠ Plazo fijo mayor a 1 año (máx. legal; 2 años solo profesionales o técnicos)",IF(AND(ISNUMBER(G205),G205&lt;F205),"⚠ Término anterior al inicio",IF(AND(D205="Contrato inicial",ISNUMBER(J205),J205-F205&gt;15),"⚠ Escriturado fuera de plazo (Art. 9: 15 días)",IF(K205&lt;&gt;"Sí","Pendiente de firma","OK"))))))))))</f>
        <v/>
      </c>
    </row>
    <row r="206" customFormat="false" ht="15" hidden="false" customHeight="false" outlineLevel="0" collapsed="false">
      <c r="B206" s="64"/>
      <c r="C206" s="72" t="str">
        <f aca="false">IF(B206="","",IFERROR(INDEX(T_NOMBRE,MATCH(B206,T_ID,0)),"⚠ ID no existe en Trabajadores"))</f>
        <v/>
      </c>
      <c r="D206" s="64"/>
      <c r="E206" s="64"/>
      <c r="F206" s="65"/>
      <c r="G206" s="65"/>
      <c r="H206" s="67"/>
      <c r="I206" s="64"/>
      <c r="J206" s="65"/>
      <c r="K206" s="64"/>
      <c r="L206" s="64"/>
      <c r="M206" s="64"/>
      <c r="N206" s="72" t="str">
        <f aca="false">IF(B206="","",IF(D206="Anexo de modificación","No","Sí"))</f>
        <v/>
      </c>
      <c r="O206" s="73" t="str">
        <f aca="false">IF(AND(N206="Sí",ISNUMBER(F206)),COUNTIFS(C_ID,B206,C_DEFINE,"Sí",C_INICIO,"&lt;"&amp;F206)+COUNTIFS(B$7:B206,B206,N$7:N206,"Sí",F$7:F206,F206),"")</f>
        <v/>
      </c>
      <c r="P206" s="72" t="str">
        <f aca="false">IF(O206="","",B206&amp;"-P"&amp;O206)</f>
        <v/>
      </c>
      <c r="Q206" s="73" t="str">
        <f aca="false">IF(AND(N206="Sí",E206="Plazo fijo",ISNUMBER(F206)),COUNTIFS(C_ID,B206,C_TIPO,"Plazo fijo",C_DEFINE,"Sí",C_INICIO,"&lt;"&amp;F206)+COUNTIFS(B$7:B206,B206,E$7:E206,"Plazo fijo",N$7:N206,"Sí",F$7:F206,F206),"")</f>
        <v/>
      </c>
      <c r="R206" s="73" t="str">
        <f aca="false">IF(AND(B206&lt;&gt;"",ISNUMBER(H206),ISNUMBER(F206)),COUNTIFS(C_ID,B206,C_SUELDO,"&lt;&gt;",C_INICIO,"&lt;"&amp;F206)+COUNTIFS(B$7:B206,B206,H$7:H206,"&lt;&gt;",F$7:F206,F206),"")</f>
        <v/>
      </c>
      <c r="S206" s="72" t="str">
        <f aca="false">IF(R206="","",B206&amp;"-S"&amp;R206)</f>
        <v/>
      </c>
      <c r="T206" s="74" t="str">
        <f aca="false">IF(AND(ISNUMBER(F206),ISNUMBER(G206)),ROUND((G206-F206+1)/30.4375,1),"")</f>
        <v/>
      </c>
      <c r="U206" s="70" t="str">
        <f aca="false">IF(B206="","",IF(AND(N206="Sí",OR(E206="",NOT(ISNUMBER(F206)))),"⚠ Falta tipo de contrato o fecha de inicio",IF(NOT(ISNUMBER(F206)),"⚠ Falta fecha de inicio",IF(AND(N206="Sí",E206&lt;&gt;"Indefinido",NOT(ISNUMBER(G206))),"⚠ Falta fecha de término",IF(AND(D206="Paso a indefinido",E206&lt;&gt;"Indefinido"),"⚠ Un paso a indefinido debe tener tipo Indefinido",IF(N(Q206)&gt;=3,"⚠ 3er contrato a plazo fijo: por ley ya es INDEFINIDO (Art. 159 N°4)",IF(AND(E206="Plazo fijo",N(T206)&gt;12),"⚠ Plazo fijo mayor a 1 año (máx. legal; 2 años solo profesionales o técnicos)",IF(AND(ISNUMBER(G206),G206&lt;F206),"⚠ Término anterior al inicio",IF(AND(D206="Contrato inicial",ISNUMBER(J206),J206-F206&gt;15),"⚠ Escriturado fuera de plazo (Art. 9: 15 días)",IF(K206&lt;&gt;"Sí","Pendiente de firma","OK"))))))))))</f>
        <v/>
      </c>
    </row>
    <row r="207" customFormat="false" ht="15" hidden="false" customHeight="false" outlineLevel="0" collapsed="false">
      <c r="B207" s="64"/>
      <c r="C207" s="72" t="str">
        <f aca="false">IF(B207="","",IFERROR(INDEX(T_NOMBRE,MATCH(B207,T_ID,0)),"⚠ ID no existe en Trabajadores"))</f>
        <v/>
      </c>
      <c r="D207" s="64"/>
      <c r="E207" s="64"/>
      <c r="F207" s="65"/>
      <c r="G207" s="65"/>
      <c r="H207" s="67"/>
      <c r="I207" s="64"/>
      <c r="J207" s="65"/>
      <c r="K207" s="64"/>
      <c r="L207" s="64"/>
      <c r="M207" s="64"/>
      <c r="N207" s="72" t="str">
        <f aca="false">IF(B207="","",IF(D207="Anexo de modificación","No","Sí"))</f>
        <v/>
      </c>
      <c r="O207" s="73" t="str">
        <f aca="false">IF(AND(N207="Sí",ISNUMBER(F207)),COUNTIFS(C_ID,B207,C_DEFINE,"Sí",C_INICIO,"&lt;"&amp;F207)+COUNTIFS(B$7:B207,B207,N$7:N207,"Sí",F$7:F207,F207),"")</f>
        <v/>
      </c>
      <c r="P207" s="72" t="str">
        <f aca="false">IF(O207="","",B207&amp;"-P"&amp;O207)</f>
        <v/>
      </c>
      <c r="Q207" s="73" t="str">
        <f aca="false">IF(AND(N207="Sí",E207="Plazo fijo",ISNUMBER(F207)),COUNTIFS(C_ID,B207,C_TIPO,"Plazo fijo",C_DEFINE,"Sí",C_INICIO,"&lt;"&amp;F207)+COUNTIFS(B$7:B207,B207,E$7:E207,"Plazo fijo",N$7:N207,"Sí",F$7:F207,F207),"")</f>
        <v/>
      </c>
      <c r="R207" s="73" t="str">
        <f aca="false">IF(AND(B207&lt;&gt;"",ISNUMBER(H207),ISNUMBER(F207)),COUNTIFS(C_ID,B207,C_SUELDO,"&lt;&gt;",C_INICIO,"&lt;"&amp;F207)+COUNTIFS(B$7:B207,B207,H$7:H207,"&lt;&gt;",F$7:F207,F207),"")</f>
        <v/>
      </c>
      <c r="S207" s="72" t="str">
        <f aca="false">IF(R207="","",B207&amp;"-S"&amp;R207)</f>
        <v/>
      </c>
      <c r="T207" s="74" t="str">
        <f aca="false">IF(AND(ISNUMBER(F207),ISNUMBER(G207)),ROUND((G207-F207+1)/30.4375,1),"")</f>
        <v/>
      </c>
      <c r="U207" s="70" t="str">
        <f aca="false">IF(B207="","",IF(AND(N207="Sí",OR(E207="",NOT(ISNUMBER(F207)))),"⚠ Falta tipo de contrato o fecha de inicio",IF(NOT(ISNUMBER(F207)),"⚠ Falta fecha de inicio",IF(AND(N207="Sí",E207&lt;&gt;"Indefinido",NOT(ISNUMBER(G207))),"⚠ Falta fecha de término",IF(AND(D207="Paso a indefinido",E207&lt;&gt;"Indefinido"),"⚠ Un paso a indefinido debe tener tipo Indefinido",IF(N(Q207)&gt;=3,"⚠ 3er contrato a plazo fijo: por ley ya es INDEFINIDO (Art. 159 N°4)",IF(AND(E207="Plazo fijo",N(T207)&gt;12),"⚠ Plazo fijo mayor a 1 año (máx. legal; 2 años solo profesionales o técnicos)",IF(AND(ISNUMBER(G207),G207&lt;F207),"⚠ Término anterior al inicio",IF(AND(D207="Contrato inicial",ISNUMBER(J207),J207-F207&gt;15),"⚠ Escriturado fuera de plazo (Art. 9: 15 días)",IF(K207&lt;&gt;"Sí","Pendiente de firma","OK"))))))))))</f>
        <v/>
      </c>
    </row>
    <row r="208" customFormat="false" ht="15" hidden="false" customHeight="false" outlineLevel="0" collapsed="false">
      <c r="B208" s="64"/>
      <c r="C208" s="72" t="str">
        <f aca="false">IF(B208="","",IFERROR(INDEX(T_NOMBRE,MATCH(B208,T_ID,0)),"⚠ ID no existe en Trabajadores"))</f>
        <v/>
      </c>
      <c r="D208" s="64"/>
      <c r="E208" s="64"/>
      <c r="F208" s="65"/>
      <c r="G208" s="65"/>
      <c r="H208" s="67"/>
      <c r="I208" s="64"/>
      <c r="J208" s="65"/>
      <c r="K208" s="64"/>
      <c r="L208" s="64"/>
      <c r="M208" s="64"/>
      <c r="N208" s="72" t="str">
        <f aca="false">IF(B208="","",IF(D208="Anexo de modificación","No","Sí"))</f>
        <v/>
      </c>
      <c r="O208" s="73" t="str">
        <f aca="false">IF(AND(N208="Sí",ISNUMBER(F208)),COUNTIFS(C_ID,B208,C_DEFINE,"Sí",C_INICIO,"&lt;"&amp;F208)+COUNTIFS(B$7:B208,B208,N$7:N208,"Sí",F$7:F208,F208),"")</f>
        <v/>
      </c>
      <c r="P208" s="72" t="str">
        <f aca="false">IF(O208="","",B208&amp;"-P"&amp;O208)</f>
        <v/>
      </c>
      <c r="Q208" s="73" t="str">
        <f aca="false">IF(AND(N208="Sí",E208="Plazo fijo",ISNUMBER(F208)),COUNTIFS(C_ID,B208,C_TIPO,"Plazo fijo",C_DEFINE,"Sí",C_INICIO,"&lt;"&amp;F208)+COUNTIFS(B$7:B208,B208,E$7:E208,"Plazo fijo",N$7:N208,"Sí",F$7:F208,F208),"")</f>
        <v/>
      </c>
      <c r="R208" s="73" t="str">
        <f aca="false">IF(AND(B208&lt;&gt;"",ISNUMBER(H208),ISNUMBER(F208)),COUNTIFS(C_ID,B208,C_SUELDO,"&lt;&gt;",C_INICIO,"&lt;"&amp;F208)+COUNTIFS(B$7:B208,B208,H$7:H208,"&lt;&gt;",F$7:F208,F208),"")</f>
        <v/>
      </c>
      <c r="S208" s="72" t="str">
        <f aca="false">IF(R208="","",B208&amp;"-S"&amp;R208)</f>
        <v/>
      </c>
      <c r="T208" s="74" t="str">
        <f aca="false">IF(AND(ISNUMBER(F208),ISNUMBER(G208)),ROUND((G208-F208+1)/30.4375,1),"")</f>
        <v/>
      </c>
      <c r="U208" s="70" t="str">
        <f aca="false">IF(B208="","",IF(AND(N208="Sí",OR(E208="",NOT(ISNUMBER(F208)))),"⚠ Falta tipo de contrato o fecha de inicio",IF(NOT(ISNUMBER(F208)),"⚠ Falta fecha de inicio",IF(AND(N208="Sí",E208&lt;&gt;"Indefinido",NOT(ISNUMBER(G208))),"⚠ Falta fecha de término",IF(AND(D208="Paso a indefinido",E208&lt;&gt;"Indefinido"),"⚠ Un paso a indefinido debe tener tipo Indefinido",IF(N(Q208)&gt;=3,"⚠ 3er contrato a plazo fijo: por ley ya es INDEFINIDO (Art. 159 N°4)",IF(AND(E208="Plazo fijo",N(T208)&gt;12),"⚠ Plazo fijo mayor a 1 año (máx. legal; 2 años solo profesionales o técnicos)",IF(AND(ISNUMBER(G208),G208&lt;F208),"⚠ Término anterior al inicio",IF(AND(D208="Contrato inicial",ISNUMBER(J208),J208-F208&gt;15),"⚠ Escriturado fuera de plazo (Art. 9: 15 días)",IF(K208&lt;&gt;"Sí","Pendiente de firma","OK"))))))))))</f>
        <v/>
      </c>
    </row>
    <row r="209" customFormat="false" ht="15" hidden="false" customHeight="false" outlineLevel="0" collapsed="false">
      <c r="B209" s="64"/>
      <c r="C209" s="72" t="str">
        <f aca="false">IF(B209="","",IFERROR(INDEX(T_NOMBRE,MATCH(B209,T_ID,0)),"⚠ ID no existe en Trabajadores"))</f>
        <v/>
      </c>
      <c r="D209" s="64"/>
      <c r="E209" s="64"/>
      <c r="F209" s="65"/>
      <c r="G209" s="65"/>
      <c r="H209" s="67"/>
      <c r="I209" s="64"/>
      <c r="J209" s="65"/>
      <c r="K209" s="64"/>
      <c r="L209" s="64"/>
      <c r="M209" s="64"/>
      <c r="N209" s="72" t="str">
        <f aca="false">IF(B209="","",IF(D209="Anexo de modificación","No","Sí"))</f>
        <v/>
      </c>
      <c r="O209" s="73" t="str">
        <f aca="false">IF(AND(N209="Sí",ISNUMBER(F209)),COUNTIFS(C_ID,B209,C_DEFINE,"Sí",C_INICIO,"&lt;"&amp;F209)+COUNTIFS(B$7:B209,B209,N$7:N209,"Sí",F$7:F209,F209),"")</f>
        <v/>
      </c>
      <c r="P209" s="72" t="str">
        <f aca="false">IF(O209="","",B209&amp;"-P"&amp;O209)</f>
        <v/>
      </c>
      <c r="Q209" s="73" t="str">
        <f aca="false">IF(AND(N209="Sí",E209="Plazo fijo",ISNUMBER(F209)),COUNTIFS(C_ID,B209,C_TIPO,"Plazo fijo",C_DEFINE,"Sí",C_INICIO,"&lt;"&amp;F209)+COUNTIFS(B$7:B209,B209,E$7:E209,"Plazo fijo",N$7:N209,"Sí",F$7:F209,F209),"")</f>
        <v/>
      </c>
      <c r="R209" s="73" t="str">
        <f aca="false">IF(AND(B209&lt;&gt;"",ISNUMBER(H209),ISNUMBER(F209)),COUNTIFS(C_ID,B209,C_SUELDO,"&lt;&gt;",C_INICIO,"&lt;"&amp;F209)+COUNTIFS(B$7:B209,B209,H$7:H209,"&lt;&gt;",F$7:F209,F209),"")</f>
        <v/>
      </c>
      <c r="S209" s="72" t="str">
        <f aca="false">IF(R209="","",B209&amp;"-S"&amp;R209)</f>
        <v/>
      </c>
      <c r="T209" s="74" t="str">
        <f aca="false">IF(AND(ISNUMBER(F209),ISNUMBER(G209)),ROUND((G209-F209+1)/30.4375,1),"")</f>
        <v/>
      </c>
      <c r="U209" s="70" t="str">
        <f aca="false">IF(B209="","",IF(AND(N209="Sí",OR(E209="",NOT(ISNUMBER(F209)))),"⚠ Falta tipo de contrato o fecha de inicio",IF(NOT(ISNUMBER(F209)),"⚠ Falta fecha de inicio",IF(AND(N209="Sí",E209&lt;&gt;"Indefinido",NOT(ISNUMBER(G209))),"⚠ Falta fecha de término",IF(AND(D209="Paso a indefinido",E209&lt;&gt;"Indefinido"),"⚠ Un paso a indefinido debe tener tipo Indefinido",IF(N(Q209)&gt;=3,"⚠ 3er contrato a plazo fijo: por ley ya es INDEFINIDO (Art. 159 N°4)",IF(AND(E209="Plazo fijo",N(T209)&gt;12),"⚠ Plazo fijo mayor a 1 año (máx. legal; 2 años solo profesionales o técnicos)",IF(AND(ISNUMBER(G209),G209&lt;F209),"⚠ Término anterior al inicio",IF(AND(D209="Contrato inicial",ISNUMBER(J209),J209-F209&gt;15),"⚠ Escriturado fuera de plazo (Art. 9: 15 días)",IF(K209&lt;&gt;"Sí","Pendiente de firma","OK"))))))))))</f>
        <v/>
      </c>
    </row>
    <row r="210" customFormat="false" ht="15" hidden="false" customHeight="false" outlineLevel="0" collapsed="false">
      <c r="B210" s="64"/>
      <c r="C210" s="72" t="str">
        <f aca="false">IF(B210="","",IFERROR(INDEX(T_NOMBRE,MATCH(B210,T_ID,0)),"⚠ ID no existe en Trabajadores"))</f>
        <v/>
      </c>
      <c r="D210" s="64"/>
      <c r="E210" s="64"/>
      <c r="F210" s="65"/>
      <c r="G210" s="65"/>
      <c r="H210" s="67"/>
      <c r="I210" s="64"/>
      <c r="J210" s="65"/>
      <c r="K210" s="64"/>
      <c r="L210" s="64"/>
      <c r="M210" s="64"/>
      <c r="N210" s="72" t="str">
        <f aca="false">IF(B210="","",IF(D210="Anexo de modificación","No","Sí"))</f>
        <v/>
      </c>
      <c r="O210" s="73" t="str">
        <f aca="false">IF(AND(N210="Sí",ISNUMBER(F210)),COUNTIFS(C_ID,B210,C_DEFINE,"Sí",C_INICIO,"&lt;"&amp;F210)+COUNTIFS(B$7:B210,B210,N$7:N210,"Sí",F$7:F210,F210),"")</f>
        <v/>
      </c>
      <c r="P210" s="72" t="str">
        <f aca="false">IF(O210="","",B210&amp;"-P"&amp;O210)</f>
        <v/>
      </c>
      <c r="Q210" s="73" t="str">
        <f aca="false">IF(AND(N210="Sí",E210="Plazo fijo",ISNUMBER(F210)),COUNTIFS(C_ID,B210,C_TIPO,"Plazo fijo",C_DEFINE,"Sí",C_INICIO,"&lt;"&amp;F210)+COUNTIFS(B$7:B210,B210,E$7:E210,"Plazo fijo",N$7:N210,"Sí",F$7:F210,F210),"")</f>
        <v/>
      </c>
      <c r="R210" s="73" t="str">
        <f aca="false">IF(AND(B210&lt;&gt;"",ISNUMBER(H210),ISNUMBER(F210)),COUNTIFS(C_ID,B210,C_SUELDO,"&lt;&gt;",C_INICIO,"&lt;"&amp;F210)+COUNTIFS(B$7:B210,B210,H$7:H210,"&lt;&gt;",F$7:F210,F210),"")</f>
        <v/>
      </c>
      <c r="S210" s="72" t="str">
        <f aca="false">IF(R210="","",B210&amp;"-S"&amp;R210)</f>
        <v/>
      </c>
      <c r="T210" s="74" t="str">
        <f aca="false">IF(AND(ISNUMBER(F210),ISNUMBER(G210)),ROUND((G210-F210+1)/30.4375,1),"")</f>
        <v/>
      </c>
      <c r="U210" s="70" t="str">
        <f aca="false">IF(B210="","",IF(AND(N210="Sí",OR(E210="",NOT(ISNUMBER(F210)))),"⚠ Falta tipo de contrato o fecha de inicio",IF(NOT(ISNUMBER(F210)),"⚠ Falta fecha de inicio",IF(AND(N210="Sí",E210&lt;&gt;"Indefinido",NOT(ISNUMBER(G210))),"⚠ Falta fecha de término",IF(AND(D210="Paso a indefinido",E210&lt;&gt;"Indefinido"),"⚠ Un paso a indefinido debe tener tipo Indefinido",IF(N(Q210)&gt;=3,"⚠ 3er contrato a plazo fijo: por ley ya es INDEFINIDO (Art. 159 N°4)",IF(AND(E210="Plazo fijo",N(T210)&gt;12),"⚠ Plazo fijo mayor a 1 año (máx. legal; 2 años solo profesionales o técnicos)",IF(AND(ISNUMBER(G210),G210&lt;F210),"⚠ Término anterior al inicio",IF(AND(D210="Contrato inicial",ISNUMBER(J210),J210-F210&gt;15),"⚠ Escriturado fuera de plazo (Art. 9: 15 días)",IF(K210&lt;&gt;"Sí","Pendiente de firma","OK"))))))))))</f>
        <v/>
      </c>
    </row>
    <row r="211" customFormat="false" ht="15" hidden="false" customHeight="false" outlineLevel="0" collapsed="false">
      <c r="B211" s="64"/>
      <c r="C211" s="72" t="str">
        <f aca="false">IF(B211="","",IFERROR(INDEX(T_NOMBRE,MATCH(B211,T_ID,0)),"⚠ ID no existe en Trabajadores"))</f>
        <v/>
      </c>
      <c r="D211" s="64"/>
      <c r="E211" s="64"/>
      <c r="F211" s="65"/>
      <c r="G211" s="65"/>
      <c r="H211" s="67"/>
      <c r="I211" s="64"/>
      <c r="J211" s="65"/>
      <c r="K211" s="64"/>
      <c r="L211" s="64"/>
      <c r="M211" s="64"/>
      <c r="N211" s="72" t="str">
        <f aca="false">IF(B211="","",IF(D211="Anexo de modificación","No","Sí"))</f>
        <v/>
      </c>
      <c r="O211" s="73" t="str">
        <f aca="false">IF(AND(N211="Sí",ISNUMBER(F211)),COUNTIFS(C_ID,B211,C_DEFINE,"Sí",C_INICIO,"&lt;"&amp;F211)+COUNTIFS(B$7:B211,B211,N$7:N211,"Sí",F$7:F211,F211),"")</f>
        <v/>
      </c>
      <c r="P211" s="72" t="str">
        <f aca="false">IF(O211="","",B211&amp;"-P"&amp;O211)</f>
        <v/>
      </c>
      <c r="Q211" s="73" t="str">
        <f aca="false">IF(AND(N211="Sí",E211="Plazo fijo",ISNUMBER(F211)),COUNTIFS(C_ID,B211,C_TIPO,"Plazo fijo",C_DEFINE,"Sí",C_INICIO,"&lt;"&amp;F211)+COUNTIFS(B$7:B211,B211,E$7:E211,"Plazo fijo",N$7:N211,"Sí",F$7:F211,F211),"")</f>
        <v/>
      </c>
      <c r="R211" s="73" t="str">
        <f aca="false">IF(AND(B211&lt;&gt;"",ISNUMBER(H211),ISNUMBER(F211)),COUNTIFS(C_ID,B211,C_SUELDO,"&lt;&gt;",C_INICIO,"&lt;"&amp;F211)+COUNTIFS(B$7:B211,B211,H$7:H211,"&lt;&gt;",F$7:F211,F211),"")</f>
        <v/>
      </c>
      <c r="S211" s="72" t="str">
        <f aca="false">IF(R211="","",B211&amp;"-S"&amp;R211)</f>
        <v/>
      </c>
      <c r="T211" s="74" t="str">
        <f aca="false">IF(AND(ISNUMBER(F211),ISNUMBER(G211)),ROUND((G211-F211+1)/30.4375,1),"")</f>
        <v/>
      </c>
      <c r="U211" s="70" t="str">
        <f aca="false">IF(B211="","",IF(AND(N211="Sí",OR(E211="",NOT(ISNUMBER(F211)))),"⚠ Falta tipo de contrato o fecha de inicio",IF(NOT(ISNUMBER(F211)),"⚠ Falta fecha de inicio",IF(AND(N211="Sí",E211&lt;&gt;"Indefinido",NOT(ISNUMBER(G211))),"⚠ Falta fecha de término",IF(AND(D211="Paso a indefinido",E211&lt;&gt;"Indefinido"),"⚠ Un paso a indefinido debe tener tipo Indefinido",IF(N(Q211)&gt;=3,"⚠ 3er contrato a plazo fijo: por ley ya es INDEFINIDO (Art. 159 N°4)",IF(AND(E211="Plazo fijo",N(T211)&gt;12),"⚠ Plazo fijo mayor a 1 año (máx. legal; 2 años solo profesionales o técnicos)",IF(AND(ISNUMBER(G211),G211&lt;F211),"⚠ Término anterior al inicio",IF(AND(D211="Contrato inicial",ISNUMBER(J211),J211-F211&gt;15),"⚠ Escriturado fuera de plazo (Art. 9: 15 días)",IF(K211&lt;&gt;"Sí","Pendiente de firma","OK"))))))))))</f>
        <v/>
      </c>
    </row>
    <row r="212" customFormat="false" ht="15" hidden="false" customHeight="false" outlineLevel="0" collapsed="false">
      <c r="B212" s="64"/>
      <c r="C212" s="72" t="str">
        <f aca="false">IF(B212="","",IFERROR(INDEX(T_NOMBRE,MATCH(B212,T_ID,0)),"⚠ ID no existe en Trabajadores"))</f>
        <v/>
      </c>
      <c r="D212" s="64"/>
      <c r="E212" s="64"/>
      <c r="F212" s="65"/>
      <c r="G212" s="65"/>
      <c r="H212" s="67"/>
      <c r="I212" s="64"/>
      <c r="J212" s="65"/>
      <c r="K212" s="64"/>
      <c r="L212" s="64"/>
      <c r="M212" s="64"/>
      <c r="N212" s="72" t="str">
        <f aca="false">IF(B212="","",IF(D212="Anexo de modificación","No","Sí"))</f>
        <v/>
      </c>
      <c r="O212" s="73" t="str">
        <f aca="false">IF(AND(N212="Sí",ISNUMBER(F212)),COUNTIFS(C_ID,B212,C_DEFINE,"Sí",C_INICIO,"&lt;"&amp;F212)+COUNTIFS(B$7:B212,B212,N$7:N212,"Sí",F$7:F212,F212),"")</f>
        <v/>
      </c>
      <c r="P212" s="72" t="str">
        <f aca="false">IF(O212="","",B212&amp;"-P"&amp;O212)</f>
        <v/>
      </c>
      <c r="Q212" s="73" t="str">
        <f aca="false">IF(AND(N212="Sí",E212="Plazo fijo",ISNUMBER(F212)),COUNTIFS(C_ID,B212,C_TIPO,"Plazo fijo",C_DEFINE,"Sí",C_INICIO,"&lt;"&amp;F212)+COUNTIFS(B$7:B212,B212,E$7:E212,"Plazo fijo",N$7:N212,"Sí",F$7:F212,F212),"")</f>
        <v/>
      </c>
      <c r="R212" s="73" t="str">
        <f aca="false">IF(AND(B212&lt;&gt;"",ISNUMBER(H212),ISNUMBER(F212)),COUNTIFS(C_ID,B212,C_SUELDO,"&lt;&gt;",C_INICIO,"&lt;"&amp;F212)+COUNTIFS(B$7:B212,B212,H$7:H212,"&lt;&gt;",F$7:F212,F212),"")</f>
        <v/>
      </c>
      <c r="S212" s="72" t="str">
        <f aca="false">IF(R212="","",B212&amp;"-S"&amp;R212)</f>
        <v/>
      </c>
      <c r="T212" s="74" t="str">
        <f aca="false">IF(AND(ISNUMBER(F212),ISNUMBER(G212)),ROUND((G212-F212+1)/30.4375,1),"")</f>
        <v/>
      </c>
      <c r="U212" s="70" t="str">
        <f aca="false">IF(B212="","",IF(AND(N212="Sí",OR(E212="",NOT(ISNUMBER(F212)))),"⚠ Falta tipo de contrato o fecha de inicio",IF(NOT(ISNUMBER(F212)),"⚠ Falta fecha de inicio",IF(AND(N212="Sí",E212&lt;&gt;"Indefinido",NOT(ISNUMBER(G212))),"⚠ Falta fecha de término",IF(AND(D212="Paso a indefinido",E212&lt;&gt;"Indefinido"),"⚠ Un paso a indefinido debe tener tipo Indefinido",IF(N(Q212)&gt;=3,"⚠ 3er contrato a plazo fijo: por ley ya es INDEFINIDO (Art. 159 N°4)",IF(AND(E212="Plazo fijo",N(T212)&gt;12),"⚠ Plazo fijo mayor a 1 año (máx. legal; 2 años solo profesionales o técnicos)",IF(AND(ISNUMBER(G212),G212&lt;F212),"⚠ Término anterior al inicio",IF(AND(D212="Contrato inicial",ISNUMBER(J212),J212-F212&gt;15),"⚠ Escriturado fuera de plazo (Art. 9: 15 días)",IF(K212&lt;&gt;"Sí","Pendiente de firma","OK"))))))))))</f>
        <v/>
      </c>
    </row>
    <row r="213" customFormat="false" ht="15" hidden="false" customHeight="false" outlineLevel="0" collapsed="false">
      <c r="B213" s="64"/>
      <c r="C213" s="72" t="str">
        <f aca="false">IF(B213="","",IFERROR(INDEX(T_NOMBRE,MATCH(B213,T_ID,0)),"⚠ ID no existe en Trabajadores"))</f>
        <v/>
      </c>
      <c r="D213" s="64"/>
      <c r="E213" s="64"/>
      <c r="F213" s="65"/>
      <c r="G213" s="65"/>
      <c r="H213" s="67"/>
      <c r="I213" s="64"/>
      <c r="J213" s="65"/>
      <c r="K213" s="64"/>
      <c r="L213" s="64"/>
      <c r="M213" s="64"/>
      <c r="N213" s="72" t="str">
        <f aca="false">IF(B213="","",IF(D213="Anexo de modificación","No","Sí"))</f>
        <v/>
      </c>
      <c r="O213" s="73" t="str">
        <f aca="false">IF(AND(N213="Sí",ISNUMBER(F213)),COUNTIFS(C_ID,B213,C_DEFINE,"Sí",C_INICIO,"&lt;"&amp;F213)+COUNTIFS(B$7:B213,B213,N$7:N213,"Sí",F$7:F213,F213),"")</f>
        <v/>
      </c>
      <c r="P213" s="72" t="str">
        <f aca="false">IF(O213="","",B213&amp;"-P"&amp;O213)</f>
        <v/>
      </c>
      <c r="Q213" s="73" t="str">
        <f aca="false">IF(AND(N213="Sí",E213="Plazo fijo",ISNUMBER(F213)),COUNTIFS(C_ID,B213,C_TIPO,"Plazo fijo",C_DEFINE,"Sí",C_INICIO,"&lt;"&amp;F213)+COUNTIFS(B$7:B213,B213,E$7:E213,"Plazo fijo",N$7:N213,"Sí",F$7:F213,F213),"")</f>
        <v/>
      </c>
      <c r="R213" s="73" t="str">
        <f aca="false">IF(AND(B213&lt;&gt;"",ISNUMBER(H213),ISNUMBER(F213)),COUNTIFS(C_ID,B213,C_SUELDO,"&lt;&gt;",C_INICIO,"&lt;"&amp;F213)+COUNTIFS(B$7:B213,B213,H$7:H213,"&lt;&gt;",F$7:F213,F213),"")</f>
        <v/>
      </c>
      <c r="S213" s="72" t="str">
        <f aca="false">IF(R213="","",B213&amp;"-S"&amp;R213)</f>
        <v/>
      </c>
      <c r="T213" s="74" t="str">
        <f aca="false">IF(AND(ISNUMBER(F213),ISNUMBER(G213)),ROUND((G213-F213+1)/30.4375,1),"")</f>
        <v/>
      </c>
      <c r="U213" s="70" t="str">
        <f aca="false">IF(B213="","",IF(AND(N213="Sí",OR(E213="",NOT(ISNUMBER(F213)))),"⚠ Falta tipo de contrato o fecha de inicio",IF(NOT(ISNUMBER(F213)),"⚠ Falta fecha de inicio",IF(AND(N213="Sí",E213&lt;&gt;"Indefinido",NOT(ISNUMBER(G213))),"⚠ Falta fecha de término",IF(AND(D213="Paso a indefinido",E213&lt;&gt;"Indefinido"),"⚠ Un paso a indefinido debe tener tipo Indefinido",IF(N(Q213)&gt;=3,"⚠ 3er contrato a plazo fijo: por ley ya es INDEFINIDO (Art. 159 N°4)",IF(AND(E213="Plazo fijo",N(T213)&gt;12),"⚠ Plazo fijo mayor a 1 año (máx. legal; 2 años solo profesionales o técnicos)",IF(AND(ISNUMBER(G213),G213&lt;F213),"⚠ Término anterior al inicio",IF(AND(D213="Contrato inicial",ISNUMBER(J213),J213-F213&gt;15),"⚠ Escriturado fuera de plazo (Art. 9: 15 días)",IF(K213&lt;&gt;"Sí","Pendiente de firma","OK"))))))))))</f>
        <v/>
      </c>
    </row>
    <row r="214" customFormat="false" ht="15" hidden="false" customHeight="false" outlineLevel="0" collapsed="false">
      <c r="B214" s="64"/>
      <c r="C214" s="72" t="str">
        <f aca="false">IF(B214="","",IFERROR(INDEX(T_NOMBRE,MATCH(B214,T_ID,0)),"⚠ ID no existe en Trabajadores"))</f>
        <v/>
      </c>
      <c r="D214" s="64"/>
      <c r="E214" s="64"/>
      <c r="F214" s="65"/>
      <c r="G214" s="65"/>
      <c r="H214" s="67"/>
      <c r="I214" s="64"/>
      <c r="J214" s="65"/>
      <c r="K214" s="64"/>
      <c r="L214" s="64"/>
      <c r="M214" s="64"/>
      <c r="N214" s="72" t="str">
        <f aca="false">IF(B214="","",IF(D214="Anexo de modificación","No","Sí"))</f>
        <v/>
      </c>
      <c r="O214" s="73" t="str">
        <f aca="false">IF(AND(N214="Sí",ISNUMBER(F214)),COUNTIFS(C_ID,B214,C_DEFINE,"Sí",C_INICIO,"&lt;"&amp;F214)+COUNTIFS(B$7:B214,B214,N$7:N214,"Sí",F$7:F214,F214),"")</f>
        <v/>
      </c>
      <c r="P214" s="72" t="str">
        <f aca="false">IF(O214="","",B214&amp;"-P"&amp;O214)</f>
        <v/>
      </c>
      <c r="Q214" s="73" t="str">
        <f aca="false">IF(AND(N214="Sí",E214="Plazo fijo",ISNUMBER(F214)),COUNTIFS(C_ID,B214,C_TIPO,"Plazo fijo",C_DEFINE,"Sí",C_INICIO,"&lt;"&amp;F214)+COUNTIFS(B$7:B214,B214,E$7:E214,"Plazo fijo",N$7:N214,"Sí",F$7:F214,F214),"")</f>
        <v/>
      </c>
      <c r="R214" s="73" t="str">
        <f aca="false">IF(AND(B214&lt;&gt;"",ISNUMBER(H214),ISNUMBER(F214)),COUNTIFS(C_ID,B214,C_SUELDO,"&lt;&gt;",C_INICIO,"&lt;"&amp;F214)+COUNTIFS(B$7:B214,B214,H$7:H214,"&lt;&gt;",F$7:F214,F214),"")</f>
        <v/>
      </c>
      <c r="S214" s="72" t="str">
        <f aca="false">IF(R214="","",B214&amp;"-S"&amp;R214)</f>
        <v/>
      </c>
      <c r="T214" s="74" t="str">
        <f aca="false">IF(AND(ISNUMBER(F214),ISNUMBER(G214)),ROUND((G214-F214+1)/30.4375,1),"")</f>
        <v/>
      </c>
      <c r="U214" s="70" t="str">
        <f aca="false">IF(B214="","",IF(AND(N214="Sí",OR(E214="",NOT(ISNUMBER(F214)))),"⚠ Falta tipo de contrato o fecha de inicio",IF(NOT(ISNUMBER(F214)),"⚠ Falta fecha de inicio",IF(AND(N214="Sí",E214&lt;&gt;"Indefinido",NOT(ISNUMBER(G214))),"⚠ Falta fecha de término",IF(AND(D214="Paso a indefinido",E214&lt;&gt;"Indefinido"),"⚠ Un paso a indefinido debe tener tipo Indefinido",IF(N(Q214)&gt;=3,"⚠ 3er contrato a plazo fijo: por ley ya es INDEFINIDO (Art. 159 N°4)",IF(AND(E214="Plazo fijo",N(T214)&gt;12),"⚠ Plazo fijo mayor a 1 año (máx. legal; 2 años solo profesionales o técnicos)",IF(AND(ISNUMBER(G214),G214&lt;F214),"⚠ Término anterior al inicio",IF(AND(D214="Contrato inicial",ISNUMBER(J214),J214-F214&gt;15),"⚠ Escriturado fuera de plazo (Art. 9: 15 días)",IF(K214&lt;&gt;"Sí","Pendiente de firma","OK"))))))))))</f>
        <v/>
      </c>
    </row>
    <row r="215" customFormat="false" ht="15" hidden="false" customHeight="false" outlineLevel="0" collapsed="false">
      <c r="B215" s="64"/>
      <c r="C215" s="72" t="str">
        <f aca="false">IF(B215="","",IFERROR(INDEX(T_NOMBRE,MATCH(B215,T_ID,0)),"⚠ ID no existe en Trabajadores"))</f>
        <v/>
      </c>
      <c r="D215" s="64"/>
      <c r="E215" s="64"/>
      <c r="F215" s="65"/>
      <c r="G215" s="65"/>
      <c r="H215" s="67"/>
      <c r="I215" s="64"/>
      <c r="J215" s="65"/>
      <c r="K215" s="64"/>
      <c r="L215" s="64"/>
      <c r="M215" s="64"/>
      <c r="N215" s="72" t="str">
        <f aca="false">IF(B215="","",IF(D215="Anexo de modificación","No","Sí"))</f>
        <v/>
      </c>
      <c r="O215" s="73" t="str">
        <f aca="false">IF(AND(N215="Sí",ISNUMBER(F215)),COUNTIFS(C_ID,B215,C_DEFINE,"Sí",C_INICIO,"&lt;"&amp;F215)+COUNTIFS(B$7:B215,B215,N$7:N215,"Sí",F$7:F215,F215),"")</f>
        <v/>
      </c>
      <c r="P215" s="72" t="str">
        <f aca="false">IF(O215="","",B215&amp;"-P"&amp;O215)</f>
        <v/>
      </c>
      <c r="Q215" s="73" t="str">
        <f aca="false">IF(AND(N215="Sí",E215="Plazo fijo",ISNUMBER(F215)),COUNTIFS(C_ID,B215,C_TIPO,"Plazo fijo",C_DEFINE,"Sí",C_INICIO,"&lt;"&amp;F215)+COUNTIFS(B$7:B215,B215,E$7:E215,"Plazo fijo",N$7:N215,"Sí",F$7:F215,F215),"")</f>
        <v/>
      </c>
      <c r="R215" s="73" t="str">
        <f aca="false">IF(AND(B215&lt;&gt;"",ISNUMBER(H215),ISNUMBER(F215)),COUNTIFS(C_ID,B215,C_SUELDO,"&lt;&gt;",C_INICIO,"&lt;"&amp;F215)+COUNTIFS(B$7:B215,B215,H$7:H215,"&lt;&gt;",F$7:F215,F215),"")</f>
        <v/>
      </c>
      <c r="S215" s="72" t="str">
        <f aca="false">IF(R215="","",B215&amp;"-S"&amp;R215)</f>
        <v/>
      </c>
      <c r="T215" s="74" t="str">
        <f aca="false">IF(AND(ISNUMBER(F215),ISNUMBER(G215)),ROUND((G215-F215+1)/30.4375,1),"")</f>
        <v/>
      </c>
      <c r="U215" s="70" t="str">
        <f aca="false">IF(B215="","",IF(AND(N215="Sí",OR(E215="",NOT(ISNUMBER(F215)))),"⚠ Falta tipo de contrato o fecha de inicio",IF(NOT(ISNUMBER(F215)),"⚠ Falta fecha de inicio",IF(AND(N215="Sí",E215&lt;&gt;"Indefinido",NOT(ISNUMBER(G215))),"⚠ Falta fecha de término",IF(AND(D215="Paso a indefinido",E215&lt;&gt;"Indefinido"),"⚠ Un paso a indefinido debe tener tipo Indefinido",IF(N(Q215)&gt;=3,"⚠ 3er contrato a plazo fijo: por ley ya es INDEFINIDO (Art. 159 N°4)",IF(AND(E215="Plazo fijo",N(T215)&gt;12),"⚠ Plazo fijo mayor a 1 año (máx. legal; 2 años solo profesionales o técnicos)",IF(AND(ISNUMBER(G215),G215&lt;F215),"⚠ Término anterior al inicio",IF(AND(D215="Contrato inicial",ISNUMBER(J215),J215-F215&gt;15),"⚠ Escriturado fuera de plazo (Art. 9: 15 días)",IF(K215&lt;&gt;"Sí","Pendiente de firma","OK"))))))))))</f>
        <v/>
      </c>
    </row>
    <row r="216" customFormat="false" ht="15" hidden="false" customHeight="false" outlineLevel="0" collapsed="false">
      <c r="B216" s="64"/>
      <c r="C216" s="72" t="str">
        <f aca="false">IF(B216="","",IFERROR(INDEX(T_NOMBRE,MATCH(B216,T_ID,0)),"⚠ ID no existe en Trabajadores"))</f>
        <v/>
      </c>
      <c r="D216" s="64"/>
      <c r="E216" s="64"/>
      <c r="F216" s="65"/>
      <c r="G216" s="65"/>
      <c r="H216" s="67"/>
      <c r="I216" s="64"/>
      <c r="J216" s="65"/>
      <c r="K216" s="64"/>
      <c r="L216" s="64"/>
      <c r="M216" s="64"/>
      <c r="N216" s="72" t="str">
        <f aca="false">IF(B216="","",IF(D216="Anexo de modificación","No","Sí"))</f>
        <v/>
      </c>
      <c r="O216" s="73" t="str">
        <f aca="false">IF(AND(N216="Sí",ISNUMBER(F216)),COUNTIFS(C_ID,B216,C_DEFINE,"Sí",C_INICIO,"&lt;"&amp;F216)+COUNTIFS(B$7:B216,B216,N$7:N216,"Sí",F$7:F216,F216),"")</f>
        <v/>
      </c>
      <c r="P216" s="72" t="str">
        <f aca="false">IF(O216="","",B216&amp;"-P"&amp;O216)</f>
        <v/>
      </c>
      <c r="Q216" s="73" t="str">
        <f aca="false">IF(AND(N216="Sí",E216="Plazo fijo",ISNUMBER(F216)),COUNTIFS(C_ID,B216,C_TIPO,"Plazo fijo",C_DEFINE,"Sí",C_INICIO,"&lt;"&amp;F216)+COUNTIFS(B$7:B216,B216,E$7:E216,"Plazo fijo",N$7:N216,"Sí",F$7:F216,F216),"")</f>
        <v/>
      </c>
      <c r="R216" s="73" t="str">
        <f aca="false">IF(AND(B216&lt;&gt;"",ISNUMBER(H216),ISNUMBER(F216)),COUNTIFS(C_ID,B216,C_SUELDO,"&lt;&gt;",C_INICIO,"&lt;"&amp;F216)+COUNTIFS(B$7:B216,B216,H$7:H216,"&lt;&gt;",F$7:F216,F216),"")</f>
        <v/>
      </c>
      <c r="S216" s="72" t="str">
        <f aca="false">IF(R216="","",B216&amp;"-S"&amp;R216)</f>
        <v/>
      </c>
      <c r="T216" s="74" t="str">
        <f aca="false">IF(AND(ISNUMBER(F216),ISNUMBER(G216)),ROUND((G216-F216+1)/30.4375,1),"")</f>
        <v/>
      </c>
      <c r="U216" s="70" t="str">
        <f aca="false">IF(B216="","",IF(AND(N216="Sí",OR(E216="",NOT(ISNUMBER(F216)))),"⚠ Falta tipo de contrato o fecha de inicio",IF(NOT(ISNUMBER(F216)),"⚠ Falta fecha de inicio",IF(AND(N216="Sí",E216&lt;&gt;"Indefinido",NOT(ISNUMBER(G216))),"⚠ Falta fecha de término",IF(AND(D216="Paso a indefinido",E216&lt;&gt;"Indefinido"),"⚠ Un paso a indefinido debe tener tipo Indefinido",IF(N(Q216)&gt;=3,"⚠ 3er contrato a plazo fijo: por ley ya es INDEFINIDO (Art. 159 N°4)",IF(AND(E216="Plazo fijo",N(T216)&gt;12),"⚠ Plazo fijo mayor a 1 año (máx. legal; 2 años solo profesionales o técnicos)",IF(AND(ISNUMBER(G216),G216&lt;F216),"⚠ Término anterior al inicio",IF(AND(D216="Contrato inicial",ISNUMBER(J216),J216-F216&gt;15),"⚠ Escriturado fuera de plazo (Art. 9: 15 días)",IF(K216&lt;&gt;"Sí","Pendiente de firma","OK"))))))))))</f>
        <v/>
      </c>
    </row>
    <row r="217" customFormat="false" ht="15" hidden="false" customHeight="false" outlineLevel="0" collapsed="false">
      <c r="B217" s="64"/>
      <c r="C217" s="72" t="str">
        <f aca="false">IF(B217="","",IFERROR(INDEX(T_NOMBRE,MATCH(B217,T_ID,0)),"⚠ ID no existe en Trabajadores"))</f>
        <v/>
      </c>
      <c r="D217" s="64"/>
      <c r="E217" s="64"/>
      <c r="F217" s="65"/>
      <c r="G217" s="65"/>
      <c r="H217" s="67"/>
      <c r="I217" s="64"/>
      <c r="J217" s="65"/>
      <c r="K217" s="64"/>
      <c r="L217" s="64"/>
      <c r="M217" s="64"/>
      <c r="N217" s="72" t="str">
        <f aca="false">IF(B217="","",IF(D217="Anexo de modificación","No","Sí"))</f>
        <v/>
      </c>
      <c r="O217" s="73" t="str">
        <f aca="false">IF(AND(N217="Sí",ISNUMBER(F217)),COUNTIFS(C_ID,B217,C_DEFINE,"Sí",C_INICIO,"&lt;"&amp;F217)+COUNTIFS(B$7:B217,B217,N$7:N217,"Sí",F$7:F217,F217),"")</f>
        <v/>
      </c>
      <c r="P217" s="72" t="str">
        <f aca="false">IF(O217="","",B217&amp;"-P"&amp;O217)</f>
        <v/>
      </c>
      <c r="Q217" s="73" t="str">
        <f aca="false">IF(AND(N217="Sí",E217="Plazo fijo",ISNUMBER(F217)),COUNTIFS(C_ID,B217,C_TIPO,"Plazo fijo",C_DEFINE,"Sí",C_INICIO,"&lt;"&amp;F217)+COUNTIFS(B$7:B217,B217,E$7:E217,"Plazo fijo",N$7:N217,"Sí",F$7:F217,F217),"")</f>
        <v/>
      </c>
      <c r="R217" s="73" t="str">
        <f aca="false">IF(AND(B217&lt;&gt;"",ISNUMBER(H217),ISNUMBER(F217)),COUNTIFS(C_ID,B217,C_SUELDO,"&lt;&gt;",C_INICIO,"&lt;"&amp;F217)+COUNTIFS(B$7:B217,B217,H$7:H217,"&lt;&gt;",F$7:F217,F217),"")</f>
        <v/>
      </c>
      <c r="S217" s="72" t="str">
        <f aca="false">IF(R217="","",B217&amp;"-S"&amp;R217)</f>
        <v/>
      </c>
      <c r="T217" s="74" t="str">
        <f aca="false">IF(AND(ISNUMBER(F217),ISNUMBER(G217)),ROUND((G217-F217+1)/30.4375,1),"")</f>
        <v/>
      </c>
      <c r="U217" s="70" t="str">
        <f aca="false">IF(B217="","",IF(AND(N217="Sí",OR(E217="",NOT(ISNUMBER(F217)))),"⚠ Falta tipo de contrato o fecha de inicio",IF(NOT(ISNUMBER(F217)),"⚠ Falta fecha de inicio",IF(AND(N217="Sí",E217&lt;&gt;"Indefinido",NOT(ISNUMBER(G217))),"⚠ Falta fecha de término",IF(AND(D217="Paso a indefinido",E217&lt;&gt;"Indefinido"),"⚠ Un paso a indefinido debe tener tipo Indefinido",IF(N(Q217)&gt;=3,"⚠ 3er contrato a plazo fijo: por ley ya es INDEFINIDO (Art. 159 N°4)",IF(AND(E217="Plazo fijo",N(T217)&gt;12),"⚠ Plazo fijo mayor a 1 año (máx. legal; 2 años solo profesionales o técnicos)",IF(AND(ISNUMBER(G217),G217&lt;F217),"⚠ Término anterior al inicio",IF(AND(D217="Contrato inicial",ISNUMBER(J217),J217-F217&gt;15),"⚠ Escriturado fuera de plazo (Art. 9: 15 días)",IF(K217&lt;&gt;"Sí","Pendiente de firma","OK"))))))))))</f>
        <v/>
      </c>
    </row>
    <row r="218" customFormat="false" ht="15" hidden="false" customHeight="false" outlineLevel="0" collapsed="false">
      <c r="B218" s="64"/>
      <c r="C218" s="72" t="str">
        <f aca="false">IF(B218="","",IFERROR(INDEX(T_NOMBRE,MATCH(B218,T_ID,0)),"⚠ ID no existe en Trabajadores"))</f>
        <v/>
      </c>
      <c r="D218" s="64"/>
      <c r="E218" s="64"/>
      <c r="F218" s="65"/>
      <c r="G218" s="65"/>
      <c r="H218" s="67"/>
      <c r="I218" s="64"/>
      <c r="J218" s="65"/>
      <c r="K218" s="64"/>
      <c r="L218" s="64"/>
      <c r="M218" s="64"/>
      <c r="N218" s="72" t="str">
        <f aca="false">IF(B218="","",IF(D218="Anexo de modificación","No","Sí"))</f>
        <v/>
      </c>
      <c r="O218" s="73" t="str">
        <f aca="false">IF(AND(N218="Sí",ISNUMBER(F218)),COUNTIFS(C_ID,B218,C_DEFINE,"Sí",C_INICIO,"&lt;"&amp;F218)+COUNTIFS(B$7:B218,B218,N$7:N218,"Sí",F$7:F218,F218),"")</f>
        <v/>
      </c>
      <c r="P218" s="72" t="str">
        <f aca="false">IF(O218="","",B218&amp;"-P"&amp;O218)</f>
        <v/>
      </c>
      <c r="Q218" s="73" t="str">
        <f aca="false">IF(AND(N218="Sí",E218="Plazo fijo",ISNUMBER(F218)),COUNTIFS(C_ID,B218,C_TIPO,"Plazo fijo",C_DEFINE,"Sí",C_INICIO,"&lt;"&amp;F218)+COUNTIFS(B$7:B218,B218,E$7:E218,"Plazo fijo",N$7:N218,"Sí",F$7:F218,F218),"")</f>
        <v/>
      </c>
      <c r="R218" s="73" t="str">
        <f aca="false">IF(AND(B218&lt;&gt;"",ISNUMBER(H218),ISNUMBER(F218)),COUNTIFS(C_ID,B218,C_SUELDO,"&lt;&gt;",C_INICIO,"&lt;"&amp;F218)+COUNTIFS(B$7:B218,B218,H$7:H218,"&lt;&gt;",F$7:F218,F218),"")</f>
        <v/>
      </c>
      <c r="S218" s="72" t="str">
        <f aca="false">IF(R218="","",B218&amp;"-S"&amp;R218)</f>
        <v/>
      </c>
      <c r="T218" s="74" t="str">
        <f aca="false">IF(AND(ISNUMBER(F218),ISNUMBER(G218)),ROUND((G218-F218+1)/30.4375,1),"")</f>
        <v/>
      </c>
      <c r="U218" s="70" t="str">
        <f aca="false">IF(B218="","",IF(AND(N218="Sí",OR(E218="",NOT(ISNUMBER(F218)))),"⚠ Falta tipo de contrato o fecha de inicio",IF(NOT(ISNUMBER(F218)),"⚠ Falta fecha de inicio",IF(AND(N218="Sí",E218&lt;&gt;"Indefinido",NOT(ISNUMBER(G218))),"⚠ Falta fecha de término",IF(AND(D218="Paso a indefinido",E218&lt;&gt;"Indefinido"),"⚠ Un paso a indefinido debe tener tipo Indefinido",IF(N(Q218)&gt;=3,"⚠ 3er contrato a plazo fijo: por ley ya es INDEFINIDO (Art. 159 N°4)",IF(AND(E218="Plazo fijo",N(T218)&gt;12),"⚠ Plazo fijo mayor a 1 año (máx. legal; 2 años solo profesionales o técnicos)",IF(AND(ISNUMBER(G218),G218&lt;F218),"⚠ Término anterior al inicio",IF(AND(D218="Contrato inicial",ISNUMBER(J218),J218-F218&gt;15),"⚠ Escriturado fuera de plazo (Art. 9: 15 días)",IF(K218&lt;&gt;"Sí","Pendiente de firma","OK"))))))))))</f>
        <v/>
      </c>
    </row>
    <row r="219" customFormat="false" ht="15" hidden="false" customHeight="false" outlineLevel="0" collapsed="false">
      <c r="B219" s="64"/>
      <c r="C219" s="72" t="str">
        <f aca="false">IF(B219="","",IFERROR(INDEX(T_NOMBRE,MATCH(B219,T_ID,0)),"⚠ ID no existe en Trabajadores"))</f>
        <v/>
      </c>
      <c r="D219" s="64"/>
      <c r="E219" s="64"/>
      <c r="F219" s="65"/>
      <c r="G219" s="65"/>
      <c r="H219" s="67"/>
      <c r="I219" s="64"/>
      <c r="J219" s="65"/>
      <c r="K219" s="64"/>
      <c r="L219" s="64"/>
      <c r="M219" s="64"/>
      <c r="N219" s="72" t="str">
        <f aca="false">IF(B219="","",IF(D219="Anexo de modificación","No","Sí"))</f>
        <v/>
      </c>
      <c r="O219" s="73" t="str">
        <f aca="false">IF(AND(N219="Sí",ISNUMBER(F219)),COUNTIFS(C_ID,B219,C_DEFINE,"Sí",C_INICIO,"&lt;"&amp;F219)+COUNTIFS(B$7:B219,B219,N$7:N219,"Sí",F$7:F219,F219),"")</f>
        <v/>
      </c>
      <c r="P219" s="72" t="str">
        <f aca="false">IF(O219="","",B219&amp;"-P"&amp;O219)</f>
        <v/>
      </c>
      <c r="Q219" s="73" t="str">
        <f aca="false">IF(AND(N219="Sí",E219="Plazo fijo",ISNUMBER(F219)),COUNTIFS(C_ID,B219,C_TIPO,"Plazo fijo",C_DEFINE,"Sí",C_INICIO,"&lt;"&amp;F219)+COUNTIFS(B$7:B219,B219,E$7:E219,"Plazo fijo",N$7:N219,"Sí",F$7:F219,F219),"")</f>
        <v/>
      </c>
      <c r="R219" s="73" t="str">
        <f aca="false">IF(AND(B219&lt;&gt;"",ISNUMBER(H219),ISNUMBER(F219)),COUNTIFS(C_ID,B219,C_SUELDO,"&lt;&gt;",C_INICIO,"&lt;"&amp;F219)+COUNTIFS(B$7:B219,B219,H$7:H219,"&lt;&gt;",F$7:F219,F219),"")</f>
        <v/>
      </c>
      <c r="S219" s="72" t="str">
        <f aca="false">IF(R219="","",B219&amp;"-S"&amp;R219)</f>
        <v/>
      </c>
      <c r="T219" s="74" t="str">
        <f aca="false">IF(AND(ISNUMBER(F219),ISNUMBER(G219)),ROUND((G219-F219+1)/30.4375,1),"")</f>
        <v/>
      </c>
      <c r="U219" s="70" t="str">
        <f aca="false">IF(B219="","",IF(AND(N219="Sí",OR(E219="",NOT(ISNUMBER(F219)))),"⚠ Falta tipo de contrato o fecha de inicio",IF(NOT(ISNUMBER(F219)),"⚠ Falta fecha de inicio",IF(AND(N219="Sí",E219&lt;&gt;"Indefinido",NOT(ISNUMBER(G219))),"⚠ Falta fecha de término",IF(AND(D219="Paso a indefinido",E219&lt;&gt;"Indefinido"),"⚠ Un paso a indefinido debe tener tipo Indefinido",IF(N(Q219)&gt;=3,"⚠ 3er contrato a plazo fijo: por ley ya es INDEFINIDO (Art. 159 N°4)",IF(AND(E219="Plazo fijo",N(T219)&gt;12),"⚠ Plazo fijo mayor a 1 año (máx. legal; 2 años solo profesionales o técnicos)",IF(AND(ISNUMBER(G219),G219&lt;F219),"⚠ Término anterior al inicio",IF(AND(D219="Contrato inicial",ISNUMBER(J219),J219-F219&gt;15),"⚠ Escriturado fuera de plazo (Art. 9: 15 días)",IF(K219&lt;&gt;"Sí","Pendiente de firma","OK"))))))))))</f>
        <v/>
      </c>
    </row>
    <row r="220" customFormat="false" ht="15" hidden="false" customHeight="false" outlineLevel="0" collapsed="false">
      <c r="B220" s="64"/>
      <c r="C220" s="72" t="str">
        <f aca="false">IF(B220="","",IFERROR(INDEX(T_NOMBRE,MATCH(B220,T_ID,0)),"⚠ ID no existe en Trabajadores"))</f>
        <v/>
      </c>
      <c r="D220" s="64"/>
      <c r="E220" s="64"/>
      <c r="F220" s="65"/>
      <c r="G220" s="65"/>
      <c r="H220" s="67"/>
      <c r="I220" s="64"/>
      <c r="J220" s="65"/>
      <c r="K220" s="64"/>
      <c r="L220" s="64"/>
      <c r="M220" s="64"/>
      <c r="N220" s="72" t="str">
        <f aca="false">IF(B220="","",IF(D220="Anexo de modificación","No","Sí"))</f>
        <v/>
      </c>
      <c r="O220" s="73" t="str">
        <f aca="false">IF(AND(N220="Sí",ISNUMBER(F220)),COUNTIFS(C_ID,B220,C_DEFINE,"Sí",C_INICIO,"&lt;"&amp;F220)+COUNTIFS(B$7:B220,B220,N$7:N220,"Sí",F$7:F220,F220),"")</f>
        <v/>
      </c>
      <c r="P220" s="72" t="str">
        <f aca="false">IF(O220="","",B220&amp;"-P"&amp;O220)</f>
        <v/>
      </c>
      <c r="Q220" s="73" t="str">
        <f aca="false">IF(AND(N220="Sí",E220="Plazo fijo",ISNUMBER(F220)),COUNTIFS(C_ID,B220,C_TIPO,"Plazo fijo",C_DEFINE,"Sí",C_INICIO,"&lt;"&amp;F220)+COUNTIFS(B$7:B220,B220,E$7:E220,"Plazo fijo",N$7:N220,"Sí",F$7:F220,F220),"")</f>
        <v/>
      </c>
      <c r="R220" s="73" t="str">
        <f aca="false">IF(AND(B220&lt;&gt;"",ISNUMBER(H220),ISNUMBER(F220)),COUNTIFS(C_ID,B220,C_SUELDO,"&lt;&gt;",C_INICIO,"&lt;"&amp;F220)+COUNTIFS(B$7:B220,B220,H$7:H220,"&lt;&gt;",F$7:F220,F220),"")</f>
        <v/>
      </c>
      <c r="S220" s="72" t="str">
        <f aca="false">IF(R220="","",B220&amp;"-S"&amp;R220)</f>
        <v/>
      </c>
      <c r="T220" s="74" t="str">
        <f aca="false">IF(AND(ISNUMBER(F220),ISNUMBER(G220)),ROUND((G220-F220+1)/30.4375,1),"")</f>
        <v/>
      </c>
      <c r="U220" s="70" t="str">
        <f aca="false">IF(B220="","",IF(AND(N220="Sí",OR(E220="",NOT(ISNUMBER(F220)))),"⚠ Falta tipo de contrato o fecha de inicio",IF(NOT(ISNUMBER(F220)),"⚠ Falta fecha de inicio",IF(AND(N220="Sí",E220&lt;&gt;"Indefinido",NOT(ISNUMBER(G220))),"⚠ Falta fecha de término",IF(AND(D220="Paso a indefinido",E220&lt;&gt;"Indefinido"),"⚠ Un paso a indefinido debe tener tipo Indefinido",IF(N(Q220)&gt;=3,"⚠ 3er contrato a plazo fijo: por ley ya es INDEFINIDO (Art. 159 N°4)",IF(AND(E220="Plazo fijo",N(T220)&gt;12),"⚠ Plazo fijo mayor a 1 año (máx. legal; 2 años solo profesionales o técnicos)",IF(AND(ISNUMBER(G220),G220&lt;F220),"⚠ Término anterior al inicio",IF(AND(D220="Contrato inicial",ISNUMBER(J220),J220-F220&gt;15),"⚠ Escriturado fuera de plazo (Art. 9: 15 días)",IF(K220&lt;&gt;"Sí","Pendiente de firma","OK"))))))))))</f>
        <v/>
      </c>
    </row>
    <row r="221" customFormat="false" ht="15" hidden="false" customHeight="false" outlineLevel="0" collapsed="false">
      <c r="B221" s="64"/>
      <c r="C221" s="72" t="str">
        <f aca="false">IF(B221="","",IFERROR(INDEX(T_NOMBRE,MATCH(B221,T_ID,0)),"⚠ ID no existe en Trabajadores"))</f>
        <v/>
      </c>
      <c r="D221" s="64"/>
      <c r="E221" s="64"/>
      <c r="F221" s="65"/>
      <c r="G221" s="65"/>
      <c r="H221" s="67"/>
      <c r="I221" s="64"/>
      <c r="J221" s="65"/>
      <c r="K221" s="64"/>
      <c r="L221" s="64"/>
      <c r="M221" s="64"/>
      <c r="N221" s="72" t="str">
        <f aca="false">IF(B221="","",IF(D221="Anexo de modificación","No","Sí"))</f>
        <v/>
      </c>
      <c r="O221" s="73" t="str">
        <f aca="false">IF(AND(N221="Sí",ISNUMBER(F221)),COUNTIFS(C_ID,B221,C_DEFINE,"Sí",C_INICIO,"&lt;"&amp;F221)+COUNTIFS(B$7:B221,B221,N$7:N221,"Sí",F$7:F221,F221),"")</f>
        <v/>
      </c>
      <c r="P221" s="72" t="str">
        <f aca="false">IF(O221="","",B221&amp;"-P"&amp;O221)</f>
        <v/>
      </c>
      <c r="Q221" s="73" t="str">
        <f aca="false">IF(AND(N221="Sí",E221="Plazo fijo",ISNUMBER(F221)),COUNTIFS(C_ID,B221,C_TIPO,"Plazo fijo",C_DEFINE,"Sí",C_INICIO,"&lt;"&amp;F221)+COUNTIFS(B$7:B221,B221,E$7:E221,"Plazo fijo",N$7:N221,"Sí",F$7:F221,F221),"")</f>
        <v/>
      </c>
      <c r="R221" s="73" t="str">
        <f aca="false">IF(AND(B221&lt;&gt;"",ISNUMBER(H221),ISNUMBER(F221)),COUNTIFS(C_ID,B221,C_SUELDO,"&lt;&gt;",C_INICIO,"&lt;"&amp;F221)+COUNTIFS(B$7:B221,B221,H$7:H221,"&lt;&gt;",F$7:F221,F221),"")</f>
        <v/>
      </c>
      <c r="S221" s="72" t="str">
        <f aca="false">IF(R221="","",B221&amp;"-S"&amp;R221)</f>
        <v/>
      </c>
      <c r="T221" s="74" t="str">
        <f aca="false">IF(AND(ISNUMBER(F221),ISNUMBER(G221)),ROUND((G221-F221+1)/30.4375,1),"")</f>
        <v/>
      </c>
      <c r="U221" s="70" t="str">
        <f aca="false">IF(B221="","",IF(AND(N221="Sí",OR(E221="",NOT(ISNUMBER(F221)))),"⚠ Falta tipo de contrato o fecha de inicio",IF(NOT(ISNUMBER(F221)),"⚠ Falta fecha de inicio",IF(AND(N221="Sí",E221&lt;&gt;"Indefinido",NOT(ISNUMBER(G221))),"⚠ Falta fecha de término",IF(AND(D221="Paso a indefinido",E221&lt;&gt;"Indefinido"),"⚠ Un paso a indefinido debe tener tipo Indefinido",IF(N(Q221)&gt;=3,"⚠ 3er contrato a plazo fijo: por ley ya es INDEFINIDO (Art. 159 N°4)",IF(AND(E221="Plazo fijo",N(T221)&gt;12),"⚠ Plazo fijo mayor a 1 año (máx. legal; 2 años solo profesionales o técnicos)",IF(AND(ISNUMBER(G221),G221&lt;F221),"⚠ Término anterior al inicio",IF(AND(D221="Contrato inicial",ISNUMBER(J221),J221-F221&gt;15),"⚠ Escriturado fuera de plazo (Art. 9: 15 días)",IF(K221&lt;&gt;"Sí","Pendiente de firma","OK"))))))))))</f>
        <v/>
      </c>
    </row>
    <row r="222" customFormat="false" ht="15" hidden="false" customHeight="false" outlineLevel="0" collapsed="false">
      <c r="B222" s="64"/>
      <c r="C222" s="72" t="str">
        <f aca="false">IF(B222="","",IFERROR(INDEX(T_NOMBRE,MATCH(B222,T_ID,0)),"⚠ ID no existe en Trabajadores"))</f>
        <v/>
      </c>
      <c r="D222" s="64"/>
      <c r="E222" s="64"/>
      <c r="F222" s="65"/>
      <c r="G222" s="65"/>
      <c r="H222" s="67"/>
      <c r="I222" s="64"/>
      <c r="J222" s="65"/>
      <c r="K222" s="64"/>
      <c r="L222" s="64"/>
      <c r="M222" s="64"/>
      <c r="N222" s="72" t="str">
        <f aca="false">IF(B222="","",IF(D222="Anexo de modificación","No","Sí"))</f>
        <v/>
      </c>
      <c r="O222" s="73" t="str">
        <f aca="false">IF(AND(N222="Sí",ISNUMBER(F222)),COUNTIFS(C_ID,B222,C_DEFINE,"Sí",C_INICIO,"&lt;"&amp;F222)+COUNTIFS(B$7:B222,B222,N$7:N222,"Sí",F$7:F222,F222),"")</f>
        <v/>
      </c>
      <c r="P222" s="72" t="str">
        <f aca="false">IF(O222="","",B222&amp;"-P"&amp;O222)</f>
        <v/>
      </c>
      <c r="Q222" s="73" t="str">
        <f aca="false">IF(AND(N222="Sí",E222="Plazo fijo",ISNUMBER(F222)),COUNTIFS(C_ID,B222,C_TIPO,"Plazo fijo",C_DEFINE,"Sí",C_INICIO,"&lt;"&amp;F222)+COUNTIFS(B$7:B222,B222,E$7:E222,"Plazo fijo",N$7:N222,"Sí",F$7:F222,F222),"")</f>
        <v/>
      </c>
      <c r="R222" s="73" t="str">
        <f aca="false">IF(AND(B222&lt;&gt;"",ISNUMBER(H222),ISNUMBER(F222)),COUNTIFS(C_ID,B222,C_SUELDO,"&lt;&gt;",C_INICIO,"&lt;"&amp;F222)+COUNTIFS(B$7:B222,B222,H$7:H222,"&lt;&gt;",F$7:F222,F222),"")</f>
        <v/>
      </c>
      <c r="S222" s="72" t="str">
        <f aca="false">IF(R222="","",B222&amp;"-S"&amp;R222)</f>
        <v/>
      </c>
      <c r="T222" s="74" t="str">
        <f aca="false">IF(AND(ISNUMBER(F222),ISNUMBER(G222)),ROUND((G222-F222+1)/30.4375,1),"")</f>
        <v/>
      </c>
      <c r="U222" s="70" t="str">
        <f aca="false">IF(B222="","",IF(AND(N222="Sí",OR(E222="",NOT(ISNUMBER(F222)))),"⚠ Falta tipo de contrato o fecha de inicio",IF(NOT(ISNUMBER(F222)),"⚠ Falta fecha de inicio",IF(AND(N222="Sí",E222&lt;&gt;"Indefinido",NOT(ISNUMBER(G222))),"⚠ Falta fecha de término",IF(AND(D222="Paso a indefinido",E222&lt;&gt;"Indefinido"),"⚠ Un paso a indefinido debe tener tipo Indefinido",IF(N(Q222)&gt;=3,"⚠ 3er contrato a plazo fijo: por ley ya es INDEFINIDO (Art. 159 N°4)",IF(AND(E222="Plazo fijo",N(T222)&gt;12),"⚠ Plazo fijo mayor a 1 año (máx. legal; 2 años solo profesionales o técnicos)",IF(AND(ISNUMBER(G222),G222&lt;F222),"⚠ Término anterior al inicio",IF(AND(D222="Contrato inicial",ISNUMBER(J222),J222-F222&gt;15),"⚠ Escriturado fuera de plazo (Art. 9: 15 días)",IF(K222&lt;&gt;"Sí","Pendiente de firma","OK"))))))))))</f>
        <v/>
      </c>
    </row>
    <row r="223" customFormat="false" ht="15" hidden="false" customHeight="false" outlineLevel="0" collapsed="false">
      <c r="B223" s="64"/>
      <c r="C223" s="72" t="str">
        <f aca="false">IF(B223="","",IFERROR(INDEX(T_NOMBRE,MATCH(B223,T_ID,0)),"⚠ ID no existe en Trabajadores"))</f>
        <v/>
      </c>
      <c r="D223" s="64"/>
      <c r="E223" s="64"/>
      <c r="F223" s="65"/>
      <c r="G223" s="65"/>
      <c r="H223" s="67"/>
      <c r="I223" s="64"/>
      <c r="J223" s="65"/>
      <c r="K223" s="64"/>
      <c r="L223" s="64"/>
      <c r="M223" s="64"/>
      <c r="N223" s="72" t="str">
        <f aca="false">IF(B223="","",IF(D223="Anexo de modificación","No","Sí"))</f>
        <v/>
      </c>
      <c r="O223" s="73" t="str">
        <f aca="false">IF(AND(N223="Sí",ISNUMBER(F223)),COUNTIFS(C_ID,B223,C_DEFINE,"Sí",C_INICIO,"&lt;"&amp;F223)+COUNTIFS(B$7:B223,B223,N$7:N223,"Sí",F$7:F223,F223),"")</f>
        <v/>
      </c>
      <c r="P223" s="72" t="str">
        <f aca="false">IF(O223="","",B223&amp;"-P"&amp;O223)</f>
        <v/>
      </c>
      <c r="Q223" s="73" t="str">
        <f aca="false">IF(AND(N223="Sí",E223="Plazo fijo",ISNUMBER(F223)),COUNTIFS(C_ID,B223,C_TIPO,"Plazo fijo",C_DEFINE,"Sí",C_INICIO,"&lt;"&amp;F223)+COUNTIFS(B$7:B223,B223,E$7:E223,"Plazo fijo",N$7:N223,"Sí",F$7:F223,F223),"")</f>
        <v/>
      </c>
      <c r="R223" s="73" t="str">
        <f aca="false">IF(AND(B223&lt;&gt;"",ISNUMBER(H223),ISNUMBER(F223)),COUNTIFS(C_ID,B223,C_SUELDO,"&lt;&gt;",C_INICIO,"&lt;"&amp;F223)+COUNTIFS(B$7:B223,B223,H$7:H223,"&lt;&gt;",F$7:F223,F223),"")</f>
        <v/>
      </c>
      <c r="S223" s="72" t="str">
        <f aca="false">IF(R223="","",B223&amp;"-S"&amp;R223)</f>
        <v/>
      </c>
      <c r="T223" s="74" t="str">
        <f aca="false">IF(AND(ISNUMBER(F223),ISNUMBER(G223)),ROUND((G223-F223+1)/30.4375,1),"")</f>
        <v/>
      </c>
      <c r="U223" s="70" t="str">
        <f aca="false">IF(B223="","",IF(AND(N223="Sí",OR(E223="",NOT(ISNUMBER(F223)))),"⚠ Falta tipo de contrato o fecha de inicio",IF(NOT(ISNUMBER(F223)),"⚠ Falta fecha de inicio",IF(AND(N223="Sí",E223&lt;&gt;"Indefinido",NOT(ISNUMBER(G223))),"⚠ Falta fecha de término",IF(AND(D223="Paso a indefinido",E223&lt;&gt;"Indefinido"),"⚠ Un paso a indefinido debe tener tipo Indefinido",IF(N(Q223)&gt;=3,"⚠ 3er contrato a plazo fijo: por ley ya es INDEFINIDO (Art. 159 N°4)",IF(AND(E223="Plazo fijo",N(T223)&gt;12),"⚠ Plazo fijo mayor a 1 año (máx. legal; 2 años solo profesionales o técnicos)",IF(AND(ISNUMBER(G223),G223&lt;F223),"⚠ Término anterior al inicio",IF(AND(D223="Contrato inicial",ISNUMBER(J223),J223-F223&gt;15),"⚠ Escriturado fuera de plazo (Art. 9: 15 días)",IF(K223&lt;&gt;"Sí","Pendiente de firma","OK"))))))))))</f>
        <v/>
      </c>
    </row>
    <row r="224" customFormat="false" ht="15" hidden="false" customHeight="false" outlineLevel="0" collapsed="false">
      <c r="B224" s="64"/>
      <c r="C224" s="72" t="str">
        <f aca="false">IF(B224="","",IFERROR(INDEX(T_NOMBRE,MATCH(B224,T_ID,0)),"⚠ ID no existe en Trabajadores"))</f>
        <v/>
      </c>
      <c r="D224" s="64"/>
      <c r="E224" s="64"/>
      <c r="F224" s="65"/>
      <c r="G224" s="65"/>
      <c r="H224" s="67"/>
      <c r="I224" s="64"/>
      <c r="J224" s="65"/>
      <c r="K224" s="64"/>
      <c r="L224" s="64"/>
      <c r="M224" s="64"/>
      <c r="N224" s="72" t="str">
        <f aca="false">IF(B224="","",IF(D224="Anexo de modificación","No","Sí"))</f>
        <v/>
      </c>
      <c r="O224" s="73" t="str">
        <f aca="false">IF(AND(N224="Sí",ISNUMBER(F224)),COUNTIFS(C_ID,B224,C_DEFINE,"Sí",C_INICIO,"&lt;"&amp;F224)+COUNTIFS(B$7:B224,B224,N$7:N224,"Sí",F$7:F224,F224),"")</f>
        <v/>
      </c>
      <c r="P224" s="72" t="str">
        <f aca="false">IF(O224="","",B224&amp;"-P"&amp;O224)</f>
        <v/>
      </c>
      <c r="Q224" s="73" t="str">
        <f aca="false">IF(AND(N224="Sí",E224="Plazo fijo",ISNUMBER(F224)),COUNTIFS(C_ID,B224,C_TIPO,"Plazo fijo",C_DEFINE,"Sí",C_INICIO,"&lt;"&amp;F224)+COUNTIFS(B$7:B224,B224,E$7:E224,"Plazo fijo",N$7:N224,"Sí",F$7:F224,F224),"")</f>
        <v/>
      </c>
      <c r="R224" s="73" t="str">
        <f aca="false">IF(AND(B224&lt;&gt;"",ISNUMBER(H224),ISNUMBER(F224)),COUNTIFS(C_ID,B224,C_SUELDO,"&lt;&gt;",C_INICIO,"&lt;"&amp;F224)+COUNTIFS(B$7:B224,B224,H$7:H224,"&lt;&gt;",F$7:F224,F224),"")</f>
        <v/>
      </c>
      <c r="S224" s="72" t="str">
        <f aca="false">IF(R224="","",B224&amp;"-S"&amp;R224)</f>
        <v/>
      </c>
      <c r="T224" s="74" t="str">
        <f aca="false">IF(AND(ISNUMBER(F224),ISNUMBER(G224)),ROUND((G224-F224+1)/30.4375,1),"")</f>
        <v/>
      </c>
      <c r="U224" s="70" t="str">
        <f aca="false">IF(B224="","",IF(AND(N224="Sí",OR(E224="",NOT(ISNUMBER(F224)))),"⚠ Falta tipo de contrato o fecha de inicio",IF(NOT(ISNUMBER(F224)),"⚠ Falta fecha de inicio",IF(AND(N224="Sí",E224&lt;&gt;"Indefinido",NOT(ISNUMBER(G224))),"⚠ Falta fecha de término",IF(AND(D224="Paso a indefinido",E224&lt;&gt;"Indefinido"),"⚠ Un paso a indefinido debe tener tipo Indefinido",IF(N(Q224)&gt;=3,"⚠ 3er contrato a plazo fijo: por ley ya es INDEFINIDO (Art. 159 N°4)",IF(AND(E224="Plazo fijo",N(T224)&gt;12),"⚠ Plazo fijo mayor a 1 año (máx. legal; 2 años solo profesionales o técnicos)",IF(AND(ISNUMBER(G224),G224&lt;F224),"⚠ Término anterior al inicio",IF(AND(D224="Contrato inicial",ISNUMBER(J224),J224-F224&gt;15),"⚠ Escriturado fuera de plazo (Art. 9: 15 días)",IF(K224&lt;&gt;"Sí","Pendiente de firma","OK"))))))))))</f>
        <v/>
      </c>
    </row>
    <row r="225" customFormat="false" ht="15" hidden="false" customHeight="false" outlineLevel="0" collapsed="false">
      <c r="B225" s="64"/>
      <c r="C225" s="72" t="str">
        <f aca="false">IF(B225="","",IFERROR(INDEX(T_NOMBRE,MATCH(B225,T_ID,0)),"⚠ ID no existe en Trabajadores"))</f>
        <v/>
      </c>
      <c r="D225" s="64"/>
      <c r="E225" s="64"/>
      <c r="F225" s="65"/>
      <c r="G225" s="65"/>
      <c r="H225" s="67"/>
      <c r="I225" s="64"/>
      <c r="J225" s="65"/>
      <c r="K225" s="64"/>
      <c r="L225" s="64"/>
      <c r="M225" s="64"/>
      <c r="N225" s="72" t="str">
        <f aca="false">IF(B225="","",IF(D225="Anexo de modificación","No","Sí"))</f>
        <v/>
      </c>
      <c r="O225" s="73" t="str">
        <f aca="false">IF(AND(N225="Sí",ISNUMBER(F225)),COUNTIFS(C_ID,B225,C_DEFINE,"Sí",C_INICIO,"&lt;"&amp;F225)+COUNTIFS(B$7:B225,B225,N$7:N225,"Sí",F$7:F225,F225),"")</f>
        <v/>
      </c>
      <c r="P225" s="72" t="str">
        <f aca="false">IF(O225="","",B225&amp;"-P"&amp;O225)</f>
        <v/>
      </c>
      <c r="Q225" s="73" t="str">
        <f aca="false">IF(AND(N225="Sí",E225="Plazo fijo",ISNUMBER(F225)),COUNTIFS(C_ID,B225,C_TIPO,"Plazo fijo",C_DEFINE,"Sí",C_INICIO,"&lt;"&amp;F225)+COUNTIFS(B$7:B225,B225,E$7:E225,"Plazo fijo",N$7:N225,"Sí",F$7:F225,F225),"")</f>
        <v/>
      </c>
      <c r="R225" s="73" t="str">
        <f aca="false">IF(AND(B225&lt;&gt;"",ISNUMBER(H225),ISNUMBER(F225)),COUNTIFS(C_ID,B225,C_SUELDO,"&lt;&gt;",C_INICIO,"&lt;"&amp;F225)+COUNTIFS(B$7:B225,B225,H$7:H225,"&lt;&gt;",F$7:F225,F225),"")</f>
        <v/>
      </c>
      <c r="S225" s="72" t="str">
        <f aca="false">IF(R225="","",B225&amp;"-S"&amp;R225)</f>
        <v/>
      </c>
      <c r="T225" s="74" t="str">
        <f aca="false">IF(AND(ISNUMBER(F225),ISNUMBER(G225)),ROUND((G225-F225+1)/30.4375,1),"")</f>
        <v/>
      </c>
      <c r="U225" s="70" t="str">
        <f aca="false">IF(B225="","",IF(AND(N225="Sí",OR(E225="",NOT(ISNUMBER(F225)))),"⚠ Falta tipo de contrato o fecha de inicio",IF(NOT(ISNUMBER(F225)),"⚠ Falta fecha de inicio",IF(AND(N225="Sí",E225&lt;&gt;"Indefinido",NOT(ISNUMBER(G225))),"⚠ Falta fecha de término",IF(AND(D225="Paso a indefinido",E225&lt;&gt;"Indefinido"),"⚠ Un paso a indefinido debe tener tipo Indefinido",IF(N(Q225)&gt;=3,"⚠ 3er contrato a plazo fijo: por ley ya es INDEFINIDO (Art. 159 N°4)",IF(AND(E225="Plazo fijo",N(T225)&gt;12),"⚠ Plazo fijo mayor a 1 año (máx. legal; 2 años solo profesionales o técnicos)",IF(AND(ISNUMBER(G225),G225&lt;F225),"⚠ Término anterior al inicio",IF(AND(D225="Contrato inicial",ISNUMBER(J225),J225-F225&gt;15),"⚠ Escriturado fuera de plazo (Art. 9: 15 días)",IF(K225&lt;&gt;"Sí","Pendiente de firma","OK"))))))))))</f>
        <v/>
      </c>
    </row>
    <row r="226" customFormat="false" ht="15" hidden="false" customHeight="false" outlineLevel="0" collapsed="false">
      <c r="B226" s="64"/>
      <c r="C226" s="72" t="str">
        <f aca="false">IF(B226="","",IFERROR(INDEX(T_NOMBRE,MATCH(B226,T_ID,0)),"⚠ ID no existe en Trabajadores"))</f>
        <v/>
      </c>
      <c r="D226" s="64"/>
      <c r="E226" s="64"/>
      <c r="F226" s="65"/>
      <c r="G226" s="65"/>
      <c r="H226" s="67"/>
      <c r="I226" s="64"/>
      <c r="J226" s="65"/>
      <c r="K226" s="64"/>
      <c r="L226" s="64"/>
      <c r="M226" s="64"/>
      <c r="N226" s="72" t="str">
        <f aca="false">IF(B226="","",IF(D226="Anexo de modificación","No","Sí"))</f>
        <v/>
      </c>
      <c r="O226" s="73" t="str">
        <f aca="false">IF(AND(N226="Sí",ISNUMBER(F226)),COUNTIFS(C_ID,B226,C_DEFINE,"Sí",C_INICIO,"&lt;"&amp;F226)+COUNTIFS(B$7:B226,B226,N$7:N226,"Sí",F$7:F226,F226),"")</f>
        <v/>
      </c>
      <c r="P226" s="72" t="str">
        <f aca="false">IF(O226="","",B226&amp;"-P"&amp;O226)</f>
        <v/>
      </c>
      <c r="Q226" s="73" t="str">
        <f aca="false">IF(AND(N226="Sí",E226="Plazo fijo",ISNUMBER(F226)),COUNTIFS(C_ID,B226,C_TIPO,"Plazo fijo",C_DEFINE,"Sí",C_INICIO,"&lt;"&amp;F226)+COUNTIFS(B$7:B226,B226,E$7:E226,"Plazo fijo",N$7:N226,"Sí",F$7:F226,F226),"")</f>
        <v/>
      </c>
      <c r="R226" s="73" t="str">
        <f aca="false">IF(AND(B226&lt;&gt;"",ISNUMBER(H226),ISNUMBER(F226)),COUNTIFS(C_ID,B226,C_SUELDO,"&lt;&gt;",C_INICIO,"&lt;"&amp;F226)+COUNTIFS(B$7:B226,B226,H$7:H226,"&lt;&gt;",F$7:F226,F226),"")</f>
        <v/>
      </c>
      <c r="S226" s="72" t="str">
        <f aca="false">IF(R226="","",B226&amp;"-S"&amp;R226)</f>
        <v/>
      </c>
      <c r="T226" s="74" t="str">
        <f aca="false">IF(AND(ISNUMBER(F226),ISNUMBER(G226)),ROUND((G226-F226+1)/30.4375,1),"")</f>
        <v/>
      </c>
      <c r="U226" s="70" t="str">
        <f aca="false">IF(B226="","",IF(AND(N226="Sí",OR(E226="",NOT(ISNUMBER(F226)))),"⚠ Falta tipo de contrato o fecha de inicio",IF(NOT(ISNUMBER(F226)),"⚠ Falta fecha de inicio",IF(AND(N226="Sí",E226&lt;&gt;"Indefinido",NOT(ISNUMBER(G226))),"⚠ Falta fecha de término",IF(AND(D226="Paso a indefinido",E226&lt;&gt;"Indefinido"),"⚠ Un paso a indefinido debe tener tipo Indefinido",IF(N(Q226)&gt;=3,"⚠ 3er contrato a plazo fijo: por ley ya es INDEFINIDO (Art. 159 N°4)",IF(AND(E226="Plazo fijo",N(T226)&gt;12),"⚠ Plazo fijo mayor a 1 año (máx. legal; 2 años solo profesionales o técnicos)",IF(AND(ISNUMBER(G226),G226&lt;F226),"⚠ Término anterior al inicio",IF(AND(D226="Contrato inicial",ISNUMBER(J226),J226-F226&gt;15),"⚠ Escriturado fuera de plazo (Art. 9: 15 días)",IF(K226&lt;&gt;"Sí","Pendiente de firma","OK"))))))))))</f>
        <v/>
      </c>
    </row>
    <row r="227" customFormat="false" ht="15" hidden="false" customHeight="false" outlineLevel="0" collapsed="false">
      <c r="B227" s="64"/>
      <c r="C227" s="72" t="str">
        <f aca="false">IF(B227="","",IFERROR(INDEX(T_NOMBRE,MATCH(B227,T_ID,0)),"⚠ ID no existe en Trabajadores"))</f>
        <v/>
      </c>
      <c r="D227" s="64"/>
      <c r="E227" s="64"/>
      <c r="F227" s="65"/>
      <c r="G227" s="65"/>
      <c r="H227" s="67"/>
      <c r="I227" s="64"/>
      <c r="J227" s="65"/>
      <c r="K227" s="64"/>
      <c r="L227" s="64"/>
      <c r="M227" s="64"/>
      <c r="N227" s="72" t="str">
        <f aca="false">IF(B227="","",IF(D227="Anexo de modificación","No","Sí"))</f>
        <v/>
      </c>
      <c r="O227" s="73" t="str">
        <f aca="false">IF(AND(N227="Sí",ISNUMBER(F227)),COUNTIFS(C_ID,B227,C_DEFINE,"Sí",C_INICIO,"&lt;"&amp;F227)+COUNTIFS(B$7:B227,B227,N$7:N227,"Sí",F$7:F227,F227),"")</f>
        <v/>
      </c>
      <c r="P227" s="72" t="str">
        <f aca="false">IF(O227="","",B227&amp;"-P"&amp;O227)</f>
        <v/>
      </c>
      <c r="Q227" s="73" t="str">
        <f aca="false">IF(AND(N227="Sí",E227="Plazo fijo",ISNUMBER(F227)),COUNTIFS(C_ID,B227,C_TIPO,"Plazo fijo",C_DEFINE,"Sí",C_INICIO,"&lt;"&amp;F227)+COUNTIFS(B$7:B227,B227,E$7:E227,"Plazo fijo",N$7:N227,"Sí",F$7:F227,F227),"")</f>
        <v/>
      </c>
      <c r="R227" s="73" t="str">
        <f aca="false">IF(AND(B227&lt;&gt;"",ISNUMBER(H227),ISNUMBER(F227)),COUNTIFS(C_ID,B227,C_SUELDO,"&lt;&gt;",C_INICIO,"&lt;"&amp;F227)+COUNTIFS(B$7:B227,B227,H$7:H227,"&lt;&gt;",F$7:F227,F227),"")</f>
        <v/>
      </c>
      <c r="S227" s="72" t="str">
        <f aca="false">IF(R227="","",B227&amp;"-S"&amp;R227)</f>
        <v/>
      </c>
      <c r="T227" s="74" t="str">
        <f aca="false">IF(AND(ISNUMBER(F227),ISNUMBER(G227)),ROUND((G227-F227+1)/30.4375,1),"")</f>
        <v/>
      </c>
      <c r="U227" s="70" t="str">
        <f aca="false">IF(B227="","",IF(AND(N227="Sí",OR(E227="",NOT(ISNUMBER(F227)))),"⚠ Falta tipo de contrato o fecha de inicio",IF(NOT(ISNUMBER(F227)),"⚠ Falta fecha de inicio",IF(AND(N227="Sí",E227&lt;&gt;"Indefinido",NOT(ISNUMBER(G227))),"⚠ Falta fecha de término",IF(AND(D227="Paso a indefinido",E227&lt;&gt;"Indefinido"),"⚠ Un paso a indefinido debe tener tipo Indefinido",IF(N(Q227)&gt;=3,"⚠ 3er contrato a plazo fijo: por ley ya es INDEFINIDO (Art. 159 N°4)",IF(AND(E227="Plazo fijo",N(T227)&gt;12),"⚠ Plazo fijo mayor a 1 año (máx. legal; 2 años solo profesionales o técnicos)",IF(AND(ISNUMBER(G227),G227&lt;F227),"⚠ Término anterior al inicio",IF(AND(D227="Contrato inicial",ISNUMBER(J227),J227-F227&gt;15),"⚠ Escriturado fuera de plazo (Art. 9: 15 días)",IF(K227&lt;&gt;"Sí","Pendiente de firma","OK"))))))))))</f>
        <v/>
      </c>
    </row>
    <row r="228" customFormat="false" ht="15" hidden="false" customHeight="false" outlineLevel="0" collapsed="false">
      <c r="B228" s="64"/>
      <c r="C228" s="72" t="str">
        <f aca="false">IF(B228="","",IFERROR(INDEX(T_NOMBRE,MATCH(B228,T_ID,0)),"⚠ ID no existe en Trabajadores"))</f>
        <v/>
      </c>
      <c r="D228" s="64"/>
      <c r="E228" s="64"/>
      <c r="F228" s="65"/>
      <c r="G228" s="65"/>
      <c r="H228" s="67"/>
      <c r="I228" s="64"/>
      <c r="J228" s="65"/>
      <c r="K228" s="64"/>
      <c r="L228" s="64"/>
      <c r="M228" s="64"/>
      <c r="N228" s="72" t="str">
        <f aca="false">IF(B228="","",IF(D228="Anexo de modificación","No","Sí"))</f>
        <v/>
      </c>
      <c r="O228" s="73" t="str">
        <f aca="false">IF(AND(N228="Sí",ISNUMBER(F228)),COUNTIFS(C_ID,B228,C_DEFINE,"Sí",C_INICIO,"&lt;"&amp;F228)+COUNTIFS(B$7:B228,B228,N$7:N228,"Sí",F$7:F228,F228),"")</f>
        <v/>
      </c>
      <c r="P228" s="72" t="str">
        <f aca="false">IF(O228="","",B228&amp;"-P"&amp;O228)</f>
        <v/>
      </c>
      <c r="Q228" s="73" t="str">
        <f aca="false">IF(AND(N228="Sí",E228="Plazo fijo",ISNUMBER(F228)),COUNTIFS(C_ID,B228,C_TIPO,"Plazo fijo",C_DEFINE,"Sí",C_INICIO,"&lt;"&amp;F228)+COUNTIFS(B$7:B228,B228,E$7:E228,"Plazo fijo",N$7:N228,"Sí",F$7:F228,F228),"")</f>
        <v/>
      </c>
      <c r="R228" s="73" t="str">
        <f aca="false">IF(AND(B228&lt;&gt;"",ISNUMBER(H228),ISNUMBER(F228)),COUNTIFS(C_ID,B228,C_SUELDO,"&lt;&gt;",C_INICIO,"&lt;"&amp;F228)+COUNTIFS(B$7:B228,B228,H$7:H228,"&lt;&gt;",F$7:F228,F228),"")</f>
        <v/>
      </c>
      <c r="S228" s="72" t="str">
        <f aca="false">IF(R228="","",B228&amp;"-S"&amp;R228)</f>
        <v/>
      </c>
      <c r="T228" s="74" t="str">
        <f aca="false">IF(AND(ISNUMBER(F228),ISNUMBER(G228)),ROUND((G228-F228+1)/30.4375,1),"")</f>
        <v/>
      </c>
      <c r="U228" s="70" t="str">
        <f aca="false">IF(B228="","",IF(AND(N228="Sí",OR(E228="",NOT(ISNUMBER(F228)))),"⚠ Falta tipo de contrato o fecha de inicio",IF(NOT(ISNUMBER(F228)),"⚠ Falta fecha de inicio",IF(AND(N228="Sí",E228&lt;&gt;"Indefinido",NOT(ISNUMBER(G228))),"⚠ Falta fecha de término",IF(AND(D228="Paso a indefinido",E228&lt;&gt;"Indefinido"),"⚠ Un paso a indefinido debe tener tipo Indefinido",IF(N(Q228)&gt;=3,"⚠ 3er contrato a plazo fijo: por ley ya es INDEFINIDO (Art. 159 N°4)",IF(AND(E228="Plazo fijo",N(T228)&gt;12),"⚠ Plazo fijo mayor a 1 año (máx. legal; 2 años solo profesionales o técnicos)",IF(AND(ISNUMBER(G228),G228&lt;F228),"⚠ Término anterior al inicio",IF(AND(D228="Contrato inicial",ISNUMBER(J228),J228-F228&gt;15),"⚠ Escriturado fuera de plazo (Art. 9: 15 días)",IF(K228&lt;&gt;"Sí","Pendiente de firma","OK"))))))))))</f>
        <v/>
      </c>
    </row>
    <row r="229" customFormat="false" ht="15" hidden="false" customHeight="false" outlineLevel="0" collapsed="false">
      <c r="B229" s="64"/>
      <c r="C229" s="72" t="str">
        <f aca="false">IF(B229="","",IFERROR(INDEX(T_NOMBRE,MATCH(B229,T_ID,0)),"⚠ ID no existe en Trabajadores"))</f>
        <v/>
      </c>
      <c r="D229" s="64"/>
      <c r="E229" s="64"/>
      <c r="F229" s="65"/>
      <c r="G229" s="65"/>
      <c r="H229" s="67"/>
      <c r="I229" s="64"/>
      <c r="J229" s="65"/>
      <c r="K229" s="64"/>
      <c r="L229" s="64"/>
      <c r="M229" s="64"/>
      <c r="N229" s="72" t="str">
        <f aca="false">IF(B229="","",IF(D229="Anexo de modificación","No","Sí"))</f>
        <v/>
      </c>
      <c r="O229" s="73" t="str">
        <f aca="false">IF(AND(N229="Sí",ISNUMBER(F229)),COUNTIFS(C_ID,B229,C_DEFINE,"Sí",C_INICIO,"&lt;"&amp;F229)+COUNTIFS(B$7:B229,B229,N$7:N229,"Sí",F$7:F229,F229),"")</f>
        <v/>
      </c>
      <c r="P229" s="72" t="str">
        <f aca="false">IF(O229="","",B229&amp;"-P"&amp;O229)</f>
        <v/>
      </c>
      <c r="Q229" s="73" t="str">
        <f aca="false">IF(AND(N229="Sí",E229="Plazo fijo",ISNUMBER(F229)),COUNTIFS(C_ID,B229,C_TIPO,"Plazo fijo",C_DEFINE,"Sí",C_INICIO,"&lt;"&amp;F229)+COUNTIFS(B$7:B229,B229,E$7:E229,"Plazo fijo",N$7:N229,"Sí",F$7:F229,F229),"")</f>
        <v/>
      </c>
      <c r="R229" s="73" t="str">
        <f aca="false">IF(AND(B229&lt;&gt;"",ISNUMBER(H229),ISNUMBER(F229)),COUNTIFS(C_ID,B229,C_SUELDO,"&lt;&gt;",C_INICIO,"&lt;"&amp;F229)+COUNTIFS(B$7:B229,B229,H$7:H229,"&lt;&gt;",F$7:F229,F229),"")</f>
        <v/>
      </c>
      <c r="S229" s="72" t="str">
        <f aca="false">IF(R229="","",B229&amp;"-S"&amp;R229)</f>
        <v/>
      </c>
      <c r="T229" s="74" t="str">
        <f aca="false">IF(AND(ISNUMBER(F229),ISNUMBER(G229)),ROUND((G229-F229+1)/30.4375,1),"")</f>
        <v/>
      </c>
      <c r="U229" s="70" t="str">
        <f aca="false">IF(B229="","",IF(AND(N229="Sí",OR(E229="",NOT(ISNUMBER(F229)))),"⚠ Falta tipo de contrato o fecha de inicio",IF(NOT(ISNUMBER(F229)),"⚠ Falta fecha de inicio",IF(AND(N229="Sí",E229&lt;&gt;"Indefinido",NOT(ISNUMBER(G229))),"⚠ Falta fecha de término",IF(AND(D229="Paso a indefinido",E229&lt;&gt;"Indefinido"),"⚠ Un paso a indefinido debe tener tipo Indefinido",IF(N(Q229)&gt;=3,"⚠ 3er contrato a plazo fijo: por ley ya es INDEFINIDO (Art. 159 N°4)",IF(AND(E229="Plazo fijo",N(T229)&gt;12),"⚠ Plazo fijo mayor a 1 año (máx. legal; 2 años solo profesionales o técnicos)",IF(AND(ISNUMBER(G229),G229&lt;F229),"⚠ Término anterior al inicio",IF(AND(D229="Contrato inicial",ISNUMBER(J229),J229-F229&gt;15),"⚠ Escriturado fuera de plazo (Art. 9: 15 días)",IF(K229&lt;&gt;"Sí","Pendiente de firma","OK"))))))))))</f>
        <v/>
      </c>
    </row>
    <row r="230" customFormat="false" ht="15" hidden="false" customHeight="false" outlineLevel="0" collapsed="false">
      <c r="B230" s="64"/>
      <c r="C230" s="72" t="str">
        <f aca="false">IF(B230="","",IFERROR(INDEX(T_NOMBRE,MATCH(B230,T_ID,0)),"⚠ ID no existe en Trabajadores"))</f>
        <v/>
      </c>
      <c r="D230" s="64"/>
      <c r="E230" s="64"/>
      <c r="F230" s="65"/>
      <c r="G230" s="65"/>
      <c r="H230" s="67"/>
      <c r="I230" s="64"/>
      <c r="J230" s="65"/>
      <c r="K230" s="64"/>
      <c r="L230" s="64"/>
      <c r="M230" s="64"/>
      <c r="N230" s="72" t="str">
        <f aca="false">IF(B230="","",IF(D230="Anexo de modificación","No","Sí"))</f>
        <v/>
      </c>
      <c r="O230" s="73" t="str">
        <f aca="false">IF(AND(N230="Sí",ISNUMBER(F230)),COUNTIFS(C_ID,B230,C_DEFINE,"Sí",C_INICIO,"&lt;"&amp;F230)+COUNTIFS(B$7:B230,B230,N$7:N230,"Sí",F$7:F230,F230),"")</f>
        <v/>
      </c>
      <c r="P230" s="72" t="str">
        <f aca="false">IF(O230="","",B230&amp;"-P"&amp;O230)</f>
        <v/>
      </c>
      <c r="Q230" s="73" t="str">
        <f aca="false">IF(AND(N230="Sí",E230="Plazo fijo",ISNUMBER(F230)),COUNTIFS(C_ID,B230,C_TIPO,"Plazo fijo",C_DEFINE,"Sí",C_INICIO,"&lt;"&amp;F230)+COUNTIFS(B$7:B230,B230,E$7:E230,"Plazo fijo",N$7:N230,"Sí",F$7:F230,F230),"")</f>
        <v/>
      </c>
      <c r="R230" s="73" t="str">
        <f aca="false">IF(AND(B230&lt;&gt;"",ISNUMBER(H230),ISNUMBER(F230)),COUNTIFS(C_ID,B230,C_SUELDO,"&lt;&gt;",C_INICIO,"&lt;"&amp;F230)+COUNTIFS(B$7:B230,B230,H$7:H230,"&lt;&gt;",F$7:F230,F230),"")</f>
        <v/>
      </c>
      <c r="S230" s="72" t="str">
        <f aca="false">IF(R230="","",B230&amp;"-S"&amp;R230)</f>
        <v/>
      </c>
      <c r="T230" s="74" t="str">
        <f aca="false">IF(AND(ISNUMBER(F230),ISNUMBER(G230)),ROUND((G230-F230+1)/30.4375,1),"")</f>
        <v/>
      </c>
      <c r="U230" s="70" t="str">
        <f aca="false">IF(B230="","",IF(AND(N230="Sí",OR(E230="",NOT(ISNUMBER(F230)))),"⚠ Falta tipo de contrato o fecha de inicio",IF(NOT(ISNUMBER(F230)),"⚠ Falta fecha de inicio",IF(AND(N230="Sí",E230&lt;&gt;"Indefinido",NOT(ISNUMBER(G230))),"⚠ Falta fecha de término",IF(AND(D230="Paso a indefinido",E230&lt;&gt;"Indefinido"),"⚠ Un paso a indefinido debe tener tipo Indefinido",IF(N(Q230)&gt;=3,"⚠ 3er contrato a plazo fijo: por ley ya es INDEFINIDO (Art. 159 N°4)",IF(AND(E230="Plazo fijo",N(T230)&gt;12),"⚠ Plazo fijo mayor a 1 año (máx. legal; 2 años solo profesionales o técnicos)",IF(AND(ISNUMBER(G230),G230&lt;F230),"⚠ Término anterior al inicio",IF(AND(D230="Contrato inicial",ISNUMBER(J230),J230-F230&gt;15),"⚠ Escriturado fuera de plazo (Art. 9: 15 días)",IF(K230&lt;&gt;"Sí","Pendiente de firma","OK"))))))))))</f>
        <v/>
      </c>
    </row>
    <row r="231" customFormat="false" ht="15" hidden="false" customHeight="false" outlineLevel="0" collapsed="false">
      <c r="B231" s="64"/>
      <c r="C231" s="72" t="str">
        <f aca="false">IF(B231="","",IFERROR(INDEX(T_NOMBRE,MATCH(B231,T_ID,0)),"⚠ ID no existe en Trabajadores"))</f>
        <v/>
      </c>
      <c r="D231" s="64"/>
      <c r="E231" s="64"/>
      <c r="F231" s="65"/>
      <c r="G231" s="65"/>
      <c r="H231" s="67"/>
      <c r="I231" s="64"/>
      <c r="J231" s="65"/>
      <c r="K231" s="64"/>
      <c r="L231" s="64"/>
      <c r="M231" s="64"/>
      <c r="N231" s="72" t="str">
        <f aca="false">IF(B231="","",IF(D231="Anexo de modificación","No","Sí"))</f>
        <v/>
      </c>
      <c r="O231" s="73" t="str">
        <f aca="false">IF(AND(N231="Sí",ISNUMBER(F231)),COUNTIFS(C_ID,B231,C_DEFINE,"Sí",C_INICIO,"&lt;"&amp;F231)+COUNTIFS(B$7:B231,B231,N$7:N231,"Sí",F$7:F231,F231),"")</f>
        <v/>
      </c>
      <c r="P231" s="72" t="str">
        <f aca="false">IF(O231="","",B231&amp;"-P"&amp;O231)</f>
        <v/>
      </c>
      <c r="Q231" s="73" t="str">
        <f aca="false">IF(AND(N231="Sí",E231="Plazo fijo",ISNUMBER(F231)),COUNTIFS(C_ID,B231,C_TIPO,"Plazo fijo",C_DEFINE,"Sí",C_INICIO,"&lt;"&amp;F231)+COUNTIFS(B$7:B231,B231,E$7:E231,"Plazo fijo",N$7:N231,"Sí",F$7:F231,F231),"")</f>
        <v/>
      </c>
      <c r="R231" s="73" t="str">
        <f aca="false">IF(AND(B231&lt;&gt;"",ISNUMBER(H231),ISNUMBER(F231)),COUNTIFS(C_ID,B231,C_SUELDO,"&lt;&gt;",C_INICIO,"&lt;"&amp;F231)+COUNTIFS(B$7:B231,B231,H$7:H231,"&lt;&gt;",F$7:F231,F231),"")</f>
        <v/>
      </c>
      <c r="S231" s="72" t="str">
        <f aca="false">IF(R231="","",B231&amp;"-S"&amp;R231)</f>
        <v/>
      </c>
      <c r="T231" s="74" t="str">
        <f aca="false">IF(AND(ISNUMBER(F231),ISNUMBER(G231)),ROUND((G231-F231+1)/30.4375,1),"")</f>
        <v/>
      </c>
      <c r="U231" s="70" t="str">
        <f aca="false">IF(B231="","",IF(AND(N231="Sí",OR(E231="",NOT(ISNUMBER(F231)))),"⚠ Falta tipo de contrato o fecha de inicio",IF(NOT(ISNUMBER(F231)),"⚠ Falta fecha de inicio",IF(AND(N231="Sí",E231&lt;&gt;"Indefinido",NOT(ISNUMBER(G231))),"⚠ Falta fecha de término",IF(AND(D231="Paso a indefinido",E231&lt;&gt;"Indefinido"),"⚠ Un paso a indefinido debe tener tipo Indefinido",IF(N(Q231)&gt;=3,"⚠ 3er contrato a plazo fijo: por ley ya es INDEFINIDO (Art. 159 N°4)",IF(AND(E231="Plazo fijo",N(T231)&gt;12),"⚠ Plazo fijo mayor a 1 año (máx. legal; 2 años solo profesionales o técnicos)",IF(AND(ISNUMBER(G231),G231&lt;F231),"⚠ Término anterior al inicio",IF(AND(D231="Contrato inicial",ISNUMBER(J231),J231-F231&gt;15),"⚠ Escriturado fuera de plazo (Art. 9: 15 días)",IF(K231&lt;&gt;"Sí","Pendiente de firma","OK"))))))))))</f>
        <v/>
      </c>
    </row>
    <row r="232" customFormat="false" ht="15" hidden="false" customHeight="false" outlineLevel="0" collapsed="false">
      <c r="B232" s="64"/>
      <c r="C232" s="72" t="str">
        <f aca="false">IF(B232="","",IFERROR(INDEX(T_NOMBRE,MATCH(B232,T_ID,0)),"⚠ ID no existe en Trabajadores"))</f>
        <v/>
      </c>
      <c r="D232" s="64"/>
      <c r="E232" s="64"/>
      <c r="F232" s="65"/>
      <c r="G232" s="65"/>
      <c r="H232" s="67"/>
      <c r="I232" s="64"/>
      <c r="J232" s="65"/>
      <c r="K232" s="64"/>
      <c r="L232" s="64"/>
      <c r="M232" s="64"/>
      <c r="N232" s="72" t="str">
        <f aca="false">IF(B232="","",IF(D232="Anexo de modificación","No","Sí"))</f>
        <v/>
      </c>
      <c r="O232" s="73" t="str">
        <f aca="false">IF(AND(N232="Sí",ISNUMBER(F232)),COUNTIFS(C_ID,B232,C_DEFINE,"Sí",C_INICIO,"&lt;"&amp;F232)+COUNTIFS(B$7:B232,B232,N$7:N232,"Sí",F$7:F232,F232),"")</f>
        <v/>
      </c>
      <c r="P232" s="72" t="str">
        <f aca="false">IF(O232="","",B232&amp;"-P"&amp;O232)</f>
        <v/>
      </c>
      <c r="Q232" s="73" t="str">
        <f aca="false">IF(AND(N232="Sí",E232="Plazo fijo",ISNUMBER(F232)),COUNTIFS(C_ID,B232,C_TIPO,"Plazo fijo",C_DEFINE,"Sí",C_INICIO,"&lt;"&amp;F232)+COUNTIFS(B$7:B232,B232,E$7:E232,"Plazo fijo",N$7:N232,"Sí",F$7:F232,F232),"")</f>
        <v/>
      </c>
      <c r="R232" s="73" t="str">
        <f aca="false">IF(AND(B232&lt;&gt;"",ISNUMBER(H232),ISNUMBER(F232)),COUNTIFS(C_ID,B232,C_SUELDO,"&lt;&gt;",C_INICIO,"&lt;"&amp;F232)+COUNTIFS(B$7:B232,B232,H$7:H232,"&lt;&gt;",F$7:F232,F232),"")</f>
        <v/>
      </c>
      <c r="S232" s="72" t="str">
        <f aca="false">IF(R232="","",B232&amp;"-S"&amp;R232)</f>
        <v/>
      </c>
      <c r="T232" s="74" t="str">
        <f aca="false">IF(AND(ISNUMBER(F232),ISNUMBER(G232)),ROUND((G232-F232+1)/30.4375,1),"")</f>
        <v/>
      </c>
      <c r="U232" s="70" t="str">
        <f aca="false">IF(B232="","",IF(AND(N232="Sí",OR(E232="",NOT(ISNUMBER(F232)))),"⚠ Falta tipo de contrato o fecha de inicio",IF(NOT(ISNUMBER(F232)),"⚠ Falta fecha de inicio",IF(AND(N232="Sí",E232&lt;&gt;"Indefinido",NOT(ISNUMBER(G232))),"⚠ Falta fecha de término",IF(AND(D232="Paso a indefinido",E232&lt;&gt;"Indefinido"),"⚠ Un paso a indefinido debe tener tipo Indefinido",IF(N(Q232)&gt;=3,"⚠ 3er contrato a plazo fijo: por ley ya es INDEFINIDO (Art. 159 N°4)",IF(AND(E232="Plazo fijo",N(T232)&gt;12),"⚠ Plazo fijo mayor a 1 año (máx. legal; 2 años solo profesionales o técnicos)",IF(AND(ISNUMBER(G232),G232&lt;F232),"⚠ Término anterior al inicio",IF(AND(D232="Contrato inicial",ISNUMBER(J232),J232-F232&gt;15),"⚠ Escriturado fuera de plazo (Art. 9: 15 días)",IF(K232&lt;&gt;"Sí","Pendiente de firma","OK"))))))))))</f>
        <v/>
      </c>
    </row>
    <row r="233" customFormat="false" ht="15" hidden="false" customHeight="false" outlineLevel="0" collapsed="false">
      <c r="B233" s="64"/>
      <c r="C233" s="72" t="str">
        <f aca="false">IF(B233="","",IFERROR(INDEX(T_NOMBRE,MATCH(B233,T_ID,0)),"⚠ ID no existe en Trabajadores"))</f>
        <v/>
      </c>
      <c r="D233" s="64"/>
      <c r="E233" s="64"/>
      <c r="F233" s="65"/>
      <c r="G233" s="65"/>
      <c r="H233" s="67"/>
      <c r="I233" s="64"/>
      <c r="J233" s="65"/>
      <c r="K233" s="64"/>
      <c r="L233" s="64"/>
      <c r="M233" s="64"/>
      <c r="N233" s="72" t="str">
        <f aca="false">IF(B233="","",IF(D233="Anexo de modificación","No","Sí"))</f>
        <v/>
      </c>
      <c r="O233" s="73" t="str">
        <f aca="false">IF(AND(N233="Sí",ISNUMBER(F233)),COUNTIFS(C_ID,B233,C_DEFINE,"Sí",C_INICIO,"&lt;"&amp;F233)+COUNTIFS(B$7:B233,B233,N$7:N233,"Sí",F$7:F233,F233),"")</f>
        <v/>
      </c>
      <c r="P233" s="72" t="str">
        <f aca="false">IF(O233="","",B233&amp;"-P"&amp;O233)</f>
        <v/>
      </c>
      <c r="Q233" s="73" t="str">
        <f aca="false">IF(AND(N233="Sí",E233="Plazo fijo",ISNUMBER(F233)),COUNTIFS(C_ID,B233,C_TIPO,"Plazo fijo",C_DEFINE,"Sí",C_INICIO,"&lt;"&amp;F233)+COUNTIFS(B$7:B233,B233,E$7:E233,"Plazo fijo",N$7:N233,"Sí",F$7:F233,F233),"")</f>
        <v/>
      </c>
      <c r="R233" s="73" t="str">
        <f aca="false">IF(AND(B233&lt;&gt;"",ISNUMBER(H233),ISNUMBER(F233)),COUNTIFS(C_ID,B233,C_SUELDO,"&lt;&gt;",C_INICIO,"&lt;"&amp;F233)+COUNTIFS(B$7:B233,B233,H$7:H233,"&lt;&gt;",F$7:F233,F233),"")</f>
        <v/>
      </c>
      <c r="S233" s="72" t="str">
        <f aca="false">IF(R233="","",B233&amp;"-S"&amp;R233)</f>
        <v/>
      </c>
      <c r="T233" s="74" t="str">
        <f aca="false">IF(AND(ISNUMBER(F233),ISNUMBER(G233)),ROUND((G233-F233+1)/30.4375,1),"")</f>
        <v/>
      </c>
      <c r="U233" s="70" t="str">
        <f aca="false">IF(B233="","",IF(AND(N233="Sí",OR(E233="",NOT(ISNUMBER(F233)))),"⚠ Falta tipo de contrato o fecha de inicio",IF(NOT(ISNUMBER(F233)),"⚠ Falta fecha de inicio",IF(AND(N233="Sí",E233&lt;&gt;"Indefinido",NOT(ISNUMBER(G233))),"⚠ Falta fecha de término",IF(AND(D233="Paso a indefinido",E233&lt;&gt;"Indefinido"),"⚠ Un paso a indefinido debe tener tipo Indefinido",IF(N(Q233)&gt;=3,"⚠ 3er contrato a plazo fijo: por ley ya es INDEFINIDO (Art. 159 N°4)",IF(AND(E233="Plazo fijo",N(T233)&gt;12),"⚠ Plazo fijo mayor a 1 año (máx. legal; 2 años solo profesionales o técnicos)",IF(AND(ISNUMBER(G233),G233&lt;F233),"⚠ Término anterior al inicio",IF(AND(D233="Contrato inicial",ISNUMBER(J233),J233-F233&gt;15),"⚠ Escriturado fuera de plazo (Art. 9: 15 días)",IF(K233&lt;&gt;"Sí","Pendiente de firma","OK"))))))))))</f>
        <v/>
      </c>
    </row>
    <row r="234" customFormat="false" ht="15" hidden="false" customHeight="false" outlineLevel="0" collapsed="false">
      <c r="B234" s="64"/>
      <c r="C234" s="72" t="str">
        <f aca="false">IF(B234="","",IFERROR(INDEX(T_NOMBRE,MATCH(B234,T_ID,0)),"⚠ ID no existe en Trabajadores"))</f>
        <v/>
      </c>
      <c r="D234" s="64"/>
      <c r="E234" s="64"/>
      <c r="F234" s="65"/>
      <c r="G234" s="65"/>
      <c r="H234" s="67"/>
      <c r="I234" s="64"/>
      <c r="J234" s="65"/>
      <c r="K234" s="64"/>
      <c r="L234" s="64"/>
      <c r="M234" s="64"/>
      <c r="N234" s="72" t="str">
        <f aca="false">IF(B234="","",IF(D234="Anexo de modificación","No","Sí"))</f>
        <v/>
      </c>
      <c r="O234" s="73" t="str">
        <f aca="false">IF(AND(N234="Sí",ISNUMBER(F234)),COUNTIFS(C_ID,B234,C_DEFINE,"Sí",C_INICIO,"&lt;"&amp;F234)+COUNTIFS(B$7:B234,B234,N$7:N234,"Sí",F$7:F234,F234),"")</f>
        <v/>
      </c>
      <c r="P234" s="72" t="str">
        <f aca="false">IF(O234="","",B234&amp;"-P"&amp;O234)</f>
        <v/>
      </c>
      <c r="Q234" s="73" t="str">
        <f aca="false">IF(AND(N234="Sí",E234="Plazo fijo",ISNUMBER(F234)),COUNTIFS(C_ID,B234,C_TIPO,"Plazo fijo",C_DEFINE,"Sí",C_INICIO,"&lt;"&amp;F234)+COUNTIFS(B$7:B234,B234,E$7:E234,"Plazo fijo",N$7:N234,"Sí",F$7:F234,F234),"")</f>
        <v/>
      </c>
      <c r="R234" s="73" t="str">
        <f aca="false">IF(AND(B234&lt;&gt;"",ISNUMBER(H234),ISNUMBER(F234)),COUNTIFS(C_ID,B234,C_SUELDO,"&lt;&gt;",C_INICIO,"&lt;"&amp;F234)+COUNTIFS(B$7:B234,B234,H$7:H234,"&lt;&gt;",F$7:F234,F234),"")</f>
        <v/>
      </c>
      <c r="S234" s="72" t="str">
        <f aca="false">IF(R234="","",B234&amp;"-S"&amp;R234)</f>
        <v/>
      </c>
      <c r="T234" s="74" t="str">
        <f aca="false">IF(AND(ISNUMBER(F234),ISNUMBER(G234)),ROUND((G234-F234+1)/30.4375,1),"")</f>
        <v/>
      </c>
      <c r="U234" s="70" t="str">
        <f aca="false">IF(B234="","",IF(AND(N234="Sí",OR(E234="",NOT(ISNUMBER(F234)))),"⚠ Falta tipo de contrato o fecha de inicio",IF(NOT(ISNUMBER(F234)),"⚠ Falta fecha de inicio",IF(AND(N234="Sí",E234&lt;&gt;"Indefinido",NOT(ISNUMBER(G234))),"⚠ Falta fecha de término",IF(AND(D234="Paso a indefinido",E234&lt;&gt;"Indefinido"),"⚠ Un paso a indefinido debe tener tipo Indefinido",IF(N(Q234)&gt;=3,"⚠ 3er contrato a plazo fijo: por ley ya es INDEFINIDO (Art. 159 N°4)",IF(AND(E234="Plazo fijo",N(T234)&gt;12),"⚠ Plazo fijo mayor a 1 año (máx. legal; 2 años solo profesionales o técnicos)",IF(AND(ISNUMBER(G234),G234&lt;F234),"⚠ Término anterior al inicio",IF(AND(D234="Contrato inicial",ISNUMBER(J234),J234-F234&gt;15),"⚠ Escriturado fuera de plazo (Art. 9: 15 días)",IF(K234&lt;&gt;"Sí","Pendiente de firma","OK"))))))))))</f>
        <v/>
      </c>
    </row>
    <row r="235" customFormat="false" ht="15" hidden="false" customHeight="false" outlineLevel="0" collapsed="false">
      <c r="B235" s="64"/>
      <c r="C235" s="72" t="str">
        <f aca="false">IF(B235="","",IFERROR(INDEX(T_NOMBRE,MATCH(B235,T_ID,0)),"⚠ ID no existe en Trabajadores"))</f>
        <v/>
      </c>
      <c r="D235" s="64"/>
      <c r="E235" s="64"/>
      <c r="F235" s="65"/>
      <c r="G235" s="65"/>
      <c r="H235" s="67"/>
      <c r="I235" s="64"/>
      <c r="J235" s="65"/>
      <c r="K235" s="64"/>
      <c r="L235" s="64"/>
      <c r="M235" s="64"/>
      <c r="N235" s="72" t="str">
        <f aca="false">IF(B235="","",IF(D235="Anexo de modificación","No","Sí"))</f>
        <v/>
      </c>
      <c r="O235" s="73" t="str">
        <f aca="false">IF(AND(N235="Sí",ISNUMBER(F235)),COUNTIFS(C_ID,B235,C_DEFINE,"Sí",C_INICIO,"&lt;"&amp;F235)+COUNTIFS(B$7:B235,B235,N$7:N235,"Sí",F$7:F235,F235),"")</f>
        <v/>
      </c>
      <c r="P235" s="72" t="str">
        <f aca="false">IF(O235="","",B235&amp;"-P"&amp;O235)</f>
        <v/>
      </c>
      <c r="Q235" s="73" t="str">
        <f aca="false">IF(AND(N235="Sí",E235="Plazo fijo",ISNUMBER(F235)),COUNTIFS(C_ID,B235,C_TIPO,"Plazo fijo",C_DEFINE,"Sí",C_INICIO,"&lt;"&amp;F235)+COUNTIFS(B$7:B235,B235,E$7:E235,"Plazo fijo",N$7:N235,"Sí",F$7:F235,F235),"")</f>
        <v/>
      </c>
      <c r="R235" s="73" t="str">
        <f aca="false">IF(AND(B235&lt;&gt;"",ISNUMBER(H235),ISNUMBER(F235)),COUNTIFS(C_ID,B235,C_SUELDO,"&lt;&gt;",C_INICIO,"&lt;"&amp;F235)+COUNTIFS(B$7:B235,B235,H$7:H235,"&lt;&gt;",F$7:F235,F235),"")</f>
        <v/>
      </c>
      <c r="S235" s="72" t="str">
        <f aca="false">IF(R235="","",B235&amp;"-S"&amp;R235)</f>
        <v/>
      </c>
      <c r="T235" s="74" t="str">
        <f aca="false">IF(AND(ISNUMBER(F235),ISNUMBER(G235)),ROUND((G235-F235+1)/30.4375,1),"")</f>
        <v/>
      </c>
      <c r="U235" s="70" t="str">
        <f aca="false">IF(B235="","",IF(AND(N235="Sí",OR(E235="",NOT(ISNUMBER(F235)))),"⚠ Falta tipo de contrato o fecha de inicio",IF(NOT(ISNUMBER(F235)),"⚠ Falta fecha de inicio",IF(AND(N235="Sí",E235&lt;&gt;"Indefinido",NOT(ISNUMBER(G235))),"⚠ Falta fecha de término",IF(AND(D235="Paso a indefinido",E235&lt;&gt;"Indefinido"),"⚠ Un paso a indefinido debe tener tipo Indefinido",IF(N(Q235)&gt;=3,"⚠ 3er contrato a plazo fijo: por ley ya es INDEFINIDO (Art. 159 N°4)",IF(AND(E235="Plazo fijo",N(T235)&gt;12),"⚠ Plazo fijo mayor a 1 año (máx. legal; 2 años solo profesionales o técnicos)",IF(AND(ISNUMBER(G235),G235&lt;F235),"⚠ Término anterior al inicio",IF(AND(D235="Contrato inicial",ISNUMBER(J235),J235-F235&gt;15),"⚠ Escriturado fuera de plazo (Art. 9: 15 días)",IF(K235&lt;&gt;"Sí","Pendiente de firma","OK"))))))))))</f>
        <v/>
      </c>
    </row>
    <row r="236" customFormat="false" ht="15" hidden="false" customHeight="false" outlineLevel="0" collapsed="false">
      <c r="B236" s="64"/>
      <c r="C236" s="72" t="str">
        <f aca="false">IF(B236="","",IFERROR(INDEX(T_NOMBRE,MATCH(B236,T_ID,0)),"⚠ ID no existe en Trabajadores"))</f>
        <v/>
      </c>
      <c r="D236" s="64"/>
      <c r="E236" s="64"/>
      <c r="F236" s="65"/>
      <c r="G236" s="65"/>
      <c r="H236" s="67"/>
      <c r="I236" s="64"/>
      <c r="J236" s="65"/>
      <c r="K236" s="64"/>
      <c r="L236" s="64"/>
      <c r="M236" s="64"/>
      <c r="N236" s="72" t="str">
        <f aca="false">IF(B236="","",IF(D236="Anexo de modificación","No","Sí"))</f>
        <v/>
      </c>
      <c r="O236" s="73" t="str">
        <f aca="false">IF(AND(N236="Sí",ISNUMBER(F236)),COUNTIFS(C_ID,B236,C_DEFINE,"Sí",C_INICIO,"&lt;"&amp;F236)+COUNTIFS(B$7:B236,B236,N$7:N236,"Sí",F$7:F236,F236),"")</f>
        <v/>
      </c>
      <c r="P236" s="72" t="str">
        <f aca="false">IF(O236="","",B236&amp;"-P"&amp;O236)</f>
        <v/>
      </c>
      <c r="Q236" s="73" t="str">
        <f aca="false">IF(AND(N236="Sí",E236="Plazo fijo",ISNUMBER(F236)),COUNTIFS(C_ID,B236,C_TIPO,"Plazo fijo",C_DEFINE,"Sí",C_INICIO,"&lt;"&amp;F236)+COUNTIFS(B$7:B236,B236,E$7:E236,"Plazo fijo",N$7:N236,"Sí",F$7:F236,F236),"")</f>
        <v/>
      </c>
      <c r="R236" s="73" t="str">
        <f aca="false">IF(AND(B236&lt;&gt;"",ISNUMBER(H236),ISNUMBER(F236)),COUNTIFS(C_ID,B236,C_SUELDO,"&lt;&gt;",C_INICIO,"&lt;"&amp;F236)+COUNTIFS(B$7:B236,B236,H$7:H236,"&lt;&gt;",F$7:F236,F236),"")</f>
        <v/>
      </c>
      <c r="S236" s="72" t="str">
        <f aca="false">IF(R236="","",B236&amp;"-S"&amp;R236)</f>
        <v/>
      </c>
      <c r="T236" s="74" t="str">
        <f aca="false">IF(AND(ISNUMBER(F236),ISNUMBER(G236)),ROUND((G236-F236+1)/30.4375,1),"")</f>
        <v/>
      </c>
      <c r="U236" s="70" t="str">
        <f aca="false">IF(B236="","",IF(AND(N236="Sí",OR(E236="",NOT(ISNUMBER(F236)))),"⚠ Falta tipo de contrato o fecha de inicio",IF(NOT(ISNUMBER(F236)),"⚠ Falta fecha de inicio",IF(AND(N236="Sí",E236&lt;&gt;"Indefinido",NOT(ISNUMBER(G236))),"⚠ Falta fecha de término",IF(AND(D236="Paso a indefinido",E236&lt;&gt;"Indefinido"),"⚠ Un paso a indefinido debe tener tipo Indefinido",IF(N(Q236)&gt;=3,"⚠ 3er contrato a plazo fijo: por ley ya es INDEFINIDO (Art. 159 N°4)",IF(AND(E236="Plazo fijo",N(T236)&gt;12),"⚠ Plazo fijo mayor a 1 año (máx. legal; 2 años solo profesionales o técnicos)",IF(AND(ISNUMBER(G236),G236&lt;F236),"⚠ Término anterior al inicio",IF(AND(D236="Contrato inicial",ISNUMBER(J236),J236-F236&gt;15),"⚠ Escriturado fuera de plazo (Art. 9: 15 días)",IF(K236&lt;&gt;"Sí","Pendiente de firma","OK"))))))))))</f>
        <v/>
      </c>
    </row>
    <row r="237" customFormat="false" ht="15" hidden="false" customHeight="false" outlineLevel="0" collapsed="false">
      <c r="B237" s="64"/>
      <c r="C237" s="72" t="str">
        <f aca="false">IF(B237="","",IFERROR(INDEX(T_NOMBRE,MATCH(B237,T_ID,0)),"⚠ ID no existe en Trabajadores"))</f>
        <v/>
      </c>
      <c r="D237" s="64"/>
      <c r="E237" s="64"/>
      <c r="F237" s="65"/>
      <c r="G237" s="65"/>
      <c r="H237" s="67"/>
      <c r="I237" s="64"/>
      <c r="J237" s="65"/>
      <c r="K237" s="64"/>
      <c r="L237" s="64"/>
      <c r="M237" s="64"/>
      <c r="N237" s="72" t="str">
        <f aca="false">IF(B237="","",IF(D237="Anexo de modificación","No","Sí"))</f>
        <v/>
      </c>
      <c r="O237" s="73" t="str">
        <f aca="false">IF(AND(N237="Sí",ISNUMBER(F237)),COUNTIFS(C_ID,B237,C_DEFINE,"Sí",C_INICIO,"&lt;"&amp;F237)+COUNTIFS(B$7:B237,B237,N$7:N237,"Sí",F$7:F237,F237),"")</f>
        <v/>
      </c>
      <c r="P237" s="72" t="str">
        <f aca="false">IF(O237="","",B237&amp;"-P"&amp;O237)</f>
        <v/>
      </c>
      <c r="Q237" s="73" t="str">
        <f aca="false">IF(AND(N237="Sí",E237="Plazo fijo",ISNUMBER(F237)),COUNTIFS(C_ID,B237,C_TIPO,"Plazo fijo",C_DEFINE,"Sí",C_INICIO,"&lt;"&amp;F237)+COUNTIFS(B$7:B237,B237,E$7:E237,"Plazo fijo",N$7:N237,"Sí",F$7:F237,F237),"")</f>
        <v/>
      </c>
      <c r="R237" s="73" t="str">
        <f aca="false">IF(AND(B237&lt;&gt;"",ISNUMBER(H237),ISNUMBER(F237)),COUNTIFS(C_ID,B237,C_SUELDO,"&lt;&gt;",C_INICIO,"&lt;"&amp;F237)+COUNTIFS(B$7:B237,B237,H$7:H237,"&lt;&gt;",F$7:F237,F237),"")</f>
        <v/>
      </c>
      <c r="S237" s="72" t="str">
        <f aca="false">IF(R237="","",B237&amp;"-S"&amp;R237)</f>
        <v/>
      </c>
      <c r="T237" s="74" t="str">
        <f aca="false">IF(AND(ISNUMBER(F237),ISNUMBER(G237)),ROUND((G237-F237+1)/30.4375,1),"")</f>
        <v/>
      </c>
      <c r="U237" s="70" t="str">
        <f aca="false">IF(B237="","",IF(AND(N237="Sí",OR(E237="",NOT(ISNUMBER(F237)))),"⚠ Falta tipo de contrato o fecha de inicio",IF(NOT(ISNUMBER(F237)),"⚠ Falta fecha de inicio",IF(AND(N237="Sí",E237&lt;&gt;"Indefinido",NOT(ISNUMBER(G237))),"⚠ Falta fecha de término",IF(AND(D237="Paso a indefinido",E237&lt;&gt;"Indefinido"),"⚠ Un paso a indefinido debe tener tipo Indefinido",IF(N(Q237)&gt;=3,"⚠ 3er contrato a plazo fijo: por ley ya es INDEFINIDO (Art. 159 N°4)",IF(AND(E237="Plazo fijo",N(T237)&gt;12),"⚠ Plazo fijo mayor a 1 año (máx. legal; 2 años solo profesionales o técnicos)",IF(AND(ISNUMBER(G237),G237&lt;F237),"⚠ Término anterior al inicio",IF(AND(D237="Contrato inicial",ISNUMBER(J237),J237-F237&gt;15),"⚠ Escriturado fuera de plazo (Art. 9: 15 días)",IF(K237&lt;&gt;"Sí","Pendiente de firma","OK"))))))))))</f>
        <v/>
      </c>
    </row>
    <row r="238" customFormat="false" ht="15" hidden="false" customHeight="false" outlineLevel="0" collapsed="false">
      <c r="B238" s="64"/>
      <c r="C238" s="72" t="str">
        <f aca="false">IF(B238="","",IFERROR(INDEX(T_NOMBRE,MATCH(B238,T_ID,0)),"⚠ ID no existe en Trabajadores"))</f>
        <v/>
      </c>
      <c r="D238" s="64"/>
      <c r="E238" s="64"/>
      <c r="F238" s="65"/>
      <c r="G238" s="65"/>
      <c r="H238" s="67"/>
      <c r="I238" s="64"/>
      <c r="J238" s="65"/>
      <c r="K238" s="64"/>
      <c r="L238" s="64"/>
      <c r="M238" s="64"/>
      <c r="N238" s="72" t="str">
        <f aca="false">IF(B238="","",IF(D238="Anexo de modificación","No","Sí"))</f>
        <v/>
      </c>
      <c r="O238" s="73" t="str">
        <f aca="false">IF(AND(N238="Sí",ISNUMBER(F238)),COUNTIFS(C_ID,B238,C_DEFINE,"Sí",C_INICIO,"&lt;"&amp;F238)+COUNTIFS(B$7:B238,B238,N$7:N238,"Sí",F$7:F238,F238),"")</f>
        <v/>
      </c>
      <c r="P238" s="72" t="str">
        <f aca="false">IF(O238="","",B238&amp;"-P"&amp;O238)</f>
        <v/>
      </c>
      <c r="Q238" s="73" t="str">
        <f aca="false">IF(AND(N238="Sí",E238="Plazo fijo",ISNUMBER(F238)),COUNTIFS(C_ID,B238,C_TIPO,"Plazo fijo",C_DEFINE,"Sí",C_INICIO,"&lt;"&amp;F238)+COUNTIFS(B$7:B238,B238,E$7:E238,"Plazo fijo",N$7:N238,"Sí",F$7:F238,F238),"")</f>
        <v/>
      </c>
      <c r="R238" s="73" t="str">
        <f aca="false">IF(AND(B238&lt;&gt;"",ISNUMBER(H238),ISNUMBER(F238)),COUNTIFS(C_ID,B238,C_SUELDO,"&lt;&gt;",C_INICIO,"&lt;"&amp;F238)+COUNTIFS(B$7:B238,B238,H$7:H238,"&lt;&gt;",F$7:F238,F238),"")</f>
        <v/>
      </c>
      <c r="S238" s="72" t="str">
        <f aca="false">IF(R238="","",B238&amp;"-S"&amp;R238)</f>
        <v/>
      </c>
      <c r="T238" s="74" t="str">
        <f aca="false">IF(AND(ISNUMBER(F238),ISNUMBER(G238)),ROUND((G238-F238+1)/30.4375,1),"")</f>
        <v/>
      </c>
      <c r="U238" s="70" t="str">
        <f aca="false">IF(B238="","",IF(AND(N238="Sí",OR(E238="",NOT(ISNUMBER(F238)))),"⚠ Falta tipo de contrato o fecha de inicio",IF(NOT(ISNUMBER(F238)),"⚠ Falta fecha de inicio",IF(AND(N238="Sí",E238&lt;&gt;"Indefinido",NOT(ISNUMBER(G238))),"⚠ Falta fecha de término",IF(AND(D238="Paso a indefinido",E238&lt;&gt;"Indefinido"),"⚠ Un paso a indefinido debe tener tipo Indefinido",IF(N(Q238)&gt;=3,"⚠ 3er contrato a plazo fijo: por ley ya es INDEFINIDO (Art. 159 N°4)",IF(AND(E238="Plazo fijo",N(T238)&gt;12),"⚠ Plazo fijo mayor a 1 año (máx. legal; 2 años solo profesionales o técnicos)",IF(AND(ISNUMBER(G238),G238&lt;F238),"⚠ Término anterior al inicio",IF(AND(D238="Contrato inicial",ISNUMBER(J238),J238-F238&gt;15),"⚠ Escriturado fuera de plazo (Art. 9: 15 días)",IF(K238&lt;&gt;"Sí","Pendiente de firma","OK"))))))))))</f>
        <v/>
      </c>
    </row>
    <row r="239" customFormat="false" ht="15" hidden="false" customHeight="false" outlineLevel="0" collapsed="false">
      <c r="B239" s="64"/>
      <c r="C239" s="72" t="str">
        <f aca="false">IF(B239="","",IFERROR(INDEX(T_NOMBRE,MATCH(B239,T_ID,0)),"⚠ ID no existe en Trabajadores"))</f>
        <v/>
      </c>
      <c r="D239" s="64"/>
      <c r="E239" s="64"/>
      <c r="F239" s="65"/>
      <c r="G239" s="65"/>
      <c r="H239" s="67"/>
      <c r="I239" s="64"/>
      <c r="J239" s="65"/>
      <c r="K239" s="64"/>
      <c r="L239" s="64"/>
      <c r="M239" s="64"/>
      <c r="N239" s="72" t="str">
        <f aca="false">IF(B239="","",IF(D239="Anexo de modificación","No","Sí"))</f>
        <v/>
      </c>
      <c r="O239" s="73" t="str">
        <f aca="false">IF(AND(N239="Sí",ISNUMBER(F239)),COUNTIFS(C_ID,B239,C_DEFINE,"Sí",C_INICIO,"&lt;"&amp;F239)+COUNTIFS(B$7:B239,B239,N$7:N239,"Sí",F$7:F239,F239),"")</f>
        <v/>
      </c>
      <c r="P239" s="72" t="str">
        <f aca="false">IF(O239="","",B239&amp;"-P"&amp;O239)</f>
        <v/>
      </c>
      <c r="Q239" s="73" t="str">
        <f aca="false">IF(AND(N239="Sí",E239="Plazo fijo",ISNUMBER(F239)),COUNTIFS(C_ID,B239,C_TIPO,"Plazo fijo",C_DEFINE,"Sí",C_INICIO,"&lt;"&amp;F239)+COUNTIFS(B$7:B239,B239,E$7:E239,"Plazo fijo",N$7:N239,"Sí",F$7:F239,F239),"")</f>
        <v/>
      </c>
      <c r="R239" s="73" t="str">
        <f aca="false">IF(AND(B239&lt;&gt;"",ISNUMBER(H239),ISNUMBER(F239)),COUNTIFS(C_ID,B239,C_SUELDO,"&lt;&gt;",C_INICIO,"&lt;"&amp;F239)+COUNTIFS(B$7:B239,B239,H$7:H239,"&lt;&gt;",F$7:F239,F239),"")</f>
        <v/>
      </c>
      <c r="S239" s="72" t="str">
        <f aca="false">IF(R239="","",B239&amp;"-S"&amp;R239)</f>
        <v/>
      </c>
      <c r="T239" s="74" t="str">
        <f aca="false">IF(AND(ISNUMBER(F239),ISNUMBER(G239)),ROUND((G239-F239+1)/30.4375,1),"")</f>
        <v/>
      </c>
      <c r="U239" s="70" t="str">
        <f aca="false">IF(B239="","",IF(AND(N239="Sí",OR(E239="",NOT(ISNUMBER(F239)))),"⚠ Falta tipo de contrato o fecha de inicio",IF(NOT(ISNUMBER(F239)),"⚠ Falta fecha de inicio",IF(AND(N239="Sí",E239&lt;&gt;"Indefinido",NOT(ISNUMBER(G239))),"⚠ Falta fecha de término",IF(AND(D239="Paso a indefinido",E239&lt;&gt;"Indefinido"),"⚠ Un paso a indefinido debe tener tipo Indefinido",IF(N(Q239)&gt;=3,"⚠ 3er contrato a plazo fijo: por ley ya es INDEFINIDO (Art. 159 N°4)",IF(AND(E239="Plazo fijo",N(T239)&gt;12),"⚠ Plazo fijo mayor a 1 año (máx. legal; 2 años solo profesionales o técnicos)",IF(AND(ISNUMBER(G239),G239&lt;F239),"⚠ Término anterior al inicio",IF(AND(D239="Contrato inicial",ISNUMBER(J239),J239-F239&gt;15),"⚠ Escriturado fuera de plazo (Art. 9: 15 días)",IF(K239&lt;&gt;"Sí","Pendiente de firma","OK"))))))))))</f>
        <v/>
      </c>
    </row>
    <row r="240" customFormat="false" ht="15" hidden="false" customHeight="false" outlineLevel="0" collapsed="false">
      <c r="B240" s="64"/>
      <c r="C240" s="72" t="str">
        <f aca="false">IF(B240="","",IFERROR(INDEX(T_NOMBRE,MATCH(B240,T_ID,0)),"⚠ ID no existe en Trabajadores"))</f>
        <v/>
      </c>
      <c r="D240" s="64"/>
      <c r="E240" s="64"/>
      <c r="F240" s="65"/>
      <c r="G240" s="65"/>
      <c r="H240" s="67"/>
      <c r="I240" s="64"/>
      <c r="J240" s="65"/>
      <c r="K240" s="64"/>
      <c r="L240" s="64"/>
      <c r="M240" s="64"/>
      <c r="N240" s="72" t="str">
        <f aca="false">IF(B240="","",IF(D240="Anexo de modificación","No","Sí"))</f>
        <v/>
      </c>
      <c r="O240" s="73" t="str">
        <f aca="false">IF(AND(N240="Sí",ISNUMBER(F240)),COUNTIFS(C_ID,B240,C_DEFINE,"Sí",C_INICIO,"&lt;"&amp;F240)+COUNTIFS(B$7:B240,B240,N$7:N240,"Sí",F$7:F240,F240),"")</f>
        <v/>
      </c>
      <c r="P240" s="72" t="str">
        <f aca="false">IF(O240="","",B240&amp;"-P"&amp;O240)</f>
        <v/>
      </c>
      <c r="Q240" s="73" t="str">
        <f aca="false">IF(AND(N240="Sí",E240="Plazo fijo",ISNUMBER(F240)),COUNTIFS(C_ID,B240,C_TIPO,"Plazo fijo",C_DEFINE,"Sí",C_INICIO,"&lt;"&amp;F240)+COUNTIFS(B$7:B240,B240,E$7:E240,"Plazo fijo",N$7:N240,"Sí",F$7:F240,F240),"")</f>
        <v/>
      </c>
      <c r="R240" s="73" t="str">
        <f aca="false">IF(AND(B240&lt;&gt;"",ISNUMBER(H240),ISNUMBER(F240)),COUNTIFS(C_ID,B240,C_SUELDO,"&lt;&gt;",C_INICIO,"&lt;"&amp;F240)+COUNTIFS(B$7:B240,B240,H$7:H240,"&lt;&gt;",F$7:F240,F240),"")</f>
        <v/>
      </c>
      <c r="S240" s="72" t="str">
        <f aca="false">IF(R240="","",B240&amp;"-S"&amp;R240)</f>
        <v/>
      </c>
      <c r="T240" s="74" t="str">
        <f aca="false">IF(AND(ISNUMBER(F240),ISNUMBER(G240)),ROUND((G240-F240+1)/30.4375,1),"")</f>
        <v/>
      </c>
      <c r="U240" s="70" t="str">
        <f aca="false">IF(B240="","",IF(AND(N240="Sí",OR(E240="",NOT(ISNUMBER(F240)))),"⚠ Falta tipo de contrato o fecha de inicio",IF(NOT(ISNUMBER(F240)),"⚠ Falta fecha de inicio",IF(AND(N240="Sí",E240&lt;&gt;"Indefinido",NOT(ISNUMBER(G240))),"⚠ Falta fecha de término",IF(AND(D240="Paso a indefinido",E240&lt;&gt;"Indefinido"),"⚠ Un paso a indefinido debe tener tipo Indefinido",IF(N(Q240)&gt;=3,"⚠ 3er contrato a plazo fijo: por ley ya es INDEFINIDO (Art. 159 N°4)",IF(AND(E240="Plazo fijo",N(T240)&gt;12),"⚠ Plazo fijo mayor a 1 año (máx. legal; 2 años solo profesionales o técnicos)",IF(AND(ISNUMBER(G240),G240&lt;F240),"⚠ Término anterior al inicio",IF(AND(D240="Contrato inicial",ISNUMBER(J240),J240-F240&gt;15),"⚠ Escriturado fuera de plazo (Art. 9: 15 días)",IF(K240&lt;&gt;"Sí","Pendiente de firma","OK"))))))))))</f>
        <v/>
      </c>
    </row>
    <row r="241" customFormat="false" ht="15" hidden="false" customHeight="false" outlineLevel="0" collapsed="false">
      <c r="B241" s="64"/>
      <c r="C241" s="72" t="str">
        <f aca="false">IF(B241="","",IFERROR(INDEX(T_NOMBRE,MATCH(B241,T_ID,0)),"⚠ ID no existe en Trabajadores"))</f>
        <v/>
      </c>
      <c r="D241" s="64"/>
      <c r="E241" s="64"/>
      <c r="F241" s="65"/>
      <c r="G241" s="65"/>
      <c r="H241" s="67"/>
      <c r="I241" s="64"/>
      <c r="J241" s="65"/>
      <c r="K241" s="64"/>
      <c r="L241" s="64"/>
      <c r="M241" s="64"/>
      <c r="N241" s="72" t="str">
        <f aca="false">IF(B241="","",IF(D241="Anexo de modificación","No","Sí"))</f>
        <v/>
      </c>
      <c r="O241" s="73" t="str">
        <f aca="false">IF(AND(N241="Sí",ISNUMBER(F241)),COUNTIFS(C_ID,B241,C_DEFINE,"Sí",C_INICIO,"&lt;"&amp;F241)+COUNTIFS(B$7:B241,B241,N$7:N241,"Sí",F$7:F241,F241),"")</f>
        <v/>
      </c>
      <c r="P241" s="72" t="str">
        <f aca="false">IF(O241="","",B241&amp;"-P"&amp;O241)</f>
        <v/>
      </c>
      <c r="Q241" s="73" t="str">
        <f aca="false">IF(AND(N241="Sí",E241="Plazo fijo",ISNUMBER(F241)),COUNTIFS(C_ID,B241,C_TIPO,"Plazo fijo",C_DEFINE,"Sí",C_INICIO,"&lt;"&amp;F241)+COUNTIFS(B$7:B241,B241,E$7:E241,"Plazo fijo",N$7:N241,"Sí",F$7:F241,F241),"")</f>
        <v/>
      </c>
      <c r="R241" s="73" t="str">
        <f aca="false">IF(AND(B241&lt;&gt;"",ISNUMBER(H241),ISNUMBER(F241)),COUNTIFS(C_ID,B241,C_SUELDO,"&lt;&gt;",C_INICIO,"&lt;"&amp;F241)+COUNTIFS(B$7:B241,B241,H$7:H241,"&lt;&gt;",F$7:F241,F241),"")</f>
        <v/>
      </c>
      <c r="S241" s="72" t="str">
        <f aca="false">IF(R241="","",B241&amp;"-S"&amp;R241)</f>
        <v/>
      </c>
      <c r="T241" s="74" t="str">
        <f aca="false">IF(AND(ISNUMBER(F241),ISNUMBER(G241)),ROUND((G241-F241+1)/30.4375,1),"")</f>
        <v/>
      </c>
      <c r="U241" s="70" t="str">
        <f aca="false">IF(B241="","",IF(AND(N241="Sí",OR(E241="",NOT(ISNUMBER(F241)))),"⚠ Falta tipo de contrato o fecha de inicio",IF(NOT(ISNUMBER(F241)),"⚠ Falta fecha de inicio",IF(AND(N241="Sí",E241&lt;&gt;"Indefinido",NOT(ISNUMBER(G241))),"⚠ Falta fecha de término",IF(AND(D241="Paso a indefinido",E241&lt;&gt;"Indefinido"),"⚠ Un paso a indefinido debe tener tipo Indefinido",IF(N(Q241)&gt;=3,"⚠ 3er contrato a plazo fijo: por ley ya es INDEFINIDO (Art. 159 N°4)",IF(AND(E241="Plazo fijo",N(T241)&gt;12),"⚠ Plazo fijo mayor a 1 año (máx. legal; 2 años solo profesionales o técnicos)",IF(AND(ISNUMBER(G241),G241&lt;F241),"⚠ Término anterior al inicio",IF(AND(D241="Contrato inicial",ISNUMBER(J241),J241-F241&gt;15),"⚠ Escriturado fuera de plazo (Art. 9: 15 días)",IF(K241&lt;&gt;"Sí","Pendiente de firma","OK"))))))))))</f>
        <v/>
      </c>
    </row>
    <row r="242" customFormat="false" ht="15" hidden="false" customHeight="false" outlineLevel="0" collapsed="false">
      <c r="B242" s="64"/>
      <c r="C242" s="72" t="str">
        <f aca="false">IF(B242="","",IFERROR(INDEX(T_NOMBRE,MATCH(B242,T_ID,0)),"⚠ ID no existe en Trabajadores"))</f>
        <v/>
      </c>
      <c r="D242" s="64"/>
      <c r="E242" s="64"/>
      <c r="F242" s="65"/>
      <c r="G242" s="65"/>
      <c r="H242" s="67"/>
      <c r="I242" s="64"/>
      <c r="J242" s="65"/>
      <c r="K242" s="64"/>
      <c r="L242" s="64"/>
      <c r="M242" s="64"/>
      <c r="N242" s="72" t="str">
        <f aca="false">IF(B242="","",IF(D242="Anexo de modificación","No","Sí"))</f>
        <v/>
      </c>
      <c r="O242" s="73" t="str">
        <f aca="false">IF(AND(N242="Sí",ISNUMBER(F242)),COUNTIFS(C_ID,B242,C_DEFINE,"Sí",C_INICIO,"&lt;"&amp;F242)+COUNTIFS(B$7:B242,B242,N$7:N242,"Sí",F$7:F242,F242),"")</f>
        <v/>
      </c>
      <c r="P242" s="72" t="str">
        <f aca="false">IF(O242="","",B242&amp;"-P"&amp;O242)</f>
        <v/>
      </c>
      <c r="Q242" s="73" t="str">
        <f aca="false">IF(AND(N242="Sí",E242="Plazo fijo",ISNUMBER(F242)),COUNTIFS(C_ID,B242,C_TIPO,"Plazo fijo",C_DEFINE,"Sí",C_INICIO,"&lt;"&amp;F242)+COUNTIFS(B$7:B242,B242,E$7:E242,"Plazo fijo",N$7:N242,"Sí",F$7:F242,F242),"")</f>
        <v/>
      </c>
      <c r="R242" s="73" t="str">
        <f aca="false">IF(AND(B242&lt;&gt;"",ISNUMBER(H242),ISNUMBER(F242)),COUNTIFS(C_ID,B242,C_SUELDO,"&lt;&gt;",C_INICIO,"&lt;"&amp;F242)+COUNTIFS(B$7:B242,B242,H$7:H242,"&lt;&gt;",F$7:F242,F242),"")</f>
        <v/>
      </c>
      <c r="S242" s="72" t="str">
        <f aca="false">IF(R242="","",B242&amp;"-S"&amp;R242)</f>
        <v/>
      </c>
      <c r="T242" s="74" t="str">
        <f aca="false">IF(AND(ISNUMBER(F242),ISNUMBER(G242)),ROUND((G242-F242+1)/30.4375,1),"")</f>
        <v/>
      </c>
      <c r="U242" s="70" t="str">
        <f aca="false">IF(B242="","",IF(AND(N242="Sí",OR(E242="",NOT(ISNUMBER(F242)))),"⚠ Falta tipo de contrato o fecha de inicio",IF(NOT(ISNUMBER(F242)),"⚠ Falta fecha de inicio",IF(AND(N242="Sí",E242&lt;&gt;"Indefinido",NOT(ISNUMBER(G242))),"⚠ Falta fecha de término",IF(AND(D242="Paso a indefinido",E242&lt;&gt;"Indefinido"),"⚠ Un paso a indefinido debe tener tipo Indefinido",IF(N(Q242)&gt;=3,"⚠ 3er contrato a plazo fijo: por ley ya es INDEFINIDO (Art. 159 N°4)",IF(AND(E242="Plazo fijo",N(T242)&gt;12),"⚠ Plazo fijo mayor a 1 año (máx. legal; 2 años solo profesionales o técnicos)",IF(AND(ISNUMBER(G242),G242&lt;F242),"⚠ Término anterior al inicio",IF(AND(D242="Contrato inicial",ISNUMBER(J242),J242-F242&gt;15),"⚠ Escriturado fuera de plazo (Art. 9: 15 días)",IF(K242&lt;&gt;"Sí","Pendiente de firma","OK"))))))))))</f>
        <v/>
      </c>
    </row>
    <row r="243" customFormat="false" ht="15" hidden="false" customHeight="false" outlineLevel="0" collapsed="false">
      <c r="B243" s="64"/>
      <c r="C243" s="72" t="str">
        <f aca="false">IF(B243="","",IFERROR(INDEX(T_NOMBRE,MATCH(B243,T_ID,0)),"⚠ ID no existe en Trabajadores"))</f>
        <v/>
      </c>
      <c r="D243" s="64"/>
      <c r="E243" s="64"/>
      <c r="F243" s="65"/>
      <c r="G243" s="65"/>
      <c r="H243" s="67"/>
      <c r="I243" s="64"/>
      <c r="J243" s="65"/>
      <c r="K243" s="64"/>
      <c r="L243" s="64"/>
      <c r="M243" s="64"/>
      <c r="N243" s="72" t="str">
        <f aca="false">IF(B243="","",IF(D243="Anexo de modificación","No","Sí"))</f>
        <v/>
      </c>
      <c r="O243" s="73" t="str">
        <f aca="false">IF(AND(N243="Sí",ISNUMBER(F243)),COUNTIFS(C_ID,B243,C_DEFINE,"Sí",C_INICIO,"&lt;"&amp;F243)+COUNTIFS(B$7:B243,B243,N$7:N243,"Sí",F$7:F243,F243),"")</f>
        <v/>
      </c>
      <c r="P243" s="72" t="str">
        <f aca="false">IF(O243="","",B243&amp;"-P"&amp;O243)</f>
        <v/>
      </c>
      <c r="Q243" s="73" t="str">
        <f aca="false">IF(AND(N243="Sí",E243="Plazo fijo",ISNUMBER(F243)),COUNTIFS(C_ID,B243,C_TIPO,"Plazo fijo",C_DEFINE,"Sí",C_INICIO,"&lt;"&amp;F243)+COUNTIFS(B$7:B243,B243,E$7:E243,"Plazo fijo",N$7:N243,"Sí",F$7:F243,F243),"")</f>
        <v/>
      </c>
      <c r="R243" s="73" t="str">
        <f aca="false">IF(AND(B243&lt;&gt;"",ISNUMBER(H243),ISNUMBER(F243)),COUNTIFS(C_ID,B243,C_SUELDO,"&lt;&gt;",C_INICIO,"&lt;"&amp;F243)+COUNTIFS(B$7:B243,B243,H$7:H243,"&lt;&gt;",F$7:F243,F243),"")</f>
        <v/>
      </c>
      <c r="S243" s="72" t="str">
        <f aca="false">IF(R243="","",B243&amp;"-S"&amp;R243)</f>
        <v/>
      </c>
      <c r="T243" s="74" t="str">
        <f aca="false">IF(AND(ISNUMBER(F243),ISNUMBER(G243)),ROUND((G243-F243+1)/30.4375,1),"")</f>
        <v/>
      </c>
      <c r="U243" s="70" t="str">
        <f aca="false">IF(B243="","",IF(AND(N243="Sí",OR(E243="",NOT(ISNUMBER(F243)))),"⚠ Falta tipo de contrato o fecha de inicio",IF(NOT(ISNUMBER(F243)),"⚠ Falta fecha de inicio",IF(AND(N243="Sí",E243&lt;&gt;"Indefinido",NOT(ISNUMBER(G243))),"⚠ Falta fecha de término",IF(AND(D243="Paso a indefinido",E243&lt;&gt;"Indefinido"),"⚠ Un paso a indefinido debe tener tipo Indefinido",IF(N(Q243)&gt;=3,"⚠ 3er contrato a plazo fijo: por ley ya es INDEFINIDO (Art. 159 N°4)",IF(AND(E243="Plazo fijo",N(T243)&gt;12),"⚠ Plazo fijo mayor a 1 año (máx. legal; 2 años solo profesionales o técnicos)",IF(AND(ISNUMBER(G243),G243&lt;F243),"⚠ Término anterior al inicio",IF(AND(D243="Contrato inicial",ISNUMBER(J243),J243-F243&gt;15),"⚠ Escriturado fuera de plazo (Art. 9: 15 días)",IF(K243&lt;&gt;"Sí","Pendiente de firma","OK"))))))))))</f>
        <v/>
      </c>
    </row>
    <row r="244" customFormat="false" ht="15" hidden="false" customHeight="false" outlineLevel="0" collapsed="false">
      <c r="B244" s="64"/>
      <c r="C244" s="72" t="str">
        <f aca="false">IF(B244="","",IFERROR(INDEX(T_NOMBRE,MATCH(B244,T_ID,0)),"⚠ ID no existe en Trabajadores"))</f>
        <v/>
      </c>
      <c r="D244" s="64"/>
      <c r="E244" s="64"/>
      <c r="F244" s="65"/>
      <c r="G244" s="65"/>
      <c r="H244" s="67"/>
      <c r="I244" s="64"/>
      <c r="J244" s="65"/>
      <c r="K244" s="64"/>
      <c r="L244" s="64"/>
      <c r="M244" s="64"/>
      <c r="N244" s="72" t="str">
        <f aca="false">IF(B244="","",IF(D244="Anexo de modificación","No","Sí"))</f>
        <v/>
      </c>
      <c r="O244" s="73" t="str">
        <f aca="false">IF(AND(N244="Sí",ISNUMBER(F244)),COUNTIFS(C_ID,B244,C_DEFINE,"Sí",C_INICIO,"&lt;"&amp;F244)+COUNTIFS(B$7:B244,B244,N$7:N244,"Sí",F$7:F244,F244),"")</f>
        <v/>
      </c>
      <c r="P244" s="72" t="str">
        <f aca="false">IF(O244="","",B244&amp;"-P"&amp;O244)</f>
        <v/>
      </c>
      <c r="Q244" s="73" t="str">
        <f aca="false">IF(AND(N244="Sí",E244="Plazo fijo",ISNUMBER(F244)),COUNTIFS(C_ID,B244,C_TIPO,"Plazo fijo",C_DEFINE,"Sí",C_INICIO,"&lt;"&amp;F244)+COUNTIFS(B$7:B244,B244,E$7:E244,"Plazo fijo",N$7:N244,"Sí",F$7:F244,F244),"")</f>
        <v/>
      </c>
      <c r="R244" s="73" t="str">
        <f aca="false">IF(AND(B244&lt;&gt;"",ISNUMBER(H244),ISNUMBER(F244)),COUNTIFS(C_ID,B244,C_SUELDO,"&lt;&gt;",C_INICIO,"&lt;"&amp;F244)+COUNTIFS(B$7:B244,B244,H$7:H244,"&lt;&gt;",F$7:F244,F244),"")</f>
        <v/>
      </c>
      <c r="S244" s="72" t="str">
        <f aca="false">IF(R244="","",B244&amp;"-S"&amp;R244)</f>
        <v/>
      </c>
      <c r="T244" s="74" t="str">
        <f aca="false">IF(AND(ISNUMBER(F244),ISNUMBER(G244)),ROUND((G244-F244+1)/30.4375,1),"")</f>
        <v/>
      </c>
      <c r="U244" s="70" t="str">
        <f aca="false">IF(B244="","",IF(AND(N244="Sí",OR(E244="",NOT(ISNUMBER(F244)))),"⚠ Falta tipo de contrato o fecha de inicio",IF(NOT(ISNUMBER(F244)),"⚠ Falta fecha de inicio",IF(AND(N244="Sí",E244&lt;&gt;"Indefinido",NOT(ISNUMBER(G244))),"⚠ Falta fecha de término",IF(AND(D244="Paso a indefinido",E244&lt;&gt;"Indefinido"),"⚠ Un paso a indefinido debe tener tipo Indefinido",IF(N(Q244)&gt;=3,"⚠ 3er contrato a plazo fijo: por ley ya es INDEFINIDO (Art. 159 N°4)",IF(AND(E244="Plazo fijo",N(T244)&gt;12),"⚠ Plazo fijo mayor a 1 año (máx. legal; 2 años solo profesionales o técnicos)",IF(AND(ISNUMBER(G244),G244&lt;F244),"⚠ Término anterior al inicio",IF(AND(D244="Contrato inicial",ISNUMBER(J244),J244-F244&gt;15),"⚠ Escriturado fuera de plazo (Art. 9: 15 días)",IF(K244&lt;&gt;"Sí","Pendiente de firma","OK"))))))))))</f>
        <v/>
      </c>
    </row>
    <row r="245" customFormat="false" ht="15" hidden="false" customHeight="false" outlineLevel="0" collapsed="false">
      <c r="B245" s="64"/>
      <c r="C245" s="72" t="str">
        <f aca="false">IF(B245="","",IFERROR(INDEX(T_NOMBRE,MATCH(B245,T_ID,0)),"⚠ ID no existe en Trabajadores"))</f>
        <v/>
      </c>
      <c r="D245" s="64"/>
      <c r="E245" s="64"/>
      <c r="F245" s="65"/>
      <c r="G245" s="65"/>
      <c r="H245" s="67"/>
      <c r="I245" s="64"/>
      <c r="J245" s="65"/>
      <c r="K245" s="64"/>
      <c r="L245" s="64"/>
      <c r="M245" s="64"/>
      <c r="N245" s="72" t="str">
        <f aca="false">IF(B245="","",IF(D245="Anexo de modificación","No","Sí"))</f>
        <v/>
      </c>
      <c r="O245" s="73" t="str">
        <f aca="false">IF(AND(N245="Sí",ISNUMBER(F245)),COUNTIFS(C_ID,B245,C_DEFINE,"Sí",C_INICIO,"&lt;"&amp;F245)+COUNTIFS(B$7:B245,B245,N$7:N245,"Sí",F$7:F245,F245),"")</f>
        <v/>
      </c>
      <c r="P245" s="72" t="str">
        <f aca="false">IF(O245="","",B245&amp;"-P"&amp;O245)</f>
        <v/>
      </c>
      <c r="Q245" s="73" t="str">
        <f aca="false">IF(AND(N245="Sí",E245="Plazo fijo",ISNUMBER(F245)),COUNTIFS(C_ID,B245,C_TIPO,"Plazo fijo",C_DEFINE,"Sí",C_INICIO,"&lt;"&amp;F245)+COUNTIFS(B$7:B245,B245,E$7:E245,"Plazo fijo",N$7:N245,"Sí",F$7:F245,F245),"")</f>
        <v/>
      </c>
      <c r="R245" s="73" t="str">
        <f aca="false">IF(AND(B245&lt;&gt;"",ISNUMBER(H245),ISNUMBER(F245)),COUNTIFS(C_ID,B245,C_SUELDO,"&lt;&gt;",C_INICIO,"&lt;"&amp;F245)+COUNTIFS(B$7:B245,B245,H$7:H245,"&lt;&gt;",F$7:F245,F245),"")</f>
        <v/>
      </c>
      <c r="S245" s="72" t="str">
        <f aca="false">IF(R245="","",B245&amp;"-S"&amp;R245)</f>
        <v/>
      </c>
      <c r="T245" s="74" t="str">
        <f aca="false">IF(AND(ISNUMBER(F245),ISNUMBER(G245)),ROUND((G245-F245+1)/30.4375,1),"")</f>
        <v/>
      </c>
      <c r="U245" s="70" t="str">
        <f aca="false">IF(B245="","",IF(AND(N245="Sí",OR(E245="",NOT(ISNUMBER(F245)))),"⚠ Falta tipo de contrato o fecha de inicio",IF(NOT(ISNUMBER(F245)),"⚠ Falta fecha de inicio",IF(AND(N245="Sí",E245&lt;&gt;"Indefinido",NOT(ISNUMBER(G245))),"⚠ Falta fecha de término",IF(AND(D245="Paso a indefinido",E245&lt;&gt;"Indefinido"),"⚠ Un paso a indefinido debe tener tipo Indefinido",IF(N(Q245)&gt;=3,"⚠ 3er contrato a plazo fijo: por ley ya es INDEFINIDO (Art. 159 N°4)",IF(AND(E245="Plazo fijo",N(T245)&gt;12),"⚠ Plazo fijo mayor a 1 año (máx. legal; 2 años solo profesionales o técnicos)",IF(AND(ISNUMBER(G245),G245&lt;F245),"⚠ Término anterior al inicio",IF(AND(D245="Contrato inicial",ISNUMBER(J245),J245-F245&gt;15),"⚠ Escriturado fuera de plazo (Art. 9: 15 días)",IF(K245&lt;&gt;"Sí","Pendiente de firma","OK"))))))))))</f>
        <v/>
      </c>
    </row>
    <row r="246" customFormat="false" ht="15" hidden="false" customHeight="false" outlineLevel="0" collapsed="false">
      <c r="B246" s="64"/>
      <c r="C246" s="72" t="str">
        <f aca="false">IF(B246="","",IFERROR(INDEX(T_NOMBRE,MATCH(B246,T_ID,0)),"⚠ ID no existe en Trabajadores"))</f>
        <v/>
      </c>
      <c r="D246" s="64"/>
      <c r="E246" s="64"/>
      <c r="F246" s="65"/>
      <c r="G246" s="65"/>
      <c r="H246" s="67"/>
      <c r="I246" s="64"/>
      <c r="J246" s="65"/>
      <c r="K246" s="64"/>
      <c r="L246" s="64"/>
      <c r="M246" s="64"/>
      <c r="N246" s="72" t="str">
        <f aca="false">IF(B246="","",IF(D246="Anexo de modificación","No","Sí"))</f>
        <v/>
      </c>
      <c r="O246" s="73" t="str">
        <f aca="false">IF(AND(N246="Sí",ISNUMBER(F246)),COUNTIFS(C_ID,B246,C_DEFINE,"Sí",C_INICIO,"&lt;"&amp;F246)+COUNTIFS(B$7:B246,B246,N$7:N246,"Sí",F$7:F246,F246),"")</f>
        <v/>
      </c>
      <c r="P246" s="72" t="str">
        <f aca="false">IF(O246="","",B246&amp;"-P"&amp;O246)</f>
        <v/>
      </c>
      <c r="Q246" s="73" t="str">
        <f aca="false">IF(AND(N246="Sí",E246="Plazo fijo",ISNUMBER(F246)),COUNTIFS(C_ID,B246,C_TIPO,"Plazo fijo",C_DEFINE,"Sí",C_INICIO,"&lt;"&amp;F246)+COUNTIFS(B$7:B246,B246,E$7:E246,"Plazo fijo",N$7:N246,"Sí",F$7:F246,F246),"")</f>
        <v/>
      </c>
      <c r="R246" s="73" t="str">
        <f aca="false">IF(AND(B246&lt;&gt;"",ISNUMBER(H246),ISNUMBER(F246)),COUNTIFS(C_ID,B246,C_SUELDO,"&lt;&gt;",C_INICIO,"&lt;"&amp;F246)+COUNTIFS(B$7:B246,B246,H$7:H246,"&lt;&gt;",F$7:F246,F246),"")</f>
        <v/>
      </c>
      <c r="S246" s="72" t="str">
        <f aca="false">IF(R246="","",B246&amp;"-S"&amp;R246)</f>
        <v/>
      </c>
      <c r="T246" s="74" t="str">
        <f aca="false">IF(AND(ISNUMBER(F246),ISNUMBER(G246)),ROUND((G246-F246+1)/30.4375,1),"")</f>
        <v/>
      </c>
      <c r="U246" s="70" t="str">
        <f aca="false">IF(B246="","",IF(AND(N246="Sí",OR(E246="",NOT(ISNUMBER(F246)))),"⚠ Falta tipo de contrato o fecha de inicio",IF(NOT(ISNUMBER(F246)),"⚠ Falta fecha de inicio",IF(AND(N246="Sí",E246&lt;&gt;"Indefinido",NOT(ISNUMBER(G246))),"⚠ Falta fecha de término",IF(AND(D246="Paso a indefinido",E246&lt;&gt;"Indefinido"),"⚠ Un paso a indefinido debe tener tipo Indefinido",IF(N(Q246)&gt;=3,"⚠ 3er contrato a plazo fijo: por ley ya es INDEFINIDO (Art. 159 N°4)",IF(AND(E246="Plazo fijo",N(T246)&gt;12),"⚠ Plazo fijo mayor a 1 año (máx. legal; 2 años solo profesionales o técnicos)",IF(AND(ISNUMBER(G246),G246&lt;F246),"⚠ Término anterior al inicio",IF(AND(D246="Contrato inicial",ISNUMBER(J246),J246-F246&gt;15),"⚠ Escriturado fuera de plazo (Art. 9: 15 días)",IF(K246&lt;&gt;"Sí","Pendiente de firma","OK"))))))))))</f>
        <v/>
      </c>
    </row>
    <row r="247" customFormat="false" ht="15" hidden="false" customHeight="false" outlineLevel="0" collapsed="false">
      <c r="B247" s="64"/>
      <c r="C247" s="72" t="str">
        <f aca="false">IF(B247="","",IFERROR(INDEX(T_NOMBRE,MATCH(B247,T_ID,0)),"⚠ ID no existe en Trabajadores"))</f>
        <v/>
      </c>
      <c r="D247" s="64"/>
      <c r="E247" s="64"/>
      <c r="F247" s="65"/>
      <c r="G247" s="65"/>
      <c r="H247" s="67"/>
      <c r="I247" s="64"/>
      <c r="J247" s="65"/>
      <c r="K247" s="64"/>
      <c r="L247" s="64"/>
      <c r="M247" s="64"/>
      <c r="N247" s="72" t="str">
        <f aca="false">IF(B247="","",IF(D247="Anexo de modificación","No","Sí"))</f>
        <v/>
      </c>
      <c r="O247" s="73" t="str">
        <f aca="false">IF(AND(N247="Sí",ISNUMBER(F247)),COUNTIFS(C_ID,B247,C_DEFINE,"Sí",C_INICIO,"&lt;"&amp;F247)+COUNTIFS(B$7:B247,B247,N$7:N247,"Sí",F$7:F247,F247),"")</f>
        <v/>
      </c>
      <c r="P247" s="72" t="str">
        <f aca="false">IF(O247="","",B247&amp;"-P"&amp;O247)</f>
        <v/>
      </c>
      <c r="Q247" s="73" t="str">
        <f aca="false">IF(AND(N247="Sí",E247="Plazo fijo",ISNUMBER(F247)),COUNTIFS(C_ID,B247,C_TIPO,"Plazo fijo",C_DEFINE,"Sí",C_INICIO,"&lt;"&amp;F247)+COUNTIFS(B$7:B247,B247,E$7:E247,"Plazo fijo",N$7:N247,"Sí",F$7:F247,F247),"")</f>
        <v/>
      </c>
      <c r="R247" s="73" t="str">
        <f aca="false">IF(AND(B247&lt;&gt;"",ISNUMBER(H247),ISNUMBER(F247)),COUNTIFS(C_ID,B247,C_SUELDO,"&lt;&gt;",C_INICIO,"&lt;"&amp;F247)+COUNTIFS(B$7:B247,B247,H$7:H247,"&lt;&gt;",F$7:F247,F247),"")</f>
        <v/>
      </c>
      <c r="S247" s="72" t="str">
        <f aca="false">IF(R247="","",B247&amp;"-S"&amp;R247)</f>
        <v/>
      </c>
      <c r="T247" s="74" t="str">
        <f aca="false">IF(AND(ISNUMBER(F247),ISNUMBER(G247)),ROUND((G247-F247+1)/30.4375,1),"")</f>
        <v/>
      </c>
      <c r="U247" s="70" t="str">
        <f aca="false">IF(B247="","",IF(AND(N247="Sí",OR(E247="",NOT(ISNUMBER(F247)))),"⚠ Falta tipo de contrato o fecha de inicio",IF(NOT(ISNUMBER(F247)),"⚠ Falta fecha de inicio",IF(AND(N247="Sí",E247&lt;&gt;"Indefinido",NOT(ISNUMBER(G247))),"⚠ Falta fecha de término",IF(AND(D247="Paso a indefinido",E247&lt;&gt;"Indefinido"),"⚠ Un paso a indefinido debe tener tipo Indefinido",IF(N(Q247)&gt;=3,"⚠ 3er contrato a plazo fijo: por ley ya es INDEFINIDO (Art. 159 N°4)",IF(AND(E247="Plazo fijo",N(T247)&gt;12),"⚠ Plazo fijo mayor a 1 año (máx. legal; 2 años solo profesionales o técnicos)",IF(AND(ISNUMBER(G247),G247&lt;F247),"⚠ Término anterior al inicio",IF(AND(D247="Contrato inicial",ISNUMBER(J247),J247-F247&gt;15),"⚠ Escriturado fuera de plazo (Art. 9: 15 días)",IF(K247&lt;&gt;"Sí","Pendiente de firma","OK"))))))))))</f>
        <v/>
      </c>
    </row>
    <row r="248" customFormat="false" ht="15" hidden="false" customHeight="false" outlineLevel="0" collapsed="false">
      <c r="B248" s="64"/>
      <c r="C248" s="72" t="str">
        <f aca="false">IF(B248="","",IFERROR(INDEX(T_NOMBRE,MATCH(B248,T_ID,0)),"⚠ ID no existe en Trabajadores"))</f>
        <v/>
      </c>
      <c r="D248" s="64"/>
      <c r="E248" s="64"/>
      <c r="F248" s="65"/>
      <c r="G248" s="65"/>
      <c r="H248" s="67"/>
      <c r="I248" s="64"/>
      <c r="J248" s="65"/>
      <c r="K248" s="64"/>
      <c r="L248" s="64"/>
      <c r="M248" s="64"/>
      <c r="N248" s="72" t="str">
        <f aca="false">IF(B248="","",IF(D248="Anexo de modificación","No","Sí"))</f>
        <v/>
      </c>
      <c r="O248" s="73" t="str">
        <f aca="false">IF(AND(N248="Sí",ISNUMBER(F248)),COUNTIFS(C_ID,B248,C_DEFINE,"Sí",C_INICIO,"&lt;"&amp;F248)+COUNTIFS(B$7:B248,B248,N$7:N248,"Sí",F$7:F248,F248),"")</f>
        <v/>
      </c>
      <c r="P248" s="72" t="str">
        <f aca="false">IF(O248="","",B248&amp;"-P"&amp;O248)</f>
        <v/>
      </c>
      <c r="Q248" s="73" t="str">
        <f aca="false">IF(AND(N248="Sí",E248="Plazo fijo",ISNUMBER(F248)),COUNTIFS(C_ID,B248,C_TIPO,"Plazo fijo",C_DEFINE,"Sí",C_INICIO,"&lt;"&amp;F248)+COUNTIFS(B$7:B248,B248,E$7:E248,"Plazo fijo",N$7:N248,"Sí",F$7:F248,F248),"")</f>
        <v/>
      </c>
      <c r="R248" s="73" t="str">
        <f aca="false">IF(AND(B248&lt;&gt;"",ISNUMBER(H248),ISNUMBER(F248)),COUNTIFS(C_ID,B248,C_SUELDO,"&lt;&gt;",C_INICIO,"&lt;"&amp;F248)+COUNTIFS(B$7:B248,B248,H$7:H248,"&lt;&gt;",F$7:F248,F248),"")</f>
        <v/>
      </c>
      <c r="S248" s="72" t="str">
        <f aca="false">IF(R248="","",B248&amp;"-S"&amp;R248)</f>
        <v/>
      </c>
      <c r="T248" s="74" t="str">
        <f aca="false">IF(AND(ISNUMBER(F248),ISNUMBER(G248)),ROUND((G248-F248+1)/30.4375,1),"")</f>
        <v/>
      </c>
      <c r="U248" s="70" t="str">
        <f aca="false">IF(B248="","",IF(AND(N248="Sí",OR(E248="",NOT(ISNUMBER(F248)))),"⚠ Falta tipo de contrato o fecha de inicio",IF(NOT(ISNUMBER(F248)),"⚠ Falta fecha de inicio",IF(AND(N248="Sí",E248&lt;&gt;"Indefinido",NOT(ISNUMBER(G248))),"⚠ Falta fecha de término",IF(AND(D248="Paso a indefinido",E248&lt;&gt;"Indefinido"),"⚠ Un paso a indefinido debe tener tipo Indefinido",IF(N(Q248)&gt;=3,"⚠ 3er contrato a plazo fijo: por ley ya es INDEFINIDO (Art. 159 N°4)",IF(AND(E248="Plazo fijo",N(T248)&gt;12),"⚠ Plazo fijo mayor a 1 año (máx. legal; 2 años solo profesionales o técnicos)",IF(AND(ISNUMBER(G248),G248&lt;F248),"⚠ Término anterior al inicio",IF(AND(D248="Contrato inicial",ISNUMBER(J248),J248-F248&gt;15),"⚠ Escriturado fuera de plazo (Art. 9: 15 días)",IF(K248&lt;&gt;"Sí","Pendiente de firma","OK"))))))))))</f>
        <v/>
      </c>
    </row>
    <row r="249" customFormat="false" ht="15" hidden="false" customHeight="false" outlineLevel="0" collapsed="false">
      <c r="B249" s="64"/>
      <c r="C249" s="72" t="str">
        <f aca="false">IF(B249="","",IFERROR(INDEX(T_NOMBRE,MATCH(B249,T_ID,0)),"⚠ ID no existe en Trabajadores"))</f>
        <v/>
      </c>
      <c r="D249" s="64"/>
      <c r="E249" s="64"/>
      <c r="F249" s="65"/>
      <c r="G249" s="65"/>
      <c r="H249" s="67"/>
      <c r="I249" s="64"/>
      <c r="J249" s="65"/>
      <c r="K249" s="64"/>
      <c r="L249" s="64"/>
      <c r="M249" s="64"/>
      <c r="N249" s="72" t="str">
        <f aca="false">IF(B249="","",IF(D249="Anexo de modificación","No","Sí"))</f>
        <v/>
      </c>
      <c r="O249" s="73" t="str">
        <f aca="false">IF(AND(N249="Sí",ISNUMBER(F249)),COUNTIFS(C_ID,B249,C_DEFINE,"Sí",C_INICIO,"&lt;"&amp;F249)+COUNTIFS(B$7:B249,B249,N$7:N249,"Sí",F$7:F249,F249),"")</f>
        <v/>
      </c>
      <c r="P249" s="72" t="str">
        <f aca="false">IF(O249="","",B249&amp;"-P"&amp;O249)</f>
        <v/>
      </c>
      <c r="Q249" s="73" t="str">
        <f aca="false">IF(AND(N249="Sí",E249="Plazo fijo",ISNUMBER(F249)),COUNTIFS(C_ID,B249,C_TIPO,"Plazo fijo",C_DEFINE,"Sí",C_INICIO,"&lt;"&amp;F249)+COUNTIFS(B$7:B249,B249,E$7:E249,"Plazo fijo",N$7:N249,"Sí",F$7:F249,F249),"")</f>
        <v/>
      </c>
      <c r="R249" s="73" t="str">
        <f aca="false">IF(AND(B249&lt;&gt;"",ISNUMBER(H249),ISNUMBER(F249)),COUNTIFS(C_ID,B249,C_SUELDO,"&lt;&gt;",C_INICIO,"&lt;"&amp;F249)+COUNTIFS(B$7:B249,B249,H$7:H249,"&lt;&gt;",F$7:F249,F249),"")</f>
        <v/>
      </c>
      <c r="S249" s="72" t="str">
        <f aca="false">IF(R249="","",B249&amp;"-S"&amp;R249)</f>
        <v/>
      </c>
      <c r="T249" s="74" t="str">
        <f aca="false">IF(AND(ISNUMBER(F249),ISNUMBER(G249)),ROUND((G249-F249+1)/30.4375,1),"")</f>
        <v/>
      </c>
      <c r="U249" s="70" t="str">
        <f aca="false">IF(B249="","",IF(AND(N249="Sí",OR(E249="",NOT(ISNUMBER(F249)))),"⚠ Falta tipo de contrato o fecha de inicio",IF(NOT(ISNUMBER(F249)),"⚠ Falta fecha de inicio",IF(AND(N249="Sí",E249&lt;&gt;"Indefinido",NOT(ISNUMBER(G249))),"⚠ Falta fecha de término",IF(AND(D249="Paso a indefinido",E249&lt;&gt;"Indefinido"),"⚠ Un paso a indefinido debe tener tipo Indefinido",IF(N(Q249)&gt;=3,"⚠ 3er contrato a plazo fijo: por ley ya es INDEFINIDO (Art. 159 N°4)",IF(AND(E249="Plazo fijo",N(T249)&gt;12),"⚠ Plazo fijo mayor a 1 año (máx. legal; 2 años solo profesionales o técnicos)",IF(AND(ISNUMBER(G249),G249&lt;F249),"⚠ Término anterior al inicio",IF(AND(D249="Contrato inicial",ISNUMBER(J249),J249-F249&gt;15),"⚠ Escriturado fuera de plazo (Art. 9: 15 días)",IF(K249&lt;&gt;"Sí","Pendiente de firma","OK"))))))))))</f>
        <v/>
      </c>
    </row>
    <row r="250" customFormat="false" ht="15" hidden="false" customHeight="false" outlineLevel="0" collapsed="false">
      <c r="B250" s="64"/>
      <c r="C250" s="72" t="str">
        <f aca="false">IF(B250="","",IFERROR(INDEX(T_NOMBRE,MATCH(B250,T_ID,0)),"⚠ ID no existe en Trabajadores"))</f>
        <v/>
      </c>
      <c r="D250" s="64"/>
      <c r="E250" s="64"/>
      <c r="F250" s="65"/>
      <c r="G250" s="65"/>
      <c r="H250" s="67"/>
      <c r="I250" s="64"/>
      <c r="J250" s="65"/>
      <c r="K250" s="64"/>
      <c r="L250" s="64"/>
      <c r="M250" s="64"/>
      <c r="N250" s="72" t="str">
        <f aca="false">IF(B250="","",IF(D250="Anexo de modificación","No","Sí"))</f>
        <v/>
      </c>
      <c r="O250" s="73" t="str">
        <f aca="false">IF(AND(N250="Sí",ISNUMBER(F250)),COUNTIFS(C_ID,B250,C_DEFINE,"Sí",C_INICIO,"&lt;"&amp;F250)+COUNTIFS(B$7:B250,B250,N$7:N250,"Sí",F$7:F250,F250),"")</f>
        <v/>
      </c>
      <c r="P250" s="72" t="str">
        <f aca="false">IF(O250="","",B250&amp;"-P"&amp;O250)</f>
        <v/>
      </c>
      <c r="Q250" s="73" t="str">
        <f aca="false">IF(AND(N250="Sí",E250="Plazo fijo",ISNUMBER(F250)),COUNTIFS(C_ID,B250,C_TIPO,"Plazo fijo",C_DEFINE,"Sí",C_INICIO,"&lt;"&amp;F250)+COUNTIFS(B$7:B250,B250,E$7:E250,"Plazo fijo",N$7:N250,"Sí",F$7:F250,F250),"")</f>
        <v/>
      </c>
      <c r="R250" s="73" t="str">
        <f aca="false">IF(AND(B250&lt;&gt;"",ISNUMBER(H250),ISNUMBER(F250)),COUNTIFS(C_ID,B250,C_SUELDO,"&lt;&gt;",C_INICIO,"&lt;"&amp;F250)+COUNTIFS(B$7:B250,B250,H$7:H250,"&lt;&gt;",F$7:F250,F250),"")</f>
        <v/>
      </c>
      <c r="S250" s="72" t="str">
        <f aca="false">IF(R250="","",B250&amp;"-S"&amp;R250)</f>
        <v/>
      </c>
      <c r="T250" s="74" t="str">
        <f aca="false">IF(AND(ISNUMBER(F250),ISNUMBER(G250)),ROUND((G250-F250+1)/30.4375,1),"")</f>
        <v/>
      </c>
      <c r="U250" s="70" t="str">
        <f aca="false">IF(B250="","",IF(AND(N250="Sí",OR(E250="",NOT(ISNUMBER(F250)))),"⚠ Falta tipo de contrato o fecha de inicio",IF(NOT(ISNUMBER(F250)),"⚠ Falta fecha de inicio",IF(AND(N250="Sí",E250&lt;&gt;"Indefinido",NOT(ISNUMBER(G250))),"⚠ Falta fecha de término",IF(AND(D250="Paso a indefinido",E250&lt;&gt;"Indefinido"),"⚠ Un paso a indefinido debe tener tipo Indefinido",IF(N(Q250)&gt;=3,"⚠ 3er contrato a plazo fijo: por ley ya es INDEFINIDO (Art. 159 N°4)",IF(AND(E250="Plazo fijo",N(T250)&gt;12),"⚠ Plazo fijo mayor a 1 año (máx. legal; 2 años solo profesionales o técnicos)",IF(AND(ISNUMBER(G250),G250&lt;F250),"⚠ Término anterior al inicio",IF(AND(D250="Contrato inicial",ISNUMBER(J250),J250-F250&gt;15),"⚠ Escriturado fuera de plazo (Art. 9: 15 días)",IF(K250&lt;&gt;"Sí","Pendiente de firma","OK"))))))))))</f>
        <v/>
      </c>
    </row>
    <row r="251" customFormat="false" ht="15" hidden="false" customHeight="false" outlineLevel="0" collapsed="false">
      <c r="B251" s="64"/>
      <c r="C251" s="72" t="str">
        <f aca="false">IF(B251="","",IFERROR(INDEX(T_NOMBRE,MATCH(B251,T_ID,0)),"⚠ ID no existe en Trabajadores"))</f>
        <v/>
      </c>
      <c r="D251" s="64"/>
      <c r="E251" s="64"/>
      <c r="F251" s="65"/>
      <c r="G251" s="65"/>
      <c r="H251" s="67"/>
      <c r="I251" s="64"/>
      <c r="J251" s="65"/>
      <c r="K251" s="64"/>
      <c r="L251" s="64"/>
      <c r="M251" s="64"/>
      <c r="N251" s="72" t="str">
        <f aca="false">IF(B251="","",IF(D251="Anexo de modificación","No","Sí"))</f>
        <v/>
      </c>
      <c r="O251" s="73" t="str">
        <f aca="false">IF(AND(N251="Sí",ISNUMBER(F251)),COUNTIFS(C_ID,B251,C_DEFINE,"Sí",C_INICIO,"&lt;"&amp;F251)+COUNTIFS(B$7:B251,B251,N$7:N251,"Sí",F$7:F251,F251),"")</f>
        <v/>
      </c>
      <c r="P251" s="72" t="str">
        <f aca="false">IF(O251="","",B251&amp;"-P"&amp;O251)</f>
        <v/>
      </c>
      <c r="Q251" s="73" t="str">
        <f aca="false">IF(AND(N251="Sí",E251="Plazo fijo",ISNUMBER(F251)),COUNTIFS(C_ID,B251,C_TIPO,"Plazo fijo",C_DEFINE,"Sí",C_INICIO,"&lt;"&amp;F251)+COUNTIFS(B$7:B251,B251,E$7:E251,"Plazo fijo",N$7:N251,"Sí",F$7:F251,F251),"")</f>
        <v/>
      </c>
      <c r="R251" s="73" t="str">
        <f aca="false">IF(AND(B251&lt;&gt;"",ISNUMBER(H251),ISNUMBER(F251)),COUNTIFS(C_ID,B251,C_SUELDO,"&lt;&gt;",C_INICIO,"&lt;"&amp;F251)+COUNTIFS(B$7:B251,B251,H$7:H251,"&lt;&gt;",F$7:F251,F251),"")</f>
        <v/>
      </c>
      <c r="S251" s="72" t="str">
        <f aca="false">IF(R251="","",B251&amp;"-S"&amp;R251)</f>
        <v/>
      </c>
      <c r="T251" s="74" t="str">
        <f aca="false">IF(AND(ISNUMBER(F251),ISNUMBER(G251)),ROUND((G251-F251+1)/30.4375,1),"")</f>
        <v/>
      </c>
      <c r="U251" s="70" t="str">
        <f aca="false">IF(B251="","",IF(AND(N251="Sí",OR(E251="",NOT(ISNUMBER(F251)))),"⚠ Falta tipo de contrato o fecha de inicio",IF(NOT(ISNUMBER(F251)),"⚠ Falta fecha de inicio",IF(AND(N251="Sí",E251&lt;&gt;"Indefinido",NOT(ISNUMBER(G251))),"⚠ Falta fecha de término",IF(AND(D251="Paso a indefinido",E251&lt;&gt;"Indefinido"),"⚠ Un paso a indefinido debe tener tipo Indefinido",IF(N(Q251)&gt;=3,"⚠ 3er contrato a plazo fijo: por ley ya es INDEFINIDO (Art. 159 N°4)",IF(AND(E251="Plazo fijo",N(T251)&gt;12),"⚠ Plazo fijo mayor a 1 año (máx. legal; 2 años solo profesionales o técnicos)",IF(AND(ISNUMBER(G251),G251&lt;F251),"⚠ Término anterior al inicio",IF(AND(D251="Contrato inicial",ISNUMBER(J251),J251-F251&gt;15),"⚠ Escriturado fuera de plazo (Art. 9: 15 días)",IF(K251&lt;&gt;"Sí","Pendiente de firma","OK"))))))))))</f>
        <v/>
      </c>
    </row>
    <row r="252" customFormat="false" ht="15" hidden="false" customHeight="false" outlineLevel="0" collapsed="false">
      <c r="B252" s="64"/>
      <c r="C252" s="72" t="str">
        <f aca="false">IF(B252="","",IFERROR(INDEX(T_NOMBRE,MATCH(B252,T_ID,0)),"⚠ ID no existe en Trabajadores"))</f>
        <v/>
      </c>
      <c r="D252" s="64"/>
      <c r="E252" s="64"/>
      <c r="F252" s="65"/>
      <c r="G252" s="65"/>
      <c r="H252" s="67"/>
      <c r="I252" s="64"/>
      <c r="J252" s="65"/>
      <c r="K252" s="64"/>
      <c r="L252" s="64"/>
      <c r="M252" s="64"/>
      <c r="N252" s="72" t="str">
        <f aca="false">IF(B252="","",IF(D252="Anexo de modificación","No","Sí"))</f>
        <v/>
      </c>
      <c r="O252" s="73" t="str">
        <f aca="false">IF(AND(N252="Sí",ISNUMBER(F252)),COUNTIFS(C_ID,B252,C_DEFINE,"Sí",C_INICIO,"&lt;"&amp;F252)+COUNTIFS(B$7:B252,B252,N$7:N252,"Sí",F$7:F252,F252),"")</f>
        <v/>
      </c>
      <c r="P252" s="72" t="str">
        <f aca="false">IF(O252="","",B252&amp;"-P"&amp;O252)</f>
        <v/>
      </c>
      <c r="Q252" s="73" t="str">
        <f aca="false">IF(AND(N252="Sí",E252="Plazo fijo",ISNUMBER(F252)),COUNTIFS(C_ID,B252,C_TIPO,"Plazo fijo",C_DEFINE,"Sí",C_INICIO,"&lt;"&amp;F252)+COUNTIFS(B$7:B252,B252,E$7:E252,"Plazo fijo",N$7:N252,"Sí",F$7:F252,F252),"")</f>
        <v/>
      </c>
      <c r="R252" s="73" t="str">
        <f aca="false">IF(AND(B252&lt;&gt;"",ISNUMBER(H252),ISNUMBER(F252)),COUNTIFS(C_ID,B252,C_SUELDO,"&lt;&gt;",C_INICIO,"&lt;"&amp;F252)+COUNTIFS(B$7:B252,B252,H$7:H252,"&lt;&gt;",F$7:F252,F252),"")</f>
        <v/>
      </c>
      <c r="S252" s="72" t="str">
        <f aca="false">IF(R252="","",B252&amp;"-S"&amp;R252)</f>
        <v/>
      </c>
      <c r="T252" s="74" t="str">
        <f aca="false">IF(AND(ISNUMBER(F252),ISNUMBER(G252)),ROUND((G252-F252+1)/30.4375,1),"")</f>
        <v/>
      </c>
      <c r="U252" s="70" t="str">
        <f aca="false">IF(B252="","",IF(AND(N252="Sí",OR(E252="",NOT(ISNUMBER(F252)))),"⚠ Falta tipo de contrato o fecha de inicio",IF(NOT(ISNUMBER(F252)),"⚠ Falta fecha de inicio",IF(AND(N252="Sí",E252&lt;&gt;"Indefinido",NOT(ISNUMBER(G252))),"⚠ Falta fecha de término",IF(AND(D252="Paso a indefinido",E252&lt;&gt;"Indefinido"),"⚠ Un paso a indefinido debe tener tipo Indefinido",IF(N(Q252)&gt;=3,"⚠ 3er contrato a plazo fijo: por ley ya es INDEFINIDO (Art. 159 N°4)",IF(AND(E252="Plazo fijo",N(T252)&gt;12),"⚠ Plazo fijo mayor a 1 año (máx. legal; 2 años solo profesionales o técnicos)",IF(AND(ISNUMBER(G252),G252&lt;F252),"⚠ Término anterior al inicio",IF(AND(D252="Contrato inicial",ISNUMBER(J252),J252-F252&gt;15),"⚠ Escriturado fuera de plazo (Art. 9: 15 días)",IF(K252&lt;&gt;"Sí","Pendiente de firma","OK"))))))))))</f>
        <v/>
      </c>
    </row>
    <row r="253" customFormat="false" ht="15" hidden="false" customHeight="false" outlineLevel="0" collapsed="false">
      <c r="B253" s="64"/>
      <c r="C253" s="72" t="str">
        <f aca="false">IF(B253="","",IFERROR(INDEX(T_NOMBRE,MATCH(B253,T_ID,0)),"⚠ ID no existe en Trabajadores"))</f>
        <v/>
      </c>
      <c r="D253" s="64"/>
      <c r="E253" s="64"/>
      <c r="F253" s="65"/>
      <c r="G253" s="65"/>
      <c r="H253" s="67"/>
      <c r="I253" s="64"/>
      <c r="J253" s="65"/>
      <c r="K253" s="64"/>
      <c r="L253" s="64"/>
      <c r="M253" s="64"/>
      <c r="N253" s="72" t="str">
        <f aca="false">IF(B253="","",IF(D253="Anexo de modificación","No","Sí"))</f>
        <v/>
      </c>
      <c r="O253" s="73" t="str">
        <f aca="false">IF(AND(N253="Sí",ISNUMBER(F253)),COUNTIFS(C_ID,B253,C_DEFINE,"Sí",C_INICIO,"&lt;"&amp;F253)+COUNTIFS(B$7:B253,B253,N$7:N253,"Sí",F$7:F253,F253),"")</f>
        <v/>
      </c>
      <c r="P253" s="72" t="str">
        <f aca="false">IF(O253="","",B253&amp;"-P"&amp;O253)</f>
        <v/>
      </c>
      <c r="Q253" s="73" t="str">
        <f aca="false">IF(AND(N253="Sí",E253="Plazo fijo",ISNUMBER(F253)),COUNTIFS(C_ID,B253,C_TIPO,"Plazo fijo",C_DEFINE,"Sí",C_INICIO,"&lt;"&amp;F253)+COUNTIFS(B$7:B253,B253,E$7:E253,"Plazo fijo",N$7:N253,"Sí",F$7:F253,F253),"")</f>
        <v/>
      </c>
      <c r="R253" s="73" t="str">
        <f aca="false">IF(AND(B253&lt;&gt;"",ISNUMBER(H253),ISNUMBER(F253)),COUNTIFS(C_ID,B253,C_SUELDO,"&lt;&gt;",C_INICIO,"&lt;"&amp;F253)+COUNTIFS(B$7:B253,B253,H$7:H253,"&lt;&gt;",F$7:F253,F253),"")</f>
        <v/>
      </c>
      <c r="S253" s="72" t="str">
        <f aca="false">IF(R253="","",B253&amp;"-S"&amp;R253)</f>
        <v/>
      </c>
      <c r="T253" s="74" t="str">
        <f aca="false">IF(AND(ISNUMBER(F253),ISNUMBER(G253)),ROUND((G253-F253+1)/30.4375,1),"")</f>
        <v/>
      </c>
      <c r="U253" s="70" t="str">
        <f aca="false">IF(B253="","",IF(AND(N253="Sí",OR(E253="",NOT(ISNUMBER(F253)))),"⚠ Falta tipo de contrato o fecha de inicio",IF(NOT(ISNUMBER(F253)),"⚠ Falta fecha de inicio",IF(AND(N253="Sí",E253&lt;&gt;"Indefinido",NOT(ISNUMBER(G253))),"⚠ Falta fecha de término",IF(AND(D253="Paso a indefinido",E253&lt;&gt;"Indefinido"),"⚠ Un paso a indefinido debe tener tipo Indefinido",IF(N(Q253)&gt;=3,"⚠ 3er contrato a plazo fijo: por ley ya es INDEFINIDO (Art. 159 N°4)",IF(AND(E253="Plazo fijo",N(T253)&gt;12),"⚠ Plazo fijo mayor a 1 año (máx. legal; 2 años solo profesionales o técnicos)",IF(AND(ISNUMBER(G253),G253&lt;F253),"⚠ Término anterior al inicio",IF(AND(D253="Contrato inicial",ISNUMBER(J253),J253-F253&gt;15),"⚠ Escriturado fuera de plazo (Art. 9: 15 días)",IF(K253&lt;&gt;"Sí","Pendiente de firma","OK"))))))))))</f>
        <v/>
      </c>
    </row>
    <row r="254" customFormat="false" ht="15" hidden="false" customHeight="false" outlineLevel="0" collapsed="false">
      <c r="B254" s="64"/>
      <c r="C254" s="72" t="str">
        <f aca="false">IF(B254="","",IFERROR(INDEX(T_NOMBRE,MATCH(B254,T_ID,0)),"⚠ ID no existe en Trabajadores"))</f>
        <v/>
      </c>
      <c r="D254" s="64"/>
      <c r="E254" s="64"/>
      <c r="F254" s="65"/>
      <c r="G254" s="65"/>
      <c r="H254" s="67"/>
      <c r="I254" s="64"/>
      <c r="J254" s="65"/>
      <c r="K254" s="64"/>
      <c r="L254" s="64"/>
      <c r="M254" s="64"/>
      <c r="N254" s="72" t="str">
        <f aca="false">IF(B254="","",IF(D254="Anexo de modificación","No","Sí"))</f>
        <v/>
      </c>
      <c r="O254" s="73" t="str">
        <f aca="false">IF(AND(N254="Sí",ISNUMBER(F254)),COUNTIFS(C_ID,B254,C_DEFINE,"Sí",C_INICIO,"&lt;"&amp;F254)+COUNTIFS(B$7:B254,B254,N$7:N254,"Sí",F$7:F254,F254),"")</f>
        <v/>
      </c>
      <c r="P254" s="72" t="str">
        <f aca="false">IF(O254="","",B254&amp;"-P"&amp;O254)</f>
        <v/>
      </c>
      <c r="Q254" s="73" t="str">
        <f aca="false">IF(AND(N254="Sí",E254="Plazo fijo",ISNUMBER(F254)),COUNTIFS(C_ID,B254,C_TIPO,"Plazo fijo",C_DEFINE,"Sí",C_INICIO,"&lt;"&amp;F254)+COUNTIFS(B$7:B254,B254,E$7:E254,"Plazo fijo",N$7:N254,"Sí",F$7:F254,F254),"")</f>
        <v/>
      </c>
      <c r="R254" s="73" t="str">
        <f aca="false">IF(AND(B254&lt;&gt;"",ISNUMBER(H254),ISNUMBER(F254)),COUNTIFS(C_ID,B254,C_SUELDO,"&lt;&gt;",C_INICIO,"&lt;"&amp;F254)+COUNTIFS(B$7:B254,B254,H$7:H254,"&lt;&gt;",F$7:F254,F254),"")</f>
        <v/>
      </c>
      <c r="S254" s="72" t="str">
        <f aca="false">IF(R254="","",B254&amp;"-S"&amp;R254)</f>
        <v/>
      </c>
      <c r="T254" s="74" t="str">
        <f aca="false">IF(AND(ISNUMBER(F254),ISNUMBER(G254)),ROUND((G254-F254+1)/30.4375,1),"")</f>
        <v/>
      </c>
      <c r="U254" s="70" t="str">
        <f aca="false">IF(B254="","",IF(AND(N254="Sí",OR(E254="",NOT(ISNUMBER(F254)))),"⚠ Falta tipo de contrato o fecha de inicio",IF(NOT(ISNUMBER(F254)),"⚠ Falta fecha de inicio",IF(AND(N254="Sí",E254&lt;&gt;"Indefinido",NOT(ISNUMBER(G254))),"⚠ Falta fecha de término",IF(AND(D254="Paso a indefinido",E254&lt;&gt;"Indefinido"),"⚠ Un paso a indefinido debe tener tipo Indefinido",IF(N(Q254)&gt;=3,"⚠ 3er contrato a plazo fijo: por ley ya es INDEFINIDO (Art. 159 N°4)",IF(AND(E254="Plazo fijo",N(T254)&gt;12),"⚠ Plazo fijo mayor a 1 año (máx. legal; 2 años solo profesionales o técnicos)",IF(AND(ISNUMBER(G254),G254&lt;F254),"⚠ Término anterior al inicio",IF(AND(D254="Contrato inicial",ISNUMBER(J254),J254-F254&gt;15),"⚠ Escriturado fuera de plazo (Art. 9: 15 días)",IF(K254&lt;&gt;"Sí","Pendiente de firma","OK"))))))))))</f>
        <v/>
      </c>
    </row>
    <row r="255" customFormat="false" ht="15" hidden="false" customHeight="false" outlineLevel="0" collapsed="false">
      <c r="B255" s="64"/>
      <c r="C255" s="72" t="str">
        <f aca="false">IF(B255="","",IFERROR(INDEX(T_NOMBRE,MATCH(B255,T_ID,0)),"⚠ ID no existe en Trabajadores"))</f>
        <v/>
      </c>
      <c r="D255" s="64"/>
      <c r="E255" s="64"/>
      <c r="F255" s="65"/>
      <c r="G255" s="65"/>
      <c r="H255" s="67"/>
      <c r="I255" s="64"/>
      <c r="J255" s="65"/>
      <c r="K255" s="64"/>
      <c r="L255" s="64"/>
      <c r="M255" s="64"/>
      <c r="N255" s="72" t="str">
        <f aca="false">IF(B255="","",IF(D255="Anexo de modificación","No","Sí"))</f>
        <v/>
      </c>
      <c r="O255" s="73" t="str">
        <f aca="false">IF(AND(N255="Sí",ISNUMBER(F255)),COUNTIFS(C_ID,B255,C_DEFINE,"Sí",C_INICIO,"&lt;"&amp;F255)+COUNTIFS(B$7:B255,B255,N$7:N255,"Sí",F$7:F255,F255),"")</f>
        <v/>
      </c>
      <c r="P255" s="72" t="str">
        <f aca="false">IF(O255="","",B255&amp;"-P"&amp;O255)</f>
        <v/>
      </c>
      <c r="Q255" s="73" t="str">
        <f aca="false">IF(AND(N255="Sí",E255="Plazo fijo",ISNUMBER(F255)),COUNTIFS(C_ID,B255,C_TIPO,"Plazo fijo",C_DEFINE,"Sí",C_INICIO,"&lt;"&amp;F255)+COUNTIFS(B$7:B255,B255,E$7:E255,"Plazo fijo",N$7:N255,"Sí",F$7:F255,F255),"")</f>
        <v/>
      </c>
      <c r="R255" s="73" t="str">
        <f aca="false">IF(AND(B255&lt;&gt;"",ISNUMBER(H255),ISNUMBER(F255)),COUNTIFS(C_ID,B255,C_SUELDO,"&lt;&gt;",C_INICIO,"&lt;"&amp;F255)+COUNTIFS(B$7:B255,B255,H$7:H255,"&lt;&gt;",F$7:F255,F255),"")</f>
        <v/>
      </c>
      <c r="S255" s="72" t="str">
        <f aca="false">IF(R255="","",B255&amp;"-S"&amp;R255)</f>
        <v/>
      </c>
      <c r="T255" s="74" t="str">
        <f aca="false">IF(AND(ISNUMBER(F255),ISNUMBER(G255)),ROUND((G255-F255+1)/30.4375,1),"")</f>
        <v/>
      </c>
      <c r="U255" s="70" t="str">
        <f aca="false">IF(B255="","",IF(AND(N255="Sí",OR(E255="",NOT(ISNUMBER(F255)))),"⚠ Falta tipo de contrato o fecha de inicio",IF(NOT(ISNUMBER(F255)),"⚠ Falta fecha de inicio",IF(AND(N255="Sí",E255&lt;&gt;"Indefinido",NOT(ISNUMBER(G255))),"⚠ Falta fecha de término",IF(AND(D255="Paso a indefinido",E255&lt;&gt;"Indefinido"),"⚠ Un paso a indefinido debe tener tipo Indefinido",IF(N(Q255)&gt;=3,"⚠ 3er contrato a plazo fijo: por ley ya es INDEFINIDO (Art. 159 N°4)",IF(AND(E255="Plazo fijo",N(T255)&gt;12),"⚠ Plazo fijo mayor a 1 año (máx. legal; 2 años solo profesionales o técnicos)",IF(AND(ISNUMBER(G255),G255&lt;F255),"⚠ Término anterior al inicio",IF(AND(D255="Contrato inicial",ISNUMBER(J255),J255-F255&gt;15),"⚠ Escriturado fuera de plazo (Art. 9: 15 días)",IF(K255&lt;&gt;"Sí","Pendiente de firma","OK"))))))))))</f>
        <v/>
      </c>
    </row>
    <row r="256" customFormat="false" ht="15" hidden="false" customHeight="false" outlineLevel="0" collapsed="false">
      <c r="B256" s="64"/>
      <c r="C256" s="72" t="str">
        <f aca="false">IF(B256="","",IFERROR(INDEX(T_NOMBRE,MATCH(B256,T_ID,0)),"⚠ ID no existe en Trabajadores"))</f>
        <v/>
      </c>
      <c r="D256" s="64"/>
      <c r="E256" s="64"/>
      <c r="F256" s="65"/>
      <c r="G256" s="65"/>
      <c r="H256" s="67"/>
      <c r="I256" s="64"/>
      <c r="J256" s="65"/>
      <c r="K256" s="64"/>
      <c r="L256" s="64"/>
      <c r="M256" s="64"/>
      <c r="N256" s="72" t="str">
        <f aca="false">IF(B256="","",IF(D256="Anexo de modificación","No","Sí"))</f>
        <v/>
      </c>
      <c r="O256" s="73" t="str">
        <f aca="false">IF(AND(N256="Sí",ISNUMBER(F256)),COUNTIFS(C_ID,B256,C_DEFINE,"Sí",C_INICIO,"&lt;"&amp;F256)+COUNTIFS(B$7:B256,B256,N$7:N256,"Sí",F$7:F256,F256),"")</f>
        <v/>
      </c>
      <c r="P256" s="72" t="str">
        <f aca="false">IF(O256="","",B256&amp;"-P"&amp;O256)</f>
        <v/>
      </c>
      <c r="Q256" s="73" t="str">
        <f aca="false">IF(AND(N256="Sí",E256="Plazo fijo",ISNUMBER(F256)),COUNTIFS(C_ID,B256,C_TIPO,"Plazo fijo",C_DEFINE,"Sí",C_INICIO,"&lt;"&amp;F256)+COUNTIFS(B$7:B256,B256,E$7:E256,"Plazo fijo",N$7:N256,"Sí",F$7:F256,F256),"")</f>
        <v/>
      </c>
      <c r="R256" s="73" t="str">
        <f aca="false">IF(AND(B256&lt;&gt;"",ISNUMBER(H256),ISNUMBER(F256)),COUNTIFS(C_ID,B256,C_SUELDO,"&lt;&gt;",C_INICIO,"&lt;"&amp;F256)+COUNTIFS(B$7:B256,B256,H$7:H256,"&lt;&gt;",F$7:F256,F256),"")</f>
        <v/>
      </c>
      <c r="S256" s="72" t="str">
        <f aca="false">IF(R256="","",B256&amp;"-S"&amp;R256)</f>
        <v/>
      </c>
      <c r="T256" s="74" t="str">
        <f aca="false">IF(AND(ISNUMBER(F256),ISNUMBER(G256)),ROUND((G256-F256+1)/30.4375,1),"")</f>
        <v/>
      </c>
      <c r="U256" s="70" t="str">
        <f aca="false">IF(B256="","",IF(AND(N256="Sí",OR(E256="",NOT(ISNUMBER(F256)))),"⚠ Falta tipo de contrato o fecha de inicio",IF(NOT(ISNUMBER(F256)),"⚠ Falta fecha de inicio",IF(AND(N256="Sí",E256&lt;&gt;"Indefinido",NOT(ISNUMBER(G256))),"⚠ Falta fecha de término",IF(AND(D256="Paso a indefinido",E256&lt;&gt;"Indefinido"),"⚠ Un paso a indefinido debe tener tipo Indefinido",IF(N(Q256)&gt;=3,"⚠ 3er contrato a plazo fijo: por ley ya es INDEFINIDO (Art. 159 N°4)",IF(AND(E256="Plazo fijo",N(T256)&gt;12),"⚠ Plazo fijo mayor a 1 año (máx. legal; 2 años solo profesionales o técnicos)",IF(AND(ISNUMBER(G256),G256&lt;F256),"⚠ Término anterior al inicio",IF(AND(D256="Contrato inicial",ISNUMBER(J256),J256-F256&gt;15),"⚠ Escriturado fuera de plazo (Art. 9: 15 días)",IF(K256&lt;&gt;"Sí","Pendiente de firma","OK"))))))))))</f>
        <v/>
      </c>
    </row>
    <row r="257" customFormat="false" ht="15" hidden="false" customHeight="false" outlineLevel="0" collapsed="false">
      <c r="B257" s="64"/>
      <c r="C257" s="72" t="str">
        <f aca="false">IF(B257="","",IFERROR(INDEX(T_NOMBRE,MATCH(B257,T_ID,0)),"⚠ ID no existe en Trabajadores"))</f>
        <v/>
      </c>
      <c r="D257" s="64"/>
      <c r="E257" s="64"/>
      <c r="F257" s="65"/>
      <c r="G257" s="65"/>
      <c r="H257" s="67"/>
      <c r="I257" s="64"/>
      <c r="J257" s="65"/>
      <c r="K257" s="64"/>
      <c r="L257" s="64"/>
      <c r="M257" s="64"/>
      <c r="N257" s="72" t="str">
        <f aca="false">IF(B257="","",IF(D257="Anexo de modificación","No","Sí"))</f>
        <v/>
      </c>
      <c r="O257" s="73" t="str">
        <f aca="false">IF(AND(N257="Sí",ISNUMBER(F257)),COUNTIFS(C_ID,B257,C_DEFINE,"Sí",C_INICIO,"&lt;"&amp;F257)+COUNTIFS(B$7:B257,B257,N$7:N257,"Sí",F$7:F257,F257),"")</f>
        <v/>
      </c>
      <c r="P257" s="72" t="str">
        <f aca="false">IF(O257="","",B257&amp;"-P"&amp;O257)</f>
        <v/>
      </c>
      <c r="Q257" s="73" t="str">
        <f aca="false">IF(AND(N257="Sí",E257="Plazo fijo",ISNUMBER(F257)),COUNTIFS(C_ID,B257,C_TIPO,"Plazo fijo",C_DEFINE,"Sí",C_INICIO,"&lt;"&amp;F257)+COUNTIFS(B$7:B257,B257,E$7:E257,"Plazo fijo",N$7:N257,"Sí",F$7:F257,F257),"")</f>
        <v/>
      </c>
      <c r="R257" s="73" t="str">
        <f aca="false">IF(AND(B257&lt;&gt;"",ISNUMBER(H257),ISNUMBER(F257)),COUNTIFS(C_ID,B257,C_SUELDO,"&lt;&gt;",C_INICIO,"&lt;"&amp;F257)+COUNTIFS(B$7:B257,B257,H$7:H257,"&lt;&gt;",F$7:F257,F257),"")</f>
        <v/>
      </c>
      <c r="S257" s="72" t="str">
        <f aca="false">IF(R257="","",B257&amp;"-S"&amp;R257)</f>
        <v/>
      </c>
      <c r="T257" s="74" t="str">
        <f aca="false">IF(AND(ISNUMBER(F257),ISNUMBER(G257)),ROUND((G257-F257+1)/30.4375,1),"")</f>
        <v/>
      </c>
      <c r="U257" s="70" t="str">
        <f aca="false">IF(B257="","",IF(AND(N257="Sí",OR(E257="",NOT(ISNUMBER(F257)))),"⚠ Falta tipo de contrato o fecha de inicio",IF(NOT(ISNUMBER(F257)),"⚠ Falta fecha de inicio",IF(AND(N257="Sí",E257&lt;&gt;"Indefinido",NOT(ISNUMBER(G257))),"⚠ Falta fecha de término",IF(AND(D257="Paso a indefinido",E257&lt;&gt;"Indefinido"),"⚠ Un paso a indefinido debe tener tipo Indefinido",IF(N(Q257)&gt;=3,"⚠ 3er contrato a plazo fijo: por ley ya es INDEFINIDO (Art. 159 N°4)",IF(AND(E257="Plazo fijo",N(T257)&gt;12),"⚠ Plazo fijo mayor a 1 año (máx. legal; 2 años solo profesionales o técnicos)",IF(AND(ISNUMBER(G257),G257&lt;F257),"⚠ Término anterior al inicio",IF(AND(D257="Contrato inicial",ISNUMBER(J257),J257-F257&gt;15),"⚠ Escriturado fuera de plazo (Art. 9: 15 días)",IF(K257&lt;&gt;"Sí","Pendiente de firma","OK"))))))))))</f>
        <v/>
      </c>
    </row>
    <row r="258" customFormat="false" ht="15" hidden="false" customHeight="false" outlineLevel="0" collapsed="false">
      <c r="B258" s="64"/>
      <c r="C258" s="72" t="str">
        <f aca="false">IF(B258="","",IFERROR(INDEX(T_NOMBRE,MATCH(B258,T_ID,0)),"⚠ ID no existe en Trabajadores"))</f>
        <v/>
      </c>
      <c r="D258" s="64"/>
      <c r="E258" s="64"/>
      <c r="F258" s="65"/>
      <c r="G258" s="65"/>
      <c r="H258" s="67"/>
      <c r="I258" s="64"/>
      <c r="J258" s="65"/>
      <c r="K258" s="64"/>
      <c r="L258" s="64"/>
      <c r="M258" s="64"/>
      <c r="N258" s="72" t="str">
        <f aca="false">IF(B258="","",IF(D258="Anexo de modificación","No","Sí"))</f>
        <v/>
      </c>
      <c r="O258" s="73" t="str">
        <f aca="false">IF(AND(N258="Sí",ISNUMBER(F258)),COUNTIFS(C_ID,B258,C_DEFINE,"Sí",C_INICIO,"&lt;"&amp;F258)+COUNTIFS(B$7:B258,B258,N$7:N258,"Sí",F$7:F258,F258),"")</f>
        <v/>
      </c>
      <c r="P258" s="72" t="str">
        <f aca="false">IF(O258="","",B258&amp;"-P"&amp;O258)</f>
        <v/>
      </c>
      <c r="Q258" s="73" t="str">
        <f aca="false">IF(AND(N258="Sí",E258="Plazo fijo",ISNUMBER(F258)),COUNTIFS(C_ID,B258,C_TIPO,"Plazo fijo",C_DEFINE,"Sí",C_INICIO,"&lt;"&amp;F258)+COUNTIFS(B$7:B258,B258,E$7:E258,"Plazo fijo",N$7:N258,"Sí",F$7:F258,F258),"")</f>
        <v/>
      </c>
      <c r="R258" s="73" t="str">
        <f aca="false">IF(AND(B258&lt;&gt;"",ISNUMBER(H258),ISNUMBER(F258)),COUNTIFS(C_ID,B258,C_SUELDO,"&lt;&gt;",C_INICIO,"&lt;"&amp;F258)+COUNTIFS(B$7:B258,B258,H$7:H258,"&lt;&gt;",F$7:F258,F258),"")</f>
        <v/>
      </c>
      <c r="S258" s="72" t="str">
        <f aca="false">IF(R258="","",B258&amp;"-S"&amp;R258)</f>
        <v/>
      </c>
      <c r="T258" s="74" t="str">
        <f aca="false">IF(AND(ISNUMBER(F258),ISNUMBER(G258)),ROUND((G258-F258+1)/30.4375,1),"")</f>
        <v/>
      </c>
      <c r="U258" s="70" t="str">
        <f aca="false">IF(B258="","",IF(AND(N258="Sí",OR(E258="",NOT(ISNUMBER(F258)))),"⚠ Falta tipo de contrato o fecha de inicio",IF(NOT(ISNUMBER(F258)),"⚠ Falta fecha de inicio",IF(AND(N258="Sí",E258&lt;&gt;"Indefinido",NOT(ISNUMBER(G258))),"⚠ Falta fecha de término",IF(AND(D258="Paso a indefinido",E258&lt;&gt;"Indefinido"),"⚠ Un paso a indefinido debe tener tipo Indefinido",IF(N(Q258)&gt;=3,"⚠ 3er contrato a plazo fijo: por ley ya es INDEFINIDO (Art. 159 N°4)",IF(AND(E258="Plazo fijo",N(T258)&gt;12),"⚠ Plazo fijo mayor a 1 año (máx. legal; 2 años solo profesionales o técnicos)",IF(AND(ISNUMBER(G258),G258&lt;F258),"⚠ Término anterior al inicio",IF(AND(D258="Contrato inicial",ISNUMBER(J258),J258-F258&gt;15),"⚠ Escriturado fuera de plazo (Art. 9: 15 días)",IF(K258&lt;&gt;"Sí","Pendiente de firma","OK"))))))))))</f>
        <v/>
      </c>
    </row>
    <row r="259" customFormat="false" ht="15" hidden="false" customHeight="false" outlineLevel="0" collapsed="false">
      <c r="B259" s="64"/>
      <c r="C259" s="72" t="str">
        <f aca="false">IF(B259="","",IFERROR(INDEX(T_NOMBRE,MATCH(B259,T_ID,0)),"⚠ ID no existe en Trabajadores"))</f>
        <v/>
      </c>
      <c r="D259" s="64"/>
      <c r="E259" s="64"/>
      <c r="F259" s="65"/>
      <c r="G259" s="65"/>
      <c r="H259" s="67"/>
      <c r="I259" s="64"/>
      <c r="J259" s="65"/>
      <c r="K259" s="64"/>
      <c r="L259" s="64"/>
      <c r="M259" s="64"/>
      <c r="N259" s="72" t="str">
        <f aca="false">IF(B259="","",IF(D259="Anexo de modificación","No","Sí"))</f>
        <v/>
      </c>
      <c r="O259" s="73" t="str">
        <f aca="false">IF(AND(N259="Sí",ISNUMBER(F259)),COUNTIFS(C_ID,B259,C_DEFINE,"Sí",C_INICIO,"&lt;"&amp;F259)+COUNTIFS(B$7:B259,B259,N$7:N259,"Sí",F$7:F259,F259),"")</f>
        <v/>
      </c>
      <c r="P259" s="72" t="str">
        <f aca="false">IF(O259="","",B259&amp;"-P"&amp;O259)</f>
        <v/>
      </c>
      <c r="Q259" s="73" t="str">
        <f aca="false">IF(AND(N259="Sí",E259="Plazo fijo",ISNUMBER(F259)),COUNTIFS(C_ID,B259,C_TIPO,"Plazo fijo",C_DEFINE,"Sí",C_INICIO,"&lt;"&amp;F259)+COUNTIFS(B$7:B259,B259,E$7:E259,"Plazo fijo",N$7:N259,"Sí",F$7:F259,F259),"")</f>
        <v/>
      </c>
      <c r="R259" s="73" t="str">
        <f aca="false">IF(AND(B259&lt;&gt;"",ISNUMBER(H259),ISNUMBER(F259)),COUNTIFS(C_ID,B259,C_SUELDO,"&lt;&gt;",C_INICIO,"&lt;"&amp;F259)+COUNTIFS(B$7:B259,B259,H$7:H259,"&lt;&gt;",F$7:F259,F259),"")</f>
        <v/>
      </c>
      <c r="S259" s="72" t="str">
        <f aca="false">IF(R259="","",B259&amp;"-S"&amp;R259)</f>
        <v/>
      </c>
      <c r="T259" s="74" t="str">
        <f aca="false">IF(AND(ISNUMBER(F259),ISNUMBER(G259)),ROUND((G259-F259+1)/30.4375,1),"")</f>
        <v/>
      </c>
      <c r="U259" s="70" t="str">
        <f aca="false">IF(B259="","",IF(AND(N259="Sí",OR(E259="",NOT(ISNUMBER(F259)))),"⚠ Falta tipo de contrato o fecha de inicio",IF(NOT(ISNUMBER(F259)),"⚠ Falta fecha de inicio",IF(AND(N259="Sí",E259&lt;&gt;"Indefinido",NOT(ISNUMBER(G259))),"⚠ Falta fecha de término",IF(AND(D259="Paso a indefinido",E259&lt;&gt;"Indefinido"),"⚠ Un paso a indefinido debe tener tipo Indefinido",IF(N(Q259)&gt;=3,"⚠ 3er contrato a plazo fijo: por ley ya es INDEFINIDO (Art. 159 N°4)",IF(AND(E259="Plazo fijo",N(T259)&gt;12),"⚠ Plazo fijo mayor a 1 año (máx. legal; 2 años solo profesionales o técnicos)",IF(AND(ISNUMBER(G259),G259&lt;F259),"⚠ Término anterior al inicio",IF(AND(D259="Contrato inicial",ISNUMBER(J259),J259-F259&gt;15),"⚠ Escriturado fuera de plazo (Art. 9: 15 días)",IF(K259&lt;&gt;"Sí","Pendiente de firma","OK"))))))))))</f>
        <v/>
      </c>
    </row>
    <row r="260" customFormat="false" ht="15" hidden="false" customHeight="false" outlineLevel="0" collapsed="false">
      <c r="B260" s="64"/>
      <c r="C260" s="72" t="str">
        <f aca="false">IF(B260="","",IFERROR(INDEX(T_NOMBRE,MATCH(B260,T_ID,0)),"⚠ ID no existe en Trabajadores"))</f>
        <v/>
      </c>
      <c r="D260" s="64"/>
      <c r="E260" s="64"/>
      <c r="F260" s="65"/>
      <c r="G260" s="65"/>
      <c r="H260" s="67"/>
      <c r="I260" s="64"/>
      <c r="J260" s="65"/>
      <c r="K260" s="64"/>
      <c r="L260" s="64"/>
      <c r="M260" s="64"/>
      <c r="N260" s="72" t="str">
        <f aca="false">IF(B260="","",IF(D260="Anexo de modificación","No","Sí"))</f>
        <v/>
      </c>
      <c r="O260" s="73" t="str">
        <f aca="false">IF(AND(N260="Sí",ISNUMBER(F260)),COUNTIFS(C_ID,B260,C_DEFINE,"Sí",C_INICIO,"&lt;"&amp;F260)+COUNTIFS(B$7:B260,B260,N$7:N260,"Sí",F$7:F260,F260),"")</f>
        <v/>
      </c>
      <c r="P260" s="72" t="str">
        <f aca="false">IF(O260="","",B260&amp;"-P"&amp;O260)</f>
        <v/>
      </c>
      <c r="Q260" s="73" t="str">
        <f aca="false">IF(AND(N260="Sí",E260="Plazo fijo",ISNUMBER(F260)),COUNTIFS(C_ID,B260,C_TIPO,"Plazo fijo",C_DEFINE,"Sí",C_INICIO,"&lt;"&amp;F260)+COUNTIFS(B$7:B260,B260,E$7:E260,"Plazo fijo",N$7:N260,"Sí",F$7:F260,F260),"")</f>
        <v/>
      </c>
      <c r="R260" s="73" t="str">
        <f aca="false">IF(AND(B260&lt;&gt;"",ISNUMBER(H260),ISNUMBER(F260)),COUNTIFS(C_ID,B260,C_SUELDO,"&lt;&gt;",C_INICIO,"&lt;"&amp;F260)+COUNTIFS(B$7:B260,B260,H$7:H260,"&lt;&gt;",F$7:F260,F260),"")</f>
        <v/>
      </c>
      <c r="S260" s="72" t="str">
        <f aca="false">IF(R260="","",B260&amp;"-S"&amp;R260)</f>
        <v/>
      </c>
      <c r="T260" s="74" t="str">
        <f aca="false">IF(AND(ISNUMBER(F260),ISNUMBER(G260)),ROUND((G260-F260+1)/30.4375,1),"")</f>
        <v/>
      </c>
      <c r="U260" s="70" t="str">
        <f aca="false">IF(B260="","",IF(AND(N260="Sí",OR(E260="",NOT(ISNUMBER(F260)))),"⚠ Falta tipo de contrato o fecha de inicio",IF(NOT(ISNUMBER(F260)),"⚠ Falta fecha de inicio",IF(AND(N260="Sí",E260&lt;&gt;"Indefinido",NOT(ISNUMBER(G260))),"⚠ Falta fecha de término",IF(AND(D260="Paso a indefinido",E260&lt;&gt;"Indefinido"),"⚠ Un paso a indefinido debe tener tipo Indefinido",IF(N(Q260)&gt;=3,"⚠ 3er contrato a plazo fijo: por ley ya es INDEFINIDO (Art. 159 N°4)",IF(AND(E260="Plazo fijo",N(T260)&gt;12),"⚠ Plazo fijo mayor a 1 año (máx. legal; 2 años solo profesionales o técnicos)",IF(AND(ISNUMBER(G260),G260&lt;F260),"⚠ Término anterior al inicio",IF(AND(D260="Contrato inicial",ISNUMBER(J260),J260-F260&gt;15),"⚠ Escriturado fuera de plazo (Art. 9: 15 días)",IF(K260&lt;&gt;"Sí","Pendiente de firma","OK"))))))))))</f>
        <v/>
      </c>
    </row>
    <row r="261" customFormat="false" ht="15" hidden="false" customHeight="false" outlineLevel="0" collapsed="false">
      <c r="B261" s="64"/>
      <c r="C261" s="72" t="str">
        <f aca="false">IF(B261="","",IFERROR(INDEX(T_NOMBRE,MATCH(B261,T_ID,0)),"⚠ ID no existe en Trabajadores"))</f>
        <v/>
      </c>
      <c r="D261" s="64"/>
      <c r="E261" s="64"/>
      <c r="F261" s="65"/>
      <c r="G261" s="65"/>
      <c r="H261" s="67"/>
      <c r="I261" s="64"/>
      <c r="J261" s="65"/>
      <c r="K261" s="64"/>
      <c r="L261" s="64"/>
      <c r="M261" s="64"/>
      <c r="N261" s="72" t="str">
        <f aca="false">IF(B261="","",IF(D261="Anexo de modificación","No","Sí"))</f>
        <v/>
      </c>
      <c r="O261" s="73" t="str">
        <f aca="false">IF(AND(N261="Sí",ISNUMBER(F261)),COUNTIFS(C_ID,B261,C_DEFINE,"Sí",C_INICIO,"&lt;"&amp;F261)+COUNTIFS(B$7:B261,B261,N$7:N261,"Sí",F$7:F261,F261),"")</f>
        <v/>
      </c>
      <c r="P261" s="72" t="str">
        <f aca="false">IF(O261="","",B261&amp;"-P"&amp;O261)</f>
        <v/>
      </c>
      <c r="Q261" s="73" t="str">
        <f aca="false">IF(AND(N261="Sí",E261="Plazo fijo",ISNUMBER(F261)),COUNTIFS(C_ID,B261,C_TIPO,"Plazo fijo",C_DEFINE,"Sí",C_INICIO,"&lt;"&amp;F261)+COUNTIFS(B$7:B261,B261,E$7:E261,"Plazo fijo",N$7:N261,"Sí",F$7:F261,F261),"")</f>
        <v/>
      </c>
      <c r="R261" s="73" t="str">
        <f aca="false">IF(AND(B261&lt;&gt;"",ISNUMBER(H261),ISNUMBER(F261)),COUNTIFS(C_ID,B261,C_SUELDO,"&lt;&gt;",C_INICIO,"&lt;"&amp;F261)+COUNTIFS(B$7:B261,B261,H$7:H261,"&lt;&gt;",F$7:F261,F261),"")</f>
        <v/>
      </c>
      <c r="S261" s="72" t="str">
        <f aca="false">IF(R261="","",B261&amp;"-S"&amp;R261)</f>
        <v/>
      </c>
      <c r="T261" s="74" t="str">
        <f aca="false">IF(AND(ISNUMBER(F261),ISNUMBER(G261)),ROUND((G261-F261+1)/30.4375,1),"")</f>
        <v/>
      </c>
      <c r="U261" s="70" t="str">
        <f aca="false">IF(B261="","",IF(AND(N261="Sí",OR(E261="",NOT(ISNUMBER(F261)))),"⚠ Falta tipo de contrato o fecha de inicio",IF(NOT(ISNUMBER(F261)),"⚠ Falta fecha de inicio",IF(AND(N261="Sí",E261&lt;&gt;"Indefinido",NOT(ISNUMBER(G261))),"⚠ Falta fecha de término",IF(AND(D261="Paso a indefinido",E261&lt;&gt;"Indefinido"),"⚠ Un paso a indefinido debe tener tipo Indefinido",IF(N(Q261)&gt;=3,"⚠ 3er contrato a plazo fijo: por ley ya es INDEFINIDO (Art. 159 N°4)",IF(AND(E261="Plazo fijo",N(T261)&gt;12),"⚠ Plazo fijo mayor a 1 año (máx. legal; 2 años solo profesionales o técnicos)",IF(AND(ISNUMBER(G261),G261&lt;F261),"⚠ Término anterior al inicio",IF(AND(D261="Contrato inicial",ISNUMBER(J261),J261-F261&gt;15),"⚠ Escriturado fuera de plazo (Art. 9: 15 días)",IF(K261&lt;&gt;"Sí","Pendiente de firma","OK"))))))))))</f>
        <v/>
      </c>
    </row>
    <row r="262" customFormat="false" ht="15" hidden="false" customHeight="false" outlineLevel="0" collapsed="false">
      <c r="B262" s="64"/>
      <c r="C262" s="72" t="str">
        <f aca="false">IF(B262="","",IFERROR(INDEX(T_NOMBRE,MATCH(B262,T_ID,0)),"⚠ ID no existe en Trabajadores"))</f>
        <v/>
      </c>
      <c r="D262" s="64"/>
      <c r="E262" s="64"/>
      <c r="F262" s="65"/>
      <c r="G262" s="65"/>
      <c r="H262" s="67"/>
      <c r="I262" s="64"/>
      <c r="J262" s="65"/>
      <c r="K262" s="64"/>
      <c r="L262" s="64"/>
      <c r="M262" s="64"/>
      <c r="N262" s="72" t="str">
        <f aca="false">IF(B262="","",IF(D262="Anexo de modificación","No","Sí"))</f>
        <v/>
      </c>
      <c r="O262" s="73" t="str">
        <f aca="false">IF(AND(N262="Sí",ISNUMBER(F262)),COUNTIFS(C_ID,B262,C_DEFINE,"Sí",C_INICIO,"&lt;"&amp;F262)+COUNTIFS(B$7:B262,B262,N$7:N262,"Sí",F$7:F262,F262),"")</f>
        <v/>
      </c>
      <c r="P262" s="72" t="str">
        <f aca="false">IF(O262="","",B262&amp;"-P"&amp;O262)</f>
        <v/>
      </c>
      <c r="Q262" s="73" t="str">
        <f aca="false">IF(AND(N262="Sí",E262="Plazo fijo",ISNUMBER(F262)),COUNTIFS(C_ID,B262,C_TIPO,"Plazo fijo",C_DEFINE,"Sí",C_INICIO,"&lt;"&amp;F262)+COUNTIFS(B$7:B262,B262,E$7:E262,"Plazo fijo",N$7:N262,"Sí",F$7:F262,F262),"")</f>
        <v/>
      </c>
      <c r="R262" s="73" t="str">
        <f aca="false">IF(AND(B262&lt;&gt;"",ISNUMBER(H262),ISNUMBER(F262)),COUNTIFS(C_ID,B262,C_SUELDO,"&lt;&gt;",C_INICIO,"&lt;"&amp;F262)+COUNTIFS(B$7:B262,B262,H$7:H262,"&lt;&gt;",F$7:F262,F262),"")</f>
        <v/>
      </c>
      <c r="S262" s="72" t="str">
        <f aca="false">IF(R262="","",B262&amp;"-S"&amp;R262)</f>
        <v/>
      </c>
      <c r="T262" s="74" t="str">
        <f aca="false">IF(AND(ISNUMBER(F262),ISNUMBER(G262)),ROUND((G262-F262+1)/30.4375,1),"")</f>
        <v/>
      </c>
      <c r="U262" s="70" t="str">
        <f aca="false">IF(B262="","",IF(AND(N262="Sí",OR(E262="",NOT(ISNUMBER(F262)))),"⚠ Falta tipo de contrato o fecha de inicio",IF(NOT(ISNUMBER(F262)),"⚠ Falta fecha de inicio",IF(AND(N262="Sí",E262&lt;&gt;"Indefinido",NOT(ISNUMBER(G262))),"⚠ Falta fecha de término",IF(AND(D262="Paso a indefinido",E262&lt;&gt;"Indefinido"),"⚠ Un paso a indefinido debe tener tipo Indefinido",IF(N(Q262)&gt;=3,"⚠ 3er contrato a plazo fijo: por ley ya es INDEFINIDO (Art. 159 N°4)",IF(AND(E262="Plazo fijo",N(T262)&gt;12),"⚠ Plazo fijo mayor a 1 año (máx. legal; 2 años solo profesionales o técnicos)",IF(AND(ISNUMBER(G262),G262&lt;F262),"⚠ Término anterior al inicio",IF(AND(D262="Contrato inicial",ISNUMBER(J262),J262-F262&gt;15),"⚠ Escriturado fuera de plazo (Art. 9: 15 días)",IF(K262&lt;&gt;"Sí","Pendiente de firma","OK"))))))))))</f>
        <v/>
      </c>
    </row>
    <row r="263" customFormat="false" ht="15" hidden="false" customHeight="false" outlineLevel="0" collapsed="false">
      <c r="B263" s="64"/>
      <c r="C263" s="72" t="str">
        <f aca="false">IF(B263="","",IFERROR(INDEX(T_NOMBRE,MATCH(B263,T_ID,0)),"⚠ ID no existe en Trabajadores"))</f>
        <v/>
      </c>
      <c r="D263" s="64"/>
      <c r="E263" s="64"/>
      <c r="F263" s="65"/>
      <c r="G263" s="65"/>
      <c r="H263" s="67"/>
      <c r="I263" s="64"/>
      <c r="J263" s="65"/>
      <c r="K263" s="64"/>
      <c r="L263" s="64"/>
      <c r="M263" s="64"/>
      <c r="N263" s="72" t="str">
        <f aca="false">IF(B263="","",IF(D263="Anexo de modificación","No","Sí"))</f>
        <v/>
      </c>
      <c r="O263" s="73" t="str">
        <f aca="false">IF(AND(N263="Sí",ISNUMBER(F263)),COUNTIFS(C_ID,B263,C_DEFINE,"Sí",C_INICIO,"&lt;"&amp;F263)+COUNTIFS(B$7:B263,B263,N$7:N263,"Sí",F$7:F263,F263),"")</f>
        <v/>
      </c>
      <c r="P263" s="72" t="str">
        <f aca="false">IF(O263="","",B263&amp;"-P"&amp;O263)</f>
        <v/>
      </c>
      <c r="Q263" s="73" t="str">
        <f aca="false">IF(AND(N263="Sí",E263="Plazo fijo",ISNUMBER(F263)),COUNTIFS(C_ID,B263,C_TIPO,"Plazo fijo",C_DEFINE,"Sí",C_INICIO,"&lt;"&amp;F263)+COUNTIFS(B$7:B263,B263,E$7:E263,"Plazo fijo",N$7:N263,"Sí",F$7:F263,F263),"")</f>
        <v/>
      </c>
      <c r="R263" s="73" t="str">
        <f aca="false">IF(AND(B263&lt;&gt;"",ISNUMBER(H263),ISNUMBER(F263)),COUNTIFS(C_ID,B263,C_SUELDO,"&lt;&gt;",C_INICIO,"&lt;"&amp;F263)+COUNTIFS(B$7:B263,B263,H$7:H263,"&lt;&gt;",F$7:F263,F263),"")</f>
        <v/>
      </c>
      <c r="S263" s="72" t="str">
        <f aca="false">IF(R263="","",B263&amp;"-S"&amp;R263)</f>
        <v/>
      </c>
      <c r="T263" s="74" t="str">
        <f aca="false">IF(AND(ISNUMBER(F263),ISNUMBER(G263)),ROUND((G263-F263+1)/30.4375,1),"")</f>
        <v/>
      </c>
      <c r="U263" s="70" t="str">
        <f aca="false">IF(B263="","",IF(AND(N263="Sí",OR(E263="",NOT(ISNUMBER(F263)))),"⚠ Falta tipo de contrato o fecha de inicio",IF(NOT(ISNUMBER(F263)),"⚠ Falta fecha de inicio",IF(AND(N263="Sí",E263&lt;&gt;"Indefinido",NOT(ISNUMBER(G263))),"⚠ Falta fecha de término",IF(AND(D263="Paso a indefinido",E263&lt;&gt;"Indefinido"),"⚠ Un paso a indefinido debe tener tipo Indefinido",IF(N(Q263)&gt;=3,"⚠ 3er contrato a plazo fijo: por ley ya es INDEFINIDO (Art. 159 N°4)",IF(AND(E263="Plazo fijo",N(T263)&gt;12),"⚠ Plazo fijo mayor a 1 año (máx. legal; 2 años solo profesionales o técnicos)",IF(AND(ISNUMBER(G263),G263&lt;F263),"⚠ Término anterior al inicio",IF(AND(D263="Contrato inicial",ISNUMBER(J263),J263-F263&gt;15),"⚠ Escriturado fuera de plazo (Art. 9: 15 días)",IF(K263&lt;&gt;"Sí","Pendiente de firma","OK"))))))))))</f>
        <v/>
      </c>
    </row>
    <row r="264" customFormat="false" ht="15" hidden="false" customHeight="false" outlineLevel="0" collapsed="false">
      <c r="B264" s="64"/>
      <c r="C264" s="72" t="str">
        <f aca="false">IF(B264="","",IFERROR(INDEX(T_NOMBRE,MATCH(B264,T_ID,0)),"⚠ ID no existe en Trabajadores"))</f>
        <v/>
      </c>
      <c r="D264" s="64"/>
      <c r="E264" s="64"/>
      <c r="F264" s="65"/>
      <c r="G264" s="65"/>
      <c r="H264" s="67"/>
      <c r="I264" s="64"/>
      <c r="J264" s="65"/>
      <c r="K264" s="64"/>
      <c r="L264" s="64"/>
      <c r="M264" s="64"/>
      <c r="N264" s="72" t="str">
        <f aca="false">IF(B264="","",IF(D264="Anexo de modificación","No","Sí"))</f>
        <v/>
      </c>
      <c r="O264" s="73" t="str">
        <f aca="false">IF(AND(N264="Sí",ISNUMBER(F264)),COUNTIFS(C_ID,B264,C_DEFINE,"Sí",C_INICIO,"&lt;"&amp;F264)+COUNTIFS(B$7:B264,B264,N$7:N264,"Sí",F$7:F264,F264),"")</f>
        <v/>
      </c>
      <c r="P264" s="72" t="str">
        <f aca="false">IF(O264="","",B264&amp;"-P"&amp;O264)</f>
        <v/>
      </c>
      <c r="Q264" s="73" t="str">
        <f aca="false">IF(AND(N264="Sí",E264="Plazo fijo",ISNUMBER(F264)),COUNTIFS(C_ID,B264,C_TIPO,"Plazo fijo",C_DEFINE,"Sí",C_INICIO,"&lt;"&amp;F264)+COUNTIFS(B$7:B264,B264,E$7:E264,"Plazo fijo",N$7:N264,"Sí",F$7:F264,F264),"")</f>
        <v/>
      </c>
      <c r="R264" s="73" t="str">
        <f aca="false">IF(AND(B264&lt;&gt;"",ISNUMBER(H264),ISNUMBER(F264)),COUNTIFS(C_ID,B264,C_SUELDO,"&lt;&gt;",C_INICIO,"&lt;"&amp;F264)+COUNTIFS(B$7:B264,B264,H$7:H264,"&lt;&gt;",F$7:F264,F264),"")</f>
        <v/>
      </c>
      <c r="S264" s="72" t="str">
        <f aca="false">IF(R264="","",B264&amp;"-S"&amp;R264)</f>
        <v/>
      </c>
      <c r="T264" s="74" t="str">
        <f aca="false">IF(AND(ISNUMBER(F264),ISNUMBER(G264)),ROUND((G264-F264+1)/30.4375,1),"")</f>
        <v/>
      </c>
      <c r="U264" s="70" t="str">
        <f aca="false">IF(B264="","",IF(AND(N264="Sí",OR(E264="",NOT(ISNUMBER(F264)))),"⚠ Falta tipo de contrato o fecha de inicio",IF(NOT(ISNUMBER(F264)),"⚠ Falta fecha de inicio",IF(AND(N264="Sí",E264&lt;&gt;"Indefinido",NOT(ISNUMBER(G264))),"⚠ Falta fecha de término",IF(AND(D264="Paso a indefinido",E264&lt;&gt;"Indefinido"),"⚠ Un paso a indefinido debe tener tipo Indefinido",IF(N(Q264)&gt;=3,"⚠ 3er contrato a plazo fijo: por ley ya es INDEFINIDO (Art. 159 N°4)",IF(AND(E264="Plazo fijo",N(T264)&gt;12),"⚠ Plazo fijo mayor a 1 año (máx. legal; 2 años solo profesionales o técnicos)",IF(AND(ISNUMBER(G264),G264&lt;F264),"⚠ Término anterior al inicio",IF(AND(D264="Contrato inicial",ISNUMBER(J264),J264-F264&gt;15),"⚠ Escriturado fuera de plazo (Art. 9: 15 días)",IF(K264&lt;&gt;"Sí","Pendiente de firma","OK"))))))))))</f>
        <v/>
      </c>
    </row>
    <row r="265" customFormat="false" ht="15" hidden="false" customHeight="false" outlineLevel="0" collapsed="false">
      <c r="B265" s="64"/>
      <c r="C265" s="72" t="str">
        <f aca="false">IF(B265="","",IFERROR(INDEX(T_NOMBRE,MATCH(B265,T_ID,0)),"⚠ ID no existe en Trabajadores"))</f>
        <v/>
      </c>
      <c r="D265" s="64"/>
      <c r="E265" s="64"/>
      <c r="F265" s="65"/>
      <c r="G265" s="65"/>
      <c r="H265" s="67"/>
      <c r="I265" s="64"/>
      <c r="J265" s="65"/>
      <c r="K265" s="64"/>
      <c r="L265" s="64"/>
      <c r="M265" s="64"/>
      <c r="N265" s="72" t="str">
        <f aca="false">IF(B265="","",IF(D265="Anexo de modificación","No","Sí"))</f>
        <v/>
      </c>
      <c r="O265" s="73" t="str">
        <f aca="false">IF(AND(N265="Sí",ISNUMBER(F265)),COUNTIFS(C_ID,B265,C_DEFINE,"Sí",C_INICIO,"&lt;"&amp;F265)+COUNTIFS(B$7:B265,B265,N$7:N265,"Sí",F$7:F265,F265),"")</f>
        <v/>
      </c>
      <c r="P265" s="72" t="str">
        <f aca="false">IF(O265="","",B265&amp;"-P"&amp;O265)</f>
        <v/>
      </c>
      <c r="Q265" s="73" t="str">
        <f aca="false">IF(AND(N265="Sí",E265="Plazo fijo",ISNUMBER(F265)),COUNTIFS(C_ID,B265,C_TIPO,"Plazo fijo",C_DEFINE,"Sí",C_INICIO,"&lt;"&amp;F265)+COUNTIFS(B$7:B265,B265,E$7:E265,"Plazo fijo",N$7:N265,"Sí",F$7:F265,F265),"")</f>
        <v/>
      </c>
      <c r="R265" s="73" t="str">
        <f aca="false">IF(AND(B265&lt;&gt;"",ISNUMBER(H265),ISNUMBER(F265)),COUNTIFS(C_ID,B265,C_SUELDO,"&lt;&gt;",C_INICIO,"&lt;"&amp;F265)+COUNTIFS(B$7:B265,B265,H$7:H265,"&lt;&gt;",F$7:F265,F265),"")</f>
        <v/>
      </c>
      <c r="S265" s="72" t="str">
        <f aca="false">IF(R265="","",B265&amp;"-S"&amp;R265)</f>
        <v/>
      </c>
      <c r="T265" s="74" t="str">
        <f aca="false">IF(AND(ISNUMBER(F265),ISNUMBER(G265)),ROUND((G265-F265+1)/30.4375,1),"")</f>
        <v/>
      </c>
      <c r="U265" s="70" t="str">
        <f aca="false">IF(B265="","",IF(AND(N265="Sí",OR(E265="",NOT(ISNUMBER(F265)))),"⚠ Falta tipo de contrato o fecha de inicio",IF(NOT(ISNUMBER(F265)),"⚠ Falta fecha de inicio",IF(AND(N265="Sí",E265&lt;&gt;"Indefinido",NOT(ISNUMBER(G265))),"⚠ Falta fecha de término",IF(AND(D265="Paso a indefinido",E265&lt;&gt;"Indefinido"),"⚠ Un paso a indefinido debe tener tipo Indefinido",IF(N(Q265)&gt;=3,"⚠ 3er contrato a plazo fijo: por ley ya es INDEFINIDO (Art. 159 N°4)",IF(AND(E265="Plazo fijo",N(T265)&gt;12),"⚠ Plazo fijo mayor a 1 año (máx. legal; 2 años solo profesionales o técnicos)",IF(AND(ISNUMBER(G265),G265&lt;F265),"⚠ Término anterior al inicio",IF(AND(D265="Contrato inicial",ISNUMBER(J265),J265-F265&gt;15),"⚠ Escriturado fuera de plazo (Art. 9: 15 días)",IF(K265&lt;&gt;"Sí","Pendiente de firma","OK"))))))))))</f>
        <v/>
      </c>
    </row>
    <row r="266" customFormat="false" ht="15" hidden="false" customHeight="false" outlineLevel="0" collapsed="false">
      <c r="B266" s="64"/>
      <c r="C266" s="72" t="str">
        <f aca="false">IF(B266="","",IFERROR(INDEX(T_NOMBRE,MATCH(B266,T_ID,0)),"⚠ ID no existe en Trabajadores"))</f>
        <v/>
      </c>
      <c r="D266" s="64"/>
      <c r="E266" s="64"/>
      <c r="F266" s="65"/>
      <c r="G266" s="65"/>
      <c r="H266" s="67"/>
      <c r="I266" s="64"/>
      <c r="J266" s="65"/>
      <c r="K266" s="64"/>
      <c r="L266" s="64"/>
      <c r="M266" s="64"/>
      <c r="N266" s="72" t="str">
        <f aca="false">IF(B266="","",IF(D266="Anexo de modificación","No","Sí"))</f>
        <v/>
      </c>
      <c r="O266" s="73" t="str">
        <f aca="false">IF(AND(N266="Sí",ISNUMBER(F266)),COUNTIFS(C_ID,B266,C_DEFINE,"Sí",C_INICIO,"&lt;"&amp;F266)+COUNTIFS(B$7:B266,B266,N$7:N266,"Sí",F$7:F266,F266),"")</f>
        <v/>
      </c>
      <c r="P266" s="72" t="str">
        <f aca="false">IF(O266="","",B266&amp;"-P"&amp;O266)</f>
        <v/>
      </c>
      <c r="Q266" s="73" t="str">
        <f aca="false">IF(AND(N266="Sí",E266="Plazo fijo",ISNUMBER(F266)),COUNTIFS(C_ID,B266,C_TIPO,"Plazo fijo",C_DEFINE,"Sí",C_INICIO,"&lt;"&amp;F266)+COUNTIFS(B$7:B266,B266,E$7:E266,"Plazo fijo",N$7:N266,"Sí",F$7:F266,F266),"")</f>
        <v/>
      </c>
      <c r="R266" s="73" t="str">
        <f aca="false">IF(AND(B266&lt;&gt;"",ISNUMBER(H266),ISNUMBER(F266)),COUNTIFS(C_ID,B266,C_SUELDO,"&lt;&gt;",C_INICIO,"&lt;"&amp;F266)+COUNTIFS(B$7:B266,B266,H$7:H266,"&lt;&gt;",F$7:F266,F266),"")</f>
        <v/>
      </c>
      <c r="S266" s="72" t="str">
        <f aca="false">IF(R266="","",B266&amp;"-S"&amp;R266)</f>
        <v/>
      </c>
      <c r="T266" s="74" t="str">
        <f aca="false">IF(AND(ISNUMBER(F266),ISNUMBER(G266)),ROUND((G266-F266+1)/30.4375,1),"")</f>
        <v/>
      </c>
      <c r="U266" s="70" t="str">
        <f aca="false">IF(B266="","",IF(AND(N266="Sí",OR(E266="",NOT(ISNUMBER(F266)))),"⚠ Falta tipo de contrato o fecha de inicio",IF(NOT(ISNUMBER(F266)),"⚠ Falta fecha de inicio",IF(AND(N266="Sí",E266&lt;&gt;"Indefinido",NOT(ISNUMBER(G266))),"⚠ Falta fecha de término",IF(AND(D266="Paso a indefinido",E266&lt;&gt;"Indefinido"),"⚠ Un paso a indefinido debe tener tipo Indefinido",IF(N(Q266)&gt;=3,"⚠ 3er contrato a plazo fijo: por ley ya es INDEFINIDO (Art. 159 N°4)",IF(AND(E266="Plazo fijo",N(T266)&gt;12),"⚠ Plazo fijo mayor a 1 año (máx. legal; 2 años solo profesionales o técnicos)",IF(AND(ISNUMBER(G266),G266&lt;F266),"⚠ Término anterior al inicio",IF(AND(D266="Contrato inicial",ISNUMBER(J266),J266-F266&gt;15),"⚠ Escriturado fuera de plazo (Art. 9: 15 días)",IF(K266&lt;&gt;"Sí","Pendiente de firma","OK"))))))))))</f>
        <v/>
      </c>
    </row>
    <row r="267" customFormat="false" ht="15" hidden="false" customHeight="false" outlineLevel="0" collapsed="false">
      <c r="B267" s="64"/>
      <c r="C267" s="72" t="str">
        <f aca="false">IF(B267="","",IFERROR(INDEX(T_NOMBRE,MATCH(B267,T_ID,0)),"⚠ ID no existe en Trabajadores"))</f>
        <v/>
      </c>
      <c r="D267" s="64"/>
      <c r="E267" s="64"/>
      <c r="F267" s="65"/>
      <c r="G267" s="65"/>
      <c r="H267" s="67"/>
      <c r="I267" s="64"/>
      <c r="J267" s="65"/>
      <c r="K267" s="64"/>
      <c r="L267" s="64"/>
      <c r="M267" s="64"/>
      <c r="N267" s="72" t="str">
        <f aca="false">IF(B267="","",IF(D267="Anexo de modificación","No","Sí"))</f>
        <v/>
      </c>
      <c r="O267" s="73" t="str">
        <f aca="false">IF(AND(N267="Sí",ISNUMBER(F267)),COUNTIFS(C_ID,B267,C_DEFINE,"Sí",C_INICIO,"&lt;"&amp;F267)+COUNTIFS(B$7:B267,B267,N$7:N267,"Sí",F$7:F267,F267),"")</f>
        <v/>
      </c>
      <c r="P267" s="72" t="str">
        <f aca="false">IF(O267="","",B267&amp;"-P"&amp;O267)</f>
        <v/>
      </c>
      <c r="Q267" s="73" t="str">
        <f aca="false">IF(AND(N267="Sí",E267="Plazo fijo",ISNUMBER(F267)),COUNTIFS(C_ID,B267,C_TIPO,"Plazo fijo",C_DEFINE,"Sí",C_INICIO,"&lt;"&amp;F267)+COUNTIFS(B$7:B267,B267,E$7:E267,"Plazo fijo",N$7:N267,"Sí",F$7:F267,F267),"")</f>
        <v/>
      </c>
      <c r="R267" s="73" t="str">
        <f aca="false">IF(AND(B267&lt;&gt;"",ISNUMBER(H267),ISNUMBER(F267)),COUNTIFS(C_ID,B267,C_SUELDO,"&lt;&gt;",C_INICIO,"&lt;"&amp;F267)+COUNTIFS(B$7:B267,B267,H$7:H267,"&lt;&gt;",F$7:F267,F267),"")</f>
        <v/>
      </c>
      <c r="S267" s="72" t="str">
        <f aca="false">IF(R267="","",B267&amp;"-S"&amp;R267)</f>
        <v/>
      </c>
      <c r="T267" s="74" t="str">
        <f aca="false">IF(AND(ISNUMBER(F267),ISNUMBER(G267)),ROUND((G267-F267+1)/30.4375,1),"")</f>
        <v/>
      </c>
      <c r="U267" s="70" t="str">
        <f aca="false">IF(B267="","",IF(AND(N267="Sí",OR(E267="",NOT(ISNUMBER(F267)))),"⚠ Falta tipo de contrato o fecha de inicio",IF(NOT(ISNUMBER(F267)),"⚠ Falta fecha de inicio",IF(AND(N267="Sí",E267&lt;&gt;"Indefinido",NOT(ISNUMBER(G267))),"⚠ Falta fecha de término",IF(AND(D267="Paso a indefinido",E267&lt;&gt;"Indefinido"),"⚠ Un paso a indefinido debe tener tipo Indefinido",IF(N(Q267)&gt;=3,"⚠ 3er contrato a plazo fijo: por ley ya es INDEFINIDO (Art. 159 N°4)",IF(AND(E267="Plazo fijo",N(T267)&gt;12),"⚠ Plazo fijo mayor a 1 año (máx. legal; 2 años solo profesionales o técnicos)",IF(AND(ISNUMBER(G267),G267&lt;F267),"⚠ Término anterior al inicio",IF(AND(D267="Contrato inicial",ISNUMBER(J267),J267-F267&gt;15),"⚠ Escriturado fuera de plazo (Art. 9: 15 días)",IF(K267&lt;&gt;"Sí","Pendiente de firma","OK"))))))))))</f>
        <v/>
      </c>
    </row>
    <row r="268" customFormat="false" ht="15" hidden="false" customHeight="false" outlineLevel="0" collapsed="false">
      <c r="B268" s="64"/>
      <c r="C268" s="72" t="str">
        <f aca="false">IF(B268="","",IFERROR(INDEX(T_NOMBRE,MATCH(B268,T_ID,0)),"⚠ ID no existe en Trabajadores"))</f>
        <v/>
      </c>
      <c r="D268" s="64"/>
      <c r="E268" s="64"/>
      <c r="F268" s="65"/>
      <c r="G268" s="65"/>
      <c r="H268" s="67"/>
      <c r="I268" s="64"/>
      <c r="J268" s="65"/>
      <c r="K268" s="64"/>
      <c r="L268" s="64"/>
      <c r="M268" s="64"/>
      <c r="N268" s="72" t="str">
        <f aca="false">IF(B268="","",IF(D268="Anexo de modificación","No","Sí"))</f>
        <v/>
      </c>
      <c r="O268" s="73" t="str">
        <f aca="false">IF(AND(N268="Sí",ISNUMBER(F268)),COUNTIFS(C_ID,B268,C_DEFINE,"Sí",C_INICIO,"&lt;"&amp;F268)+COUNTIFS(B$7:B268,B268,N$7:N268,"Sí",F$7:F268,F268),"")</f>
        <v/>
      </c>
      <c r="P268" s="72" t="str">
        <f aca="false">IF(O268="","",B268&amp;"-P"&amp;O268)</f>
        <v/>
      </c>
      <c r="Q268" s="73" t="str">
        <f aca="false">IF(AND(N268="Sí",E268="Plazo fijo",ISNUMBER(F268)),COUNTIFS(C_ID,B268,C_TIPO,"Plazo fijo",C_DEFINE,"Sí",C_INICIO,"&lt;"&amp;F268)+COUNTIFS(B$7:B268,B268,E$7:E268,"Plazo fijo",N$7:N268,"Sí",F$7:F268,F268),"")</f>
        <v/>
      </c>
      <c r="R268" s="73" t="str">
        <f aca="false">IF(AND(B268&lt;&gt;"",ISNUMBER(H268),ISNUMBER(F268)),COUNTIFS(C_ID,B268,C_SUELDO,"&lt;&gt;",C_INICIO,"&lt;"&amp;F268)+COUNTIFS(B$7:B268,B268,H$7:H268,"&lt;&gt;",F$7:F268,F268),"")</f>
        <v/>
      </c>
      <c r="S268" s="72" t="str">
        <f aca="false">IF(R268="","",B268&amp;"-S"&amp;R268)</f>
        <v/>
      </c>
      <c r="T268" s="74" t="str">
        <f aca="false">IF(AND(ISNUMBER(F268),ISNUMBER(G268)),ROUND((G268-F268+1)/30.4375,1),"")</f>
        <v/>
      </c>
      <c r="U268" s="70" t="str">
        <f aca="false">IF(B268="","",IF(AND(N268="Sí",OR(E268="",NOT(ISNUMBER(F268)))),"⚠ Falta tipo de contrato o fecha de inicio",IF(NOT(ISNUMBER(F268)),"⚠ Falta fecha de inicio",IF(AND(N268="Sí",E268&lt;&gt;"Indefinido",NOT(ISNUMBER(G268))),"⚠ Falta fecha de término",IF(AND(D268="Paso a indefinido",E268&lt;&gt;"Indefinido"),"⚠ Un paso a indefinido debe tener tipo Indefinido",IF(N(Q268)&gt;=3,"⚠ 3er contrato a plazo fijo: por ley ya es INDEFINIDO (Art. 159 N°4)",IF(AND(E268="Plazo fijo",N(T268)&gt;12),"⚠ Plazo fijo mayor a 1 año (máx. legal; 2 años solo profesionales o técnicos)",IF(AND(ISNUMBER(G268),G268&lt;F268),"⚠ Término anterior al inicio",IF(AND(D268="Contrato inicial",ISNUMBER(J268),J268-F268&gt;15),"⚠ Escriturado fuera de plazo (Art. 9: 15 días)",IF(K268&lt;&gt;"Sí","Pendiente de firma","OK"))))))))))</f>
        <v/>
      </c>
    </row>
    <row r="269" customFormat="false" ht="15" hidden="false" customHeight="false" outlineLevel="0" collapsed="false">
      <c r="B269" s="64"/>
      <c r="C269" s="72" t="str">
        <f aca="false">IF(B269="","",IFERROR(INDEX(T_NOMBRE,MATCH(B269,T_ID,0)),"⚠ ID no existe en Trabajadores"))</f>
        <v/>
      </c>
      <c r="D269" s="64"/>
      <c r="E269" s="64"/>
      <c r="F269" s="65"/>
      <c r="G269" s="65"/>
      <c r="H269" s="67"/>
      <c r="I269" s="64"/>
      <c r="J269" s="65"/>
      <c r="K269" s="64"/>
      <c r="L269" s="64"/>
      <c r="M269" s="64"/>
      <c r="N269" s="72" t="str">
        <f aca="false">IF(B269="","",IF(D269="Anexo de modificación","No","Sí"))</f>
        <v/>
      </c>
      <c r="O269" s="73" t="str">
        <f aca="false">IF(AND(N269="Sí",ISNUMBER(F269)),COUNTIFS(C_ID,B269,C_DEFINE,"Sí",C_INICIO,"&lt;"&amp;F269)+COUNTIFS(B$7:B269,B269,N$7:N269,"Sí",F$7:F269,F269),"")</f>
        <v/>
      </c>
      <c r="P269" s="72" t="str">
        <f aca="false">IF(O269="","",B269&amp;"-P"&amp;O269)</f>
        <v/>
      </c>
      <c r="Q269" s="73" t="str">
        <f aca="false">IF(AND(N269="Sí",E269="Plazo fijo",ISNUMBER(F269)),COUNTIFS(C_ID,B269,C_TIPO,"Plazo fijo",C_DEFINE,"Sí",C_INICIO,"&lt;"&amp;F269)+COUNTIFS(B$7:B269,B269,E$7:E269,"Plazo fijo",N$7:N269,"Sí",F$7:F269,F269),"")</f>
        <v/>
      </c>
      <c r="R269" s="73" t="str">
        <f aca="false">IF(AND(B269&lt;&gt;"",ISNUMBER(H269),ISNUMBER(F269)),COUNTIFS(C_ID,B269,C_SUELDO,"&lt;&gt;",C_INICIO,"&lt;"&amp;F269)+COUNTIFS(B$7:B269,B269,H$7:H269,"&lt;&gt;",F$7:F269,F269),"")</f>
        <v/>
      </c>
      <c r="S269" s="72" t="str">
        <f aca="false">IF(R269="","",B269&amp;"-S"&amp;R269)</f>
        <v/>
      </c>
      <c r="T269" s="74" t="str">
        <f aca="false">IF(AND(ISNUMBER(F269),ISNUMBER(G269)),ROUND((G269-F269+1)/30.4375,1),"")</f>
        <v/>
      </c>
      <c r="U269" s="70" t="str">
        <f aca="false">IF(B269="","",IF(AND(N269="Sí",OR(E269="",NOT(ISNUMBER(F269)))),"⚠ Falta tipo de contrato o fecha de inicio",IF(NOT(ISNUMBER(F269)),"⚠ Falta fecha de inicio",IF(AND(N269="Sí",E269&lt;&gt;"Indefinido",NOT(ISNUMBER(G269))),"⚠ Falta fecha de término",IF(AND(D269="Paso a indefinido",E269&lt;&gt;"Indefinido"),"⚠ Un paso a indefinido debe tener tipo Indefinido",IF(N(Q269)&gt;=3,"⚠ 3er contrato a plazo fijo: por ley ya es INDEFINIDO (Art. 159 N°4)",IF(AND(E269="Plazo fijo",N(T269)&gt;12),"⚠ Plazo fijo mayor a 1 año (máx. legal; 2 años solo profesionales o técnicos)",IF(AND(ISNUMBER(G269),G269&lt;F269),"⚠ Término anterior al inicio",IF(AND(D269="Contrato inicial",ISNUMBER(J269),J269-F269&gt;15),"⚠ Escriturado fuera de plazo (Art. 9: 15 días)",IF(K269&lt;&gt;"Sí","Pendiente de firma","OK"))))))))))</f>
        <v/>
      </c>
    </row>
    <row r="270" customFormat="false" ht="15" hidden="false" customHeight="false" outlineLevel="0" collapsed="false">
      <c r="B270" s="64"/>
      <c r="C270" s="72" t="str">
        <f aca="false">IF(B270="","",IFERROR(INDEX(T_NOMBRE,MATCH(B270,T_ID,0)),"⚠ ID no existe en Trabajadores"))</f>
        <v/>
      </c>
      <c r="D270" s="64"/>
      <c r="E270" s="64"/>
      <c r="F270" s="65"/>
      <c r="G270" s="65"/>
      <c r="H270" s="67"/>
      <c r="I270" s="64"/>
      <c r="J270" s="65"/>
      <c r="K270" s="64"/>
      <c r="L270" s="64"/>
      <c r="M270" s="64"/>
      <c r="N270" s="72" t="str">
        <f aca="false">IF(B270="","",IF(D270="Anexo de modificación","No","Sí"))</f>
        <v/>
      </c>
      <c r="O270" s="73" t="str">
        <f aca="false">IF(AND(N270="Sí",ISNUMBER(F270)),COUNTIFS(C_ID,B270,C_DEFINE,"Sí",C_INICIO,"&lt;"&amp;F270)+COUNTIFS(B$7:B270,B270,N$7:N270,"Sí",F$7:F270,F270),"")</f>
        <v/>
      </c>
      <c r="P270" s="72" t="str">
        <f aca="false">IF(O270="","",B270&amp;"-P"&amp;O270)</f>
        <v/>
      </c>
      <c r="Q270" s="73" t="str">
        <f aca="false">IF(AND(N270="Sí",E270="Plazo fijo",ISNUMBER(F270)),COUNTIFS(C_ID,B270,C_TIPO,"Plazo fijo",C_DEFINE,"Sí",C_INICIO,"&lt;"&amp;F270)+COUNTIFS(B$7:B270,B270,E$7:E270,"Plazo fijo",N$7:N270,"Sí",F$7:F270,F270),"")</f>
        <v/>
      </c>
      <c r="R270" s="73" t="str">
        <f aca="false">IF(AND(B270&lt;&gt;"",ISNUMBER(H270),ISNUMBER(F270)),COUNTIFS(C_ID,B270,C_SUELDO,"&lt;&gt;",C_INICIO,"&lt;"&amp;F270)+COUNTIFS(B$7:B270,B270,H$7:H270,"&lt;&gt;",F$7:F270,F270),"")</f>
        <v/>
      </c>
      <c r="S270" s="72" t="str">
        <f aca="false">IF(R270="","",B270&amp;"-S"&amp;R270)</f>
        <v/>
      </c>
      <c r="T270" s="74" t="str">
        <f aca="false">IF(AND(ISNUMBER(F270),ISNUMBER(G270)),ROUND((G270-F270+1)/30.4375,1),"")</f>
        <v/>
      </c>
      <c r="U270" s="70" t="str">
        <f aca="false">IF(B270="","",IF(AND(N270="Sí",OR(E270="",NOT(ISNUMBER(F270)))),"⚠ Falta tipo de contrato o fecha de inicio",IF(NOT(ISNUMBER(F270)),"⚠ Falta fecha de inicio",IF(AND(N270="Sí",E270&lt;&gt;"Indefinido",NOT(ISNUMBER(G270))),"⚠ Falta fecha de término",IF(AND(D270="Paso a indefinido",E270&lt;&gt;"Indefinido"),"⚠ Un paso a indefinido debe tener tipo Indefinido",IF(N(Q270)&gt;=3,"⚠ 3er contrato a plazo fijo: por ley ya es INDEFINIDO (Art. 159 N°4)",IF(AND(E270="Plazo fijo",N(T270)&gt;12),"⚠ Plazo fijo mayor a 1 año (máx. legal; 2 años solo profesionales o técnicos)",IF(AND(ISNUMBER(G270),G270&lt;F270),"⚠ Término anterior al inicio",IF(AND(D270="Contrato inicial",ISNUMBER(J270),J270-F270&gt;15),"⚠ Escriturado fuera de plazo (Art. 9: 15 días)",IF(K270&lt;&gt;"Sí","Pendiente de firma","OK"))))))))))</f>
        <v/>
      </c>
    </row>
    <row r="271" customFormat="false" ht="15" hidden="false" customHeight="false" outlineLevel="0" collapsed="false">
      <c r="B271" s="64"/>
      <c r="C271" s="72" t="str">
        <f aca="false">IF(B271="","",IFERROR(INDEX(T_NOMBRE,MATCH(B271,T_ID,0)),"⚠ ID no existe en Trabajadores"))</f>
        <v/>
      </c>
      <c r="D271" s="64"/>
      <c r="E271" s="64"/>
      <c r="F271" s="65"/>
      <c r="G271" s="65"/>
      <c r="H271" s="67"/>
      <c r="I271" s="64"/>
      <c r="J271" s="65"/>
      <c r="K271" s="64"/>
      <c r="L271" s="64"/>
      <c r="M271" s="64"/>
      <c r="N271" s="72" t="str">
        <f aca="false">IF(B271="","",IF(D271="Anexo de modificación","No","Sí"))</f>
        <v/>
      </c>
      <c r="O271" s="73" t="str">
        <f aca="false">IF(AND(N271="Sí",ISNUMBER(F271)),COUNTIFS(C_ID,B271,C_DEFINE,"Sí",C_INICIO,"&lt;"&amp;F271)+COUNTIFS(B$7:B271,B271,N$7:N271,"Sí",F$7:F271,F271),"")</f>
        <v/>
      </c>
      <c r="P271" s="72" t="str">
        <f aca="false">IF(O271="","",B271&amp;"-P"&amp;O271)</f>
        <v/>
      </c>
      <c r="Q271" s="73" t="str">
        <f aca="false">IF(AND(N271="Sí",E271="Plazo fijo",ISNUMBER(F271)),COUNTIFS(C_ID,B271,C_TIPO,"Plazo fijo",C_DEFINE,"Sí",C_INICIO,"&lt;"&amp;F271)+COUNTIFS(B$7:B271,B271,E$7:E271,"Plazo fijo",N$7:N271,"Sí",F$7:F271,F271),"")</f>
        <v/>
      </c>
      <c r="R271" s="73" t="str">
        <f aca="false">IF(AND(B271&lt;&gt;"",ISNUMBER(H271),ISNUMBER(F271)),COUNTIFS(C_ID,B271,C_SUELDO,"&lt;&gt;",C_INICIO,"&lt;"&amp;F271)+COUNTIFS(B$7:B271,B271,H$7:H271,"&lt;&gt;",F$7:F271,F271),"")</f>
        <v/>
      </c>
      <c r="S271" s="72" t="str">
        <f aca="false">IF(R271="","",B271&amp;"-S"&amp;R271)</f>
        <v/>
      </c>
      <c r="T271" s="74" t="str">
        <f aca="false">IF(AND(ISNUMBER(F271),ISNUMBER(G271)),ROUND((G271-F271+1)/30.4375,1),"")</f>
        <v/>
      </c>
      <c r="U271" s="70" t="str">
        <f aca="false">IF(B271="","",IF(AND(N271="Sí",OR(E271="",NOT(ISNUMBER(F271)))),"⚠ Falta tipo de contrato o fecha de inicio",IF(NOT(ISNUMBER(F271)),"⚠ Falta fecha de inicio",IF(AND(N271="Sí",E271&lt;&gt;"Indefinido",NOT(ISNUMBER(G271))),"⚠ Falta fecha de término",IF(AND(D271="Paso a indefinido",E271&lt;&gt;"Indefinido"),"⚠ Un paso a indefinido debe tener tipo Indefinido",IF(N(Q271)&gt;=3,"⚠ 3er contrato a plazo fijo: por ley ya es INDEFINIDO (Art. 159 N°4)",IF(AND(E271="Plazo fijo",N(T271)&gt;12),"⚠ Plazo fijo mayor a 1 año (máx. legal; 2 años solo profesionales o técnicos)",IF(AND(ISNUMBER(G271),G271&lt;F271),"⚠ Término anterior al inicio",IF(AND(D271="Contrato inicial",ISNUMBER(J271),J271-F271&gt;15),"⚠ Escriturado fuera de plazo (Art. 9: 15 días)",IF(K271&lt;&gt;"Sí","Pendiente de firma","OK"))))))))))</f>
        <v/>
      </c>
    </row>
    <row r="272" customFormat="false" ht="15" hidden="false" customHeight="false" outlineLevel="0" collapsed="false">
      <c r="B272" s="64"/>
      <c r="C272" s="72" t="str">
        <f aca="false">IF(B272="","",IFERROR(INDEX(T_NOMBRE,MATCH(B272,T_ID,0)),"⚠ ID no existe en Trabajadores"))</f>
        <v/>
      </c>
      <c r="D272" s="64"/>
      <c r="E272" s="64"/>
      <c r="F272" s="65"/>
      <c r="G272" s="65"/>
      <c r="H272" s="67"/>
      <c r="I272" s="64"/>
      <c r="J272" s="65"/>
      <c r="K272" s="64"/>
      <c r="L272" s="64"/>
      <c r="M272" s="64"/>
      <c r="N272" s="72" t="str">
        <f aca="false">IF(B272="","",IF(D272="Anexo de modificación","No","Sí"))</f>
        <v/>
      </c>
      <c r="O272" s="73" t="str">
        <f aca="false">IF(AND(N272="Sí",ISNUMBER(F272)),COUNTIFS(C_ID,B272,C_DEFINE,"Sí",C_INICIO,"&lt;"&amp;F272)+COUNTIFS(B$7:B272,B272,N$7:N272,"Sí",F$7:F272,F272),"")</f>
        <v/>
      </c>
      <c r="P272" s="72" t="str">
        <f aca="false">IF(O272="","",B272&amp;"-P"&amp;O272)</f>
        <v/>
      </c>
      <c r="Q272" s="73" t="str">
        <f aca="false">IF(AND(N272="Sí",E272="Plazo fijo",ISNUMBER(F272)),COUNTIFS(C_ID,B272,C_TIPO,"Plazo fijo",C_DEFINE,"Sí",C_INICIO,"&lt;"&amp;F272)+COUNTIFS(B$7:B272,B272,E$7:E272,"Plazo fijo",N$7:N272,"Sí",F$7:F272,F272),"")</f>
        <v/>
      </c>
      <c r="R272" s="73" t="str">
        <f aca="false">IF(AND(B272&lt;&gt;"",ISNUMBER(H272),ISNUMBER(F272)),COUNTIFS(C_ID,B272,C_SUELDO,"&lt;&gt;",C_INICIO,"&lt;"&amp;F272)+COUNTIFS(B$7:B272,B272,H$7:H272,"&lt;&gt;",F$7:F272,F272),"")</f>
        <v/>
      </c>
      <c r="S272" s="72" t="str">
        <f aca="false">IF(R272="","",B272&amp;"-S"&amp;R272)</f>
        <v/>
      </c>
      <c r="T272" s="74" t="str">
        <f aca="false">IF(AND(ISNUMBER(F272),ISNUMBER(G272)),ROUND((G272-F272+1)/30.4375,1),"")</f>
        <v/>
      </c>
      <c r="U272" s="70" t="str">
        <f aca="false">IF(B272="","",IF(AND(N272="Sí",OR(E272="",NOT(ISNUMBER(F272)))),"⚠ Falta tipo de contrato o fecha de inicio",IF(NOT(ISNUMBER(F272)),"⚠ Falta fecha de inicio",IF(AND(N272="Sí",E272&lt;&gt;"Indefinido",NOT(ISNUMBER(G272))),"⚠ Falta fecha de término",IF(AND(D272="Paso a indefinido",E272&lt;&gt;"Indefinido"),"⚠ Un paso a indefinido debe tener tipo Indefinido",IF(N(Q272)&gt;=3,"⚠ 3er contrato a plazo fijo: por ley ya es INDEFINIDO (Art. 159 N°4)",IF(AND(E272="Plazo fijo",N(T272)&gt;12),"⚠ Plazo fijo mayor a 1 año (máx. legal; 2 años solo profesionales o técnicos)",IF(AND(ISNUMBER(G272),G272&lt;F272),"⚠ Término anterior al inicio",IF(AND(D272="Contrato inicial",ISNUMBER(J272),J272-F272&gt;15),"⚠ Escriturado fuera de plazo (Art. 9: 15 días)",IF(K272&lt;&gt;"Sí","Pendiente de firma","OK"))))))))))</f>
        <v/>
      </c>
    </row>
    <row r="273" customFormat="false" ht="15" hidden="false" customHeight="false" outlineLevel="0" collapsed="false">
      <c r="B273" s="64"/>
      <c r="C273" s="72" t="str">
        <f aca="false">IF(B273="","",IFERROR(INDEX(T_NOMBRE,MATCH(B273,T_ID,0)),"⚠ ID no existe en Trabajadores"))</f>
        <v/>
      </c>
      <c r="D273" s="64"/>
      <c r="E273" s="64"/>
      <c r="F273" s="65"/>
      <c r="G273" s="65"/>
      <c r="H273" s="67"/>
      <c r="I273" s="64"/>
      <c r="J273" s="65"/>
      <c r="K273" s="64"/>
      <c r="L273" s="64"/>
      <c r="M273" s="64"/>
      <c r="N273" s="72" t="str">
        <f aca="false">IF(B273="","",IF(D273="Anexo de modificación","No","Sí"))</f>
        <v/>
      </c>
      <c r="O273" s="73" t="str">
        <f aca="false">IF(AND(N273="Sí",ISNUMBER(F273)),COUNTIFS(C_ID,B273,C_DEFINE,"Sí",C_INICIO,"&lt;"&amp;F273)+COUNTIFS(B$7:B273,B273,N$7:N273,"Sí",F$7:F273,F273),"")</f>
        <v/>
      </c>
      <c r="P273" s="72" t="str">
        <f aca="false">IF(O273="","",B273&amp;"-P"&amp;O273)</f>
        <v/>
      </c>
      <c r="Q273" s="73" t="str">
        <f aca="false">IF(AND(N273="Sí",E273="Plazo fijo",ISNUMBER(F273)),COUNTIFS(C_ID,B273,C_TIPO,"Plazo fijo",C_DEFINE,"Sí",C_INICIO,"&lt;"&amp;F273)+COUNTIFS(B$7:B273,B273,E$7:E273,"Plazo fijo",N$7:N273,"Sí",F$7:F273,F273),"")</f>
        <v/>
      </c>
      <c r="R273" s="73" t="str">
        <f aca="false">IF(AND(B273&lt;&gt;"",ISNUMBER(H273),ISNUMBER(F273)),COUNTIFS(C_ID,B273,C_SUELDO,"&lt;&gt;",C_INICIO,"&lt;"&amp;F273)+COUNTIFS(B$7:B273,B273,H$7:H273,"&lt;&gt;",F$7:F273,F273),"")</f>
        <v/>
      </c>
      <c r="S273" s="72" t="str">
        <f aca="false">IF(R273="","",B273&amp;"-S"&amp;R273)</f>
        <v/>
      </c>
      <c r="T273" s="74" t="str">
        <f aca="false">IF(AND(ISNUMBER(F273),ISNUMBER(G273)),ROUND((G273-F273+1)/30.4375,1),"")</f>
        <v/>
      </c>
      <c r="U273" s="70" t="str">
        <f aca="false">IF(B273="","",IF(AND(N273="Sí",OR(E273="",NOT(ISNUMBER(F273)))),"⚠ Falta tipo de contrato o fecha de inicio",IF(NOT(ISNUMBER(F273)),"⚠ Falta fecha de inicio",IF(AND(N273="Sí",E273&lt;&gt;"Indefinido",NOT(ISNUMBER(G273))),"⚠ Falta fecha de término",IF(AND(D273="Paso a indefinido",E273&lt;&gt;"Indefinido"),"⚠ Un paso a indefinido debe tener tipo Indefinido",IF(N(Q273)&gt;=3,"⚠ 3er contrato a plazo fijo: por ley ya es INDEFINIDO (Art. 159 N°4)",IF(AND(E273="Plazo fijo",N(T273)&gt;12),"⚠ Plazo fijo mayor a 1 año (máx. legal; 2 años solo profesionales o técnicos)",IF(AND(ISNUMBER(G273),G273&lt;F273),"⚠ Término anterior al inicio",IF(AND(D273="Contrato inicial",ISNUMBER(J273),J273-F273&gt;15),"⚠ Escriturado fuera de plazo (Art. 9: 15 días)",IF(K273&lt;&gt;"Sí","Pendiente de firma","OK"))))))))))</f>
        <v/>
      </c>
    </row>
    <row r="274" customFormat="false" ht="15" hidden="false" customHeight="false" outlineLevel="0" collapsed="false">
      <c r="B274" s="64"/>
      <c r="C274" s="72" t="str">
        <f aca="false">IF(B274="","",IFERROR(INDEX(T_NOMBRE,MATCH(B274,T_ID,0)),"⚠ ID no existe en Trabajadores"))</f>
        <v/>
      </c>
      <c r="D274" s="64"/>
      <c r="E274" s="64"/>
      <c r="F274" s="65"/>
      <c r="G274" s="65"/>
      <c r="H274" s="67"/>
      <c r="I274" s="64"/>
      <c r="J274" s="65"/>
      <c r="K274" s="64"/>
      <c r="L274" s="64"/>
      <c r="M274" s="64"/>
      <c r="N274" s="72" t="str">
        <f aca="false">IF(B274="","",IF(D274="Anexo de modificación","No","Sí"))</f>
        <v/>
      </c>
      <c r="O274" s="73" t="str">
        <f aca="false">IF(AND(N274="Sí",ISNUMBER(F274)),COUNTIFS(C_ID,B274,C_DEFINE,"Sí",C_INICIO,"&lt;"&amp;F274)+COUNTIFS(B$7:B274,B274,N$7:N274,"Sí",F$7:F274,F274),"")</f>
        <v/>
      </c>
      <c r="P274" s="72" t="str">
        <f aca="false">IF(O274="","",B274&amp;"-P"&amp;O274)</f>
        <v/>
      </c>
      <c r="Q274" s="73" t="str">
        <f aca="false">IF(AND(N274="Sí",E274="Plazo fijo",ISNUMBER(F274)),COUNTIFS(C_ID,B274,C_TIPO,"Plazo fijo",C_DEFINE,"Sí",C_INICIO,"&lt;"&amp;F274)+COUNTIFS(B$7:B274,B274,E$7:E274,"Plazo fijo",N$7:N274,"Sí",F$7:F274,F274),"")</f>
        <v/>
      </c>
      <c r="R274" s="73" t="str">
        <f aca="false">IF(AND(B274&lt;&gt;"",ISNUMBER(H274),ISNUMBER(F274)),COUNTIFS(C_ID,B274,C_SUELDO,"&lt;&gt;",C_INICIO,"&lt;"&amp;F274)+COUNTIFS(B$7:B274,B274,H$7:H274,"&lt;&gt;",F$7:F274,F274),"")</f>
        <v/>
      </c>
      <c r="S274" s="72" t="str">
        <f aca="false">IF(R274="","",B274&amp;"-S"&amp;R274)</f>
        <v/>
      </c>
      <c r="T274" s="74" t="str">
        <f aca="false">IF(AND(ISNUMBER(F274),ISNUMBER(G274)),ROUND((G274-F274+1)/30.4375,1),"")</f>
        <v/>
      </c>
      <c r="U274" s="70" t="str">
        <f aca="false">IF(B274="","",IF(AND(N274="Sí",OR(E274="",NOT(ISNUMBER(F274)))),"⚠ Falta tipo de contrato o fecha de inicio",IF(NOT(ISNUMBER(F274)),"⚠ Falta fecha de inicio",IF(AND(N274="Sí",E274&lt;&gt;"Indefinido",NOT(ISNUMBER(G274))),"⚠ Falta fecha de término",IF(AND(D274="Paso a indefinido",E274&lt;&gt;"Indefinido"),"⚠ Un paso a indefinido debe tener tipo Indefinido",IF(N(Q274)&gt;=3,"⚠ 3er contrato a plazo fijo: por ley ya es INDEFINIDO (Art. 159 N°4)",IF(AND(E274="Plazo fijo",N(T274)&gt;12),"⚠ Plazo fijo mayor a 1 año (máx. legal; 2 años solo profesionales o técnicos)",IF(AND(ISNUMBER(G274),G274&lt;F274),"⚠ Término anterior al inicio",IF(AND(D274="Contrato inicial",ISNUMBER(J274),J274-F274&gt;15),"⚠ Escriturado fuera de plazo (Art. 9: 15 días)",IF(K274&lt;&gt;"Sí","Pendiente de firma","OK"))))))))))</f>
        <v/>
      </c>
    </row>
    <row r="275" customFormat="false" ht="15" hidden="false" customHeight="false" outlineLevel="0" collapsed="false">
      <c r="B275" s="64"/>
      <c r="C275" s="72" t="str">
        <f aca="false">IF(B275="","",IFERROR(INDEX(T_NOMBRE,MATCH(B275,T_ID,0)),"⚠ ID no existe en Trabajadores"))</f>
        <v/>
      </c>
      <c r="D275" s="64"/>
      <c r="E275" s="64"/>
      <c r="F275" s="65"/>
      <c r="G275" s="65"/>
      <c r="H275" s="67"/>
      <c r="I275" s="64"/>
      <c r="J275" s="65"/>
      <c r="K275" s="64"/>
      <c r="L275" s="64"/>
      <c r="M275" s="64"/>
      <c r="N275" s="72" t="str">
        <f aca="false">IF(B275="","",IF(D275="Anexo de modificación","No","Sí"))</f>
        <v/>
      </c>
      <c r="O275" s="73" t="str">
        <f aca="false">IF(AND(N275="Sí",ISNUMBER(F275)),COUNTIFS(C_ID,B275,C_DEFINE,"Sí",C_INICIO,"&lt;"&amp;F275)+COUNTIFS(B$7:B275,B275,N$7:N275,"Sí",F$7:F275,F275),"")</f>
        <v/>
      </c>
      <c r="P275" s="72" t="str">
        <f aca="false">IF(O275="","",B275&amp;"-P"&amp;O275)</f>
        <v/>
      </c>
      <c r="Q275" s="73" t="str">
        <f aca="false">IF(AND(N275="Sí",E275="Plazo fijo",ISNUMBER(F275)),COUNTIFS(C_ID,B275,C_TIPO,"Plazo fijo",C_DEFINE,"Sí",C_INICIO,"&lt;"&amp;F275)+COUNTIFS(B$7:B275,B275,E$7:E275,"Plazo fijo",N$7:N275,"Sí",F$7:F275,F275),"")</f>
        <v/>
      </c>
      <c r="R275" s="73" t="str">
        <f aca="false">IF(AND(B275&lt;&gt;"",ISNUMBER(H275),ISNUMBER(F275)),COUNTIFS(C_ID,B275,C_SUELDO,"&lt;&gt;",C_INICIO,"&lt;"&amp;F275)+COUNTIFS(B$7:B275,B275,H$7:H275,"&lt;&gt;",F$7:F275,F275),"")</f>
        <v/>
      </c>
      <c r="S275" s="72" t="str">
        <f aca="false">IF(R275="","",B275&amp;"-S"&amp;R275)</f>
        <v/>
      </c>
      <c r="T275" s="74" t="str">
        <f aca="false">IF(AND(ISNUMBER(F275),ISNUMBER(G275)),ROUND((G275-F275+1)/30.4375,1),"")</f>
        <v/>
      </c>
      <c r="U275" s="70" t="str">
        <f aca="false">IF(B275="","",IF(AND(N275="Sí",OR(E275="",NOT(ISNUMBER(F275)))),"⚠ Falta tipo de contrato o fecha de inicio",IF(NOT(ISNUMBER(F275)),"⚠ Falta fecha de inicio",IF(AND(N275="Sí",E275&lt;&gt;"Indefinido",NOT(ISNUMBER(G275))),"⚠ Falta fecha de término",IF(AND(D275="Paso a indefinido",E275&lt;&gt;"Indefinido"),"⚠ Un paso a indefinido debe tener tipo Indefinido",IF(N(Q275)&gt;=3,"⚠ 3er contrato a plazo fijo: por ley ya es INDEFINIDO (Art. 159 N°4)",IF(AND(E275="Plazo fijo",N(T275)&gt;12),"⚠ Plazo fijo mayor a 1 año (máx. legal; 2 años solo profesionales o técnicos)",IF(AND(ISNUMBER(G275),G275&lt;F275),"⚠ Término anterior al inicio",IF(AND(D275="Contrato inicial",ISNUMBER(J275),J275-F275&gt;15),"⚠ Escriturado fuera de plazo (Art. 9: 15 días)",IF(K275&lt;&gt;"Sí","Pendiente de firma","OK"))))))))))</f>
        <v/>
      </c>
    </row>
    <row r="276" customFormat="false" ht="15" hidden="false" customHeight="false" outlineLevel="0" collapsed="false">
      <c r="B276" s="64"/>
      <c r="C276" s="72" t="str">
        <f aca="false">IF(B276="","",IFERROR(INDEX(T_NOMBRE,MATCH(B276,T_ID,0)),"⚠ ID no existe en Trabajadores"))</f>
        <v/>
      </c>
      <c r="D276" s="64"/>
      <c r="E276" s="64"/>
      <c r="F276" s="65"/>
      <c r="G276" s="65"/>
      <c r="H276" s="67"/>
      <c r="I276" s="64"/>
      <c r="J276" s="65"/>
      <c r="K276" s="64"/>
      <c r="L276" s="64"/>
      <c r="M276" s="64"/>
      <c r="N276" s="72" t="str">
        <f aca="false">IF(B276="","",IF(D276="Anexo de modificación","No","Sí"))</f>
        <v/>
      </c>
      <c r="O276" s="73" t="str">
        <f aca="false">IF(AND(N276="Sí",ISNUMBER(F276)),COUNTIFS(C_ID,B276,C_DEFINE,"Sí",C_INICIO,"&lt;"&amp;F276)+COUNTIFS(B$7:B276,B276,N$7:N276,"Sí",F$7:F276,F276),"")</f>
        <v/>
      </c>
      <c r="P276" s="72" t="str">
        <f aca="false">IF(O276="","",B276&amp;"-P"&amp;O276)</f>
        <v/>
      </c>
      <c r="Q276" s="73" t="str">
        <f aca="false">IF(AND(N276="Sí",E276="Plazo fijo",ISNUMBER(F276)),COUNTIFS(C_ID,B276,C_TIPO,"Plazo fijo",C_DEFINE,"Sí",C_INICIO,"&lt;"&amp;F276)+COUNTIFS(B$7:B276,B276,E$7:E276,"Plazo fijo",N$7:N276,"Sí",F$7:F276,F276),"")</f>
        <v/>
      </c>
      <c r="R276" s="73" t="str">
        <f aca="false">IF(AND(B276&lt;&gt;"",ISNUMBER(H276),ISNUMBER(F276)),COUNTIFS(C_ID,B276,C_SUELDO,"&lt;&gt;",C_INICIO,"&lt;"&amp;F276)+COUNTIFS(B$7:B276,B276,H$7:H276,"&lt;&gt;",F$7:F276,F276),"")</f>
        <v/>
      </c>
      <c r="S276" s="72" t="str">
        <f aca="false">IF(R276="","",B276&amp;"-S"&amp;R276)</f>
        <v/>
      </c>
      <c r="T276" s="74" t="str">
        <f aca="false">IF(AND(ISNUMBER(F276),ISNUMBER(G276)),ROUND((G276-F276+1)/30.4375,1),"")</f>
        <v/>
      </c>
      <c r="U276" s="70" t="str">
        <f aca="false">IF(B276="","",IF(AND(N276="Sí",OR(E276="",NOT(ISNUMBER(F276)))),"⚠ Falta tipo de contrato o fecha de inicio",IF(NOT(ISNUMBER(F276)),"⚠ Falta fecha de inicio",IF(AND(N276="Sí",E276&lt;&gt;"Indefinido",NOT(ISNUMBER(G276))),"⚠ Falta fecha de término",IF(AND(D276="Paso a indefinido",E276&lt;&gt;"Indefinido"),"⚠ Un paso a indefinido debe tener tipo Indefinido",IF(N(Q276)&gt;=3,"⚠ 3er contrato a plazo fijo: por ley ya es INDEFINIDO (Art. 159 N°4)",IF(AND(E276="Plazo fijo",N(T276)&gt;12),"⚠ Plazo fijo mayor a 1 año (máx. legal; 2 años solo profesionales o técnicos)",IF(AND(ISNUMBER(G276),G276&lt;F276),"⚠ Término anterior al inicio",IF(AND(D276="Contrato inicial",ISNUMBER(J276),J276-F276&gt;15),"⚠ Escriturado fuera de plazo (Art. 9: 15 días)",IF(K276&lt;&gt;"Sí","Pendiente de firma","OK"))))))))))</f>
        <v/>
      </c>
    </row>
    <row r="277" customFormat="false" ht="15" hidden="false" customHeight="false" outlineLevel="0" collapsed="false">
      <c r="B277" s="64"/>
      <c r="C277" s="72" t="str">
        <f aca="false">IF(B277="","",IFERROR(INDEX(T_NOMBRE,MATCH(B277,T_ID,0)),"⚠ ID no existe en Trabajadores"))</f>
        <v/>
      </c>
      <c r="D277" s="64"/>
      <c r="E277" s="64"/>
      <c r="F277" s="65"/>
      <c r="G277" s="65"/>
      <c r="H277" s="67"/>
      <c r="I277" s="64"/>
      <c r="J277" s="65"/>
      <c r="K277" s="64"/>
      <c r="L277" s="64"/>
      <c r="M277" s="64"/>
      <c r="N277" s="72" t="str">
        <f aca="false">IF(B277="","",IF(D277="Anexo de modificación","No","Sí"))</f>
        <v/>
      </c>
      <c r="O277" s="73" t="str">
        <f aca="false">IF(AND(N277="Sí",ISNUMBER(F277)),COUNTIFS(C_ID,B277,C_DEFINE,"Sí",C_INICIO,"&lt;"&amp;F277)+COUNTIFS(B$7:B277,B277,N$7:N277,"Sí",F$7:F277,F277),"")</f>
        <v/>
      </c>
      <c r="P277" s="72" t="str">
        <f aca="false">IF(O277="","",B277&amp;"-P"&amp;O277)</f>
        <v/>
      </c>
      <c r="Q277" s="73" t="str">
        <f aca="false">IF(AND(N277="Sí",E277="Plazo fijo",ISNUMBER(F277)),COUNTIFS(C_ID,B277,C_TIPO,"Plazo fijo",C_DEFINE,"Sí",C_INICIO,"&lt;"&amp;F277)+COUNTIFS(B$7:B277,B277,E$7:E277,"Plazo fijo",N$7:N277,"Sí",F$7:F277,F277),"")</f>
        <v/>
      </c>
      <c r="R277" s="73" t="str">
        <f aca="false">IF(AND(B277&lt;&gt;"",ISNUMBER(H277),ISNUMBER(F277)),COUNTIFS(C_ID,B277,C_SUELDO,"&lt;&gt;",C_INICIO,"&lt;"&amp;F277)+COUNTIFS(B$7:B277,B277,H$7:H277,"&lt;&gt;",F$7:F277,F277),"")</f>
        <v/>
      </c>
      <c r="S277" s="72" t="str">
        <f aca="false">IF(R277="","",B277&amp;"-S"&amp;R277)</f>
        <v/>
      </c>
      <c r="T277" s="74" t="str">
        <f aca="false">IF(AND(ISNUMBER(F277),ISNUMBER(G277)),ROUND((G277-F277+1)/30.4375,1),"")</f>
        <v/>
      </c>
      <c r="U277" s="70" t="str">
        <f aca="false">IF(B277="","",IF(AND(N277="Sí",OR(E277="",NOT(ISNUMBER(F277)))),"⚠ Falta tipo de contrato o fecha de inicio",IF(NOT(ISNUMBER(F277)),"⚠ Falta fecha de inicio",IF(AND(N277="Sí",E277&lt;&gt;"Indefinido",NOT(ISNUMBER(G277))),"⚠ Falta fecha de término",IF(AND(D277="Paso a indefinido",E277&lt;&gt;"Indefinido"),"⚠ Un paso a indefinido debe tener tipo Indefinido",IF(N(Q277)&gt;=3,"⚠ 3er contrato a plazo fijo: por ley ya es INDEFINIDO (Art. 159 N°4)",IF(AND(E277="Plazo fijo",N(T277)&gt;12),"⚠ Plazo fijo mayor a 1 año (máx. legal; 2 años solo profesionales o técnicos)",IF(AND(ISNUMBER(G277),G277&lt;F277),"⚠ Término anterior al inicio",IF(AND(D277="Contrato inicial",ISNUMBER(J277),J277-F277&gt;15),"⚠ Escriturado fuera de plazo (Art. 9: 15 días)",IF(K277&lt;&gt;"Sí","Pendiente de firma","OK"))))))))))</f>
        <v/>
      </c>
    </row>
    <row r="278" customFormat="false" ht="15" hidden="false" customHeight="false" outlineLevel="0" collapsed="false">
      <c r="B278" s="64"/>
      <c r="C278" s="72" t="str">
        <f aca="false">IF(B278="","",IFERROR(INDEX(T_NOMBRE,MATCH(B278,T_ID,0)),"⚠ ID no existe en Trabajadores"))</f>
        <v/>
      </c>
      <c r="D278" s="64"/>
      <c r="E278" s="64"/>
      <c r="F278" s="65"/>
      <c r="G278" s="65"/>
      <c r="H278" s="67"/>
      <c r="I278" s="64"/>
      <c r="J278" s="65"/>
      <c r="K278" s="64"/>
      <c r="L278" s="64"/>
      <c r="M278" s="64"/>
      <c r="N278" s="72" t="str">
        <f aca="false">IF(B278="","",IF(D278="Anexo de modificación","No","Sí"))</f>
        <v/>
      </c>
      <c r="O278" s="73" t="str">
        <f aca="false">IF(AND(N278="Sí",ISNUMBER(F278)),COUNTIFS(C_ID,B278,C_DEFINE,"Sí",C_INICIO,"&lt;"&amp;F278)+COUNTIFS(B$7:B278,B278,N$7:N278,"Sí",F$7:F278,F278),"")</f>
        <v/>
      </c>
      <c r="P278" s="72" t="str">
        <f aca="false">IF(O278="","",B278&amp;"-P"&amp;O278)</f>
        <v/>
      </c>
      <c r="Q278" s="73" t="str">
        <f aca="false">IF(AND(N278="Sí",E278="Plazo fijo",ISNUMBER(F278)),COUNTIFS(C_ID,B278,C_TIPO,"Plazo fijo",C_DEFINE,"Sí",C_INICIO,"&lt;"&amp;F278)+COUNTIFS(B$7:B278,B278,E$7:E278,"Plazo fijo",N$7:N278,"Sí",F$7:F278,F278),"")</f>
        <v/>
      </c>
      <c r="R278" s="73" t="str">
        <f aca="false">IF(AND(B278&lt;&gt;"",ISNUMBER(H278),ISNUMBER(F278)),COUNTIFS(C_ID,B278,C_SUELDO,"&lt;&gt;",C_INICIO,"&lt;"&amp;F278)+COUNTIFS(B$7:B278,B278,H$7:H278,"&lt;&gt;",F$7:F278,F278),"")</f>
        <v/>
      </c>
      <c r="S278" s="72" t="str">
        <f aca="false">IF(R278="","",B278&amp;"-S"&amp;R278)</f>
        <v/>
      </c>
      <c r="T278" s="74" t="str">
        <f aca="false">IF(AND(ISNUMBER(F278),ISNUMBER(G278)),ROUND((G278-F278+1)/30.4375,1),"")</f>
        <v/>
      </c>
      <c r="U278" s="70" t="str">
        <f aca="false">IF(B278="","",IF(AND(N278="Sí",OR(E278="",NOT(ISNUMBER(F278)))),"⚠ Falta tipo de contrato o fecha de inicio",IF(NOT(ISNUMBER(F278)),"⚠ Falta fecha de inicio",IF(AND(N278="Sí",E278&lt;&gt;"Indefinido",NOT(ISNUMBER(G278))),"⚠ Falta fecha de término",IF(AND(D278="Paso a indefinido",E278&lt;&gt;"Indefinido"),"⚠ Un paso a indefinido debe tener tipo Indefinido",IF(N(Q278)&gt;=3,"⚠ 3er contrato a plazo fijo: por ley ya es INDEFINIDO (Art. 159 N°4)",IF(AND(E278="Plazo fijo",N(T278)&gt;12),"⚠ Plazo fijo mayor a 1 año (máx. legal; 2 años solo profesionales o técnicos)",IF(AND(ISNUMBER(G278),G278&lt;F278),"⚠ Término anterior al inicio",IF(AND(D278="Contrato inicial",ISNUMBER(J278),J278-F278&gt;15),"⚠ Escriturado fuera de plazo (Art. 9: 15 días)",IF(K278&lt;&gt;"Sí","Pendiente de firma","OK"))))))))))</f>
        <v/>
      </c>
    </row>
    <row r="279" customFormat="false" ht="15" hidden="false" customHeight="false" outlineLevel="0" collapsed="false">
      <c r="B279" s="64"/>
      <c r="C279" s="72" t="str">
        <f aca="false">IF(B279="","",IFERROR(INDEX(T_NOMBRE,MATCH(B279,T_ID,0)),"⚠ ID no existe en Trabajadores"))</f>
        <v/>
      </c>
      <c r="D279" s="64"/>
      <c r="E279" s="64"/>
      <c r="F279" s="65"/>
      <c r="G279" s="65"/>
      <c r="H279" s="67"/>
      <c r="I279" s="64"/>
      <c r="J279" s="65"/>
      <c r="K279" s="64"/>
      <c r="L279" s="64"/>
      <c r="M279" s="64"/>
      <c r="N279" s="72" t="str">
        <f aca="false">IF(B279="","",IF(D279="Anexo de modificación","No","Sí"))</f>
        <v/>
      </c>
      <c r="O279" s="73" t="str">
        <f aca="false">IF(AND(N279="Sí",ISNUMBER(F279)),COUNTIFS(C_ID,B279,C_DEFINE,"Sí",C_INICIO,"&lt;"&amp;F279)+COUNTIFS(B$7:B279,B279,N$7:N279,"Sí",F$7:F279,F279),"")</f>
        <v/>
      </c>
      <c r="P279" s="72" t="str">
        <f aca="false">IF(O279="","",B279&amp;"-P"&amp;O279)</f>
        <v/>
      </c>
      <c r="Q279" s="73" t="str">
        <f aca="false">IF(AND(N279="Sí",E279="Plazo fijo",ISNUMBER(F279)),COUNTIFS(C_ID,B279,C_TIPO,"Plazo fijo",C_DEFINE,"Sí",C_INICIO,"&lt;"&amp;F279)+COUNTIFS(B$7:B279,B279,E$7:E279,"Plazo fijo",N$7:N279,"Sí",F$7:F279,F279),"")</f>
        <v/>
      </c>
      <c r="R279" s="73" t="str">
        <f aca="false">IF(AND(B279&lt;&gt;"",ISNUMBER(H279),ISNUMBER(F279)),COUNTIFS(C_ID,B279,C_SUELDO,"&lt;&gt;",C_INICIO,"&lt;"&amp;F279)+COUNTIFS(B$7:B279,B279,H$7:H279,"&lt;&gt;",F$7:F279,F279),"")</f>
        <v/>
      </c>
      <c r="S279" s="72" t="str">
        <f aca="false">IF(R279="","",B279&amp;"-S"&amp;R279)</f>
        <v/>
      </c>
      <c r="T279" s="74" t="str">
        <f aca="false">IF(AND(ISNUMBER(F279),ISNUMBER(G279)),ROUND((G279-F279+1)/30.4375,1),"")</f>
        <v/>
      </c>
      <c r="U279" s="70" t="str">
        <f aca="false">IF(B279="","",IF(AND(N279="Sí",OR(E279="",NOT(ISNUMBER(F279)))),"⚠ Falta tipo de contrato o fecha de inicio",IF(NOT(ISNUMBER(F279)),"⚠ Falta fecha de inicio",IF(AND(N279="Sí",E279&lt;&gt;"Indefinido",NOT(ISNUMBER(G279))),"⚠ Falta fecha de término",IF(AND(D279="Paso a indefinido",E279&lt;&gt;"Indefinido"),"⚠ Un paso a indefinido debe tener tipo Indefinido",IF(N(Q279)&gt;=3,"⚠ 3er contrato a plazo fijo: por ley ya es INDEFINIDO (Art. 159 N°4)",IF(AND(E279="Plazo fijo",N(T279)&gt;12),"⚠ Plazo fijo mayor a 1 año (máx. legal; 2 años solo profesionales o técnicos)",IF(AND(ISNUMBER(G279),G279&lt;F279),"⚠ Término anterior al inicio",IF(AND(D279="Contrato inicial",ISNUMBER(J279),J279-F279&gt;15),"⚠ Escriturado fuera de plazo (Art. 9: 15 días)",IF(K279&lt;&gt;"Sí","Pendiente de firma","OK"))))))))))</f>
        <v/>
      </c>
    </row>
    <row r="280" customFormat="false" ht="15" hidden="false" customHeight="false" outlineLevel="0" collapsed="false">
      <c r="B280" s="64"/>
      <c r="C280" s="72" t="str">
        <f aca="false">IF(B280="","",IFERROR(INDEX(T_NOMBRE,MATCH(B280,T_ID,0)),"⚠ ID no existe en Trabajadores"))</f>
        <v/>
      </c>
      <c r="D280" s="64"/>
      <c r="E280" s="64"/>
      <c r="F280" s="65"/>
      <c r="G280" s="65"/>
      <c r="H280" s="67"/>
      <c r="I280" s="64"/>
      <c r="J280" s="65"/>
      <c r="K280" s="64"/>
      <c r="L280" s="64"/>
      <c r="M280" s="64"/>
      <c r="N280" s="72" t="str">
        <f aca="false">IF(B280="","",IF(D280="Anexo de modificación","No","Sí"))</f>
        <v/>
      </c>
      <c r="O280" s="73" t="str">
        <f aca="false">IF(AND(N280="Sí",ISNUMBER(F280)),COUNTIFS(C_ID,B280,C_DEFINE,"Sí",C_INICIO,"&lt;"&amp;F280)+COUNTIFS(B$7:B280,B280,N$7:N280,"Sí",F$7:F280,F280),"")</f>
        <v/>
      </c>
      <c r="P280" s="72" t="str">
        <f aca="false">IF(O280="","",B280&amp;"-P"&amp;O280)</f>
        <v/>
      </c>
      <c r="Q280" s="73" t="str">
        <f aca="false">IF(AND(N280="Sí",E280="Plazo fijo",ISNUMBER(F280)),COUNTIFS(C_ID,B280,C_TIPO,"Plazo fijo",C_DEFINE,"Sí",C_INICIO,"&lt;"&amp;F280)+COUNTIFS(B$7:B280,B280,E$7:E280,"Plazo fijo",N$7:N280,"Sí",F$7:F280,F280),"")</f>
        <v/>
      </c>
      <c r="R280" s="73" t="str">
        <f aca="false">IF(AND(B280&lt;&gt;"",ISNUMBER(H280),ISNUMBER(F280)),COUNTIFS(C_ID,B280,C_SUELDO,"&lt;&gt;",C_INICIO,"&lt;"&amp;F280)+COUNTIFS(B$7:B280,B280,H$7:H280,"&lt;&gt;",F$7:F280,F280),"")</f>
        <v/>
      </c>
      <c r="S280" s="72" t="str">
        <f aca="false">IF(R280="","",B280&amp;"-S"&amp;R280)</f>
        <v/>
      </c>
      <c r="T280" s="74" t="str">
        <f aca="false">IF(AND(ISNUMBER(F280),ISNUMBER(G280)),ROUND((G280-F280+1)/30.4375,1),"")</f>
        <v/>
      </c>
      <c r="U280" s="70" t="str">
        <f aca="false">IF(B280="","",IF(AND(N280="Sí",OR(E280="",NOT(ISNUMBER(F280)))),"⚠ Falta tipo de contrato o fecha de inicio",IF(NOT(ISNUMBER(F280)),"⚠ Falta fecha de inicio",IF(AND(N280="Sí",E280&lt;&gt;"Indefinido",NOT(ISNUMBER(G280))),"⚠ Falta fecha de término",IF(AND(D280="Paso a indefinido",E280&lt;&gt;"Indefinido"),"⚠ Un paso a indefinido debe tener tipo Indefinido",IF(N(Q280)&gt;=3,"⚠ 3er contrato a plazo fijo: por ley ya es INDEFINIDO (Art. 159 N°4)",IF(AND(E280="Plazo fijo",N(T280)&gt;12),"⚠ Plazo fijo mayor a 1 año (máx. legal; 2 años solo profesionales o técnicos)",IF(AND(ISNUMBER(G280),G280&lt;F280),"⚠ Término anterior al inicio",IF(AND(D280="Contrato inicial",ISNUMBER(J280),J280-F280&gt;15),"⚠ Escriturado fuera de plazo (Art. 9: 15 días)",IF(K280&lt;&gt;"Sí","Pendiente de firma","OK"))))))))))</f>
        <v/>
      </c>
    </row>
    <row r="281" customFormat="false" ht="15" hidden="false" customHeight="false" outlineLevel="0" collapsed="false">
      <c r="B281" s="64"/>
      <c r="C281" s="72" t="str">
        <f aca="false">IF(B281="","",IFERROR(INDEX(T_NOMBRE,MATCH(B281,T_ID,0)),"⚠ ID no existe en Trabajadores"))</f>
        <v/>
      </c>
      <c r="D281" s="64"/>
      <c r="E281" s="64"/>
      <c r="F281" s="65"/>
      <c r="G281" s="65"/>
      <c r="H281" s="67"/>
      <c r="I281" s="64"/>
      <c r="J281" s="65"/>
      <c r="K281" s="64"/>
      <c r="L281" s="64"/>
      <c r="M281" s="64"/>
      <c r="N281" s="72" t="str">
        <f aca="false">IF(B281="","",IF(D281="Anexo de modificación","No","Sí"))</f>
        <v/>
      </c>
      <c r="O281" s="73" t="str">
        <f aca="false">IF(AND(N281="Sí",ISNUMBER(F281)),COUNTIFS(C_ID,B281,C_DEFINE,"Sí",C_INICIO,"&lt;"&amp;F281)+COUNTIFS(B$7:B281,B281,N$7:N281,"Sí",F$7:F281,F281),"")</f>
        <v/>
      </c>
      <c r="P281" s="72" t="str">
        <f aca="false">IF(O281="","",B281&amp;"-P"&amp;O281)</f>
        <v/>
      </c>
      <c r="Q281" s="73" t="str">
        <f aca="false">IF(AND(N281="Sí",E281="Plazo fijo",ISNUMBER(F281)),COUNTIFS(C_ID,B281,C_TIPO,"Plazo fijo",C_DEFINE,"Sí",C_INICIO,"&lt;"&amp;F281)+COUNTIFS(B$7:B281,B281,E$7:E281,"Plazo fijo",N$7:N281,"Sí",F$7:F281,F281),"")</f>
        <v/>
      </c>
      <c r="R281" s="73" t="str">
        <f aca="false">IF(AND(B281&lt;&gt;"",ISNUMBER(H281),ISNUMBER(F281)),COUNTIFS(C_ID,B281,C_SUELDO,"&lt;&gt;",C_INICIO,"&lt;"&amp;F281)+COUNTIFS(B$7:B281,B281,H$7:H281,"&lt;&gt;",F$7:F281,F281),"")</f>
        <v/>
      </c>
      <c r="S281" s="72" t="str">
        <f aca="false">IF(R281="","",B281&amp;"-S"&amp;R281)</f>
        <v/>
      </c>
      <c r="T281" s="74" t="str">
        <f aca="false">IF(AND(ISNUMBER(F281),ISNUMBER(G281)),ROUND((G281-F281+1)/30.4375,1),"")</f>
        <v/>
      </c>
      <c r="U281" s="70" t="str">
        <f aca="false">IF(B281="","",IF(AND(N281="Sí",OR(E281="",NOT(ISNUMBER(F281)))),"⚠ Falta tipo de contrato o fecha de inicio",IF(NOT(ISNUMBER(F281)),"⚠ Falta fecha de inicio",IF(AND(N281="Sí",E281&lt;&gt;"Indefinido",NOT(ISNUMBER(G281))),"⚠ Falta fecha de término",IF(AND(D281="Paso a indefinido",E281&lt;&gt;"Indefinido"),"⚠ Un paso a indefinido debe tener tipo Indefinido",IF(N(Q281)&gt;=3,"⚠ 3er contrato a plazo fijo: por ley ya es INDEFINIDO (Art. 159 N°4)",IF(AND(E281="Plazo fijo",N(T281)&gt;12),"⚠ Plazo fijo mayor a 1 año (máx. legal; 2 años solo profesionales o técnicos)",IF(AND(ISNUMBER(G281),G281&lt;F281),"⚠ Término anterior al inicio",IF(AND(D281="Contrato inicial",ISNUMBER(J281),J281-F281&gt;15),"⚠ Escriturado fuera de plazo (Art. 9: 15 días)",IF(K281&lt;&gt;"Sí","Pendiente de firma","OK"))))))))))</f>
        <v/>
      </c>
    </row>
    <row r="282" customFormat="false" ht="15" hidden="false" customHeight="false" outlineLevel="0" collapsed="false">
      <c r="B282" s="64"/>
      <c r="C282" s="72" t="str">
        <f aca="false">IF(B282="","",IFERROR(INDEX(T_NOMBRE,MATCH(B282,T_ID,0)),"⚠ ID no existe en Trabajadores"))</f>
        <v/>
      </c>
      <c r="D282" s="64"/>
      <c r="E282" s="64"/>
      <c r="F282" s="65"/>
      <c r="G282" s="65"/>
      <c r="H282" s="67"/>
      <c r="I282" s="64"/>
      <c r="J282" s="65"/>
      <c r="K282" s="64"/>
      <c r="L282" s="64"/>
      <c r="M282" s="64"/>
      <c r="N282" s="72" t="str">
        <f aca="false">IF(B282="","",IF(D282="Anexo de modificación","No","Sí"))</f>
        <v/>
      </c>
      <c r="O282" s="73" t="str">
        <f aca="false">IF(AND(N282="Sí",ISNUMBER(F282)),COUNTIFS(C_ID,B282,C_DEFINE,"Sí",C_INICIO,"&lt;"&amp;F282)+COUNTIFS(B$7:B282,B282,N$7:N282,"Sí",F$7:F282,F282),"")</f>
        <v/>
      </c>
      <c r="P282" s="72" t="str">
        <f aca="false">IF(O282="","",B282&amp;"-P"&amp;O282)</f>
        <v/>
      </c>
      <c r="Q282" s="73" t="str">
        <f aca="false">IF(AND(N282="Sí",E282="Plazo fijo",ISNUMBER(F282)),COUNTIFS(C_ID,B282,C_TIPO,"Plazo fijo",C_DEFINE,"Sí",C_INICIO,"&lt;"&amp;F282)+COUNTIFS(B$7:B282,B282,E$7:E282,"Plazo fijo",N$7:N282,"Sí",F$7:F282,F282),"")</f>
        <v/>
      </c>
      <c r="R282" s="73" t="str">
        <f aca="false">IF(AND(B282&lt;&gt;"",ISNUMBER(H282),ISNUMBER(F282)),COUNTIFS(C_ID,B282,C_SUELDO,"&lt;&gt;",C_INICIO,"&lt;"&amp;F282)+COUNTIFS(B$7:B282,B282,H$7:H282,"&lt;&gt;",F$7:F282,F282),"")</f>
        <v/>
      </c>
      <c r="S282" s="72" t="str">
        <f aca="false">IF(R282="","",B282&amp;"-S"&amp;R282)</f>
        <v/>
      </c>
      <c r="T282" s="74" t="str">
        <f aca="false">IF(AND(ISNUMBER(F282),ISNUMBER(G282)),ROUND((G282-F282+1)/30.4375,1),"")</f>
        <v/>
      </c>
      <c r="U282" s="70" t="str">
        <f aca="false">IF(B282="","",IF(AND(N282="Sí",OR(E282="",NOT(ISNUMBER(F282)))),"⚠ Falta tipo de contrato o fecha de inicio",IF(NOT(ISNUMBER(F282)),"⚠ Falta fecha de inicio",IF(AND(N282="Sí",E282&lt;&gt;"Indefinido",NOT(ISNUMBER(G282))),"⚠ Falta fecha de término",IF(AND(D282="Paso a indefinido",E282&lt;&gt;"Indefinido"),"⚠ Un paso a indefinido debe tener tipo Indefinido",IF(N(Q282)&gt;=3,"⚠ 3er contrato a plazo fijo: por ley ya es INDEFINIDO (Art. 159 N°4)",IF(AND(E282="Plazo fijo",N(T282)&gt;12),"⚠ Plazo fijo mayor a 1 año (máx. legal; 2 años solo profesionales o técnicos)",IF(AND(ISNUMBER(G282),G282&lt;F282),"⚠ Término anterior al inicio",IF(AND(D282="Contrato inicial",ISNUMBER(J282),J282-F282&gt;15),"⚠ Escriturado fuera de plazo (Art. 9: 15 días)",IF(K282&lt;&gt;"Sí","Pendiente de firma","OK"))))))))))</f>
        <v/>
      </c>
    </row>
    <row r="283" customFormat="false" ht="15" hidden="false" customHeight="false" outlineLevel="0" collapsed="false">
      <c r="B283" s="64"/>
      <c r="C283" s="72" t="str">
        <f aca="false">IF(B283="","",IFERROR(INDEX(T_NOMBRE,MATCH(B283,T_ID,0)),"⚠ ID no existe en Trabajadores"))</f>
        <v/>
      </c>
      <c r="D283" s="64"/>
      <c r="E283" s="64"/>
      <c r="F283" s="65"/>
      <c r="G283" s="65"/>
      <c r="H283" s="67"/>
      <c r="I283" s="64"/>
      <c r="J283" s="65"/>
      <c r="K283" s="64"/>
      <c r="L283" s="64"/>
      <c r="M283" s="64"/>
      <c r="N283" s="72" t="str">
        <f aca="false">IF(B283="","",IF(D283="Anexo de modificación","No","Sí"))</f>
        <v/>
      </c>
      <c r="O283" s="73" t="str">
        <f aca="false">IF(AND(N283="Sí",ISNUMBER(F283)),COUNTIFS(C_ID,B283,C_DEFINE,"Sí",C_INICIO,"&lt;"&amp;F283)+COUNTIFS(B$7:B283,B283,N$7:N283,"Sí",F$7:F283,F283),"")</f>
        <v/>
      </c>
      <c r="P283" s="72" t="str">
        <f aca="false">IF(O283="","",B283&amp;"-P"&amp;O283)</f>
        <v/>
      </c>
      <c r="Q283" s="73" t="str">
        <f aca="false">IF(AND(N283="Sí",E283="Plazo fijo",ISNUMBER(F283)),COUNTIFS(C_ID,B283,C_TIPO,"Plazo fijo",C_DEFINE,"Sí",C_INICIO,"&lt;"&amp;F283)+COUNTIFS(B$7:B283,B283,E$7:E283,"Plazo fijo",N$7:N283,"Sí",F$7:F283,F283),"")</f>
        <v/>
      </c>
      <c r="R283" s="73" t="str">
        <f aca="false">IF(AND(B283&lt;&gt;"",ISNUMBER(H283),ISNUMBER(F283)),COUNTIFS(C_ID,B283,C_SUELDO,"&lt;&gt;",C_INICIO,"&lt;"&amp;F283)+COUNTIFS(B$7:B283,B283,H$7:H283,"&lt;&gt;",F$7:F283,F283),"")</f>
        <v/>
      </c>
      <c r="S283" s="72" t="str">
        <f aca="false">IF(R283="","",B283&amp;"-S"&amp;R283)</f>
        <v/>
      </c>
      <c r="T283" s="74" t="str">
        <f aca="false">IF(AND(ISNUMBER(F283),ISNUMBER(G283)),ROUND((G283-F283+1)/30.4375,1),"")</f>
        <v/>
      </c>
      <c r="U283" s="70" t="str">
        <f aca="false">IF(B283="","",IF(AND(N283="Sí",OR(E283="",NOT(ISNUMBER(F283)))),"⚠ Falta tipo de contrato o fecha de inicio",IF(NOT(ISNUMBER(F283)),"⚠ Falta fecha de inicio",IF(AND(N283="Sí",E283&lt;&gt;"Indefinido",NOT(ISNUMBER(G283))),"⚠ Falta fecha de término",IF(AND(D283="Paso a indefinido",E283&lt;&gt;"Indefinido"),"⚠ Un paso a indefinido debe tener tipo Indefinido",IF(N(Q283)&gt;=3,"⚠ 3er contrato a plazo fijo: por ley ya es INDEFINIDO (Art. 159 N°4)",IF(AND(E283="Plazo fijo",N(T283)&gt;12),"⚠ Plazo fijo mayor a 1 año (máx. legal; 2 años solo profesionales o técnicos)",IF(AND(ISNUMBER(G283),G283&lt;F283),"⚠ Término anterior al inicio",IF(AND(D283="Contrato inicial",ISNUMBER(J283),J283-F283&gt;15),"⚠ Escriturado fuera de plazo (Art. 9: 15 días)",IF(K283&lt;&gt;"Sí","Pendiente de firma","OK"))))))))))</f>
        <v/>
      </c>
    </row>
    <row r="284" customFormat="false" ht="15" hidden="false" customHeight="false" outlineLevel="0" collapsed="false">
      <c r="B284" s="64"/>
      <c r="C284" s="72" t="str">
        <f aca="false">IF(B284="","",IFERROR(INDEX(T_NOMBRE,MATCH(B284,T_ID,0)),"⚠ ID no existe en Trabajadores"))</f>
        <v/>
      </c>
      <c r="D284" s="64"/>
      <c r="E284" s="64"/>
      <c r="F284" s="65"/>
      <c r="G284" s="65"/>
      <c r="H284" s="67"/>
      <c r="I284" s="64"/>
      <c r="J284" s="65"/>
      <c r="K284" s="64"/>
      <c r="L284" s="64"/>
      <c r="M284" s="64"/>
      <c r="N284" s="72" t="str">
        <f aca="false">IF(B284="","",IF(D284="Anexo de modificación","No","Sí"))</f>
        <v/>
      </c>
      <c r="O284" s="73" t="str">
        <f aca="false">IF(AND(N284="Sí",ISNUMBER(F284)),COUNTIFS(C_ID,B284,C_DEFINE,"Sí",C_INICIO,"&lt;"&amp;F284)+COUNTIFS(B$7:B284,B284,N$7:N284,"Sí",F$7:F284,F284),"")</f>
        <v/>
      </c>
      <c r="P284" s="72" t="str">
        <f aca="false">IF(O284="","",B284&amp;"-P"&amp;O284)</f>
        <v/>
      </c>
      <c r="Q284" s="73" t="str">
        <f aca="false">IF(AND(N284="Sí",E284="Plazo fijo",ISNUMBER(F284)),COUNTIFS(C_ID,B284,C_TIPO,"Plazo fijo",C_DEFINE,"Sí",C_INICIO,"&lt;"&amp;F284)+COUNTIFS(B$7:B284,B284,E$7:E284,"Plazo fijo",N$7:N284,"Sí",F$7:F284,F284),"")</f>
        <v/>
      </c>
      <c r="R284" s="73" t="str">
        <f aca="false">IF(AND(B284&lt;&gt;"",ISNUMBER(H284),ISNUMBER(F284)),COUNTIFS(C_ID,B284,C_SUELDO,"&lt;&gt;",C_INICIO,"&lt;"&amp;F284)+COUNTIFS(B$7:B284,B284,H$7:H284,"&lt;&gt;",F$7:F284,F284),"")</f>
        <v/>
      </c>
      <c r="S284" s="72" t="str">
        <f aca="false">IF(R284="","",B284&amp;"-S"&amp;R284)</f>
        <v/>
      </c>
      <c r="T284" s="74" t="str">
        <f aca="false">IF(AND(ISNUMBER(F284),ISNUMBER(G284)),ROUND((G284-F284+1)/30.4375,1),"")</f>
        <v/>
      </c>
      <c r="U284" s="70" t="str">
        <f aca="false">IF(B284="","",IF(AND(N284="Sí",OR(E284="",NOT(ISNUMBER(F284)))),"⚠ Falta tipo de contrato o fecha de inicio",IF(NOT(ISNUMBER(F284)),"⚠ Falta fecha de inicio",IF(AND(N284="Sí",E284&lt;&gt;"Indefinido",NOT(ISNUMBER(G284))),"⚠ Falta fecha de término",IF(AND(D284="Paso a indefinido",E284&lt;&gt;"Indefinido"),"⚠ Un paso a indefinido debe tener tipo Indefinido",IF(N(Q284)&gt;=3,"⚠ 3er contrato a plazo fijo: por ley ya es INDEFINIDO (Art. 159 N°4)",IF(AND(E284="Plazo fijo",N(T284)&gt;12),"⚠ Plazo fijo mayor a 1 año (máx. legal; 2 años solo profesionales o técnicos)",IF(AND(ISNUMBER(G284),G284&lt;F284),"⚠ Término anterior al inicio",IF(AND(D284="Contrato inicial",ISNUMBER(J284),J284-F284&gt;15),"⚠ Escriturado fuera de plazo (Art. 9: 15 días)",IF(K284&lt;&gt;"Sí","Pendiente de firma","OK"))))))))))</f>
        <v/>
      </c>
    </row>
    <row r="285" customFormat="false" ht="15" hidden="false" customHeight="false" outlineLevel="0" collapsed="false">
      <c r="B285" s="64"/>
      <c r="C285" s="72" t="str">
        <f aca="false">IF(B285="","",IFERROR(INDEX(T_NOMBRE,MATCH(B285,T_ID,0)),"⚠ ID no existe en Trabajadores"))</f>
        <v/>
      </c>
      <c r="D285" s="64"/>
      <c r="E285" s="64"/>
      <c r="F285" s="65"/>
      <c r="G285" s="65"/>
      <c r="H285" s="67"/>
      <c r="I285" s="64"/>
      <c r="J285" s="65"/>
      <c r="K285" s="64"/>
      <c r="L285" s="64"/>
      <c r="M285" s="64"/>
      <c r="N285" s="72" t="str">
        <f aca="false">IF(B285="","",IF(D285="Anexo de modificación","No","Sí"))</f>
        <v/>
      </c>
      <c r="O285" s="73" t="str">
        <f aca="false">IF(AND(N285="Sí",ISNUMBER(F285)),COUNTIFS(C_ID,B285,C_DEFINE,"Sí",C_INICIO,"&lt;"&amp;F285)+COUNTIFS(B$7:B285,B285,N$7:N285,"Sí",F$7:F285,F285),"")</f>
        <v/>
      </c>
      <c r="P285" s="72" t="str">
        <f aca="false">IF(O285="","",B285&amp;"-P"&amp;O285)</f>
        <v/>
      </c>
      <c r="Q285" s="73" t="str">
        <f aca="false">IF(AND(N285="Sí",E285="Plazo fijo",ISNUMBER(F285)),COUNTIFS(C_ID,B285,C_TIPO,"Plazo fijo",C_DEFINE,"Sí",C_INICIO,"&lt;"&amp;F285)+COUNTIFS(B$7:B285,B285,E$7:E285,"Plazo fijo",N$7:N285,"Sí",F$7:F285,F285),"")</f>
        <v/>
      </c>
      <c r="R285" s="73" t="str">
        <f aca="false">IF(AND(B285&lt;&gt;"",ISNUMBER(H285),ISNUMBER(F285)),COUNTIFS(C_ID,B285,C_SUELDO,"&lt;&gt;",C_INICIO,"&lt;"&amp;F285)+COUNTIFS(B$7:B285,B285,H$7:H285,"&lt;&gt;",F$7:F285,F285),"")</f>
        <v/>
      </c>
      <c r="S285" s="72" t="str">
        <f aca="false">IF(R285="","",B285&amp;"-S"&amp;R285)</f>
        <v/>
      </c>
      <c r="T285" s="74" t="str">
        <f aca="false">IF(AND(ISNUMBER(F285),ISNUMBER(G285)),ROUND((G285-F285+1)/30.4375,1),"")</f>
        <v/>
      </c>
      <c r="U285" s="70" t="str">
        <f aca="false">IF(B285="","",IF(AND(N285="Sí",OR(E285="",NOT(ISNUMBER(F285)))),"⚠ Falta tipo de contrato o fecha de inicio",IF(NOT(ISNUMBER(F285)),"⚠ Falta fecha de inicio",IF(AND(N285="Sí",E285&lt;&gt;"Indefinido",NOT(ISNUMBER(G285))),"⚠ Falta fecha de término",IF(AND(D285="Paso a indefinido",E285&lt;&gt;"Indefinido"),"⚠ Un paso a indefinido debe tener tipo Indefinido",IF(N(Q285)&gt;=3,"⚠ 3er contrato a plazo fijo: por ley ya es INDEFINIDO (Art. 159 N°4)",IF(AND(E285="Plazo fijo",N(T285)&gt;12),"⚠ Plazo fijo mayor a 1 año (máx. legal; 2 años solo profesionales o técnicos)",IF(AND(ISNUMBER(G285),G285&lt;F285),"⚠ Término anterior al inicio",IF(AND(D285="Contrato inicial",ISNUMBER(J285),J285-F285&gt;15),"⚠ Escriturado fuera de plazo (Art. 9: 15 días)",IF(K285&lt;&gt;"Sí","Pendiente de firma","OK"))))))))))</f>
        <v/>
      </c>
    </row>
    <row r="286" customFormat="false" ht="15" hidden="false" customHeight="false" outlineLevel="0" collapsed="false">
      <c r="B286" s="64"/>
      <c r="C286" s="72" t="str">
        <f aca="false">IF(B286="","",IFERROR(INDEX(T_NOMBRE,MATCH(B286,T_ID,0)),"⚠ ID no existe en Trabajadores"))</f>
        <v/>
      </c>
      <c r="D286" s="64"/>
      <c r="E286" s="64"/>
      <c r="F286" s="65"/>
      <c r="G286" s="65"/>
      <c r="H286" s="67"/>
      <c r="I286" s="64"/>
      <c r="J286" s="65"/>
      <c r="K286" s="64"/>
      <c r="L286" s="64"/>
      <c r="M286" s="64"/>
      <c r="N286" s="72" t="str">
        <f aca="false">IF(B286="","",IF(D286="Anexo de modificación","No","Sí"))</f>
        <v/>
      </c>
      <c r="O286" s="73" t="str">
        <f aca="false">IF(AND(N286="Sí",ISNUMBER(F286)),COUNTIFS(C_ID,B286,C_DEFINE,"Sí",C_INICIO,"&lt;"&amp;F286)+COUNTIFS(B$7:B286,B286,N$7:N286,"Sí",F$7:F286,F286),"")</f>
        <v/>
      </c>
      <c r="P286" s="72" t="str">
        <f aca="false">IF(O286="","",B286&amp;"-P"&amp;O286)</f>
        <v/>
      </c>
      <c r="Q286" s="73" t="str">
        <f aca="false">IF(AND(N286="Sí",E286="Plazo fijo",ISNUMBER(F286)),COUNTIFS(C_ID,B286,C_TIPO,"Plazo fijo",C_DEFINE,"Sí",C_INICIO,"&lt;"&amp;F286)+COUNTIFS(B$7:B286,B286,E$7:E286,"Plazo fijo",N$7:N286,"Sí",F$7:F286,F286),"")</f>
        <v/>
      </c>
      <c r="R286" s="73" t="str">
        <f aca="false">IF(AND(B286&lt;&gt;"",ISNUMBER(H286),ISNUMBER(F286)),COUNTIFS(C_ID,B286,C_SUELDO,"&lt;&gt;",C_INICIO,"&lt;"&amp;F286)+COUNTIFS(B$7:B286,B286,H$7:H286,"&lt;&gt;",F$7:F286,F286),"")</f>
        <v/>
      </c>
      <c r="S286" s="72" t="str">
        <f aca="false">IF(R286="","",B286&amp;"-S"&amp;R286)</f>
        <v/>
      </c>
      <c r="T286" s="74" t="str">
        <f aca="false">IF(AND(ISNUMBER(F286),ISNUMBER(G286)),ROUND((G286-F286+1)/30.4375,1),"")</f>
        <v/>
      </c>
      <c r="U286" s="70" t="str">
        <f aca="false">IF(B286="","",IF(AND(N286="Sí",OR(E286="",NOT(ISNUMBER(F286)))),"⚠ Falta tipo de contrato o fecha de inicio",IF(NOT(ISNUMBER(F286)),"⚠ Falta fecha de inicio",IF(AND(N286="Sí",E286&lt;&gt;"Indefinido",NOT(ISNUMBER(G286))),"⚠ Falta fecha de término",IF(AND(D286="Paso a indefinido",E286&lt;&gt;"Indefinido"),"⚠ Un paso a indefinido debe tener tipo Indefinido",IF(N(Q286)&gt;=3,"⚠ 3er contrato a plazo fijo: por ley ya es INDEFINIDO (Art. 159 N°4)",IF(AND(E286="Plazo fijo",N(T286)&gt;12),"⚠ Plazo fijo mayor a 1 año (máx. legal; 2 años solo profesionales o técnicos)",IF(AND(ISNUMBER(G286),G286&lt;F286),"⚠ Término anterior al inicio",IF(AND(D286="Contrato inicial",ISNUMBER(J286),J286-F286&gt;15),"⚠ Escriturado fuera de plazo (Art. 9: 15 días)",IF(K286&lt;&gt;"Sí","Pendiente de firma","OK"))))))))))</f>
        <v/>
      </c>
    </row>
    <row r="287" customFormat="false" ht="15" hidden="false" customHeight="false" outlineLevel="0" collapsed="false">
      <c r="B287" s="64"/>
      <c r="C287" s="72" t="str">
        <f aca="false">IF(B287="","",IFERROR(INDEX(T_NOMBRE,MATCH(B287,T_ID,0)),"⚠ ID no existe en Trabajadores"))</f>
        <v/>
      </c>
      <c r="D287" s="64"/>
      <c r="E287" s="64"/>
      <c r="F287" s="65"/>
      <c r="G287" s="65"/>
      <c r="H287" s="67"/>
      <c r="I287" s="64"/>
      <c r="J287" s="65"/>
      <c r="K287" s="64"/>
      <c r="L287" s="64"/>
      <c r="M287" s="64"/>
      <c r="N287" s="72" t="str">
        <f aca="false">IF(B287="","",IF(D287="Anexo de modificación","No","Sí"))</f>
        <v/>
      </c>
      <c r="O287" s="73" t="str">
        <f aca="false">IF(AND(N287="Sí",ISNUMBER(F287)),COUNTIFS(C_ID,B287,C_DEFINE,"Sí",C_INICIO,"&lt;"&amp;F287)+COUNTIFS(B$7:B287,B287,N$7:N287,"Sí",F$7:F287,F287),"")</f>
        <v/>
      </c>
      <c r="P287" s="72" t="str">
        <f aca="false">IF(O287="","",B287&amp;"-P"&amp;O287)</f>
        <v/>
      </c>
      <c r="Q287" s="73" t="str">
        <f aca="false">IF(AND(N287="Sí",E287="Plazo fijo",ISNUMBER(F287)),COUNTIFS(C_ID,B287,C_TIPO,"Plazo fijo",C_DEFINE,"Sí",C_INICIO,"&lt;"&amp;F287)+COUNTIFS(B$7:B287,B287,E$7:E287,"Plazo fijo",N$7:N287,"Sí",F$7:F287,F287),"")</f>
        <v/>
      </c>
      <c r="R287" s="73" t="str">
        <f aca="false">IF(AND(B287&lt;&gt;"",ISNUMBER(H287),ISNUMBER(F287)),COUNTIFS(C_ID,B287,C_SUELDO,"&lt;&gt;",C_INICIO,"&lt;"&amp;F287)+COUNTIFS(B$7:B287,B287,H$7:H287,"&lt;&gt;",F$7:F287,F287),"")</f>
        <v/>
      </c>
      <c r="S287" s="72" t="str">
        <f aca="false">IF(R287="","",B287&amp;"-S"&amp;R287)</f>
        <v/>
      </c>
      <c r="T287" s="74" t="str">
        <f aca="false">IF(AND(ISNUMBER(F287),ISNUMBER(G287)),ROUND((G287-F287+1)/30.4375,1),"")</f>
        <v/>
      </c>
      <c r="U287" s="70" t="str">
        <f aca="false">IF(B287="","",IF(AND(N287="Sí",OR(E287="",NOT(ISNUMBER(F287)))),"⚠ Falta tipo de contrato o fecha de inicio",IF(NOT(ISNUMBER(F287)),"⚠ Falta fecha de inicio",IF(AND(N287="Sí",E287&lt;&gt;"Indefinido",NOT(ISNUMBER(G287))),"⚠ Falta fecha de término",IF(AND(D287="Paso a indefinido",E287&lt;&gt;"Indefinido"),"⚠ Un paso a indefinido debe tener tipo Indefinido",IF(N(Q287)&gt;=3,"⚠ 3er contrato a plazo fijo: por ley ya es INDEFINIDO (Art. 159 N°4)",IF(AND(E287="Plazo fijo",N(T287)&gt;12),"⚠ Plazo fijo mayor a 1 año (máx. legal; 2 años solo profesionales o técnicos)",IF(AND(ISNUMBER(G287),G287&lt;F287),"⚠ Término anterior al inicio",IF(AND(D287="Contrato inicial",ISNUMBER(J287),J287-F287&gt;15),"⚠ Escriturado fuera de plazo (Art. 9: 15 días)",IF(K287&lt;&gt;"Sí","Pendiente de firma","OK"))))))))))</f>
        <v/>
      </c>
    </row>
    <row r="288" customFormat="false" ht="15" hidden="false" customHeight="false" outlineLevel="0" collapsed="false">
      <c r="B288" s="64"/>
      <c r="C288" s="72" t="str">
        <f aca="false">IF(B288="","",IFERROR(INDEX(T_NOMBRE,MATCH(B288,T_ID,0)),"⚠ ID no existe en Trabajadores"))</f>
        <v/>
      </c>
      <c r="D288" s="64"/>
      <c r="E288" s="64"/>
      <c r="F288" s="65"/>
      <c r="G288" s="65"/>
      <c r="H288" s="67"/>
      <c r="I288" s="64"/>
      <c r="J288" s="65"/>
      <c r="K288" s="64"/>
      <c r="L288" s="64"/>
      <c r="M288" s="64"/>
      <c r="N288" s="72" t="str">
        <f aca="false">IF(B288="","",IF(D288="Anexo de modificación","No","Sí"))</f>
        <v/>
      </c>
      <c r="O288" s="73" t="str">
        <f aca="false">IF(AND(N288="Sí",ISNUMBER(F288)),COUNTIFS(C_ID,B288,C_DEFINE,"Sí",C_INICIO,"&lt;"&amp;F288)+COUNTIFS(B$7:B288,B288,N$7:N288,"Sí",F$7:F288,F288),"")</f>
        <v/>
      </c>
      <c r="P288" s="72" t="str">
        <f aca="false">IF(O288="","",B288&amp;"-P"&amp;O288)</f>
        <v/>
      </c>
      <c r="Q288" s="73" t="str">
        <f aca="false">IF(AND(N288="Sí",E288="Plazo fijo",ISNUMBER(F288)),COUNTIFS(C_ID,B288,C_TIPO,"Plazo fijo",C_DEFINE,"Sí",C_INICIO,"&lt;"&amp;F288)+COUNTIFS(B$7:B288,B288,E$7:E288,"Plazo fijo",N$7:N288,"Sí",F$7:F288,F288),"")</f>
        <v/>
      </c>
      <c r="R288" s="73" t="str">
        <f aca="false">IF(AND(B288&lt;&gt;"",ISNUMBER(H288),ISNUMBER(F288)),COUNTIFS(C_ID,B288,C_SUELDO,"&lt;&gt;",C_INICIO,"&lt;"&amp;F288)+COUNTIFS(B$7:B288,B288,H$7:H288,"&lt;&gt;",F$7:F288,F288),"")</f>
        <v/>
      </c>
      <c r="S288" s="72" t="str">
        <f aca="false">IF(R288="","",B288&amp;"-S"&amp;R288)</f>
        <v/>
      </c>
      <c r="T288" s="74" t="str">
        <f aca="false">IF(AND(ISNUMBER(F288),ISNUMBER(G288)),ROUND((G288-F288+1)/30.4375,1),"")</f>
        <v/>
      </c>
      <c r="U288" s="70" t="str">
        <f aca="false">IF(B288="","",IF(AND(N288="Sí",OR(E288="",NOT(ISNUMBER(F288)))),"⚠ Falta tipo de contrato o fecha de inicio",IF(NOT(ISNUMBER(F288)),"⚠ Falta fecha de inicio",IF(AND(N288="Sí",E288&lt;&gt;"Indefinido",NOT(ISNUMBER(G288))),"⚠ Falta fecha de término",IF(AND(D288="Paso a indefinido",E288&lt;&gt;"Indefinido"),"⚠ Un paso a indefinido debe tener tipo Indefinido",IF(N(Q288)&gt;=3,"⚠ 3er contrato a plazo fijo: por ley ya es INDEFINIDO (Art. 159 N°4)",IF(AND(E288="Plazo fijo",N(T288)&gt;12),"⚠ Plazo fijo mayor a 1 año (máx. legal; 2 años solo profesionales o técnicos)",IF(AND(ISNUMBER(G288),G288&lt;F288),"⚠ Término anterior al inicio",IF(AND(D288="Contrato inicial",ISNUMBER(J288),J288-F288&gt;15),"⚠ Escriturado fuera de plazo (Art. 9: 15 días)",IF(K288&lt;&gt;"Sí","Pendiente de firma","OK"))))))))))</f>
        <v/>
      </c>
    </row>
    <row r="289" customFormat="false" ht="15" hidden="false" customHeight="false" outlineLevel="0" collapsed="false">
      <c r="B289" s="64"/>
      <c r="C289" s="72" t="str">
        <f aca="false">IF(B289="","",IFERROR(INDEX(T_NOMBRE,MATCH(B289,T_ID,0)),"⚠ ID no existe en Trabajadores"))</f>
        <v/>
      </c>
      <c r="D289" s="64"/>
      <c r="E289" s="64"/>
      <c r="F289" s="65"/>
      <c r="G289" s="65"/>
      <c r="H289" s="67"/>
      <c r="I289" s="64"/>
      <c r="J289" s="65"/>
      <c r="K289" s="64"/>
      <c r="L289" s="64"/>
      <c r="M289" s="64"/>
      <c r="N289" s="72" t="str">
        <f aca="false">IF(B289="","",IF(D289="Anexo de modificación","No","Sí"))</f>
        <v/>
      </c>
      <c r="O289" s="73" t="str">
        <f aca="false">IF(AND(N289="Sí",ISNUMBER(F289)),COUNTIFS(C_ID,B289,C_DEFINE,"Sí",C_INICIO,"&lt;"&amp;F289)+COUNTIFS(B$7:B289,B289,N$7:N289,"Sí",F$7:F289,F289),"")</f>
        <v/>
      </c>
      <c r="P289" s="72" t="str">
        <f aca="false">IF(O289="","",B289&amp;"-P"&amp;O289)</f>
        <v/>
      </c>
      <c r="Q289" s="73" t="str">
        <f aca="false">IF(AND(N289="Sí",E289="Plazo fijo",ISNUMBER(F289)),COUNTIFS(C_ID,B289,C_TIPO,"Plazo fijo",C_DEFINE,"Sí",C_INICIO,"&lt;"&amp;F289)+COUNTIFS(B$7:B289,B289,E$7:E289,"Plazo fijo",N$7:N289,"Sí",F$7:F289,F289),"")</f>
        <v/>
      </c>
      <c r="R289" s="73" t="str">
        <f aca="false">IF(AND(B289&lt;&gt;"",ISNUMBER(H289),ISNUMBER(F289)),COUNTIFS(C_ID,B289,C_SUELDO,"&lt;&gt;",C_INICIO,"&lt;"&amp;F289)+COUNTIFS(B$7:B289,B289,H$7:H289,"&lt;&gt;",F$7:F289,F289),"")</f>
        <v/>
      </c>
      <c r="S289" s="72" t="str">
        <f aca="false">IF(R289="","",B289&amp;"-S"&amp;R289)</f>
        <v/>
      </c>
      <c r="T289" s="74" t="str">
        <f aca="false">IF(AND(ISNUMBER(F289),ISNUMBER(G289)),ROUND((G289-F289+1)/30.4375,1),"")</f>
        <v/>
      </c>
      <c r="U289" s="70" t="str">
        <f aca="false">IF(B289="","",IF(AND(N289="Sí",OR(E289="",NOT(ISNUMBER(F289)))),"⚠ Falta tipo de contrato o fecha de inicio",IF(NOT(ISNUMBER(F289)),"⚠ Falta fecha de inicio",IF(AND(N289="Sí",E289&lt;&gt;"Indefinido",NOT(ISNUMBER(G289))),"⚠ Falta fecha de término",IF(AND(D289="Paso a indefinido",E289&lt;&gt;"Indefinido"),"⚠ Un paso a indefinido debe tener tipo Indefinido",IF(N(Q289)&gt;=3,"⚠ 3er contrato a plazo fijo: por ley ya es INDEFINIDO (Art. 159 N°4)",IF(AND(E289="Plazo fijo",N(T289)&gt;12),"⚠ Plazo fijo mayor a 1 año (máx. legal; 2 años solo profesionales o técnicos)",IF(AND(ISNUMBER(G289),G289&lt;F289),"⚠ Término anterior al inicio",IF(AND(D289="Contrato inicial",ISNUMBER(J289),J289-F289&gt;15),"⚠ Escriturado fuera de plazo (Art. 9: 15 días)",IF(K289&lt;&gt;"Sí","Pendiente de firma","OK"))))))))))</f>
        <v/>
      </c>
    </row>
    <row r="290" customFormat="false" ht="15" hidden="false" customHeight="false" outlineLevel="0" collapsed="false">
      <c r="B290" s="64"/>
      <c r="C290" s="72" t="str">
        <f aca="false">IF(B290="","",IFERROR(INDEX(T_NOMBRE,MATCH(B290,T_ID,0)),"⚠ ID no existe en Trabajadores"))</f>
        <v/>
      </c>
      <c r="D290" s="64"/>
      <c r="E290" s="64"/>
      <c r="F290" s="65"/>
      <c r="G290" s="65"/>
      <c r="H290" s="67"/>
      <c r="I290" s="64"/>
      <c r="J290" s="65"/>
      <c r="K290" s="64"/>
      <c r="L290" s="64"/>
      <c r="M290" s="64"/>
      <c r="N290" s="72" t="str">
        <f aca="false">IF(B290="","",IF(D290="Anexo de modificación","No","Sí"))</f>
        <v/>
      </c>
      <c r="O290" s="73" t="str">
        <f aca="false">IF(AND(N290="Sí",ISNUMBER(F290)),COUNTIFS(C_ID,B290,C_DEFINE,"Sí",C_INICIO,"&lt;"&amp;F290)+COUNTIFS(B$7:B290,B290,N$7:N290,"Sí",F$7:F290,F290),"")</f>
        <v/>
      </c>
      <c r="P290" s="72" t="str">
        <f aca="false">IF(O290="","",B290&amp;"-P"&amp;O290)</f>
        <v/>
      </c>
      <c r="Q290" s="73" t="str">
        <f aca="false">IF(AND(N290="Sí",E290="Plazo fijo",ISNUMBER(F290)),COUNTIFS(C_ID,B290,C_TIPO,"Plazo fijo",C_DEFINE,"Sí",C_INICIO,"&lt;"&amp;F290)+COUNTIFS(B$7:B290,B290,E$7:E290,"Plazo fijo",N$7:N290,"Sí",F$7:F290,F290),"")</f>
        <v/>
      </c>
      <c r="R290" s="73" t="str">
        <f aca="false">IF(AND(B290&lt;&gt;"",ISNUMBER(H290),ISNUMBER(F290)),COUNTIFS(C_ID,B290,C_SUELDO,"&lt;&gt;",C_INICIO,"&lt;"&amp;F290)+COUNTIFS(B$7:B290,B290,H$7:H290,"&lt;&gt;",F$7:F290,F290),"")</f>
        <v/>
      </c>
      <c r="S290" s="72" t="str">
        <f aca="false">IF(R290="","",B290&amp;"-S"&amp;R290)</f>
        <v/>
      </c>
      <c r="T290" s="74" t="str">
        <f aca="false">IF(AND(ISNUMBER(F290),ISNUMBER(G290)),ROUND((G290-F290+1)/30.4375,1),"")</f>
        <v/>
      </c>
      <c r="U290" s="70" t="str">
        <f aca="false">IF(B290="","",IF(AND(N290="Sí",OR(E290="",NOT(ISNUMBER(F290)))),"⚠ Falta tipo de contrato o fecha de inicio",IF(NOT(ISNUMBER(F290)),"⚠ Falta fecha de inicio",IF(AND(N290="Sí",E290&lt;&gt;"Indefinido",NOT(ISNUMBER(G290))),"⚠ Falta fecha de término",IF(AND(D290="Paso a indefinido",E290&lt;&gt;"Indefinido"),"⚠ Un paso a indefinido debe tener tipo Indefinido",IF(N(Q290)&gt;=3,"⚠ 3er contrato a plazo fijo: por ley ya es INDEFINIDO (Art. 159 N°4)",IF(AND(E290="Plazo fijo",N(T290)&gt;12),"⚠ Plazo fijo mayor a 1 año (máx. legal; 2 años solo profesionales o técnicos)",IF(AND(ISNUMBER(G290),G290&lt;F290),"⚠ Término anterior al inicio",IF(AND(D290="Contrato inicial",ISNUMBER(J290),J290-F290&gt;15),"⚠ Escriturado fuera de plazo (Art. 9: 15 días)",IF(K290&lt;&gt;"Sí","Pendiente de firma","OK"))))))))))</f>
        <v/>
      </c>
    </row>
    <row r="291" customFormat="false" ht="15" hidden="false" customHeight="false" outlineLevel="0" collapsed="false">
      <c r="B291" s="64"/>
      <c r="C291" s="72" t="str">
        <f aca="false">IF(B291="","",IFERROR(INDEX(T_NOMBRE,MATCH(B291,T_ID,0)),"⚠ ID no existe en Trabajadores"))</f>
        <v/>
      </c>
      <c r="D291" s="64"/>
      <c r="E291" s="64"/>
      <c r="F291" s="65"/>
      <c r="G291" s="65"/>
      <c r="H291" s="67"/>
      <c r="I291" s="64"/>
      <c r="J291" s="65"/>
      <c r="K291" s="64"/>
      <c r="L291" s="64"/>
      <c r="M291" s="64"/>
      <c r="N291" s="72" t="str">
        <f aca="false">IF(B291="","",IF(D291="Anexo de modificación","No","Sí"))</f>
        <v/>
      </c>
      <c r="O291" s="73" t="str">
        <f aca="false">IF(AND(N291="Sí",ISNUMBER(F291)),COUNTIFS(C_ID,B291,C_DEFINE,"Sí",C_INICIO,"&lt;"&amp;F291)+COUNTIFS(B$7:B291,B291,N$7:N291,"Sí",F$7:F291,F291),"")</f>
        <v/>
      </c>
      <c r="P291" s="72" t="str">
        <f aca="false">IF(O291="","",B291&amp;"-P"&amp;O291)</f>
        <v/>
      </c>
      <c r="Q291" s="73" t="str">
        <f aca="false">IF(AND(N291="Sí",E291="Plazo fijo",ISNUMBER(F291)),COUNTIFS(C_ID,B291,C_TIPO,"Plazo fijo",C_DEFINE,"Sí",C_INICIO,"&lt;"&amp;F291)+COUNTIFS(B$7:B291,B291,E$7:E291,"Plazo fijo",N$7:N291,"Sí",F$7:F291,F291),"")</f>
        <v/>
      </c>
      <c r="R291" s="73" t="str">
        <f aca="false">IF(AND(B291&lt;&gt;"",ISNUMBER(H291),ISNUMBER(F291)),COUNTIFS(C_ID,B291,C_SUELDO,"&lt;&gt;",C_INICIO,"&lt;"&amp;F291)+COUNTIFS(B$7:B291,B291,H$7:H291,"&lt;&gt;",F$7:F291,F291),"")</f>
        <v/>
      </c>
      <c r="S291" s="72" t="str">
        <f aca="false">IF(R291="","",B291&amp;"-S"&amp;R291)</f>
        <v/>
      </c>
      <c r="T291" s="74" t="str">
        <f aca="false">IF(AND(ISNUMBER(F291),ISNUMBER(G291)),ROUND((G291-F291+1)/30.4375,1),"")</f>
        <v/>
      </c>
      <c r="U291" s="70" t="str">
        <f aca="false">IF(B291="","",IF(AND(N291="Sí",OR(E291="",NOT(ISNUMBER(F291)))),"⚠ Falta tipo de contrato o fecha de inicio",IF(NOT(ISNUMBER(F291)),"⚠ Falta fecha de inicio",IF(AND(N291="Sí",E291&lt;&gt;"Indefinido",NOT(ISNUMBER(G291))),"⚠ Falta fecha de término",IF(AND(D291="Paso a indefinido",E291&lt;&gt;"Indefinido"),"⚠ Un paso a indefinido debe tener tipo Indefinido",IF(N(Q291)&gt;=3,"⚠ 3er contrato a plazo fijo: por ley ya es INDEFINIDO (Art. 159 N°4)",IF(AND(E291="Plazo fijo",N(T291)&gt;12),"⚠ Plazo fijo mayor a 1 año (máx. legal; 2 años solo profesionales o técnicos)",IF(AND(ISNUMBER(G291),G291&lt;F291),"⚠ Término anterior al inicio",IF(AND(D291="Contrato inicial",ISNUMBER(J291),J291-F291&gt;15),"⚠ Escriturado fuera de plazo (Art. 9: 15 días)",IF(K291&lt;&gt;"Sí","Pendiente de firma","OK"))))))))))</f>
        <v/>
      </c>
    </row>
    <row r="292" customFormat="false" ht="15" hidden="false" customHeight="false" outlineLevel="0" collapsed="false">
      <c r="B292" s="64"/>
      <c r="C292" s="72" t="str">
        <f aca="false">IF(B292="","",IFERROR(INDEX(T_NOMBRE,MATCH(B292,T_ID,0)),"⚠ ID no existe en Trabajadores"))</f>
        <v/>
      </c>
      <c r="D292" s="64"/>
      <c r="E292" s="64"/>
      <c r="F292" s="65"/>
      <c r="G292" s="65"/>
      <c r="H292" s="67"/>
      <c r="I292" s="64"/>
      <c r="J292" s="65"/>
      <c r="K292" s="64"/>
      <c r="L292" s="64"/>
      <c r="M292" s="64"/>
      <c r="N292" s="72" t="str">
        <f aca="false">IF(B292="","",IF(D292="Anexo de modificación","No","Sí"))</f>
        <v/>
      </c>
      <c r="O292" s="73" t="str">
        <f aca="false">IF(AND(N292="Sí",ISNUMBER(F292)),COUNTIFS(C_ID,B292,C_DEFINE,"Sí",C_INICIO,"&lt;"&amp;F292)+COUNTIFS(B$7:B292,B292,N$7:N292,"Sí",F$7:F292,F292),"")</f>
        <v/>
      </c>
      <c r="P292" s="72" t="str">
        <f aca="false">IF(O292="","",B292&amp;"-P"&amp;O292)</f>
        <v/>
      </c>
      <c r="Q292" s="73" t="str">
        <f aca="false">IF(AND(N292="Sí",E292="Plazo fijo",ISNUMBER(F292)),COUNTIFS(C_ID,B292,C_TIPO,"Plazo fijo",C_DEFINE,"Sí",C_INICIO,"&lt;"&amp;F292)+COUNTIFS(B$7:B292,B292,E$7:E292,"Plazo fijo",N$7:N292,"Sí",F$7:F292,F292),"")</f>
        <v/>
      </c>
      <c r="R292" s="73" t="str">
        <f aca="false">IF(AND(B292&lt;&gt;"",ISNUMBER(H292),ISNUMBER(F292)),COUNTIFS(C_ID,B292,C_SUELDO,"&lt;&gt;",C_INICIO,"&lt;"&amp;F292)+COUNTIFS(B$7:B292,B292,H$7:H292,"&lt;&gt;",F$7:F292,F292),"")</f>
        <v/>
      </c>
      <c r="S292" s="72" t="str">
        <f aca="false">IF(R292="","",B292&amp;"-S"&amp;R292)</f>
        <v/>
      </c>
      <c r="T292" s="74" t="str">
        <f aca="false">IF(AND(ISNUMBER(F292),ISNUMBER(G292)),ROUND((G292-F292+1)/30.4375,1),"")</f>
        <v/>
      </c>
      <c r="U292" s="70" t="str">
        <f aca="false">IF(B292="","",IF(AND(N292="Sí",OR(E292="",NOT(ISNUMBER(F292)))),"⚠ Falta tipo de contrato o fecha de inicio",IF(NOT(ISNUMBER(F292)),"⚠ Falta fecha de inicio",IF(AND(N292="Sí",E292&lt;&gt;"Indefinido",NOT(ISNUMBER(G292))),"⚠ Falta fecha de término",IF(AND(D292="Paso a indefinido",E292&lt;&gt;"Indefinido"),"⚠ Un paso a indefinido debe tener tipo Indefinido",IF(N(Q292)&gt;=3,"⚠ 3er contrato a plazo fijo: por ley ya es INDEFINIDO (Art. 159 N°4)",IF(AND(E292="Plazo fijo",N(T292)&gt;12),"⚠ Plazo fijo mayor a 1 año (máx. legal; 2 años solo profesionales o técnicos)",IF(AND(ISNUMBER(G292),G292&lt;F292),"⚠ Término anterior al inicio",IF(AND(D292="Contrato inicial",ISNUMBER(J292),J292-F292&gt;15),"⚠ Escriturado fuera de plazo (Art. 9: 15 días)",IF(K292&lt;&gt;"Sí","Pendiente de firma","OK"))))))))))</f>
        <v/>
      </c>
    </row>
    <row r="293" customFormat="false" ht="15" hidden="false" customHeight="false" outlineLevel="0" collapsed="false">
      <c r="B293" s="64"/>
      <c r="C293" s="72" t="str">
        <f aca="false">IF(B293="","",IFERROR(INDEX(T_NOMBRE,MATCH(B293,T_ID,0)),"⚠ ID no existe en Trabajadores"))</f>
        <v/>
      </c>
      <c r="D293" s="64"/>
      <c r="E293" s="64"/>
      <c r="F293" s="65"/>
      <c r="G293" s="65"/>
      <c r="H293" s="67"/>
      <c r="I293" s="64"/>
      <c r="J293" s="65"/>
      <c r="K293" s="64"/>
      <c r="L293" s="64"/>
      <c r="M293" s="64"/>
      <c r="N293" s="72" t="str">
        <f aca="false">IF(B293="","",IF(D293="Anexo de modificación","No","Sí"))</f>
        <v/>
      </c>
      <c r="O293" s="73" t="str">
        <f aca="false">IF(AND(N293="Sí",ISNUMBER(F293)),COUNTIFS(C_ID,B293,C_DEFINE,"Sí",C_INICIO,"&lt;"&amp;F293)+COUNTIFS(B$7:B293,B293,N$7:N293,"Sí",F$7:F293,F293),"")</f>
        <v/>
      </c>
      <c r="P293" s="72" t="str">
        <f aca="false">IF(O293="","",B293&amp;"-P"&amp;O293)</f>
        <v/>
      </c>
      <c r="Q293" s="73" t="str">
        <f aca="false">IF(AND(N293="Sí",E293="Plazo fijo",ISNUMBER(F293)),COUNTIFS(C_ID,B293,C_TIPO,"Plazo fijo",C_DEFINE,"Sí",C_INICIO,"&lt;"&amp;F293)+COUNTIFS(B$7:B293,B293,E$7:E293,"Plazo fijo",N$7:N293,"Sí",F$7:F293,F293),"")</f>
        <v/>
      </c>
      <c r="R293" s="73" t="str">
        <f aca="false">IF(AND(B293&lt;&gt;"",ISNUMBER(H293),ISNUMBER(F293)),COUNTIFS(C_ID,B293,C_SUELDO,"&lt;&gt;",C_INICIO,"&lt;"&amp;F293)+COUNTIFS(B$7:B293,B293,H$7:H293,"&lt;&gt;",F$7:F293,F293),"")</f>
        <v/>
      </c>
      <c r="S293" s="72" t="str">
        <f aca="false">IF(R293="","",B293&amp;"-S"&amp;R293)</f>
        <v/>
      </c>
      <c r="T293" s="74" t="str">
        <f aca="false">IF(AND(ISNUMBER(F293),ISNUMBER(G293)),ROUND((G293-F293+1)/30.4375,1),"")</f>
        <v/>
      </c>
      <c r="U293" s="70" t="str">
        <f aca="false">IF(B293="","",IF(AND(N293="Sí",OR(E293="",NOT(ISNUMBER(F293)))),"⚠ Falta tipo de contrato o fecha de inicio",IF(NOT(ISNUMBER(F293)),"⚠ Falta fecha de inicio",IF(AND(N293="Sí",E293&lt;&gt;"Indefinido",NOT(ISNUMBER(G293))),"⚠ Falta fecha de término",IF(AND(D293="Paso a indefinido",E293&lt;&gt;"Indefinido"),"⚠ Un paso a indefinido debe tener tipo Indefinido",IF(N(Q293)&gt;=3,"⚠ 3er contrato a plazo fijo: por ley ya es INDEFINIDO (Art. 159 N°4)",IF(AND(E293="Plazo fijo",N(T293)&gt;12),"⚠ Plazo fijo mayor a 1 año (máx. legal; 2 años solo profesionales o técnicos)",IF(AND(ISNUMBER(G293),G293&lt;F293),"⚠ Término anterior al inicio",IF(AND(D293="Contrato inicial",ISNUMBER(J293),J293-F293&gt;15),"⚠ Escriturado fuera de plazo (Art. 9: 15 días)",IF(K293&lt;&gt;"Sí","Pendiente de firma","OK"))))))))))</f>
        <v/>
      </c>
    </row>
    <row r="294" customFormat="false" ht="15" hidden="false" customHeight="false" outlineLevel="0" collapsed="false">
      <c r="B294" s="64"/>
      <c r="C294" s="72" t="str">
        <f aca="false">IF(B294="","",IFERROR(INDEX(T_NOMBRE,MATCH(B294,T_ID,0)),"⚠ ID no existe en Trabajadores"))</f>
        <v/>
      </c>
      <c r="D294" s="64"/>
      <c r="E294" s="64"/>
      <c r="F294" s="65"/>
      <c r="G294" s="65"/>
      <c r="H294" s="67"/>
      <c r="I294" s="64"/>
      <c r="J294" s="65"/>
      <c r="K294" s="64"/>
      <c r="L294" s="64"/>
      <c r="M294" s="64"/>
      <c r="N294" s="72" t="str">
        <f aca="false">IF(B294="","",IF(D294="Anexo de modificación","No","Sí"))</f>
        <v/>
      </c>
      <c r="O294" s="73" t="str">
        <f aca="false">IF(AND(N294="Sí",ISNUMBER(F294)),COUNTIFS(C_ID,B294,C_DEFINE,"Sí",C_INICIO,"&lt;"&amp;F294)+COUNTIFS(B$7:B294,B294,N$7:N294,"Sí",F$7:F294,F294),"")</f>
        <v/>
      </c>
      <c r="P294" s="72" t="str">
        <f aca="false">IF(O294="","",B294&amp;"-P"&amp;O294)</f>
        <v/>
      </c>
      <c r="Q294" s="73" t="str">
        <f aca="false">IF(AND(N294="Sí",E294="Plazo fijo",ISNUMBER(F294)),COUNTIFS(C_ID,B294,C_TIPO,"Plazo fijo",C_DEFINE,"Sí",C_INICIO,"&lt;"&amp;F294)+COUNTIFS(B$7:B294,B294,E$7:E294,"Plazo fijo",N$7:N294,"Sí",F$7:F294,F294),"")</f>
        <v/>
      </c>
      <c r="R294" s="73" t="str">
        <f aca="false">IF(AND(B294&lt;&gt;"",ISNUMBER(H294),ISNUMBER(F294)),COUNTIFS(C_ID,B294,C_SUELDO,"&lt;&gt;",C_INICIO,"&lt;"&amp;F294)+COUNTIFS(B$7:B294,B294,H$7:H294,"&lt;&gt;",F$7:F294,F294),"")</f>
        <v/>
      </c>
      <c r="S294" s="72" t="str">
        <f aca="false">IF(R294="","",B294&amp;"-S"&amp;R294)</f>
        <v/>
      </c>
      <c r="T294" s="74" t="str">
        <f aca="false">IF(AND(ISNUMBER(F294),ISNUMBER(G294)),ROUND((G294-F294+1)/30.4375,1),"")</f>
        <v/>
      </c>
      <c r="U294" s="70" t="str">
        <f aca="false">IF(B294="","",IF(AND(N294="Sí",OR(E294="",NOT(ISNUMBER(F294)))),"⚠ Falta tipo de contrato o fecha de inicio",IF(NOT(ISNUMBER(F294)),"⚠ Falta fecha de inicio",IF(AND(N294="Sí",E294&lt;&gt;"Indefinido",NOT(ISNUMBER(G294))),"⚠ Falta fecha de término",IF(AND(D294="Paso a indefinido",E294&lt;&gt;"Indefinido"),"⚠ Un paso a indefinido debe tener tipo Indefinido",IF(N(Q294)&gt;=3,"⚠ 3er contrato a plazo fijo: por ley ya es INDEFINIDO (Art. 159 N°4)",IF(AND(E294="Plazo fijo",N(T294)&gt;12),"⚠ Plazo fijo mayor a 1 año (máx. legal; 2 años solo profesionales o técnicos)",IF(AND(ISNUMBER(G294),G294&lt;F294),"⚠ Término anterior al inicio",IF(AND(D294="Contrato inicial",ISNUMBER(J294),J294-F294&gt;15),"⚠ Escriturado fuera de plazo (Art. 9: 15 días)",IF(K294&lt;&gt;"Sí","Pendiente de firma","OK"))))))))))</f>
        <v/>
      </c>
    </row>
    <row r="295" customFormat="false" ht="15" hidden="false" customHeight="false" outlineLevel="0" collapsed="false">
      <c r="B295" s="64"/>
      <c r="C295" s="72" t="str">
        <f aca="false">IF(B295="","",IFERROR(INDEX(T_NOMBRE,MATCH(B295,T_ID,0)),"⚠ ID no existe en Trabajadores"))</f>
        <v/>
      </c>
      <c r="D295" s="64"/>
      <c r="E295" s="64"/>
      <c r="F295" s="65"/>
      <c r="G295" s="65"/>
      <c r="H295" s="67"/>
      <c r="I295" s="64"/>
      <c r="J295" s="65"/>
      <c r="K295" s="64"/>
      <c r="L295" s="64"/>
      <c r="M295" s="64"/>
      <c r="N295" s="72" t="str">
        <f aca="false">IF(B295="","",IF(D295="Anexo de modificación","No","Sí"))</f>
        <v/>
      </c>
      <c r="O295" s="73" t="str">
        <f aca="false">IF(AND(N295="Sí",ISNUMBER(F295)),COUNTIFS(C_ID,B295,C_DEFINE,"Sí",C_INICIO,"&lt;"&amp;F295)+COUNTIFS(B$7:B295,B295,N$7:N295,"Sí",F$7:F295,F295),"")</f>
        <v/>
      </c>
      <c r="P295" s="72" t="str">
        <f aca="false">IF(O295="","",B295&amp;"-P"&amp;O295)</f>
        <v/>
      </c>
      <c r="Q295" s="73" t="str">
        <f aca="false">IF(AND(N295="Sí",E295="Plazo fijo",ISNUMBER(F295)),COUNTIFS(C_ID,B295,C_TIPO,"Plazo fijo",C_DEFINE,"Sí",C_INICIO,"&lt;"&amp;F295)+COUNTIFS(B$7:B295,B295,E$7:E295,"Plazo fijo",N$7:N295,"Sí",F$7:F295,F295),"")</f>
        <v/>
      </c>
      <c r="R295" s="73" t="str">
        <f aca="false">IF(AND(B295&lt;&gt;"",ISNUMBER(H295),ISNUMBER(F295)),COUNTIFS(C_ID,B295,C_SUELDO,"&lt;&gt;",C_INICIO,"&lt;"&amp;F295)+COUNTIFS(B$7:B295,B295,H$7:H295,"&lt;&gt;",F$7:F295,F295),"")</f>
        <v/>
      </c>
      <c r="S295" s="72" t="str">
        <f aca="false">IF(R295="","",B295&amp;"-S"&amp;R295)</f>
        <v/>
      </c>
      <c r="T295" s="74" t="str">
        <f aca="false">IF(AND(ISNUMBER(F295),ISNUMBER(G295)),ROUND((G295-F295+1)/30.4375,1),"")</f>
        <v/>
      </c>
      <c r="U295" s="70" t="str">
        <f aca="false">IF(B295="","",IF(AND(N295="Sí",OR(E295="",NOT(ISNUMBER(F295)))),"⚠ Falta tipo de contrato o fecha de inicio",IF(NOT(ISNUMBER(F295)),"⚠ Falta fecha de inicio",IF(AND(N295="Sí",E295&lt;&gt;"Indefinido",NOT(ISNUMBER(G295))),"⚠ Falta fecha de término",IF(AND(D295="Paso a indefinido",E295&lt;&gt;"Indefinido"),"⚠ Un paso a indefinido debe tener tipo Indefinido",IF(N(Q295)&gt;=3,"⚠ 3er contrato a plazo fijo: por ley ya es INDEFINIDO (Art. 159 N°4)",IF(AND(E295="Plazo fijo",N(T295)&gt;12),"⚠ Plazo fijo mayor a 1 año (máx. legal; 2 años solo profesionales o técnicos)",IF(AND(ISNUMBER(G295),G295&lt;F295),"⚠ Término anterior al inicio",IF(AND(D295="Contrato inicial",ISNUMBER(J295),J295-F295&gt;15),"⚠ Escriturado fuera de plazo (Art. 9: 15 días)",IF(K295&lt;&gt;"Sí","Pendiente de firma","OK"))))))))))</f>
        <v/>
      </c>
    </row>
    <row r="296" customFormat="false" ht="15" hidden="false" customHeight="false" outlineLevel="0" collapsed="false">
      <c r="B296" s="64"/>
      <c r="C296" s="72" t="str">
        <f aca="false">IF(B296="","",IFERROR(INDEX(T_NOMBRE,MATCH(B296,T_ID,0)),"⚠ ID no existe en Trabajadores"))</f>
        <v/>
      </c>
      <c r="D296" s="64"/>
      <c r="E296" s="64"/>
      <c r="F296" s="65"/>
      <c r="G296" s="65"/>
      <c r="H296" s="67"/>
      <c r="I296" s="64"/>
      <c r="J296" s="65"/>
      <c r="K296" s="64"/>
      <c r="L296" s="64"/>
      <c r="M296" s="64"/>
      <c r="N296" s="72" t="str">
        <f aca="false">IF(B296="","",IF(D296="Anexo de modificación","No","Sí"))</f>
        <v/>
      </c>
      <c r="O296" s="73" t="str">
        <f aca="false">IF(AND(N296="Sí",ISNUMBER(F296)),COUNTIFS(C_ID,B296,C_DEFINE,"Sí",C_INICIO,"&lt;"&amp;F296)+COUNTIFS(B$7:B296,B296,N$7:N296,"Sí",F$7:F296,F296),"")</f>
        <v/>
      </c>
      <c r="P296" s="72" t="str">
        <f aca="false">IF(O296="","",B296&amp;"-P"&amp;O296)</f>
        <v/>
      </c>
      <c r="Q296" s="73" t="str">
        <f aca="false">IF(AND(N296="Sí",E296="Plazo fijo",ISNUMBER(F296)),COUNTIFS(C_ID,B296,C_TIPO,"Plazo fijo",C_DEFINE,"Sí",C_INICIO,"&lt;"&amp;F296)+COUNTIFS(B$7:B296,B296,E$7:E296,"Plazo fijo",N$7:N296,"Sí",F$7:F296,F296),"")</f>
        <v/>
      </c>
      <c r="R296" s="73" t="str">
        <f aca="false">IF(AND(B296&lt;&gt;"",ISNUMBER(H296),ISNUMBER(F296)),COUNTIFS(C_ID,B296,C_SUELDO,"&lt;&gt;",C_INICIO,"&lt;"&amp;F296)+COUNTIFS(B$7:B296,B296,H$7:H296,"&lt;&gt;",F$7:F296,F296),"")</f>
        <v/>
      </c>
      <c r="S296" s="72" t="str">
        <f aca="false">IF(R296="","",B296&amp;"-S"&amp;R296)</f>
        <v/>
      </c>
      <c r="T296" s="74" t="str">
        <f aca="false">IF(AND(ISNUMBER(F296),ISNUMBER(G296)),ROUND((G296-F296+1)/30.4375,1),"")</f>
        <v/>
      </c>
      <c r="U296" s="70" t="str">
        <f aca="false">IF(B296="","",IF(AND(N296="Sí",OR(E296="",NOT(ISNUMBER(F296)))),"⚠ Falta tipo de contrato o fecha de inicio",IF(NOT(ISNUMBER(F296)),"⚠ Falta fecha de inicio",IF(AND(N296="Sí",E296&lt;&gt;"Indefinido",NOT(ISNUMBER(G296))),"⚠ Falta fecha de término",IF(AND(D296="Paso a indefinido",E296&lt;&gt;"Indefinido"),"⚠ Un paso a indefinido debe tener tipo Indefinido",IF(N(Q296)&gt;=3,"⚠ 3er contrato a plazo fijo: por ley ya es INDEFINIDO (Art. 159 N°4)",IF(AND(E296="Plazo fijo",N(T296)&gt;12),"⚠ Plazo fijo mayor a 1 año (máx. legal; 2 años solo profesionales o técnicos)",IF(AND(ISNUMBER(G296),G296&lt;F296),"⚠ Término anterior al inicio",IF(AND(D296="Contrato inicial",ISNUMBER(J296),J296-F296&gt;15),"⚠ Escriturado fuera de plazo (Art. 9: 15 días)",IF(K296&lt;&gt;"Sí","Pendiente de firma","OK"))))))))))</f>
        <v/>
      </c>
    </row>
    <row r="297" customFormat="false" ht="15" hidden="false" customHeight="false" outlineLevel="0" collapsed="false">
      <c r="B297" s="64"/>
      <c r="C297" s="72" t="str">
        <f aca="false">IF(B297="","",IFERROR(INDEX(T_NOMBRE,MATCH(B297,T_ID,0)),"⚠ ID no existe en Trabajadores"))</f>
        <v/>
      </c>
      <c r="D297" s="64"/>
      <c r="E297" s="64"/>
      <c r="F297" s="65"/>
      <c r="G297" s="65"/>
      <c r="H297" s="67"/>
      <c r="I297" s="64"/>
      <c r="J297" s="65"/>
      <c r="K297" s="64"/>
      <c r="L297" s="64"/>
      <c r="M297" s="64"/>
      <c r="N297" s="72" t="str">
        <f aca="false">IF(B297="","",IF(D297="Anexo de modificación","No","Sí"))</f>
        <v/>
      </c>
      <c r="O297" s="73" t="str">
        <f aca="false">IF(AND(N297="Sí",ISNUMBER(F297)),COUNTIFS(C_ID,B297,C_DEFINE,"Sí",C_INICIO,"&lt;"&amp;F297)+COUNTIFS(B$7:B297,B297,N$7:N297,"Sí",F$7:F297,F297),"")</f>
        <v/>
      </c>
      <c r="P297" s="72" t="str">
        <f aca="false">IF(O297="","",B297&amp;"-P"&amp;O297)</f>
        <v/>
      </c>
      <c r="Q297" s="73" t="str">
        <f aca="false">IF(AND(N297="Sí",E297="Plazo fijo",ISNUMBER(F297)),COUNTIFS(C_ID,B297,C_TIPO,"Plazo fijo",C_DEFINE,"Sí",C_INICIO,"&lt;"&amp;F297)+COUNTIFS(B$7:B297,B297,E$7:E297,"Plazo fijo",N$7:N297,"Sí",F$7:F297,F297),"")</f>
        <v/>
      </c>
      <c r="R297" s="73" t="str">
        <f aca="false">IF(AND(B297&lt;&gt;"",ISNUMBER(H297),ISNUMBER(F297)),COUNTIFS(C_ID,B297,C_SUELDO,"&lt;&gt;",C_INICIO,"&lt;"&amp;F297)+COUNTIFS(B$7:B297,B297,H$7:H297,"&lt;&gt;",F$7:F297,F297),"")</f>
        <v/>
      </c>
      <c r="S297" s="72" t="str">
        <f aca="false">IF(R297="","",B297&amp;"-S"&amp;R297)</f>
        <v/>
      </c>
      <c r="T297" s="74" t="str">
        <f aca="false">IF(AND(ISNUMBER(F297),ISNUMBER(G297)),ROUND((G297-F297+1)/30.4375,1),"")</f>
        <v/>
      </c>
      <c r="U297" s="70" t="str">
        <f aca="false">IF(B297="","",IF(AND(N297="Sí",OR(E297="",NOT(ISNUMBER(F297)))),"⚠ Falta tipo de contrato o fecha de inicio",IF(NOT(ISNUMBER(F297)),"⚠ Falta fecha de inicio",IF(AND(N297="Sí",E297&lt;&gt;"Indefinido",NOT(ISNUMBER(G297))),"⚠ Falta fecha de término",IF(AND(D297="Paso a indefinido",E297&lt;&gt;"Indefinido"),"⚠ Un paso a indefinido debe tener tipo Indefinido",IF(N(Q297)&gt;=3,"⚠ 3er contrato a plazo fijo: por ley ya es INDEFINIDO (Art. 159 N°4)",IF(AND(E297="Plazo fijo",N(T297)&gt;12),"⚠ Plazo fijo mayor a 1 año (máx. legal; 2 años solo profesionales o técnicos)",IF(AND(ISNUMBER(G297),G297&lt;F297),"⚠ Término anterior al inicio",IF(AND(D297="Contrato inicial",ISNUMBER(J297),J297-F297&gt;15),"⚠ Escriturado fuera de plazo (Art. 9: 15 días)",IF(K297&lt;&gt;"Sí","Pendiente de firma","OK"))))))))))</f>
        <v/>
      </c>
    </row>
    <row r="298" customFormat="false" ht="15" hidden="false" customHeight="false" outlineLevel="0" collapsed="false">
      <c r="B298" s="64"/>
      <c r="C298" s="72" t="str">
        <f aca="false">IF(B298="","",IFERROR(INDEX(T_NOMBRE,MATCH(B298,T_ID,0)),"⚠ ID no existe en Trabajadores"))</f>
        <v/>
      </c>
      <c r="D298" s="64"/>
      <c r="E298" s="64"/>
      <c r="F298" s="65"/>
      <c r="G298" s="65"/>
      <c r="H298" s="67"/>
      <c r="I298" s="64"/>
      <c r="J298" s="65"/>
      <c r="K298" s="64"/>
      <c r="L298" s="64"/>
      <c r="M298" s="64"/>
      <c r="N298" s="72" t="str">
        <f aca="false">IF(B298="","",IF(D298="Anexo de modificación","No","Sí"))</f>
        <v/>
      </c>
      <c r="O298" s="73" t="str">
        <f aca="false">IF(AND(N298="Sí",ISNUMBER(F298)),COUNTIFS(C_ID,B298,C_DEFINE,"Sí",C_INICIO,"&lt;"&amp;F298)+COUNTIFS(B$7:B298,B298,N$7:N298,"Sí",F$7:F298,F298),"")</f>
        <v/>
      </c>
      <c r="P298" s="72" t="str">
        <f aca="false">IF(O298="","",B298&amp;"-P"&amp;O298)</f>
        <v/>
      </c>
      <c r="Q298" s="73" t="str">
        <f aca="false">IF(AND(N298="Sí",E298="Plazo fijo",ISNUMBER(F298)),COUNTIFS(C_ID,B298,C_TIPO,"Plazo fijo",C_DEFINE,"Sí",C_INICIO,"&lt;"&amp;F298)+COUNTIFS(B$7:B298,B298,E$7:E298,"Plazo fijo",N$7:N298,"Sí",F$7:F298,F298),"")</f>
        <v/>
      </c>
      <c r="R298" s="73" t="str">
        <f aca="false">IF(AND(B298&lt;&gt;"",ISNUMBER(H298),ISNUMBER(F298)),COUNTIFS(C_ID,B298,C_SUELDO,"&lt;&gt;",C_INICIO,"&lt;"&amp;F298)+COUNTIFS(B$7:B298,B298,H$7:H298,"&lt;&gt;",F$7:F298,F298),"")</f>
        <v/>
      </c>
      <c r="S298" s="72" t="str">
        <f aca="false">IF(R298="","",B298&amp;"-S"&amp;R298)</f>
        <v/>
      </c>
      <c r="T298" s="74" t="str">
        <f aca="false">IF(AND(ISNUMBER(F298),ISNUMBER(G298)),ROUND((G298-F298+1)/30.4375,1),"")</f>
        <v/>
      </c>
      <c r="U298" s="70" t="str">
        <f aca="false">IF(B298="","",IF(AND(N298="Sí",OR(E298="",NOT(ISNUMBER(F298)))),"⚠ Falta tipo de contrato o fecha de inicio",IF(NOT(ISNUMBER(F298)),"⚠ Falta fecha de inicio",IF(AND(N298="Sí",E298&lt;&gt;"Indefinido",NOT(ISNUMBER(G298))),"⚠ Falta fecha de término",IF(AND(D298="Paso a indefinido",E298&lt;&gt;"Indefinido"),"⚠ Un paso a indefinido debe tener tipo Indefinido",IF(N(Q298)&gt;=3,"⚠ 3er contrato a plazo fijo: por ley ya es INDEFINIDO (Art. 159 N°4)",IF(AND(E298="Plazo fijo",N(T298)&gt;12),"⚠ Plazo fijo mayor a 1 año (máx. legal; 2 años solo profesionales o técnicos)",IF(AND(ISNUMBER(G298),G298&lt;F298),"⚠ Término anterior al inicio",IF(AND(D298="Contrato inicial",ISNUMBER(J298),J298-F298&gt;15),"⚠ Escriturado fuera de plazo (Art. 9: 15 días)",IF(K298&lt;&gt;"Sí","Pendiente de firma","OK"))))))))))</f>
        <v/>
      </c>
    </row>
    <row r="299" customFormat="false" ht="15" hidden="false" customHeight="false" outlineLevel="0" collapsed="false">
      <c r="B299" s="64"/>
      <c r="C299" s="72" t="str">
        <f aca="false">IF(B299="","",IFERROR(INDEX(T_NOMBRE,MATCH(B299,T_ID,0)),"⚠ ID no existe en Trabajadores"))</f>
        <v/>
      </c>
      <c r="D299" s="64"/>
      <c r="E299" s="64"/>
      <c r="F299" s="65"/>
      <c r="G299" s="65"/>
      <c r="H299" s="67"/>
      <c r="I299" s="64"/>
      <c r="J299" s="65"/>
      <c r="K299" s="64"/>
      <c r="L299" s="64"/>
      <c r="M299" s="64"/>
      <c r="N299" s="72" t="str">
        <f aca="false">IF(B299="","",IF(D299="Anexo de modificación","No","Sí"))</f>
        <v/>
      </c>
      <c r="O299" s="73" t="str">
        <f aca="false">IF(AND(N299="Sí",ISNUMBER(F299)),COUNTIFS(C_ID,B299,C_DEFINE,"Sí",C_INICIO,"&lt;"&amp;F299)+COUNTIFS(B$7:B299,B299,N$7:N299,"Sí",F$7:F299,F299),"")</f>
        <v/>
      </c>
      <c r="P299" s="72" t="str">
        <f aca="false">IF(O299="","",B299&amp;"-P"&amp;O299)</f>
        <v/>
      </c>
      <c r="Q299" s="73" t="str">
        <f aca="false">IF(AND(N299="Sí",E299="Plazo fijo",ISNUMBER(F299)),COUNTIFS(C_ID,B299,C_TIPO,"Plazo fijo",C_DEFINE,"Sí",C_INICIO,"&lt;"&amp;F299)+COUNTIFS(B$7:B299,B299,E$7:E299,"Plazo fijo",N$7:N299,"Sí",F$7:F299,F299),"")</f>
        <v/>
      </c>
      <c r="R299" s="73" t="str">
        <f aca="false">IF(AND(B299&lt;&gt;"",ISNUMBER(H299),ISNUMBER(F299)),COUNTIFS(C_ID,B299,C_SUELDO,"&lt;&gt;",C_INICIO,"&lt;"&amp;F299)+COUNTIFS(B$7:B299,B299,H$7:H299,"&lt;&gt;",F$7:F299,F299),"")</f>
        <v/>
      </c>
      <c r="S299" s="72" t="str">
        <f aca="false">IF(R299="","",B299&amp;"-S"&amp;R299)</f>
        <v/>
      </c>
      <c r="T299" s="74" t="str">
        <f aca="false">IF(AND(ISNUMBER(F299),ISNUMBER(G299)),ROUND((G299-F299+1)/30.4375,1),"")</f>
        <v/>
      </c>
      <c r="U299" s="70" t="str">
        <f aca="false">IF(B299="","",IF(AND(N299="Sí",OR(E299="",NOT(ISNUMBER(F299)))),"⚠ Falta tipo de contrato o fecha de inicio",IF(NOT(ISNUMBER(F299)),"⚠ Falta fecha de inicio",IF(AND(N299="Sí",E299&lt;&gt;"Indefinido",NOT(ISNUMBER(G299))),"⚠ Falta fecha de término",IF(AND(D299="Paso a indefinido",E299&lt;&gt;"Indefinido"),"⚠ Un paso a indefinido debe tener tipo Indefinido",IF(N(Q299)&gt;=3,"⚠ 3er contrato a plazo fijo: por ley ya es INDEFINIDO (Art. 159 N°4)",IF(AND(E299="Plazo fijo",N(T299)&gt;12),"⚠ Plazo fijo mayor a 1 año (máx. legal; 2 años solo profesionales o técnicos)",IF(AND(ISNUMBER(G299),G299&lt;F299),"⚠ Término anterior al inicio",IF(AND(D299="Contrato inicial",ISNUMBER(J299),J299-F299&gt;15),"⚠ Escriturado fuera de plazo (Art. 9: 15 días)",IF(K299&lt;&gt;"Sí","Pendiente de firma","OK"))))))))))</f>
        <v/>
      </c>
    </row>
    <row r="300" customFormat="false" ht="15" hidden="false" customHeight="false" outlineLevel="0" collapsed="false">
      <c r="B300" s="64"/>
      <c r="C300" s="72" t="str">
        <f aca="false">IF(B300="","",IFERROR(INDEX(T_NOMBRE,MATCH(B300,T_ID,0)),"⚠ ID no existe en Trabajadores"))</f>
        <v/>
      </c>
      <c r="D300" s="64"/>
      <c r="E300" s="64"/>
      <c r="F300" s="65"/>
      <c r="G300" s="65"/>
      <c r="H300" s="67"/>
      <c r="I300" s="64"/>
      <c r="J300" s="65"/>
      <c r="K300" s="64"/>
      <c r="L300" s="64"/>
      <c r="M300" s="64"/>
      <c r="N300" s="72" t="str">
        <f aca="false">IF(B300="","",IF(D300="Anexo de modificación","No","Sí"))</f>
        <v/>
      </c>
      <c r="O300" s="73" t="str">
        <f aca="false">IF(AND(N300="Sí",ISNUMBER(F300)),COUNTIFS(C_ID,B300,C_DEFINE,"Sí",C_INICIO,"&lt;"&amp;F300)+COUNTIFS(B$7:B300,B300,N$7:N300,"Sí",F$7:F300,F300),"")</f>
        <v/>
      </c>
      <c r="P300" s="72" t="str">
        <f aca="false">IF(O300="","",B300&amp;"-P"&amp;O300)</f>
        <v/>
      </c>
      <c r="Q300" s="73" t="str">
        <f aca="false">IF(AND(N300="Sí",E300="Plazo fijo",ISNUMBER(F300)),COUNTIFS(C_ID,B300,C_TIPO,"Plazo fijo",C_DEFINE,"Sí",C_INICIO,"&lt;"&amp;F300)+COUNTIFS(B$7:B300,B300,E$7:E300,"Plazo fijo",N$7:N300,"Sí",F$7:F300,F300),"")</f>
        <v/>
      </c>
      <c r="R300" s="73" t="str">
        <f aca="false">IF(AND(B300&lt;&gt;"",ISNUMBER(H300),ISNUMBER(F300)),COUNTIFS(C_ID,B300,C_SUELDO,"&lt;&gt;",C_INICIO,"&lt;"&amp;F300)+COUNTIFS(B$7:B300,B300,H$7:H300,"&lt;&gt;",F$7:F300,F300),"")</f>
        <v/>
      </c>
      <c r="S300" s="72" t="str">
        <f aca="false">IF(R300="","",B300&amp;"-S"&amp;R300)</f>
        <v/>
      </c>
      <c r="T300" s="74" t="str">
        <f aca="false">IF(AND(ISNUMBER(F300),ISNUMBER(G300)),ROUND((G300-F300+1)/30.4375,1),"")</f>
        <v/>
      </c>
      <c r="U300" s="70" t="str">
        <f aca="false">IF(B300="","",IF(AND(N300="Sí",OR(E300="",NOT(ISNUMBER(F300)))),"⚠ Falta tipo de contrato o fecha de inicio",IF(NOT(ISNUMBER(F300)),"⚠ Falta fecha de inicio",IF(AND(N300="Sí",E300&lt;&gt;"Indefinido",NOT(ISNUMBER(G300))),"⚠ Falta fecha de término",IF(AND(D300="Paso a indefinido",E300&lt;&gt;"Indefinido"),"⚠ Un paso a indefinido debe tener tipo Indefinido",IF(N(Q300)&gt;=3,"⚠ 3er contrato a plazo fijo: por ley ya es INDEFINIDO (Art. 159 N°4)",IF(AND(E300="Plazo fijo",N(T300)&gt;12),"⚠ Plazo fijo mayor a 1 año (máx. legal; 2 años solo profesionales o técnicos)",IF(AND(ISNUMBER(G300),G300&lt;F300),"⚠ Término anterior al inicio",IF(AND(D300="Contrato inicial",ISNUMBER(J300),J300-F300&gt;15),"⚠ Escriturado fuera de plazo (Art. 9: 15 días)",IF(K300&lt;&gt;"Sí","Pendiente de firma","OK"))))))))))</f>
        <v/>
      </c>
    </row>
    <row r="301" customFormat="false" ht="15" hidden="false" customHeight="false" outlineLevel="0" collapsed="false">
      <c r="B301" s="64"/>
      <c r="C301" s="72" t="str">
        <f aca="false">IF(B301="","",IFERROR(INDEX(T_NOMBRE,MATCH(B301,T_ID,0)),"⚠ ID no existe en Trabajadores"))</f>
        <v/>
      </c>
      <c r="D301" s="64"/>
      <c r="E301" s="64"/>
      <c r="F301" s="65"/>
      <c r="G301" s="65"/>
      <c r="H301" s="67"/>
      <c r="I301" s="64"/>
      <c r="J301" s="65"/>
      <c r="K301" s="64"/>
      <c r="L301" s="64"/>
      <c r="M301" s="64"/>
      <c r="N301" s="72" t="str">
        <f aca="false">IF(B301="","",IF(D301="Anexo de modificación","No","Sí"))</f>
        <v/>
      </c>
      <c r="O301" s="73" t="str">
        <f aca="false">IF(AND(N301="Sí",ISNUMBER(F301)),COUNTIFS(C_ID,B301,C_DEFINE,"Sí",C_INICIO,"&lt;"&amp;F301)+COUNTIFS(B$7:B301,B301,N$7:N301,"Sí",F$7:F301,F301),"")</f>
        <v/>
      </c>
      <c r="P301" s="72" t="str">
        <f aca="false">IF(O301="","",B301&amp;"-P"&amp;O301)</f>
        <v/>
      </c>
      <c r="Q301" s="73" t="str">
        <f aca="false">IF(AND(N301="Sí",E301="Plazo fijo",ISNUMBER(F301)),COUNTIFS(C_ID,B301,C_TIPO,"Plazo fijo",C_DEFINE,"Sí",C_INICIO,"&lt;"&amp;F301)+COUNTIFS(B$7:B301,B301,E$7:E301,"Plazo fijo",N$7:N301,"Sí",F$7:F301,F301),"")</f>
        <v/>
      </c>
      <c r="R301" s="73" t="str">
        <f aca="false">IF(AND(B301&lt;&gt;"",ISNUMBER(H301),ISNUMBER(F301)),COUNTIFS(C_ID,B301,C_SUELDO,"&lt;&gt;",C_INICIO,"&lt;"&amp;F301)+COUNTIFS(B$7:B301,B301,H$7:H301,"&lt;&gt;",F$7:F301,F301),"")</f>
        <v/>
      </c>
      <c r="S301" s="72" t="str">
        <f aca="false">IF(R301="","",B301&amp;"-S"&amp;R301)</f>
        <v/>
      </c>
      <c r="T301" s="74" t="str">
        <f aca="false">IF(AND(ISNUMBER(F301),ISNUMBER(G301)),ROUND((G301-F301+1)/30.4375,1),"")</f>
        <v/>
      </c>
      <c r="U301" s="70" t="str">
        <f aca="false">IF(B301="","",IF(AND(N301="Sí",OR(E301="",NOT(ISNUMBER(F301)))),"⚠ Falta tipo de contrato o fecha de inicio",IF(NOT(ISNUMBER(F301)),"⚠ Falta fecha de inicio",IF(AND(N301="Sí",E301&lt;&gt;"Indefinido",NOT(ISNUMBER(G301))),"⚠ Falta fecha de término",IF(AND(D301="Paso a indefinido",E301&lt;&gt;"Indefinido"),"⚠ Un paso a indefinido debe tener tipo Indefinido",IF(N(Q301)&gt;=3,"⚠ 3er contrato a plazo fijo: por ley ya es INDEFINIDO (Art. 159 N°4)",IF(AND(E301="Plazo fijo",N(T301)&gt;12),"⚠ Plazo fijo mayor a 1 año (máx. legal; 2 años solo profesionales o técnicos)",IF(AND(ISNUMBER(G301),G301&lt;F301),"⚠ Término anterior al inicio",IF(AND(D301="Contrato inicial",ISNUMBER(J301),J301-F301&gt;15),"⚠ Escriturado fuera de plazo (Art. 9: 15 días)",IF(K301&lt;&gt;"Sí","Pendiente de firma","OK"))))))))))</f>
        <v/>
      </c>
    </row>
    <row r="302" customFormat="false" ht="15" hidden="false" customHeight="false" outlineLevel="0" collapsed="false">
      <c r="B302" s="64"/>
      <c r="C302" s="72" t="str">
        <f aca="false">IF(B302="","",IFERROR(INDEX(T_NOMBRE,MATCH(B302,T_ID,0)),"⚠ ID no existe en Trabajadores"))</f>
        <v/>
      </c>
      <c r="D302" s="64"/>
      <c r="E302" s="64"/>
      <c r="F302" s="65"/>
      <c r="G302" s="65"/>
      <c r="H302" s="67"/>
      <c r="I302" s="64"/>
      <c r="J302" s="65"/>
      <c r="K302" s="64"/>
      <c r="L302" s="64"/>
      <c r="M302" s="64"/>
      <c r="N302" s="72" t="str">
        <f aca="false">IF(B302="","",IF(D302="Anexo de modificación","No","Sí"))</f>
        <v/>
      </c>
      <c r="O302" s="73" t="str">
        <f aca="false">IF(AND(N302="Sí",ISNUMBER(F302)),COUNTIFS(C_ID,B302,C_DEFINE,"Sí",C_INICIO,"&lt;"&amp;F302)+COUNTIFS(B$7:B302,B302,N$7:N302,"Sí",F$7:F302,F302),"")</f>
        <v/>
      </c>
      <c r="P302" s="72" t="str">
        <f aca="false">IF(O302="","",B302&amp;"-P"&amp;O302)</f>
        <v/>
      </c>
      <c r="Q302" s="73" t="str">
        <f aca="false">IF(AND(N302="Sí",E302="Plazo fijo",ISNUMBER(F302)),COUNTIFS(C_ID,B302,C_TIPO,"Plazo fijo",C_DEFINE,"Sí",C_INICIO,"&lt;"&amp;F302)+COUNTIFS(B$7:B302,B302,E$7:E302,"Plazo fijo",N$7:N302,"Sí",F$7:F302,F302),"")</f>
        <v/>
      </c>
      <c r="R302" s="73" t="str">
        <f aca="false">IF(AND(B302&lt;&gt;"",ISNUMBER(H302),ISNUMBER(F302)),COUNTIFS(C_ID,B302,C_SUELDO,"&lt;&gt;",C_INICIO,"&lt;"&amp;F302)+COUNTIFS(B$7:B302,B302,H$7:H302,"&lt;&gt;",F$7:F302,F302),"")</f>
        <v/>
      </c>
      <c r="S302" s="72" t="str">
        <f aca="false">IF(R302="","",B302&amp;"-S"&amp;R302)</f>
        <v/>
      </c>
      <c r="T302" s="74" t="str">
        <f aca="false">IF(AND(ISNUMBER(F302),ISNUMBER(G302)),ROUND((G302-F302+1)/30.4375,1),"")</f>
        <v/>
      </c>
      <c r="U302" s="70" t="str">
        <f aca="false">IF(B302="","",IF(AND(N302="Sí",OR(E302="",NOT(ISNUMBER(F302)))),"⚠ Falta tipo de contrato o fecha de inicio",IF(NOT(ISNUMBER(F302)),"⚠ Falta fecha de inicio",IF(AND(N302="Sí",E302&lt;&gt;"Indefinido",NOT(ISNUMBER(G302))),"⚠ Falta fecha de término",IF(AND(D302="Paso a indefinido",E302&lt;&gt;"Indefinido"),"⚠ Un paso a indefinido debe tener tipo Indefinido",IF(N(Q302)&gt;=3,"⚠ 3er contrato a plazo fijo: por ley ya es INDEFINIDO (Art. 159 N°4)",IF(AND(E302="Plazo fijo",N(T302)&gt;12),"⚠ Plazo fijo mayor a 1 año (máx. legal; 2 años solo profesionales o técnicos)",IF(AND(ISNUMBER(G302),G302&lt;F302),"⚠ Término anterior al inicio",IF(AND(D302="Contrato inicial",ISNUMBER(J302),J302-F302&gt;15),"⚠ Escriturado fuera de plazo (Art. 9: 15 días)",IF(K302&lt;&gt;"Sí","Pendiente de firma","OK"))))))))))</f>
        <v/>
      </c>
    </row>
    <row r="303" customFormat="false" ht="15" hidden="false" customHeight="false" outlineLevel="0" collapsed="false">
      <c r="B303" s="64"/>
      <c r="C303" s="72" t="str">
        <f aca="false">IF(B303="","",IFERROR(INDEX(T_NOMBRE,MATCH(B303,T_ID,0)),"⚠ ID no existe en Trabajadores"))</f>
        <v/>
      </c>
      <c r="D303" s="64"/>
      <c r="E303" s="64"/>
      <c r="F303" s="65"/>
      <c r="G303" s="65"/>
      <c r="H303" s="67"/>
      <c r="I303" s="64"/>
      <c r="J303" s="65"/>
      <c r="K303" s="64"/>
      <c r="L303" s="64"/>
      <c r="M303" s="64"/>
      <c r="N303" s="72" t="str">
        <f aca="false">IF(B303="","",IF(D303="Anexo de modificación","No","Sí"))</f>
        <v/>
      </c>
      <c r="O303" s="73" t="str">
        <f aca="false">IF(AND(N303="Sí",ISNUMBER(F303)),COUNTIFS(C_ID,B303,C_DEFINE,"Sí",C_INICIO,"&lt;"&amp;F303)+COUNTIFS(B$7:B303,B303,N$7:N303,"Sí",F$7:F303,F303),"")</f>
        <v/>
      </c>
      <c r="P303" s="72" t="str">
        <f aca="false">IF(O303="","",B303&amp;"-P"&amp;O303)</f>
        <v/>
      </c>
      <c r="Q303" s="73" t="str">
        <f aca="false">IF(AND(N303="Sí",E303="Plazo fijo",ISNUMBER(F303)),COUNTIFS(C_ID,B303,C_TIPO,"Plazo fijo",C_DEFINE,"Sí",C_INICIO,"&lt;"&amp;F303)+COUNTIFS(B$7:B303,B303,E$7:E303,"Plazo fijo",N$7:N303,"Sí",F$7:F303,F303),"")</f>
        <v/>
      </c>
      <c r="R303" s="73" t="str">
        <f aca="false">IF(AND(B303&lt;&gt;"",ISNUMBER(H303),ISNUMBER(F303)),COUNTIFS(C_ID,B303,C_SUELDO,"&lt;&gt;",C_INICIO,"&lt;"&amp;F303)+COUNTIFS(B$7:B303,B303,H$7:H303,"&lt;&gt;",F$7:F303,F303),"")</f>
        <v/>
      </c>
      <c r="S303" s="72" t="str">
        <f aca="false">IF(R303="","",B303&amp;"-S"&amp;R303)</f>
        <v/>
      </c>
      <c r="T303" s="74" t="str">
        <f aca="false">IF(AND(ISNUMBER(F303),ISNUMBER(G303)),ROUND((G303-F303+1)/30.4375,1),"")</f>
        <v/>
      </c>
      <c r="U303" s="70" t="str">
        <f aca="false">IF(B303="","",IF(AND(N303="Sí",OR(E303="",NOT(ISNUMBER(F303)))),"⚠ Falta tipo de contrato o fecha de inicio",IF(NOT(ISNUMBER(F303)),"⚠ Falta fecha de inicio",IF(AND(N303="Sí",E303&lt;&gt;"Indefinido",NOT(ISNUMBER(G303))),"⚠ Falta fecha de término",IF(AND(D303="Paso a indefinido",E303&lt;&gt;"Indefinido"),"⚠ Un paso a indefinido debe tener tipo Indefinido",IF(N(Q303)&gt;=3,"⚠ 3er contrato a plazo fijo: por ley ya es INDEFINIDO (Art. 159 N°4)",IF(AND(E303="Plazo fijo",N(T303)&gt;12),"⚠ Plazo fijo mayor a 1 año (máx. legal; 2 años solo profesionales o técnicos)",IF(AND(ISNUMBER(G303),G303&lt;F303),"⚠ Término anterior al inicio",IF(AND(D303="Contrato inicial",ISNUMBER(J303),J303-F303&gt;15),"⚠ Escriturado fuera de plazo (Art. 9: 15 días)",IF(K303&lt;&gt;"Sí","Pendiente de firma","OK"))))))))))</f>
        <v/>
      </c>
    </row>
    <row r="304" customFormat="false" ht="15" hidden="false" customHeight="false" outlineLevel="0" collapsed="false">
      <c r="B304" s="64"/>
      <c r="C304" s="72" t="str">
        <f aca="false">IF(B304="","",IFERROR(INDEX(T_NOMBRE,MATCH(B304,T_ID,0)),"⚠ ID no existe en Trabajadores"))</f>
        <v/>
      </c>
      <c r="D304" s="64"/>
      <c r="E304" s="64"/>
      <c r="F304" s="65"/>
      <c r="G304" s="65"/>
      <c r="H304" s="67"/>
      <c r="I304" s="64"/>
      <c r="J304" s="65"/>
      <c r="K304" s="64"/>
      <c r="L304" s="64"/>
      <c r="M304" s="64"/>
      <c r="N304" s="72" t="str">
        <f aca="false">IF(B304="","",IF(D304="Anexo de modificación","No","Sí"))</f>
        <v/>
      </c>
      <c r="O304" s="73" t="str">
        <f aca="false">IF(AND(N304="Sí",ISNUMBER(F304)),COUNTIFS(C_ID,B304,C_DEFINE,"Sí",C_INICIO,"&lt;"&amp;F304)+COUNTIFS(B$7:B304,B304,N$7:N304,"Sí",F$7:F304,F304),"")</f>
        <v/>
      </c>
      <c r="P304" s="72" t="str">
        <f aca="false">IF(O304="","",B304&amp;"-P"&amp;O304)</f>
        <v/>
      </c>
      <c r="Q304" s="73" t="str">
        <f aca="false">IF(AND(N304="Sí",E304="Plazo fijo",ISNUMBER(F304)),COUNTIFS(C_ID,B304,C_TIPO,"Plazo fijo",C_DEFINE,"Sí",C_INICIO,"&lt;"&amp;F304)+COUNTIFS(B$7:B304,B304,E$7:E304,"Plazo fijo",N$7:N304,"Sí",F$7:F304,F304),"")</f>
        <v/>
      </c>
      <c r="R304" s="73" t="str">
        <f aca="false">IF(AND(B304&lt;&gt;"",ISNUMBER(H304),ISNUMBER(F304)),COUNTIFS(C_ID,B304,C_SUELDO,"&lt;&gt;",C_INICIO,"&lt;"&amp;F304)+COUNTIFS(B$7:B304,B304,H$7:H304,"&lt;&gt;",F$7:F304,F304),"")</f>
        <v/>
      </c>
      <c r="S304" s="72" t="str">
        <f aca="false">IF(R304="","",B304&amp;"-S"&amp;R304)</f>
        <v/>
      </c>
      <c r="T304" s="74" t="str">
        <f aca="false">IF(AND(ISNUMBER(F304),ISNUMBER(G304)),ROUND((G304-F304+1)/30.4375,1),"")</f>
        <v/>
      </c>
      <c r="U304" s="70" t="str">
        <f aca="false">IF(B304="","",IF(AND(N304="Sí",OR(E304="",NOT(ISNUMBER(F304)))),"⚠ Falta tipo de contrato o fecha de inicio",IF(NOT(ISNUMBER(F304)),"⚠ Falta fecha de inicio",IF(AND(N304="Sí",E304&lt;&gt;"Indefinido",NOT(ISNUMBER(G304))),"⚠ Falta fecha de término",IF(AND(D304="Paso a indefinido",E304&lt;&gt;"Indefinido"),"⚠ Un paso a indefinido debe tener tipo Indefinido",IF(N(Q304)&gt;=3,"⚠ 3er contrato a plazo fijo: por ley ya es INDEFINIDO (Art. 159 N°4)",IF(AND(E304="Plazo fijo",N(T304)&gt;12),"⚠ Plazo fijo mayor a 1 año (máx. legal; 2 años solo profesionales o técnicos)",IF(AND(ISNUMBER(G304),G304&lt;F304),"⚠ Término anterior al inicio",IF(AND(D304="Contrato inicial",ISNUMBER(J304),J304-F304&gt;15),"⚠ Escriturado fuera de plazo (Art. 9: 15 días)",IF(K304&lt;&gt;"Sí","Pendiente de firma","OK"))))))))))</f>
        <v/>
      </c>
    </row>
    <row r="305" customFormat="false" ht="15" hidden="false" customHeight="false" outlineLevel="0" collapsed="false">
      <c r="B305" s="64"/>
      <c r="C305" s="72" t="str">
        <f aca="false">IF(B305="","",IFERROR(INDEX(T_NOMBRE,MATCH(B305,T_ID,0)),"⚠ ID no existe en Trabajadores"))</f>
        <v/>
      </c>
      <c r="D305" s="64"/>
      <c r="E305" s="64"/>
      <c r="F305" s="65"/>
      <c r="G305" s="65"/>
      <c r="H305" s="67"/>
      <c r="I305" s="64"/>
      <c r="J305" s="65"/>
      <c r="K305" s="64"/>
      <c r="L305" s="64"/>
      <c r="M305" s="64"/>
      <c r="N305" s="72" t="str">
        <f aca="false">IF(B305="","",IF(D305="Anexo de modificación","No","Sí"))</f>
        <v/>
      </c>
      <c r="O305" s="73" t="str">
        <f aca="false">IF(AND(N305="Sí",ISNUMBER(F305)),COUNTIFS(C_ID,B305,C_DEFINE,"Sí",C_INICIO,"&lt;"&amp;F305)+COUNTIFS(B$7:B305,B305,N$7:N305,"Sí",F$7:F305,F305),"")</f>
        <v/>
      </c>
      <c r="P305" s="72" t="str">
        <f aca="false">IF(O305="","",B305&amp;"-P"&amp;O305)</f>
        <v/>
      </c>
      <c r="Q305" s="73" t="str">
        <f aca="false">IF(AND(N305="Sí",E305="Plazo fijo",ISNUMBER(F305)),COUNTIFS(C_ID,B305,C_TIPO,"Plazo fijo",C_DEFINE,"Sí",C_INICIO,"&lt;"&amp;F305)+COUNTIFS(B$7:B305,B305,E$7:E305,"Plazo fijo",N$7:N305,"Sí",F$7:F305,F305),"")</f>
        <v/>
      </c>
      <c r="R305" s="73" t="str">
        <f aca="false">IF(AND(B305&lt;&gt;"",ISNUMBER(H305),ISNUMBER(F305)),COUNTIFS(C_ID,B305,C_SUELDO,"&lt;&gt;",C_INICIO,"&lt;"&amp;F305)+COUNTIFS(B$7:B305,B305,H$7:H305,"&lt;&gt;",F$7:F305,F305),"")</f>
        <v/>
      </c>
      <c r="S305" s="72" t="str">
        <f aca="false">IF(R305="","",B305&amp;"-S"&amp;R305)</f>
        <v/>
      </c>
      <c r="T305" s="74" t="str">
        <f aca="false">IF(AND(ISNUMBER(F305),ISNUMBER(G305)),ROUND((G305-F305+1)/30.4375,1),"")</f>
        <v/>
      </c>
      <c r="U305" s="70" t="str">
        <f aca="false">IF(B305="","",IF(AND(N305="Sí",OR(E305="",NOT(ISNUMBER(F305)))),"⚠ Falta tipo de contrato o fecha de inicio",IF(NOT(ISNUMBER(F305)),"⚠ Falta fecha de inicio",IF(AND(N305="Sí",E305&lt;&gt;"Indefinido",NOT(ISNUMBER(G305))),"⚠ Falta fecha de término",IF(AND(D305="Paso a indefinido",E305&lt;&gt;"Indefinido"),"⚠ Un paso a indefinido debe tener tipo Indefinido",IF(N(Q305)&gt;=3,"⚠ 3er contrato a plazo fijo: por ley ya es INDEFINIDO (Art. 159 N°4)",IF(AND(E305="Plazo fijo",N(T305)&gt;12),"⚠ Plazo fijo mayor a 1 año (máx. legal; 2 años solo profesionales o técnicos)",IF(AND(ISNUMBER(G305),G305&lt;F305),"⚠ Término anterior al inicio",IF(AND(D305="Contrato inicial",ISNUMBER(J305),J305-F305&gt;15),"⚠ Escriturado fuera de plazo (Art. 9: 15 días)",IF(K305&lt;&gt;"Sí","Pendiente de firma","OK"))))))))))</f>
        <v/>
      </c>
    </row>
    <row r="306" customFormat="false" ht="15" hidden="false" customHeight="false" outlineLevel="0" collapsed="false">
      <c r="B306" s="64"/>
      <c r="C306" s="72" t="str">
        <f aca="false">IF(B306="","",IFERROR(INDEX(T_NOMBRE,MATCH(B306,T_ID,0)),"⚠ ID no existe en Trabajadores"))</f>
        <v/>
      </c>
      <c r="D306" s="64"/>
      <c r="E306" s="64"/>
      <c r="F306" s="65"/>
      <c r="G306" s="65"/>
      <c r="H306" s="67"/>
      <c r="I306" s="64"/>
      <c r="J306" s="65"/>
      <c r="K306" s="64"/>
      <c r="L306" s="64"/>
      <c r="M306" s="64"/>
      <c r="N306" s="72" t="str">
        <f aca="false">IF(B306="","",IF(D306="Anexo de modificación","No","Sí"))</f>
        <v/>
      </c>
      <c r="O306" s="73" t="str">
        <f aca="false">IF(AND(N306="Sí",ISNUMBER(F306)),COUNTIFS(C_ID,B306,C_DEFINE,"Sí",C_INICIO,"&lt;"&amp;F306)+COUNTIFS(B$7:B306,B306,N$7:N306,"Sí",F$7:F306,F306),"")</f>
        <v/>
      </c>
      <c r="P306" s="72" t="str">
        <f aca="false">IF(O306="","",B306&amp;"-P"&amp;O306)</f>
        <v/>
      </c>
      <c r="Q306" s="73" t="str">
        <f aca="false">IF(AND(N306="Sí",E306="Plazo fijo",ISNUMBER(F306)),COUNTIFS(C_ID,B306,C_TIPO,"Plazo fijo",C_DEFINE,"Sí",C_INICIO,"&lt;"&amp;F306)+COUNTIFS(B$7:B306,B306,E$7:E306,"Plazo fijo",N$7:N306,"Sí",F$7:F306,F306),"")</f>
        <v/>
      </c>
      <c r="R306" s="73" t="str">
        <f aca="false">IF(AND(B306&lt;&gt;"",ISNUMBER(H306),ISNUMBER(F306)),COUNTIFS(C_ID,B306,C_SUELDO,"&lt;&gt;",C_INICIO,"&lt;"&amp;F306)+COUNTIFS(B$7:B306,B306,H$7:H306,"&lt;&gt;",F$7:F306,F306),"")</f>
        <v/>
      </c>
      <c r="S306" s="72" t="str">
        <f aca="false">IF(R306="","",B306&amp;"-S"&amp;R306)</f>
        <v/>
      </c>
      <c r="T306" s="74" t="str">
        <f aca="false">IF(AND(ISNUMBER(F306),ISNUMBER(G306)),ROUND((G306-F306+1)/30.4375,1),"")</f>
        <v/>
      </c>
      <c r="U306" s="70" t="str">
        <f aca="false">IF(B306="","",IF(AND(N306="Sí",OR(E306="",NOT(ISNUMBER(F306)))),"⚠ Falta tipo de contrato o fecha de inicio",IF(NOT(ISNUMBER(F306)),"⚠ Falta fecha de inicio",IF(AND(N306="Sí",E306&lt;&gt;"Indefinido",NOT(ISNUMBER(G306))),"⚠ Falta fecha de término",IF(AND(D306="Paso a indefinido",E306&lt;&gt;"Indefinido"),"⚠ Un paso a indefinido debe tener tipo Indefinido",IF(N(Q306)&gt;=3,"⚠ 3er contrato a plazo fijo: por ley ya es INDEFINIDO (Art. 159 N°4)",IF(AND(E306="Plazo fijo",N(T306)&gt;12),"⚠ Plazo fijo mayor a 1 año (máx. legal; 2 años solo profesionales o técnicos)",IF(AND(ISNUMBER(G306),G306&lt;F306),"⚠ Término anterior al inicio",IF(AND(D306="Contrato inicial",ISNUMBER(J306),J306-F306&gt;15),"⚠ Escriturado fuera de plazo (Art. 9: 15 días)",IF(K306&lt;&gt;"Sí","Pendiente de firma","OK"))))))))))</f>
        <v/>
      </c>
    </row>
    <row r="307" customFormat="false" ht="15" hidden="false" customHeight="false" outlineLevel="0" collapsed="false">
      <c r="B307" s="64"/>
      <c r="C307" s="72" t="str">
        <f aca="false">IF(B307="","",IFERROR(INDEX(T_NOMBRE,MATCH(B307,T_ID,0)),"⚠ ID no existe en Trabajadores"))</f>
        <v/>
      </c>
      <c r="D307" s="64"/>
      <c r="E307" s="64"/>
      <c r="F307" s="65"/>
      <c r="G307" s="65"/>
      <c r="H307" s="67"/>
      <c r="I307" s="64"/>
      <c r="J307" s="65"/>
      <c r="K307" s="64"/>
      <c r="L307" s="64"/>
      <c r="M307" s="64"/>
      <c r="N307" s="72" t="str">
        <f aca="false">IF(B307="","",IF(D307="Anexo de modificación","No","Sí"))</f>
        <v/>
      </c>
      <c r="O307" s="73" t="str">
        <f aca="false">IF(AND(N307="Sí",ISNUMBER(F307)),COUNTIFS(C_ID,B307,C_DEFINE,"Sí",C_INICIO,"&lt;"&amp;F307)+COUNTIFS(B$7:B307,B307,N$7:N307,"Sí",F$7:F307,F307),"")</f>
        <v/>
      </c>
      <c r="P307" s="72" t="str">
        <f aca="false">IF(O307="","",B307&amp;"-P"&amp;O307)</f>
        <v/>
      </c>
      <c r="Q307" s="73" t="str">
        <f aca="false">IF(AND(N307="Sí",E307="Plazo fijo",ISNUMBER(F307)),COUNTIFS(C_ID,B307,C_TIPO,"Plazo fijo",C_DEFINE,"Sí",C_INICIO,"&lt;"&amp;F307)+COUNTIFS(B$7:B307,B307,E$7:E307,"Plazo fijo",N$7:N307,"Sí",F$7:F307,F307),"")</f>
        <v/>
      </c>
      <c r="R307" s="73" t="str">
        <f aca="false">IF(AND(B307&lt;&gt;"",ISNUMBER(H307),ISNUMBER(F307)),COUNTIFS(C_ID,B307,C_SUELDO,"&lt;&gt;",C_INICIO,"&lt;"&amp;F307)+COUNTIFS(B$7:B307,B307,H$7:H307,"&lt;&gt;",F$7:F307,F307),"")</f>
        <v/>
      </c>
      <c r="S307" s="72" t="str">
        <f aca="false">IF(R307="","",B307&amp;"-S"&amp;R307)</f>
        <v/>
      </c>
      <c r="T307" s="74" t="str">
        <f aca="false">IF(AND(ISNUMBER(F307),ISNUMBER(G307)),ROUND((G307-F307+1)/30.4375,1),"")</f>
        <v/>
      </c>
      <c r="U307" s="70" t="str">
        <f aca="false">IF(B307="","",IF(AND(N307="Sí",OR(E307="",NOT(ISNUMBER(F307)))),"⚠ Falta tipo de contrato o fecha de inicio",IF(NOT(ISNUMBER(F307)),"⚠ Falta fecha de inicio",IF(AND(N307="Sí",E307&lt;&gt;"Indefinido",NOT(ISNUMBER(G307))),"⚠ Falta fecha de término",IF(AND(D307="Paso a indefinido",E307&lt;&gt;"Indefinido"),"⚠ Un paso a indefinido debe tener tipo Indefinido",IF(N(Q307)&gt;=3,"⚠ 3er contrato a plazo fijo: por ley ya es INDEFINIDO (Art. 159 N°4)",IF(AND(E307="Plazo fijo",N(T307)&gt;12),"⚠ Plazo fijo mayor a 1 año (máx. legal; 2 años solo profesionales o técnicos)",IF(AND(ISNUMBER(G307),G307&lt;F307),"⚠ Término anterior al inicio",IF(AND(D307="Contrato inicial",ISNUMBER(J307),J307-F307&gt;15),"⚠ Escriturado fuera de plazo (Art. 9: 15 días)",IF(K307&lt;&gt;"Sí","Pendiente de firma","OK"))))))))))</f>
        <v/>
      </c>
    </row>
    <row r="308" customFormat="false" ht="15" hidden="false" customHeight="false" outlineLevel="0" collapsed="false">
      <c r="B308" s="64"/>
      <c r="C308" s="72" t="str">
        <f aca="false">IF(B308="","",IFERROR(INDEX(T_NOMBRE,MATCH(B308,T_ID,0)),"⚠ ID no existe en Trabajadores"))</f>
        <v/>
      </c>
      <c r="D308" s="64"/>
      <c r="E308" s="64"/>
      <c r="F308" s="65"/>
      <c r="G308" s="65"/>
      <c r="H308" s="67"/>
      <c r="I308" s="64"/>
      <c r="J308" s="65"/>
      <c r="K308" s="64"/>
      <c r="L308" s="64"/>
      <c r="M308" s="64"/>
      <c r="N308" s="72" t="str">
        <f aca="false">IF(B308="","",IF(D308="Anexo de modificación","No","Sí"))</f>
        <v/>
      </c>
      <c r="O308" s="73" t="str">
        <f aca="false">IF(AND(N308="Sí",ISNUMBER(F308)),COUNTIFS(C_ID,B308,C_DEFINE,"Sí",C_INICIO,"&lt;"&amp;F308)+COUNTIFS(B$7:B308,B308,N$7:N308,"Sí",F$7:F308,F308),"")</f>
        <v/>
      </c>
      <c r="P308" s="72" t="str">
        <f aca="false">IF(O308="","",B308&amp;"-P"&amp;O308)</f>
        <v/>
      </c>
      <c r="Q308" s="73" t="str">
        <f aca="false">IF(AND(N308="Sí",E308="Plazo fijo",ISNUMBER(F308)),COUNTIFS(C_ID,B308,C_TIPO,"Plazo fijo",C_DEFINE,"Sí",C_INICIO,"&lt;"&amp;F308)+COUNTIFS(B$7:B308,B308,E$7:E308,"Plazo fijo",N$7:N308,"Sí",F$7:F308,F308),"")</f>
        <v/>
      </c>
      <c r="R308" s="73" t="str">
        <f aca="false">IF(AND(B308&lt;&gt;"",ISNUMBER(H308),ISNUMBER(F308)),COUNTIFS(C_ID,B308,C_SUELDO,"&lt;&gt;",C_INICIO,"&lt;"&amp;F308)+COUNTIFS(B$7:B308,B308,H$7:H308,"&lt;&gt;",F$7:F308,F308),"")</f>
        <v/>
      </c>
      <c r="S308" s="72" t="str">
        <f aca="false">IF(R308="","",B308&amp;"-S"&amp;R308)</f>
        <v/>
      </c>
      <c r="T308" s="74" t="str">
        <f aca="false">IF(AND(ISNUMBER(F308),ISNUMBER(G308)),ROUND((G308-F308+1)/30.4375,1),"")</f>
        <v/>
      </c>
      <c r="U308" s="70" t="str">
        <f aca="false">IF(B308="","",IF(AND(N308="Sí",OR(E308="",NOT(ISNUMBER(F308)))),"⚠ Falta tipo de contrato o fecha de inicio",IF(NOT(ISNUMBER(F308)),"⚠ Falta fecha de inicio",IF(AND(N308="Sí",E308&lt;&gt;"Indefinido",NOT(ISNUMBER(G308))),"⚠ Falta fecha de término",IF(AND(D308="Paso a indefinido",E308&lt;&gt;"Indefinido"),"⚠ Un paso a indefinido debe tener tipo Indefinido",IF(N(Q308)&gt;=3,"⚠ 3er contrato a plazo fijo: por ley ya es INDEFINIDO (Art. 159 N°4)",IF(AND(E308="Plazo fijo",N(T308)&gt;12),"⚠ Plazo fijo mayor a 1 año (máx. legal; 2 años solo profesionales o técnicos)",IF(AND(ISNUMBER(G308),G308&lt;F308),"⚠ Término anterior al inicio",IF(AND(D308="Contrato inicial",ISNUMBER(J308),J308-F308&gt;15),"⚠ Escriturado fuera de plazo (Art. 9: 15 días)",IF(K308&lt;&gt;"Sí","Pendiente de firma","OK"))))))))))</f>
        <v/>
      </c>
    </row>
    <row r="309" customFormat="false" ht="15" hidden="false" customHeight="false" outlineLevel="0" collapsed="false">
      <c r="B309" s="64"/>
      <c r="C309" s="72" t="str">
        <f aca="false">IF(B309="","",IFERROR(INDEX(T_NOMBRE,MATCH(B309,T_ID,0)),"⚠ ID no existe en Trabajadores"))</f>
        <v/>
      </c>
      <c r="D309" s="64"/>
      <c r="E309" s="64"/>
      <c r="F309" s="65"/>
      <c r="G309" s="65"/>
      <c r="H309" s="67"/>
      <c r="I309" s="64"/>
      <c r="J309" s="65"/>
      <c r="K309" s="64"/>
      <c r="L309" s="64"/>
      <c r="M309" s="64"/>
      <c r="N309" s="72" t="str">
        <f aca="false">IF(B309="","",IF(D309="Anexo de modificación","No","Sí"))</f>
        <v/>
      </c>
      <c r="O309" s="73" t="str">
        <f aca="false">IF(AND(N309="Sí",ISNUMBER(F309)),COUNTIFS(C_ID,B309,C_DEFINE,"Sí",C_INICIO,"&lt;"&amp;F309)+COUNTIFS(B$7:B309,B309,N$7:N309,"Sí",F$7:F309,F309),"")</f>
        <v/>
      </c>
      <c r="P309" s="72" t="str">
        <f aca="false">IF(O309="","",B309&amp;"-P"&amp;O309)</f>
        <v/>
      </c>
      <c r="Q309" s="73" t="str">
        <f aca="false">IF(AND(N309="Sí",E309="Plazo fijo",ISNUMBER(F309)),COUNTIFS(C_ID,B309,C_TIPO,"Plazo fijo",C_DEFINE,"Sí",C_INICIO,"&lt;"&amp;F309)+COUNTIFS(B$7:B309,B309,E$7:E309,"Plazo fijo",N$7:N309,"Sí",F$7:F309,F309),"")</f>
        <v/>
      </c>
      <c r="R309" s="73" t="str">
        <f aca="false">IF(AND(B309&lt;&gt;"",ISNUMBER(H309),ISNUMBER(F309)),COUNTIFS(C_ID,B309,C_SUELDO,"&lt;&gt;",C_INICIO,"&lt;"&amp;F309)+COUNTIFS(B$7:B309,B309,H$7:H309,"&lt;&gt;",F$7:F309,F309),"")</f>
        <v/>
      </c>
      <c r="S309" s="72" t="str">
        <f aca="false">IF(R309="","",B309&amp;"-S"&amp;R309)</f>
        <v/>
      </c>
      <c r="T309" s="74" t="str">
        <f aca="false">IF(AND(ISNUMBER(F309),ISNUMBER(G309)),ROUND((G309-F309+1)/30.4375,1),"")</f>
        <v/>
      </c>
      <c r="U309" s="70" t="str">
        <f aca="false">IF(B309="","",IF(AND(N309="Sí",OR(E309="",NOT(ISNUMBER(F309)))),"⚠ Falta tipo de contrato o fecha de inicio",IF(NOT(ISNUMBER(F309)),"⚠ Falta fecha de inicio",IF(AND(N309="Sí",E309&lt;&gt;"Indefinido",NOT(ISNUMBER(G309))),"⚠ Falta fecha de término",IF(AND(D309="Paso a indefinido",E309&lt;&gt;"Indefinido"),"⚠ Un paso a indefinido debe tener tipo Indefinido",IF(N(Q309)&gt;=3,"⚠ 3er contrato a plazo fijo: por ley ya es INDEFINIDO (Art. 159 N°4)",IF(AND(E309="Plazo fijo",N(T309)&gt;12),"⚠ Plazo fijo mayor a 1 año (máx. legal; 2 años solo profesionales o técnicos)",IF(AND(ISNUMBER(G309),G309&lt;F309),"⚠ Término anterior al inicio",IF(AND(D309="Contrato inicial",ISNUMBER(J309),J309-F309&gt;15),"⚠ Escriturado fuera de plazo (Art. 9: 15 días)",IF(K309&lt;&gt;"Sí","Pendiente de firma","OK"))))))))))</f>
        <v/>
      </c>
    </row>
    <row r="310" customFormat="false" ht="15" hidden="false" customHeight="false" outlineLevel="0" collapsed="false">
      <c r="B310" s="64"/>
      <c r="C310" s="72" t="str">
        <f aca="false">IF(B310="","",IFERROR(INDEX(T_NOMBRE,MATCH(B310,T_ID,0)),"⚠ ID no existe en Trabajadores"))</f>
        <v/>
      </c>
      <c r="D310" s="64"/>
      <c r="E310" s="64"/>
      <c r="F310" s="65"/>
      <c r="G310" s="65"/>
      <c r="H310" s="67"/>
      <c r="I310" s="64"/>
      <c r="J310" s="65"/>
      <c r="K310" s="64"/>
      <c r="L310" s="64"/>
      <c r="M310" s="64"/>
      <c r="N310" s="72" t="str">
        <f aca="false">IF(B310="","",IF(D310="Anexo de modificación","No","Sí"))</f>
        <v/>
      </c>
      <c r="O310" s="73" t="str">
        <f aca="false">IF(AND(N310="Sí",ISNUMBER(F310)),COUNTIFS(C_ID,B310,C_DEFINE,"Sí",C_INICIO,"&lt;"&amp;F310)+COUNTIFS(B$7:B310,B310,N$7:N310,"Sí",F$7:F310,F310),"")</f>
        <v/>
      </c>
      <c r="P310" s="72" t="str">
        <f aca="false">IF(O310="","",B310&amp;"-P"&amp;O310)</f>
        <v/>
      </c>
      <c r="Q310" s="73" t="str">
        <f aca="false">IF(AND(N310="Sí",E310="Plazo fijo",ISNUMBER(F310)),COUNTIFS(C_ID,B310,C_TIPO,"Plazo fijo",C_DEFINE,"Sí",C_INICIO,"&lt;"&amp;F310)+COUNTIFS(B$7:B310,B310,E$7:E310,"Plazo fijo",N$7:N310,"Sí",F$7:F310,F310),"")</f>
        <v/>
      </c>
      <c r="R310" s="73" t="str">
        <f aca="false">IF(AND(B310&lt;&gt;"",ISNUMBER(H310),ISNUMBER(F310)),COUNTIFS(C_ID,B310,C_SUELDO,"&lt;&gt;",C_INICIO,"&lt;"&amp;F310)+COUNTIFS(B$7:B310,B310,H$7:H310,"&lt;&gt;",F$7:F310,F310),"")</f>
        <v/>
      </c>
      <c r="S310" s="72" t="str">
        <f aca="false">IF(R310="","",B310&amp;"-S"&amp;R310)</f>
        <v/>
      </c>
      <c r="T310" s="74" t="str">
        <f aca="false">IF(AND(ISNUMBER(F310),ISNUMBER(G310)),ROUND((G310-F310+1)/30.4375,1),"")</f>
        <v/>
      </c>
      <c r="U310" s="70" t="str">
        <f aca="false">IF(B310="","",IF(AND(N310="Sí",OR(E310="",NOT(ISNUMBER(F310)))),"⚠ Falta tipo de contrato o fecha de inicio",IF(NOT(ISNUMBER(F310)),"⚠ Falta fecha de inicio",IF(AND(N310="Sí",E310&lt;&gt;"Indefinido",NOT(ISNUMBER(G310))),"⚠ Falta fecha de término",IF(AND(D310="Paso a indefinido",E310&lt;&gt;"Indefinido"),"⚠ Un paso a indefinido debe tener tipo Indefinido",IF(N(Q310)&gt;=3,"⚠ 3er contrato a plazo fijo: por ley ya es INDEFINIDO (Art. 159 N°4)",IF(AND(E310="Plazo fijo",N(T310)&gt;12),"⚠ Plazo fijo mayor a 1 año (máx. legal; 2 años solo profesionales o técnicos)",IF(AND(ISNUMBER(G310),G310&lt;F310),"⚠ Término anterior al inicio",IF(AND(D310="Contrato inicial",ISNUMBER(J310),J310-F310&gt;15),"⚠ Escriturado fuera de plazo (Art. 9: 15 días)",IF(K310&lt;&gt;"Sí","Pendiente de firma","OK"))))))))))</f>
        <v/>
      </c>
    </row>
    <row r="311" customFormat="false" ht="15" hidden="false" customHeight="false" outlineLevel="0" collapsed="false">
      <c r="B311" s="64"/>
      <c r="C311" s="72" t="str">
        <f aca="false">IF(B311="","",IFERROR(INDEX(T_NOMBRE,MATCH(B311,T_ID,0)),"⚠ ID no existe en Trabajadores"))</f>
        <v/>
      </c>
      <c r="D311" s="64"/>
      <c r="E311" s="64"/>
      <c r="F311" s="65"/>
      <c r="G311" s="65"/>
      <c r="H311" s="67"/>
      <c r="I311" s="64"/>
      <c r="J311" s="65"/>
      <c r="K311" s="64"/>
      <c r="L311" s="64"/>
      <c r="M311" s="64"/>
      <c r="N311" s="72" t="str">
        <f aca="false">IF(B311="","",IF(D311="Anexo de modificación","No","Sí"))</f>
        <v/>
      </c>
      <c r="O311" s="73" t="str">
        <f aca="false">IF(AND(N311="Sí",ISNUMBER(F311)),COUNTIFS(C_ID,B311,C_DEFINE,"Sí",C_INICIO,"&lt;"&amp;F311)+COUNTIFS(B$7:B311,B311,N$7:N311,"Sí",F$7:F311,F311),"")</f>
        <v/>
      </c>
      <c r="P311" s="72" t="str">
        <f aca="false">IF(O311="","",B311&amp;"-P"&amp;O311)</f>
        <v/>
      </c>
      <c r="Q311" s="73" t="str">
        <f aca="false">IF(AND(N311="Sí",E311="Plazo fijo",ISNUMBER(F311)),COUNTIFS(C_ID,B311,C_TIPO,"Plazo fijo",C_DEFINE,"Sí",C_INICIO,"&lt;"&amp;F311)+COUNTIFS(B$7:B311,B311,E$7:E311,"Plazo fijo",N$7:N311,"Sí",F$7:F311,F311),"")</f>
        <v/>
      </c>
      <c r="R311" s="73" t="str">
        <f aca="false">IF(AND(B311&lt;&gt;"",ISNUMBER(H311),ISNUMBER(F311)),COUNTIFS(C_ID,B311,C_SUELDO,"&lt;&gt;",C_INICIO,"&lt;"&amp;F311)+COUNTIFS(B$7:B311,B311,H$7:H311,"&lt;&gt;",F$7:F311,F311),"")</f>
        <v/>
      </c>
      <c r="S311" s="72" t="str">
        <f aca="false">IF(R311="","",B311&amp;"-S"&amp;R311)</f>
        <v/>
      </c>
      <c r="T311" s="74" t="str">
        <f aca="false">IF(AND(ISNUMBER(F311),ISNUMBER(G311)),ROUND((G311-F311+1)/30.4375,1),"")</f>
        <v/>
      </c>
      <c r="U311" s="70" t="str">
        <f aca="false">IF(B311="","",IF(AND(N311="Sí",OR(E311="",NOT(ISNUMBER(F311)))),"⚠ Falta tipo de contrato o fecha de inicio",IF(NOT(ISNUMBER(F311)),"⚠ Falta fecha de inicio",IF(AND(N311="Sí",E311&lt;&gt;"Indefinido",NOT(ISNUMBER(G311))),"⚠ Falta fecha de término",IF(AND(D311="Paso a indefinido",E311&lt;&gt;"Indefinido"),"⚠ Un paso a indefinido debe tener tipo Indefinido",IF(N(Q311)&gt;=3,"⚠ 3er contrato a plazo fijo: por ley ya es INDEFINIDO (Art. 159 N°4)",IF(AND(E311="Plazo fijo",N(T311)&gt;12),"⚠ Plazo fijo mayor a 1 año (máx. legal; 2 años solo profesionales o técnicos)",IF(AND(ISNUMBER(G311),G311&lt;F311),"⚠ Término anterior al inicio",IF(AND(D311="Contrato inicial",ISNUMBER(J311),J311-F311&gt;15),"⚠ Escriturado fuera de plazo (Art. 9: 15 días)",IF(K311&lt;&gt;"Sí","Pendiente de firma","OK"))))))))))</f>
        <v/>
      </c>
    </row>
    <row r="312" customFormat="false" ht="15" hidden="false" customHeight="false" outlineLevel="0" collapsed="false">
      <c r="B312" s="64"/>
      <c r="C312" s="72" t="str">
        <f aca="false">IF(B312="","",IFERROR(INDEX(T_NOMBRE,MATCH(B312,T_ID,0)),"⚠ ID no existe en Trabajadores"))</f>
        <v/>
      </c>
      <c r="D312" s="64"/>
      <c r="E312" s="64"/>
      <c r="F312" s="65"/>
      <c r="G312" s="65"/>
      <c r="H312" s="67"/>
      <c r="I312" s="64"/>
      <c r="J312" s="65"/>
      <c r="K312" s="64"/>
      <c r="L312" s="64"/>
      <c r="M312" s="64"/>
      <c r="N312" s="72" t="str">
        <f aca="false">IF(B312="","",IF(D312="Anexo de modificación","No","Sí"))</f>
        <v/>
      </c>
      <c r="O312" s="73" t="str">
        <f aca="false">IF(AND(N312="Sí",ISNUMBER(F312)),COUNTIFS(C_ID,B312,C_DEFINE,"Sí",C_INICIO,"&lt;"&amp;F312)+COUNTIFS(B$7:B312,B312,N$7:N312,"Sí",F$7:F312,F312),"")</f>
        <v/>
      </c>
      <c r="P312" s="72" t="str">
        <f aca="false">IF(O312="","",B312&amp;"-P"&amp;O312)</f>
        <v/>
      </c>
      <c r="Q312" s="73" t="str">
        <f aca="false">IF(AND(N312="Sí",E312="Plazo fijo",ISNUMBER(F312)),COUNTIFS(C_ID,B312,C_TIPO,"Plazo fijo",C_DEFINE,"Sí",C_INICIO,"&lt;"&amp;F312)+COUNTIFS(B$7:B312,B312,E$7:E312,"Plazo fijo",N$7:N312,"Sí",F$7:F312,F312),"")</f>
        <v/>
      </c>
      <c r="R312" s="73" t="str">
        <f aca="false">IF(AND(B312&lt;&gt;"",ISNUMBER(H312),ISNUMBER(F312)),COUNTIFS(C_ID,B312,C_SUELDO,"&lt;&gt;",C_INICIO,"&lt;"&amp;F312)+COUNTIFS(B$7:B312,B312,H$7:H312,"&lt;&gt;",F$7:F312,F312),"")</f>
        <v/>
      </c>
      <c r="S312" s="72" t="str">
        <f aca="false">IF(R312="","",B312&amp;"-S"&amp;R312)</f>
        <v/>
      </c>
      <c r="T312" s="74" t="str">
        <f aca="false">IF(AND(ISNUMBER(F312),ISNUMBER(G312)),ROUND((G312-F312+1)/30.4375,1),"")</f>
        <v/>
      </c>
      <c r="U312" s="70" t="str">
        <f aca="false">IF(B312="","",IF(AND(N312="Sí",OR(E312="",NOT(ISNUMBER(F312)))),"⚠ Falta tipo de contrato o fecha de inicio",IF(NOT(ISNUMBER(F312)),"⚠ Falta fecha de inicio",IF(AND(N312="Sí",E312&lt;&gt;"Indefinido",NOT(ISNUMBER(G312))),"⚠ Falta fecha de término",IF(AND(D312="Paso a indefinido",E312&lt;&gt;"Indefinido"),"⚠ Un paso a indefinido debe tener tipo Indefinido",IF(N(Q312)&gt;=3,"⚠ 3er contrato a plazo fijo: por ley ya es INDEFINIDO (Art. 159 N°4)",IF(AND(E312="Plazo fijo",N(T312)&gt;12),"⚠ Plazo fijo mayor a 1 año (máx. legal; 2 años solo profesionales o técnicos)",IF(AND(ISNUMBER(G312),G312&lt;F312),"⚠ Término anterior al inicio",IF(AND(D312="Contrato inicial",ISNUMBER(J312),J312-F312&gt;15),"⚠ Escriturado fuera de plazo (Art. 9: 15 días)",IF(K312&lt;&gt;"Sí","Pendiente de firma","OK"))))))))))</f>
        <v/>
      </c>
    </row>
    <row r="313" customFormat="false" ht="15" hidden="false" customHeight="false" outlineLevel="0" collapsed="false">
      <c r="B313" s="64"/>
      <c r="C313" s="72" t="str">
        <f aca="false">IF(B313="","",IFERROR(INDEX(T_NOMBRE,MATCH(B313,T_ID,0)),"⚠ ID no existe en Trabajadores"))</f>
        <v/>
      </c>
      <c r="D313" s="64"/>
      <c r="E313" s="64"/>
      <c r="F313" s="65"/>
      <c r="G313" s="65"/>
      <c r="H313" s="67"/>
      <c r="I313" s="64"/>
      <c r="J313" s="65"/>
      <c r="K313" s="64"/>
      <c r="L313" s="64"/>
      <c r="M313" s="64"/>
      <c r="N313" s="72" t="str">
        <f aca="false">IF(B313="","",IF(D313="Anexo de modificación","No","Sí"))</f>
        <v/>
      </c>
      <c r="O313" s="73" t="str">
        <f aca="false">IF(AND(N313="Sí",ISNUMBER(F313)),COUNTIFS(C_ID,B313,C_DEFINE,"Sí",C_INICIO,"&lt;"&amp;F313)+COUNTIFS(B$7:B313,B313,N$7:N313,"Sí",F$7:F313,F313),"")</f>
        <v/>
      </c>
      <c r="P313" s="72" t="str">
        <f aca="false">IF(O313="","",B313&amp;"-P"&amp;O313)</f>
        <v/>
      </c>
      <c r="Q313" s="73" t="str">
        <f aca="false">IF(AND(N313="Sí",E313="Plazo fijo",ISNUMBER(F313)),COUNTIFS(C_ID,B313,C_TIPO,"Plazo fijo",C_DEFINE,"Sí",C_INICIO,"&lt;"&amp;F313)+COUNTIFS(B$7:B313,B313,E$7:E313,"Plazo fijo",N$7:N313,"Sí",F$7:F313,F313),"")</f>
        <v/>
      </c>
      <c r="R313" s="73" t="str">
        <f aca="false">IF(AND(B313&lt;&gt;"",ISNUMBER(H313),ISNUMBER(F313)),COUNTIFS(C_ID,B313,C_SUELDO,"&lt;&gt;",C_INICIO,"&lt;"&amp;F313)+COUNTIFS(B$7:B313,B313,H$7:H313,"&lt;&gt;",F$7:F313,F313),"")</f>
        <v/>
      </c>
      <c r="S313" s="72" t="str">
        <f aca="false">IF(R313="","",B313&amp;"-S"&amp;R313)</f>
        <v/>
      </c>
      <c r="T313" s="74" t="str">
        <f aca="false">IF(AND(ISNUMBER(F313),ISNUMBER(G313)),ROUND((G313-F313+1)/30.4375,1),"")</f>
        <v/>
      </c>
      <c r="U313" s="70" t="str">
        <f aca="false">IF(B313="","",IF(AND(N313="Sí",OR(E313="",NOT(ISNUMBER(F313)))),"⚠ Falta tipo de contrato o fecha de inicio",IF(NOT(ISNUMBER(F313)),"⚠ Falta fecha de inicio",IF(AND(N313="Sí",E313&lt;&gt;"Indefinido",NOT(ISNUMBER(G313))),"⚠ Falta fecha de término",IF(AND(D313="Paso a indefinido",E313&lt;&gt;"Indefinido"),"⚠ Un paso a indefinido debe tener tipo Indefinido",IF(N(Q313)&gt;=3,"⚠ 3er contrato a plazo fijo: por ley ya es INDEFINIDO (Art. 159 N°4)",IF(AND(E313="Plazo fijo",N(T313)&gt;12),"⚠ Plazo fijo mayor a 1 año (máx. legal; 2 años solo profesionales o técnicos)",IF(AND(ISNUMBER(G313),G313&lt;F313),"⚠ Término anterior al inicio",IF(AND(D313="Contrato inicial",ISNUMBER(J313),J313-F313&gt;15),"⚠ Escriturado fuera de plazo (Art. 9: 15 días)",IF(K313&lt;&gt;"Sí","Pendiente de firma","OK"))))))))))</f>
        <v/>
      </c>
    </row>
    <row r="314" customFormat="false" ht="15" hidden="false" customHeight="false" outlineLevel="0" collapsed="false">
      <c r="B314" s="64"/>
      <c r="C314" s="72" t="str">
        <f aca="false">IF(B314="","",IFERROR(INDEX(T_NOMBRE,MATCH(B314,T_ID,0)),"⚠ ID no existe en Trabajadores"))</f>
        <v/>
      </c>
      <c r="D314" s="64"/>
      <c r="E314" s="64"/>
      <c r="F314" s="65"/>
      <c r="G314" s="65"/>
      <c r="H314" s="67"/>
      <c r="I314" s="64"/>
      <c r="J314" s="65"/>
      <c r="K314" s="64"/>
      <c r="L314" s="64"/>
      <c r="M314" s="64"/>
      <c r="N314" s="72" t="str">
        <f aca="false">IF(B314="","",IF(D314="Anexo de modificación","No","Sí"))</f>
        <v/>
      </c>
      <c r="O314" s="73" t="str">
        <f aca="false">IF(AND(N314="Sí",ISNUMBER(F314)),COUNTIFS(C_ID,B314,C_DEFINE,"Sí",C_INICIO,"&lt;"&amp;F314)+COUNTIFS(B$7:B314,B314,N$7:N314,"Sí",F$7:F314,F314),"")</f>
        <v/>
      </c>
      <c r="P314" s="72" t="str">
        <f aca="false">IF(O314="","",B314&amp;"-P"&amp;O314)</f>
        <v/>
      </c>
      <c r="Q314" s="73" t="str">
        <f aca="false">IF(AND(N314="Sí",E314="Plazo fijo",ISNUMBER(F314)),COUNTIFS(C_ID,B314,C_TIPO,"Plazo fijo",C_DEFINE,"Sí",C_INICIO,"&lt;"&amp;F314)+COUNTIFS(B$7:B314,B314,E$7:E314,"Plazo fijo",N$7:N314,"Sí",F$7:F314,F314),"")</f>
        <v/>
      </c>
      <c r="R314" s="73" t="str">
        <f aca="false">IF(AND(B314&lt;&gt;"",ISNUMBER(H314),ISNUMBER(F314)),COUNTIFS(C_ID,B314,C_SUELDO,"&lt;&gt;",C_INICIO,"&lt;"&amp;F314)+COUNTIFS(B$7:B314,B314,H$7:H314,"&lt;&gt;",F$7:F314,F314),"")</f>
        <v/>
      </c>
      <c r="S314" s="72" t="str">
        <f aca="false">IF(R314="","",B314&amp;"-S"&amp;R314)</f>
        <v/>
      </c>
      <c r="T314" s="74" t="str">
        <f aca="false">IF(AND(ISNUMBER(F314),ISNUMBER(G314)),ROUND((G314-F314+1)/30.4375,1),"")</f>
        <v/>
      </c>
      <c r="U314" s="70" t="str">
        <f aca="false">IF(B314="","",IF(AND(N314="Sí",OR(E314="",NOT(ISNUMBER(F314)))),"⚠ Falta tipo de contrato o fecha de inicio",IF(NOT(ISNUMBER(F314)),"⚠ Falta fecha de inicio",IF(AND(N314="Sí",E314&lt;&gt;"Indefinido",NOT(ISNUMBER(G314))),"⚠ Falta fecha de término",IF(AND(D314="Paso a indefinido",E314&lt;&gt;"Indefinido"),"⚠ Un paso a indefinido debe tener tipo Indefinido",IF(N(Q314)&gt;=3,"⚠ 3er contrato a plazo fijo: por ley ya es INDEFINIDO (Art. 159 N°4)",IF(AND(E314="Plazo fijo",N(T314)&gt;12),"⚠ Plazo fijo mayor a 1 año (máx. legal; 2 años solo profesionales o técnicos)",IF(AND(ISNUMBER(G314),G314&lt;F314),"⚠ Término anterior al inicio",IF(AND(D314="Contrato inicial",ISNUMBER(J314),J314-F314&gt;15),"⚠ Escriturado fuera de plazo (Art. 9: 15 días)",IF(K314&lt;&gt;"Sí","Pendiente de firma","OK"))))))))))</f>
        <v/>
      </c>
    </row>
    <row r="315" customFormat="false" ht="15" hidden="false" customHeight="false" outlineLevel="0" collapsed="false">
      <c r="B315" s="64"/>
      <c r="C315" s="72" t="str">
        <f aca="false">IF(B315="","",IFERROR(INDEX(T_NOMBRE,MATCH(B315,T_ID,0)),"⚠ ID no existe en Trabajadores"))</f>
        <v/>
      </c>
      <c r="D315" s="64"/>
      <c r="E315" s="64"/>
      <c r="F315" s="65"/>
      <c r="G315" s="65"/>
      <c r="H315" s="67"/>
      <c r="I315" s="64"/>
      <c r="J315" s="65"/>
      <c r="K315" s="64"/>
      <c r="L315" s="64"/>
      <c r="M315" s="64"/>
      <c r="N315" s="72" t="str">
        <f aca="false">IF(B315="","",IF(D315="Anexo de modificación","No","Sí"))</f>
        <v/>
      </c>
      <c r="O315" s="73" t="str">
        <f aca="false">IF(AND(N315="Sí",ISNUMBER(F315)),COUNTIFS(C_ID,B315,C_DEFINE,"Sí",C_INICIO,"&lt;"&amp;F315)+COUNTIFS(B$7:B315,B315,N$7:N315,"Sí",F$7:F315,F315),"")</f>
        <v/>
      </c>
      <c r="P315" s="72" t="str">
        <f aca="false">IF(O315="","",B315&amp;"-P"&amp;O315)</f>
        <v/>
      </c>
      <c r="Q315" s="73" t="str">
        <f aca="false">IF(AND(N315="Sí",E315="Plazo fijo",ISNUMBER(F315)),COUNTIFS(C_ID,B315,C_TIPO,"Plazo fijo",C_DEFINE,"Sí",C_INICIO,"&lt;"&amp;F315)+COUNTIFS(B$7:B315,B315,E$7:E315,"Plazo fijo",N$7:N315,"Sí",F$7:F315,F315),"")</f>
        <v/>
      </c>
      <c r="R315" s="73" t="str">
        <f aca="false">IF(AND(B315&lt;&gt;"",ISNUMBER(H315),ISNUMBER(F315)),COUNTIFS(C_ID,B315,C_SUELDO,"&lt;&gt;",C_INICIO,"&lt;"&amp;F315)+COUNTIFS(B$7:B315,B315,H$7:H315,"&lt;&gt;",F$7:F315,F315),"")</f>
        <v/>
      </c>
      <c r="S315" s="72" t="str">
        <f aca="false">IF(R315="","",B315&amp;"-S"&amp;R315)</f>
        <v/>
      </c>
      <c r="T315" s="74" t="str">
        <f aca="false">IF(AND(ISNUMBER(F315),ISNUMBER(G315)),ROUND((G315-F315+1)/30.4375,1),"")</f>
        <v/>
      </c>
      <c r="U315" s="70" t="str">
        <f aca="false">IF(B315="","",IF(AND(N315="Sí",OR(E315="",NOT(ISNUMBER(F315)))),"⚠ Falta tipo de contrato o fecha de inicio",IF(NOT(ISNUMBER(F315)),"⚠ Falta fecha de inicio",IF(AND(N315="Sí",E315&lt;&gt;"Indefinido",NOT(ISNUMBER(G315))),"⚠ Falta fecha de término",IF(AND(D315="Paso a indefinido",E315&lt;&gt;"Indefinido"),"⚠ Un paso a indefinido debe tener tipo Indefinido",IF(N(Q315)&gt;=3,"⚠ 3er contrato a plazo fijo: por ley ya es INDEFINIDO (Art. 159 N°4)",IF(AND(E315="Plazo fijo",N(T315)&gt;12),"⚠ Plazo fijo mayor a 1 año (máx. legal; 2 años solo profesionales o técnicos)",IF(AND(ISNUMBER(G315),G315&lt;F315),"⚠ Término anterior al inicio",IF(AND(D315="Contrato inicial",ISNUMBER(J315),J315-F315&gt;15),"⚠ Escriturado fuera de plazo (Art. 9: 15 días)",IF(K315&lt;&gt;"Sí","Pendiente de firma","OK"))))))))))</f>
        <v/>
      </c>
    </row>
    <row r="316" customFormat="false" ht="15" hidden="false" customHeight="false" outlineLevel="0" collapsed="false">
      <c r="B316" s="64"/>
      <c r="C316" s="72" t="str">
        <f aca="false">IF(B316="","",IFERROR(INDEX(T_NOMBRE,MATCH(B316,T_ID,0)),"⚠ ID no existe en Trabajadores"))</f>
        <v/>
      </c>
      <c r="D316" s="64"/>
      <c r="E316" s="64"/>
      <c r="F316" s="65"/>
      <c r="G316" s="65"/>
      <c r="H316" s="67"/>
      <c r="I316" s="64"/>
      <c r="J316" s="65"/>
      <c r="K316" s="64"/>
      <c r="L316" s="64"/>
      <c r="M316" s="64"/>
      <c r="N316" s="72" t="str">
        <f aca="false">IF(B316="","",IF(D316="Anexo de modificación","No","Sí"))</f>
        <v/>
      </c>
      <c r="O316" s="73" t="str">
        <f aca="false">IF(AND(N316="Sí",ISNUMBER(F316)),COUNTIFS(C_ID,B316,C_DEFINE,"Sí",C_INICIO,"&lt;"&amp;F316)+COUNTIFS(B$7:B316,B316,N$7:N316,"Sí",F$7:F316,F316),"")</f>
        <v/>
      </c>
      <c r="P316" s="72" t="str">
        <f aca="false">IF(O316="","",B316&amp;"-P"&amp;O316)</f>
        <v/>
      </c>
      <c r="Q316" s="73" t="str">
        <f aca="false">IF(AND(N316="Sí",E316="Plazo fijo",ISNUMBER(F316)),COUNTIFS(C_ID,B316,C_TIPO,"Plazo fijo",C_DEFINE,"Sí",C_INICIO,"&lt;"&amp;F316)+COUNTIFS(B$7:B316,B316,E$7:E316,"Plazo fijo",N$7:N316,"Sí",F$7:F316,F316),"")</f>
        <v/>
      </c>
      <c r="R316" s="73" t="str">
        <f aca="false">IF(AND(B316&lt;&gt;"",ISNUMBER(H316),ISNUMBER(F316)),COUNTIFS(C_ID,B316,C_SUELDO,"&lt;&gt;",C_INICIO,"&lt;"&amp;F316)+COUNTIFS(B$7:B316,B316,H$7:H316,"&lt;&gt;",F$7:F316,F316),"")</f>
        <v/>
      </c>
      <c r="S316" s="72" t="str">
        <f aca="false">IF(R316="","",B316&amp;"-S"&amp;R316)</f>
        <v/>
      </c>
      <c r="T316" s="74" t="str">
        <f aca="false">IF(AND(ISNUMBER(F316),ISNUMBER(G316)),ROUND((G316-F316+1)/30.4375,1),"")</f>
        <v/>
      </c>
      <c r="U316" s="70" t="str">
        <f aca="false">IF(B316="","",IF(AND(N316="Sí",OR(E316="",NOT(ISNUMBER(F316)))),"⚠ Falta tipo de contrato o fecha de inicio",IF(NOT(ISNUMBER(F316)),"⚠ Falta fecha de inicio",IF(AND(N316="Sí",E316&lt;&gt;"Indefinido",NOT(ISNUMBER(G316))),"⚠ Falta fecha de término",IF(AND(D316="Paso a indefinido",E316&lt;&gt;"Indefinido"),"⚠ Un paso a indefinido debe tener tipo Indefinido",IF(N(Q316)&gt;=3,"⚠ 3er contrato a plazo fijo: por ley ya es INDEFINIDO (Art. 159 N°4)",IF(AND(E316="Plazo fijo",N(T316)&gt;12),"⚠ Plazo fijo mayor a 1 año (máx. legal; 2 años solo profesionales o técnicos)",IF(AND(ISNUMBER(G316),G316&lt;F316),"⚠ Término anterior al inicio",IF(AND(D316="Contrato inicial",ISNUMBER(J316),J316-F316&gt;15),"⚠ Escriturado fuera de plazo (Art. 9: 15 días)",IF(K316&lt;&gt;"Sí","Pendiente de firma","OK"))))))))))</f>
        <v/>
      </c>
    </row>
    <row r="317" customFormat="false" ht="15" hidden="false" customHeight="false" outlineLevel="0" collapsed="false">
      <c r="B317" s="64"/>
      <c r="C317" s="72" t="str">
        <f aca="false">IF(B317="","",IFERROR(INDEX(T_NOMBRE,MATCH(B317,T_ID,0)),"⚠ ID no existe en Trabajadores"))</f>
        <v/>
      </c>
      <c r="D317" s="64"/>
      <c r="E317" s="64"/>
      <c r="F317" s="65"/>
      <c r="G317" s="65"/>
      <c r="H317" s="67"/>
      <c r="I317" s="64"/>
      <c r="J317" s="65"/>
      <c r="K317" s="64"/>
      <c r="L317" s="64"/>
      <c r="M317" s="64"/>
      <c r="N317" s="72" t="str">
        <f aca="false">IF(B317="","",IF(D317="Anexo de modificación","No","Sí"))</f>
        <v/>
      </c>
      <c r="O317" s="73" t="str">
        <f aca="false">IF(AND(N317="Sí",ISNUMBER(F317)),COUNTIFS(C_ID,B317,C_DEFINE,"Sí",C_INICIO,"&lt;"&amp;F317)+COUNTIFS(B$7:B317,B317,N$7:N317,"Sí",F$7:F317,F317),"")</f>
        <v/>
      </c>
      <c r="P317" s="72" t="str">
        <f aca="false">IF(O317="","",B317&amp;"-P"&amp;O317)</f>
        <v/>
      </c>
      <c r="Q317" s="73" t="str">
        <f aca="false">IF(AND(N317="Sí",E317="Plazo fijo",ISNUMBER(F317)),COUNTIFS(C_ID,B317,C_TIPO,"Plazo fijo",C_DEFINE,"Sí",C_INICIO,"&lt;"&amp;F317)+COUNTIFS(B$7:B317,B317,E$7:E317,"Plazo fijo",N$7:N317,"Sí",F$7:F317,F317),"")</f>
        <v/>
      </c>
      <c r="R317" s="73" t="str">
        <f aca="false">IF(AND(B317&lt;&gt;"",ISNUMBER(H317),ISNUMBER(F317)),COUNTIFS(C_ID,B317,C_SUELDO,"&lt;&gt;",C_INICIO,"&lt;"&amp;F317)+COUNTIFS(B$7:B317,B317,H$7:H317,"&lt;&gt;",F$7:F317,F317),"")</f>
        <v/>
      </c>
      <c r="S317" s="72" t="str">
        <f aca="false">IF(R317="","",B317&amp;"-S"&amp;R317)</f>
        <v/>
      </c>
      <c r="T317" s="74" t="str">
        <f aca="false">IF(AND(ISNUMBER(F317),ISNUMBER(G317)),ROUND((G317-F317+1)/30.4375,1),"")</f>
        <v/>
      </c>
      <c r="U317" s="70" t="str">
        <f aca="false">IF(B317="","",IF(AND(N317="Sí",OR(E317="",NOT(ISNUMBER(F317)))),"⚠ Falta tipo de contrato o fecha de inicio",IF(NOT(ISNUMBER(F317)),"⚠ Falta fecha de inicio",IF(AND(N317="Sí",E317&lt;&gt;"Indefinido",NOT(ISNUMBER(G317))),"⚠ Falta fecha de término",IF(AND(D317="Paso a indefinido",E317&lt;&gt;"Indefinido"),"⚠ Un paso a indefinido debe tener tipo Indefinido",IF(N(Q317)&gt;=3,"⚠ 3er contrato a plazo fijo: por ley ya es INDEFINIDO (Art. 159 N°4)",IF(AND(E317="Plazo fijo",N(T317)&gt;12),"⚠ Plazo fijo mayor a 1 año (máx. legal; 2 años solo profesionales o técnicos)",IF(AND(ISNUMBER(G317),G317&lt;F317),"⚠ Término anterior al inicio",IF(AND(D317="Contrato inicial",ISNUMBER(J317),J317-F317&gt;15),"⚠ Escriturado fuera de plazo (Art. 9: 15 días)",IF(K317&lt;&gt;"Sí","Pendiente de firma","OK"))))))))))</f>
        <v/>
      </c>
    </row>
    <row r="318" customFormat="false" ht="15" hidden="false" customHeight="false" outlineLevel="0" collapsed="false">
      <c r="B318" s="64"/>
      <c r="C318" s="72" t="str">
        <f aca="false">IF(B318="","",IFERROR(INDEX(T_NOMBRE,MATCH(B318,T_ID,0)),"⚠ ID no existe en Trabajadores"))</f>
        <v/>
      </c>
      <c r="D318" s="64"/>
      <c r="E318" s="64"/>
      <c r="F318" s="65"/>
      <c r="G318" s="65"/>
      <c r="H318" s="67"/>
      <c r="I318" s="64"/>
      <c r="J318" s="65"/>
      <c r="K318" s="64"/>
      <c r="L318" s="64"/>
      <c r="M318" s="64"/>
      <c r="N318" s="72" t="str">
        <f aca="false">IF(B318="","",IF(D318="Anexo de modificación","No","Sí"))</f>
        <v/>
      </c>
      <c r="O318" s="73" t="str">
        <f aca="false">IF(AND(N318="Sí",ISNUMBER(F318)),COUNTIFS(C_ID,B318,C_DEFINE,"Sí",C_INICIO,"&lt;"&amp;F318)+COUNTIFS(B$7:B318,B318,N$7:N318,"Sí",F$7:F318,F318),"")</f>
        <v/>
      </c>
      <c r="P318" s="72" t="str">
        <f aca="false">IF(O318="","",B318&amp;"-P"&amp;O318)</f>
        <v/>
      </c>
      <c r="Q318" s="73" t="str">
        <f aca="false">IF(AND(N318="Sí",E318="Plazo fijo",ISNUMBER(F318)),COUNTIFS(C_ID,B318,C_TIPO,"Plazo fijo",C_DEFINE,"Sí",C_INICIO,"&lt;"&amp;F318)+COUNTIFS(B$7:B318,B318,E$7:E318,"Plazo fijo",N$7:N318,"Sí",F$7:F318,F318),"")</f>
        <v/>
      </c>
      <c r="R318" s="73" t="str">
        <f aca="false">IF(AND(B318&lt;&gt;"",ISNUMBER(H318),ISNUMBER(F318)),COUNTIFS(C_ID,B318,C_SUELDO,"&lt;&gt;",C_INICIO,"&lt;"&amp;F318)+COUNTIFS(B$7:B318,B318,H$7:H318,"&lt;&gt;",F$7:F318,F318),"")</f>
        <v/>
      </c>
      <c r="S318" s="72" t="str">
        <f aca="false">IF(R318="","",B318&amp;"-S"&amp;R318)</f>
        <v/>
      </c>
      <c r="T318" s="74" t="str">
        <f aca="false">IF(AND(ISNUMBER(F318),ISNUMBER(G318)),ROUND((G318-F318+1)/30.4375,1),"")</f>
        <v/>
      </c>
      <c r="U318" s="70" t="str">
        <f aca="false">IF(B318="","",IF(AND(N318="Sí",OR(E318="",NOT(ISNUMBER(F318)))),"⚠ Falta tipo de contrato o fecha de inicio",IF(NOT(ISNUMBER(F318)),"⚠ Falta fecha de inicio",IF(AND(N318="Sí",E318&lt;&gt;"Indefinido",NOT(ISNUMBER(G318))),"⚠ Falta fecha de término",IF(AND(D318="Paso a indefinido",E318&lt;&gt;"Indefinido"),"⚠ Un paso a indefinido debe tener tipo Indefinido",IF(N(Q318)&gt;=3,"⚠ 3er contrato a plazo fijo: por ley ya es INDEFINIDO (Art. 159 N°4)",IF(AND(E318="Plazo fijo",N(T318)&gt;12),"⚠ Plazo fijo mayor a 1 año (máx. legal; 2 años solo profesionales o técnicos)",IF(AND(ISNUMBER(G318),G318&lt;F318),"⚠ Término anterior al inicio",IF(AND(D318="Contrato inicial",ISNUMBER(J318),J318-F318&gt;15),"⚠ Escriturado fuera de plazo (Art. 9: 15 días)",IF(K318&lt;&gt;"Sí","Pendiente de firma","OK"))))))))))</f>
        <v/>
      </c>
    </row>
    <row r="319" customFormat="false" ht="15" hidden="false" customHeight="false" outlineLevel="0" collapsed="false">
      <c r="B319" s="64"/>
      <c r="C319" s="72" t="str">
        <f aca="false">IF(B319="","",IFERROR(INDEX(T_NOMBRE,MATCH(B319,T_ID,0)),"⚠ ID no existe en Trabajadores"))</f>
        <v/>
      </c>
      <c r="D319" s="64"/>
      <c r="E319" s="64"/>
      <c r="F319" s="65"/>
      <c r="G319" s="65"/>
      <c r="H319" s="67"/>
      <c r="I319" s="64"/>
      <c r="J319" s="65"/>
      <c r="K319" s="64"/>
      <c r="L319" s="64"/>
      <c r="M319" s="64"/>
      <c r="N319" s="72" t="str">
        <f aca="false">IF(B319="","",IF(D319="Anexo de modificación","No","Sí"))</f>
        <v/>
      </c>
      <c r="O319" s="73" t="str">
        <f aca="false">IF(AND(N319="Sí",ISNUMBER(F319)),COUNTIFS(C_ID,B319,C_DEFINE,"Sí",C_INICIO,"&lt;"&amp;F319)+COUNTIFS(B$7:B319,B319,N$7:N319,"Sí",F$7:F319,F319),"")</f>
        <v/>
      </c>
      <c r="P319" s="72" t="str">
        <f aca="false">IF(O319="","",B319&amp;"-P"&amp;O319)</f>
        <v/>
      </c>
      <c r="Q319" s="73" t="str">
        <f aca="false">IF(AND(N319="Sí",E319="Plazo fijo",ISNUMBER(F319)),COUNTIFS(C_ID,B319,C_TIPO,"Plazo fijo",C_DEFINE,"Sí",C_INICIO,"&lt;"&amp;F319)+COUNTIFS(B$7:B319,B319,E$7:E319,"Plazo fijo",N$7:N319,"Sí",F$7:F319,F319),"")</f>
        <v/>
      </c>
      <c r="R319" s="73" t="str">
        <f aca="false">IF(AND(B319&lt;&gt;"",ISNUMBER(H319),ISNUMBER(F319)),COUNTIFS(C_ID,B319,C_SUELDO,"&lt;&gt;",C_INICIO,"&lt;"&amp;F319)+COUNTIFS(B$7:B319,B319,H$7:H319,"&lt;&gt;",F$7:F319,F319),"")</f>
        <v/>
      </c>
      <c r="S319" s="72" t="str">
        <f aca="false">IF(R319="","",B319&amp;"-S"&amp;R319)</f>
        <v/>
      </c>
      <c r="T319" s="74" t="str">
        <f aca="false">IF(AND(ISNUMBER(F319),ISNUMBER(G319)),ROUND((G319-F319+1)/30.4375,1),"")</f>
        <v/>
      </c>
      <c r="U319" s="70" t="str">
        <f aca="false">IF(B319="","",IF(AND(N319="Sí",OR(E319="",NOT(ISNUMBER(F319)))),"⚠ Falta tipo de contrato o fecha de inicio",IF(NOT(ISNUMBER(F319)),"⚠ Falta fecha de inicio",IF(AND(N319="Sí",E319&lt;&gt;"Indefinido",NOT(ISNUMBER(G319))),"⚠ Falta fecha de término",IF(AND(D319="Paso a indefinido",E319&lt;&gt;"Indefinido"),"⚠ Un paso a indefinido debe tener tipo Indefinido",IF(N(Q319)&gt;=3,"⚠ 3er contrato a plazo fijo: por ley ya es INDEFINIDO (Art. 159 N°4)",IF(AND(E319="Plazo fijo",N(T319)&gt;12),"⚠ Plazo fijo mayor a 1 año (máx. legal; 2 años solo profesionales o técnicos)",IF(AND(ISNUMBER(G319),G319&lt;F319),"⚠ Término anterior al inicio",IF(AND(D319="Contrato inicial",ISNUMBER(J319),J319-F319&gt;15),"⚠ Escriturado fuera de plazo (Art. 9: 15 días)",IF(K319&lt;&gt;"Sí","Pendiente de firma","OK"))))))))))</f>
        <v/>
      </c>
    </row>
    <row r="320" customFormat="false" ht="15" hidden="false" customHeight="false" outlineLevel="0" collapsed="false">
      <c r="B320" s="64"/>
      <c r="C320" s="72" t="str">
        <f aca="false">IF(B320="","",IFERROR(INDEX(T_NOMBRE,MATCH(B320,T_ID,0)),"⚠ ID no existe en Trabajadores"))</f>
        <v/>
      </c>
      <c r="D320" s="64"/>
      <c r="E320" s="64"/>
      <c r="F320" s="65"/>
      <c r="G320" s="65"/>
      <c r="H320" s="67"/>
      <c r="I320" s="64"/>
      <c r="J320" s="65"/>
      <c r="K320" s="64"/>
      <c r="L320" s="64"/>
      <c r="M320" s="64"/>
      <c r="N320" s="72" t="str">
        <f aca="false">IF(B320="","",IF(D320="Anexo de modificación","No","Sí"))</f>
        <v/>
      </c>
      <c r="O320" s="73" t="str">
        <f aca="false">IF(AND(N320="Sí",ISNUMBER(F320)),COUNTIFS(C_ID,B320,C_DEFINE,"Sí",C_INICIO,"&lt;"&amp;F320)+COUNTIFS(B$7:B320,B320,N$7:N320,"Sí",F$7:F320,F320),"")</f>
        <v/>
      </c>
      <c r="P320" s="72" t="str">
        <f aca="false">IF(O320="","",B320&amp;"-P"&amp;O320)</f>
        <v/>
      </c>
      <c r="Q320" s="73" t="str">
        <f aca="false">IF(AND(N320="Sí",E320="Plazo fijo",ISNUMBER(F320)),COUNTIFS(C_ID,B320,C_TIPO,"Plazo fijo",C_DEFINE,"Sí",C_INICIO,"&lt;"&amp;F320)+COUNTIFS(B$7:B320,B320,E$7:E320,"Plazo fijo",N$7:N320,"Sí",F$7:F320,F320),"")</f>
        <v/>
      </c>
      <c r="R320" s="73" t="str">
        <f aca="false">IF(AND(B320&lt;&gt;"",ISNUMBER(H320),ISNUMBER(F320)),COUNTIFS(C_ID,B320,C_SUELDO,"&lt;&gt;",C_INICIO,"&lt;"&amp;F320)+COUNTIFS(B$7:B320,B320,H$7:H320,"&lt;&gt;",F$7:F320,F320),"")</f>
        <v/>
      </c>
      <c r="S320" s="72" t="str">
        <f aca="false">IF(R320="","",B320&amp;"-S"&amp;R320)</f>
        <v/>
      </c>
      <c r="T320" s="74" t="str">
        <f aca="false">IF(AND(ISNUMBER(F320),ISNUMBER(G320)),ROUND((G320-F320+1)/30.4375,1),"")</f>
        <v/>
      </c>
      <c r="U320" s="70" t="str">
        <f aca="false">IF(B320="","",IF(AND(N320="Sí",OR(E320="",NOT(ISNUMBER(F320)))),"⚠ Falta tipo de contrato o fecha de inicio",IF(NOT(ISNUMBER(F320)),"⚠ Falta fecha de inicio",IF(AND(N320="Sí",E320&lt;&gt;"Indefinido",NOT(ISNUMBER(G320))),"⚠ Falta fecha de término",IF(AND(D320="Paso a indefinido",E320&lt;&gt;"Indefinido"),"⚠ Un paso a indefinido debe tener tipo Indefinido",IF(N(Q320)&gt;=3,"⚠ 3er contrato a plazo fijo: por ley ya es INDEFINIDO (Art. 159 N°4)",IF(AND(E320="Plazo fijo",N(T320)&gt;12),"⚠ Plazo fijo mayor a 1 año (máx. legal; 2 años solo profesionales o técnicos)",IF(AND(ISNUMBER(G320),G320&lt;F320),"⚠ Término anterior al inicio",IF(AND(D320="Contrato inicial",ISNUMBER(J320),J320-F320&gt;15),"⚠ Escriturado fuera de plazo (Art. 9: 15 días)",IF(K320&lt;&gt;"Sí","Pendiente de firma","OK"))))))))))</f>
        <v/>
      </c>
    </row>
    <row r="321" customFormat="false" ht="15" hidden="false" customHeight="false" outlineLevel="0" collapsed="false">
      <c r="B321" s="64"/>
      <c r="C321" s="72" t="str">
        <f aca="false">IF(B321="","",IFERROR(INDEX(T_NOMBRE,MATCH(B321,T_ID,0)),"⚠ ID no existe en Trabajadores"))</f>
        <v/>
      </c>
      <c r="D321" s="64"/>
      <c r="E321" s="64"/>
      <c r="F321" s="65"/>
      <c r="G321" s="65"/>
      <c r="H321" s="67"/>
      <c r="I321" s="64"/>
      <c r="J321" s="65"/>
      <c r="K321" s="64"/>
      <c r="L321" s="64"/>
      <c r="M321" s="64"/>
      <c r="N321" s="72" t="str">
        <f aca="false">IF(B321="","",IF(D321="Anexo de modificación","No","Sí"))</f>
        <v/>
      </c>
      <c r="O321" s="73" t="str">
        <f aca="false">IF(AND(N321="Sí",ISNUMBER(F321)),COUNTIFS(C_ID,B321,C_DEFINE,"Sí",C_INICIO,"&lt;"&amp;F321)+COUNTIFS(B$7:B321,B321,N$7:N321,"Sí",F$7:F321,F321),"")</f>
        <v/>
      </c>
      <c r="P321" s="72" t="str">
        <f aca="false">IF(O321="","",B321&amp;"-P"&amp;O321)</f>
        <v/>
      </c>
      <c r="Q321" s="73" t="str">
        <f aca="false">IF(AND(N321="Sí",E321="Plazo fijo",ISNUMBER(F321)),COUNTIFS(C_ID,B321,C_TIPO,"Plazo fijo",C_DEFINE,"Sí",C_INICIO,"&lt;"&amp;F321)+COUNTIFS(B$7:B321,B321,E$7:E321,"Plazo fijo",N$7:N321,"Sí",F$7:F321,F321),"")</f>
        <v/>
      </c>
      <c r="R321" s="73" t="str">
        <f aca="false">IF(AND(B321&lt;&gt;"",ISNUMBER(H321),ISNUMBER(F321)),COUNTIFS(C_ID,B321,C_SUELDO,"&lt;&gt;",C_INICIO,"&lt;"&amp;F321)+COUNTIFS(B$7:B321,B321,H$7:H321,"&lt;&gt;",F$7:F321,F321),"")</f>
        <v/>
      </c>
      <c r="S321" s="72" t="str">
        <f aca="false">IF(R321="","",B321&amp;"-S"&amp;R321)</f>
        <v/>
      </c>
      <c r="T321" s="74" t="str">
        <f aca="false">IF(AND(ISNUMBER(F321),ISNUMBER(G321)),ROUND((G321-F321+1)/30.4375,1),"")</f>
        <v/>
      </c>
      <c r="U321" s="70" t="str">
        <f aca="false">IF(B321="","",IF(AND(N321="Sí",OR(E321="",NOT(ISNUMBER(F321)))),"⚠ Falta tipo de contrato o fecha de inicio",IF(NOT(ISNUMBER(F321)),"⚠ Falta fecha de inicio",IF(AND(N321="Sí",E321&lt;&gt;"Indefinido",NOT(ISNUMBER(G321))),"⚠ Falta fecha de término",IF(AND(D321="Paso a indefinido",E321&lt;&gt;"Indefinido"),"⚠ Un paso a indefinido debe tener tipo Indefinido",IF(N(Q321)&gt;=3,"⚠ 3er contrato a plazo fijo: por ley ya es INDEFINIDO (Art. 159 N°4)",IF(AND(E321="Plazo fijo",N(T321)&gt;12),"⚠ Plazo fijo mayor a 1 año (máx. legal; 2 años solo profesionales o técnicos)",IF(AND(ISNUMBER(G321),G321&lt;F321),"⚠ Término anterior al inicio",IF(AND(D321="Contrato inicial",ISNUMBER(J321),J321-F321&gt;15),"⚠ Escriturado fuera de plazo (Art. 9: 15 días)",IF(K321&lt;&gt;"Sí","Pendiente de firma","OK"))))))))))</f>
        <v/>
      </c>
    </row>
    <row r="322" customFormat="false" ht="15" hidden="false" customHeight="false" outlineLevel="0" collapsed="false">
      <c r="B322" s="64"/>
      <c r="C322" s="72" t="str">
        <f aca="false">IF(B322="","",IFERROR(INDEX(T_NOMBRE,MATCH(B322,T_ID,0)),"⚠ ID no existe en Trabajadores"))</f>
        <v/>
      </c>
      <c r="D322" s="64"/>
      <c r="E322" s="64"/>
      <c r="F322" s="65"/>
      <c r="G322" s="65"/>
      <c r="H322" s="67"/>
      <c r="I322" s="64"/>
      <c r="J322" s="65"/>
      <c r="K322" s="64"/>
      <c r="L322" s="64"/>
      <c r="M322" s="64"/>
      <c r="N322" s="72" t="str">
        <f aca="false">IF(B322="","",IF(D322="Anexo de modificación","No","Sí"))</f>
        <v/>
      </c>
      <c r="O322" s="73" t="str">
        <f aca="false">IF(AND(N322="Sí",ISNUMBER(F322)),COUNTIFS(C_ID,B322,C_DEFINE,"Sí",C_INICIO,"&lt;"&amp;F322)+COUNTIFS(B$7:B322,B322,N$7:N322,"Sí",F$7:F322,F322),"")</f>
        <v/>
      </c>
      <c r="P322" s="72" t="str">
        <f aca="false">IF(O322="","",B322&amp;"-P"&amp;O322)</f>
        <v/>
      </c>
      <c r="Q322" s="73" t="str">
        <f aca="false">IF(AND(N322="Sí",E322="Plazo fijo",ISNUMBER(F322)),COUNTIFS(C_ID,B322,C_TIPO,"Plazo fijo",C_DEFINE,"Sí",C_INICIO,"&lt;"&amp;F322)+COUNTIFS(B$7:B322,B322,E$7:E322,"Plazo fijo",N$7:N322,"Sí",F$7:F322,F322),"")</f>
        <v/>
      </c>
      <c r="R322" s="73" t="str">
        <f aca="false">IF(AND(B322&lt;&gt;"",ISNUMBER(H322),ISNUMBER(F322)),COUNTIFS(C_ID,B322,C_SUELDO,"&lt;&gt;",C_INICIO,"&lt;"&amp;F322)+COUNTIFS(B$7:B322,B322,H$7:H322,"&lt;&gt;",F$7:F322,F322),"")</f>
        <v/>
      </c>
      <c r="S322" s="72" t="str">
        <f aca="false">IF(R322="","",B322&amp;"-S"&amp;R322)</f>
        <v/>
      </c>
      <c r="T322" s="74" t="str">
        <f aca="false">IF(AND(ISNUMBER(F322),ISNUMBER(G322)),ROUND((G322-F322+1)/30.4375,1),"")</f>
        <v/>
      </c>
      <c r="U322" s="70" t="str">
        <f aca="false">IF(B322="","",IF(AND(N322="Sí",OR(E322="",NOT(ISNUMBER(F322)))),"⚠ Falta tipo de contrato o fecha de inicio",IF(NOT(ISNUMBER(F322)),"⚠ Falta fecha de inicio",IF(AND(N322="Sí",E322&lt;&gt;"Indefinido",NOT(ISNUMBER(G322))),"⚠ Falta fecha de término",IF(AND(D322="Paso a indefinido",E322&lt;&gt;"Indefinido"),"⚠ Un paso a indefinido debe tener tipo Indefinido",IF(N(Q322)&gt;=3,"⚠ 3er contrato a plazo fijo: por ley ya es INDEFINIDO (Art. 159 N°4)",IF(AND(E322="Plazo fijo",N(T322)&gt;12),"⚠ Plazo fijo mayor a 1 año (máx. legal; 2 años solo profesionales o técnicos)",IF(AND(ISNUMBER(G322),G322&lt;F322),"⚠ Término anterior al inicio",IF(AND(D322="Contrato inicial",ISNUMBER(J322),J322-F322&gt;15),"⚠ Escriturado fuera de plazo (Art. 9: 15 días)",IF(K322&lt;&gt;"Sí","Pendiente de firma","OK"))))))))))</f>
        <v/>
      </c>
    </row>
    <row r="323" customFormat="false" ht="15" hidden="false" customHeight="false" outlineLevel="0" collapsed="false">
      <c r="B323" s="64"/>
      <c r="C323" s="72" t="str">
        <f aca="false">IF(B323="","",IFERROR(INDEX(T_NOMBRE,MATCH(B323,T_ID,0)),"⚠ ID no existe en Trabajadores"))</f>
        <v/>
      </c>
      <c r="D323" s="64"/>
      <c r="E323" s="64"/>
      <c r="F323" s="65"/>
      <c r="G323" s="65"/>
      <c r="H323" s="67"/>
      <c r="I323" s="64"/>
      <c r="J323" s="65"/>
      <c r="K323" s="64"/>
      <c r="L323" s="64"/>
      <c r="M323" s="64"/>
      <c r="N323" s="72" t="str">
        <f aca="false">IF(B323="","",IF(D323="Anexo de modificación","No","Sí"))</f>
        <v/>
      </c>
      <c r="O323" s="73" t="str">
        <f aca="false">IF(AND(N323="Sí",ISNUMBER(F323)),COUNTIFS(C_ID,B323,C_DEFINE,"Sí",C_INICIO,"&lt;"&amp;F323)+COUNTIFS(B$7:B323,B323,N$7:N323,"Sí",F$7:F323,F323),"")</f>
        <v/>
      </c>
      <c r="P323" s="72" t="str">
        <f aca="false">IF(O323="","",B323&amp;"-P"&amp;O323)</f>
        <v/>
      </c>
      <c r="Q323" s="73" t="str">
        <f aca="false">IF(AND(N323="Sí",E323="Plazo fijo",ISNUMBER(F323)),COUNTIFS(C_ID,B323,C_TIPO,"Plazo fijo",C_DEFINE,"Sí",C_INICIO,"&lt;"&amp;F323)+COUNTIFS(B$7:B323,B323,E$7:E323,"Plazo fijo",N$7:N323,"Sí",F$7:F323,F323),"")</f>
        <v/>
      </c>
      <c r="R323" s="73" t="str">
        <f aca="false">IF(AND(B323&lt;&gt;"",ISNUMBER(H323),ISNUMBER(F323)),COUNTIFS(C_ID,B323,C_SUELDO,"&lt;&gt;",C_INICIO,"&lt;"&amp;F323)+COUNTIFS(B$7:B323,B323,H$7:H323,"&lt;&gt;",F$7:F323,F323),"")</f>
        <v/>
      </c>
      <c r="S323" s="72" t="str">
        <f aca="false">IF(R323="","",B323&amp;"-S"&amp;R323)</f>
        <v/>
      </c>
      <c r="T323" s="74" t="str">
        <f aca="false">IF(AND(ISNUMBER(F323),ISNUMBER(G323)),ROUND((G323-F323+1)/30.4375,1),"")</f>
        <v/>
      </c>
      <c r="U323" s="70" t="str">
        <f aca="false">IF(B323="","",IF(AND(N323="Sí",OR(E323="",NOT(ISNUMBER(F323)))),"⚠ Falta tipo de contrato o fecha de inicio",IF(NOT(ISNUMBER(F323)),"⚠ Falta fecha de inicio",IF(AND(N323="Sí",E323&lt;&gt;"Indefinido",NOT(ISNUMBER(G323))),"⚠ Falta fecha de término",IF(AND(D323="Paso a indefinido",E323&lt;&gt;"Indefinido"),"⚠ Un paso a indefinido debe tener tipo Indefinido",IF(N(Q323)&gt;=3,"⚠ 3er contrato a plazo fijo: por ley ya es INDEFINIDO (Art. 159 N°4)",IF(AND(E323="Plazo fijo",N(T323)&gt;12),"⚠ Plazo fijo mayor a 1 año (máx. legal; 2 años solo profesionales o técnicos)",IF(AND(ISNUMBER(G323),G323&lt;F323),"⚠ Término anterior al inicio",IF(AND(D323="Contrato inicial",ISNUMBER(J323),J323-F323&gt;15),"⚠ Escriturado fuera de plazo (Art. 9: 15 días)",IF(K323&lt;&gt;"Sí","Pendiente de firma","OK"))))))))))</f>
        <v/>
      </c>
    </row>
    <row r="324" customFormat="false" ht="15" hidden="false" customHeight="false" outlineLevel="0" collapsed="false">
      <c r="B324" s="64"/>
      <c r="C324" s="72" t="str">
        <f aca="false">IF(B324="","",IFERROR(INDEX(T_NOMBRE,MATCH(B324,T_ID,0)),"⚠ ID no existe en Trabajadores"))</f>
        <v/>
      </c>
      <c r="D324" s="64"/>
      <c r="E324" s="64"/>
      <c r="F324" s="65"/>
      <c r="G324" s="65"/>
      <c r="H324" s="67"/>
      <c r="I324" s="64"/>
      <c r="J324" s="65"/>
      <c r="K324" s="64"/>
      <c r="L324" s="64"/>
      <c r="M324" s="64"/>
      <c r="N324" s="72" t="str">
        <f aca="false">IF(B324="","",IF(D324="Anexo de modificación","No","Sí"))</f>
        <v/>
      </c>
      <c r="O324" s="73" t="str">
        <f aca="false">IF(AND(N324="Sí",ISNUMBER(F324)),COUNTIFS(C_ID,B324,C_DEFINE,"Sí",C_INICIO,"&lt;"&amp;F324)+COUNTIFS(B$7:B324,B324,N$7:N324,"Sí",F$7:F324,F324),"")</f>
        <v/>
      </c>
      <c r="P324" s="72" t="str">
        <f aca="false">IF(O324="","",B324&amp;"-P"&amp;O324)</f>
        <v/>
      </c>
      <c r="Q324" s="73" t="str">
        <f aca="false">IF(AND(N324="Sí",E324="Plazo fijo",ISNUMBER(F324)),COUNTIFS(C_ID,B324,C_TIPO,"Plazo fijo",C_DEFINE,"Sí",C_INICIO,"&lt;"&amp;F324)+COUNTIFS(B$7:B324,B324,E$7:E324,"Plazo fijo",N$7:N324,"Sí",F$7:F324,F324),"")</f>
        <v/>
      </c>
      <c r="R324" s="73" t="str">
        <f aca="false">IF(AND(B324&lt;&gt;"",ISNUMBER(H324),ISNUMBER(F324)),COUNTIFS(C_ID,B324,C_SUELDO,"&lt;&gt;",C_INICIO,"&lt;"&amp;F324)+COUNTIFS(B$7:B324,B324,H$7:H324,"&lt;&gt;",F$7:F324,F324),"")</f>
        <v/>
      </c>
      <c r="S324" s="72" t="str">
        <f aca="false">IF(R324="","",B324&amp;"-S"&amp;R324)</f>
        <v/>
      </c>
      <c r="T324" s="74" t="str">
        <f aca="false">IF(AND(ISNUMBER(F324),ISNUMBER(G324)),ROUND((G324-F324+1)/30.4375,1),"")</f>
        <v/>
      </c>
      <c r="U324" s="70" t="str">
        <f aca="false">IF(B324="","",IF(AND(N324="Sí",OR(E324="",NOT(ISNUMBER(F324)))),"⚠ Falta tipo de contrato o fecha de inicio",IF(NOT(ISNUMBER(F324)),"⚠ Falta fecha de inicio",IF(AND(N324="Sí",E324&lt;&gt;"Indefinido",NOT(ISNUMBER(G324))),"⚠ Falta fecha de término",IF(AND(D324="Paso a indefinido",E324&lt;&gt;"Indefinido"),"⚠ Un paso a indefinido debe tener tipo Indefinido",IF(N(Q324)&gt;=3,"⚠ 3er contrato a plazo fijo: por ley ya es INDEFINIDO (Art. 159 N°4)",IF(AND(E324="Plazo fijo",N(T324)&gt;12),"⚠ Plazo fijo mayor a 1 año (máx. legal; 2 años solo profesionales o técnicos)",IF(AND(ISNUMBER(G324),G324&lt;F324),"⚠ Término anterior al inicio",IF(AND(D324="Contrato inicial",ISNUMBER(J324),J324-F324&gt;15),"⚠ Escriturado fuera de plazo (Art. 9: 15 días)",IF(K324&lt;&gt;"Sí","Pendiente de firma","OK"))))))))))</f>
        <v/>
      </c>
    </row>
    <row r="325" customFormat="false" ht="15" hidden="false" customHeight="false" outlineLevel="0" collapsed="false">
      <c r="B325" s="64"/>
      <c r="C325" s="72" t="str">
        <f aca="false">IF(B325="","",IFERROR(INDEX(T_NOMBRE,MATCH(B325,T_ID,0)),"⚠ ID no existe en Trabajadores"))</f>
        <v/>
      </c>
      <c r="D325" s="64"/>
      <c r="E325" s="64"/>
      <c r="F325" s="65"/>
      <c r="G325" s="65"/>
      <c r="H325" s="67"/>
      <c r="I325" s="64"/>
      <c r="J325" s="65"/>
      <c r="K325" s="64"/>
      <c r="L325" s="64"/>
      <c r="M325" s="64"/>
      <c r="N325" s="72" t="str">
        <f aca="false">IF(B325="","",IF(D325="Anexo de modificación","No","Sí"))</f>
        <v/>
      </c>
      <c r="O325" s="73" t="str">
        <f aca="false">IF(AND(N325="Sí",ISNUMBER(F325)),COUNTIFS(C_ID,B325,C_DEFINE,"Sí",C_INICIO,"&lt;"&amp;F325)+COUNTIFS(B$7:B325,B325,N$7:N325,"Sí",F$7:F325,F325),"")</f>
        <v/>
      </c>
      <c r="P325" s="72" t="str">
        <f aca="false">IF(O325="","",B325&amp;"-P"&amp;O325)</f>
        <v/>
      </c>
      <c r="Q325" s="73" t="str">
        <f aca="false">IF(AND(N325="Sí",E325="Plazo fijo",ISNUMBER(F325)),COUNTIFS(C_ID,B325,C_TIPO,"Plazo fijo",C_DEFINE,"Sí",C_INICIO,"&lt;"&amp;F325)+COUNTIFS(B$7:B325,B325,E$7:E325,"Plazo fijo",N$7:N325,"Sí",F$7:F325,F325),"")</f>
        <v/>
      </c>
      <c r="R325" s="73" t="str">
        <f aca="false">IF(AND(B325&lt;&gt;"",ISNUMBER(H325),ISNUMBER(F325)),COUNTIFS(C_ID,B325,C_SUELDO,"&lt;&gt;",C_INICIO,"&lt;"&amp;F325)+COUNTIFS(B$7:B325,B325,H$7:H325,"&lt;&gt;",F$7:F325,F325),"")</f>
        <v/>
      </c>
      <c r="S325" s="72" t="str">
        <f aca="false">IF(R325="","",B325&amp;"-S"&amp;R325)</f>
        <v/>
      </c>
      <c r="T325" s="74" t="str">
        <f aca="false">IF(AND(ISNUMBER(F325),ISNUMBER(G325)),ROUND((G325-F325+1)/30.4375,1),"")</f>
        <v/>
      </c>
      <c r="U325" s="70" t="str">
        <f aca="false">IF(B325="","",IF(AND(N325="Sí",OR(E325="",NOT(ISNUMBER(F325)))),"⚠ Falta tipo de contrato o fecha de inicio",IF(NOT(ISNUMBER(F325)),"⚠ Falta fecha de inicio",IF(AND(N325="Sí",E325&lt;&gt;"Indefinido",NOT(ISNUMBER(G325))),"⚠ Falta fecha de término",IF(AND(D325="Paso a indefinido",E325&lt;&gt;"Indefinido"),"⚠ Un paso a indefinido debe tener tipo Indefinido",IF(N(Q325)&gt;=3,"⚠ 3er contrato a plazo fijo: por ley ya es INDEFINIDO (Art. 159 N°4)",IF(AND(E325="Plazo fijo",N(T325)&gt;12),"⚠ Plazo fijo mayor a 1 año (máx. legal; 2 años solo profesionales o técnicos)",IF(AND(ISNUMBER(G325),G325&lt;F325),"⚠ Término anterior al inicio",IF(AND(D325="Contrato inicial",ISNUMBER(J325),J325-F325&gt;15),"⚠ Escriturado fuera de plazo (Art. 9: 15 días)",IF(K325&lt;&gt;"Sí","Pendiente de firma","OK"))))))))))</f>
        <v/>
      </c>
    </row>
    <row r="326" customFormat="false" ht="15" hidden="false" customHeight="false" outlineLevel="0" collapsed="false">
      <c r="B326" s="64"/>
      <c r="C326" s="72" t="str">
        <f aca="false">IF(B326="","",IFERROR(INDEX(T_NOMBRE,MATCH(B326,T_ID,0)),"⚠ ID no existe en Trabajadores"))</f>
        <v/>
      </c>
      <c r="D326" s="64"/>
      <c r="E326" s="64"/>
      <c r="F326" s="65"/>
      <c r="G326" s="65"/>
      <c r="H326" s="67"/>
      <c r="I326" s="64"/>
      <c r="J326" s="65"/>
      <c r="K326" s="64"/>
      <c r="L326" s="64"/>
      <c r="M326" s="64"/>
      <c r="N326" s="72" t="str">
        <f aca="false">IF(B326="","",IF(D326="Anexo de modificación","No","Sí"))</f>
        <v/>
      </c>
      <c r="O326" s="73" t="str">
        <f aca="false">IF(AND(N326="Sí",ISNUMBER(F326)),COUNTIFS(C_ID,B326,C_DEFINE,"Sí",C_INICIO,"&lt;"&amp;F326)+COUNTIFS(B$7:B326,B326,N$7:N326,"Sí",F$7:F326,F326),"")</f>
        <v/>
      </c>
      <c r="P326" s="72" t="str">
        <f aca="false">IF(O326="","",B326&amp;"-P"&amp;O326)</f>
        <v/>
      </c>
      <c r="Q326" s="73" t="str">
        <f aca="false">IF(AND(N326="Sí",E326="Plazo fijo",ISNUMBER(F326)),COUNTIFS(C_ID,B326,C_TIPO,"Plazo fijo",C_DEFINE,"Sí",C_INICIO,"&lt;"&amp;F326)+COUNTIFS(B$7:B326,B326,E$7:E326,"Plazo fijo",N$7:N326,"Sí",F$7:F326,F326),"")</f>
        <v/>
      </c>
      <c r="R326" s="73" t="str">
        <f aca="false">IF(AND(B326&lt;&gt;"",ISNUMBER(H326),ISNUMBER(F326)),COUNTIFS(C_ID,B326,C_SUELDO,"&lt;&gt;",C_INICIO,"&lt;"&amp;F326)+COUNTIFS(B$7:B326,B326,H$7:H326,"&lt;&gt;",F$7:F326,F326),"")</f>
        <v/>
      </c>
      <c r="S326" s="72" t="str">
        <f aca="false">IF(R326="","",B326&amp;"-S"&amp;R326)</f>
        <v/>
      </c>
      <c r="T326" s="74" t="str">
        <f aca="false">IF(AND(ISNUMBER(F326),ISNUMBER(G326)),ROUND((G326-F326+1)/30.4375,1),"")</f>
        <v/>
      </c>
      <c r="U326" s="70" t="str">
        <f aca="false">IF(B326="","",IF(AND(N326="Sí",OR(E326="",NOT(ISNUMBER(F326)))),"⚠ Falta tipo de contrato o fecha de inicio",IF(NOT(ISNUMBER(F326)),"⚠ Falta fecha de inicio",IF(AND(N326="Sí",E326&lt;&gt;"Indefinido",NOT(ISNUMBER(G326))),"⚠ Falta fecha de término",IF(AND(D326="Paso a indefinido",E326&lt;&gt;"Indefinido"),"⚠ Un paso a indefinido debe tener tipo Indefinido",IF(N(Q326)&gt;=3,"⚠ 3er contrato a plazo fijo: por ley ya es INDEFINIDO (Art. 159 N°4)",IF(AND(E326="Plazo fijo",N(T326)&gt;12),"⚠ Plazo fijo mayor a 1 año (máx. legal; 2 años solo profesionales o técnicos)",IF(AND(ISNUMBER(G326),G326&lt;F326),"⚠ Término anterior al inicio",IF(AND(D326="Contrato inicial",ISNUMBER(J326),J326-F326&gt;15),"⚠ Escriturado fuera de plazo (Art. 9: 15 días)",IF(K326&lt;&gt;"Sí","Pendiente de firma","OK"))))))))))</f>
        <v/>
      </c>
    </row>
    <row r="327" customFormat="false" ht="15" hidden="false" customHeight="false" outlineLevel="0" collapsed="false">
      <c r="B327" s="64"/>
      <c r="C327" s="72" t="str">
        <f aca="false">IF(B327="","",IFERROR(INDEX(T_NOMBRE,MATCH(B327,T_ID,0)),"⚠ ID no existe en Trabajadores"))</f>
        <v/>
      </c>
      <c r="D327" s="64"/>
      <c r="E327" s="64"/>
      <c r="F327" s="65"/>
      <c r="G327" s="65"/>
      <c r="H327" s="67"/>
      <c r="I327" s="64"/>
      <c r="J327" s="65"/>
      <c r="K327" s="64"/>
      <c r="L327" s="64"/>
      <c r="M327" s="64"/>
      <c r="N327" s="72" t="str">
        <f aca="false">IF(B327="","",IF(D327="Anexo de modificación","No","Sí"))</f>
        <v/>
      </c>
      <c r="O327" s="73" t="str">
        <f aca="false">IF(AND(N327="Sí",ISNUMBER(F327)),COUNTIFS(C_ID,B327,C_DEFINE,"Sí",C_INICIO,"&lt;"&amp;F327)+COUNTIFS(B$7:B327,B327,N$7:N327,"Sí",F$7:F327,F327),"")</f>
        <v/>
      </c>
      <c r="P327" s="72" t="str">
        <f aca="false">IF(O327="","",B327&amp;"-P"&amp;O327)</f>
        <v/>
      </c>
      <c r="Q327" s="73" t="str">
        <f aca="false">IF(AND(N327="Sí",E327="Plazo fijo",ISNUMBER(F327)),COUNTIFS(C_ID,B327,C_TIPO,"Plazo fijo",C_DEFINE,"Sí",C_INICIO,"&lt;"&amp;F327)+COUNTIFS(B$7:B327,B327,E$7:E327,"Plazo fijo",N$7:N327,"Sí",F$7:F327,F327),"")</f>
        <v/>
      </c>
      <c r="R327" s="73" t="str">
        <f aca="false">IF(AND(B327&lt;&gt;"",ISNUMBER(H327),ISNUMBER(F327)),COUNTIFS(C_ID,B327,C_SUELDO,"&lt;&gt;",C_INICIO,"&lt;"&amp;F327)+COUNTIFS(B$7:B327,B327,H$7:H327,"&lt;&gt;",F$7:F327,F327),"")</f>
        <v/>
      </c>
      <c r="S327" s="72" t="str">
        <f aca="false">IF(R327="","",B327&amp;"-S"&amp;R327)</f>
        <v/>
      </c>
      <c r="T327" s="74" t="str">
        <f aca="false">IF(AND(ISNUMBER(F327),ISNUMBER(G327)),ROUND((G327-F327+1)/30.4375,1),"")</f>
        <v/>
      </c>
      <c r="U327" s="70" t="str">
        <f aca="false">IF(B327="","",IF(AND(N327="Sí",OR(E327="",NOT(ISNUMBER(F327)))),"⚠ Falta tipo de contrato o fecha de inicio",IF(NOT(ISNUMBER(F327)),"⚠ Falta fecha de inicio",IF(AND(N327="Sí",E327&lt;&gt;"Indefinido",NOT(ISNUMBER(G327))),"⚠ Falta fecha de término",IF(AND(D327="Paso a indefinido",E327&lt;&gt;"Indefinido"),"⚠ Un paso a indefinido debe tener tipo Indefinido",IF(N(Q327)&gt;=3,"⚠ 3er contrato a plazo fijo: por ley ya es INDEFINIDO (Art. 159 N°4)",IF(AND(E327="Plazo fijo",N(T327)&gt;12),"⚠ Plazo fijo mayor a 1 año (máx. legal; 2 años solo profesionales o técnicos)",IF(AND(ISNUMBER(G327),G327&lt;F327),"⚠ Término anterior al inicio",IF(AND(D327="Contrato inicial",ISNUMBER(J327),J327-F327&gt;15),"⚠ Escriturado fuera de plazo (Art. 9: 15 días)",IF(K327&lt;&gt;"Sí","Pendiente de firma","OK"))))))))))</f>
        <v/>
      </c>
    </row>
    <row r="328" customFormat="false" ht="15" hidden="false" customHeight="false" outlineLevel="0" collapsed="false">
      <c r="B328" s="64"/>
      <c r="C328" s="72" t="str">
        <f aca="false">IF(B328="","",IFERROR(INDEX(T_NOMBRE,MATCH(B328,T_ID,0)),"⚠ ID no existe en Trabajadores"))</f>
        <v/>
      </c>
      <c r="D328" s="64"/>
      <c r="E328" s="64"/>
      <c r="F328" s="65"/>
      <c r="G328" s="65"/>
      <c r="H328" s="67"/>
      <c r="I328" s="64"/>
      <c r="J328" s="65"/>
      <c r="K328" s="64"/>
      <c r="L328" s="64"/>
      <c r="M328" s="64"/>
      <c r="N328" s="72" t="str">
        <f aca="false">IF(B328="","",IF(D328="Anexo de modificación","No","Sí"))</f>
        <v/>
      </c>
      <c r="O328" s="73" t="str">
        <f aca="false">IF(AND(N328="Sí",ISNUMBER(F328)),COUNTIFS(C_ID,B328,C_DEFINE,"Sí",C_INICIO,"&lt;"&amp;F328)+COUNTIFS(B$7:B328,B328,N$7:N328,"Sí",F$7:F328,F328),"")</f>
        <v/>
      </c>
      <c r="P328" s="72" t="str">
        <f aca="false">IF(O328="","",B328&amp;"-P"&amp;O328)</f>
        <v/>
      </c>
      <c r="Q328" s="73" t="str">
        <f aca="false">IF(AND(N328="Sí",E328="Plazo fijo",ISNUMBER(F328)),COUNTIFS(C_ID,B328,C_TIPO,"Plazo fijo",C_DEFINE,"Sí",C_INICIO,"&lt;"&amp;F328)+COUNTIFS(B$7:B328,B328,E$7:E328,"Plazo fijo",N$7:N328,"Sí",F$7:F328,F328),"")</f>
        <v/>
      </c>
      <c r="R328" s="73" t="str">
        <f aca="false">IF(AND(B328&lt;&gt;"",ISNUMBER(H328),ISNUMBER(F328)),COUNTIFS(C_ID,B328,C_SUELDO,"&lt;&gt;",C_INICIO,"&lt;"&amp;F328)+COUNTIFS(B$7:B328,B328,H$7:H328,"&lt;&gt;",F$7:F328,F328),"")</f>
        <v/>
      </c>
      <c r="S328" s="72" t="str">
        <f aca="false">IF(R328="","",B328&amp;"-S"&amp;R328)</f>
        <v/>
      </c>
      <c r="T328" s="74" t="str">
        <f aca="false">IF(AND(ISNUMBER(F328),ISNUMBER(G328)),ROUND((G328-F328+1)/30.4375,1),"")</f>
        <v/>
      </c>
      <c r="U328" s="70" t="str">
        <f aca="false">IF(B328="","",IF(AND(N328="Sí",OR(E328="",NOT(ISNUMBER(F328)))),"⚠ Falta tipo de contrato o fecha de inicio",IF(NOT(ISNUMBER(F328)),"⚠ Falta fecha de inicio",IF(AND(N328="Sí",E328&lt;&gt;"Indefinido",NOT(ISNUMBER(G328))),"⚠ Falta fecha de término",IF(AND(D328="Paso a indefinido",E328&lt;&gt;"Indefinido"),"⚠ Un paso a indefinido debe tener tipo Indefinido",IF(N(Q328)&gt;=3,"⚠ 3er contrato a plazo fijo: por ley ya es INDEFINIDO (Art. 159 N°4)",IF(AND(E328="Plazo fijo",N(T328)&gt;12),"⚠ Plazo fijo mayor a 1 año (máx. legal; 2 años solo profesionales o técnicos)",IF(AND(ISNUMBER(G328),G328&lt;F328),"⚠ Término anterior al inicio",IF(AND(D328="Contrato inicial",ISNUMBER(J328),J328-F328&gt;15),"⚠ Escriturado fuera de plazo (Art. 9: 15 días)",IF(K328&lt;&gt;"Sí","Pendiente de firma","OK"))))))))))</f>
        <v/>
      </c>
    </row>
    <row r="329" customFormat="false" ht="15" hidden="false" customHeight="false" outlineLevel="0" collapsed="false">
      <c r="B329" s="64"/>
      <c r="C329" s="72" t="str">
        <f aca="false">IF(B329="","",IFERROR(INDEX(T_NOMBRE,MATCH(B329,T_ID,0)),"⚠ ID no existe en Trabajadores"))</f>
        <v/>
      </c>
      <c r="D329" s="64"/>
      <c r="E329" s="64"/>
      <c r="F329" s="65"/>
      <c r="G329" s="65"/>
      <c r="H329" s="67"/>
      <c r="I329" s="64"/>
      <c r="J329" s="65"/>
      <c r="K329" s="64"/>
      <c r="L329" s="64"/>
      <c r="M329" s="64"/>
      <c r="N329" s="72" t="str">
        <f aca="false">IF(B329="","",IF(D329="Anexo de modificación","No","Sí"))</f>
        <v/>
      </c>
      <c r="O329" s="73" t="str">
        <f aca="false">IF(AND(N329="Sí",ISNUMBER(F329)),COUNTIFS(C_ID,B329,C_DEFINE,"Sí",C_INICIO,"&lt;"&amp;F329)+COUNTIFS(B$7:B329,B329,N$7:N329,"Sí",F$7:F329,F329),"")</f>
        <v/>
      </c>
      <c r="P329" s="72" t="str">
        <f aca="false">IF(O329="","",B329&amp;"-P"&amp;O329)</f>
        <v/>
      </c>
      <c r="Q329" s="73" t="str">
        <f aca="false">IF(AND(N329="Sí",E329="Plazo fijo",ISNUMBER(F329)),COUNTIFS(C_ID,B329,C_TIPO,"Plazo fijo",C_DEFINE,"Sí",C_INICIO,"&lt;"&amp;F329)+COUNTIFS(B$7:B329,B329,E$7:E329,"Plazo fijo",N$7:N329,"Sí",F$7:F329,F329),"")</f>
        <v/>
      </c>
      <c r="R329" s="73" t="str">
        <f aca="false">IF(AND(B329&lt;&gt;"",ISNUMBER(H329),ISNUMBER(F329)),COUNTIFS(C_ID,B329,C_SUELDO,"&lt;&gt;",C_INICIO,"&lt;"&amp;F329)+COUNTIFS(B$7:B329,B329,H$7:H329,"&lt;&gt;",F$7:F329,F329),"")</f>
        <v/>
      </c>
      <c r="S329" s="72" t="str">
        <f aca="false">IF(R329="","",B329&amp;"-S"&amp;R329)</f>
        <v/>
      </c>
      <c r="T329" s="74" t="str">
        <f aca="false">IF(AND(ISNUMBER(F329),ISNUMBER(G329)),ROUND((G329-F329+1)/30.4375,1),"")</f>
        <v/>
      </c>
      <c r="U329" s="70" t="str">
        <f aca="false">IF(B329="","",IF(AND(N329="Sí",OR(E329="",NOT(ISNUMBER(F329)))),"⚠ Falta tipo de contrato o fecha de inicio",IF(NOT(ISNUMBER(F329)),"⚠ Falta fecha de inicio",IF(AND(N329="Sí",E329&lt;&gt;"Indefinido",NOT(ISNUMBER(G329))),"⚠ Falta fecha de término",IF(AND(D329="Paso a indefinido",E329&lt;&gt;"Indefinido"),"⚠ Un paso a indefinido debe tener tipo Indefinido",IF(N(Q329)&gt;=3,"⚠ 3er contrato a plazo fijo: por ley ya es INDEFINIDO (Art. 159 N°4)",IF(AND(E329="Plazo fijo",N(T329)&gt;12),"⚠ Plazo fijo mayor a 1 año (máx. legal; 2 años solo profesionales o técnicos)",IF(AND(ISNUMBER(G329),G329&lt;F329),"⚠ Término anterior al inicio",IF(AND(D329="Contrato inicial",ISNUMBER(J329),J329-F329&gt;15),"⚠ Escriturado fuera de plazo (Art. 9: 15 días)",IF(K329&lt;&gt;"Sí","Pendiente de firma","OK"))))))))))</f>
        <v/>
      </c>
    </row>
    <row r="330" customFormat="false" ht="15" hidden="false" customHeight="false" outlineLevel="0" collapsed="false">
      <c r="B330" s="64"/>
      <c r="C330" s="72" t="str">
        <f aca="false">IF(B330="","",IFERROR(INDEX(T_NOMBRE,MATCH(B330,T_ID,0)),"⚠ ID no existe en Trabajadores"))</f>
        <v/>
      </c>
      <c r="D330" s="64"/>
      <c r="E330" s="64"/>
      <c r="F330" s="65"/>
      <c r="G330" s="65"/>
      <c r="H330" s="67"/>
      <c r="I330" s="64"/>
      <c r="J330" s="65"/>
      <c r="K330" s="64"/>
      <c r="L330" s="64"/>
      <c r="M330" s="64"/>
      <c r="N330" s="72" t="str">
        <f aca="false">IF(B330="","",IF(D330="Anexo de modificación","No","Sí"))</f>
        <v/>
      </c>
      <c r="O330" s="73" t="str">
        <f aca="false">IF(AND(N330="Sí",ISNUMBER(F330)),COUNTIFS(C_ID,B330,C_DEFINE,"Sí",C_INICIO,"&lt;"&amp;F330)+COUNTIFS(B$7:B330,B330,N$7:N330,"Sí",F$7:F330,F330),"")</f>
        <v/>
      </c>
      <c r="P330" s="72" t="str">
        <f aca="false">IF(O330="","",B330&amp;"-P"&amp;O330)</f>
        <v/>
      </c>
      <c r="Q330" s="73" t="str">
        <f aca="false">IF(AND(N330="Sí",E330="Plazo fijo",ISNUMBER(F330)),COUNTIFS(C_ID,B330,C_TIPO,"Plazo fijo",C_DEFINE,"Sí",C_INICIO,"&lt;"&amp;F330)+COUNTIFS(B$7:B330,B330,E$7:E330,"Plazo fijo",N$7:N330,"Sí",F$7:F330,F330),"")</f>
        <v/>
      </c>
      <c r="R330" s="73" t="str">
        <f aca="false">IF(AND(B330&lt;&gt;"",ISNUMBER(H330),ISNUMBER(F330)),COUNTIFS(C_ID,B330,C_SUELDO,"&lt;&gt;",C_INICIO,"&lt;"&amp;F330)+COUNTIFS(B$7:B330,B330,H$7:H330,"&lt;&gt;",F$7:F330,F330),"")</f>
        <v/>
      </c>
      <c r="S330" s="72" t="str">
        <f aca="false">IF(R330="","",B330&amp;"-S"&amp;R330)</f>
        <v/>
      </c>
      <c r="T330" s="74" t="str">
        <f aca="false">IF(AND(ISNUMBER(F330),ISNUMBER(G330)),ROUND((G330-F330+1)/30.4375,1),"")</f>
        <v/>
      </c>
      <c r="U330" s="70" t="str">
        <f aca="false">IF(B330="","",IF(AND(N330="Sí",OR(E330="",NOT(ISNUMBER(F330)))),"⚠ Falta tipo de contrato o fecha de inicio",IF(NOT(ISNUMBER(F330)),"⚠ Falta fecha de inicio",IF(AND(N330="Sí",E330&lt;&gt;"Indefinido",NOT(ISNUMBER(G330))),"⚠ Falta fecha de término",IF(AND(D330="Paso a indefinido",E330&lt;&gt;"Indefinido"),"⚠ Un paso a indefinido debe tener tipo Indefinido",IF(N(Q330)&gt;=3,"⚠ 3er contrato a plazo fijo: por ley ya es INDEFINIDO (Art. 159 N°4)",IF(AND(E330="Plazo fijo",N(T330)&gt;12),"⚠ Plazo fijo mayor a 1 año (máx. legal; 2 años solo profesionales o técnicos)",IF(AND(ISNUMBER(G330),G330&lt;F330),"⚠ Término anterior al inicio",IF(AND(D330="Contrato inicial",ISNUMBER(J330),J330-F330&gt;15),"⚠ Escriturado fuera de plazo (Art. 9: 15 días)",IF(K330&lt;&gt;"Sí","Pendiente de firma","OK"))))))))))</f>
        <v/>
      </c>
    </row>
    <row r="331" customFormat="false" ht="15" hidden="false" customHeight="false" outlineLevel="0" collapsed="false">
      <c r="B331" s="64"/>
      <c r="C331" s="72" t="str">
        <f aca="false">IF(B331="","",IFERROR(INDEX(T_NOMBRE,MATCH(B331,T_ID,0)),"⚠ ID no existe en Trabajadores"))</f>
        <v/>
      </c>
      <c r="D331" s="64"/>
      <c r="E331" s="64"/>
      <c r="F331" s="65"/>
      <c r="G331" s="65"/>
      <c r="H331" s="67"/>
      <c r="I331" s="64"/>
      <c r="J331" s="65"/>
      <c r="K331" s="64"/>
      <c r="L331" s="64"/>
      <c r="M331" s="64"/>
      <c r="N331" s="72" t="str">
        <f aca="false">IF(B331="","",IF(D331="Anexo de modificación","No","Sí"))</f>
        <v/>
      </c>
      <c r="O331" s="73" t="str">
        <f aca="false">IF(AND(N331="Sí",ISNUMBER(F331)),COUNTIFS(C_ID,B331,C_DEFINE,"Sí",C_INICIO,"&lt;"&amp;F331)+COUNTIFS(B$7:B331,B331,N$7:N331,"Sí",F$7:F331,F331),"")</f>
        <v/>
      </c>
      <c r="P331" s="72" t="str">
        <f aca="false">IF(O331="","",B331&amp;"-P"&amp;O331)</f>
        <v/>
      </c>
      <c r="Q331" s="73" t="str">
        <f aca="false">IF(AND(N331="Sí",E331="Plazo fijo",ISNUMBER(F331)),COUNTIFS(C_ID,B331,C_TIPO,"Plazo fijo",C_DEFINE,"Sí",C_INICIO,"&lt;"&amp;F331)+COUNTIFS(B$7:B331,B331,E$7:E331,"Plazo fijo",N$7:N331,"Sí",F$7:F331,F331),"")</f>
        <v/>
      </c>
      <c r="R331" s="73" t="str">
        <f aca="false">IF(AND(B331&lt;&gt;"",ISNUMBER(H331),ISNUMBER(F331)),COUNTIFS(C_ID,B331,C_SUELDO,"&lt;&gt;",C_INICIO,"&lt;"&amp;F331)+COUNTIFS(B$7:B331,B331,H$7:H331,"&lt;&gt;",F$7:F331,F331),"")</f>
        <v/>
      </c>
      <c r="S331" s="72" t="str">
        <f aca="false">IF(R331="","",B331&amp;"-S"&amp;R331)</f>
        <v/>
      </c>
      <c r="T331" s="74" t="str">
        <f aca="false">IF(AND(ISNUMBER(F331),ISNUMBER(G331)),ROUND((G331-F331+1)/30.4375,1),"")</f>
        <v/>
      </c>
      <c r="U331" s="70" t="str">
        <f aca="false">IF(B331="","",IF(AND(N331="Sí",OR(E331="",NOT(ISNUMBER(F331)))),"⚠ Falta tipo de contrato o fecha de inicio",IF(NOT(ISNUMBER(F331)),"⚠ Falta fecha de inicio",IF(AND(N331="Sí",E331&lt;&gt;"Indefinido",NOT(ISNUMBER(G331))),"⚠ Falta fecha de término",IF(AND(D331="Paso a indefinido",E331&lt;&gt;"Indefinido"),"⚠ Un paso a indefinido debe tener tipo Indefinido",IF(N(Q331)&gt;=3,"⚠ 3er contrato a plazo fijo: por ley ya es INDEFINIDO (Art. 159 N°4)",IF(AND(E331="Plazo fijo",N(T331)&gt;12),"⚠ Plazo fijo mayor a 1 año (máx. legal; 2 años solo profesionales o técnicos)",IF(AND(ISNUMBER(G331),G331&lt;F331),"⚠ Término anterior al inicio",IF(AND(D331="Contrato inicial",ISNUMBER(J331),J331-F331&gt;15),"⚠ Escriturado fuera de plazo (Art. 9: 15 días)",IF(K331&lt;&gt;"Sí","Pendiente de firma","OK"))))))))))</f>
        <v/>
      </c>
    </row>
    <row r="332" customFormat="false" ht="15" hidden="false" customHeight="false" outlineLevel="0" collapsed="false">
      <c r="B332" s="64"/>
      <c r="C332" s="72" t="str">
        <f aca="false">IF(B332="","",IFERROR(INDEX(T_NOMBRE,MATCH(B332,T_ID,0)),"⚠ ID no existe en Trabajadores"))</f>
        <v/>
      </c>
      <c r="D332" s="64"/>
      <c r="E332" s="64"/>
      <c r="F332" s="65"/>
      <c r="G332" s="65"/>
      <c r="H332" s="67"/>
      <c r="I332" s="64"/>
      <c r="J332" s="65"/>
      <c r="K332" s="64"/>
      <c r="L332" s="64"/>
      <c r="M332" s="64"/>
      <c r="N332" s="72" t="str">
        <f aca="false">IF(B332="","",IF(D332="Anexo de modificación","No","Sí"))</f>
        <v/>
      </c>
      <c r="O332" s="73" t="str">
        <f aca="false">IF(AND(N332="Sí",ISNUMBER(F332)),COUNTIFS(C_ID,B332,C_DEFINE,"Sí",C_INICIO,"&lt;"&amp;F332)+COUNTIFS(B$7:B332,B332,N$7:N332,"Sí",F$7:F332,F332),"")</f>
        <v/>
      </c>
      <c r="P332" s="72" t="str">
        <f aca="false">IF(O332="","",B332&amp;"-P"&amp;O332)</f>
        <v/>
      </c>
      <c r="Q332" s="73" t="str">
        <f aca="false">IF(AND(N332="Sí",E332="Plazo fijo",ISNUMBER(F332)),COUNTIFS(C_ID,B332,C_TIPO,"Plazo fijo",C_DEFINE,"Sí",C_INICIO,"&lt;"&amp;F332)+COUNTIFS(B$7:B332,B332,E$7:E332,"Plazo fijo",N$7:N332,"Sí",F$7:F332,F332),"")</f>
        <v/>
      </c>
      <c r="R332" s="73" t="str">
        <f aca="false">IF(AND(B332&lt;&gt;"",ISNUMBER(H332),ISNUMBER(F332)),COUNTIFS(C_ID,B332,C_SUELDO,"&lt;&gt;",C_INICIO,"&lt;"&amp;F332)+COUNTIFS(B$7:B332,B332,H$7:H332,"&lt;&gt;",F$7:F332,F332),"")</f>
        <v/>
      </c>
      <c r="S332" s="72" t="str">
        <f aca="false">IF(R332="","",B332&amp;"-S"&amp;R332)</f>
        <v/>
      </c>
      <c r="T332" s="74" t="str">
        <f aca="false">IF(AND(ISNUMBER(F332),ISNUMBER(G332)),ROUND((G332-F332+1)/30.4375,1),"")</f>
        <v/>
      </c>
      <c r="U332" s="70" t="str">
        <f aca="false">IF(B332="","",IF(AND(N332="Sí",OR(E332="",NOT(ISNUMBER(F332)))),"⚠ Falta tipo de contrato o fecha de inicio",IF(NOT(ISNUMBER(F332)),"⚠ Falta fecha de inicio",IF(AND(N332="Sí",E332&lt;&gt;"Indefinido",NOT(ISNUMBER(G332))),"⚠ Falta fecha de término",IF(AND(D332="Paso a indefinido",E332&lt;&gt;"Indefinido"),"⚠ Un paso a indefinido debe tener tipo Indefinido",IF(N(Q332)&gt;=3,"⚠ 3er contrato a plazo fijo: por ley ya es INDEFINIDO (Art. 159 N°4)",IF(AND(E332="Plazo fijo",N(T332)&gt;12),"⚠ Plazo fijo mayor a 1 año (máx. legal; 2 años solo profesionales o técnicos)",IF(AND(ISNUMBER(G332),G332&lt;F332),"⚠ Término anterior al inicio",IF(AND(D332="Contrato inicial",ISNUMBER(J332),J332-F332&gt;15),"⚠ Escriturado fuera de plazo (Art. 9: 15 días)",IF(K332&lt;&gt;"Sí","Pendiente de firma","OK"))))))))))</f>
        <v/>
      </c>
    </row>
    <row r="333" customFormat="false" ht="15" hidden="false" customHeight="false" outlineLevel="0" collapsed="false">
      <c r="B333" s="64"/>
      <c r="C333" s="72" t="str">
        <f aca="false">IF(B333="","",IFERROR(INDEX(T_NOMBRE,MATCH(B333,T_ID,0)),"⚠ ID no existe en Trabajadores"))</f>
        <v/>
      </c>
      <c r="D333" s="64"/>
      <c r="E333" s="64"/>
      <c r="F333" s="65"/>
      <c r="G333" s="65"/>
      <c r="H333" s="67"/>
      <c r="I333" s="64"/>
      <c r="J333" s="65"/>
      <c r="K333" s="64"/>
      <c r="L333" s="64"/>
      <c r="M333" s="64"/>
      <c r="N333" s="72" t="str">
        <f aca="false">IF(B333="","",IF(D333="Anexo de modificación","No","Sí"))</f>
        <v/>
      </c>
      <c r="O333" s="73" t="str">
        <f aca="false">IF(AND(N333="Sí",ISNUMBER(F333)),COUNTIFS(C_ID,B333,C_DEFINE,"Sí",C_INICIO,"&lt;"&amp;F333)+COUNTIFS(B$7:B333,B333,N$7:N333,"Sí",F$7:F333,F333),"")</f>
        <v/>
      </c>
      <c r="P333" s="72" t="str">
        <f aca="false">IF(O333="","",B333&amp;"-P"&amp;O333)</f>
        <v/>
      </c>
      <c r="Q333" s="73" t="str">
        <f aca="false">IF(AND(N333="Sí",E333="Plazo fijo",ISNUMBER(F333)),COUNTIFS(C_ID,B333,C_TIPO,"Plazo fijo",C_DEFINE,"Sí",C_INICIO,"&lt;"&amp;F333)+COUNTIFS(B$7:B333,B333,E$7:E333,"Plazo fijo",N$7:N333,"Sí",F$7:F333,F333),"")</f>
        <v/>
      </c>
      <c r="R333" s="73" t="str">
        <f aca="false">IF(AND(B333&lt;&gt;"",ISNUMBER(H333),ISNUMBER(F333)),COUNTIFS(C_ID,B333,C_SUELDO,"&lt;&gt;",C_INICIO,"&lt;"&amp;F333)+COUNTIFS(B$7:B333,B333,H$7:H333,"&lt;&gt;",F$7:F333,F333),"")</f>
        <v/>
      </c>
      <c r="S333" s="72" t="str">
        <f aca="false">IF(R333="","",B333&amp;"-S"&amp;R333)</f>
        <v/>
      </c>
      <c r="T333" s="74" t="str">
        <f aca="false">IF(AND(ISNUMBER(F333),ISNUMBER(G333)),ROUND((G333-F333+1)/30.4375,1),"")</f>
        <v/>
      </c>
      <c r="U333" s="70" t="str">
        <f aca="false">IF(B333="","",IF(AND(N333="Sí",OR(E333="",NOT(ISNUMBER(F333)))),"⚠ Falta tipo de contrato o fecha de inicio",IF(NOT(ISNUMBER(F333)),"⚠ Falta fecha de inicio",IF(AND(N333="Sí",E333&lt;&gt;"Indefinido",NOT(ISNUMBER(G333))),"⚠ Falta fecha de término",IF(AND(D333="Paso a indefinido",E333&lt;&gt;"Indefinido"),"⚠ Un paso a indefinido debe tener tipo Indefinido",IF(N(Q333)&gt;=3,"⚠ 3er contrato a plazo fijo: por ley ya es INDEFINIDO (Art. 159 N°4)",IF(AND(E333="Plazo fijo",N(T333)&gt;12),"⚠ Plazo fijo mayor a 1 año (máx. legal; 2 años solo profesionales o técnicos)",IF(AND(ISNUMBER(G333),G333&lt;F333),"⚠ Término anterior al inicio",IF(AND(D333="Contrato inicial",ISNUMBER(J333),J333-F333&gt;15),"⚠ Escriturado fuera de plazo (Art. 9: 15 días)",IF(K333&lt;&gt;"Sí","Pendiente de firma","OK"))))))))))</f>
        <v/>
      </c>
    </row>
    <row r="334" customFormat="false" ht="15" hidden="false" customHeight="false" outlineLevel="0" collapsed="false">
      <c r="B334" s="64"/>
      <c r="C334" s="72" t="str">
        <f aca="false">IF(B334="","",IFERROR(INDEX(T_NOMBRE,MATCH(B334,T_ID,0)),"⚠ ID no existe en Trabajadores"))</f>
        <v/>
      </c>
      <c r="D334" s="64"/>
      <c r="E334" s="64"/>
      <c r="F334" s="65"/>
      <c r="G334" s="65"/>
      <c r="H334" s="67"/>
      <c r="I334" s="64"/>
      <c r="J334" s="65"/>
      <c r="K334" s="64"/>
      <c r="L334" s="64"/>
      <c r="M334" s="64"/>
      <c r="N334" s="72" t="str">
        <f aca="false">IF(B334="","",IF(D334="Anexo de modificación","No","Sí"))</f>
        <v/>
      </c>
      <c r="O334" s="73" t="str">
        <f aca="false">IF(AND(N334="Sí",ISNUMBER(F334)),COUNTIFS(C_ID,B334,C_DEFINE,"Sí",C_INICIO,"&lt;"&amp;F334)+COUNTIFS(B$7:B334,B334,N$7:N334,"Sí",F$7:F334,F334),"")</f>
        <v/>
      </c>
      <c r="P334" s="72" t="str">
        <f aca="false">IF(O334="","",B334&amp;"-P"&amp;O334)</f>
        <v/>
      </c>
      <c r="Q334" s="73" t="str">
        <f aca="false">IF(AND(N334="Sí",E334="Plazo fijo",ISNUMBER(F334)),COUNTIFS(C_ID,B334,C_TIPO,"Plazo fijo",C_DEFINE,"Sí",C_INICIO,"&lt;"&amp;F334)+COUNTIFS(B$7:B334,B334,E$7:E334,"Plazo fijo",N$7:N334,"Sí",F$7:F334,F334),"")</f>
        <v/>
      </c>
      <c r="R334" s="73" t="str">
        <f aca="false">IF(AND(B334&lt;&gt;"",ISNUMBER(H334),ISNUMBER(F334)),COUNTIFS(C_ID,B334,C_SUELDO,"&lt;&gt;",C_INICIO,"&lt;"&amp;F334)+COUNTIFS(B$7:B334,B334,H$7:H334,"&lt;&gt;",F$7:F334,F334),"")</f>
        <v/>
      </c>
      <c r="S334" s="72" t="str">
        <f aca="false">IF(R334="","",B334&amp;"-S"&amp;R334)</f>
        <v/>
      </c>
      <c r="T334" s="74" t="str">
        <f aca="false">IF(AND(ISNUMBER(F334),ISNUMBER(G334)),ROUND((G334-F334+1)/30.4375,1),"")</f>
        <v/>
      </c>
      <c r="U334" s="70" t="str">
        <f aca="false">IF(B334="","",IF(AND(N334="Sí",OR(E334="",NOT(ISNUMBER(F334)))),"⚠ Falta tipo de contrato o fecha de inicio",IF(NOT(ISNUMBER(F334)),"⚠ Falta fecha de inicio",IF(AND(N334="Sí",E334&lt;&gt;"Indefinido",NOT(ISNUMBER(G334))),"⚠ Falta fecha de término",IF(AND(D334="Paso a indefinido",E334&lt;&gt;"Indefinido"),"⚠ Un paso a indefinido debe tener tipo Indefinido",IF(N(Q334)&gt;=3,"⚠ 3er contrato a plazo fijo: por ley ya es INDEFINIDO (Art. 159 N°4)",IF(AND(E334="Plazo fijo",N(T334)&gt;12),"⚠ Plazo fijo mayor a 1 año (máx. legal; 2 años solo profesionales o técnicos)",IF(AND(ISNUMBER(G334),G334&lt;F334),"⚠ Término anterior al inicio",IF(AND(D334="Contrato inicial",ISNUMBER(J334),J334-F334&gt;15),"⚠ Escriturado fuera de plazo (Art. 9: 15 días)",IF(K334&lt;&gt;"Sí","Pendiente de firma","OK"))))))))))</f>
        <v/>
      </c>
    </row>
    <row r="335" customFormat="false" ht="15" hidden="false" customHeight="false" outlineLevel="0" collapsed="false">
      <c r="B335" s="64"/>
      <c r="C335" s="72" t="str">
        <f aca="false">IF(B335="","",IFERROR(INDEX(T_NOMBRE,MATCH(B335,T_ID,0)),"⚠ ID no existe en Trabajadores"))</f>
        <v/>
      </c>
      <c r="D335" s="64"/>
      <c r="E335" s="64"/>
      <c r="F335" s="65"/>
      <c r="G335" s="65"/>
      <c r="H335" s="67"/>
      <c r="I335" s="64"/>
      <c r="J335" s="65"/>
      <c r="K335" s="64"/>
      <c r="L335" s="64"/>
      <c r="M335" s="64"/>
      <c r="N335" s="72" t="str">
        <f aca="false">IF(B335="","",IF(D335="Anexo de modificación","No","Sí"))</f>
        <v/>
      </c>
      <c r="O335" s="73" t="str">
        <f aca="false">IF(AND(N335="Sí",ISNUMBER(F335)),COUNTIFS(C_ID,B335,C_DEFINE,"Sí",C_INICIO,"&lt;"&amp;F335)+COUNTIFS(B$7:B335,B335,N$7:N335,"Sí",F$7:F335,F335),"")</f>
        <v/>
      </c>
      <c r="P335" s="72" t="str">
        <f aca="false">IF(O335="","",B335&amp;"-P"&amp;O335)</f>
        <v/>
      </c>
      <c r="Q335" s="73" t="str">
        <f aca="false">IF(AND(N335="Sí",E335="Plazo fijo",ISNUMBER(F335)),COUNTIFS(C_ID,B335,C_TIPO,"Plazo fijo",C_DEFINE,"Sí",C_INICIO,"&lt;"&amp;F335)+COUNTIFS(B$7:B335,B335,E$7:E335,"Plazo fijo",N$7:N335,"Sí",F$7:F335,F335),"")</f>
        <v/>
      </c>
      <c r="R335" s="73" t="str">
        <f aca="false">IF(AND(B335&lt;&gt;"",ISNUMBER(H335),ISNUMBER(F335)),COUNTIFS(C_ID,B335,C_SUELDO,"&lt;&gt;",C_INICIO,"&lt;"&amp;F335)+COUNTIFS(B$7:B335,B335,H$7:H335,"&lt;&gt;",F$7:F335,F335),"")</f>
        <v/>
      </c>
      <c r="S335" s="72" t="str">
        <f aca="false">IF(R335="","",B335&amp;"-S"&amp;R335)</f>
        <v/>
      </c>
      <c r="T335" s="74" t="str">
        <f aca="false">IF(AND(ISNUMBER(F335),ISNUMBER(G335)),ROUND((G335-F335+1)/30.4375,1),"")</f>
        <v/>
      </c>
      <c r="U335" s="70" t="str">
        <f aca="false">IF(B335="","",IF(AND(N335="Sí",OR(E335="",NOT(ISNUMBER(F335)))),"⚠ Falta tipo de contrato o fecha de inicio",IF(NOT(ISNUMBER(F335)),"⚠ Falta fecha de inicio",IF(AND(N335="Sí",E335&lt;&gt;"Indefinido",NOT(ISNUMBER(G335))),"⚠ Falta fecha de término",IF(AND(D335="Paso a indefinido",E335&lt;&gt;"Indefinido"),"⚠ Un paso a indefinido debe tener tipo Indefinido",IF(N(Q335)&gt;=3,"⚠ 3er contrato a plazo fijo: por ley ya es INDEFINIDO (Art. 159 N°4)",IF(AND(E335="Plazo fijo",N(T335)&gt;12),"⚠ Plazo fijo mayor a 1 año (máx. legal; 2 años solo profesionales o técnicos)",IF(AND(ISNUMBER(G335),G335&lt;F335),"⚠ Término anterior al inicio",IF(AND(D335="Contrato inicial",ISNUMBER(J335),J335-F335&gt;15),"⚠ Escriturado fuera de plazo (Art. 9: 15 días)",IF(K335&lt;&gt;"Sí","Pendiente de firma","OK"))))))))))</f>
        <v/>
      </c>
    </row>
    <row r="336" customFormat="false" ht="15" hidden="false" customHeight="false" outlineLevel="0" collapsed="false">
      <c r="B336" s="64"/>
      <c r="C336" s="72" t="str">
        <f aca="false">IF(B336="","",IFERROR(INDEX(T_NOMBRE,MATCH(B336,T_ID,0)),"⚠ ID no existe en Trabajadores"))</f>
        <v/>
      </c>
      <c r="D336" s="64"/>
      <c r="E336" s="64"/>
      <c r="F336" s="65"/>
      <c r="G336" s="65"/>
      <c r="H336" s="67"/>
      <c r="I336" s="64"/>
      <c r="J336" s="65"/>
      <c r="K336" s="64"/>
      <c r="L336" s="64"/>
      <c r="M336" s="64"/>
      <c r="N336" s="72" t="str">
        <f aca="false">IF(B336="","",IF(D336="Anexo de modificación","No","Sí"))</f>
        <v/>
      </c>
      <c r="O336" s="73" t="str">
        <f aca="false">IF(AND(N336="Sí",ISNUMBER(F336)),COUNTIFS(C_ID,B336,C_DEFINE,"Sí",C_INICIO,"&lt;"&amp;F336)+COUNTIFS(B$7:B336,B336,N$7:N336,"Sí",F$7:F336,F336),"")</f>
        <v/>
      </c>
      <c r="P336" s="72" t="str">
        <f aca="false">IF(O336="","",B336&amp;"-P"&amp;O336)</f>
        <v/>
      </c>
      <c r="Q336" s="73" t="str">
        <f aca="false">IF(AND(N336="Sí",E336="Plazo fijo",ISNUMBER(F336)),COUNTIFS(C_ID,B336,C_TIPO,"Plazo fijo",C_DEFINE,"Sí",C_INICIO,"&lt;"&amp;F336)+COUNTIFS(B$7:B336,B336,E$7:E336,"Plazo fijo",N$7:N336,"Sí",F$7:F336,F336),"")</f>
        <v/>
      </c>
      <c r="R336" s="73" t="str">
        <f aca="false">IF(AND(B336&lt;&gt;"",ISNUMBER(H336),ISNUMBER(F336)),COUNTIFS(C_ID,B336,C_SUELDO,"&lt;&gt;",C_INICIO,"&lt;"&amp;F336)+COUNTIFS(B$7:B336,B336,H$7:H336,"&lt;&gt;",F$7:F336,F336),"")</f>
        <v/>
      </c>
      <c r="S336" s="72" t="str">
        <f aca="false">IF(R336="","",B336&amp;"-S"&amp;R336)</f>
        <v/>
      </c>
      <c r="T336" s="74" t="str">
        <f aca="false">IF(AND(ISNUMBER(F336),ISNUMBER(G336)),ROUND((G336-F336+1)/30.4375,1),"")</f>
        <v/>
      </c>
      <c r="U336" s="70" t="str">
        <f aca="false">IF(B336="","",IF(AND(N336="Sí",OR(E336="",NOT(ISNUMBER(F336)))),"⚠ Falta tipo de contrato o fecha de inicio",IF(NOT(ISNUMBER(F336)),"⚠ Falta fecha de inicio",IF(AND(N336="Sí",E336&lt;&gt;"Indefinido",NOT(ISNUMBER(G336))),"⚠ Falta fecha de término",IF(AND(D336="Paso a indefinido",E336&lt;&gt;"Indefinido"),"⚠ Un paso a indefinido debe tener tipo Indefinido",IF(N(Q336)&gt;=3,"⚠ 3er contrato a plazo fijo: por ley ya es INDEFINIDO (Art. 159 N°4)",IF(AND(E336="Plazo fijo",N(T336)&gt;12),"⚠ Plazo fijo mayor a 1 año (máx. legal; 2 años solo profesionales o técnicos)",IF(AND(ISNUMBER(G336),G336&lt;F336),"⚠ Término anterior al inicio",IF(AND(D336="Contrato inicial",ISNUMBER(J336),J336-F336&gt;15),"⚠ Escriturado fuera de plazo (Art. 9: 15 días)",IF(K336&lt;&gt;"Sí","Pendiente de firma","OK"))))))))))</f>
        <v/>
      </c>
    </row>
    <row r="337" customFormat="false" ht="15" hidden="false" customHeight="false" outlineLevel="0" collapsed="false">
      <c r="B337" s="64"/>
      <c r="C337" s="72" t="str">
        <f aca="false">IF(B337="","",IFERROR(INDEX(T_NOMBRE,MATCH(B337,T_ID,0)),"⚠ ID no existe en Trabajadores"))</f>
        <v/>
      </c>
      <c r="D337" s="64"/>
      <c r="E337" s="64"/>
      <c r="F337" s="65"/>
      <c r="G337" s="65"/>
      <c r="H337" s="67"/>
      <c r="I337" s="64"/>
      <c r="J337" s="65"/>
      <c r="K337" s="64"/>
      <c r="L337" s="64"/>
      <c r="M337" s="64"/>
      <c r="N337" s="72" t="str">
        <f aca="false">IF(B337="","",IF(D337="Anexo de modificación","No","Sí"))</f>
        <v/>
      </c>
      <c r="O337" s="73" t="str">
        <f aca="false">IF(AND(N337="Sí",ISNUMBER(F337)),COUNTIFS(C_ID,B337,C_DEFINE,"Sí",C_INICIO,"&lt;"&amp;F337)+COUNTIFS(B$7:B337,B337,N$7:N337,"Sí",F$7:F337,F337),"")</f>
        <v/>
      </c>
      <c r="P337" s="72" t="str">
        <f aca="false">IF(O337="","",B337&amp;"-P"&amp;O337)</f>
        <v/>
      </c>
      <c r="Q337" s="73" t="str">
        <f aca="false">IF(AND(N337="Sí",E337="Plazo fijo",ISNUMBER(F337)),COUNTIFS(C_ID,B337,C_TIPO,"Plazo fijo",C_DEFINE,"Sí",C_INICIO,"&lt;"&amp;F337)+COUNTIFS(B$7:B337,B337,E$7:E337,"Plazo fijo",N$7:N337,"Sí",F$7:F337,F337),"")</f>
        <v/>
      </c>
      <c r="R337" s="73" t="str">
        <f aca="false">IF(AND(B337&lt;&gt;"",ISNUMBER(H337),ISNUMBER(F337)),COUNTIFS(C_ID,B337,C_SUELDO,"&lt;&gt;",C_INICIO,"&lt;"&amp;F337)+COUNTIFS(B$7:B337,B337,H$7:H337,"&lt;&gt;",F$7:F337,F337),"")</f>
        <v/>
      </c>
      <c r="S337" s="72" t="str">
        <f aca="false">IF(R337="","",B337&amp;"-S"&amp;R337)</f>
        <v/>
      </c>
      <c r="T337" s="74" t="str">
        <f aca="false">IF(AND(ISNUMBER(F337),ISNUMBER(G337)),ROUND((G337-F337+1)/30.4375,1),"")</f>
        <v/>
      </c>
      <c r="U337" s="70" t="str">
        <f aca="false">IF(B337="","",IF(AND(N337="Sí",OR(E337="",NOT(ISNUMBER(F337)))),"⚠ Falta tipo de contrato o fecha de inicio",IF(NOT(ISNUMBER(F337)),"⚠ Falta fecha de inicio",IF(AND(N337="Sí",E337&lt;&gt;"Indefinido",NOT(ISNUMBER(G337))),"⚠ Falta fecha de término",IF(AND(D337="Paso a indefinido",E337&lt;&gt;"Indefinido"),"⚠ Un paso a indefinido debe tener tipo Indefinido",IF(N(Q337)&gt;=3,"⚠ 3er contrato a plazo fijo: por ley ya es INDEFINIDO (Art. 159 N°4)",IF(AND(E337="Plazo fijo",N(T337)&gt;12),"⚠ Plazo fijo mayor a 1 año (máx. legal; 2 años solo profesionales o técnicos)",IF(AND(ISNUMBER(G337),G337&lt;F337),"⚠ Término anterior al inicio",IF(AND(D337="Contrato inicial",ISNUMBER(J337),J337-F337&gt;15),"⚠ Escriturado fuera de plazo (Art. 9: 15 días)",IF(K337&lt;&gt;"Sí","Pendiente de firma","OK"))))))))))</f>
        <v/>
      </c>
    </row>
    <row r="338" customFormat="false" ht="15" hidden="false" customHeight="false" outlineLevel="0" collapsed="false">
      <c r="B338" s="64"/>
      <c r="C338" s="72" t="str">
        <f aca="false">IF(B338="","",IFERROR(INDEX(T_NOMBRE,MATCH(B338,T_ID,0)),"⚠ ID no existe en Trabajadores"))</f>
        <v/>
      </c>
      <c r="D338" s="64"/>
      <c r="E338" s="64"/>
      <c r="F338" s="65"/>
      <c r="G338" s="65"/>
      <c r="H338" s="67"/>
      <c r="I338" s="64"/>
      <c r="J338" s="65"/>
      <c r="K338" s="64"/>
      <c r="L338" s="64"/>
      <c r="M338" s="64"/>
      <c r="N338" s="72" t="str">
        <f aca="false">IF(B338="","",IF(D338="Anexo de modificación","No","Sí"))</f>
        <v/>
      </c>
      <c r="O338" s="73" t="str">
        <f aca="false">IF(AND(N338="Sí",ISNUMBER(F338)),COUNTIFS(C_ID,B338,C_DEFINE,"Sí",C_INICIO,"&lt;"&amp;F338)+COUNTIFS(B$7:B338,B338,N$7:N338,"Sí",F$7:F338,F338),"")</f>
        <v/>
      </c>
      <c r="P338" s="72" t="str">
        <f aca="false">IF(O338="","",B338&amp;"-P"&amp;O338)</f>
        <v/>
      </c>
      <c r="Q338" s="73" t="str">
        <f aca="false">IF(AND(N338="Sí",E338="Plazo fijo",ISNUMBER(F338)),COUNTIFS(C_ID,B338,C_TIPO,"Plazo fijo",C_DEFINE,"Sí",C_INICIO,"&lt;"&amp;F338)+COUNTIFS(B$7:B338,B338,E$7:E338,"Plazo fijo",N$7:N338,"Sí",F$7:F338,F338),"")</f>
        <v/>
      </c>
      <c r="R338" s="73" t="str">
        <f aca="false">IF(AND(B338&lt;&gt;"",ISNUMBER(H338),ISNUMBER(F338)),COUNTIFS(C_ID,B338,C_SUELDO,"&lt;&gt;",C_INICIO,"&lt;"&amp;F338)+COUNTIFS(B$7:B338,B338,H$7:H338,"&lt;&gt;",F$7:F338,F338),"")</f>
        <v/>
      </c>
      <c r="S338" s="72" t="str">
        <f aca="false">IF(R338="","",B338&amp;"-S"&amp;R338)</f>
        <v/>
      </c>
      <c r="T338" s="74" t="str">
        <f aca="false">IF(AND(ISNUMBER(F338),ISNUMBER(G338)),ROUND((G338-F338+1)/30.4375,1),"")</f>
        <v/>
      </c>
      <c r="U338" s="70" t="str">
        <f aca="false">IF(B338="","",IF(AND(N338="Sí",OR(E338="",NOT(ISNUMBER(F338)))),"⚠ Falta tipo de contrato o fecha de inicio",IF(NOT(ISNUMBER(F338)),"⚠ Falta fecha de inicio",IF(AND(N338="Sí",E338&lt;&gt;"Indefinido",NOT(ISNUMBER(G338))),"⚠ Falta fecha de término",IF(AND(D338="Paso a indefinido",E338&lt;&gt;"Indefinido"),"⚠ Un paso a indefinido debe tener tipo Indefinido",IF(N(Q338)&gt;=3,"⚠ 3er contrato a plazo fijo: por ley ya es INDEFINIDO (Art. 159 N°4)",IF(AND(E338="Plazo fijo",N(T338)&gt;12),"⚠ Plazo fijo mayor a 1 año (máx. legal; 2 años solo profesionales o técnicos)",IF(AND(ISNUMBER(G338),G338&lt;F338),"⚠ Término anterior al inicio",IF(AND(D338="Contrato inicial",ISNUMBER(J338),J338-F338&gt;15),"⚠ Escriturado fuera de plazo (Art. 9: 15 días)",IF(K338&lt;&gt;"Sí","Pendiente de firma","OK"))))))))))</f>
        <v/>
      </c>
    </row>
    <row r="339" customFormat="false" ht="15" hidden="false" customHeight="false" outlineLevel="0" collapsed="false">
      <c r="B339" s="64"/>
      <c r="C339" s="72" t="str">
        <f aca="false">IF(B339="","",IFERROR(INDEX(T_NOMBRE,MATCH(B339,T_ID,0)),"⚠ ID no existe en Trabajadores"))</f>
        <v/>
      </c>
      <c r="D339" s="64"/>
      <c r="E339" s="64"/>
      <c r="F339" s="65"/>
      <c r="G339" s="65"/>
      <c r="H339" s="67"/>
      <c r="I339" s="64"/>
      <c r="J339" s="65"/>
      <c r="K339" s="64"/>
      <c r="L339" s="64"/>
      <c r="M339" s="64"/>
      <c r="N339" s="72" t="str">
        <f aca="false">IF(B339="","",IF(D339="Anexo de modificación","No","Sí"))</f>
        <v/>
      </c>
      <c r="O339" s="73" t="str">
        <f aca="false">IF(AND(N339="Sí",ISNUMBER(F339)),COUNTIFS(C_ID,B339,C_DEFINE,"Sí",C_INICIO,"&lt;"&amp;F339)+COUNTIFS(B$7:B339,B339,N$7:N339,"Sí",F$7:F339,F339),"")</f>
        <v/>
      </c>
      <c r="P339" s="72" t="str">
        <f aca="false">IF(O339="","",B339&amp;"-P"&amp;O339)</f>
        <v/>
      </c>
      <c r="Q339" s="73" t="str">
        <f aca="false">IF(AND(N339="Sí",E339="Plazo fijo",ISNUMBER(F339)),COUNTIFS(C_ID,B339,C_TIPO,"Plazo fijo",C_DEFINE,"Sí",C_INICIO,"&lt;"&amp;F339)+COUNTIFS(B$7:B339,B339,E$7:E339,"Plazo fijo",N$7:N339,"Sí",F$7:F339,F339),"")</f>
        <v/>
      </c>
      <c r="R339" s="73" t="str">
        <f aca="false">IF(AND(B339&lt;&gt;"",ISNUMBER(H339),ISNUMBER(F339)),COUNTIFS(C_ID,B339,C_SUELDO,"&lt;&gt;",C_INICIO,"&lt;"&amp;F339)+COUNTIFS(B$7:B339,B339,H$7:H339,"&lt;&gt;",F$7:F339,F339),"")</f>
        <v/>
      </c>
      <c r="S339" s="72" t="str">
        <f aca="false">IF(R339="","",B339&amp;"-S"&amp;R339)</f>
        <v/>
      </c>
      <c r="T339" s="74" t="str">
        <f aca="false">IF(AND(ISNUMBER(F339),ISNUMBER(G339)),ROUND((G339-F339+1)/30.4375,1),"")</f>
        <v/>
      </c>
      <c r="U339" s="70" t="str">
        <f aca="false">IF(B339="","",IF(AND(N339="Sí",OR(E339="",NOT(ISNUMBER(F339)))),"⚠ Falta tipo de contrato o fecha de inicio",IF(NOT(ISNUMBER(F339)),"⚠ Falta fecha de inicio",IF(AND(N339="Sí",E339&lt;&gt;"Indefinido",NOT(ISNUMBER(G339))),"⚠ Falta fecha de término",IF(AND(D339="Paso a indefinido",E339&lt;&gt;"Indefinido"),"⚠ Un paso a indefinido debe tener tipo Indefinido",IF(N(Q339)&gt;=3,"⚠ 3er contrato a plazo fijo: por ley ya es INDEFINIDO (Art. 159 N°4)",IF(AND(E339="Plazo fijo",N(T339)&gt;12),"⚠ Plazo fijo mayor a 1 año (máx. legal; 2 años solo profesionales o técnicos)",IF(AND(ISNUMBER(G339),G339&lt;F339),"⚠ Término anterior al inicio",IF(AND(D339="Contrato inicial",ISNUMBER(J339),J339-F339&gt;15),"⚠ Escriturado fuera de plazo (Art. 9: 15 días)",IF(K339&lt;&gt;"Sí","Pendiente de firma","OK"))))))))))</f>
        <v/>
      </c>
    </row>
    <row r="340" customFormat="false" ht="15" hidden="false" customHeight="false" outlineLevel="0" collapsed="false">
      <c r="B340" s="64"/>
      <c r="C340" s="72" t="str">
        <f aca="false">IF(B340="","",IFERROR(INDEX(T_NOMBRE,MATCH(B340,T_ID,0)),"⚠ ID no existe en Trabajadores"))</f>
        <v/>
      </c>
      <c r="D340" s="64"/>
      <c r="E340" s="64"/>
      <c r="F340" s="65"/>
      <c r="G340" s="65"/>
      <c r="H340" s="67"/>
      <c r="I340" s="64"/>
      <c r="J340" s="65"/>
      <c r="K340" s="64"/>
      <c r="L340" s="64"/>
      <c r="M340" s="64"/>
      <c r="N340" s="72" t="str">
        <f aca="false">IF(B340="","",IF(D340="Anexo de modificación","No","Sí"))</f>
        <v/>
      </c>
      <c r="O340" s="73" t="str">
        <f aca="false">IF(AND(N340="Sí",ISNUMBER(F340)),COUNTIFS(C_ID,B340,C_DEFINE,"Sí",C_INICIO,"&lt;"&amp;F340)+COUNTIFS(B$7:B340,B340,N$7:N340,"Sí",F$7:F340,F340),"")</f>
        <v/>
      </c>
      <c r="P340" s="72" t="str">
        <f aca="false">IF(O340="","",B340&amp;"-P"&amp;O340)</f>
        <v/>
      </c>
      <c r="Q340" s="73" t="str">
        <f aca="false">IF(AND(N340="Sí",E340="Plazo fijo",ISNUMBER(F340)),COUNTIFS(C_ID,B340,C_TIPO,"Plazo fijo",C_DEFINE,"Sí",C_INICIO,"&lt;"&amp;F340)+COUNTIFS(B$7:B340,B340,E$7:E340,"Plazo fijo",N$7:N340,"Sí",F$7:F340,F340),"")</f>
        <v/>
      </c>
      <c r="R340" s="73" t="str">
        <f aca="false">IF(AND(B340&lt;&gt;"",ISNUMBER(H340),ISNUMBER(F340)),COUNTIFS(C_ID,B340,C_SUELDO,"&lt;&gt;",C_INICIO,"&lt;"&amp;F340)+COUNTIFS(B$7:B340,B340,H$7:H340,"&lt;&gt;",F$7:F340,F340),"")</f>
        <v/>
      </c>
      <c r="S340" s="72" t="str">
        <f aca="false">IF(R340="","",B340&amp;"-S"&amp;R340)</f>
        <v/>
      </c>
      <c r="T340" s="74" t="str">
        <f aca="false">IF(AND(ISNUMBER(F340),ISNUMBER(G340)),ROUND((G340-F340+1)/30.4375,1),"")</f>
        <v/>
      </c>
      <c r="U340" s="70" t="str">
        <f aca="false">IF(B340="","",IF(AND(N340="Sí",OR(E340="",NOT(ISNUMBER(F340)))),"⚠ Falta tipo de contrato o fecha de inicio",IF(NOT(ISNUMBER(F340)),"⚠ Falta fecha de inicio",IF(AND(N340="Sí",E340&lt;&gt;"Indefinido",NOT(ISNUMBER(G340))),"⚠ Falta fecha de término",IF(AND(D340="Paso a indefinido",E340&lt;&gt;"Indefinido"),"⚠ Un paso a indefinido debe tener tipo Indefinido",IF(N(Q340)&gt;=3,"⚠ 3er contrato a plazo fijo: por ley ya es INDEFINIDO (Art. 159 N°4)",IF(AND(E340="Plazo fijo",N(T340)&gt;12),"⚠ Plazo fijo mayor a 1 año (máx. legal; 2 años solo profesionales o técnicos)",IF(AND(ISNUMBER(G340),G340&lt;F340),"⚠ Término anterior al inicio",IF(AND(D340="Contrato inicial",ISNUMBER(J340),J340-F340&gt;15),"⚠ Escriturado fuera de plazo (Art. 9: 15 días)",IF(K340&lt;&gt;"Sí","Pendiente de firma","OK"))))))))))</f>
        <v/>
      </c>
    </row>
    <row r="341" customFormat="false" ht="15" hidden="false" customHeight="false" outlineLevel="0" collapsed="false">
      <c r="B341" s="64"/>
      <c r="C341" s="72" t="str">
        <f aca="false">IF(B341="","",IFERROR(INDEX(T_NOMBRE,MATCH(B341,T_ID,0)),"⚠ ID no existe en Trabajadores"))</f>
        <v/>
      </c>
      <c r="D341" s="64"/>
      <c r="E341" s="64"/>
      <c r="F341" s="65"/>
      <c r="G341" s="65"/>
      <c r="H341" s="67"/>
      <c r="I341" s="64"/>
      <c r="J341" s="65"/>
      <c r="K341" s="64"/>
      <c r="L341" s="64"/>
      <c r="M341" s="64"/>
      <c r="N341" s="72" t="str">
        <f aca="false">IF(B341="","",IF(D341="Anexo de modificación","No","Sí"))</f>
        <v/>
      </c>
      <c r="O341" s="73" t="str">
        <f aca="false">IF(AND(N341="Sí",ISNUMBER(F341)),COUNTIFS(C_ID,B341,C_DEFINE,"Sí",C_INICIO,"&lt;"&amp;F341)+COUNTIFS(B$7:B341,B341,N$7:N341,"Sí",F$7:F341,F341),"")</f>
        <v/>
      </c>
      <c r="P341" s="72" t="str">
        <f aca="false">IF(O341="","",B341&amp;"-P"&amp;O341)</f>
        <v/>
      </c>
      <c r="Q341" s="73" t="str">
        <f aca="false">IF(AND(N341="Sí",E341="Plazo fijo",ISNUMBER(F341)),COUNTIFS(C_ID,B341,C_TIPO,"Plazo fijo",C_DEFINE,"Sí",C_INICIO,"&lt;"&amp;F341)+COUNTIFS(B$7:B341,B341,E$7:E341,"Plazo fijo",N$7:N341,"Sí",F$7:F341,F341),"")</f>
        <v/>
      </c>
      <c r="R341" s="73" t="str">
        <f aca="false">IF(AND(B341&lt;&gt;"",ISNUMBER(H341),ISNUMBER(F341)),COUNTIFS(C_ID,B341,C_SUELDO,"&lt;&gt;",C_INICIO,"&lt;"&amp;F341)+COUNTIFS(B$7:B341,B341,H$7:H341,"&lt;&gt;",F$7:F341,F341),"")</f>
        <v/>
      </c>
      <c r="S341" s="72" t="str">
        <f aca="false">IF(R341="","",B341&amp;"-S"&amp;R341)</f>
        <v/>
      </c>
      <c r="T341" s="74" t="str">
        <f aca="false">IF(AND(ISNUMBER(F341),ISNUMBER(G341)),ROUND((G341-F341+1)/30.4375,1),"")</f>
        <v/>
      </c>
      <c r="U341" s="70" t="str">
        <f aca="false">IF(B341="","",IF(AND(N341="Sí",OR(E341="",NOT(ISNUMBER(F341)))),"⚠ Falta tipo de contrato o fecha de inicio",IF(NOT(ISNUMBER(F341)),"⚠ Falta fecha de inicio",IF(AND(N341="Sí",E341&lt;&gt;"Indefinido",NOT(ISNUMBER(G341))),"⚠ Falta fecha de término",IF(AND(D341="Paso a indefinido",E341&lt;&gt;"Indefinido"),"⚠ Un paso a indefinido debe tener tipo Indefinido",IF(N(Q341)&gt;=3,"⚠ 3er contrato a plazo fijo: por ley ya es INDEFINIDO (Art. 159 N°4)",IF(AND(E341="Plazo fijo",N(T341)&gt;12),"⚠ Plazo fijo mayor a 1 año (máx. legal; 2 años solo profesionales o técnicos)",IF(AND(ISNUMBER(G341),G341&lt;F341),"⚠ Término anterior al inicio",IF(AND(D341="Contrato inicial",ISNUMBER(J341),J341-F341&gt;15),"⚠ Escriturado fuera de plazo (Art. 9: 15 días)",IF(K341&lt;&gt;"Sí","Pendiente de firma","OK"))))))))))</f>
        <v/>
      </c>
    </row>
    <row r="342" customFormat="false" ht="15" hidden="false" customHeight="false" outlineLevel="0" collapsed="false">
      <c r="B342" s="64"/>
      <c r="C342" s="72" t="str">
        <f aca="false">IF(B342="","",IFERROR(INDEX(T_NOMBRE,MATCH(B342,T_ID,0)),"⚠ ID no existe en Trabajadores"))</f>
        <v/>
      </c>
      <c r="D342" s="64"/>
      <c r="E342" s="64"/>
      <c r="F342" s="65"/>
      <c r="G342" s="65"/>
      <c r="H342" s="67"/>
      <c r="I342" s="64"/>
      <c r="J342" s="65"/>
      <c r="K342" s="64"/>
      <c r="L342" s="64"/>
      <c r="M342" s="64"/>
      <c r="N342" s="72" t="str">
        <f aca="false">IF(B342="","",IF(D342="Anexo de modificación","No","Sí"))</f>
        <v/>
      </c>
      <c r="O342" s="73" t="str">
        <f aca="false">IF(AND(N342="Sí",ISNUMBER(F342)),COUNTIFS(C_ID,B342,C_DEFINE,"Sí",C_INICIO,"&lt;"&amp;F342)+COUNTIFS(B$7:B342,B342,N$7:N342,"Sí",F$7:F342,F342),"")</f>
        <v/>
      </c>
      <c r="P342" s="72" t="str">
        <f aca="false">IF(O342="","",B342&amp;"-P"&amp;O342)</f>
        <v/>
      </c>
      <c r="Q342" s="73" t="str">
        <f aca="false">IF(AND(N342="Sí",E342="Plazo fijo",ISNUMBER(F342)),COUNTIFS(C_ID,B342,C_TIPO,"Plazo fijo",C_DEFINE,"Sí",C_INICIO,"&lt;"&amp;F342)+COUNTIFS(B$7:B342,B342,E$7:E342,"Plazo fijo",N$7:N342,"Sí",F$7:F342,F342),"")</f>
        <v/>
      </c>
      <c r="R342" s="73" t="str">
        <f aca="false">IF(AND(B342&lt;&gt;"",ISNUMBER(H342),ISNUMBER(F342)),COUNTIFS(C_ID,B342,C_SUELDO,"&lt;&gt;",C_INICIO,"&lt;"&amp;F342)+COUNTIFS(B$7:B342,B342,H$7:H342,"&lt;&gt;",F$7:F342,F342),"")</f>
        <v/>
      </c>
      <c r="S342" s="72" t="str">
        <f aca="false">IF(R342="","",B342&amp;"-S"&amp;R342)</f>
        <v/>
      </c>
      <c r="T342" s="74" t="str">
        <f aca="false">IF(AND(ISNUMBER(F342),ISNUMBER(G342)),ROUND((G342-F342+1)/30.4375,1),"")</f>
        <v/>
      </c>
      <c r="U342" s="70" t="str">
        <f aca="false">IF(B342="","",IF(AND(N342="Sí",OR(E342="",NOT(ISNUMBER(F342)))),"⚠ Falta tipo de contrato o fecha de inicio",IF(NOT(ISNUMBER(F342)),"⚠ Falta fecha de inicio",IF(AND(N342="Sí",E342&lt;&gt;"Indefinido",NOT(ISNUMBER(G342))),"⚠ Falta fecha de término",IF(AND(D342="Paso a indefinido",E342&lt;&gt;"Indefinido"),"⚠ Un paso a indefinido debe tener tipo Indefinido",IF(N(Q342)&gt;=3,"⚠ 3er contrato a plazo fijo: por ley ya es INDEFINIDO (Art. 159 N°4)",IF(AND(E342="Plazo fijo",N(T342)&gt;12),"⚠ Plazo fijo mayor a 1 año (máx. legal; 2 años solo profesionales o técnicos)",IF(AND(ISNUMBER(G342),G342&lt;F342),"⚠ Término anterior al inicio",IF(AND(D342="Contrato inicial",ISNUMBER(J342),J342-F342&gt;15),"⚠ Escriturado fuera de plazo (Art. 9: 15 días)",IF(K342&lt;&gt;"Sí","Pendiente de firma","OK"))))))))))</f>
        <v/>
      </c>
    </row>
    <row r="343" customFormat="false" ht="15" hidden="false" customHeight="false" outlineLevel="0" collapsed="false">
      <c r="B343" s="64"/>
      <c r="C343" s="72" t="str">
        <f aca="false">IF(B343="","",IFERROR(INDEX(T_NOMBRE,MATCH(B343,T_ID,0)),"⚠ ID no existe en Trabajadores"))</f>
        <v/>
      </c>
      <c r="D343" s="64"/>
      <c r="E343" s="64"/>
      <c r="F343" s="65"/>
      <c r="G343" s="65"/>
      <c r="H343" s="67"/>
      <c r="I343" s="64"/>
      <c r="J343" s="65"/>
      <c r="K343" s="64"/>
      <c r="L343" s="64"/>
      <c r="M343" s="64"/>
      <c r="N343" s="72" t="str">
        <f aca="false">IF(B343="","",IF(D343="Anexo de modificación","No","Sí"))</f>
        <v/>
      </c>
      <c r="O343" s="73" t="str">
        <f aca="false">IF(AND(N343="Sí",ISNUMBER(F343)),COUNTIFS(C_ID,B343,C_DEFINE,"Sí",C_INICIO,"&lt;"&amp;F343)+COUNTIFS(B$7:B343,B343,N$7:N343,"Sí",F$7:F343,F343),"")</f>
        <v/>
      </c>
      <c r="P343" s="72" t="str">
        <f aca="false">IF(O343="","",B343&amp;"-P"&amp;O343)</f>
        <v/>
      </c>
      <c r="Q343" s="73" t="str">
        <f aca="false">IF(AND(N343="Sí",E343="Plazo fijo",ISNUMBER(F343)),COUNTIFS(C_ID,B343,C_TIPO,"Plazo fijo",C_DEFINE,"Sí",C_INICIO,"&lt;"&amp;F343)+COUNTIFS(B$7:B343,B343,E$7:E343,"Plazo fijo",N$7:N343,"Sí",F$7:F343,F343),"")</f>
        <v/>
      </c>
      <c r="R343" s="73" t="str">
        <f aca="false">IF(AND(B343&lt;&gt;"",ISNUMBER(H343),ISNUMBER(F343)),COUNTIFS(C_ID,B343,C_SUELDO,"&lt;&gt;",C_INICIO,"&lt;"&amp;F343)+COUNTIFS(B$7:B343,B343,H$7:H343,"&lt;&gt;",F$7:F343,F343),"")</f>
        <v/>
      </c>
      <c r="S343" s="72" t="str">
        <f aca="false">IF(R343="","",B343&amp;"-S"&amp;R343)</f>
        <v/>
      </c>
      <c r="T343" s="74" t="str">
        <f aca="false">IF(AND(ISNUMBER(F343),ISNUMBER(G343)),ROUND((G343-F343+1)/30.4375,1),"")</f>
        <v/>
      </c>
      <c r="U343" s="70" t="str">
        <f aca="false">IF(B343="","",IF(AND(N343="Sí",OR(E343="",NOT(ISNUMBER(F343)))),"⚠ Falta tipo de contrato o fecha de inicio",IF(NOT(ISNUMBER(F343)),"⚠ Falta fecha de inicio",IF(AND(N343="Sí",E343&lt;&gt;"Indefinido",NOT(ISNUMBER(G343))),"⚠ Falta fecha de término",IF(AND(D343="Paso a indefinido",E343&lt;&gt;"Indefinido"),"⚠ Un paso a indefinido debe tener tipo Indefinido",IF(N(Q343)&gt;=3,"⚠ 3er contrato a plazo fijo: por ley ya es INDEFINIDO (Art. 159 N°4)",IF(AND(E343="Plazo fijo",N(T343)&gt;12),"⚠ Plazo fijo mayor a 1 año (máx. legal; 2 años solo profesionales o técnicos)",IF(AND(ISNUMBER(G343),G343&lt;F343),"⚠ Término anterior al inicio",IF(AND(D343="Contrato inicial",ISNUMBER(J343),J343-F343&gt;15),"⚠ Escriturado fuera de plazo (Art. 9: 15 días)",IF(K343&lt;&gt;"Sí","Pendiente de firma","OK"))))))))))</f>
        <v/>
      </c>
    </row>
    <row r="344" customFormat="false" ht="15" hidden="false" customHeight="false" outlineLevel="0" collapsed="false">
      <c r="B344" s="64"/>
      <c r="C344" s="72" t="str">
        <f aca="false">IF(B344="","",IFERROR(INDEX(T_NOMBRE,MATCH(B344,T_ID,0)),"⚠ ID no existe en Trabajadores"))</f>
        <v/>
      </c>
      <c r="D344" s="64"/>
      <c r="E344" s="64"/>
      <c r="F344" s="65"/>
      <c r="G344" s="65"/>
      <c r="H344" s="67"/>
      <c r="I344" s="64"/>
      <c r="J344" s="65"/>
      <c r="K344" s="64"/>
      <c r="L344" s="64"/>
      <c r="M344" s="64"/>
      <c r="N344" s="72" t="str">
        <f aca="false">IF(B344="","",IF(D344="Anexo de modificación","No","Sí"))</f>
        <v/>
      </c>
      <c r="O344" s="73" t="str">
        <f aca="false">IF(AND(N344="Sí",ISNUMBER(F344)),COUNTIFS(C_ID,B344,C_DEFINE,"Sí",C_INICIO,"&lt;"&amp;F344)+COUNTIFS(B$7:B344,B344,N$7:N344,"Sí",F$7:F344,F344),"")</f>
        <v/>
      </c>
      <c r="P344" s="72" t="str">
        <f aca="false">IF(O344="","",B344&amp;"-P"&amp;O344)</f>
        <v/>
      </c>
      <c r="Q344" s="73" t="str">
        <f aca="false">IF(AND(N344="Sí",E344="Plazo fijo",ISNUMBER(F344)),COUNTIFS(C_ID,B344,C_TIPO,"Plazo fijo",C_DEFINE,"Sí",C_INICIO,"&lt;"&amp;F344)+COUNTIFS(B$7:B344,B344,E$7:E344,"Plazo fijo",N$7:N344,"Sí",F$7:F344,F344),"")</f>
        <v/>
      </c>
      <c r="R344" s="73" t="str">
        <f aca="false">IF(AND(B344&lt;&gt;"",ISNUMBER(H344),ISNUMBER(F344)),COUNTIFS(C_ID,B344,C_SUELDO,"&lt;&gt;",C_INICIO,"&lt;"&amp;F344)+COUNTIFS(B$7:B344,B344,H$7:H344,"&lt;&gt;",F$7:F344,F344),"")</f>
        <v/>
      </c>
      <c r="S344" s="72" t="str">
        <f aca="false">IF(R344="","",B344&amp;"-S"&amp;R344)</f>
        <v/>
      </c>
      <c r="T344" s="74" t="str">
        <f aca="false">IF(AND(ISNUMBER(F344),ISNUMBER(G344)),ROUND((G344-F344+1)/30.4375,1),"")</f>
        <v/>
      </c>
      <c r="U344" s="70" t="str">
        <f aca="false">IF(B344="","",IF(AND(N344="Sí",OR(E344="",NOT(ISNUMBER(F344)))),"⚠ Falta tipo de contrato o fecha de inicio",IF(NOT(ISNUMBER(F344)),"⚠ Falta fecha de inicio",IF(AND(N344="Sí",E344&lt;&gt;"Indefinido",NOT(ISNUMBER(G344))),"⚠ Falta fecha de término",IF(AND(D344="Paso a indefinido",E344&lt;&gt;"Indefinido"),"⚠ Un paso a indefinido debe tener tipo Indefinido",IF(N(Q344)&gt;=3,"⚠ 3er contrato a plazo fijo: por ley ya es INDEFINIDO (Art. 159 N°4)",IF(AND(E344="Plazo fijo",N(T344)&gt;12),"⚠ Plazo fijo mayor a 1 año (máx. legal; 2 años solo profesionales o técnicos)",IF(AND(ISNUMBER(G344),G344&lt;F344),"⚠ Término anterior al inicio",IF(AND(D344="Contrato inicial",ISNUMBER(J344),J344-F344&gt;15),"⚠ Escriturado fuera de plazo (Art. 9: 15 días)",IF(K344&lt;&gt;"Sí","Pendiente de firma","OK"))))))))))</f>
        <v/>
      </c>
    </row>
    <row r="345" customFormat="false" ht="15" hidden="false" customHeight="false" outlineLevel="0" collapsed="false">
      <c r="B345" s="64"/>
      <c r="C345" s="72" t="str">
        <f aca="false">IF(B345="","",IFERROR(INDEX(T_NOMBRE,MATCH(B345,T_ID,0)),"⚠ ID no existe en Trabajadores"))</f>
        <v/>
      </c>
      <c r="D345" s="64"/>
      <c r="E345" s="64"/>
      <c r="F345" s="65"/>
      <c r="G345" s="65"/>
      <c r="H345" s="67"/>
      <c r="I345" s="64"/>
      <c r="J345" s="65"/>
      <c r="K345" s="64"/>
      <c r="L345" s="64"/>
      <c r="M345" s="64"/>
      <c r="N345" s="72" t="str">
        <f aca="false">IF(B345="","",IF(D345="Anexo de modificación","No","Sí"))</f>
        <v/>
      </c>
      <c r="O345" s="73" t="str">
        <f aca="false">IF(AND(N345="Sí",ISNUMBER(F345)),COUNTIFS(C_ID,B345,C_DEFINE,"Sí",C_INICIO,"&lt;"&amp;F345)+COUNTIFS(B$7:B345,B345,N$7:N345,"Sí",F$7:F345,F345),"")</f>
        <v/>
      </c>
      <c r="P345" s="72" t="str">
        <f aca="false">IF(O345="","",B345&amp;"-P"&amp;O345)</f>
        <v/>
      </c>
      <c r="Q345" s="73" t="str">
        <f aca="false">IF(AND(N345="Sí",E345="Plazo fijo",ISNUMBER(F345)),COUNTIFS(C_ID,B345,C_TIPO,"Plazo fijo",C_DEFINE,"Sí",C_INICIO,"&lt;"&amp;F345)+COUNTIFS(B$7:B345,B345,E$7:E345,"Plazo fijo",N$7:N345,"Sí",F$7:F345,F345),"")</f>
        <v/>
      </c>
      <c r="R345" s="73" t="str">
        <f aca="false">IF(AND(B345&lt;&gt;"",ISNUMBER(H345),ISNUMBER(F345)),COUNTIFS(C_ID,B345,C_SUELDO,"&lt;&gt;",C_INICIO,"&lt;"&amp;F345)+COUNTIFS(B$7:B345,B345,H$7:H345,"&lt;&gt;",F$7:F345,F345),"")</f>
        <v/>
      </c>
      <c r="S345" s="72" t="str">
        <f aca="false">IF(R345="","",B345&amp;"-S"&amp;R345)</f>
        <v/>
      </c>
      <c r="T345" s="74" t="str">
        <f aca="false">IF(AND(ISNUMBER(F345),ISNUMBER(G345)),ROUND((G345-F345+1)/30.4375,1),"")</f>
        <v/>
      </c>
      <c r="U345" s="70" t="str">
        <f aca="false">IF(B345="","",IF(AND(N345="Sí",OR(E345="",NOT(ISNUMBER(F345)))),"⚠ Falta tipo de contrato o fecha de inicio",IF(NOT(ISNUMBER(F345)),"⚠ Falta fecha de inicio",IF(AND(N345="Sí",E345&lt;&gt;"Indefinido",NOT(ISNUMBER(G345))),"⚠ Falta fecha de término",IF(AND(D345="Paso a indefinido",E345&lt;&gt;"Indefinido"),"⚠ Un paso a indefinido debe tener tipo Indefinido",IF(N(Q345)&gt;=3,"⚠ 3er contrato a plazo fijo: por ley ya es INDEFINIDO (Art. 159 N°4)",IF(AND(E345="Plazo fijo",N(T345)&gt;12),"⚠ Plazo fijo mayor a 1 año (máx. legal; 2 años solo profesionales o técnicos)",IF(AND(ISNUMBER(G345),G345&lt;F345),"⚠ Término anterior al inicio",IF(AND(D345="Contrato inicial",ISNUMBER(J345),J345-F345&gt;15),"⚠ Escriturado fuera de plazo (Art. 9: 15 días)",IF(K345&lt;&gt;"Sí","Pendiente de firma","OK"))))))))))</f>
        <v/>
      </c>
    </row>
    <row r="346" customFormat="false" ht="15" hidden="false" customHeight="false" outlineLevel="0" collapsed="false">
      <c r="B346" s="64"/>
      <c r="C346" s="72" t="str">
        <f aca="false">IF(B346="","",IFERROR(INDEX(T_NOMBRE,MATCH(B346,T_ID,0)),"⚠ ID no existe en Trabajadores"))</f>
        <v/>
      </c>
      <c r="D346" s="64"/>
      <c r="E346" s="64"/>
      <c r="F346" s="65"/>
      <c r="G346" s="65"/>
      <c r="H346" s="67"/>
      <c r="I346" s="64"/>
      <c r="J346" s="65"/>
      <c r="K346" s="64"/>
      <c r="L346" s="64"/>
      <c r="M346" s="64"/>
      <c r="N346" s="72" t="str">
        <f aca="false">IF(B346="","",IF(D346="Anexo de modificación","No","Sí"))</f>
        <v/>
      </c>
      <c r="O346" s="73" t="str">
        <f aca="false">IF(AND(N346="Sí",ISNUMBER(F346)),COUNTIFS(C_ID,B346,C_DEFINE,"Sí",C_INICIO,"&lt;"&amp;F346)+COUNTIFS(B$7:B346,B346,N$7:N346,"Sí",F$7:F346,F346),"")</f>
        <v/>
      </c>
      <c r="P346" s="72" t="str">
        <f aca="false">IF(O346="","",B346&amp;"-P"&amp;O346)</f>
        <v/>
      </c>
      <c r="Q346" s="73" t="str">
        <f aca="false">IF(AND(N346="Sí",E346="Plazo fijo",ISNUMBER(F346)),COUNTIFS(C_ID,B346,C_TIPO,"Plazo fijo",C_DEFINE,"Sí",C_INICIO,"&lt;"&amp;F346)+COUNTIFS(B$7:B346,B346,E$7:E346,"Plazo fijo",N$7:N346,"Sí",F$7:F346,F346),"")</f>
        <v/>
      </c>
      <c r="R346" s="73" t="str">
        <f aca="false">IF(AND(B346&lt;&gt;"",ISNUMBER(H346),ISNUMBER(F346)),COUNTIFS(C_ID,B346,C_SUELDO,"&lt;&gt;",C_INICIO,"&lt;"&amp;F346)+COUNTIFS(B$7:B346,B346,H$7:H346,"&lt;&gt;",F$7:F346,F346),"")</f>
        <v/>
      </c>
      <c r="S346" s="72" t="str">
        <f aca="false">IF(R346="","",B346&amp;"-S"&amp;R346)</f>
        <v/>
      </c>
      <c r="T346" s="74" t="str">
        <f aca="false">IF(AND(ISNUMBER(F346),ISNUMBER(G346)),ROUND((G346-F346+1)/30.4375,1),"")</f>
        <v/>
      </c>
      <c r="U346" s="70" t="str">
        <f aca="false">IF(B346="","",IF(AND(N346="Sí",OR(E346="",NOT(ISNUMBER(F346)))),"⚠ Falta tipo de contrato o fecha de inicio",IF(NOT(ISNUMBER(F346)),"⚠ Falta fecha de inicio",IF(AND(N346="Sí",E346&lt;&gt;"Indefinido",NOT(ISNUMBER(G346))),"⚠ Falta fecha de término",IF(AND(D346="Paso a indefinido",E346&lt;&gt;"Indefinido"),"⚠ Un paso a indefinido debe tener tipo Indefinido",IF(N(Q346)&gt;=3,"⚠ 3er contrato a plazo fijo: por ley ya es INDEFINIDO (Art. 159 N°4)",IF(AND(E346="Plazo fijo",N(T346)&gt;12),"⚠ Plazo fijo mayor a 1 año (máx. legal; 2 años solo profesionales o técnicos)",IF(AND(ISNUMBER(G346),G346&lt;F346),"⚠ Término anterior al inicio",IF(AND(D346="Contrato inicial",ISNUMBER(J346),J346-F346&gt;15),"⚠ Escriturado fuera de plazo (Art. 9: 15 días)",IF(K346&lt;&gt;"Sí","Pendiente de firma","OK"))))))))))</f>
        <v/>
      </c>
    </row>
    <row r="347" customFormat="false" ht="15" hidden="false" customHeight="false" outlineLevel="0" collapsed="false">
      <c r="B347" s="64"/>
      <c r="C347" s="72" t="str">
        <f aca="false">IF(B347="","",IFERROR(INDEX(T_NOMBRE,MATCH(B347,T_ID,0)),"⚠ ID no existe en Trabajadores"))</f>
        <v/>
      </c>
      <c r="D347" s="64"/>
      <c r="E347" s="64"/>
      <c r="F347" s="65"/>
      <c r="G347" s="65"/>
      <c r="H347" s="67"/>
      <c r="I347" s="64"/>
      <c r="J347" s="65"/>
      <c r="K347" s="64"/>
      <c r="L347" s="64"/>
      <c r="M347" s="64"/>
      <c r="N347" s="72" t="str">
        <f aca="false">IF(B347="","",IF(D347="Anexo de modificación","No","Sí"))</f>
        <v/>
      </c>
      <c r="O347" s="73" t="str">
        <f aca="false">IF(AND(N347="Sí",ISNUMBER(F347)),COUNTIFS(C_ID,B347,C_DEFINE,"Sí",C_INICIO,"&lt;"&amp;F347)+COUNTIFS(B$7:B347,B347,N$7:N347,"Sí",F$7:F347,F347),"")</f>
        <v/>
      </c>
      <c r="P347" s="72" t="str">
        <f aca="false">IF(O347="","",B347&amp;"-P"&amp;O347)</f>
        <v/>
      </c>
      <c r="Q347" s="73" t="str">
        <f aca="false">IF(AND(N347="Sí",E347="Plazo fijo",ISNUMBER(F347)),COUNTIFS(C_ID,B347,C_TIPO,"Plazo fijo",C_DEFINE,"Sí",C_INICIO,"&lt;"&amp;F347)+COUNTIFS(B$7:B347,B347,E$7:E347,"Plazo fijo",N$7:N347,"Sí",F$7:F347,F347),"")</f>
        <v/>
      </c>
      <c r="R347" s="73" t="str">
        <f aca="false">IF(AND(B347&lt;&gt;"",ISNUMBER(H347),ISNUMBER(F347)),COUNTIFS(C_ID,B347,C_SUELDO,"&lt;&gt;",C_INICIO,"&lt;"&amp;F347)+COUNTIFS(B$7:B347,B347,H$7:H347,"&lt;&gt;",F$7:F347,F347),"")</f>
        <v/>
      </c>
      <c r="S347" s="72" t="str">
        <f aca="false">IF(R347="","",B347&amp;"-S"&amp;R347)</f>
        <v/>
      </c>
      <c r="T347" s="74" t="str">
        <f aca="false">IF(AND(ISNUMBER(F347),ISNUMBER(G347)),ROUND((G347-F347+1)/30.4375,1),"")</f>
        <v/>
      </c>
      <c r="U347" s="70" t="str">
        <f aca="false">IF(B347="","",IF(AND(N347="Sí",OR(E347="",NOT(ISNUMBER(F347)))),"⚠ Falta tipo de contrato o fecha de inicio",IF(NOT(ISNUMBER(F347)),"⚠ Falta fecha de inicio",IF(AND(N347="Sí",E347&lt;&gt;"Indefinido",NOT(ISNUMBER(G347))),"⚠ Falta fecha de término",IF(AND(D347="Paso a indefinido",E347&lt;&gt;"Indefinido"),"⚠ Un paso a indefinido debe tener tipo Indefinido",IF(N(Q347)&gt;=3,"⚠ 3er contrato a plazo fijo: por ley ya es INDEFINIDO (Art. 159 N°4)",IF(AND(E347="Plazo fijo",N(T347)&gt;12),"⚠ Plazo fijo mayor a 1 año (máx. legal; 2 años solo profesionales o técnicos)",IF(AND(ISNUMBER(G347),G347&lt;F347),"⚠ Término anterior al inicio",IF(AND(D347="Contrato inicial",ISNUMBER(J347),J347-F347&gt;15),"⚠ Escriturado fuera de plazo (Art. 9: 15 días)",IF(K347&lt;&gt;"Sí","Pendiente de firma","OK"))))))))))</f>
        <v/>
      </c>
    </row>
    <row r="348" customFormat="false" ht="15" hidden="false" customHeight="false" outlineLevel="0" collapsed="false">
      <c r="B348" s="64"/>
      <c r="C348" s="72" t="str">
        <f aca="false">IF(B348="","",IFERROR(INDEX(T_NOMBRE,MATCH(B348,T_ID,0)),"⚠ ID no existe en Trabajadores"))</f>
        <v/>
      </c>
      <c r="D348" s="64"/>
      <c r="E348" s="64"/>
      <c r="F348" s="65"/>
      <c r="G348" s="65"/>
      <c r="H348" s="67"/>
      <c r="I348" s="64"/>
      <c r="J348" s="65"/>
      <c r="K348" s="64"/>
      <c r="L348" s="64"/>
      <c r="M348" s="64"/>
      <c r="N348" s="72" t="str">
        <f aca="false">IF(B348="","",IF(D348="Anexo de modificación","No","Sí"))</f>
        <v/>
      </c>
      <c r="O348" s="73" t="str">
        <f aca="false">IF(AND(N348="Sí",ISNUMBER(F348)),COUNTIFS(C_ID,B348,C_DEFINE,"Sí",C_INICIO,"&lt;"&amp;F348)+COUNTIFS(B$7:B348,B348,N$7:N348,"Sí",F$7:F348,F348),"")</f>
        <v/>
      </c>
      <c r="P348" s="72" t="str">
        <f aca="false">IF(O348="","",B348&amp;"-P"&amp;O348)</f>
        <v/>
      </c>
      <c r="Q348" s="73" t="str">
        <f aca="false">IF(AND(N348="Sí",E348="Plazo fijo",ISNUMBER(F348)),COUNTIFS(C_ID,B348,C_TIPO,"Plazo fijo",C_DEFINE,"Sí",C_INICIO,"&lt;"&amp;F348)+COUNTIFS(B$7:B348,B348,E$7:E348,"Plazo fijo",N$7:N348,"Sí",F$7:F348,F348),"")</f>
        <v/>
      </c>
      <c r="R348" s="73" t="str">
        <f aca="false">IF(AND(B348&lt;&gt;"",ISNUMBER(H348),ISNUMBER(F348)),COUNTIFS(C_ID,B348,C_SUELDO,"&lt;&gt;",C_INICIO,"&lt;"&amp;F348)+COUNTIFS(B$7:B348,B348,H$7:H348,"&lt;&gt;",F$7:F348,F348),"")</f>
        <v/>
      </c>
      <c r="S348" s="72" t="str">
        <f aca="false">IF(R348="","",B348&amp;"-S"&amp;R348)</f>
        <v/>
      </c>
      <c r="T348" s="74" t="str">
        <f aca="false">IF(AND(ISNUMBER(F348),ISNUMBER(G348)),ROUND((G348-F348+1)/30.4375,1),"")</f>
        <v/>
      </c>
      <c r="U348" s="70" t="str">
        <f aca="false">IF(B348="","",IF(AND(N348="Sí",OR(E348="",NOT(ISNUMBER(F348)))),"⚠ Falta tipo de contrato o fecha de inicio",IF(NOT(ISNUMBER(F348)),"⚠ Falta fecha de inicio",IF(AND(N348="Sí",E348&lt;&gt;"Indefinido",NOT(ISNUMBER(G348))),"⚠ Falta fecha de término",IF(AND(D348="Paso a indefinido",E348&lt;&gt;"Indefinido"),"⚠ Un paso a indefinido debe tener tipo Indefinido",IF(N(Q348)&gt;=3,"⚠ 3er contrato a plazo fijo: por ley ya es INDEFINIDO (Art. 159 N°4)",IF(AND(E348="Plazo fijo",N(T348)&gt;12),"⚠ Plazo fijo mayor a 1 año (máx. legal; 2 años solo profesionales o técnicos)",IF(AND(ISNUMBER(G348),G348&lt;F348),"⚠ Término anterior al inicio",IF(AND(D348="Contrato inicial",ISNUMBER(J348),J348-F348&gt;15),"⚠ Escriturado fuera de plazo (Art. 9: 15 días)",IF(K348&lt;&gt;"Sí","Pendiente de firma","OK"))))))))))</f>
        <v/>
      </c>
    </row>
    <row r="349" customFormat="false" ht="15" hidden="false" customHeight="false" outlineLevel="0" collapsed="false">
      <c r="B349" s="64"/>
      <c r="C349" s="72" t="str">
        <f aca="false">IF(B349="","",IFERROR(INDEX(T_NOMBRE,MATCH(B349,T_ID,0)),"⚠ ID no existe en Trabajadores"))</f>
        <v/>
      </c>
      <c r="D349" s="64"/>
      <c r="E349" s="64"/>
      <c r="F349" s="65"/>
      <c r="G349" s="65"/>
      <c r="H349" s="67"/>
      <c r="I349" s="64"/>
      <c r="J349" s="65"/>
      <c r="K349" s="64"/>
      <c r="L349" s="64"/>
      <c r="M349" s="64"/>
      <c r="N349" s="72" t="str">
        <f aca="false">IF(B349="","",IF(D349="Anexo de modificación","No","Sí"))</f>
        <v/>
      </c>
      <c r="O349" s="73" t="str">
        <f aca="false">IF(AND(N349="Sí",ISNUMBER(F349)),COUNTIFS(C_ID,B349,C_DEFINE,"Sí",C_INICIO,"&lt;"&amp;F349)+COUNTIFS(B$7:B349,B349,N$7:N349,"Sí",F$7:F349,F349),"")</f>
        <v/>
      </c>
      <c r="P349" s="72" t="str">
        <f aca="false">IF(O349="","",B349&amp;"-P"&amp;O349)</f>
        <v/>
      </c>
      <c r="Q349" s="73" t="str">
        <f aca="false">IF(AND(N349="Sí",E349="Plazo fijo",ISNUMBER(F349)),COUNTIFS(C_ID,B349,C_TIPO,"Plazo fijo",C_DEFINE,"Sí",C_INICIO,"&lt;"&amp;F349)+COUNTIFS(B$7:B349,B349,E$7:E349,"Plazo fijo",N$7:N349,"Sí",F$7:F349,F349),"")</f>
        <v/>
      </c>
      <c r="R349" s="73" t="str">
        <f aca="false">IF(AND(B349&lt;&gt;"",ISNUMBER(H349),ISNUMBER(F349)),COUNTIFS(C_ID,B349,C_SUELDO,"&lt;&gt;",C_INICIO,"&lt;"&amp;F349)+COUNTIFS(B$7:B349,B349,H$7:H349,"&lt;&gt;",F$7:F349,F349),"")</f>
        <v/>
      </c>
      <c r="S349" s="72" t="str">
        <f aca="false">IF(R349="","",B349&amp;"-S"&amp;R349)</f>
        <v/>
      </c>
      <c r="T349" s="74" t="str">
        <f aca="false">IF(AND(ISNUMBER(F349),ISNUMBER(G349)),ROUND((G349-F349+1)/30.4375,1),"")</f>
        <v/>
      </c>
      <c r="U349" s="70" t="str">
        <f aca="false">IF(B349="","",IF(AND(N349="Sí",OR(E349="",NOT(ISNUMBER(F349)))),"⚠ Falta tipo de contrato o fecha de inicio",IF(NOT(ISNUMBER(F349)),"⚠ Falta fecha de inicio",IF(AND(N349="Sí",E349&lt;&gt;"Indefinido",NOT(ISNUMBER(G349))),"⚠ Falta fecha de término",IF(AND(D349="Paso a indefinido",E349&lt;&gt;"Indefinido"),"⚠ Un paso a indefinido debe tener tipo Indefinido",IF(N(Q349)&gt;=3,"⚠ 3er contrato a plazo fijo: por ley ya es INDEFINIDO (Art. 159 N°4)",IF(AND(E349="Plazo fijo",N(T349)&gt;12),"⚠ Plazo fijo mayor a 1 año (máx. legal; 2 años solo profesionales o técnicos)",IF(AND(ISNUMBER(G349),G349&lt;F349),"⚠ Término anterior al inicio",IF(AND(D349="Contrato inicial",ISNUMBER(J349),J349-F349&gt;15),"⚠ Escriturado fuera de plazo (Art. 9: 15 días)",IF(K349&lt;&gt;"Sí","Pendiente de firma","OK"))))))))))</f>
        <v/>
      </c>
    </row>
    <row r="350" customFormat="false" ht="15" hidden="false" customHeight="false" outlineLevel="0" collapsed="false">
      <c r="B350" s="64"/>
      <c r="C350" s="72" t="str">
        <f aca="false">IF(B350="","",IFERROR(INDEX(T_NOMBRE,MATCH(B350,T_ID,0)),"⚠ ID no existe en Trabajadores"))</f>
        <v/>
      </c>
      <c r="D350" s="64"/>
      <c r="E350" s="64"/>
      <c r="F350" s="65"/>
      <c r="G350" s="65"/>
      <c r="H350" s="67"/>
      <c r="I350" s="64"/>
      <c r="J350" s="65"/>
      <c r="K350" s="64"/>
      <c r="L350" s="64"/>
      <c r="M350" s="64"/>
      <c r="N350" s="72" t="str">
        <f aca="false">IF(B350="","",IF(D350="Anexo de modificación","No","Sí"))</f>
        <v/>
      </c>
      <c r="O350" s="73" t="str">
        <f aca="false">IF(AND(N350="Sí",ISNUMBER(F350)),COUNTIFS(C_ID,B350,C_DEFINE,"Sí",C_INICIO,"&lt;"&amp;F350)+COUNTIFS(B$7:B350,B350,N$7:N350,"Sí",F$7:F350,F350),"")</f>
        <v/>
      </c>
      <c r="P350" s="72" t="str">
        <f aca="false">IF(O350="","",B350&amp;"-P"&amp;O350)</f>
        <v/>
      </c>
      <c r="Q350" s="73" t="str">
        <f aca="false">IF(AND(N350="Sí",E350="Plazo fijo",ISNUMBER(F350)),COUNTIFS(C_ID,B350,C_TIPO,"Plazo fijo",C_DEFINE,"Sí",C_INICIO,"&lt;"&amp;F350)+COUNTIFS(B$7:B350,B350,E$7:E350,"Plazo fijo",N$7:N350,"Sí",F$7:F350,F350),"")</f>
        <v/>
      </c>
      <c r="R350" s="73" t="str">
        <f aca="false">IF(AND(B350&lt;&gt;"",ISNUMBER(H350),ISNUMBER(F350)),COUNTIFS(C_ID,B350,C_SUELDO,"&lt;&gt;",C_INICIO,"&lt;"&amp;F350)+COUNTIFS(B$7:B350,B350,H$7:H350,"&lt;&gt;",F$7:F350,F350),"")</f>
        <v/>
      </c>
      <c r="S350" s="72" t="str">
        <f aca="false">IF(R350="","",B350&amp;"-S"&amp;R350)</f>
        <v/>
      </c>
      <c r="T350" s="74" t="str">
        <f aca="false">IF(AND(ISNUMBER(F350),ISNUMBER(G350)),ROUND((G350-F350+1)/30.4375,1),"")</f>
        <v/>
      </c>
      <c r="U350" s="70" t="str">
        <f aca="false">IF(B350="","",IF(AND(N350="Sí",OR(E350="",NOT(ISNUMBER(F350)))),"⚠ Falta tipo de contrato o fecha de inicio",IF(NOT(ISNUMBER(F350)),"⚠ Falta fecha de inicio",IF(AND(N350="Sí",E350&lt;&gt;"Indefinido",NOT(ISNUMBER(G350))),"⚠ Falta fecha de término",IF(AND(D350="Paso a indefinido",E350&lt;&gt;"Indefinido"),"⚠ Un paso a indefinido debe tener tipo Indefinido",IF(N(Q350)&gt;=3,"⚠ 3er contrato a plazo fijo: por ley ya es INDEFINIDO (Art. 159 N°4)",IF(AND(E350="Plazo fijo",N(T350)&gt;12),"⚠ Plazo fijo mayor a 1 año (máx. legal; 2 años solo profesionales o técnicos)",IF(AND(ISNUMBER(G350),G350&lt;F350),"⚠ Término anterior al inicio",IF(AND(D350="Contrato inicial",ISNUMBER(J350),J350-F350&gt;15),"⚠ Escriturado fuera de plazo (Art. 9: 15 días)",IF(K350&lt;&gt;"Sí","Pendiente de firma","OK"))))))))))</f>
        <v/>
      </c>
    </row>
    <row r="351" customFormat="false" ht="15" hidden="false" customHeight="false" outlineLevel="0" collapsed="false">
      <c r="B351" s="64"/>
      <c r="C351" s="72" t="str">
        <f aca="false">IF(B351="","",IFERROR(INDEX(T_NOMBRE,MATCH(B351,T_ID,0)),"⚠ ID no existe en Trabajadores"))</f>
        <v/>
      </c>
      <c r="D351" s="64"/>
      <c r="E351" s="64"/>
      <c r="F351" s="65"/>
      <c r="G351" s="65"/>
      <c r="H351" s="67"/>
      <c r="I351" s="64"/>
      <c r="J351" s="65"/>
      <c r="K351" s="64"/>
      <c r="L351" s="64"/>
      <c r="M351" s="64"/>
      <c r="N351" s="72" t="str">
        <f aca="false">IF(B351="","",IF(D351="Anexo de modificación","No","Sí"))</f>
        <v/>
      </c>
      <c r="O351" s="73" t="str">
        <f aca="false">IF(AND(N351="Sí",ISNUMBER(F351)),COUNTIFS(C_ID,B351,C_DEFINE,"Sí",C_INICIO,"&lt;"&amp;F351)+COUNTIFS(B$7:B351,B351,N$7:N351,"Sí",F$7:F351,F351),"")</f>
        <v/>
      </c>
      <c r="P351" s="72" t="str">
        <f aca="false">IF(O351="","",B351&amp;"-P"&amp;O351)</f>
        <v/>
      </c>
      <c r="Q351" s="73" t="str">
        <f aca="false">IF(AND(N351="Sí",E351="Plazo fijo",ISNUMBER(F351)),COUNTIFS(C_ID,B351,C_TIPO,"Plazo fijo",C_DEFINE,"Sí",C_INICIO,"&lt;"&amp;F351)+COUNTIFS(B$7:B351,B351,E$7:E351,"Plazo fijo",N$7:N351,"Sí",F$7:F351,F351),"")</f>
        <v/>
      </c>
      <c r="R351" s="73" t="str">
        <f aca="false">IF(AND(B351&lt;&gt;"",ISNUMBER(H351),ISNUMBER(F351)),COUNTIFS(C_ID,B351,C_SUELDO,"&lt;&gt;",C_INICIO,"&lt;"&amp;F351)+COUNTIFS(B$7:B351,B351,H$7:H351,"&lt;&gt;",F$7:F351,F351),"")</f>
        <v/>
      </c>
      <c r="S351" s="72" t="str">
        <f aca="false">IF(R351="","",B351&amp;"-S"&amp;R351)</f>
        <v/>
      </c>
      <c r="T351" s="74" t="str">
        <f aca="false">IF(AND(ISNUMBER(F351),ISNUMBER(G351)),ROUND((G351-F351+1)/30.4375,1),"")</f>
        <v/>
      </c>
      <c r="U351" s="70" t="str">
        <f aca="false">IF(B351="","",IF(AND(N351="Sí",OR(E351="",NOT(ISNUMBER(F351)))),"⚠ Falta tipo de contrato o fecha de inicio",IF(NOT(ISNUMBER(F351)),"⚠ Falta fecha de inicio",IF(AND(N351="Sí",E351&lt;&gt;"Indefinido",NOT(ISNUMBER(G351))),"⚠ Falta fecha de término",IF(AND(D351="Paso a indefinido",E351&lt;&gt;"Indefinido"),"⚠ Un paso a indefinido debe tener tipo Indefinido",IF(N(Q351)&gt;=3,"⚠ 3er contrato a plazo fijo: por ley ya es INDEFINIDO (Art. 159 N°4)",IF(AND(E351="Plazo fijo",N(T351)&gt;12),"⚠ Plazo fijo mayor a 1 año (máx. legal; 2 años solo profesionales o técnicos)",IF(AND(ISNUMBER(G351),G351&lt;F351),"⚠ Término anterior al inicio",IF(AND(D351="Contrato inicial",ISNUMBER(J351),J351-F351&gt;15),"⚠ Escriturado fuera de plazo (Art. 9: 15 días)",IF(K351&lt;&gt;"Sí","Pendiente de firma","OK"))))))))))</f>
        <v/>
      </c>
    </row>
    <row r="352" customFormat="false" ht="15" hidden="false" customHeight="false" outlineLevel="0" collapsed="false">
      <c r="B352" s="64"/>
      <c r="C352" s="72" t="str">
        <f aca="false">IF(B352="","",IFERROR(INDEX(T_NOMBRE,MATCH(B352,T_ID,0)),"⚠ ID no existe en Trabajadores"))</f>
        <v/>
      </c>
      <c r="D352" s="64"/>
      <c r="E352" s="64"/>
      <c r="F352" s="65"/>
      <c r="G352" s="65"/>
      <c r="H352" s="67"/>
      <c r="I352" s="64"/>
      <c r="J352" s="65"/>
      <c r="K352" s="64"/>
      <c r="L352" s="64"/>
      <c r="M352" s="64"/>
      <c r="N352" s="72" t="str">
        <f aca="false">IF(B352="","",IF(D352="Anexo de modificación","No","Sí"))</f>
        <v/>
      </c>
      <c r="O352" s="73" t="str">
        <f aca="false">IF(AND(N352="Sí",ISNUMBER(F352)),COUNTIFS(C_ID,B352,C_DEFINE,"Sí",C_INICIO,"&lt;"&amp;F352)+COUNTIFS(B$7:B352,B352,N$7:N352,"Sí",F$7:F352,F352),"")</f>
        <v/>
      </c>
      <c r="P352" s="72" t="str">
        <f aca="false">IF(O352="","",B352&amp;"-P"&amp;O352)</f>
        <v/>
      </c>
      <c r="Q352" s="73" t="str">
        <f aca="false">IF(AND(N352="Sí",E352="Plazo fijo",ISNUMBER(F352)),COUNTIFS(C_ID,B352,C_TIPO,"Plazo fijo",C_DEFINE,"Sí",C_INICIO,"&lt;"&amp;F352)+COUNTIFS(B$7:B352,B352,E$7:E352,"Plazo fijo",N$7:N352,"Sí",F$7:F352,F352),"")</f>
        <v/>
      </c>
      <c r="R352" s="73" t="str">
        <f aca="false">IF(AND(B352&lt;&gt;"",ISNUMBER(H352),ISNUMBER(F352)),COUNTIFS(C_ID,B352,C_SUELDO,"&lt;&gt;",C_INICIO,"&lt;"&amp;F352)+COUNTIFS(B$7:B352,B352,H$7:H352,"&lt;&gt;",F$7:F352,F352),"")</f>
        <v/>
      </c>
      <c r="S352" s="72" t="str">
        <f aca="false">IF(R352="","",B352&amp;"-S"&amp;R352)</f>
        <v/>
      </c>
      <c r="T352" s="74" t="str">
        <f aca="false">IF(AND(ISNUMBER(F352),ISNUMBER(G352)),ROUND((G352-F352+1)/30.4375,1),"")</f>
        <v/>
      </c>
      <c r="U352" s="70" t="str">
        <f aca="false">IF(B352="","",IF(AND(N352="Sí",OR(E352="",NOT(ISNUMBER(F352)))),"⚠ Falta tipo de contrato o fecha de inicio",IF(NOT(ISNUMBER(F352)),"⚠ Falta fecha de inicio",IF(AND(N352="Sí",E352&lt;&gt;"Indefinido",NOT(ISNUMBER(G352))),"⚠ Falta fecha de término",IF(AND(D352="Paso a indefinido",E352&lt;&gt;"Indefinido"),"⚠ Un paso a indefinido debe tener tipo Indefinido",IF(N(Q352)&gt;=3,"⚠ 3er contrato a plazo fijo: por ley ya es INDEFINIDO (Art. 159 N°4)",IF(AND(E352="Plazo fijo",N(T352)&gt;12),"⚠ Plazo fijo mayor a 1 año (máx. legal; 2 años solo profesionales o técnicos)",IF(AND(ISNUMBER(G352),G352&lt;F352),"⚠ Término anterior al inicio",IF(AND(D352="Contrato inicial",ISNUMBER(J352),J352-F352&gt;15),"⚠ Escriturado fuera de plazo (Art. 9: 15 días)",IF(K352&lt;&gt;"Sí","Pendiente de firma","OK"))))))))))</f>
        <v/>
      </c>
    </row>
    <row r="353" customFormat="false" ht="15" hidden="false" customHeight="false" outlineLevel="0" collapsed="false">
      <c r="B353" s="64"/>
      <c r="C353" s="72" t="str">
        <f aca="false">IF(B353="","",IFERROR(INDEX(T_NOMBRE,MATCH(B353,T_ID,0)),"⚠ ID no existe en Trabajadores"))</f>
        <v/>
      </c>
      <c r="D353" s="64"/>
      <c r="E353" s="64"/>
      <c r="F353" s="65"/>
      <c r="G353" s="65"/>
      <c r="H353" s="67"/>
      <c r="I353" s="64"/>
      <c r="J353" s="65"/>
      <c r="K353" s="64"/>
      <c r="L353" s="64"/>
      <c r="M353" s="64"/>
      <c r="N353" s="72" t="str">
        <f aca="false">IF(B353="","",IF(D353="Anexo de modificación","No","Sí"))</f>
        <v/>
      </c>
      <c r="O353" s="73" t="str">
        <f aca="false">IF(AND(N353="Sí",ISNUMBER(F353)),COUNTIFS(C_ID,B353,C_DEFINE,"Sí",C_INICIO,"&lt;"&amp;F353)+COUNTIFS(B$7:B353,B353,N$7:N353,"Sí",F$7:F353,F353),"")</f>
        <v/>
      </c>
      <c r="P353" s="72" t="str">
        <f aca="false">IF(O353="","",B353&amp;"-P"&amp;O353)</f>
        <v/>
      </c>
      <c r="Q353" s="73" t="str">
        <f aca="false">IF(AND(N353="Sí",E353="Plazo fijo",ISNUMBER(F353)),COUNTIFS(C_ID,B353,C_TIPO,"Plazo fijo",C_DEFINE,"Sí",C_INICIO,"&lt;"&amp;F353)+COUNTIFS(B$7:B353,B353,E$7:E353,"Plazo fijo",N$7:N353,"Sí",F$7:F353,F353),"")</f>
        <v/>
      </c>
      <c r="R353" s="73" t="str">
        <f aca="false">IF(AND(B353&lt;&gt;"",ISNUMBER(H353),ISNUMBER(F353)),COUNTIFS(C_ID,B353,C_SUELDO,"&lt;&gt;",C_INICIO,"&lt;"&amp;F353)+COUNTIFS(B$7:B353,B353,H$7:H353,"&lt;&gt;",F$7:F353,F353),"")</f>
        <v/>
      </c>
      <c r="S353" s="72" t="str">
        <f aca="false">IF(R353="","",B353&amp;"-S"&amp;R353)</f>
        <v/>
      </c>
      <c r="T353" s="74" t="str">
        <f aca="false">IF(AND(ISNUMBER(F353),ISNUMBER(G353)),ROUND((G353-F353+1)/30.4375,1),"")</f>
        <v/>
      </c>
      <c r="U353" s="70" t="str">
        <f aca="false">IF(B353="","",IF(AND(N353="Sí",OR(E353="",NOT(ISNUMBER(F353)))),"⚠ Falta tipo de contrato o fecha de inicio",IF(NOT(ISNUMBER(F353)),"⚠ Falta fecha de inicio",IF(AND(N353="Sí",E353&lt;&gt;"Indefinido",NOT(ISNUMBER(G353))),"⚠ Falta fecha de término",IF(AND(D353="Paso a indefinido",E353&lt;&gt;"Indefinido"),"⚠ Un paso a indefinido debe tener tipo Indefinido",IF(N(Q353)&gt;=3,"⚠ 3er contrato a plazo fijo: por ley ya es INDEFINIDO (Art. 159 N°4)",IF(AND(E353="Plazo fijo",N(T353)&gt;12),"⚠ Plazo fijo mayor a 1 año (máx. legal; 2 años solo profesionales o técnicos)",IF(AND(ISNUMBER(G353),G353&lt;F353),"⚠ Término anterior al inicio",IF(AND(D353="Contrato inicial",ISNUMBER(J353),J353-F353&gt;15),"⚠ Escriturado fuera de plazo (Art. 9: 15 días)",IF(K353&lt;&gt;"Sí","Pendiente de firma","OK"))))))))))</f>
        <v/>
      </c>
    </row>
    <row r="354" customFormat="false" ht="15" hidden="false" customHeight="false" outlineLevel="0" collapsed="false">
      <c r="B354" s="64"/>
      <c r="C354" s="72" t="str">
        <f aca="false">IF(B354="","",IFERROR(INDEX(T_NOMBRE,MATCH(B354,T_ID,0)),"⚠ ID no existe en Trabajadores"))</f>
        <v/>
      </c>
      <c r="D354" s="64"/>
      <c r="E354" s="64"/>
      <c r="F354" s="65"/>
      <c r="G354" s="65"/>
      <c r="H354" s="67"/>
      <c r="I354" s="64"/>
      <c r="J354" s="65"/>
      <c r="K354" s="64"/>
      <c r="L354" s="64"/>
      <c r="M354" s="64"/>
      <c r="N354" s="72" t="str">
        <f aca="false">IF(B354="","",IF(D354="Anexo de modificación","No","Sí"))</f>
        <v/>
      </c>
      <c r="O354" s="73" t="str">
        <f aca="false">IF(AND(N354="Sí",ISNUMBER(F354)),COUNTIFS(C_ID,B354,C_DEFINE,"Sí",C_INICIO,"&lt;"&amp;F354)+COUNTIFS(B$7:B354,B354,N$7:N354,"Sí",F$7:F354,F354),"")</f>
        <v/>
      </c>
      <c r="P354" s="72" t="str">
        <f aca="false">IF(O354="","",B354&amp;"-P"&amp;O354)</f>
        <v/>
      </c>
      <c r="Q354" s="73" t="str">
        <f aca="false">IF(AND(N354="Sí",E354="Plazo fijo",ISNUMBER(F354)),COUNTIFS(C_ID,B354,C_TIPO,"Plazo fijo",C_DEFINE,"Sí",C_INICIO,"&lt;"&amp;F354)+COUNTIFS(B$7:B354,B354,E$7:E354,"Plazo fijo",N$7:N354,"Sí",F$7:F354,F354),"")</f>
        <v/>
      </c>
      <c r="R354" s="73" t="str">
        <f aca="false">IF(AND(B354&lt;&gt;"",ISNUMBER(H354),ISNUMBER(F354)),COUNTIFS(C_ID,B354,C_SUELDO,"&lt;&gt;",C_INICIO,"&lt;"&amp;F354)+COUNTIFS(B$7:B354,B354,H$7:H354,"&lt;&gt;",F$7:F354,F354),"")</f>
        <v/>
      </c>
      <c r="S354" s="72" t="str">
        <f aca="false">IF(R354="","",B354&amp;"-S"&amp;R354)</f>
        <v/>
      </c>
      <c r="T354" s="74" t="str">
        <f aca="false">IF(AND(ISNUMBER(F354),ISNUMBER(G354)),ROUND((G354-F354+1)/30.4375,1),"")</f>
        <v/>
      </c>
      <c r="U354" s="70" t="str">
        <f aca="false">IF(B354="","",IF(AND(N354="Sí",OR(E354="",NOT(ISNUMBER(F354)))),"⚠ Falta tipo de contrato o fecha de inicio",IF(NOT(ISNUMBER(F354)),"⚠ Falta fecha de inicio",IF(AND(N354="Sí",E354&lt;&gt;"Indefinido",NOT(ISNUMBER(G354))),"⚠ Falta fecha de término",IF(AND(D354="Paso a indefinido",E354&lt;&gt;"Indefinido"),"⚠ Un paso a indefinido debe tener tipo Indefinido",IF(N(Q354)&gt;=3,"⚠ 3er contrato a plazo fijo: por ley ya es INDEFINIDO (Art. 159 N°4)",IF(AND(E354="Plazo fijo",N(T354)&gt;12),"⚠ Plazo fijo mayor a 1 año (máx. legal; 2 años solo profesionales o técnicos)",IF(AND(ISNUMBER(G354),G354&lt;F354),"⚠ Término anterior al inicio",IF(AND(D354="Contrato inicial",ISNUMBER(J354),J354-F354&gt;15),"⚠ Escriturado fuera de plazo (Art. 9: 15 días)",IF(K354&lt;&gt;"Sí","Pendiente de firma","OK"))))))))))</f>
        <v/>
      </c>
    </row>
    <row r="355" customFormat="false" ht="15" hidden="false" customHeight="false" outlineLevel="0" collapsed="false">
      <c r="B355" s="64"/>
      <c r="C355" s="72" t="str">
        <f aca="false">IF(B355="","",IFERROR(INDEX(T_NOMBRE,MATCH(B355,T_ID,0)),"⚠ ID no existe en Trabajadores"))</f>
        <v/>
      </c>
      <c r="D355" s="64"/>
      <c r="E355" s="64"/>
      <c r="F355" s="65"/>
      <c r="G355" s="65"/>
      <c r="H355" s="67"/>
      <c r="I355" s="64"/>
      <c r="J355" s="65"/>
      <c r="K355" s="64"/>
      <c r="L355" s="64"/>
      <c r="M355" s="64"/>
      <c r="N355" s="72" t="str">
        <f aca="false">IF(B355="","",IF(D355="Anexo de modificación","No","Sí"))</f>
        <v/>
      </c>
      <c r="O355" s="73" t="str">
        <f aca="false">IF(AND(N355="Sí",ISNUMBER(F355)),COUNTIFS(C_ID,B355,C_DEFINE,"Sí",C_INICIO,"&lt;"&amp;F355)+COUNTIFS(B$7:B355,B355,N$7:N355,"Sí",F$7:F355,F355),"")</f>
        <v/>
      </c>
      <c r="P355" s="72" t="str">
        <f aca="false">IF(O355="","",B355&amp;"-P"&amp;O355)</f>
        <v/>
      </c>
      <c r="Q355" s="73" t="str">
        <f aca="false">IF(AND(N355="Sí",E355="Plazo fijo",ISNUMBER(F355)),COUNTIFS(C_ID,B355,C_TIPO,"Plazo fijo",C_DEFINE,"Sí",C_INICIO,"&lt;"&amp;F355)+COUNTIFS(B$7:B355,B355,E$7:E355,"Plazo fijo",N$7:N355,"Sí",F$7:F355,F355),"")</f>
        <v/>
      </c>
      <c r="R355" s="73" t="str">
        <f aca="false">IF(AND(B355&lt;&gt;"",ISNUMBER(H355),ISNUMBER(F355)),COUNTIFS(C_ID,B355,C_SUELDO,"&lt;&gt;",C_INICIO,"&lt;"&amp;F355)+COUNTIFS(B$7:B355,B355,H$7:H355,"&lt;&gt;",F$7:F355,F355),"")</f>
        <v/>
      </c>
      <c r="S355" s="72" t="str">
        <f aca="false">IF(R355="","",B355&amp;"-S"&amp;R355)</f>
        <v/>
      </c>
      <c r="T355" s="74" t="str">
        <f aca="false">IF(AND(ISNUMBER(F355),ISNUMBER(G355)),ROUND((G355-F355+1)/30.4375,1),"")</f>
        <v/>
      </c>
      <c r="U355" s="70" t="str">
        <f aca="false">IF(B355="","",IF(AND(N355="Sí",OR(E355="",NOT(ISNUMBER(F355)))),"⚠ Falta tipo de contrato o fecha de inicio",IF(NOT(ISNUMBER(F355)),"⚠ Falta fecha de inicio",IF(AND(N355="Sí",E355&lt;&gt;"Indefinido",NOT(ISNUMBER(G355))),"⚠ Falta fecha de término",IF(AND(D355="Paso a indefinido",E355&lt;&gt;"Indefinido"),"⚠ Un paso a indefinido debe tener tipo Indefinido",IF(N(Q355)&gt;=3,"⚠ 3er contrato a plazo fijo: por ley ya es INDEFINIDO (Art. 159 N°4)",IF(AND(E355="Plazo fijo",N(T355)&gt;12),"⚠ Plazo fijo mayor a 1 año (máx. legal; 2 años solo profesionales o técnicos)",IF(AND(ISNUMBER(G355),G355&lt;F355),"⚠ Término anterior al inicio",IF(AND(D355="Contrato inicial",ISNUMBER(J355),J355-F355&gt;15),"⚠ Escriturado fuera de plazo (Art. 9: 15 días)",IF(K355&lt;&gt;"Sí","Pendiente de firma","OK"))))))))))</f>
        <v/>
      </c>
    </row>
    <row r="356" customFormat="false" ht="15" hidden="false" customHeight="false" outlineLevel="0" collapsed="false">
      <c r="B356" s="64"/>
      <c r="C356" s="72" t="str">
        <f aca="false">IF(B356="","",IFERROR(INDEX(T_NOMBRE,MATCH(B356,T_ID,0)),"⚠ ID no existe en Trabajadores"))</f>
        <v/>
      </c>
      <c r="D356" s="64"/>
      <c r="E356" s="64"/>
      <c r="F356" s="65"/>
      <c r="G356" s="65"/>
      <c r="H356" s="67"/>
      <c r="I356" s="64"/>
      <c r="J356" s="65"/>
      <c r="K356" s="64"/>
      <c r="L356" s="64"/>
      <c r="M356" s="64"/>
      <c r="N356" s="72" t="str">
        <f aca="false">IF(B356="","",IF(D356="Anexo de modificación","No","Sí"))</f>
        <v/>
      </c>
      <c r="O356" s="73" t="str">
        <f aca="false">IF(AND(N356="Sí",ISNUMBER(F356)),COUNTIFS(C_ID,B356,C_DEFINE,"Sí",C_INICIO,"&lt;"&amp;F356)+COUNTIFS(B$7:B356,B356,N$7:N356,"Sí",F$7:F356,F356),"")</f>
        <v/>
      </c>
      <c r="P356" s="72" t="str">
        <f aca="false">IF(O356="","",B356&amp;"-P"&amp;O356)</f>
        <v/>
      </c>
      <c r="Q356" s="73" t="str">
        <f aca="false">IF(AND(N356="Sí",E356="Plazo fijo",ISNUMBER(F356)),COUNTIFS(C_ID,B356,C_TIPO,"Plazo fijo",C_DEFINE,"Sí",C_INICIO,"&lt;"&amp;F356)+COUNTIFS(B$7:B356,B356,E$7:E356,"Plazo fijo",N$7:N356,"Sí",F$7:F356,F356),"")</f>
        <v/>
      </c>
      <c r="R356" s="73" t="str">
        <f aca="false">IF(AND(B356&lt;&gt;"",ISNUMBER(H356),ISNUMBER(F356)),COUNTIFS(C_ID,B356,C_SUELDO,"&lt;&gt;",C_INICIO,"&lt;"&amp;F356)+COUNTIFS(B$7:B356,B356,H$7:H356,"&lt;&gt;",F$7:F356,F356),"")</f>
        <v/>
      </c>
      <c r="S356" s="72" t="str">
        <f aca="false">IF(R356="","",B356&amp;"-S"&amp;R356)</f>
        <v/>
      </c>
      <c r="T356" s="74" t="str">
        <f aca="false">IF(AND(ISNUMBER(F356),ISNUMBER(G356)),ROUND((G356-F356+1)/30.4375,1),"")</f>
        <v/>
      </c>
      <c r="U356" s="70" t="str">
        <f aca="false">IF(B356="","",IF(AND(N356="Sí",OR(E356="",NOT(ISNUMBER(F356)))),"⚠ Falta tipo de contrato o fecha de inicio",IF(NOT(ISNUMBER(F356)),"⚠ Falta fecha de inicio",IF(AND(N356="Sí",E356&lt;&gt;"Indefinido",NOT(ISNUMBER(G356))),"⚠ Falta fecha de término",IF(AND(D356="Paso a indefinido",E356&lt;&gt;"Indefinido"),"⚠ Un paso a indefinido debe tener tipo Indefinido",IF(N(Q356)&gt;=3,"⚠ 3er contrato a plazo fijo: por ley ya es INDEFINIDO (Art. 159 N°4)",IF(AND(E356="Plazo fijo",N(T356)&gt;12),"⚠ Plazo fijo mayor a 1 año (máx. legal; 2 años solo profesionales o técnicos)",IF(AND(ISNUMBER(G356),G356&lt;F356),"⚠ Término anterior al inicio",IF(AND(D356="Contrato inicial",ISNUMBER(J356),J356-F356&gt;15),"⚠ Escriturado fuera de plazo (Art. 9: 15 días)",IF(K356&lt;&gt;"Sí","Pendiente de firma","OK"))))))))))</f>
        <v/>
      </c>
    </row>
    <row r="357" customFormat="false" ht="15" hidden="false" customHeight="false" outlineLevel="0" collapsed="false">
      <c r="B357" s="64"/>
      <c r="C357" s="72" t="str">
        <f aca="false">IF(B357="","",IFERROR(INDEX(T_NOMBRE,MATCH(B357,T_ID,0)),"⚠ ID no existe en Trabajadores"))</f>
        <v/>
      </c>
      <c r="D357" s="64"/>
      <c r="E357" s="64"/>
      <c r="F357" s="65"/>
      <c r="G357" s="65"/>
      <c r="H357" s="67"/>
      <c r="I357" s="64"/>
      <c r="J357" s="65"/>
      <c r="K357" s="64"/>
      <c r="L357" s="64"/>
      <c r="M357" s="64"/>
      <c r="N357" s="72" t="str">
        <f aca="false">IF(B357="","",IF(D357="Anexo de modificación","No","Sí"))</f>
        <v/>
      </c>
      <c r="O357" s="73" t="str">
        <f aca="false">IF(AND(N357="Sí",ISNUMBER(F357)),COUNTIFS(C_ID,B357,C_DEFINE,"Sí",C_INICIO,"&lt;"&amp;F357)+COUNTIFS(B$7:B357,B357,N$7:N357,"Sí",F$7:F357,F357),"")</f>
        <v/>
      </c>
      <c r="P357" s="72" t="str">
        <f aca="false">IF(O357="","",B357&amp;"-P"&amp;O357)</f>
        <v/>
      </c>
      <c r="Q357" s="73" t="str">
        <f aca="false">IF(AND(N357="Sí",E357="Plazo fijo",ISNUMBER(F357)),COUNTIFS(C_ID,B357,C_TIPO,"Plazo fijo",C_DEFINE,"Sí",C_INICIO,"&lt;"&amp;F357)+COUNTIFS(B$7:B357,B357,E$7:E357,"Plazo fijo",N$7:N357,"Sí",F$7:F357,F357),"")</f>
        <v/>
      </c>
      <c r="R357" s="73" t="str">
        <f aca="false">IF(AND(B357&lt;&gt;"",ISNUMBER(H357),ISNUMBER(F357)),COUNTIFS(C_ID,B357,C_SUELDO,"&lt;&gt;",C_INICIO,"&lt;"&amp;F357)+COUNTIFS(B$7:B357,B357,H$7:H357,"&lt;&gt;",F$7:F357,F357),"")</f>
        <v/>
      </c>
      <c r="S357" s="72" t="str">
        <f aca="false">IF(R357="","",B357&amp;"-S"&amp;R357)</f>
        <v/>
      </c>
      <c r="T357" s="74" t="str">
        <f aca="false">IF(AND(ISNUMBER(F357),ISNUMBER(G357)),ROUND((G357-F357+1)/30.4375,1),"")</f>
        <v/>
      </c>
      <c r="U357" s="70" t="str">
        <f aca="false">IF(B357="","",IF(AND(N357="Sí",OR(E357="",NOT(ISNUMBER(F357)))),"⚠ Falta tipo de contrato o fecha de inicio",IF(NOT(ISNUMBER(F357)),"⚠ Falta fecha de inicio",IF(AND(N357="Sí",E357&lt;&gt;"Indefinido",NOT(ISNUMBER(G357))),"⚠ Falta fecha de término",IF(AND(D357="Paso a indefinido",E357&lt;&gt;"Indefinido"),"⚠ Un paso a indefinido debe tener tipo Indefinido",IF(N(Q357)&gt;=3,"⚠ 3er contrato a plazo fijo: por ley ya es INDEFINIDO (Art. 159 N°4)",IF(AND(E357="Plazo fijo",N(T357)&gt;12),"⚠ Plazo fijo mayor a 1 año (máx. legal; 2 años solo profesionales o técnicos)",IF(AND(ISNUMBER(G357),G357&lt;F357),"⚠ Término anterior al inicio",IF(AND(D357="Contrato inicial",ISNUMBER(J357),J357-F357&gt;15),"⚠ Escriturado fuera de plazo (Art. 9: 15 días)",IF(K357&lt;&gt;"Sí","Pendiente de firma","OK"))))))))))</f>
        <v/>
      </c>
    </row>
    <row r="358" customFormat="false" ht="15" hidden="false" customHeight="false" outlineLevel="0" collapsed="false">
      <c r="B358" s="64"/>
      <c r="C358" s="72" t="str">
        <f aca="false">IF(B358="","",IFERROR(INDEX(T_NOMBRE,MATCH(B358,T_ID,0)),"⚠ ID no existe en Trabajadores"))</f>
        <v/>
      </c>
      <c r="D358" s="64"/>
      <c r="E358" s="64"/>
      <c r="F358" s="65"/>
      <c r="G358" s="65"/>
      <c r="H358" s="67"/>
      <c r="I358" s="64"/>
      <c r="J358" s="65"/>
      <c r="K358" s="64"/>
      <c r="L358" s="64"/>
      <c r="M358" s="64"/>
      <c r="N358" s="72" t="str">
        <f aca="false">IF(B358="","",IF(D358="Anexo de modificación","No","Sí"))</f>
        <v/>
      </c>
      <c r="O358" s="73" t="str">
        <f aca="false">IF(AND(N358="Sí",ISNUMBER(F358)),COUNTIFS(C_ID,B358,C_DEFINE,"Sí",C_INICIO,"&lt;"&amp;F358)+COUNTIFS(B$7:B358,B358,N$7:N358,"Sí",F$7:F358,F358),"")</f>
        <v/>
      </c>
      <c r="P358" s="72" t="str">
        <f aca="false">IF(O358="","",B358&amp;"-P"&amp;O358)</f>
        <v/>
      </c>
      <c r="Q358" s="73" t="str">
        <f aca="false">IF(AND(N358="Sí",E358="Plazo fijo",ISNUMBER(F358)),COUNTIFS(C_ID,B358,C_TIPO,"Plazo fijo",C_DEFINE,"Sí",C_INICIO,"&lt;"&amp;F358)+COUNTIFS(B$7:B358,B358,E$7:E358,"Plazo fijo",N$7:N358,"Sí",F$7:F358,F358),"")</f>
        <v/>
      </c>
      <c r="R358" s="73" t="str">
        <f aca="false">IF(AND(B358&lt;&gt;"",ISNUMBER(H358),ISNUMBER(F358)),COUNTIFS(C_ID,B358,C_SUELDO,"&lt;&gt;",C_INICIO,"&lt;"&amp;F358)+COUNTIFS(B$7:B358,B358,H$7:H358,"&lt;&gt;",F$7:F358,F358),"")</f>
        <v/>
      </c>
      <c r="S358" s="72" t="str">
        <f aca="false">IF(R358="","",B358&amp;"-S"&amp;R358)</f>
        <v/>
      </c>
      <c r="T358" s="74" t="str">
        <f aca="false">IF(AND(ISNUMBER(F358),ISNUMBER(G358)),ROUND((G358-F358+1)/30.4375,1),"")</f>
        <v/>
      </c>
      <c r="U358" s="70" t="str">
        <f aca="false">IF(B358="","",IF(AND(N358="Sí",OR(E358="",NOT(ISNUMBER(F358)))),"⚠ Falta tipo de contrato o fecha de inicio",IF(NOT(ISNUMBER(F358)),"⚠ Falta fecha de inicio",IF(AND(N358="Sí",E358&lt;&gt;"Indefinido",NOT(ISNUMBER(G358))),"⚠ Falta fecha de término",IF(AND(D358="Paso a indefinido",E358&lt;&gt;"Indefinido"),"⚠ Un paso a indefinido debe tener tipo Indefinido",IF(N(Q358)&gt;=3,"⚠ 3er contrato a plazo fijo: por ley ya es INDEFINIDO (Art. 159 N°4)",IF(AND(E358="Plazo fijo",N(T358)&gt;12),"⚠ Plazo fijo mayor a 1 año (máx. legal; 2 años solo profesionales o técnicos)",IF(AND(ISNUMBER(G358),G358&lt;F358),"⚠ Término anterior al inicio",IF(AND(D358="Contrato inicial",ISNUMBER(J358),J358-F358&gt;15),"⚠ Escriturado fuera de plazo (Art. 9: 15 días)",IF(K358&lt;&gt;"Sí","Pendiente de firma","OK"))))))))))</f>
        <v/>
      </c>
    </row>
    <row r="359" customFormat="false" ht="15" hidden="false" customHeight="false" outlineLevel="0" collapsed="false">
      <c r="B359" s="64"/>
      <c r="C359" s="72" t="str">
        <f aca="false">IF(B359="","",IFERROR(INDEX(T_NOMBRE,MATCH(B359,T_ID,0)),"⚠ ID no existe en Trabajadores"))</f>
        <v/>
      </c>
      <c r="D359" s="64"/>
      <c r="E359" s="64"/>
      <c r="F359" s="65"/>
      <c r="G359" s="65"/>
      <c r="H359" s="67"/>
      <c r="I359" s="64"/>
      <c r="J359" s="65"/>
      <c r="K359" s="64"/>
      <c r="L359" s="64"/>
      <c r="M359" s="64"/>
      <c r="N359" s="72" t="str">
        <f aca="false">IF(B359="","",IF(D359="Anexo de modificación","No","Sí"))</f>
        <v/>
      </c>
      <c r="O359" s="73" t="str">
        <f aca="false">IF(AND(N359="Sí",ISNUMBER(F359)),COUNTIFS(C_ID,B359,C_DEFINE,"Sí",C_INICIO,"&lt;"&amp;F359)+COUNTIFS(B$7:B359,B359,N$7:N359,"Sí",F$7:F359,F359),"")</f>
        <v/>
      </c>
      <c r="P359" s="72" t="str">
        <f aca="false">IF(O359="","",B359&amp;"-P"&amp;O359)</f>
        <v/>
      </c>
      <c r="Q359" s="73" t="str">
        <f aca="false">IF(AND(N359="Sí",E359="Plazo fijo",ISNUMBER(F359)),COUNTIFS(C_ID,B359,C_TIPO,"Plazo fijo",C_DEFINE,"Sí",C_INICIO,"&lt;"&amp;F359)+COUNTIFS(B$7:B359,B359,E$7:E359,"Plazo fijo",N$7:N359,"Sí",F$7:F359,F359),"")</f>
        <v/>
      </c>
      <c r="R359" s="73" t="str">
        <f aca="false">IF(AND(B359&lt;&gt;"",ISNUMBER(H359),ISNUMBER(F359)),COUNTIFS(C_ID,B359,C_SUELDO,"&lt;&gt;",C_INICIO,"&lt;"&amp;F359)+COUNTIFS(B$7:B359,B359,H$7:H359,"&lt;&gt;",F$7:F359,F359),"")</f>
        <v/>
      </c>
      <c r="S359" s="72" t="str">
        <f aca="false">IF(R359="","",B359&amp;"-S"&amp;R359)</f>
        <v/>
      </c>
      <c r="T359" s="74" t="str">
        <f aca="false">IF(AND(ISNUMBER(F359),ISNUMBER(G359)),ROUND((G359-F359+1)/30.4375,1),"")</f>
        <v/>
      </c>
      <c r="U359" s="70" t="str">
        <f aca="false">IF(B359="","",IF(AND(N359="Sí",OR(E359="",NOT(ISNUMBER(F359)))),"⚠ Falta tipo de contrato o fecha de inicio",IF(NOT(ISNUMBER(F359)),"⚠ Falta fecha de inicio",IF(AND(N359="Sí",E359&lt;&gt;"Indefinido",NOT(ISNUMBER(G359))),"⚠ Falta fecha de término",IF(AND(D359="Paso a indefinido",E359&lt;&gt;"Indefinido"),"⚠ Un paso a indefinido debe tener tipo Indefinido",IF(N(Q359)&gt;=3,"⚠ 3er contrato a plazo fijo: por ley ya es INDEFINIDO (Art. 159 N°4)",IF(AND(E359="Plazo fijo",N(T359)&gt;12),"⚠ Plazo fijo mayor a 1 año (máx. legal; 2 años solo profesionales o técnicos)",IF(AND(ISNUMBER(G359),G359&lt;F359),"⚠ Término anterior al inicio",IF(AND(D359="Contrato inicial",ISNUMBER(J359),J359-F359&gt;15),"⚠ Escriturado fuera de plazo (Art. 9: 15 días)",IF(K359&lt;&gt;"Sí","Pendiente de firma","OK"))))))))))</f>
        <v/>
      </c>
    </row>
    <row r="360" customFormat="false" ht="15" hidden="false" customHeight="false" outlineLevel="0" collapsed="false">
      <c r="B360" s="64"/>
      <c r="C360" s="72" t="str">
        <f aca="false">IF(B360="","",IFERROR(INDEX(T_NOMBRE,MATCH(B360,T_ID,0)),"⚠ ID no existe en Trabajadores"))</f>
        <v/>
      </c>
      <c r="D360" s="64"/>
      <c r="E360" s="64"/>
      <c r="F360" s="65"/>
      <c r="G360" s="65"/>
      <c r="H360" s="67"/>
      <c r="I360" s="64"/>
      <c r="J360" s="65"/>
      <c r="K360" s="64"/>
      <c r="L360" s="64"/>
      <c r="M360" s="64"/>
      <c r="N360" s="72" t="str">
        <f aca="false">IF(B360="","",IF(D360="Anexo de modificación","No","Sí"))</f>
        <v/>
      </c>
      <c r="O360" s="73" t="str">
        <f aca="false">IF(AND(N360="Sí",ISNUMBER(F360)),COUNTIFS(C_ID,B360,C_DEFINE,"Sí",C_INICIO,"&lt;"&amp;F360)+COUNTIFS(B$7:B360,B360,N$7:N360,"Sí",F$7:F360,F360),"")</f>
        <v/>
      </c>
      <c r="P360" s="72" t="str">
        <f aca="false">IF(O360="","",B360&amp;"-P"&amp;O360)</f>
        <v/>
      </c>
      <c r="Q360" s="73" t="str">
        <f aca="false">IF(AND(N360="Sí",E360="Plazo fijo",ISNUMBER(F360)),COUNTIFS(C_ID,B360,C_TIPO,"Plazo fijo",C_DEFINE,"Sí",C_INICIO,"&lt;"&amp;F360)+COUNTIFS(B$7:B360,B360,E$7:E360,"Plazo fijo",N$7:N360,"Sí",F$7:F360,F360),"")</f>
        <v/>
      </c>
      <c r="R360" s="73" t="str">
        <f aca="false">IF(AND(B360&lt;&gt;"",ISNUMBER(H360),ISNUMBER(F360)),COUNTIFS(C_ID,B360,C_SUELDO,"&lt;&gt;",C_INICIO,"&lt;"&amp;F360)+COUNTIFS(B$7:B360,B360,H$7:H360,"&lt;&gt;",F$7:F360,F360),"")</f>
        <v/>
      </c>
      <c r="S360" s="72" t="str">
        <f aca="false">IF(R360="","",B360&amp;"-S"&amp;R360)</f>
        <v/>
      </c>
      <c r="T360" s="74" t="str">
        <f aca="false">IF(AND(ISNUMBER(F360),ISNUMBER(G360)),ROUND((G360-F360+1)/30.4375,1),"")</f>
        <v/>
      </c>
      <c r="U360" s="70" t="str">
        <f aca="false">IF(B360="","",IF(AND(N360="Sí",OR(E360="",NOT(ISNUMBER(F360)))),"⚠ Falta tipo de contrato o fecha de inicio",IF(NOT(ISNUMBER(F360)),"⚠ Falta fecha de inicio",IF(AND(N360="Sí",E360&lt;&gt;"Indefinido",NOT(ISNUMBER(G360))),"⚠ Falta fecha de término",IF(AND(D360="Paso a indefinido",E360&lt;&gt;"Indefinido"),"⚠ Un paso a indefinido debe tener tipo Indefinido",IF(N(Q360)&gt;=3,"⚠ 3er contrato a plazo fijo: por ley ya es INDEFINIDO (Art. 159 N°4)",IF(AND(E360="Plazo fijo",N(T360)&gt;12),"⚠ Plazo fijo mayor a 1 año (máx. legal; 2 años solo profesionales o técnicos)",IF(AND(ISNUMBER(G360),G360&lt;F360),"⚠ Término anterior al inicio",IF(AND(D360="Contrato inicial",ISNUMBER(J360),J360-F360&gt;15),"⚠ Escriturado fuera de plazo (Art. 9: 15 días)",IF(K360&lt;&gt;"Sí","Pendiente de firma","OK"))))))))))</f>
        <v/>
      </c>
    </row>
    <row r="361" customFormat="false" ht="15" hidden="false" customHeight="false" outlineLevel="0" collapsed="false">
      <c r="B361" s="64"/>
      <c r="C361" s="72" t="str">
        <f aca="false">IF(B361="","",IFERROR(INDEX(T_NOMBRE,MATCH(B361,T_ID,0)),"⚠ ID no existe en Trabajadores"))</f>
        <v/>
      </c>
      <c r="D361" s="64"/>
      <c r="E361" s="64"/>
      <c r="F361" s="65"/>
      <c r="G361" s="65"/>
      <c r="H361" s="67"/>
      <c r="I361" s="64"/>
      <c r="J361" s="65"/>
      <c r="K361" s="64"/>
      <c r="L361" s="64"/>
      <c r="M361" s="64"/>
      <c r="N361" s="72" t="str">
        <f aca="false">IF(B361="","",IF(D361="Anexo de modificación","No","Sí"))</f>
        <v/>
      </c>
      <c r="O361" s="73" t="str">
        <f aca="false">IF(AND(N361="Sí",ISNUMBER(F361)),COUNTIFS(C_ID,B361,C_DEFINE,"Sí",C_INICIO,"&lt;"&amp;F361)+COUNTIFS(B$7:B361,B361,N$7:N361,"Sí",F$7:F361,F361),"")</f>
        <v/>
      </c>
      <c r="P361" s="72" t="str">
        <f aca="false">IF(O361="","",B361&amp;"-P"&amp;O361)</f>
        <v/>
      </c>
      <c r="Q361" s="73" t="str">
        <f aca="false">IF(AND(N361="Sí",E361="Plazo fijo",ISNUMBER(F361)),COUNTIFS(C_ID,B361,C_TIPO,"Plazo fijo",C_DEFINE,"Sí",C_INICIO,"&lt;"&amp;F361)+COUNTIFS(B$7:B361,B361,E$7:E361,"Plazo fijo",N$7:N361,"Sí",F$7:F361,F361),"")</f>
        <v/>
      </c>
      <c r="R361" s="73" t="str">
        <f aca="false">IF(AND(B361&lt;&gt;"",ISNUMBER(H361),ISNUMBER(F361)),COUNTIFS(C_ID,B361,C_SUELDO,"&lt;&gt;",C_INICIO,"&lt;"&amp;F361)+COUNTIFS(B$7:B361,B361,H$7:H361,"&lt;&gt;",F$7:F361,F361),"")</f>
        <v/>
      </c>
      <c r="S361" s="72" t="str">
        <f aca="false">IF(R361="","",B361&amp;"-S"&amp;R361)</f>
        <v/>
      </c>
      <c r="T361" s="74" t="str">
        <f aca="false">IF(AND(ISNUMBER(F361),ISNUMBER(G361)),ROUND((G361-F361+1)/30.4375,1),"")</f>
        <v/>
      </c>
      <c r="U361" s="70" t="str">
        <f aca="false">IF(B361="","",IF(AND(N361="Sí",OR(E361="",NOT(ISNUMBER(F361)))),"⚠ Falta tipo de contrato o fecha de inicio",IF(NOT(ISNUMBER(F361)),"⚠ Falta fecha de inicio",IF(AND(N361="Sí",E361&lt;&gt;"Indefinido",NOT(ISNUMBER(G361))),"⚠ Falta fecha de término",IF(AND(D361="Paso a indefinido",E361&lt;&gt;"Indefinido"),"⚠ Un paso a indefinido debe tener tipo Indefinido",IF(N(Q361)&gt;=3,"⚠ 3er contrato a plazo fijo: por ley ya es INDEFINIDO (Art. 159 N°4)",IF(AND(E361="Plazo fijo",N(T361)&gt;12),"⚠ Plazo fijo mayor a 1 año (máx. legal; 2 años solo profesionales o técnicos)",IF(AND(ISNUMBER(G361),G361&lt;F361),"⚠ Término anterior al inicio",IF(AND(D361="Contrato inicial",ISNUMBER(J361),J361-F361&gt;15),"⚠ Escriturado fuera de plazo (Art. 9: 15 días)",IF(K361&lt;&gt;"Sí","Pendiente de firma","OK"))))))))))</f>
        <v/>
      </c>
    </row>
    <row r="362" customFormat="false" ht="15" hidden="false" customHeight="false" outlineLevel="0" collapsed="false">
      <c r="B362" s="64"/>
      <c r="C362" s="72" t="str">
        <f aca="false">IF(B362="","",IFERROR(INDEX(T_NOMBRE,MATCH(B362,T_ID,0)),"⚠ ID no existe en Trabajadores"))</f>
        <v/>
      </c>
      <c r="D362" s="64"/>
      <c r="E362" s="64"/>
      <c r="F362" s="65"/>
      <c r="G362" s="65"/>
      <c r="H362" s="67"/>
      <c r="I362" s="64"/>
      <c r="J362" s="65"/>
      <c r="K362" s="64"/>
      <c r="L362" s="64"/>
      <c r="M362" s="64"/>
      <c r="N362" s="72" t="str">
        <f aca="false">IF(B362="","",IF(D362="Anexo de modificación","No","Sí"))</f>
        <v/>
      </c>
      <c r="O362" s="73" t="str">
        <f aca="false">IF(AND(N362="Sí",ISNUMBER(F362)),COUNTIFS(C_ID,B362,C_DEFINE,"Sí",C_INICIO,"&lt;"&amp;F362)+COUNTIFS(B$7:B362,B362,N$7:N362,"Sí",F$7:F362,F362),"")</f>
        <v/>
      </c>
      <c r="P362" s="72" t="str">
        <f aca="false">IF(O362="","",B362&amp;"-P"&amp;O362)</f>
        <v/>
      </c>
      <c r="Q362" s="73" t="str">
        <f aca="false">IF(AND(N362="Sí",E362="Plazo fijo",ISNUMBER(F362)),COUNTIFS(C_ID,B362,C_TIPO,"Plazo fijo",C_DEFINE,"Sí",C_INICIO,"&lt;"&amp;F362)+COUNTIFS(B$7:B362,B362,E$7:E362,"Plazo fijo",N$7:N362,"Sí",F$7:F362,F362),"")</f>
        <v/>
      </c>
      <c r="R362" s="73" t="str">
        <f aca="false">IF(AND(B362&lt;&gt;"",ISNUMBER(H362),ISNUMBER(F362)),COUNTIFS(C_ID,B362,C_SUELDO,"&lt;&gt;",C_INICIO,"&lt;"&amp;F362)+COUNTIFS(B$7:B362,B362,H$7:H362,"&lt;&gt;",F$7:F362,F362),"")</f>
        <v/>
      </c>
      <c r="S362" s="72" t="str">
        <f aca="false">IF(R362="","",B362&amp;"-S"&amp;R362)</f>
        <v/>
      </c>
      <c r="T362" s="74" t="str">
        <f aca="false">IF(AND(ISNUMBER(F362),ISNUMBER(G362)),ROUND((G362-F362+1)/30.4375,1),"")</f>
        <v/>
      </c>
      <c r="U362" s="70" t="str">
        <f aca="false">IF(B362="","",IF(AND(N362="Sí",OR(E362="",NOT(ISNUMBER(F362)))),"⚠ Falta tipo de contrato o fecha de inicio",IF(NOT(ISNUMBER(F362)),"⚠ Falta fecha de inicio",IF(AND(N362="Sí",E362&lt;&gt;"Indefinido",NOT(ISNUMBER(G362))),"⚠ Falta fecha de término",IF(AND(D362="Paso a indefinido",E362&lt;&gt;"Indefinido"),"⚠ Un paso a indefinido debe tener tipo Indefinido",IF(N(Q362)&gt;=3,"⚠ 3er contrato a plazo fijo: por ley ya es INDEFINIDO (Art. 159 N°4)",IF(AND(E362="Plazo fijo",N(T362)&gt;12),"⚠ Plazo fijo mayor a 1 año (máx. legal; 2 años solo profesionales o técnicos)",IF(AND(ISNUMBER(G362),G362&lt;F362),"⚠ Término anterior al inicio",IF(AND(D362="Contrato inicial",ISNUMBER(J362),J362-F362&gt;15),"⚠ Escriturado fuera de plazo (Art. 9: 15 días)",IF(K362&lt;&gt;"Sí","Pendiente de firma","OK"))))))))))</f>
        <v/>
      </c>
    </row>
    <row r="363" customFormat="false" ht="15" hidden="false" customHeight="false" outlineLevel="0" collapsed="false">
      <c r="B363" s="64"/>
      <c r="C363" s="72" t="str">
        <f aca="false">IF(B363="","",IFERROR(INDEX(T_NOMBRE,MATCH(B363,T_ID,0)),"⚠ ID no existe en Trabajadores"))</f>
        <v/>
      </c>
      <c r="D363" s="64"/>
      <c r="E363" s="64"/>
      <c r="F363" s="65"/>
      <c r="G363" s="65"/>
      <c r="H363" s="67"/>
      <c r="I363" s="64"/>
      <c r="J363" s="65"/>
      <c r="K363" s="64"/>
      <c r="L363" s="64"/>
      <c r="M363" s="64"/>
      <c r="N363" s="72" t="str">
        <f aca="false">IF(B363="","",IF(D363="Anexo de modificación","No","Sí"))</f>
        <v/>
      </c>
      <c r="O363" s="73" t="str">
        <f aca="false">IF(AND(N363="Sí",ISNUMBER(F363)),COUNTIFS(C_ID,B363,C_DEFINE,"Sí",C_INICIO,"&lt;"&amp;F363)+COUNTIFS(B$7:B363,B363,N$7:N363,"Sí",F$7:F363,F363),"")</f>
        <v/>
      </c>
      <c r="P363" s="72" t="str">
        <f aca="false">IF(O363="","",B363&amp;"-P"&amp;O363)</f>
        <v/>
      </c>
      <c r="Q363" s="73" t="str">
        <f aca="false">IF(AND(N363="Sí",E363="Plazo fijo",ISNUMBER(F363)),COUNTIFS(C_ID,B363,C_TIPO,"Plazo fijo",C_DEFINE,"Sí",C_INICIO,"&lt;"&amp;F363)+COUNTIFS(B$7:B363,B363,E$7:E363,"Plazo fijo",N$7:N363,"Sí",F$7:F363,F363),"")</f>
        <v/>
      </c>
      <c r="R363" s="73" t="str">
        <f aca="false">IF(AND(B363&lt;&gt;"",ISNUMBER(H363),ISNUMBER(F363)),COUNTIFS(C_ID,B363,C_SUELDO,"&lt;&gt;",C_INICIO,"&lt;"&amp;F363)+COUNTIFS(B$7:B363,B363,H$7:H363,"&lt;&gt;",F$7:F363,F363),"")</f>
        <v/>
      </c>
      <c r="S363" s="72" t="str">
        <f aca="false">IF(R363="","",B363&amp;"-S"&amp;R363)</f>
        <v/>
      </c>
      <c r="T363" s="74" t="str">
        <f aca="false">IF(AND(ISNUMBER(F363),ISNUMBER(G363)),ROUND((G363-F363+1)/30.4375,1),"")</f>
        <v/>
      </c>
      <c r="U363" s="70" t="str">
        <f aca="false">IF(B363="","",IF(AND(N363="Sí",OR(E363="",NOT(ISNUMBER(F363)))),"⚠ Falta tipo de contrato o fecha de inicio",IF(NOT(ISNUMBER(F363)),"⚠ Falta fecha de inicio",IF(AND(N363="Sí",E363&lt;&gt;"Indefinido",NOT(ISNUMBER(G363))),"⚠ Falta fecha de término",IF(AND(D363="Paso a indefinido",E363&lt;&gt;"Indefinido"),"⚠ Un paso a indefinido debe tener tipo Indefinido",IF(N(Q363)&gt;=3,"⚠ 3er contrato a plazo fijo: por ley ya es INDEFINIDO (Art. 159 N°4)",IF(AND(E363="Plazo fijo",N(T363)&gt;12),"⚠ Plazo fijo mayor a 1 año (máx. legal; 2 años solo profesionales o técnicos)",IF(AND(ISNUMBER(G363),G363&lt;F363),"⚠ Término anterior al inicio",IF(AND(D363="Contrato inicial",ISNUMBER(J363),J363-F363&gt;15),"⚠ Escriturado fuera de plazo (Art. 9: 15 días)",IF(K363&lt;&gt;"Sí","Pendiente de firma","OK"))))))))))</f>
        <v/>
      </c>
    </row>
    <row r="364" customFormat="false" ht="15" hidden="false" customHeight="false" outlineLevel="0" collapsed="false">
      <c r="B364" s="64"/>
      <c r="C364" s="72" t="str">
        <f aca="false">IF(B364="","",IFERROR(INDEX(T_NOMBRE,MATCH(B364,T_ID,0)),"⚠ ID no existe en Trabajadores"))</f>
        <v/>
      </c>
      <c r="D364" s="64"/>
      <c r="E364" s="64"/>
      <c r="F364" s="65"/>
      <c r="G364" s="65"/>
      <c r="H364" s="67"/>
      <c r="I364" s="64"/>
      <c r="J364" s="65"/>
      <c r="K364" s="64"/>
      <c r="L364" s="64"/>
      <c r="M364" s="64"/>
      <c r="N364" s="72" t="str">
        <f aca="false">IF(B364="","",IF(D364="Anexo de modificación","No","Sí"))</f>
        <v/>
      </c>
      <c r="O364" s="73" t="str">
        <f aca="false">IF(AND(N364="Sí",ISNUMBER(F364)),COUNTIFS(C_ID,B364,C_DEFINE,"Sí",C_INICIO,"&lt;"&amp;F364)+COUNTIFS(B$7:B364,B364,N$7:N364,"Sí",F$7:F364,F364),"")</f>
        <v/>
      </c>
      <c r="P364" s="72" t="str">
        <f aca="false">IF(O364="","",B364&amp;"-P"&amp;O364)</f>
        <v/>
      </c>
      <c r="Q364" s="73" t="str">
        <f aca="false">IF(AND(N364="Sí",E364="Plazo fijo",ISNUMBER(F364)),COUNTIFS(C_ID,B364,C_TIPO,"Plazo fijo",C_DEFINE,"Sí",C_INICIO,"&lt;"&amp;F364)+COUNTIFS(B$7:B364,B364,E$7:E364,"Plazo fijo",N$7:N364,"Sí",F$7:F364,F364),"")</f>
        <v/>
      </c>
      <c r="R364" s="73" t="str">
        <f aca="false">IF(AND(B364&lt;&gt;"",ISNUMBER(H364),ISNUMBER(F364)),COUNTIFS(C_ID,B364,C_SUELDO,"&lt;&gt;",C_INICIO,"&lt;"&amp;F364)+COUNTIFS(B$7:B364,B364,H$7:H364,"&lt;&gt;",F$7:F364,F364),"")</f>
        <v/>
      </c>
      <c r="S364" s="72" t="str">
        <f aca="false">IF(R364="","",B364&amp;"-S"&amp;R364)</f>
        <v/>
      </c>
      <c r="T364" s="74" t="str">
        <f aca="false">IF(AND(ISNUMBER(F364),ISNUMBER(G364)),ROUND((G364-F364+1)/30.4375,1),"")</f>
        <v/>
      </c>
      <c r="U364" s="70" t="str">
        <f aca="false">IF(B364="","",IF(AND(N364="Sí",OR(E364="",NOT(ISNUMBER(F364)))),"⚠ Falta tipo de contrato o fecha de inicio",IF(NOT(ISNUMBER(F364)),"⚠ Falta fecha de inicio",IF(AND(N364="Sí",E364&lt;&gt;"Indefinido",NOT(ISNUMBER(G364))),"⚠ Falta fecha de término",IF(AND(D364="Paso a indefinido",E364&lt;&gt;"Indefinido"),"⚠ Un paso a indefinido debe tener tipo Indefinido",IF(N(Q364)&gt;=3,"⚠ 3er contrato a plazo fijo: por ley ya es INDEFINIDO (Art. 159 N°4)",IF(AND(E364="Plazo fijo",N(T364)&gt;12),"⚠ Plazo fijo mayor a 1 año (máx. legal; 2 años solo profesionales o técnicos)",IF(AND(ISNUMBER(G364),G364&lt;F364),"⚠ Término anterior al inicio",IF(AND(D364="Contrato inicial",ISNUMBER(J364),J364-F364&gt;15),"⚠ Escriturado fuera de plazo (Art. 9: 15 días)",IF(K364&lt;&gt;"Sí","Pendiente de firma","OK"))))))))))</f>
        <v/>
      </c>
    </row>
    <row r="365" customFormat="false" ht="15" hidden="false" customHeight="false" outlineLevel="0" collapsed="false">
      <c r="B365" s="64"/>
      <c r="C365" s="72" t="str">
        <f aca="false">IF(B365="","",IFERROR(INDEX(T_NOMBRE,MATCH(B365,T_ID,0)),"⚠ ID no existe en Trabajadores"))</f>
        <v/>
      </c>
      <c r="D365" s="64"/>
      <c r="E365" s="64"/>
      <c r="F365" s="65"/>
      <c r="G365" s="65"/>
      <c r="H365" s="67"/>
      <c r="I365" s="64"/>
      <c r="J365" s="65"/>
      <c r="K365" s="64"/>
      <c r="L365" s="64"/>
      <c r="M365" s="64"/>
      <c r="N365" s="72" t="str">
        <f aca="false">IF(B365="","",IF(D365="Anexo de modificación","No","Sí"))</f>
        <v/>
      </c>
      <c r="O365" s="73" t="str">
        <f aca="false">IF(AND(N365="Sí",ISNUMBER(F365)),COUNTIFS(C_ID,B365,C_DEFINE,"Sí",C_INICIO,"&lt;"&amp;F365)+COUNTIFS(B$7:B365,B365,N$7:N365,"Sí",F$7:F365,F365),"")</f>
        <v/>
      </c>
      <c r="P365" s="72" t="str">
        <f aca="false">IF(O365="","",B365&amp;"-P"&amp;O365)</f>
        <v/>
      </c>
      <c r="Q365" s="73" t="str">
        <f aca="false">IF(AND(N365="Sí",E365="Plazo fijo",ISNUMBER(F365)),COUNTIFS(C_ID,B365,C_TIPO,"Plazo fijo",C_DEFINE,"Sí",C_INICIO,"&lt;"&amp;F365)+COUNTIFS(B$7:B365,B365,E$7:E365,"Plazo fijo",N$7:N365,"Sí",F$7:F365,F365),"")</f>
        <v/>
      </c>
      <c r="R365" s="73" t="str">
        <f aca="false">IF(AND(B365&lt;&gt;"",ISNUMBER(H365),ISNUMBER(F365)),COUNTIFS(C_ID,B365,C_SUELDO,"&lt;&gt;",C_INICIO,"&lt;"&amp;F365)+COUNTIFS(B$7:B365,B365,H$7:H365,"&lt;&gt;",F$7:F365,F365),"")</f>
        <v/>
      </c>
      <c r="S365" s="72" t="str">
        <f aca="false">IF(R365="","",B365&amp;"-S"&amp;R365)</f>
        <v/>
      </c>
      <c r="T365" s="74" t="str">
        <f aca="false">IF(AND(ISNUMBER(F365),ISNUMBER(G365)),ROUND((G365-F365+1)/30.4375,1),"")</f>
        <v/>
      </c>
      <c r="U365" s="70" t="str">
        <f aca="false">IF(B365="","",IF(AND(N365="Sí",OR(E365="",NOT(ISNUMBER(F365)))),"⚠ Falta tipo de contrato o fecha de inicio",IF(NOT(ISNUMBER(F365)),"⚠ Falta fecha de inicio",IF(AND(N365="Sí",E365&lt;&gt;"Indefinido",NOT(ISNUMBER(G365))),"⚠ Falta fecha de término",IF(AND(D365="Paso a indefinido",E365&lt;&gt;"Indefinido"),"⚠ Un paso a indefinido debe tener tipo Indefinido",IF(N(Q365)&gt;=3,"⚠ 3er contrato a plazo fijo: por ley ya es INDEFINIDO (Art. 159 N°4)",IF(AND(E365="Plazo fijo",N(T365)&gt;12),"⚠ Plazo fijo mayor a 1 año (máx. legal; 2 años solo profesionales o técnicos)",IF(AND(ISNUMBER(G365),G365&lt;F365),"⚠ Término anterior al inicio",IF(AND(D365="Contrato inicial",ISNUMBER(J365),J365-F365&gt;15),"⚠ Escriturado fuera de plazo (Art. 9: 15 días)",IF(K365&lt;&gt;"Sí","Pendiente de firma","OK"))))))))))</f>
        <v/>
      </c>
    </row>
    <row r="366" customFormat="false" ht="15" hidden="false" customHeight="false" outlineLevel="0" collapsed="false">
      <c r="B366" s="64"/>
      <c r="C366" s="72" t="str">
        <f aca="false">IF(B366="","",IFERROR(INDEX(T_NOMBRE,MATCH(B366,T_ID,0)),"⚠ ID no existe en Trabajadores"))</f>
        <v/>
      </c>
      <c r="D366" s="64"/>
      <c r="E366" s="64"/>
      <c r="F366" s="65"/>
      <c r="G366" s="65"/>
      <c r="H366" s="67"/>
      <c r="I366" s="64"/>
      <c r="J366" s="65"/>
      <c r="K366" s="64"/>
      <c r="L366" s="64"/>
      <c r="M366" s="64"/>
      <c r="N366" s="72" t="str">
        <f aca="false">IF(B366="","",IF(D366="Anexo de modificación","No","Sí"))</f>
        <v/>
      </c>
      <c r="O366" s="73" t="str">
        <f aca="false">IF(AND(N366="Sí",ISNUMBER(F366)),COUNTIFS(C_ID,B366,C_DEFINE,"Sí",C_INICIO,"&lt;"&amp;F366)+COUNTIFS(B$7:B366,B366,N$7:N366,"Sí",F$7:F366,F366),"")</f>
        <v/>
      </c>
      <c r="P366" s="72" t="str">
        <f aca="false">IF(O366="","",B366&amp;"-P"&amp;O366)</f>
        <v/>
      </c>
      <c r="Q366" s="73" t="str">
        <f aca="false">IF(AND(N366="Sí",E366="Plazo fijo",ISNUMBER(F366)),COUNTIFS(C_ID,B366,C_TIPO,"Plazo fijo",C_DEFINE,"Sí",C_INICIO,"&lt;"&amp;F366)+COUNTIFS(B$7:B366,B366,E$7:E366,"Plazo fijo",N$7:N366,"Sí",F$7:F366,F366),"")</f>
        <v/>
      </c>
      <c r="R366" s="73" t="str">
        <f aca="false">IF(AND(B366&lt;&gt;"",ISNUMBER(H366),ISNUMBER(F366)),COUNTIFS(C_ID,B366,C_SUELDO,"&lt;&gt;",C_INICIO,"&lt;"&amp;F366)+COUNTIFS(B$7:B366,B366,H$7:H366,"&lt;&gt;",F$7:F366,F366),"")</f>
        <v/>
      </c>
      <c r="S366" s="72" t="str">
        <f aca="false">IF(R366="","",B366&amp;"-S"&amp;R366)</f>
        <v/>
      </c>
      <c r="T366" s="74" t="str">
        <f aca="false">IF(AND(ISNUMBER(F366),ISNUMBER(G366)),ROUND((G366-F366+1)/30.4375,1),"")</f>
        <v/>
      </c>
      <c r="U366" s="70" t="str">
        <f aca="false">IF(B366="","",IF(AND(N366="Sí",OR(E366="",NOT(ISNUMBER(F366)))),"⚠ Falta tipo de contrato o fecha de inicio",IF(NOT(ISNUMBER(F366)),"⚠ Falta fecha de inicio",IF(AND(N366="Sí",E366&lt;&gt;"Indefinido",NOT(ISNUMBER(G366))),"⚠ Falta fecha de término",IF(AND(D366="Paso a indefinido",E366&lt;&gt;"Indefinido"),"⚠ Un paso a indefinido debe tener tipo Indefinido",IF(N(Q366)&gt;=3,"⚠ 3er contrato a plazo fijo: por ley ya es INDEFINIDO (Art. 159 N°4)",IF(AND(E366="Plazo fijo",N(T366)&gt;12),"⚠ Plazo fijo mayor a 1 año (máx. legal; 2 años solo profesionales o técnicos)",IF(AND(ISNUMBER(G366),G366&lt;F366),"⚠ Término anterior al inicio",IF(AND(D366="Contrato inicial",ISNUMBER(J366),J366-F366&gt;15),"⚠ Escriturado fuera de plazo (Art. 9: 15 días)",IF(K366&lt;&gt;"Sí","Pendiente de firma","OK"))))))))))</f>
        <v/>
      </c>
    </row>
    <row r="367" customFormat="false" ht="15" hidden="false" customHeight="false" outlineLevel="0" collapsed="false">
      <c r="B367" s="64"/>
      <c r="C367" s="72" t="str">
        <f aca="false">IF(B367="","",IFERROR(INDEX(T_NOMBRE,MATCH(B367,T_ID,0)),"⚠ ID no existe en Trabajadores"))</f>
        <v/>
      </c>
      <c r="D367" s="64"/>
      <c r="E367" s="64"/>
      <c r="F367" s="65"/>
      <c r="G367" s="65"/>
      <c r="H367" s="67"/>
      <c r="I367" s="64"/>
      <c r="J367" s="65"/>
      <c r="K367" s="64"/>
      <c r="L367" s="64"/>
      <c r="M367" s="64"/>
      <c r="N367" s="72" t="str">
        <f aca="false">IF(B367="","",IF(D367="Anexo de modificación","No","Sí"))</f>
        <v/>
      </c>
      <c r="O367" s="73" t="str">
        <f aca="false">IF(AND(N367="Sí",ISNUMBER(F367)),COUNTIFS(C_ID,B367,C_DEFINE,"Sí",C_INICIO,"&lt;"&amp;F367)+COUNTIFS(B$7:B367,B367,N$7:N367,"Sí",F$7:F367,F367),"")</f>
        <v/>
      </c>
      <c r="P367" s="72" t="str">
        <f aca="false">IF(O367="","",B367&amp;"-P"&amp;O367)</f>
        <v/>
      </c>
      <c r="Q367" s="73" t="str">
        <f aca="false">IF(AND(N367="Sí",E367="Plazo fijo",ISNUMBER(F367)),COUNTIFS(C_ID,B367,C_TIPO,"Plazo fijo",C_DEFINE,"Sí",C_INICIO,"&lt;"&amp;F367)+COUNTIFS(B$7:B367,B367,E$7:E367,"Plazo fijo",N$7:N367,"Sí",F$7:F367,F367),"")</f>
        <v/>
      </c>
      <c r="R367" s="73" t="str">
        <f aca="false">IF(AND(B367&lt;&gt;"",ISNUMBER(H367),ISNUMBER(F367)),COUNTIFS(C_ID,B367,C_SUELDO,"&lt;&gt;",C_INICIO,"&lt;"&amp;F367)+COUNTIFS(B$7:B367,B367,H$7:H367,"&lt;&gt;",F$7:F367,F367),"")</f>
        <v/>
      </c>
      <c r="S367" s="72" t="str">
        <f aca="false">IF(R367="","",B367&amp;"-S"&amp;R367)</f>
        <v/>
      </c>
      <c r="T367" s="74" t="str">
        <f aca="false">IF(AND(ISNUMBER(F367),ISNUMBER(G367)),ROUND((G367-F367+1)/30.4375,1),"")</f>
        <v/>
      </c>
      <c r="U367" s="70" t="str">
        <f aca="false">IF(B367="","",IF(AND(N367="Sí",OR(E367="",NOT(ISNUMBER(F367)))),"⚠ Falta tipo de contrato o fecha de inicio",IF(NOT(ISNUMBER(F367)),"⚠ Falta fecha de inicio",IF(AND(N367="Sí",E367&lt;&gt;"Indefinido",NOT(ISNUMBER(G367))),"⚠ Falta fecha de término",IF(AND(D367="Paso a indefinido",E367&lt;&gt;"Indefinido"),"⚠ Un paso a indefinido debe tener tipo Indefinido",IF(N(Q367)&gt;=3,"⚠ 3er contrato a plazo fijo: por ley ya es INDEFINIDO (Art. 159 N°4)",IF(AND(E367="Plazo fijo",N(T367)&gt;12),"⚠ Plazo fijo mayor a 1 año (máx. legal; 2 años solo profesionales o técnicos)",IF(AND(ISNUMBER(G367),G367&lt;F367),"⚠ Término anterior al inicio",IF(AND(D367="Contrato inicial",ISNUMBER(J367),J367-F367&gt;15),"⚠ Escriturado fuera de plazo (Art. 9: 15 días)",IF(K367&lt;&gt;"Sí","Pendiente de firma","OK"))))))))))</f>
        <v/>
      </c>
    </row>
    <row r="368" customFormat="false" ht="15" hidden="false" customHeight="false" outlineLevel="0" collapsed="false">
      <c r="B368" s="64"/>
      <c r="C368" s="72" t="str">
        <f aca="false">IF(B368="","",IFERROR(INDEX(T_NOMBRE,MATCH(B368,T_ID,0)),"⚠ ID no existe en Trabajadores"))</f>
        <v/>
      </c>
      <c r="D368" s="64"/>
      <c r="E368" s="64"/>
      <c r="F368" s="65"/>
      <c r="G368" s="65"/>
      <c r="H368" s="67"/>
      <c r="I368" s="64"/>
      <c r="J368" s="65"/>
      <c r="K368" s="64"/>
      <c r="L368" s="64"/>
      <c r="M368" s="64"/>
      <c r="N368" s="72" t="str">
        <f aca="false">IF(B368="","",IF(D368="Anexo de modificación","No","Sí"))</f>
        <v/>
      </c>
      <c r="O368" s="73" t="str">
        <f aca="false">IF(AND(N368="Sí",ISNUMBER(F368)),COUNTIFS(C_ID,B368,C_DEFINE,"Sí",C_INICIO,"&lt;"&amp;F368)+COUNTIFS(B$7:B368,B368,N$7:N368,"Sí",F$7:F368,F368),"")</f>
        <v/>
      </c>
      <c r="P368" s="72" t="str">
        <f aca="false">IF(O368="","",B368&amp;"-P"&amp;O368)</f>
        <v/>
      </c>
      <c r="Q368" s="73" t="str">
        <f aca="false">IF(AND(N368="Sí",E368="Plazo fijo",ISNUMBER(F368)),COUNTIFS(C_ID,B368,C_TIPO,"Plazo fijo",C_DEFINE,"Sí",C_INICIO,"&lt;"&amp;F368)+COUNTIFS(B$7:B368,B368,E$7:E368,"Plazo fijo",N$7:N368,"Sí",F$7:F368,F368),"")</f>
        <v/>
      </c>
      <c r="R368" s="73" t="str">
        <f aca="false">IF(AND(B368&lt;&gt;"",ISNUMBER(H368),ISNUMBER(F368)),COUNTIFS(C_ID,B368,C_SUELDO,"&lt;&gt;",C_INICIO,"&lt;"&amp;F368)+COUNTIFS(B$7:B368,B368,H$7:H368,"&lt;&gt;",F$7:F368,F368),"")</f>
        <v/>
      </c>
      <c r="S368" s="72" t="str">
        <f aca="false">IF(R368="","",B368&amp;"-S"&amp;R368)</f>
        <v/>
      </c>
      <c r="T368" s="74" t="str">
        <f aca="false">IF(AND(ISNUMBER(F368),ISNUMBER(G368)),ROUND((G368-F368+1)/30.4375,1),"")</f>
        <v/>
      </c>
      <c r="U368" s="70" t="str">
        <f aca="false">IF(B368="","",IF(AND(N368="Sí",OR(E368="",NOT(ISNUMBER(F368)))),"⚠ Falta tipo de contrato o fecha de inicio",IF(NOT(ISNUMBER(F368)),"⚠ Falta fecha de inicio",IF(AND(N368="Sí",E368&lt;&gt;"Indefinido",NOT(ISNUMBER(G368))),"⚠ Falta fecha de término",IF(AND(D368="Paso a indefinido",E368&lt;&gt;"Indefinido"),"⚠ Un paso a indefinido debe tener tipo Indefinido",IF(N(Q368)&gt;=3,"⚠ 3er contrato a plazo fijo: por ley ya es INDEFINIDO (Art. 159 N°4)",IF(AND(E368="Plazo fijo",N(T368)&gt;12),"⚠ Plazo fijo mayor a 1 año (máx. legal; 2 años solo profesionales o técnicos)",IF(AND(ISNUMBER(G368),G368&lt;F368),"⚠ Término anterior al inicio",IF(AND(D368="Contrato inicial",ISNUMBER(J368),J368-F368&gt;15),"⚠ Escriturado fuera de plazo (Art. 9: 15 días)",IF(K368&lt;&gt;"Sí","Pendiente de firma","OK"))))))))))</f>
        <v/>
      </c>
    </row>
    <row r="369" customFormat="false" ht="15" hidden="false" customHeight="false" outlineLevel="0" collapsed="false">
      <c r="B369" s="64"/>
      <c r="C369" s="72" t="str">
        <f aca="false">IF(B369="","",IFERROR(INDEX(T_NOMBRE,MATCH(B369,T_ID,0)),"⚠ ID no existe en Trabajadores"))</f>
        <v/>
      </c>
      <c r="D369" s="64"/>
      <c r="E369" s="64"/>
      <c r="F369" s="65"/>
      <c r="G369" s="65"/>
      <c r="H369" s="67"/>
      <c r="I369" s="64"/>
      <c r="J369" s="65"/>
      <c r="K369" s="64"/>
      <c r="L369" s="64"/>
      <c r="M369" s="64"/>
      <c r="N369" s="72" t="str">
        <f aca="false">IF(B369="","",IF(D369="Anexo de modificación","No","Sí"))</f>
        <v/>
      </c>
      <c r="O369" s="73" t="str">
        <f aca="false">IF(AND(N369="Sí",ISNUMBER(F369)),COUNTIFS(C_ID,B369,C_DEFINE,"Sí",C_INICIO,"&lt;"&amp;F369)+COUNTIFS(B$7:B369,B369,N$7:N369,"Sí",F$7:F369,F369),"")</f>
        <v/>
      </c>
      <c r="P369" s="72" t="str">
        <f aca="false">IF(O369="","",B369&amp;"-P"&amp;O369)</f>
        <v/>
      </c>
      <c r="Q369" s="73" t="str">
        <f aca="false">IF(AND(N369="Sí",E369="Plazo fijo",ISNUMBER(F369)),COUNTIFS(C_ID,B369,C_TIPO,"Plazo fijo",C_DEFINE,"Sí",C_INICIO,"&lt;"&amp;F369)+COUNTIFS(B$7:B369,B369,E$7:E369,"Plazo fijo",N$7:N369,"Sí",F$7:F369,F369),"")</f>
        <v/>
      </c>
      <c r="R369" s="73" t="str">
        <f aca="false">IF(AND(B369&lt;&gt;"",ISNUMBER(H369),ISNUMBER(F369)),COUNTIFS(C_ID,B369,C_SUELDO,"&lt;&gt;",C_INICIO,"&lt;"&amp;F369)+COUNTIFS(B$7:B369,B369,H$7:H369,"&lt;&gt;",F$7:F369,F369),"")</f>
        <v/>
      </c>
      <c r="S369" s="72" t="str">
        <f aca="false">IF(R369="","",B369&amp;"-S"&amp;R369)</f>
        <v/>
      </c>
      <c r="T369" s="74" t="str">
        <f aca="false">IF(AND(ISNUMBER(F369),ISNUMBER(G369)),ROUND((G369-F369+1)/30.4375,1),"")</f>
        <v/>
      </c>
      <c r="U369" s="70" t="str">
        <f aca="false">IF(B369="","",IF(AND(N369="Sí",OR(E369="",NOT(ISNUMBER(F369)))),"⚠ Falta tipo de contrato o fecha de inicio",IF(NOT(ISNUMBER(F369)),"⚠ Falta fecha de inicio",IF(AND(N369="Sí",E369&lt;&gt;"Indefinido",NOT(ISNUMBER(G369))),"⚠ Falta fecha de término",IF(AND(D369="Paso a indefinido",E369&lt;&gt;"Indefinido"),"⚠ Un paso a indefinido debe tener tipo Indefinido",IF(N(Q369)&gt;=3,"⚠ 3er contrato a plazo fijo: por ley ya es INDEFINIDO (Art. 159 N°4)",IF(AND(E369="Plazo fijo",N(T369)&gt;12),"⚠ Plazo fijo mayor a 1 año (máx. legal; 2 años solo profesionales o técnicos)",IF(AND(ISNUMBER(G369),G369&lt;F369),"⚠ Término anterior al inicio",IF(AND(D369="Contrato inicial",ISNUMBER(J369),J369-F369&gt;15),"⚠ Escriturado fuera de plazo (Art. 9: 15 días)",IF(K369&lt;&gt;"Sí","Pendiente de firma","OK"))))))))))</f>
        <v/>
      </c>
    </row>
    <row r="370" customFormat="false" ht="15" hidden="false" customHeight="false" outlineLevel="0" collapsed="false">
      <c r="B370" s="64"/>
      <c r="C370" s="72" t="str">
        <f aca="false">IF(B370="","",IFERROR(INDEX(T_NOMBRE,MATCH(B370,T_ID,0)),"⚠ ID no existe en Trabajadores"))</f>
        <v/>
      </c>
      <c r="D370" s="64"/>
      <c r="E370" s="64"/>
      <c r="F370" s="65"/>
      <c r="G370" s="65"/>
      <c r="H370" s="67"/>
      <c r="I370" s="64"/>
      <c r="J370" s="65"/>
      <c r="K370" s="64"/>
      <c r="L370" s="64"/>
      <c r="M370" s="64"/>
      <c r="N370" s="72" t="str">
        <f aca="false">IF(B370="","",IF(D370="Anexo de modificación","No","Sí"))</f>
        <v/>
      </c>
      <c r="O370" s="73" t="str">
        <f aca="false">IF(AND(N370="Sí",ISNUMBER(F370)),COUNTIFS(C_ID,B370,C_DEFINE,"Sí",C_INICIO,"&lt;"&amp;F370)+COUNTIFS(B$7:B370,B370,N$7:N370,"Sí",F$7:F370,F370),"")</f>
        <v/>
      </c>
      <c r="P370" s="72" t="str">
        <f aca="false">IF(O370="","",B370&amp;"-P"&amp;O370)</f>
        <v/>
      </c>
      <c r="Q370" s="73" t="str">
        <f aca="false">IF(AND(N370="Sí",E370="Plazo fijo",ISNUMBER(F370)),COUNTIFS(C_ID,B370,C_TIPO,"Plazo fijo",C_DEFINE,"Sí",C_INICIO,"&lt;"&amp;F370)+COUNTIFS(B$7:B370,B370,E$7:E370,"Plazo fijo",N$7:N370,"Sí",F$7:F370,F370),"")</f>
        <v/>
      </c>
      <c r="R370" s="73" t="str">
        <f aca="false">IF(AND(B370&lt;&gt;"",ISNUMBER(H370),ISNUMBER(F370)),COUNTIFS(C_ID,B370,C_SUELDO,"&lt;&gt;",C_INICIO,"&lt;"&amp;F370)+COUNTIFS(B$7:B370,B370,H$7:H370,"&lt;&gt;",F$7:F370,F370),"")</f>
        <v/>
      </c>
      <c r="S370" s="72" t="str">
        <f aca="false">IF(R370="","",B370&amp;"-S"&amp;R370)</f>
        <v/>
      </c>
      <c r="T370" s="74" t="str">
        <f aca="false">IF(AND(ISNUMBER(F370),ISNUMBER(G370)),ROUND((G370-F370+1)/30.4375,1),"")</f>
        <v/>
      </c>
      <c r="U370" s="70" t="str">
        <f aca="false">IF(B370="","",IF(AND(N370="Sí",OR(E370="",NOT(ISNUMBER(F370)))),"⚠ Falta tipo de contrato o fecha de inicio",IF(NOT(ISNUMBER(F370)),"⚠ Falta fecha de inicio",IF(AND(N370="Sí",E370&lt;&gt;"Indefinido",NOT(ISNUMBER(G370))),"⚠ Falta fecha de término",IF(AND(D370="Paso a indefinido",E370&lt;&gt;"Indefinido"),"⚠ Un paso a indefinido debe tener tipo Indefinido",IF(N(Q370)&gt;=3,"⚠ 3er contrato a plazo fijo: por ley ya es INDEFINIDO (Art. 159 N°4)",IF(AND(E370="Plazo fijo",N(T370)&gt;12),"⚠ Plazo fijo mayor a 1 año (máx. legal; 2 años solo profesionales o técnicos)",IF(AND(ISNUMBER(G370),G370&lt;F370),"⚠ Término anterior al inicio",IF(AND(D370="Contrato inicial",ISNUMBER(J370),J370-F370&gt;15),"⚠ Escriturado fuera de plazo (Art. 9: 15 días)",IF(K370&lt;&gt;"Sí","Pendiente de firma","OK"))))))))))</f>
        <v/>
      </c>
    </row>
    <row r="371" customFormat="false" ht="15" hidden="false" customHeight="false" outlineLevel="0" collapsed="false">
      <c r="B371" s="64"/>
      <c r="C371" s="72" t="str">
        <f aca="false">IF(B371="","",IFERROR(INDEX(T_NOMBRE,MATCH(B371,T_ID,0)),"⚠ ID no existe en Trabajadores"))</f>
        <v/>
      </c>
      <c r="D371" s="64"/>
      <c r="E371" s="64"/>
      <c r="F371" s="65"/>
      <c r="G371" s="65"/>
      <c r="H371" s="67"/>
      <c r="I371" s="64"/>
      <c r="J371" s="65"/>
      <c r="K371" s="64"/>
      <c r="L371" s="64"/>
      <c r="M371" s="64"/>
      <c r="N371" s="72" t="str">
        <f aca="false">IF(B371="","",IF(D371="Anexo de modificación","No","Sí"))</f>
        <v/>
      </c>
      <c r="O371" s="73" t="str">
        <f aca="false">IF(AND(N371="Sí",ISNUMBER(F371)),COUNTIFS(C_ID,B371,C_DEFINE,"Sí",C_INICIO,"&lt;"&amp;F371)+COUNTIFS(B$7:B371,B371,N$7:N371,"Sí",F$7:F371,F371),"")</f>
        <v/>
      </c>
      <c r="P371" s="72" t="str">
        <f aca="false">IF(O371="","",B371&amp;"-P"&amp;O371)</f>
        <v/>
      </c>
      <c r="Q371" s="73" t="str">
        <f aca="false">IF(AND(N371="Sí",E371="Plazo fijo",ISNUMBER(F371)),COUNTIFS(C_ID,B371,C_TIPO,"Plazo fijo",C_DEFINE,"Sí",C_INICIO,"&lt;"&amp;F371)+COUNTIFS(B$7:B371,B371,E$7:E371,"Plazo fijo",N$7:N371,"Sí",F$7:F371,F371),"")</f>
        <v/>
      </c>
      <c r="R371" s="73" t="str">
        <f aca="false">IF(AND(B371&lt;&gt;"",ISNUMBER(H371),ISNUMBER(F371)),COUNTIFS(C_ID,B371,C_SUELDO,"&lt;&gt;",C_INICIO,"&lt;"&amp;F371)+COUNTIFS(B$7:B371,B371,H$7:H371,"&lt;&gt;",F$7:F371,F371),"")</f>
        <v/>
      </c>
      <c r="S371" s="72" t="str">
        <f aca="false">IF(R371="","",B371&amp;"-S"&amp;R371)</f>
        <v/>
      </c>
      <c r="T371" s="74" t="str">
        <f aca="false">IF(AND(ISNUMBER(F371),ISNUMBER(G371)),ROUND((G371-F371+1)/30.4375,1),"")</f>
        <v/>
      </c>
      <c r="U371" s="70" t="str">
        <f aca="false">IF(B371="","",IF(AND(N371="Sí",OR(E371="",NOT(ISNUMBER(F371)))),"⚠ Falta tipo de contrato o fecha de inicio",IF(NOT(ISNUMBER(F371)),"⚠ Falta fecha de inicio",IF(AND(N371="Sí",E371&lt;&gt;"Indefinido",NOT(ISNUMBER(G371))),"⚠ Falta fecha de término",IF(AND(D371="Paso a indefinido",E371&lt;&gt;"Indefinido"),"⚠ Un paso a indefinido debe tener tipo Indefinido",IF(N(Q371)&gt;=3,"⚠ 3er contrato a plazo fijo: por ley ya es INDEFINIDO (Art. 159 N°4)",IF(AND(E371="Plazo fijo",N(T371)&gt;12),"⚠ Plazo fijo mayor a 1 año (máx. legal; 2 años solo profesionales o técnicos)",IF(AND(ISNUMBER(G371),G371&lt;F371),"⚠ Término anterior al inicio",IF(AND(D371="Contrato inicial",ISNUMBER(J371),J371-F371&gt;15),"⚠ Escriturado fuera de plazo (Art. 9: 15 días)",IF(K371&lt;&gt;"Sí","Pendiente de firma","OK"))))))))))</f>
        <v/>
      </c>
    </row>
    <row r="372" customFormat="false" ht="15" hidden="false" customHeight="false" outlineLevel="0" collapsed="false">
      <c r="B372" s="64"/>
      <c r="C372" s="72" t="str">
        <f aca="false">IF(B372="","",IFERROR(INDEX(T_NOMBRE,MATCH(B372,T_ID,0)),"⚠ ID no existe en Trabajadores"))</f>
        <v/>
      </c>
      <c r="D372" s="64"/>
      <c r="E372" s="64"/>
      <c r="F372" s="65"/>
      <c r="G372" s="65"/>
      <c r="H372" s="67"/>
      <c r="I372" s="64"/>
      <c r="J372" s="65"/>
      <c r="K372" s="64"/>
      <c r="L372" s="64"/>
      <c r="M372" s="64"/>
      <c r="N372" s="72" t="str">
        <f aca="false">IF(B372="","",IF(D372="Anexo de modificación","No","Sí"))</f>
        <v/>
      </c>
      <c r="O372" s="73" t="str">
        <f aca="false">IF(AND(N372="Sí",ISNUMBER(F372)),COUNTIFS(C_ID,B372,C_DEFINE,"Sí",C_INICIO,"&lt;"&amp;F372)+COUNTIFS(B$7:B372,B372,N$7:N372,"Sí",F$7:F372,F372),"")</f>
        <v/>
      </c>
      <c r="P372" s="72" t="str">
        <f aca="false">IF(O372="","",B372&amp;"-P"&amp;O372)</f>
        <v/>
      </c>
      <c r="Q372" s="73" t="str">
        <f aca="false">IF(AND(N372="Sí",E372="Plazo fijo",ISNUMBER(F372)),COUNTIFS(C_ID,B372,C_TIPO,"Plazo fijo",C_DEFINE,"Sí",C_INICIO,"&lt;"&amp;F372)+COUNTIFS(B$7:B372,B372,E$7:E372,"Plazo fijo",N$7:N372,"Sí",F$7:F372,F372),"")</f>
        <v/>
      </c>
      <c r="R372" s="73" t="str">
        <f aca="false">IF(AND(B372&lt;&gt;"",ISNUMBER(H372),ISNUMBER(F372)),COUNTIFS(C_ID,B372,C_SUELDO,"&lt;&gt;",C_INICIO,"&lt;"&amp;F372)+COUNTIFS(B$7:B372,B372,H$7:H372,"&lt;&gt;",F$7:F372,F372),"")</f>
        <v/>
      </c>
      <c r="S372" s="72" t="str">
        <f aca="false">IF(R372="","",B372&amp;"-S"&amp;R372)</f>
        <v/>
      </c>
      <c r="T372" s="74" t="str">
        <f aca="false">IF(AND(ISNUMBER(F372),ISNUMBER(G372)),ROUND((G372-F372+1)/30.4375,1),"")</f>
        <v/>
      </c>
      <c r="U372" s="70" t="str">
        <f aca="false">IF(B372="","",IF(AND(N372="Sí",OR(E372="",NOT(ISNUMBER(F372)))),"⚠ Falta tipo de contrato o fecha de inicio",IF(NOT(ISNUMBER(F372)),"⚠ Falta fecha de inicio",IF(AND(N372="Sí",E372&lt;&gt;"Indefinido",NOT(ISNUMBER(G372))),"⚠ Falta fecha de término",IF(AND(D372="Paso a indefinido",E372&lt;&gt;"Indefinido"),"⚠ Un paso a indefinido debe tener tipo Indefinido",IF(N(Q372)&gt;=3,"⚠ 3er contrato a plazo fijo: por ley ya es INDEFINIDO (Art. 159 N°4)",IF(AND(E372="Plazo fijo",N(T372)&gt;12),"⚠ Plazo fijo mayor a 1 año (máx. legal; 2 años solo profesionales o técnicos)",IF(AND(ISNUMBER(G372),G372&lt;F372),"⚠ Término anterior al inicio",IF(AND(D372="Contrato inicial",ISNUMBER(J372),J372-F372&gt;15),"⚠ Escriturado fuera de plazo (Art. 9: 15 días)",IF(K372&lt;&gt;"Sí","Pendiente de firma","OK"))))))))))</f>
        <v/>
      </c>
    </row>
    <row r="373" customFormat="false" ht="15" hidden="false" customHeight="false" outlineLevel="0" collapsed="false">
      <c r="B373" s="64"/>
      <c r="C373" s="72" t="str">
        <f aca="false">IF(B373="","",IFERROR(INDEX(T_NOMBRE,MATCH(B373,T_ID,0)),"⚠ ID no existe en Trabajadores"))</f>
        <v/>
      </c>
      <c r="D373" s="64"/>
      <c r="E373" s="64"/>
      <c r="F373" s="65"/>
      <c r="G373" s="65"/>
      <c r="H373" s="67"/>
      <c r="I373" s="64"/>
      <c r="J373" s="65"/>
      <c r="K373" s="64"/>
      <c r="L373" s="64"/>
      <c r="M373" s="64"/>
      <c r="N373" s="72" t="str">
        <f aca="false">IF(B373="","",IF(D373="Anexo de modificación","No","Sí"))</f>
        <v/>
      </c>
      <c r="O373" s="73" t="str">
        <f aca="false">IF(AND(N373="Sí",ISNUMBER(F373)),COUNTIFS(C_ID,B373,C_DEFINE,"Sí",C_INICIO,"&lt;"&amp;F373)+COUNTIFS(B$7:B373,B373,N$7:N373,"Sí",F$7:F373,F373),"")</f>
        <v/>
      </c>
      <c r="P373" s="72" t="str">
        <f aca="false">IF(O373="","",B373&amp;"-P"&amp;O373)</f>
        <v/>
      </c>
      <c r="Q373" s="73" t="str">
        <f aca="false">IF(AND(N373="Sí",E373="Plazo fijo",ISNUMBER(F373)),COUNTIFS(C_ID,B373,C_TIPO,"Plazo fijo",C_DEFINE,"Sí",C_INICIO,"&lt;"&amp;F373)+COUNTIFS(B$7:B373,B373,E$7:E373,"Plazo fijo",N$7:N373,"Sí",F$7:F373,F373),"")</f>
        <v/>
      </c>
      <c r="R373" s="73" t="str">
        <f aca="false">IF(AND(B373&lt;&gt;"",ISNUMBER(H373),ISNUMBER(F373)),COUNTIFS(C_ID,B373,C_SUELDO,"&lt;&gt;",C_INICIO,"&lt;"&amp;F373)+COUNTIFS(B$7:B373,B373,H$7:H373,"&lt;&gt;",F$7:F373,F373),"")</f>
        <v/>
      </c>
      <c r="S373" s="72" t="str">
        <f aca="false">IF(R373="","",B373&amp;"-S"&amp;R373)</f>
        <v/>
      </c>
      <c r="T373" s="74" t="str">
        <f aca="false">IF(AND(ISNUMBER(F373),ISNUMBER(G373)),ROUND((G373-F373+1)/30.4375,1),"")</f>
        <v/>
      </c>
      <c r="U373" s="70" t="str">
        <f aca="false">IF(B373="","",IF(AND(N373="Sí",OR(E373="",NOT(ISNUMBER(F373)))),"⚠ Falta tipo de contrato o fecha de inicio",IF(NOT(ISNUMBER(F373)),"⚠ Falta fecha de inicio",IF(AND(N373="Sí",E373&lt;&gt;"Indefinido",NOT(ISNUMBER(G373))),"⚠ Falta fecha de término",IF(AND(D373="Paso a indefinido",E373&lt;&gt;"Indefinido"),"⚠ Un paso a indefinido debe tener tipo Indefinido",IF(N(Q373)&gt;=3,"⚠ 3er contrato a plazo fijo: por ley ya es INDEFINIDO (Art. 159 N°4)",IF(AND(E373="Plazo fijo",N(T373)&gt;12),"⚠ Plazo fijo mayor a 1 año (máx. legal; 2 años solo profesionales o técnicos)",IF(AND(ISNUMBER(G373),G373&lt;F373),"⚠ Término anterior al inicio",IF(AND(D373="Contrato inicial",ISNUMBER(J373),J373-F373&gt;15),"⚠ Escriturado fuera de plazo (Art. 9: 15 días)",IF(K373&lt;&gt;"Sí","Pendiente de firma","OK"))))))))))</f>
        <v/>
      </c>
    </row>
    <row r="374" customFormat="false" ht="15" hidden="false" customHeight="false" outlineLevel="0" collapsed="false">
      <c r="B374" s="64"/>
      <c r="C374" s="72" t="str">
        <f aca="false">IF(B374="","",IFERROR(INDEX(T_NOMBRE,MATCH(B374,T_ID,0)),"⚠ ID no existe en Trabajadores"))</f>
        <v/>
      </c>
      <c r="D374" s="64"/>
      <c r="E374" s="64"/>
      <c r="F374" s="65"/>
      <c r="G374" s="65"/>
      <c r="H374" s="67"/>
      <c r="I374" s="64"/>
      <c r="J374" s="65"/>
      <c r="K374" s="64"/>
      <c r="L374" s="64"/>
      <c r="M374" s="64"/>
      <c r="N374" s="72" t="str">
        <f aca="false">IF(B374="","",IF(D374="Anexo de modificación","No","Sí"))</f>
        <v/>
      </c>
      <c r="O374" s="73" t="str">
        <f aca="false">IF(AND(N374="Sí",ISNUMBER(F374)),COUNTIFS(C_ID,B374,C_DEFINE,"Sí",C_INICIO,"&lt;"&amp;F374)+COUNTIFS(B$7:B374,B374,N$7:N374,"Sí",F$7:F374,F374),"")</f>
        <v/>
      </c>
      <c r="P374" s="72" t="str">
        <f aca="false">IF(O374="","",B374&amp;"-P"&amp;O374)</f>
        <v/>
      </c>
      <c r="Q374" s="73" t="str">
        <f aca="false">IF(AND(N374="Sí",E374="Plazo fijo",ISNUMBER(F374)),COUNTIFS(C_ID,B374,C_TIPO,"Plazo fijo",C_DEFINE,"Sí",C_INICIO,"&lt;"&amp;F374)+COUNTIFS(B$7:B374,B374,E$7:E374,"Plazo fijo",N$7:N374,"Sí",F$7:F374,F374),"")</f>
        <v/>
      </c>
      <c r="R374" s="73" t="str">
        <f aca="false">IF(AND(B374&lt;&gt;"",ISNUMBER(H374),ISNUMBER(F374)),COUNTIFS(C_ID,B374,C_SUELDO,"&lt;&gt;",C_INICIO,"&lt;"&amp;F374)+COUNTIFS(B$7:B374,B374,H$7:H374,"&lt;&gt;",F$7:F374,F374),"")</f>
        <v/>
      </c>
      <c r="S374" s="72" t="str">
        <f aca="false">IF(R374="","",B374&amp;"-S"&amp;R374)</f>
        <v/>
      </c>
      <c r="T374" s="74" t="str">
        <f aca="false">IF(AND(ISNUMBER(F374),ISNUMBER(G374)),ROUND((G374-F374+1)/30.4375,1),"")</f>
        <v/>
      </c>
      <c r="U374" s="70" t="str">
        <f aca="false">IF(B374="","",IF(AND(N374="Sí",OR(E374="",NOT(ISNUMBER(F374)))),"⚠ Falta tipo de contrato o fecha de inicio",IF(NOT(ISNUMBER(F374)),"⚠ Falta fecha de inicio",IF(AND(N374="Sí",E374&lt;&gt;"Indefinido",NOT(ISNUMBER(G374))),"⚠ Falta fecha de término",IF(AND(D374="Paso a indefinido",E374&lt;&gt;"Indefinido"),"⚠ Un paso a indefinido debe tener tipo Indefinido",IF(N(Q374)&gt;=3,"⚠ 3er contrato a plazo fijo: por ley ya es INDEFINIDO (Art. 159 N°4)",IF(AND(E374="Plazo fijo",N(T374)&gt;12),"⚠ Plazo fijo mayor a 1 año (máx. legal; 2 años solo profesionales o técnicos)",IF(AND(ISNUMBER(G374),G374&lt;F374),"⚠ Término anterior al inicio",IF(AND(D374="Contrato inicial",ISNUMBER(J374),J374-F374&gt;15),"⚠ Escriturado fuera de plazo (Art. 9: 15 días)",IF(K374&lt;&gt;"Sí","Pendiente de firma","OK"))))))))))</f>
        <v/>
      </c>
    </row>
    <row r="375" customFormat="false" ht="15" hidden="false" customHeight="false" outlineLevel="0" collapsed="false">
      <c r="B375" s="64"/>
      <c r="C375" s="72" t="str">
        <f aca="false">IF(B375="","",IFERROR(INDEX(T_NOMBRE,MATCH(B375,T_ID,0)),"⚠ ID no existe en Trabajadores"))</f>
        <v/>
      </c>
      <c r="D375" s="64"/>
      <c r="E375" s="64"/>
      <c r="F375" s="65"/>
      <c r="G375" s="65"/>
      <c r="H375" s="67"/>
      <c r="I375" s="64"/>
      <c r="J375" s="65"/>
      <c r="K375" s="64"/>
      <c r="L375" s="64"/>
      <c r="M375" s="64"/>
      <c r="N375" s="72" t="str">
        <f aca="false">IF(B375="","",IF(D375="Anexo de modificación","No","Sí"))</f>
        <v/>
      </c>
      <c r="O375" s="73" t="str">
        <f aca="false">IF(AND(N375="Sí",ISNUMBER(F375)),COUNTIFS(C_ID,B375,C_DEFINE,"Sí",C_INICIO,"&lt;"&amp;F375)+COUNTIFS(B$7:B375,B375,N$7:N375,"Sí",F$7:F375,F375),"")</f>
        <v/>
      </c>
      <c r="P375" s="72" t="str">
        <f aca="false">IF(O375="","",B375&amp;"-P"&amp;O375)</f>
        <v/>
      </c>
      <c r="Q375" s="73" t="str">
        <f aca="false">IF(AND(N375="Sí",E375="Plazo fijo",ISNUMBER(F375)),COUNTIFS(C_ID,B375,C_TIPO,"Plazo fijo",C_DEFINE,"Sí",C_INICIO,"&lt;"&amp;F375)+COUNTIFS(B$7:B375,B375,E$7:E375,"Plazo fijo",N$7:N375,"Sí",F$7:F375,F375),"")</f>
        <v/>
      </c>
      <c r="R375" s="73" t="str">
        <f aca="false">IF(AND(B375&lt;&gt;"",ISNUMBER(H375),ISNUMBER(F375)),COUNTIFS(C_ID,B375,C_SUELDO,"&lt;&gt;",C_INICIO,"&lt;"&amp;F375)+COUNTIFS(B$7:B375,B375,H$7:H375,"&lt;&gt;",F$7:F375,F375),"")</f>
        <v/>
      </c>
      <c r="S375" s="72" t="str">
        <f aca="false">IF(R375="","",B375&amp;"-S"&amp;R375)</f>
        <v/>
      </c>
      <c r="T375" s="74" t="str">
        <f aca="false">IF(AND(ISNUMBER(F375),ISNUMBER(G375)),ROUND((G375-F375+1)/30.4375,1),"")</f>
        <v/>
      </c>
      <c r="U375" s="70" t="str">
        <f aca="false">IF(B375="","",IF(AND(N375="Sí",OR(E375="",NOT(ISNUMBER(F375)))),"⚠ Falta tipo de contrato o fecha de inicio",IF(NOT(ISNUMBER(F375)),"⚠ Falta fecha de inicio",IF(AND(N375="Sí",E375&lt;&gt;"Indefinido",NOT(ISNUMBER(G375))),"⚠ Falta fecha de término",IF(AND(D375="Paso a indefinido",E375&lt;&gt;"Indefinido"),"⚠ Un paso a indefinido debe tener tipo Indefinido",IF(N(Q375)&gt;=3,"⚠ 3er contrato a plazo fijo: por ley ya es INDEFINIDO (Art. 159 N°4)",IF(AND(E375="Plazo fijo",N(T375)&gt;12),"⚠ Plazo fijo mayor a 1 año (máx. legal; 2 años solo profesionales o técnicos)",IF(AND(ISNUMBER(G375),G375&lt;F375),"⚠ Término anterior al inicio",IF(AND(D375="Contrato inicial",ISNUMBER(J375),J375-F375&gt;15),"⚠ Escriturado fuera de plazo (Art. 9: 15 días)",IF(K375&lt;&gt;"Sí","Pendiente de firma","OK"))))))))))</f>
        <v/>
      </c>
    </row>
    <row r="376" customFormat="false" ht="15" hidden="false" customHeight="false" outlineLevel="0" collapsed="false">
      <c r="B376" s="64"/>
      <c r="C376" s="72" t="str">
        <f aca="false">IF(B376="","",IFERROR(INDEX(T_NOMBRE,MATCH(B376,T_ID,0)),"⚠ ID no existe en Trabajadores"))</f>
        <v/>
      </c>
      <c r="D376" s="64"/>
      <c r="E376" s="64"/>
      <c r="F376" s="65"/>
      <c r="G376" s="65"/>
      <c r="H376" s="67"/>
      <c r="I376" s="64"/>
      <c r="J376" s="65"/>
      <c r="K376" s="64"/>
      <c r="L376" s="64"/>
      <c r="M376" s="64"/>
      <c r="N376" s="72" t="str">
        <f aca="false">IF(B376="","",IF(D376="Anexo de modificación","No","Sí"))</f>
        <v/>
      </c>
      <c r="O376" s="73" t="str">
        <f aca="false">IF(AND(N376="Sí",ISNUMBER(F376)),COUNTIFS(C_ID,B376,C_DEFINE,"Sí",C_INICIO,"&lt;"&amp;F376)+COUNTIFS(B$7:B376,B376,N$7:N376,"Sí",F$7:F376,F376),"")</f>
        <v/>
      </c>
      <c r="P376" s="72" t="str">
        <f aca="false">IF(O376="","",B376&amp;"-P"&amp;O376)</f>
        <v/>
      </c>
      <c r="Q376" s="73" t="str">
        <f aca="false">IF(AND(N376="Sí",E376="Plazo fijo",ISNUMBER(F376)),COUNTIFS(C_ID,B376,C_TIPO,"Plazo fijo",C_DEFINE,"Sí",C_INICIO,"&lt;"&amp;F376)+COUNTIFS(B$7:B376,B376,E$7:E376,"Plazo fijo",N$7:N376,"Sí",F$7:F376,F376),"")</f>
        <v/>
      </c>
      <c r="R376" s="73" t="str">
        <f aca="false">IF(AND(B376&lt;&gt;"",ISNUMBER(H376),ISNUMBER(F376)),COUNTIFS(C_ID,B376,C_SUELDO,"&lt;&gt;",C_INICIO,"&lt;"&amp;F376)+COUNTIFS(B$7:B376,B376,H$7:H376,"&lt;&gt;",F$7:F376,F376),"")</f>
        <v/>
      </c>
      <c r="S376" s="72" t="str">
        <f aca="false">IF(R376="","",B376&amp;"-S"&amp;R376)</f>
        <v/>
      </c>
      <c r="T376" s="74" t="str">
        <f aca="false">IF(AND(ISNUMBER(F376),ISNUMBER(G376)),ROUND((G376-F376+1)/30.4375,1),"")</f>
        <v/>
      </c>
      <c r="U376" s="70" t="str">
        <f aca="false">IF(B376="","",IF(AND(N376="Sí",OR(E376="",NOT(ISNUMBER(F376)))),"⚠ Falta tipo de contrato o fecha de inicio",IF(NOT(ISNUMBER(F376)),"⚠ Falta fecha de inicio",IF(AND(N376="Sí",E376&lt;&gt;"Indefinido",NOT(ISNUMBER(G376))),"⚠ Falta fecha de término",IF(AND(D376="Paso a indefinido",E376&lt;&gt;"Indefinido"),"⚠ Un paso a indefinido debe tener tipo Indefinido",IF(N(Q376)&gt;=3,"⚠ 3er contrato a plazo fijo: por ley ya es INDEFINIDO (Art. 159 N°4)",IF(AND(E376="Plazo fijo",N(T376)&gt;12),"⚠ Plazo fijo mayor a 1 año (máx. legal; 2 años solo profesionales o técnicos)",IF(AND(ISNUMBER(G376),G376&lt;F376),"⚠ Término anterior al inicio",IF(AND(D376="Contrato inicial",ISNUMBER(J376),J376-F376&gt;15),"⚠ Escriturado fuera de plazo (Art. 9: 15 días)",IF(K376&lt;&gt;"Sí","Pendiente de firma","OK"))))))))))</f>
        <v/>
      </c>
    </row>
    <row r="377" customFormat="false" ht="15" hidden="false" customHeight="false" outlineLevel="0" collapsed="false">
      <c r="B377" s="64"/>
      <c r="C377" s="72" t="str">
        <f aca="false">IF(B377="","",IFERROR(INDEX(T_NOMBRE,MATCH(B377,T_ID,0)),"⚠ ID no existe en Trabajadores"))</f>
        <v/>
      </c>
      <c r="D377" s="64"/>
      <c r="E377" s="64"/>
      <c r="F377" s="65"/>
      <c r="G377" s="65"/>
      <c r="H377" s="67"/>
      <c r="I377" s="64"/>
      <c r="J377" s="65"/>
      <c r="K377" s="64"/>
      <c r="L377" s="64"/>
      <c r="M377" s="64"/>
      <c r="N377" s="72" t="str">
        <f aca="false">IF(B377="","",IF(D377="Anexo de modificación","No","Sí"))</f>
        <v/>
      </c>
      <c r="O377" s="73" t="str">
        <f aca="false">IF(AND(N377="Sí",ISNUMBER(F377)),COUNTIFS(C_ID,B377,C_DEFINE,"Sí",C_INICIO,"&lt;"&amp;F377)+COUNTIFS(B$7:B377,B377,N$7:N377,"Sí",F$7:F377,F377),"")</f>
        <v/>
      </c>
      <c r="P377" s="72" t="str">
        <f aca="false">IF(O377="","",B377&amp;"-P"&amp;O377)</f>
        <v/>
      </c>
      <c r="Q377" s="73" t="str">
        <f aca="false">IF(AND(N377="Sí",E377="Plazo fijo",ISNUMBER(F377)),COUNTIFS(C_ID,B377,C_TIPO,"Plazo fijo",C_DEFINE,"Sí",C_INICIO,"&lt;"&amp;F377)+COUNTIFS(B$7:B377,B377,E$7:E377,"Plazo fijo",N$7:N377,"Sí",F$7:F377,F377),"")</f>
        <v/>
      </c>
      <c r="R377" s="73" t="str">
        <f aca="false">IF(AND(B377&lt;&gt;"",ISNUMBER(H377),ISNUMBER(F377)),COUNTIFS(C_ID,B377,C_SUELDO,"&lt;&gt;",C_INICIO,"&lt;"&amp;F377)+COUNTIFS(B$7:B377,B377,H$7:H377,"&lt;&gt;",F$7:F377,F377),"")</f>
        <v/>
      </c>
      <c r="S377" s="72" t="str">
        <f aca="false">IF(R377="","",B377&amp;"-S"&amp;R377)</f>
        <v/>
      </c>
      <c r="T377" s="74" t="str">
        <f aca="false">IF(AND(ISNUMBER(F377),ISNUMBER(G377)),ROUND((G377-F377+1)/30.4375,1),"")</f>
        <v/>
      </c>
      <c r="U377" s="70" t="str">
        <f aca="false">IF(B377="","",IF(AND(N377="Sí",OR(E377="",NOT(ISNUMBER(F377)))),"⚠ Falta tipo de contrato o fecha de inicio",IF(NOT(ISNUMBER(F377)),"⚠ Falta fecha de inicio",IF(AND(N377="Sí",E377&lt;&gt;"Indefinido",NOT(ISNUMBER(G377))),"⚠ Falta fecha de término",IF(AND(D377="Paso a indefinido",E377&lt;&gt;"Indefinido"),"⚠ Un paso a indefinido debe tener tipo Indefinido",IF(N(Q377)&gt;=3,"⚠ 3er contrato a plazo fijo: por ley ya es INDEFINIDO (Art. 159 N°4)",IF(AND(E377="Plazo fijo",N(T377)&gt;12),"⚠ Plazo fijo mayor a 1 año (máx. legal; 2 años solo profesionales o técnicos)",IF(AND(ISNUMBER(G377),G377&lt;F377),"⚠ Término anterior al inicio",IF(AND(D377="Contrato inicial",ISNUMBER(J377),J377-F377&gt;15),"⚠ Escriturado fuera de plazo (Art. 9: 15 días)",IF(K377&lt;&gt;"Sí","Pendiente de firma","OK"))))))))))</f>
        <v/>
      </c>
    </row>
    <row r="378" customFormat="false" ht="15" hidden="false" customHeight="false" outlineLevel="0" collapsed="false">
      <c r="B378" s="64"/>
      <c r="C378" s="72" t="str">
        <f aca="false">IF(B378="","",IFERROR(INDEX(T_NOMBRE,MATCH(B378,T_ID,0)),"⚠ ID no existe en Trabajadores"))</f>
        <v/>
      </c>
      <c r="D378" s="64"/>
      <c r="E378" s="64"/>
      <c r="F378" s="65"/>
      <c r="G378" s="65"/>
      <c r="H378" s="67"/>
      <c r="I378" s="64"/>
      <c r="J378" s="65"/>
      <c r="K378" s="64"/>
      <c r="L378" s="64"/>
      <c r="M378" s="64"/>
      <c r="N378" s="72" t="str">
        <f aca="false">IF(B378="","",IF(D378="Anexo de modificación","No","Sí"))</f>
        <v/>
      </c>
      <c r="O378" s="73" t="str">
        <f aca="false">IF(AND(N378="Sí",ISNUMBER(F378)),COUNTIFS(C_ID,B378,C_DEFINE,"Sí",C_INICIO,"&lt;"&amp;F378)+COUNTIFS(B$7:B378,B378,N$7:N378,"Sí",F$7:F378,F378),"")</f>
        <v/>
      </c>
      <c r="P378" s="72" t="str">
        <f aca="false">IF(O378="","",B378&amp;"-P"&amp;O378)</f>
        <v/>
      </c>
      <c r="Q378" s="73" t="str">
        <f aca="false">IF(AND(N378="Sí",E378="Plazo fijo",ISNUMBER(F378)),COUNTIFS(C_ID,B378,C_TIPO,"Plazo fijo",C_DEFINE,"Sí",C_INICIO,"&lt;"&amp;F378)+COUNTIFS(B$7:B378,B378,E$7:E378,"Plazo fijo",N$7:N378,"Sí",F$7:F378,F378),"")</f>
        <v/>
      </c>
      <c r="R378" s="73" t="str">
        <f aca="false">IF(AND(B378&lt;&gt;"",ISNUMBER(H378),ISNUMBER(F378)),COUNTIFS(C_ID,B378,C_SUELDO,"&lt;&gt;",C_INICIO,"&lt;"&amp;F378)+COUNTIFS(B$7:B378,B378,H$7:H378,"&lt;&gt;",F$7:F378,F378),"")</f>
        <v/>
      </c>
      <c r="S378" s="72" t="str">
        <f aca="false">IF(R378="","",B378&amp;"-S"&amp;R378)</f>
        <v/>
      </c>
      <c r="T378" s="74" t="str">
        <f aca="false">IF(AND(ISNUMBER(F378),ISNUMBER(G378)),ROUND((G378-F378+1)/30.4375,1),"")</f>
        <v/>
      </c>
      <c r="U378" s="70" t="str">
        <f aca="false">IF(B378="","",IF(AND(N378="Sí",OR(E378="",NOT(ISNUMBER(F378)))),"⚠ Falta tipo de contrato o fecha de inicio",IF(NOT(ISNUMBER(F378)),"⚠ Falta fecha de inicio",IF(AND(N378="Sí",E378&lt;&gt;"Indefinido",NOT(ISNUMBER(G378))),"⚠ Falta fecha de término",IF(AND(D378="Paso a indefinido",E378&lt;&gt;"Indefinido"),"⚠ Un paso a indefinido debe tener tipo Indefinido",IF(N(Q378)&gt;=3,"⚠ 3er contrato a plazo fijo: por ley ya es INDEFINIDO (Art. 159 N°4)",IF(AND(E378="Plazo fijo",N(T378)&gt;12),"⚠ Plazo fijo mayor a 1 año (máx. legal; 2 años solo profesionales o técnicos)",IF(AND(ISNUMBER(G378),G378&lt;F378),"⚠ Término anterior al inicio",IF(AND(D378="Contrato inicial",ISNUMBER(J378),J378-F378&gt;15),"⚠ Escriturado fuera de plazo (Art. 9: 15 días)",IF(K378&lt;&gt;"Sí","Pendiente de firma","OK"))))))))))</f>
        <v/>
      </c>
    </row>
    <row r="379" customFormat="false" ht="15" hidden="false" customHeight="false" outlineLevel="0" collapsed="false">
      <c r="B379" s="64"/>
      <c r="C379" s="72" t="str">
        <f aca="false">IF(B379="","",IFERROR(INDEX(T_NOMBRE,MATCH(B379,T_ID,0)),"⚠ ID no existe en Trabajadores"))</f>
        <v/>
      </c>
      <c r="D379" s="64"/>
      <c r="E379" s="64"/>
      <c r="F379" s="65"/>
      <c r="G379" s="65"/>
      <c r="H379" s="67"/>
      <c r="I379" s="64"/>
      <c r="J379" s="65"/>
      <c r="K379" s="64"/>
      <c r="L379" s="64"/>
      <c r="M379" s="64"/>
      <c r="N379" s="72" t="str">
        <f aca="false">IF(B379="","",IF(D379="Anexo de modificación","No","Sí"))</f>
        <v/>
      </c>
      <c r="O379" s="73" t="str">
        <f aca="false">IF(AND(N379="Sí",ISNUMBER(F379)),COUNTIFS(C_ID,B379,C_DEFINE,"Sí",C_INICIO,"&lt;"&amp;F379)+COUNTIFS(B$7:B379,B379,N$7:N379,"Sí",F$7:F379,F379),"")</f>
        <v/>
      </c>
      <c r="P379" s="72" t="str">
        <f aca="false">IF(O379="","",B379&amp;"-P"&amp;O379)</f>
        <v/>
      </c>
      <c r="Q379" s="73" t="str">
        <f aca="false">IF(AND(N379="Sí",E379="Plazo fijo",ISNUMBER(F379)),COUNTIFS(C_ID,B379,C_TIPO,"Plazo fijo",C_DEFINE,"Sí",C_INICIO,"&lt;"&amp;F379)+COUNTIFS(B$7:B379,B379,E$7:E379,"Plazo fijo",N$7:N379,"Sí",F$7:F379,F379),"")</f>
        <v/>
      </c>
      <c r="R379" s="73" t="str">
        <f aca="false">IF(AND(B379&lt;&gt;"",ISNUMBER(H379),ISNUMBER(F379)),COUNTIFS(C_ID,B379,C_SUELDO,"&lt;&gt;",C_INICIO,"&lt;"&amp;F379)+COUNTIFS(B$7:B379,B379,H$7:H379,"&lt;&gt;",F$7:F379,F379),"")</f>
        <v/>
      </c>
      <c r="S379" s="72" t="str">
        <f aca="false">IF(R379="","",B379&amp;"-S"&amp;R379)</f>
        <v/>
      </c>
      <c r="T379" s="74" t="str">
        <f aca="false">IF(AND(ISNUMBER(F379),ISNUMBER(G379)),ROUND((G379-F379+1)/30.4375,1),"")</f>
        <v/>
      </c>
      <c r="U379" s="70" t="str">
        <f aca="false">IF(B379="","",IF(AND(N379="Sí",OR(E379="",NOT(ISNUMBER(F379)))),"⚠ Falta tipo de contrato o fecha de inicio",IF(NOT(ISNUMBER(F379)),"⚠ Falta fecha de inicio",IF(AND(N379="Sí",E379&lt;&gt;"Indefinido",NOT(ISNUMBER(G379))),"⚠ Falta fecha de término",IF(AND(D379="Paso a indefinido",E379&lt;&gt;"Indefinido"),"⚠ Un paso a indefinido debe tener tipo Indefinido",IF(N(Q379)&gt;=3,"⚠ 3er contrato a plazo fijo: por ley ya es INDEFINIDO (Art. 159 N°4)",IF(AND(E379="Plazo fijo",N(T379)&gt;12),"⚠ Plazo fijo mayor a 1 año (máx. legal; 2 años solo profesionales o técnicos)",IF(AND(ISNUMBER(G379),G379&lt;F379),"⚠ Término anterior al inicio",IF(AND(D379="Contrato inicial",ISNUMBER(J379),J379-F379&gt;15),"⚠ Escriturado fuera de plazo (Art. 9: 15 días)",IF(K379&lt;&gt;"Sí","Pendiente de firma","OK"))))))))))</f>
        <v/>
      </c>
    </row>
    <row r="380" customFormat="false" ht="15" hidden="false" customHeight="false" outlineLevel="0" collapsed="false">
      <c r="B380" s="64"/>
      <c r="C380" s="72" t="str">
        <f aca="false">IF(B380="","",IFERROR(INDEX(T_NOMBRE,MATCH(B380,T_ID,0)),"⚠ ID no existe en Trabajadores"))</f>
        <v/>
      </c>
      <c r="D380" s="64"/>
      <c r="E380" s="64"/>
      <c r="F380" s="65"/>
      <c r="G380" s="65"/>
      <c r="H380" s="67"/>
      <c r="I380" s="64"/>
      <c r="J380" s="65"/>
      <c r="K380" s="64"/>
      <c r="L380" s="64"/>
      <c r="M380" s="64"/>
      <c r="N380" s="72" t="str">
        <f aca="false">IF(B380="","",IF(D380="Anexo de modificación","No","Sí"))</f>
        <v/>
      </c>
      <c r="O380" s="73" t="str">
        <f aca="false">IF(AND(N380="Sí",ISNUMBER(F380)),COUNTIFS(C_ID,B380,C_DEFINE,"Sí",C_INICIO,"&lt;"&amp;F380)+COUNTIFS(B$7:B380,B380,N$7:N380,"Sí",F$7:F380,F380),"")</f>
        <v/>
      </c>
      <c r="P380" s="72" t="str">
        <f aca="false">IF(O380="","",B380&amp;"-P"&amp;O380)</f>
        <v/>
      </c>
      <c r="Q380" s="73" t="str">
        <f aca="false">IF(AND(N380="Sí",E380="Plazo fijo",ISNUMBER(F380)),COUNTIFS(C_ID,B380,C_TIPO,"Plazo fijo",C_DEFINE,"Sí",C_INICIO,"&lt;"&amp;F380)+COUNTIFS(B$7:B380,B380,E$7:E380,"Plazo fijo",N$7:N380,"Sí",F$7:F380,F380),"")</f>
        <v/>
      </c>
      <c r="R380" s="73" t="str">
        <f aca="false">IF(AND(B380&lt;&gt;"",ISNUMBER(H380),ISNUMBER(F380)),COUNTIFS(C_ID,B380,C_SUELDO,"&lt;&gt;",C_INICIO,"&lt;"&amp;F380)+COUNTIFS(B$7:B380,B380,H$7:H380,"&lt;&gt;",F$7:F380,F380),"")</f>
        <v/>
      </c>
      <c r="S380" s="72" t="str">
        <f aca="false">IF(R380="","",B380&amp;"-S"&amp;R380)</f>
        <v/>
      </c>
      <c r="T380" s="74" t="str">
        <f aca="false">IF(AND(ISNUMBER(F380),ISNUMBER(G380)),ROUND((G380-F380+1)/30.4375,1),"")</f>
        <v/>
      </c>
      <c r="U380" s="70" t="str">
        <f aca="false">IF(B380="","",IF(AND(N380="Sí",OR(E380="",NOT(ISNUMBER(F380)))),"⚠ Falta tipo de contrato o fecha de inicio",IF(NOT(ISNUMBER(F380)),"⚠ Falta fecha de inicio",IF(AND(N380="Sí",E380&lt;&gt;"Indefinido",NOT(ISNUMBER(G380))),"⚠ Falta fecha de término",IF(AND(D380="Paso a indefinido",E380&lt;&gt;"Indefinido"),"⚠ Un paso a indefinido debe tener tipo Indefinido",IF(N(Q380)&gt;=3,"⚠ 3er contrato a plazo fijo: por ley ya es INDEFINIDO (Art. 159 N°4)",IF(AND(E380="Plazo fijo",N(T380)&gt;12),"⚠ Plazo fijo mayor a 1 año (máx. legal; 2 años solo profesionales o técnicos)",IF(AND(ISNUMBER(G380),G380&lt;F380),"⚠ Término anterior al inicio",IF(AND(D380="Contrato inicial",ISNUMBER(J380),J380-F380&gt;15),"⚠ Escriturado fuera de plazo (Art. 9: 15 días)",IF(K380&lt;&gt;"Sí","Pendiente de firma","OK"))))))))))</f>
        <v/>
      </c>
    </row>
    <row r="381" customFormat="false" ht="15" hidden="false" customHeight="false" outlineLevel="0" collapsed="false">
      <c r="B381" s="64"/>
      <c r="C381" s="72" t="str">
        <f aca="false">IF(B381="","",IFERROR(INDEX(T_NOMBRE,MATCH(B381,T_ID,0)),"⚠ ID no existe en Trabajadores"))</f>
        <v/>
      </c>
      <c r="D381" s="64"/>
      <c r="E381" s="64"/>
      <c r="F381" s="65"/>
      <c r="G381" s="65"/>
      <c r="H381" s="67"/>
      <c r="I381" s="64"/>
      <c r="J381" s="65"/>
      <c r="K381" s="64"/>
      <c r="L381" s="64"/>
      <c r="M381" s="64"/>
      <c r="N381" s="72" t="str">
        <f aca="false">IF(B381="","",IF(D381="Anexo de modificación","No","Sí"))</f>
        <v/>
      </c>
      <c r="O381" s="73" t="str">
        <f aca="false">IF(AND(N381="Sí",ISNUMBER(F381)),COUNTIFS(C_ID,B381,C_DEFINE,"Sí",C_INICIO,"&lt;"&amp;F381)+COUNTIFS(B$7:B381,B381,N$7:N381,"Sí",F$7:F381,F381),"")</f>
        <v/>
      </c>
      <c r="P381" s="72" t="str">
        <f aca="false">IF(O381="","",B381&amp;"-P"&amp;O381)</f>
        <v/>
      </c>
      <c r="Q381" s="73" t="str">
        <f aca="false">IF(AND(N381="Sí",E381="Plazo fijo",ISNUMBER(F381)),COUNTIFS(C_ID,B381,C_TIPO,"Plazo fijo",C_DEFINE,"Sí",C_INICIO,"&lt;"&amp;F381)+COUNTIFS(B$7:B381,B381,E$7:E381,"Plazo fijo",N$7:N381,"Sí",F$7:F381,F381),"")</f>
        <v/>
      </c>
      <c r="R381" s="73" t="str">
        <f aca="false">IF(AND(B381&lt;&gt;"",ISNUMBER(H381),ISNUMBER(F381)),COUNTIFS(C_ID,B381,C_SUELDO,"&lt;&gt;",C_INICIO,"&lt;"&amp;F381)+COUNTIFS(B$7:B381,B381,H$7:H381,"&lt;&gt;",F$7:F381,F381),"")</f>
        <v/>
      </c>
      <c r="S381" s="72" t="str">
        <f aca="false">IF(R381="","",B381&amp;"-S"&amp;R381)</f>
        <v/>
      </c>
      <c r="T381" s="74" t="str">
        <f aca="false">IF(AND(ISNUMBER(F381),ISNUMBER(G381)),ROUND((G381-F381+1)/30.4375,1),"")</f>
        <v/>
      </c>
      <c r="U381" s="70" t="str">
        <f aca="false">IF(B381="","",IF(AND(N381="Sí",OR(E381="",NOT(ISNUMBER(F381)))),"⚠ Falta tipo de contrato o fecha de inicio",IF(NOT(ISNUMBER(F381)),"⚠ Falta fecha de inicio",IF(AND(N381="Sí",E381&lt;&gt;"Indefinido",NOT(ISNUMBER(G381))),"⚠ Falta fecha de término",IF(AND(D381="Paso a indefinido",E381&lt;&gt;"Indefinido"),"⚠ Un paso a indefinido debe tener tipo Indefinido",IF(N(Q381)&gt;=3,"⚠ 3er contrato a plazo fijo: por ley ya es INDEFINIDO (Art. 159 N°4)",IF(AND(E381="Plazo fijo",N(T381)&gt;12),"⚠ Plazo fijo mayor a 1 año (máx. legal; 2 años solo profesionales o técnicos)",IF(AND(ISNUMBER(G381),G381&lt;F381),"⚠ Término anterior al inicio",IF(AND(D381="Contrato inicial",ISNUMBER(J381),J381-F381&gt;15),"⚠ Escriturado fuera de plazo (Art. 9: 15 días)",IF(K381&lt;&gt;"Sí","Pendiente de firma","OK"))))))))))</f>
        <v/>
      </c>
    </row>
    <row r="382" customFormat="false" ht="15" hidden="false" customHeight="false" outlineLevel="0" collapsed="false">
      <c r="B382" s="64"/>
      <c r="C382" s="72" t="str">
        <f aca="false">IF(B382="","",IFERROR(INDEX(T_NOMBRE,MATCH(B382,T_ID,0)),"⚠ ID no existe en Trabajadores"))</f>
        <v/>
      </c>
      <c r="D382" s="64"/>
      <c r="E382" s="64"/>
      <c r="F382" s="65"/>
      <c r="G382" s="65"/>
      <c r="H382" s="67"/>
      <c r="I382" s="64"/>
      <c r="J382" s="65"/>
      <c r="K382" s="64"/>
      <c r="L382" s="64"/>
      <c r="M382" s="64"/>
      <c r="N382" s="72" t="str">
        <f aca="false">IF(B382="","",IF(D382="Anexo de modificación","No","Sí"))</f>
        <v/>
      </c>
      <c r="O382" s="73" t="str">
        <f aca="false">IF(AND(N382="Sí",ISNUMBER(F382)),COUNTIFS(C_ID,B382,C_DEFINE,"Sí",C_INICIO,"&lt;"&amp;F382)+COUNTIFS(B$7:B382,B382,N$7:N382,"Sí",F$7:F382,F382),"")</f>
        <v/>
      </c>
      <c r="P382" s="72" t="str">
        <f aca="false">IF(O382="","",B382&amp;"-P"&amp;O382)</f>
        <v/>
      </c>
      <c r="Q382" s="73" t="str">
        <f aca="false">IF(AND(N382="Sí",E382="Plazo fijo",ISNUMBER(F382)),COUNTIFS(C_ID,B382,C_TIPO,"Plazo fijo",C_DEFINE,"Sí",C_INICIO,"&lt;"&amp;F382)+COUNTIFS(B$7:B382,B382,E$7:E382,"Plazo fijo",N$7:N382,"Sí",F$7:F382,F382),"")</f>
        <v/>
      </c>
      <c r="R382" s="73" t="str">
        <f aca="false">IF(AND(B382&lt;&gt;"",ISNUMBER(H382),ISNUMBER(F382)),COUNTIFS(C_ID,B382,C_SUELDO,"&lt;&gt;",C_INICIO,"&lt;"&amp;F382)+COUNTIFS(B$7:B382,B382,H$7:H382,"&lt;&gt;",F$7:F382,F382),"")</f>
        <v/>
      </c>
      <c r="S382" s="72" t="str">
        <f aca="false">IF(R382="","",B382&amp;"-S"&amp;R382)</f>
        <v/>
      </c>
      <c r="T382" s="74" t="str">
        <f aca="false">IF(AND(ISNUMBER(F382),ISNUMBER(G382)),ROUND((G382-F382+1)/30.4375,1),"")</f>
        <v/>
      </c>
      <c r="U382" s="70" t="str">
        <f aca="false">IF(B382="","",IF(AND(N382="Sí",OR(E382="",NOT(ISNUMBER(F382)))),"⚠ Falta tipo de contrato o fecha de inicio",IF(NOT(ISNUMBER(F382)),"⚠ Falta fecha de inicio",IF(AND(N382="Sí",E382&lt;&gt;"Indefinido",NOT(ISNUMBER(G382))),"⚠ Falta fecha de término",IF(AND(D382="Paso a indefinido",E382&lt;&gt;"Indefinido"),"⚠ Un paso a indefinido debe tener tipo Indefinido",IF(N(Q382)&gt;=3,"⚠ 3er contrato a plazo fijo: por ley ya es INDEFINIDO (Art. 159 N°4)",IF(AND(E382="Plazo fijo",N(T382)&gt;12),"⚠ Plazo fijo mayor a 1 año (máx. legal; 2 años solo profesionales o técnicos)",IF(AND(ISNUMBER(G382),G382&lt;F382),"⚠ Término anterior al inicio",IF(AND(D382="Contrato inicial",ISNUMBER(J382),J382-F382&gt;15),"⚠ Escriturado fuera de plazo (Art. 9: 15 días)",IF(K382&lt;&gt;"Sí","Pendiente de firma","OK"))))))))))</f>
        <v/>
      </c>
    </row>
    <row r="383" customFormat="false" ht="15" hidden="false" customHeight="false" outlineLevel="0" collapsed="false">
      <c r="B383" s="64"/>
      <c r="C383" s="72" t="str">
        <f aca="false">IF(B383="","",IFERROR(INDEX(T_NOMBRE,MATCH(B383,T_ID,0)),"⚠ ID no existe en Trabajadores"))</f>
        <v/>
      </c>
      <c r="D383" s="64"/>
      <c r="E383" s="64"/>
      <c r="F383" s="65"/>
      <c r="G383" s="65"/>
      <c r="H383" s="67"/>
      <c r="I383" s="64"/>
      <c r="J383" s="65"/>
      <c r="K383" s="64"/>
      <c r="L383" s="64"/>
      <c r="M383" s="64"/>
      <c r="N383" s="72" t="str">
        <f aca="false">IF(B383="","",IF(D383="Anexo de modificación","No","Sí"))</f>
        <v/>
      </c>
      <c r="O383" s="73" t="str">
        <f aca="false">IF(AND(N383="Sí",ISNUMBER(F383)),COUNTIFS(C_ID,B383,C_DEFINE,"Sí",C_INICIO,"&lt;"&amp;F383)+COUNTIFS(B$7:B383,B383,N$7:N383,"Sí",F$7:F383,F383),"")</f>
        <v/>
      </c>
      <c r="P383" s="72" t="str">
        <f aca="false">IF(O383="","",B383&amp;"-P"&amp;O383)</f>
        <v/>
      </c>
      <c r="Q383" s="73" t="str">
        <f aca="false">IF(AND(N383="Sí",E383="Plazo fijo",ISNUMBER(F383)),COUNTIFS(C_ID,B383,C_TIPO,"Plazo fijo",C_DEFINE,"Sí",C_INICIO,"&lt;"&amp;F383)+COUNTIFS(B$7:B383,B383,E$7:E383,"Plazo fijo",N$7:N383,"Sí",F$7:F383,F383),"")</f>
        <v/>
      </c>
      <c r="R383" s="73" t="str">
        <f aca="false">IF(AND(B383&lt;&gt;"",ISNUMBER(H383),ISNUMBER(F383)),COUNTIFS(C_ID,B383,C_SUELDO,"&lt;&gt;",C_INICIO,"&lt;"&amp;F383)+COUNTIFS(B$7:B383,B383,H$7:H383,"&lt;&gt;",F$7:F383,F383),"")</f>
        <v/>
      </c>
      <c r="S383" s="72" t="str">
        <f aca="false">IF(R383="","",B383&amp;"-S"&amp;R383)</f>
        <v/>
      </c>
      <c r="T383" s="74" t="str">
        <f aca="false">IF(AND(ISNUMBER(F383),ISNUMBER(G383)),ROUND((G383-F383+1)/30.4375,1),"")</f>
        <v/>
      </c>
      <c r="U383" s="70" t="str">
        <f aca="false">IF(B383="","",IF(AND(N383="Sí",OR(E383="",NOT(ISNUMBER(F383)))),"⚠ Falta tipo de contrato o fecha de inicio",IF(NOT(ISNUMBER(F383)),"⚠ Falta fecha de inicio",IF(AND(N383="Sí",E383&lt;&gt;"Indefinido",NOT(ISNUMBER(G383))),"⚠ Falta fecha de término",IF(AND(D383="Paso a indefinido",E383&lt;&gt;"Indefinido"),"⚠ Un paso a indefinido debe tener tipo Indefinido",IF(N(Q383)&gt;=3,"⚠ 3er contrato a plazo fijo: por ley ya es INDEFINIDO (Art. 159 N°4)",IF(AND(E383="Plazo fijo",N(T383)&gt;12),"⚠ Plazo fijo mayor a 1 año (máx. legal; 2 años solo profesionales o técnicos)",IF(AND(ISNUMBER(G383),G383&lt;F383),"⚠ Término anterior al inicio",IF(AND(D383="Contrato inicial",ISNUMBER(J383),J383-F383&gt;15),"⚠ Escriturado fuera de plazo (Art. 9: 15 días)",IF(K383&lt;&gt;"Sí","Pendiente de firma","OK"))))))))))</f>
        <v/>
      </c>
    </row>
    <row r="384" customFormat="false" ht="15" hidden="false" customHeight="false" outlineLevel="0" collapsed="false">
      <c r="B384" s="64"/>
      <c r="C384" s="72" t="str">
        <f aca="false">IF(B384="","",IFERROR(INDEX(T_NOMBRE,MATCH(B384,T_ID,0)),"⚠ ID no existe en Trabajadores"))</f>
        <v/>
      </c>
      <c r="D384" s="64"/>
      <c r="E384" s="64"/>
      <c r="F384" s="65"/>
      <c r="G384" s="65"/>
      <c r="H384" s="67"/>
      <c r="I384" s="64"/>
      <c r="J384" s="65"/>
      <c r="K384" s="64"/>
      <c r="L384" s="64"/>
      <c r="M384" s="64"/>
      <c r="N384" s="72" t="str">
        <f aca="false">IF(B384="","",IF(D384="Anexo de modificación","No","Sí"))</f>
        <v/>
      </c>
      <c r="O384" s="73" t="str">
        <f aca="false">IF(AND(N384="Sí",ISNUMBER(F384)),COUNTIFS(C_ID,B384,C_DEFINE,"Sí",C_INICIO,"&lt;"&amp;F384)+COUNTIFS(B$7:B384,B384,N$7:N384,"Sí",F$7:F384,F384),"")</f>
        <v/>
      </c>
      <c r="P384" s="72" t="str">
        <f aca="false">IF(O384="","",B384&amp;"-P"&amp;O384)</f>
        <v/>
      </c>
      <c r="Q384" s="73" t="str">
        <f aca="false">IF(AND(N384="Sí",E384="Plazo fijo",ISNUMBER(F384)),COUNTIFS(C_ID,B384,C_TIPO,"Plazo fijo",C_DEFINE,"Sí",C_INICIO,"&lt;"&amp;F384)+COUNTIFS(B$7:B384,B384,E$7:E384,"Plazo fijo",N$7:N384,"Sí",F$7:F384,F384),"")</f>
        <v/>
      </c>
      <c r="R384" s="73" t="str">
        <f aca="false">IF(AND(B384&lt;&gt;"",ISNUMBER(H384),ISNUMBER(F384)),COUNTIFS(C_ID,B384,C_SUELDO,"&lt;&gt;",C_INICIO,"&lt;"&amp;F384)+COUNTIFS(B$7:B384,B384,H$7:H384,"&lt;&gt;",F$7:F384,F384),"")</f>
        <v/>
      </c>
      <c r="S384" s="72" t="str">
        <f aca="false">IF(R384="","",B384&amp;"-S"&amp;R384)</f>
        <v/>
      </c>
      <c r="T384" s="74" t="str">
        <f aca="false">IF(AND(ISNUMBER(F384),ISNUMBER(G384)),ROUND((G384-F384+1)/30.4375,1),"")</f>
        <v/>
      </c>
      <c r="U384" s="70" t="str">
        <f aca="false">IF(B384="","",IF(AND(N384="Sí",OR(E384="",NOT(ISNUMBER(F384)))),"⚠ Falta tipo de contrato o fecha de inicio",IF(NOT(ISNUMBER(F384)),"⚠ Falta fecha de inicio",IF(AND(N384="Sí",E384&lt;&gt;"Indefinido",NOT(ISNUMBER(G384))),"⚠ Falta fecha de término",IF(AND(D384="Paso a indefinido",E384&lt;&gt;"Indefinido"),"⚠ Un paso a indefinido debe tener tipo Indefinido",IF(N(Q384)&gt;=3,"⚠ 3er contrato a plazo fijo: por ley ya es INDEFINIDO (Art. 159 N°4)",IF(AND(E384="Plazo fijo",N(T384)&gt;12),"⚠ Plazo fijo mayor a 1 año (máx. legal; 2 años solo profesionales o técnicos)",IF(AND(ISNUMBER(G384),G384&lt;F384),"⚠ Término anterior al inicio",IF(AND(D384="Contrato inicial",ISNUMBER(J384),J384-F384&gt;15),"⚠ Escriturado fuera de plazo (Art. 9: 15 días)",IF(K384&lt;&gt;"Sí","Pendiente de firma","OK"))))))))))</f>
        <v/>
      </c>
    </row>
    <row r="385" customFormat="false" ht="15" hidden="false" customHeight="false" outlineLevel="0" collapsed="false">
      <c r="B385" s="64"/>
      <c r="C385" s="72" t="str">
        <f aca="false">IF(B385="","",IFERROR(INDEX(T_NOMBRE,MATCH(B385,T_ID,0)),"⚠ ID no existe en Trabajadores"))</f>
        <v/>
      </c>
      <c r="D385" s="64"/>
      <c r="E385" s="64"/>
      <c r="F385" s="65"/>
      <c r="G385" s="65"/>
      <c r="H385" s="67"/>
      <c r="I385" s="64"/>
      <c r="J385" s="65"/>
      <c r="K385" s="64"/>
      <c r="L385" s="64"/>
      <c r="M385" s="64"/>
      <c r="N385" s="72" t="str">
        <f aca="false">IF(B385="","",IF(D385="Anexo de modificación","No","Sí"))</f>
        <v/>
      </c>
      <c r="O385" s="73" t="str">
        <f aca="false">IF(AND(N385="Sí",ISNUMBER(F385)),COUNTIFS(C_ID,B385,C_DEFINE,"Sí",C_INICIO,"&lt;"&amp;F385)+COUNTIFS(B$7:B385,B385,N$7:N385,"Sí",F$7:F385,F385),"")</f>
        <v/>
      </c>
      <c r="P385" s="72" t="str">
        <f aca="false">IF(O385="","",B385&amp;"-P"&amp;O385)</f>
        <v/>
      </c>
      <c r="Q385" s="73" t="str">
        <f aca="false">IF(AND(N385="Sí",E385="Plazo fijo",ISNUMBER(F385)),COUNTIFS(C_ID,B385,C_TIPO,"Plazo fijo",C_DEFINE,"Sí",C_INICIO,"&lt;"&amp;F385)+COUNTIFS(B$7:B385,B385,E$7:E385,"Plazo fijo",N$7:N385,"Sí",F$7:F385,F385),"")</f>
        <v/>
      </c>
      <c r="R385" s="73" t="str">
        <f aca="false">IF(AND(B385&lt;&gt;"",ISNUMBER(H385),ISNUMBER(F385)),COUNTIFS(C_ID,B385,C_SUELDO,"&lt;&gt;",C_INICIO,"&lt;"&amp;F385)+COUNTIFS(B$7:B385,B385,H$7:H385,"&lt;&gt;",F$7:F385,F385),"")</f>
        <v/>
      </c>
      <c r="S385" s="72" t="str">
        <f aca="false">IF(R385="","",B385&amp;"-S"&amp;R385)</f>
        <v/>
      </c>
      <c r="T385" s="74" t="str">
        <f aca="false">IF(AND(ISNUMBER(F385),ISNUMBER(G385)),ROUND((G385-F385+1)/30.4375,1),"")</f>
        <v/>
      </c>
      <c r="U385" s="70" t="str">
        <f aca="false">IF(B385="","",IF(AND(N385="Sí",OR(E385="",NOT(ISNUMBER(F385)))),"⚠ Falta tipo de contrato o fecha de inicio",IF(NOT(ISNUMBER(F385)),"⚠ Falta fecha de inicio",IF(AND(N385="Sí",E385&lt;&gt;"Indefinido",NOT(ISNUMBER(G385))),"⚠ Falta fecha de término",IF(AND(D385="Paso a indefinido",E385&lt;&gt;"Indefinido"),"⚠ Un paso a indefinido debe tener tipo Indefinido",IF(N(Q385)&gt;=3,"⚠ 3er contrato a plazo fijo: por ley ya es INDEFINIDO (Art. 159 N°4)",IF(AND(E385="Plazo fijo",N(T385)&gt;12),"⚠ Plazo fijo mayor a 1 año (máx. legal; 2 años solo profesionales o técnicos)",IF(AND(ISNUMBER(G385),G385&lt;F385),"⚠ Término anterior al inicio",IF(AND(D385="Contrato inicial",ISNUMBER(J385),J385-F385&gt;15),"⚠ Escriturado fuera de plazo (Art. 9: 15 días)",IF(K385&lt;&gt;"Sí","Pendiente de firma","OK"))))))))))</f>
        <v/>
      </c>
    </row>
    <row r="386" customFormat="false" ht="15" hidden="false" customHeight="false" outlineLevel="0" collapsed="false">
      <c r="B386" s="64"/>
      <c r="C386" s="72" t="str">
        <f aca="false">IF(B386="","",IFERROR(INDEX(T_NOMBRE,MATCH(B386,T_ID,0)),"⚠ ID no existe en Trabajadores"))</f>
        <v/>
      </c>
      <c r="D386" s="64"/>
      <c r="E386" s="64"/>
      <c r="F386" s="65"/>
      <c r="G386" s="65"/>
      <c r="H386" s="67"/>
      <c r="I386" s="64"/>
      <c r="J386" s="65"/>
      <c r="K386" s="64"/>
      <c r="L386" s="64"/>
      <c r="M386" s="64"/>
      <c r="N386" s="72" t="str">
        <f aca="false">IF(B386="","",IF(D386="Anexo de modificación","No","Sí"))</f>
        <v/>
      </c>
      <c r="O386" s="73" t="str">
        <f aca="false">IF(AND(N386="Sí",ISNUMBER(F386)),COUNTIFS(C_ID,B386,C_DEFINE,"Sí",C_INICIO,"&lt;"&amp;F386)+COUNTIFS(B$7:B386,B386,N$7:N386,"Sí",F$7:F386,F386),"")</f>
        <v/>
      </c>
      <c r="P386" s="72" t="str">
        <f aca="false">IF(O386="","",B386&amp;"-P"&amp;O386)</f>
        <v/>
      </c>
      <c r="Q386" s="73" t="str">
        <f aca="false">IF(AND(N386="Sí",E386="Plazo fijo",ISNUMBER(F386)),COUNTIFS(C_ID,B386,C_TIPO,"Plazo fijo",C_DEFINE,"Sí",C_INICIO,"&lt;"&amp;F386)+COUNTIFS(B$7:B386,B386,E$7:E386,"Plazo fijo",N$7:N386,"Sí",F$7:F386,F386),"")</f>
        <v/>
      </c>
      <c r="R386" s="73" t="str">
        <f aca="false">IF(AND(B386&lt;&gt;"",ISNUMBER(H386),ISNUMBER(F386)),COUNTIFS(C_ID,B386,C_SUELDO,"&lt;&gt;",C_INICIO,"&lt;"&amp;F386)+COUNTIFS(B$7:B386,B386,H$7:H386,"&lt;&gt;",F$7:F386,F386),"")</f>
        <v/>
      </c>
      <c r="S386" s="72" t="str">
        <f aca="false">IF(R386="","",B386&amp;"-S"&amp;R386)</f>
        <v/>
      </c>
      <c r="T386" s="74" t="str">
        <f aca="false">IF(AND(ISNUMBER(F386),ISNUMBER(G386)),ROUND((G386-F386+1)/30.4375,1),"")</f>
        <v/>
      </c>
      <c r="U386" s="70" t="str">
        <f aca="false">IF(B386="","",IF(AND(N386="Sí",OR(E386="",NOT(ISNUMBER(F386)))),"⚠ Falta tipo de contrato o fecha de inicio",IF(NOT(ISNUMBER(F386)),"⚠ Falta fecha de inicio",IF(AND(N386="Sí",E386&lt;&gt;"Indefinido",NOT(ISNUMBER(G386))),"⚠ Falta fecha de término",IF(AND(D386="Paso a indefinido",E386&lt;&gt;"Indefinido"),"⚠ Un paso a indefinido debe tener tipo Indefinido",IF(N(Q386)&gt;=3,"⚠ 3er contrato a plazo fijo: por ley ya es INDEFINIDO (Art. 159 N°4)",IF(AND(E386="Plazo fijo",N(T386)&gt;12),"⚠ Plazo fijo mayor a 1 año (máx. legal; 2 años solo profesionales o técnicos)",IF(AND(ISNUMBER(G386),G386&lt;F386),"⚠ Término anterior al inicio",IF(AND(D386="Contrato inicial",ISNUMBER(J386),J386-F386&gt;15),"⚠ Escriturado fuera de plazo (Art. 9: 15 días)",IF(K386&lt;&gt;"Sí","Pendiente de firma","OK"))))))))))</f>
        <v/>
      </c>
    </row>
    <row r="387" customFormat="false" ht="15" hidden="false" customHeight="false" outlineLevel="0" collapsed="false">
      <c r="B387" s="64"/>
      <c r="C387" s="72" t="str">
        <f aca="false">IF(B387="","",IFERROR(INDEX(T_NOMBRE,MATCH(B387,T_ID,0)),"⚠ ID no existe en Trabajadores"))</f>
        <v/>
      </c>
      <c r="D387" s="64"/>
      <c r="E387" s="64"/>
      <c r="F387" s="65"/>
      <c r="G387" s="65"/>
      <c r="H387" s="67"/>
      <c r="I387" s="64"/>
      <c r="J387" s="65"/>
      <c r="K387" s="64"/>
      <c r="L387" s="64"/>
      <c r="M387" s="64"/>
      <c r="N387" s="72" t="str">
        <f aca="false">IF(B387="","",IF(D387="Anexo de modificación","No","Sí"))</f>
        <v/>
      </c>
      <c r="O387" s="73" t="str">
        <f aca="false">IF(AND(N387="Sí",ISNUMBER(F387)),COUNTIFS(C_ID,B387,C_DEFINE,"Sí",C_INICIO,"&lt;"&amp;F387)+COUNTIFS(B$7:B387,B387,N$7:N387,"Sí",F$7:F387,F387),"")</f>
        <v/>
      </c>
      <c r="P387" s="72" t="str">
        <f aca="false">IF(O387="","",B387&amp;"-P"&amp;O387)</f>
        <v/>
      </c>
      <c r="Q387" s="73" t="str">
        <f aca="false">IF(AND(N387="Sí",E387="Plazo fijo",ISNUMBER(F387)),COUNTIFS(C_ID,B387,C_TIPO,"Plazo fijo",C_DEFINE,"Sí",C_INICIO,"&lt;"&amp;F387)+COUNTIFS(B$7:B387,B387,E$7:E387,"Plazo fijo",N$7:N387,"Sí",F$7:F387,F387),"")</f>
        <v/>
      </c>
      <c r="R387" s="73" t="str">
        <f aca="false">IF(AND(B387&lt;&gt;"",ISNUMBER(H387),ISNUMBER(F387)),COUNTIFS(C_ID,B387,C_SUELDO,"&lt;&gt;",C_INICIO,"&lt;"&amp;F387)+COUNTIFS(B$7:B387,B387,H$7:H387,"&lt;&gt;",F$7:F387,F387),"")</f>
        <v/>
      </c>
      <c r="S387" s="72" t="str">
        <f aca="false">IF(R387="","",B387&amp;"-S"&amp;R387)</f>
        <v/>
      </c>
      <c r="T387" s="74" t="str">
        <f aca="false">IF(AND(ISNUMBER(F387),ISNUMBER(G387)),ROUND((G387-F387+1)/30.4375,1),"")</f>
        <v/>
      </c>
      <c r="U387" s="70" t="str">
        <f aca="false">IF(B387="","",IF(AND(N387="Sí",OR(E387="",NOT(ISNUMBER(F387)))),"⚠ Falta tipo de contrato o fecha de inicio",IF(NOT(ISNUMBER(F387)),"⚠ Falta fecha de inicio",IF(AND(N387="Sí",E387&lt;&gt;"Indefinido",NOT(ISNUMBER(G387))),"⚠ Falta fecha de término",IF(AND(D387="Paso a indefinido",E387&lt;&gt;"Indefinido"),"⚠ Un paso a indefinido debe tener tipo Indefinido",IF(N(Q387)&gt;=3,"⚠ 3er contrato a plazo fijo: por ley ya es INDEFINIDO (Art. 159 N°4)",IF(AND(E387="Plazo fijo",N(T387)&gt;12),"⚠ Plazo fijo mayor a 1 año (máx. legal; 2 años solo profesionales o técnicos)",IF(AND(ISNUMBER(G387),G387&lt;F387),"⚠ Término anterior al inicio",IF(AND(D387="Contrato inicial",ISNUMBER(J387),J387-F387&gt;15),"⚠ Escriturado fuera de plazo (Art. 9: 15 días)",IF(K387&lt;&gt;"Sí","Pendiente de firma","OK"))))))))))</f>
        <v/>
      </c>
    </row>
    <row r="388" customFormat="false" ht="15" hidden="false" customHeight="false" outlineLevel="0" collapsed="false">
      <c r="B388" s="64"/>
      <c r="C388" s="72" t="str">
        <f aca="false">IF(B388="","",IFERROR(INDEX(T_NOMBRE,MATCH(B388,T_ID,0)),"⚠ ID no existe en Trabajadores"))</f>
        <v/>
      </c>
      <c r="D388" s="64"/>
      <c r="E388" s="64"/>
      <c r="F388" s="65"/>
      <c r="G388" s="65"/>
      <c r="H388" s="67"/>
      <c r="I388" s="64"/>
      <c r="J388" s="65"/>
      <c r="K388" s="64"/>
      <c r="L388" s="64"/>
      <c r="M388" s="64"/>
      <c r="N388" s="72" t="str">
        <f aca="false">IF(B388="","",IF(D388="Anexo de modificación","No","Sí"))</f>
        <v/>
      </c>
      <c r="O388" s="73" t="str">
        <f aca="false">IF(AND(N388="Sí",ISNUMBER(F388)),COUNTIFS(C_ID,B388,C_DEFINE,"Sí",C_INICIO,"&lt;"&amp;F388)+COUNTIFS(B$7:B388,B388,N$7:N388,"Sí",F$7:F388,F388),"")</f>
        <v/>
      </c>
      <c r="P388" s="72" t="str">
        <f aca="false">IF(O388="","",B388&amp;"-P"&amp;O388)</f>
        <v/>
      </c>
      <c r="Q388" s="73" t="str">
        <f aca="false">IF(AND(N388="Sí",E388="Plazo fijo",ISNUMBER(F388)),COUNTIFS(C_ID,B388,C_TIPO,"Plazo fijo",C_DEFINE,"Sí",C_INICIO,"&lt;"&amp;F388)+COUNTIFS(B$7:B388,B388,E$7:E388,"Plazo fijo",N$7:N388,"Sí",F$7:F388,F388),"")</f>
        <v/>
      </c>
      <c r="R388" s="73" t="str">
        <f aca="false">IF(AND(B388&lt;&gt;"",ISNUMBER(H388),ISNUMBER(F388)),COUNTIFS(C_ID,B388,C_SUELDO,"&lt;&gt;",C_INICIO,"&lt;"&amp;F388)+COUNTIFS(B$7:B388,B388,H$7:H388,"&lt;&gt;",F$7:F388,F388),"")</f>
        <v/>
      </c>
      <c r="S388" s="72" t="str">
        <f aca="false">IF(R388="","",B388&amp;"-S"&amp;R388)</f>
        <v/>
      </c>
      <c r="T388" s="74" t="str">
        <f aca="false">IF(AND(ISNUMBER(F388),ISNUMBER(G388)),ROUND((G388-F388+1)/30.4375,1),"")</f>
        <v/>
      </c>
      <c r="U388" s="70" t="str">
        <f aca="false">IF(B388="","",IF(AND(N388="Sí",OR(E388="",NOT(ISNUMBER(F388)))),"⚠ Falta tipo de contrato o fecha de inicio",IF(NOT(ISNUMBER(F388)),"⚠ Falta fecha de inicio",IF(AND(N388="Sí",E388&lt;&gt;"Indefinido",NOT(ISNUMBER(G388))),"⚠ Falta fecha de término",IF(AND(D388="Paso a indefinido",E388&lt;&gt;"Indefinido"),"⚠ Un paso a indefinido debe tener tipo Indefinido",IF(N(Q388)&gt;=3,"⚠ 3er contrato a plazo fijo: por ley ya es INDEFINIDO (Art. 159 N°4)",IF(AND(E388="Plazo fijo",N(T388)&gt;12),"⚠ Plazo fijo mayor a 1 año (máx. legal; 2 años solo profesionales o técnicos)",IF(AND(ISNUMBER(G388),G388&lt;F388),"⚠ Término anterior al inicio",IF(AND(D388="Contrato inicial",ISNUMBER(J388),J388-F388&gt;15),"⚠ Escriturado fuera de plazo (Art. 9: 15 días)",IF(K388&lt;&gt;"Sí","Pendiente de firma","OK"))))))))))</f>
        <v/>
      </c>
    </row>
    <row r="389" customFormat="false" ht="15" hidden="false" customHeight="false" outlineLevel="0" collapsed="false">
      <c r="B389" s="64"/>
      <c r="C389" s="72" t="str">
        <f aca="false">IF(B389="","",IFERROR(INDEX(T_NOMBRE,MATCH(B389,T_ID,0)),"⚠ ID no existe en Trabajadores"))</f>
        <v/>
      </c>
      <c r="D389" s="64"/>
      <c r="E389" s="64"/>
      <c r="F389" s="65"/>
      <c r="G389" s="65"/>
      <c r="H389" s="67"/>
      <c r="I389" s="64"/>
      <c r="J389" s="65"/>
      <c r="K389" s="64"/>
      <c r="L389" s="64"/>
      <c r="M389" s="64"/>
      <c r="N389" s="72" t="str">
        <f aca="false">IF(B389="","",IF(D389="Anexo de modificación","No","Sí"))</f>
        <v/>
      </c>
      <c r="O389" s="73" t="str">
        <f aca="false">IF(AND(N389="Sí",ISNUMBER(F389)),COUNTIFS(C_ID,B389,C_DEFINE,"Sí",C_INICIO,"&lt;"&amp;F389)+COUNTIFS(B$7:B389,B389,N$7:N389,"Sí",F$7:F389,F389),"")</f>
        <v/>
      </c>
      <c r="P389" s="72" t="str">
        <f aca="false">IF(O389="","",B389&amp;"-P"&amp;O389)</f>
        <v/>
      </c>
      <c r="Q389" s="73" t="str">
        <f aca="false">IF(AND(N389="Sí",E389="Plazo fijo",ISNUMBER(F389)),COUNTIFS(C_ID,B389,C_TIPO,"Plazo fijo",C_DEFINE,"Sí",C_INICIO,"&lt;"&amp;F389)+COUNTIFS(B$7:B389,B389,E$7:E389,"Plazo fijo",N$7:N389,"Sí",F$7:F389,F389),"")</f>
        <v/>
      </c>
      <c r="R389" s="73" t="str">
        <f aca="false">IF(AND(B389&lt;&gt;"",ISNUMBER(H389),ISNUMBER(F389)),COUNTIFS(C_ID,B389,C_SUELDO,"&lt;&gt;",C_INICIO,"&lt;"&amp;F389)+COUNTIFS(B$7:B389,B389,H$7:H389,"&lt;&gt;",F$7:F389,F389),"")</f>
        <v/>
      </c>
      <c r="S389" s="72" t="str">
        <f aca="false">IF(R389="","",B389&amp;"-S"&amp;R389)</f>
        <v/>
      </c>
      <c r="T389" s="74" t="str">
        <f aca="false">IF(AND(ISNUMBER(F389),ISNUMBER(G389)),ROUND((G389-F389+1)/30.4375,1),"")</f>
        <v/>
      </c>
      <c r="U389" s="70" t="str">
        <f aca="false">IF(B389="","",IF(AND(N389="Sí",OR(E389="",NOT(ISNUMBER(F389)))),"⚠ Falta tipo de contrato o fecha de inicio",IF(NOT(ISNUMBER(F389)),"⚠ Falta fecha de inicio",IF(AND(N389="Sí",E389&lt;&gt;"Indefinido",NOT(ISNUMBER(G389))),"⚠ Falta fecha de término",IF(AND(D389="Paso a indefinido",E389&lt;&gt;"Indefinido"),"⚠ Un paso a indefinido debe tener tipo Indefinido",IF(N(Q389)&gt;=3,"⚠ 3er contrato a plazo fijo: por ley ya es INDEFINIDO (Art. 159 N°4)",IF(AND(E389="Plazo fijo",N(T389)&gt;12),"⚠ Plazo fijo mayor a 1 año (máx. legal; 2 años solo profesionales o técnicos)",IF(AND(ISNUMBER(G389),G389&lt;F389),"⚠ Término anterior al inicio",IF(AND(D389="Contrato inicial",ISNUMBER(J389),J389-F389&gt;15),"⚠ Escriturado fuera de plazo (Art. 9: 15 días)",IF(K389&lt;&gt;"Sí","Pendiente de firma","OK"))))))))))</f>
        <v/>
      </c>
    </row>
    <row r="390" customFormat="false" ht="15" hidden="false" customHeight="false" outlineLevel="0" collapsed="false">
      <c r="B390" s="64"/>
      <c r="C390" s="72" t="str">
        <f aca="false">IF(B390="","",IFERROR(INDEX(T_NOMBRE,MATCH(B390,T_ID,0)),"⚠ ID no existe en Trabajadores"))</f>
        <v/>
      </c>
      <c r="D390" s="64"/>
      <c r="E390" s="64"/>
      <c r="F390" s="65"/>
      <c r="G390" s="65"/>
      <c r="H390" s="67"/>
      <c r="I390" s="64"/>
      <c r="J390" s="65"/>
      <c r="K390" s="64"/>
      <c r="L390" s="64"/>
      <c r="M390" s="64"/>
      <c r="N390" s="72" t="str">
        <f aca="false">IF(B390="","",IF(D390="Anexo de modificación","No","Sí"))</f>
        <v/>
      </c>
      <c r="O390" s="73" t="str">
        <f aca="false">IF(AND(N390="Sí",ISNUMBER(F390)),COUNTIFS(C_ID,B390,C_DEFINE,"Sí",C_INICIO,"&lt;"&amp;F390)+COUNTIFS(B$7:B390,B390,N$7:N390,"Sí",F$7:F390,F390),"")</f>
        <v/>
      </c>
      <c r="P390" s="72" t="str">
        <f aca="false">IF(O390="","",B390&amp;"-P"&amp;O390)</f>
        <v/>
      </c>
      <c r="Q390" s="73" t="str">
        <f aca="false">IF(AND(N390="Sí",E390="Plazo fijo",ISNUMBER(F390)),COUNTIFS(C_ID,B390,C_TIPO,"Plazo fijo",C_DEFINE,"Sí",C_INICIO,"&lt;"&amp;F390)+COUNTIFS(B$7:B390,B390,E$7:E390,"Plazo fijo",N$7:N390,"Sí",F$7:F390,F390),"")</f>
        <v/>
      </c>
      <c r="R390" s="73" t="str">
        <f aca="false">IF(AND(B390&lt;&gt;"",ISNUMBER(H390),ISNUMBER(F390)),COUNTIFS(C_ID,B390,C_SUELDO,"&lt;&gt;",C_INICIO,"&lt;"&amp;F390)+COUNTIFS(B$7:B390,B390,H$7:H390,"&lt;&gt;",F$7:F390,F390),"")</f>
        <v/>
      </c>
      <c r="S390" s="72" t="str">
        <f aca="false">IF(R390="","",B390&amp;"-S"&amp;R390)</f>
        <v/>
      </c>
      <c r="T390" s="74" t="str">
        <f aca="false">IF(AND(ISNUMBER(F390),ISNUMBER(G390)),ROUND((G390-F390+1)/30.4375,1),"")</f>
        <v/>
      </c>
      <c r="U390" s="70" t="str">
        <f aca="false">IF(B390="","",IF(AND(N390="Sí",OR(E390="",NOT(ISNUMBER(F390)))),"⚠ Falta tipo de contrato o fecha de inicio",IF(NOT(ISNUMBER(F390)),"⚠ Falta fecha de inicio",IF(AND(N390="Sí",E390&lt;&gt;"Indefinido",NOT(ISNUMBER(G390))),"⚠ Falta fecha de término",IF(AND(D390="Paso a indefinido",E390&lt;&gt;"Indefinido"),"⚠ Un paso a indefinido debe tener tipo Indefinido",IF(N(Q390)&gt;=3,"⚠ 3er contrato a plazo fijo: por ley ya es INDEFINIDO (Art. 159 N°4)",IF(AND(E390="Plazo fijo",N(T390)&gt;12),"⚠ Plazo fijo mayor a 1 año (máx. legal; 2 años solo profesionales o técnicos)",IF(AND(ISNUMBER(G390),G390&lt;F390),"⚠ Término anterior al inicio",IF(AND(D390="Contrato inicial",ISNUMBER(J390),J390-F390&gt;15),"⚠ Escriturado fuera de plazo (Art. 9: 15 días)",IF(K390&lt;&gt;"Sí","Pendiente de firma","OK"))))))))))</f>
        <v/>
      </c>
    </row>
    <row r="391" customFormat="false" ht="15" hidden="false" customHeight="false" outlineLevel="0" collapsed="false">
      <c r="B391" s="64"/>
      <c r="C391" s="72" t="str">
        <f aca="false">IF(B391="","",IFERROR(INDEX(T_NOMBRE,MATCH(B391,T_ID,0)),"⚠ ID no existe en Trabajadores"))</f>
        <v/>
      </c>
      <c r="D391" s="64"/>
      <c r="E391" s="64"/>
      <c r="F391" s="65"/>
      <c r="G391" s="65"/>
      <c r="H391" s="67"/>
      <c r="I391" s="64"/>
      <c r="J391" s="65"/>
      <c r="K391" s="64"/>
      <c r="L391" s="64"/>
      <c r="M391" s="64"/>
      <c r="N391" s="72" t="str">
        <f aca="false">IF(B391="","",IF(D391="Anexo de modificación","No","Sí"))</f>
        <v/>
      </c>
      <c r="O391" s="73" t="str">
        <f aca="false">IF(AND(N391="Sí",ISNUMBER(F391)),COUNTIFS(C_ID,B391,C_DEFINE,"Sí",C_INICIO,"&lt;"&amp;F391)+COUNTIFS(B$7:B391,B391,N$7:N391,"Sí",F$7:F391,F391),"")</f>
        <v/>
      </c>
      <c r="P391" s="72" t="str">
        <f aca="false">IF(O391="","",B391&amp;"-P"&amp;O391)</f>
        <v/>
      </c>
      <c r="Q391" s="73" t="str">
        <f aca="false">IF(AND(N391="Sí",E391="Plazo fijo",ISNUMBER(F391)),COUNTIFS(C_ID,B391,C_TIPO,"Plazo fijo",C_DEFINE,"Sí",C_INICIO,"&lt;"&amp;F391)+COUNTIFS(B$7:B391,B391,E$7:E391,"Plazo fijo",N$7:N391,"Sí",F$7:F391,F391),"")</f>
        <v/>
      </c>
      <c r="R391" s="73" t="str">
        <f aca="false">IF(AND(B391&lt;&gt;"",ISNUMBER(H391),ISNUMBER(F391)),COUNTIFS(C_ID,B391,C_SUELDO,"&lt;&gt;",C_INICIO,"&lt;"&amp;F391)+COUNTIFS(B$7:B391,B391,H$7:H391,"&lt;&gt;",F$7:F391,F391),"")</f>
        <v/>
      </c>
      <c r="S391" s="72" t="str">
        <f aca="false">IF(R391="","",B391&amp;"-S"&amp;R391)</f>
        <v/>
      </c>
      <c r="T391" s="74" t="str">
        <f aca="false">IF(AND(ISNUMBER(F391),ISNUMBER(G391)),ROUND((G391-F391+1)/30.4375,1),"")</f>
        <v/>
      </c>
      <c r="U391" s="70" t="str">
        <f aca="false">IF(B391="","",IF(AND(N391="Sí",OR(E391="",NOT(ISNUMBER(F391)))),"⚠ Falta tipo de contrato o fecha de inicio",IF(NOT(ISNUMBER(F391)),"⚠ Falta fecha de inicio",IF(AND(N391="Sí",E391&lt;&gt;"Indefinido",NOT(ISNUMBER(G391))),"⚠ Falta fecha de término",IF(AND(D391="Paso a indefinido",E391&lt;&gt;"Indefinido"),"⚠ Un paso a indefinido debe tener tipo Indefinido",IF(N(Q391)&gt;=3,"⚠ 3er contrato a plazo fijo: por ley ya es INDEFINIDO (Art. 159 N°4)",IF(AND(E391="Plazo fijo",N(T391)&gt;12),"⚠ Plazo fijo mayor a 1 año (máx. legal; 2 años solo profesionales o técnicos)",IF(AND(ISNUMBER(G391),G391&lt;F391),"⚠ Término anterior al inicio",IF(AND(D391="Contrato inicial",ISNUMBER(J391),J391-F391&gt;15),"⚠ Escriturado fuera de plazo (Art. 9: 15 días)",IF(K391&lt;&gt;"Sí","Pendiente de firma","OK"))))))))))</f>
        <v/>
      </c>
    </row>
    <row r="392" customFormat="false" ht="15" hidden="false" customHeight="false" outlineLevel="0" collapsed="false">
      <c r="B392" s="64"/>
      <c r="C392" s="72" t="str">
        <f aca="false">IF(B392="","",IFERROR(INDEX(T_NOMBRE,MATCH(B392,T_ID,0)),"⚠ ID no existe en Trabajadores"))</f>
        <v/>
      </c>
      <c r="D392" s="64"/>
      <c r="E392" s="64"/>
      <c r="F392" s="65"/>
      <c r="G392" s="65"/>
      <c r="H392" s="67"/>
      <c r="I392" s="64"/>
      <c r="J392" s="65"/>
      <c r="K392" s="64"/>
      <c r="L392" s="64"/>
      <c r="M392" s="64"/>
      <c r="N392" s="72" t="str">
        <f aca="false">IF(B392="","",IF(D392="Anexo de modificación","No","Sí"))</f>
        <v/>
      </c>
      <c r="O392" s="73" t="str">
        <f aca="false">IF(AND(N392="Sí",ISNUMBER(F392)),COUNTIFS(C_ID,B392,C_DEFINE,"Sí",C_INICIO,"&lt;"&amp;F392)+COUNTIFS(B$7:B392,B392,N$7:N392,"Sí",F$7:F392,F392),"")</f>
        <v/>
      </c>
      <c r="P392" s="72" t="str">
        <f aca="false">IF(O392="","",B392&amp;"-P"&amp;O392)</f>
        <v/>
      </c>
      <c r="Q392" s="73" t="str">
        <f aca="false">IF(AND(N392="Sí",E392="Plazo fijo",ISNUMBER(F392)),COUNTIFS(C_ID,B392,C_TIPO,"Plazo fijo",C_DEFINE,"Sí",C_INICIO,"&lt;"&amp;F392)+COUNTIFS(B$7:B392,B392,E$7:E392,"Plazo fijo",N$7:N392,"Sí",F$7:F392,F392),"")</f>
        <v/>
      </c>
      <c r="R392" s="73" t="str">
        <f aca="false">IF(AND(B392&lt;&gt;"",ISNUMBER(H392),ISNUMBER(F392)),COUNTIFS(C_ID,B392,C_SUELDO,"&lt;&gt;",C_INICIO,"&lt;"&amp;F392)+COUNTIFS(B$7:B392,B392,H$7:H392,"&lt;&gt;",F$7:F392,F392),"")</f>
        <v/>
      </c>
      <c r="S392" s="72" t="str">
        <f aca="false">IF(R392="","",B392&amp;"-S"&amp;R392)</f>
        <v/>
      </c>
      <c r="T392" s="74" t="str">
        <f aca="false">IF(AND(ISNUMBER(F392),ISNUMBER(G392)),ROUND((G392-F392+1)/30.4375,1),"")</f>
        <v/>
      </c>
      <c r="U392" s="70" t="str">
        <f aca="false">IF(B392="","",IF(AND(N392="Sí",OR(E392="",NOT(ISNUMBER(F392)))),"⚠ Falta tipo de contrato o fecha de inicio",IF(NOT(ISNUMBER(F392)),"⚠ Falta fecha de inicio",IF(AND(N392="Sí",E392&lt;&gt;"Indefinido",NOT(ISNUMBER(G392))),"⚠ Falta fecha de término",IF(AND(D392="Paso a indefinido",E392&lt;&gt;"Indefinido"),"⚠ Un paso a indefinido debe tener tipo Indefinido",IF(N(Q392)&gt;=3,"⚠ 3er contrato a plazo fijo: por ley ya es INDEFINIDO (Art. 159 N°4)",IF(AND(E392="Plazo fijo",N(T392)&gt;12),"⚠ Plazo fijo mayor a 1 año (máx. legal; 2 años solo profesionales o técnicos)",IF(AND(ISNUMBER(G392),G392&lt;F392),"⚠ Término anterior al inicio",IF(AND(D392="Contrato inicial",ISNUMBER(J392),J392-F392&gt;15),"⚠ Escriturado fuera de plazo (Art. 9: 15 días)",IF(K392&lt;&gt;"Sí","Pendiente de firma","OK"))))))))))</f>
        <v/>
      </c>
    </row>
    <row r="393" customFormat="false" ht="15" hidden="false" customHeight="false" outlineLevel="0" collapsed="false">
      <c r="B393" s="64"/>
      <c r="C393" s="72" t="str">
        <f aca="false">IF(B393="","",IFERROR(INDEX(T_NOMBRE,MATCH(B393,T_ID,0)),"⚠ ID no existe en Trabajadores"))</f>
        <v/>
      </c>
      <c r="D393" s="64"/>
      <c r="E393" s="64"/>
      <c r="F393" s="65"/>
      <c r="G393" s="65"/>
      <c r="H393" s="67"/>
      <c r="I393" s="64"/>
      <c r="J393" s="65"/>
      <c r="K393" s="64"/>
      <c r="L393" s="64"/>
      <c r="M393" s="64"/>
      <c r="N393" s="72" t="str">
        <f aca="false">IF(B393="","",IF(D393="Anexo de modificación","No","Sí"))</f>
        <v/>
      </c>
      <c r="O393" s="73" t="str">
        <f aca="false">IF(AND(N393="Sí",ISNUMBER(F393)),COUNTIFS(C_ID,B393,C_DEFINE,"Sí",C_INICIO,"&lt;"&amp;F393)+COUNTIFS(B$7:B393,B393,N$7:N393,"Sí",F$7:F393,F393),"")</f>
        <v/>
      </c>
      <c r="P393" s="72" t="str">
        <f aca="false">IF(O393="","",B393&amp;"-P"&amp;O393)</f>
        <v/>
      </c>
      <c r="Q393" s="73" t="str">
        <f aca="false">IF(AND(N393="Sí",E393="Plazo fijo",ISNUMBER(F393)),COUNTIFS(C_ID,B393,C_TIPO,"Plazo fijo",C_DEFINE,"Sí",C_INICIO,"&lt;"&amp;F393)+COUNTIFS(B$7:B393,B393,E$7:E393,"Plazo fijo",N$7:N393,"Sí",F$7:F393,F393),"")</f>
        <v/>
      </c>
      <c r="R393" s="73" t="str">
        <f aca="false">IF(AND(B393&lt;&gt;"",ISNUMBER(H393),ISNUMBER(F393)),COUNTIFS(C_ID,B393,C_SUELDO,"&lt;&gt;",C_INICIO,"&lt;"&amp;F393)+COUNTIFS(B$7:B393,B393,H$7:H393,"&lt;&gt;",F$7:F393,F393),"")</f>
        <v/>
      </c>
      <c r="S393" s="72" t="str">
        <f aca="false">IF(R393="","",B393&amp;"-S"&amp;R393)</f>
        <v/>
      </c>
      <c r="T393" s="74" t="str">
        <f aca="false">IF(AND(ISNUMBER(F393),ISNUMBER(G393)),ROUND((G393-F393+1)/30.4375,1),"")</f>
        <v/>
      </c>
      <c r="U393" s="70" t="str">
        <f aca="false">IF(B393="","",IF(AND(N393="Sí",OR(E393="",NOT(ISNUMBER(F393)))),"⚠ Falta tipo de contrato o fecha de inicio",IF(NOT(ISNUMBER(F393)),"⚠ Falta fecha de inicio",IF(AND(N393="Sí",E393&lt;&gt;"Indefinido",NOT(ISNUMBER(G393))),"⚠ Falta fecha de término",IF(AND(D393="Paso a indefinido",E393&lt;&gt;"Indefinido"),"⚠ Un paso a indefinido debe tener tipo Indefinido",IF(N(Q393)&gt;=3,"⚠ 3er contrato a plazo fijo: por ley ya es INDEFINIDO (Art. 159 N°4)",IF(AND(E393="Plazo fijo",N(T393)&gt;12),"⚠ Plazo fijo mayor a 1 año (máx. legal; 2 años solo profesionales o técnicos)",IF(AND(ISNUMBER(G393),G393&lt;F393),"⚠ Término anterior al inicio",IF(AND(D393="Contrato inicial",ISNUMBER(J393),J393-F393&gt;15),"⚠ Escriturado fuera de plazo (Art. 9: 15 días)",IF(K393&lt;&gt;"Sí","Pendiente de firma","OK"))))))))))</f>
        <v/>
      </c>
    </row>
    <row r="394" customFormat="false" ht="15" hidden="false" customHeight="false" outlineLevel="0" collapsed="false">
      <c r="B394" s="64"/>
      <c r="C394" s="72" t="str">
        <f aca="false">IF(B394="","",IFERROR(INDEX(T_NOMBRE,MATCH(B394,T_ID,0)),"⚠ ID no existe en Trabajadores"))</f>
        <v/>
      </c>
      <c r="D394" s="64"/>
      <c r="E394" s="64"/>
      <c r="F394" s="65"/>
      <c r="G394" s="65"/>
      <c r="H394" s="67"/>
      <c r="I394" s="64"/>
      <c r="J394" s="65"/>
      <c r="K394" s="64"/>
      <c r="L394" s="64"/>
      <c r="M394" s="64"/>
      <c r="N394" s="72" t="str">
        <f aca="false">IF(B394="","",IF(D394="Anexo de modificación","No","Sí"))</f>
        <v/>
      </c>
      <c r="O394" s="73" t="str">
        <f aca="false">IF(AND(N394="Sí",ISNUMBER(F394)),COUNTIFS(C_ID,B394,C_DEFINE,"Sí",C_INICIO,"&lt;"&amp;F394)+COUNTIFS(B$7:B394,B394,N$7:N394,"Sí",F$7:F394,F394),"")</f>
        <v/>
      </c>
      <c r="P394" s="72" t="str">
        <f aca="false">IF(O394="","",B394&amp;"-P"&amp;O394)</f>
        <v/>
      </c>
      <c r="Q394" s="73" t="str">
        <f aca="false">IF(AND(N394="Sí",E394="Plazo fijo",ISNUMBER(F394)),COUNTIFS(C_ID,B394,C_TIPO,"Plazo fijo",C_DEFINE,"Sí",C_INICIO,"&lt;"&amp;F394)+COUNTIFS(B$7:B394,B394,E$7:E394,"Plazo fijo",N$7:N394,"Sí",F$7:F394,F394),"")</f>
        <v/>
      </c>
      <c r="R394" s="73" t="str">
        <f aca="false">IF(AND(B394&lt;&gt;"",ISNUMBER(H394),ISNUMBER(F394)),COUNTIFS(C_ID,B394,C_SUELDO,"&lt;&gt;",C_INICIO,"&lt;"&amp;F394)+COUNTIFS(B$7:B394,B394,H$7:H394,"&lt;&gt;",F$7:F394,F394),"")</f>
        <v/>
      </c>
      <c r="S394" s="72" t="str">
        <f aca="false">IF(R394="","",B394&amp;"-S"&amp;R394)</f>
        <v/>
      </c>
      <c r="T394" s="74" t="str">
        <f aca="false">IF(AND(ISNUMBER(F394),ISNUMBER(G394)),ROUND((G394-F394+1)/30.4375,1),"")</f>
        <v/>
      </c>
      <c r="U394" s="70" t="str">
        <f aca="false">IF(B394="","",IF(AND(N394="Sí",OR(E394="",NOT(ISNUMBER(F394)))),"⚠ Falta tipo de contrato o fecha de inicio",IF(NOT(ISNUMBER(F394)),"⚠ Falta fecha de inicio",IF(AND(N394="Sí",E394&lt;&gt;"Indefinido",NOT(ISNUMBER(G394))),"⚠ Falta fecha de término",IF(AND(D394="Paso a indefinido",E394&lt;&gt;"Indefinido"),"⚠ Un paso a indefinido debe tener tipo Indefinido",IF(N(Q394)&gt;=3,"⚠ 3er contrato a plazo fijo: por ley ya es INDEFINIDO (Art. 159 N°4)",IF(AND(E394="Plazo fijo",N(T394)&gt;12),"⚠ Plazo fijo mayor a 1 año (máx. legal; 2 años solo profesionales o técnicos)",IF(AND(ISNUMBER(G394),G394&lt;F394),"⚠ Término anterior al inicio",IF(AND(D394="Contrato inicial",ISNUMBER(J394),J394-F394&gt;15),"⚠ Escriturado fuera de plazo (Art. 9: 15 días)",IF(K394&lt;&gt;"Sí","Pendiente de firma","OK"))))))))))</f>
        <v/>
      </c>
    </row>
    <row r="395" customFormat="false" ht="15" hidden="false" customHeight="false" outlineLevel="0" collapsed="false">
      <c r="B395" s="64"/>
      <c r="C395" s="72" t="str">
        <f aca="false">IF(B395="","",IFERROR(INDEX(T_NOMBRE,MATCH(B395,T_ID,0)),"⚠ ID no existe en Trabajadores"))</f>
        <v/>
      </c>
      <c r="D395" s="64"/>
      <c r="E395" s="64"/>
      <c r="F395" s="65"/>
      <c r="G395" s="65"/>
      <c r="H395" s="67"/>
      <c r="I395" s="64"/>
      <c r="J395" s="65"/>
      <c r="K395" s="64"/>
      <c r="L395" s="64"/>
      <c r="M395" s="64"/>
      <c r="N395" s="72" t="str">
        <f aca="false">IF(B395="","",IF(D395="Anexo de modificación","No","Sí"))</f>
        <v/>
      </c>
      <c r="O395" s="73" t="str">
        <f aca="false">IF(AND(N395="Sí",ISNUMBER(F395)),COUNTIFS(C_ID,B395,C_DEFINE,"Sí",C_INICIO,"&lt;"&amp;F395)+COUNTIFS(B$7:B395,B395,N$7:N395,"Sí",F$7:F395,F395),"")</f>
        <v/>
      </c>
      <c r="P395" s="72" t="str">
        <f aca="false">IF(O395="","",B395&amp;"-P"&amp;O395)</f>
        <v/>
      </c>
      <c r="Q395" s="73" t="str">
        <f aca="false">IF(AND(N395="Sí",E395="Plazo fijo",ISNUMBER(F395)),COUNTIFS(C_ID,B395,C_TIPO,"Plazo fijo",C_DEFINE,"Sí",C_INICIO,"&lt;"&amp;F395)+COUNTIFS(B$7:B395,B395,E$7:E395,"Plazo fijo",N$7:N395,"Sí",F$7:F395,F395),"")</f>
        <v/>
      </c>
      <c r="R395" s="73" t="str">
        <f aca="false">IF(AND(B395&lt;&gt;"",ISNUMBER(H395),ISNUMBER(F395)),COUNTIFS(C_ID,B395,C_SUELDO,"&lt;&gt;",C_INICIO,"&lt;"&amp;F395)+COUNTIFS(B$7:B395,B395,H$7:H395,"&lt;&gt;",F$7:F395,F395),"")</f>
        <v/>
      </c>
      <c r="S395" s="72" t="str">
        <f aca="false">IF(R395="","",B395&amp;"-S"&amp;R395)</f>
        <v/>
      </c>
      <c r="T395" s="74" t="str">
        <f aca="false">IF(AND(ISNUMBER(F395),ISNUMBER(G395)),ROUND((G395-F395+1)/30.4375,1),"")</f>
        <v/>
      </c>
      <c r="U395" s="70" t="str">
        <f aca="false">IF(B395="","",IF(AND(N395="Sí",OR(E395="",NOT(ISNUMBER(F395)))),"⚠ Falta tipo de contrato o fecha de inicio",IF(NOT(ISNUMBER(F395)),"⚠ Falta fecha de inicio",IF(AND(N395="Sí",E395&lt;&gt;"Indefinido",NOT(ISNUMBER(G395))),"⚠ Falta fecha de término",IF(AND(D395="Paso a indefinido",E395&lt;&gt;"Indefinido"),"⚠ Un paso a indefinido debe tener tipo Indefinido",IF(N(Q395)&gt;=3,"⚠ 3er contrato a plazo fijo: por ley ya es INDEFINIDO (Art. 159 N°4)",IF(AND(E395="Plazo fijo",N(T395)&gt;12),"⚠ Plazo fijo mayor a 1 año (máx. legal; 2 años solo profesionales o técnicos)",IF(AND(ISNUMBER(G395),G395&lt;F395),"⚠ Término anterior al inicio",IF(AND(D395="Contrato inicial",ISNUMBER(J395),J395-F395&gt;15),"⚠ Escriturado fuera de plazo (Art. 9: 15 días)",IF(K395&lt;&gt;"Sí","Pendiente de firma","OK"))))))))))</f>
        <v/>
      </c>
    </row>
    <row r="396" customFormat="false" ht="15" hidden="false" customHeight="false" outlineLevel="0" collapsed="false">
      <c r="B396" s="64"/>
      <c r="C396" s="72" t="str">
        <f aca="false">IF(B396="","",IFERROR(INDEX(T_NOMBRE,MATCH(B396,T_ID,0)),"⚠ ID no existe en Trabajadores"))</f>
        <v/>
      </c>
      <c r="D396" s="64"/>
      <c r="E396" s="64"/>
      <c r="F396" s="65"/>
      <c r="G396" s="65"/>
      <c r="H396" s="67"/>
      <c r="I396" s="64"/>
      <c r="J396" s="65"/>
      <c r="K396" s="64"/>
      <c r="L396" s="64"/>
      <c r="M396" s="64"/>
      <c r="N396" s="72" t="str">
        <f aca="false">IF(B396="","",IF(D396="Anexo de modificación","No","Sí"))</f>
        <v/>
      </c>
      <c r="O396" s="73" t="str">
        <f aca="false">IF(AND(N396="Sí",ISNUMBER(F396)),COUNTIFS(C_ID,B396,C_DEFINE,"Sí",C_INICIO,"&lt;"&amp;F396)+COUNTIFS(B$7:B396,B396,N$7:N396,"Sí",F$7:F396,F396),"")</f>
        <v/>
      </c>
      <c r="P396" s="72" t="str">
        <f aca="false">IF(O396="","",B396&amp;"-P"&amp;O396)</f>
        <v/>
      </c>
      <c r="Q396" s="73" t="str">
        <f aca="false">IF(AND(N396="Sí",E396="Plazo fijo",ISNUMBER(F396)),COUNTIFS(C_ID,B396,C_TIPO,"Plazo fijo",C_DEFINE,"Sí",C_INICIO,"&lt;"&amp;F396)+COUNTIFS(B$7:B396,B396,E$7:E396,"Plazo fijo",N$7:N396,"Sí",F$7:F396,F396),"")</f>
        <v/>
      </c>
      <c r="R396" s="73" t="str">
        <f aca="false">IF(AND(B396&lt;&gt;"",ISNUMBER(H396),ISNUMBER(F396)),COUNTIFS(C_ID,B396,C_SUELDO,"&lt;&gt;",C_INICIO,"&lt;"&amp;F396)+COUNTIFS(B$7:B396,B396,H$7:H396,"&lt;&gt;",F$7:F396,F396),"")</f>
        <v/>
      </c>
      <c r="S396" s="72" t="str">
        <f aca="false">IF(R396="","",B396&amp;"-S"&amp;R396)</f>
        <v/>
      </c>
      <c r="T396" s="74" t="str">
        <f aca="false">IF(AND(ISNUMBER(F396),ISNUMBER(G396)),ROUND((G396-F396+1)/30.4375,1),"")</f>
        <v/>
      </c>
      <c r="U396" s="70" t="str">
        <f aca="false">IF(B396="","",IF(AND(N396="Sí",OR(E396="",NOT(ISNUMBER(F396)))),"⚠ Falta tipo de contrato o fecha de inicio",IF(NOT(ISNUMBER(F396)),"⚠ Falta fecha de inicio",IF(AND(N396="Sí",E396&lt;&gt;"Indefinido",NOT(ISNUMBER(G396))),"⚠ Falta fecha de término",IF(AND(D396="Paso a indefinido",E396&lt;&gt;"Indefinido"),"⚠ Un paso a indefinido debe tener tipo Indefinido",IF(N(Q396)&gt;=3,"⚠ 3er contrato a plazo fijo: por ley ya es INDEFINIDO (Art. 159 N°4)",IF(AND(E396="Plazo fijo",N(T396)&gt;12),"⚠ Plazo fijo mayor a 1 año (máx. legal; 2 años solo profesionales o técnicos)",IF(AND(ISNUMBER(G396),G396&lt;F396),"⚠ Término anterior al inicio",IF(AND(D396="Contrato inicial",ISNUMBER(J396),J396-F396&gt;15),"⚠ Escriturado fuera de plazo (Art. 9: 15 días)",IF(K396&lt;&gt;"Sí","Pendiente de firma","OK"))))))))))</f>
        <v/>
      </c>
    </row>
    <row r="397" customFormat="false" ht="15" hidden="false" customHeight="false" outlineLevel="0" collapsed="false">
      <c r="B397" s="64"/>
      <c r="C397" s="72" t="str">
        <f aca="false">IF(B397="","",IFERROR(INDEX(T_NOMBRE,MATCH(B397,T_ID,0)),"⚠ ID no existe en Trabajadores"))</f>
        <v/>
      </c>
      <c r="D397" s="64"/>
      <c r="E397" s="64"/>
      <c r="F397" s="65"/>
      <c r="G397" s="65"/>
      <c r="H397" s="67"/>
      <c r="I397" s="64"/>
      <c r="J397" s="65"/>
      <c r="K397" s="64"/>
      <c r="L397" s="64"/>
      <c r="M397" s="64"/>
      <c r="N397" s="72" t="str">
        <f aca="false">IF(B397="","",IF(D397="Anexo de modificación","No","Sí"))</f>
        <v/>
      </c>
      <c r="O397" s="73" t="str">
        <f aca="false">IF(AND(N397="Sí",ISNUMBER(F397)),COUNTIFS(C_ID,B397,C_DEFINE,"Sí",C_INICIO,"&lt;"&amp;F397)+COUNTIFS(B$7:B397,B397,N$7:N397,"Sí",F$7:F397,F397),"")</f>
        <v/>
      </c>
      <c r="P397" s="72" t="str">
        <f aca="false">IF(O397="","",B397&amp;"-P"&amp;O397)</f>
        <v/>
      </c>
      <c r="Q397" s="73" t="str">
        <f aca="false">IF(AND(N397="Sí",E397="Plazo fijo",ISNUMBER(F397)),COUNTIFS(C_ID,B397,C_TIPO,"Plazo fijo",C_DEFINE,"Sí",C_INICIO,"&lt;"&amp;F397)+COUNTIFS(B$7:B397,B397,E$7:E397,"Plazo fijo",N$7:N397,"Sí",F$7:F397,F397),"")</f>
        <v/>
      </c>
      <c r="R397" s="73" t="str">
        <f aca="false">IF(AND(B397&lt;&gt;"",ISNUMBER(H397),ISNUMBER(F397)),COUNTIFS(C_ID,B397,C_SUELDO,"&lt;&gt;",C_INICIO,"&lt;"&amp;F397)+COUNTIFS(B$7:B397,B397,H$7:H397,"&lt;&gt;",F$7:F397,F397),"")</f>
        <v/>
      </c>
      <c r="S397" s="72" t="str">
        <f aca="false">IF(R397="","",B397&amp;"-S"&amp;R397)</f>
        <v/>
      </c>
      <c r="T397" s="74" t="str">
        <f aca="false">IF(AND(ISNUMBER(F397),ISNUMBER(G397)),ROUND((G397-F397+1)/30.4375,1),"")</f>
        <v/>
      </c>
      <c r="U397" s="70" t="str">
        <f aca="false">IF(B397="","",IF(AND(N397="Sí",OR(E397="",NOT(ISNUMBER(F397)))),"⚠ Falta tipo de contrato o fecha de inicio",IF(NOT(ISNUMBER(F397)),"⚠ Falta fecha de inicio",IF(AND(N397="Sí",E397&lt;&gt;"Indefinido",NOT(ISNUMBER(G397))),"⚠ Falta fecha de término",IF(AND(D397="Paso a indefinido",E397&lt;&gt;"Indefinido"),"⚠ Un paso a indefinido debe tener tipo Indefinido",IF(N(Q397)&gt;=3,"⚠ 3er contrato a plazo fijo: por ley ya es INDEFINIDO (Art. 159 N°4)",IF(AND(E397="Plazo fijo",N(T397)&gt;12),"⚠ Plazo fijo mayor a 1 año (máx. legal; 2 años solo profesionales o técnicos)",IF(AND(ISNUMBER(G397),G397&lt;F397),"⚠ Término anterior al inicio",IF(AND(D397="Contrato inicial",ISNUMBER(J397),J397-F397&gt;15),"⚠ Escriturado fuera de plazo (Art. 9: 15 días)",IF(K397&lt;&gt;"Sí","Pendiente de firma","OK"))))))))))</f>
        <v/>
      </c>
    </row>
    <row r="398" customFormat="false" ht="15" hidden="false" customHeight="false" outlineLevel="0" collapsed="false">
      <c r="B398" s="64"/>
      <c r="C398" s="72" t="str">
        <f aca="false">IF(B398="","",IFERROR(INDEX(T_NOMBRE,MATCH(B398,T_ID,0)),"⚠ ID no existe en Trabajadores"))</f>
        <v/>
      </c>
      <c r="D398" s="64"/>
      <c r="E398" s="64"/>
      <c r="F398" s="65"/>
      <c r="G398" s="65"/>
      <c r="H398" s="67"/>
      <c r="I398" s="64"/>
      <c r="J398" s="65"/>
      <c r="K398" s="64"/>
      <c r="L398" s="64"/>
      <c r="M398" s="64"/>
      <c r="N398" s="72" t="str">
        <f aca="false">IF(B398="","",IF(D398="Anexo de modificación","No","Sí"))</f>
        <v/>
      </c>
      <c r="O398" s="73" t="str">
        <f aca="false">IF(AND(N398="Sí",ISNUMBER(F398)),COUNTIFS(C_ID,B398,C_DEFINE,"Sí",C_INICIO,"&lt;"&amp;F398)+COUNTIFS(B$7:B398,B398,N$7:N398,"Sí",F$7:F398,F398),"")</f>
        <v/>
      </c>
      <c r="P398" s="72" t="str">
        <f aca="false">IF(O398="","",B398&amp;"-P"&amp;O398)</f>
        <v/>
      </c>
      <c r="Q398" s="73" t="str">
        <f aca="false">IF(AND(N398="Sí",E398="Plazo fijo",ISNUMBER(F398)),COUNTIFS(C_ID,B398,C_TIPO,"Plazo fijo",C_DEFINE,"Sí",C_INICIO,"&lt;"&amp;F398)+COUNTIFS(B$7:B398,B398,E$7:E398,"Plazo fijo",N$7:N398,"Sí",F$7:F398,F398),"")</f>
        <v/>
      </c>
      <c r="R398" s="73" t="str">
        <f aca="false">IF(AND(B398&lt;&gt;"",ISNUMBER(H398),ISNUMBER(F398)),COUNTIFS(C_ID,B398,C_SUELDO,"&lt;&gt;",C_INICIO,"&lt;"&amp;F398)+COUNTIFS(B$7:B398,B398,H$7:H398,"&lt;&gt;",F$7:F398,F398),"")</f>
        <v/>
      </c>
      <c r="S398" s="72" t="str">
        <f aca="false">IF(R398="","",B398&amp;"-S"&amp;R398)</f>
        <v/>
      </c>
      <c r="T398" s="74" t="str">
        <f aca="false">IF(AND(ISNUMBER(F398),ISNUMBER(G398)),ROUND((G398-F398+1)/30.4375,1),"")</f>
        <v/>
      </c>
      <c r="U398" s="70" t="str">
        <f aca="false">IF(B398="","",IF(AND(N398="Sí",OR(E398="",NOT(ISNUMBER(F398)))),"⚠ Falta tipo de contrato o fecha de inicio",IF(NOT(ISNUMBER(F398)),"⚠ Falta fecha de inicio",IF(AND(N398="Sí",E398&lt;&gt;"Indefinido",NOT(ISNUMBER(G398))),"⚠ Falta fecha de término",IF(AND(D398="Paso a indefinido",E398&lt;&gt;"Indefinido"),"⚠ Un paso a indefinido debe tener tipo Indefinido",IF(N(Q398)&gt;=3,"⚠ 3er contrato a plazo fijo: por ley ya es INDEFINIDO (Art. 159 N°4)",IF(AND(E398="Plazo fijo",N(T398)&gt;12),"⚠ Plazo fijo mayor a 1 año (máx. legal; 2 años solo profesionales o técnicos)",IF(AND(ISNUMBER(G398),G398&lt;F398),"⚠ Término anterior al inicio",IF(AND(D398="Contrato inicial",ISNUMBER(J398),J398-F398&gt;15),"⚠ Escriturado fuera de plazo (Art. 9: 15 días)",IF(K398&lt;&gt;"Sí","Pendiente de firma","OK"))))))))))</f>
        <v/>
      </c>
    </row>
    <row r="399" customFormat="false" ht="15" hidden="false" customHeight="false" outlineLevel="0" collapsed="false">
      <c r="B399" s="64"/>
      <c r="C399" s="72" t="str">
        <f aca="false">IF(B399="","",IFERROR(INDEX(T_NOMBRE,MATCH(B399,T_ID,0)),"⚠ ID no existe en Trabajadores"))</f>
        <v/>
      </c>
      <c r="D399" s="64"/>
      <c r="E399" s="64"/>
      <c r="F399" s="65"/>
      <c r="G399" s="65"/>
      <c r="H399" s="67"/>
      <c r="I399" s="64"/>
      <c r="J399" s="65"/>
      <c r="K399" s="64"/>
      <c r="L399" s="64"/>
      <c r="M399" s="64"/>
      <c r="N399" s="72" t="str">
        <f aca="false">IF(B399="","",IF(D399="Anexo de modificación","No","Sí"))</f>
        <v/>
      </c>
      <c r="O399" s="73" t="str">
        <f aca="false">IF(AND(N399="Sí",ISNUMBER(F399)),COUNTIFS(C_ID,B399,C_DEFINE,"Sí",C_INICIO,"&lt;"&amp;F399)+COUNTIFS(B$7:B399,B399,N$7:N399,"Sí",F$7:F399,F399),"")</f>
        <v/>
      </c>
      <c r="P399" s="72" t="str">
        <f aca="false">IF(O399="","",B399&amp;"-P"&amp;O399)</f>
        <v/>
      </c>
      <c r="Q399" s="73" t="str">
        <f aca="false">IF(AND(N399="Sí",E399="Plazo fijo",ISNUMBER(F399)),COUNTIFS(C_ID,B399,C_TIPO,"Plazo fijo",C_DEFINE,"Sí",C_INICIO,"&lt;"&amp;F399)+COUNTIFS(B$7:B399,B399,E$7:E399,"Plazo fijo",N$7:N399,"Sí",F$7:F399,F399),"")</f>
        <v/>
      </c>
      <c r="R399" s="73" t="str">
        <f aca="false">IF(AND(B399&lt;&gt;"",ISNUMBER(H399),ISNUMBER(F399)),COUNTIFS(C_ID,B399,C_SUELDO,"&lt;&gt;",C_INICIO,"&lt;"&amp;F399)+COUNTIFS(B$7:B399,B399,H$7:H399,"&lt;&gt;",F$7:F399,F399),"")</f>
        <v/>
      </c>
      <c r="S399" s="72" t="str">
        <f aca="false">IF(R399="","",B399&amp;"-S"&amp;R399)</f>
        <v/>
      </c>
      <c r="T399" s="74" t="str">
        <f aca="false">IF(AND(ISNUMBER(F399),ISNUMBER(G399)),ROUND((G399-F399+1)/30.4375,1),"")</f>
        <v/>
      </c>
      <c r="U399" s="70" t="str">
        <f aca="false">IF(B399="","",IF(AND(N399="Sí",OR(E399="",NOT(ISNUMBER(F399)))),"⚠ Falta tipo de contrato o fecha de inicio",IF(NOT(ISNUMBER(F399)),"⚠ Falta fecha de inicio",IF(AND(N399="Sí",E399&lt;&gt;"Indefinido",NOT(ISNUMBER(G399))),"⚠ Falta fecha de término",IF(AND(D399="Paso a indefinido",E399&lt;&gt;"Indefinido"),"⚠ Un paso a indefinido debe tener tipo Indefinido",IF(N(Q399)&gt;=3,"⚠ 3er contrato a plazo fijo: por ley ya es INDEFINIDO (Art. 159 N°4)",IF(AND(E399="Plazo fijo",N(T399)&gt;12),"⚠ Plazo fijo mayor a 1 año (máx. legal; 2 años solo profesionales o técnicos)",IF(AND(ISNUMBER(G399),G399&lt;F399),"⚠ Término anterior al inicio",IF(AND(D399="Contrato inicial",ISNUMBER(J399),J399-F399&gt;15),"⚠ Escriturado fuera de plazo (Art. 9: 15 días)",IF(K399&lt;&gt;"Sí","Pendiente de firma","OK"))))))))))</f>
        <v/>
      </c>
    </row>
    <row r="400" customFormat="false" ht="15" hidden="false" customHeight="false" outlineLevel="0" collapsed="false">
      <c r="B400" s="64"/>
      <c r="C400" s="72" t="str">
        <f aca="false">IF(B400="","",IFERROR(INDEX(T_NOMBRE,MATCH(B400,T_ID,0)),"⚠ ID no existe en Trabajadores"))</f>
        <v/>
      </c>
      <c r="D400" s="64"/>
      <c r="E400" s="64"/>
      <c r="F400" s="65"/>
      <c r="G400" s="65"/>
      <c r="H400" s="67"/>
      <c r="I400" s="64"/>
      <c r="J400" s="65"/>
      <c r="K400" s="64"/>
      <c r="L400" s="64"/>
      <c r="M400" s="64"/>
      <c r="N400" s="72" t="str">
        <f aca="false">IF(B400="","",IF(D400="Anexo de modificación","No","Sí"))</f>
        <v/>
      </c>
      <c r="O400" s="73" t="str">
        <f aca="false">IF(AND(N400="Sí",ISNUMBER(F400)),COUNTIFS(C_ID,B400,C_DEFINE,"Sí",C_INICIO,"&lt;"&amp;F400)+COUNTIFS(B$7:B400,B400,N$7:N400,"Sí",F$7:F400,F400),"")</f>
        <v/>
      </c>
      <c r="P400" s="72" t="str">
        <f aca="false">IF(O400="","",B400&amp;"-P"&amp;O400)</f>
        <v/>
      </c>
      <c r="Q400" s="73" t="str">
        <f aca="false">IF(AND(N400="Sí",E400="Plazo fijo",ISNUMBER(F400)),COUNTIFS(C_ID,B400,C_TIPO,"Plazo fijo",C_DEFINE,"Sí",C_INICIO,"&lt;"&amp;F400)+COUNTIFS(B$7:B400,B400,E$7:E400,"Plazo fijo",N$7:N400,"Sí",F$7:F400,F400),"")</f>
        <v/>
      </c>
      <c r="R400" s="73" t="str">
        <f aca="false">IF(AND(B400&lt;&gt;"",ISNUMBER(H400),ISNUMBER(F400)),COUNTIFS(C_ID,B400,C_SUELDO,"&lt;&gt;",C_INICIO,"&lt;"&amp;F400)+COUNTIFS(B$7:B400,B400,H$7:H400,"&lt;&gt;",F$7:F400,F400),"")</f>
        <v/>
      </c>
      <c r="S400" s="72" t="str">
        <f aca="false">IF(R400="","",B400&amp;"-S"&amp;R400)</f>
        <v/>
      </c>
      <c r="T400" s="74" t="str">
        <f aca="false">IF(AND(ISNUMBER(F400),ISNUMBER(G400)),ROUND((G400-F400+1)/30.4375,1),"")</f>
        <v/>
      </c>
      <c r="U400" s="70" t="str">
        <f aca="false">IF(B400="","",IF(AND(N400="Sí",OR(E400="",NOT(ISNUMBER(F400)))),"⚠ Falta tipo de contrato o fecha de inicio",IF(NOT(ISNUMBER(F400)),"⚠ Falta fecha de inicio",IF(AND(N400="Sí",E400&lt;&gt;"Indefinido",NOT(ISNUMBER(G400))),"⚠ Falta fecha de término",IF(AND(D400="Paso a indefinido",E400&lt;&gt;"Indefinido"),"⚠ Un paso a indefinido debe tener tipo Indefinido",IF(N(Q400)&gt;=3,"⚠ 3er contrato a plazo fijo: por ley ya es INDEFINIDO (Art. 159 N°4)",IF(AND(E400="Plazo fijo",N(T400)&gt;12),"⚠ Plazo fijo mayor a 1 año (máx. legal; 2 años solo profesionales o técnicos)",IF(AND(ISNUMBER(G400),G400&lt;F400),"⚠ Término anterior al inicio",IF(AND(D400="Contrato inicial",ISNUMBER(J400),J400-F400&gt;15),"⚠ Escriturado fuera de plazo (Art. 9: 15 días)",IF(K400&lt;&gt;"Sí","Pendiente de firma","OK"))))))))))</f>
        <v/>
      </c>
    </row>
    <row r="401" customFormat="false" ht="15" hidden="false" customHeight="false" outlineLevel="0" collapsed="false">
      <c r="B401" s="64"/>
      <c r="C401" s="72" t="str">
        <f aca="false">IF(B401="","",IFERROR(INDEX(T_NOMBRE,MATCH(B401,T_ID,0)),"⚠ ID no existe en Trabajadores"))</f>
        <v/>
      </c>
      <c r="D401" s="64"/>
      <c r="E401" s="64"/>
      <c r="F401" s="65"/>
      <c r="G401" s="65"/>
      <c r="H401" s="67"/>
      <c r="I401" s="64"/>
      <c r="J401" s="65"/>
      <c r="K401" s="64"/>
      <c r="L401" s="64"/>
      <c r="M401" s="64"/>
      <c r="N401" s="72" t="str">
        <f aca="false">IF(B401="","",IF(D401="Anexo de modificación","No","Sí"))</f>
        <v/>
      </c>
      <c r="O401" s="73" t="str">
        <f aca="false">IF(AND(N401="Sí",ISNUMBER(F401)),COUNTIFS(C_ID,B401,C_DEFINE,"Sí",C_INICIO,"&lt;"&amp;F401)+COUNTIFS(B$7:B401,B401,N$7:N401,"Sí",F$7:F401,F401),"")</f>
        <v/>
      </c>
      <c r="P401" s="72" t="str">
        <f aca="false">IF(O401="","",B401&amp;"-P"&amp;O401)</f>
        <v/>
      </c>
      <c r="Q401" s="73" t="str">
        <f aca="false">IF(AND(N401="Sí",E401="Plazo fijo",ISNUMBER(F401)),COUNTIFS(C_ID,B401,C_TIPO,"Plazo fijo",C_DEFINE,"Sí",C_INICIO,"&lt;"&amp;F401)+COUNTIFS(B$7:B401,B401,E$7:E401,"Plazo fijo",N$7:N401,"Sí",F$7:F401,F401),"")</f>
        <v/>
      </c>
      <c r="R401" s="73" t="str">
        <f aca="false">IF(AND(B401&lt;&gt;"",ISNUMBER(H401),ISNUMBER(F401)),COUNTIFS(C_ID,B401,C_SUELDO,"&lt;&gt;",C_INICIO,"&lt;"&amp;F401)+COUNTIFS(B$7:B401,B401,H$7:H401,"&lt;&gt;",F$7:F401,F401),"")</f>
        <v/>
      </c>
      <c r="S401" s="72" t="str">
        <f aca="false">IF(R401="","",B401&amp;"-S"&amp;R401)</f>
        <v/>
      </c>
      <c r="T401" s="74" t="str">
        <f aca="false">IF(AND(ISNUMBER(F401),ISNUMBER(G401)),ROUND((G401-F401+1)/30.4375,1),"")</f>
        <v/>
      </c>
      <c r="U401" s="70" t="str">
        <f aca="false">IF(B401="","",IF(AND(N401="Sí",OR(E401="",NOT(ISNUMBER(F401)))),"⚠ Falta tipo de contrato o fecha de inicio",IF(NOT(ISNUMBER(F401)),"⚠ Falta fecha de inicio",IF(AND(N401="Sí",E401&lt;&gt;"Indefinido",NOT(ISNUMBER(G401))),"⚠ Falta fecha de término",IF(AND(D401="Paso a indefinido",E401&lt;&gt;"Indefinido"),"⚠ Un paso a indefinido debe tener tipo Indefinido",IF(N(Q401)&gt;=3,"⚠ 3er contrato a plazo fijo: por ley ya es INDEFINIDO (Art. 159 N°4)",IF(AND(E401="Plazo fijo",N(T401)&gt;12),"⚠ Plazo fijo mayor a 1 año (máx. legal; 2 años solo profesionales o técnicos)",IF(AND(ISNUMBER(G401),G401&lt;F401),"⚠ Término anterior al inicio",IF(AND(D401="Contrato inicial",ISNUMBER(J401),J401-F401&gt;15),"⚠ Escriturado fuera de plazo (Art. 9: 15 días)",IF(K401&lt;&gt;"Sí","Pendiente de firma","OK"))))))))))</f>
        <v/>
      </c>
    </row>
    <row r="402" customFormat="false" ht="15" hidden="false" customHeight="false" outlineLevel="0" collapsed="false">
      <c r="B402" s="64"/>
      <c r="C402" s="72" t="str">
        <f aca="false">IF(B402="","",IFERROR(INDEX(T_NOMBRE,MATCH(B402,T_ID,0)),"⚠ ID no existe en Trabajadores"))</f>
        <v/>
      </c>
      <c r="D402" s="64"/>
      <c r="E402" s="64"/>
      <c r="F402" s="65"/>
      <c r="G402" s="65"/>
      <c r="H402" s="67"/>
      <c r="I402" s="64"/>
      <c r="J402" s="65"/>
      <c r="K402" s="64"/>
      <c r="L402" s="64"/>
      <c r="M402" s="64"/>
      <c r="N402" s="72" t="str">
        <f aca="false">IF(B402="","",IF(D402="Anexo de modificación","No","Sí"))</f>
        <v/>
      </c>
      <c r="O402" s="73" t="str">
        <f aca="false">IF(AND(N402="Sí",ISNUMBER(F402)),COUNTIFS(C_ID,B402,C_DEFINE,"Sí",C_INICIO,"&lt;"&amp;F402)+COUNTIFS(B$7:B402,B402,N$7:N402,"Sí",F$7:F402,F402),"")</f>
        <v/>
      </c>
      <c r="P402" s="72" t="str">
        <f aca="false">IF(O402="","",B402&amp;"-P"&amp;O402)</f>
        <v/>
      </c>
      <c r="Q402" s="73" t="str">
        <f aca="false">IF(AND(N402="Sí",E402="Plazo fijo",ISNUMBER(F402)),COUNTIFS(C_ID,B402,C_TIPO,"Plazo fijo",C_DEFINE,"Sí",C_INICIO,"&lt;"&amp;F402)+COUNTIFS(B$7:B402,B402,E$7:E402,"Plazo fijo",N$7:N402,"Sí",F$7:F402,F402),"")</f>
        <v/>
      </c>
      <c r="R402" s="73" t="str">
        <f aca="false">IF(AND(B402&lt;&gt;"",ISNUMBER(H402),ISNUMBER(F402)),COUNTIFS(C_ID,B402,C_SUELDO,"&lt;&gt;",C_INICIO,"&lt;"&amp;F402)+COUNTIFS(B$7:B402,B402,H$7:H402,"&lt;&gt;",F$7:F402,F402),"")</f>
        <v/>
      </c>
      <c r="S402" s="72" t="str">
        <f aca="false">IF(R402="","",B402&amp;"-S"&amp;R402)</f>
        <v/>
      </c>
      <c r="T402" s="74" t="str">
        <f aca="false">IF(AND(ISNUMBER(F402),ISNUMBER(G402)),ROUND((G402-F402+1)/30.4375,1),"")</f>
        <v/>
      </c>
      <c r="U402" s="70" t="str">
        <f aca="false">IF(B402="","",IF(AND(N402="Sí",OR(E402="",NOT(ISNUMBER(F402)))),"⚠ Falta tipo de contrato o fecha de inicio",IF(NOT(ISNUMBER(F402)),"⚠ Falta fecha de inicio",IF(AND(N402="Sí",E402&lt;&gt;"Indefinido",NOT(ISNUMBER(G402))),"⚠ Falta fecha de término",IF(AND(D402="Paso a indefinido",E402&lt;&gt;"Indefinido"),"⚠ Un paso a indefinido debe tener tipo Indefinido",IF(N(Q402)&gt;=3,"⚠ 3er contrato a plazo fijo: por ley ya es INDEFINIDO (Art. 159 N°4)",IF(AND(E402="Plazo fijo",N(T402)&gt;12),"⚠ Plazo fijo mayor a 1 año (máx. legal; 2 años solo profesionales o técnicos)",IF(AND(ISNUMBER(G402),G402&lt;F402),"⚠ Término anterior al inicio",IF(AND(D402="Contrato inicial",ISNUMBER(J402),J402-F402&gt;15),"⚠ Escriturado fuera de plazo (Art. 9: 15 días)",IF(K402&lt;&gt;"Sí","Pendiente de firma","OK"))))))))))</f>
        <v/>
      </c>
    </row>
    <row r="403" customFormat="false" ht="15" hidden="false" customHeight="false" outlineLevel="0" collapsed="false">
      <c r="B403" s="64"/>
      <c r="C403" s="72" t="str">
        <f aca="false">IF(B403="","",IFERROR(INDEX(T_NOMBRE,MATCH(B403,T_ID,0)),"⚠ ID no existe en Trabajadores"))</f>
        <v/>
      </c>
      <c r="D403" s="64"/>
      <c r="E403" s="64"/>
      <c r="F403" s="65"/>
      <c r="G403" s="65"/>
      <c r="H403" s="67"/>
      <c r="I403" s="64"/>
      <c r="J403" s="65"/>
      <c r="K403" s="64"/>
      <c r="L403" s="64"/>
      <c r="M403" s="64"/>
      <c r="N403" s="72" t="str">
        <f aca="false">IF(B403="","",IF(D403="Anexo de modificación","No","Sí"))</f>
        <v/>
      </c>
      <c r="O403" s="73" t="str">
        <f aca="false">IF(AND(N403="Sí",ISNUMBER(F403)),COUNTIFS(C_ID,B403,C_DEFINE,"Sí",C_INICIO,"&lt;"&amp;F403)+COUNTIFS(B$7:B403,B403,N$7:N403,"Sí",F$7:F403,F403),"")</f>
        <v/>
      </c>
      <c r="P403" s="72" t="str">
        <f aca="false">IF(O403="","",B403&amp;"-P"&amp;O403)</f>
        <v/>
      </c>
      <c r="Q403" s="73" t="str">
        <f aca="false">IF(AND(N403="Sí",E403="Plazo fijo",ISNUMBER(F403)),COUNTIFS(C_ID,B403,C_TIPO,"Plazo fijo",C_DEFINE,"Sí",C_INICIO,"&lt;"&amp;F403)+COUNTIFS(B$7:B403,B403,E$7:E403,"Plazo fijo",N$7:N403,"Sí",F$7:F403,F403),"")</f>
        <v/>
      </c>
      <c r="R403" s="73" t="str">
        <f aca="false">IF(AND(B403&lt;&gt;"",ISNUMBER(H403),ISNUMBER(F403)),COUNTIFS(C_ID,B403,C_SUELDO,"&lt;&gt;",C_INICIO,"&lt;"&amp;F403)+COUNTIFS(B$7:B403,B403,H$7:H403,"&lt;&gt;",F$7:F403,F403),"")</f>
        <v/>
      </c>
      <c r="S403" s="72" t="str">
        <f aca="false">IF(R403="","",B403&amp;"-S"&amp;R403)</f>
        <v/>
      </c>
      <c r="T403" s="74" t="str">
        <f aca="false">IF(AND(ISNUMBER(F403),ISNUMBER(G403)),ROUND((G403-F403+1)/30.4375,1),"")</f>
        <v/>
      </c>
      <c r="U403" s="70" t="str">
        <f aca="false">IF(B403="","",IF(AND(N403="Sí",OR(E403="",NOT(ISNUMBER(F403)))),"⚠ Falta tipo de contrato o fecha de inicio",IF(NOT(ISNUMBER(F403)),"⚠ Falta fecha de inicio",IF(AND(N403="Sí",E403&lt;&gt;"Indefinido",NOT(ISNUMBER(G403))),"⚠ Falta fecha de término",IF(AND(D403="Paso a indefinido",E403&lt;&gt;"Indefinido"),"⚠ Un paso a indefinido debe tener tipo Indefinido",IF(N(Q403)&gt;=3,"⚠ 3er contrato a plazo fijo: por ley ya es INDEFINIDO (Art. 159 N°4)",IF(AND(E403="Plazo fijo",N(T403)&gt;12),"⚠ Plazo fijo mayor a 1 año (máx. legal; 2 años solo profesionales o técnicos)",IF(AND(ISNUMBER(G403),G403&lt;F403),"⚠ Término anterior al inicio",IF(AND(D403="Contrato inicial",ISNUMBER(J403),J403-F403&gt;15),"⚠ Escriturado fuera de plazo (Art. 9: 15 días)",IF(K403&lt;&gt;"Sí","Pendiente de firma","OK"))))))))))</f>
        <v/>
      </c>
    </row>
    <row r="404" customFormat="false" ht="15" hidden="false" customHeight="false" outlineLevel="0" collapsed="false">
      <c r="B404" s="64"/>
      <c r="C404" s="72" t="str">
        <f aca="false">IF(B404="","",IFERROR(INDEX(T_NOMBRE,MATCH(B404,T_ID,0)),"⚠ ID no existe en Trabajadores"))</f>
        <v/>
      </c>
      <c r="D404" s="64"/>
      <c r="E404" s="64"/>
      <c r="F404" s="65"/>
      <c r="G404" s="65"/>
      <c r="H404" s="67"/>
      <c r="I404" s="64"/>
      <c r="J404" s="65"/>
      <c r="K404" s="64"/>
      <c r="L404" s="64"/>
      <c r="M404" s="64"/>
      <c r="N404" s="72" t="str">
        <f aca="false">IF(B404="","",IF(D404="Anexo de modificación","No","Sí"))</f>
        <v/>
      </c>
      <c r="O404" s="73" t="str">
        <f aca="false">IF(AND(N404="Sí",ISNUMBER(F404)),COUNTIFS(C_ID,B404,C_DEFINE,"Sí",C_INICIO,"&lt;"&amp;F404)+COUNTIFS(B$7:B404,B404,N$7:N404,"Sí",F$7:F404,F404),"")</f>
        <v/>
      </c>
      <c r="P404" s="72" t="str">
        <f aca="false">IF(O404="","",B404&amp;"-P"&amp;O404)</f>
        <v/>
      </c>
      <c r="Q404" s="73" t="str">
        <f aca="false">IF(AND(N404="Sí",E404="Plazo fijo",ISNUMBER(F404)),COUNTIFS(C_ID,B404,C_TIPO,"Plazo fijo",C_DEFINE,"Sí",C_INICIO,"&lt;"&amp;F404)+COUNTIFS(B$7:B404,B404,E$7:E404,"Plazo fijo",N$7:N404,"Sí",F$7:F404,F404),"")</f>
        <v/>
      </c>
      <c r="R404" s="73" t="str">
        <f aca="false">IF(AND(B404&lt;&gt;"",ISNUMBER(H404),ISNUMBER(F404)),COUNTIFS(C_ID,B404,C_SUELDO,"&lt;&gt;",C_INICIO,"&lt;"&amp;F404)+COUNTIFS(B$7:B404,B404,H$7:H404,"&lt;&gt;",F$7:F404,F404),"")</f>
        <v/>
      </c>
      <c r="S404" s="72" t="str">
        <f aca="false">IF(R404="","",B404&amp;"-S"&amp;R404)</f>
        <v/>
      </c>
      <c r="T404" s="74" t="str">
        <f aca="false">IF(AND(ISNUMBER(F404),ISNUMBER(G404)),ROUND((G404-F404+1)/30.4375,1),"")</f>
        <v/>
      </c>
      <c r="U404" s="70" t="str">
        <f aca="false">IF(B404="","",IF(AND(N404="Sí",OR(E404="",NOT(ISNUMBER(F404)))),"⚠ Falta tipo de contrato o fecha de inicio",IF(NOT(ISNUMBER(F404)),"⚠ Falta fecha de inicio",IF(AND(N404="Sí",E404&lt;&gt;"Indefinido",NOT(ISNUMBER(G404))),"⚠ Falta fecha de término",IF(AND(D404="Paso a indefinido",E404&lt;&gt;"Indefinido"),"⚠ Un paso a indefinido debe tener tipo Indefinido",IF(N(Q404)&gt;=3,"⚠ 3er contrato a plazo fijo: por ley ya es INDEFINIDO (Art. 159 N°4)",IF(AND(E404="Plazo fijo",N(T404)&gt;12),"⚠ Plazo fijo mayor a 1 año (máx. legal; 2 años solo profesionales o técnicos)",IF(AND(ISNUMBER(G404),G404&lt;F404),"⚠ Término anterior al inicio",IF(AND(D404="Contrato inicial",ISNUMBER(J404),J404-F404&gt;15),"⚠ Escriturado fuera de plazo (Art. 9: 15 días)",IF(K404&lt;&gt;"Sí","Pendiente de firma","OK"))))))))))</f>
        <v/>
      </c>
    </row>
    <row r="405" customFormat="false" ht="15" hidden="false" customHeight="false" outlineLevel="0" collapsed="false">
      <c r="B405" s="64"/>
      <c r="C405" s="72" t="str">
        <f aca="false">IF(B405="","",IFERROR(INDEX(T_NOMBRE,MATCH(B405,T_ID,0)),"⚠ ID no existe en Trabajadores"))</f>
        <v/>
      </c>
      <c r="D405" s="64"/>
      <c r="E405" s="64"/>
      <c r="F405" s="65"/>
      <c r="G405" s="65"/>
      <c r="H405" s="67"/>
      <c r="I405" s="64"/>
      <c r="J405" s="65"/>
      <c r="K405" s="64"/>
      <c r="L405" s="64"/>
      <c r="M405" s="64"/>
      <c r="N405" s="72" t="str">
        <f aca="false">IF(B405="","",IF(D405="Anexo de modificación","No","Sí"))</f>
        <v/>
      </c>
      <c r="O405" s="73" t="str">
        <f aca="false">IF(AND(N405="Sí",ISNUMBER(F405)),COUNTIFS(C_ID,B405,C_DEFINE,"Sí",C_INICIO,"&lt;"&amp;F405)+COUNTIFS(B$7:B405,B405,N$7:N405,"Sí",F$7:F405,F405),"")</f>
        <v/>
      </c>
      <c r="P405" s="72" t="str">
        <f aca="false">IF(O405="","",B405&amp;"-P"&amp;O405)</f>
        <v/>
      </c>
      <c r="Q405" s="73" t="str">
        <f aca="false">IF(AND(N405="Sí",E405="Plazo fijo",ISNUMBER(F405)),COUNTIFS(C_ID,B405,C_TIPO,"Plazo fijo",C_DEFINE,"Sí",C_INICIO,"&lt;"&amp;F405)+COUNTIFS(B$7:B405,B405,E$7:E405,"Plazo fijo",N$7:N405,"Sí",F$7:F405,F405),"")</f>
        <v/>
      </c>
      <c r="R405" s="73" t="str">
        <f aca="false">IF(AND(B405&lt;&gt;"",ISNUMBER(H405),ISNUMBER(F405)),COUNTIFS(C_ID,B405,C_SUELDO,"&lt;&gt;",C_INICIO,"&lt;"&amp;F405)+COUNTIFS(B$7:B405,B405,H$7:H405,"&lt;&gt;",F$7:F405,F405),"")</f>
        <v/>
      </c>
      <c r="S405" s="72" t="str">
        <f aca="false">IF(R405="","",B405&amp;"-S"&amp;R405)</f>
        <v/>
      </c>
      <c r="T405" s="74" t="str">
        <f aca="false">IF(AND(ISNUMBER(F405),ISNUMBER(G405)),ROUND((G405-F405+1)/30.4375,1),"")</f>
        <v/>
      </c>
      <c r="U405" s="70" t="str">
        <f aca="false">IF(B405="","",IF(AND(N405="Sí",OR(E405="",NOT(ISNUMBER(F405)))),"⚠ Falta tipo de contrato o fecha de inicio",IF(NOT(ISNUMBER(F405)),"⚠ Falta fecha de inicio",IF(AND(N405="Sí",E405&lt;&gt;"Indefinido",NOT(ISNUMBER(G405))),"⚠ Falta fecha de término",IF(AND(D405="Paso a indefinido",E405&lt;&gt;"Indefinido"),"⚠ Un paso a indefinido debe tener tipo Indefinido",IF(N(Q405)&gt;=3,"⚠ 3er contrato a plazo fijo: por ley ya es INDEFINIDO (Art. 159 N°4)",IF(AND(E405="Plazo fijo",N(T405)&gt;12),"⚠ Plazo fijo mayor a 1 año (máx. legal; 2 años solo profesionales o técnicos)",IF(AND(ISNUMBER(G405),G405&lt;F405),"⚠ Término anterior al inicio",IF(AND(D405="Contrato inicial",ISNUMBER(J405),J405-F405&gt;15),"⚠ Escriturado fuera de plazo (Art. 9: 15 días)",IF(K405&lt;&gt;"Sí","Pendiente de firma","OK"))))))))))</f>
        <v/>
      </c>
    </row>
    <row r="406" customFormat="false" ht="15" hidden="false" customHeight="false" outlineLevel="0" collapsed="false">
      <c r="B406" s="64"/>
      <c r="C406" s="72" t="str">
        <f aca="false">IF(B406="","",IFERROR(INDEX(T_NOMBRE,MATCH(B406,T_ID,0)),"⚠ ID no existe en Trabajadores"))</f>
        <v/>
      </c>
      <c r="D406" s="64"/>
      <c r="E406" s="64"/>
      <c r="F406" s="65"/>
      <c r="G406" s="65"/>
      <c r="H406" s="67"/>
      <c r="I406" s="64"/>
      <c r="J406" s="65"/>
      <c r="K406" s="64"/>
      <c r="L406" s="64"/>
      <c r="M406" s="64"/>
      <c r="N406" s="72" t="str">
        <f aca="false">IF(B406="","",IF(D406="Anexo de modificación","No","Sí"))</f>
        <v/>
      </c>
      <c r="O406" s="73" t="str">
        <f aca="false">IF(AND(N406="Sí",ISNUMBER(F406)),COUNTIFS(C_ID,B406,C_DEFINE,"Sí",C_INICIO,"&lt;"&amp;F406)+COUNTIFS(B$7:B406,B406,N$7:N406,"Sí",F$7:F406,F406),"")</f>
        <v/>
      </c>
      <c r="P406" s="72" t="str">
        <f aca="false">IF(O406="","",B406&amp;"-P"&amp;O406)</f>
        <v/>
      </c>
      <c r="Q406" s="73" t="str">
        <f aca="false">IF(AND(N406="Sí",E406="Plazo fijo",ISNUMBER(F406)),COUNTIFS(C_ID,B406,C_TIPO,"Plazo fijo",C_DEFINE,"Sí",C_INICIO,"&lt;"&amp;F406)+COUNTIFS(B$7:B406,B406,E$7:E406,"Plazo fijo",N$7:N406,"Sí",F$7:F406,F406),"")</f>
        <v/>
      </c>
      <c r="R406" s="73" t="str">
        <f aca="false">IF(AND(B406&lt;&gt;"",ISNUMBER(H406),ISNUMBER(F406)),COUNTIFS(C_ID,B406,C_SUELDO,"&lt;&gt;",C_INICIO,"&lt;"&amp;F406)+COUNTIFS(B$7:B406,B406,H$7:H406,"&lt;&gt;",F$7:F406,F406),"")</f>
        <v/>
      </c>
      <c r="S406" s="72" t="str">
        <f aca="false">IF(R406="","",B406&amp;"-S"&amp;R406)</f>
        <v/>
      </c>
      <c r="T406" s="74" t="str">
        <f aca="false">IF(AND(ISNUMBER(F406),ISNUMBER(G406)),ROUND((G406-F406+1)/30.4375,1),"")</f>
        <v/>
      </c>
      <c r="U406" s="70" t="str">
        <f aca="false">IF(B406="","",IF(AND(N406="Sí",OR(E406="",NOT(ISNUMBER(F406)))),"⚠ Falta tipo de contrato o fecha de inicio",IF(NOT(ISNUMBER(F406)),"⚠ Falta fecha de inicio",IF(AND(N406="Sí",E406&lt;&gt;"Indefinido",NOT(ISNUMBER(G406))),"⚠ Falta fecha de término",IF(AND(D406="Paso a indefinido",E406&lt;&gt;"Indefinido"),"⚠ Un paso a indefinido debe tener tipo Indefinido",IF(N(Q406)&gt;=3,"⚠ 3er contrato a plazo fijo: por ley ya es INDEFINIDO (Art. 159 N°4)",IF(AND(E406="Plazo fijo",N(T406)&gt;12),"⚠ Plazo fijo mayor a 1 año (máx. legal; 2 años solo profesionales o técnicos)",IF(AND(ISNUMBER(G406),G406&lt;F406),"⚠ Término anterior al inicio",IF(AND(D406="Contrato inicial",ISNUMBER(J406),J406-F406&gt;15),"⚠ Escriturado fuera de plazo (Art. 9: 15 días)",IF(K406&lt;&gt;"Sí","Pendiente de firma","OK"))))))))))</f>
        <v/>
      </c>
    </row>
    <row r="407" customFormat="false" ht="15" hidden="false" customHeight="false" outlineLevel="0" collapsed="false">
      <c r="B407" s="64"/>
      <c r="C407" s="72" t="str">
        <f aca="false">IF(B407="","",IFERROR(INDEX(T_NOMBRE,MATCH(B407,T_ID,0)),"⚠ ID no existe en Trabajadores"))</f>
        <v/>
      </c>
      <c r="D407" s="64"/>
      <c r="E407" s="64"/>
      <c r="F407" s="65"/>
      <c r="G407" s="65"/>
      <c r="H407" s="67"/>
      <c r="I407" s="64"/>
      <c r="J407" s="65"/>
      <c r="K407" s="64"/>
      <c r="L407" s="64"/>
      <c r="M407" s="64"/>
      <c r="N407" s="72" t="str">
        <f aca="false">IF(B407="","",IF(D407="Anexo de modificación","No","Sí"))</f>
        <v/>
      </c>
      <c r="O407" s="73" t="str">
        <f aca="false">IF(AND(N407="Sí",ISNUMBER(F407)),COUNTIFS(C_ID,B407,C_DEFINE,"Sí",C_INICIO,"&lt;"&amp;F407)+COUNTIFS(B$7:B407,B407,N$7:N407,"Sí",F$7:F407,F407),"")</f>
        <v/>
      </c>
      <c r="P407" s="72" t="str">
        <f aca="false">IF(O407="","",B407&amp;"-P"&amp;O407)</f>
        <v/>
      </c>
      <c r="Q407" s="73" t="str">
        <f aca="false">IF(AND(N407="Sí",E407="Plazo fijo",ISNUMBER(F407)),COUNTIFS(C_ID,B407,C_TIPO,"Plazo fijo",C_DEFINE,"Sí",C_INICIO,"&lt;"&amp;F407)+COUNTIFS(B$7:B407,B407,E$7:E407,"Plazo fijo",N$7:N407,"Sí",F$7:F407,F407),"")</f>
        <v/>
      </c>
      <c r="R407" s="73" t="str">
        <f aca="false">IF(AND(B407&lt;&gt;"",ISNUMBER(H407),ISNUMBER(F407)),COUNTIFS(C_ID,B407,C_SUELDO,"&lt;&gt;",C_INICIO,"&lt;"&amp;F407)+COUNTIFS(B$7:B407,B407,H$7:H407,"&lt;&gt;",F$7:F407,F407),"")</f>
        <v/>
      </c>
      <c r="S407" s="72" t="str">
        <f aca="false">IF(R407="","",B407&amp;"-S"&amp;R407)</f>
        <v/>
      </c>
      <c r="T407" s="74" t="str">
        <f aca="false">IF(AND(ISNUMBER(F407),ISNUMBER(G407)),ROUND((G407-F407+1)/30.4375,1),"")</f>
        <v/>
      </c>
      <c r="U407" s="70" t="str">
        <f aca="false">IF(B407="","",IF(AND(N407="Sí",OR(E407="",NOT(ISNUMBER(F407)))),"⚠ Falta tipo de contrato o fecha de inicio",IF(NOT(ISNUMBER(F407)),"⚠ Falta fecha de inicio",IF(AND(N407="Sí",E407&lt;&gt;"Indefinido",NOT(ISNUMBER(G407))),"⚠ Falta fecha de término",IF(AND(D407="Paso a indefinido",E407&lt;&gt;"Indefinido"),"⚠ Un paso a indefinido debe tener tipo Indefinido",IF(N(Q407)&gt;=3,"⚠ 3er contrato a plazo fijo: por ley ya es INDEFINIDO (Art. 159 N°4)",IF(AND(E407="Plazo fijo",N(T407)&gt;12),"⚠ Plazo fijo mayor a 1 año (máx. legal; 2 años solo profesionales o técnicos)",IF(AND(ISNUMBER(G407),G407&lt;F407),"⚠ Término anterior al inicio",IF(AND(D407="Contrato inicial",ISNUMBER(J407),J407-F407&gt;15),"⚠ Escriturado fuera de plazo (Art. 9: 15 días)",IF(K407&lt;&gt;"Sí","Pendiente de firma","OK"))))))))))</f>
        <v/>
      </c>
    </row>
    <row r="408" customFormat="false" ht="15" hidden="false" customHeight="false" outlineLevel="0" collapsed="false">
      <c r="B408" s="64"/>
      <c r="C408" s="72" t="str">
        <f aca="false">IF(B408="","",IFERROR(INDEX(T_NOMBRE,MATCH(B408,T_ID,0)),"⚠ ID no existe en Trabajadores"))</f>
        <v/>
      </c>
      <c r="D408" s="64"/>
      <c r="E408" s="64"/>
      <c r="F408" s="65"/>
      <c r="G408" s="65"/>
      <c r="H408" s="67"/>
      <c r="I408" s="64"/>
      <c r="J408" s="65"/>
      <c r="K408" s="64"/>
      <c r="L408" s="64"/>
      <c r="M408" s="64"/>
      <c r="N408" s="72" t="str">
        <f aca="false">IF(B408="","",IF(D408="Anexo de modificación","No","Sí"))</f>
        <v/>
      </c>
      <c r="O408" s="73" t="str">
        <f aca="false">IF(AND(N408="Sí",ISNUMBER(F408)),COUNTIFS(C_ID,B408,C_DEFINE,"Sí",C_INICIO,"&lt;"&amp;F408)+COUNTIFS(B$7:B408,B408,N$7:N408,"Sí",F$7:F408,F408),"")</f>
        <v/>
      </c>
      <c r="P408" s="72" t="str">
        <f aca="false">IF(O408="","",B408&amp;"-P"&amp;O408)</f>
        <v/>
      </c>
      <c r="Q408" s="73" t="str">
        <f aca="false">IF(AND(N408="Sí",E408="Plazo fijo",ISNUMBER(F408)),COUNTIFS(C_ID,B408,C_TIPO,"Plazo fijo",C_DEFINE,"Sí",C_INICIO,"&lt;"&amp;F408)+COUNTIFS(B$7:B408,B408,E$7:E408,"Plazo fijo",N$7:N408,"Sí",F$7:F408,F408),"")</f>
        <v/>
      </c>
      <c r="R408" s="73" t="str">
        <f aca="false">IF(AND(B408&lt;&gt;"",ISNUMBER(H408),ISNUMBER(F408)),COUNTIFS(C_ID,B408,C_SUELDO,"&lt;&gt;",C_INICIO,"&lt;"&amp;F408)+COUNTIFS(B$7:B408,B408,H$7:H408,"&lt;&gt;",F$7:F408,F408),"")</f>
        <v/>
      </c>
      <c r="S408" s="72" t="str">
        <f aca="false">IF(R408="","",B408&amp;"-S"&amp;R408)</f>
        <v/>
      </c>
      <c r="T408" s="74" t="str">
        <f aca="false">IF(AND(ISNUMBER(F408),ISNUMBER(G408)),ROUND((G408-F408+1)/30.4375,1),"")</f>
        <v/>
      </c>
      <c r="U408" s="70" t="str">
        <f aca="false">IF(B408="","",IF(AND(N408="Sí",OR(E408="",NOT(ISNUMBER(F408)))),"⚠ Falta tipo de contrato o fecha de inicio",IF(NOT(ISNUMBER(F408)),"⚠ Falta fecha de inicio",IF(AND(N408="Sí",E408&lt;&gt;"Indefinido",NOT(ISNUMBER(G408))),"⚠ Falta fecha de término",IF(AND(D408="Paso a indefinido",E408&lt;&gt;"Indefinido"),"⚠ Un paso a indefinido debe tener tipo Indefinido",IF(N(Q408)&gt;=3,"⚠ 3er contrato a plazo fijo: por ley ya es INDEFINIDO (Art. 159 N°4)",IF(AND(E408="Plazo fijo",N(T408)&gt;12),"⚠ Plazo fijo mayor a 1 año (máx. legal; 2 años solo profesionales o técnicos)",IF(AND(ISNUMBER(G408),G408&lt;F408),"⚠ Término anterior al inicio",IF(AND(D408="Contrato inicial",ISNUMBER(J408),J408-F408&gt;15),"⚠ Escriturado fuera de plazo (Art. 9: 15 días)",IF(K408&lt;&gt;"Sí","Pendiente de firma","OK"))))))))))</f>
        <v/>
      </c>
    </row>
    <row r="409" customFormat="false" ht="15" hidden="false" customHeight="false" outlineLevel="0" collapsed="false">
      <c r="B409" s="64"/>
      <c r="C409" s="72" t="str">
        <f aca="false">IF(B409="","",IFERROR(INDEX(T_NOMBRE,MATCH(B409,T_ID,0)),"⚠ ID no existe en Trabajadores"))</f>
        <v/>
      </c>
      <c r="D409" s="64"/>
      <c r="E409" s="64"/>
      <c r="F409" s="65"/>
      <c r="G409" s="65"/>
      <c r="H409" s="67"/>
      <c r="I409" s="64"/>
      <c r="J409" s="65"/>
      <c r="K409" s="64"/>
      <c r="L409" s="64"/>
      <c r="M409" s="64"/>
      <c r="N409" s="72" t="str">
        <f aca="false">IF(B409="","",IF(D409="Anexo de modificación","No","Sí"))</f>
        <v/>
      </c>
      <c r="O409" s="73" t="str">
        <f aca="false">IF(AND(N409="Sí",ISNUMBER(F409)),COUNTIFS(C_ID,B409,C_DEFINE,"Sí",C_INICIO,"&lt;"&amp;F409)+COUNTIFS(B$7:B409,B409,N$7:N409,"Sí",F$7:F409,F409),"")</f>
        <v/>
      </c>
      <c r="P409" s="72" t="str">
        <f aca="false">IF(O409="","",B409&amp;"-P"&amp;O409)</f>
        <v/>
      </c>
      <c r="Q409" s="73" t="str">
        <f aca="false">IF(AND(N409="Sí",E409="Plazo fijo",ISNUMBER(F409)),COUNTIFS(C_ID,B409,C_TIPO,"Plazo fijo",C_DEFINE,"Sí",C_INICIO,"&lt;"&amp;F409)+COUNTIFS(B$7:B409,B409,E$7:E409,"Plazo fijo",N$7:N409,"Sí",F$7:F409,F409),"")</f>
        <v/>
      </c>
      <c r="R409" s="73" t="str">
        <f aca="false">IF(AND(B409&lt;&gt;"",ISNUMBER(H409),ISNUMBER(F409)),COUNTIFS(C_ID,B409,C_SUELDO,"&lt;&gt;",C_INICIO,"&lt;"&amp;F409)+COUNTIFS(B$7:B409,B409,H$7:H409,"&lt;&gt;",F$7:F409,F409),"")</f>
        <v/>
      </c>
      <c r="S409" s="72" t="str">
        <f aca="false">IF(R409="","",B409&amp;"-S"&amp;R409)</f>
        <v/>
      </c>
      <c r="T409" s="74" t="str">
        <f aca="false">IF(AND(ISNUMBER(F409),ISNUMBER(G409)),ROUND((G409-F409+1)/30.4375,1),"")</f>
        <v/>
      </c>
      <c r="U409" s="70" t="str">
        <f aca="false">IF(B409="","",IF(AND(N409="Sí",OR(E409="",NOT(ISNUMBER(F409)))),"⚠ Falta tipo de contrato o fecha de inicio",IF(NOT(ISNUMBER(F409)),"⚠ Falta fecha de inicio",IF(AND(N409="Sí",E409&lt;&gt;"Indefinido",NOT(ISNUMBER(G409))),"⚠ Falta fecha de término",IF(AND(D409="Paso a indefinido",E409&lt;&gt;"Indefinido"),"⚠ Un paso a indefinido debe tener tipo Indefinido",IF(N(Q409)&gt;=3,"⚠ 3er contrato a plazo fijo: por ley ya es INDEFINIDO (Art. 159 N°4)",IF(AND(E409="Plazo fijo",N(T409)&gt;12),"⚠ Plazo fijo mayor a 1 año (máx. legal; 2 años solo profesionales o técnicos)",IF(AND(ISNUMBER(G409),G409&lt;F409),"⚠ Término anterior al inicio",IF(AND(D409="Contrato inicial",ISNUMBER(J409),J409-F409&gt;15),"⚠ Escriturado fuera de plazo (Art. 9: 15 días)",IF(K409&lt;&gt;"Sí","Pendiente de firma","OK"))))))))))</f>
        <v/>
      </c>
    </row>
    <row r="410" customFormat="false" ht="15" hidden="false" customHeight="false" outlineLevel="0" collapsed="false">
      <c r="B410" s="64"/>
      <c r="C410" s="72" t="str">
        <f aca="false">IF(B410="","",IFERROR(INDEX(T_NOMBRE,MATCH(B410,T_ID,0)),"⚠ ID no existe en Trabajadores"))</f>
        <v/>
      </c>
      <c r="D410" s="64"/>
      <c r="E410" s="64"/>
      <c r="F410" s="65"/>
      <c r="G410" s="65"/>
      <c r="H410" s="67"/>
      <c r="I410" s="64"/>
      <c r="J410" s="65"/>
      <c r="K410" s="64"/>
      <c r="L410" s="64"/>
      <c r="M410" s="64"/>
      <c r="N410" s="72" t="str">
        <f aca="false">IF(B410="","",IF(D410="Anexo de modificación","No","Sí"))</f>
        <v/>
      </c>
      <c r="O410" s="73" t="str">
        <f aca="false">IF(AND(N410="Sí",ISNUMBER(F410)),COUNTIFS(C_ID,B410,C_DEFINE,"Sí",C_INICIO,"&lt;"&amp;F410)+COUNTIFS(B$7:B410,B410,N$7:N410,"Sí",F$7:F410,F410),"")</f>
        <v/>
      </c>
      <c r="P410" s="72" t="str">
        <f aca="false">IF(O410="","",B410&amp;"-P"&amp;O410)</f>
        <v/>
      </c>
      <c r="Q410" s="73" t="str">
        <f aca="false">IF(AND(N410="Sí",E410="Plazo fijo",ISNUMBER(F410)),COUNTIFS(C_ID,B410,C_TIPO,"Plazo fijo",C_DEFINE,"Sí",C_INICIO,"&lt;"&amp;F410)+COUNTIFS(B$7:B410,B410,E$7:E410,"Plazo fijo",N$7:N410,"Sí",F$7:F410,F410),"")</f>
        <v/>
      </c>
      <c r="R410" s="73" t="str">
        <f aca="false">IF(AND(B410&lt;&gt;"",ISNUMBER(H410),ISNUMBER(F410)),COUNTIFS(C_ID,B410,C_SUELDO,"&lt;&gt;",C_INICIO,"&lt;"&amp;F410)+COUNTIFS(B$7:B410,B410,H$7:H410,"&lt;&gt;",F$7:F410,F410),"")</f>
        <v/>
      </c>
      <c r="S410" s="72" t="str">
        <f aca="false">IF(R410="","",B410&amp;"-S"&amp;R410)</f>
        <v/>
      </c>
      <c r="T410" s="74" t="str">
        <f aca="false">IF(AND(ISNUMBER(F410),ISNUMBER(G410)),ROUND((G410-F410+1)/30.4375,1),"")</f>
        <v/>
      </c>
      <c r="U410" s="70" t="str">
        <f aca="false">IF(B410="","",IF(AND(N410="Sí",OR(E410="",NOT(ISNUMBER(F410)))),"⚠ Falta tipo de contrato o fecha de inicio",IF(NOT(ISNUMBER(F410)),"⚠ Falta fecha de inicio",IF(AND(N410="Sí",E410&lt;&gt;"Indefinido",NOT(ISNUMBER(G410))),"⚠ Falta fecha de término",IF(AND(D410="Paso a indefinido",E410&lt;&gt;"Indefinido"),"⚠ Un paso a indefinido debe tener tipo Indefinido",IF(N(Q410)&gt;=3,"⚠ 3er contrato a plazo fijo: por ley ya es INDEFINIDO (Art. 159 N°4)",IF(AND(E410="Plazo fijo",N(T410)&gt;12),"⚠ Plazo fijo mayor a 1 año (máx. legal; 2 años solo profesionales o técnicos)",IF(AND(ISNUMBER(G410),G410&lt;F410),"⚠ Término anterior al inicio",IF(AND(D410="Contrato inicial",ISNUMBER(J410),J410-F410&gt;15),"⚠ Escriturado fuera de plazo (Art. 9: 15 días)",IF(K410&lt;&gt;"Sí","Pendiente de firma","OK"))))))))))</f>
        <v/>
      </c>
    </row>
    <row r="411" customFormat="false" ht="15" hidden="false" customHeight="false" outlineLevel="0" collapsed="false">
      <c r="B411" s="64"/>
      <c r="C411" s="72" t="str">
        <f aca="false">IF(B411="","",IFERROR(INDEX(T_NOMBRE,MATCH(B411,T_ID,0)),"⚠ ID no existe en Trabajadores"))</f>
        <v/>
      </c>
      <c r="D411" s="64"/>
      <c r="E411" s="64"/>
      <c r="F411" s="65"/>
      <c r="G411" s="65"/>
      <c r="H411" s="67"/>
      <c r="I411" s="64"/>
      <c r="J411" s="65"/>
      <c r="K411" s="64"/>
      <c r="L411" s="64"/>
      <c r="M411" s="64"/>
      <c r="N411" s="72" t="str">
        <f aca="false">IF(B411="","",IF(D411="Anexo de modificación","No","Sí"))</f>
        <v/>
      </c>
      <c r="O411" s="73" t="str">
        <f aca="false">IF(AND(N411="Sí",ISNUMBER(F411)),COUNTIFS(C_ID,B411,C_DEFINE,"Sí",C_INICIO,"&lt;"&amp;F411)+COUNTIFS(B$7:B411,B411,N$7:N411,"Sí",F$7:F411,F411),"")</f>
        <v/>
      </c>
      <c r="P411" s="72" t="str">
        <f aca="false">IF(O411="","",B411&amp;"-P"&amp;O411)</f>
        <v/>
      </c>
      <c r="Q411" s="73" t="str">
        <f aca="false">IF(AND(N411="Sí",E411="Plazo fijo",ISNUMBER(F411)),COUNTIFS(C_ID,B411,C_TIPO,"Plazo fijo",C_DEFINE,"Sí",C_INICIO,"&lt;"&amp;F411)+COUNTIFS(B$7:B411,B411,E$7:E411,"Plazo fijo",N$7:N411,"Sí",F$7:F411,F411),"")</f>
        <v/>
      </c>
      <c r="R411" s="73" t="str">
        <f aca="false">IF(AND(B411&lt;&gt;"",ISNUMBER(H411),ISNUMBER(F411)),COUNTIFS(C_ID,B411,C_SUELDO,"&lt;&gt;",C_INICIO,"&lt;"&amp;F411)+COUNTIFS(B$7:B411,B411,H$7:H411,"&lt;&gt;",F$7:F411,F411),"")</f>
        <v/>
      </c>
      <c r="S411" s="72" t="str">
        <f aca="false">IF(R411="","",B411&amp;"-S"&amp;R411)</f>
        <v/>
      </c>
      <c r="T411" s="74" t="str">
        <f aca="false">IF(AND(ISNUMBER(F411),ISNUMBER(G411)),ROUND((G411-F411+1)/30.4375,1),"")</f>
        <v/>
      </c>
      <c r="U411" s="70" t="str">
        <f aca="false">IF(B411="","",IF(AND(N411="Sí",OR(E411="",NOT(ISNUMBER(F411)))),"⚠ Falta tipo de contrato o fecha de inicio",IF(NOT(ISNUMBER(F411)),"⚠ Falta fecha de inicio",IF(AND(N411="Sí",E411&lt;&gt;"Indefinido",NOT(ISNUMBER(G411))),"⚠ Falta fecha de término",IF(AND(D411="Paso a indefinido",E411&lt;&gt;"Indefinido"),"⚠ Un paso a indefinido debe tener tipo Indefinido",IF(N(Q411)&gt;=3,"⚠ 3er contrato a plazo fijo: por ley ya es INDEFINIDO (Art. 159 N°4)",IF(AND(E411="Plazo fijo",N(T411)&gt;12),"⚠ Plazo fijo mayor a 1 año (máx. legal; 2 años solo profesionales o técnicos)",IF(AND(ISNUMBER(G411),G411&lt;F411),"⚠ Término anterior al inicio",IF(AND(D411="Contrato inicial",ISNUMBER(J411),J411-F411&gt;15),"⚠ Escriturado fuera de plazo (Art. 9: 15 días)",IF(K411&lt;&gt;"Sí","Pendiente de firma","OK"))))))))))</f>
        <v/>
      </c>
    </row>
    <row r="412" customFormat="false" ht="15" hidden="false" customHeight="false" outlineLevel="0" collapsed="false">
      <c r="B412" s="64"/>
      <c r="C412" s="72" t="str">
        <f aca="false">IF(B412="","",IFERROR(INDEX(T_NOMBRE,MATCH(B412,T_ID,0)),"⚠ ID no existe en Trabajadores"))</f>
        <v/>
      </c>
      <c r="D412" s="64"/>
      <c r="E412" s="64"/>
      <c r="F412" s="65"/>
      <c r="G412" s="65"/>
      <c r="H412" s="67"/>
      <c r="I412" s="64"/>
      <c r="J412" s="65"/>
      <c r="K412" s="64"/>
      <c r="L412" s="64"/>
      <c r="M412" s="64"/>
      <c r="N412" s="72" t="str">
        <f aca="false">IF(B412="","",IF(D412="Anexo de modificación","No","Sí"))</f>
        <v/>
      </c>
      <c r="O412" s="73" t="str">
        <f aca="false">IF(AND(N412="Sí",ISNUMBER(F412)),COUNTIFS(C_ID,B412,C_DEFINE,"Sí",C_INICIO,"&lt;"&amp;F412)+COUNTIFS(B$7:B412,B412,N$7:N412,"Sí",F$7:F412,F412),"")</f>
        <v/>
      </c>
      <c r="P412" s="72" t="str">
        <f aca="false">IF(O412="","",B412&amp;"-P"&amp;O412)</f>
        <v/>
      </c>
      <c r="Q412" s="73" t="str">
        <f aca="false">IF(AND(N412="Sí",E412="Plazo fijo",ISNUMBER(F412)),COUNTIFS(C_ID,B412,C_TIPO,"Plazo fijo",C_DEFINE,"Sí",C_INICIO,"&lt;"&amp;F412)+COUNTIFS(B$7:B412,B412,E$7:E412,"Plazo fijo",N$7:N412,"Sí",F$7:F412,F412),"")</f>
        <v/>
      </c>
      <c r="R412" s="73" t="str">
        <f aca="false">IF(AND(B412&lt;&gt;"",ISNUMBER(H412),ISNUMBER(F412)),COUNTIFS(C_ID,B412,C_SUELDO,"&lt;&gt;",C_INICIO,"&lt;"&amp;F412)+COUNTIFS(B$7:B412,B412,H$7:H412,"&lt;&gt;",F$7:F412,F412),"")</f>
        <v/>
      </c>
      <c r="S412" s="72" t="str">
        <f aca="false">IF(R412="","",B412&amp;"-S"&amp;R412)</f>
        <v/>
      </c>
      <c r="T412" s="74" t="str">
        <f aca="false">IF(AND(ISNUMBER(F412),ISNUMBER(G412)),ROUND((G412-F412+1)/30.4375,1),"")</f>
        <v/>
      </c>
      <c r="U412" s="70" t="str">
        <f aca="false">IF(B412="","",IF(AND(N412="Sí",OR(E412="",NOT(ISNUMBER(F412)))),"⚠ Falta tipo de contrato o fecha de inicio",IF(NOT(ISNUMBER(F412)),"⚠ Falta fecha de inicio",IF(AND(N412="Sí",E412&lt;&gt;"Indefinido",NOT(ISNUMBER(G412))),"⚠ Falta fecha de término",IF(AND(D412="Paso a indefinido",E412&lt;&gt;"Indefinido"),"⚠ Un paso a indefinido debe tener tipo Indefinido",IF(N(Q412)&gt;=3,"⚠ 3er contrato a plazo fijo: por ley ya es INDEFINIDO (Art. 159 N°4)",IF(AND(E412="Plazo fijo",N(T412)&gt;12),"⚠ Plazo fijo mayor a 1 año (máx. legal; 2 años solo profesionales o técnicos)",IF(AND(ISNUMBER(G412),G412&lt;F412),"⚠ Término anterior al inicio",IF(AND(D412="Contrato inicial",ISNUMBER(J412),J412-F412&gt;15),"⚠ Escriturado fuera de plazo (Art. 9: 15 días)",IF(K412&lt;&gt;"Sí","Pendiente de firma","OK"))))))))))</f>
        <v/>
      </c>
    </row>
    <row r="413" customFormat="false" ht="15" hidden="false" customHeight="false" outlineLevel="0" collapsed="false">
      <c r="B413" s="64"/>
      <c r="C413" s="72" t="str">
        <f aca="false">IF(B413="","",IFERROR(INDEX(T_NOMBRE,MATCH(B413,T_ID,0)),"⚠ ID no existe en Trabajadores"))</f>
        <v/>
      </c>
      <c r="D413" s="64"/>
      <c r="E413" s="64"/>
      <c r="F413" s="65"/>
      <c r="G413" s="65"/>
      <c r="H413" s="67"/>
      <c r="I413" s="64"/>
      <c r="J413" s="65"/>
      <c r="K413" s="64"/>
      <c r="L413" s="64"/>
      <c r="M413" s="64"/>
      <c r="N413" s="72" t="str">
        <f aca="false">IF(B413="","",IF(D413="Anexo de modificación","No","Sí"))</f>
        <v/>
      </c>
      <c r="O413" s="73" t="str">
        <f aca="false">IF(AND(N413="Sí",ISNUMBER(F413)),COUNTIFS(C_ID,B413,C_DEFINE,"Sí",C_INICIO,"&lt;"&amp;F413)+COUNTIFS(B$7:B413,B413,N$7:N413,"Sí",F$7:F413,F413),"")</f>
        <v/>
      </c>
      <c r="P413" s="72" t="str">
        <f aca="false">IF(O413="","",B413&amp;"-P"&amp;O413)</f>
        <v/>
      </c>
      <c r="Q413" s="73" t="str">
        <f aca="false">IF(AND(N413="Sí",E413="Plazo fijo",ISNUMBER(F413)),COUNTIFS(C_ID,B413,C_TIPO,"Plazo fijo",C_DEFINE,"Sí",C_INICIO,"&lt;"&amp;F413)+COUNTIFS(B$7:B413,B413,E$7:E413,"Plazo fijo",N$7:N413,"Sí",F$7:F413,F413),"")</f>
        <v/>
      </c>
      <c r="R413" s="73" t="str">
        <f aca="false">IF(AND(B413&lt;&gt;"",ISNUMBER(H413),ISNUMBER(F413)),COUNTIFS(C_ID,B413,C_SUELDO,"&lt;&gt;",C_INICIO,"&lt;"&amp;F413)+COUNTIFS(B$7:B413,B413,H$7:H413,"&lt;&gt;",F$7:F413,F413),"")</f>
        <v/>
      </c>
      <c r="S413" s="72" t="str">
        <f aca="false">IF(R413="","",B413&amp;"-S"&amp;R413)</f>
        <v/>
      </c>
      <c r="T413" s="74" t="str">
        <f aca="false">IF(AND(ISNUMBER(F413),ISNUMBER(G413)),ROUND((G413-F413+1)/30.4375,1),"")</f>
        <v/>
      </c>
      <c r="U413" s="70" t="str">
        <f aca="false">IF(B413="","",IF(AND(N413="Sí",OR(E413="",NOT(ISNUMBER(F413)))),"⚠ Falta tipo de contrato o fecha de inicio",IF(NOT(ISNUMBER(F413)),"⚠ Falta fecha de inicio",IF(AND(N413="Sí",E413&lt;&gt;"Indefinido",NOT(ISNUMBER(G413))),"⚠ Falta fecha de término",IF(AND(D413="Paso a indefinido",E413&lt;&gt;"Indefinido"),"⚠ Un paso a indefinido debe tener tipo Indefinido",IF(N(Q413)&gt;=3,"⚠ 3er contrato a plazo fijo: por ley ya es INDEFINIDO (Art. 159 N°4)",IF(AND(E413="Plazo fijo",N(T413)&gt;12),"⚠ Plazo fijo mayor a 1 año (máx. legal; 2 años solo profesionales o técnicos)",IF(AND(ISNUMBER(G413),G413&lt;F413),"⚠ Término anterior al inicio",IF(AND(D413="Contrato inicial",ISNUMBER(J413),J413-F413&gt;15),"⚠ Escriturado fuera de plazo (Art. 9: 15 días)",IF(K413&lt;&gt;"Sí","Pendiente de firma","OK"))))))))))</f>
        <v/>
      </c>
    </row>
    <row r="414" customFormat="false" ht="15" hidden="false" customHeight="false" outlineLevel="0" collapsed="false">
      <c r="B414" s="64"/>
      <c r="C414" s="72" t="str">
        <f aca="false">IF(B414="","",IFERROR(INDEX(T_NOMBRE,MATCH(B414,T_ID,0)),"⚠ ID no existe en Trabajadores"))</f>
        <v/>
      </c>
      <c r="D414" s="64"/>
      <c r="E414" s="64"/>
      <c r="F414" s="65"/>
      <c r="G414" s="65"/>
      <c r="H414" s="67"/>
      <c r="I414" s="64"/>
      <c r="J414" s="65"/>
      <c r="K414" s="64"/>
      <c r="L414" s="64"/>
      <c r="M414" s="64"/>
      <c r="N414" s="72" t="str">
        <f aca="false">IF(B414="","",IF(D414="Anexo de modificación","No","Sí"))</f>
        <v/>
      </c>
      <c r="O414" s="73" t="str">
        <f aca="false">IF(AND(N414="Sí",ISNUMBER(F414)),COUNTIFS(C_ID,B414,C_DEFINE,"Sí",C_INICIO,"&lt;"&amp;F414)+COUNTIFS(B$7:B414,B414,N$7:N414,"Sí",F$7:F414,F414),"")</f>
        <v/>
      </c>
      <c r="P414" s="72" t="str">
        <f aca="false">IF(O414="","",B414&amp;"-P"&amp;O414)</f>
        <v/>
      </c>
      <c r="Q414" s="73" t="str">
        <f aca="false">IF(AND(N414="Sí",E414="Plazo fijo",ISNUMBER(F414)),COUNTIFS(C_ID,B414,C_TIPO,"Plazo fijo",C_DEFINE,"Sí",C_INICIO,"&lt;"&amp;F414)+COUNTIFS(B$7:B414,B414,E$7:E414,"Plazo fijo",N$7:N414,"Sí",F$7:F414,F414),"")</f>
        <v/>
      </c>
      <c r="R414" s="73" t="str">
        <f aca="false">IF(AND(B414&lt;&gt;"",ISNUMBER(H414),ISNUMBER(F414)),COUNTIFS(C_ID,B414,C_SUELDO,"&lt;&gt;",C_INICIO,"&lt;"&amp;F414)+COUNTIFS(B$7:B414,B414,H$7:H414,"&lt;&gt;",F$7:F414,F414),"")</f>
        <v/>
      </c>
      <c r="S414" s="72" t="str">
        <f aca="false">IF(R414="","",B414&amp;"-S"&amp;R414)</f>
        <v/>
      </c>
      <c r="T414" s="74" t="str">
        <f aca="false">IF(AND(ISNUMBER(F414),ISNUMBER(G414)),ROUND((G414-F414+1)/30.4375,1),"")</f>
        <v/>
      </c>
      <c r="U414" s="70" t="str">
        <f aca="false">IF(B414="","",IF(AND(N414="Sí",OR(E414="",NOT(ISNUMBER(F414)))),"⚠ Falta tipo de contrato o fecha de inicio",IF(NOT(ISNUMBER(F414)),"⚠ Falta fecha de inicio",IF(AND(N414="Sí",E414&lt;&gt;"Indefinido",NOT(ISNUMBER(G414))),"⚠ Falta fecha de término",IF(AND(D414="Paso a indefinido",E414&lt;&gt;"Indefinido"),"⚠ Un paso a indefinido debe tener tipo Indefinido",IF(N(Q414)&gt;=3,"⚠ 3er contrato a plazo fijo: por ley ya es INDEFINIDO (Art. 159 N°4)",IF(AND(E414="Plazo fijo",N(T414)&gt;12),"⚠ Plazo fijo mayor a 1 año (máx. legal; 2 años solo profesionales o técnicos)",IF(AND(ISNUMBER(G414),G414&lt;F414),"⚠ Término anterior al inicio",IF(AND(D414="Contrato inicial",ISNUMBER(J414),J414-F414&gt;15),"⚠ Escriturado fuera de plazo (Art. 9: 15 días)",IF(K414&lt;&gt;"Sí","Pendiente de firma","OK"))))))))))</f>
        <v/>
      </c>
    </row>
    <row r="415" customFormat="false" ht="15" hidden="false" customHeight="false" outlineLevel="0" collapsed="false">
      <c r="B415" s="64"/>
      <c r="C415" s="72" t="str">
        <f aca="false">IF(B415="","",IFERROR(INDEX(T_NOMBRE,MATCH(B415,T_ID,0)),"⚠ ID no existe en Trabajadores"))</f>
        <v/>
      </c>
      <c r="D415" s="64"/>
      <c r="E415" s="64"/>
      <c r="F415" s="65"/>
      <c r="G415" s="65"/>
      <c r="H415" s="67"/>
      <c r="I415" s="64"/>
      <c r="J415" s="65"/>
      <c r="K415" s="64"/>
      <c r="L415" s="64"/>
      <c r="M415" s="64"/>
      <c r="N415" s="72" t="str">
        <f aca="false">IF(B415="","",IF(D415="Anexo de modificación","No","Sí"))</f>
        <v/>
      </c>
      <c r="O415" s="73" t="str">
        <f aca="false">IF(AND(N415="Sí",ISNUMBER(F415)),COUNTIFS(C_ID,B415,C_DEFINE,"Sí",C_INICIO,"&lt;"&amp;F415)+COUNTIFS(B$7:B415,B415,N$7:N415,"Sí",F$7:F415,F415),"")</f>
        <v/>
      </c>
      <c r="P415" s="72" t="str">
        <f aca="false">IF(O415="","",B415&amp;"-P"&amp;O415)</f>
        <v/>
      </c>
      <c r="Q415" s="73" t="str">
        <f aca="false">IF(AND(N415="Sí",E415="Plazo fijo",ISNUMBER(F415)),COUNTIFS(C_ID,B415,C_TIPO,"Plazo fijo",C_DEFINE,"Sí",C_INICIO,"&lt;"&amp;F415)+COUNTIFS(B$7:B415,B415,E$7:E415,"Plazo fijo",N$7:N415,"Sí",F$7:F415,F415),"")</f>
        <v/>
      </c>
      <c r="R415" s="73" t="str">
        <f aca="false">IF(AND(B415&lt;&gt;"",ISNUMBER(H415),ISNUMBER(F415)),COUNTIFS(C_ID,B415,C_SUELDO,"&lt;&gt;",C_INICIO,"&lt;"&amp;F415)+COUNTIFS(B$7:B415,B415,H$7:H415,"&lt;&gt;",F$7:F415,F415),"")</f>
        <v/>
      </c>
      <c r="S415" s="72" t="str">
        <f aca="false">IF(R415="","",B415&amp;"-S"&amp;R415)</f>
        <v/>
      </c>
      <c r="T415" s="74" t="str">
        <f aca="false">IF(AND(ISNUMBER(F415),ISNUMBER(G415)),ROUND((G415-F415+1)/30.4375,1),"")</f>
        <v/>
      </c>
      <c r="U415" s="70" t="str">
        <f aca="false">IF(B415="","",IF(AND(N415="Sí",OR(E415="",NOT(ISNUMBER(F415)))),"⚠ Falta tipo de contrato o fecha de inicio",IF(NOT(ISNUMBER(F415)),"⚠ Falta fecha de inicio",IF(AND(N415="Sí",E415&lt;&gt;"Indefinido",NOT(ISNUMBER(G415))),"⚠ Falta fecha de término",IF(AND(D415="Paso a indefinido",E415&lt;&gt;"Indefinido"),"⚠ Un paso a indefinido debe tener tipo Indefinido",IF(N(Q415)&gt;=3,"⚠ 3er contrato a plazo fijo: por ley ya es INDEFINIDO (Art. 159 N°4)",IF(AND(E415="Plazo fijo",N(T415)&gt;12),"⚠ Plazo fijo mayor a 1 año (máx. legal; 2 años solo profesionales o técnicos)",IF(AND(ISNUMBER(G415),G415&lt;F415),"⚠ Término anterior al inicio",IF(AND(D415="Contrato inicial",ISNUMBER(J415),J415-F415&gt;15),"⚠ Escriturado fuera de plazo (Art. 9: 15 días)",IF(K415&lt;&gt;"Sí","Pendiente de firma","OK"))))))))))</f>
        <v/>
      </c>
    </row>
    <row r="416" customFormat="false" ht="15" hidden="false" customHeight="false" outlineLevel="0" collapsed="false">
      <c r="B416" s="64"/>
      <c r="C416" s="72" t="str">
        <f aca="false">IF(B416="","",IFERROR(INDEX(T_NOMBRE,MATCH(B416,T_ID,0)),"⚠ ID no existe en Trabajadores"))</f>
        <v/>
      </c>
      <c r="D416" s="64"/>
      <c r="E416" s="64"/>
      <c r="F416" s="65"/>
      <c r="G416" s="65"/>
      <c r="H416" s="67"/>
      <c r="I416" s="64"/>
      <c r="J416" s="65"/>
      <c r="K416" s="64"/>
      <c r="L416" s="64"/>
      <c r="M416" s="64"/>
      <c r="N416" s="72" t="str">
        <f aca="false">IF(B416="","",IF(D416="Anexo de modificación","No","Sí"))</f>
        <v/>
      </c>
      <c r="O416" s="73" t="str">
        <f aca="false">IF(AND(N416="Sí",ISNUMBER(F416)),COUNTIFS(C_ID,B416,C_DEFINE,"Sí",C_INICIO,"&lt;"&amp;F416)+COUNTIFS(B$7:B416,B416,N$7:N416,"Sí",F$7:F416,F416),"")</f>
        <v/>
      </c>
      <c r="P416" s="72" t="str">
        <f aca="false">IF(O416="","",B416&amp;"-P"&amp;O416)</f>
        <v/>
      </c>
      <c r="Q416" s="73" t="str">
        <f aca="false">IF(AND(N416="Sí",E416="Plazo fijo",ISNUMBER(F416)),COUNTIFS(C_ID,B416,C_TIPO,"Plazo fijo",C_DEFINE,"Sí",C_INICIO,"&lt;"&amp;F416)+COUNTIFS(B$7:B416,B416,E$7:E416,"Plazo fijo",N$7:N416,"Sí",F$7:F416,F416),"")</f>
        <v/>
      </c>
      <c r="R416" s="73" t="str">
        <f aca="false">IF(AND(B416&lt;&gt;"",ISNUMBER(H416),ISNUMBER(F416)),COUNTIFS(C_ID,B416,C_SUELDO,"&lt;&gt;",C_INICIO,"&lt;"&amp;F416)+COUNTIFS(B$7:B416,B416,H$7:H416,"&lt;&gt;",F$7:F416,F416),"")</f>
        <v/>
      </c>
      <c r="S416" s="72" t="str">
        <f aca="false">IF(R416="","",B416&amp;"-S"&amp;R416)</f>
        <v/>
      </c>
      <c r="T416" s="74" t="str">
        <f aca="false">IF(AND(ISNUMBER(F416),ISNUMBER(G416)),ROUND((G416-F416+1)/30.4375,1),"")</f>
        <v/>
      </c>
      <c r="U416" s="70" t="str">
        <f aca="false">IF(B416="","",IF(AND(N416="Sí",OR(E416="",NOT(ISNUMBER(F416)))),"⚠ Falta tipo de contrato o fecha de inicio",IF(NOT(ISNUMBER(F416)),"⚠ Falta fecha de inicio",IF(AND(N416="Sí",E416&lt;&gt;"Indefinido",NOT(ISNUMBER(G416))),"⚠ Falta fecha de término",IF(AND(D416="Paso a indefinido",E416&lt;&gt;"Indefinido"),"⚠ Un paso a indefinido debe tener tipo Indefinido",IF(N(Q416)&gt;=3,"⚠ 3er contrato a plazo fijo: por ley ya es INDEFINIDO (Art. 159 N°4)",IF(AND(E416="Plazo fijo",N(T416)&gt;12),"⚠ Plazo fijo mayor a 1 año (máx. legal; 2 años solo profesionales o técnicos)",IF(AND(ISNUMBER(G416),G416&lt;F416),"⚠ Término anterior al inicio",IF(AND(D416="Contrato inicial",ISNUMBER(J416),J416-F416&gt;15),"⚠ Escriturado fuera de plazo (Art. 9: 15 días)",IF(K416&lt;&gt;"Sí","Pendiente de firma","OK"))))))))))</f>
        <v/>
      </c>
    </row>
    <row r="417" customFormat="false" ht="15" hidden="false" customHeight="false" outlineLevel="0" collapsed="false">
      <c r="B417" s="64"/>
      <c r="C417" s="72" t="str">
        <f aca="false">IF(B417="","",IFERROR(INDEX(T_NOMBRE,MATCH(B417,T_ID,0)),"⚠ ID no existe en Trabajadores"))</f>
        <v/>
      </c>
      <c r="D417" s="64"/>
      <c r="E417" s="64"/>
      <c r="F417" s="65"/>
      <c r="G417" s="65"/>
      <c r="H417" s="67"/>
      <c r="I417" s="64"/>
      <c r="J417" s="65"/>
      <c r="K417" s="64"/>
      <c r="L417" s="64"/>
      <c r="M417" s="64"/>
      <c r="N417" s="72" t="str">
        <f aca="false">IF(B417="","",IF(D417="Anexo de modificación","No","Sí"))</f>
        <v/>
      </c>
      <c r="O417" s="73" t="str">
        <f aca="false">IF(AND(N417="Sí",ISNUMBER(F417)),COUNTIFS(C_ID,B417,C_DEFINE,"Sí",C_INICIO,"&lt;"&amp;F417)+COUNTIFS(B$7:B417,B417,N$7:N417,"Sí",F$7:F417,F417),"")</f>
        <v/>
      </c>
      <c r="P417" s="72" t="str">
        <f aca="false">IF(O417="","",B417&amp;"-P"&amp;O417)</f>
        <v/>
      </c>
      <c r="Q417" s="73" t="str">
        <f aca="false">IF(AND(N417="Sí",E417="Plazo fijo",ISNUMBER(F417)),COUNTIFS(C_ID,B417,C_TIPO,"Plazo fijo",C_DEFINE,"Sí",C_INICIO,"&lt;"&amp;F417)+COUNTIFS(B$7:B417,B417,E$7:E417,"Plazo fijo",N$7:N417,"Sí",F$7:F417,F417),"")</f>
        <v/>
      </c>
      <c r="R417" s="73" t="str">
        <f aca="false">IF(AND(B417&lt;&gt;"",ISNUMBER(H417),ISNUMBER(F417)),COUNTIFS(C_ID,B417,C_SUELDO,"&lt;&gt;",C_INICIO,"&lt;"&amp;F417)+COUNTIFS(B$7:B417,B417,H$7:H417,"&lt;&gt;",F$7:F417,F417),"")</f>
        <v/>
      </c>
      <c r="S417" s="72" t="str">
        <f aca="false">IF(R417="","",B417&amp;"-S"&amp;R417)</f>
        <v/>
      </c>
      <c r="T417" s="74" t="str">
        <f aca="false">IF(AND(ISNUMBER(F417),ISNUMBER(G417)),ROUND((G417-F417+1)/30.4375,1),"")</f>
        <v/>
      </c>
      <c r="U417" s="70" t="str">
        <f aca="false">IF(B417="","",IF(AND(N417="Sí",OR(E417="",NOT(ISNUMBER(F417)))),"⚠ Falta tipo de contrato o fecha de inicio",IF(NOT(ISNUMBER(F417)),"⚠ Falta fecha de inicio",IF(AND(N417="Sí",E417&lt;&gt;"Indefinido",NOT(ISNUMBER(G417))),"⚠ Falta fecha de término",IF(AND(D417="Paso a indefinido",E417&lt;&gt;"Indefinido"),"⚠ Un paso a indefinido debe tener tipo Indefinido",IF(N(Q417)&gt;=3,"⚠ 3er contrato a plazo fijo: por ley ya es INDEFINIDO (Art. 159 N°4)",IF(AND(E417="Plazo fijo",N(T417)&gt;12),"⚠ Plazo fijo mayor a 1 año (máx. legal; 2 años solo profesionales o técnicos)",IF(AND(ISNUMBER(G417),G417&lt;F417),"⚠ Término anterior al inicio",IF(AND(D417="Contrato inicial",ISNUMBER(J417),J417-F417&gt;15),"⚠ Escriturado fuera de plazo (Art. 9: 15 días)",IF(K417&lt;&gt;"Sí","Pendiente de firma","OK"))))))))))</f>
        <v/>
      </c>
    </row>
    <row r="418" customFormat="false" ht="15" hidden="false" customHeight="false" outlineLevel="0" collapsed="false">
      <c r="B418" s="64"/>
      <c r="C418" s="72" t="str">
        <f aca="false">IF(B418="","",IFERROR(INDEX(T_NOMBRE,MATCH(B418,T_ID,0)),"⚠ ID no existe en Trabajadores"))</f>
        <v/>
      </c>
      <c r="D418" s="64"/>
      <c r="E418" s="64"/>
      <c r="F418" s="65"/>
      <c r="G418" s="65"/>
      <c r="H418" s="67"/>
      <c r="I418" s="64"/>
      <c r="J418" s="65"/>
      <c r="K418" s="64"/>
      <c r="L418" s="64"/>
      <c r="M418" s="64"/>
      <c r="N418" s="72" t="str">
        <f aca="false">IF(B418="","",IF(D418="Anexo de modificación","No","Sí"))</f>
        <v/>
      </c>
      <c r="O418" s="73" t="str">
        <f aca="false">IF(AND(N418="Sí",ISNUMBER(F418)),COUNTIFS(C_ID,B418,C_DEFINE,"Sí",C_INICIO,"&lt;"&amp;F418)+COUNTIFS(B$7:B418,B418,N$7:N418,"Sí",F$7:F418,F418),"")</f>
        <v/>
      </c>
      <c r="P418" s="72" t="str">
        <f aca="false">IF(O418="","",B418&amp;"-P"&amp;O418)</f>
        <v/>
      </c>
      <c r="Q418" s="73" t="str">
        <f aca="false">IF(AND(N418="Sí",E418="Plazo fijo",ISNUMBER(F418)),COUNTIFS(C_ID,B418,C_TIPO,"Plazo fijo",C_DEFINE,"Sí",C_INICIO,"&lt;"&amp;F418)+COUNTIFS(B$7:B418,B418,E$7:E418,"Plazo fijo",N$7:N418,"Sí",F$7:F418,F418),"")</f>
        <v/>
      </c>
      <c r="R418" s="73" t="str">
        <f aca="false">IF(AND(B418&lt;&gt;"",ISNUMBER(H418),ISNUMBER(F418)),COUNTIFS(C_ID,B418,C_SUELDO,"&lt;&gt;",C_INICIO,"&lt;"&amp;F418)+COUNTIFS(B$7:B418,B418,H$7:H418,"&lt;&gt;",F$7:F418,F418),"")</f>
        <v/>
      </c>
      <c r="S418" s="72" t="str">
        <f aca="false">IF(R418="","",B418&amp;"-S"&amp;R418)</f>
        <v/>
      </c>
      <c r="T418" s="74" t="str">
        <f aca="false">IF(AND(ISNUMBER(F418),ISNUMBER(G418)),ROUND((G418-F418+1)/30.4375,1),"")</f>
        <v/>
      </c>
      <c r="U418" s="70" t="str">
        <f aca="false">IF(B418="","",IF(AND(N418="Sí",OR(E418="",NOT(ISNUMBER(F418)))),"⚠ Falta tipo de contrato o fecha de inicio",IF(NOT(ISNUMBER(F418)),"⚠ Falta fecha de inicio",IF(AND(N418="Sí",E418&lt;&gt;"Indefinido",NOT(ISNUMBER(G418))),"⚠ Falta fecha de término",IF(AND(D418="Paso a indefinido",E418&lt;&gt;"Indefinido"),"⚠ Un paso a indefinido debe tener tipo Indefinido",IF(N(Q418)&gt;=3,"⚠ 3er contrato a plazo fijo: por ley ya es INDEFINIDO (Art. 159 N°4)",IF(AND(E418="Plazo fijo",N(T418)&gt;12),"⚠ Plazo fijo mayor a 1 año (máx. legal; 2 años solo profesionales o técnicos)",IF(AND(ISNUMBER(G418),G418&lt;F418),"⚠ Término anterior al inicio",IF(AND(D418="Contrato inicial",ISNUMBER(J418),J418-F418&gt;15),"⚠ Escriturado fuera de plazo (Art. 9: 15 días)",IF(K418&lt;&gt;"Sí","Pendiente de firma","OK"))))))))))</f>
        <v/>
      </c>
    </row>
    <row r="419" customFormat="false" ht="15" hidden="false" customHeight="false" outlineLevel="0" collapsed="false">
      <c r="B419" s="64"/>
      <c r="C419" s="72" t="str">
        <f aca="false">IF(B419="","",IFERROR(INDEX(T_NOMBRE,MATCH(B419,T_ID,0)),"⚠ ID no existe en Trabajadores"))</f>
        <v/>
      </c>
      <c r="D419" s="64"/>
      <c r="E419" s="64"/>
      <c r="F419" s="65"/>
      <c r="G419" s="65"/>
      <c r="H419" s="67"/>
      <c r="I419" s="64"/>
      <c r="J419" s="65"/>
      <c r="K419" s="64"/>
      <c r="L419" s="64"/>
      <c r="M419" s="64"/>
      <c r="N419" s="72" t="str">
        <f aca="false">IF(B419="","",IF(D419="Anexo de modificación","No","Sí"))</f>
        <v/>
      </c>
      <c r="O419" s="73" t="str">
        <f aca="false">IF(AND(N419="Sí",ISNUMBER(F419)),COUNTIFS(C_ID,B419,C_DEFINE,"Sí",C_INICIO,"&lt;"&amp;F419)+COUNTIFS(B$7:B419,B419,N$7:N419,"Sí",F$7:F419,F419),"")</f>
        <v/>
      </c>
      <c r="P419" s="72" t="str">
        <f aca="false">IF(O419="","",B419&amp;"-P"&amp;O419)</f>
        <v/>
      </c>
      <c r="Q419" s="73" t="str">
        <f aca="false">IF(AND(N419="Sí",E419="Plazo fijo",ISNUMBER(F419)),COUNTIFS(C_ID,B419,C_TIPO,"Plazo fijo",C_DEFINE,"Sí",C_INICIO,"&lt;"&amp;F419)+COUNTIFS(B$7:B419,B419,E$7:E419,"Plazo fijo",N$7:N419,"Sí",F$7:F419,F419),"")</f>
        <v/>
      </c>
      <c r="R419" s="73" t="str">
        <f aca="false">IF(AND(B419&lt;&gt;"",ISNUMBER(H419),ISNUMBER(F419)),COUNTIFS(C_ID,B419,C_SUELDO,"&lt;&gt;",C_INICIO,"&lt;"&amp;F419)+COUNTIFS(B$7:B419,B419,H$7:H419,"&lt;&gt;",F$7:F419,F419),"")</f>
        <v/>
      </c>
      <c r="S419" s="72" t="str">
        <f aca="false">IF(R419="","",B419&amp;"-S"&amp;R419)</f>
        <v/>
      </c>
      <c r="T419" s="74" t="str">
        <f aca="false">IF(AND(ISNUMBER(F419),ISNUMBER(G419)),ROUND((G419-F419+1)/30.4375,1),"")</f>
        <v/>
      </c>
      <c r="U419" s="70" t="str">
        <f aca="false">IF(B419="","",IF(AND(N419="Sí",OR(E419="",NOT(ISNUMBER(F419)))),"⚠ Falta tipo de contrato o fecha de inicio",IF(NOT(ISNUMBER(F419)),"⚠ Falta fecha de inicio",IF(AND(N419="Sí",E419&lt;&gt;"Indefinido",NOT(ISNUMBER(G419))),"⚠ Falta fecha de término",IF(AND(D419="Paso a indefinido",E419&lt;&gt;"Indefinido"),"⚠ Un paso a indefinido debe tener tipo Indefinido",IF(N(Q419)&gt;=3,"⚠ 3er contrato a plazo fijo: por ley ya es INDEFINIDO (Art. 159 N°4)",IF(AND(E419="Plazo fijo",N(T419)&gt;12),"⚠ Plazo fijo mayor a 1 año (máx. legal; 2 años solo profesionales o técnicos)",IF(AND(ISNUMBER(G419),G419&lt;F419),"⚠ Término anterior al inicio",IF(AND(D419="Contrato inicial",ISNUMBER(J419),J419-F419&gt;15),"⚠ Escriturado fuera de plazo (Art. 9: 15 días)",IF(K419&lt;&gt;"Sí","Pendiente de firma","OK"))))))))))</f>
        <v/>
      </c>
    </row>
    <row r="420" customFormat="false" ht="15" hidden="false" customHeight="false" outlineLevel="0" collapsed="false">
      <c r="B420" s="64"/>
      <c r="C420" s="72" t="str">
        <f aca="false">IF(B420="","",IFERROR(INDEX(T_NOMBRE,MATCH(B420,T_ID,0)),"⚠ ID no existe en Trabajadores"))</f>
        <v/>
      </c>
      <c r="D420" s="64"/>
      <c r="E420" s="64"/>
      <c r="F420" s="65"/>
      <c r="G420" s="65"/>
      <c r="H420" s="67"/>
      <c r="I420" s="64"/>
      <c r="J420" s="65"/>
      <c r="K420" s="64"/>
      <c r="L420" s="64"/>
      <c r="M420" s="64"/>
      <c r="N420" s="72" t="str">
        <f aca="false">IF(B420="","",IF(D420="Anexo de modificación","No","Sí"))</f>
        <v/>
      </c>
      <c r="O420" s="73" t="str">
        <f aca="false">IF(AND(N420="Sí",ISNUMBER(F420)),COUNTIFS(C_ID,B420,C_DEFINE,"Sí",C_INICIO,"&lt;"&amp;F420)+COUNTIFS(B$7:B420,B420,N$7:N420,"Sí",F$7:F420,F420),"")</f>
        <v/>
      </c>
      <c r="P420" s="72" t="str">
        <f aca="false">IF(O420="","",B420&amp;"-P"&amp;O420)</f>
        <v/>
      </c>
      <c r="Q420" s="73" t="str">
        <f aca="false">IF(AND(N420="Sí",E420="Plazo fijo",ISNUMBER(F420)),COUNTIFS(C_ID,B420,C_TIPO,"Plazo fijo",C_DEFINE,"Sí",C_INICIO,"&lt;"&amp;F420)+COUNTIFS(B$7:B420,B420,E$7:E420,"Plazo fijo",N$7:N420,"Sí",F$7:F420,F420),"")</f>
        <v/>
      </c>
      <c r="R420" s="73" t="str">
        <f aca="false">IF(AND(B420&lt;&gt;"",ISNUMBER(H420),ISNUMBER(F420)),COUNTIFS(C_ID,B420,C_SUELDO,"&lt;&gt;",C_INICIO,"&lt;"&amp;F420)+COUNTIFS(B$7:B420,B420,H$7:H420,"&lt;&gt;",F$7:F420,F420),"")</f>
        <v/>
      </c>
      <c r="S420" s="72" t="str">
        <f aca="false">IF(R420="","",B420&amp;"-S"&amp;R420)</f>
        <v/>
      </c>
      <c r="T420" s="74" t="str">
        <f aca="false">IF(AND(ISNUMBER(F420),ISNUMBER(G420)),ROUND((G420-F420+1)/30.4375,1),"")</f>
        <v/>
      </c>
      <c r="U420" s="70" t="str">
        <f aca="false">IF(B420="","",IF(AND(N420="Sí",OR(E420="",NOT(ISNUMBER(F420)))),"⚠ Falta tipo de contrato o fecha de inicio",IF(NOT(ISNUMBER(F420)),"⚠ Falta fecha de inicio",IF(AND(N420="Sí",E420&lt;&gt;"Indefinido",NOT(ISNUMBER(G420))),"⚠ Falta fecha de término",IF(AND(D420="Paso a indefinido",E420&lt;&gt;"Indefinido"),"⚠ Un paso a indefinido debe tener tipo Indefinido",IF(N(Q420)&gt;=3,"⚠ 3er contrato a plazo fijo: por ley ya es INDEFINIDO (Art. 159 N°4)",IF(AND(E420="Plazo fijo",N(T420)&gt;12),"⚠ Plazo fijo mayor a 1 año (máx. legal; 2 años solo profesionales o técnicos)",IF(AND(ISNUMBER(G420),G420&lt;F420),"⚠ Término anterior al inicio",IF(AND(D420="Contrato inicial",ISNUMBER(J420),J420-F420&gt;15),"⚠ Escriturado fuera de plazo (Art. 9: 15 días)",IF(K420&lt;&gt;"Sí","Pendiente de firma","OK"))))))))))</f>
        <v/>
      </c>
    </row>
    <row r="421" customFormat="false" ht="15" hidden="false" customHeight="false" outlineLevel="0" collapsed="false">
      <c r="B421" s="64"/>
      <c r="C421" s="72" t="str">
        <f aca="false">IF(B421="","",IFERROR(INDEX(T_NOMBRE,MATCH(B421,T_ID,0)),"⚠ ID no existe en Trabajadores"))</f>
        <v/>
      </c>
      <c r="D421" s="64"/>
      <c r="E421" s="64"/>
      <c r="F421" s="65"/>
      <c r="G421" s="65"/>
      <c r="H421" s="67"/>
      <c r="I421" s="64"/>
      <c r="J421" s="65"/>
      <c r="K421" s="64"/>
      <c r="L421" s="64"/>
      <c r="M421" s="64"/>
      <c r="N421" s="72" t="str">
        <f aca="false">IF(B421="","",IF(D421="Anexo de modificación","No","Sí"))</f>
        <v/>
      </c>
      <c r="O421" s="73" t="str">
        <f aca="false">IF(AND(N421="Sí",ISNUMBER(F421)),COUNTIFS(C_ID,B421,C_DEFINE,"Sí",C_INICIO,"&lt;"&amp;F421)+COUNTIFS(B$7:B421,B421,N$7:N421,"Sí",F$7:F421,F421),"")</f>
        <v/>
      </c>
      <c r="P421" s="72" t="str">
        <f aca="false">IF(O421="","",B421&amp;"-P"&amp;O421)</f>
        <v/>
      </c>
      <c r="Q421" s="73" t="str">
        <f aca="false">IF(AND(N421="Sí",E421="Plazo fijo",ISNUMBER(F421)),COUNTIFS(C_ID,B421,C_TIPO,"Plazo fijo",C_DEFINE,"Sí",C_INICIO,"&lt;"&amp;F421)+COUNTIFS(B$7:B421,B421,E$7:E421,"Plazo fijo",N$7:N421,"Sí",F$7:F421,F421),"")</f>
        <v/>
      </c>
      <c r="R421" s="73" t="str">
        <f aca="false">IF(AND(B421&lt;&gt;"",ISNUMBER(H421),ISNUMBER(F421)),COUNTIFS(C_ID,B421,C_SUELDO,"&lt;&gt;",C_INICIO,"&lt;"&amp;F421)+COUNTIFS(B$7:B421,B421,H$7:H421,"&lt;&gt;",F$7:F421,F421),"")</f>
        <v/>
      </c>
      <c r="S421" s="72" t="str">
        <f aca="false">IF(R421="","",B421&amp;"-S"&amp;R421)</f>
        <v/>
      </c>
      <c r="T421" s="74" t="str">
        <f aca="false">IF(AND(ISNUMBER(F421),ISNUMBER(G421)),ROUND((G421-F421+1)/30.4375,1),"")</f>
        <v/>
      </c>
      <c r="U421" s="70" t="str">
        <f aca="false">IF(B421="","",IF(AND(N421="Sí",OR(E421="",NOT(ISNUMBER(F421)))),"⚠ Falta tipo de contrato o fecha de inicio",IF(NOT(ISNUMBER(F421)),"⚠ Falta fecha de inicio",IF(AND(N421="Sí",E421&lt;&gt;"Indefinido",NOT(ISNUMBER(G421))),"⚠ Falta fecha de término",IF(AND(D421="Paso a indefinido",E421&lt;&gt;"Indefinido"),"⚠ Un paso a indefinido debe tener tipo Indefinido",IF(N(Q421)&gt;=3,"⚠ 3er contrato a plazo fijo: por ley ya es INDEFINIDO (Art. 159 N°4)",IF(AND(E421="Plazo fijo",N(T421)&gt;12),"⚠ Plazo fijo mayor a 1 año (máx. legal; 2 años solo profesionales o técnicos)",IF(AND(ISNUMBER(G421),G421&lt;F421),"⚠ Término anterior al inicio",IF(AND(D421="Contrato inicial",ISNUMBER(J421),J421-F421&gt;15),"⚠ Escriturado fuera de plazo (Art. 9: 15 días)",IF(K421&lt;&gt;"Sí","Pendiente de firma","OK"))))))))))</f>
        <v/>
      </c>
    </row>
    <row r="422" customFormat="false" ht="15" hidden="false" customHeight="false" outlineLevel="0" collapsed="false">
      <c r="B422" s="64"/>
      <c r="C422" s="72" t="str">
        <f aca="false">IF(B422="","",IFERROR(INDEX(T_NOMBRE,MATCH(B422,T_ID,0)),"⚠ ID no existe en Trabajadores"))</f>
        <v/>
      </c>
      <c r="D422" s="64"/>
      <c r="E422" s="64"/>
      <c r="F422" s="65"/>
      <c r="G422" s="65"/>
      <c r="H422" s="67"/>
      <c r="I422" s="64"/>
      <c r="J422" s="65"/>
      <c r="K422" s="64"/>
      <c r="L422" s="64"/>
      <c r="M422" s="64"/>
      <c r="N422" s="72" t="str">
        <f aca="false">IF(B422="","",IF(D422="Anexo de modificación","No","Sí"))</f>
        <v/>
      </c>
      <c r="O422" s="73" t="str">
        <f aca="false">IF(AND(N422="Sí",ISNUMBER(F422)),COUNTIFS(C_ID,B422,C_DEFINE,"Sí",C_INICIO,"&lt;"&amp;F422)+COUNTIFS(B$7:B422,B422,N$7:N422,"Sí",F$7:F422,F422),"")</f>
        <v/>
      </c>
      <c r="P422" s="72" t="str">
        <f aca="false">IF(O422="","",B422&amp;"-P"&amp;O422)</f>
        <v/>
      </c>
      <c r="Q422" s="73" t="str">
        <f aca="false">IF(AND(N422="Sí",E422="Plazo fijo",ISNUMBER(F422)),COUNTIFS(C_ID,B422,C_TIPO,"Plazo fijo",C_DEFINE,"Sí",C_INICIO,"&lt;"&amp;F422)+COUNTIFS(B$7:B422,B422,E$7:E422,"Plazo fijo",N$7:N422,"Sí",F$7:F422,F422),"")</f>
        <v/>
      </c>
      <c r="R422" s="73" t="str">
        <f aca="false">IF(AND(B422&lt;&gt;"",ISNUMBER(H422),ISNUMBER(F422)),COUNTIFS(C_ID,B422,C_SUELDO,"&lt;&gt;",C_INICIO,"&lt;"&amp;F422)+COUNTIFS(B$7:B422,B422,H$7:H422,"&lt;&gt;",F$7:F422,F422),"")</f>
        <v/>
      </c>
      <c r="S422" s="72" t="str">
        <f aca="false">IF(R422="","",B422&amp;"-S"&amp;R422)</f>
        <v/>
      </c>
      <c r="T422" s="74" t="str">
        <f aca="false">IF(AND(ISNUMBER(F422),ISNUMBER(G422)),ROUND((G422-F422+1)/30.4375,1),"")</f>
        <v/>
      </c>
      <c r="U422" s="70" t="str">
        <f aca="false">IF(B422="","",IF(AND(N422="Sí",OR(E422="",NOT(ISNUMBER(F422)))),"⚠ Falta tipo de contrato o fecha de inicio",IF(NOT(ISNUMBER(F422)),"⚠ Falta fecha de inicio",IF(AND(N422="Sí",E422&lt;&gt;"Indefinido",NOT(ISNUMBER(G422))),"⚠ Falta fecha de término",IF(AND(D422="Paso a indefinido",E422&lt;&gt;"Indefinido"),"⚠ Un paso a indefinido debe tener tipo Indefinido",IF(N(Q422)&gt;=3,"⚠ 3er contrato a plazo fijo: por ley ya es INDEFINIDO (Art. 159 N°4)",IF(AND(E422="Plazo fijo",N(T422)&gt;12),"⚠ Plazo fijo mayor a 1 año (máx. legal; 2 años solo profesionales o técnicos)",IF(AND(ISNUMBER(G422),G422&lt;F422),"⚠ Término anterior al inicio",IF(AND(D422="Contrato inicial",ISNUMBER(J422),J422-F422&gt;15),"⚠ Escriturado fuera de plazo (Art. 9: 15 días)",IF(K422&lt;&gt;"Sí","Pendiente de firma","OK"))))))))))</f>
        <v/>
      </c>
    </row>
    <row r="423" customFormat="false" ht="15" hidden="false" customHeight="false" outlineLevel="0" collapsed="false">
      <c r="B423" s="64"/>
      <c r="C423" s="72" t="str">
        <f aca="false">IF(B423="","",IFERROR(INDEX(T_NOMBRE,MATCH(B423,T_ID,0)),"⚠ ID no existe en Trabajadores"))</f>
        <v/>
      </c>
      <c r="D423" s="64"/>
      <c r="E423" s="64"/>
      <c r="F423" s="65"/>
      <c r="G423" s="65"/>
      <c r="H423" s="67"/>
      <c r="I423" s="64"/>
      <c r="J423" s="65"/>
      <c r="K423" s="64"/>
      <c r="L423" s="64"/>
      <c r="M423" s="64"/>
      <c r="N423" s="72" t="str">
        <f aca="false">IF(B423="","",IF(D423="Anexo de modificación","No","Sí"))</f>
        <v/>
      </c>
      <c r="O423" s="73" t="str">
        <f aca="false">IF(AND(N423="Sí",ISNUMBER(F423)),COUNTIFS(C_ID,B423,C_DEFINE,"Sí",C_INICIO,"&lt;"&amp;F423)+COUNTIFS(B$7:B423,B423,N$7:N423,"Sí",F$7:F423,F423),"")</f>
        <v/>
      </c>
      <c r="P423" s="72" t="str">
        <f aca="false">IF(O423="","",B423&amp;"-P"&amp;O423)</f>
        <v/>
      </c>
      <c r="Q423" s="73" t="str">
        <f aca="false">IF(AND(N423="Sí",E423="Plazo fijo",ISNUMBER(F423)),COUNTIFS(C_ID,B423,C_TIPO,"Plazo fijo",C_DEFINE,"Sí",C_INICIO,"&lt;"&amp;F423)+COUNTIFS(B$7:B423,B423,E$7:E423,"Plazo fijo",N$7:N423,"Sí",F$7:F423,F423),"")</f>
        <v/>
      </c>
      <c r="R423" s="73" t="str">
        <f aca="false">IF(AND(B423&lt;&gt;"",ISNUMBER(H423),ISNUMBER(F423)),COUNTIFS(C_ID,B423,C_SUELDO,"&lt;&gt;",C_INICIO,"&lt;"&amp;F423)+COUNTIFS(B$7:B423,B423,H$7:H423,"&lt;&gt;",F$7:F423,F423),"")</f>
        <v/>
      </c>
      <c r="S423" s="72" t="str">
        <f aca="false">IF(R423="","",B423&amp;"-S"&amp;R423)</f>
        <v/>
      </c>
      <c r="T423" s="74" t="str">
        <f aca="false">IF(AND(ISNUMBER(F423),ISNUMBER(G423)),ROUND((G423-F423+1)/30.4375,1),"")</f>
        <v/>
      </c>
      <c r="U423" s="70" t="str">
        <f aca="false">IF(B423="","",IF(AND(N423="Sí",OR(E423="",NOT(ISNUMBER(F423)))),"⚠ Falta tipo de contrato o fecha de inicio",IF(NOT(ISNUMBER(F423)),"⚠ Falta fecha de inicio",IF(AND(N423="Sí",E423&lt;&gt;"Indefinido",NOT(ISNUMBER(G423))),"⚠ Falta fecha de término",IF(AND(D423="Paso a indefinido",E423&lt;&gt;"Indefinido"),"⚠ Un paso a indefinido debe tener tipo Indefinido",IF(N(Q423)&gt;=3,"⚠ 3er contrato a plazo fijo: por ley ya es INDEFINIDO (Art. 159 N°4)",IF(AND(E423="Plazo fijo",N(T423)&gt;12),"⚠ Plazo fijo mayor a 1 año (máx. legal; 2 años solo profesionales o técnicos)",IF(AND(ISNUMBER(G423),G423&lt;F423),"⚠ Término anterior al inicio",IF(AND(D423="Contrato inicial",ISNUMBER(J423),J423-F423&gt;15),"⚠ Escriturado fuera de plazo (Art. 9: 15 días)",IF(K423&lt;&gt;"Sí","Pendiente de firma","OK"))))))))))</f>
        <v/>
      </c>
    </row>
    <row r="424" customFormat="false" ht="15" hidden="false" customHeight="false" outlineLevel="0" collapsed="false">
      <c r="B424" s="64"/>
      <c r="C424" s="72" t="str">
        <f aca="false">IF(B424="","",IFERROR(INDEX(T_NOMBRE,MATCH(B424,T_ID,0)),"⚠ ID no existe en Trabajadores"))</f>
        <v/>
      </c>
      <c r="D424" s="64"/>
      <c r="E424" s="64"/>
      <c r="F424" s="65"/>
      <c r="G424" s="65"/>
      <c r="H424" s="67"/>
      <c r="I424" s="64"/>
      <c r="J424" s="65"/>
      <c r="K424" s="64"/>
      <c r="L424" s="64"/>
      <c r="M424" s="64"/>
      <c r="N424" s="72" t="str">
        <f aca="false">IF(B424="","",IF(D424="Anexo de modificación","No","Sí"))</f>
        <v/>
      </c>
      <c r="O424" s="73" t="str">
        <f aca="false">IF(AND(N424="Sí",ISNUMBER(F424)),COUNTIFS(C_ID,B424,C_DEFINE,"Sí",C_INICIO,"&lt;"&amp;F424)+COUNTIFS(B$7:B424,B424,N$7:N424,"Sí",F$7:F424,F424),"")</f>
        <v/>
      </c>
      <c r="P424" s="72" t="str">
        <f aca="false">IF(O424="","",B424&amp;"-P"&amp;O424)</f>
        <v/>
      </c>
      <c r="Q424" s="73" t="str">
        <f aca="false">IF(AND(N424="Sí",E424="Plazo fijo",ISNUMBER(F424)),COUNTIFS(C_ID,B424,C_TIPO,"Plazo fijo",C_DEFINE,"Sí",C_INICIO,"&lt;"&amp;F424)+COUNTIFS(B$7:B424,B424,E$7:E424,"Plazo fijo",N$7:N424,"Sí",F$7:F424,F424),"")</f>
        <v/>
      </c>
      <c r="R424" s="73" t="str">
        <f aca="false">IF(AND(B424&lt;&gt;"",ISNUMBER(H424),ISNUMBER(F424)),COUNTIFS(C_ID,B424,C_SUELDO,"&lt;&gt;",C_INICIO,"&lt;"&amp;F424)+COUNTIFS(B$7:B424,B424,H$7:H424,"&lt;&gt;",F$7:F424,F424),"")</f>
        <v/>
      </c>
      <c r="S424" s="72" t="str">
        <f aca="false">IF(R424="","",B424&amp;"-S"&amp;R424)</f>
        <v/>
      </c>
      <c r="T424" s="74" t="str">
        <f aca="false">IF(AND(ISNUMBER(F424),ISNUMBER(G424)),ROUND((G424-F424+1)/30.4375,1),"")</f>
        <v/>
      </c>
      <c r="U424" s="70" t="str">
        <f aca="false">IF(B424="","",IF(AND(N424="Sí",OR(E424="",NOT(ISNUMBER(F424)))),"⚠ Falta tipo de contrato o fecha de inicio",IF(NOT(ISNUMBER(F424)),"⚠ Falta fecha de inicio",IF(AND(N424="Sí",E424&lt;&gt;"Indefinido",NOT(ISNUMBER(G424))),"⚠ Falta fecha de término",IF(AND(D424="Paso a indefinido",E424&lt;&gt;"Indefinido"),"⚠ Un paso a indefinido debe tener tipo Indefinido",IF(N(Q424)&gt;=3,"⚠ 3er contrato a plazo fijo: por ley ya es INDEFINIDO (Art. 159 N°4)",IF(AND(E424="Plazo fijo",N(T424)&gt;12),"⚠ Plazo fijo mayor a 1 año (máx. legal; 2 años solo profesionales o técnicos)",IF(AND(ISNUMBER(G424),G424&lt;F424),"⚠ Término anterior al inicio",IF(AND(D424="Contrato inicial",ISNUMBER(J424),J424-F424&gt;15),"⚠ Escriturado fuera de plazo (Art. 9: 15 días)",IF(K424&lt;&gt;"Sí","Pendiente de firma","OK"))))))))))</f>
        <v/>
      </c>
    </row>
    <row r="425" customFormat="false" ht="15" hidden="false" customHeight="false" outlineLevel="0" collapsed="false">
      <c r="B425" s="64"/>
      <c r="C425" s="72" t="str">
        <f aca="false">IF(B425="","",IFERROR(INDEX(T_NOMBRE,MATCH(B425,T_ID,0)),"⚠ ID no existe en Trabajadores"))</f>
        <v/>
      </c>
      <c r="D425" s="64"/>
      <c r="E425" s="64"/>
      <c r="F425" s="65"/>
      <c r="G425" s="65"/>
      <c r="H425" s="67"/>
      <c r="I425" s="64"/>
      <c r="J425" s="65"/>
      <c r="K425" s="64"/>
      <c r="L425" s="64"/>
      <c r="M425" s="64"/>
      <c r="N425" s="72" t="str">
        <f aca="false">IF(B425="","",IF(D425="Anexo de modificación","No","Sí"))</f>
        <v/>
      </c>
      <c r="O425" s="73" t="str">
        <f aca="false">IF(AND(N425="Sí",ISNUMBER(F425)),COUNTIFS(C_ID,B425,C_DEFINE,"Sí",C_INICIO,"&lt;"&amp;F425)+COUNTIFS(B$7:B425,B425,N$7:N425,"Sí",F$7:F425,F425),"")</f>
        <v/>
      </c>
      <c r="P425" s="72" t="str">
        <f aca="false">IF(O425="","",B425&amp;"-P"&amp;O425)</f>
        <v/>
      </c>
      <c r="Q425" s="73" t="str">
        <f aca="false">IF(AND(N425="Sí",E425="Plazo fijo",ISNUMBER(F425)),COUNTIFS(C_ID,B425,C_TIPO,"Plazo fijo",C_DEFINE,"Sí",C_INICIO,"&lt;"&amp;F425)+COUNTIFS(B$7:B425,B425,E$7:E425,"Plazo fijo",N$7:N425,"Sí",F$7:F425,F425),"")</f>
        <v/>
      </c>
      <c r="R425" s="73" t="str">
        <f aca="false">IF(AND(B425&lt;&gt;"",ISNUMBER(H425),ISNUMBER(F425)),COUNTIFS(C_ID,B425,C_SUELDO,"&lt;&gt;",C_INICIO,"&lt;"&amp;F425)+COUNTIFS(B$7:B425,B425,H$7:H425,"&lt;&gt;",F$7:F425,F425),"")</f>
        <v/>
      </c>
      <c r="S425" s="72" t="str">
        <f aca="false">IF(R425="","",B425&amp;"-S"&amp;R425)</f>
        <v/>
      </c>
      <c r="T425" s="74" t="str">
        <f aca="false">IF(AND(ISNUMBER(F425),ISNUMBER(G425)),ROUND((G425-F425+1)/30.4375,1),"")</f>
        <v/>
      </c>
      <c r="U425" s="70" t="str">
        <f aca="false">IF(B425="","",IF(AND(N425="Sí",OR(E425="",NOT(ISNUMBER(F425)))),"⚠ Falta tipo de contrato o fecha de inicio",IF(NOT(ISNUMBER(F425)),"⚠ Falta fecha de inicio",IF(AND(N425="Sí",E425&lt;&gt;"Indefinido",NOT(ISNUMBER(G425))),"⚠ Falta fecha de término",IF(AND(D425="Paso a indefinido",E425&lt;&gt;"Indefinido"),"⚠ Un paso a indefinido debe tener tipo Indefinido",IF(N(Q425)&gt;=3,"⚠ 3er contrato a plazo fijo: por ley ya es INDEFINIDO (Art. 159 N°4)",IF(AND(E425="Plazo fijo",N(T425)&gt;12),"⚠ Plazo fijo mayor a 1 año (máx. legal; 2 años solo profesionales o técnicos)",IF(AND(ISNUMBER(G425),G425&lt;F425),"⚠ Término anterior al inicio",IF(AND(D425="Contrato inicial",ISNUMBER(J425),J425-F425&gt;15),"⚠ Escriturado fuera de plazo (Art. 9: 15 días)",IF(K425&lt;&gt;"Sí","Pendiente de firma","OK"))))))))))</f>
        <v/>
      </c>
    </row>
    <row r="426" customFormat="false" ht="15" hidden="false" customHeight="false" outlineLevel="0" collapsed="false">
      <c r="B426" s="64"/>
      <c r="C426" s="72" t="str">
        <f aca="false">IF(B426="","",IFERROR(INDEX(T_NOMBRE,MATCH(B426,T_ID,0)),"⚠ ID no existe en Trabajadores"))</f>
        <v/>
      </c>
      <c r="D426" s="64"/>
      <c r="E426" s="64"/>
      <c r="F426" s="65"/>
      <c r="G426" s="65"/>
      <c r="H426" s="67"/>
      <c r="I426" s="64"/>
      <c r="J426" s="65"/>
      <c r="K426" s="64"/>
      <c r="L426" s="64"/>
      <c r="M426" s="64"/>
      <c r="N426" s="72" t="str">
        <f aca="false">IF(B426="","",IF(D426="Anexo de modificación","No","Sí"))</f>
        <v/>
      </c>
      <c r="O426" s="73" t="str">
        <f aca="false">IF(AND(N426="Sí",ISNUMBER(F426)),COUNTIFS(C_ID,B426,C_DEFINE,"Sí",C_INICIO,"&lt;"&amp;F426)+COUNTIFS(B$7:B426,B426,N$7:N426,"Sí",F$7:F426,F426),"")</f>
        <v/>
      </c>
      <c r="P426" s="72" t="str">
        <f aca="false">IF(O426="","",B426&amp;"-P"&amp;O426)</f>
        <v/>
      </c>
      <c r="Q426" s="73" t="str">
        <f aca="false">IF(AND(N426="Sí",E426="Plazo fijo",ISNUMBER(F426)),COUNTIFS(C_ID,B426,C_TIPO,"Plazo fijo",C_DEFINE,"Sí",C_INICIO,"&lt;"&amp;F426)+COUNTIFS(B$7:B426,B426,E$7:E426,"Plazo fijo",N$7:N426,"Sí",F$7:F426,F426),"")</f>
        <v/>
      </c>
      <c r="R426" s="73" t="str">
        <f aca="false">IF(AND(B426&lt;&gt;"",ISNUMBER(H426),ISNUMBER(F426)),COUNTIFS(C_ID,B426,C_SUELDO,"&lt;&gt;",C_INICIO,"&lt;"&amp;F426)+COUNTIFS(B$7:B426,B426,H$7:H426,"&lt;&gt;",F$7:F426,F426),"")</f>
        <v/>
      </c>
      <c r="S426" s="72" t="str">
        <f aca="false">IF(R426="","",B426&amp;"-S"&amp;R426)</f>
        <v/>
      </c>
      <c r="T426" s="74" t="str">
        <f aca="false">IF(AND(ISNUMBER(F426),ISNUMBER(G426)),ROUND((G426-F426+1)/30.4375,1),"")</f>
        <v/>
      </c>
      <c r="U426" s="70" t="str">
        <f aca="false">IF(B426="","",IF(AND(N426="Sí",OR(E426="",NOT(ISNUMBER(F426)))),"⚠ Falta tipo de contrato o fecha de inicio",IF(NOT(ISNUMBER(F426)),"⚠ Falta fecha de inicio",IF(AND(N426="Sí",E426&lt;&gt;"Indefinido",NOT(ISNUMBER(G426))),"⚠ Falta fecha de término",IF(AND(D426="Paso a indefinido",E426&lt;&gt;"Indefinido"),"⚠ Un paso a indefinido debe tener tipo Indefinido",IF(N(Q426)&gt;=3,"⚠ 3er contrato a plazo fijo: por ley ya es INDEFINIDO (Art. 159 N°4)",IF(AND(E426="Plazo fijo",N(T426)&gt;12),"⚠ Plazo fijo mayor a 1 año (máx. legal; 2 años solo profesionales o técnicos)",IF(AND(ISNUMBER(G426),G426&lt;F426),"⚠ Término anterior al inicio",IF(AND(D426="Contrato inicial",ISNUMBER(J426),J426-F426&gt;15),"⚠ Escriturado fuera de plazo (Art. 9: 15 días)",IF(K426&lt;&gt;"Sí","Pendiente de firma","OK"))))))))))</f>
        <v/>
      </c>
    </row>
    <row r="427" customFormat="false" ht="15" hidden="false" customHeight="false" outlineLevel="0" collapsed="false">
      <c r="B427" s="64"/>
      <c r="C427" s="72" t="str">
        <f aca="false">IF(B427="","",IFERROR(INDEX(T_NOMBRE,MATCH(B427,T_ID,0)),"⚠ ID no existe en Trabajadores"))</f>
        <v/>
      </c>
      <c r="D427" s="64"/>
      <c r="E427" s="64"/>
      <c r="F427" s="65"/>
      <c r="G427" s="65"/>
      <c r="H427" s="67"/>
      <c r="I427" s="64"/>
      <c r="J427" s="65"/>
      <c r="K427" s="64"/>
      <c r="L427" s="64"/>
      <c r="M427" s="64"/>
      <c r="N427" s="72" t="str">
        <f aca="false">IF(B427="","",IF(D427="Anexo de modificación","No","Sí"))</f>
        <v/>
      </c>
      <c r="O427" s="73" t="str">
        <f aca="false">IF(AND(N427="Sí",ISNUMBER(F427)),COUNTIFS(C_ID,B427,C_DEFINE,"Sí",C_INICIO,"&lt;"&amp;F427)+COUNTIFS(B$7:B427,B427,N$7:N427,"Sí",F$7:F427,F427),"")</f>
        <v/>
      </c>
      <c r="P427" s="72" t="str">
        <f aca="false">IF(O427="","",B427&amp;"-P"&amp;O427)</f>
        <v/>
      </c>
      <c r="Q427" s="73" t="str">
        <f aca="false">IF(AND(N427="Sí",E427="Plazo fijo",ISNUMBER(F427)),COUNTIFS(C_ID,B427,C_TIPO,"Plazo fijo",C_DEFINE,"Sí",C_INICIO,"&lt;"&amp;F427)+COUNTIFS(B$7:B427,B427,E$7:E427,"Plazo fijo",N$7:N427,"Sí",F$7:F427,F427),"")</f>
        <v/>
      </c>
      <c r="R427" s="73" t="str">
        <f aca="false">IF(AND(B427&lt;&gt;"",ISNUMBER(H427),ISNUMBER(F427)),COUNTIFS(C_ID,B427,C_SUELDO,"&lt;&gt;",C_INICIO,"&lt;"&amp;F427)+COUNTIFS(B$7:B427,B427,H$7:H427,"&lt;&gt;",F$7:F427,F427),"")</f>
        <v/>
      </c>
      <c r="S427" s="72" t="str">
        <f aca="false">IF(R427="","",B427&amp;"-S"&amp;R427)</f>
        <v/>
      </c>
      <c r="T427" s="74" t="str">
        <f aca="false">IF(AND(ISNUMBER(F427),ISNUMBER(G427)),ROUND((G427-F427+1)/30.4375,1),"")</f>
        <v/>
      </c>
      <c r="U427" s="70" t="str">
        <f aca="false">IF(B427="","",IF(AND(N427="Sí",OR(E427="",NOT(ISNUMBER(F427)))),"⚠ Falta tipo de contrato o fecha de inicio",IF(NOT(ISNUMBER(F427)),"⚠ Falta fecha de inicio",IF(AND(N427="Sí",E427&lt;&gt;"Indefinido",NOT(ISNUMBER(G427))),"⚠ Falta fecha de término",IF(AND(D427="Paso a indefinido",E427&lt;&gt;"Indefinido"),"⚠ Un paso a indefinido debe tener tipo Indefinido",IF(N(Q427)&gt;=3,"⚠ 3er contrato a plazo fijo: por ley ya es INDEFINIDO (Art. 159 N°4)",IF(AND(E427="Plazo fijo",N(T427)&gt;12),"⚠ Plazo fijo mayor a 1 año (máx. legal; 2 años solo profesionales o técnicos)",IF(AND(ISNUMBER(G427),G427&lt;F427),"⚠ Término anterior al inicio",IF(AND(D427="Contrato inicial",ISNUMBER(J427),J427-F427&gt;15),"⚠ Escriturado fuera de plazo (Art. 9: 15 días)",IF(K427&lt;&gt;"Sí","Pendiente de firma","OK"))))))))))</f>
        <v/>
      </c>
    </row>
    <row r="428" customFormat="false" ht="15" hidden="false" customHeight="false" outlineLevel="0" collapsed="false">
      <c r="B428" s="64"/>
      <c r="C428" s="72" t="str">
        <f aca="false">IF(B428="","",IFERROR(INDEX(T_NOMBRE,MATCH(B428,T_ID,0)),"⚠ ID no existe en Trabajadores"))</f>
        <v/>
      </c>
      <c r="D428" s="64"/>
      <c r="E428" s="64"/>
      <c r="F428" s="65"/>
      <c r="G428" s="65"/>
      <c r="H428" s="67"/>
      <c r="I428" s="64"/>
      <c r="J428" s="65"/>
      <c r="K428" s="64"/>
      <c r="L428" s="64"/>
      <c r="M428" s="64"/>
      <c r="N428" s="72" t="str">
        <f aca="false">IF(B428="","",IF(D428="Anexo de modificación","No","Sí"))</f>
        <v/>
      </c>
      <c r="O428" s="73" t="str">
        <f aca="false">IF(AND(N428="Sí",ISNUMBER(F428)),COUNTIFS(C_ID,B428,C_DEFINE,"Sí",C_INICIO,"&lt;"&amp;F428)+COUNTIFS(B$7:B428,B428,N$7:N428,"Sí",F$7:F428,F428),"")</f>
        <v/>
      </c>
      <c r="P428" s="72" t="str">
        <f aca="false">IF(O428="","",B428&amp;"-P"&amp;O428)</f>
        <v/>
      </c>
      <c r="Q428" s="73" t="str">
        <f aca="false">IF(AND(N428="Sí",E428="Plazo fijo",ISNUMBER(F428)),COUNTIFS(C_ID,B428,C_TIPO,"Plazo fijo",C_DEFINE,"Sí",C_INICIO,"&lt;"&amp;F428)+COUNTIFS(B$7:B428,B428,E$7:E428,"Plazo fijo",N$7:N428,"Sí",F$7:F428,F428),"")</f>
        <v/>
      </c>
      <c r="R428" s="73" t="str">
        <f aca="false">IF(AND(B428&lt;&gt;"",ISNUMBER(H428),ISNUMBER(F428)),COUNTIFS(C_ID,B428,C_SUELDO,"&lt;&gt;",C_INICIO,"&lt;"&amp;F428)+COUNTIFS(B$7:B428,B428,H$7:H428,"&lt;&gt;",F$7:F428,F428),"")</f>
        <v/>
      </c>
      <c r="S428" s="72" t="str">
        <f aca="false">IF(R428="","",B428&amp;"-S"&amp;R428)</f>
        <v/>
      </c>
      <c r="T428" s="74" t="str">
        <f aca="false">IF(AND(ISNUMBER(F428),ISNUMBER(G428)),ROUND((G428-F428+1)/30.4375,1),"")</f>
        <v/>
      </c>
      <c r="U428" s="70" t="str">
        <f aca="false">IF(B428="","",IF(AND(N428="Sí",OR(E428="",NOT(ISNUMBER(F428)))),"⚠ Falta tipo de contrato o fecha de inicio",IF(NOT(ISNUMBER(F428)),"⚠ Falta fecha de inicio",IF(AND(N428="Sí",E428&lt;&gt;"Indefinido",NOT(ISNUMBER(G428))),"⚠ Falta fecha de término",IF(AND(D428="Paso a indefinido",E428&lt;&gt;"Indefinido"),"⚠ Un paso a indefinido debe tener tipo Indefinido",IF(N(Q428)&gt;=3,"⚠ 3er contrato a plazo fijo: por ley ya es INDEFINIDO (Art. 159 N°4)",IF(AND(E428="Plazo fijo",N(T428)&gt;12),"⚠ Plazo fijo mayor a 1 año (máx. legal; 2 años solo profesionales o técnicos)",IF(AND(ISNUMBER(G428),G428&lt;F428),"⚠ Término anterior al inicio",IF(AND(D428="Contrato inicial",ISNUMBER(J428),J428-F428&gt;15),"⚠ Escriturado fuera de plazo (Art. 9: 15 días)",IF(K428&lt;&gt;"Sí","Pendiente de firma","OK"))))))))))</f>
        <v/>
      </c>
    </row>
    <row r="429" customFormat="false" ht="15" hidden="false" customHeight="false" outlineLevel="0" collapsed="false">
      <c r="B429" s="64"/>
      <c r="C429" s="72" t="str">
        <f aca="false">IF(B429="","",IFERROR(INDEX(T_NOMBRE,MATCH(B429,T_ID,0)),"⚠ ID no existe en Trabajadores"))</f>
        <v/>
      </c>
      <c r="D429" s="64"/>
      <c r="E429" s="64"/>
      <c r="F429" s="65"/>
      <c r="G429" s="65"/>
      <c r="H429" s="67"/>
      <c r="I429" s="64"/>
      <c r="J429" s="65"/>
      <c r="K429" s="64"/>
      <c r="L429" s="64"/>
      <c r="M429" s="64"/>
      <c r="N429" s="72" t="str">
        <f aca="false">IF(B429="","",IF(D429="Anexo de modificación","No","Sí"))</f>
        <v/>
      </c>
      <c r="O429" s="73" t="str">
        <f aca="false">IF(AND(N429="Sí",ISNUMBER(F429)),COUNTIFS(C_ID,B429,C_DEFINE,"Sí",C_INICIO,"&lt;"&amp;F429)+COUNTIFS(B$7:B429,B429,N$7:N429,"Sí",F$7:F429,F429),"")</f>
        <v/>
      </c>
      <c r="P429" s="72" t="str">
        <f aca="false">IF(O429="","",B429&amp;"-P"&amp;O429)</f>
        <v/>
      </c>
      <c r="Q429" s="73" t="str">
        <f aca="false">IF(AND(N429="Sí",E429="Plazo fijo",ISNUMBER(F429)),COUNTIFS(C_ID,B429,C_TIPO,"Plazo fijo",C_DEFINE,"Sí",C_INICIO,"&lt;"&amp;F429)+COUNTIFS(B$7:B429,B429,E$7:E429,"Plazo fijo",N$7:N429,"Sí",F$7:F429,F429),"")</f>
        <v/>
      </c>
      <c r="R429" s="73" t="str">
        <f aca="false">IF(AND(B429&lt;&gt;"",ISNUMBER(H429),ISNUMBER(F429)),COUNTIFS(C_ID,B429,C_SUELDO,"&lt;&gt;",C_INICIO,"&lt;"&amp;F429)+COUNTIFS(B$7:B429,B429,H$7:H429,"&lt;&gt;",F$7:F429,F429),"")</f>
        <v/>
      </c>
      <c r="S429" s="72" t="str">
        <f aca="false">IF(R429="","",B429&amp;"-S"&amp;R429)</f>
        <v/>
      </c>
      <c r="T429" s="74" t="str">
        <f aca="false">IF(AND(ISNUMBER(F429),ISNUMBER(G429)),ROUND((G429-F429+1)/30.4375,1),"")</f>
        <v/>
      </c>
      <c r="U429" s="70" t="str">
        <f aca="false">IF(B429="","",IF(AND(N429="Sí",OR(E429="",NOT(ISNUMBER(F429)))),"⚠ Falta tipo de contrato o fecha de inicio",IF(NOT(ISNUMBER(F429)),"⚠ Falta fecha de inicio",IF(AND(N429="Sí",E429&lt;&gt;"Indefinido",NOT(ISNUMBER(G429))),"⚠ Falta fecha de término",IF(AND(D429="Paso a indefinido",E429&lt;&gt;"Indefinido"),"⚠ Un paso a indefinido debe tener tipo Indefinido",IF(N(Q429)&gt;=3,"⚠ 3er contrato a plazo fijo: por ley ya es INDEFINIDO (Art. 159 N°4)",IF(AND(E429="Plazo fijo",N(T429)&gt;12),"⚠ Plazo fijo mayor a 1 año (máx. legal; 2 años solo profesionales o técnicos)",IF(AND(ISNUMBER(G429),G429&lt;F429),"⚠ Término anterior al inicio",IF(AND(D429="Contrato inicial",ISNUMBER(J429),J429-F429&gt;15),"⚠ Escriturado fuera de plazo (Art. 9: 15 días)",IF(K429&lt;&gt;"Sí","Pendiente de firma","OK"))))))))))</f>
        <v/>
      </c>
    </row>
    <row r="430" customFormat="false" ht="15" hidden="false" customHeight="false" outlineLevel="0" collapsed="false">
      <c r="B430" s="64"/>
      <c r="C430" s="72" t="str">
        <f aca="false">IF(B430="","",IFERROR(INDEX(T_NOMBRE,MATCH(B430,T_ID,0)),"⚠ ID no existe en Trabajadores"))</f>
        <v/>
      </c>
      <c r="D430" s="64"/>
      <c r="E430" s="64"/>
      <c r="F430" s="65"/>
      <c r="G430" s="65"/>
      <c r="H430" s="67"/>
      <c r="I430" s="64"/>
      <c r="J430" s="65"/>
      <c r="K430" s="64"/>
      <c r="L430" s="64"/>
      <c r="M430" s="64"/>
      <c r="N430" s="72" t="str">
        <f aca="false">IF(B430="","",IF(D430="Anexo de modificación","No","Sí"))</f>
        <v/>
      </c>
      <c r="O430" s="73" t="str">
        <f aca="false">IF(AND(N430="Sí",ISNUMBER(F430)),COUNTIFS(C_ID,B430,C_DEFINE,"Sí",C_INICIO,"&lt;"&amp;F430)+COUNTIFS(B$7:B430,B430,N$7:N430,"Sí",F$7:F430,F430),"")</f>
        <v/>
      </c>
      <c r="P430" s="72" t="str">
        <f aca="false">IF(O430="","",B430&amp;"-P"&amp;O430)</f>
        <v/>
      </c>
      <c r="Q430" s="73" t="str">
        <f aca="false">IF(AND(N430="Sí",E430="Plazo fijo",ISNUMBER(F430)),COUNTIFS(C_ID,B430,C_TIPO,"Plazo fijo",C_DEFINE,"Sí",C_INICIO,"&lt;"&amp;F430)+COUNTIFS(B$7:B430,B430,E$7:E430,"Plazo fijo",N$7:N430,"Sí",F$7:F430,F430),"")</f>
        <v/>
      </c>
      <c r="R430" s="73" t="str">
        <f aca="false">IF(AND(B430&lt;&gt;"",ISNUMBER(H430),ISNUMBER(F430)),COUNTIFS(C_ID,B430,C_SUELDO,"&lt;&gt;",C_INICIO,"&lt;"&amp;F430)+COUNTIFS(B$7:B430,B430,H$7:H430,"&lt;&gt;",F$7:F430,F430),"")</f>
        <v/>
      </c>
      <c r="S430" s="72" t="str">
        <f aca="false">IF(R430="","",B430&amp;"-S"&amp;R430)</f>
        <v/>
      </c>
      <c r="T430" s="74" t="str">
        <f aca="false">IF(AND(ISNUMBER(F430),ISNUMBER(G430)),ROUND((G430-F430+1)/30.4375,1),"")</f>
        <v/>
      </c>
      <c r="U430" s="70" t="str">
        <f aca="false">IF(B430="","",IF(AND(N430="Sí",OR(E430="",NOT(ISNUMBER(F430)))),"⚠ Falta tipo de contrato o fecha de inicio",IF(NOT(ISNUMBER(F430)),"⚠ Falta fecha de inicio",IF(AND(N430="Sí",E430&lt;&gt;"Indefinido",NOT(ISNUMBER(G430))),"⚠ Falta fecha de término",IF(AND(D430="Paso a indefinido",E430&lt;&gt;"Indefinido"),"⚠ Un paso a indefinido debe tener tipo Indefinido",IF(N(Q430)&gt;=3,"⚠ 3er contrato a plazo fijo: por ley ya es INDEFINIDO (Art. 159 N°4)",IF(AND(E430="Plazo fijo",N(T430)&gt;12),"⚠ Plazo fijo mayor a 1 año (máx. legal; 2 años solo profesionales o técnicos)",IF(AND(ISNUMBER(G430),G430&lt;F430),"⚠ Término anterior al inicio",IF(AND(D430="Contrato inicial",ISNUMBER(J430),J430-F430&gt;15),"⚠ Escriturado fuera de plazo (Art. 9: 15 días)",IF(K430&lt;&gt;"Sí","Pendiente de firma","OK"))))))))))</f>
        <v/>
      </c>
    </row>
    <row r="431" customFormat="false" ht="15" hidden="false" customHeight="false" outlineLevel="0" collapsed="false">
      <c r="B431" s="64"/>
      <c r="C431" s="72" t="str">
        <f aca="false">IF(B431="","",IFERROR(INDEX(T_NOMBRE,MATCH(B431,T_ID,0)),"⚠ ID no existe en Trabajadores"))</f>
        <v/>
      </c>
      <c r="D431" s="64"/>
      <c r="E431" s="64"/>
      <c r="F431" s="65"/>
      <c r="G431" s="65"/>
      <c r="H431" s="67"/>
      <c r="I431" s="64"/>
      <c r="J431" s="65"/>
      <c r="K431" s="64"/>
      <c r="L431" s="64"/>
      <c r="M431" s="64"/>
      <c r="N431" s="72" t="str">
        <f aca="false">IF(B431="","",IF(D431="Anexo de modificación","No","Sí"))</f>
        <v/>
      </c>
      <c r="O431" s="73" t="str">
        <f aca="false">IF(AND(N431="Sí",ISNUMBER(F431)),COUNTIFS(C_ID,B431,C_DEFINE,"Sí",C_INICIO,"&lt;"&amp;F431)+COUNTIFS(B$7:B431,B431,N$7:N431,"Sí",F$7:F431,F431),"")</f>
        <v/>
      </c>
      <c r="P431" s="72" t="str">
        <f aca="false">IF(O431="","",B431&amp;"-P"&amp;O431)</f>
        <v/>
      </c>
      <c r="Q431" s="73" t="str">
        <f aca="false">IF(AND(N431="Sí",E431="Plazo fijo",ISNUMBER(F431)),COUNTIFS(C_ID,B431,C_TIPO,"Plazo fijo",C_DEFINE,"Sí",C_INICIO,"&lt;"&amp;F431)+COUNTIFS(B$7:B431,B431,E$7:E431,"Plazo fijo",N$7:N431,"Sí",F$7:F431,F431),"")</f>
        <v/>
      </c>
      <c r="R431" s="73" t="str">
        <f aca="false">IF(AND(B431&lt;&gt;"",ISNUMBER(H431),ISNUMBER(F431)),COUNTIFS(C_ID,B431,C_SUELDO,"&lt;&gt;",C_INICIO,"&lt;"&amp;F431)+COUNTIFS(B$7:B431,B431,H$7:H431,"&lt;&gt;",F$7:F431,F431),"")</f>
        <v/>
      </c>
      <c r="S431" s="72" t="str">
        <f aca="false">IF(R431="","",B431&amp;"-S"&amp;R431)</f>
        <v/>
      </c>
      <c r="T431" s="74" t="str">
        <f aca="false">IF(AND(ISNUMBER(F431),ISNUMBER(G431)),ROUND((G431-F431+1)/30.4375,1),"")</f>
        <v/>
      </c>
      <c r="U431" s="70" t="str">
        <f aca="false">IF(B431="","",IF(AND(N431="Sí",OR(E431="",NOT(ISNUMBER(F431)))),"⚠ Falta tipo de contrato o fecha de inicio",IF(NOT(ISNUMBER(F431)),"⚠ Falta fecha de inicio",IF(AND(N431="Sí",E431&lt;&gt;"Indefinido",NOT(ISNUMBER(G431))),"⚠ Falta fecha de término",IF(AND(D431="Paso a indefinido",E431&lt;&gt;"Indefinido"),"⚠ Un paso a indefinido debe tener tipo Indefinido",IF(N(Q431)&gt;=3,"⚠ 3er contrato a plazo fijo: por ley ya es INDEFINIDO (Art. 159 N°4)",IF(AND(E431="Plazo fijo",N(T431)&gt;12),"⚠ Plazo fijo mayor a 1 año (máx. legal; 2 años solo profesionales o técnicos)",IF(AND(ISNUMBER(G431),G431&lt;F431),"⚠ Término anterior al inicio",IF(AND(D431="Contrato inicial",ISNUMBER(J431),J431-F431&gt;15),"⚠ Escriturado fuera de plazo (Art. 9: 15 días)",IF(K431&lt;&gt;"Sí","Pendiente de firma","OK"))))))))))</f>
        <v/>
      </c>
    </row>
    <row r="432" customFormat="false" ht="15" hidden="false" customHeight="false" outlineLevel="0" collapsed="false">
      <c r="B432" s="64"/>
      <c r="C432" s="72" t="str">
        <f aca="false">IF(B432="","",IFERROR(INDEX(T_NOMBRE,MATCH(B432,T_ID,0)),"⚠ ID no existe en Trabajadores"))</f>
        <v/>
      </c>
      <c r="D432" s="64"/>
      <c r="E432" s="64"/>
      <c r="F432" s="65"/>
      <c r="G432" s="65"/>
      <c r="H432" s="67"/>
      <c r="I432" s="64"/>
      <c r="J432" s="65"/>
      <c r="K432" s="64"/>
      <c r="L432" s="64"/>
      <c r="M432" s="64"/>
      <c r="N432" s="72" t="str">
        <f aca="false">IF(B432="","",IF(D432="Anexo de modificación","No","Sí"))</f>
        <v/>
      </c>
      <c r="O432" s="73" t="str">
        <f aca="false">IF(AND(N432="Sí",ISNUMBER(F432)),COUNTIFS(C_ID,B432,C_DEFINE,"Sí",C_INICIO,"&lt;"&amp;F432)+COUNTIFS(B$7:B432,B432,N$7:N432,"Sí",F$7:F432,F432),"")</f>
        <v/>
      </c>
      <c r="P432" s="72" t="str">
        <f aca="false">IF(O432="","",B432&amp;"-P"&amp;O432)</f>
        <v/>
      </c>
      <c r="Q432" s="73" t="str">
        <f aca="false">IF(AND(N432="Sí",E432="Plazo fijo",ISNUMBER(F432)),COUNTIFS(C_ID,B432,C_TIPO,"Plazo fijo",C_DEFINE,"Sí",C_INICIO,"&lt;"&amp;F432)+COUNTIFS(B$7:B432,B432,E$7:E432,"Plazo fijo",N$7:N432,"Sí",F$7:F432,F432),"")</f>
        <v/>
      </c>
      <c r="R432" s="73" t="str">
        <f aca="false">IF(AND(B432&lt;&gt;"",ISNUMBER(H432),ISNUMBER(F432)),COUNTIFS(C_ID,B432,C_SUELDO,"&lt;&gt;",C_INICIO,"&lt;"&amp;F432)+COUNTIFS(B$7:B432,B432,H$7:H432,"&lt;&gt;",F$7:F432,F432),"")</f>
        <v/>
      </c>
      <c r="S432" s="72" t="str">
        <f aca="false">IF(R432="","",B432&amp;"-S"&amp;R432)</f>
        <v/>
      </c>
      <c r="T432" s="74" t="str">
        <f aca="false">IF(AND(ISNUMBER(F432),ISNUMBER(G432)),ROUND((G432-F432+1)/30.4375,1),"")</f>
        <v/>
      </c>
      <c r="U432" s="70" t="str">
        <f aca="false">IF(B432="","",IF(AND(N432="Sí",OR(E432="",NOT(ISNUMBER(F432)))),"⚠ Falta tipo de contrato o fecha de inicio",IF(NOT(ISNUMBER(F432)),"⚠ Falta fecha de inicio",IF(AND(N432="Sí",E432&lt;&gt;"Indefinido",NOT(ISNUMBER(G432))),"⚠ Falta fecha de término",IF(AND(D432="Paso a indefinido",E432&lt;&gt;"Indefinido"),"⚠ Un paso a indefinido debe tener tipo Indefinido",IF(N(Q432)&gt;=3,"⚠ 3er contrato a plazo fijo: por ley ya es INDEFINIDO (Art. 159 N°4)",IF(AND(E432="Plazo fijo",N(T432)&gt;12),"⚠ Plazo fijo mayor a 1 año (máx. legal; 2 años solo profesionales o técnicos)",IF(AND(ISNUMBER(G432),G432&lt;F432),"⚠ Término anterior al inicio",IF(AND(D432="Contrato inicial",ISNUMBER(J432),J432-F432&gt;15),"⚠ Escriturado fuera de plazo (Art. 9: 15 días)",IF(K432&lt;&gt;"Sí","Pendiente de firma","OK"))))))))))</f>
        <v/>
      </c>
    </row>
    <row r="433" customFormat="false" ht="15" hidden="false" customHeight="false" outlineLevel="0" collapsed="false">
      <c r="B433" s="64"/>
      <c r="C433" s="72" t="str">
        <f aca="false">IF(B433="","",IFERROR(INDEX(T_NOMBRE,MATCH(B433,T_ID,0)),"⚠ ID no existe en Trabajadores"))</f>
        <v/>
      </c>
      <c r="D433" s="64"/>
      <c r="E433" s="64"/>
      <c r="F433" s="65"/>
      <c r="G433" s="65"/>
      <c r="H433" s="67"/>
      <c r="I433" s="64"/>
      <c r="J433" s="65"/>
      <c r="K433" s="64"/>
      <c r="L433" s="64"/>
      <c r="M433" s="64"/>
      <c r="N433" s="72" t="str">
        <f aca="false">IF(B433="","",IF(D433="Anexo de modificación","No","Sí"))</f>
        <v/>
      </c>
      <c r="O433" s="73" t="str">
        <f aca="false">IF(AND(N433="Sí",ISNUMBER(F433)),COUNTIFS(C_ID,B433,C_DEFINE,"Sí",C_INICIO,"&lt;"&amp;F433)+COUNTIFS(B$7:B433,B433,N$7:N433,"Sí",F$7:F433,F433),"")</f>
        <v/>
      </c>
      <c r="P433" s="72" t="str">
        <f aca="false">IF(O433="","",B433&amp;"-P"&amp;O433)</f>
        <v/>
      </c>
      <c r="Q433" s="73" t="str">
        <f aca="false">IF(AND(N433="Sí",E433="Plazo fijo",ISNUMBER(F433)),COUNTIFS(C_ID,B433,C_TIPO,"Plazo fijo",C_DEFINE,"Sí",C_INICIO,"&lt;"&amp;F433)+COUNTIFS(B$7:B433,B433,E$7:E433,"Plazo fijo",N$7:N433,"Sí",F$7:F433,F433),"")</f>
        <v/>
      </c>
      <c r="R433" s="73" t="str">
        <f aca="false">IF(AND(B433&lt;&gt;"",ISNUMBER(H433),ISNUMBER(F433)),COUNTIFS(C_ID,B433,C_SUELDO,"&lt;&gt;",C_INICIO,"&lt;"&amp;F433)+COUNTIFS(B$7:B433,B433,H$7:H433,"&lt;&gt;",F$7:F433,F433),"")</f>
        <v/>
      </c>
      <c r="S433" s="72" t="str">
        <f aca="false">IF(R433="","",B433&amp;"-S"&amp;R433)</f>
        <v/>
      </c>
      <c r="T433" s="74" t="str">
        <f aca="false">IF(AND(ISNUMBER(F433),ISNUMBER(G433)),ROUND((G433-F433+1)/30.4375,1),"")</f>
        <v/>
      </c>
      <c r="U433" s="70" t="str">
        <f aca="false">IF(B433="","",IF(AND(N433="Sí",OR(E433="",NOT(ISNUMBER(F433)))),"⚠ Falta tipo de contrato o fecha de inicio",IF(NOT(ISNUMBER(F433)),"⚠ Falta fecha de inicio",IF(AND(N433="Sí",E433&lt;&gt;"Indefinido",NOT(ISNUMBER(G433))),"⚠ Falta fecha de término",IF(AND(D433="Paso a indefinido",E433&lt;&gt;"Indefinido"),"⚠ Un paso a indefinido debe tener tipo Indefinido",IF(N(Q433)&gt;=3,"⚠ 3er contrato a plazo fijo: por ley ya es INDEFINIDO (Art. 159 N°4)",IF(AND(E433="Plazo fijo",N(T433)&gt;12),"⚠ Plazo fijo mayor a 1 año (máx. legal; 2 años solo profesionales o técnicos)",IF(AND(ISNUMBER(G433),G433&lt;F433),"⚠ Término anterior al inicio",IF(AND(D433="Contrato inicial",ISNUMBER(J433),J433-F433&gt;15),"⚠ Escriturado fuera de plazo (Art. 9: 15 días)",IF(K433&lt;&gt;"Sí","Pendiente de firma","OK"))))))))))</f>
        <v/>
      </c>
    </row>
    <row r="434" customFormat="false" ht="15" hidden="false" customHeight="false" outlineLevel="0" collapsed="false">
      <c r="B434" s="64"/>
      <c r="C434" s="72" t="str">
        <f aca="false">IF(B434="","",IFERROR(INDEX(T_NOMBRE,MATCH(B434,T_ID,0)),"⚠ ID no existe en Trabajadores"))</f>
        <v/>
      </c>
      <c r="D434" s="64"/>
      <c r="E434" s="64"/>
      <c r="F434" s="65"/>
      <c r="G434" s="65"/>
      <c r="H434" s="67"/>
      <c r="I434" s="64"/>
      <c r="J434" s="65"/>
      <c r="K434" s="64"/>
      <c r="L434" s="64"/>
      <c r="M434" s="64"/>
      <c r="N434" s="72" t="str">
        <f aca="false">IF(B434="","",IF(D434="Anexo de modificación","No","Sí"))</f>
        <v/>
      </c>
      <c r="O434" s="73" t="str">
        <f aca="false">IF(AND(N434="Sí",ISNUMBER(F434)),COUNTIFS(C_ID,B434,C_DEFINE,"Sí",C_INICIO,"&lt;"&amp;F434)+COUNTIFS(B$7:B434,B434,N$7:N434,"Sí",F$7:F434,F434),"")</f>
        <v/>
      </c>
      <c r="P434" s="72" t="str">
        <f aca="false">IF(O434="","",B434&amp;"-P"&amp;O434)</f>
        <v/>
      </c>
      <c r="Q434" s="73" t="str">
        <f aca="false">IF(AND(N434="Sí",E434="Plazo fijo",ISNUMBER(F434)),COUNTIFS(C_ID,B434,C_TIPO,"Plazo fijo",C_DEFINE,"Sí",C_INICIO,"&lt;"&amp;F434)+COUNTIFS(B$7:B434,B434,E$7:E434,"Plazo fijo",N$7:N434,"Sí",F$7:F434,F434),"")</f>
        <v/>
      </c>
      <c r="R434" s="73" t="str">
        <f aca="false">IF(AND(B434&lt;&gt;"",ISNUMBER(H434),ISNUMBER(F434)),COUNTIFS(C_ID,B434,C_SUELDO,"&lt;&gt;",C_INICIO,"&lt;"&amp;F434)+COUNTIFS(B$7:B434,B434,H$7:H434,"&lt;&gt;",F$7:F434,F434),"")</f>
        <v/>
      </c>
      <c r="S434" s="72" t="str">
        <f aca="false">IF(R434="","",B434&amp;"-S"&amp;R434)</f>
        <v/>
      </c>
      <c r="T434" s="74" t="str">
        <f aca="false">IF(AND(ISNUMBER(F434),ISNUMBER(G434)),ROUND((G434-F434+1)/30.4375,1),"")</f>
        <v/>
      </c>
      <c r="U434" s="70" t="str">
        <f aca="false">IF(B434="","",IF(AND(N434="Sí",OR(E434="",NOT(ISNUMBER(F434)))),"⚠ Falta tipo de contrato o fecha de inicio",IF(NOT(ISNUMBER(F434)),"⚠ Falta fecha de inicio",IF(AND(N434="Sí",E434&lt;&gt;"Indefinido",NOT(ISNUMBER(G434))),"⚠ Falta fecha de término",IF(AND(D434="Paso a indefinido",E434&lt;&gt;"Indefinido"),"⚠ Un paso a indefinido debe tener tipo Indefinido",IF(N(Q434)&gt;=3,"⚠ 3er contrato a plazo fijo: por ley ya es INDEFINIDO (Art. 159 N°4)",IF(AND(E434="Plazo fijo",N(T434)&gt;12),"⚠ Plazo fijo mayor a 1 año (máx. legal; 2 años solo profesionales o técnicos)",IF(AND(ISNUMBER(G434),G434&lt;F434),"⚠ Término anterior al inicio",IF(AND(D434="Contrato inicial",ISNUMBER(J434),J434-F434&gt;15),"⚠ Escriturado fuera de plazo (Art. 9: 15 días)",IF(K434&lt;&gt;"Sí","Pendiente de firma","OK"))))))))))</f>
        <v/>
      </c>
    </row>
    <row r="435" customFormat="false" ht="15" hidden="false" customHeight="false" outlineLevel="0" collapsed="false">
      <c r="B435" s="64"/>
      <c r="C435" s="72" t="str">
        <f aca="false">IF(B435="","",IFERROR(INDEX(T_NOMBRE,MATCH(B435,T_ID,0)),"⚠ ID no existe en Trabajadores"))</f>
        <v/>
      </c>
      <c r="D435" s="64"/>
      <c r="E435" s="64"/>
      <c r="F435" s="65"/>
      <c r="G435" s="65"/>
      <c r="H435" s="67"/>
      <c r="I435" s="64"/>
      <c r="J435" s="65"/>
      <c r="K435" s="64"/>
      <c r="L435" s="64"/>
      <c r="M435" s="64"/>
      <c r="N435" s="72" t="str">
        <f aca="false">IF(B435="","",IF(D435="Anexo de modificación","No","Sí"))</f>
        <v/>
      </c>
      <c r="O435" s="73" t="str">
        <f aca="false">IF(AND(N435="Sí",ISNUMBER(F435)),COUNTIFS(C_ID,B435,C_DEFINE,"Sí",C_INICIO,"&lt;"&amp;F435)+COUNTIFS(B$7:B435,B435,N$7:N435,"Sí",F$7:F435,F435),"")</f>
        <v/>
      </c>
      <c r="P435" s="72" t="str">
        <f aca="false">IF(O435="","",B435&amp;"-P"&amp;O435)</f>
        <v/>
      </c>
      <c r="Q435" s="73" t="str">
        <f aca="false">IF(AND(N435="Sí",E435="Plazo fijo",ISNUMBER(F435)),COUNTIFS(C_ID,B435,C_TIPO,"Plazo fijo",C_DEFINE,"Sí",C_INICIO,"&lt;"&amp;F435)+COUNTIFS(B$7:B435,B435,E$7:E435,"Plazo fijo",N$7:N435,"Sí",F$7:F435,F435),"")</f>
        <v/>
      </c>
      <c r="R435" s="73" t="str">
        <f aca="false">IF(AND(B435&lt;&gt;"",ISNUMBER(H435),ISNUMBER(F435)),COUNTIFS(C_ID,B435,C_SUELDO,"&lt;&gt;",C_INICIO,"&lt;"&amp;F435)+COUNTIFS(B$7:B435,B435,H$7:H435,"&lt;&gt;",F$7:F435,F435),"")</f>
        <v/>
      </c>
      <c r="S435" s="72" t="str">
        <f aca="false">IF(R435="","",B435&amp;"-S"&amp;R435)</f>
        <v/>
      </c>
      <c r="T435" s="74" t="str">
        <f aca="false">IF(AND(ISNUMBER(F435),ISNUMBER(G435)),ROUND((G435-F435+1)/30.4375,1),"")</f>
        <v/>
      </c>
      <c r="U435" s="70" t="str">
        <f aca="false">IF(B435="","",IF(AND(N435="Sí",OR(E435="",NOT(ISNUMBER(F435)))),"⚠ Falta tipo de contrato o fecha de inicio",IF(NOT(ISNUMBER(F435)),"⚠ Falta fecha de inicio",IF(AND(N435="Sí",E435&lt;&gt;"Indefinido",NOT(ISNUMBER(G435))),"⚠ Falta fecha de término",IF(AND(D435="Paso a indefinido",E435&lt;&gt;"Indefinido"),"⚠ Un paso a indefinido debe tener tipo Indefinido",IF(N(Q435)&gt;=3,"⚠ 3er contrato a plazo fijo: por ley ya es INDEFINIDO (Art. 159 N°4)",IF(AND(E435="Plazo fijo",N(T435)&gt;12),"⚠ Plazo fijo mayor a 1 año (máx. legal; 2 años solo profesionales o técnicos)",IF(AND(ISNUMBER(G435),G435&lt;F435),"⚠ Término anterior al inicio",IF(AND(D435="Contrato inicial",ISNUMBER(J435),J435-F435&gt;15),"⚠ Escriturado fuera de plazo (Art. 9: 15 días)",IF(K435&lt;&gt;"Sí","Pendiente de firma","OK"))))))))))</f>
        <v/>
      </c>
    </row>
    <row r="436" customFormat="false" ht="15" hidden="false" customHeight="false" outlineLevel="0" collapsed="false">
      <c r="B436" s="64"/>
      <c r="C436" s="72" t="str">
        <f aca="false">IF(B436="","",IFERROR(INDEX(T_NOMBRE,MATCH(B436,T_ID,0)),"⚠ ID no existe en Trabajadores"))</f>
        <v/>
      </c>
      <c r="D436" s="64"/>
      <c r="E436" s="64"/>
      <c r="F436" s="65"/>
      <c r="G436" s="65"/>
      <c r="H436" s="67"/>
      <c r="I436" s="64"/>
      <c r="J436" s="65"/>
      <c r="K436" s="64"/>
      <c r="L436" s="64"/>
      <c r="M436" s="64"/>
      <c r="N436" s="72" t="str">
        <f aca="false">IF(B436="","",IF(D436="Anexo de modificación","No","Sí"))</f>
        <v/>
      </c>
      <c r="O436" s="73" t="str">
        <f aca="false">IF(AND(N436="Sí",ISNUMBER(F436)),COUNTIFS(C_ID,B436,C_DEFINE,"Sí",C_INICIO,"&lt;"&amp;F436)+COUNTIFS(B$7:B436,B436,N$7:N436,"Sí",F$7:F436,F436),"")</f>
        <v/>
      </c>
      <c r="P436" s="72" t="str">
        <f aca="false">IF(O436="","",B436&amp;"-P"&amp;O436)</f>
        <v/>
      </c>
      <c r="Q436" s="73" t="str">
        <f aca="false">IF(AND(N436="Sí",E436="Plazo fijo",ISNUMBER(F436)),COUNTIFS(C_ID,B436,C_TIPO,"Plazo fijo",C_DEFINE,"Sí",C_INICIO,"&lt;"&amp;F436)+COUNTIFS(B$7:B436,B436,E$7:E436,"Plazo fijo",N$7:N436,"Sí",F$7:F436,F436),"")</f>
        <v/>
      </c>
      <c r="R436" s="73" t="str">
        <f aca="false">IF(AND(B436&lt;&gt;"",ISNUMBER(H436),ISNUMBER(F436)),COUNTIFS(C_ID,B436,C_SUELDO,"&lt;&gt;",C_INICIO,"&lt;"&amp;F436)+COUNTIFS(B$7:B436,B436,H$7:H436,"&lt;&gt;",F$7:F436,F436),"")</f>
        <v/>
      </c>
      <c r="S436" s="72" t="str">
        <f aca="false">IF(R436="","",B436&amp;"-S"&amp;R436)</f>
        <v/>
      </c>
      <c r="T436" s="74" t="str">
        <f aca="false">IF(AND(ISNUMBER(F436),ISNUMBER(G436)),ROUND((G436-F436+1)/30.4375,1),"")</f>
        <v/>
      </c>
      <c r="U436" s="70" t="str">
        <f aca="false">IF(B436="","",IF(AND(N436="Sí",OR(E436="",NOT(ISNUMBER(F436)))),"⚠ Falta tipo de contrato o fecha de inicio",IF(NOT(ISNUMBER(F436)),"⚠ Falta fecha de inicio",IF(AND(N436="Sí",E436&lt;&gt;"Indefinido",NOT(ISNUMBER(G436))),"⚠ Falta fecha de término",IF(AND(D436="Paso a indefinido",E436&lt;&gt;"Indefinido"),"⚠ Un paso a indefinido debe tener tipo Indefinido",IF(N(Q436)&gt;=3,"⚠ 3er contrato a plazo fijo: por ley ya es INDEFINIDO (Art. 159 N°4)",IF(AND(E436="Plazo fijo",N(T436)&gt;12),"⚠ Plazo fijo mayor a 1 año (máx. legal; 2 años solo profesionales o técnicos)",IF(AND(ISNUMBER(G436),G436&lt;F436),"⚠ Término anterior al inicio",IF(AND(D436="Contrato inicial",ISNUMBER(J436),J436-F436&gt;15),"⚠ Escriturado fuera de plazo (Art. 9: 15 días)",IF(K436&lt;&gt;"Sí","Pendiente de firma","OK"))))))))))</f>
        <v/>
      </c>
    </row>
    <row r="437" customFormat="false" ht="15" hidden="false" customHeight="false" outlineLevel="0" collapsed="false">
      <c r="B437" s="64"/>
      <c r="C437" s="72" t="str">
        <f aca="false">IF(B437="","",IFERROR(INDEX(T_NOMBRE,MATCH(B437,T_ID,0)),"⚠ ID no existe en Trabajadores"))</f>
        <v/>
      </c>
      <c r="D437" s="64"/>
      <c r="E437" s="64"/>
      <c r="F437" s="65"/>
      <c r="G437" s="65"/>
      <c r="H437" s="67"/>
      <c r="I437" s="64"/>
      <c r="J437" s="65"/>
      <c r="K437" s="64"/>
      <c r="L437" s="64"/>
      <c r="M437" s="64"/>
      <c r="N437" s="72" t="str">
        <f aca="false">IF(B437="","",IF(D437="Anexo de modificación","No","Sí"))</f>
        <v/>
      </c>
      <c r="O437" s="73" t="str">
        <f aca="false">IF(AND(N437="Sí",ISNUMBER(F437)),COUNTIFS(C_ID,B437,C_DEFINE,"Sí",C_INICIO,"&lt;"&amp;F437)+COUNTIFS(B$7:B437,B437,N$7:N437,"Sí",F$7:F437,F437),"")</f>
        <v/>
      </c>
      <c r="P437" s="72" t="str">
        <f aca="false">IF(O437="","",B437&amp;"-P"&amp;O437)</f>
        <v/>
      </c>
      <c r="Q437" s="73" t="str">
        <f aca="false">IF(AND(N437="Sí",E437="Plazo fijo",ISNUMBER(F437)),COUNTIFS(C_ID,B437,C_TIPO,"Plazo fijo",C_DEFINE,"Sí",C_INICIO,"&lt;"&amp;F437)+COUNTIFS(B$7:B437,B437,E$7:E437,"Plazo fijo",N$7:N437,"Sí",F$7:F437,F437),"")</f>
        <v/>
      </c>
      <c r="R437" s="73" t="str">
        <f aca="false">IF(AND(B437&lt;&gt;"",ISNUMBER(H437),ISNUMBER(F437)),COUNTIFS(C_ID,B437,C_SUELDO,"&lt;&gt;",C_INICIO,"&lt;"&amp;F437)+COUNTIFS(B$7:B437,B437,H$7:H437,"&lt;&gt;",F$7:F437,F437),"")</f>
        <v/>
      </c>
      <c r="S437" s="72" t="str">
        <f aca="false">IF(R437="","",B437&amp;"-S"&amp;R437)</f>
        <v/>
      </c>
      <c r="T437" s="74" t="str">
        <f aca="false">IF(AND(ISNUMBER(F437),ISNUMBER(G437)),ROUND((G437-F437+1)/30.4375,1),"")</f>
        <v/>
      </c>
      <c r="U437" s="70" t="str">
        <f aca="false">IF(B437="","",IF(AND(N437="Sí",OR(E437="",NOT(ISNUMBER(F437)))),"⚠ Falta tipo de contrato o fecha de inicio",IF(NOT(ISNUMBER(F437)),"⚠ Falta fecha de inicio",IF(AND(N437="Sí",E437&lt;&gt;"Indefinido",NOT(ISNUMBER(G437))),"⚠ Falta fecha de término",IF(AND(D437="Paso a indefinido",E437&lt;&gt;"Indefinido"),"⚠ Un paso a indefinido debe tener tipo Indefinido",IF(N(Q437)&gt;=3,"⚠ 3er contrato a plazo fijo: por ley ya es INDEFINIDO (Art. 159 N°4)",IF(AND(E437="Plazo fijo",N(T437)&gt;12),"⚠ Plazo fijo mayor a 1 año (máx. legal; 2 años solo profesionales o técnicos)",IF(AND(ISNUMBER(G437),G437&lt;F437),"⚠ Término anterior al inicio",IF(AND(D437="Contrato inicial",ISNUMBER(J437),J437-F437&gt;15),"⚠ Escriturado fuera de plazo (Art. 9: 15 días)",IF(K437&lt;&gt;"Sí","Pendiente de firma","OK"))))))))))</f>
        <v/>
      </c>
    </row>
    <row r="438" customFormat="false" ht="15" hidden="false" customHeight="false" outlineLevel="0" collapsed="false">
      <c r="B438" s="64"/>
      <c r="C438" s="72" t="str">
        <f aca="false">IF(B438="","",IFERROR(INDEX(T_NOMBRE,MATCH(B438,T_ID,0)),"⚠ ID no existe en Trabajadores"))</f>
        <v/>
      </c>
      <c r="D438" s="64"/>
      <c r="E438" s="64"/>
      <c r="F438" s="65"/>
      <c r="G438" s="65"/>
      <c r="H438" s="67"/>
      <c r="I438" s="64"/>
      <c r="J438" s="65"/>
      <c r="K438" s="64"/>
      <c r="L438" s="64"/>
      <c r="M438" s="64"/>
      <c r="N438" s="72" t="str">
        <f aca="false">IF(B438="","",IF(D438="Anexo de modificación","No","Sí"))</f>
        <v/>
      </c>
      <c r="O438" s="73" t="str">
        <f aca="false">IF(AND(N438="Sí",ISNUMBER(F438)),COUNTIFS(C_ID,B438,C_DEFINE,"Sí",C_INICIO,"&lt;"&amp;F438)+COUNTIFS(B$7:B438,B438,N$7:N438,"Sí",F$7:F438,F438),"")</f>
        <v/>
      </c>
      <c r="P438" s="72" t="str">
        <f aca="false">IF(O438="","",B438&amp;"-P"&amp;O438)</f>
        <v/>
      </c>
      <c r="Q438" s="73" t="str">
        <f aca="false">IF(AND(N438="Sí",E438="Plazo fijo",ISNUMBER(F438)),COUNTIFS(C_ID,B438,C_TIPO,"Plazo fijo",C_DEFINE,"Sí",C_INICIO,"&lt;"&amp;F438)+COUNTIFS(B$7:B438,B438,E$7:E438,"Plazo fijo",N$7:N438,"Sí",F$7:F438,F438),"")</f>
        <v/>
      </c>
      <c r="R438" s="73" t="str">
        <f aca="false">IF(AND(B438&lt;&gt;"",ISNUMBER(H438),ISNUMBER(F438)),COUNTIFS(C_ID,B438,C_SUELDO,"&lt;&gt;",C_INICIO,"&lt;"&amp;F438)+COUNTIFS(B$7:B438,B438,H$7:H438,"&lt;&gt;",F$7:F438,F438),"")</f>
        <v/>
      </c>
      <c r="S438" s="72" t="str">
        <f aca="false">IF(R438="","",B438&amp;"-S"&amp;R438)</f>
        <v/>
      </c>
      <c r="T438" s="74" t="str">
        <f aca="false">IF(AND(ISNUMBER(F438),ISNUMBER(G438)),ROUND((G438-F438+1)/30.4375,1),"")</f>
        <v/>
      </c>
      <c r="U438" s="70" t="str">
        <f aca="false">IF(B438="","",IF(AND(N438="Sí",OR(E438="",NOT(ISNUMBER(F438)))),"⚠ Falta tipo de contrato o fecha de inicio",IF(NOT(ISNUMBER(F438)),"⚠ Falta fecha de inicio",IF(AND(N438="Sí",E438&lt;&gt;"Indefinido",NOT(ISNUMBER(G438))),"⚠ Falta fecha de término",IF(AND(D438="Paso a indefinido",E438&lt;&gt;"Indefinido"),"⚠ Un paso a indefinido debe tener tipo Indefinido",IF(N(Q438)&gt;=3,"⚠ 3er contrato a plazo fijo: por ley ya es INDEFINIDO (Art. 159 N°4)",IF(AND(E438="Plazo fijo",N(T438)&gt;12),"⚠ Plazo fijo mayor a 1 año (máx. legal; 2 años solo profesionales o técnicos)",IF(AND(ISNUMBER(G438),G438&lt;F438),"⚠ Término anterior al inicio",IF(AND(D438="Contrato inicial",ISNUMBER(J438),J438-F438&gt;15),"⚠ Escriturado fuera de plazo (Art. 9: 15 días)",IF(K438&lt;&gt;"Sí","Pendiente de firma","OK"))))))))))</f>
        <v/>
      </c>
    </row>
    <row r="439" customFormat="false" ht="15" hidden="false" customHeight="false" outlineLevel="0" collapsed="false">
      <c r="B439" s="64"/>
      <c r="C439" s="72" t="str">
        <f aca="false">IF(B439="","",IFERROR(INDEX(T_NOMBRE,MATCH(B439,T_ID,0)),"⚠ ID no existe en Trabajadores"))</f>
        <v/>
      </c>
      <c r="D439" s="64"/>
      <c r="E439" s="64"/>
      <c r="F439" s="65"/>
      <c r="G439" s="65"/>
      <c r="H439" s="67"/>
      <c r="I439" s="64"/>
      <c r="J439" s="65"/>
      <c r="K439" s="64"/>
      <c r="L439" s="64"/>
      <c r="M439" s="64"/>
      <c r="N439" s="72" t="str">
        <f aca="false">IF(B439="","",IF(D439="Anexo de modificación","No","Sí"))</f>
        <v/>
      </c>
      <c r="O439" s="73" t="str">
        <f aca="false">IF(AND(N439="Sí",ISNUMBER(F439)),COUNTIFS(C_ID,B439,C_DEFINE,"Sí",C_INICIO,"&lt;"&amp;F439)+COUNTIFS(B$7:B439,B439,N$7:N439,"Sí",F$7:F439,F439),"")</f>
        <v/>
      </c>
      <c r="P439" s="72" t="str">
        <f aca="false">IF(O439="","",B439&amp;"-P"&amp;O439)</f>
        <v/>
      </c>
      <c r="Q439" s="73" t="str">
        <f aca="false">IF(AND(N439="Sí",E439="Plazo fijo",ISNUMBER(F439)),COUNTIFS(C_ID,B439,C_TIPO,"Plazo fijo",C_DEFINE,"Sí",C_INICIO,"&lt;"&amp;F439)+COUNTIFS(B$7:B439,B439,E$7:E439,"Plazo fijo",N$7:N439,"Sí",F$7:F439,F439),"")</f>
        <v/>
      </c>
      <c r="R439" s="73" t="str">
        <f aca="false">IF(AND(B439&lt;&gt;"",ISNUMBER(H439),ISNUMBER(F439)),COUNTIFS(C_ID,B439,C_SUELDO,"&lt;&gt;",C_INICIO,"&lt;"&amp;F439)+COUNTIFS(B$7:B439,B439,H$7:H439,"&lt;&gt;",F$7:F439,F439),"")</f>
        <v/>
      </c>
      <c r="S439" s="72" t="str">
        <f aca="false">IF(R439="","",B439&amp;"-S"&amp;R439)</f>
        <v/>
      </c>
      <c r="T439" s="74" t="str">
        <f aca="false">IF(AND(ISNUMBER(F439),ISNUMBER(G439)),ROUND((G439-F439+1)/30.4375,1),"")</f>
        <v/>
      </c>
      <c r="U439" s="70" t="str">
        <f aca="false">IF(B439="","",IF(AND(N439="Sí",OR(E439="",NOT(ISNUMBER(F439)))),"⚠ Falta tipo de contrato o fecha de inicio",IF(NOT(ISNUMBER(F439)),"⚠ Falta fecha de inicio",IF(AND(N439="Sí",E439&lt;&gt;"Indefinido",NOT(ISNUMBER(G439))),"⚠ Falta fecha de término",IF(AND(D439="Paso a indefinido",E439&lt;&gt;"Indefinido"),"⚠ Un paso a indefinido debe tener tipo Indefinido",IF(N(Q439)&gt;=3,"⚠ 3er contrato a plazo fijo: por ley ya es INDEFINIDO (Art. 159 N°4)",IF(AND(E439="Plazo fijo",N(T439)&gt;12),"⚠ Plazo fijo mayor a 1 año (máx. legal; 2 años solo profesionales o técnicos)",IF(AND(ISNUMBER(G439),G439&lt;F439),"⚠ Término anterior al inicio",IF(AND(D439="Contrato inicial",ISNUMBER(J439),J439-F439&gt;15),"⚠ Escriturado fuera de plazo (Art. 9: 15 días)",IF(K439&lt;&gt;"Sí","Pendiente de firma","OK"))))))))))</f>
        <v/>
      </c>
    </row>
    <row r="440" customFormat="false" ht="15" hidden="false" customHeight="false" outlineLevel="0" collapsed="false">
      <c r="B440" s="64"/>
      <c r="C440" s="72" t="str">
        <f aca="false">IF(B440="","",IFERROR(INDEX(T_NOMBRE,MATCH(B440,T_ID,0)),"⚠ ID no existe en Trabajadores"))</f>
        <v/>
      </c>
      <c r="D440" s="64"/>
      <c r="E440" s="64"/>
      <c r="F440" s="65"/>
      <c r="G440" s="65"/>
      <c r="H440" s="67"/>
      <c r="I440" s="64"/>
      <c r="J440" s="65"/>
      <c r="K440" s="64"/>
      <c r="L440" s="64"/>
      <c r="M440" s="64"/>
      <c r="N440" s="72" t="str">
        <f aca="false">IF(B440="","",IF(D440="Anexo de modificación","No","Sí"))</f>
        <v/>
      </c>
      <c r="O440" s="73" t="str">
        <f aca="false">IF(AND(N440="Sí",ISNUMBER(F440)),COUNTIFS(C_ID,B440,C_DEFINE,"Sí",C_INICIO,"&lt;"&amp;F440)+COUNTIFS(B$7:B440,B440,N$7:N440,"Sí",F$7:F440,F440),"")</f>
        <v/>
      </c>
      <c r="P440" s="72" t="str">
        <f aca="false">IF(O440="","",B440&amp;"-P"&amp;O440)</f>
        <v/>
      </c>
      <c r="Q440" s="73" t="str">
        <f aca="false">IF(AND(N440="Sí",E440="Plazo fijo",ISNUMBER(F440)),COUNTIFS(C_ID,B440,C_TIPO,"Plazo fijo",C_DEFINE,"Sí",C_INICIO,"&lt;"&amp;F440)+COUNTIFS(B$7:B440,B440,E$7:E440,"Plazo fijo",N$7:N440,"Sí",F$7:F440,F440),"")</f>
        <v/>
      </c>
      <c r="R440" s="73" t="str">
        <f aca="false">IF(AND(B440&lt;&gt;"",ISNUMBER(H440),ISNUMBER(F440)),COUNTIFS(C_ID,B440,C_SUELDO,"&lt;&gt;",C_INICIO,"&lt;"&amp;F440)+COUNTIFS(B$7:B440,B440,H$7:H440,"&lt;&gt;",F$7:F440,F440),"")</f>
        <v/>
      </c>
      <c r="S440" s="72" t="str">
        <f aca="false">IF(R440="","",B440&amp;"-S"&amp;R440)</f>
        <v/>
      </c>
      <c r="T440" s="74" t="str">
        <f aca="false">IF(AND(ISNUMBER(F440),ISNUMBER(G440)),ROUND((G440-F440+1)/30.4375,1),"")</f>
        <v/>
      </c>
      <c r="U440" s="70" t="str">
        <f aca="false">IF(B440="","",IF(AND(N440="Sí",OR(E440="",NOT(ISNUMBER(F440)))),"⚠ Falta tipo de contrato o fecha de inicio",IF(NOT(ISNUMBER(F440)),"⚠ Falta fecha de inicio",IF(AND(N440="Sí",E440&lt;&gt;"Indefinido",NOT(ISNUMBER(G440))),"⚠ Falta fecha de término",IF(AND(D440="Paso a indefinido",E440&lt;&gt;"Indefinido"),"⚠ Un paso a indefinido debe tener tipo Indefinido",IF(N(Q440)&gt;=3,"⚠ 3er contrato a plazo fijo: por ley ya es INDEFINIDO (Art. 159 N°4)",IF(AND(E440="Plazo fijo",N(T440)&gt;12),"⚠ Plazo fijo mayor a 1 año (máx. legal; 2 años solo profesionales o técnicos)",IF(AND(ISNUMBER(G440),G440&lt;F440),"⚠ Término anterior al inicio",IF(AND(D440="Contrato inicial",ISNUMBER(J440),J440-F440&gt;15),"⚠ Escriturado fuera de plazo (Art. 9: 15 días)",IF(K440&lt;&gt;"Sí","Pendiente de firma","OK"))))))))))</f>
        <v/>
      </c>
    </row>
    <row r="441" customFormat="false" ht="15" hidden="false" customHeight="false" outlineLevel="0" collapsed="false">
      <c r="B441" s="64"/>
      <c r="C441" s="72" t="str">
        <f aca="false">IF(B441="","",IFERROR(INDEX(T_NOMBRE,MATCH(B441,T_ID,0)),"⚠ ID no existe en Trabajadores"))</f>
        <v/>
      </c>
      <c r="D441" s="64"/>
      <c r="E441" s="64"/>
      <c r="F441" s="65"/>
      <c r="G441" s="65"/>
      <c r="H441" s="67"/>
      <c r="I441" s="64"/>
      <c r="J441" s="65"/>
      <c r="K441" s="64"/>
      <c r="L441" s="64"/>
      <c r="M441" s="64"/>
      <c r="N441" s="72" t="str">
        <f aca="false">IF(B441="","",IF(D441="Anexo de modificación","No","Sí"))</f>
        <v/>
      </c>
      <c r="O441" s="73" t="str">
        <f aca="false">IF(AND(N441="Sí",ISNUMBER(F441)),COUNTIFS(C_ID,B441,C_DEFINE,"Sí",C_INICIO,"&lt;"&amp;F441)+COUNTIFS(B$7:B441,B441,N$7:N441,"Sí",F$7:F441,F441),"")</f>
        <v/>
      </c>
      <c r="P441" s="72" t="str">
        <f aca="false">IF(O441="","",B441&amp;"-P"&amp;O441)</f>
        <v/>
      </c>
      <c r="Q441" s="73" t="str">
        <f aca="false">IF(AND(N441="Sí",E441="Plazo fijo",ISNUMBER(F441)),COUNTIFS(C_ID,B441,C_TIPO,"Plazo fijo",C_DEFINE,"Sí",C_INICIO,"&lt;"&amp;F441)+COUNTIFS(B$7:B441,B441,E$7:E441,"Plazo fijo",N$7:N441,"Sí",F$7:F441,F441),"")</f>
        <v/>
      </c>
      <c r="R441" s="73" t="str">
        <f aca="false">IF(AND(B441&lt;&gt;"",ISNUMBER(H441),ISNUMBER(F441)),COUNTIFS(C_ID,B441,C_SUELDO,"&lt;&gt;",C_INICIO,"&lt;"&amp;F441)+COUNTIFS(B$7:B441,B441,H$7:H441,"&lt;&gt;",F$7:F441,F441),"")</f>
        <v/>
      </c>
      <c r="S441" s="72" t="str">
        <f aca="false">IF(R441="","",B441&amp;"-S"&amp;R441)</f>
        <v/>
      </c>
      <c r="T441" s="74" t="str">
        <f aca="false">IF(AND(ISNUMBER(F441),ISNUMBER(G441)),ROUND((G441-F441+1)/30.4375,1),"")</f>
        <v/>
      </c>
      <c r="U441" s="70" t="str">
        <f aca="false">IF(B441="","",IF(AND(N441="Sí",OR(E441="",NOT(ISNUMBER(F441)))),"⚠ Falta tipo de contrato o fecha de inicio",IF(NOT(ISNUMBER(F441)),"⚠ Falta fecha de inicio",IF(AND(N441="Sí",E441&lt;&gt;"Indefinido",NOT(ISNUMBER(G441))),"⚠ Falta fecha de término",IF(AND(D441="Paso a indefinido",E441&lt;&gt;"Indefinido"),"⚠ Un paso a indefinido debe tener tipo Indefinido",IF(N(Q441)&gt;=3,"⚠ 3er contrato a plazo fijo: por ley ya es INDEFINIDO (Art. 159 N°4)",IF(AND(E441="Plazo fijo",N(T441)&gt;12),"⚠ Plazo fijo mayor a 1 año (máx. legal; 2 años solo profesionales o técnicos)",IF(AND(ISNUMBER(G441),G441&lt;F441),"⚠ Término anterior al inicio",IF(AND(D441="Contrato inicial",ISNUMBER(J441),J441-F441&gt;15),"⚠ Escriturado fuera de plazo (Art. 9: 15 días)",IF(K441&lt;&gt;"Sí","Pendiente de firma","OK"))))))))))</f>
        <v/>
      </c>
    </row>
    <row r="442" customFormat="false" ht="15" hidden="false" customHeight="false" outlineLevel="0" collapsed="false">
      <c r="B442" s="64"/>
      <c r="C442" s="72" t="str">
        <f aca="false">IF(B442="","",IFERROR(INDEX(T_NOMBRE,MATCH(B442,T_ID,0)),"⚠ ID no existe en Trabajadores"))</f>
        <v/>
      </c>
      <c r="D442" s="64"/>
      <c r="E442" s="64"/>
      <c r="F442" s="65"/>
      <c r="G442" s="65"/>
      <c r="H442" s="67"/>
      <c r="I442" s="64"/>
      <c r="J442" s="65"/>
      <c r="K442" s="64"/>
      <c r="L442" s="64"/>
      <c r="M442" s="64"/>
      <c r="N442" s="72" t="str">
        <f aca="false">IF(B442="","",IF(D442="Anexo de modificación","No","Sí"))</f>
        <v/>
      </c>
      <c r="O442" s="73" t="str">
        <f aca="false">IF(AND(N442="Sí",ISNUMBER(F442)),COUNTIFS(C_ID,B442,C_DEFINE,"Sí",C_INICIO,"&lt;"&amp;F442)+COUNTIFS(B$7:B442,B442,N$7:N442,"Sí",F$7:F442,F442),"")</f>
        <v/>
      </c>
      <c r="P442" s="72" t="str">
        <f aca="false">IF(O442="","",B442&amp;"-P"&amp;O442)</f>
        <v/>
      </c>
      <c r="Q442" s="73" t="str">
        <f aca="false">IF(AND(N442="Sí",E442="Plazo fijo",ISNUMBER(F442)),COUNTIFS(C_ID,B442,C_TIPO,"Plazo fijo",C_DEFINE,"Sí",C_INICIO,"&lt;"&amp;F442)+COUNTIFS(B$7:B442,B442,E$7:E442,"Plazo fijo",N$7:N442,"Sí",F$7:F442,F442),"")</f>
        <v/>
      </c>
      <c r="R442" s="73" t="str">
        <f aca="false">IF(AND(B442&lt;&gt;"",ISNUMBER(H442),ISNUMBER(F442)),COUNTIFS(C_ID,B442,C_SUELDO,"&lt;&gt;",C_INICIO,"&lt;"&amp;F442)+COUNTIFS(B$7:B442,B442,H$7:H442,"&lt;&gt;",F$7:F442,F442),"")</f>
        <v/>
      </c>
      <c r="S442" s="72" t="str">
        <f aca="false">IF(R442="","",B442&amp;"-S"&amp;R442)</f>
        <v/>
      </c>
      <c r="T442" s="74" t="str">
        <f aca="false">IF(AND(ISNUMBER(F442),ISNUMBER(G442)),ROUND((G442-F442+1)/30.4375,1),"")</f>
        <v/>
      </c>
      <c r="U442" s="70" t="str">
        <f aca="false">IF(B442="","",IF(AND(N442="Sí",OR(E442="",NOT(ISNUMBER(F442)))),"⚠ Falta tipo de contrato o fecha de inicio",IF(NOT(ISNUMBER(F442)),"⚠ Falta fecha de inicio",IF(AND(N442="Sí",E442&lt;&gt;"Indefinido",NOT(ISNUMBER(G442))),"⚠ Falta fecha de término",IF(AND(D442="Paso a indefinido",E442&lt;&gt;"Indefinido"),"⚠ Un paso a indefinido debe tener tipo Indefinido",IF(N(Q442)&gt;=3,"⚠ 3er contrato a plazo fijo: por ley ya es INDEFINIDO (Art. 159 N°4)",IF(AND(E442="Plazo fijo",N(T442)&gt;12),"⚠ Plazo fijo mayor a 1 año (máx. legal; 2 años solo profesionales o técnicos)",IF(AND(ISNUMBER(G442),G442&lt;F442),"⚠ Término anterior al inicio",IF(AND(D442="Contrato inicial",ISNUMBER(J442),J442-F442&gt;15),"⚠ Escriturado fuera de plazo (Art. 9: 15 días)",IF(K442&lt;&gt;"Sí","Pendiente de firma","OK"))))))))))</f>
        <v/>
      </c>
    </row>
    <row r="443" customFormat="false" ht="15" hidden="false" customHeight="false" outlineLevel="0" collapsed="false">
      <c r="B443" s="64"/>
      <c r="C443" s="72" t="str">
        <f aca="false">IF(B443="","",IFERROR(INDEX(T_NOMBRE,MATCH(B443,T_ID,0)),"⚠ ID no existe en Trabajadores"))</f>
        <v/>
      </c>
      <c r="D443" s="64"/>
      <c r="E443" s="64"/>
      <c r="F443" s="65"/>
      <c r="G443" s="65"/>
      <c r="H443" s="67"/>
      <c r="I443" s="64"/>
      <c r="J443" s="65"/>
      <c r="K443" s="64"/>
      <c r="L443" s="64"/>
      <c r="M443" s="64"/>
      <c r="N443" s="72" t="str">
        <f aca="false">IF(B443="","",IF(D443="Anexo de modificación","No","Sí"))</f>
        <v/>
      </c>
      <c r="O443" s="73" t="str">
        <f aca="false">IF(AND(N443="Sí",ISNUMBER(F443)),COUNTIFS(C_ID,B443,C_DEFINE,"Sí",C_INICIO,"&lt;"&amp;F443)+COUNTIFS(B$7:B443,B443,N$7:N443,"Sí",F$7:F443,F443),"")</f>
        <v/>
      </c>
      <c r="P443" s="72" t="str">
        <f aca="false">IF(O443="","",B443&amp;"-P"&amp;O443)</f>
        <v/>
      </c>
      <c r="Q443" s="73" t="str">
        <f aca="false">IF(AND(N443="Sí",E443="Plazo fijo",ISNUMBER(F443)),COUNTIFS(C_ID,B443,C_TIPO,"Plazo fijo",C_DEFINE,"Sí",C_INICIO,"&lt;"&amp;F443)+COUNTIFS(B$7:B443,B443,E$7:E443,"Plazo fijo",N$7:N443,"Sí",F$7:F443,F443),"")</f>
        <v/>
      </c>
      <c r="R443" s="73" t="str">
        <f aca="false">IF(AND(B443&lt;&gt;"",ISNUMBER(H443),ISNUMBER(F443)),COUNTIFS(C_ID,B443,C_SUELDO,"&lt;&gt;",C_INICIO,"&lt;"&amp;F443)+COUNTIFS(B$7:B443,B443,H$7:H443,"&lt;&gt;",F$7:F443,F443),"")</f>
        <v/>
      </c>
      <c r="S443" s="72" t="str">
        <f aca="false">IF(R443="","",B443&amp;"-S"&amp;R443)</f>
        <v/>
      </c>
      <c r="T443" s="74" t="str">
        <f aca="false">IF(AND(ISNUMBER(F443),ISNUMBER(G443)),ROUND((G443-F443+1)/30.4375,1),"")</f>
        <v/>
      </c>
      <c r="U443" s="70" t="str">
        <f aca="false">IF(B443="","",IF(AND(N443="Sí",OR(E443="",NOT(ISNUMBER(F443)))),"⚠ Falta tipo de contrato o fecha de inicio",IF(NOT(ISNUMBER(F443)),"⚠ Falta fecha de inicio",IF(AND(N443="Sí",E443&lt;&gt;"Indefinido",NOT(ISNUMBER(G443))),"⚠ Falta fecha de término",IF(AND(D443="Paso a indefinido",E443&lt;&gt;"Indefinido"),"⚠ Un paso a indefinido debe tener tipo Indefinido",IF(N(Q443)&gt;=3,"⚠ 3er contrato a plazo fijo: por ley ya es INDEFINIDO (Art. 159 N°4)",IF(AND(E443="Plazo fijo",N(T443)&gt;12),"⚠ Plazo fijo mayor a 1 año (máx. legal; 2 años solo profesionales o técnicos)",IF(AND(ISNUMBER(G443),G443&lt;F443),"⚠ Término anterior al inicio",IF(AND(D443="Contrato inicial",ISNUMBER(J443),J443-F443&gt;15),"⚠ Escriturado fuera de plazo (Art. 9: 15 días)",IF(K443&lt;&gt;"Sí","Pendiente de firma","OK"))))))))))</f>
        <v/>
      </c>
    </row>
    <row r="444" customFormat="false" ht="15" hidden="false" customHeight="false" outlineLevel="0" collapsed="false">
      <c r="B444" s="64"/>
      <c r="C444" s="72" t="str">
        <f aca="false">IF(B444="","",IFERROR(INDEX(T_NOMBRE,MATCH(B444,T_ID,0)),"⚠ ID no existe en Trabajadores"))</f>
        <v/>
      </c>
      <c r="D444" s="64"/>
      <c r="E444" s="64"/>
      <c r="F444" s="65"/>
      <c r="G444" s="65"/>
      <c r="H444" s="67"/>
      <c r="I444" s="64"/>
      <c r="J444" s="65"/>
      <c r="K444" s="64"/>
      <c r="L444" s="64"/>
      <c r="M444" s="64"/>
      <c r="N444" s="72" t="str">
        <f aca="false">IF(B444="","",IF(D444="Anexo de modificación","No","Sí"))</f>
        <v/>
      </c>
      <c r="O444" s="73" t="str">
        <f aca="false">IF(AND(N444="Sí",ISNUMBER(F444)),COUNTIFS(C_ID,B444,C_DEFINE,"Sí",C_INICIO,"&lt;"&amp;F444)+COUNTIFS(B$7:B444,B444,N$7:N444,"Sí",F$7:F444,F444),"")</f>
        <v/>
      </c>
      <c r="P444" s="72" t="str">
        <f aca="false">IF(O444="","",B444&amp;"-P"&amp;O444)</f>
        <v/>
      </c>
      <c r="Q444" s="73" t="str">
        <f aca="false">IF(AND(N444="Sí",E444="Plazo fijo",ISNUMBER(F444)),COUNTIFS(C_ID,B444,C_TIPO,"Plazo fijo",C_DEFINE,"Sí",C_INICIO,"&lt;"&amp;F444)+COUNTIFS(B$7:B444,B444,E$7:E444,"Plazo fijo",N$7:N444,"Sí",F$7:F444,F444),"")</f>
        <v/>
      </c>
      <c r="R444" s="73" t="str">
        <f aca="false">IF(AND(B444&lt;&gt;"",ISNUMBER(H444),ISNUMBER(F444)),COUNTIFS(C_ID,B444,C_SUELDO,"&lt;&gt;",C_INICIO,"&lt;"&amp;F444)+COUNTIFS(B$7:B444,B444,H$7:H444,"&lt;&gt;",F$7:F444,F444),"")</f>
        <v/>
      </c>
      <c r="S444" s="72" t="str">
        <f aca="false">IF(R444="","",B444&amp;"-S"&amp;R444)</f>
        <v/>
      </c>
      <c r="T444" s="74" t="str">
        <f aca="false">IF(AND(ISNUMBER(F444),ISNUMBER(G444)),ROUND((G444-F444+1)/30.4375,1),"")</f>
        <v/>
      </c>
      <c r="U444" s="70" t="str">
        <f aca="false">IF(B444="","",IF(AND(N444="Sí",OR(E444="",NOT(ISNUMBER(F444)))),"⚠ Falta tipo de contrato o fecha de inicio",IF(NOT(ISNUMBER(F444)),"⚠ Falta fecha de inicio",IF(AND(N444="Sí",E444&lt;&gt;"Indefinido",NOT(ISNUMBER(G444))),"⚠ Falta fecha de término",IF(AND(D444="Paso a indefinido",E444&lt;&gt;"Indefinido"),"⚠ Un paso a indefinido debe tener tipo Indefinido",IF(N(Q444)&gt;=3,"⚠ 3er contrato a plazo fijo: por ley ya es INDEFINIDO (Art. 159 N°4)",IF(AND(E444="Plazo fijo",N(T444)&gt;12),"⚠ Plazo fijo mayor a 1 año (máx. legal; 2 años solo profesionales o técnicos)",IF(AND(ISNUMBER(G444),G444&lt;F444),"⚠ Término anterior al inicio",IF(AND(D444="Contrato inicial",ISNUMBER(J444),J444-F444&gt;15),"⚠ Escriturado fuera de plazo (Art. 9: 15 días)",IF(K444&lt;&gt;"Sí","Pendiente de firma","OK"))))))))))</f>
        <v/>
      </c>
    </row>
    <row r="445" customFormat="false" ht="15" hidden="false" customHeight="false" outlineLevel="0" collapsed="false">
      <c r="B445" s="64"/>
      <c r="C445" s="72" t="str">
        <f aca="false">IF(B445="","",IFERROR(INDEX(T_NOMBRE,MATCH(B445,T_ID,0)),"⚠ ID no existe en Trabajadores"))</f>
        <v/>
      </c>
      <c r="D445" s="64"/>
      <c r="E445" s="64"/>
      <c r="F445" s="65"/>
      <c r="G445" s="65"/>
      <c r="H445" s="67"/>
      <c r="I445" s="64"/>
      <c r="J445" s="65"/>
      <c r="K445" s="64"/>
      <c r="L445" s="64"/>
      <c r="M445" s="64"/>
      <c r="N445" s="72" t="str">
        <f aca="false">IF(B445="","",IF(D445="Anexo de modificación","No","Sí"))</f>
        <v/>
      </c>
      <c r="O445" s="73" t="str">
        <f aca="false">IF(AND(N445="Sí",ISNUMBER(F445)),COUNTIFS(C_ID,B445,C_DEFINE,"Sí",C_INICIO,"&lt;"&amp;F445)+COUNTIFS(B$7:B445,B445,N$7:N445,"Sí",F$7:F445,F445),"")</f>
        <v/>
      </c>
      <c r="P445" s="72" t="str">
        <f aca="false">IF(O445="","",B445&amp;"-P"&amp;O445)</f>
        <v/>
      </c>
      <c r="Q445" s="73" t="str">
        <f aca="false">IF(AND(N445="Sí",E445="Plazo fijo",ISNUMBER(F445)),COUNTIFS(C_ID,B445,C_TIPO,"Plazo fijo",C_DEFINE,"Sí",C_INICIO,"&lt;"&amp;F445)+COUNTIFS(B$7:B445,B445,E$7:E445,"Plazo fijo",N$7:N445,"Sí",F$7:F445,F445),"")</f>
        <v/>
      </c>
      <c r="R445" s="73" t="str">
        <f aca="false">IF(AND(B445&lt;&gt;"",ISNUMBER(H445),ISNUMBER(F445)),COUNTIFS(C_ID,B445,C_SUELDO,"&lt;&gt;",C_INICIO,"&lt;"&amp;F445)+COUNTIFS(B$7:B445,B445,H$7:H445,"&lt;&gt;",F$7:F445,F445),"")</f>
        <v/>
      </c>
      <c r="S445" s="72" t="str">
        <f aca="false">IF(R445="","",B445&amp;"-S"&amp;R445)</f>
        <v/>
      </c>
      <c r="T445" s="74" t="str">
        <f aca="false">IF(AND(ISNUMBER(F445),ISNUMBER(G445)),ROUND((G445-F445+1)/30.4375,1),"")</f>
        <v/>
      </c>
      <c r="U445" s="70" t="str">
        <f aca="false">IF(B445="","",IF(AND(N445="Sí",OR(E445="",NOT(ISNUMBER(F445)))),"⚠ Falta tipo de contrato o fecha de inicio",IF(NOT(ISNUMBER(F445)),"⚠ Falta fecha de inicio",IF(AND(N445="Sí",E445&lt;&gt;"Indefinido",NOT(ISNUMBER(G445))),"⚠ Falta fecha de término",IF(AND(D445="Paso a indefinido",E445&lt;&gt;"Indefinido"),"⚠ Un paso a indefinido debe tener tipo Indefinido",IF(N(Q445)&gt;=3,"⚠ 3er contrato a plazo fijo: por ley ya es INDEFINIDO (Art. 159 N°4)",IF(AND(E445="Plazo fijo",N(T445)&gt;12),"⚠ Plazo fijo mayor a 1 año (máx. legal; 2 años solo profesionales o técnicos)",IF(AND(ISNUMBER(G445),G445&lt;F445),"⚠ Término anterior al inicio",IF(AND(D445="Contrato inicial",ISNUMBER(J445),J445-F445&gt;15),"⚠ Escriturado fuera de plazo (Art. 9: 15 días)",IF(K445&lt;&gt;"Sí","Pendiente de firma","OK"))))))))))</f>
        <v/>
      </c>
    </row>
    <row r="446" customFormat="false" ht="15" hidden="false" customHeight="false" outlineLevel="0" collapsed="false">
      <c r="B446" s="64"/>
      <c r="C446" s="72" t="str">
        <f aca="false">IF(B446="","",IFERROR(INDEX(T_NOMBRE,MATCH(B446,T_ID,0)),"⚠ ID no existe en Trabajadores"))</f>
        <v/>
      </c>
      <c r="D446" s="64"/>
      <c r="E446" s="64"/>
      <c r="F446" s="65"/>
      <c r="G446" s="65"/>
      <c r="H446" s="67"/>
      <c r="I446" s="64"/>
      <c r="J446" s="65"/>
      <c r="K446" s="64"/>
      <c r="L446" s="64"/>
      <c r="M446" s="64"/>
      <c r="N446" s="72" t="str">
        <f aca="false">IF(B446="","",IF(D446="Anexo de modificación","No","Sí"))</f>
        <v/>
      </c>
      <c r="O446" s="73" t="str">
        <f aca="false">IF(AND(N446="Sí",ISNUMBER(F446)),COUNTIFS(C_ID,B446,C_DEFINE,"Sí",C_INICIO,"&lt;"&amp;F446)+COUNTIFS(B$7:B446,B446,N$7:N446,"Sí",F$7:F446,F446),"")</f>
        <v/>
      </c>
      <c r="P446" s="72" t="str">
        <f aca="false">IF(O446="","",B446&amp;"-P"&amp;O446)</f>
        <v/>
      </c>
      <c r="Q446" s="73" t="str">
        <f aca="false">IF(AND(N446="Sí",E446="Plazo fijo",ISNUMBER(F446)),COUNTIFS(C_ID,B446,C_TIPO,"Plazo fijo",C_DEFINE,"Sí",C_INICIO,"&lt;"&amp;F446)+COUNTIFS(B$7:B446,B446,E$7:E446,"Plazo fijo",N$7:N446,"Sí",F$7:F446,F446),"")</f>
        <v/>
      </c>
      <c r="R446" s="73" t="str">
        <f aca="false">IF(AND(B446&lt;&gt;"",ISNUMBER(H446),ISNUMBER(F446)),COUNTIFS(C_ID,B446,C_SUELDO,"&lt;&gt;",C_INICIO,"&lt;"&amp;F446)+COUNTIFS(B$7:B446,B446,H$7:H446,"&lt;&gt;",F$7:F446,F446),"")</f>
        <v/>
      </c>
      <c r="S446" s="72" t="str">
        <f aca="false">IF(R446="","",B446&amp;"-S"&amp;R446)</f>
        <v/>
      </c>
      <c r="T446" s="74" t="str">
        <f aca="false">IF(AND(ISNUMBER(F446),ISNUMBER(G446)),ROUND((G446-F446+1)/30.4375,1),"")</f>
        <v/>
      </c>
      <c r="U446" s="70" t="str">
        <f aca="false">IF(B446="","",IF(AND(N446="Sí",OR(E446="",NOT(ISNUMBER(F446)))),"⚠ Falta tipo de contrato o fecha de inicio",IF(NOT(ISNUMBER(F446)),"⚠ Falta fecha de inicio",IF(AND(N446="Sí",E446&lt;&gt;"Indefinido",NOT(ISNUMBER(G446))),"⚠ Falta fecha de término",IF(AND(D446="Paso a indefinido",E446&lt;&gt;"Indefinido"),"⚠ Un paso a indefinido debe tener tipo Indefinido",IF(N(Q446)&gt;=3,"⚠ 3er contrato a plazo fijo: por ley ya es INDEFINIDO (Art. 159 N°4)",IF(AND(E446="Plazo fijo",N(T446)&gt;12),"⚠ Plazo fijo mayor a 1 año (máx. legal; 2 años solo profesionales o técnicos)",IF(AND(ISNUMBER(G446),G446&lt;F446),"⚠ Término anterior al inicio",IF(AND(D446="Contrato inicial",ISNUMBER(J446),J446-F446&gt;15),"⚠ Escriturado fuera de plazo (Art. 9: 15 días)",IF(K446&lt;&gt;"Sí","Pendiente de firma","OK"))))))))))</f>
        <v/>
      </c>
    </row>
    <row r="447" customFormat="false" ht="15" hidden="false" customHeight="false" outlineLevel="0" collapsed="false">
      <c r="B447" s="64"/>
      <c r="C447" s="72" t="str">
        <f aca="false">IF(B447="","",IFERROR(INDEX(T_NOMBRE,MATCH(B447,T_ID,0)),"⚠ ID no existe en Trabajadores"))</f>
        <v/>
      </c>
      <c r="D447" s="64"/>
      <c r="E447" s="64"/>
      <c r="F447" s="65"/>
      <c r="G447" s="65"/>
      <c r="H447" s="67"/>
      <c r="I447" s="64"/>
      <c r="J447" s="65"/>
      <c r="K447" s="64"/>
      <c r="L447" s="64"/>
      <c r="M447" s="64"/>
      <c r="N447" s="72" t="str">
        <f aca="false">IF(B447="","",IF(D447="Anexo de modificación","No","Sí"))</f>
        <v/>
      </c>
      <c r="O447" s="73" t="str">
        <f aca="false">IF(AND(N447="Sí",ISNUMBER(F447)),COUNTIFS(C_ID,B447,C_DEFINE,"Sí",C_INICIO,"&lt;"&amp;F447)+COUNTIFS(B$7:B447,B447,N$7:N447,"Sí",F$7:F447,F447),"")</f>
        <v/>
      </c>
      <c r="P447" s="72" t="str">
        <f aca="false">IF(O447="","",B447&amp;"-P"&amp;O447)</f>
        <v/>
      </c>
      <c r="Q447" s="73" t="str">
        <f aca="false">IF(AND(N447="Sí",E447="Plazo fijo",ISNUMBER(F447)),COUNTIFS(C_ID,B447,C_TIPO,"Plazo fijo",C_DEFINE,"Sí",C_INICIO,"&lt;"&amp;F447)+COUNTIFS(B$7:B447,B447,E$7:E447,"Plazo fijo",N$7:N447,"Sí",F$7:F447,F447),"")</f>
        <v/>
      </c>
      <c r="R447" s="73" t="str">
        <f aca="false">IF(AND(B447&lt;&gt;"",ISNUMBER(H447),ISNUMBER(F447)),COUNTIFS(C_ID,B447,C_SUELDO,"&lt;&gt;",C_INICIO,"&lt;"&amp;F447)+COUNTIFS(B$7:B447,B447,H$7:H447,"&lt;&gt;",F$7:F447,F447),"")</f>
        <v/>
      </c>
      <c r="S447" s="72" t="str">
        <f aca="false">IF(R447="","",B447&amp;"-S"&amp;R447)</f>
        <v/>
      </c>
      <c r="T447" s="74" t="str">
        <f aca="false">IF(AND(ISNUMBER(F447),ISNUMBER(G447)),ROUND((G447-F447+1)/30.4375,1),"")</f>
        <v/>
      </c>
      <c r="U447" s="70" t="str">
        <f aca="false">IF(B447="","",IF(AND(N447="Sí",OR(E447="",NOT(ISNUMBER(F447)))),"⚠ Falta tipo de contrato o fecha de inicio",IF(NOT(ISNUMBER(F447)),"⚠ Falta fecha de inicio",IF(AND(N447="Sí",E447&lt;&gt;"Indefinido",NOT(ISNUMBER(G447))),"⚠ Falta fecha de término",IF(AND(D447="Paso a indefinido",E447&lt;&gt;"Indefinido"),"⚠ Un paso a indefinido debe tener tipo Indefinido",IF(N(Q447)&gt;=3,"⚠ 3er contrato a plazo fijo: por ley ya es INDEFINIDO (Art. 159 N°4)",IF(AND(E447="Plazo fijo",N(T447)&gt;12),"⚠ Plazo fijo mayor a 1 año (máx. legal; 2 años solo profesionales o técnicos)",IF(AND(ISNUMBER(G447),G447&lt;F447),"⚠ Término anterior al inicio",IF(AND(D447="Contrato inicial",ISNUMBER(J447),J447-F447&gt;15),"⚠ Escriturado fuera de plazo (Art. 9: 15 días)",IF(K447&lt;&gt;"Sí","Pendiente de firma","OK"))))))))))</f>
        <v/>
      </c>
    </row>
    <row r="448" customFormat="false" ht="15" hidden="false" customHeight="false" outlineLevel="0" collapsed="false">
      <c r="B448" s="64"/>
      <c r="C448" s="72" t="str">
        <f aca="false">IF(B448="","",IFERROR(INDEX(T_NOMBRE,MATCH(B448,T_ID,0)),"⚠ ID no existe en Trabajadores"))</f>
        <v/>
      </c>
      <c r="D448" s="64"/>
      <c r="E448" s="64"/>
      <c r="F448" s="65"/>
      <c r="G448" s="65"/>
      <c r="H448" s="67"/>
      <c r="I448" s="64"/>
      <c r="J448" s="65"/>
      <c r="K448" s="64"/>
      <c r="L448" s="64"/>
      <c r="M448" s="64"/>
      <c r="N448" s="72" t="str">
        <f aca="false">IF(B448="","",IF(D448="Anexo de modificación","No","Sí"))</f>
        <v/>
      </c>
      <c r="O448" s="73" t="str">
        <f aca="false">IF(AND(N448="Sí",ISNUMBER(F448)),COUNTIFS(C_ID,B448,C_DEFINE,"Sí",C_INICIO,"&lt;"&amp;F448)+COUNTIFS(B$7:B448,B448,N$7:N448,"Sí",F$7:F448,F448),"")</f>
        <v/>
      </c>
      <c r="P448" s="72" t="str">
        <f aca="false">IF(O448="","",B448&amp;"-P"&amp;O448)</f>
        <v/>
      </c>
      <c r="Q448" s="73" t="str">
        <f aca="false">IF(AND(N448="Sí",E448="Plazo fijo",ISNUMBER(F448)),COUNTIFS(C_ID,B448,C_TIPO,"Plazo fijo",C_DEFINE,"Sí",C_INICIO,"&lt;"&amp;F448)+COUNTIFS(B$7:B448,B448,E$7:E448,"Plazo fijo",N$7:N448,"Sí",F$7:F448,F448),"")</f>
        <v/>
      </c>
      <c r="R448" s="73" t="str">
        <f aca="false">IF(AND(B448&lt;&gt;"",ISNUMBER(H448),ISNUMBER(F448)),COUNTIFS(C_ID,B448,C_SUELDO,"&lt;&gt;",C_INICIO,"&lt;"&amp;F448)+COUNTIFS(B$7:B448,B448,H$7:H448,"&lt;&gt;",F$7:F448,F448),"")</f>
        <v/>
      </c>
      <c r="S448" s="72" t="str">
        <f aca="false">IF(R448="","",B448&amp;"-S"&amp;R448)</f>
        <v/>
      </c>
      <c r="T448" s="74" t="str">
        <f aca="false">IF(AND(ISNUMBER(F448),ISNUMBER(G448)),ROUND((G448-F448+1)/30.4375,1),"")</f>
        <v/>
      </c>
      <c r="U448" s="70" t="str">
        <f aca="false">IF(B448="","",IF(AND(N448="Sí",OR(E448="",NOT(ISNUMBER(F448)))),"⚠ Falta tipo de contrato o fecha de inicio",IF(NOT(ISNUMBER(F448)),"⚠ Falta fecha de inicio",IF(AND(N448="Sí",E448&lt;&gt;"Indefinido",NOT(ISNUMBER(G448))),"⚠ Falta fecha de término",IF(AND(D448="Paso a indefinido",E448&lt;&gt;"Indefinido"),"⚠ Un paso a indefinido debe tener tipo Indefinido",IF(N(Q448)&gt;=3,"⚠ 3er contrato a plazo fijo: por ley ya es INDEFINIDO (Art. 159 N°4)",IF(AND(E448="Plazo fijo",N(T448)&gt;12),"⚠ Plazo fijo mayor a 1 año (máx. legal; 2 años solo profesionales o técnicos)",IF(AND(ISNUMBER(G448),G448&lt;F448),"⚠ Término anterior al inicio",IF(AND(D448="Contrato inicial",ISNUMBER(J448),J448-F448&gt;15),"⚠ Escriturado fuera de plazo (Art. 9: 15 días)",IF(K448&lt;&gt;"Sí","Pendiente de firma","OK"))))))))))</f>
        <v/>
      </c>
    </row>
    <row r="449" customFormat="false" ht="15" hidden="false" customHeight="false" outlineLevel="0" collapsed="false">
      <c r="B449" s="64"/>
      <c r="C449" s="72" t="str">
        <f aca="false">IF(B449="","",IFERROR(INDEX(T_NOMBRE,MATCH(B449,T_ID,0)),"⚠ ID no existe en Trabajadores"))</f>
        <v/>
      </c>
      <c r="D449" s="64"/>
      <c r="E449" s="64"/>
      <c r="F449" s="65"/>
      <c r="G449" s="65"/>
      <c r="H449" s="67"/>
      <c r="I449" s="64"/>
      <c r="J449" s="65"/>
      <c r="K449" s="64"/>
      <c r="L449" s="64"/>
      <c r="M449" s="64"/>
      <c r="N449" s="72" t="str">
        <f aca="false">IF(B449="","",IF(D449="Anexo de modificación","No","Sí"))</f>
        <v/>
      </c>
      <c r="O449" s="73" t="str">
        <f aca="false">IF(AND(N449="Sí",ISNUMBER(F449)),COUNTIFS(C_ID,B449,C_DEFINE,"Sí",C_INICIO,"&lt;"&amp;F449)+COUNTIFS(B$7:B449,B449,N$7:N449,"Sí",F$7:F449,F449),"")</f>
        <v/>
      </c>
      <c r="P449" s="72" t="str">
        <f aca="false">IF(O449="","",B449&amp;"-P"&amp;O449)</f>
        <v/>
      </c>
      <c r="Q449" s="73" t="str">
        <f aca="false">IF(AND(N449="Sí",E449="Plazo fijo",ISNUMBER(F449)),COUNTIFS(C_ID,B449,C_TIPO,"Plazo fijo",C_DEFINE,"Sí",C_INICIO,"&lt;"&amp;F449)+COUNTIFS(B$7:B449,B449,E$7:E449,"Plazo fijo",N$7:N449,"Sí",F$7:F449,F449),"")</f>
        <v/>
      </c>
      <c r="R449" s="73" t="str">
        <f aca="false">IF(AND(B449&lt;&gt;"",ISNUMBER(H449),ISNUMBER(F449)),COUNTIFS(C_ID,B449,C_SUELDO,"&lt;&gt;",C_INICIO,"&lt;"&amp;F449)+COUNTIFS(B$7:B449,B449,H$7:H449,"&lt;&gt;",F$7:F449,F449),"")</f>
        <v/>
      </c>
      <c r="S449" s="72" t="str">
        <f aca="false">IF(R449="","",B449&amp;"-S"&amp;R449)</f>
        <v/>
      </c>
      <c r="T449" s="74" t="str">
        <f aca="false">IF(AND(ISNUMBER(F449),ISNUMBER(G449)),ROUND((G449-F449+1)/30.4375,1),"")</f>
        <v/>
      </c>
      <c r="U449" s="70" t="str">
        <f aca="false">IF(B449="","",IF(AND(N449="Sí",OR(E449="",NOT(ISNUMBER(F449)))),"⚠ Falta tipo de contrato o fecha de inicio",IF(NOT(ISNUMBER(F449)),"⚠ Falta fecha de inicio",IF(AND(N449="Sí",E449&lt;&gt;"Indefinido",NOT(ISNUMBER(G449))),"⚠ Falta fecha de término",IF(AND(D449="Paso a indefinido",E449&lt;&gt;"Indefinido"),"⚠ Un paso a indefinido debe tener tipo Indefinido",IF(N(Q449)&gt;=3,"⚠ 3er contrato a plazo fijo: por ley ya es INDEFINIDO (Art. 159 N°4)",IF(AND(E449="Plazo fijo",N(T449)&gt;12),"⚠ Plazo fijo mayor a 1 año (máx. legal; 2 años solo profesionales o técnicos)",IF(AND(ISNUMBER(G449),G449&lt;F449),"⚠ Término anterior al inicio",IF(AND(D449="Contrato inicial",ISNUMBER(J449),J449-F449&gt;15),"⚠ Escriturado fuera de plazo (Art. 9: 15 días)",IF(K449&lt;&gt;"Sí","Pendiente de firma","OK"))))))))))</f>
        <v/>
      </c>
    </row>
    <row r="450" customFormat="false" ht="15" hidden="false" customHeight="false" outlineLevel="0" collapsed="false">
      <c r="B450" s="64"/>
      <c r="C450" s="72" t="str">
        <f aca="false">IF(B450="","",IFERROR(INDEX(T_NOMBRE,MATCH(B450,T_ID,0)),"⚠ ID no existe en Trabajadores"))</f>
        <v/>
      </c>
      <c r="D450" s="64"/>
      <c r="E450" s="64"/>
      <c r="F450" s="65"/>
      <c r="G450" s="65"/>
      <c r="H450" s="67"/>
      <c r="I450" s="64"/>
      <c r="J450" s="65"/>
      <c r="K450" s="64"/>
      <c r="L450" s="64"/>
      <c r="M450" s="64"/>
      <c r="N450" s="72" t="str">
        <f aca="false">IF(B450="","",IF(D450="Anexo de modificación","No","Sí"))</f>
        <v/>
      </c>
      <c r="O450" s="73" t="str">
        <f aca="false">IF(AND(N450="Sí",ISNUMBER(F450)),COUNTIFS(C_ID,B450,C_DEFINE,"Sí",C_INICIO,"&lt;"&amp;F450)+COUNTIFS(B$7:B450,B450,N$7:N450,"Sí",F$7:F450,F450),"")</f>
        <v/>
      </c>
      <c r="P450" s="72" t="str">
        <f aca="false">IF(O450="","",B450&amp;"-P"&amp;O450)</f>
        <v/>
      </c>
      <c r="Q450" s="73" t="str">
        <f aca="false">IF(AND(N450="Sí",E450="Plazo fijo",ISNUMBER(F450)),COUNTIFS(C_ID,B450,C_TIPO,"Plazo fijo",C_DEFINE,"Sí",C_INICIO,"&lt;"&amp;F450)+COUNTIFS(B$7:B450,B450,E$7:E450,"Plazo fijo",N$7:N450,"Sí",F$7:F450,F450),"")</f>
        <v/>
      </c>
      <c r="R450" s="73" t="str">
        <f aca="false">IF(AND(B450&lt;&gt;"",ISNUMBER(H450),ISNUMBER(F450)),COUNTIFS(C_ID,B450,C_SUELDO,"&lt;&gt;",C_INICIO,"&lt;"&amp;F450)+COUNTIFS(B$7:B450,B450,H$7:H450,"&lt;&gt;",F$7:F450,F450),"")</f>
        <v/>
      </c>
      <c r="S450" s="72" t="str">
        <f aca="false">IF(R450="","",B450&amp;"-S"&amp;R450)</f>
        <v/>
      </c>
      <c r="T450" s="74" t="str">
        <f aca="false">IF(AND(ISNUMBER(F450),ISNUMBER(G450)),ROUND((G450-F450+1)/30.4375,1),"")</f>
        <v/>
      </c>
      <c r="U450" s="70" t="str">
        <f aca="false">IF(B450="","",IF(AND(N450="Sí",OR(E450="",NOT(ISNUMBER(F450)))),"⚠ Falta tipo de contrato o fecha de inicio",IF(NOT(ISNUMBER(F450)),"⚠ Falta fecha de inicio",IF(AND(N450="Sí",E450&lt;&gt;"Indefinido",NOT(ISNUMBER(G450))),"⚠ Falta fecha de término",IF(AND(D450="Paso a indefinido",E450&lt;&gt;"Indefinido"),"⚠ Un paso a indefinido debe tener tipo Indefinido",IF(N(Q450)&gt;=3,"⚠ 3er contrato a plazo fijo: por ley ya es INDEFINIDO (Art. 159 N°4)",IF(AND(E450="Plazo fijo",N(T450)&gt;12),"⚠ Plazo fijo mayor a 1 año (máx. legal; 2 años solo profesionales o técnicos)",IF(AND(ISNUMBER(G450),G450&lt;F450),"⚠ Término anterior al inicio",IF(AND(D450="Contrato inicial",ISNUMBER(J450),J450-F450&gt;15),"⚠ Escriturado fuera de plazo (Art. 9: 15 días)",IF(K450&lt;&gt;"Sí","Pendiente de firma","OK"))))))))))</f>
        <v/>
      </c>
    </row>
    <row r="451" customFormat="false" ht="15" hidden="false" customHeight="false" outlineLevel="0" collapsed="false">
      <c r="B451" s="64"/>
      <c r="C451" s="72" t="str">
        <f aca="false">IF(B451="","",IFERROR(INDEX(T_NOMBRE,MATCH(B451,T_ID,0)),"⚠ ID no existe en Trabajadores"))</f>
        <v/>
      </c>
      <c r="D451" s="64"/>
      <c r="E451" s="64"/>
      <c r="F451" s="65"/>
      <c r="G451" s="65"/>
      <c r="H451" s="67"/>
      <c r="I451" s="64"/>
      <c r="J451" s="65"/>
      <c r="K451" s="64"/>
      <c r="L451" s="64"/>
      <c r="M451" s="64"/>
      <c r="N451" s="72" t="str">
        <f aca="false">IF(B451="","",IF(D451="Anexo de modificación","No","Sí"))</f>
        <v/>
      </c>
      <c r="O451" s="73" t="str">
        <f aca="false">IF(AND(N451="Sí",ISNUMBER(F451)),COUNTIFS(C_ID,B451,C_DEFINE,"Sí",C_INICIO,"&lt;"&amp;F451)+COUNTIFS(B$7:B451,B451,N$7:N451,"Sí",F$7:F451,F451),"")</f>
        <v/>
      </c>
      <c r="P451" s="72" t="str">
        <f aca="false">IF(O451="","",B451&amp;"-P"&amp;O451)</f>
        <v/>
      </c>
      <c r="Q451" s="73" t="str">
        <f aca="false">IF(AND(N451="Sí",E451="Plazo fijo",ISNUMBER(F451)),COUNTIFS(C_ID,B451,C_TIPO,"Plazo fijo",C_DEFINE,"Sí",C_INICIO,"&lt;"&amp;F451)+COUNTIFS(B$7:B451,B451,E$7:E451,"Plazo fijo",N$7:N451,"Sí",F$7:F451,F451),"")</f>
        <v/>
      </c>
      <c r="R451" s="73" t="str">
        <f aca="false">IF(AND(B451&lt;&gt;"",ISNUMBER(H451),ISNUMBER(F451)),COUNTIFS(C_ID,B451,C_SUELDO,"&lt;&gt;",C_INICIO,"&lt;"&amp;F451)+COUNTIFS(B$7:B451,B451,H$7:H451,"&lt;&gt;",F$7:F451,F451),"")</f>
        <v/>
      </c>
      <c r="S451" s="72" t="str">
        <f aca="false">IF(R451="","",B451&amp;"-S"&amp;R451)</f>
        <v/>
      </c>
      <c r="T451" s="74" t="str">
        <f aca="false">IF(AND(ISNUMBER(F451),ISNUMBER(G451)),ROUND((G451-F451+1)/30.4375,1),"")</f>
        <v/>
      </c>
      <c r="U451" s="70" t="str">
        <f aca="false">IF(B451="","",IF(AND(N451="Sí",OR(E451="",NOT(ISNUMBER(F451)))),"⚠ Falta tipo de contrato o fecha de inicio",IF(NOT(ISNUMBER(F451)),"⚠ Falta fecha de inicio",IF(AND(N451="Sí",E451&lt;&gt;"Indefinido",NOT(ISNUMBER(G451))),"⚠ Falta fecha de término",IF(AND(D451="Paso a indefinido",E451&lt;&gt;"Indefinido"),"⚠ Un paso a indefinido debe tener tipo Indefinido",IF(N(Q451)&gt;=3,"⚠ 3er contrato a plazo fijo: por ley ya es INDEFINIDO (Art. 159 N°4)",IF(AND(E451="Plazo fijo",N(T451)&gt;12),"⚠ Plazo fijo mayor a 1 año (máx. legal; 2 años solo profesionales o técnicos)",IF(AND(ISNUMBER(G451),G451&lt;F451),"⚠ Término anterior al inicio",IF(AND(D451="Contrato inicial",ISNUMBER(J451),J451-F451&gt;15),"⚠ Escriturado fuera de plazo (Art. 9: 15 días)",IF(K451&lt;&gt;"Sí","Pendiente de firma","OK"))))))))))</f>
        <v/>
      </c>
    </row>
    <row r="452" customFormat="false" ht="15" hidden="false" customHeight="false" outlineLevel="0" collapsed="false">
      <c r="B452" s="64"/>
      <c r="C452" s="72" t="str">
        <f aca="false">IF(B452="","",IFERROR(INDEX(T_NOMBRE,MATCH(B452,T_ID,0)),"⚠ ID no existe en Trabajadores"))</f>
        <v/>
      </c>
      <c r="D452" s="64"/>
      <c r="E452" s="64"/>
      <c r="F452" s="65"/>
      <c r="G452" s="65"/>
      <c r="H452" s="67"/>
      <c r="I452" s="64"/>
      <c r="J452" s="65"/>
      <c r="K452" s="64"/>
      <c r="L452" s="64"/>
      <c r="M452" s="64"/>
      <c r="N452" s="72" t="str">
        <f aca="false">IF(B452="","",IF(D452="Anexo de modificación","No","Sí"))</f>
        <v/>
      </c>
      <c r="O452" s="73" t="str">
        <f aca="false">IF(AND(N452="Sí",ISNUMBER(F452)),COUNTIFS(C_ID,B452,C_DEFINE,"Sí",C_INICIO,"&lt;"&amp;F452)+COUNTIFS(B$7:B452,B452,N$7:N452,"Sí",F$7:F452,F452),"")</f>
        <v/>
      </c>
      <c r="P452" s="72" t="str">
        <f aca="false">IF(O452="","",B452&amp;"-P"&amp;O452)</f>
        <v/>
      </c>
      <c r="Q452" s="73" t="str">
        <f aca="false">IF(AND(N452="Sí",E452="Plazo fijo",ISNUMBER(F452)),COUNTIFS(C_ID,B452,C_TIPO,"Plazo fijo",C_DEFINE,"Sí",C_INICIO,"&lt;"&amp;F452)+COUNTIFS(B$7:B452,B452,E$7:E452,"Plazo fijo",N$7:N452,"Sí",F$7:F452,F452),"")</f>
        <v/>
      </c>
      <c r="R452" s="73" t="str">
        <f aca="false">IF(AND(B452&lt;&gt;"",ISNUMBER(H452),ISNUMBER(F452)),COUNTIFS(C_ID,B452,C_SUELDO,"&lt;&gt;",C_INICIO,"&lt;"&amp;F452)+COUNTIFS(B$7:B452,B452,H$7:H452,"&lt;&gt;",F$7:F452,F452),"")</f>
        <v/>
      </c>
      <c r="S452" s="72" t="str">
        <f aca="false">IF(R452="","",B452&amp;"-S"&amp;R452)</f>
        <v/>
      </c>
      <c r="T452" s="74" t="str">
        <f aca="false">IF(AND(ISNUMBER(F452),ISNUMBER(G452)),ROUND((G452-F452+1)/30.4375,1),"")</f>
        <v/>
      </c>
      <c r="U452" s="70" t="str">
        <f aca="false">IF(B452="","",IF(AND(N452="Sí",OR(E452="",NOT(ISNUMBER(F452)))),"⚠ Falta tipo de contrato o fecha de inicio",IF(NOT(ISNUMBER(F452)),"⚠ Falta fecha de inicio",IF(AND(N452="Sí",E452&lt;&gt;"Indefinido",NOT(ISNUMBER(G452))),"⚠ Falta fecha de término",IF(AND(D452="Paso a indefinido",E452&lt;&gt;"Indefinido"),"⚠ Un paso a indefinido debe tener tipo Indefinido",IF(N(Q452)&gt;=3,"⚠ 3er contrato a plazo fijo: por ley ya es INDEFINIDO (Art. 159 N°4)",IF(AND(E452="Plazo fijo",N(T452)&gt;12),"⚠ Plazo fijo mayor a 1 año (máx. legal; 2 años solo profesionales o técnicos)",IF(AND(ISNUMBER(G452),G452&lt;F452),"⚠ Término anterior al inicio",IF(AND(D452="Contrato inicial",ISNUMBER(J452),J452-F452&gt;15),"⚠ Escriturado fuera de plazo (Art. 9: 15 días)",IF(K452&lt;&gt;"Sí","Pendiente de firma","OK"))))))))))</f>
        <v/>
      </c>
    </row>
    <row r="453" customFormat="false" ht="15" hidden="false" customHeight="false" outlineLevel="0" collapsed="false">
      <c r="B453" s="64"/>
      <c r="C453" s="72" t="str">
        <f aca="false">IF(B453="","",IFERROR(INDEX(T_NOMBRE,MATCH(B453,T_ID,0)),"⚠ ID no existe en Trabajadores"))</f>
        <v/>
      </c>
      <c r="D453" s="64"/>
      <c r="E453" s="64"/>
      <c r="F453" s="65"/>
      <c r="G453" s="65"/>
      <c r="H453" s="67"/>
      <c r="I453" s="64"/>
      <c r="J453" s="65"/>
      <c r="K453" s="64"/>
      <c r="L453" s="64"/>
      <c r="M453" s="64"/>
      <c r="N453" s="72" t="str">
        <f aca="false">IF(B453="","",IF(D453="Anexo de modificación","No","Sí"))</f>
        <v/>
      </c>
      <c r="O453" s="73" t="str">
        <f aca="false">IF(AND(N453="Sí",ISNUMBER(F453)),COUNTIFS(C_ID,B453,C_DEFINE,"Sí",C_INICIO,"&lt;"&amp;F453)+COUNTIFS(B$7:B453,B453,N$7:N453,"Sí",F$7:F453,F453),"")</f>
        <v/>
      </c>
      <c r="P453" s="72" t="str">
        <f aca="false">IF(O453="","",B453&amp;"-P"&amp;O453)</f>
        <v/>
      </c>
      <c r="Q453" s="73" t="str">
        <f aca="false">IF(AND(N453="Sí",E453="Plazo fijo",ISNUMBER(F453)),COUNTIFS(C_ID,B453,C_TIPO,"Plazo fijo",C_DEFINE,"Sí",C_INICIO,"&lt;"&amp;F453)+COUNTIFS(B$7:B453,B453,E$7:E453,"Plazo fijo",N$7:N453,"Sí",F$7:F453,F453),"")</f>
        <v/>
      </c>
      <c r="R453" s="73" t="str">
        <f aca="false">IF(AND(B453&lt;&gt;"",ISNUMBER(H453),ISNUMBER(F453)),COUNTIFS(C_ID,B453,C_SUELDO,"&lt;&gt;",C_INICIO,"&lt;"&amp;F453)+COUNTIFS(B$7:B453,B453,H$7:H453,"&lt;&gt;",F$7:F453,F453),"")</f>
        <v/>
      </c>
      <c r="S453" s="72" t="str">
        <f aca="false">IF(R453="","",B453&amp;"-S"&amp;R453)</f>
        <v/>
      </c>
      <c r="T453" s="74" t="str">
        <f aca="false">IF(AND(ISNUMBER(F453),ISNUMBER(G453)),ROUND((G453-F453+1)/30.4375,1),"")</f>
        <v/>
      </c>
      <c r="U453" s="70" t="str">
        <f aca="false">IF(B453="","",IF(AND(N453="Sí",OR(E453="",NOT(ISNUMBER(F453)))),"⚠ Falta tipo de contrato o fecha de inicio",IF(NOT(ISNUMBER(F453)),"⚠ Falta fecha de inicio",IF(AND(N453="Sí",E453&lt;&gt;"Indefinido",NOT(ISNUMBER(G453))),"⚠ Falta fecha de término",IF(AND(D453="Paso a indefinido",E453&lt;&gt;"Indefinido"),"⚠ Un paso a indefinido debe tener tipo Indefinido",IF(N(Q453)&gt;=3,"⚠ 3er contrato a plazo fijo: por ley ya es INDEFINIDO (Art. 159 N°4)",IF(AND(E453="Plazo fijo",N(T453)&gt;12),"⚠ Plazo fijo mayor a 1 año (máx. legal; 2 años solo profesionales o técnicos)",IF(AND(ISNUMBER(G453),G453&lt;F453),"⚠ Término anterior al inicio",IF(AND(D453="Contrato inicial",ISNUMBER(J453),J453-F453&gt;15),"⚠ Escriturado fuera de plazo (Art. 9: 15 días)",IF(K453&lt;&gt;"Sí","Pendiente de firma","OK"))))))))))</f>
        <v/>
      </c>
    </row>
    <row r="454" customFormat="false" ht="15" hidden="false" customHeight="false" outlineLevel="0" collapsed="false">
      <c r="B454" s="64"/>
      <c r="C454" s="72" t="str">
        <f aca="false">IF(B454="","",IFERROR(INDEX(T_NOMBRE,MATCH(B454,T_ID,0)),"⚠ ID no existe en Trabajadores"))</f>
        <v/>
      </c>
      <c r="D454" s="64"/>
      <c r="E454" s="64"/>
      <c r="F454" s="65"/>
      <c r="G454" s="65"/>
      <c r="H454" s="67"/>
      <c r="I454" s="64"/>
      <c r="J454" s="65"/>
      <c r="K454" s="64"/>
      <c r="L454" s="64"/>
      <c r="M454" s="64"/>
      <c r="N454" s="72" t="str">
        <f aca="false">IF(B454="","",IF(D454="Anexo de modificación","No","Sí"))</f>
        <v/>
      </c>
      <c r="O454" s="73" t="str">
        <f aca="false">IF(AND(N454="Sí",ISNUMBER(F454)),COUNTIFS(C_ID,B454,C_DEFINE,"Sí",C_INICIO,"&lt;"&amp;F454)+COUNTIFS(B$7:B454,B454,N$7:N454,"Sí",F$7:F454,F454),"")</f>
        <v/>
      </c>
      <c r="P454" s="72" t="str">
        <f aca="false">IF(O454="","",B454&amp;"-P"&amp;O454)</f>
        <v/>
      </c>
      <c r="Q454" s="73" t="str">
        <f aca="false">IF(AND(N454="Sí",E454="Plazo fijo",ISNUMBER(F454)),COUNTIFS(C_ID,B454,C_TIPO,"Plazo fijo",C_DEFINE,"Sí",C_INICIO,"&lt;"&amp;F454)+COUNTIFS(B$7:B454,B454,E$7:E454,"Plazo fijo",N$7:N454,"Sí",F$7:F454,F454),"")</f>
        <v/>
      </c>
      <c r="R454" s="73" t="str">
        <f aca="false">IF(AND(B454&lt;&gt;"",ISNUMBER(H454),ISNUMBER(F454)),COUNTIFS(C_ID,B454,C_SUELDO,"&lt;&gt;",C_INICIO,"&lt;"&amp;F454)+COUNTIFS(B$7:B454,B454,H$7:H454,"&lt;&gt;",F$7:F454,F454),"")</f>
        <v/>
      </c>
      <c r="S454" s="72" t="str">
        <f aca="false">IF(R454="","",B454&amp;"-S"&amp;R454)</f>
        <v/>
      </c>
      <c r="T454" s="74" t="str">
        <f aca="false">IF(AND(ISNUMBER(F454),ISNUMBER(G454)),ROUND((G454-F454+1)/30.4375,1),"")</f>
        <v/>
      </c>
      <c r="U454" s="70" t="str">
        <f aca="false">IF(B454="","",IF(AND(N454="Sí",OR(E454="",NOT(ISNUMBER(F454)))),"⚠ Falta tipo de contrato o fecha de inicio",IF(NOT(ISNUMBER(F454)),"⚠ Falta fecha de inicio",IF(AND(N454="Sí",E454&lt;&gt;"Indefinido",NOT(ISNUMBER(G454))),"⚠ Falta fecha de término",IF(AND(D454="Paso a indefinido",E454&lt;&gt;"Indefinido"),"⚠ Un paso a indefinido debe tener tipo Indefinido",IF(N(Q454)&gt;=3,"⚠ 3er contrato a plazo fijo: por ley ya es INDEFINIDO (Art. 159 N°4)",IF(AND(E454="Plazo fijo",N(T454)&gt;12),"⚠ Plazo fijo mayor a 1 año (máx. legal; 2 años solo profesionales o técnicos)",IF(AND(ISNUMBER(G454),G454&lt;F454),"⚠ Término anterior al inicio",IF(AND(D454="Contrato inicial",ISNUMBER(J454),J454-F454&gt;15),"⚠ Escriturado fuera de plazo (Art. 9: 15 días)",IF(K454&lt;&gt;"Sí","Pendiente de firma","OK"))))))))))</f>
        <v/>
      </c>
    </row>
    <row r="455" customFormat="false" ht="15" hidden="false" customHeight="false" outlineLevel="0" collapsed="false">
      <c r="B455" s="64"/>
      <c r="C455" s="72" t="str">
        <f aca="false">IF(B455="","",IFERROR(INDEX(T_NOMBRE,MATCH(B455,T_ID,0)),"⚠ ID no existe en Trabajadores"))</f>
        <v/>
      </c>
      <c r="D455" s="64"/>
      <c r="E455" s="64"/>
      <c r="F455" s="65"/>
      <c r="G455" s="65"/>
      <c r="H455" s="67"/>
      <c r="I455" s="64"/>
      <c r="J455" s="65"/>
      <c r="K455" s="64"/>
      <c r="L455" s="64"/>
      <c r="M455" s="64"/>
      <c r="N455" s="72" t="str">
        <f aca="false">IF(B455="","",IF(D455="Anexo de modificación","No","Sí"))</f>
        <v/>
      </c>
      <c r="O455" s="73" t="str">
        <f aca="false">IF(AND(N455="Sí",ISNUMBER(F455)),COUNTIFS(C_ID,B455,C_DEFINE,"Sí",C_INICIO,"&lt;"&amp;F455)+COUNTIFS(B$7:B455,B455,N$7:N455,"Sí",F$7:F455,F455),"")</f>
        <v/>
      </c>
      <c r="P455" s="72" t="str">
        <f aca="false">IF(O455="","",B455&amp;"-P"&amp;O455)</f>
        <v/>
      </c>
      <c r="Q455" s="73" t="str">
        <f aca="false">IF(AND(N455="Sí",E455="Plazo fijo",ISNUMBER(F455)),COUNTIFS(C_ID,B455,C_TIPO,"Plazo fijo",C_DEFINE,"Sí",C_INICIO,"&lt;"&amp;F455)+COUNTIFS(B$7:B455,B455,E$7:E455,"Plazo fijo",N$7:N455,"Sí",F$7:F455,F455),"")</f>
        <v/>
      </c>
      <c r="R455" s="73" t="str">
        <f aca="false">IF(AND(B455&lt;&gt;"",ISNUMBER(H455),ISNUMBER(F455)),COUNTIFS(C_ID,B455,C_SUELDO,"&lt;&gt;",C_INICIO,"&lt;"&amp;F455)+COUNTIFS(B$7:B455,B455,H$7:H455,"&lt;&gt;",F$7:F455,F455),"")</f>
        <v/>
      </c>
      <c r="S455" s="72" t="str">
        <f aca="false">IF(R455="","",B455&amp;"-S"&amp;R455)</f>
        <v/>
      </c>
      <c r="T455" s="74" t="str">
        <f aca="false">IF(AND(ISNUMBER(F455),ISNUMBER(G455)),ROUND((G455-F455+1)/30.4375,1),"")</f>
        <v/>
      </c>
      <c r="U455" s="70" t="str">
        <f aca="false">IF(B455="","",IF(AND(N455="Sí",OR(E455="",NOT(ISNUMBER(F455)))),"⚠ Falta tipo de contrato o fecha de inicio",IF(NOT(ISNUMBER(F455)),"⚠ Falta fecha de inicio",IF(AND(N455="Sí",E455&lt;&gt;"Indefinido",NOT(ISNUMBER(G455))),"⚠ Falta fecha de término",IF(AND(D455="Paso a indefinido",E455&lt;&gt;"Indefinido"),"⚠ Un paso a indefinido debe tener tipo Indefinido",IF(N(Q455)&gt;=3,"⚠ 3er contrato a plazo fijo: por ley ya es INDEFINIDO (Art. 159 N°4)",IF(AND(E455="Plazo fijo",N(T455)&gt;12),"⚠ Plazo fijo mayor a 1 año (máx. legal; 2 años solo profesionales o técnicos)",IF(AND(ISNUMBER(G455),G455&lt;F455),"⚠ Término anterior al inicio",IF(AND(D455="Contrato inicial",ISNUMBER(J455),J455-F455&gt;15),"⚠ Escriturado fuera de plazo (Art. 9: 15 días)",IF(K455&lt;&gt;"Sí","Pendiente de firma","OK"))))))))))</f>
        <v/>
      </c>
    </row>
    <row r="456" customFormat="false" ht="15" hidden="false" customHeight="false" outlineLevel="0" collapsed="false">
      <c r="B456" s="64"/>
      <c r="C456" s="72" t="str">
        <f aca="false">IF(B456="","",IFERROR(INDEX(T_NOMBRE,MATCH(B456,T_ID,0)),"⚠ ID no existe en Trabajadores"))</f>
        <v/>
      </c>
      <c r="D456" s="64"/>
      <c r="E456" s="64"/>
      <c r="F456" s="65"/>
      <c r="G456" s="65"/>
      <c r="H456" s="67"/>
      <c r="I456" s="64"/>
      <c r="J456" s="65"/>
      <c r="K456" s="64"/>
      <c r="L456" s="64"/>
      <c r="M456" s="64"/>
      <c r="N456" s="72" t="str">
        <f aca="false">IF(B456="","",IF(D456="Anexo de modificación","No","Sí"))</f>
        <v/>
      </c>
      <c r="O456" s="73" t="str">
        <f aca="false">IF(AND(N456="Sí",ISNUMBER(F456)),COUNTIFS(C_ID,B456,C_DEFINE,"Sí",C_INICIO,"&lt;"&amp;F456)+COUNTIFS(B$7:B456,B456,N$7:N456,"Sí",F$7:F456,F456),"")</f>
        <v/>
      </c>
      <c r="P456" s="72" t="str">
        <f aca="false">IF(O456="","",B456&amp;"-P"&amp;O456)</f>
        <v/>
      </c>
      <c r="Q456" s="73" t="str">
        <f aca="false">IF(AND(N456="Sí",E456="Plazo fijo",ISNUMBER(F456)),COUNTIFS(C_ID,B456,C_TIPO,"Plazo fijo",C_DEFINE,"Sí",C_INICIO,"&lt;"&amp;F456)+COUNTIFS(B$7:B456,B456,E$7:E456,"Plazo fijo",N$7:N456,"Sí",F$7:F456,F456),"")</f>
        <v/>
      </c>
      <c r="R456" s="73" t="str">
        <f aca="false">IF(AND(B456&lt;&gt;"",ISNUMBER(H456),ISNUMBER(F456)),COUNTIFS(C_ID,B456,C_SUELDO,"&lt;&gt;",C_INICIO,"&lt;"&amp;F456)+COUNTIFS(B$7:B456,B456,H$7:H456,"&lt;&gt;",F$7:F456,F456),"")</f>
        <v/>
      </c>
      <c r="S456" s="72" t="str">
        <f aca="false">IF(R456="","",B456&amp;"-S"&amp;R456)</f>
        <v/>
      </c>
      <c r="T456" s="74" t="str">
        <f aca="false">IF(AND(ISNUMBER(F456),ISNUMBER(G456)),ROUND((G456-F456+1)/30.4375,1),"")</f>
        <v/>
      </c>
      <c r="U456" s="70" t="str">
        <f aca="false">IF(B456="","",IF(AND(N456="Sí",OR(E456="",NOT(ISNUMBER(F456)))),"⚠ Falta tipo de contrato o fecha de inicio",IF(NOT(ISNUMBER(F456)),"⚠ Falta fecha de inicio",IF(AND(N456="Sí",E456&lt;&gt;"Indefinido",NOT(ISNUMBER(G456))),"⚠ Falta fecha de término",IF(AND(D456="Paso a indefinido",E456&lt;&gt;"Indefinido"),"⚠ Un paso a indefinido debe tener tipo Indefinido",IF(N(Q456)&gt;=3,"⚠ 3er contrato a plazo fijo: por ley ya es INDEFINIDO (Art. 159 N°4)",IF(AND(E456="Plazo fijo",N(T456)&gt;12),"⚠ Plazo fijo mayor a 1 año (máx. legal; 2 años solo profesionales o técnicos)",IF(AND(ISNUMBER(G456),G456&lt;F456),"⚠ Término anterior al inicio",IF(AND(D456="Contrato inicial",ISNUMBER(J456),J456-F456&gt;15),"⚠ Escriturado fuera de plazo (Art. 9: 15 días)",IF(K456&lt;&gt;"Sí","Pendiente de firma","OK"))))))))))</f>
        <v/>
      </c>
    </row>
    <row r="457" customFormat="false" ht="15" hidden="false" customHeight="false" outlineLevel="0" collapsed="false">
      <c r="B457" s="64"/>
      <c r="C457" s="72" t="str">
        <f aca="false">IF(B457="","",IFERROR(INDEX(T_NOMBRE,MATCH(B457,T_ID,0)),"⚠ ID no existe en Trabajadores"))</f>
        <v/>
      </c>
      <c r="D457" s="64"/>
      <c r="E457" s="64"/>
      <c r="F457" s="65"/>
      <c r="G457" s="65"/>
      <c r="H457" s="67"/>
      <c r="I457" s="64"/>
      <c r="J457" s="65"/>
      <c r="K457" s="64"/>
      <c r="L457" s="64"/>
      <c r="M457" s="64"/>
      <c r="N457" s="72" t="str">
        <f aca="false">IF(B457="","",IF(D457="Anexo de modificación","No","Sí"))</f>
        <v/>
      </c>
      <c r="O457" s="73" t="str">
        <f aca="false">IF(AND(N457="Sí",ISNUMBER(F457)),COUNTIFS(C_ID,B457,C_DEFINE,"Sí",C_INICIO,"&lt;"&amp;F457)+COUNTIFS(B$7:B457,B457,N$7:N457,"Sí",F$7:F457,F457),"")</f>
        <v/>
      </c>
      <c r="P457" s="72" t="str">
        <f aca="false">IF(O457="","",B457&amp;"-P"&amp;O457)</f>
        <v/>
      </c>
      <c r="Q457" s="73" t="str">
        <f aca="false">IF(AND(N457="Sí",E457="Plazo fijo",ISNUMBER(F457)),COUNTIFS(C_ID,B457,C_TIPO,"Plazo fijo",C_DEFINE,"Sí",C_INICIO,"&lt;"&amp;F457)+COUNTIFS(B$7:B457,B457,E$7:E457,"Plazo fijo",N$7:N457,"Sí",F$7:F457,F457),"")</f>
        <v/>
      </c>
      <c r="R457" s="73" t="str">
        <f aca="false">IF(AND(B457&lt;&gt;"",ISNUMBER(H457),ISNUMBER(F457)),COUNTIFS(C_ID,B457,C_SUELDO,"&lt;&gt;",C_INICIO,"&lt;"&amp;F457)+COUNTIFS(B$7:B457,B457,H$7:H457,"&lt;&gt;",F$7:F457,F457),"")</f>
        <v/>
      </c>
      <c r="S457" s="72" t="str">
        <f aca="false">IF(R457="","",B457&amp;"-S"&amp;R457)</f>
        <v/>
      </c>
      <c r="T457" s="74" t="str">
        <f aca="false">IF(AND(ISNUMBER(F457),ISNUMBER(G457)),ROUND((G457-F457+1)/30.4375,1),"")</f>
        <v/>
      </c>
      <c r="U457" s="70" t="str">
        <f aca="false">IF(B457="","",IF(AND(N457="Sí",OR(E457="",NOT(ISNUMBER(F457)))),"⚠ Falta tipo de contrato o fecha de inicio",IF(NOT(ISNUMBER(F457)),"⚠ Falta fecha de inicio",IF(AND(N457="Sí",E457&lt;&gt;"Indefinido",NOT(ISNUMBER(G457))),"⚠ Falta fecha de término",IF(AND(D457="Paso a indefinido",E457&lt;&gt;"Indefinido"),"⚠ Un paso a indefinido debe tener tipo Indefinido",IF(N(Q457)&gt;=3,"⚠ 3er contrato a plazo fijo: por ley ya es INDEFINIDO (Art. 159 N°4)",IF(AND(E457="Plazo fijo",N(T457)&gt;12),"⚠ Plazo fijo mayor a 1 año (máx. legal; 2 años solo profesionales o técnicos)",IF(AND(ISNUMBER(G457),G457&lt;F457),"⚠ Término anterior al inicio",IF(AND(D457="Contrato inicial",ISNUMBER(J457),J457-F457&gt;15),"⚠ Escriturado fuera de plazo (Art. 9: 15 días)",IF(K457&lt;&gt;"Sí","Pendiente de firma","OK"))))))))))</f>
        <v/>
      </c>
    </row>
    <row r="458" customFormat="false" ht="15" hidden="false" customHeight="false" outlineLevel="0" collapsed="false">
      <c r="B458" s="64"/>
      <c r="C458" s="72" t="str">
        <f aca="false">IF(B458="","",IFERROR(INDEX(T_NOMBRE,MATCH(B458,T_ID,0)),"⚠ ID no existe en Trabajadores"))</f>
        <v/>
      </c>
      <c r="D458" s="64"/>
      <c r="E458" s="64"/>
      <c r="F458" s="65"/>
      <c r="G458" s="65"/>
      <c r="H458" s="67"/>
      <c r="I458" s="64"/>
      <c r="J458" s="65"/>
      <c r="K458" s="64"/>
      <c r="L458" s="64"/>
      <c r="M458" s="64"/>
      <c r="N458" s="72" t="str">
        <f aca="false">IF(B458="","",IF(D458="Anexo de modificación","No","Sí"))</f>
        <v/>
      </c>
      <c r="O458" s="73" t="str">
        <f aca="false">IF(AND(N458="Sí",ISNUMBER(F458)),COUNTIFS(C_ID,B458,C_DEFINE,"Sí",C_INICIO,"&lt;"&amp;F458)+COUNTIFS(B$7:B458,B458,N$7:N458,"Sí",F$7:F458,F458),"")</f>
        <v/>
      </c>
      <c r="P458" s="72" t="str">
        <f aca="false">IF(O458="","",B458&amp;"-P"&amp;O458)</f>
        <v/>
      </c>
      <c r="Q458" s="73" t="str">
        <f aca="false">IF(AND(N458="Sí",E458="Plazo fijo",ISNUMBER(F458)),COUNTIFS(C_ID,B458,C_TIPO,"Plazo fijo",C_DEFINE,"Sí",C_INICIO,"&lt;"&amp;F458)+COUNTIFS(B$7:B458,B458,E$7:E458,"Plazo fijo",N$7:N458,"Sí",F$7:F458,F458),"")</f>
        <v/>
      </c>
      <c r="R458" s="73" t="str">
        <f aca="false">IF(AND(B458&lt;&gt;"",ISNUMBER(H458),ISNUMBER(F458)),COUNTIFS(C_ID,B458,C_SUELDO,"&lt;&gt;",C_INICIO,"&lt;"&amp;F458)+COUNTIFS(B$7:B458,B458,H$7:H458,"&lt;&gt;",F$7:F458,F458),"")</f>
        <v/>
      </c>
      <c r="S458" s="72" t="str">
        <f aca="false">IF(R458="","",B458&amp;"-S"&amp;R458)</f>
        <v/>
      </c>
      <c r="T458" s="74" t="str">
        <f aca="false">IF(AND(ISNUMBER(F458),ISNUMBER(G458)),ROUND((G458-F458+1)/30.4375,1),"")</f>
        <v/>
      </c>
      <c r="U458" s="70" t="str">
        <f aca="false">IF(B458="","",IF(AND(N458="Sí",OR(E458="",NOT(ISNUMBER(F458)))),"⚠ Falta tipo de contrato o fecha de inicio",IF(NOT(ISNUMBER(F458)),"⚠ Falta fecha de inicio",IF(AND(N458="Sí",E458&lt;&gt;"Indefinido",NOT(ISNUMBER(G458))),"⚠ Falta fecha de término",IF(AND(D458="Paso a indefinido",E458&lt;&gt;"Indefinido"),"⚠ Un paso a indefinido debe tener tipo Indefinido",IF(N(Q458)&gt;=3,"⚠ 3er contrato a plazo fijo: por ley ya es INDEFINIDO (Art. 159 N°4)",IF(AND(E458="Plazo fijo",N(T458)&gt;12),"⚠ Plazo fijo mayor a 1 año (máx. legal; 2 años solo profesionales o técnicos)",IF(AND(ISNUMBER(G458),G458&lt;F458),"⚠ Término anterior al inicio",IF(AND(D458="Contrato inicial",ISNUMBER(J458),J458-F458&gt;15),"⚠ Escriturado fuera de plazo (Art. 9: 15 días)",IF(K458&lt;&gt;"Sí","Pendiente de firma","OK"))))))))))</f>
        <v/>
      </c>
    </row>
    <row r="459" customFormat="false" ht="15" hidden="false" customHeight="false" outlineLevel="0" collapsed="false">
      <c r="B459" s="64"/>
      <c r="C459" s="72" t="str">
        <f aca="false">IF(B459="","",IFERROR(INDEX(T_NOMBRE,MATCH(B459,T_ID,0)),"⚠ ID no existe en Trabajadores"))</f>
        <v/>
      </c>
      <c r="D459" s="64"/>
      <c r="E459" s="64"/>
      <c r="F459" s="65"/>
      <c r="G459" s="65"/>
      <c r="H459" s="67"/>
      <c r="I459" s="64"/>
      <c r="J459" s="65"/>
      <c r="K459" s="64"/>
      <c r="L459" s="64"/>
      <c r="M459" s="64"/>
      <c r="N459" s="72" t="str">
        <f aca="false">IF(B459="","",IF(D459="Anexo de modificación","No","Sí"))</f>
        <v/>
      </c>
      <c r="O459" s="73" t="str">
        <f aca="false">IF(AND(N459="Sí",ISNUMBER(F459)),COUNTIFS(C_ID,B459,C_DEFINE,"Sí",C_INICIO,"&lt;"&amp;F459)+COUNTIFS(B$7:B459,B459,N$7:N459,"Sí",F$7:F459,F459),"")</f>
        <v/>
      </c>
      <c r="P459" s="72" t="str">
        <f aca="false">IF(O459="","",B459&amp;"-P"&amp;O459)</f>
        <v/>
      </c>
      <c r="Q459" s="73" t="str">
        <f aca="false">IF(AND(N459="Sí",E459="Plazo fijo",ISNUMBER(F459)),COUNTIFS(C_ID,B459,C_TIPO,"Plazo fijo",C_DEFINE,"Sí",C_INICIO,"&lt;"&amp;F459)+COUNTIFS(B$7:B459,B459,E$7:E459,"Plazo fijo",N$7:N459,"Sí",F$7:F459,F459),"")</f>
        <v/>
      </c>
      <c r="R459" s="73" t="str">
        <f aca="false">IF(AND(B459&lt;&gt;"",ISNUMBER(H459),ISNUMBER(F459)),COUNTIFS(C_ID,B459,C_SUELDO,"&lt;&gt;",C_INICIO,"&lt;"&amp;F459)+COUNTIFS(B$7:B459,B459,H$7:H459,"&lt;&gt;",F$7:F459,F459),"")</f>
        <v/>
      </c>
      <c r="S459" s="72" t="str">
        <f aca="false">IF(R459="","",B459&amp;"-S"&amp;R459)</f>
        <v/>
      </c>
      <c r="T459" s="74" t="str">
        <f aca="false">IF(AND(ISNUMBER(F459),ISNUMBER(G459)),ROUND((G459-F459+1)/30.4375,1),"")</f>
        <v/>
      </c>
      <c r="U459" s="70" t="str">
        <f aca="false">IF(B459="","",IF(AND(N459="Sí",OR(E459="",NOT(ISNUMBER(F459)))),"⚠ Falta tipo de contrato o fecha de inicio",IF(NOT(ISNUMBER(F459)),"⚠ Falta fecha de inicio",IF(AND(N459="Sí",E459&lt;&gt;"Indefinido",NOT(ISNUMBER(G459))),"⚠ Falta fecha de término",IF(AND(D459="Paso a indefinido",E459&lt;&gt;"Indefinido"),"⚠ Un paso a indefinido debe tener tipo Indefinido",IF(N(Q459)&gt;=3,"⚠ 3er contrato a plazo fijo: por ley ya es INDEFINIDO (Art. 159 N°4)",IF(AND(E459="Plazo fijo",N(T459)&gt;12),"⚠ Plazo fijo mayor a 1 año (máx. legal; 2 años solo profesionales o técnicos)",IF(AND(ISNUMBER(G459),G459&lt;F459),"⚠ Término anterior al inicio",IF(AND(D459="Contrato inicial",ISNUMBER(J459),J459-F459&gt;15),"⚠ Escriturado fuera de plazo (Art. 9: 15 días)",IF(K459&lt;&gt;"Sí","Pendiente de firma","OK"))))))))))</f>
        <v/>
      </c>
    </row>
    <row r="460" customFormat="false" ht="15" hidden="false" customHeight="false" outlineLevel="0" collapsed="false">
      <c r="B460" s="64"/>
      <c r="C460" s="72" t="str">
        <f aca="false">IF(B460="","",IFERROR(INDEX(T_NOMBRE,MATCH(B460,T_ID,0)),"⚠ ID no existe en Trabajadores"))</f>
        <v/>
      </c>
      <c r="D460" s="64"/>
      <c r="E460" s="64"/>
      <c r="F460" s="65"/>
      <c r="G460" s="65"/>
      <c r="H460" s="67"/>
      <c r="I460" s="64"/>
      <c r="J460" s="65"/>
      <c r="K460" s="64"/>
      <c r="L460" s="64"/>
      <c r="M460" s="64"/>
      <c r="N460" s="72" t="str">
        <f aca="false">IF(B460="","",IF(D460="Anexo de modificación","No","Sí"))</f>
        <v/>
      </c>
      <c r="O460" s="73" t="str">
        <f aca="false">IF(AND(N460="Sí",ISNUMBER(F460)),COUNTIFS(C_ID,B460,C_DEFINE,"Sí",C_INICIO,"&lt;"&amp;F460)+COUNTIFS(B$7:B460,B460,N$7:N460,"Sí",F$7:F460,F460),"")</f>
        <v/>
      </c>
      <c r="P460" s="72" t="str">
        <f aca="false">IF(O460="","",B460&amp;"-P"&amp;O460)</f>
        <v/>
      </c>
      <c r="Q460" s="73" t="str">
        <f aca="false">IF(AND(N460="Sí",E460="Plazo fijo",ISNUMBER(F460)),COUNTIFS(C_ID,B460,C_TIPO,"Plazo fijo",C_DEFINE,"Sí",C_INICIO,"&lt;"&amp;F460)+COUNTIFS(B$7:B460,B460,E$7:E460,"Plazo fijo",N$7:N460,"Sí",F$7:F460,F460),"")</f>
        <v/>
      </c>
      <c r="R460" s="73" t="str">
        <f aca="false">IF(AND(B460&lt;&gt;"",ISNUMBER(H460),ISNUMBER(F460)),COUNTIFS(C_ID,B460,C_SUELDO,"&lt;&gt;",C_INICIO,"&lt;"&amp;F460)+COUNTIFS(B$7:B460,B460,H$7:H460,"&lt;&gt;",F$7:F460,F460),"")</f>
        <v/>
      </c>
      <c r="S460" s="72" t="str">
        <f aca="false">IF(R460="","",B460&amp;"-S"&amp;R460)</f>
        <v/>
      </c>
      <c r="T460" s="74" t="str">
        <f aca="false">IF(AND(ISNUMBER(F460),ISNUMBER(G460)),ROUND((G460-F460+1)/30.4375,1),"")</f>
        <v/>
      </c>
      <c r="U460" s="70" t="str">
        <f aca="false">IF(B460="","",IF(AND(N460="Sí",OR(E460="",NOT(ISNUMBER(F460)))),"⚠ Falta tipo de contrato o fecha de inicio",IF(NOT(ISNUMBER(F460)),"⚠ Falta fecha de inicio",IF(AND(N460="Sí",E460&lt;&gt;"Indefinido",NOT(ISNUMBER(G460))),"⚠ Falta fecha de término",IF(AND(D460="Paso a indefinido",E460&lt;&gt;"Indefinido"),"⚠ Un paso a indefinido debe tener tipo Indefinido",IF(N(Q460)&gt;=3,"⚠ 3er contrato a plazo fijo: por ley ya es INDEFINIDO (Art. 159 N°4)",IF(AND(E460="Plazo fijo",N(T460)&gt;12),"⚠ Plazo fijo mayor a 1 año (máx. legal; 2 años solo profesionales o técnicos)",IF(AND(ISNUMBER(G460),G460&lt;F460),"⚠ Término anterior al inicio",IF(AND(D460="Contrato inicial",ISNUMBER(J460),J460-F460&gt;15),"⚠ Escriturado fuera de plazo (Art. 9: 15 días)",IF(K460&lt;&gt;"Sí","Pendiente de firma","OK"))))))))))</f>
        <v/>
      </c>
    </row>
    <row r="461" customFormat="false" ht="15" hidden="false" customHeight="false" outlineLevel="0" collapsed="false">
      <c r="B461" s="64"/>
      <c r="C461" s="72" t="str">
        <f aca="false">IF(B461="","",IFERROR(INDEX(T_NOMBRE,MATCH(B461,T_ID,0)),"⚠ ID no existe en Trabajadores"))</f>
        <v/>
      </c>
      <c r="D461" s="64"/>
      <c r="E461" s="64"/>
      <c r="F461" s="65"/>
      <c r="G461" s="65"/>
      <c r="H461" s="67"/>
      <c r="I461" s="64"/>
      <c r="J461" s="65"/>
      <c r="K461" s="64"/>
      <c r="L461" s="64"/>
      <c r="M461" s="64"/>
      <c r="N461" s="72" t="str">
        <f aca="false">IF(B461="","",IF(D461="Anexo de modificación","No","Sí"))</f>
        <v/>
      </c>
      <c r="O461" s="73" t="str">
        <f aca="false">IF(AND(N461="Sí",ISNUMBER(F461)),COUNTIFS(C_ID,B461,C_DEFINE,"Sí",C_INICIO,"&lt;"&amp;F461)+COUNTIFS(B$7:B461,B461,N$7:N461,"Sí",F$7:F461,F461),"")</f>
        <v/>
      </c>
      <c r="P461" s="72" t="str">
        <f aca="false">IF(O461="","",B461&amp;"-P"&amp;O461)</f>
        <v/>
      </c>
      <c r="Q461" s="73" t="str">
        <f aca="false">IF(AND(N461="Sí",E461="Plazo fijo",ISNUMBER(F461)),COUNTIFS(C_ID,B461,C_TIPO,"Plazo fijo",C_DEFINE,"Sí",C_INICIO,"&lt;"&amp;F461)+COUNTIFS(B$7:B461,B461,E$7:E461,"Plazo fijo",N$7:N461,"Sí",F$7:F461,F461),"")</f>
        <v/>
      </c>
      <c r="R461" s="73" t="str">
        <f aca="false">IF(AND(B461&lt;&gt;"",ISNUMBER(H461),ISNUMBER(F461)),COUNTIFS(C_ID,B461,C_SUELDO,"&lt;&gt;",C_INICIO,"&lt;"&amp;F461)+COUNTIFS(B$7:B461,B461,H$7:H461,"&lt;&gt;",F$7:F461,F461),"")</f>
        <v/>
      </c>
      <c r="S461" s="72" t="str">
        <f aca="false">IF(R461="","",B461&amp;"-S"&amp;R461)</f>
        <v/>
      </c>
      <c r="T461" s="74" t="str">
        <f aca="false">IF(AND(ISNUMBER(F461),ISNUMBER(G461)),ROUND((G461-F461+1)/30.4375,1),"")</f>
        <v/>
      </c>
      <c r="U461" s="70" t="str">
        <f aca="false">IF(B461="","",IF(AND(N461="Sí",OR(E461="",NOT(ISNUMBER(F461)))),"⚠ Falta tipo de contrato o fecha de inicio",IF(NOT(ISNUMBER(F461)),"⚠ Falta fecha de inicio",IF(AND(N461="Sí",E461&lt;&gt;"Indefinido",NOT(ISNUMBER(G461))),"⚠ Falta fecha de término",IF(AND(D461="Paso a indefinido",E461&lt;&gt;"Indefinido"),"⚠ Un paso a indefinido debe tener tipo Indefinido",IF(N(Q461)&gt;=3,"⚠ 3er contrato a plazo fijo: por ley ya es INDEFINIDO (Art. 159 N°4)",IF(AND(E461="Plazo fijo",N(T461)&gt;12),"⚠ Plazo fijo mayor a 1 año (máx. legal; 2 años solo profesionales o técnicos)",IF(AND(ISNUMBER(G461),G461&lt;F461),"⚠ Término anterior al inicio",IF(AND(D461="Contrato inicial",ISNUMBER(J461),J461-F461&gt;15),"⚠ Escriturado fuera de plazo (Art. 9: 15 días)",IF(K461&lt;&gt;"Sí","Pendiente de firma","OK"))))))))))</f>
        <v/>
      </c>
    </row>
    <row r="462" customFormat="false" ht="15" hidden="false" customHeight="false" outlineLevel="0" collapsed="false">
      <c r="B462" s="64"/>
      <c r="C462" s="72" t="str">
        <f aca="false">IF(B462="","",IFERROR(INDEX(T_NOMBRE,MATCH(B462,T_ID,0)),"⚠ ID no existe en Trabajadores"))</f>
        <v/>
      </c>
      <c r="D462" s="64"/>
      <c r="E462" s="64"/>
      <c r="F462" s="65"/>
      <c r="G462" s="65"/>
      <c r="H462" s="67"/>
      <c r="I462" s="64"/>
      <c r="J462" s="65"/>
      <c r="K462" s="64"/>
      <c r="L462" s="64"/>
      <c r="M462" s="64"/>
      <c r="N462" s="72" t="str">
        <f aca="false">IF(B462="","",IF(D462="Anexo de modificación","No","Sí"))</f>
        <v/>
      </c>
      <c r="O462" s="73" t="str">
        <f aca="false">IF(AND(N462="Sí",ISNUMBER(F462)),COUNTIFS(C_ID,B462,C_DEFINE,"Sí",C_INICIO,"&lt;"&amp;F462)+COUNTIFS(B$7:B462,B462,N$7:N462,"Sí",F$7:F462,F462),"")</f>
        <v/>
      </c>
      <c r="P462" s="72" t="str">
        <f aca="false">IF(O462="","",B462&amp;"-P"&amp;O462)</f>
        <v/>
      </c>
      <c r="Q462" s="73" t="str">
        <f aca="false">IF(AND(N462="Sí",E462="Plazo fijo",ISNUMBER(F462)),COUNTIFS(C_ID,B462,C_TIPO,"Plazo fijo",C_DEFINE,"Sí",C_INICIO,"&lt;"&amp;F462)+COUNTIFS(B$7:B462,B462,E$7:E462,"Plazo fijo",N$7:N462,"Sí",F$7:F462,F462),"")</f>
        <v/>
      </c>
      <c r="R462" s="73" t="str">
        <f aca="false">IF(AND(B462&lt;&gt;"",ISNUMBER(H462),ISNUMBER(F462)),COUNTIFS(C_ID,B462,C_SUELDO,"&lt;&gt;",C_INICIO,"&lt;"&amp;F462)+COUNTIFS(B$7:B462,B462,H$7:H462,"&lt;&gt;",F$7:F462,F462),"")</f>
        <v/>
      </c>
      <c r="S462" s="72" t="str">
        <f aca="false">IF(R462="","",B462&amp;"-S"&amp;R462)</f>
        <v/>
      </c>
      <c r="T462" s="74" t="str">
        <f aca="false">IF(AND(ISNUMBER(F462),ISNUMBER(G462)),ROUND((G462-F462+1)/30.4375,1),"")</f>
        <v/>
      </c>
      <c r="U462" s="70" t="str">
        <f aca="false">IF(B462="","",IF(AND(N462="Sí",OR(E462="",NOT(ISNUMBER(F462)))),"⚠ Falta tipo de contrato o fecha de inicio",IF(NOT(ISNUMBER(F462)),"⚠ Falta fecha de inicio",IF(AND(N462="Sí",E462&lt;&gt;"Indefinido",NOT(ISNUMBER(G462))),"⚠ Falta fecha de término",IF(AND(D462="Paso a indefinido",E462&lt;&gt;"Indefinido"),"⚠ Un paso a indefinido debe tener tipo Indefinido",IF(N(Q462)&gt;=3,"⚠ 3er contrato a plazo fijo: por ley ya es INDEFINIDO (Art. 159 N°4)",IF(AND(E462="Plazo fijo",N(T462)&gt;12),"⚠ Plazo fijo mayor a 1 año (máx. legal; 2 años solo profesionales o técnicos)",IF(AND(ISNUMBER(G462),G462&lt;F462),"⚠ Término anterior al inicio",IF(AND(D462="Contrato inicial",ISNUMBER(J462),J462-F462&gt;15),"⚠ Escriturado fuera de plazo (Art. 9: 15 días)",IF(K462&lt;&gt;"Sí","Pendiente de firma","OK"))))))))))</f>
        <v/>
      </c>
    </row>
    <row r="463" customFormat="false" ht="15" hidden="false" customHeight="false" outlineLevel="0" collapsed="false">
      <c r="B463" s="64"/>
      <c r="C463" s="72" t="str">
        <f aca="false">IF(B463="","",IFERROR(INDEX(T_NOMBRE,MATCH(B463,T_ID,0)),"⚠ ID no existe en Trabajadores"))</f>
        <v/>
      </c>
      <c r="D463" s="64"/>
      <c r="E463" s="64"/>
      <c r="F463" s="65"/>
      <c r="G463" s="65"/>
      <c r="H463" s="67"/>
      <c r="I463" s="64"/>
      <c r="J463" s="65"/>
      <c r="K463" s="64"/>
      <c r="L463" s="64"/>
      <c r="M463" s="64"/>
      <c r="N463" s="72" t="str">
        <f aca="false">IF(B463="","",IF(D463="Anexo de modificación","No","Sí"))</f>
        <v/>
      </c>
      <c r="O463" s="73" t="str">
        <f aca="false">IF(AND(N463="Sí",ISNUMBER(F463)),COUNTIFS(C_ID,B463,C_DEFINE,"Sí",C_INICIO,"&lt;"&amp;F463)+COUNTIFS(B$7:B463,B463,N$7:N463,"Sí",F$7:F463,F463),"")</f>
        <v/>
      </c>
      <c r="P463" s="72" t="str">
        <f aca="false">IF(O463="","",B463&amp;"-P"&amp;O463)</f>
        <v/>
      </c>
      <c r="Q463" s="73" t="str">
        <f aca="false">IF(AND(N463="Sí",E463="Plazo fijo",ISNUMBER(F463)),COUNTIFS(C_ID,B463,C_TIPO,"Plazo fijo",C_DEFINE,"Sí",C_INICIO,"&lt;"&amp;F463)+COUNTIFS(B$7:B463,B463,E$7:E463,"Plazo fijo",N$7:N463,"Sí",F$7:F463,F463),"")</f>
        <v/>
      </c>
      <c r="R463" s="73" t="str">
        <f aca="false">IF(AND(B463&lt;&gt;"",ISNUMBER(H463),ISNUMBER(F463)),COUNTIFS(C_ID,B463,C_SUELDO,"&lt;&gt;",C_INICIO,"&lt;"&amp;F463)+COUNTIFS(B$7:B463,B463,H$7:H463,"&lt;&gt;",F$7:F463,F463),"")</f>
        <v/>
      </c>
      <c r="S463" s="72" t="str">
        <f aca="false">IF(R463="","",B463&amp;"-S"&amp;R463)</f>
        <v/>
      </c>
      <c r="T463" s="74" t="str">
        <f aca="false">IF(AND(ISNUMBER(F463),ISNUMBER(G463)),ROUND((G463-F463+1)/30.4375,1),"")</f>
        <v/>
      </c>
      <c r="U463" s="70" t="str">
        <f aca="false">IF(B463="","",IF(AND(N463="Sí",OR(E463="",NOT(ISNUMBER(F463)))),"⚠ Falta tipo de contrato o fecha de inicio",IF(NOT(ISNUMBER(F463)),"⚠ Falta fecha de inicio",IF(AND(N463="Sí",E463&lt;&gt;"Indefinido",NOT(ISNUMBER(G463))),"⚠ Falta fecha de término",IF(AND(D463="Paso a indefinido",E463&lt;&gt;"Indefinido"),"⚠ Un paso a indefinido debe tener tipo Indefinido",IF(N(Q463)&gt;=3,"⚠ 3er contrato a plazo fijo: por ley ya es INDEFINIDO (Art. 159 N°4)",IF(AND(E463="Plazo fijo",N(T463)&gt;12),"⚠ Plazo fijo mayor a 1 año (máx. legal; 2 años solo profesionales o técnicos)",IF(AND(ISNUMBER(G463),G463&lt;F463),"⚠ Término anterior al inicio",IF(AND(D463="Contrato inicial",ISNUMBER(J463),J463-F463&gt;15),"⚠ Escriturado fuera de plazo (Art. 9: 15 días)",IF(K463&lt;&gt;"Sí","Pendiente de firma","OK"))))))))))</f>
        <v/>
      </c>
    </row>
    <row r="464" customFormat="false" ht="15" hidden="false" customHeight="false" outlineLevel="0" collapsed="false">
      <c r="B464" s="64"/>
      <c r="C464" s="72" t="str">
        <f aca="false">IF(B464="","",IFERROR(INDEX(T_NOMBRE,MATCH(B464,T_ID,0)),"⚠ ID no existe en Trabajadores"))</f>
        <v/>
      </c>
      <c r="D464" s="64"/>
      <c r="E464" s="64"/>
      <c r="F464" s="65"/>
      <c r="G464" s="65"/>
      <c r="H464" s="67"/>
      <c r="I464" s="64"/>
      <c r="J464" s="65"/>
      <c r="K464" s="64"/>
      <c r="L464" s="64"/>
      <c r="M464" s="64"/>
      <c r="N464" s="72" t="str">
        <f aca="false">IF(B464="","",IF(D464="Anexo de modificación","No","Sí"))</f>
        <v/>
      </c>
      <c r="O464" s="73" t="str">
        <f aca="false">IF(AND(N464="Sí",ISNUMBER(F464)),COUNTIFS(C_ID,B464,C_DEFINE,"Sí",C_INICIO,"&lt;"&amp;F464)+COUNTIFS(B$7:B464,B464,N$7:N464,"Sí",F$7:F464,F464),"")</f>
        <v/>
      </c>
      <c r="P464" s="72" t="str">
        <f aca="false">IF(O464="","",B464&amp;"-P"&amp;O464)</f>
        <v/>
      </c>
      <c r="Q464" s="73" t="str">
        <f aca="false">IF(AND(N464="Sí",E464="Plazo fijo",ISNUMBER(F464)),COUNTIFS(C_ID,B464,C_TIPO,"Plazo fijo",C_DEFINE,"Sí",C_INICIO,"&lt;"&amp;F464)+COUNTIFS(B$7:B464,B464,E$7:E464,"Plazo fijo",N$7:N464,"Sí",F$7:F464,F464),"")</f>
        <v/>
      </c>
      <c r="R464" s="73" t="str">
        <f aca="false">IF(AND(B464&lt;&gt;"",ISNUMBER(H464),ISNUMBER(F464)),COUNTIFS(C_ID,B464,C_SUELDO,"&lt;&gt;",C_INICIO,"&lt;"&amp;F464)+COUNTIFS(B$7:B464,B464,H$7:H464,"&lt;&gt;",F$7:F464,F464),"")</f>
        <v/>
      </c>
      <c r="S464" s="72" t="str">
        <f aca="false">IF(R464="","",B464&amp;"-S"&amp;R464)</f>
        <v/>
      </c>
      <c r="T464" s="74" t="str">
        <f aca="false">IF(AND(ISNUMBER(F464),ISNUMBER(G464)),ROUND((G464-F464+1)/30.4375,1),"")</f>
        <v/>
      </c>
      <c r="U464" s="70" t="str">
        <f aca="false">IF(B464="","",IF(AND(N464="Sí",OR(E464="",NOT(ISNUMBER(F464)))),"⚠ Falta tipo de contrato o fecha de inicio",IF(NOT(ISNUMBER(F464)),"⚠ Falta fecha de inicio",IF(AND(N464="Sí",E464&lt;&gt;"Indefinido",NOT(ISNUMBER(G464))),"⚠ Falta fecha de término",IF(AND(D464="Paso a indefinido",E464&lt;&gt;"Indefinido"),"⚠ Un paso a indefinido debe tener tipo Indefinido",IF(N(Q464)&gt;=3,"⚠ 3er contrato a plazo fijo: por ley ya es INDEFINIDO (Art. 159 N°4)",IF(AND(E464="Plazo fijo",N(T464)&gt;12),"⚠ Plazo fijo mayor a 1 año (máx. legal; 2 años solo profesionales o técnicos)",IF(AND(ISNUMBER(G464),G464&lt;F464),"⚠ Término anterior al inicio",IF(AND(D464="Contrato inicial",ISNUMBER(J464),J464-F464&gt;15),"⚠ Escriturado fuera de plazo (Art. 9: 15 días)",IF(K464&lt;&gt;"Sí","Pendiente de firma","OK"))))))))))</f>
        <v/>
      </c>
    </row>
    <row r="465" customFormat="false" ht="15" hidden="false" customHeight="false" outlineLevel="0" collapsed="false">
      <c r="B465" s="64"/>
      <c r="C465" s="72" t="str">
        <f aca="false">IF(B465="","",IFERROR(INDEX(T_NOMBRE,MATCH(B465,T_ID,0)),"⚠ ID no existe en Trabajadores"))</f>
        <v/>
      </c>
      <c r="D465" s="64"/>
      <c r="E465" s="64"/>
      <c r="F465" s="65"/>
      <c r="G465" s="65"/>
      <c r="H465" s="67"/>
      <c r="I465" s="64"/>
      <c r="J465" s="65"/>
      <c r="K465" s="64"/>
      <c r="L465" s="64"/>
      <c r="M465" s="64"/>
      <c r="N465" s="72" t="str">
        <f aca="false">IF(B465="","",IF(D465="Anexo de modificación","No","Sí"))</f>
        <v/>
      </c>
      <c r="O465" s="73" t="str">
        <f aca="false">IF(AND(N465="Sí",ISNUMBER(F465)),COUNTIFS(C_ID,B465,C_DEFINE,"Sí",C_INICIO,"&lt;"&amp;F465)+COUNTIFS(B$7:B465,B465,N$7:N465,"Sí",F$7:F465,F465),"")</f>
        <v/>
      </c>
      <c r="P465" s="72" t="str">
        <f aca="false">IF(O465="","",B465&amp;"-P"&amp;O465)</f>
        <v/>
      </c>
      <c r="Q465" s="73" t="str">
        <f aca="false">IF(AND(N465="Sí",E465="Plazo fijo",ISNUMBER(F465)),COUNTIFS(C_ID,B465,C_TIPO,"Plazo fijo",C_DEFINE,"Sí",C_INICIO,"&lt;"&amp;F465)+COUNTIFS(B$7:B465,B465,E$7:E465,"Plazo fijo",N$7:N465,"Sí",F$7:F465,F465),"")</f>
        <v/>
      </c>
      <c r="R465" s="73" t="str">
        <f aca="false">IF(AND(B465&lt;&gt;"",ISNUMBER(H465),ISNUMBER(F465)),COUNTIFS(C_ID,B465,C_SUELDO,"&lt;&gt;",C_INICIO,"&lt;"&amp;F465)+COUNTIFS(B$7:B465,B465,H$7:H465,"&lt;&gt;",F$7:F465,F465),"")</f>
        <v/>
      </c>
      <c r="S465" s="72" t="str">
        <f aca="false">IF(R465="","",B465&amp;"-S"&amp;R465)</f>
        <v/>
      </c>
      <c r="T465" s="74" t="str">
        <f aca="false">IF(AND(ISNUMBER(F465),ISNUMBER(G465)),ROUND((G465-F465+1)/30.4375,1),"")</f>
        <v/>
      </c>
      <c r="U465" s="70" t="str">
        <f aca="false">IF(B465="","",IF(AND(N465="Sí",OR(E465="",NOT(ISNUMBER(F465)))),"⚠ Falta tipo de contrato o fecha de inicio",IF(NOT(ISNUMBER(F465)),"⚠ Falta fecha de inicio",IF(AND(N465="Sí",E465&lt;&gt;"Indefinido",NOT(ISNUMBER(G465))),"⚠ Falta fecha de término",IF(AND(D465="Paso a indefinido",E465&lt;&gt;"Indefinido"),"⚠ Un paso a indefinido debe tener tipo Indefinido",IF(N(Q465)&gt;=3,"⚠ 3er contrato a plazo fijo: por ley ya es INDEFINIDO (Art. 159 N°4)",IF(AND(E465="Plazo fijo",N(T465)&gt;12),"⚠ Plazo fijo mayor a 1 año (máx. legal; 2 años solo profesionales o técnicos)",IF(AND(ISNUMBER(G465),G465&lt;F465),"⚠ Término anterior al inicio",IF(AND(D465="Contrato inicial",ISNUMBER(J465),J465-F465&gt;15),"⚠ Escriturado fuera de plazo (Art. 9: 15 días)",IF(K465&lt;&gt;"Sí","Pendiente de firma","OK"))))))))))</f>
        <v/>
      </c>
    </row>
    <row r="466" customFormat="false" ht="15" hidden="false" customHeight="false" outlineLevel="0" collapsed="false">
      <c r="B466" s="64"/>
      <c r="C466" s="72" t="str">
        <f aca="false">IF(B466="","",IFERROR(INDEX(T_NOMBRE,MATCH(B466,T_ID,0)),"⚠ ID no existe en Trabajadores"))</f>
        <v/>
      </c>
      <c r="D466" s="64"/>
      <c r="E466" s="64"/>
      <c r="F466" s="65"/>
      <c r="G466" s="65"/>
      <c r="H466" s="67"/>
      <c r="I466" s="64"/>
      <c r="J466" s="65"/>
      <c r="K466" s="64"/>
      <c r="L466" s="64"/>
      <c r="M466" s="64"/>
      <c r="N466" s="72" t="str">
        <f aca="false">IF(B466="","",IF(D466="Anexo de modificación","No","Sí"))</f>
        <v/>
      </c>
      <c r="O466" s="73" t="str">
        <f aca="false">IF(AND(N466="Sí",ISNUMBER(F466)),COUNTIFS(C_ID,B466,C_DEFINE,"Sí",C_INICIO,"&lt;"&amp;F466)+COUNTIFS(B$7:B466,B466,N$7:N466,"Sí",F$7:F466,F466),"")</f>
        <v/>
      </c>
      <c r="P466" s="72" t="str">
        <f aca="false">IF(O466="","",B466&amp;"-P"&amp;O466)</f>
        <v/>
      </c>
      <c r="Q466" s="73" t="str">
        <f aca="false">IF(AND(N466="Sí",E466="Plazo fijo",ISNUMBER(F466)),COUNTIFS(C_ID,B466,C_TIPO,"Plazo fijo",C_DEFINE,"Sí",C_INICIO,"&lt;"&amp;F466)+COUNTIFS(B$7:B466,B466,E$7:E466,"Plazo fijo",N$7:N466,"Sí",F$7:F466,F466),"")</f>
        <v/>
      </c>
      <c r="R466" s="73" t="str">
        <f aca="false">IF(AND(B466&lt;&gt;"",ISNUMBER(H466),ISNUMBER(F466)),COUNTIFS(C_ID,B466,C_SUELDO,"&lt;&gt;",C_INICIO,"&lt;"&amp;F466)+COUNTIFS(B$7:B466,B466,H$7:H466,"&lt;&gt;",F$7:F466,F466),"")</f>
        <v/>
      </c>
      <c r="S466" s="72" t="str">
        <f aca="false">IF(R466="","",B466&amp;"-S"&amp;R466)</f>
        <v/>
      </c>
      <c r="T466" s="74" t="str">
        <f aca="false">IF(AND(ISNUMBER(F466),ISNUMBER(G466)),ROUND((G466-F466+1)/30.4375,1),"")</f>
        <v/>
      </c>
      <c r="U466" s="70" t="str">
        <f aca="false">IF(B466="","",IF(AND(N466="Sí",OR(E466="",NOT(ISNUMBER(F466)))),"⚠ Falta tipo de contrato o fecha de inicio",IF(NOT(ISNUMBER(F466)),"⚠ Falta fecha de inicio",IF(AND(N466="Sí",E466&lt;&gt;"Indefinido",NOT(ISNUMBER(G466))),"⚠ Falta fecha de término",IF(AND(D466="Paso a indefinido",E466&lt;&gt;"Indefinido"),"⚠ Un paso a indefinido debe tener tipo Indefinido",IF(N(Q466)&gt;=3,"⚠ 3er contrato a plazo fijo: por ley ya es INDEFINIDO (Art. 159 N°4)",IF(AND(E466="Plazo fijo",N(T466)&gt;12),"⚠ Plazo fijo mayor a 1 año (máx. legal; 2 años solo profesionales o técnicos)",IF(AND(ISNUMBER(G466),G466&lt;F466),"⚠ Término anterior al inicio",IF(AND(D466="Contrato inicial",ISNUMBER(J466),J466-F466&gt;15),"⚠ Escriturado fuera de plazo (Art. 9: 15 días)",IF(K466&lt;&gt;"Sí","Pendiente de firma","OK"))))))))))</f>
        <v/>
      </c>
    </row>
    <row r="467" customFormat="false" ht="15" hidden="false" customHeight="false" outlineLevel="0" collapsed="false">
      <c r="B467" s="64"/>
      <c r="C467" s="72" t="str">
        <f aca="false">IF(B467="","",IFERROR(INDEX(T_NOMBRE,MATCH(B467,T_ID,0)),"⚠ ID no existe en Trabajadores"))</f>
        <v/>
      </c>
      <c r="D467" s="64"/>
      <c r="E467" s="64"/>
      <c r="F467" s="65"/>
      <c r="G467" s="65"/>
      <c r="H467" s="67"/>
      <c r="I467" s="64"/>
      <c r="J467" s="65"/>
      <c r="K467" s="64"/>
      <c r="L467" s="64"/>
      <c r="M467" s="64"/>
      <c r="N467" s="72" t="str">
        <f aca="false">IF(B467="","",IF(D467="Anexo de modificación","No","Sí"))</f>
        <v/>
      </c>
      <c r="O467" s="73" t="str">
        <f aca="false">IF(AND(N467="Sí",ISNUMBER(F467)),COUNTIFS(C_ID,B467,C_DEFINE,"Sí",C_INICIO,"&lt;"&amp;F467)+COUNTIFS(B$7:B467,B467,N$7:N467,"Sí",F$7:F467,F467),"")</f>
        <v/>
      </c>
      <c r="P467" s="72" t="str">
        <f aca="false">IF(O467="","",B467&amp;"-P"&amp;O467)</f>
        <v/>
      </c>
      <c r="Q467" s="73" t="str">
        <f aca="false">IF(AND(N467="Sí",E467="Plazo fijo",ISNUMBER(F467)),COUNTIFS(C_ID,B467,C_TIPO,"Plazo fijo",C_DEFINE,"Sí",C_INICIO,"&lt;"&amp;F467)+COUNTIFS(B$7:B467,B467,E$7:E467,"Plazo fijo",N$7:N467,"Sí",F$7:F467,F467),"")</f>
        <v/>
      </c>
      <c r="R467" s="73" t="str">
        <f aca="false">IF(AND(B467&lt;&gt;"",ISNUMBER(H467),ISNUMBER(F467)),COUNTIFS(C_ID,B467,C_SUELDO,"&lt;&gt;",C_INICIO,"&lt;"&amp;F467)+COUNTIFS(B$7:B467,B467,H$7:H467,"&lt;&gt;",F$7:F467,F467),"")</f>
        <v/>
      </c>
      <c r="S467" s="72" t="str">
        <f aca="false">IF(R467="","",B467&amp;"-S"&amp;R467)</f>
        <v/>
      </c>
      <c r="T467" s="74" t="str">
        <f aca="false">IF(AND(ISNUMBER(F467),ISNUMBER(G467)),ROUND((G467-F467+1)/30.4375,1),"")</f>
        <v/>
      </c>
      <c r="U467" s="70" t="str">
        <f aca="false">IF(B467="","",IF(AND(N467="Sí",OR(E467="",NOT(ISNUMBER(F467)))),"⚠ Falta tipo de contrato o fecha de inicio",IF(NOT(ISNUMBER(F467)),"⚠ Falta fecha de inicio",IF(AND(N467="Sí",E467&lt;&gt;"Indefinido",NOT(ISNUMBER(G467))),"⚠ Falta fecha de término",IF(AND(D467="Paso a indefinido",E467&lt;&gt;"Indefinido"),"⚠ Un paso a indefinido debe tener tipo Indefinido",IF(N(Q467)&gt;=3,"⚠ 3er contrato a plazo fijo: por ley ya es INDEFINIDO (Art. 159 N°4)",IF(AND(E467="Plazo fijo",N(T467)&gt;12),"⚠ Plazo fijo mayor a 1 año (máx. legal; 2 años solo profesionales o técnicos)",IF(AND(ISNUMBER(G467),G467&lt;F467),"⚠ Término anterior al inicio",IF(AND(D467="Contrato inicial",ISNUMBER(J467),J467-F467&gt;15),"⚠ Escriturado fuera de plazo (Art. 9: 15 días)",IF(K467&lt;&gt;"Sí","Pendiente de firma","OK"))))))))))</f>
        <v/>
      </c>
    </row>
    <row r="468" customFormat="false" ht="15" hidden="false" customHeight="false" outlineLevel="0" collapsed="false">
      <c r="B468" s="64"/>
      <c r="C468" s="72" t="str">
        <f aca="false">IF(B468="","",IFERROR(INDEX(T_NOMBRE,MATCH(B468,T_ID,0)),"⚠ ID no existe en Trabajadores"))</f>
        <v/>
      </c>
      <c r="D468" s="64"/>
      <c r="E468" s="64"/>
      <c r="F468" s="65"/>
      <c r="G468" s="65"/>
      <c r="H468" s="67"/>
      <c r="I468" s="64"/>
      <c r="J468" s="65"/>
      <c r="K468" s="64"/>
      <c r="L468" s="64"/>
      <c r="M468" s="64"/>
      <c r="N468" s="72" t="str">
        <f aca="false">IF(B468="","",IF(D468="Anexo de modificación","No","Sí"))</f>
        <v/>
      </c>
      <c r="O468" s="73" t="str">
        <f aca="false">IF(AND(N468="Sí",ISNUMBER(F468)),COUNTIFS(C_ID,B468,C_DEFINE,"Sí",C_INICIO,"&lt;"&amp;F468)+COUNTIFS(B$7:B468,B468,N$7:N468,"Sí",F$7:F468,F468),"")</f>
        <v/>
      </c>
      <c r="P468" s="72" t="str">
        <f aca="false">IF(O468="","",B468&amp;"-P"&amp;O468)</f>
        <v/>
      </c>
      <c r="Q468" s="73" t="str">
        <f aca="false">IF(AND(N468="Sí",E468="Plazo fijo",ISNUMBER(F468)),COUNTIFS(C_ID,B468,C_TIPO,"Plazo fijo",C_DEFINE,"Sí",C_INICIO,"&lt;"&amp;F468)+COUNTIFS(B$7:B468,B468,E$7:E468,"Plazo fijo",N$7:N468,"Sí",F$7:F468,F468),"")</f>
        <v/>
      </c>
      <c r="R468" s="73" t="str">
        <f aca="false">IF(AND(B468&lt;&gt;"",ISNUMBER(H468),ISNUMBER(F468)),COUNTIFS(C_ID,B468,C_SUELDO,"&lt;&gt;",C_INICIO,"&lt;"&amp;F468)+COUNTIFS(B$7:B468,B468,H$7:H468,"&lt;&gt;",F$7:F468,F468),"")</f>
        <v/>
      </c>
      <c r="S468" s="72" t="str">
        <f aca="false">IF(R468="","",B468&amp;"-S"&amp;R468)</f>
        <v/>
      </c>
      <c r="T468" s="74" t="str">
        <f aca="false">IF(AND(ISNUMBER(F468),ISNUMBER(G468)),ROUND((G468-F468+1)/30.4375,1),"")</f>
        <v/>
      </c>
      <c r="U468" s="70" t="str">
        <f aca="false">IF(B468="","",IF(AND(N468="Sí",OR(E468="",NOT(ISNUMBER(F468)))),"⚠ Falta tipo de contrato o fecha de inicio",IF(NOT(ISNUMBER(F468)),"⚠ Falta fecha de inicio",IF(AND(N468="Sí",E468&lt;&gt;"Indefinido",NOT(ISNUMBER(G468))),"⚠ Falta fecha de término",IF(AND(D468="Paso a indefinido",E468&lt;&gt;"Indefinido"),"⚠ Un paso a indefinido debe tener tipo Indefinido",IF(N(Q468)&gt;=3,"⚠ 3er contrato a plazo fijo: por ley ya es INDEFINIDO (Art. 159 N°4)",IF(AND(E468="Plazo fijo",N(T468)&gt;12),"⚠ Plazo fijo mayor a 1 año (máx. legal; 2 años solo profesionales o técnicos)",IF(AND(ISNUMBER(G468),G468&lt;F468),"⚠ Término anterior al inicio",IF(AND(D468="Contrato inicial",ISNUMBER(J468),J468-F468&gt;15),"⚠ Escriturado fuera de plazo (Art. 9: 15 días)",IF(K468&lt;&gt;"Sí","Pendiente de firma","OK"))))))))))</f>
        <v/>
      </c>
    </row>
    <row r="469" customFormat="false" ht="15" hidden="false" customHeight="false" outlineLevel="0" collapsed="false">
      <c r="B469" s="64"/>
      <c r="C469" s="72" t="str">
        <f aca="false">IF(B469="","",IFERROR(INDEX(T_NOMBRE,MATCH(B469,T_ID,0)),"⚠ ID no existe en Trabajadores"))</f>
        <v/>
      </c>
      <c r="D469" s="64"/>
      <c r="E469" s="64"/>
      <c r="F469" s="65"/>
      <c r="G469" s="65"/>
      <c r="H469" s="67"/>
      <c r="I469" s="64"/>
      <c r="J469" s="65"/>
      <c r="K469" s="64"/>
      <c r="L469" s="64"/>
      <c r="M469" s="64"/>
      <c r="N469" s="72" t="str">
        <f aca="false">IF(B469="","",IF(D469="Anexo de modificación","No","Sí"))</f>
        <v/>
      </c>
      <c r="O469" s="73" t="str">
        <f aca="false">IF(AND(N469="Sí",ISNUMBER(F469)),COUNTIFS(C_ID,B469,C_DEFINE,"Sí",C_INICIO,"&lt;"&amp;F469)+COUNTIFS(B$7:B469,B469,N$7:N469,"Sí",F$7:F469,F469),"")</f>
        <v/>
      </c>
      <c r="P469" s="72" t="str">
        <f aca="false">IF(O469="","",B469&amp;"-P"&amp;O469)</f>
        <v/>
      </c>
      <c r="Q469" s="73" t="str">
        <f aca="false">IF(AND(N469="Sí",E469="Plazo fijo",ISNUMBER(F469)),COUNTIFS(C_ID,B469,C_TIPO,"Plazo fijo",C_DEFINE,"Sí",C_INICIO,"&lt;"&amp;F469)+COUNTIFS(B$7:B469,B469,E$7:E469,"Plazo fijo",N$7:N469,"Sí",F$7:F469,F469),"")</f>
        <v/>
      </c>
      <c r="R469" s="73" t="str">
        <f aca="false">IF(AND(B469&lt;&gt;"",ISNUMBER(H469),ISNUMBER(F469)),COUNTIFS(C_ID,B469,C_SUELDO,"&lt;&gt;",C_INICIO,"&lt;"&amp;F469)+COUNTIFS(B$7:B469,B469,H$7:H469,"&lt;&gt;",F$7:F469,F469),"")</f>
        <v/>
      </c>
      <c r="S469" s="72" t="str">
        <f aca="false">IF(R469="","",B469&amp;"-S"&amp;R469)</f>
        <v/>
      </c>
      <c r="T469" s="74" t="str">
        <f aca="false">IF(AND(ISNUMBER(F469),ISNUMBER(G469)),ROUND((G469-F469+1)/30.4375,1),"")</f>
        <v/>
      </c>
      <c r="U469" s="70" t="str">
        <f aca="false">IF(B469="","",IF(AND(N469="Sí",OR(E469="",NOT(ISNUMBER(F469)))),"⚠ Falta tipo de contrato o fecha de inicio",IF(NOT(ISNUMBER(F469)),"⚠ Falta fecha de inicio",IF(AND(N469="Sí",E469&lt;&gt;"Indefinido",NOT(ISNUMBER(G469))),"⚠ Falta fecha de término",IF(AND(D469="Paso a indefinido",E469&lt;&gt;"Indefinido"),"⚠ Un paso a indefinido debe tener tipo Indefinido",IF(N(Q469)&gt;=3,"⚠ 3er contrato a plazo fijo: por ley ya es INDEFINIDO (Art. 159 N°4)",IF(AND(E469="Plazo fijo",N(T469)&gt;12),"⚠ Plazo fijo mayor a 1 año (máx. legal; 2 años solo profesionales o técnicos)",IF(AND(ISNUMBER(G469),G469&lt;F469),"⚠ Término anterior al inicio",IF(AND(D469="Contrato inicial",ISNUMBER(J469),J469-F469&gt;15),"⚠ Escriturado fuera de plazo (Art. 9: 15 días)",IF(K469&lt;&gt;"Sí","Pendiente de firma","OK"))))))))))</f>
        <v/>
      </c>
    </row>
    <row r="470" customFormat="false" ht="15" hidden="false" customHeight="false" outlineLevel="0" collapsed="false">
      <c r="B470" s="64"/>
      <c r="C470" s="72" t="str">
        <f aca="false">IF(B470="","",IFERROR(INDEX(T_NOMBRE,MATCH(B470,T_ID,0)),"⚠ ID no existe en Trabajadores"))</f>
        <v/>
      </c>
      <c r="D470" s="64"/>
      <c r="E470" s="64"/>
      <c r="F470" s="65"/>
      <c r="G470" s="65"/>
      <c r="H470" s="67"/>
      <c r="I470" s="64"/>
      <c r="J470" s="65"/>
      <c r="K470" s="64"/>
      <c r="L470" s="64"/>
      <c r="M470" s="64"/>
      <c r="N470" s="72" t="str">
        <f aca="false">IF(B470="","",IF(D470="Anexo de modificación","No","Sí"))</f>
        <v/>
      </c>
      <c r="O470" s="73" t="str">
        <f aca="false">IF(AND(N470="Sí",ISNUMBER(F470)),COUNTIFS(C_ID,B470,C_DEFINE,"Sí",C_INICIO,"&lt;"&amp;F470)+COUNTIFS(B$7:B470,B470,N$7:N470,"Sí",F$7:F470,F470),"")</f>
        <v/>
      </c>
      <c r="P470" s="72" t="str">
        <f aca="false">IF(O470="","",B470&amp;"-P"&amp;O470)</f>
        <v/>
      </c>
      <c r="Q470" s="73" t="str">
        <f aca="false">IF(AND(N470="Sí",E470="Plazo fijo",ISNUMBER(F470)),COUNTIFS(C_ID,B470,C_TIPO,"Plazo fijo",C_DEFINE,"Sí",C_INICIO,"&lt;"&amp;F470)+COUNTIFS(B$7:B470,B470,E$7:E470,"Plazo fijo",N$7:N470,"Sí",F$7:F470,F470),"")</f>
        <v/>
      </c>
      <c r="R470" s="73" t="str">
        <f aca="false">IF(AND(B470&lt;&gt;"",ISNUMBER(H470),ISNUMBER(F470)),COUNTIFS(C_ID,B470,C_SUELDO,"&lt;&gt;",C_INICIO,"&lt;"&amp;F470)+COUNTIFS(B$7:B470,B470,H$7:H470,"&lt;&gt;",F$7:F470,F470),"")</f>
        <v/>
      </c>
      <c r="S470" s="72" t="str">
        <f aca="false">IF(R470="","",B470&amp;"-S"&amp;R470)</f>
        <v/>
      </c>
      <c r="T470" s="74" t="str">
        <f aca="false">IF(AND(ISNUMBER(F470),ISNUMBER(G470)),ROUND((G470-F470+1)/30.4375,1),"")</f>
        <v/>
      </c>
      <c r="U470" s="70" t="str">
        <f aca="false">IF(B470="","",IF(AND(N470="Sí",OR(E470="",NOT(ISNUMBER(F470)))),"⚠ Falta tipo de contrato o fecha de inicio",IF(NOT(ISNUMBER(F470)),"⚠ Falta fecha de inicio",IF(AND(N470="Sí",E470&lt;&gt;"Indefinido",NOT(ISNUMBER(G470))),"⚠ Falta fecha de término",IF(AND(D470="Paso a indefinido",E470&lt;&gt;"Indefinido"),"⚠ Un paso a indefinido debe tener tipo Indefinido",IF(N(Q470)&gt;=3,"⚠ 3er contrato a plazo fijo: por ley ya es INDEFINIDO (Art. 159 N°4)",IF(AND(E470="Plazo fijo",N(T470)&gt;12),"⚠ Plazo fijo mayor a 1 año (máx. legal; 2 años solo profesionales o técnicos)",IF(AND(ISNUMBER(G470),G470&lt;F470),"⚠ Término anterior al inicio",IF(AND(D470="Contrato inicial",ISNUMBER(J470),J470-F470&gt;15),"⚠ Escriturado fuera de plazo (Art. 9: 15 días)",IF(K470&lt;&gt;"Sí","Pendiente de firma","OK"))))))))))</f>
        <v/>
      </c>
    </row>
    <row r="471" customFormat="false" ht="15" hidden="false" customHeight="false" outlineLevel="0" collapsed="false">
      <c r="B471" s="64"/>
      <c r="C471" s="72" t="str">
        <f aca="false">IF(B471="","",IFERROR(INDEX(T_NOMBRE,MATCH(B471,T_ID,0)),"⚠ ID no existe en Trabajadores"))</f>
        <v/>
      </c>
      <c r="D471" s="64"/>
      <c r="E471" s="64"/>
      <c r="F471" s="65"/>
      <c r="G471" s="65"/>
      <c r="H471" s="67"/>
      <c r="I471" s="64"/>
      <c r="J471" s="65"/>
      <c r="K471" s="64"/>
      <c r="L471" s="64"/>
      <c r="M471" s="64"/>
      <c r="N471" s="72" t="str">
        <f aca="false">IF(B471="","",IF(D471="Anexo de modificación","No","Sí"))</f>
        <v/>
      </c>
      <c r="O471" s="73" t="str">
        <f aca="false">IF(AND(N471="Sí",ISNUMBER(F471)),COUNTIFS(C_ID,B471,C_DEFINE,"Sí",C_INICIO,"&lt;"&amp;F471)+COUNTIFS(B$7:B471,B471,N$7:N471,"Sí",F$7:F471,F471),"")</f>
        <v/>
      </c>
      <c r="P471" s="72" t="str">
        <f aca="false">IF(O471="","",B471&amp;"-P"&amp;O471)</f>
        <v/>
      </c>
      <c r="Q471" s="73" t="str">
        <f aca="false">IF(AND(N471="Sí",E471="Plazo fijo",ISNUMBER(F471)),COUNTIFS(C_ID,B471,C_TIPO,"Plazo fijo",C_DEFINE,"Sí",C_INICIO,"&lt;"&amp;F471)+COUNTIFS(B$7:B471,B471,E$7:E471,"Plazo fijo",N$7:N471,"Sí",F$7:F471,F471),"")</f>
        <v/>
      </c>
      <c r="R471" s="73" t="str">
        <f aca="false">IF(AND(B471&lt;&gt;"",ISNUMBER(H471),ISNUMBER(F471)),COUNTIFS(C_ID,B471,C_SUELDO,"&lt;&gt;",C_INICIO,"&lt;"&amp;F471)+COUNTIFS(B$7:B471,B471,H$7:H471,"&lt;&gt;",F$7:F471,F471),"")</f>
        <v/>
      </c>
      <c r="S471" s="72" t="str">
        <f aca="false">IF(R471="","",B471&amp;"-S"&amp;R471)</f>
        <v/>
      </c>
      <c r="T471" s="74" t="str">
        <f aca="false">IF(AND(ISNUMBER(F471),ISNUMBER(G471)),ROUND((G471-F471+1)/30.4375,1),"")</f>
        <v/>
      </c>
      <c r="U471" s="70" t="str">
        <f aca="false">IF(B471="","",IF(AND(N471="Sí",OR(E471="",NOT(ISNUMBER(F471)))),"⚠ Falta tipo de contrato o fecha de inicio",IF(NOT(ISNUMBER(F471)),"⚠ Falta fecha de inicio",IF(AND(N471="Sí",E471&lt;&gt;"Indefinido",NOT(ISNUMBER(G471))),"⚠ Falta fecha de término",IF(AND(D471="Paso a indefinido",E471&lt;&gt;"Indefinido"),"⚠ Un paso a indefinido debe tener tipo Indefinido",IF(N(Q471)&gt;=3,"⚠ 3er contrato a plazo fijo: por ley ya es INDEFINIDO (Art. 159 N°4)",IF(AND(E471="Plazo fijo",N(T471)&gt;12),"⚠ Plazo fijo mayor a 1 año (máx. legal; 2 años solo profesionales o técnicos)",IF(AND(ISNUMBER(G471),G471&lt;F471),"⚠ Término anterior al inicio",IF(AND(D471="Contrato inicial",ISNUMBER(J471),J471-F471&gt;15),"⚠ Escriturado fuera de plazo (Art. 9: 15 días)",IF(K471&lt;&gt;"Sí","Pendiente de firma","OK"))))))))))</f>
        <v/>
      </c>
    </row>
    <row r="472" customFormat="false" ht="15" hidden="false" customHeight="false" outlineLevel="0" collapsed="false">
      <c r="B472" s="64"/>
      <c r="C472" s="72" t="str">
        <f aca="false">IF(B472="","",IFERROR(INDEX(T_NOMBRE,MATCH(B472,T_ID,0)),"⚠ ID no existe en Trabajadores"))</f>
        <v/>
      </c>
      <c r="D472" s="64"/>
      <c r="E472" s="64"/>
      <c r="F472" s="65"/>
      <c r="G472" s="65"/>
      <c r="H472" s="67"/>
      <c r="I472" s="64"/>
      <c r="J472" s="65"/>
      <c r="K472" s="64"/>
      <c r="L472" s="64"/>
      <c r="M472" s="64"/>
      <c r="N472" s="72" t="str">
        <f aca="false">IF(B472="","",IF(D472="Anexo de modificación","No","Sí"))</f>
        <v/>
      </c>
      <c r="O472" s="73" t="str">
        <f aca="false">IF(AND(N472="Sí",ISNUMBER(F472)),COUNTIFS(C_ID,B472,C_DEFINE,"Sí",C_INICIO,"&lt;"&amp;F472)+COUNTIFS(B$7:B472,B472,N$7:N472,"Sí",F$7:F472,F472),"")</f>
        <v/>
      </c>
      <c r="P472" s="72" t="str">
        <f aca="false">IF(O472="","",B472&amp;"-P"&amp;O472)</f>
        <v/>
      </c>
      <c r="Q472" s="73" t="str">
        <f aca="false">IF(AND(N472="Sí",E472="Plazo fijo",ISNUMBER(F472)),COUNTIFS(C_ID,B472,C_TIPO,"Plazo fijo",C_DEFINE,"Sí",C_INICIO,"&lt;"&amp;F472)+COUNTIFS(B$7:B472,B472,E$7:E472,"Plazo fijo",N$7:N472,"Sí",F$7:F472,F472),"")</f>
        <v/>
      </c>
      <c r="R472" s="73" t="str">
        <f aca="false">IF(AND(B472&lt;&gt;"",ISNUMBER(H472),ISNUMBER(F472)),COUNTIFS(C_ID,B472,C_SUELDO,"&lt;&gt;",C_INICIO,"&lt;"&amp;F472)+COUNTIFS(B$7:B472,B472,H$7:H472,"&lt;&gt;",F$7:F472,F472),"")</f>
        <v/>
      </c>
      <c r="S472" s="72" t="str">
        <f aca="false">IF(R472="","",B472&amp;"-S"&amp;R472)</f>
        <v/>
      </c>
      <c r="T472" s="74" t="str">
        <f aca="false">IF(AND(ISNUMBER(F472),ISNUMBER(G472)),ROUND((G472-F472+1)/30.4375,1),"")</f>
        <v/>
      </c>
      <c r="U472" s="70" t="str">
        <f aca="false">IF(B472="","",IF(AND(N472="Sí",OR(E472="",NOT(ISNUMBER(F472)))),"⚠ Falta tipo de contrato o fecha de inicio",IF(NOT(ISNUMBER(F472)),"⚠ Falta fecha de inicio",IF(AND(N472="Sí",E472&lt;&gt;"Indefinido",NOT(ISNUMBER(G472))),"⚠ Falta fecha de término",IF(AND(D472="Paso a indefinido",E472&lt;&gt;"Indefinido"),"⚠ Un paso a indefinido debe tener tipo Indefinido",IF(N(Q472)&gt;=3,"⚠ 3er contrato a plazo fijo: por ley ya es INDEFINIDO (Art. 159 N°4)",IF(AND(E472="Plazo fijo",N(T472)&gt;12),"⚠ Plazo fijo mayor a 1 año (máx. legal; 2 años solo profesionales o técnicos)",IF(AND(ISNUMBER(G472),G472&lt;F472),"⚠ Término anterior al inicio",IF(AND(D472="Contrato inicial",ISNUMBER(J472),J472-F472&gt;15),"⚠ Escriturado fuera de plazo (Art. 9: 15 días)",IF(K472&lt;&gt;"Sí","Pendiente de firma","OK"))))))))))</f>
        <v/>
      </c>
    </row>
    <row r="473" customFormat="false" ht="15" hidden="false" customHeight="false" outlineLevel="0" collapsed="false">
      <c r="B473" s="64"/>
      <c r="C473" s="72" t="str">
        <f aca="false">IF(B473="","",IFERROR(INDEX(T_NOMBRE,MATCH(B473,T_ID,0)),"⚠ ID no existe en Trabajadores"))</f>
        <v/>
      </c>
      <c r="D473" s="64"/>
      <c r="E473" s="64"/>
      <c r="F473" s="65"/>
      <c r="G473" s="65"/>
      <c r="H473" s="67"/>
      <c r="I473" s="64"/>
      <c r="J473" s="65"/>
      <c r="K473" s="64"/>
      <c r="L473" s="64"/>
      <c r="M473" s="64"/>
      <c r="N473" s="72" t="str">
        <f aca="false">IF(B473="","",IF(D473="Anexo de modificación","No","Sí"))</f>
        <v/>
      </c>
      <c r="O473" s="73" t="str">
        <f aca="false">IF(AND(N473="Sí",ISNUMBER(F473)),COUNTIFS(C_ID,B473,C_DEFINE,"Sí",C_INICIO,"&lt;"&amp;F473)+COUNTIFS(B$7:B473,B473,N$7:N473,"Sí",F$7:F473,F473),"")</f>
        <v/>
      </c>
      <c r="P473" s="72" t="str">
        <f aca="false">IF(O473="","",B473&amp;"-P"&amp;O473)</f>
        <v/>
      </c>
      <c r="Q473" s="73" t="str">
        <f aca="false">IF(AND(N473="Sí",E473="Plazo fijo",ISNUMBER(F473)),COUNTIFS(C_ID,B473,C_TIPO,"Plazo fijo",C_DEFINE,"Sí",C_INICIO,"&lt;"&amp;F473)+COUNTIFS(B$7:B473,B473,E$7:E473,"Plazo fijo",N$7:N473,"Sí",F$7:F473,F473),"")</f>
        <v/>
      </c>
      <c r="R473" s="73" t="str">
        <f aca="false">IF(AND(B473&lt;&gt;"",ISNUMBER(H473),ISNUMBER(F473)),COUNTIFS(C_ID,B473,C_SUELDO,"&lt;&gt;",C_INICIO,"&lt;"&amp;F473)+COUNTIFS(B$7:B473,B473,H$7:H473,"&lt;&gt;",F$7:F473,F473),"")</f>
        <v/>
      </c>
      <c r="S473" s="72" t="str">
        <f aca="false">IF(R473="","",B473&amp;"-S"&amp;R473)</f>
        <v/>
      </c>
      <c r="T473" s="74" t="str">
        <f aca="false">IF(AND(ISNUMBER(F473),ISNUMBER(G473)),ROUND((G473-F473+1)/30.4375,1),"")</f>
        <v/>
      </c>
      <c r="U473" s="70" t="str">
        <f aca="false">IF(B473="","",IF(AND(N473="Sí",OR(E473="",NOT(ISNUMBER(F473)))),"⚠ Falta tipo de contrato o fecha de inicio",IF(NOT(ISNUMBER(F473)),"⚠ Falta fecha de inicio",IF(AND(N473="Sí",E473&lt;&gt;"Indefinido",NOT(ISNUMBER(G473))),"⚠ Falta fecha de término",IF(AND(D473="Paso a indefinido",E473&lt;&gt;"Indefinido"),"⚠ Un paso a indefinido debe tener tipo Indefinido",IF(N(Q473)&gt;=3,"⚠ 3er contrato a plazo fijo: por ley ya es INDEFINIDO (Art. 159 N°4)",IF(AND(E473="Plazo fijo",N(T473)&gt;12),"⚠ Plazo fijo mayor a 1 año (máx. legal; 2 años solo profesionales o técnicos)",IF(AND(ISNUMBER(G473),G473&lt;F473),"⚠ Término anterior al inicio",IF(AND(D473="Contrato inicial",ISNUMBER(J473),J473-F473&gt;15),"⚠ Escriturado fuera de plazo (Art. 9: 15 días)",IF(K473&lt;&gt;"Sí","Pendiente de firma","OK"))))))))))</f>
        <v/>
      </c>
    </row>
    <row r="474" customFormat="false" ht="15" hidden="false" customHeight="false" outlineLevel="0" collapsed="false">
      <c r="B474" s="64"/>
      <c r="C474" s="72" t="str">
        <f aca="false">IF(B474="","",IFERROR(INDEX(T_NOMBRE,MATCH(B474,T_ID,0)),"⚠ ID no existe en Trabajadores"))</f>
        <v/>
      </c>
      <c r="D474" s="64"/>
      <c r="E474" s="64"/>
      <c r="F474" s="65"/>
      <c r="G474" s="65"/>
      <c r="H474" s="67"/>
      <c r="I474" s="64"/>
      <c r="J474" s="65"/>
      <c r="K474" s="64"/>
      <c r="L474" s="64"/>
      <c r="M474" s="64"/>
      <c r="N474" s="72" t="str">
        <f aca="false">IF(B474="","",IF(D474="Anexo de modificación","No","Sí"))</f>
        <v/>
      </c>
      <c r="O474" s="73" t="str">
        <f aca="false">IF(AND(N474="Sí",ISNUMBER(F474)),COUNTIFS(C_ID,B474,C_DEFINE,"Sí",C_INICIO,"&lt;"&amp;F474)+COUNTIFS(B$7:B474,B474,N$7:N474,"Sí",F$7:F474,F474),"")</f>
        <v/>
      </c>
      <c r="P474" s="72" t="str">
        <f aca="false">IF(O474="","",B474&amp;"-P"&amp;O474)</f>
        <v/>
      </c>
      <c r="Q474" s="73" t="str">
        <f aca="false">IF(AND(N474="Sí",E474="Plazo fijo",ISNUMBER(F474)),COUNTIFS(C_ID,B474,C_TIPO,"Plazo fijo",C_DEFINE,"Sí",C_INICIO,"&lt;"&amp;F474)+COUNTIFS(B$7:B474,B474,E$7:E474,"Plazo fijo",N$7:N474,"Sí",F$7:F474,F474),"")</f>
        <v/>
      </c>
      <c r="R474" s="73" t="str">
        <f aca="false">IF(AND(B474&lt;&gt;"",ISNUMBER(H474),ISNUMBER(F474)),COUNTIFS(C_ID,B474,C_SUELDO,"&lt;&gt;",C_INICIO,"&lt;"&amp;F474)+COUNTIFS(B$7:B474,B474,H$7:H474,"&lt;&gt;",F$7:F474,F474),"")</f>
        <v/>
      </c>
      <c r="S474" s="72" t="str">
        <f aca="false">IF(R474="","",B474&amp;"-S"&amp;R474)</f>
        <v/>
      </c>
      <c r="T474" s="74" t="str">
        <f aca="false">IF(AND(ISNUMBER(F474),ISNUMBER(G474)),ROUND((G474-F474+1)/30.4375,1),"")</f>
        <v/>
      </c>
      <c r="U474" s="70" t="str">
        <f aca="false">IF(B474="","",IF(AND(N474="Sí",OR(E474="",NOT(ISNUMBER(F474)))),"⚠ Falta tipo de contrato o fecha de inicio",IF(NOT(ISNUMBER(F474)),"⚠ Falta fecha de inicio",IF(AND(N474="Sí",E474&lt;&gt;"Indefinido",NOT(ISNUMBER(G474))),"⚠ Falta fecha de término",IF(AND(D474="Paso a indefinido",E474&lt;&gt;"Indefinido"),"⚠ Un paso a indefinido debe tener tipo Indefinido",IF(N(Q474)&gt;=3,"⚠ 3er contrato a plazo fijo: por ley ya es INDEFINIDO (Art. 159 N°4)",IF(AND(E474="Plazo fijo",N(T474)&gt;12),"⚠ Plazo fijo mayor a 1 año (máx. legal; 2 años solo profesionales o técnicos)",IF(AND(ISNUMBER(G474),G474&lt;F474),"⚠ Término anterior al inicio",IF(AND(D474="Contrato inicial",ISNUMBER(J474),J474-F474&gt;15),"⚠ Escriturado fuera de plazo (Art. 9: 15 días)",IF(K474&lt;&gt;"Sí","Pendiente de firma","OK"))))))))))</f>
        <v/>
      </c>
    </row>
    <row r="475" customFormat="false" ht="15" hidden="false" customHeight="false" outlineLevel="0" collapsed="false">
      <c r="B475" s="64"/>
      <c r="C475" s="72" t="str">
        <f aca="false">IF(B475="","",IFERROR(INDEX(T_NOMBRE,MATCH(B475,T_ID,0)),"⚠ ID no existe en Trabajadores"))</f>
        <v/>
      </c>
      <c r="D475" s="64"/>
      <c r="E475" s="64"/>
      <c r="F475" s="65"/>
      <c r="G475" s="65"/>
      <c r="H475" s="67"/>
      <c r="I475" s="64"/>
      <c r="J475" s="65"/>
      <c r="K475" s="64"/>
      <c r="L475" s="64"/>
      <c r="M475" s="64"/>
      <c r="N475" s="72" t="str">
        <f aca="false">IF(B475="","",IF(D475="Anexo de modificación","No","Sí"))</f>
        <v/>
      </c>
      <c r="O475" s="73" t="str">
        <f aca="false">IF(AND(N475="Sí",ISNUMBER(F475)),COUNTIFS(C_ID,B475,C_DEFINE,"Sí",C_INICIO,"&lt;"&amp;F475)+COUNTIFS(B$7:B475,B475,N$7:N475,"Sí",F$7:F475,F475),"")</f>
        <v/>
      </c>
      <c r="P475" s="72" t="str">
        <f aca="false">IF(O475="","",B475&amp;"-P"&amp;O475)</f>
        <v/>
      </c>
      <c r="Q475" s="73" t="str">
        <f aca="false">IF(AND(N475="Sí",E475="Plazo fijo",ISNUMBER(F475)),COUNTIFS(C_ID,B475,C_TIPO,"Plazo fijo",C_DEFINE,"Sí",C_INICIO,"&lt;"&amp;F475)+COUNTIFS(B$7:B475,B475,E$7:E475,"Plazo fijo",N$7:N475,"Sí",F$7:F475,F475),"")</f>
        <v/>
      </c>
      <c r="R475" s="73" t="str">
        <f aca="false">IF(AND(B475&lt;&gt;"",ISNUMBER(H475),ISNUMBER(F475)),COUNTIFS(C_ID,B475,C_SUELDO,"&lt;&gt;",C_INICIO,"&lt;"&amp;F475)+COUNTIFS(B$7:B475,B475,H$7:H475,"&lt;&gt;",F$7:F475,F475),"")</f>
        <v/>
      </c>
      <c r="S475" s="72" t="str">
        <f aca="false">IF(R475="","",B475&amp;"-S"&amp;R475)</f>
        <v/>
      </c>
      <c r="T475" s="74" t="str">
        <f aca="false">IF(AND(ISNUMBER(F475),ISNUMBER(G475)),ROUND((G475-F475+1)/30.4375,1),"")</f>
        <v/>
      </c>
      <c r="U475" s="70" t="str">
        <f aca="false">IF(B475="","",IF(AND(N475="Sí",OR(E475="",NOT(ISNUMBER(F475)))),"⚠ Falta tipo de contrato o fecha de inicio",IF(NOT(ISNUMBER(F475)),"⚠ Falta fecha de inicio",IF(AND(N475="Sí",E475&lt;&gt;"Indefinido",NOT(ISNUMBER(G475))),"⚠ Falta fecha de término",IF(AND(D475="Paso a indefinido",E475&lt;&gt;"Indefinido"),"⚠ Un paso a indefinido debe tener tipo Indefinido",IF(N(Q475)&gt;=3,"⚠ 3er contrato a plazo fijo: por ley ya es INDEFINIDO (Art. 159 N°4)",IF(AND(E475="Plazo fijo",N(T475)&gt;12),"⚠ Plazo fijo mayor a 1 año (máx. legal; 2 años solo profesionales o técnicos)",IF(AND(ISNUMBER(G475),G475&lt;F475),"⚠ Término anterior al inicio",IF(AND(D475="Contrato inicial",ISNUMBER(J475),J475-F475&gt;15),"⚠ Escriturado fuera de plazo (Art. 9: 15 días)",IF(K475&lt;&gt;"Sí","Pendiente de firma","OK"))))))))))</f>
        <v/>
      </c>
    </row>
    <row r="476" customFormat="false" ht="15" hidden="false" customHeight="false" outlineLevel="0" collapsed="false">
      <c r="B476" s="64"/>
      <c r="C476" s="72" t="str">
        <f aca="false">IF(B476="","",IFERROR(INDEX(T_NOMBRE,MATCH(B476,T_ID,0)),"⚠ ID no existe en Trabajadores"))</f>
        <v/>
      </c>
      <c r="D476" s="64"/>
      <c r="E476" s="64"/>
      <c r="F476" s="65"/>
      <c r="G476" s="65"/>
      <c r="H476" s="67"/>
      <c r="I476" s="64"/>
      <c r="J476" s="65"/>
      <c r="K476" s="64"/>
      <c r="L476" s="64"/>
      <c r="M476" s="64"/>
      <c r="N476" s="72" t="str">
        <f aca="false">IF(B476="","",IF(D476="Anexo de modificación","No","Sí"))</f>
        <v/>
      </c>
      <c r="O476" s="73" t="str">
        <f aca="false">IF(AND(N476="Sí",ISNUMBER(F476)),COUNTIFS(C_ID,B476,C_DEFINE,"Sí",C_INICIO,"&lt;"&amp;F476)+COUNTIFS(B$7:B476,B476,N$7:N476,"Sí",F$7:F476,F476),"")</f>
        <v/>
      </c>
      <c r="P476" s="72" t="str">
        <f aca="false">IF(O476="","",B476&amp;"-P"&amp;O476)</f>
        <v/>
      </c>
      <c r="Q476" s="73" t="str">
        <f aca="false">IF(AND(N476="Sí",E476="Plazo fijo",ISNUMBER(F476)),COUNTIFS(C_ID,B476,C_TIPO,"Plazo fijo",C_DEFINE,"Sí",C_INICIO,"&lt;"&amp;F476)+COUNTIFS(B$7:B476,B476,E$7:E476,"Plazo fijo",N$7:N476,"Sí",F$7:F476,F476),"")</f>
        <v/>
      </c>
      <c r="R476" s="73" t="str">
        <f aca="false">IF(AND(B476&lt;&gt;"",ISNUMBER(H476),ISNUMBER(F476)),COUNTIFS(C_ID,B476,C_SUELDO,"&lt;&gt;",C_INICIO,"&lt;"&amp;F476)+COUNTIFS(B$7:B476,B476,H$7:H476,"&lt;&gt;",F$7:F476,F476),"")</f>
        <v/>
      </c>
      <c r="S476" s="72" t="str">
        <f aca="false">IF(R476="","",B476&amp;"-S"&amp;R476)</f>
        <v/>
      </c>
      <c r="T476" s="74" t="str">
        <f aca="false">IF(AND(ISNUMBER(F476),ISNUMBER(G476)),ROUND((G476-F476+1)/30.4375,1),"")</f>
        <v/>
      </c>
      <c r="U476" s="70" t="str">
        <f aca="false">IF(B476="","",IF(AND(N476="Sí",OR(E476="",NOT(ISNUMBER(F476)))),"⚠ Falta tipo de contrato o fecha de inicio",IF(NOT(ISNUMBER(F476)),"⚠ Falta fecha de inicio",IF(AND(N476="Sí",E476&lt;&gt;"Indefinido",NOT(ISNUMBER(G476))),"⚠ Falta fecha de término",IF(AND(D476="Paso a indefinido",E476&lt;&gt;"Indefinido"),"⚠ Un paso a indefinido debe tener tipo Indefinido",IF(N(Q476)&gt;=3,"⚠ 3er contrato a plazo fijo: por ley ya es INDEFINIDO (Art. 159 N°4)",IF(AND(E476="Plazo fijo",N(T476)&gt;12),"⚠ Plazo fijo mayor a 1 año (máx. legal; 2 años solo profesionales o técnicos)",IF(AND(ISNUMBER(G476),G476&lt;F476),"⚠ Término anterior al inicio",IF(AND(D476="Contrato inicial",ISNUMBER(J476),J476-F476&gt;15),"⚠ Escriturado fuera de plazo (Art. 9: 15 días)",IF(K476&lt;&gt;"Sí","Pendiente de firma","OK"))))))))))</f>
        <v/>
      </c>
    </row>
    <row r="477" customFormat="false" ht="15" hidden="false" customHeight="false" outlineLevel="0" collapsed="false">
      <c r="B477" s="64"/>
      <c r="C477" s="72" t="str">
        <f aca="false">IF(B477="","",IFERROR(INDEX(T_NOMBRE,MATCH(B477,T_ID,0)),"⚠ ID no existe en Trabajadores"))</f>
        <v/>
      </c>
      <c r="D477" s="64"/>
      <c r="E477" s="64"/>
      <c r="F477" s="65"/>
      <c r="G477" s="65"/>
      <c r="H477" s="67"/>
      <c r="I477" s="64"/>
      <c r="J477" s="65"/>
      <c r="K477" s="64"/>
      <c r="L477" s="64"/>
      <c r="M477" s="64"/>
      <c r="N477" s="72" t="str">
        <f aca="false">IF(B477="","",IF(D477="Anexo de modificación","No","Sí"))</f>
        <v/>
      </c>
      <c r="O477" s="73" t="str">
        <f aca="false">IF(AND(N477="Sí",ISNUMBER(F477)),COUNTIFS(C_ID,B477,C_DEFINE,"Sí",C_INICIO,"&lt;"&amp;F477)+COUNTIFS(B$7:B477,B477,N$7:N477,"Sí",F$7:F477,F477),"")</f>
        <v/>
      </c>
      <c r="P477" s="72" t="str">
        <f aca="false">IF(O477="","",B477&amp;"-P"&amp;O477)</f>
        <v/>
      </c>
      <c r="Q477" s="73" t="str">
        <f aca="false">IF(AND(N477="Sí",E477="Plazo fijo",ISNUMBER(F477)),COUNTIFS(C_ID,B477,C_TIPO,"Plazo fijo",C_DEFINE,"Sí",C_INICIO,"&lt;"&amp;F477)+COUNTIFS(B$7:B477,B477,E$7:E477,"Plazo fijo",N$7:N477,"Sí",F$7:F477,F477),"")</f>
        <v/>
      </c>
      <c r="R477" s="73" t="str">
        <f aca="false">IF(AND(B477&lt;&gt;"",ISNUMBER(H477),ISNUMBER(F477)),COUNTIFS(C_ID,B477,C_SUELDO,"&lt;&gt;",C_INICIO,"&lt;"&amp;F477)+COUNTIFS(B$7:B477,B477,H$7:H477,"&lt;&gt;",F$7:F477,F477),"")</f>
        <v/>
      </c>
      <c r="S477" s="72" t="str">
        <f aca="false">IF(R477="","",B477&amp;"-S"&amp;R477)</f>
        <v/>
      </c>
      <c r="T477" s="74" t="str">
        <f aca="false">IF(AND(ISNUMBER(F477),ISNUMBER(G477)),ROUND((G477-F477+1)/30.4375,1),"")</f>
        <v/>
      </c>
      <c r="U477" s="70" t="str">
        <f aca="false">IF(B477="","",IF(AND(N477="Sí",OR(E477="",NOT(ISNUMBER(F477)))),"⚠ Falta tipo de contrato o fecha de inicio",IF(NOT(ISNUMBER(F477)),"⚠ Falta fecha de inicio",IF(AND(N477="Sí",E477&lt;&gt;"Indefinido",NOT(ISNUMBER(G477))),"⚠ Falta fecha de término",IF(AND(D477="Paso a indefinido",E477&lt;&gt;"Indefinido"),"⚠ Un paso a indefinido debe tener tipo Indefinido",IF(N(Q477)&gt;=3,"⚠ 3er contrato a plazo fijo: por ley ya es INDEFINIDO (Art. 159 N°4)",IF(AND(E477="Plazo fijo",N(T477)&gt;12),"⚠ Plazo fijo mayor a 1 año (máx. legal; 2 años solo profesionales o técnicos)",IF(AND(ISNUMBER(G477),G477&lt;F477),"⚠ Término anterior al inicio",IF(AND(D477="Contrato inicial",ISNUMBER(J477),J477-F477&gt;15),"⚠ Escriturado fuera de plazo (Art. 9: 15 días)",IF(K477&lt;&gt;"Sí","Pendiente de firma","OK"))))))))))</f>
        <v/>
      </c>
    </row>
    <row r="478" customFormat="false" ht="15" hidden="false" customHeight="false" outlineLevel="0" collapsed="false">
      <c r="B478" s="64"/>
      <c r="C478" s="72" t="str">
        <f aca="false">IF(B478="","",IFERROR(INDEX(T_NOMBRE,MATCH(B478,T_ID,0)),"⚠ ID no existe en Trabajadores"))</f>
        <v/>
      </c>
      <c r="D478" s="64"/>
      <c r="E478" s="64"/>
      <c r="F478" s="65"/>
      <c r="G478" s="65"/>
      <c r="H478" s="67"/>
      <c r="I478" s="64"/>
      <c r="J478" s="65"/>
      <c r="K478" s="64"/>
      <c r="L478" s="64"/>
      <c r="M478" s="64"/>
      <c r="N478" s="72" t="str">
        <f aca="false">IF(B478="","",IF(D478="Anexo de modificación","No","Sí"))</f>
        <v/>
      </c>
      <c r="O478" s="73" t="str">
        <f aca="false">IF(AND(N478="Sí",ISNUMBER(F478)),COUNTIFS(C_ID,B478,C_DEFINE,"Sí",C_INICIO,"&lt;"&amp;F478)+COUNTIFS(B$7:B478,B478,N$7:N478,"Sí",F$7:F478,F478),"")</f>
        <v/>
      </c>
      <c r="P478" s="72" t="str">
        <f aca="false">IF(O478="","",B478&amp;"-P"&amp;O478)</f>
        <v/>
      </c>
      <c r="Q478" s="73" t="str">
        <f aca="false">IF(AND(N478="Sí",E478="Plazo fijo",ISNUMBER(F478)),COUNTIFS(C_ID,B478,C_TIPO,"Plazo fijo",C_DEFINE,"Sí",C_INICIO,"&lt;"&amp;F478)+COUNTIFS(B$7:B478,B478,E$7:E478,"Plazo fijo",N$7:N478,"Sí",F$7:F478,F478),"")</f>
        <v/>
      </c>
      <c r="R478" s="73" t="str">
        <f aca="false">IF(AND(B478&lt;&gt;"",ISNUMBER(H478),ISNUMBER(F478)),COUNTIFS(C_ID,B478,C_SUELDO,"&lt;&gt;",C_INICIO,"&lt;"&amp;F478)+COUNTIFS(B$7:B478,B478,H$7:H478,"&lt;&gt;",F$7:F478,F478),"")</f>
        <v/>
      </c>
      <c r="S478" s="72" t="str">
        <f aca="false">IF(R478="","",B478&amp;"-S"&amp;R478)</f>
        <v/>
      </c>
      <c r="T478" s="74" t="str">
        <f aca="false">IF(AND(ISNUMBER(F478),ISNUMBER(G478)),ROUND((G478-F478+1)/30.4375,1),"")</f>
        <v/>
      </c>
      <c r="U478" s="70" t="str">
        <f aca="false">IF(B478="","",IF(AND(N478="Sí",OR(E478="",NOT(ISNUMBER(F478)))),"⚠ Falta tipo de contrato o fecha de inicio",IF(NOT(ISNUMBER(F478)),"⚠ Falta fecha de inicio",IF(AND(N478="Sí",E478&lt;&gt;"Indefinido",NOT(ISNUMBER(G478))),"⚠ Falta fecha de término",IF(AND(D478="Paso a indefinido",E478&lt;&gt;"Indefinido"),"⚠ Un paso a indefinido debe tener tipo Indefinido",IF(N(Q478)&gt;=3,"⚠ 3er contrato a plazo fijo: por ley ya es INDEFINIDO (Art. 159 N°4)",IF(AND(E478="Plazo fijo",N(T478)&gt;12),"⚠ Plazo fijo mayor a 1 año (máx. legal; 2 años solo profesionales o técnicos)",IF(AND(ISNUMBER(G478),G478&lt;F478),"⚠ Término anterior al inicio",IF(AND(D478="Contrato inicial",ISNUMBER(J478),J478-F478&gt;15),"⚠ Escriturado fuera de plazo (Art. 9: 15 días)",IF(K478&lt;&gt;"Sí","Pendiente de firma","OK"))))))))))</f>
        <v/>
      </c>
    </row>
    <row r="479" customFormat="false" ht="15" hidden="false" customHeight="false" outlineLevel="0" collapsed="false">
      <c r="B479" s="64"/>
      <c r="C479" s="72" t="str">
        <f aca="false">IF(B479="","",IFERROR(INDEX(T_NOMBRE,MATCH(B479,T_ID,0)),"⚠ ID no existe en Trabajadores"))</f>
        <v/>
      </c>
      <c r="D479" s="64"/>
      <c r="E479" s="64"/>
      <c r="F479" s="65"/>
      <c r="G479" s="65"/>
      <c r="H479" s="67"/>
      <c r="I479" s="64"/>
      <c r="J479" s="65"/>
      <c r="K479" s="64"/>
      <c r="L479" s="64"/>
      <c r="M479" s="64"/>
      <c r="N479" s="72" t="str">
        <f aca="false">IF(B479="","",IF(D479="Anexo de modificación","No","Sí"))</f>
        <v/>
      </c>
      <c r="O479" s="73" t="str">
        <f aca="false">IF(AND(N479="Sí",ISNUMBER(F479)),COUNTIFS(C_ID,B479,C_DEFINE,"Sí",C_INICIO,"&lt;"&amp;F479)+COUNTIFS(B$7:B479,B479,N$7:N479,"Sí",F$7:F479,F479),"")</f>
        <v/>
      </c>
      <c r="P479" s="72" t="str">
        <f aca="false">IF(O479="","",B479&amp;"-P"&amp;O479)</f>
        <v/>
      </c>
      <c r="Q479" s="73" t="str">
        <f aca="false">IF(AND(N479="Sí",E479="Plazo fijo",ISNUMBER(F479)),COUNTIFS(C_ID,B479,C_TIPO,"Plazo fijo",C_DEFINE,"Sí",C_INICIO,"&lt;"&amp;F479)+COUNTIFS(B$7:B479,B479,E$7:E479,"Plazo fijo",N$7:N479,"Sí",F$7:F479,F479),"")</f>
        <v/>
      </c>
      <c r="R479" s="73" t="str">
        <f aca="false">IF(AND(B479&lt;&gt;"",ISNUMBER(H479),ISNUMBER(F479)),COUNTIFS(C_ID,B479,C_SUELDO,"&lt;&gt;",C_INICIO,"&lt;"&amp;F479)+COUNTIFS(B$7:B479,B479,H$7:H479,"&lt;&gt;",F$7:F479,F479),"")</f>
        <v/>
      </c>
      <c r="S479" s="72" t="str">
        <f aca="false">IF(R479="","",B479&amp;"-S"&amp;R479)</f>
        <v/>
      </c>
      <c r="T479" s="74" t="str">
        <f aca="false">IF(AND(ISNUMBER(F479),ISNUMBER(G479)),ROUND((G479-F479+1)/30.4375,1),"")</f>
        <v/>
      </c>
      <c r="U479" s="70" t="str">
        <f aca="false">IF(B479="","",IF(AND(N479="Sí",OR(E479="",NOT(ISNUMBER(F479)))),"⚠ Falta tipo de contrato o fecha de inicio",IF(NOT(ISNUMBER(F479)),"⚠ Falta fecha de inicio",IF(AND(N479="Sí",E479&lt;&gt;"Indefinido",NOT(ISNUMBER(G479))),"⚠ Falta fecha de término",IF(AND(D479="Paso a indefinido",E479&lt;&gt;"Indefinido"),"⚠ Un paso a indefinido debe tener tipo Indefinido",IF(N(Q479)&gt;=3,"⚠ 3er contrato a plazo fijo: por ley ya es INDEFINIDO (Art. 159 N°4)",IF(AND(E479="Plazo fijo",N(T479)&gt;12),"⚠ Plazo fijo mayor a 1 año (máx. legal; 2 años solo profesionales o técnicos)",IF(AND(ISNUMBER(G479),G479&lt;F479),"⚠ Término anterior al inicio",IF(AND(D479="Contrato inicial",ISNUMBER(J479),J479-F479&gt;15),"⚠ Escriturado fuera de plazo (Art. 9: 15 días)",IF(K479&lt;&gt;"Sí","Pendiente de firma","OK"))))))))))</f>
        <v/>
      </c>
    </row>
    <row r="480" customFormat="false" ht="15" hidden="false" customHeight="false" outlineLevel="0" collapsed="false">
      <c r="B480" s="64"/>
      <c r="C480" s="72" t="str">
        <f aca="false">IF(B480="","",IFERROR(INDEX(T_NOMBRE,MATCH(B480,T_ID,0)),"⚠ ID no existe en Trabajadores"))</f>
        <v/>
      </c>
      <c r="D480" s="64"/>
      <c r="E480" s="64"/>
      <c r="F480" s="65"/>
      <c r="G480" s="65"/>
      <c r="H480" s="67"/>
      <c r="I480" s="64"/>
      <c r="J480" s="65"/>
      <c r="K480" s="64"/>
      <c r="L480" s="64"/>
      <c r="M480" s="64"/>
      <c r="N480" s="72" t="str">
        <f aca="false">IF(B480="","",IF(D480="Anexo de modificación","No","Sí"))</f>
        <v/>
      </c>
      <c r="O480" s="73" t="str">
        <f aca="false">IF(AND(N480="Sí",ISNUMBER(F480)),COUNTIFS(C_ID,B480,C_DEFINE,"Sí",C_INICIO,"&lt;"&amp;F480)+COUNTIFS(B$7:B480,B480,N$7:N480,"Sí",F$7:F480,F480),"")</f>
        <v/>
      </c>
      <c r="P480" s="72" t="str">
        <f aca="false">IF(O480="","",B480&amp;"-P"&amp;O480)</f>
        <v/>
      </c>
      <c r="Q480" s="73" t="str">
        <f aca="false">IF(AND(N480="Sí",E480="Plazo fijo",ISNUMBER(F480)),COUNTIFS(C_ID,B480,C_TIPO,"Plazo fijo",C_DEFINE,"Sí",C_INICIO,"&lt;"&amp;F480)+COUNTIFS(B$7:B480,B480,E$7:E480,"Plazo fijo",N$7:N480,"Sí",F$7:F480,F480),"")</f>
        <v/>
      </c>
      <c r="R480" s="73" t="str">
        <f aca="false">IF(AND(B480&lt;&gt;"",ISNUMBER(H480),ISNUMBER(F480)),COUNTIFS(C_ID,B480,C_SUELDO,"&lt;&gt;",C_INICIO,"&lt;"&amp;F480)+COUNTIFS(B$7:B480,B480,H$7:H480,"&lt;&gt;",F$7:F480,F480),"")</f>
        <v/>
      </c>
      <c r="S480" s="72" t="str">
        <f aca="false">IF(R480="","",B480&amp;"-S"&amp;R480)</f>
        <v/>
      </c>
      <c r="T480" s="74" t="str">
        <f aca="false">IF(AND(ISNUMBER(F480),ISNUMBER(G480)),ROUND((G480-F480+1)/30.4375,1),"")</f>
        <v/>
      </c>
      <c r="U480" s="70" t="str">
        <f aca="false">IF(B480="","",IF(AND(N480="Sí",OR(E480="",NOT(ISNUMBER(F480)))),"⚠ Falta tipo de contrato o fecha de inicio",IF(NOT(ISNUMBER(F480)),"⚠ Falta fecha de inicio",IF(AND(N480="Sí",E480&lt;&gt;"Indefinido",NOT(ISNUMBER(G480))),"⚠ Falta fecha de término",IF(AND(D480="Paso a indefinido",E480&lt;&gt;"Indefinido"),"⚠ Un paso a indefinido debe tener tipo Indefinido",IF(N(Q480)&gt;=3,"⚠ 3er contrato a plazo fijo: por ley ya es INDEFINIDO (Art. 159 N°4)",IF(AND(E480="Plazo fijo",N(T480)&gt;12),"⚠ Plazo fijo mayor a 1 año (máx. legal; 2 años solo profesionales o técnicos)",IF(AND(ISNUMBER(G480),G480&lt;F480),"⚠ Término anterior al inicio",IF(AND(D480="Contrato inicial",ISNUMBER(J480),J480-F480&gt;15),"⚠ Escriturado fuera de plazo (Art. 9: 15 días)",IF(K480&lt;&gt;"Sí","Pendiente de firma","OK"))))))))))</f>
        <v/>
      </c>
    </row>
    <row r="481" customFormat="false" ht="15" hidden="false" customHeight="false" outlineLevel="0" collapsed="false">
      <c r="B481" s="64"/>
      <c r="C481" s="72" t="str">
        <f aca="false">IF(B481="","",IFERROR(INDEX(T_NOMBRE,MATCH(B481,T_ID,0)),"⚠ ID no existe en Trabajadores"))</f>
        <v/>
      </c>
      <c r="D481" s="64"/>
      <c r="E481" s="64"/>
      <c r="F481" s="65"/>
      <c r="G481" s="65"/>
      <c r="H481" s="67"/>
      <c r="I481" s="64"/>
      <c r="J481" s="65"/>
      <c r="K481" s="64"/>
      <c r="L481" s="64"/>
      <c r="M481" s="64"/>
      <c r="N481" s="72" t="str">
        <f aca="false">IF(B481="","",IF(D481="Anexo de modificación","No","Sí"))</f>
        <v/>
      </c>
      <c r="O481" s="73" t="str">
        <f aca="false">IF(AND(N481="Sí",ISNUMBER(F481)),COUNTIFS(C_ID,B481,C_DEFINE,"Sí",C_INICIO,"&lt;"&amp;F481)+COUNTIFS(B$7:B481,B481,N$7:N481,"Sí",F$7:F481,F481),"")</f>
        <v/>
      </c>
      <c r="P481" s="72" t="str">
        <f aca="false">IF(O481="","",B481&amp;"-P"&amp;O481)</f>
        <v/>
      </c>
      <c r="Q481" s="73" t="str">
        <f aca="false">IF(AND(N481="Sí",E481="Plazo fijo",ISNUMBER(F481)),COUNTIFS(C_ID,B481,C_TIPO,"Plazo fijo",C_DEFINE,"Sí",C_INICIO,"&lt;"&amp;F481)+COUNTIFS(B$7:B481,B481,E$7:E481,"Plazo fijo",N$7:N481,"Sí",F$7:F481,F481),"")</f>
        <v/>
      </c>
      <c r="R481" s="73" t="str">
        <f aca="false">IF(AND(B481&lt;&gt;"",ISNUMBER(H481),ISNUMBER(F481)),COUNTIFS(C_ID,B481,C_SUELDO,"&lt;&gt;",C_INICIO,"&lt;"&amp;F481)+COUNTIFS(B$7:B481,B481,H$7:H481,"&lt;&gt;",F$7:F481,F481),"")</f>
        <v/>
      </c>
      <c r="S481" s="72" t="str">
        <f aca="false">IF(R481="","",B481&amp;"-S"&amp;R481)</f>
        <v/>
      </c>
      <c r="T481" s="74" t="str">
        <f aca="false">IF(AND(ISNUMBER(F481),ISNUMBER(G481)),ROUND((G481-F481+1)/30.4375,1),"")</f>
        <v/>
      </c>
      <c r="U481" s="70" t="str">
        <f aca="false">IF(B481="","",IF(AND(N481="Sí",OR(E481="",NOT(ISNUMBER(F481)))),"⚠ Falta tipo de contrato o fecha de inicio",IF(NOT(ISNUMBER(F481)),"⚠ Falta fecha de inicio",IF(AND(N481="Sí",E481&lt;&gt;"Indefinido",NOT(ISNUMBER(G481))),"⚠ Falta fecha de término",IF(AND(D481="Paso a indefinido",E481&lt;&gt;"Indefinido"),"⚠ Un paso a indefinido debe tener tipo Indefinido",IF(N(Q481)&gt;=3,"⚠ 3er contrato a plazo fijo: por ley ya es INDEFINIDO (Art. 159 N°4)",IF(AND(E481="Plazo fijo",N(T481)&gt;12),"⚠ Plazo fijo mayor a 1 año (máx. legal; 2 años solo profesionales o técnicos)",IF(AND(ISNUMBER(G481),G481&lt;F481),"⚠ Término anterior al inicio",IF(AND(D481="Contrato inicial",ISNUMBER(J481),J481-F481&gt;15),"⚠ Escriturado fuera de plazo (Art. 9: 15 días)",IF(K481&lt;&gt;"Sí","Pendiente de firma","OK"))))))))))</f>
        <v/>
      </c>
    </row>
    <row r="482" customFormat="false" ht="15" hidden="false" customHeight="false" outlineLevel="0" collapsed="false">
      <c r="B482" s="64"/>
      <c r="C482" s="72" t="str">
        <f aca="false">IF(B482="","",IFERROR(INDEX(T_NOMBRE,MATCH(B482,T_ID,0)),"⚠ ID no existe en Trabajadores"))</f>
        <v/>
      </c>
      <c r="D482" s="64"/>
      <c r="E482" s="64"/>
      <c r="F482" s="65"/>
      <c r="G482" s="65"/>
      <c r="H482" s="67"/>
      <c r="I482" s="64"/>
      <c r="J482" s="65"/>
      <c r="K482" s="64"/>
      <c r="L482" s="64"/>
      <c r="M482" s="64"/>
      <c r="N482" s="72" t="str">
        <f aca="false">IF(B482="","",IF(D482="Anexo de modificación","No","Sí"))</f>
        <v/>
      </c>
      <c r="O482" s="73" t="str">
        <f aca="false">IF(AND(N482="Sí",ISNUMBER(F482)),COUNTIFS(C_ID,B482,C_DEFINE,"Sí",C_INICIO,"&lt;"&amp;F482)+COUNTIFS(B$7:B482,B482,N$7:N482,"Sí",F$7:F482,F482),"")</f>
        <v/>
      </c>
      <c r="P482" s="72" t="str">
        <f aca="false">IF(O482="","",B482&amp;"-P"&amp;O482)</f>
        <v/>
      </c>
      <c r="Q482" s="73" t="str">
        <f aca="false">IF(AND(N482="Sí",E482="Plazo fijo",ISNUMBER(F482)),COUNTIFS(C_ID,B482,C_TIPO,"Plazo fijo",C_DEFINE,"Sí",C_INICIO,"&lt;"&amp;F482)+COUNTIFS(B$7:B482,B482,E$7:E482,"Plazo fijo",N$7:N482,"Sí",F$7:F482,F482),"")</f>
        <v/>
      </c>
      <c r="R482" s="73" t="str">
        <f aca="false">IF(AND(B482&lt;&gt;"",ISNUMBER(H482),ISNUMBER(F482)),COUNTIFS(C_ID,B482,C_SUELDO,"&lt;&gt;",C_INICIO,"&lt;"&amp;F482)+COUNTIFS(B$7:B482,B482,H$7:H482,"&lt;&gt;",F$7:F482,F482),"")</f>
        <v/>
      </c>
      <c r="S482" s="72" t="str">
        <f aca="false">IF(R482="","",B482&amp;"-S"&amp;R482)</f>
        <v/>
      </c>
      <c r="T482" s="74" t="str">
        <f aca="false">IF(AND(ISNUMBER(F482),ISNUMBER(G482)),ROUND((G482-F482+1)/30.4375,1),"")</f>
        <v/>
      </c>
      <c r="U482" s="70" t="str">
        <f aca="false">IF(B482="","",IF(AND(N482="Sí",OR(E482="",NOT(ISNUMBER(F482)))),"⚠ Falta tipo de contrato o fecha de inicio",IF(NOT(ISNUMBER(F482)),"⚠ Falta fecha de inicio",IF(AND(N482="Sí",E482&lt;&gt;"Indefinido",NOT(ISNUMBER(G482))),"⚠ Falta fecha de término",IF(AND(D482="Paso a indefinido",E482&lt;&gt;"Indefinido"),"⚠ Un paso a indefinido debe tener tipo Indefinido",IF(N(Q482)&gt;=3,"⚠ 3er contrato a plazo fijo: por ley ya es INDEFINIDO (Art. 159 N°4)",IF(AND(E482="Plazo fijo",N(T482)&gt;12),"⚠ Plazo fijo mayor a 1 año (máx. legal; 2 años solo profesionales o técnicos)",IF(AND(ISNUMBER(G482),G482&lt;F482),"⚠ Término anterior al inicio",IF(AND(D482="Contrato inicial",ISNUMBER(J482),J482-F482&gt;15),"⚠ Escriturado fuera de plazo (Art. 9: 15 días)",IF(K482&lt;&gt;"Sí","Pendiente de firma","OK"))))))))))</f>
        <v/>
      </c>
    </row>
    <row r="483" customFormat="false" ht="15" hidden="false" customHeight="false" outlineLevel="0" collapsed="false">
      <c r="B483" s="64"/>
      <c r="C483" s="72" t="str">
        <f aca="false">IF(B483="","",IFERROR(INDEX(T_NOMBRE,MATCH(B483,T_ID,0)),"⚠ ID no existe en Trabajadores"))</f>
        <v/>
      </c>
      <c r="D483" s="64"/>
      <c r="E483" s="64"/>
      <c r="F483" s="65"/>
      <c r="G483" s="65"/>
      <c r="H483" s="67"/>
      <c r="I483" s="64"/>
      <c r="J483" s="65"/>
      <c r="K483" s="64"/>
      <c r="L483" s="64"/>
      <c r="M483" s="64"/>
      <c r="N483" s="72" t="str">
        <f aca="false">IF(B483="","",IF(D483="Anexo de modificación","No","Sí"))</f>
        <v/>
      </c>
      <c r="O483" s="73" t="str">
        <f aca="false">IF(AND(N483="Sí",ISNUMBER(F483)),COUNTIFS(C_ID,B483,C_DEFINE,"Sí",C_INICIO,"&lt;"&amp;F483)+COUNTIFS(B$7:B483,B483,N$7:N483,"Sí",F$7:F483,F483),"")</f>
        <v/>
      </c>
      <c r="P483" s="72" t="str">
        <f aca="false">IF(O483="","",B483&amp;"-P"&amp;O483)</f>
        <v/>
      </c>
      <c r="Q483" s="73" t="str">
        <f aca="false">IF(AND(N483="Sí",E483="Plazo fijo",ISNUMBER(F483)),COUNTIFS(C_ID,B483,C_TIPO,"Plazo fijo",C_DEFINE,"Sí",C_INICIO,"&lt;"&amp;F483)+COUNTIFS(B$7:B483,B483,E$7:E483,"Plazo fijo",N$7:N483,"Sí",F$7:F483,F483),"")</f>
        <v/>
      </c>
      <c r="R483" s="73" t="str">
        <f aca="false">IF(AND(B483&lt;&gt;"",ISNUMBER(H483),ISNUMBER(F483)),COUNTIFS(C_ID,B483,C_SUELDO,"&lt;&gt;",C_INICIO,"&lt;"&amp;F483)+COUNTIFS(B$7:B483,B483,H$7:H483,"&lt;&gt;",F$7:F483,F483),"")</f>
        <v/>
      </c>
      <c r="S483" s="72" t="str">
        <f aca="false">IF(R483="","",B483&amp;"-S"&amp;R483)</f>
        <v/>
      </c>
      <c r="T483" s="74" t="str">
        <f aca="false">IF(AND(ISNUMBER(F483),ISNUMBER(G483)),ROUND((G483-F483+1)/30.4375,1),"")</f>
        <v/>
      </c>
      <c r="U483" s="70" t="str">
        <f aca="false">IF(B483="","",IF(AND(N483="Sí",OR(E483="",NOT(ISNUMBER(F483)))),"⚠ Falta tipo de contrato o fecha de inicio",IF(NOT(ISNUMBER(F483)),"⚠ Falta fecha de inicio",IF(AND(N483="Sí",E483&lt;&gt;"Indefinido",NOT(ISNUMBER(G483))),"⚠ Falta fecha de término",IF(AND(D483="Paso a indefinido",E483&lt;&gt;"Indefinido"),"⚠ Un paso a indefinido debe tener tipo Indefinido",IF(N(Q483)&gt;=3,"⚠ 3er contrato a plazo fijo: por ley ya es INDEFINIDO (Art. 159 N°4)",IF(AND(E483="Plazo fijo",N(T483)&gt;12),"⚠ Plazo fijo mayor a 1 año (máx. legal; 2 años solo profesionales o técnicos)",IF(AND(ISNUMBER(G483),G483&lt;F483),"⚠ Término anterior al inicio",IF(AND(D483="Contrato inicial",ISNUMBER(J483),J483-F483&gt;15),"⚠ Escriturado fuera de plazo (Art. 9: 15 días)",IF(K483&lt;&gt;"Sí","Pendiente de firma","OK"))))))))))</f>
        <v/>
      </c>
    </row>
    <row r="484" customFormat="false" ht="15" hidden="false" customHeight="false" outlineLevel="0" collapsed="false">
      <c r="B484" s="64"/>
      <c r="C484" s="72" t="str">
        <f aca="false">IF(B484="","",IFERROR(INDEX(T_NOMBRE,MATCH(B484,T_ID,0)),"⚠ ID no existe en Trabajadores"))</f>
        <v/>
      </c>
      <c r="D484" s="64"/>
      <c r="E484" s="64"/>
      <c r="F484" s="65"/>
      <c r="G484" s="65"/>
      <c r="H484" s="67"/>
      <c r="I484" s="64"/>
      <c r="J484" s="65"/>
      <c r="K484" s="64"/>
      <c r="L484" s="64"/>
      <c r="M484" s="64"/>
      <c r="N484" s="72" t="str">
        <f aca="false">IF(B484="","",IF(D484="Anexo de modificación","No","Sí"))</f>
        <v/>
      </c>
      <c r="O484" s="73" t="str">
        <f aca="false">IF(AND(N484="Sí",ISNUMBER(F484)),COUNTIFS(C_ID,B484,C_DEFINE,"Sí",C_INICIO,"&lt;"&amp;F484)+COUNTIFS(B$7:B484,B484,N$7:N484,"Sí",F$7:F484,F484),"")</f>
        <v/>
      </c>
      <c r="P484" s="72" t="str">
        <f aca="false">IF(O484="","",B484&amp;"-P"&amp;O484)</f>
        <v/>
      </c>
      <c r="Q484" s="73" t="str">
        <f aca="false">IF(AND(N484="Sí",E484="Plazo fijo",ISNUMBER(F484)),COUNTIFS(C_ID,B484,C_TIPO,"Plazo fijo",C_DEFINE,"Sí",C_INICIO,"&lt;"&amp;F484)+COUNTIFS(B$7:B484,B484,E$7:E484,"Plazo fijo",N$7:N484,"Sí",F$7:F484,F484),"")</f>
        <v/>
      </c>
      <c r="R484" s="73" t="str">
        <f aca="false">IF(AND(B484&lt;&gt;"",ISNUMBER(H484),ISNUMBER(F484)),COUNTIFS(C_ID,B484,C_SUELDO,"&lt;&gt;",C_INICIO,"&lt;"&amp;F484)+COUNTIFS(B$7:B484,B484,H$7:H484,"&lt;&gt;",F$7:F484,F484),"")</f>
        <v/>
      </c>
      <c r="S484" s="72" t="str">
        <f aca="false">IF(R484="","",B484&amp;"-S"&amp;R484)</f>
        <v/>
      </c>
      <c r="T484" s="74" t="str">
        <f aca="false">IF(AND(ISNUMBER(F484),ISNUMBER(G484)),ROUND((G484-F484+1)/30.4375,1),"")</f>
        <v/>
      </c>
      <c r="U484" s="70" t="str">
        <f aca="false">IF(B484="","",IF(AND(N484="Sí",OR(E484="",NOT(ISNUMBER(F484)))),"⚠ Falta tipo de contrato o fecha de inicio",IF(NOT(ISNUMBER(F484)),"⚠ Falta fecha de inicio",IF(AND(N484="Sí",E484&lt;&gt;"Indefinido",NOT(ISNUMBER(G484))),"⚠ Falta fecha de término",IF(AND(D484="Paso a indefinido",E484&lt;&gt;"Indefinido"),"⚠ Un paso a indefinido debe tener tipo Indefinido",IF(N(Q484)&gt;=3,"⚠ 3er contrato a plazo fijo: por ley ya es INDEFINIDO (Art. 159 N°4)",IF(AND(E484="Plazo fijo",N(T484)&gt;12),"⚠ Plazo fijo mayor a 1 año (máx. legal; 2 años solo profesionales o técnicos)",IF(AND(ISNUMBER(G484),G484&lt;F484),"⚠ Término anterior al inicio",IF(AND(D484="Contrato inicial",ISNUMBER(J484),J484-F484&gt;15),"⚠ Escriturado fuera de plazo (Art. 9: 15 días)",IF(K484&lt;&gt;"Sí","Pendiente de firma","OK"))))))))))</f>
        <v/>
      </c>
    </row>
    <row r="485" customFormat="false" ht="15" hidden="false" customHeight="false" outlineLevel="0" collapsed="false">
      <c r="B485" s="64"/>
      <c r="C485" s="72" t="str">
        <f aca="false">IF(B485="","",IFERROR(INDEX(T_NOMBRE,MATCH(B485,T_ID,0)),"⚠ ID no existe en Trabajadores"))</f>
        <v/>
      </c>
      <c r="D485" s="64"/>
      <c r="E485" s="64"/>
      <c r="F485" s="65"/>
      <c r="G485" s="65"/>
      <c r="H485" s="67"/>
      <c r="I485" s="64"/>
      <c r="J485" s="65"/>
      <c r="K485" s="64"/>
      <c r="L485" s="64"/>
      <c r="M485" s="64"/>
      <c r="N485" s="72" t="str">
        <f aca="false">IF(B485="","",IF(D485="Anexo de modificación","No","Sí"))</f>
        <v/>
      </c>
      <c r="O485" s="73" t="str">
        <f aca="false">IF(AND(N485="Sí",ISNUMBER(F485)),COUNTIFS(C_ID,B485,C_DEFINE,"Sí",C_INICIO,"&lt;"&amp;F485)+COUNTIFS(B$7:B485,B485,N$7:N485,"Sí",F$7:F485,F485),"")</f>
        <v/>
      </c>
      <c r="P485" s="72" t="str">
        <f aca="false">IF(O485="","",B485&amp;"-P"&amp;O485)</f>
        <v/>
      </c>
      <c r="Q485" s="73" t="str">
        <f aca="false">IF(AND(N485="Sí",E485="Plazo fijo",ISNUMBER(F485)),COUNTIFS(C_ID,B485,C_TIPO,"Plazo fijo",C_DEFINE,"Sí",C_INICIO,"&lt;"&amp;F485)+COUNTIFS(B$7:B485,B485,E$7:E485,"Plazo fijo",N$7:N485,"Sí",F$7:F485,F485),"")</f>
        <v/>
      </c>
      <c r="R485" s="73" t="str">
        <f aca="false">IF(AND(B485&lt;&gt;"",ISNUMBER(H485),ISNUMBER(F485)),COUNTIFS(C_ID,B485,C_SUELDO,"&lt;&gt;",C_INICIO,"&lt;"&amp;F485)+COUNTIFS(B$7:B485,B485,H$7:H485,"&lt;&gt;",F$7:F485,F485),"")</f>
        <v/>
      </c>
      <c r="S485" s="72" t="str">
        <f aca="false">IF(R485="","",B485&amp;"-S"&amp;R485)</f>
        <v/>
      </c>
      <c r="T485" s="74" t="str">
        <f aca="false">IF(AND(ISNUMBER(F485),ISNUMBER(G485)),ROUND((G485-F485+1)/30.4375,1),"")</f>
        <v/>
      </c>
      <c r="U485" s="70" t="str">
        <f aca="false">IF(B485="","",IF(AND(N485="Sí",OR(E485="",NOT(ISNUMBER(F485)))),"⚠ Falta tipo de contrato o fecha de inicio",IF(NOT(ISNUMBER(F485)),"⚠ Falta fecha de inicio",IF(AND(N485="Sí",E485&lt;&gt;"Indefinido",NOT(ISNUMBER(G485))),"⚠ Falta fecha de término",IF(AND(D485="Paso a indefinido",E485&lt;&gt;"Indefinido"),"⚠ Un paso a indefinido debe tener tipo Indefinido",IF(N(Q485)&gt;=3,"⚠ 3er contrato a plazo fijo: por ley ya es INDEFINIDO (Art. 159 N°4)",IF(AND(E485="Plazo fijo",N(T485)&gt;12),"⚠ Plazo fijo mayor a 1 año (máx. legal; 2 años solo profesionales o técnicos)",IF(AND(ISNUMBER(G485),G485&lt;F485),"⚠ Término anterior al inicio",IF(AND(D485="Contrato inicial",ISNUMBER(J485),J485-F485&gt;15),"⚠ Escriturado fuera de plazo (Art. 9: 15 días)",IF(K485&lt;&gt;"Sí","Pendiente de firma","OK"))))))))))</f>
        <v/>
      </c>
    </row>
    <row r="486" customFormat="false" ht="15" hidden="false" customHeight="false" outlineLevel="0" collapsed="false">
      <c r="B486" s="64"/>
      <c r="C486" s="72" t="str">
        <f aca="false">IF(B486="","",IFERROR(INDEX(T_NOMBRE,MATCH(B486,T_ID,0)),"⚠ ID no existe en Trabajadores"))</f>
        <v/>
      </c>
      <c r="D486" s="64"/>
      <c r="E486" s="64"/>
      <c r="F486" s="65"/>
      <c r="G486" s="65"/>
      <c r="H486" s="67"/>
      <c r="I486" s="64"/>
      <c r="J486" s="65"/>
      <c r="K486" s="64"/>
      <c r="L486" s="64"/>
      <c r="M486" s="64"/>
      <c r="N486" s="72" t="str">
        <f aca="false">IF(B486="","",IF(D486="Anexo de modificación","No","Sí"))</f>
        <v/>
      </c>
      <c r="O486" s="73" t="str">
        <f aca="false">IF(AND(N486="Sí",ISNUMBER(F486)),COUNTIFS(C_ID,B486,C_DEFINE,"Sí",C_INICIO,"&lt;"&amp;F486)+COUNTIFS(B$7:B486,B486,N$7:N486,"Sí",F$7:F486,F486),"")</f>
        <v/>
      </c>
      <c r="P486" s="72" t="str">
        <f aca="false">IF(O486="","",B486&amp;"-P"&amp;O486)</f>
        <v/>
      </c>
      <c r="Q486" s="73" t="str">
        <f aca="false">IF(AND(N486="Sí",E486="Plazo fijo",ISNUMBER(F486)),COUNTIFS(C_ID,B486,C_TIPO,"Plazo fijo",C_DEFINE,"Sí",C_INICIO,"&lt;"&amp;F486)+COUNTIFS(B$7:B486,B486,E$7:E486,"Plazo fijo",N$7:N486,"Sí",F$7:F486,F486),"")</f>
        <v/>
      </c>
      <c r="R486" s="73" t="str">
        <f aca="false">IF(AND(B486&lt;&gt;"",ISNUMBER(H486),ISNUMBER(F486)),COUNTIFS(C_ID,B486,C_SUELDO,"&lt;&gt;",C_INICIO,"&lt;"&amp;F486)+COUNTIFS(B$7:B486,B486,H$7:H486,"&lt;&gt;",F$7:F486,F486),"")</f>
        <v/>
      </c>
      <c r="S486" s="72" t="str">
        <f aca="false">IF(R486="","",B486&amp;"-S"&amp;R486)</f>
        <v/>
      </c>
      <c r="T486" s="74" t="str">
        <f aca="false">IF(AND(ISNUMBER(F486),ISNUMBER(G486)),ROUND((G486-F486+1)/30.4375,1),"")</f>
        <v/>
      </c>
      <c r="U486" s="70" t="str">
        <f aca="false">IF(B486="","",IF(AND(N486="Sí",OR(E486="",NOT(ISNUMBER(F486)))),"⚠ Falta tipo de contrato o fecha de inicio",IF(NOT(ISNUMBER(F486)),"⚠ Falta fecha de inicio",IF(AND(N486="Sí",E486&lt;&gt;"Indefinido",NOT(ISNUMBER(G486))),"⚠ Falta fecha de término",IF(AND(D486="Paso a indefinido",E486&lt;&gt;"Indefinido"),"⚠ Un paso a indefinido debe tener tipo Indefinido",IF(N(Q486)&gt;=3,"⚠ 3er contrato a plazo fijo: por ley ya es INDEFINIDO (Art. 159 N°4)",IF(AND(E486="Plazo fijo",N(T486)&gt;12),"⚠ Plazo fijo mayor a 1 año (máx. legal; 2 años solo profesionales o técnicos)",IF(AND(ISNUMBER(G486),G486&lt;F486),"⚠ Término anterior al inicio",IF(AND(D486="Contrato inicial",ISNUMBER(J486),J486-F486&gt;15),"⚠ Escriturado fuera de plazo (Art. 9: 15 días)",IF(K486&lt;&gt;"Sí","Pendiente de firma","OK"))))))))))</f>
        <v/>
      </c>
    </row>
    <row r="487" customFormat="false" ht="15" hidden="false" customHeight="false" outlineLevel="0" collapsed="false">
      <c r="B487" s="64"/>
      <c r="C487" s="72" t="str">
        <f aca="false">IF(B487="","",IFERROR(INDEX(T_NOMBRE,MATCH(B487,T_ID,0)),"⚠ ID no existe en Trabajadores"))</f>
        <v/>
      </c>
      <c r="D487" s="64"/>
      <c r="E487" s="64"/>
      <c r="F487" s="65"/>
      <c r="G487" s="65"/>
      <c r="H487" s="67"/>
      <c r="I487" s="64"/>
      <c r="J487" s="65"/>
      <c r="K487" s="64"/>
      <c r="L487" s="64"/>
      <c r="M487" s="64"/>
      <c r="N487" s="72" t="str">
        <f aca="false">IF(B487="","",IF(D487="Anexo de modificación","No","Sí"))</f>
        <v/>
      </c>
      <c r="O487" s="73" t="str">
        <f aca="false">IF(AND(N487="Sí",ISNUMBER(F487)),COUNTIFS(C_ID,B487,C_DEFINE,"Sí",C_INICIO,"&lt;"&amp;F487)+COUNTIFS(B$7:B487,B487,N$7:N487,"Sí",F$7:F487,F487),"")</f>
        <v/>
      </c>
      <c r="P487" s="72" t="str">
        <f aca="false">IF(O487="","",B487&amp;"-P"&amp;O487)</f>
        <v/>
      </c>
      <c r="Q487" s="73" t="str">
        <f aca="false">IF(AND(N487="Sí",E487="Plazo fijo",ISNUMBER(F487)),COUNTIFS(C_ID,B487,C_TIPO,"Plazo fijo",C_DEFINE,"Sí",C_INICIO,"&lt;"&amp;F487)+COUNTIFS(B$7:B487,B487,E$7:E487,"Plazo fijo",N$7:N487,"Sí",F$7:F487,F487),"")</f>
        <v/>
      </c>
      <c r="R487" s="73" t="str">
        <f aca="false">IF(AND(B487&lt;&gt;"",ISNUMBER(H487),ISNUMBER(F487)),COUNTIFS(C_ID,B487,C_SUELDO,"&lt;&gt;",C_INICIO,"&lt;"&amp;F487)+COUNTIFS(B$7:B487,B487,H$7:H487,"&lt;&gt;",F$7:F487,F487),"")</f>
        <v/>
      </c>
      <c r="S487" s="72" t="str">
        <f aca="false">IF(R487="","",B487&amp;"-S"&amp;R487)</f>
        <v/>
      </c>
      <c r="T487" s="74" t="str">
        <f aca="false">IF(AND(ISNUMBER(F487),ISNUMBER(G487)),ROUND((G487-F487+1)/30.4375,1),"")</f>
        <v/>
      </c>
      <c r="U487" s="70" t="str">
        <f aca="false">IF(B487="","",IF(AND(N487="Sí",OR(E487="",NOT(ISNUMBER(F487)))),"⚠ Falta tipo de contrato o fecha de inicio",IF(NOT(ISNUMBER(F487)),"⚠ Falta fecha de inicio",IF(AND(N487="Sí",E487&lt;&gt;"Indefinido",NOT(ISNUMBER(G487))),"⚠ Falta fecha de término",IF(AND(D487="Paso a indefinido",E487&lt;&gt;"Indefinido"),"⚠ Un paso a indefinido debe tener tipo Indefinido",IF(N(Q487)&gt;=3,"⚠ 3er contrato a plazo fijo: por ley ya es INDEFINIDO (Art. 159 N°4)",IF(AND(E487="Plazo fijo",N(T487)&gt;12),"⚠ Plazo fijo mayor a 1 año (máx. legal; 2 años solo profesionales o técnicos)",IF(AND(ISNUMBER(G487),G487&lt;F487),"⚠ Término anterior al inicio",IF(AND(D487="Contrato inicial",ISNUMBER(J487),J487-F487&gt;15),"⚠ Escriturado fuera de plazo (Art. 9: 15 días)",IF(K487&lt;&gt;"Sí","Pendiente de firma","OK"))))))))))</f>
        <v/>
      </c>
    </row>
    <row r="488" customFormat="false" ht="15" hidden="false" customHeight="false" outlineLevel="0" collapsed="false">
      <c r="B488" s="64"/>
      <c r="C488" s="72" t="str">
        <f aca="false">IF(B488="","",IFERROR(INDEX(T_NOMBRE,MATCH(B488,T_ID,0)),"⚠ ID no existe en Trabajadores"))</f>
        <v/>
      </c>
      <c r="D488" s="64"/>
      <c r="E488" s="64"/>
      <c r="F488" s="65"/>
      <c r="G488" s="65"/>
      <c r="H488" s="67"/>
      <c r="I488" s="64"/>
      <c r="J488" s="65"/>
      <c r="K488" s="64"/>
      <c r="L488" s="64"/>
      <c r="M488" s="64"/>
      <c r="N488" s="72" t="str">
        <f aca="false">IF(B488="","",IF(D488="Anexo de modificación","No","Sí"))</f>
        <v/>
      </c>
      <c r="O488" s="73" t="str">
        <f aca="false">IF(AND(N488="Sí",ISNUMBER(F488)),COUNTIFS(C_ID,B488,C_DEFINE,"Sí",C_INICIO,"&lt;"&amp;F488)+COUNTIFS(B$7:B488,B488,N$7:N488,"Sí",F$7:F488,F488),"")</f>
        <v/>
      </c>
      <c r="P488" s="72" t="str">
        <f aca="false">IF(O488="","",B488&amp;"-P"&amp;O488)</f>
        <v/>
      </c>
      <c r="Q488" s="73" t="str">
        <f aca="false">IF(AND(N488="Sí",E488="Plazo fijo",ISNUMBER(F488)),COUNTIFS(C_ID,B488,C_TIPO,"Plazo fijo",C_DEFINE,"Sí",C_INICIO,"&lt;"&amp;F488)+COUNTIFS(B$7:B488,B488,E$7:E488,"Plazo fijo",N$7:N488,"Sí",F$7:F488,F488),"")</f>
        <v/>
      </c>
      <c r="R488" s="73" t="str">
        <f aca="false">IF(AND(B488&lt;&gt;"",ISNUMBER(H488),ISNUMBER(F488)),COUNTIFS(C_ID,B488,C_SUELDO,"&lt;&gt;",C_INICIO,"&lt;"&amp;F488)+COUNTIFS(B$7:B488,B488,H$7:H488,"&lt;&gt;",F$7:F488,F488),"")</f>
        <v/>
      </c>
      <c r="S488" s="72" t="str">
        <f aca="false">IF(R488="","",B488&amp;"-S"&amp;R488)</f>
        <v/>
      </c>
      <c r="T488" s="74" t="str">
        <f aca="false">IF(AND(ISNUMBER(F488),ISNUMBER(G488)),ROUND((G488-F488+1)/30.4375,1),"")</f>
        <v/>
      </c>
      <c r="U488" s="70" t="str">
        <f aca="false">IF(B488="","",IF(AND(N488="Sí",OR(E488="",NOT(ISNUMBER(F488)))),"⚠ Falta tipo de contrato o fecha de inicio",IF(NOT(ISNUMBER(F488)),"⚠ Falta fecha de inicio",IF(AND(N488="Sí",E488&lt;&gt;"Indefinido",NOT(ISNUMBER(G488))),"⚠ Falta fecha de término",IF(AND(D488="Paso a indefinido",E488&lt;&gt;"Indefinido"),"⚠ Un paso a indefinido debe tener tipo Indefinido",IF(N(Q488)&gt;=3,"⚠ 3er contrato a plazo fijo: por ley ya es INDEFINIDO (Art. 159 N°4)",IF(AND(E488="Plazo fijo",N(T488)&gt;12),"⚠ Plazo fijo mayor a 1 año (máx. legal; 2 años solo profesionales o técnicos)",IF(AND(ISNUMBER(G488),G488&lt;F488),"⚠ Término anterior al inicio",IF(AND(D488="Contrato inicial",ISNUMBER(J488),J488-F488&gt;15),"⚠ Escriturado fuera de plazo (Art. 9: 15 días)",IF(K488&lt;&gt;"Sí","Pendiente de firma","OK"))))))))))</f>
        <v/>
      </c>
    </row>
    <row r="489" customFormat="false" ht="15" hidden="false" customHeight="false" outlineLevel="0" collapsed="false">
      <c r="B489" s="64"/>
      <c r="C489" s="72" t="str">
        <f aca="false">IF(B489="","",IFERROR(INDEX(T_NOMBRE,MATCH(B489,T_ID,0)),"⚠ ID no existe en Trabajadores"))</f>
        <v/>
      </c>
      <c r="D489" s="64"/>
      <c r="E489" s="64"/>
      <c r="F489" s="65"/>
      <c r="G489" s="65"/>
      <c r="H489" s="67"/>
      <c r="I489" s="64"/>
      <c r="J489" s="65"/>
      <c r="K489" s="64"/>
      <c r="L489" s="64"/>
      <c r="M489" s="64"/>
      <c r="N489" s="72" t="str">
        <f aca="false">IF(B489="","",IF(D489="Anexo de modificación","No","Sí"))</f>
        <v/>
      </c>
      <c r="O489" s="73" t="str">
        <f aca="false">IF(AND(N489="Sí",ISNUMBER(F489)),COUNTIFS(C_ID,B489,C_DEFINE,"Sí",C_INICIO,"&lt;"&amp;F489)+COUNTIFS(B$7:B489,B489,N$7:N489,"Sí",F$7:F489,F489),"")</f>
        <v/>
      </c>
      <c r="P489" s="72" t="str">
        <f aca="false">IF(O489="","",B489&amp;"-P"&amp;O489)</f>
        <v/>
      </c>
      <c r="Q489" s="73" t="str">
        <f aca="false">IF(AND(N489="Sí",E489="Plazo fijo",ISNUMBER(F489)),COUNTIFS(C_ID,B489,C_TIPO,"Plazo fijo",C_DEFINE,"Sí",C_INICIO,"&lt;"&amp;F489)+COUNTIFS(B$7:B489,B489,E$7:E489,"Plazo fijo",N$7:N489,"Sí",F$7:F489,F489),"")</f>
        <v/>
      </c>
      <c r="R489" s="73" t="str">
        <f aca="false">IF(AND(B489&lt;&gt;"",ISNUMBER(H489),ISNUMBER(F489)),COUNTIFS(C_ID,B489,C_SUELDO,"&lt;&gt;",C_INICIO,"&lt;"&amp;F489)+COUNTIFS(B$7:B489,B489,H$7:H489,"&lt;&gt;",F$7:F489,F489),"")</f>
        <v/>
      </c>
      <c r="S489" s="72" t="str">
        <f aca="false">IF(R489="","",B489&amp;"-S"&amp;R489)</f>
        <v/>
      </c>
      <c r="T489" s="74" t="str">
        <f aca="false">IF(AND(ISNUMBER(F489),ISNUMBER(G489)),ROUND((G489-F489+1)/30.4375,1),"")</f>
        <v/>
      </c>
      <c r="U489" s="70" t="str">
        <f aca="false">IF(B489="","",IF(AND(N489="Sí",OR(E489="",NOT(ISNUMBER(F489)))),"⚠ Falta tipo de contrato o fecha de inicio",IF(NOT(ISNUMBER(F489)),"⚠ Falta fecha de inicio",IF(AND(N489="Sí",E489&lt;&gt;"Indefinido",NOT(ISNUMBER(G489))),"⚠ Falta fecha de término",IF(AND(D489="Paso a indefinido",E489&lt;&gt;"Indefinido"),"⚠ Un paso a indefinido debe tener tipo Indefinido",IF(N(Q489)&gt;=3,"⚠ 3er contrato a plazo fijo: por ley ya es INDEFINIDO (Art. 159 N°4)",IF(AND(E489="Plazo fijo",N(T489)&gt;12),"⚠ Plazo fijo mayor a 1 año (máx. legal; 2 años solo profesionales o técnicos)",IF(AND(ISNUMBER(G489),G489&lt;F489),"⚠ Término anterior al inicio",IF(AND(D489="Contrato inicial",ISNUMBER(J489),J489-F489&gt;15),"⚠ Escriturado fuera de plazo (Art. 9: 15 días)",IF(K489&lt;&gt;"Sí","Pendiente de firma","OK"))))))))))</f>
        <v/>
      </c>
    </row>
    <row r="490" customFormat="false" ht="15" hidden="false" customHeight="false" outlineLevel="0" collapsed="false">
      <c r="B490" s="64"/>
      <c r="C490" s="72" t="str">
        <f aca="false">IF(B490="","",IFERROR(INDEX(T_NOMBRE,MATCH(B490,T_ID,0)),"⚠ ID no existe en Trabajadores"))</f>
        <v/>
      </c>
      <c r="D490" s="64"/>
      <c r="E490" s="64"/>
      <c r="F490" s="65"/>
      <c r="G490" s="65"/>
      <c r="H490" s="67"/>
      <c r="I490" s="64"/>
      <c r="J490" s="65"/>
      <c r="K490" s="64"/>
      <c r="L490" s="64"/>
      <c r="M490" s="64"/>
      <c r="N490" s="72" t="str">
        <f aca="false">IF(B490="","",IF(D490="Anexo de modificación","No","Sí"))</f>
        <v/>
      </c>
      <c r="O490" s="73" t="str">
        <f aca="false">IF(AND(N490="Sí",ISNUMBER(F490)),COUNTIFS(C_ID,B490,C_DEFINE,"Sí",C_INICIO,"&lt;"&amp;F490)+COUNTIFS(B$7:B490,B490,N$7:N490,"Sí",F$7:F490,F490),"")</f>
        <v/>
      </c>
      <c r="P490" s="72" t="str">
        <f aca="false">IF(O490="","",B490&amp;"-P"&amp;O490)</f>
        <v/>
      </c>
      <c r="Q490" s="73" t="str">
        <f aca="false">IF(AND(N490="Sí",E490="Plazo fijo",ISNUMBER(F490)),COUNTIFS(C_ID,B490,C_TIPO,"Plazo fijo",C_DEFINE,"Sí",C_INICIO,"&lt;"&amp;F490)+COUNTIFS(B$7:B490,B490,E$7:E490,"Plazo fijo",N$7:N490,"Sí",F$7:F490,F490),"")</f>
        <v/>
      </c>
      <c r="R490" s="73" t="str">
        <f aca="false">IF(AND(B490&lt;&gt;"",ISNUMBER(H490),ISNUMBER(F490)),COUNTIFS(C_ID,B490,C_SUELDO,"&lt;&gt;",C_INICIO,"&lt;"&amp;F490)+COUNTIFS(B$7:B490,B490,H$7:H490,"&lt;&gt;",F$7:F490,F490),"")</f>
        <v/>
      </c>
      <c r="S490" s="72" t="str">
        <f aca="false">IF(R490="","",B490&amp;"-S"&amp;R490)</f>
        <v/>
      </c>
      <c r="T490" s="74" t="str">
        <f aca="false">IF(AND(ISNUMBER(F490),ISNUMBER(G490)),ROUND((G490-F490+1)/30.4375,1),"")</f>
        <v/>
      </c>
      <c r="U490" s="70" t="str">
        <f aca="false">IF(B490="","",IF(AND(N490="Sí",OR(E490="",NOT(ISNUMBER(F490)))),"⚠ Falta tipo de contrato o fecha de inicio",IF(NOT(ISNUMBER(F490)),"⚠ Falta fecha de inicio",IF(AND(N490="Sí",E490&lt;&gt;"Indefinido",NOT(ISNUMBER(G490))),"⚠ Falta fecha de término",IF(AND(D490="Paso a indefinido",E490&lt;&gt;"Indefinido"),"⚠ Un paso a indefinido debe tener tipo Indefinido",IF(N(Q490)&gt;=3,"⚠ 3er contrato a plazo fijo: por ley ya es INDEFINIDO (Art. 159 N°4)",IF(AND(E490="Plazo fijo",N(T490)&gt;12),"⚠ Plazo fijo mayor a 1 año (máx. legal; 2 años solo profesionales o técnicos)",IF(AND(ISNUMBER(G490),G490&lt;F490),"⚠ Término anterior al inicio",IF(AND(D490="Contrato inicial",ISNUMBER(J490),J490-F490&gt;15),"⚠ Escriturado fuera de plazo (Art. 9: 15 días)",IF(K490&lt;&gt;"Sí","Pendiente de firma","OK"))))))))))</f>
        <v/>
      </c>
    </row>
    <row r="491" customFormat="false" ht="15" hidden="false" customHeight="false" outlineLevel="0" collapsed="false">
      <c r="B491" s="64"/>
      <c r="C491" s="72" t="str">
        <f aca="false">IF(B491="","",IFERROR(INDEX(T_NOMBRE,MATCH(B491,T_ID,0)),"⚠ ID no existe en Trabajadores"))</f>
        <v/>
      </c>
      <c r="D491" s="64"/>
      <c r="E491" s="64"/>
      <c r="F491" s="65"/>
      <c r="G491" s="65"/>
      <c r="H491" s="67"/>
      <c r="I491" s="64"/>
      <c r="J491" s="65"/>
      <c r="K491" s="64"/>
      <c r="L491" s="64"/>
      <c r="M491" s="64"/>
      <c r="N491" s="72" t="str">
        <f aca="false">IF(B491="","",IF(D491="Anexo de modificación","No","Sí"))</f>
        <v/>
      </c>
      <c r="O491" s="73" t="str">
        <f aca="false">IF(AND(N491="Sí",ISNUMBER(F491)),COUNTIFS(C_ID,B491,C_DEFINE,"Sí",C_INICIO,"&lt;"&amp;F491)+COUNTIFS(B$7:B491,B491,N$7:N491,"Sí",F$7:F491,F491),"")</f>
        <v/>
      </c>
      <c r="P491" s="72" t="str">
        <f aca="false">IF(O491="","",B491&amp;"-P"&amp;O491)</f>
        <v/>
      </c>
      <c r="Q491" s="73" t="str">
        <f aca="false">IF(AND(N491="Sí",E491="Plazo fijo",ISNUMBER(F491)),COUNTIFS(C_ID,B491,C_TIPO,"Plazo fijo",C_DEFINE,"Sí",C_INICIO,"&lt;"&amp;F491)+COUNTIFS(B$7:B491,B491,E$7:E491,"Plazo fijo",N$7:N491,"Sí",F$7:F491,F491),"")</f>
        <v/>
      </c>
      <c r="R491" s="73" t="str">
        <f aca="false">IF(AND(B491&lt;&gt;"",ISNUMBER(H491),ISNUMBER(F491)),COUNTIFS(C_ID,B491,C_SUELDO,"&lt;&gt;",C_INICIO,"&lt;"&amp;F491)+COUNTIFS(B$7:B491,B491,H$7:H491,"&lt;&gt;",F$7:F491,F491),"")</f>
        <v/>
      </c>
      <c r="S491" s="72" t="str">
        <f aca="false">IF(R491="","",B491&amp;"-S"&amp;R491)</f>
        <v/>
      </c>
      <c r="T491" s="74" t="str">
        <f aca="false">IF(AND(ISNUMBER(F491),ISNUMBER(G491)),ROUND((G491-F491+1)/30.4375,1),"")</f>
        <v/>
      </c>
      <c r="U491" s="70" t="str">
        <f aca="false">IF(B491="","",IF(AND(N491="Sí",OR(E491="",NOT(ISNUMBER(F491)))),"⚠ Falta tipo de contrato o fecha de inicio",IF(NOT(ISNUMBER(F491)),"⚠ Falta fecha de inicio",IF(AND(N491="Sí",E491&lt;&gt;"Indefinido",NOT(ISNUMBER(G491))),"⚠ Falta fecha de término",IF(AND(D491="Paso a indefinido",E491&lt;&gt;"Indefinido"),"⚠ Un paso a indefinido debe tener tipo Indefinido",IF(N(Q491)&gt;=3,"⚠ 3er contrato a plazo fijo: por ley ya es INDEFINIDO (Art. 159 N°4)",IF(AND(E491="Plazo fijo",N(T491)&gt;12),"⚠ Plazo fijo mayor a 1 año (máx. legal; 2 años solo profesionales o técnicos)",IF(AND(ISNUMBER(G491),G491&lt;F491),"⚠ Término anterior al inicio",IF(AND(D491="Contrato inicial",ISNUMBER(J491),J491-F491&gt;15),"⚠ Escriturado fuera de plazo (Art. 9: 15 días)",IF(K491&lt;&gt;"Sí","Pendiente de firma","OK"))))))))))</f>
        <v/>
      </c>
    </row>
    <row r="492" customFormat="false" ht="15" hidden="false" customHeight="false" outlineLevel="0" collapsed="false">
      <c r="B492" s="64"/>
      <c r="C492" s="72" t="str">
        <f aca="false">IF(B492="","",IFERROR(INDEX(T_NOMBRE,MATCH(B492,T_ID,0)),"⚠ ID no existe en Trabajadores"))</f>
        <v/>
      </c>
      <c r="D492" s="64"/>
      <c r="E492" s="64"/>
      <c r="F492" s="65"/>
      <c r="G492" s="65"/>
      <c r="H492" s="67"/>
      <c r="I492" s="64"/>
      <c r="J492" s="65"/>
      <c r="K492" s="64"/>
      <c r="L492" s="64"/>
      <c r="M492" s="64"/>
      <c r="N492" s="72" t="str">
        <f aca="false">IF(B492="","",IF(D492="Anexo de modificación","No","Sí"))</f>
        <v/>
      </c>
      <c r="O492" s="73" t="str">
        <f aca="false">IF(AND(N492="Sí",ISNUMBER(F492)),COUNTIFS(C_ID,B492,C_DEFINE,"Sí",C_INICIO,"&lt;"&amp;F492)+COUNTIFS(B$7:B492,B492,N$7:N492,"Sí",F$7:F492,F492),"")</f>
        <v/>
      </c>
      <c r="P492" s="72" t="str">
        <f aca="false">IF(O492="","",B492&amp;"-P"&amp;O492)</f>
        <v/>
      </c>
      <c r="Q492" s="73" t="str">
        <f aca="false">IF(AND(N492="Sí",E492="Plazo fijo",ISNUMBER(F492)),COUNTIFS(C_ID,B492,C_TIPO,"Plazo fijo",C_DEFINE,"Sí",C_INICIO,"&lt;"&amp;F492)+COUNTIFS(B$7:B492,B492,E$7:E492,"Plazo fijo",N$7:N492,"Sí",F$7:F492,F492),"")</f>
        <v/>
      </c>
      <c r="R492" s="73" t="str">
        <f aca="false">IF(AND(B492&lt;&gt;"",ISNUMBER(H492),ISNUMBER(F492)),COUNTIFS(C_ID,B492,C_SUELDO,"&lt;&gt;",C_INICIO,"&lt;"&amp;F492)+COUNTIFS(B$7:B492,B492,H$7:H492,"&lt;&gt;",F$7:F492,F492),"")</f>
        <v/>
      </c>
      <c r="S492" s="72" t="str">
        <f aca="false">IF(R492="","",B492&amp;"-S"&amp;R492)</f>
        <v/>
      </c>
      <c r="T492" s="74" t="str">
        <f aca="false">IF(AND(ISNUMBER(F492),ISNUMBER(G492)),ROUND((G492-F492+1)/30.4375,1),"")</f>
        <v/>
      </c>
      <c r="U492" s="70" t="str">
        <f aca="false">IF(B492="","",IF(AND(N492="Sí",OR(E492="",NOT(ISNUMBER(F492)))),"⚠ Falta tipo de contrato o fecha de inicio",IF(NOT(ISNUMBER(F492)),"⚠ Falta fecha de inicio",IF(AND(N492="Sí",E492&lt;&gt;"Indefinido",NOT(ISNUMBER(G492))),"⚠ Falta fecha de término",IF(AND(D492="Paso a indefinido",E492&lt;&gt;"Indefinido"),"⚠ Un paso a indefinido debe tener tipo Indefinido",IF(N(Q492)&gt;=3,"⚠ 3er contrato a plazo fijo: por ley ya es INDEFINIDO (Art. 159 N°4)",IF(AND(E492="Plazo fijo",N(T492)&gt;12),"⚠ Plazo fijo mayor a 1 año (máx. legal; 2 años solo profesionales o técnicos)",IF(AND(ISNUMBER(G492),G492&lt;F492),"⚠ Término anterior al inicio",IF(AND(D492="Contrato inicial",ISNUMBER(J492),J492-F492&gt;15),"⚠ Escriturado fuera de plazo (Art. 9: 15 días)",IF(K492&lt;&gt;"Sí","Pendiente de firma","OK"))))))))))</f>
        <v/>
      </c>
    </row>
    <row r="493" customFormat="false" ht="15" hidden="false" customHeight="false" outlineLevel="0" collapsed="false">
      <c r="B493" s="64"/>
      <c r="C493" s="72" t="str">
        <f aca="false">IF(B493="","",IFERROR(INDEX(T_NOMBRE,MATCH(B493,T_ID,0)),"⚠ ID no existe en Trabajadores"))</f>
        <v/>
      </c>
      <c r="D493" s="64"/>
      <c r="E493" s="64"/>
      <c r="F493" s="65"/>
      <c r="G493" s="65"/>
      <c r="H493" s="67"/>
      <c r="I493" s="64"/>
      <c r="J493" s="65"/>
      <c r="K493" s="64"/>
      <c r="L493" s="64"/>
      <c r="M493" s="64"/>
      <c r="N493" s="72" t="str">
        <f aca="false">IF(B493="","",IF(D493="Anexo de modificación","No","Sí"))</f>
        <v/>
      </c>
      <c r="O493" s="73" t="str">
        <f aca="false">IF(AND(N493="Sí",ISNUMBER(F493)),COUNTIFS(C_ID,B493,C_DEFINE,"Sí",C_INICIO,"&lt;"&amp;F493)+COUNTIFS(B$7:B493,B493,N$7:N493,"Sí",F$7:F493,F493),"")</f>
        <v/>
      </c>
      <c r="P493" s="72" t="str">
        <f aca="false">IF(O493="","",B493&amp;"-P"&amp;O493)</f>
        <v/>
      </c>
      <c r="Q493" s="73" t="str">
        <f aca="false">IF(AND(N493="Sí",E493="Plazo fijo",ISNUMBER(F493)),COUNTIFS(C_ID,B493,C_TIPO,"Plazo fijo",C_DEFINE,"Sí",C_INICIO,"&lt;"&amp;F493)+COUNTIFS(B$7:B493,B493,E$7:E493,"Plazo fijo",N$7:N493,"Sí",F$7:F493,F493),"")</f>
        <v/>
      </c>
      <c r="R493" s="73" t="str">
        <f aca="false">IF(AND(B493&lt;&gt;"",ISNUMBER(H493),ISNUMBER(F493)),COUNTIFS(C_ID,B493,C_SUELDO,"&lt;&gt;",C_INICIO,"&lt;"&amp;F493)+COUNTIFS(B$7:B493,B493,H$7:H493,"&lt;&gt;",F$7:F493,F493),"")</f>
        <v/>
      </c>
      <c r="S493" s="72" t="str">
        <f aca="false">IF(R493="","",B493&amp;"-S"&amp;R493)</f>
        <v/>
      </c>
      <c r="T493" s="74" t="str">
        <f aca="false">IF(AND(ISNUMBER(F493),ISNUMBER(G493)),ROUND((G493-F493+1)/30.4375,1),"")</f>
        <v/>
      </c>
      <c r="U493" s="70" t="str">
        <f aca="false">IF(B493="","",IF(AND(N493="Sí",OR(E493="",NOT(ISNUMBER(F493)))),"⚠ Falta tipo de contrato o fecha de inicio",IF(NOT(ISNUMBER(F493)),"⚠ Falta fecha de inicio",IF(AND(N493="Sí",E493&lt;&gt;"Indefinido",NOT(ISNUMBER(G493))),"⚠ Falta fecha de término",IF(AND(D493="Paso a indefinido",E493&lt;&gt;"Indefinido"),"⚠ Un paso a indefinido debe tener tipo Indefinido",IF(N(Q493)&gt;=3,"⚠ 3er contrato a plazo fijo: por ley ya es INDEFINIDO (Art. 159 N°4)",IF(AND(E493="Plazo fijo",N(T493)&gt;12),"⚠ Plazo fijo mayor a 1 año (máx. legal; 2 años solo profesionales o técnicos)",IF(AND(ISNUMBER(G493),G493&lt;F493),"⚠ Término anterior al inicio",IF(AND(D493="Contrato inicial",ISNUMBER(J493),J493-F493&gt;15),"⚠ Escriturado fuera de plazo (Art. 9: 15 días)",IF(K493&lt;&gt;"Sí","Pendiente de firma","OK"))))))))))</f>
        <v/>
      </c>
    </row>
    <row r="494" customFormat="false" ht="15" hidden="false" customHeight="false" outlineLevel="0" collapsed="false">
      <c r="B494" s="64"/>
      <c r="C494" s="72" t="str">
        <f aca="false">IF(B494="","",IFERROR(INDEX(T_NOMBRE,MATCH(B494,T_ID,0)),"⚠ ID no existe en Trabajadores"))</f>
        <v/>
      </c>
      <c r="D494" s="64"/>
      <c r="E494" s="64"/>
      <c r="F494" s="65"/>
      <c r="G494" s="65"/>
      <c r="H494" s="67"/>
      <c r="I494" s="64"/>
      <c r="J494" s="65"/>
      <c r="K494" s="64"/>
      <c r="L494" s="64"/>
      <c r="M494" s="64"/>
      <c r="N494" s="72" t="str">
        <f aca="false">IF(B494="","",IF(D494="Anexo de modificación","No","Sí"))</f>
        <v/>
      </c>
      <c r="O494" s="73" t="str">
        <f aca="false">IF(AND(N494="Sí",ISNUMBER(F494)),COUNTIFS(C_ID,B494,C_DEFINE,"Sí",C_INICIO,"&lt;"&amp;F494)+COUNTIFS(B$7:B494,B494,N$7:N494,"Sí",F$7:F494,F494),"")</f>
        <v/>
      </c>
      <c r="P494" s="72" t="str">
        <f aca="false">IF(O494="","",B494&amp;"-P"&amp;O494)</f>
        <v/>
      </c>
      <c r="Q494" s="73" t="str">
        <f aca="false">IF(AND(N494="Sí",E494="Plazo fijo",ISNUMBER(F494)),COUNTIFS(C_ID,B494,C_TIPO,"Plazo fijo",C_DEFINE,"Sí",C_INICIO,"&lt;"&amp;F494)+COUNTIFS(B$7:B494,B494,E$7:E494,"Plazo fijo",N$7:N494,"Sí",F$7:F494,F494),"")</f>
        <v/>
      </c>
      <c r="R494" s="73" t="str">
        <f aca="false">IF(AND(B494&lt;&gt;"",ISNUMBER(H494),ISNUMBER(F494)),COUNTIFS(C_ID,B494,C_SUELDO,"&lt;&gt;",C_INICIO,"&lt;"&amp;F494)+COUNTIFS(B$7:B494,B494,H$7:H494,"&lt;&gt;",F$7:F494,F494),"")</f>
        <v/>
      </c>
      <c r="S494" s="72" t="str">
        <f aca="false">IF(R494="","",B494&amp;"-S"&amp;R494)</f>
        <v/>
      </c>
      <c r="T494" s="74" t="str">
        <f aca="false">IF(AND(ISNUMBER(F494),ISNUMBER(G494)),ROUND((G494-F494+1)/30.4375,1),"")</f>
        <v/>
      </c>
      <c r="U494" s="70" t="str">
        <f aca="false">IF(B494="","",IF(AND(N494="Sí",OR(E494="",NOT(ISNUMBER(F494)))),"⚠ Falta tipo de contrato o fecha de inicio",IF(NOT(ISNUMBER(F494)),"⚠ Falta fecha de inicio",IF(AND(N494="Sí",E494&lt;&gt;"Indefinido",NOT(ISNUMBER(G494))),"⚠ Falta fecha de término",IF(AND(D494="Paso a indefinido",E494&lt;&gt;"Indefinido"),"⚠ Un paso a indefinido debe tener tipo Indefinido",IF(N(Q494)&gt;=3,"⚠ 3er contrato a plazo fijo: por ley ya es INDEFINIDO (Art. 159 N°4)",IF(AND(E494="Plazo fijo",N(T494)&gt;12),"⚠ Plazo fijo mayor a 1 año (máx. legal; 2 años solo profesionales o técnicos)",IF(AND(ISNUMBER(G494),G494&lt;F494),"⚠ Término anterior al inicio",IF(AND(D494="Contrato inicial",ISNUMBER(J494),J494-F494&gt;15),"⚠ Escriturado fuera de plazo (Art. 9: 15 días)",IF(K494&lt;&gt;"Sí","Pendiente de firma","OK"))))))))))</f>
        <v/>
      </c>
    </row>
    <row r="495" customFormat="false" ht="15" hidden="false" customHeight="false" outlineLevel="0" collapsed="false">
      <c r="B495" s="64"/>
      <c r="C495" s="72" t="str">
        <f aca="false">IF(B495="","",IFERROR(INDEX(T_NOMBRE,MATCH(B495,T_ID,0)),"⚠ ID no existe en Trabajadores"))</f>
        <v/>
      </c>
      <c r="D495" s="64"/>
      <c r="E495" s="64"/>
      <c r="F495" s="65"/>
      <c r="G495" s="65"/>
      <c r="H495" s="67"/>
      <c r="I495" s="64"/>
      <c r="J495" s="65"/>
      <c r="K495" s="64"/>
      <c r="L495" s="64"/>
      <c r="M495" s="64"/>
      <c r="N495" s="72" t="str">
        <f aca="false">IF(B495="","",IF(D495="Anexo de modificación","No","Sí"))</f>
        <v/>
      </c>
      <c r="O495" s="73" t="str">
        <f aca="false">IF(AND(N495="Sí",ISNUMBER(F495)),COUNTIFS(C_ID,B495,C_DEFINE,"Sí",C_INICIO,"&lt;"&amp;F495)+COUNTIFS(B$7:B495,B495,N$7:N495,"Sí",F$7:F495,F495),"")</f>
        <v/>
      </c>
      <c r="P495" s="72" t="str">
        <f aca="false">IF(O495="","",B495&amp;"-P"&amp;O495)</f>
        <v/>
      </c>
      <c r="Q495" s="73" t="str">
        <f aca="false">IF(AND(N495="Sí",E495="Plazo fijo",ISNUMBER(F495)),COUNTIFS(C_ID,B495,C_TIPO,"Plazo fijo",C_DEFINE,"Sí",C_INICIO,"&lt;"&amp;F495)+COUNTIFS(B$7:B495,B495,E$7:E495,"Plazo fijo",N$7:N495,"Sí",F$7:F495,F495),"")</f>
        <v/>
      </c>
      <c r="R495" s="73" t="str">
        <f aca="false">IF(AND(B495&lt;&gt;"",ISNUMBER(H495),ISNUMBER(F495)),COUNTIFS(C_ID,B495,C_SUELDO,"&lt;&gt;",C_INICIO,"&lt;"&amp;F495)+COUNTIFS(B$7:B495,B495,H$7:H495,"&lt;&gt;",F$7:F495,F495),"")</f>
        <v/>
      </c>
      <c r="S495" s="72" t="str">
        <f aca="false">IF(R495="","",B495&amp;"-S"&amp;R495)</f>
        <v/>
      </c>
      <c r="T495" s="74" t="str">
        <f aca="false">IF(AND(ISNUMBER(F495),ISNUMBER(G495)),ROUND((G495-F495+1)/30.4375,1),"")</f>
        <v/>
      </c>
      <c r="U495" s="70" t="str">
        <f aca="false">IF(B495="","",IF(AND(N495="Sí",OR(E495="",NOT(ISNUMBER(F495)))),"⚠ Falta tipo de contrato o fecha de inicio",IF(NOT(ISNUMBER(F495)),"⚠ Falta fecha de inicio",IF(AND(N495="Sí",E495&lt;&gt;"Indefinido",NOT(ISNUMBER(G495))),"⚠ Falta fecha de término",IF(AND(D495="Paso a indefinido",E495&lt;&gt;"Indefinido"),"⚠ Un paso a indefinido debe tener tipo Indefinido",IF(N(Q495)&gt;=3,"⚠ 3er contrato a plazo fijo: por ley ya es INDEFINIDO (Art. 159 N°4)",IF(AND(E495="Plazo fijo",N(T495)&gt;12),"⚠ Plazo fijo mayor a 1 año (máx. legal; 2 años solo profesionales o técnicos)",IF(AND(ISNUMBER(G495),G495&lt;F495),"⚠ Término anterior al inicio",IF(AND(D495="Contrato inicial",ISNUMBER(J495),J495-F495&gt;15),"⚠ Escriturado fuera de plazo (Art. 9: 15 días)",IF(K495&lt;&gt;"Sí","Pendiente de firma","OK"))))))))))</f>
        <v/>
      </c>
    </row>
    <row r="496" customFormat="false" ht="15" hidden="false" customHeight="false" outlineLevel="0" collapsed="false">
      <c r="B496" s="64"/>
      <c r="C496" s="72" t="str">
        <f aca="false">IF(B496="","",IFERROR(INDEX(T_NOMBRE,MATCH(B496,T_ID,0)),"⚠ ID no existe en Trabajadores"))</f>
        <v/>
      </c>
      <c r="D496" s="64"/>
      <c r="E496" s="64"/>
      <c r="F496" s="65"/>
      <c r="G496" s="65"/>
      <c r="H496" s="67"/>
      <c r="I496" s="64"/>
      <c r="J496" s="65"/>
      <c r="K496" s="64"/>
      <c r="L496" s="64"/>
      <c r="M496" s="64"/>
      <c r="N496" s="72" t="str">
        <f aca="false">IF(B496="","",IF(D496="Anexo de modificación","No","Sí"))</f>
        <v/>
      </c>
      <c r="O496" s="73" t="str">
        <f aca="false">IF(AND(N496="Sí",ISNUMBER(F496)),COUNTIFS(C_ID,B496,C_DEFINE,"Sí",C_INICIO,"&lt;"&amp;F496)+COUNTIFS(B$7:B496,B496,N$7:N496,"Sí",F$7:F496,F496),"")</f>
        <v/>
      </c>
      <c r="P496" s="72" t="str">
        <f aca="false">IF(O496="","",B496&amp;"-P"&amp;O496)</f>
        <v/>
      </c>
      <c r="Q496" s="73" t="str">
        <f aca="false">IF(AND(N496="Sí",E496="Plazo fijo",ISNUMBER(F496)),COUNTIFS(C_ID,B496,C_TIPO,"Plazo fijo",C_DEFINE,"Sí",C_INICIO,"&lt;"&amp;F496)+COUNTIFS(B$7:B496,B496,E$7:E496,"Plazo fijo",N$7:N496,"Sí",F$7:F496,F496),"")</f>
        <v/>
      </c>
      <c r="R496" s="73" t="str">
        <f aca="false">IF(AND(B496&lt;&gt;"",ISNUMBER(H496),ISNUMBER(F496)),COUNTIFS(C_ID,B496,C_SUELDO,"&lt;&gt;",C_INICIO,"&lt;"&amp;F496)+COUNTIFS(B$7:B496,B496,H$7:H496,"&lt;&gt;",F$7:F496,F496),"")</f>
        <v/>
      </c>
      <c r="S496" s="72" t="str">
        <f aca="false">IF(R496="","",B496&amp;"-S"&amp;R496)</f>
        <v/>
      </c>
      <c r="T496" s="74" t="str">
        <f aca="false">IF(AND(ISNUMBER(F496),ISNUMBER(G496)),ROUND((G496-F496+1)/30.4375,1),"")</f>
        <v/>
      </c>
      <c r="U496" s="70" t="str">
        <f aca="false">IF(B496="","",IF(AND(N496="Sí",OR(E496="",NOT(ISNUMBER(F496)))),"⚠ Falta tipo de contrato o fecha de inicio",IF(NOT(ISNUMBER(F496)),"⚠ Falta fecha de inicio",IF(AND(N496="Sí",E496&lt;&gt;"Indefinido",NOT(ISNUMBER(G496))),"⚠ Falta fecha de término",IF(AND(D496="Paso a indefinido",E496&lt;&gt;"Indefinido"),"⚠ Un paso a indefinido debe tener tipo Indefinido",IF(N(Q496)&gt;=3,"⚠ 3er contrato a plazo fijo: por ley ya es INDEFINIDO (Art. 159 N°4)",IF(AND(E496="Plazo fijo",N(T496)&gt;12),"⚠ Plazo fijo mayor a 1 año (máx. legal; 2 años solo profesionales o técnicos)",IF(AND(ISNUMBER(G496),G496&lt;F496),"⚠ Término anterior al inicio",IF(AND(D496="Contrato inicial",ISNUMBER(J496),J496-F496&gt;15),"⚠ Escriturado fuera de plazo (Art. 9: 15 días)",IF(K496&lt;&gt;"Sí","Pendiente de firma","OK"))))))))))</f>
        <v/>
      </c>
    </row>
    <row r="497" customFormat="false" ht="15" hidden="false" customHeight="false" outlineLevel="0" collapsed="false">
      <c r="B497" s="64"/>
      <c r="C497" s="72" t="str">
        <f aca="false">IF(B497="","",IFERROR(INDEX(T_NOMBRE,MATCH(B497,T_ID,0)),"⚠ ID no existe en Trabajadores"))</f>
        <v/>
      </c>
      <c r="D497" s="64"/>
      <c r="E497" s="64"/>
      <c r="F497" s="65"/>
      <c r="G497" s="65"/>
      <c r="H497" s="67"/>
      <c r="I497" s="64"/>
      <c r="J497" s="65"/>
      <c r="K497" s="64"/>
      <c r="L497" s="64"/>
      <c r="M497" s="64"/>
      <c r="N497" s="72" t="str">
        <f aca="false">IF(B497="","",IF(D497="Anexo de modificación","No","Sí"))</f>
        <v/>
      </c>
      <c r="O497" s="73" t="str">
        <f aca="false">IF(AND(N497="Sí",ISNUMBER(F497)),COUNTIFS(C_ID,B497,C_DEFINE,"Sí",C_INICIO,"&lt;"&amp;F497)+COUNTIFS(B$7:B497,B497,N$7:N497,"Sí",F$7:F497,F497),"")</f>
        <v/>
      </c>
      <c r="P497" s="72" t="str">
        <f aca="false">IF(O497="","",B497&amp;"-P"&amp;O497)</f>
        <v/>
      </c>
      <c r="Q497" s="73" t="str">
        <f aca="false">IF(AND(N497="Sí",E497="Plazo fijo",ISNUMBER(F497)),COUNTIFS(C_ID,B497,C_TIPO,"Plazo fijo",C_DEFINE,"Sí",C_INICIO,"&lt;"&amp;F497)+COUNTIFS(B$7:B497,B497,E$7:E497,"Plazo fijo",N$7:N497,"Sí",F$7:F497,F497),"")</f>
        <v/>
      </c>
      <c r="R497" s="73" t="str">
        <f aca="false">IF(AND(B497&lt;&gt;"",ISNUMBER(H497),ISNUMBER(F497)),COUNTIFS(C_ID,B497,C_SUELDO,"&lt;&gt;",C_INICIO,"&lt;"&amp;F497)+COUNTIFS(B$7:B497,B497,H$7:H497,"&lt;&gt;",F$7:F497,F497),"")</f>
        <v/>
      </c>
      <c r="S497" s="72" t="str">
        <f aca="false">IF(R497="","",B497&amp;"-S"&amp;R497)</f>
        <v/>
      </c>
      <c r="T497" s="74" t="str">
        <f aca="false">IF(AND(ISNUMBER(F497),ISNUMBER(G497)),ROUND((G497-F497+1)/30.4375,1),"")</f>
        <v/>
      </c>
      <c r="U497" s="70" t="str">
        <f aca="false">IF(B497="","",IF(AND(N497="Sí",OR(E497="",NOT(ISNUMBER(F497)))),"⚠ Falta tipo de contrato o fecha de inicio",IF(NOT(ISNUMBER(F497)),"⚠ Falta fecha de inicio",IF(AND(N497="Sí",E497&lt;&gt;"Indefinido",NOT(ISNUMBER(G497))),"⚠ Falta fecha de término",IF(AND(D497="Paso a indefinido",E497&lt;&gt;"Indefinido"),"⚠ Un paso a indefinido debe tener tipo Indefinido",IF(N(Q497)&gt;=3,"⚠ 3er contrato a plazo fijo: por ley ya es INDEFINIDO (Art. 159 N°4)",IF(AND(E497="Plazo fijo",N(T497)&gt;12),"⚠ Plazo fijo mayor a 1 año (máx. legal; 2 años solo profesionales o técnicos)",IF(AND(ISNUMBER(G497),G497&lt;F497),"⚠ Término anterior al inicio",IF(AND(D497="Contrato inicial",ISNUMBER(J497),J497-F497&gt;15),"⚠ Escriturado fuera de plazo (Art. 9: 15 días)",IF(K497&lt;&gt;"Sí","Pendiente de firma","OK"))))))))))</f>
        <v/>
      </c>
    </row>
    <row r="498" customFormat="false" ht="15" hidden="false" customHeight="false" outlineLevel="0" collapsed="false">
      <c r="B498" s="64"/>
      <c r="C498" s="72" t="str">
        <f aca="false">IF(B498="","",IFERROR(INDEX(T_NOMBRE,MATCH(B498,T_ID,0)),"⚠ ID no existe en Trabajadores"))</f>
        <v/>
      </c>
      <c r="D498" s="64"/>
      <c r="E498" s="64"/>
      <c r="F498" s="65"/>
      <c r="G498" s="65"/>
      <c r="H498" s="67"/>
      <c r="I498" s="64"/>
      <c r="J498" s="65"/>
      <c r="K498" s="64"/>
      <c r="L498" s="64"/>
      <c r="M498" s="64"/>
      <c r="N498" s="72" t="str">
        <f aca="false">IF(B498="","",IF(D498="Anexo de modificación","No","Sí"))</f>
        <v/>
      </c>
      <c r="O498" s="73" t="str">
        <f aca="false">IF(AND(N498="Sí",ISNUMBER(F498)),COUNTIFS(C_ID,B498,C_DEFINE,"Sí",C_INICIO,"&lt;"&amp;F498)+COUNTIFS(B$7:B498,B498,N$7:N498,"Sí",F$7:F498,F498),"")</f>
        <v/>
      </c>
      <c r="P498" s="72" t="str">
        <f aca="false">IF(O498="","",B498&amp;"-P"&amp;O498)</f>
        <v/>
      </c>
      <c r="Q498" s="73" t="str">
        <f aca="false">IF(AND(N498="Sí",E498="Plazo fijo",ISNUMBER(F498)),COUNTIFS(C_ID,B498,C_TIPO,"Plazo fijo",C_DEFINE,"Sí",C_INICIO,"&lt;"&amp;F498)+COUNTIFS(B$7:B498,B498,E$7:E498,"Plazo fijo",N$7:N498,"Sí",F$7:F498,F498),"")</f>
        <v/>
      </c>
      <c r="R498" s="73" t="str">
        <f aca="false">IF(AND(B498&lt;&gt;"",ISNUMBER(H498),ISNUMBER(F498)),COUNTIFS(C_ID,B498,C_SUELDO,"&lt;&gt;",C_INICIO,"&lt;"&amp;F498)+COUNTIFS(B$7:B498,B498,H$7:H498,"&lt;&gt;",F$7:F498,F498),"")</f>
        <v/>
      </c>
      <c r="S498" s="72" t="str">
        <f aca="false">IF(R498="","",B498&amp;"-S"&amp;R498)</f>
        <v/>
      </c>
      <c r="T498" s="74" t="str">
        <f aca="false">IF(AND(ISNUMBER(F498),ISNUMBER(G498)),ROUND((G498-F498+1)/30.4375,1),"")</f>
        <v/>
      </c>
      <c r="U498" s="70" t="str">
        <f aca="false">IF(B498="","",IF(AND(N498="Sí",OR(E498="",NOT(ISNUMBER(F498)))),"⚠ Falta tipo de contrato o fecha de inicio",IF(NOT(ISNUMBER(F498)),"⚠ Falta fecha de inicio",IF(AND(N498="Sí",E498&lt;&gt;"Indefinido",NOT(ISNUMBER(G498))),"⚠ Falta fecha de término",IF(AND(D498="Paso a indefinido",E498&lt;&gt;"Indefinido"),"⚠ Un paso a indefinido debe tener tipo Indefinido",IF(N(Q498)&gt;=3,"⚠ 3er contrato a plazo fijo: por ley ya es INDEFINIDO (Art. 159 N°4)",IF(AND(E498="Plazo fijo",N(T498)&gt;12),"⚠ Plazo fijo mayor a 1 año (máx. legal; 2 años solo profesionales o técnicos)",IF(AND(ISNUMBER(G498),G498&lt;F498),"⚠ Término anterior al inicio",IF(AND(D498="Contrato inicial",ISNUMBER(J498),J498-F498&gt;15),"⚠ Escriturado fuera de plazo (Art. 9: 15 días)",IF(K498&lt;&gt;"Sí","Pendiente de firma","OK"))))))))))</f>
        <v/>
      </c>
    </row>
    <row r="499" customFormat="false" ht="15" hidden="false" customHeight="false" outlineLevel="0" collapsed="false">
      <c r="B499" s="64"/>
      <c r="C499" s="72" t="str">
        <f aca="false">IF(B499="","",IFERROR(INDEX(T_NOMBRE,MATCH(B499,T_ID,0)),"⚠ ID no existe en Trabajadores"))</f>
        <v/>
      </c>
      <c r="D499" s="64"/>
      <c r="E499" s="64"/>
      <c r="F499" s="65"/>
      <c r="G499" s="65"/>
      <c r="H499" s="67"/>
      <c r="I499" s="64"/>
      <c r="J499" s="65"/>
      <c r="K499" s="64"/>
      <c r="L499" s="64"/>
      <c r="M499" s="64"/>
      <c r="N499" s="72" t="str">
        <f aca="false">IF(B499="","",IF(D499="Anexo de modificación","No","Sí"))</f>
        <v/>
      </c>
      <c r="O499" s="73" t="str">
        <f aca="false">IF(AND(N499="Sí",ISNUMBER(F499)),COUNTIFS(C_ID,B499,C_DEFINE,"Sí",C_INICIO,"&lt;"&amp;F499)+COUNTIFS(B$7:B499,B499,N$7:N499,"Sí",F$7:F499,F499),"")</f>
        <v/>
      </c>
      <c r="P499" s="72" t="str">
        <f aca="false">IF(O499="","",B499&amp;"-P"&amp;O499)</f>
        <v/>
      </c>
      <c r="Q499" s="73" t="str">
        <f aca="false">IF(AND(N499="Sí",E499="Plazo fijo",ISNUMBER(F499)),COUNTIFS(C_ID,B499,C_TIPO,"Plazo fijo",C_DEFINE,"Sí",C_INICIO,"&lt;"&amp;F499)+COUNTIFS(B$7:B499,B499,E$7:E499,"Plazo fijo",N$7:N499,"Sí",F$7:F499,F499),"")</f>
        <v/>
      </c>
      <c r="R499" s="73" t="str">
        <f aca="false">IF(AND(B499&lt;&gt;"",ISNUMBER(H499),ISNUMBER(F499)),COUNTIFS(C_ID,B499,C_SUELDO,"&lt;&gt;",C_INICIO,"&lt;"&amp;F499)+COUNTIFS(B$7:B499,B499,H$7:H499,"&lt;&gt;",F$7:F499,F499),"")</f>
        <v/>
      </c>
      <c r="S499" s="72" t="str">
        <f aca="false">IF(R499="","",B499&amp;"-S"&amp;R499)</f>
        <v/>
      </c>
      <c r="T499" s="74" t="str">
        <f aca="false">IF(AND(ISNUMBER(F499),ISNUMBER(G499)),ROUND((G499-F499+1)/30.4375,1),"")</f>
        <v/>
      </c>
      <c r="U499" s="70" t="str">
        <f aca="false">IF(B499="","",IF(AND(N499="Sí",OR(E499="",NOT(ISNUMBER(F499)))),"⚠ Falta tipo de contrato o fecha de inicio",IF(NOT(ISNUMBER(F499)),"⚠ Falta fecha de inicio",IF(AND(N499="Sí",E499&lt;&gt;"Indefinido",NOT(ISNUMBER(G499))),"⚠ Falta fecha de término",IF(AND(D499="Paso a indefinido",E499&lt;&gt;"Indefinido"),"⚠ Un paso a indefinido debe tener tipo Indefinido",IF(N(Q499)&gt;=3,"⚠ 3er contrato a plazo fijo: por ley ya es INDEFINIDO (Art. 159 N°4)",IF(AND(E499="Plazo fijo",N(T499)&gt;12),"⚠ Plazo fijo mayor a 1 año (máx. legal; 2 años solo profesionales o técnicos)",IF(AND(ISNUMBER(G499),G499&lt;F499),"⚠ Término anterior al inicio",IF(AND(D499="Contrato inicial",ISNUMBER(J499),J499-F499&gt;15),"⚠ Escriturado fuera de plazo (Art. 9: 15 días)",IF(K499&lt;&gt;"Sí","Pendiente de firma","OK"))))))))))</f>
        <v/>
      </c>
    </row>
    <row r="500" customFormat="false" ht="15" hidden="false" customHeight="false" outlineLevel="0" collapsed="false">
      <c r="B500" s="64"/>
      <c r="C500" s="72" t="str">
        <f aca="false">IF(B500="","",IFERROR(INDEX(T_NOMBRE,MATCH(B500,T_ID,0)),"⚠ ID no existe en Trabajadores"))</f>
        <v/>
      </c>
      <c r="D500" s="64"/>
      <c r="E500" s="64"/>
      <c r="F500" s="65"/>
      <c r="G500" s="65"/>
      <c r="H500" s="67"/>
      <c r="I500" s="64"/>
      <c r="J500" s="65"/>
      <c r="K500" s="64"/>
      <c r="L500" s="64"/>
      <c r="M500" s="64"/>
      <c r="N500" s="72" t="str">
        <f aca="false">IF(B500="","",IF(D500="Anexo de modificación","No","Sí"))</f>
        <v/>
      </c>
      <c r="O500" s="73" t="str">
        <f aca="false">IF(AND(N500="Sí",ISNUMBER(F500)),COUNTIFS(C_ID,B500,C_DEFINE,"Sí",C_INICIO,"&lt;"&amp;F500)+COUNTIFS(B$7:B500,B500,N$7:N500,"Sí",F$7:F500,F500),"")</f>
        <v/>
      </c>
      <c r="P500" s="72" t="str">
        <f aca="false">IF(O500="","",B500&amp;"-P"&amp;O500)</f>
        <v/>
      </c>
      <c r="Q500" s="73" t="str">
        <f aca="false">IF(AND(N500="Sí",E500="Plazo fijo",ISNUMBER(F500)),COUNTIFS(C_ID,B500,C_TIPO,"Plazo fijo",C_DEFINE,"Sí",C_INICIO,"&lt;"&amp;F500)+COUNTIFS(B$7:B500,B500,E$7:E500,"Plazo fijo",N$7:N500,"Sí",F$7:F500,F500),"")</f>
        <v/>
      </c>
      <c r="R500" s="73" t="str">
        <f aca="false">IF(AND(B500&lt;&gt;"",ISNUMBER(H500),ISNUMBER(F500)),COUNTIFS(C_ID,B500,C_SUELDO,"&lt;&gt;",C_INICIO,"&lt;"&amp;F500)+COUNTIFS(B$7:B500,B500,H$7:H500,"&lt;&gt;",F$7:F500,F500),"")</f>
        <v/>
      </c>
      <c r="S500" s="72" t="str">
        <f aca="false">IF(R500="","",B500&amp;"-S"&amp;R500)</f>
        <v/>
      </c>
      <c r="T500" s="74" t="str">
        <f aca="false">IF(AND(ISNUMBER(F500),ISNUMBER(G500)),ROUND((G500-F500+1)/30.4375,1),"")</f>
        <v/>
      </c>
      <c r="U500" s="70" t="str">
        <f aca="false">IF(B500="","",IF(AND(N500="Sí",OR(E500="",NOT(ISNUMBER(F500)))),"⚠ Falta tipo de contrato o fecha de inicio",IF(NOT(ISNUMBER(F500)),"⚠ Falta fecha de inicio",IF(AND(N500="Sí",E500&lt;&gt;"Indefinido",NOT(ISNUMBER(G500))),"⚠ Falta fecha de término",IF(AND(D500="Paso a indefinido",E500&lt;&gt;"Indefinido"),"⚠ Un paso a indefinido debe tener tipo Indefinido",IF(N(Q500)&gt;=3,"⚠ 3er contrato a plazo fijo: por ley ya es INDEFINIDO (Art. 159 N°4)",IF(AND(E500="Plazo fijo",N(T500)&gt;12),"⚠ Plazo fijo mayor a 1 año (máx. legal; 2 años solo profesionales o técnicos)",IF(AND(ISNUMBER(G500),G500&lt;F500),"⚠ Término anterior al inicio",IF(AND(D500="Contrato inicial",ISNUMBER(J500),J500-F500&gt;15),"⚠ Escriturado fuera de plazo (Art. 9: 15 días)",IF(K500&lt;&gt;"Sí","Pendiente de firma","OK"))))))))))</f>
        <v/>
      </c>
    </row>
    <row r="501" customFormat="false" ht="15" hidden="false" customHeight="false" outlineLevel="0" collapsed="false">
      <c r="B501" s="64"/>
      <c r="C501" s="72" t="str">
        <f aca="false">IF(B501="","",IFERROR(INDEX(T_NOMBRE,MATCH(B501,T_ID,0)),"⚠ ID no existe en Trabajadores"))</f>
        <v/>
      </c>
      <c r="D501" s="64"/>
      <c r="E501" s="64"/>
      <c r="F501" s="65"/>
      <c r="G501" s="65"/>
      <c r="H501" s="67"/>
      <c r="I501" s="64"/>
      <c r="J501" s="65"/>
      <c r="K501" s="64"/>
      <c r="L501" s="64"/>
      <c r="M501" s="64"/>
      <c r="N501" s="72" t="str">
        <f aca="false">IF(B501="","",IF(D501="Anexo de modificación","No","Sí"))</f>
        <v/>
      </c>
      <c r="O501" s="73" t="str">
        <f aca="false">IF(AND(N501="Sí",ISNUMBER(F501)),COUNTIFS(C_ID,B501,C_DEFINE,"Sí",C_INICIO,"&lt;"&amp;F501)+COUNTIFS(B$7:B501,B501,N$7:N501,"Sí",F$7:F501,F501),"")</f>
        <v/>
      </c>
      <c r="P501" s="72" t="str">
        <f aca="false">IF(O501="","",B501&amp;"-P"&amp;O501)</f>
        <v/>
      </c>
      <c r="Q501" s="73" t="str">
        <f aca="false">IF(AND(N501="Sí",E501="Plazo fijo",ISNUMBER(F501)),COUNTIFS(C_ID,B501,C_TIPO,"Plazo fijo",C_DEFINE,"Sí",C_INICIO,"&lt;"&amp;F501)+COUNTIFS(B$7:B501,B501,E$7:E501,"Plazo fijo",N$7:N501,"Sí",F$7:F501,F501),"")</f>
        <v/>
      </c>
      <c r="R501" s="73" t="str">
        <f aca="false">IF(AND(B501&lt;&gt;"",ISNUMBER(H501),ISNUMBER(F501)),COUNTIFS(C_ID,B501,C_SUELDO,"&lt;&gt;",C_INICIO,"&lt;"&amp;F501)+COUNTIFS(B$7:B501,B501,H$7:H501,"&lt;&gt;",F$7:F501,F501),"")</f>
        <v/>
      </c>
      <c r="S501" s="72" t="str">
        <f aca="false">IF(R501="","",B501&amp;"-S"&amp;R501)</f>
        <v/>
      </c>
      <c r="T501" s="74" t="str">
        <f aca="false">IF(AND(ISNUMBER(F501),ISNUMBER(G501)),ROUND((G501-F501+1)/30.4375,1),"")</f>
        <v/>
      </c>
      <c r="U501" s="70" t="str">
        <f aca="false">IF(B501="","",IF(AND(N501="Sí",OR(E501="",NOT(ISNUMBER(F501)))),"⚠ Falta tipo de contrato o fecha de inicio",IF(NOT(ISNUMBER(F501)),"⚠ Falta fecha de inicio",IF(AND(N501="Sí",E501&lt;&gt;"Indefinido",NOT(ISNUMBER(G501))),"⚠ Falta fecha de término",IF(AND(D501="Paso a indefinido",E501&lt;&gt;"Indefinido"),"⚠ Un paso a indefinido debe tener tipo Indefinido",IF(N(Q501)&gt;=3,"⚠ 3er contrato a plazo fijo: por ley ya es INDEFINIDO (Art. 159 N°4)",IF(AND(E501="Plazo fijo",N(T501)&gt;12),"⚠ Plazo fijo mayor a 1 año (máx. legal; 2 años solo profesionales o técnicos)",IF(AND(ISNUMBER(G501),G501&lt;F501),"⚠ Término anterior al inicio",IF(AND(D501="Contrato inicial",ISNUMBER(J501),J501-F501&gt;15),"⚠ Escriturado fuera de plazo (Art. 9: 15 días)",IF(K501&lt;&gt;"Sí","Pendiente de firma","OK"))))))))))</f>
        <v/>
      </c>
    </row>
    <row r="502" customFormat="false" ht="15" hidden="false" customHeight="false" outlineLevel="0" collapsed="false">
      <c r="B502" s="64"/>
      <c r="C502" s="72" t="str">
        <f aca="false">IF(B502="","",IFERROR(INDEX(T_NOMBRE,MATCH(B502,T_ID,0)),"⚠ ID no existe en Trabajadores"))</f>
        <v/>
      </c>
      <c r="D502" s="64"/>
      <c r="E502" s="64"/>
      <c r="F502" s="65"/>
      <c r="G502" s="65"/>
      <c r="H502" s="67"/>
      <c r="I502" s="64"/>
      <c r="J502" s="65"/>
      <c r="K502" s="64"/>
      <c r="L502" s="64"/>
      <c r="M502" s="64"/>
      <c r="N502" s="72" t="str">
        <f aca="false">IF(B502="","",IF(D502="Anexo de modificación","No","Sí"))</f>
        <v/>
      </c>
      <c r="O502" s="73" t="str">
        <f aca="false">IF(AND(N502="Sí",ISNUMBER(F502)),COUNTIFS(C_ID,B502,C_DEFINE,"Sí",C_INICIO,"&lt;"&amp;F502)+COUNTIFS(B$7:B502,B502,N$7:N502,"Sí",F$7:F502,F502),"")</f>
        <v/>
      </c>
      <c r="P502" s="72" t="str">
        <f aca="false">IF(O502="","",B502&amp;"-P"&amp;O502)</f>
        <v/>
      </c>
      <c r="Q502" s="73" t="str">
        <f aca="false">IF(AND(N502="Sí",E502="Plazo fijo",ISNUMBER(F502)),COUNTIFS(C_ID,B502,C_TIPO,"Plazo fijo",C_DEFINE,"Sí",C_INICIO,"&lt;"&amp;F502)+COUNTIFS(B$7:B502,B502,E$7:E502,"Plazo fijo",N$7:N502,"Sí",F$7:F502,F502),"")</f>
        <v/>
      </c>
      <c r="R502" s="73" t="str">
        <f aca="false">IF(AND(B502&lt;&gt;"",ISNUMBER(H502),ISNUMBER(F502)),COUNTIFS(C_ID,B502,C_SUELDO,"&lt;&gt;",C_INICIO,"&lt;"&amp;F502)+COUNTIFS(B$7:B502,B502,H$7:H502,"&lt;&gt;",F$7:F502,F502),"")</f>
        <v/>
      </c>
      <c r="S502" s="72" t="str">
        <f aca="false">IF(R502="","",B502&amp;"-S"&amp;R502)</f>
        <v/>
      </c>
      <c r="T502" s="74" t="str">
        <f aca="false">IF(AND(ISNUMBER(F502),ISNUMBER(G502)),ROUND((G502-F502+1)/30.4375,1),"")</f>
        <v/>
      </c>
      <c r="U502" s="70" t="str">
        <f aca="false">IF(B502="","",IF(AND(N502="Sí",OR(E502="",NOT(ISNUMBER(F502)))),"⚠ Falta tipo de contrato o fecha de inicio",IF(NOT(ISNUMBER(F502)),"⚠ Falta fecha de inicio",IF(AND(N502="Sí",E502&lt;&gt;"Indefinido",NOT(ISNUMBER(G502))),"⚠ Falta fecha de término",IF(AND(D502="Paso a indefinido",E502&lt;&gt;"Indefinido"),"⚠ Un paso a indefinido debe tener tipo Indefinido",IF(N(Q502)&gt;=3,"⚠ 3er contrato a plazo fijo: por ley ya es INDEFINIDO (Art. 159 N°4)",IF(AND(E502="Plazo fijo",N(T502)&gt;12),"⚠ Plazo fijo mayor a 1 año (máx. legal; 2 años solo profesionales o técnicos)",IF(AND(ISNUMBER(G502),G502&lt;F502),"⚠ Término anterior al inicio",IF(AND(D502="Contrato inicial",ISNUMBER(J502),J502-F502&gt;15),"⚠ Escriturado fuera de plazo (Art. 9: 15 días)",IF(K502&lt;&gt;"Sí","Pendiente de firma","OK"))))))))))</f>
        <v/>
      </c>
    </row>
    <row r="503" customFormat="false" ht="15" hidden="false" customHeight="false" outlineLevel="0" collapsed="false">
      <c r="B503" s="64"/>
      <c r="C503" s="72" t="str">
        <f aca="false">IF(B503="","",IFERROR(INDEX(T_NOMBRE,MATCH(B503,T_ID,0)),"⚠ ID no existe en Trabajadores"))</f>
        <v/>
      </c>
      <c r="D503" s="64"/>
      <c r="E503" s="64"/>
      <c r="F503" s="65"/>
      <c r="G503" s="65"/>
      <c r="H503" s="67"/>
      <c r="I503" s="64"/>
      <c r="J503" s="65"/>
      <c r="K503" s="64"/>
      <c r="L503" s="64"/>
      <c r="M503" s="64"/>
      <c r="N503" s="72" t="str">
        <f aca="false">IF(B503="","",IF(D503="Anexo de modificación","No","Sí"))</f>
        <v/>
      </c>
      <c r="O503" s="73" t="str">
        <f aca="false">IF(AND(N503="Sí",ISNUMBER(F503)),COUNTIFS(C_ID,B503,C_DEFINE,"Sí",C_INICIO,"&lt;"&amp;F503)+COUNTIFS(B$7:B503,B503,N$7:N503,"Sí",F$7:F503,F503),"")</f>
        <v/>
      </c>
      <c r="P503" s="72" t="str">
        <f aca="false">IF(O503="","",B503&amp;"-P"&amp;O503)</f>
        <v/>
      </c>
      <c r="Q503" s="73" t="str">
        <f aca="false">IF(AND(N503="Sí",E503="Plazo fijo",ISNUMBER(F503)),COUNTIFS(C_ID,B503,C_TIPO,"Plazo fijo",C_DEFINE,"Sí",C_INICIO,"&lt;"&amp;F503)+COUNTIFS(B$7:B503,B503,E$7:E503,"Plazo fijo",N$7:N503,"Sí",F$7:F503,F503),"")</f>
        <v/>
      </c>
      <c r="R503" s="73" t="str">
        <f aca="false">IF(AND(B503&lt;&gt;"",ISNUMBER(H503),ISNUMBER(F503)),COUNTIFS(C_ID,B503,C_SUELDO,"&lt;&gt;",C_INICIO,"&lt;"&amp;F503)+COUNTIFS(B$7:B503,B503,H$7:H503,"&lt;&gt;",F$7:F503,F503),"")</f>
        <v/>
      </c>
      <c r="S503" s="72" t="str">
        <f aca="false">IF(R503="","",B503&amp;"-S"&amp;R503)</f>
        <v/>
      </c>
      <c r="T503" s="74" t="str">
        <f aca="false">IF(AND(ISNUMBER(F503),ISNUMBER(G503)),ROUND((G503-F503+1)/30.4375,1),"")</f>
        <v/>
      </c>
      <c r="U503" s="70" t="str">
        <f aca="false">IF(B503="","",IF(AND(N503="Sí",OR(E503="",NOT(ISNUMBER(F503)))),"⚠ Falta tipo de contrato o fecha de inicio",IF(NOT(ISNUMBER(F503)),"⚠ Falta fecha de inicio",IF(AND(N503="Sí",E503&lt;&gt;"Indefinido",NOT(ISNUMBER(G503))),"⚠ Falta fecha de término",IF(AND(D503="Paso a indefinido",E503&lt;&gt;"Indefinido"),"⚠ Un paso a indefinido debe tener tipo Indefinido",IF(N(Q503)&gt;=3,"⚠ 3er contrato a plazo fijo: por ley ya es INDEFINIDO (Art. 159 N°4)",IF(AND(E503="Plazo fijo",N(T503)&gt;12),"⚠ Plazo fijo mayor a 1 año (máx. legal; 2 años solo profesionales o técnicos)",IF(AND(ISNUMBER(G503),G503&lt;F503),"⚠ Término anterior al inicio",IF(AND(D503="Contrato inicial",ISNUMBER(J503),J503-F503&gt;15),"⚠ Escriturado fuera de plazo (Art. 9: 15 días)",IF(K503&lt;&gt;"Sí","Pendiente de firma","OK"))))))))))</f>
        <v/>
      </c>
    </row>
    <row r="504" customFormat="false" ht="15" hidden="false" customHeight="false" outlineLevel="0" collapsed="false">
      <c r="B504" s="64"/>
      <c r="C504" s="72" t="str">
        <f aca="false">IF(B504="","",IFERROR(INDEX(T_NOMBRE,MATCH(B504,T_ID,0)),"⚠ ID no existe en Trabajadores"))</f>
        <v/>
      </c>
      <c r="D504" s="64"/>
      <c r="E504" s="64"/>
      <c r="F504" s="65"/>
      <c r="G504" s="65"/>
      <c r="H504" s="67"/>
      <c r="I504" s="64"/>
      <c r="J504" s="65"/>
      <c r="K504" s="64"/>
      <c r="L504" s="64"/>
      <c r="M504" s="64"/>
      <c r="N504" s="72" t="str">
        <f aca="false">IF(B504="","",IF(D504="Anexo de modificación","No","Sí"))</f>
        <v/>
      </c>
      <c r="O504" s="73" t="str">
        <f aca="false">IF(AND(N504="Sí",ISNUMBER(F504)),COUNTIFS(C_ID,B504,C_DEFINE,"Sí",C_INICIO,"&lt;"&amp;F504)+COUNTIFS(B$7:B504,B504,N$7:N504,"Sí",F$7:F504,F504),"")</f>
        <v/>
      </c>
      <c r="P504" s="72" t="str">
        <f aca="false">IF(O504="","",B504&amp;"-P"&amp;O504)</f>
        <v/>
      </c>
      <c r="Q504" s="73" t="str">
        <f aca="false">IF(AND(N504="Sí",E504="Plazo fijo",ISNUMBER(F504)),COUNTIFS(C_ID,B504,C_TIPO,"Plazo fijo",C_DEFINE,"Sí",C_INICIO,"&lt;"&amp;F504)+COUNTIFS(B$7:B504,B504,E$7:E504,"Plazo fijo",N$7:N504,"Sí",F$7:F504,F504),"")</f>
        <v/>
      </c>
      <c r="R504" s="73" t="str">
        <f aca="false">IF(AND(B504&lt;&gt;"",ISNUMBER(H504),ISNUMBER(F504)),COUNTIFS(C_ID,B504,C_SUELDO,"&lt;&gt;",C_INICIO,"&lt;"&amp;F504)+COUNTIFS(B$7:B504,B504,H$7:H504,"&lt;&gt;",F$7:F504,F504),"")</f>
        <v/>
      </c>
      <c r="S504" s="72" t="str">
        <f aca="false">IF(R504="","",B504&amp;"-S"&amp;R504)</f>
        <v/>
      </c>
      <c r="T504" s="74" t="str">
        <f aca="false">IF(AND(ISNUMBER(F504),ISNUMBER(G504)),ROUND((G504-F504+1)/30.4375,1),"")</f>
        <v/>
      </c>
      <c r="U504" s="70" t="str">
        <f aca="false">IF(B504="","",IF(AND(N504="Sí",OR(E504="",NOT(ISNUMBER(F504)))),"⚠ Falta tipo de contrato o fecha de inicio",IF(NOT(ISNUMBER(F504)),"⚠ Falta fecha de inicio",IF(AND(N504="Sí",E504&lt;&gt;"Indefinido",NOT(ISNUMBER(G504))),"⚠ Falta fecha de término",IF(AND(D504="Paso a indefinido",E504&lt;&gt;"Indefinido"),"⚠ Un paso a indefinido debe tener tipo Indefinido",IF(N(Q504)&gt;=3,"⚠ 3er contrato a plazo fijo: por ley ya es INDEFINIDO (Art. 159 N°4)",IF(AND(E504="Plazo fijo",N(T504)&gt;12),"⚠ Plazo fijo mayor a 1 año (máx. legal; 2 años solo profesionales o técnicos)",IF(AND(ISNUMBER(G504),G504&lt;F504),"⚠ Término anterior al inicio",IF(AND(D504="Contrato inicial",ISNUMBER(J504),J504-F504&gt;15),"⚠ Escriturado fuera de plazo (Art. 9: 15 días)",IF(K504&lt;&gt;"Sí","Pendiente de firma","OK"))))))))))</f>
        <v/>
      </c>
    </row>
    <row r="505" customFormat="false" ht="15" hidden="false" customHeight="false" outlineLevel="0" collapsed="false">
      <c r="B505" s="64"/>
      <c r="C505" s="72" t="str">
        <f aca="false">IF(B505="","",IFERROR(INDEX(T_NOMBRE,MATCH(B505,T_ID,0)),"⚠ ID no existe en Trabajadores"))</f>
        <v/>
      </c>
      <c r="D505" s="64"/>
      <c r="E505" s="64"/>
      <c r="F505" s="65"/>
      <c r="G505" s="65"/>
      <c r="H505" s="67"/>
      <c r="I505" s="64"/>
      <c r="J505" s="65"/>
      <c r="K505" s="64"/>
      <c r="L505" s="64"/>
      <c r="M505" s="64"/>
      <c r="N505" s="72" t="str">
        <f aca="false">IF(B505="","",IF(D505="Anexo de modificación","No","Sí"))</f>
        <v/>
      </c>
      <c r="O505" s="73" t="str">
        <f aca="false">IF(AND(N505="Sí",ISNUMBER(F505)),COUNTIFS(C_ID,B505,C_DEFINE,"Sí",C_INICIO,"&lt;"&amp;F505)+COUNTIFS(B$7:B505,B505,N$7:N505,"Sí",F$7:F505,F505),"")</f>
        <v/>
      </c>
      <c r="P505" s="72" t="str">
        <f aca="false">IF(O505="","",B505&amp;"-P"&amp;O505)</f>
        <v/>
      </c>
      <c r="Q505" s="73" t="str">
        <f aca="false">IF(AND(N505="Sí",E505="Plazo fijo",ISNUMBER(F505)),COUNTIFS(C_ID,B505,C_TIPO,"Plazo fijo",C_DEFINE,"Sí",C_INICIO,"&lt;"&amp;F505)+COUNTIFS(B$7:B505,B505,E$7:E505,"Plazo fijo",N$7:N505,"Sí",F$7:F505,F505),"")</f>
        <v/>
      </c>
      <c r="R505" s="73" t="str">
        <f aca="false">IF(AND(B505&lt;&gt;"",ISNUMBER(H505),ISNUMBER(F505)),COUNTIFS(C_ID,B505,C_SUELDO,"&lt;&gt;",C_INICIO,"&lt;"&amp;F505)+COUNTIFS(B$7:B505,B505,H$7:H505,"&lt;&gt;",F$7:F505,F505),"")</f>
        <v/>
      </c>
      <c r="S505" s="72" t="str">
        <f aca="false">IF(R505="","",B505&amp;"-S"&amp;R505)</f>
        <v/>
      </c>
      <c r="T505" s="74" t="str">
        <f aca="false">IF(AND(ISNUMBER(F505),ISNUMBER(G505)),ROUND((G505-F505+1)/30.4375,1),"")</f>
        <v/>
      </c>
      <c r="U505" s="70" t="str">
        <f aca="false">IF(B505="","",IF(AND(N505="Sí",OR(E505="",NOT(ISNUMBER(F505)))),"⚠ Falta tipo de contrato o fecha de inicio",IF(NOT(ISNUMBER(F505)),"⚠ Falta fecha de inicio",IF(AND(N505="Sí",E505&lt;&gt;"Indefinido",NOT(ISNUMBER(G505))),"⚠ Falta fecha de término",IF(AND(D505="Paso a indefinido",E505&lt;&gt;"Indefinido"),"⚠ Un paso a indefinido debe tener tipo Indefinido",IF(N(Q505)&gt;=3,"⚠ 3er contrato a plazo fijo: por ley ya es INDEFINIDO (Art. 159 N°4)",IF(AND(E505="Plazo fijo",N(T505)&gt;12),"⚠ Plazo fijo mayor a 1 año (máx. legal; 2 años solo profesionales o técnicos)",IF(AND(ISNUMBER(G505),G505&lt;F505),"⚠ Término anterior al inicio",IF(AND(D505="Contrato inicial",ISNUMBER(J505),J505-F505&gt;15),"⚠ Escriturado fuera de plazo (Art. 9: 15 días)",IF(K505&lt;&gt;"Sí","Pendiente de firma","OK"))))))))))</f>
        <v/>
      </c>
    </row>
    <row r="506" customFormat="false" ht="15" hidden="false" customHeight="false" outlineLevel="0" collapsed="false">
      <c r="B506" s="64"/>
      <c r="C506" s="72" t="str">
        <f aca="false">IF(B506="","",IFERROR(INDEX(T_NOMBRE,MATCH(B506,T_ID,0)),"⚠ ID no existe en Trabajadores"))</f>
        <v/>
      </c>
      <c r="D506" s="64"/>
      <c r="E506" s="64"/>
      <c r="F506" s="65"/>
      <c r="G506" s="65"/>
      <c r="H506" s="67"/>
      <c r="I506" s="64"/>
      <c r="J506" s="65"/>
      <c r="K506" s="64"/>
      <c r="L506" s="64"/>
      <c r="M506" s="64"/>
      <c r="N506" s="72" t="str">
        <f aca="false">IF(B506="","",IF(D506="Anexo de modificación","No","Sí"))</f>
        <v/>
      </c>
      <c r="O506" s="73" t="str">
        <f aca="false">IF(AND(N506="Sí",ISNUMBER(F506)),COUNTIFS(C_ID,B506,C_DEFINE,"Sí",C_INICIO,"&lt;"&amp;F506)+COUNTIFS(B$7:B506,B506,N$7:N506,"Sí",F$7:F506,F506),"")</f>
        <v/>
      </c>
      <c r="P506" s="72" t="str">
        <f aca="false">IF(O506="","",B506&amp;"-P"&amp;O506)</f>
        <v/>
      </c>
      <c r="Q506" s="73" t="str">
        <f aca="false">IF(AND(N506="Sí",E506="Plazo fijo",ISNUMBER(F506)),COUNTIFS(C_ID,B506,C_TIPO,"Plazo fijo",C_DEFINE,"Sí",C_INICIO,"&lt;"&amp;F506)+COUNTIFS(B$7:B506,B506,E$7:E506,"Plazo fijo",N$7:N506,"Sí",F$7:F506,F506),"")</f>
        <v/>
      </c>
      <c r="R506" s="73" t="str">
        <f aca="false">IF(AND(B506&lt;&gt;"",ISNUMBER(H506),ISNUMBER(F506)),COUNTIFS(C_ID,B506,C_SUELDO,"&lt;&gt;",C_INICIO,"&lt;"&amp;F506)+COUNTIFS(B$7:B506,B506,H$7:H506,"&lt;&gt;",F$7:F506,F506),"")</f>
        <v/>
      </c>
      <c r="S506" s="72" t="str">
        <f aca="false">IF(R506="","",B506&amp;"-S"&amp;R506)</f>
        <v/>
      </c>
      <c r="T506" s="74" t="str">
        <f aca="false">IF(AND(ISNUMBER(F506),ISNUMBER(G506)),ROUND((G506-F506+1)/30.4375,1),"")</f>
        <v/>
      </c>
      <c r="U506" s="70" t="str">
        <f aca="false">IF(B506="","",IF(AND(N506="Sí",OR(E506="",NOT(ISNUMBER(F506)))),"⚠ Falta tipo de contrato o fecha de inicio",IF(NOT(ISNUMBER(F506)),"⚠ Falta fecha de inicio",IF(AND(N506="Sí",E506&lt;&gt;"Indefinido",NOT(ISNUMBER(G506))),"⚠ Falta fecha de término",IF(AND(D506="Paso a indefinido",E506&lt;&gt;"Indefinido"),"⚠ Un paso a indefinido debe tener tipo Indefinido",IF(N(Q506)&gt;=3,"⚠ 3er contrato a plazo fijo: por ley ya es INDEFINIDO (Art. 159 N°4)",IF(AND(E506="Plazo fijo",N(T506)&gt;12),"⚠ Plazo fijo mayor a 1 año (máx. legal; 2 años solo profesionales o técnicos)",IF(AND(ISNUMBER(G506),G506&lt;F506),"⚠ Término anterior al inicio",IF(AND(D506="Contrato inicial",ISNUMBER(J506),J506-F506&gt;15),"⚠ Escriturado fuera de plazo (Art. 9: 15 días)",IF(K506&lt;&gt;"Sí","Pendiente de firma","OK"))))))))))</f>
        <v/>
      </c>
    </row>
    <row r="507" customFormat="false" ht="15" hidden="false" customHeight="false" outlineLevel="0" collapsed="false">
      <c r="B507" s="64"/>
      <c r="C507" s="72" t="str">
        <f aca="false">IF(B507="","",IFERROR(INDEX(T_NOMBRE,MATCH(B507,T_ID,0)),"⚠ ID no existe en Trabajadores"))</f>
        <v/>
      </c>
      <c r="D507" s="64"/>
      <c r="E507" s="64"/>
      <c r="F507" s="65"/>
      <c r="G507" s="65"/>
      <c r="H507" s="67"/>
      <c r="I507" s="64"/>
      <c r="J507" s="65"/>
      <c r="K507" s="64"/>
      <c r="L507" s="64"/>
      <c r="M507" s="64"/>
      <c r="N507" s="72" t="str">
        <f aca="false">IF(B507="","",IF(D507="Anexo de modificación","No","Sí"))</f>
        <v/>
      </c>
      <c r="O507" s="73" t="str">
        <f aca="false">IF(AND(N507="Sí",ISNUMBER(F507)),COUNTIFS(C_ID,B507,C_DEFINE,"Sí",C_INICIO,"&lt;"&amp;F507)+COUNTIFS(B$7:B507,B507,N$7:N507,"Sí",F$7:F507,F507),"")</f>
        <v/>
      </c>
      <c r="P507" s="72" t="str">
        <f aca="false">IF(O507="","",B507&amp;"-P"&amp;O507)</f>
        <v/>
      </c>
      <c r="Q507" s="73" t="str">
        <f aca="false">IF(AND(N507="Sí",E507="Plazo fijo",ISNUMBER(F507)),COUNTIFS(C_ID,B507,C_TIPO,"Plazo fijo",C_DEFINE,"Sí",C_INICIO,"&lt;"&amp;F507)+COUNTIFS(B$7:B507,B507,E$7:E507,"Plazo fijo",N$7:N507,"Sí",F$7:F507,F507),"")</f>
        <v/>
      </c>
      <c r="R507" s="73" t="str">
        <f aca="false">IF(AND(B507&lt;&gt;"",ISNUMBER(H507),ISNUMBER(F507)),COUNTIFS(C_ID,B507,C_SUELDO,"&lt;&gt;",C_INICIO,"&lt;"&amp;F507)+COUNTIFS(B$7:B507,B507,H$7:H507,"&lt;&gt;",F$7:F507,F507),"")</f>
        <v/>
      </c>
      <c r="S507" s="72" t="str">
        <f aca="false">IF(R507="","",B507&amp;"-S"&amp;R507)</f>
        <v/>
      </c>
      <c r="T507" s="74" t="str">
        <f aca="false">IF(AND(ISNUMBER(F507),ISNUMBER(G507)),ROUND((G507-F507+1)/30.4375,1),"")</f>
        <v/>
      </c>
      <c r="U507" s="70" t="str">
        <f aca="false">IF(B507="","",IF(AND(N507="Sí",OR(E507="",NOT(ISNUMBER(F507)))),"⚠ Falta tipo de contrato o fecha de inicio",IF(NOT(ISNUMBER(F507)),"⚠ Falta fecha de inicio",IF(AND(N507="Sí",E507&lt;&gt;"Indefinido",NOT(ISNUMBER(G507))),"⚠ Falta fecha de término",IF(AND(D507="Paso a indefinido",E507&lt;&gt;"Indefinido"),"⚠ Un paso a indefinido debe tener tipo Indefinido",IF(N(Q507)&gt;=3,"⚠ 3er contrato a plazo fijo: por ley ya es INDEFINIDO (Art. 159 N°4)",IF(AND(E507="Plazo fijo",N(T507)&gt;12),"⚠ Plazo fijo mayor a 1 año (máx. legal; 2 años solo profesionales o técnicos)",IF(AND(ISNUMBER(G507),G507&lt;F507),"⚠ Término anterior al inicio",IF(AND(D507="Contrato inicial",ISNUMBER(J507),J507-F507&gt;15),"⚠ Escriturado fuera de plazo (Art. 9: 15 días)",IF(K507&lt;&gt;"Sí","Pendiente de firma","OK"))))))))))</f>
        <v/>
      </c>
    </row>
    <row r="508" customFormat="false" ht="15" hidden="false" customHeight="false" outlineLevel="0" collapsed="false">
      <c r="B508" s="64"/>
      <c r="C508" s="72" t="str">
        <f aca="false">IF(B508="","",IFERROR(INDEX(T_NOMBRE,MATCH(B508,T_ID,0)),"⚠ ID no existe en Trabajadores"))</f>
        <v/>
      </c>
      <c r="D508" s="64"/>
      <c r="E508" s="64"/>
      <c r="F508" s="65"/>
      <c r="G508" s="65"/>
      <c r="H508" s="67"/>
      <c r="I508" s="64"/>
      <c r="J508" s="65"/>
      <c r="K508" s="64"/>
      <c r="L508" s="64"/>
      <c r="M508" s="64"/>
      <c r="N508" s="72" t="str">
        <f aca="false">IF(B508="","",IF(D508="Anexo de modificación","No","Sí"))</f>
        <v/>
      </c>
      <c r="O508" s="73" t="str">
        <f aca="false">IF(AND(N508="Sí",ISNUMBER(F508)),COUNTIFS(C_ID,B508,C_DEFINE,"Sí",C_INICIO,"&lt;"&amp;F508)+COUNTIFS(B$7:B508,B508,N$7:N508,"Sí",F$7:F508,F508),"")</f>
        <v/>
      </c>
      <c r="P508" s="72" t="str">
        <f aca="false">IF(O508="","",B508&amp;"-P"&amp;O508)</f>
        <v/>
      </c>
      <c r="Q508" s="73" t="str">
        <f aca="false">IF(AND(N508="Sí",E508="Plazo fijo",ISNUMBER(F508)),COUNTIFS(C_ID,B508,C_TIPO,"Plazo fijo",C_DEFINE,"Sí",C_INICIO,"&lt;"&amp;F508)+COUNTIFS(B$7:B508,B508,E$7:E508,"Plazo fijo",N$7:N508,"Sí",F$7:F508,F508),"")</f>
        <v/>
      </c>
      <c r="R508" s="73" t="str">
        <f aca="false">IF(AND(B508&lt;&gt;"",ISNUMBER(H508),ISNUMBER(F508)),COUNTIFS(C_ID,B508,C_SUELDO,"&lt;&gt;",C_INICIO,"&lt;"&amp;F508)+COUNTIFS(B$7:B508,B508,H$7:H508,"&lt;&gt;",F$7:F508,F508),"")</f>
        <v/>
      </c>
      <c r="S508" s="72" t="str">
        <f aca="false">IF(R508="","",B508&amp;"-S"&amp;R508)</f>
        <v/>
      </c>
      <c r="T508" s="74" t="str">
        <f aca="false">IF(AND(ISNUMBER(F508),ISNUMBER(G508)),ROUND((G508-F508+1)/30.4375,1),"")</f>
        <v/>
      </c>
      <c r="U508" s="70" t="str">
        <f aca="false">IF(B508="","",IF(AND(N508="Sí",OR(E508="",NOT(ISNUMBER(F508)))),"⚠ Falta tipo de contrato o fecha de inicio",IF(NOT(ISNUMBER(F508)),"⚠ Falta fecha de inicio",IF(AND(N508="Sí",E508&lt;&gt;"Indefinido",NOT(ISNUMBER(G508))),"⚠ Falta fecha de término",IF(AND(D508="Paso a indefinido",E508&lt;&gt;"Indefinido"),"⚠ Un paso a indefinido debe tener tipo Indefinido",IF(N(Q508)&gt;=3,"⚠ 3er contrato a plazo fijo: por ley ya es INDEFINIDO (Art. 159 N°4)",IF(AND(E508="Plazo fijo",N(T508)&gt;12),"⚠ Plazo fijo mayor a 1 año (máx. legal; 2 años solo profesionales o técnicos)",IF(AND(ISNUMBER(G508),G508&lt;F508),"⚠ Término anterior al inicio",IF(AND(D508="Contrato inicial",ISNUMBER(J508),J508-F508&gt;15),"⚠ Escriturado fuera de plazo (Art. 9: 15 días)",IF(K508&lt;&gt;"Sí","Pendiente de firma","OK"))))))))))</f>
        <v/>
      </c>
    </row>
    <row r="509" customFormat="false" ht="15" hidden="false" customHeight="false" outlineLevel="0" collapsed="false">
      <c r="B509" s="64"/>
      <c r="C509" s="72" t="str">
        <f aca="false">IF(B509="","",IFERROR(INDEX(T_NOMBRE,MATCH(B509,T_ID,0)),"⚠ ID no existe en Trabajadores"))</f>
        <v/>
      </c>
      <c r="D509" s="64"/>
      <c r="E509" s="64"/>
      <c r="F509" s="65"/>
      <c r="G509" s="65"/>
      <c r="H509" s="67"/>
      <c r="I509" s="64"/>
      <c r="J509" s="65"/>
      <c r="K509" s="64"/>
      <c r="L509" s="64"/>
      <c r="M509" s="64"/>
      <c r="N509" s="72" t="str">
        <f aca="false">IF(B509="","",IF(D509="Anexo de modificación","No","Sí"))</f>
        <v/>
      </c>
      <c r="O509" s="73" t="str">
        <f aca="false">IF(AND(N509="Sí",ISNUMBER(F509)),COUNTIFS(C_ID,B509,C_DEFINE,"Sí",C_INICIO,"&lt;"&amp;F509)+COUNTIFS(B$7:B509,B509,N$7:N509,"Sí",F$7:F509,F509),"")</f>
        <v/>
      </c>
      <c r="P509" s="72" t="str">
        <f aca="false">IF(O509="","",B509&amp;"-P"&amp;O509)</f>
        <v/>
      </c>
      <c r="Q509" s="73" t="str">
        <f aca="false">IF(AND(N509="Sí",E509="Plazo fijo",ISNUMBER(F509)),COUNTIFS(C_ID,B509,C_TIPO,"Plazo fijo",C_DEFINE,"Sí",C_INICIO,"&lt;"&amp;F509)+COUNTIFS(B$7:B509,B509,E$7:E509,"Plazo fijo",N$7:N509,"Sí",F$7:F509,F509),"")</f>
        <v/>
      </c>
      <c r="R509" s="73" t="str">
        <f aca="false">IF(AND(B509&lt;&gt;"",ISNUMBER(H509),ISNUMBER(F509)),COUNTIFS(C_ID,B509,C_SUELDO,"&lt;&gt;",C_INICIO,"&lt;"&amp;F509)+COUNTIFS(B$7:B509,B509,H$7:H509,"&lt;&gt;",F$7:F509,F509),"")</f>
        <v/>
      </c>
      <c r="S509" s="72" t="str">
        <f aca="false">IF(R509="","",B509&amp;"-S"&amp;R509)</f>
        <v/>
      </c>
      <c r="T509" s="74" t="str">
        <f aca="false">IF(AND(ISNUMBER(F509),ISNUMBER(G509)),ROUND((G509-F509+1)/30.4375,1),"")</f>
        <v/>
      </c>
      <c r="U509" s="70" t="str">
        <f aca="false">IF(B509="","",IF(AND(N509="Sí",OR(E509="",NOT(ISNUMBER(F509)))),"⚠ Falta tipo de contrato o fecha de inicio",IF(NOT(ISNUMBER(F509)),"⚠ Falta fecha de inicio",IF(AND(N509="Sí",E509&lt;&gt;"Indefinido",NOT(ISNUMBER(G509))),"⚠ Falta fecha de término",IF(AND(D509="Paso a indefinido",E509&lt;&gt;"Indefinido"),"⚠ Un paso a indefinido debe tener tipo Indefinido",IF(N(Q509)&gt;=3,"⚠ 3er contrato a plazo fijo: por ley ya es INDEFINIDO (Art. 159 N°4)",IF(AND(E509="Plazo fijo",N(T509)&gt;12),"⚠ Plazo fijo mayor a 1 año (máx. legal; 2 años solo profesionales o técnicos)",IF(AND(ISNUMBER(G509),G509&lt;F509),"⚠ Término anterior al inicio",IF(AND(D509="Contrato inicial",ISNUMBER(J509),J509-F509&gt;15),"⚠ Escriturado fuera de plazo (Art. 9: 15 días)",IF(K509&lt;&gt;"Sí","Pendiente de firma","OK"))))))))))</f>
        <v/>
      </c>
    </row>
    <row r="510" customFormat="false" ht="15" hidden="false" customHeight="false" outlineLevel="0" collapsed="false">
      <c r="B510" s="64"/>
      <c r="C510" s="72" t="str">
        <f aca="false">IF(B510="","",IFERROR(INDEX(T_NOMBRE,MATCH(B510,T_ID,0)),"⚠ ID no existe en Trabajadores"))</f>
        <v/>
      </c>
      <c r="D510" s="64"/>
      <c r="E510" s="64"/>
      <c r="F510" s="65"/>
      <c r="G510" s="65"/>
      <c r="H510" s="67"/>
      <c r="I510" s="64"/>
      <c r="J510" s="65"/>
      <c r="K510" s="64"/>
      <c r="L510" s="64"/>
      <c r="M510" s="64"/>
      <c r="N510" s="72" t="str">
        <f aca="false">IF(B510="","",IF(D510="Anexo de modificación","No","Sí"))</f>
        <v/>
      </c>
      <c r="O510" s="73" t="str">
        <f aca="false">IF(AND(N510="Sí",ISNUMBER(F510)),COUNTIFS(C_ID,B510,C_DEFINE,"Sí",C_INICIO,"&lt;"&amp;F510)+COUNTIFS(B$7:B510,B510,N$7:N510,"Sí",F$7:F510,F510),"")</f>
        <v/>
      </c>
      <c r="P510" s="72" t="str">
        <f aca="false">IF(O510="","",B510&amp;"-P"&amp;O510)</f>
        <v/>
      </c>
      <c r="Q510" s="73" t="str">
        <f aca="false">IF(AND(N510="Sí",E510="Plazo fijo",ISNUMBER(F510)),COUNTIFS(C_ID,B510,C_TIPO,"Plazo fijo",C_DEFINE,"Sí",C_INICIO,"&lt;"&amp;F510)+COUNTIFS(B$7:B510,B510,E$7:E510,"Plazo fijo",N$7:N510,"Sí",F$7:F510,F510),"")</f>
        <v/>
      </c>
      <c r="R510" s="73" t="str">
        <f aca="false">IF(AND(B510&lt;&gt;"",ISNUMBER(H510),ISNUMBER(F510)),COUNTIFS(C_ID,B510,C_SUELDO,"&lt;&gt;",C_INICIO,"&lt;"&amp;F510)+COUNTIFS(B$7:B510,B510,H$7:H510,"&lt;&gt;",F$7:F510,F510),"")</f>
        <v/>
      </c>
      <c r="S510" s="72" t="str">
        <f aca="false">IF(R510="","",B510&amp;"-S"&amp;R510)</f>
        <v/>
      </c>
      <c r="T510" s="74" t="str">
        <f aca="false">IF(AND(ISNUMBER(F510),ISNUMBER(G510)),ROUND((G510-F510+1)/30.4375,1),"")</f>
        <v/>
      </c>
      <c r="U510" s="70" t="str">
        <f aca="false">IF(B510="","",IF(AND(N510="Sí",OR(E510="",NOT(ISNUMBER(F510)))),"⚠ Falta tipo de contrato o fecha de inicio",IF(NOT(ISNUMBER(F510)),"⚠ Falta fecha de inicio",IF(AND(N510="Sí",E510&lt;&gt;"Indefinido",NOT(ISNUMBER(G510))),"⚠ Falta fecha de término",IF(AND(D510="Paso a indefinido",E510&lt;&gt;"Indefinido"),"⚠ Un paso a indefinido debe tener tipo Indefinido",IF(N(Q510)&gt;=3,"⚠ 3er contrato a plazo fijo: por ley ya es INDEFINIDO (Art. 159 N°4)",IF(AND(E510="Plazo fijo",N(T510)&gt;12),"⚠ Plazo fijo mayor a 1 año (máx. legal; 2 años solo profesionales o técnicos)",IF(AND(ISNUMBER(G510),G510&lt;F510),"⚠ Término anterior al inicio",IF(AND(D510="Contrato inicial",ISNUMBER(J510),J510-F510&gt;15),"⚠ Escriturado fuera de plazo (Art. 9: 15 días)",IF(K510&lt;&gt;"Sí","Pendiente de firma","OK"))))))))))</f>
        <v/>
      </c>
    </row>
    <row r="511" customFormat="false" ht="15" hidden="false" customHeight="false" outlineLevel="0" collapsed="false">
      <c r="B511" s="64"/>
      <c r="C511" s="72" t="str">
        <f aca="false">IF(B511="","",IFERROR(INDEX(T_NOMBRE,MATCH(B511,T_ID,0)),"⚠ ID no existe en Trabajadores"))</f>
        <v/>
      </c>
      <c r="D511" s="64"/>
      <c r="E511" s="64"/>
      <c r="F511" s="65"/>
      <c r="G511" s="65"/>
      <c r="H511" s="67"/>
      <c r="I511" s="64"/>
      <c r="J511" s="65"/>
      <c r="K511" s="64"/>
      <c r="L511" s="64"/>
      <c r="M511" s="64"/>
      <c r="N511" s="72" t="str">
        <f aca="false">IF(B511="","",IF(D511="Anexo de modificación","No","Sí"))</f>
        <v/>
      </c>
      <c r="O511" s="73" t="str">
        <f aca="false">IF(AND(N511="Sí",ISNUMBER(F511)),COUNTIFS(C_ID,B511,C_DEFINE,"Sí",C_INICIO,"&lt;"&amp;F511)+COUNTIFS(B$7:B511,B511,N$7:N511,"Sí",F$7:F511,F511),"")</f>
        <v/>
      </c>
      <c r="P511" s="72" t="str">
        <f aca="false">IF(O511="","",B511&amp;"-P"&amp;O511)</f>
        <v/>
      </c>
      <c r="Q511" s="73" t="str">
        <f aca="false">IF(AND(N511="Sí",E511="Plazo fijo",ISNUMBER(F511)),COUNTIFS(C_ID,B511,C_TIPO,"Plazo fijo",C_DEFINE,"Sí",C_INICIO,"&lt;"&amp;F511)+COUNTIFS(B$7:B511,B511,E$7:E511,"Plazo fijo",N$7:N511,"Sí",F$7:F511,F511),"")</f>
        <v/>
      </c>
      <c r="R511" s="73" t="str">
        <f aca="false">IF(AND(B511&lt;&gt;"",ISNUMBER(H511),ISNUMBER(F511)),COUNTIFS(C_ID,B511,C_SUELDO,"&lt;&gt;",C_INICIO,"&lt;"&amp;F511)+COUNTIFS(B$7:B511,B511,H$7:H511,"&lt;&gt;",F$7:F511,F511),"")</f>
        <v/>
      </c>
      <c r="S511" s="72" t="str">
        <f aca="false">IF(R511="","",B511&amp;"-S"&amp;R511)</f>
        <v/>
      </c>
      <c r="T511" s="74" t="str">
        <f aca="false">IF(AND(ISNUMBER(F511),ISNUMBER(G511)),ROUND((G511-F511+1)/30.4375,1),"")</f>
        <v/>
      </c>
      <c r="U511" s="70" t="str">
        <f aca="false">IF(B511="","",IF(AND(N511="Sí",OR(E511="",NOT(ISNUMBER(F511)))),"⚠ Falta tipo de contrato o fecha de inicio",IF(NOT(ISNUMBER(F511)),"⚠ Falta fecha de inicio",IF(AND(N511="Sí",E511&lt;&gt;"Indefinido",NOT(ISNUMBER(G511))),"⚠ Falta fecha de término",IF(AND(D511="Paso a indefinido",E511&lt;&gt;"Indefinido"),"⚠ Un paso a indefinido debe tener tipo Indefinido",IF(N(Q511)&gt;=3,"⚠ 3er contrato a plazo fijo: por ley ya es INDEFINIDO (Art. 159 N°4)",IF(AND(E511="Plazo fijo",N(T511)&gt;12),"⚠ Plazo fijo mayor a 1 año (máx. legal; 2 años solo profesionales o técnicos)",IF(AND(ISNUMBER(G511),G511&lt;F511),"⚠ Término anterior al inicio",IF(AND(D511="Contrato inicial",ISNUMBER(J511),J511-F511&gt;15),"⚠ Escriturado fuera de plazo (Art. 9: 15 días)",IF(K511&lt;&gt;"Sí","Pendiente de firma","OK"))))))))))</f>
        <v/>
      </c>
    </row>
    <row r="512" customFormat="false" ht="15" hidden="false" customHeight="false" outlineLevel="0" collapsed="false">
      <c r="B512" s="64"/>
      <c r="C512" s="72" t="str">
        <f aca="false">IF(B512="","",IFERROR(INDEX(T_NOMBRE,MATCH(B512,T_ID,0)),"⚠ ID no existe en Trabajadores"))</f>
        <v/>
      </c>
      <c r="D512" s="64"/>
      <c r="E512" s="64"/>
      <c r="F512" s="65"/>
      <c r="G512" s="65"/>
      <c r="H512" s="67"/>
      <c r="I512" s="64"/>
      <c r="J512" s="65"/>
      <c r="K512" s="64"/>
      <c r="L512" s="64"/>
      <c r="M512" s="64"/>
      <c r="N512" s="72" t="str">
        <f aca="false">IF(B512="","",IF(D512="Anexo de modificación","No","Sí"))</f>
        <v/>
      </c>
      <c r="O512" s="73" t="str">
        <f aca="false">IF(AND(N512="Sí",ISNUMBER(F512)),COUNTIFS(C_ID,B512,C_DEFINE,"Sí",C_INICIO,"&lt;"&amp;F512)+COUNTIFS(B$7:B512,B512,N$7:N512,"Sí",F$7:F512,F512),"")</f>
        <v/>
      </c>
      <c r="P512" s="72" t="str">
        <f aca="false">IF(O512="","",B512&amp;"-P"&amp;O512)</f>
        <v/>
      </c>
      <c r="Q512" s="73" t="str">
        <f aca="false">IF(AND(N512="Sí",E512="Plazo fijo",ISNUMBER(F512)),COUNTIFS(C_ID,B512,C_TIPO,"Plazo fijo",C_DEFINE,"Sí",C_INICIO,"&lt;"&amp;F512)+COUNTIFS(B$7:B512,B512,E$7:E512,"Plazo fijo",N$7:N512,"Sí",F$7:F512,F512),"")</f>
        <v/>
      </c>
      <c r="R512" s="73" t="str">
        <f aca="false">IF(AND(B512&lt;&gt;"",ISNUMBER(H512),ISNUMBER(F512)),COUNTIFS(C_ID,B512,C_SUELDO,"&lt;&gt;",C_INICIO,"&lt;"&amp;F512)+COUNTIFS(B$7:B512,B512,H$7:H512,"&lt;&gt;",F$7:F512,F512),"")</f>
        <v/>
      </c>
      <c r="S512" s="72" t="str">
        <f aca="false">IF(R512="","",B512&amp;"-S"&amp;R512)</f>
        <v/>
      </c>
      <c r="T512" s="74" t="str">
        <f aca="false">IF(AND(ISNUMBER(F512),ISNUMBER(G512)),ROUND((G512-F512+1)/30.4375,1),"")</f>
        <v/>
      </c>
      <c r="U512" s="70" t="str">
        <f aca="false">IF(B512="","",IF(AND(N512="Sí",OR(E512="",NOT(ISNUMBER(F512)))),"⚠ Falta tipo de contrato o fecha de inicio",IF(NOT(ISNUMBER(F512)),"⚠ Falta fecha de inicio",IF(AND(N512="Sí",E512&lt;&gt;"Indefinido",NOT(ISNUMBER(G512))),"⚠ Falta fecha de término",IF(AND(D512="Paso a indefinido",E512&lt;&gt;"Indefinido"),"⚠ Un paso a indefinido debe tener tipo Indefinido",IF(N(Q512)&gt;=3,"⚠ 3er contrato a plazo fijo: por ley ya es INDEFINIDO (Art. 159 N°4)",IF(AND(E512="Plazo fijo",N(T512)&gt;12),"⚠ Plazo fijo mayor a 1 año (máx. legal; 2 años solo profesionales o técnicos)",IF(AND(ISNUMBER(G512),G512&lt;F512),"⚠ Término anterior al inicio",IF(AND(D512="Contrato inicial",ISNUMBER(J512),J512-F512&gt;15),"⚠ Escriturado fuera de plazo (Art. 9: 15 días)",IF(K512&lt;&gt;"Sí","Pendiente de firma","OK"))))))))))</f>
        <v/>
      </c>
    </row>
    <row r="513" customFormat="false" ht="15" hidden="false" customHeight="false" outlineLevel="0" collapsed="false">
      <c r="B513" s="64"/>
      <c r="C513" s="72" t="str">
        <f aca="false">IF(B513="","",IFERROR(INDEX(T_NOMBRE,MATCH(B513,T_ID,0)),"⚠ ID no existe en Trabajadores"))</f>
        <v/>
      </c>
      <c r="D513" s="64"/>
      <c r="E513" s="64"/>
      <c r="F513" s="65"/>
      <c r="G513" s="65"/>
      <c r="H513" s="67"/>
      <c r="I513" s="64"/>
      <c r="J513" s="65"/>
      <c r="K513" s="64"/>
      <c r="L513" s="64"/>
      <c r="M513" s="64"/>
      <c r="N513" s="72" t="str">
        <f aca="false">IF(B513="","",IF(D513="Anexo de modificación","No","Sí"))</f>
        <v/>
      </c>
      <c r="O513" s="73" t="str">
        <f aca="false">IF(AND(N513="Sí",ISNUMBER(F513)),COUNTIFS(C_ID,B513,C_DEFINE,"Sí",C_INICIO,"&lt;"&amp;F513)+COUNTIFS(B$7:B513,B513,N$7:N513,"Sí",F$7:F513,F513),"")</f>
        <v/>
      </c>
      <c r="P513" s="72" t="str">
        <f aca="false">IF(O513="","",B513&amp;"-P"&amp;O513)</f>
        <v/>
      </c>
      <c r="Q513" s="73" t="str">
        <f aca="false">IF(AND(N513="Sí",E513="Plazo fijo",ISNUMBER(F513)),COUNTIFS(C_ID,B513,C_TIPO,"Plazo fijo",C_DEFINE,"Sí",C_INICIO,"&lt;"&amp;F513)+COUNTIFS(B$7:B513,B513,E$7:E513,"Plazo fijo",N$7:N513,"Sí",F$7:F513,F513),"")</f>
        <v/>
      </c>
      <c r="R513" s="73" t="str">
        <f aca="false">IF(AND(B513&lt;&gt;"",ISNUMBER(H513),ISNUMBER(F513)),COUNTIFS(C_ID,B513,C_SUELDO,"&lt;&gt;",C_INICIO,"&lt;"&amp;F513)+COUNTIFS(B$7:B513,B513,H$7:H513,"&lt;&gt;",F$7:F513,F513),"")</f>
        <v/>
      </c>
      <c r="S513" s="72" t="str">
        <f aca="false">IF(R513="","",B513&amp;"-S"&amp;R513)</f>
        <v/>
      </c>
      <c r="T513" s="74" t="str">
        <f aca="false">IF(AND(ISNUMBER(F513),ISNUMBER(G513)),ROUND((G513-F513+1)/30.4375,1),"")</f>
        <v/>
      </c>
      <c r="U513" s="70" t="str">
        <f aca="false">IF(B513="","",IF(AND(N513="Sí",OR(E513="",NOT(ISNUMBER(F513)))),"⚠ Falta tipo de contrato o fecha de inicio",IF(NOT(ISNUMBER(F513)),"⚠ Falta fecha de inicio",IF(AND(N513="Sí",E513&lt;&gt;"Indefinido",NOT(ISNUMBER(G513))),"⚠ Falta fecha de término",IF(AND(D513="Paso a indefinido",E513&lt;&gt;"Indefinido"),"⚠ Un paso a indefinido debe tener tipo Indefinido",IF(N(Q513)&gt;=3,"⚠ 3er contrato a plazo fijo: por ley ya es INDEFINIDO (Art. 159 N°4)",IF(AND(E513="Plazo fijo",N(T513)&gt;12),"⚠ Plazo fijo mayor a 1 año (máx. legal; 2 años solo profesionales o técnicos)",IF(AND(ISNUMBER(G513),G513&lt;F513),"⚠ Término anterior al inicio",IF(AND(D513="Contrato inicial",ISNUMBER(J513),J513-F513&gt;15),"⚠ Escriturado fuera de plazo (Art. 9: 15 días)",IF(K513&lt;&gt;"Sí","Pendiente de firma","OK"))))))))))</f>
        <v/>
      </c>
    </row>
    <row r="514" customFormat="false" ht="15" hidden="false" customHeight="false" outlineLevel="0" collapsed="false">
      <c r="B514" s="64"/>
      <c r="C514" s="72" t="str">
        <f aca="false">IF(B514="","",IFERROR(INDEX(T_NOMBRE,MATCH(B514,T_ID,0)),"⚠ ID no existe en Trabajadores"))</f>
        <v/>
      </c>
      <c r="D514" s="64"/>
      <c r="E514" s="64"/>
      <c r="F514" s="65"/>
      <c r="G514" s="65"/>
      <c r="H514" s="67"/>
      <c r="I514" s="64"/>
      <c r="J514" s="65"/>
      <c r="K514" s="64"/>
      <c r="L514" s="64"/>
      <c r="M514" s="64"/>
      <c r="N514" s="72" t="str">
        <f aca="false">IF(B514="","",IF(D514="Anexo de modificación","No","Sí"))</f>
        <v/>
      </c>
      <c r="O514" s="73" t="str">
        <f aca="false">IF(AND(N514="Sí",ISNUMBER(F514)),COUNTIFS(C_ID,B514,C_DEFINE,"Sí",C_INICIO,"&lt;"&amp;F514)+COUNTIFS(B$7:B514,B514,N$7:N514,"Sí",F$7:F514,F514),"")</f>
        <v/>
      </c>
      <c r="P514" s="72" t="str">
        <f aca="false">IF(O514="","",B514&amp;"-P"&amp;O514)</f>
        <v/>
      </c>
      <c r="Q514" s="73" t="str">
        <f aca="false">IF(AND(N514="Sí",E514="Plazo fijo",ISNUMBER(F514)),COUNTIFS(C_ID,B514,C_TIPO,"Plazo fijo",C_DEFINE,"Sí",C_INICIO,"&lt;"&amp;F514)+COUNTIFS(B$7:B514,B514,E$7:E514,"Plazo fijo",N$7:N514,"Sí",F$7:F514,F514),"")</f>
        <v/>
      </c>
      <c r="R514" s="73" t="str">
        <f aca="false">IF(AND(B514&lt;&gt;"",ISNUMBER(H514),ISNUMBER(F514)),COUNTIFS(C_ID,B514,C_SUELDO,"&lt;&gt;",C_INICIO,"&lt;"&amp;F514)+COUNTIFS(B$7:B514,B514,H$7:H514,"&lt;&gt;",F$7:F514,F514),"")</f>
        <v/>
      </c>
      <c r="S514" s="72" t="str">
        <f aca="false">IF(R514="","",B514&amp;"-S"&amp;R514)</f>
        <v/>
      </c>
      <c r="T514" s="74" t="str">
        <f aca="false">IF(AND(ISNUMBER(F514),ISNUMBER(G514)),ROUND((G514-F514+1)/30.4375,1),"")</f>
        <v/>
      </c>
      <c r="U514" s="70" t="str">
        <f aca="false">IF(B514="","",IF(AND(N514="Sí",OR(E514="",NOT(ISNUMBER(F514)))),"⚠ Falta tipo de contrato o fecha de inicio",IF(NOT(ISNUMBER(F514)),"⚠ Falta fecha de inicio",IF(AND(N514="Sí",E514&lt;&gt;"Indefinido",NOT(ISNUMBER(G514))),"⚠ Falta fecha de término",IF(AND(D514="Paso a indefinido",E514&lt;&gt;"Indefinido"),"⚠ Un paso a indefinido debe tener tipo Indefinido",IF(N(Q514)&gt;=3,"⚠ 3er contrato a plazo fijo: por ley ya es INDEFINIDO (Art. 159 N°4)",IF(AND(E514="Plazo fijo",N(T514)&gt;12),"⚠ Plazo fijo mayor a 1 año (máx. legal; 2 años solo profesionales o técnicos)",IF(AND(ISNUMBER(G514),G514&lt;F514),"⚠ Término anterior al inicio",IF(AND(D514="Contrato inicial",ISNUMBER(J514),J514-F514&gt;15),"⚠ Escriturado fuera de plazo (Art. 9: 15 días)",IF(K514&lt;&gt;"Sí","Pendiente de firma","OK"))))))))))</f>
        <v/>
      </c>
    </row>
    <row r="515" customFormat="false" ht="15" hidden="false" customHeight="false" outlineLevel="0" collapsed="false">
      <c r="B515" s="64"/>
      <c r="C515" s="72" t="str">
        <f aca="false">IF(B515="","",IFERROR(INDEX(T_NOMBRE,MATCH(B515,T_ID,0)),"⚠ ID no existe en Trabajadores"))</f>
        <v/>
      </c>
      <c r="D515" s="64"/>
      <c r="E515" s="64"/>
      <c r="F515" s="65"/>
      <c r="G515" s="65"/>
      <c r="H515" s="67"/>
      <c r="I515" s="64"/>
      <c r="J515" s="65"/>
      <c r="K515" s="64"/>
      <c r="L515" s="64"/>
      <c r="M515" s="64"/>
      <c r="N515" s="72" t="str">
        <f aca="false">IF(B515="","",IF(D515="Anexo de modificación","No","Sí"))</f>
        <v/>
      </c>
      <c r="O515" s="73" t="str">
        <f aca="false">IF(AND(N515="Sí",ISNUMBER(F515)),COUNTIFS(C_ID,B515,C_DEFINE,"Sí",C_INICIO,"&lt;"&amp;F515)+COUNTIFS(B$7:B515,B515,N$7:N515,"Sí",F$7:F515,F515),"")</f>
        <v/>
      </c>
      <c r="P515" s="72" t="str">
        <f aca="false">IF(O515="","",B515&amp;"-P"&amp;O515)</f>
        <v/>
      </c>
      <c r="Q515" s="73" t="str">
        <f aca="false">IF(AND(N515="Sí",E515="Plazo fijo",ISNUMBER(F515)),COUNTIFS(C_ID,B515,C_TIPO,"Plazo fijo",C_DEFINE,"Sí",C_INICIO,"&lt;"&amp;F515)+COUNTIFS(B$7:B515,B515,E$7:E515,"Plazo fijo",N$7:N515,"Sí",F$7:F515,F515),"")</f>
        <v/>
      </c>
      <c r="R515" s="73" t="str">
        <f aca="false">IF(AND(B515&lt;&gt;"",ISNUMBER(H515),ISNUMBER(F515)),COUNTIFS(C_ID,B515,C_SUELDO,"&lt;&gt;",C_INICIO,"&lt;"&amp;F515)+COUNTIFS(B$7:B515,B515,H$7:H515,"&lt;&gt;",F$7:F515,F515),"")</f>
        <v/>
      </c>
      <c r="S515" s="72" t="str">
        <f aca="false">IF(R515="","",B515&amp;"-S"&amp;R515)</f>
        <v/>
      </c>
      <c r="T515" s="74" t="str">
        <f aca="false">IF(AND(ISNUMBER(F515),ISNUMBER(G515)),ROUND((G515-F515+1)/30.4375,1),"")</f>
        <v/>
      </c>
      <c r="U515" s="70" t="str">
        <f aca="false">IF(B515="","",IF(AND(N515="Sí",OR(E515="",NOT(ISNUMBER(F515)))),"⚠ Falta tipo de contrato o fecha de inicio",IF(NOT(ISNUMBER(F515)),"⚠ Falta fecha de inicio",IF(AND(N515="Sí",E515&lt;&gt;"Indefinido",NOT(ISNUMBER(G515))),"⚠ Falta fecha de término",IF(AND(D515="Paso a indefinido",E515&lt;&gt;"Indefinido"),"⚠ Un paso a indefinido debe tener tipo Indefinido",IF(N(Q515)&gt;=3,"⚠ 3er contrato a plazo fijo: por ley ya es INDEFINIDO (Art. 159 N°4)",IF(AND(E515="Plazo fijo",N(T515)&gt;12),"⚠ Plazo fijo mayor a 1 año (máx. legal; 2 años solo profesionales o técnicos)",IF(AND(ISNUMBER(G515),G515&lt;F515),"⚠ Término anterior al inicio",IF(AND(D515="Contrato inicial",ISNUMBER(J515),J515-F515&gt;15),"⚠ Escriturado fuera de plazo (Art. 9: 15 días)",IF(K515&lt;&gt;"Sí","Pendiente de firma","OK"))))))))))</f>
        <v/>
      </c>
    </row>
    <row r="516" customFormat="false" ht="15" hidden="false" customHeight="false" outlineLevel="0" collapsed="false">
      <c r="B516" s="64"/>
      <c r="C516" s="72" t="str">
        <f aca="false">IF(B516="","",IFERROR(INDEX(T_NOMBRE,MATCH(B516,T_ID,0)),"⚠ ID no existe en Trabajadores"))</f>
        <v/>
      </c>
      <c r="D516" s="64"/>
      <c r="E516" s="64"/>
      <c r="F516" s="65"/>
      <c r="G516" s="65"/>
      <c r="H516" s="67"/>
      <c r="I516" s="64"/>
      <c r="J516" s="65"/>
      <c r="K516" s="64"/>
      <c r="L516" s="64"/>
      <c r="M516" s="64"/>
      <c r="N516" s="72" t="str">
        <f aca="false">IF(B516="","",IF(D516="Anexo de modificación","No","Sí"))</f>
        <v/>
      </c>
      <c r="O516" s="73" t="str">
        <f aca="false">IF(AND(N516="Sí",ISNUMBER(F516)),COUNTIFS(C_ID,B516,C_DEFINE,"Sí",C_INICIO,"&lt;"&amp;F516)+COUNTIFS(B$7:B516,B516,N$7:N516,"Sí",F$7:F516,F516),"")</f>
        <v/>
      </c>
      <c r="P516" s="72" t="str">
        <f aca="false">IF(O516="","",B516&amp;"-P"&amp;O516)</f>
        <v/>
      </c>
      <c r="Q516" s="73" t="str">
        <f aca="false">IF(AND(N516="Sí",E516="Plazo fijo",ISNUMBER(F516)),COUNTIFS(C_ID,B516,C_TIPO,"Plazo fijo",C_DEFINE,"Sí",C_INICIO,"&lt;"&amp;F516)+COUNTIFS(B$7:B516,B516,E$7:E516,"Plazo fijo",N$7:N516,"Sí",F$7:F516,F516),"")</f>
        <v/>
      </c>
      <c r="R516" s="73" t="str">
        <f aca="false">IF(AND(B516&lt;&gt;"",ISNUMBER(H516),ISNUMBER(F516)),COUNTIFS(C_ID,B516,C_SUELDO,"&lt;&gt;",C_INICIO,"&lt;"&amp;F516)+COUNTIFS(B$7:B516,B516,H$7:H516,"&lt;&gt;",F$7:F516,F516),"")</f>
        <v/>
      </c>
      <c r="S516" s="72" t="str">
        <f aca="false">IF(R516="","",B516&amp;"-S"&amp;R516)</f>
        <v/>
      </c>
      <c r="T516" s="74" t="str">
        <f aca="false">IF(AND(ISNUMBER(F516),ISNUMBER(G516)),ROUND((G516-F516+1)/30.4375,1),"")</f>
        <v/>
      </c>
      <c r="U516" s="70" t="str">
        <f aca="false">IF(B516="","",IF(AND(N516="Sí",OR(E516="",NOT(ISNUMBER(F516)))),"⚠ Falta tipo de contrato o fecha de inicio",IF(NOT(ISNUMBER(F516)),"⚠ Falta fecha de inicio",IF(AND(N516="Sí",E516&lt;&gt;"Indefinido",NOT(ISNUMBER(G516))),"⚠ Falta fecha de término",IF(AND(D516="Paso a indefinido",E516&lt;&gt;"Indefinido"),"⚠ Un paso a indefinido debe tener tipo Indefinido",IF(N(Q516)&gt;=3,"⚠ 3er contrato a plazo fijo: por ley ya es INDEFINIDO (Art. 159 N°4)",IF(AND(E516="Plazo fijo",N(T516)&gt;12),"⚠ Plazo fijo mayor a 1 año (máx. legal; 2 años solo profesionales o técnicos)",IF(AND(ISNUMBER(G516),G516&lt;F516),"⚠ Término anterior al inicio",IF(AND(D516="Contrato inicial",ISNUMBER(J516),J516-F516&gt;15),"⚠ Escriturado fuera de plazo (Art. 9: 15 días)",IF(K516&lt;&gt;"Sí","Pendiente de firma","OK"))))))))))</f>
        <v/>
      </c>
    </row>
    <row r="517" customFormat="false" ht="15" hidden="false" customHeight="false" outlineLevel="0" collapsed="false">
      <c r="B517" s="64"/>
      <c r="C517" s="72" t="str">
        <f aca="false">IF(B517="","",IFERROR(INDEX(T_NOMBRE,MATCH(B517,T_ID,0)),"⚠ ID no existe en Trabajadores"))</f>
        <v/>
      </c>
      <c r="D517" s="64"/>
      <c r="E517" s="64"/>
      <c r="F517" s="65"/>
      <c r="G517" s="65"/>
      <c r="H517" s="67"/>
      <c r="I517" s="64"/>
      <c r="J517" s="65"/>
      <c r="K517" s="64"/>
      <c r="L517" s="64"/>
      <c r="M517" s="64"/>
      <c r="N517" s="72" t="str">
        <f aca="false">IF(B517="","",IF(D517="Anexo de modificación","No","Sí"))</f>
        <v/>
      </c>
      <c r="O517" s="73" t="str">
        <f aca="false">IF(AND(N517="Sí",ISNUMBER(F517)),COUNTIFS(C_ID,B517,C_DEFINE,"Sí",C_INICIO,"&lt;"&amp;F517)+COUNTIFS(B$7:B517,B517,N$7:N517,"Sí",F$7:F517,F517),"")</f>
        <v/>
      </c>
      <c r="P517" s="72" t="str">
        <f aca="false">IF(O517="","",B517&amp;"-P"&amp;O517)</f>
        <v/>
      </c>
      <c r="Q517" s="73" t="str">
        <f aca="false">IF(AND(N517="Sí",E517="Plazo fijo",ISNUMBER(F517)),COUNTIFS(C_ID,B517,C_TIPO,"Plazo fijo",C_DEFINE,"Sí",C_INICIO,"&lt;"&amp;F517)+COUNTIFS(B$7:B517,B517,E$7:E517,"Plazo fijo",N$7:N517,"Sí",F$7:F517,F517),"")</f>
        <v/>
      </c>
      <c r="R517" s="73" t="str">
        <f aca="false">IF(AND(B517&lt;&gt;"",ISNUMBER(H517),ISNUMBER(F517)),COUNTIFS(C_ID,B517,C_SUELDO,"&lt;&gt;",C_INICIO,"&lt;"&amp;F517)+COUNTIFS(B$7:B517,B517,H$7:H517,"&lt;&gt;",F$7:F517,F517),"")</f>
        <v/>
      </c>
      <c r="S517" s="72" t="str">
        <f aca="false">IF(R517="","",B517&amp;"-S"&amp;R517)</f>
        <v/>
      </c>
      <c r="T517" s="74" t="str">
        <f aca="false">IF(AND(ISNUMBER(F517),ISNUMBER(G517)),ROUND((G517-F517+1)/30.4375,1),"")</f>
        <v/>
      </c>
      <c r="U517" s="70" t="str">
        <f aca="false">IF(B517="","",IF(AND(N517="Sí",OR(E517="",NOT(ISNUMBER(F517)))),"⚠ Falta tipo de contrato o fecha de inicio",IF(NOT(ISNUMBER(F517)),"⚠ Falta fecha de inicio",IF(AND(N517="Sí",E517&lt;&gt;"Indefinido",NOT(ISNUMBER(G517))),"⚠ Falta fecha de término",IF(AND(D517="Paso a indefinido",E517&lt;&gt;"Indefinido"),"⚠ Un paso a indefinido debe tener tipo Indefinido",IF(N(Q517)&gt;=3,"⚠ 3er contrato a plazo fijo: por ley ya es INDEFINIDO (Art. 159 N°4)",IF(AND(E517="Plazo fijo",N(T517)&gt;12),"⚠ Plazo fijo mayor a 1 año (máx. legal; 2 años solo profesionales o técnicos)",IF(AND(ISNUMBER(G517),G517&lt;F517),"⚠ Término anterior al inicio",IF(AND(D517="Contrato inicial",ISNUMBER(J517),J517-F517&gt;15),"⚠ Escriturado fuera de plazo (Art. 9: 15 días)",IF(K517&lt;&gt;"Sí","Pendiente de firma","OK"))))))))))</f>
        <v/>
      </c>
    </row>
    <row r="518" customFormat="false" ht="15" hidden="false" customHeight="false" outlineLevel="0" collapsed="false">
      <c r="B518" s="64"/>
      <c r="C518" s="72" t="str">
        <f aca="false">IF(B518="","",IFERROR(INDEX(T_NOMBRE,MATCH(B518,T_ID,0)),"⚠ ID no existe en Trabajadores"))</f>
        <v/>
      </c>
      <c r="D518" s="64"/>
      <c r="E518" s="64"/>
      <c r="F518" s="65"/>
      <c r="G518" s="65"/>
      <c r="H518" s="67"/>
      <c r="I518" s="64"/>
      <c r="J518" s="65"/>
      <c r="K518" s="64"/>
      <c r="L518" s="64"/>
      <c r="M518" s="64"/>
      <c r="N518" s="72" t="str">
        <f aca="false">IF(B518="","",IF(D518="Anexo de modificación","No","Sí"))</f>
        <v/>
      </c>
      <c r="O518" s="73" t="str">
        <f aca="false">IF(AND(N518="Sí",ISNUMBER(F518)),COUNTIFS(C_ID,B518,C_DEFINE,"Sí",C_INICIO,"&lt;"&amp;F518)+COUNTIFS(B$7:B518,B518,N$7:N518,"Sí",F$7:F518,F518),"")</f>
        <v/>
      </c>
      <c r="P518" s="72" t="str">
        <f aca="false">IF(O518="","",B518&amp;"-P"&amp;O518)</f>
        <v/>
      </c>
      <c r="Q518" s="73" t="str">
        <f aca="false">IF(AND(N518="Sí",E518="Plazo fijo",ISNUMBER(F518)),COUNTIFS(C_ID,B518,C_TIPO,"Plazo fijo",C_DEFINE,"Sí",C_INICIO,"&lt;"&amp;F518)+COUNTIFS(B$7:B518,B518,E$7:E518,"Plazo fijo",N$7:N518,"Sí",F$7:F518,F518),"")</f>
        <v/>
      </c>
      <c r="R518" s="73" t="str">
        <f aca="false">IF(AND(B518&lt;&gt;"",ISNUMBER(H518),ISNUMBER(F518)),COUNTIFS(C_ID,B518,C_SUELDO,"&lt;&gt;",C_INICIO,"&lt;"&amp;F518)+COUNTIFS(B$7:B518,B518,H$7:H518,"&lt;&gt;",F$7:F518,F518),"")</f>
        <v/>
      </c>
      <c r="S518" s="72" t="str">
        <f aca="false">IF(R518="","",B518&amp;"-S"&amp;R518)</f>
        <v/>
      </c>
      <c r="T518" s="74" t="str">
        <f aca="false">IF(AND(ISNUMBER(F518),ISNUMBER(G518)),ROUND((G518-F518+1)/30.4375,1),"")</f>
        <v/>
      </c>
      <c r="U518" s="70" t="str">
        <f aca="false">IF(B518="","",IF(AND(N518="Sí",OR(E518="",NOT(ISNUMBER(F518)))),"⚠ Falta tipo de contrato o fecha de inicio",IF(NOT(ISNUMBER(F518)),"⚠ Falta fecha de inicio",IF(AND(N518="Sí",E518&lt;&gt;"Indefinido",NOT(ISNUMBER(G518))),"⚠ Falta fecha de término",IF(AND(D518="Paso a indefinido",E518&lt;&gt;"Indefinido"),"⚠ Un paso a indefinido debe tener tipo Indefinido",IF(N(Q518)&gt;=3,"⚠ 3er contrato a plazo fijo: por ley ya es INDEFINIDO (Art. 159 N°4)",IF(AND(E518="Plazo fijo",N(T518)&gt;12),"⚠ Plazo fijo mayor a 1 año (máx. legal; 2 años solo profesionales o técnicos)",IF(AND(ISNUMBER(G518),G518&lt;F518),"⚠ Término anterior al inicio",IF(AND(D518="Contrato inicial",ISNUMBER(J518),J518-F518&gt;15),"⚠ Escriturado fuera de plazo (Art. 9: 15 días)",IF(K518&lt;&gt;"Sí","Pendiente de firma","OK"))))))))))</f>
        <v/>
      </c>
    </row>
    <row r="519" customFormat="false" ht="15" hidden="false" customHeight="false" outlineLevel="0" collapsed="false">
      <c r="B519" s="64"/>
      <c r="C519" s="72" t="str">
        <f aca="false">IF(B519="","",IFERROR(INDEX(T_NOMBRE,MATCH(B519,T_ID,0)),"⚠ ID no existe en Trabajadores"))</f>
        <v/>
      </c>
      <c r="D519" s="64"/>
      <c r="E519" s="64"/>
      <c r="F519" s="65"/>
      <c r="G519" s="65"/>
      <c r="H519" s="67"/>
      <c r="I519" s="64"/>
      <c r="J519" s="65"/>
      <c r="K519" s="64"/>
      <c r="L519" s="64"/>
      <c r="M519" s="64"/>
      <c r="N519" s="72" t="str">
        <f aca="false">IF(B519="","",IF(D519="Anexo de modificación","No","Sí"))</f>
        <v/>
      </c>
      <c r="O519" s="73" t="str">
        <f aca="false">IF(AND(N519="Sí",ISNUMBER(F519)),COUNTIFS(C_ID,B519,C_DEFINE,"Sí",C_INICIO,"&lt;"&amp;F519)+COUNTIFS(B$7:B519,B519,N$7:N519,"Sí",F$7:F519,F519),"")</f>
        <v/>
      </c>
      <c r="P519" s="72" t="str">
        <f aca="false">IF(O519="","",B519&amp;"-P"&amp;O519)</f>
        <v/>
      </c>
      <c r="Q519" s="73" t="str">
        <f aca="false">IF(AND(N519="Sí",E519="Plazo fijo",ISNUMBER(F519)),COUNTIFS(C_ID,B519,C_TIPO,"Plazo fijo",C_DEFINE,"Sí",C_INICIO,"&lt;"&amp;F519)+COUNTIFS(B$7:B519,B519,E$7:E519,"Plazo fijo",N$7:N519,"Sí",F$7:F519,F519),"")</f>
        <v/>
      </c>
      <c r="R519" s="73" t="str">
        <f aca="false">IF(AND(B519&lt;&gt;"",ISNUMBER(H519),ISNUMBER(F519)),COUNTIFS(C_ID,B519,C_SUELDO,"&lt;&gt;",C_INICIO,"&lt;"&amp;F519)+COUNTIFS(B$7:B519,B519,H$7:H519,"&lt;&gt;",F$7:F519,F519),"")</f>
        <v/>
      </c>
      <c r="S519" s="72" t="str">
        <f aca="false">IF(R519="","",B519&amp;"-S"&amp;R519)</f>
        <v/>
      </c>
      <c r="T519" s="74" t="str">
        <f aca="false">IF(AND(ISNUMBER(F519),ISNUMBER(G519)),ROUND((G519-F519+1)/30.4375,1),"")</f>
        <v/>
      </c>
      <c r="U519" s="70" t="str">
        <f aca="false">IF(B519="","",IF(AND(N519="Sí",OR(E519="",NOT(ISNUMBER(F519)))),"⚠ Falta tipo de contrato o fecha de inicio",IF(NOT(ISNUMBER(F519)),"⚠ Falta fecha de inicio",IF(AND(N519="Sí",E519&lt;&gt;"Indefinido",NOT(ISNUMBER(G519))),"⚠ Falta fecha de término",IF(AND(D519="Paso a indefinido",E519&lt;&gt;"Indefinido"),"⚠ Un paso a indefinido debe tener tipo Indefinido",IF(N(Q519)&gt;=3,"⚠ 3er contrato a plazo fijo: por ley ya es INDEFINIDO (Art. 159 N°4)",IF(AND(E519="Plazo fijo",N(T519)&gt;12),"⚠ Plazo fijo mayor a 1 año (máx. legal; 2 años solo profesionales o técnicos)",IF(AND(ISNUMBER(G519),G519&lt;F519),"⚠ Término anterior al inicio",IF(AND(D519="Contrato inicial",ISNUMBER(J519),J519-F519&gt;15),"⚠ Escriturado fuera de plazo (Art. 9: 15 días)",IF(K519&lt;&gt;"Sí","Pendiente de firma","OK"))))))))))</f>
        <v/>
      </c>
    </row>
    <row r="520" customFormat="false" ht="15" hidden="false" customHeight="false" outlineLevel="0" collapsed="false">
      <c r="B520" s="64"/>
      <c r="C520" s="72" t="str">
        <f aca="false">IF(B520="","",IFERROR(INDEX(T_NOMBRE,MATCH(B520,T_ID,0)),"⚠ ID no existe en Trabajadores"))</f>
        <v/>
      </c>
      <c r="D520" s="64"/>
      <c r="E520" s="64"/>
      <c r="F520" s="65"/>
      <c r="G520" s="65"/>
      <c r="H520" s="67"/>
      <c r="I520" s="64"/>
      <c r="J520" s="65"/>
      <c r="K520" s="64"/>
      <c r="L520" s="64"/>
      <c r="M520" s="64"/>
      <c r="N520" s="72" t="str">
        <f aca="false">IF(B520="","",IF(D520="Anexo de modificación","No","Sí"))</f>
        <v/>
      </c>
      <c r="O520" s="73" t="str">
        <f aca="false">IF(AND(N520="Sí",ISNUMBER(F520)),COUNTIFS(C_ID,B520,C_DEFINE,"Sí",C_INICIO,"&lt;"&amp;F520)+COUNTIFS(B$7:B520,B520,N$7:N520,"Sí",F$7:F520,F520),"")</f>
        <v/>
      </c>
      <c r="P520" s="72" t="str">
        <f aca="false">IF(O520="","",B520&amp;"-P"&amp;O520)</f>
        <v/>
      </c>
      <c r="Q520" s="73" t="str">
        <f aca="false">IF(AND(N520="Sí",E520="Plazo fijo",ISNUMBER(F520)),COUNTIFS(C_ID,B520,C_TIPO,"Plazo fijo",C_DEFINE,"Sí",C_INICIO,"&lt;"&amp;F520)+COUNTIFS(B$7:B520,B520,E$7:E520,"Plazo fijo",N$7:N520,"Sí",F$7:F520,F520),"")</f>
        <v/>
      </c>
      <c r="R520" s="73" t="str">
        <f aca="false">IF(AND(B520&lt;&gt;"",ISNUMBER(H520),ISNUMBER(F520)),COUNTIFS(C_ID,B520,C_SUELDO,"&lt;&gt;",C_INICIO,"&lt;"&amp;F520)+COUNTIFS(B$7:B520,B520,H$7:H520,"&lt;&gt;",F$7:F520,F520),"")</f>
        <v/>
      </c>
      <c r="S520" s="72" t="str">
        <f aca="false">IF(R520="","",B520&amp;"-S"&amp;R520)</f>
        <v/>
      </c>
      <c r="T520" s="74" t="str">
        <f aca="false">IF(AND(ISNUMBER(F520),ISNUMBER(G520)),ROUND((G520-F520+1)/30.4375,1),"")</f>
        <v/>
      </c>
      <c r="U520" s="70" t="str">
        <f aca="false">IF(B520="","",IF(AND(N520="Sí",OR(E520="",NOT(ISNUMBER(F520)))),"⚠ Falta tipo de contrato o fecha de inicio",IF(NOT(ISNUMBER(F520)),"⚠ Falta fecha de inicio",IF(AND(N520="Sí",E520&lt;&gt;"Indefinido",NOT(ISNUMBER(G520))),"⚠ Falta fecha de término",IF(AND(D520="Paso a indefinido",E520&lt;&gt;"Indefinido"),"⚠ Un paso a indefinido debe tener tipo Indefinido",IF(N(Q520)&gt;=3,"⚠ 3er contrato a plazo fijo: por ley ya es INDEFINIDO (Art. 159 N°4)",IF(AND(E520="Plazo fijo",N(T520)&gt;12),"⚠ Plazo fijo mayor a 1 año (máx. legal; 2 años solo profesionales o técnicos)",IF(AND(ISNUMBER(G520),G520&lt;F520),"⚠ Término anterior al inicio",IF(AND(D520="Contrato inicial",ISNUMBER(J520),J520-F520&gt;15),"⚠ Escriturado fuera de plazo (Art. 9: 15 días)",IF(K520&lt;&gt;"Sí","Pendiente de firma","OK"))))))))))</f>
        <v/>
      </c>
    </row>
    <row r="521" customFormat="false" ht="15" hidden="false" customHeight="false" outlineLevel="0" collapsed="false">
      <c r="B521" s="64"/>
      <c r="C521" s="72" t="str">
        <f aca="false">IF(B521="","",IFERROR(INDEX(T_NOMBRE,MATCH(B521,T_ID,0)),"⚠ ID no existe en Trabajadores"))</f>
        <v/>
      </c>
      <c r="D521" s="64"/>
      <c r="E521" s="64"/>
      <c r="F521" s="65"/>
      <c r="G521" s="65"/>
      <c r="H521" s="67"/>
      <c r="I521" s="64"/>
      <c r="J521" s="65"/>
      <c r="K521" s="64"/>
      <c r="L521" s="64"/>
      <c r="M521" s="64"/>
      <c r="N521" s="72" t="str">
        <f aca="false">IF(B521="","",IF(D521="Anexo de modificación","No","Sí"))</f>
        <v/>
      </c>
      <c r="O521" s="73" t="str">
        <f aca="false">IF(AND(N521="Sí",ISNUMBER(F521)),COUNTIFS(C_ID,B521,C_DEFINE,"Sí",C_INICIO,"&lt;"&amp;F521)+COUNTIFS(B$7:B521,B521,N$7:N521,"Sí",F$7:F521,F521),"")</f>
        <v/>
      </c>
      <c r="P521" s="72" t="str">
        <f aca="false">IF(O521="","",B521&amp;"-P"&amp;O521)</f>
        <v/>
      </c>
      <c r="Q521" s="73" t="str">
        <f aca="false">IF(AND(N521="Sí",E521="Plazo fijo",ISNUMBER(F521)),COUNTIFS(C_ID,B521,C_TIPO,"Plazo fijo",C_DEFINE,"Sí",C_INICIO,"&lt;"&amp;F521)+COUNTIFS(B$7:B521,B521,E$7:E521,"Plazo fijo",N$7:N521,"Sí",F$7:F521,F521),"")</f>
        <v/>
      </c>
      <c r="R521" s="73" t="str">
        <f aca="false">IF(AND(B521&lt;&gt;"",ISNUMBER(H521),ISNUMBER(F521)),COUNTIFS(C_ID,B521,C_SUELDO,"&lt;&gt;",C_INICIO,"&lt;"&amp;F521)+COUNTIFS(B$7:B521,B521,H$7:H521,"&lt;&gt;",F$7:F521,F521),"")</f>
        <v/>
      </c>
      <c r="S521" s="72" t="str">
        <f aca="false">IF(R521="","",B521&amp;"-S"&amp;R521)</f>
        <v/>
      </c>
      <c r="T521" s="74" t="str">
        <f aca="false">IF(AND(ISNUMBER(F521),ISNUMBER(G521)),ROUND((G521-F521+1)/30.4375,1),"")</f>
        <v/>
      </c>
      <c r="U521" s="70" t="str">
        <f aca="false">IF(B521="","",IF(AND(N521="Sí",OR(E521="",NOT(ISNUMBER(F521)))),"⚠ Falta tipo de contrato o fecha de inicio",IF(NOT(ISNUMBER(F521)),"⚠ Falta fecha de inicio",IF(AND(N521="Sí",E521&lt;&gt;"Indefinido",NOT(ISNUMBER(G521))),"⚠ Falta fecha de término",IF(AND(D521="Paso a indefinido",E521&lt;&gt;"Indefinido"),"⚠ Un paso a indefinido debe tener tipo Indefinido",IF(N(Q521)&gt;=3,"⚠ 3er contrato a plazo fijo: por ley ya es INDEFINIDO (Art. 159 N°4)",IF(AND(E521="Plazo fijo",N(T521)&gt;12),"⚠ Plazo fijo mayor a 1 año (máx. legal; 2 años solo profesionales o técnicos)",IF(AND(ISNUMBER(G521),G521&lt;F521),"⚠ Término anterior al inicio",IF(AND(D521="Contrato inicial",ISNUMBER(J521),J521-F521&gt;15),"⚠ Escriturado fuera de plazo (Art. 9: 15 días)",IF(K521&lt;&gt;"Sí","Pendiente de firma","OK"))))))))))</f>
        <v/>
      </c>
    </row>
    <row r="522" customFormat="false" ht="15" hidden="false" customHeight="false" outlineLevel="0" collapsed="false">
      <c r="B522" s="64"/>
      <c r="C522" s="72" t="str">
        <f aca="false">IF(B522="","",IFERROR(INDEX(T_NOMBRE,MATCH(B522,T_ID,0)),"⚠ ID no existe en Trabajadores"))</f>
        <v/>
      </c>
      <c r="D522" s="64"/>
      <c r="E522" s="64"/>
      <c r="F522" s="65"/>
      <c r="G522" s="65"/>
      <c r="H522" s="67"/>
      <c r="I522" s="64"/>
      <c r="J522" s="65"/>
      <c r="K522" s="64"/>
      <c r="L522" s="64"/>
      <c r="M522" s="64"/>
      <c r="N522" s="72" t="str">
        <f aca="false">IF(B522="","",IF(D522="Anexo de modificación","No","Sí"))</f>
        <v/>
      </c>
      <c r="O522" s="73" t="str">
        <f aca="false">IF(AND(N522="Sí",ISNUMBER(F522)),COUNTIFS(C_ID,B522,C_DEFINE,"Sí",C_INICIO,"&lt;"&amp;F522)+COUNTIFS(B$7:B522,B522,N$7:N522,"Sí",F$7:F522,F522),"")</f>
        <v/>
      </c>
      <c r="P522" s="72" t="str">
        <f aca="false">IF(O522="","",B522&amp;"-P"&amp;O522)</f>
        <v/>
      </c>
      <c r="Q522" s="73" t="str">
        <f aca="false">IF(AND(N522="Sí",E522="Plazo fijo",ISNUMBER(F522)),COUNTIFS(C_ID,B522,C_TIPO,"Plazo fijo",C_DEFINE,"Sí",C_INICIO,"&lt;"&amp;F522)+COUNTIFS(B$7:B522,B522,E$7:E522,"Plazo fijo",N$7:N522,"Sí",F$7:F522,F522),"")</f>
        <v/>
      </c>
      <c r="R522" s="73" t="str">
        <f aca="false">IF(AND(B522&lt;&gt;"",ISNUMBER(H522),ISNUMBER(F522)),COUNTIFS(C_ID,B522,C_SUELDO,"&lt;&gt;",C_INICIO,"&lt;"&amp;F522)+COUNTIFS(B$7:B522,B522,H$7:H522,"&lt;&gt;",F$7:F522,F522),"")</f>
        <v/>
      </c>
      <c r="S522" s="72" t="str">
        <f aca="false">IF(R522="","",B522&amp;"-S"&amp;R522)</f>
        <v/>
      </c>
      <c r="T522" s="74" t="str">
        <f aca="false">IF(AND(ISNUMBER(F522),ISNUMBER(G522)),ROUND((G522-F522+1)/30.4375,1),"")</f>
        <v/>
      </c>
      <c r="U522" s="70" t="str">
        <f aca="false">IF(B522="","",IF(AND(N522="Sí",OR(E522="",NOT(ISNUMBER(F522)))),"⚠ Falta tipo de contrato o fecha de inicio",IF(NOT(ISNUMBER(F522)),"⚠ Falta fecha de inicio",IF(AND(N522="Sí",E522&lt;&gt;"Indefinido",NOT(ISNUMBER(G522))),"⚠ Falta fecha de término",IF(AND(D522="Paso a indefinido",E522&lt;&gt;"Indefinido"),"⚠ Un paso a indefinido debe tener tipo Indefinido",IF(N(Q522)&gt;=3,"⚠ 3er contrato a plazo fijo: por ley ya es INDEFINIDO (Art. 159 N°4)",IF(AND(E522="Plazo fijo",N(T522)&gt;12),"⚠ Plazo fijo mayor a 1 año (máx. legal; 2 años solo profesionales o técnicos)",IF(AND(ISNUMBER(G522),G522&lt;F522),"⚠ Término anterior al inicio",IF(AND(D522="Contrato inicial",ISNUMBER(J522),J522-F522&gt;15),"⚠ Escriturado fuera de plazo (Art. 9: 15 días)",IF(K522&lt;&gt;"Sí","Pendiente de firma","OK"))))))))))</f>
        <v/>
      </c>
    </row>
    <row r="523" customFormat="false" ht="15" hidden="false" customHeight="false" outlineLevel="0" collapsed="false">
      <c r="B523" s="64"/>
      <c r="C523" s="72" t="str">
        <f aca="false">IF(B523="","",IFERROR(INDEX(T_NOMBRE,MATCH(B523,T_ID,0)),"⚠ ID no existe en Trabajadores"))</f>
        <v/>
      </c>
      <c r="D523" s="64"/>
      <c r="E523" s="64"/>
      <c r="F523" s="65"/>
      <c r="G523" s="65"/>
      <c r="H523" s="67"/>
      <c r="I523" s="64"/>
      <c r="J523" s="65"/>
      <c r="K523" s="64"/>
      <c r="L523" s="64"/>
      <c r="M523" s="64"/>
      <c r="N523" s="72" t="str">
        <f aca="false">IF(B523="","",IF(D523="Anexo de modificación","No","Sí"))</f>
        <v/>
      </c>
      <c r="O523" s="73" t="str">
        <f aca="false">IF(AND(N523="Sí",ISNUMBER(F523)),COUNTIFS(C_ID,B523,C_DEFINE,"Sí",C_INICIO,"&lt;"&amp;F523)+COUNTIFS(B$7:B523,B523,N$7:N523,"Sí",F$7:F523,F523),"")</f>
        <v/>
      </c>
      <c r="P523" s="72" t="str">
        <f aca="false">IF(O523="","",B523&amp;"-P"&amp;O523)</f>
        <v/>
      </c>
      <c r="Q523" s="73" t="str">
        <f aca="false">IF(AND(N523="Sí",E523="Plazo fijo",ISNUMBER(F523)),COUNTIFS(C_ID,B523,C_TIPO,"Plazo fijo",C_DEFINE,"Sí",C_INICIO,"&lt;"&amp;F523)+COUNTIFS(B$7:B523,B523,E$7:E523,"Plazo fijo",N$7:N523,"Sí",F$7:F523,F523),"")</f>
        <v/>
      </c>
      <c r="R523" s="73" t="str">
        <f aca="false">IF(AND(B523&lt;&gt;"",ISNUMBER(H523),ISNUMBER(F523)),COUNTIFS(C_ID,B523,C_SUELDO,"&lt;&gt;",C_INICIO,"&lt;"&amp;F523)+COUNTIFS(B$7:B523,B523,H$7:H523,"&lt;&gt;",F$7:F523,F523),"")</f>
        <v/>
      </c>
      <c r="S523" s="72" t="str">
        <f aca="false">IF(R523="","",B523&amp;"-S"&amp;R523)</f>
        <v/>
      </c>
      <c r="T523" s="74" t="str">
        <f aca="false">IF(AND(ISNUMBER(F523),ISNUMBER(G523)),ROUND((G523-F523+1)/30.4375,1),"")</f>
        <v/>
      </c>
      <c r="U523" s="70" t="str">
        <f aca="false">IF(B523="","",IF(AND(N523="Sí",OR(E523="",NOT(ISNUMBER(F523)))),"⚠ Falta tipo de contrato o fecha de inicio",IF(NOT(ISNUMBER(F523)),"⚠ Falta fecha de inicio",IF(AND(N523="Sí",E523&lt;&gt;"Indefinido",NOT(ISNUMBER(G523))),"⚠ Falta fecha de término",IF(AND(D523="Paso a indefinido",E523&lt;&gt;"Indefinido"),"⚠ Un paso a indefinido debe tener tipo Indefinido",IF(N(Q523)&gt;=3,"⚠ 3er contrato a plazo fijo: por ley ya es INDEFINIDO (Art. 159 N°4)",IF(AND(E523="Plazo fijo",N(T523)&gt;12),"⚠ Plazo fijo mayor a 1 año (máx. legal; 2 años solo profesionales o técnicos)",IF(AND(ISNUMBER(G523),G523&lt;F523),"⚠ Término anterior al inicio",IF(AND(D523="Contrato inicial",ISNUMBER(J523),J523-F523&gt;15),"⚠ Escriturado fuera de plazo (Art. 9: 15 días)",IF(K523&lt;&gt;"Sí","Pendiente de firma","OK"))))))))))</f>
        <v/>
      </c>
    </row>
    <row r="524" customFormat="false" ht="15" hidden="false" customHeight="false" outlineLevel="0" collapsed="false">
      <c r="B524" s="64"/>
      <c r="C524" s="72" t="str">
        <f aca="false">IF(B524="","",IFERROR(INDEX(T_NOMBRE,MATCH(B524,T_ID,0)),"⚠ ID no existe en Trabajadores"))</f>
        <v/>
      </c>
      <c r="D524" s="64"/>
      <c r="E524" s="64"/>
      <c r="F524" s="65"/>
      <c r="G524" s="65"/>
      <c r="H524" s="67"/>
      <c r="I524" s="64"/>
      <c r="J524" s="65"/>
      <c r="K524" s="64"/>
      <c r="L524" s="64"/>
      <c r="M524" s="64"/>
      <c r="N524" s="72" t="str">
        <f aca="false">IF(B524="","",IF(D524="Anexo de modificación","No","Sí"))</f>
        <v/>
      </c>
      <c r="O524" s="73" t="str">
        <f aca="false">IF(AND(N524="Sí",ISNUMBER(F524)),COUNTIFS(C_ID,B524,C_DEFINE,"Sí",C_INICIO,"&lt;"&amp;F524)+COUNTIFS(B$7:B524,B524,N$7:N524,"Sí",F$7:F524,F524),"")</f>
        <v/>
      </c>
      <c r="P524" s="72" t="str">
        <f aca="false">IF(O524="","",B524&amp;"-P"&amp;O524)</f>
        <v/>
      </c>
      <c r="Q524" s="73" t="str">
        <f aca="false">IF(AND(N524="Sí",E524="Plazo fijo",ISNUMBER(F524)),COUNTIFS(C_ID,B524,C_TIPO,"Plazo fijo",C_DEFINE,"Sí",C_INICIO,"&lt;"&amp;F524)+COUNTIFS(B$7:B524,B524,E$7:E524,"Plazo fijo",N$7:N524,"Sí",F$7:F524,F524),"")</f>
        <v/>
      </c>
      <c r="R524" s="73" t="str">
        <f aca="false">IF(AND(B524&lt;&gt;"",ISNUMBER(H524),ISNUMBER(F524)),COUNTIFS(C_ID,B524,C_SUELDO,"&lt;&gt;",C_INICIO,"&lt;"&amp;F524)+COUNTIFS(B$7:B524,B524,H$7:H524,"&lt;&gt;",F$7:F524,F524),"")</f>
        <v/>
      </c>
      <c r="S524" s="72" t="str">
        <f aca="false">IF(R524="","",B524&amp;"-S"&amp;R524)</f>
        <v/>
      </c>
      <c r="T524" s="74" t="str">
        <f aca="false">IF(AND(ISNUMBER(F524),ISNUMBER(G524)),ROUND((G524-F524+1)/30.4375,1),"")</f>
        <v/>
      </c>
      <c r="U524" s="70" t="str">
        <f aca="false">IF(B524="","",IF(AND(N524="Sí",OR(E524="",NOT(ISNUMBER(F524)))),"⚠ Falta tipo de contrato o fecha de inicio",IF(NOT(ISNUMBER(F524)),"⚠ Falta fecha de inicio",IF(AND(N524="Sí",E524&lt;&gt;"Indefinido",NOT(ISNUMBER(G524))),"⚠ Falta fecha de término",IF(AND(D524="Paso a indefinido",E524&lt;&gt;"Indefinido"),"⚠ Un paso a indefinido debe tener tipo Indefinido",IF(N(Q524)&gt;=3,"⚠ 3er contrato a plazo fijo: por ley ya es INDEFINIDO (Art. 159 N°4)",IF(AND(E524="Plazo fijo",N(T524)&gt;12),"⚠ Plazo fijo mayor a 1 año (máx. legal; 2 años solo profesionales o técnicos)",IF(AND(ISNUMBER(G524),G524&lt;F524),"⚠ Término anterior al inicio",IF(AND(D524="Contrato inicial",ISNUMBER(J524),J524-F524&gt;15),"⚠ Escriturado fuera de plazo (Art. 9: 15 días)",IF(K524&lt;&gt;"Sí","Pendiente de firma","OK"))))))))))</f>
        <v/>
      </c>
    </row>
    <row r="525" customFormat="false" ht="15" hidden="false" customHeight="false" outlineLevel="0" collapsed="false">
      <c r="B525" s="64"/>
      <c r="C525" s="72" t="str">
        <f aca="false">IF(B525="","",IFERROR(INDEX(T_NOMBRE,MATCH(B525,T_ID,0)),"⚠ ID no existe en Trabajadores"))</f>
        <v/>
      </c>
      <c r="D525" s="64"/>
      <c r="E525" s="64"/>
      <c r="F525" s="65"/>
      <c r="G525" s="65"/>
      <c r="H525" s="67"/>
      <c r="I525" s="64"/>
      <c r="J525" s="65"/>
      <c r="K525" s="64"/>
      <c r="L525" s="64"/>
      <c r="M525" s="64"/>
      <c r="N525" s="72" t="str">
        <f aca="false">IF(B525="","",IF(D525="Anexo de modificación","No","Sí"))</f>
        <v/>
      </c>
      <c r="O525" s="73" t="str">
        <f aca="false">IF(AND(N525="Sí",ISNUMBER(F525)),COUNTIFS(C_ID,B525,C_DEFINE,"Sí",C_INICIO,"&lt;"&amp;F525)+COUNTIFS(B$7:B525,B525,N$7:N525,"Sí",F$7:F525,F525),"")</f>
        <v/>
      </c>
      <c r="P525" s="72" t="str">
        <f aca="false">IF(O525="","",B525&amp;"-P"&amp;O525)</f>
        <v/>
      </c>
      <c r="Q525" s="73" t="str">
        <f aca="false">IF(AND(N525="Sí",E525="Plazo fijo",ISNUMBER(F525)),COUNTIFS(C_ID,B525,C_TIPO,"Plazo fijo",C_DEFINE,"Sí",C_INICIO,"&lt;"&amp;F525)+COUNTIFS(B$7:B525,B525,E$7:E525,"Plazo fijo",N$7:N525,"Sí",F$7:F525,F525),"")</f>
        <v/>
      </c>
      <c r="R525" s="73" t="str">
        <f aca="false">IF(AND(B525&lt;&gt;"",ISNUMBER(H525),ISNUMBER(F525)),COUNTIFS(C_ID,B525,C_SUELDO,"&lt;&gt;",C_INICIO,"&lt;"&amp;F525)+COUNTIFS(B$7:B525,B525,H$7:H525,"&lt;&gt;",F$7:F525,F525),"")</f>
        <v/>
      </c>
      <c r="S525" s="72" t="str">
        <f aca="false">IF(R525="","",B525&amp;"-S"&amp;R525)</f>
        <v/>
      </c>
      <c r="T525" s="74" t="str">
        <f aca="false">IF(AND(ISNUMBER(F525),ISNUMBER(G525)),ROUND((G525-F525+1)/30.4375,1),"")</f>
        <v/>
      </c>
      <c r="U525" s="70" t="str">
        <f aca="false">IF(B525="","",IF(AND(N525="Sí",OR(E525="",NOT(ISNUMBER(F525)))),"⚠ Falta tipo de contrato o fecha de inicio",IF(NOT(ISNUMBER(F525)),"⚠ Falta fecha de inicio",IF(AND(N525="Sí",E525&lt;&gt;"Indefinido",NOT(ISNUMBER(G525))),"⚠ Falta fecha de término",IF(AND(D525="Paso a indefinido",E525&lt;&gt;"Indefinido"),"⚠ Un paso a indefinido debe tener tipo Indefinido",IF(N(Q525)&gt;=3,"⚠ 3er contrato a plazo fijo: por ley ya es INDEFINIDO (Art. 159 N°4)",IF(AND(E525="Plazo fijo",N(T525)&gt;12),"⚠ Plazo fijo mayor a 1 año (máx. legal; 2 años solo profesionales o técnicos)",IF(AND(ISNUMBER(G525),G525&lt;F525),"⚠ Término anterior al inicio",IF(AND(D525="Contrato inicial",ISNUMBER(J525),J525-F525&gt;15),"⚠ Escriturado fuera de plazo (Art. 9: 15 días)",IF(K525&lt;&gt;"Sí","Pendiente de firma","OK"))))))))))</f>
        <v/>
      </c>
    </row>
    <row r="526" customFormat="false" ht="15" hidden="false" customHeight="false" outlineLevel="0" collapsed="false">
      <c r="B526" s="64"/>
      <c r="C526" s="72" t="str">
        <f aca="false">IF(B526="","",IFERROR(INDEX(T_NOMBRE,MATCH(B526,T_ID,0)),"⚠ ID no existe en Trabajadores"))</f>
        <v/>
      </c>
      <c r="D526" s="64"/>
      <c r="E526" s="64"/>
      <c r="F526" s="65"/>
      <c r="G526" s="65"/>
      <c r="H526" s="67"/>
      <c r="I526" s="64"/>
      <c r="J526" s="65"/>
      <c r="K526" s="64"/>
      <c r="L526" s="64"/>
      <c r="M526" s="64"/>
      <c r="N526" s="72" t="str">
        <f aca="false">IF(B526="","",IF(D526="Anexo de modificación","No","Sí"))</f>
        <v/>
      </c>
      <c r="O526" s="73" t="str">
        <f aca="false">IF(AND(N526="Sí",ISNUMBER(F526)),COUNTIFS(C_ID,B526,C_DEFINE,"Sí",C_INICIO,"&lt;"&amp;F526)+COUNTIFS(B$7:B526,B526,N$7:N526,"Sí",F$7:F526,F526),"")</f>
        <v/>
      </c>
      <c r="P526" s="72" t="str">
        <f aca="false">IF(O526="","",B526&amp;"-P"&amp;O526)</f>
        <v/>
      </c>
      <c r="Q526" s="73" t="str">
        <f aca="false">IF(AND(N526="Sí",E526="Plazo fijo",ISNUMBER(F526)),COUNTIFS(C_ID,B526,C_TIPO,"Plazo fijo",C_DEFINE,"Sí",C_INICIO,"&lt;"&amp;F526)+COUNTIFS(B$7:B526,B526,E$7:E526,"Plazo fijo",N$7:N526,"Sí",F$7:F526,F526),"")</f>
        <v/>
      </c>
      <c r="R526" s="73" t="str">
        <f aca="false">IF(AND(B526&lt;&gt;"",ISNUMBER(H526),ISNUMBER(F526)),COUNTIFS(C_ID,B526,C_SUELDO,"&lt;&gt;",C_INICIO,"&lt;"&amp;F526)+COUNTIFS(B$7:B526,B526,H$7:H526,"&lt;&gt;",F$7:F526,F526),"")</f>
        <v/>
      </c>
      <c r="S526" s="72" t="str">
        <f aca="false">IF(R526="","",B526&amp;"-S"&amp;R526)</f>
        <v/>
      </c>
      <c r="T526" s="74" t="str">
        <f aca="false">IF(AND(ISNUMBER(F526),ISNUMBER(G526)),ROUND((G526-F526+1)/30.4375,1),"")</f>
        <v/>
      </c>
      <c r="U526" s="70" t="str">
        <f aca="false">IF(B526="","",IF(AND(N526="Sí",OR(E526="",NOT(ISNUMBER(F526)))),"⚠ Falta tipo de contrato o fecha de inicio",IF(NOT(ISNUMBER(F526)),"⚠ Falta fecha de inicio",IF(AND(N526="Sí",E526&lt;&gt;"Indefinido",NOT(ISNUMBER(G526))),"⚠ Falta fecha de término",IF(AND(D526="Paso a indefinido",E526&lt;&gt;"Indefinido"),"⚠ Un paso a indefinido debe tener tipo Indefinido",IF(N(Q526)&gt;=3,"⚠ 3er contrato a plazo fijo: por ley ya es INDEFINIDO (Art. 159 N°4)",IF(AND(E526="Plazo fijo",N(T526)&gt;12),"⚠ Plazo fijo mayor a 1 año (máx. legal; 2 años solo profesionales o técnicos)",IF(AND(ISNUMBER(G526),G526&lt;F526),"⚠ Término anterior al inicio",IF(AND(D526="Contrato inicial",ISNUMBER(J526),J526-F526&gt;15),"⚠ Escriturado fuera de plazo (Art. 9: 15 días)",IF(K526&lt;&gt;"Sí","Pendiente de firma","OK"))))))))))</f>
        <v/>
      </c>
    </row>
    <row r="527" customFormat="false" ht="15" hidden="false" customHeight="false" outlineLevel="0" collapsed="false">
      <c r="B527" s="64"/>
      <c r="C527" s="72" t="str">
        <f aca="false">IF(B527="","",IFERROR(INDEX(T_NOMBRE,MATCH(B527,T_ID,0)),"⚠ ID no existe en Trabajadores"))</f>
        <v/>
      </c>
      <c r="D527" s="64"/>
      <c r="E527" s="64"/>
      <c r="F527" s="65"/>
      <c r="G527" s="65"/>
      <c r="H527" s="67"/>
      <c r="I527" s="64"/>
      <c r="J527" s="65"/>
      <c r="K527" s="64"/>
      <c r="L527" s="64"/>
      <c r="M527" s="64"/>
      <c r="N527" s="72" t="str">
        <f aca="false">IF(B527="","",IF(D527="Anexo de modificación","No","Sí"))</f>
        <v/>
      </c>
      <c r="O527" s="73" t="str">
        <f aca="false">IF(AND(N527="Sí",ISNUMBER(F527)),COUNTIFS(C_ID,B527,C_DEFINE,"Sí",C_INICIO,"&lt;"&amp;F527)+COUNTIFS(B$7:B527,B527,N$7:N527,"Sí",F$7:F527,F527),"")</f>
        <v/>
      </c>
      <c r="P527" s="72" t="str">
        <f aca="false">IF(O527="","",B527&amp;"-P"&amp;O527)</f>
        <v/>
      </c>
      <c r="Q527" s="73" t="str">
        <f aca="false">IF(AND(N527="Sí",E527="Plazo fijo",ISNUMBER(F527)),COUNTIFS(C_ID,B527,C_TIPO,"Plazo fijo",C_DEFINE,"Sí",C_INICIO,"&lt;"&amp;F527)+COUNTIFS(B$7:B527,B527,E$7:E527,"Plazo fijo",N$7:N527,"Sí",F$7:F527,F527),"")</f>
        <v/>
      </c>
      <c r="R527" s="73" t="str">
        <f aca="false">IF(AND(B527&lt;&gt;"",ISNUMBER(H527),ISNUMBER(F527)),COUNTIFS(C_ID,B527,C_SUELDO,"&lt;&gt;",C_INICIO,"&lt;"&amp;F527)+COUNTIFS(B$7:B527,B527,H$7:H527,"&lt;&gt;",F$7:F527,F527),"")</f>
        <v/>
      </c>
      <c r="S527" s="72" t="str">
        <f aca="false">IF(R527="","",B527&amp;"-S"&amp;R527)</f>
        <v/>
      </c>
      <c r="T527" s="74" t="str">
        <f aca="false">IF(AND(ISNUMBER(F527),ISNUMBER(G527)),ROUND((G527-F527+1)/30.4375,1),"")</f>
        <v/>
      </c>
      <c r="U527" s="70" t="str">
        <f aca="false">IF(B527="","",IF(AND(N527="Sí",OR(E527="",NOT(ISNUMBER(F527)))),"⚠ Falta tipo de contrato o fecha de inicio",IF(NOT(ISNUMBER(F527)),"⚠ Falta fecha de inicio",IF(AND(N527="Sí",E527&lt;&gt;"Indefinido",NOT(ISNUMBER(G527))),"⚠ Falta fecha de término",IF(AND(D527="Paso a indefinido",E527&lt;&gt;"Indefinido"),"⚠ Un paso a indefinido debe tener tipo Indefinido",IF(N(Q527)&gt;=3,"⚠ 3er contrato a plazo fijo: por ley ya es INDEFINIDO (Art. 159 N°4)",IF(AND(E527="Plazo fijo",N(T527)&gt;12),"⚠ Plazo fijo mayor a 1 año (máx. legal; 2 años solo profesionales o técnicos)",IF(AND(ISNUMBER(G527),G527&lt;F527),"⚠ Término anterior al inicio",IF(AND(D527="Contrato inicial",ISNUMBER(J527),J527-F527&gt;15),"⚠ Escriturado fuera de plazo (Art. 9: 15 días)",IF(K527&lt;&gt;"Sí","Pendiente de firma","OK"))))))))))</f>
        <v/>
      </c>
    </row>
    <row r="528" customFormat="false" ht="15" hidden="false" customHeight="false" outlineLevel="0" collapsed="false">
      <c r="B528" s="64"/>
      <c r="C528" s="72" t="str">
        <f aca="false">IF(B528="","",IFERROR(INDEX(T_NOMBRE,MATCH(B528,T_ID,0)),"⚠ ID no existe en Trabajadores"))</f>
        <v/>
      </c>
      <c r="D528" s="64"/>
      <c r="E528" s="64"/>
      <c r="F528" s="65"/>
      <c r="G528" s="65"/>
      <c r="H528" s="67"/>
      <c r="I528" s="64"/>
      <c r="J528" s="65"/>
      <c r="K528" s="64"/>
      <c r="L528" s="64"/>
      <c r="M528" s="64"/>
      <c r="N528" s="72" t="str">
        <f aca="false">IF(B528="","",IF(D528="Anexo de modificación","No","Sí"))</f>
        <v/>
      </c>
      <c r="O528" s="73" t="str">
        <f aca="false">IF(AND(N528="Sí",ISNUMBER(F528)),COUNTIFS(C_ID,B528,C_DEFINE,"Sí",C_INICIO,"&lt;"&amp;F528)+COUNTIFS(B$7:B528,B528,N$7:N528,"Sí",F$7:F528,F528),"")</f>
        <v/>
      </c>
      <c r="P528" s="72" t="str">
        <f aca="false">IF(O528="","",B528&amp;"-P"&amp;O528)</f>
        <v/>
      </c>
      <c r="Q528" s="73" t="str">
        <f aca="false">IF(AND(N528="Sí",E528="Plazo fijo",ISNUMBER(F528)),COUNTIFS(C_ID,B528,C_TIPO,"Plazo fijo",C_DEFINE,"Sí",C_INICIO,"&lt;"&amp;F528)+COUNTIFS(B$7:B528,B528,E$7:E528,"Plazo fijo",N$7:N528,"Sí",F$7:F528,F528),"")</f>
        <v/>
      </c>
      <c r="R528" s="73" t="str">
        <f aca="false">IF(AND(B528&lt;&gt;"",ISNUMBER(H528),ISNUMBER(F528)),COUNTIFS(C_ID,B528,C_SUELDO,"&lt;&gt;",C_INICIO,"&lt;"&amp;F528)+COUNTIFS(B$7:B528,B528,H$7:H528,"&lt;&gt;",F$7:F528,F528),"")</f>
        <v/>
      </c>
      <c r="S528" s="72" t="str">
        <f aca="false">IF(R528="","",B528&amp;"-S"&amp;R528)</f>
        <v/>
      </c>
      <c r="T528" s="74" t="str">
        <f aca="false">IF(AND(ISNUMBER(F528),ISNUMBER(G528)),ROUND((G528-F528+1)/30.4375,1),"")</f>
        <v/>
      </c>
      <c r="U528" s="70" t="str">
        <f aca="false">IF(B528="","",IF(AND(N528="Sí",OR(E528="",NOT(ISNUMBER(F528)))),"⚠ Falta tipo de contrato o fecha de inicio",IF(NOT(ISNUMBER(F528)),"⚠ Falta fecha de inicio",IF(AND(N528="Sí",E528&lt;&gt;"Indefinido",NOT(ISNUMBER(G528))),"⚠ Falta fecha de término",IF(AND(D528="Paso a indefinido",E528&lt;&gt;"Indefinido"),"⚠ Un paso a indefinido debe tener tipo Indefinido",IF(N(Q528)&gt;=3,"⚠ 3er contrato a plazo fijo: por ley ya es INDEFINIDO (Art. 159 N°4)",IF(AND(E528="Plazo fijo",N(T528)&gt;12),"⚠ Plazo fijo mayor a 1 año (máx. legal; 2 años solo profesionales o técnicos)",IF(AND(ISNUMBER(G528),G528&lt;F528),"⚠ Término anterior al inicio",IF(AND(D528="Contrato inicial",ISNUMBER(J528),J528-F528&gt;15),"⚠ Escriturado fuera de plazo (Art. 9: 15 días)",IF(K528&lt;&gt;"Sí","Pendiente de firma","OK"))))))))))</f>
        <v/>
      </c>
    </row>
    <row r="529" customFormat="false" ht="15" hidden="false" customHeight="false" outlineLevel="0" collapsed="false">
      <c r="B529" s="64"/>
      <c r="C529" s="72" t="str">
        <f aca="false">IF(B529="","",IFERROR(INDEX(T_NOMBRE,MATCH(B529,T_ID,0)),"⚠ ID no existe en Trabajadores"))</f>
        <v/>
      </c>
      <c r="D529" s="64"/>
      <c r="E529" s="64"/>
      <c r="F529" s="65"/>
      <c r="G529" s="65"/>
      <c r="H529" s="67"/>
      <c r="I529" s="64"/>
      <c r="J529" s="65"/>
      <c r="K529" s="64"/>
      <c r="L529" s="64"/>
      <c r="M529" s="64"/>
      <c r="N529" s="72" t="str">
        <f aca="false">IF(B529="","",IF(D529="Anexo de modificación","No","Sí"))</f>
        <v/>
      </c>
      <c r="O529" s="73" t="str">
        <f aca="false">IF(AND(N529="Sí",ISNUMBER(F529)),COUNTIFS(C_ID,B529,C_DEFINE,"Sí",C_INICIO,"&lt;"&amp;F529)+COUNTIFS(B$7:B529,B529,N$7:N529,"Sí",F$7:F529,F529),"")</f>
        <v/>
      </c>
      <c r="P529" s="72" t="str">
        <f aca="false">IF(O529="","",B529&amp;"-P"&amp;O529)</f>
        <v/>
      </c>
      <c r="Q529" s="73" t="str">
        <f aca="false">IF(AND(N529="Sí",E529="Plazo fijo",ISNUMBER(F529)),COUNTIFS(C_ID,B529,C_TIPO,"Plazo fijo",C_DEFINE,"Sí",C_INICIO,"&lt;"&amp;F529)+COUNTIFS(B$7:B529,B529,E$7:E529,"Plazo fijo",N$7:N529,"Sí",F$7:F529,F529),"")</f>
        <v/>
      </c>
      <c r="R529" s="73" t="str">
        <f aca="false">IF(AND(B529&lt;&gt;"",ISNUMBER(H529),ISNUMBER(F529)),COUNTIFS(C_ID,B529,C_SUELDO,"&lt;&gt;",C_INICIO,"&lt;"&amp;F529)+COUNTIFS(B$7:B529,B529,H$7:H529,"&lt;&gt;",F$7:F529,F529),"")</f>
        <v/>
      </c>
      <c r="S529" s="72" t="str">
        <f aca="false">IF(R529="","",B529&amp;"-S"&amp;R529)</f>
        <v/>
      </c>
      <c r="T529" s="74" t="str">
        <f aca="false">IF(AND(ISNUMBER(F529),ISNUMBER(G529)),ROUND((G529-F529+1)/30.4375,1),"")</f>
        <v/>
      </c>
      <c r="U529" s="70" t="str">
        <f aca="false">IF(B529="","",IF(AND(N529="Sí",OR(E529="",NOT(ISNUMBER(F529)))),"⚠ Falta tipo de contrato o fecha de inicio",IF(NOT(ISNUMBER(F529)),"⚠ Falta fecha de inicio",IF(AND(N529="Sí",E529&lt;&gt;"Indefinido",NOT(ISNUMBER(G529))),"⚠ Falta fecha de término",IF(AND(D529="Paso a indefinido",E529&lt;&gt;"Indefinido"),"⚠ Un paso a indefinido debe tener tipo Indefinido",IF(N(Q529)&gt;=3,"⚠ 3er contrato a plazo fijo: por ley ya es INDEFINIDO (Art. 159 N°4)",IF(AND(E529="Plazo fijo",N(T529)&gt;12),"⚠ Plazo fijo mayor a 1 año (máx. legal; 2 años solo profesionales o técnicos)",IF(AND(ISNUMBER(G529),G529&lt;F529),"⚠ Término anterior al inicio",IF(AND(D529="Contrato inicial",ISNUMBER(J529),J529-F529&gt;15),"⚠ Escriturado fuera de plazo (Art. 9: 15 días)",IF(K529&lt;&gt;"Sí","Pendiente de firma","OK"))))))))))</f>
        <v/>
      </c>
    </row>
    <row r="530" customFormat="false" ht="15" hidden="false" customHeight="false" outlineLevel="0" collapsed="false">
      <c r="B530" s="64"/>
      <c r="C530" s="72" t="str">
        <f aca="false">IF(B530="","",IFERROR(INDEX(T_NOMBRE,MATCH(B530,T_ID,0)),"⚠ ID no existe en Trabajadores"))</f>
        <v/>
      </c>
      <c r="D530" s="64"/>
      <c r="E530" s="64"/>
      <c r="F530" s="65"/>
      <c r="G530" s="65"/>
      <c r="H530" s="67"/>
      <c r="I530" s="64"/>
      <c r="J530" s="65"/>
      <c r="K530" s="64"/>
      <c r="L530" s="64"/>
      <c r="M530" s="64"/>
      <c r="N530" s="72" t="str">
        <f aca="false">IF(B530="","",IF(D530="Anexo de modificación","No","Sí"))</f>
        <v/>
      </c>
      <c r="O530" s="73" t="str">
        <f aca="false">IF(AND(N530="Sí",ISNUMBER(F530)),COUNTIFS(C_ID,B530,C_DEFINE,"Sí",C_INICIO,"&lt;"&amp;F530)+COUNTIFS(B$7:B530,B530,N$7:N530,"Sí",F$7:F530,F530),"")</f>
        <v/>
      </c>
      <c r="P530" s="72" t="str">
        <f aca="false">IF(O530="","",B530&amp;"-P"&amp;O530)</f>
        <v/>
      </c>
      <c r="Q530" s="73" t="str">
        <f aca="false">IF(AND(N530="Sí",E530="Plazo fijo",ISNUMBER(F530)),COUNTIFS(C_ID,B530,C_TIPO,"Plazo fijo",C_DEFINE,"Sí",C_INICIO,"&lt;"&amp;F530)+COUNTIFS(B$7:B530,B530,E$7:E530,"Plazo fijo",N$7:N530,"Sí",F$7:F530,F530),"")</f>
        <v/>
      </c>
      <c r="R530" s="73" t="str">
        <f aca="false">IF(AND(B530&lt;&gt;"",ISNUMBER(H530),ISNUMBER(F530)),COUNTIFS(C_ID,B530,C_SUELDO,"&lt;&gt;",C_INICIO,"&lt;"&amp;F530)+COUNTIFS(B$7:B530,B530,H$7:H530,"&lt;&gt;",F$7:F530,F530),"")</f>
        <v/>
      </c>
      <c r="S530" s="72" t="str">
        <f aca="false">IF(R530="","",B530&amp;"-S"&amp;R530)</f>
        <v/>
      </c>
      <c r="T530" s="74" t="str">
        <f aca="false">IF(AND(ISNUMBER(F530),ISNUMBER(G530)),ROUND((G530-F530+1)/30.4375,1),"")</f>
        <v/>
      </c>
      <c r="U530" s="70" t="str">
        <f aca="false">IF(B530="","",IF(AND(N530="Sí",OR(E530="",NOT(ISNUMBER(F530)))),"⚠ Falta tipo de contrato o fecha de inicio",IF(NOT(ISNUMBER(F530)),"⚠ Falta fecha de inicio",IF(AND(N530="Sí",E530&lt;&gt;"Indefinido",NOT(ISNUMBER(G530))),"⚠ Falta fecha de término",IF(AND(D530="Paso a indefinido",E530&lt;&gt;"Indefinido"),"⚠ Un paso a indefinido debe tener tipo Indefinido",IF(N(Q530)&gt;=3,"⚠ 3er contrato a plazo fijo: por ley ya es INDEFINIDO (Art. 159 N°4)",IF(AND(E530="Plazo fijo",N(T530)&gt;12),"⚠ Plazo fijo mayor a 1 año (máx. legal; 2 años solo profesionales o técnicos)",IF(AND(ISNUMBER(G530),G530&lt;F530),"⚠ Término anterior al inicio",IF(AND(D530="Contrato inicial",ISNUMBER(J530),J530-F530&gt;15),"⚠ Escriturado fuera de plazo (Art. 9: 15 días)",IF(K530&lt;&gt;"Sí","Pendiente de firma","OK"))))))))))</f>
        <v/>
      </c>
    </row>
    <row r="531" customFormat="false" ht="15" hidden="false" customHeight="false" outlineLevel="0" collapsed="false">
      <c r="B531" s="64"/>
      <c r="C531" s="72" t="str">
        <f aca="false">IF(B531="","",IFERROR(INDEX(T_NOMBRE,MATCH(B531,T_ID,0)),"⚠ ID no existe en Trabajadores"))</f>
        <v/>
      </c>
      <c r="D531" s="64"/>
      <c r="E531" s="64"/>
      <c r="F531" s="65"/>
      <c r="G531" s="65"/>
      <c r="H531" s="67"/>
      <c r="I531" s="64"/>
      <c r="J531" s="65"/>
      <c r="K531" s="64"/>
      <c r="L531" s="64"/>
      <c r="M531" s="64"/>
      <c r="N531" s="72" t="str">
        <f aca="false">IF(B531="","",IF(D531="Anexo de modificación","No","Sí"))</f>
        <v/>
      </c>
      <c r="O531" s="73" t="str">
        <f aca="false">IF(AND(N531="Sí",ISNUMBER(F531)),COUNTIFS(C_ID,B531,C_DEFINE,"Sí",C_INICIO,"&lt;"&amp;F531)+COUNTIFS(B$7:B531,B531,N$7:N531,"Sí",F$7:F531,F531),"")</f>
        <v/>
      </c>
      <c r="P531" s="72" t="str">
        <f aca="false">IF(O531="","",B531&amp;"-P"&amp;O531)</f>
        <v/>
      </c>
      <c r="Q531" s="73" t="str">
        <f aca="false">IF(AND(N531="Sí",E531="Plazo fijo",ISNUMBER(F531)),COUNTIFS(C_ID,B531,C_TIPO,"Plazo fijo",C_DEFINE,"Sí",C_INICIO,"&lt;"&amp;F531)+COUNTIFS(B$7:B531,B531,E$7:E531,"Plazo fijo",N$7:N531,"Sí",F$7:F531,F531),"")</f>
        <v/>
      </c>
      <c r="R531" s="73" t="str">
        <f aca="false">IF(AND(B531&lt;&gt;"",ISNUMBER(H531),ISNUMBER(F531)),COUNTIFS(C_ID,B531,C_SUELDO,"&lt;&gt;",C_INICIO,"&lt;"&amp;F531)+COUNTIFS(B$7:B531,B531,H$7:H531,"&lt;&gt;",F$7:F531,F531),"")</f>
        <v/>
      </c>
      <c r="S531" s="72" t="str">
        <f aca="false">IF(R531="","",B531&amp;"-S"&amp;R531)</f>
        <v/>
      </c>
      <c r="T531" s="74" t="str">
        <f aca="false">IF(AND(ISNUMBER(F531),ISNUMBER(G531)),ROUND((G531-F531+1)/30.4375,1),"")</f>
        <v/>
      </c>
      <c r="U531" s="70" t="str">
        <f aca="false">IF(B531="","",IF(AND(N531="Sí",OR(E531="",NOT(ISNUMBER(F531)))),"⚠ Falta tipo de contrato o fecha de inicio",IF(NOT(ISNUMBER(F531)),"⚠ Falta fecha de inicio",IF(AND(N531="Sí",E531&lt;&gt;"Indefinido",NOT(ISNUMBER(G531))),"⚠ Falta fecha de término",IF(AND(D531="Paso a indefinido",E531&lt;&gt;"Indefinido"),"⚠ Un paso a indefinido debe tener tipo Indefinido",IF(N(Q531)&gt;=3,"⚠ 3er contrato a plazo fijo: por ley ya es INDEFINIDO (Art. 159 N°4)",IF(AND(E531="Plazo fijo",N(T531)&gt;12),"⚠ Plazo fijo mayor a 1 año (máx. legal; 2 años solo profesionales o técnicos)",IF(AND(ISNUMBER(G531),G531&lt;F531),"⚠ Término anterior al inicio",IF(AND(D531="Contrato inicial",ISNUMBER(J531),J531-F531&gt;15),"⚠ Escriturado fuera de plazo (Art. 9: 15 días)",IF(K531&lt;&gt;"Sí","Pendiente de firma","OK"))))))))))</f>
        <v/>
      </c>
    </row>
    <row r="532" customFormat="false" ht="15" hidden="false" customHeight="false" outlineLevel="0" collapsed="false">
      <c r="B532" s="64"/>
      <c r="C532" s="72" t="str">
        <f aca="false">IF(B532="","",IFERROR(INDEX(T_NOMBRE,MATCH(B532,T_ID,0)),"⚠ ID no existe en Trabajadores"))</f>
        <v/>
      </c>
      <c r="D532" s="64"/>
      <c r="E532" s="64"/>
      <c r="F532" s="65"/>
      <c r="G532" s="65"/>
      <c r="H532" s="67"/>
      <c r="I532" s="64"/>
      <c r="J532" s="65"/>
      <c r="K532" s="64"/>
      <c r="L532" s="64"/>
      <c r="M532" s="64"/>
      <c r="N532" s="72" t="str">
        <f aca="false">IF(B532="","",IF(D532="Anexo de modificación","No","Sí"))</f>
        <v/>
      </c>
      <c r="O532" s="73" t="str">
        <f aca="false">IF(AND(N532="Sí",ISNUMBER(F532)),COUNTIFS(C_ID,B532,C_DEFINE,"Sí",C_INICIO,"&lt;"&amp;F532)+COUNTIFS(B$7:B532,B532,N$7:N532,"Sí",F$7:F532,F532),"")</f>
        <v/>
      </c>
      <c r="P532" s="72" t="str">
        <f aca="false">IF(O532="","",B532&amp;"-P"&amp;O532)</f>
        <v/>
      </c>
      <c r="Q532" s="73" t="str">
        <f aca="false">IF(AND(N532="Sí",E532="Plazo fijo",ISNUMBER(F532)),COUNTIFS(C_ID,B532,C_TIPO,"Plazo fijo",C_DEFINE,"Sí",C_INICIO,"&lt;"&amp;F532)+COUNTIFS(B$7:B532,B532,E$7:E532,"Plazo fijo",N$7:N532,"Sí",F$7:F532,F532),"")</f>
        <v/>
      </c>
      <c r="R532" s="73" t="str">
        <f aca="false">IF(AND(B532&lt;&gt;"",ISNUMBER(H532),ISNUMBER(F532)),COUNTIFS(C_ID,B532,C_SUELDO,"&lt;&gt;",C_INICIO,"&lt;"&amp;F532)+COUNTIFS(B$7:B532,B532,H$7:H532,"&lt;&gt;",F$7:F532,F532),"")</f>
        <v/>
      </c>
      <c r="S532" s="72" t="str">
        <f aca="false">IF(R532="","",B532&amp;"-S"&amp;R532)</f>
        <v/>
      </c>
      <c r="T532" s="74" t="str">
        <f aca="false">IF(AND(ISNUMBER(F532),ISNUMBER(G532)),ROUND((G532-F532+1)/30.4375,1),"")</f>
        <v/>
      </c>
      <c r="U532" s="70" t="str">
        <f aca="false">IF(B532="","",IF(AND(N532="Sí",OR(E532="",NOT(ISNUMBER(F532)))),"⚠ Falta tipo de contrato o fecha de inicio",IF(NOT(ISNUMBER(F532)),"⚠ Falta fecha de inicio",IF(AND(N532="Sí",E532&lt;&gt;"Indefinido",NOT(ISNUMBER(G532))),"⚠ Falta fecha de término",IF(AND(D532="Paso a indefinido",E532&lt;&gt;"Indefinido"),"⚠ Un paso a indefinido debe tener tipo Indefinido",IF(N(Q532)&gt;=3,"⚠ 3er contrato a plazo fijo: por ley ya es INDEFINIDO (Art. 159 N°4)",IF(AND(E532="Plazo fijo",N(T532)&gt;12),"⚠ Plazo fijo mayor a 1 año (máx. legal; 2 años solo profesionales o técnicos)",IF(AND(ISNUMBER(G532),G532&lt;F532),"⚠ Término anterior al inicio",IF(AND(D532="Contrato inicial",ISNUMBER(J532),J532-F532&gt;15),"⚠ Escriturado fuera de plazo (Art. 9: 15 días)",IF(K532&lt;&gt;"Sí","Pendiente de firma","OK"))))))))))</f>
        <v/>
      </c>
    </row>
    <row r="533" customFormat="false" ht="15" hidden="false" customHeight="false" outlineLevel="0" collapsed="false">
      <c r="B533" s="64"/>
      <c r="C533" s="72" t="str">
        <f aca="false">IF(B533="","",IFERROR(INDEX(T_NOMBRE,MATCH(B533,T_ID,0)),"⚠ ID no existe en Trabajadores"))</f>
        <v/>
      </c>
      <c r="D533" s="64"/>
      <c r="E533" s="64"/>
      <c r="F533" s="65"/>
      <c r="G533" s="65"/>
      <c r="H533" s="67"/>
      <c r="I533" s="64"/>
      <c r="J533" s="65"/>
      <c r="K533" s="64"/>
      <c r="L533" s="64"/>
      <c r="M533" s="64"/>
      <c r="N533" s="72" t="str">
        <f aca="false">IF(B533="","",IF(D533="Anexo de modificación","No","Sí"))</f>
        <v/>
      </c>
      <c r="O533" s="73" t="str">
        <f aca="false">IF(AND(N533="Sí",ISNUMBER(F533)),COUNTIFS(C_ID,B533,C_DEFINE,"Sí",C_INICIO,"&lt;"&amp;F533)+COUNTIFS(B$7:B533,B533,N$7:N533,"Sí",F$7:F533,F533),"")</f>
        <v/>
      </c>
      <c r="P533" s="72" t="str">
        <f aca="false">IF(O533="","",B533&amp;"-P"&amp;O533)</f>
        <v/>
      </c>
      <c r="Q533" s="73" t="str">
        <f aca="false">IF(AND(N533="Sí",E533="Plazo fijo",ISNUMBER(F533)),COUNTIFS(C_ID,B533,C_TIPO,"Plazo fijo",C_DEFINE,"Sí",C_INICIO,"&lt;"&amp;F533)+COUNTIFS(B$7:B533,B533,E$7:E533,"Plazo fijo",N$7:N533,"Sí",F$7:F533,F533),"")</f>
        <v/>
      </c>
      <c r="R533" s="73" t="str">
        <f aca="false">IF(AND(B533&lt;&gt;"",ISNUMBER(H533),ISNUMBER(F533)),COUNTIFS(C_ID,B533,C_SUELDO,"&lt;&gt;",C_INICIO,"&lt;"&amp;F533)+COUNTIFS(B$7:B533,B533,H$7:H533,"&lt;&gt;",F$7:F533,F533),"")</f>
        <v/>
      </c>
      <c r="S533" s="72" t="str">
        <f aca="false">IF(R533="","",B533&amp;"-S"&amp;R533)</f>
        <v/>
      </c>
      <c r="T533" s="74" t="str">
        <f aca="false">IF(AND(ISNUMBER(F533),ISNUMBER(G533)),ROUND((G533-F533+1)/30.4375,1),"")</f>
        <v/>
      </c>
      <c r="U533" s="70" t="str">
        <f aca="false">IF(B533="","",IF(AND(N533="Sí",OR(E533="",NOT(ISNUMBER(F533)))),"⚠ Falta tipo de contrato o fecha de inicio",IF(NOT(ISNUMBER(F533)),"⚠ Falta fecha de inicio",IF(AND(N533="Sí",E533&lt;&gt;"Indefinido",NOT(ISNUMBER(G533))),"⚠ Falta fecha de término",IF(AND(D533="Paso a indefinido",E533&lt;&gt;"Indefinido"),"⚠ Un paso a indefinido debe tener tipo Indefinido",IF(N(Q533)&gt;=3,"⚠ 3er contrato a plazo fijo: por ley ya es INDEFINIDO (Art. 159 N°4)",IF(AND(E533="Plazo fijo",N(T533)&gt;12),"⚠ Plazo fijo mayor a 1 año (máx. legal; 2 años solo profesionales o técnicos)",IF(AND(ISNUMBER(G533),G533&lt;F533),"⚠ Término anterior al inicio",IF(AND(D533="Contrato inicial",ISNUMBER(J533),J533-F533&gt;15),"⚠ Escriturado fuera de plazo (Art. 9: 15 días)",IF(K533&lt;&gt;"Sí","Pendiente de firma","OK"))))))))))</f>
        <v/>
      </c>
    </row>
    <row r="534" customFormat="false" ht="15" hidden="false" customHeight="false" outlineLevel="0" collapsed="false">
      <c r="B534" s="64"/>
      <c r="C534" s="72" t="str">
        <f aca="false">IF(B534="","",IFERROR(INDEX(T_NOMBRE,MATCH(B534,T_ID,0)),"⚠ ID no existe en Trabajadores"))</f>
        <v/>
      </c>
      <c r="D534" s="64"/>
      <c r="E534" s="64"/>
      <c r="F534" s="65"/>
      <c r="G534" s="65"/>
      <c r="H534" s="67"/>
      <c r="I534" s="64"/>
      <c r="J534" s="65"/>
      <c r="K534" s="64"/>
      <c r="L534" s="64"/>
      <c r="M534" s="64"/>
      <c r="N534" s="72" t="str">
        <f aca="false">IF(B534="","",IF(D534="Anexo de modificación","No","Sí"))</f>
        <v/>
      </c>
      <c r="O534" s="73" t="str">
        <f aca="false">IF(AND(N534="Sí",ISNUMBER(F534)),COUNTIFS(C_ID,B534,C_DEFINE,"Sí",C_INICIO,"&lt;"&amp;F534)+COUNTIFS(B$7:B534,B534,N$7:N534,"Sí",F$7:F534,F534),"")</f>
        <v/>
      </c>
      <c r="P534" s="72" t="str">
        <f aca="false">IF(O534="","",B534&amp;"-P"&amp;O534)</f>
        <v/>
      </c>
      <c r="Q534" s="73" t="str">
        <f aca="false">IF(AND(N534="Sí",E534="Plazo fijo",ISNUMBER(F534)),COUNTIFS(C_ID,B534,C_TIPO,"Plazo fijo",C_DEFINE,"Sí",C_INICIO,"&lt;"&amp;F534)+COUNTIFS(B$7:B534,B534,E$7:E534,"Plazo fijo",N$7:N534,"Sí",F$7:F534,F534),"")</f>
        <v/>
      </c>
      <c r="R534" s="73" t="str">
        <f aca="false">IF(AND(B534&lt;&gt;"",ISNUMBER(H534),ISNUMBER(F534)),COUNTIFS(C_ID,B534,C_SUELDO,"&lt;&gt;",C_INICIO,"&lt;"&amp;F534)+COUNTIFS(B$7:B534,B534,H$7:H534,"&lt;&gt;",F$7:F534,F534),"")</f>
        <v/>
      </c>
      <c r="S534" s="72" t="str">
        <f aca="false">IF(R534="","",B534&amp;"-S"&amp;R534)</f>
        <v/>
      </c>
      <c r="T534" s="74" t="str">
        <f aca="false">IF(AND(ISNUMBER(F534),ISNUMBER(G534)),ROUND((G534-F534+1)/30.4375,1),"")</f>
        <v/>
      </c>
      <c r="U534" s="70" t="str">
        <f aca="false">IF(B534="","",IF(AND(N534="Sí",OR(E534="",NOT(ISNUMBER(F534)))),"⚠ Falta tipo de contrato o fecha de inicio",IF(NOT(ISNUMBER(F534)),"⚠ Falta fecha de inicio",IF(AND(N534="Sí",E534&lt;&gt;"Indefinido",NOT(ISNUMBER(G534))),"⚠ Falta fecha de término",IF(AND(D534="Paso a indefinido",E534&lt;&gt;"Indefinido"),"⚠ Un paso a indefinido debe tener tipo Indefinido",IF(N(Q534)&gt;=3,"⚠ 3er contrato a plazo fijo: por ley ya es INDEFINIDO (Art. 159 N°4)",IF(AND(E534="Plazo fijo",N(T534)&gt;12),"⚠ Plazo fijo mayor a 1 año (máx. legal; 2 años solo profesionales o técnicos)",IF(AND(ISNUMBER(G534),G534&lt;F534),"⚠ Término anterior al inicio",IF(AND(D534="Contrato inicial",ISNUMBER(J534),J534-F534&gt;15),"⚠ Escriturado fuera de plazo (Art. 9: 15 días)",IF(K534&lt;&gt;"Sí","Pendiente de firma","OK"))))))))))</f>
        <v/>
      </c>
    </row>
    <row r="535" customFormat="false" ht="15" hidden="false" customHeight="false" outlineLevel="0" collapsed="false">
      <c r="B535" s="64"/>
      <c r="C535" s="72" t="str">
        <f aca="false">IF(B535="","",IFERROR(INDEX(T_NOMBRE,MATCH(B535,T_ID,0)),"⚠ ID no existe en Trabajadores"))</f>
        <v/>
      </c>
      <c r="D535" s="64"/>
      <c r="E535" s="64"/>
      <c r="F535" s="65"/>
      <c r="G535" s="65"/>
      <c r="H535" s="67"/>
      <c r="I535" s="64"/>
      <c r="J535" s="65"/>
      <c r="K535" s="64"/>
      <c r="L535" s="64"/>
      <c r="M535" s="64"/>
      <c r="N535" s="72" t="str">
        <f aca="false">IF(B535="","",IF(D535="Anexo de modificación","No","Sí"))</f>
        <v/>
      </c>
      <c r="O535" s="73" t="str">
        <f aca="false">IF(AND(N535="Sí",ISNUMBER(F535)),COUNTIFS(C_ID,B535,C_DEFINE,"Sí",C_INICIO,"&lt;"&amp;F535)+COUNTIFS(B$7:B535,B535,N$7:N535,"Sí",F$7:F535,F535),"")</f>
        <v/>
      </c>
      <c r="P535" s="72" t="str">
        <f aca="false">IF(O535="","",B535&amp;"-P"&amp;O535)</f>
        <v/>
      </c>
      <c r="Q535" s="73" t="str">
        <f aca="false">IF(AND(N535="Sí",E535="Plazo fijo",ISNUMBER(F535)),COUNTIFS(C_ID,B535,C_TIPO,"Plazo fijo",C_DEFINE,"Sí",C_INICIO,"&lt;"&amp;F535)+COUNTIFS(B$7:B535,B535,E$7:E535,"Plazo fijo",N$7:N535,"Sí",F$7:F535,F535),"")</f>
        <v/>
      </c>
      <c r="R535" s="73" t="str">
        <f aca="false">IF(AND(B535&lt;&gt;"",ISNUMBER(H535),ISNUMBER(F535)),COUNTIFS(C_ID,B535,C_SUELDO,"&lt;&gt;",C_INICIO,"&lt;"&amp;F535)+COUNTIFS(B$7:B535,B535,H$7:H535,"&lt;&gt;",F$7:F535,F535),"")</f>
        <v/>
      </c>
      <c r="S535" s="72" t="str">
        <f aca="false">IF(R535="","",B535&amp;"-S"&amp;R535)</f>
        <v/>
      </c>
      <c r="T535" s="74" t="str">
        <f aca="false">IF(AND(ISNUMBER(F535),ISNUMBER(G535)),ROUND((G535-F535+1)/30.4375,1),"")</f>
        <v/>
      </c>
      <c r="U535" s="70" t="str">
        <f aca="false">IF(B535="","",IF(AND(N535="Sí",OR(E535="",NOT(ISNUMBER(F535)))),"⚠ Falta tipo de contrato o fecha de inicio",IF(NOT(ISNUMBER(F535)),"⚠ Falta fecha de inicio",IF(AND(N535="Sí",E535&lt;&gt;"Indefinido",NOT(ISNUMBER(G535))),"⚠ Falta fecha de término",IF(AND(D535="Paso a indefinido",E535&lt;&gt;"Indefinido"),"⚠ Un paso a indefinido debe tener tipo Indefinido",IF(N(Q535)&gt;=3,"⚠ 3er contrato a plazo fijo: por ley ya es INDEFINIDO (Art. 159 N°4)",IF(AND(E535="Plazo fijo",N(T535)&gt;12),"⚠ Plazo fijo mayor a 1 año (máx. legal; 2 años solo profesionales o técnicos)",IF(AND(ISNUMBER(G535),G535&lt;F535),"⚠ Término anterior al inicio",IF(AND(D535="Contrato inicial",ISNUMBER(J535),J535-F535&gt;15),"⚠ Escriturado fuera de plazo (Art. 9: 15 días)",IF(K535&lt;&gt;"Sí","Pendiente de firma","OK"))))))))))</f>
        <v/>
      </c>
    </row>
    <row r="536" customFormat="false" ht="15" hidden="false" customHeight="false" outlineLevel="0" collapsed="false">
      <c r="B536" s="64"/>
      <c r="C536" s="72" t="str">
        <f aca="false">IF(B536="","",IFERROR(INDEX(T_NOMBRE,MATCH(B536,T_ID,0)),"⚠ ID no existe en Trabajadores"))</f>
        <v/>
      </c>
      <c r="D536" s="64"/>
      <c r="E536" s="64"/>
      <c r="F536" s="65"/>
      <c r="G536" s="65"/>
      <c r="H536" s="67"/>
      <c r="I536" s="64"/>
      <c r="J536" s="65"/>
      <c r="K536" s="64"/>
      <c r="L536" s="64"/>
      <c r="M536" s="64"/>
      <c r="N536" s="72" t="str">
        <f aca="false">IF(B536="","",IF(D536="Anexo de modificación","No","Sí"))</f>
        <v/>
      </c>
      <c r="O536" s="73" t="str">
        <f aca="false">IF(AND(N536="Sí",ISNUMBER(F536)),COUNTIFS(C_ID,B536,C_DEFINE,"Sí",C_INICIO,"&lt;"&amp;F536)+COUNTIFS(B$7:B536,B536,N$7:N536,"Sí",F$7:F536,F536),"")</f>
        <v/>
      </c>
      <c r="P536" s="72" t="str">
        <f aca="false">IF(O536="","",B536&amp;"-P"&amp;O536)</f>
        <v/>
      </c>
      <c r="Q536" s="73" t="str">
        <f aca="false">IF(AND(N536="Sí",E536="Plazo fijo",ISNUMBER(F536)),COUNTIFS(C_ID,B536,C_TIPO,"Plazo fijo",C_DEFINE,"Sí",C_INICIO,"&lt;"&amp;F536)+COUNTIFS(B$7:B536,B536,E$7:E536,"Plazo fijo",N$7:N536,"Sí",F$7:F536,F536),"")</f>
        <v/>
      </c>
      <c r="R536" s="73" t="str">
        <f aca="false">IF(AND(B536&lt;&gt;"",ISNUMBER(H536),ISNUMBER(F536)),COUNTIFS(C_ID,B536,C_SUELDO,"&lt;&gt;",C_INICIO,"&lt;"&amp;F536)+COUNTIFS(B$7:B536,B536,H$7:H536,"&lt;&gt;",F$7:F536,F536),"")</f>
        <v/>
      </c>
      <c r="S536" s="72" t="str">
        <f aca="false">IF(R536="","",B536&amp;"-S"&amp;R536)</f>
        <v/>
      </c>
      <c r="T536" s="74" t="str">
        <f aca="false">IF(AND(ISNUMBER(F536),ISNUMBER(G536)),ROUND((G536-F536+1)/30.4375,1),"")</f>
        <v/>
      </c>
      <c r="U536" s="70" t="str">
        <f aca="false">IF(B536="","",IF(AND(N536="Sí",OR(E536="",NOT(ISNUMBER(F536)))),"⚠ Falta tipo de contrato o fecha de inicio",IF(NOT(ISNUMBER(F536)),"⚠ Falta fecha de inicio",IF(AND(N536="Sí",E536&lt;&gt;"Indefinido",NOT(ISNUMBER(G536))),"⚠ Falta fecha de término",IF(AND(D536="Paso a indefinido",E536&lt;&gt;"Indefinido"),"⚠ Un paso a indefinido debe tener tipo Indefinido",IF(N(Q536)&gt;=3,"⚠ 3er contrato a plazo fijo: por ley ya es INDEFINIDO (Art. 159 N°4)",IF(AND(E536="Plazo fijo",N(T536)&gt;12),"⚠ Plazo fijo mayor a 1 año (máx. legal; 2 años solo profesionales o técnicos)",IF(AND(ISNUMBER(G536),G536&lt;F536),"⚠ Término anterior al inicio",IF(AND(D536="Contrato inicial",ISNUMBER(J536),J536-F536&gt;15),"⚠ Escriturado fuera de plazo (Art. 9: 15 días)",IF(K536&lt;&gt;"Sí","Pendiente de firma","OK"))))))))))</f>
        <v/>
      </c>
    </row>
    <row r="537" customFormat="false" ht="15" hidden="false" customHeight="false" outlineLevel="0" collapsed="false">
      <c r="B537" s="64"/>
      <c r="C537" s="72" t="str">
        <f aca="false">IF(B537="","",IFERROR(INDEX(T_NOMBRE,MATCH(B537,T_ID,0)),"⚠ ID no existe en Trabajadores"))</f>
        <v/>
      </c>
      <c r="D537" s="64"/>
      <c r="E537" s="64"/>
      <c r="F537" s="65"/>
      <c r="G537" s="65"/>
      <c r="H537" s="67"/>
      <c r="I537" s="64"/>
      <c r="J537" s="65"/>
      <c r="K537" s="64"/>
      <c r="L537" s="64"/>
      <c r="M537" s="64"/>
      <c r="N537" s="72" t="str">
        <f aca="false">IF(B537="","",IF(D537="Anexo de modificación","No","Sí"))</f>
        <v/>
      </c>
      <c r="O537" s="73" t="str">
        <f aca="false">IF(AND(N537="Sí",ISNUMBER(F537)),COUNTIFS(C_ID,B537,C_DEFINE,"Sí",C_INICIO,"&lt;"&amp;F537)+COUNTIFS(B$7:B537,B537,N$7:N537,"Sí",F$7:F537,F537),"")</f>
        <v/>
      </c>
      <c r="P537" s="72" t="str">
        <f aca="false">IF(O537="","",B537&amp;"-P"&amp;O537)</f>
        <v/>
      </c>
      <c r="Q537" s="73" t="str">
        <f aca="false">IF(AND(N537="Sí",E537="Plazo fijo",ISNUMBER(F537)),COUNTIFS(C_ID,B537,C_TIPO,"Plazo fijo",C_DEFINE,"Sí",C_INICIO,"&lt;"&amp;F537)+COUNTIFS(B$7:B537,B537,E$7:E537,"Plazo fijo",N$7:N537,"Sí",F$7:F537,F537),"")</f>
        <v/>
      </c>
      <c r="R537" s="73" t="str">
        <f aca="false">IF(AND(B537&lt;&gt;"",ISNUMBER(H537),ISNUMBER(F537)),COUNTIFS(C_ID,B537,C_SUELDO,"&lt;&gt;",C_INICIO,"&lt;"&amp;F537)+COUNTIFS(B$7:B537,B537,H$7:H537,"&lt;&gt;",F$7:F537,F537),"")</f>
        <v/>
      </c>
      <c r="S537" s="72" t="str">
        <f aca="false">IF(R537="","",B537&amp;"-S"&amp;R537)</f>
        <v/>
      </c>
      <c r="T537" s="74" t="str">
        <f aca="false">IF(AND(ISNUMBER(F537),ISNUMBER(G537)),ROUND((G537-F537+1)/30.4375,1),"")</f>
        <v/>
      </c>
      <c r="U537" s="70" t="str">
        <f aca="false">IF(B537="","",IF(AND(N537="Sí",OR(E537="",NOT(ISNUMBER(F537)))),"⚠ Falta tipo de contrato o fecha de inicio",IF(NOT(ISNUMBER(F537)),"⚠ Falta fecha de inicio",IF(AND(N537="Sí",E537&lt;&gt;"Indefinido",NOT(ISNUMBER(G537))),"⚠ Falta fecha de término",IF(AND(D537="Paso a indefinido",E537&lt;&gt;"Indefinido"),"⚠ Un paso a indefinido debe tener tipo Indefinido",IF(N(Q537)&gt;=3,"⚠ 3er contrato a plazo fijo: por ley ya es INDEFINIDO (Art. 159 N°4)",IF(AND(E537="Plazo fijo",N(T537)&gt;12),"⚠ Plazo fijo mayor a 1 año (máx. legal; 2 años solo profesionales o técnicos)",IF(AND(ISNUMBER(G537),G537&lt;F537),"⚠ Término anterior al inicio",IF(AND(D537="Contrato inicial",ISNUMBER(J537),J537-F537&gt;15),"⚠ Escriturado fuera de plazo (Art. 9: 15 días)",IF(K537&lt;&gt;"Sí","Pendiente de firma","OK"))))))))))</f>
        <v/>
      </c>
    </row>
    <row r="538" customFormat="false" ht="15" hidden="false" customHeight="false" outlineLevel="0" collapsed="false">
      <c r="B538" s="64"/>
      <c r="C538" s="72" t="str">
        <f aca="false">IF(B538="","",IFERROR(INDEX(T_NOMBRE,MATCH(B538,T_ID,0)),"⚠ ID no existe en Trabajadores"))</f>
        <v/>
      </c>
      <c r="D538" s="64"/>
      <c r="E538" s="64"/>
      <c r="F538" s="65"/>
      <c r="G538" s="65"/>
      <c r="H538" s="67"/>
      <c r="I538" s="64"/>
      <c r="J538" s="65"/>
      <c r="K538" s="64"/>
      <c r="L538" s="64"/>
      <c r="M538" s="64"/>
      <c r="N538" s="72" t="str">
        <f aca="false">IF(B538="","",IF(D538="Anexo de modificación","No","Sí"))</f>
        <v/>
      </c>
      <c r="O538" s="73" t="str">
        <f aca="false">IF(AND(N538="Sí",ISNUMBER(F538)),COUNTIFS(C_ID,B538,C_DEFINE,"Sí",C_INICIO,"&lt;"&amp;F538)+COUNTIFS(B$7:B538,B538,N$7:N538,"Sí",F$7:F538,F538),"")</f>
        <v/>
      </c>
      <c r="P538" s="72" t="str">
        <f aca="false">IF(O538="","",B538&amp;"-P"&amp;O538)</f>
        <v/>
      </c>
      <c r="Q538" s="73" t="str">
        <f aca="false">IF(AND(N538="Sí",E538="Plazo fijo",ISNUMBER(F538)),COUNTIFS(C_ID,B538,C_TIPO,"Plazo fijo",C_DEFINE,"Sí",C_INICIO,"&lt;"&amp;F538)+COUNTIFS(B$7:B538,B538,E$7:E538,"Plazo fijo",N$7:N538,"Sí",F$7:F538,F538),"")</f>
        <v/>
      </c>
      <c r="R538" s="73" t="str">
        <f aca="false">IF(AND(B538&lt;&gt;"",ISNUMBER(H538),ISNUMBER(F538)),COUNTIFS(C_ID,B538,C_SUELDO,"&lt;&gt;",C_INICIO,"&lt;"&amp;F538)+COUNTIFS(B$7:B538,B538,H$7:H538,"&lt;&gt;",F$7:F538,F538),"")</f>
        <v/>
      </c>
      <c r="S538" s="72" t="str">
        <f aca="false">IF(R538="","",B538&amp;"-S"&amp;R538)</f>
        <v/>
      </c>
      <c r="T538" s="74" t="str">
        <f aca="false">IF(AND(ISNUMBER(F538),ISNUMBER(G538)),ROUND((G538-F538+1)/30.4375,1),"")</f>
        <v/>
      </c>
      <c r="U538" s="70" t="str">
        <f aca="false">IF(B538="","",IF(AND(N538="Sí",OR(E538="",NOT(ISNUMBER(F538)))),"⚠ Falta tipo de contrato o fecha de inicio",IF(NOT(ISNUMBER(F538)),"⚠ Falta fecha de inicio",IF(AND(N538="Sí",E538&lt;&gt;"Indefinido",NOT(ISNUMBER(G538))),"⚠ Falta fecha de término",IF(AND(D538="Paso a indefinido",E538&lt;&gt;"Indefinido"),"⚠ Un paso a indefinido debe tener tipo Indefinido",IF(N(Q538)&gt;=3,"⚠ 3er contrato a plazo fijo: por ley ya es INDEFINIDO (Art. 159 N°4)",IF(AND(E538="Plazo fijo",N(T538)&gt;12),"⚠ Plazo fijo mayor a 1 año (máx. legal; 2 años solo profesionales o técnicos)",IF(AND(ISNUMBER(G538),G538&lt;F538),"⚠ Término anterior al inicio",IF(AND(D538="Contrato inicial",ISNUMBER(J538),J538-F538&gt;15),"⚠ Escriturado fuera de plazo (Art. 9: 15 días)",IF(K538&lt;&gt;"Sí","Pendiente de firma","OK"))))))))))</f>
        <v/>
      </c>
    </row>
    <row r="539" customFormat="false" ht="15" hidden="false" customHeight="false" outlineLevel="0" collapsed="false">
      <c r="B539" s="64"/>
      <c r="C539" s="72" t="str">
        <f aca="false">IF(B539="","",IFERROR(INDEX(T_NOMBRE,MATCH(B539,T_ID,0)),"⚠ ID no existe en Trabajadores"))</f>
        <v/>
      </c>
      <c r="D539" s="64"/>
      <c r="E539" s="64"/>
      <c r="F539" s="65"/>
      <c r="G539" s="65"/>
      <c r="H539" s="67"/>
      <c r="I539" s="64"/>
      <c r="J539" s="65"/>
      <c r="K539" s="64"/>
      <c r="L539" s="64"/>
      <c r="M539" s="64"/>
      <c r="N539" s="72" t="str">
        <f aca="false">IF(B539="","",IF(D539="Anexo de modificación","No","Sí"))</f>
        <v/>
      </c>
      <c r="O539" s="73" t="str">
        <f aca="false">IF(AND(N539="Sí",ISNUMBER(F539)),COUNTIFS(C_ID,B539,C_DEFINE,"Sí",C_INICIO,"&lt;"&amp;F539)+COUNTIFS(B$7:B539,B539,N$7:N539,"Sí",F$7:F539,F539),"")</f>
        <v/>
      </c>
      <c r="P539" s="72" t="str">
        <f aca="false">IF(O539="","",B539&amp;"-P"&amp;O539)</f>
        <v/>
      </c>
      <c r="Q539" s="73" t="str">
        <f aca="false">IF(AND(N539="Sí",E539="Plazo fijo",ISNUMBER(F539)),COUNTIFS(C_ID,B539,C_TIPO,"Plazo fijo",C_DEFINE,"Sí",C_INICIO,"&lt;"&amp;F539)+COUNTIFS(B$7:B539,B539,E$7:E539,"Plazo fijo",N$7:N539,"Sí",F$7:F539,F539),"")</f>
        <v/>
      </c>
      <c r="R539" s="73" t="str">
        <f aca="false">IF(AND(B539&lt;&gt;"",ISNUMBER(H539),ISNUMBER(F539)),COUNTIFS(C_ID,B539,C_SUELDO,"&lt;&gt;",C_INICIO,"&lt;"&amp;F539)+COUNTIFS(B$7:B539,B539,H$7:H539,"&lt;&gt;",F$7:F539,F539),"")</f>
        <v/>
      </c>
      <c r="S539" s="72" t="str">
        <f aca="false">IF(R539="","",B539&amp;"-S"&amp;R539)</f>
        <v/>
      </c>
      <c r="T539" s="74" t="str">
        <f aca="false">IF(AND(ISNUMBER(F539),ISNUMBER(G539)),ROUND((G539-F539+1)/30.4375,1),"")</f>
        <v/>
      </c>
      <c r="U539" s="70" t="str">
        <f aca="false">IF(B539="","",IF(AND(N539="Sí",OR(E539="",NOT(ISNUMBER(F539)))),"⚠ Falta tipo de contrato o fecha de inicio",IF(NOT(ISNUMBER(F539)),"⚠ Falta fecha de inicio",IF(AND(N539="Sí",E539&lt;&gt;"Indefinido",NOT(ISNUMBER(G539))),"⚠ Falta fecha de término",IF(AND(D539="Paso a indefinido",E539&lt;&gt;"Indefinido"),"⚠ Un paso a indefinido debe tener tipo Indefinido",IF(N(Q539)&gt;=3,"⚠ 3er contrato a plazo fijo: por ley ya es INDEFINIDO (Art. 159 N°4)",IF(AND(E539="Plazo fijo",N(T539)&gt;12),"⚠ Plazo fijo mayor a 1 año (máx. legal; 2 años solo profesionales o técnicos)",IF(AND(ISNUMBER(G539),G539&lt;F539),"⚠ Término anterior al inicio",IF(AND(D539="Contrato inicial",ISNUMBER(J539),J539-F539&gt;15),"⚠ Escriturado fuera de plazo (Art. 9: 15 días)",IF(K539&lt;&gt;"Sí","Pendiente de firma","OK"))))))))))</f>
        <v/>
      </c>
    </row>
    <row r="540" customFormat="false" ht="15" hidden="false" customHeight="false" outlineLevel="0" collapsed="false">
      <c r="B540" s="64"/>
      <c r="C540" s="72" t="str">
        <f aca="false">IF(B540="","",IFERROR(INDEX(T_NOMBRE,MATCH(B540,T_ID,0)),"⚠ ID no existe en Trabajadores"))</f>
        <v/>
      </c>
      <c r="D540" s="64"/>
      <c r="E540" s="64"/>
      <c r="F540" s="65"/>
      <c r="G540" s="65"/>
      <c r="H540" s="67"/>
      <c r="I540" s="64"/>
      <c r="J540" s="65"/>
      <c r="K540" s="64"/>
      <c r="L540" s="64"/>
      <c r="M540" s="64"/>
      <c r="N540" s="72" t="str">
        <f aca="false">IF(B540="","",IF(D540="Anexo de modificación","No","Sí"))</f>
        <v/>
      </c>
      <c r="O540" s="73" t="str">
        <f aca="false">IF(AND(N540="Sí",ISNUMBER(F540)),COUNTIFS(C_ID,B540,C_DEFINE,"Sí",C_INICIO,"&lt;"&amp;F540)+COUNTIFS(B$7:B540,B540,N$7:N540,"Sí",F$7:F540,F540),"")</f>
        <v/>
      </c>
      <c r="P540" s="72" t="str">
        <f aca="false">IF(O540="","",B540&amp;"-P"&amp;O540)</f>
        <v/>
      </c>
      <c r="Q540" s="73" t="str">
        <f aca="false">IF(AND(N540="Sí",E540="Plazo fijo",ISNUMBER(F540)),COUNTIFS(C_ID,B540,C_TIPO,"Plazo fijo",C_DEFINE,"Sí",C_INICIO,"&lt;"&amp;F540)+COUNTIFS(B$7:B540,B540,E$7:E540,"Plazo fijo",N$7:N540,"Sí",F$7:F540,F540),"")</f>
        <v/>
      </c>
      <c r="R540" s="73" t="str">
        <f aca="false">IF(AND(B540&lt;&gt;"",ISNUMBER(H540),ISNUMBER(F540)),COUNTIFS(C_ID,B540,C_SUELDO,"&lt;&gt;",C_INICIO,"&lt;"&amp;F540)+COUNTIFS(B$7:B540,B540,H$7:H540,"&lt;&gt;",F$7:F540,F540),"")</f>
        <v/>
      </c>
      <c r="S540" s="72" t="str">
        <f aca="false">IF(R540="","",B540&amp;"-S"&amp;R540)</f>
        <v/>
      </c>
      <c r="T540" s="74" t="str">
        <f aca="false">IF(AND(ISNUMBER(F540),ISNUMBER(G540)),ROUND((G540-F540+1)/30.4375,1),"")</f>
        <v/>
      </c>
      <c r="U540" s="70" t="str">
        <f aca="false">IF(B540="","",IF(AND(N540="Sí",OR(E540="",NOT(ISNUMBER(F540)))),"⚠ Falta tipo de contrato o fecha de inicio",IF(NOT(ISNUMBER(F540)),"⚠ Falta fecha de inicio",IF(AND(N540="Sí",E540&lt;&gt;"Indefinido",NOT(ISNUMBER(G540))),"⚠ Falta fecha de término",IF(AND(D540="Paso a indefinido",E540&lt;&gt;"Indefinido"),"⚠ Un paso a indefinido debe tener tipo Indefinido",IF(N(Q540)&gt;=3,"⚠ 3er contrato a plazo fijo: por ley ya es INDEFINIDO (Art. 159 N°4)",IF(AND(E540="Plazo fijo",N(T540)&gt;12),"⚠ Plazo fijo mayor a 1 año (máx. legal; 2 años solo profesionales o técnicos)",IF(AND(ISNUMBER(G540),G540&lt;F540),"⚠ Término anterior al inicio",IF(AND(D540="Contrato inicial",ISNUMBER(J540),J540-F540&gt;15),"⚠ Escriturado fuera de plazo (Art. 9: 15 días)",IF(K540&lt;&gt;"Sí","Pendiente de firma","OK"))))))))))</f>
        <v/>
      </c>
    </row>
    <row r="541" customFormat="false" ht="15" hidden="false" customHeight="false" outlineLevel="0" collapsed="false">
      <c r="B541" s="64"/>
      <c r="C541" s="72" t="str">
        <f aca="false">IF(B541="","",IFERROR(INDEX(T_NOMBRE,MATCH(B541,T_ID,0)),"⚠ ID no existe en Trabajadores"))</f>
        <v/>
      </c>
      <c r="D541" s="64"/>
      <c r="E541" s="64"/>
      <c r="F541" s="65"/>
      <c r="G541" s="65"/>
      <c r="H541" s="67"/>
      <c r="I541" s="64"/>
      <c r="J541" s="65"/>
      <c r="K541" s="64"/>
      <c r="L541" s="64"/>
      <c r="M541" s="64"/>
      <c r="N541" s="72" t="str">
        <f aca="false">IF(B541="","",IF(D541="Anexo de modificación","No","Sí"))</f>
        <v/>
      </c>
      <c r="O541" s="73" t="str">
        <f aca="false">IF(AND(N541="Sí",ISNUMBER(F541)),COUNTIFS(C_ID,B541,C_DEFINE,"Sí",C_INICIO,"&lt;"&amp;F541)+COUNTIFS(B$7:B541,B541,N$7:N541,"Sí",F$7:F541,F541),"")</f>
        <v/>
      </c>
      <c r="P541" s="72" t="str">
        <f aca="false">IF(O541="","",B541&amp;"-P"&amp;O541)</f>
        <v/>
      </c>
      <c r="Q541" s="73" t="str">
        <f aca="false">IF(AND(N541="Sí",E541="Plazo fijo",ISNUMBER(F541)),COUNTIFS(C_ID,B541,C_TIPO,"Plazo fijo",C_DEFINE,"Sí",C_INICIO,"&lt;"&amp;F541)+COUNTIFS(B$7:B541,B541,E$7:E541,"Plazo fijo",N$7:N541,"Sí",F$7:F541,F541),"")</f>
        <v/>
      </c>
      <c r="R541" s="73" t="str">
        <f aca="false">IF(AND(B541&lt;&gt;"",ISNUMBER(H541),ISNUMBER(F541)),COUNTIFS(C_ID,B541,C_SUELDO,"&lt;&gt;",C_INICIO,"&lt;"&amp;F541)+COUNTIFS(B$7:B541,B541,H$7:H541,"&lt;&gt;",F$7:F541,F541),"")</f>
        <v/>
      </c>
      <c r="S541" s="72" t="str">
        <f aca="false">IF(R541="","",B541&amp;"-S"&amp;R541)</f>
        <v/>
      </c>
      <c r="T541" s="74" t="str">
        <f aca="false">IF(AND(ISNUMBER(F541),ISNUMBER(G541)),ROUND((G541-F541+1)/30.4375,1),"")</f>
        <v/>
      </c>
      <c r="U541" s="70" t="str">
        <f aca="false">IF(B541="","",IF(AND(N541="Sí",OR(E541="",NOT(ISNUMBER(F541)))),"⚠ Falta tipo de contrato o fecha de inicio",IF(NOT(ISNUMBER(F541)),"⚠ Falta fecha de inicio",IF(AND(N541="Sí",E541&lt;&gt;"Indefinido",NOT(ISNUMBER(G541))),"⚠ Falta fecha de término",IF(AND(D541="Paso a indefinido",E541&lt;&gt;"Indefinido"),"⚠ Un paso a indefinido debe tener tipo Indefinido",IF(N(Q541)&gt;=3,"⚠ 3er contrato a plazo fijo: por ley ya es INDEFINIDO (Art. 159 N°4)",IF(AND(E541="Plazo fijo",N(T541)&gt;12),"⚠ Plazo fijo mayor a 1 año (máx. legal; 2 años solo profesionales o técnicos)",IF(AND(ISNUMBER(G541),G541&lt;F541),"⚠ Término anterior al inicio",IF(AND(D541="Contrato inicial",ISNUMBER(J541),J541-F541&gt;15),"⚠ Escriturado fuera de plazo (Art. 9: 15 días)",IF(K541&lt;&gt;"Sí","Pendiente de firma","OK"))))))))))</f>
        <v/>
      </c>
    </row>
    <row r="542" customFormat="false" ht="15" hidden="false" customHeight="false" outlineLevel="0" collapsed="false">
      <c r="B542" s="64"/>
      <c r="C542" s="72" t="str">
        <f aca="false">IF(B542="","",IFERROR(INDEX(T_NOMBRE,MATCH(B542,T_ID,0)),"⚠ ID no existe en Trabajadores"))</f>
        <v/>
      </c>
      <c r="D542" s="64"/>
      <c r="E542" s="64"/>
      <c r="F542" s="65"/>
      <c r="G542" s="65"/>
      <c r="H542" s="67"/>
      <c r="I542" s="64"/>
      <c r="J542" s="65"/>
      <c r="K542" s="64"/>
      <c r="L542" s="64"/>
      <c r="M542" s="64"/>
      <c r="N542" s="72" t="str">
        <f aca="false">IF(B542="","",IF(D542="Anexo de modificación","No","Sí"))</f>
        <v/>
      </c>
      <c r="O542" s="73" t="str">
        <f aca="false">IF(AND(N542="Sí",ISNUMBER(F542)),COUNTIFS(C_ID,B542,C_DEFINE,"Sí",C_INICIO,"&lt;"&amp;F542)+COUNTIFS(B$7:B542,B542,N$7:N542,"Sí",F$7:F542,F542),"")</f>
        <v/>
      </c>
      <c r="P542" s="72" t="str">
        <f aca="false">IF(O542="","",B542&amp;"-P"&amp;O542)</f>
        <v/>
      </c>
      <c r="Q542" s="73" t="str">
        <f aca="false">IF(AND(N542="Sí",E542="Plazo fijo",ISNUMBER(F542)),COUNTIFS(C_ID,B542,C_TIPO,"Plazo fijo",C_DEFINE,"Sí",C_INICIO,"&lt;"&amp;F542)+COUNTIFS(B$7:B542,B542,E$7:E542,"Plazo fijo",N$7:N542,"Sí",F$7:F542,F542),"")</f>
        <v/>
      </c>
      <c r="R542" s="73" t="str">
        <f aca="false">IF(AND(B542&lt;&gt;"",ISNUMBER(H542),ISNUMBER(F542)),COUNTIFS(C_ID,B542,C_SUELDO,"&lt;&gt;",C_INICIO,"&lt;"&amp;F542)+COUNTIFS(B$7:B542,B542,H$7:H542,"&lt;&gt;",F$7:F542,F542),"")</f>
        <v/>
      </c>
      <c r="S542" s="72" t="str">
        <f aca="false">IF(R542="","",B542&amp;"-S"&amp;R542)</f>
        <v/>
      </c>
      <c r="T542" s="74" t="str">
        <f aca="false">IF(AND(ISNUMBER(F542),ISNUMBER(G542)),ROUND((G542-F542+1)/30.4375,1),"")</f>
        <v/>
      </c>
      <c r="U542" s="70" t="str">
        <f aca="false">IF(B542="","",IF(AND(N542="Sí",OR(E542="",NOT(ISNUMBER(F542)))),"⚠ Falta tipo de contrato o fecha de inicio",IF(NOT(ISNUMBER(F542)),"⚠ Falta fecha de inicio",IF(AND(N542="Sí",E542&lt;&gt;"Indefinido",NOT(ISNUMBER(G542))),"⚠ Falta fecha de término",IF(AND(D542="Paso a indefinido",E542&lt;&gt;"Indefinido"),"⚠ Un paso a indefinido debe tener tipo Indefinido",IF(N(Q542)&gt;=3,"⚠ 3er contrato a plazo fijo: por ley ya es INDEFINIDO (Art. 159 N°4)",IF(AND(E542="Plazo fijo",N(T542)&gt;12),"⚠ Plazo fijo mayor a 1 año (máx. legal; 2 años solo profesionales o técnicos)",IF(AND(ISNUMBER(G542),G542&lt;F542),"⚠ Término anterior al inicio",IF(AND(D542="Contrato inicial",ISNUMBER(J542),J542-F542&gt;15),"⚠ Escriturado fuera de plazo (Art. 9: 15 días)",IF(K542&lt;&gt;"Sí","Pendiente de firma","OK"))))))))))</f>
        <v/>
      </c>
    </row>
    <row r="543" customFormat="false" ht="15" hidden="false" customHeight="false" outlineLevel="0" collapsed="false">
      <c r="B543" s="64"/>
      <c r="C543" s="72" t="str">
        <f aca="false">IF(B543="","",IFERROR(INDEX(T_NOMBRE,MATCH(B543,T_ID,0)),"⚠ ID no existe en Trabajadores"))</f>
        <v/>
      </c>
      <c r="D543" s="64"/>
      <c r="E543" s="64"/>
      <c r="F543" s="65"/>
      <c r="G543" s="65"/>
      <c r="H543" s="67"/>
      <c r="I543" s="64"/>
      <c r="J543" s="65"/>
      <c r="K543" s="64"/>
      <c r="L543" s="64"/>
      <c r="M543" s="64"/>
      <c r="N543" s="72" t="str">
        <f aca="false">IF(B543="","",IF(D543="Anexo de modificación","No","Sí"))</f>
        <v/>
      </c>
      <c r="O543" s="73" t="str">
        <f aca="false">IF(AND(N543="Sí",ISNUMBER(F543)),COUNTIFS(C_ID,B543,C_DEFINE,"Sí",C_INICIO,"&lt;"&amp;F543)+COUNTIFS(B$7:B543,B543,N$7:N543,"Sí",F$7:F543,F543),"")</f>
        <v/>
      </c>
      <c r="P543" s="72" t="str">
        <f aca="false">IF(O543="","",B543&amp;"-P"&amp;O543)</f>
        <v/>
      </c>
      <c r="Q543" s="73" t="str">
        <f aca="false">IF(AND(N543="Sí",E543="Plazo fijo",ISNUMBER(F543)),COUNTIFS(C_ID,B543,C_TIPO,"Plazo fijo",C_DEFINE,"Sí",C_INICIO,"&lt;"&amp;F543)+COUNTIFS(B$7:B543,B543,E$7:E543,"Plazo fijo",N$7:N543,"Sí",F$7:F543,F543),"")</f>
        <v/>
      </c>
      <c r="R543" s="73" t="str">
        <f aca="false">IF(AND(B543&lt;&gt;"",ISNUMBER(H543),ISNUMBER(F543)),COUNTIFS(C_ID,B543,C_SUELDO,"&lt;&gt;",C_INICIO,"&lt;"&amp;F543)+COUNTIFS(B$7:B543,B543,H$7:H543,"&lt;&gt;",F$7:F543,F543),"")</f>
        <v/>
      </c>
      <c r="S543" s="72" t="str">
        <f aca="false">IF(R543="","",B543&amp;"-S"&amp;R543)</f>
        <v/>
      </c>
      <c r="T543" s="74" t="str">
        <f aca="false">IF(AND(ISNUMBER(F543),ISNUMBER(G543)),ROUND((G543-F543+1)/30.4375,1),"")</f>
        <v/>
      </c>
      <c r="U543" s="70" t="str">
        <f aca="false">IF(B543="","",IF(AND(N543="Sí",OR(E543="",NOT(ISNUMBER(F543)))),"⚠ Falta tipo de contrato o fecha de inicio",IF(NOT(ISNUMBER(F543)),"⚠ Falta fecha de inicio",IF(AND(N543="Sí",E543&lt;&gt;"Indefinido",NOT(ISNUMBER(G543))),"⚠ Falta fecha de término",IF(AND(D543="Paso a indefinido",E543&lt;&gt;"Indefinido"),"⚠ Un paso a indefinido debe tener tipo Indefinido",IF(N(Q543)&gt;=3,"⚠ 3er contrato a plazo fijo: por ley ya es INDEFINIDO (Art. 159 N°4)",IF(AND(E543="Plazo fijo",N(T543)&gt;12),"⚠ Plazo fijo mayor a 1 año (máx. legal; 2 años solo profesionales o técnicos)",IF(AND(ISNUMBER(G543),G543&lt;F543),"⚠ Término anterior al inicio",IF(AND(D543="Contrato inicial",ISNUMBER(J543),J543-F543&gt;15),"⚠ Escriturado fuera de plazo (Art. 9: 15 días)",IF(K543&lt;&gt;"Sí","Pendiente de firma","OK"))))))))))</f>
        <v/>
      </c>
    </row>
    <row r="544" customFormat="false" ht="15" hidden="false" customHeight="false" outlineLevel="0" collapsed="false">
      <c r="B544" s="64"/>
      <c r="C544" s="72" t="str">
        <f aca="false">IF(B544="","",IFERROR(INDEX(T_NOMBRE,MATCH(B544,T_ID,0)),"⚠ ID no existe en Trabajadores"))</f>
        <v/>
      </c>
      <c r="D544" s="64"/>
      <c r="E544" s="64"/>
      <c r="F544" s="65"/>
      <c r="G544" s="65"/>
      <c r="H544" s="67"/>
      <c r="I544" s="64"/>
      <c r="J544" s="65"/>
      <c r="K544" s="64"/>
      <c r="L544" s="64"/>
      <c r="M544" s="64"/>
      <c r="N544" s="72" t="str">
        <f aca="false">IF(B544="","",IF(D544="Anexo de modificación","No","Sí"))</f>
        <v/>
      </c>
      <c r="O544" s="73" t="str">
        <f aca="false">IF(AND(N544="Sí",ISNUMBER(F544)),COUNTIFS(C_ID,B544,C_DEFINE,"Sí",C_INICIO,"&lt;"&amp;F544)+COUNTIFS(B$7:B544,B544,N$7:N544,"Sí",F$7:F544,F544),"")</f>
        <v/>
      </c>
      <c r="P544" s="72" t="str">
        <f aca="false">IF(O544="","",B544&amp;"-P"&amp;O544)</f>
        <v/>
      </c>
      <c r="Q544" s="73" t="str">
        <f aca="false">IF(AND(N544="Sí",E544="Plazo fijo",ISNUMBER(F544)),COUNTIFS(C_ID,B544,C_TIPO,"Plazo fijo",C_DEFINE,"Sí",C_INICIO,"&lt;"&amp;F544)+COUNTIFS(B$7:B544,B544,E$7:E544,"Plazo fijo",N$7:N544,"Sí",F$7:F544,F544),"")</f>
        <v/>
      </c>
      <c r="R544" s="73" t="str">
        <f aca="false">IF(AND(B544&lt;&gt;"",ISNUMBER(H544),ISNUMBER(F544)),COUNTIFS(C_ID,B544,C_SUELDO,"&lt;&gt;",C_INICIO,"&lt;"&amp;F544)+COUNTIFS(B$7:B544,B544,H$7:H544,"&lt;&gt;",F$7:F544,F544),"")</f>
        <v/>
      </c>
      <c r="S544" s="72" t="str">
        <f aca="false">IF(R544="","",B544&amp;"-S"&amp;R544)</f>
        <v/>
      </c>
      <c r="T544" s="74" t="str">
        <f aca="false">IF(AND(ISNUMBER(F544),ISNUMBER(G544)),ROUND((G544-F544+1)/30.4375,1),"")</f>
        <v/>
      </c>
      <c r="U544" s="70" t="str">
        <f aca="false">IF(B544="","",IF(AND(N544="Sí",OR(E544="",NOT(ISNUMBER(F544)))),"⚠ Falta tipo de contrato o fecha de inicio",IF(NOT(ISNUMBER(F544)),"⚠ Falta fecha de inicio",IF(AND(N544="Sí",E544&lt;&gt;"Indefinido",NOT(ISNUMBER(G544))),"⚠ Falta fecha de término",IF(AND(D544="Paso a indefinido",E544&lt;&gt;"Indefinido"),"⚠ Un paso a indefinido debe tener tipo Indefinido",IF(N(Q544)&gt;=3,"⚠ 3er contrato a plazo fijo: por ley ya es INDEFINIDO (Art. 159 N°4)",IF(AND(E544="Plazo fijo",N(T544)&gt;12),"⚠ Plazo fijo mayor a 1 año (máx. legal; 2 años solo profesionales o técnicos)",IF(AND(ISNUMBER(G544),G544&lt;F544),"⚠ Término anterior al inicio",IF(AND(D544="Contrato inicial",ISNUMBER(J544),J544-F544&gt;15),"⚠ Escriturado fuera de plazo (Art. 9: 15 días)",IF(K544&lt;&gt;"Sí","Pendiente de firma","OK"))))))))))</f>
        <v/>
      </c>
    </row>
    <row r="545" customFormat="false" ht="15" hidden="false" customHeight="false" outlineLevel="0" collapsed="false">
      <c r="B545" s="64"/>
      <c r="C545" s="72" t="str">
        <f aca="false">IF(B545="","",IFERROR(INDEX(T_NOMBRE,MATCH(B545,T_ID,0)),"⚠ ID no existe en Trabajadores"))</f>
        <v/>
      </c>
      <c r="D545" s="64"/>
      <c r="E545" s="64"/>
      <c r="F545" s="65"/>
      <c r="G545" s="65"/>
      <c r="H545" s="67"/>
      <c r="I545" s="64"/>
      <c r="J545" s="65"/>
      <c r="K545" s="64"/>
      <c r="L545" s="64"/>
      <c r="M545" s="64"/>
      <c r="N545" s="72" t="str">
        <f aca="false">IF(B545="","",IF(D545="Anexo de modificación","No","Sí"))</f>
        <v/>
      </c>
      <c r="O545" s="73" t="str">
        <f aca="false">IF(AND(N545="Sí",ISNUMBER(F545)),COUNTIFS(C_ID,B545,C_DEFINE,"Sí",C_INICIO,"&lt;"&amp;F545)+COUNTIFS(B$7:B545,B545,N$7:N545,"Sí",F$7:F545,F545),"")</f>
        <v/>
      </c>
      <c r="P545" s="72" t="str">
        <f aca="false">IF(O545="","",B545&amp;"-P"&amp;O545)</f>
        <v/>
      </c>
      <c r="Q545" s="73" t="str">
        <f aca="false">IF(AND(N545="Sí",E545="Plazo fijo",ISNUMBER(F545)),COUNTIFS(C_ID,B545,C_TIPO,"Plazo fijo",C_DEFINE,"Sí",C_INICIO,"&lt;"&amp;F545)+COUNTIFS(B$7:B545,B545,E$7:E545,"Plazo fijo",N$7:N545,"Sí",F$7:F545,F545),"")</f>
        <v/>
      </c>
      <c r="R545" s="73" t="str">
        <f aca="false">IF(AND(B545&lt;&gt;"",ISNUMBER(H545),ISNUMBER(F545)),COUNTIFS(C_ID,B545,C_SUELDO,"&lt;&gt;",C_INICIO,"&lt;"&amp;F545)+COUNTIFS(B$7:B545,B545,H$7:H545,"&lt;&gt;",F$7:F545,F545),"")</f>
        <v/>
      </c>
      <c r="S545" s="72" t="str">
        <f aca="false">IF(R545="","",B545&amp;"-S"&amp;R545)</f>
        <v/>
      </c>
      <c r="T545" s="74" t="str">
        <f aca="false">IF(AND(ISNUMBER(F545),ISNUMBER(G545)),ROUND((G545-F545+1)/30.4375,1),"")</f>
        <v/>
      </c>
      <c r="U545" s="70" t="str">
        <f aca="false">IF(B545="","",IF(AND(N545="Sí",OR(E545="",NOT(ISNUMBER(F545)))),"⚠ Falta tipo de contrato o fecha de inicio",IF(NOT(ISNUMBER(F545)),"⚠ Falta fecha de inicio",IF(AND(N545="Sí",E545&lt;&gt;"Indefinido",NOT(ISNUMBER(G545))),"⚠ Falta fecha de término",IF(AND(D545="Paso a indefinido",E545&lt;&gt;"Indefinido"),"⚠ Un paso a indefinido debe tener tipo Indefinido",IF(N(Q545)&gt;=3,"⚠ 3er contrato a plazo fijo: por ley ya es INDEFINIDO (Art. 159 N°4)",IF(AND(E545="Plazo fijo",N(T545)&gt;12),"⚠ Plazo fijo mayor a 1 año (máx. legal; 2 años solo profesionales o técnicos)",IF(AND(ISNUMBER(G545),G545&lt;F545),"⚠ Término anterior al inicio",IF(AND(D545="Contrato inicial",ISNUMBER(J545),J545-F545&gt;15),"⚠ Escriturado fuera de plazo (Art. 9: 15 días)",IF(K545&lt;&gt;"Sí","Pendiente de firma","OK"))))))))))</f>
        <v/>
      </c>
    </row>
    <row r="546" customFormat="false" ht="15" hidden="false" customHeight="false" outlineLevel="0" collapsed="false">
      <c r="B546" s="64"/>
      <c r="C546" s="72" t="str">
        <f aca="false">IF(B546="","",IFERROR(INDEX(T_NOMBRE,MATCH(B546,T_ID,0)),"⚠ ID no existe en Trabajadores"))</f>
        <v/>
      </c>
      <c r="D546" s="64"/>
      <c r="E546" s="64"/>
      <c r="F546" s="65"/>
      <c r="G546" s="65"/>
      <c r="H546" s="67"/>
      <c r="I546" s="64"/>
      <c r="J546" s="65"/>
      <c r="K546" s="64"/>
      <c r="L546" s="64"/>
      <c r="M546" s="64"/>
      <c r="N546" s="72" t="str">
        <f aca="false">IF(B546="","",IF(D546="Anexo de modificación","No","Sí"))</f>
        <v/>
      </c>
      <c r="O546" s="73" t="str">
        <f aca="false">IF(AND(N546="Sí",ISNUMBER(F546)),COUNTIFS(C_ID,B546,C_DEFINE,"Sí",C_INICIO,"&lt;"&amp;F546)+COUNTIFS(B$7:B546,B546,N$7:N546,"Sí",F$7:F546,F546),"")</f>
        <v/>
      </c>
      <c r="P546" s="72" t="str">
        <f aca="false">IF(O546="","",B546&amp;"-P"&amp;O546)</f>
        <v/>
      </c>
      <c r="Q546" s="73" t="str">
        <f aca="false">IF(AND(N546="Sí",E546="Plazo fijo",ISNUMBER(F546)),COUNTIFS(C_ID,B546,C_TIPO,"Plazo fijo",C_DEFINE,"Sí",C_INICIO,"&lt;"&amp;F546)+COUNTIFS(B$7:B546,B546,E$7:E546,"Plazo fijo",N$7:N546,"Sí",F$7:F546,F546),"")</f>
        <v/>
      </c>
      <c r="R546" s="73" t="str">
        <f aca="false">IF(AND(B546&lt;&gt;"",ISNUMBER(H546),ISNUMBER(F546)),COUNTIFS(C_ID,B546,C_SUELDO,"&lt;&gt;",C_INICIO,"&lt;"&amp;F546)+COUNTIFS(B$7:B546,B546,H$7:H546,"&lt;&gt;",F$7:F546,F546),"")</f>
        <v/>
      </c>
      <c r="S546" s="72" t="str">
        <f aca="false">IF(R546="","",B546&amp;"-S"&amp;R546)</f>
        <v/>
      </c>
      <c r="T546" s="74" t="str">
        <f aca="false">IF(AND(ISNUMBER(F546),ISNUMBER(G546)),ROUND((G546-F546+1)/30.4375,1),"")</f>
        <v/>
      </c>
      <c r="U546" s="70" t="str">
        <f aca="false">IF(B546="","",IF(AND(N546="Sí",OR(E546="",NOT(ISNUMBER(F546)))),"⚠ Falta tipo de contrato o fecha de inicio",IF(NOT(ISNUMBER(F546)),"⚠ Falta fecha de inicio",IF(AND(N546="Sí",E546&lt;&gt;"Indefinido",NOT(ISNUMBER(G546))),"⚠ Falta fecha de término",IF(AND(D546="Paso a indefinido",E546&lt;&gt;"Indefinido"),"⚠ Un paso a indefinido debe tener tipo Indefinido",IF(N(Q546)&gt;=3,"⚠ 3er contrato a plazo fijo: por ley ya es INDEFINIDO (Art. 159 N°4)",IF(AND(E546="Plazo fijo",N(T546)&gt;12),"⚠ Plazo fijo mayor a 1 año (máx. legal; 2 años solo profesionales o técnicos)",IF(AND(ISNUMBER(G546),G546&lt;F546),"⚠ Término anterior al inicio",IF(AND(D546="Contrato inicial",ISNUMBER(J546),J546-F546&gt;15),"⚠ Escriturado fuera de plazo (Art. 9: 15 días)",IF(K546&lt;&gt;"Sí","Pendiente de firma","OK"))))))))))</f>
        <v/>
      </c>
    </row>
    <row r="547" customFormat="false" ht="15" hidden="false" customHeight="false" outlineLevel="0" collapsed="false">
      <c r="B547" s="64"/>
      <c r="C547" s="72" t="str">
        <f aca="false">IF(B547="","",IFERROR(INDEX(T_NOMBRE,MATCH(B547,T_ID,0)),"⚠ ID no existe en Trabajadores"))</f>
        <v/>
      </c>
      <c r="D547" s="64"/>
      <c r="E547" s="64"/>
      <c r="F547" s="65"/>
      <c r="G547" s="65"/>
      <c r="H547" s="67"/>
      <c r="I547" s="64"/>
      <c r="J547" s="65"/>
      <c r="K547" s="64"/>
      <c r="L547" s="64"/>
      <c r="M547" s="64"/>
      <c r="N547" s="72" t="str">
        <f aca="false">IF(B547="","",IF(D547="Anexo de modificación","No","Sí"))</f>
        <v/>
      </c>
      <c r="O547" s="73" t="str">
        <f aca="false">IF(AND(N547="Sí",ISNUMBER(F547)),COUNTIFS(C_ID,B547,C_DEFINE,"Sí",C_INICIO,"&lt;"&amp;F547)+COUNTIFS(B$7:B547,B547,N$7:N547,"Sí",F$7:F547,F547),"")</f>
        <v/>
      </c>
      <c r="P547" s="72" t="str">
        <f aca="false">IF(O547="","",B547&amp;"-P"&amp;O547)</f>
        <v/>
      </c>
      <c r="Q547" s="73" t="str">
        <f aca="false">IF(AND(N547="Sí",E547="Plazo fijo",ISNUMBER(F547)),COUNTIFS(C_ID,B547,C_TIPO,"Plazo fijo",C_DEFINE,"Sí",C_INICIO,"&lt;"&amp;F547)+COUNTIFS(B$7:B547,B547,E$7:E547,"Plazo fijo",N$7:N547,"Sí",F$7:F547,F547),"")</f>
        <v/>
      </c>
      <c r="R547" s="73" t="str">
        <f aca="false">IF(AND(B547&lt;&gt;"",ISNUMBER(H547),ISNUMBER(F547)),COUNTIFS(C_ID,B547,C_SUELDO,"&lt;&gt;",C_INICIO,"&lt;"&amp;F547)+COUNTIFS(B$7:B547,B547,H$7:H547,"&lt;&gt;",F$7:F547,F547),"")</f>
        <v/>
      </c>
      <c r="S547" s="72" t="str">
        <f aca="false">IF(R547="","",B547&amp;"-S"&amp;R547)</f>
        <v/>
      </c>
      <c r="T547" s="74" t="str">
        <f aca="false">IF(AND(ISNUMBER(F547),ISNUMBER(G547)),ROUND((G547-F547+1)/30.4375,1),"")</f>
        <v/>
      </c>
      <c r="U547" s="70" t="str">
        <f aca="false">IF(B547="","",IF(AND(N547="Sí",OR(E547="",NOT(ISNUMBER(F547)))),"⚠ Falta tipo de contrato o fecha de inicio",IF(NOT(ISNUMBER(F547)),"⚠ Falta fecha de inicio",IF(AND(N547="Sí",E547&lt;&gt;"Indefinido",NOT(ISNUMBER(G547))),"⚠ Falta fecha de término",IF(AND(D547="Paso a indefinido",E547&lt;&gt;"Indefinido"),"⚠ Un paso a indefinido debe tener tipo Indefinido",IF(N(Q547)&gt;=3,"⚠ 3er contrato a plazo fijo: por ley ya es INDEFINIDO (Art. 159 N°4)",IF(AND(E547="Plazo fijo",N(T547)&gt;12),"⚠ Plazo fijo mayor a 1 año (máx. legal; 2 años solo profesionales o técnicos)",IF(AND(ISNUMBER(G547),G547&lt;F547),"⚠ Término anterior al inicio",IF(AND(D547="Contrato inicial",ISNUMBER(J547),J547-F547&gt;15),"⚠ Escriturado fuera de plazo (Art. 9: 15 días)",IF(K547&lt;&gt;"Sí","Pendiente de firma","OK"))))))))))</f>
        <v/>
      </c>
    </row>
    <row r="548" customFormat="false" ht="15" hidden="false" customHeight="false" outlineLevel="0" collapsed="false">
      <c r="B548" s="64"/>
      <c r="C548" s="72" t="str">
        <f aca="false">IF(B548="","",IFERROR(INDEX(T_NOMBRE,MATCH(B548,T_ID,0)),"⚠ ID no existe en Trabajadores"))</f>
        <v/>
      </c>
      <c r="D548" s="64"/>
      <c r="E548" s="64"/>
      <c r="F548" s="65"/>
      <c r="G548" s="65"/>
      <c r="H548" s="67"/>
      <c r="I548" s="64"/>
      <c r="J548" s="65"/>
      <c r="K548" s="64"/>
      <c r="L548" s="64"/>
      <c r="M548" s="64"/>
      <c r="N548" s="72" t="str">
        <f aca="false">IF(B548="","",IF(D548="Anexo de modificación","No","Sí"))</f>
        <v/>
      </c>
      <c r="O548" s="73" t="str">
        <f aca="false">IF(AND(N548="Sí",ISNUMBER(F548)),COUNTIFS(C_ID,B548,C_DEFINE,"Sí",C_INICIO,"&lt;"&amp;F548)+COUNTIFS(B$7:B548,B548,N$7:N548,"Sí",F$7:F548,F548),"")</f>
        <v/>
      </c>
      <c r="P548" s="72" t="str">
        <f aca="false">IF(O548="","",B548&amp;"-P"&amp;O548)</f>
        <v/>
      </c>
      <c r="Q548" s="73" t="str">
        <f aca="false">IF(AND(N548="Sí",E548="Plazo fijo",ISNUMBER(F548)),COUNTIFS(C_ID,B548,C_TIPO,"Plazo fijo",C_DEFINE,"Sí",C_INICIO,"&lt;"&amp;F548)+COUNTIFS(B$7:B548,B548,E$7:E548,"Plazo fijo",N$7:N548,"Sí",F$7:F548,F548),"")</f>
        <v/>
      </c>
      <c r="R548" s="73" t="str">
        <f aca="false">IF(AND(B548&lt;&gt;"",ISNUMBER(H548),ISNUMBER(F548)),COUNTIFS(C_ID,B548,C_SUELDO,"&lt;&gt;",C_INICIO,"&lt;"&amp;F548)+COUNTIFS(B$7:B548,B548,H$7:H548,"&lt;&gt;",F$7:F548,F548),"")</f>
        <v/>
      </c>
      <c r="S548" s="72" t="str">
        <f aca="false">IF(R548="","",B548&amp;"-S"&amp;R548)</f>
        <v/>
      </c>
      <c r="T548" s="74" t="str">
        <f aca="false">IF(AND(ISNUMBER(F548),ISNUMBER(G548)),ROUND((G548-F548+1)/30.4375,1),"")</f>
        <v/>
      </c>
      <c r="U548" s="70" t="str">
        <f aca="false">IF(B548="","",IF(AND(N548="Sí",OR(E548="",NOT(ISNUMBER(F548)))),"⚠ Falta tipo de contrato o fecha de inicio",IF(NOT(ISNUMBER(F548)),"⚠ Falta fecha de inicio",IF(AND(N548="Sí",E548&lt;&gt;"Indefinido",NOT(ISNUMBER(G548))),"⚠ Falta fecha de término",IF(AND(D548="Paso a indefinido",E548&lt;&gt;"Indefinido"),"⚠ Un paso a indefinido debe tener tipo Indefinido",IF(N(Q548)&gt;=3,"⚠ 3er contrato a plazo fijo: por ley ya es INDEFINIDO (Art. 159 N°4)",IF(AND(E548="Plazo fijo",N(T548)&gt;12),"⚠ Plazo fijo mayor a 1 año (máx. legal; 2 años solo profesionales o técnicos)",IF(AND(ISNUMBER(G548),G548&lt;F548),"⚠ Término anterior al inicio",IF(AND(D548="Contrato inicial",ISNUMBER(J548),J548-F548&gt;15),"⚠ Escriturado fuera de plazo (Art. 9: 15 días)",IF(K548&lt;&gt;"Sí","Pendiente de firma","OK"))))))))))</f>
        <v/>
      </c>
    </row>
    <row r="549" customFormat="false" ht="15" hidden="false" customHeight="false" outlineLevel="0" collapsed="false">
      <c r="B549" s="64"/>
      <c r="C549" s="72" t="str">
        <f aca="false">IF(B549="","",IFERROR(INDEX(T_NOMBRE,MATCH(B549,T_ID,0)),"⚠ ID no existe en Trabajadores"))</f>
        <v/>
      </c>
      <c r="D549" s="64"/>
      <c r="E549" s="64"/>
      <c r="F549" s="65"/>
      <c r="G549" s="65"/>
      <c r="H549" s="67"/>
      <c r="I549" s="64"/>
      <c r="J549" s="65"/>
      <c r="K549" s="64"/>
      <c r="L549" s="64"/>
      <c r="M549" s="64"/>
      <c r="N549" s="72" t="str">
        <f aca="false">IF(B549="","",IF(D549="Anexo de modificación","No","Sí"))</f>
        <v/>
      </c>
      <c r="O549" s="73" t="str">
        <f aca="false">IF(AND(N549="Sí",ISNUMBER(F549)),COUNTIFS(C_ID,B549,C_DEFINE,"Sí",C_INICIO,"&lt;"&amp;F549)+COUNTIFS(B$7:B549,B549,N$7:N549,"Sí",F$7:F549,F549),"")</f>
        <v/>
      </c>
      <c r="P549" s="72" t="str">
        <f aca="false">IF(O549="","",B549&amp;"-P"&amp;O549)</f>
        <v/>
      </c>
      <c r="Q549" s="73" t="str">
        <f aca="false">IF(AND(N549="Sí",E549="Plazo fijo",ISNUMBER(F549)),COUNTIFS(C_ID,B549,C_TIPO,"Plazo fijo",C_DEFINE,"Sí",C_INICIO,"&lt;"&amp;F549)+COUNTIFS(B$7:B549,B549,E$7:E549,"Plazo fijo",N$7:N549,"Sí",F$7:F549,F549),"")</f>
        <v/>
      </c>
      <c r="R549" s="73" t="str">
        <f aca="false">IF(AND(B549&lt;&gt;"",ISNUMBER(H549),ISNUMBER(F549)),COUNTIFS(C_ID,B549,C_SUELDO,"&lt;&gt;",C_INICIO,"&lt;"&amp;F549)+COUNTIFS(B$7:B549,B549,H$7:H549,"&lt;&gt;",F$7:F549,F549),"")</f>
        <v/>
      </c>
      <c r="S549" s="72" t="str">
        <f aca="false">IF(R549="","",B549&amp;"-S"&amp;R549)</f>
        <v/>
      </c>
      <c r="T549" s="74" t="str">
        <f aca="false">IF(AND(ISNUMBER(F549),ISNUMBER(G549)),ROUND((G549-F549+1)/30.4375,1),"")</f>
        <v/>
      </c>
      <c r="U549" s="70" t="str">
        <f aca="false">IF(B549="","",IF(AND(N549="Sí",OR(E549="",NOT(ISNUMBER(F549)))),"⚠ Falta tipo de contrato o fecha de inicio",IF(NOT(ISNUMBER(F549)),"⚠ Falta fecha de inicio",IF(AND(N549="Sí",E549&lt;&gt;"Indefinido",NOT(ISNUMBER(G549))),"⚠ Falta fecha de término",IF(AND(D549="Paso a indefinido",E549&lt;&gt;"Indefinido"),"⚠ Un paso a indefinido debe tener tipo Indefinido",IF(N(Q549)&gt;=3,"⚠ 3er contrato a plazo fijo: por ley ya es INDEFINIDO (Art. 159 N°4)",IF(AND(E549="Plazo fijo",N(T549)&gt;12),"⚠ Plazo fijo mayor a 1 año (máx. legal; 2 años solo profesionales o técnicos)",IF(AND(ISNUMBER(G549),G549&lt;F549),"⚠ Término anterior al inicio",IF(AND(D549="Contrato inicial",ISNUMBER(J549),J549-F549&gt;15),"⚠ Escriturado fuera de plazo (Art. 9: 15 días)",IF(K549&lt;&gt;"Sí","Pendiente de firma","OK"))))))))))</f>
        <v/>
      </c>
    </row>
    <row r="550" customFormat="false" ht="15" hidden="false" customHeight="false" outlineLevel="0" collapsed="false">
      <c r="B550" s="64"/>
      <c r="C550" s="72" t="str">
        <f aca="false">IF(B550="","",IFERROR(INDEX(T_NOMBRE,MATCH(B550,T_ID,0)),"⚠ ID no existe en Trabajadores"))</f>
        <v/>
      </c>
      <c r="D550" s="64"/>
      <c r="E550" s="64"/>
      <c r="F550" s="65"/>
      <c r="G550" s="65"/>
      <c r="H550" s="67"/>
      <c r="I550" s="64"/>
      <c r="J550" s="65"/>
      <c r="K550" s="64"/>
      <c r="L550" s="64"/>
      <c r="M550" s="64"/>
      <c r="N550" s="72" t="str">
        <f aca="false">IF(B550="","",IF(D550="Anexo de modificación","No","Sí"))</f>
        <v/>
      </c>
      <c r="O550" s="73" t="str">
        <f aca="false">IF(AND(N550="Sí",ISNUMBER(F550)),COUNTIFS(C_ID,B550,C_DEFINE,"Sí",C_INICIO,"&lt;"&amp;F550)+COUNTIFS(B$7:B550,B550,N$7:N550,"Sí",F$7:F550,F550),"")</f>
        <v/>
      </c>
      <c r="P550" s="72" t="str">
        <f aca="false">IF(O550="","",B550&amp;"-P"&amp;O550)</f>
        <v/>
      </c>
      <c r="Q550" s="73" t="str">
        <f aca="false">IF(AND(N550="Sí",E550="Plazo fijo",ISNUMBER(F550)),COUNTIFS(C_ID,B550,C_TIPO,"Plazo fijo",C_DEFINE,"Sí",C_INICIO,"&lt;"&amp;F550)+COUNTIFS(B$7:B550,B550,E$7:E550,"Plazo fijo",N$7:N550,"Sí",F$7:F550,F550),"")</f>
        <v/>
      </c>
      <c r="R550" s="73" t="str">
        <f aca="false">IF(AND(B550&lt;&gt;"",ISNUMBER(H550),ISNUMBER(F550)),COUNTIFS(C_ID,B550,C_SUELDO,"&lt;&gt;",C_INICIO,"&lt;"&amp;F550)+COUNTIFS(B$7:B550,B550,H$7:H550,"&lt;&gt;",F$7:F550,F550),"")</f>
        <v/>
      </c>
      <c r="S550" s="72" t="str">
        <f aca="false">IF(R550="","",B550&amp;"-S"&amp;R550)</f>
        <v/>
      </c>
      <c r="T550" s="74" t="str">
        <f aca="false">IF(AND(ISNUMBER(F550),ISNUMBER(G550)),ROUND((G550-F550+1)/30.4375,1),"")</f>
        <v/>
      </c>
      <c r="U550" s="70" t="str">
        <f aca="false">IF(B550="","",IF(AND(N550="Sí",OR(E550="",NOT(ISNUMBER(F550)))),"⚠ Falta tipo de contrato o fecha de inicio",IF(NOT(ISNUMBER(F550)),"⚠ Falta fecha de inicio",IF(AND(N550="Sí",E550&lt;&gt;"Indefinido",NOT(ISNUMBER(G550))),"⚠ Falta fecha de término",IF(AND(D550="Paso a indefinido",E550&lt;&gt;"Indefinido"),"⚠ Un paso a indefinido debe tener tipo Indefinido",IF(N(Q550)&gt;=3,"⚠ 3er contrato a plazo fijo: por ley ya es INDEFINIDO (Art. 159 N°4)",IF(AND(E550="Plazo fijo",N(T550)&gt;12),"⚠ Plazo fijo mayor a 1 año (máx. legal; 2 años solo profesionales o técnicos)",IF(AND(ISNUMBER(G550),G550&lt;F550),"⚠ Término anterior al inicio",IF(AND(D550="Contrato inicial",ISNUMBER(J550),J550-F550&gt;15),"⚠ Escriturado fuera de plazo (Art. 9: 15 días)",IF(K550&lt;&gt;"Sí","Pendiente de firma","OK"))))))))))</f>
        <v/>
      </c>
    </row>
    <row r="551" customFormat="false" ht="15" hidden="false" customHeight="false" outlineLevel="0" collapsed="false">
      <c r="B551" s="64"/>
      <c r="C551" s="72" t="str">
        <f aca="false">IF(B551="","",IFERROR(INDEX(T_NOMBRE,MATCH(B551,T_ID,0)),"⚠ ID no existe en Trabajadores"))</f>
        <v/>
      </c>
      <c r="D551" s="64"/>
      <c r="E551" s="64"/>
      <c r="F551" s="65"/>
      <c r="G551" s="65"/>
      <c r="H551" s="67"/>
      <c r="I551" s="64"/>
      <c r="J551" s="65"/>
      <c r="K551" s="64"/>
      <c r="L551" s="64"/>
      <c r="M551" s="64"/>
      <c r="N551" s="72" t="str">
        <f aca="false">IF(B551="","",IF(D551="Anexo de modificación","No","Sí"))</f>
        <v/>
      </c>
      <c r="O551" s="73" t="str">
        <f aca="false">IF(AND(N551="Sí",ISNUMBER(F551)),COUNTIFS(C_ID,B551,C_DEFINE,"Sí",C_INICIO,"&lt;"&amp;F551)+COUNTIFS(B$7:B551,B551,N$7:N551,"Sí",F$7:F551,F551),"")</f>
        <v/>
      </c>
      <c r="P551" s="72" t="str">
        <f aca="false">IF(O551="","",B551&amp;"-P"&amp;O551)</f>
        <v/>
      </c>
      <c r="Q551" s="73" t="str">
        <f aca="false">IF(AND(N551="Sí",E551="Plazo fijo",ISNUMBER(F551)),COUNTIFS(C_ID,B551,C_TIPO,"Plazo fijo",C_DEFINE,"Sí",C_INICIO,"&lt;"&amp;F551)+COUNTIFS(B$7:B551,B551,E$7:E551,"Plazo fijo",N$7:N551,"Sí",F$7:F551,F551),"")</f>
        <v/>
      </c>
      <c r="R551" s="73" t="str">
        <f aca="false">IF(AND(B551&lt;&gt;"",ISNUMBER(H551),ISNUMBER(F551)),COUNTIFS(C_ID,B551,C_SUELDO,"&lt;&gt;",C_INICIO,"&lt;"&amp;F551)+COUNTIFS(B$7:B551,B551,H$7:H551,"&lt;&gt;",F$7:F551,F551),"")</f>
        <v/>
      </c>
      <c r="S551" s="72" t="str">
        <f aca="false">IF(R551="","",B551&amp;"-S"&amp;R551)</f>
        <v/>
      </c>
      <c r="T551" s="74" t="str">
        <f aca="false">IF(AND(ISNUMBER(F551),ISNUMBER(G551)),ROUND((G551-F551+1)/30.4375,1),"")</f>
        <v/>
      </c>
      <c r="U551" s="70" t="str">
        <f aca="false">IF(B551="","",IF(AND(N551="Sí",OR(E551="",NOT(ISNUMBER(F551)))),"⚠ Falta tipo de contrato o fecha de inicio",IF(NOT(ISNUMBER(F551)),"⚠ Falta fecha de inicio",IF(AND(N551="Sí",E551&lt;&gt;"Indefinido",NOT(ISNUMBER(G551))),"⚠ Falta fecha de término",IF(AND(D551="Paso a indefinido",E551&lt;&gt;"Indefinido"),"⚠ Un paso a indefinido debe tener tipo Indefinido",IF(N(Q551)&gt;=3,"⚠ 3er contrato a plazo fijo: por ley ya es INDEFINIDO (Art. 159 N°4)",IF(AND(E551="Plazo fijo",N(T551)&gt;12),"⚠ Plazo fijo mayor a 1 año (máx. legal; 2 años solo profesionales o técnicos)",IF(AND(ISNUMBER(G551),G551&lt;F551),"⚠ Término anterior al inicio",IF(AND(D551="Contrato inicial",ISNUMBER(J551),J551-F551&gt;15),"⚠ Escriturado fuera de plazo (Art. 9: 15 días)",IF(K551&lt;&gt;"Sí","Pendiente de firma","OK"))))))))))</f>
        <v/>
      </c>
    </row>
    <row r="552" customFormat="false" ht="15" hidden="false" customHeight="false" outlineLevel="0" collapsed="false">
      <c r="B552" s="64"/>
      <c r="C552" s="72" t="str">
        <f aca="false">IF(B552="","",IFERROR(INDEX(T_NOMBRE,MATCH(B552,T_ID,0)),"⚠ ID no existe en Trabajadores"))</f>
        <v/>
      </c>
      <c r="D552" s="64"/>
      <c r="E552" s="64"/>
      <c r="F552" s="65"/>
      <c r="G552" s="65"/>
      <c r="H552" s="67"/>
      <c r="I552" s="64"/>
      <c r="J552" s="65"/>
      <c r="K552" s="64"/>
      <c r="L552" s="64"/>
      <c r="M552" s="64"/>
      <c r="N552" s="72" t="str">
        <f aca="false">IF(B552="","",IF(D552="Anexo de modificación","No","Sí"))</f>
        <v/>
      </c>
      <c r="O552" s="73" t="str">
        <f aca="false">IF(AND(N552="Sí",ISNUMBER(F552)),COUNTIFS(C_ID,B552,C_DEFINE,"Sí",C_INICIO,"&lt;"&amp;F552)+COUNTIFS(B$7:B552,B552,N$7:N552,"Sí",F$7:F552,F552),"")</f>
        <v/>
      </c>
      <c r="P552" s="72" t="str">
        <f aca="false">IF(O552="","",B552&amp;"-P"&amp;O552)</f>
        <v/>
      </c>
      <c r="Q552" s="73" t="str">
        <f aca="false">IF(AND(N552="Sí",E552="Plazo fijo",ISNUMBER(F552)),COUNTIFS(C_ID,B552,C_TIPO,"Plazo fijo",C_DEFINE,"Sí",C_INICIO,"&lt;"&amp;F552)+COUNTIFS(B$7:B552,B552,E$7:E552,"Plazo fijo",N$7:N552,"Sí",F$7:F552,F552),"")</f>
        <v/>
      </c>
      <c r="R552" s="73" t="str">
        <f aca="false">IF(AND(B552&lt;&gt;"",ISNUMBER(H552),ISNUMBER(F552)),COUNTIFS(C_ID,B552,C_SUELDO,"&lt;&gt;",C_INICIO,"&lt;"&amp;F552)+COUNTIFS(B$7:B552,B552,H$7:H552,"&lt;&gt;",F$7:F552,F552),"")</f>
        <v/>
      </c>
      <c r="S552" s="72" t="str">
        <f aca="false">IF(R552="","",B552&amp;"-S"&amp;R552)</f>
        <v/>
      </c>
      <c r="T552" s="74" t="str">
        <f aca="false">IF(AND(ISNUMBER(F552),ISNUMBER(G552)),ROUND((G552-F552+1)/30.4375,1),"")</f>
        <v/>
      </c>
      <c r="U552" s="70" t="str">
        <f aca="false">IF(B552="","",IF(AND(N552="Sí",OR(E552="",NOT(ISNUMBER(F552)))),"⚠ Falta tipo de contrato o fecha de inicio",IF(NOT(ISNUMBER(F552)),"⚠ Falta fecha de inicio",IF(AND(N552="Sí",E552&lt;&gt;"Indefinido",NOT(ISNUMBER(G552))),"⚠ Falta fecha de término",IF(AND(D552="Paso a indefinido",E552&lt;&gt;"Indefinido"),"⚠ Un paso a indefinido debe tener tipo Indefinido",IF(N(Q552)&gt;=3,"⚠ 3er contrato a plazo fijo: por ley ya es INDEFINIDO (Art. 159 N°4)",IF(AND(E552="Plazo fijo",N(T552)&gt;12),"⚠ Plazo fijo mayor a 1 año (máx. legal; 2 años solo profesionales o técnicos)",IF(AND(ISNUMBER(G552),G552&lt;F552),"⚠ Término anterior al inicio",IF(AND(D552="Contrato inicial",ISNUMBER(J552),J552-F552&gt;15),"⚠ Escriturado fuera de plazo (Art. 9: 15 días)",IF(K552&lt;&gt;"Sí","Pendiente de firma","OK"))))))))))</f>
        <v/>
      </c>
    </row>
    <row r="553" customFormat="false" ht="15" hidden="false" customHeight="false" outlineLevel="0" collapsed="false">
      <c r="B553" s="64"/>
      <c r="C553" s="72" t="str">
        <f aca="false">IF(B553="","",IFERROR(INDEX(T_NOMBRE,MATCH(B553,T_ID,0)),"⚠ ID no existe en Trabajadores"))</f>
        <v/>
      </c>
      <c r="D553" s="64"/>
      <c r="E553" s="64"/>
      <c r="F553" s="65"/>
      <c r="G553" s="65"/>
      <c r="H553" s="67"/>
      <c r="I553" s="64"/>
      <c r="J553" s="65"/>
      <c r="K553" s="64"/>
      <c r="L553" s="64"/>
      <c r="M553" s="64"/>
      <c r="N553" s="72" t="str">
        <f aca="false">IF(B553="","",IF(D553="Anexo de modificación","No","Sí"))</f>
        <v/>
      </c>
      <c r="O553" s="73" t="str">
        <f aca="false">IF(AND(N553="Sí",ISNUMBER(F553)),COUNTIFS(C_ID,B553,C_DEFINE,"Sí",C_INICIO,"&lt;"&amp;F553)+COUNTIFS(B$7:B553,B553,N$7:N553,"Sí",F$7:F553,F553),"")</f>
        <v/>
      </c>
      <c r="P553" s="72" t="str">
        <f aca="false">IF(O553="","",B553&amp;"-P"&amp;O553)</f>
        <v/>
      </c>
      <c r="Q553" s="73" t="str">
        <f aca="false">IF(AND(N553="Sí",E553="Plazo fijo",ISNUMBER(F553)),COUNTIFS(C_ID,B553,C_TIPO,"Plazo fijo",C_DEFINE,"Sí",C_INICIO,"&lt;"&amp;F553)+COUNTIFS(B$7:B553,B553,E$7:E553,"Plazo fijo",N$7:N553,"Sí",F$7:F553,F553),"")</f>
        <v/>
      </c>
      <c r="R553" s="73" t="str">
        <f aca="false">IF(AND(B553&lt;&gt;"",ISNUMBER(H553),ISNUMBER(F553)),COUNTIFS(C_ID,B553,C_SUELDO,"&lt;&gt;",C_INICIO,"&lt;"&amp;F553)+COUNTIFS(B$7:B553,B553,H$7:H553,"&lt;&gt;",F$7:F553,F553),"")</f>
        <v/>
      </c>
      <c r="S553" s="72" t="str">
        <f aca="false">IF(R553="","",B553&amp;"-S"&amp;R553)</f>
        <v/>
      </c>
      <c r="T553" s="74" t="str">
        <f aca="false">IF(AND(ISNUMBER(F553),ISNUMBER(G553)),ROUND((G553-F553+1)/30.4375,1),"")</f>
        <v/>
      </c>
      <c r="U553" s="70" t="str">
        <f aca="false">IF(B553="","",IF(AND(N553="Sí",OR(E553="",NOT(ISNUMBER(F553)))),"⚠ Falta tipo de contrato o fecha de inicio",IF(NOT(ISNUMBER(F553)),"⚠ Falta fecha de inicio",IF(AND(N553="Sí",E553&lt;&gt;"Indefinido",NOT(ISNUMBER(G553))),"⚠ Falta fecha de término",IF(AND(D553="Paso a indefinido",E553&lt;&gt;"Indefinido"),"⚠ Un paso a indefinido debe tener tipo Indefinido",IF(N(Q553)&gt;=3,"⚠ 3er contrato a plazo fijo: por ley ya es INDEFINIDO (Art. 159 N°4)",IF(AND(E553="Plazo fijo",N(T553)&gt;12),"⚠ Plazo fijo mayor a 1 año (máx. legal; 2 años solo profesionales o técnicos)",IF(AND(ISNUMBER(G553),G553&lt;F553),"⚠ Término anterior al inicio",IF(AND(D553="Contrato inicial",ISNUMBER(J553),J553-F553&gt;15),"⚠ Escriturado fuera de plazo (Art. 9: 15 días)",IF(K553&lt;&gt;"Sí","Pendiente de firma","OK"))))))))))</f>
        <v/>
      </c>
    </row>
    <row r="554" customFormat="false" ht="15" hidden="false" customHeight="false" outlineLevel="0" collapsed="false">
      <c r="B554" s="64"/>
      <c r="C554" s="72" t="str">
        <f aca="false">IF(B554="","",IFERROR(INDEX(T_NOMBRE,MATCH(B554,T_ID,0)),"⚠ ID no existe en Trabajadores"))</f>
        <v/>
      </c>
      <c r="D554" s="64"/>
      <c r="E554" s="64"/>
      <c r="F554" s="65"/>
      <c r="G554" s="65"/>
      <c r="H554" s="67"/>
      <c r="I554" s="64"/>
      <c r="J554" s="65"/>
      <c r="K554" s="64"/>
      <c r="L554" s="64"/>
      <c r="M554" s="64"/>
      <c r="N554" s="72" t="str">
        <f aca="false">IF(B554="","",IF(D554="Anexo de modificación","No","Sí"))</f>
        <v/>
      </c>
      <c r="O554" s="73" t="str">
        <f aca="false">IF(AND(N554="Sí",ISNUMBER(F554)),COUNTIFS(C_ID,B554,C_DEFINE,"Sí",C_INICIO,"&lt;"&amp;F554)+COUNTIFS(B$7:B554,B554,N$7:N554,"Sí",F$7:F554,F554),"")</f>
        <v/>
      </c>
      <c r="P554" s="72" t="str">
        <f aca="false">IF(O554="","",B554&amp;"-P"&amp;O554)</f>
        <v/>
      </c>
      <c r="Q554" s="73" t="str">
        <f aca="false">IF(AND(N554="Sí",E554="Plazo fijo",ISNUMBER(F554)),COUNTIFS(C_ID,B554,C_TIPO,"Plazo fijo",C_DEFINE,"Sí",C_INICIO,"&lt;"&amp;F554)+COUNTIFS(B$7:B554,B554,E$7:E554,"Plazo fijo",N$7:N554,"Sí",F$7:F554,F554),"")</f>
        <v/>
      </c>
      <c r="R554" s="73" t="str">
        <f aca="false">IF(AND(B554&lt;&gt;"",ISNUMBER(H554),ISNUMBER(F554)),COUNTIFS(C_ID,B554,C_SUELDO,"&lt;&gt;",C_INICIO,"&lt;"&amp;F554)+COUNTIFS(B$7:B554,B554,H$7:H554,"&lt;&gt;",F$7:F554,F554),"")</f>
        <v/>
      </c>
      <c r="S554" s="72" t="str">
        <f aca="false">IF(R554="","",B554&amp;"-S"&amp;R554)</f>
        <v/>
      </c>
      <c r="T554" s="74" t="str">
        <f aca="false">IF(AND(ISNUMBER(F554),ISNUMBER(G554)),ROUND((G554-F554+1)/30.4375,1),"")</f>
        <v/>
      </c>
      <c r="U554" s="70" t="str">
        <f aca="false">IF(B554="","",IF(AND(N554="Sí",OR(E554="",NOT(ISNUMBER(F554)))),"⚠ Falta tipo de contrato o fecha de inicio",IF(NOT(ISNUMBER(F554)),"⚠ Falta fecha de inicio",IF(AND(N554="Sí",E554&lt;&gt;"Indefinido",NOT(ISNUMBER(G554))),"⚠ Falta fecha de término",IF(AND(D554="Paso a indefinido",E554&lt;&gt;"Indefinido"),"⚠ Un paso a indefinido debe tener tipo Indefinido",IF(N(Q554)&gt;=3,"⚠ 3er contrato a plazo fijo: por ley ya es INDEFINIDO (Art. 159 N°4)",IF(AND(E554="Plazo fijo",N(T554)&gt;12),"⚠ Plazo fijo mayor a 1 año (máx. legal; 2 años solo profesionales o técnicos)",IF(AND(ISNUMBER(G554),G554&lt;F554),"⚠ Término anterior al inicio",IF(AND(D554="Contrato inicial",ISNUMBER(J554),J554-F554&gt;15),"⚠ Escriturado fuera de plazo (Art. 9: 15 días)",IF(K554&lt;&gt;"Sí","Pendiente de firma","OK"))))))))))</f>
        <v/>
      </c>
    </row>
    <row r="555" customFormat="false" ht="15" hidden="false" customHeight="false" outlineLevel="0" collapsed="false">
      <c r="B555" s="64"/>
      <c r="C555" s="72" t="str">
        <f aca="false">IF(B555="","",IFERROR(INDEX(T_NOMBRE,MATCH(B555,T_ID,0)),"⚠ ID no existe en Trabajadores"))</f>
        <v/>
      </c>
      <c r="D555" s="64"/>
      <c r="E555" s="64"/>
      <c r="F555" s="65"/>
      <c r="G555" s="65"/>
      <c r="H555" s="67"/>
      <c r="I555" s="64"/>
      <c r="J555" s="65"/>
      <c r="K555" s="64"/>
      <c r="L555" s="64"/>
      <c r="M555" s="64"/>
      <c r="N555" s="72" t="str">
        <f aca="false">IF(B555="","",IF(D555="Anexo de modificación","No","Sí"))</f>
        <v/>
      </c>
      <c r="O555" s="73" t="str">
        <f aca="false">IF(AND(N555="Sí",ISNUMBER(F555)),COUNTIFS(C_ID,B555,C_DEFINE,"Sí",C_INICIO,"&lt;"&amp;F555)+COUNTIFS(B$7:B555,B555,N$7:N555,"Sí",F$7:F555,F555),"")</f>
        <v/>
      </c>
      <c r="P555" s="72" t="str">
        <f aca="false">IF(O555="","",B555&amp;"-P"&amp;O555)</f>
        <v/>
      </c>
      <c r="Q555" s="73" t="str">
        <f aca="false">IF(AND(N555="Sí",E555="Plazo fijo",ISNUMBER(F555)),COUNTIFS(C_ID,B555,C_TIPO,"Plazo fijo",C_DEFINE,"Sí",C_INICIO,"&lt;"&amp;F555)+COUNTIFS(B$7:B555,B555,E$7:E555,"Plazo fijo",N$7:N555,"Sí",F$7:F555,F555),"")</f>
        <v/>
      </c>
      <c r="R555" s="73" t="str">
        <f aca="false">IF(AND(B555&lt;&gt;"",ISNUMBER(H555),ISNUMBER(F555)),COUNTIFS(C_ID,B555,C_SUELDO,"&lt;&gt;",C_INICIO,"&lt;"&amp;F555)+COUNTIFS(B$7:B555,B555,H$7:H555,"&lt;&gt;",F$7:F555,F555),"")</f>
        <v/>
      </c>
      <c r="S555" s="72" t="str">
        <f aca="false">IF(R555="","",B555&amp;"-S"&amp;R555)</f>
        <v/>
      </c>
      <c r="T555" s="74" t="str">
        <f aca="false">IF(AND(ISNUMBER(F555),ISNUMBER(G555)),ROUND((G555-F555+1)/30.4375,1),"")</f>
        <v/>
      </c>
      <c r="U555" s="70" t="str">
        <f aca="false">IF(B555="","",IF(AND(N555="Sí",OR(E555="",NOT(ISNUMBER(F555)))),"⚠ Falta tipo de contrato o fecha de inicio",IF(NOT(ISNUMBER(F555)),"⚠ Falta fecha de inicio",IF(AND(N555="Sí",E555&lt;&gt;"Indefinido",NOT(ISNUMBER(G555))),"⚠ Falta fecha de término",IF(AND(D555="Paso a indefinido",E555&lt;&gt;"Indefinido"),"⚠ Un paso a indefinido debe tener tipo Indefinido",IF(N(Q555)&gt;=3,"⚠ 3er contrato a plazo fijo: por ley ya es INDEFINIDO (Art. 159 N°4)",IF(AND(E555="Plazo fijo",N(T555)&gt;12),"⚠ Plazo fijo mayor a 1 año (máx. legal; 2 años solo profesionales o técnicos)",IF(AND(ISNUMBER(G555),G555&lt;F555),"⚠ Término anterior al inicio",IF(AND(D555="Contrato inicial",ISNUMBER(J555),J555-F555&gt;15),"⚠ Escriturado fuera de plazo (Art. 9: 15 días)",IF(K555&lt;&gt;"Sí","Pendiente de firma","OK"))))))))))</f>
        <v/>
      </c>
    </row>
    <row r="556" customFormat="false" ht="15" hidden="false" customHeight="false" outlineLevel="0" collapsed="false">
      <c r="B556" s="64"/>
      <c r="C556" s="72" t="str">
        <f aca="false">IF(B556="","",IFERROR(INDEX(T_NOMBRE,MATCH(B556,T_ID,0)),"⚠ ID no existe en Trabajadores"))</f>
        <v/>
      </c>
      <c r="D556" s="64"/>
      <c r="E556" s="64"/>
      <c r="F556" s="65"/>
      <c r="G556" s="65"/>
      <c r="H556" s="67"/>
      <c r="I556" s="64"/>
      <c r="J556" s="65"/>
      <c r="K556" s="64"/>
      <c r="L556" s="64"/>
      <c r="M556" s="64"/>
      <c r="N556" s="72" t="str">
        <f aca="false">IF(B556="","",IF(D556="Anexo de modificación","No","Sí"))</f>
        <v/>
      </c>
      <c r="O556" s="73" t="str">
        <f aca="false">IF(AND(N556="Sí",ISNUMBER(F556)),COUNTIFS(C_ID,B556,C_DEFINE,"Sí",C_INICIO,"&lt;"&amp;F556)+COUNTIFS(B$7:B556,B556,N$7:N556,"Sí",F$7:F556,F556),"")</f>
        <v/>
      </c>
      <c r="P556" s="72" t="str">
        <f aca="false">IF(O556="","",B556&amp;"-P"&amp;O556)</f>
        <v/>
      </c>
      <c r="Q556" s="73" t="str">
        <f aca="false">IF(AND(N556="Sí",E556="Plazo fijo",ISNUMBER(F556)),COUNTIFS(C_ID,B556,C_TIPO,"Plazo fijo",C_DEFINE,"Sí",C_INICIO,"&lt;"&amp;F556)+COUNTIFS(B$7:B556,B556,E$7:E556,"Plazo fijo",N$7:N556,"Sí",F$7:F556,F556),"")</f>
        <v/>
      </c>
      <c r="R556" s="73" t="str">
        <f aca="false">IF(AND(B556&lt;&gt;"",ISNUMBER(H556),ISNUMBER(F556)),COUNTIFS(C_ID,B556,C_SUELDO,"&lt;&gt;",C_INICIO,"&lt;"&amp;F556)+COUNTIFS(B$7:B556,B556,H$7:H556,"&lt;&gt;",F$7:F556,F556),"")</f>
        <v/>
      </c>
      <c r="S556" s="72" t="str">
        <f aca="false">IF(R556="","",B556&amp;"-S"&amp;R556)</f>
        <v/>
      </c>
      <c r="T556" s="74" t="str">
        <f aca="false">IF(AND(ISNUMBER(F556),ISNUMBER(G556)),ROUND((G556-F556+1)/30.4375,1),"")</f>
        <v/>
      </c>
      <c r="U556" s="70" t="str">
        <f aca="false">IF(B556="","",IF(AND(N556="Sí",OR(E556="",NOT(ISNUMBER(F556)))),"⚠ Falta tipo de contrato o fecha de inicio",IF(NOT(ISNUMBER(F556)),"⚠ Falta fecha de inicio",IF(AND(N556="Sí",E556&lt;&gt;"Indefinido",NOT(ISNUMBER(G556))),"⚠ Falta fecha de término",IF(AND(D556="Paso a indefinido",E556&lt;&gt;"Indefinido"),"⚠ Un paso a indefinido debe tener tipo Indefinido",IF(N(Q556)&gt;=3,"⚠ 3er contrato a plazo fijo: por ley ya es INDEFINIDO (Art. 159 N°4)",IF(AND(E556="Plazo fijo",N(T556)&gt;12),"⚠ Plazo fijo mayor a 1 año (máx. legal; 2 años solo profesionales o técnicos)",IF(AND(ISNUMBER(G556),G556&lt;F556),"⚠ Término anterior al inicio",IF(AND(D556="Contrato inicial",ISNUMBER(J556),J556-F556&gt;15),"⚠ Escriturado fuera de plazo (Art. 9: 15 días)",IF(K556&lt;&gt;"Sí","Pendiente de firma","OK"))))))))))</f>
        <v/>
      </c>
    </row>
    <row r="557" customFormat="false" ht="15" hidden="false" customHeight="false" outlineLevel="0" collapsed="false">
      <c r="B557" s="64"/>
      <c r="C557" s="72" t="str">
        <f aca="false">IF(B557="","",IFERROR(INDEX(T_NOMBRE,MATCH(B557,T_ID,0)),"⚠ ID no existe en Trabajadores"))</f>
        <v/>
      </c>
      <c r="D557" s="64"/>
      <c r="E557" s="64"/>
      <c r="F557" s="65"/>
      <c r="G557" s="65"/>
      <c r="H557" s="67"/>
      <c r="I557" s="64"/>
      <c r="J557" s="65"/>
      <c r="K557" s="64"/>
      <c r="L557" s="64"/>
      <c r="M557" s="64"/>
      <c r="N557" s="72" t="str">
        <f aca="false">IF(B557="","",IF(D557="Anexo de modificación","No","Sí"))</f>
        <v/>
      </c>
      <c r="O557" s="73" t="str">
        <f aca="false">IF(AND(N557="Sí",ISNUMBER(F557)),COUNTIFS(C_ID,B557,C_DEFINE,"Sí",C_INICIO,"&lt;"&amp;F557)+COUNTIFS(B$7:B557,B557,N$7:N557,"Sí",F$7:F557,F557),"")</f>
        <v/>
      </c>
      <c r="P557" s="72" t="str">
        <f aca="false">IF(O557="","",B557&amp;"-P"&amp;O557)</f>
        <v/>
      </c>
      <c r="Q557" s="73" t="str">
        <f aca="false">IF(AND(N557="Sí",E557="Plazo fijo",ISNUMBER(F557)),COUNTIFS(C_ID,B557,C_TIPO,"Plazo fijo",C_DEFINE,"Sí",C_INICIO,"&lt;"&amp;F557)+COUNTIFS(B$7:B557,B557,E$7:E557,"Plazo fijo",N$7:N557,"Sí",F$7:F557,F557),"")</f>
        <v/>
      </c>
      <c r="R557" s="73" t="str">
        <f aca="false">IF(AND(B557&lt;&gt;"",ISNUMBER(H557),ISNUMBER(F557)),COUNTIFS(C_ID,B557,C_SUELDO,"&lt;&gt;",C_INICIO,"&lt;"&amp;F557)+COUNTIFS(B$7:B557,B557,H$7:H557,"&lt;&gt;",F$7:F557,F557),"")</f>
        <v/>
      </c>
      <c r="S557" s="72" t="str">
        <f aca="false">IF(R557="","",B557&amp;"-S"&amp;R557)</f>
        <v/>
      </c>
      <c r="T557" s="74" t="str">
        <f aca="false">IF(AND(ISNUMBER(F557),ISNUMBER(G557)),ROUND((G557-F557+1)/30.4375,1),"")</f>
        <v/>
      </c>
      <c r="U557" s="70" t="str">
        <f aca="false">IF(B557="","",IF(AND(N557="Sí",OR(E557="",NOT(ISNUMBER(F557)))),"⚠ Falta tipo de contrato o fecha de inicio",IF(NOT(ISNUMBER(F557)),"⚠ Falta fecha de inicio",IF(AND(N557="Sí",E557&lt;&gt;"Indefinido",NOT(ISNUMBER(G557))),"⚠ Falta fecha de término",IF(AND(D557="Paso a indefinido",E557&lt;&gt;"Indefinido"),"⚠ Un paso a indefinido debe tener tipo Indefinido",IF(N(Q557)&gt;=3,"⚠ 3er contrato a plazo fijo: por ley ya es INDEFINIDO (Art. 159 N°4)",IF(AND(E557="Plazo fijo",N(T557)&gt;12),"⚠ Plazo fijo mayor a 1 año (máx. legal; 2 años solo profesionales o técnicos)",IF(AND(ISNUMBER(G557),G557&lt;F557),"⚠ Término anterior al inicio",IF(AND(D557="Contrato inicial",ISNUMBER(J557),J557-F557&gt;15),"⚠ Escriturado fuera de plazo (Art. 9: 15 días)",IF(K557&lt;&gt;"Sí","Pendiente de firma","OK"))))))))))</f>
        <v/>
      </c>
    </row>
    <row r="558" customFormat="false" ht="15" hidden="false" customHeight="false" outlineLevel="0" collapsed="false">
      <c r="B558" s="64"/>
      <c r="C558" s="72" t="str">
        <f aca="false">IF(B558="","",IFERROR(INDEX(T_NOMBRE,MATCH(B558,T_ID,0)),"⚠ ID no existe en Trabajadores"))</f>
        <v/>
      </c>
      <c r="D558" s="64"/>
      <c r="E558" s="64"/>
      <c r="F558" s="65"/>
      <c r="G558" s="65"/>
      <c r="H558" s="67"/>
      <c r="I558" s="64"/>
      <c r="J558" s="65"/>
      <c r="K558" s="64"/>
      <c r="L558" s="64"/>
      <c r="M558" s="64"/>
      <c r="N558" s="72" t="str">
        <f aca="false">IF(B558="","",IF(D558="Anexo de modificación","No","Sí"))</f>
        <v/>
      </c>
      <c r="O558" s="73" t="str">
        <f aca="false">IF(AND(N558="Sí",ISNUMBER(F558)),COUNTIFS(C_ID,B558,C_DEFINE,"Sí",C_INICIO,"&lt;"&amp;F558)+COUNTIFS(B$7:B558,B558,N$7:N558,"Sí",F$7:F558,F558),"")</f>
        <v/>
      </c>
      <c r="P558" s="72" t="str">
        <f aca="false">IF(O558="","",B558&amp;"-P"&amp;O558)</f>
        <v/>
      </c>
      <c r="Q558" s="73" t="str">
        <f aca="false">IF(AND(N558="Sí",E558="Plazo fijo",ISNUMBER(F558)),COUNTIFS(C_ID,B558,C_TIPO,"Plazo fijo",C_DEFINE,"Sí",C_INICIO,"&lt;"&amp;F558)+COUNTIFS(B$7:B558,B558,E$7:E558,"Plazo fijo",N$7:N558,"Sí",F$7:F558,F558),"")</f>
        <v/>
      </c>
      <c r="R558" s="73" t="str">
        <f aca="false">IF(AND(B558&lt;&gt;"",ISNUMBER(H558),ISNUMBER(F558)),COUNTIFS(C_ID,B558,C_SUELDO,"&lt;&gt;",C_INICIO,"&lt;"&amp;F558)+COUNTIFS(B$7:B558,B558,H$7:H558,"&lt;&gt;",F$7:F558,F558),"")</f>
        <v/>
      </c>
      <c r="S558" s="72" t="str">
        <f aca="false">IF(R558="","",B558&amp;"-S"&amp;R558)</f>
        <v/>
      </c>
      <c r="T558" s="74" t="str">
        <f aca="false">IF(AND(ISNUMBER(F558),ISNUMBER(G558)),ROUND((G558-F558+1)/30.4375,1),"")</f>
        <v/>
      </c>
      <c r="U558" s="70" t="str">
        <f aca="false">IF(B558="","",IF(AND(N558="Sí",OR(E558="",NOT(ISNUMBER(F558)))),"⚠ Falta tipo de contrato o fecha de inicio",IF(NOT(ISNUMBER(F558)),"⚠ Falta fecha de inicio",IF(AND(N558="Sí",E558&lt;&gt;"Indefinido",NOT(ISNUMBER(G558))),"⚠ Falta fecha de término",IF(AND(D558="Paso a indefinido",E558&lt;&gt;"Indefinido"),"⚠ Un paso a indefinido debe tener tipo Indefinido",IF(N(Q558)&gt;=3,"⚠ 3er contrato a plazo fijo: por ley ya es INDEFINIDO (Art. 159 N°4)",IF(AND(E558="Plazo fijo",N(T558)&gt;12),"⚠ Plazo fijo mayor a 1 año (máx. legal; 2 años solo profesionales o técnicos)",IF(AND(ISNUMBER(G558),G558&lt;F558),"⚠ Término anterior al inicio",IF(AND(D558="Contrato inicial",ISNUMBER(J558),J558-F558&gt;15),"⚠ Escriturado fuera de plazo (Art. 9: 15 días)",IF(K558&lt;&gt;"Sí","Pendiente de firma","OK"))))))))))</f>
        <v/>
      </c>
    </row>
    <row r="559" customFormat="false" ht="15" hidden="false" customHeight="false" outlineLevel="0" collapsed="false">
      <c r="B559" s="64"/>
      <c r="C559" s="72" t="str">
        <f aca="false">IF(B559="","",IFERROR(INDEX(T_NOMBRE,MATCH(B559,T_ID,0)),"⚠ ID no existe en Trabajadores"))</f>
        <v/>
      </c>
      <c r="D559" s="64"/>
      <c r="E559" s="64"/>
      <c r="F559" s="65"/>
      <c r="G559" s="65"/>
      <c r="H559" s="67"/>
      <c r="I559" s="64"/>
      <c r="J559" s="65"/>
      <c r="K559" s="64"/>
      <c r="L559" s="64"/>
      <c r="M559" s="64"/>
      <c r="N559" s="72" t="str">
        <f aca="false">IF(B559="","",IF(D559="Anexo de modificación","No","Sí"))</f>
        <v/>
      </c>
      <c r="O559" s="73" t="str">
        <f aca="false">IF(AND(N559="Sí",ISNUMBER(F559)),COUNTIFS(C_ID,B559,C_DEFINE,"Sí",C_INICIO,"&lt;"&amp;F559)+COUNTIFS(B$7:B559,B559,N$7:N559,"Sí",F$7:F559,F559),"")</f>
        <v/>
      </c>
      <c r="P559" s="72" t="str">
        <f aca="false">IF(O559="","",B559&amp;"-P"&amp;O559)</f>
        <v/>
      </c>
      <c r="Q559" s="73" t="str">
        <f aca="false">IF(AND(N559="Sí",E559="Plazo fijo",ISNUMBER(F559)),COUNTIFS(C_ID,B559,C_TIPO,"Plazo fijo",C_DEFINE,"Sí",C_INICIO,"&lt;"&amp;F559)+COUNTIFS(B$7:B559,B559,E$7:E559,"Plazo fijo",N$7:N559,"Sí",F$7:F559,F559),"")</f>
        <v/>
      </c>
      <c r="R559" s="73" t="str">
        <f aca="false">IF(AND(B559&lt;&gt;"",ISNUMBER(H559),ISNUMBER(F559)),COUNTIFS(C_ID,B559,C_SUELDO,"&lt;&gt;",C_INICIO,"&lt;"&amp;F559)+COUNTIFS(B$7:B559,B559,H$7:H559,"&lt;&gt;",F$7:F559,F559),"")</f>
        <v/>
      </c>
      <c r="S559" s="72" t="str">
        <f aca="false">IF(R559="","",B559&amp;"-S"&amp;R559)</f>
        <v/>
      </c>
      <c r="T559" s="74" t="str">
        <f aca="false">IF(AND(ISNUMBER(F559),ISNUMBER(G559)),ROUND((G559-F559+1)/30.4375,1),"")</f>
        <v/>
      </c>
      <c r="U559" s="70" t="str">
        <f aca="false">IF(B559="","",IF(AND(N559="Sí",OR(E559="",NOT(ISNUMBER(F559)))),"⚠ Falta tipo de contrato o fecha de inicio",IF(NOT(ISNUMBER(F559)),"⚠ Falta fecha de inicio",IF(AND(N559="Sí",E559&lt;&gt;"Indefinido",NOT(ISNUMBER(G559))),"⚠ Falta fecha de término",IF(AND(D559="Paso a indefinido",E559&lt;&gt;"Indefinido"),"⚠ Un paso a indefinido debe tener tipo Indefinido",IF(N(Q559)&gt;=3,"⚠ 3er contrato a plazo fijo: por ley ya es INDEFINIDO (Art. 159 N°4)",IF(AND(E559="Plazo fijo",N(T559)&gt;12),"⚠ Plazo fijo mayor a 1 año (máx. legal; 2 años solo profesionales o técnicos)",IF(AND(ISNUMBER(G559),G559&lt;F559),"⚠ Término anterior al inicio",IF(AND(D559="Contrato inicial",ISNUMBER(J559),J559-F559&gt;15),"⚠ Escriturado fuera de plazo (Art. 9: 15 días)",IF(K559&lt;&gt;"Sí","Pendiente de firma","OK"))))))))))</f>
        <v/>
      </c>
    </row>
    <row r="560" customFormat="false" ht="15" hidden="false" customHeight="false" outlineLevel="0" collapsed="false">
      <c r="B560" s="64"/>
      <c r="C560" s="72" t="str">
        <f aca="false">IF(B560="","",IFERROR(INDEX(T_NOMBRE,MATCH(B560,T_ID,0)),"⚠ ID no existe en Trabajadores"))</f>
        <v/>
      </c>
      <c r="D560" s="64"/>
      <c r="E560" s="64"/>
      <c r="F560" s="65"/>
      <c r="G560" s="65"/>
      <c r="H560" s="67"/>
      <c r="I560" s="64"/>
      <c r="J560" s="65"/>
      <c r="K560" s="64"/>
      <c r="L560" s="64"/>
      <c r="M560" s="64"/>
      <c r="N560" s="72" t="str">
        <f aca="false">IF(B560="","",IF(D560="Anexo de modificación","No","Sí"))</f>
        <v/>
      </c>
      <c r="O560" s="73" t="str">
        <f aca="false">IF(AND(N560="Sí",ISNUMBER(F560)),COUNTIFS(C_ID,B560,C_DEFINE,"Sí",C_INICIO,"&lt;"&amp;F560)+COUNTIFS(B$7:B560,B560,N$7:N560,"Sí",F$7:F560,F560),"")</f>
        <v/>
      </c>
      <c r="P560" s="72" t="str">
        <f aca="false">IF(O560="","",B560&amp;"-P"&amp;O560)</f>
        <v/>
      </c>
      <c r="Q560" s="73" t="str">
        <f aca="false">IF(AND(N560="Sí",E560="Plazo fijo",ISNUMBER(F560)),COUNTIFS(C_ID,B560,C_TIPO,"Plazo fijo",C_DEFINE,"Sí",C_INICIO,"&lt;"&amp;F560)+COUNTIFS(B$7:B560,B560,E$7:E560,"Plazo fijo",N$7:N560,"Sí",F$7:F560,F560),"")</f>
        <v/>
      </c>
      <c r="R560" s="73" t="str">
        <f aca="false">IF(AND(B560&lt;&gt;"",ISNUMBER(H560),ISNUMBER(F560)),COUNTIFS(C_ID,B560,C_SUELDO,"&lt;&gt;",C_INICIO,"&lt;"&amp;F560)+COUNTIFS(B$7:B560,B560,H$7:H560,"&lt;&gt;",F$7:F560,F560),"")</f>
        <v/>
      </c>
      <c r="S560" s="72" t="str">
        <f aca="false">IF(R560="","",B560&amp;"-S"&amp;R560)</f>
        <v/>
      </c>
      <c r="T560" s="74" t="str">
        <f aca="false">IF(AND(ISNUMBER(F560),ISNUMBER(G560)),ROUND((G560-F560+1)/30.4375,1),"")</f>
        <v/>
      </c>
      <c r="U560" s="70" t="str">
        <f aca="false">IF(B560="","",IF(AND(N560="Sí",OR(E560="",NOT(ISNUMBER(F560)))),"⚠ Falta tipo de contrato o fecha de inicio",IF(NOT(ISNUMBER(F560)),"⚠ Falta fecha de inicio",IF(AND(N560="Sí",E560&lt;&gt;"Indefinido",NOT(ISNUMBER(G560))),"⚠ Falta fecha de término",IF(AND(D560="Paso a indefinido",E560&lt;&gt;"Indefinido"),"⚠ Un paso a indefinido debe tener tipo Indefinido",IF(N(Q560)&gt;=3,"⚠ 3er contrato a plazo fijo: por ley ya es INDEFINIDO (Art. 159 N°4)",IF(AND(E560="Plazo fijo",N(T560)&gt;12),"⚠ Plazo fijo mayor a 1 año (máx. legal; 2 años solo profesionales o técnicos)",IF(AND(ISNUMBER(G560),G560&lt;F560),"⚠ Término anterior al inicio",IF(AND(D560="Contrato inicial",ISNUMBER(J560),J560-F560&gt;15),"⚠ Escriturado fuera de plazo (Art. 9: 15 días)",IF(K560&lt;&gt;"Sí","Pendiente de firma","OK"))))))))))</f>
        <v/>
      </c>
    </row>
    <row r="561" customFormat="false" ht="15" hidden="false" customHeight="false" outlineLevel="0" collapsed="false">
      <c r="B561" s="64"/>
      <c r="C561" s="72" t="str">
        <f aca="false">IF(B561="","",IFERROR(INDEX(T_NOMBRE,MATCH(B561,T_ID,0)),"⚠ ID no existe en Trabajadores"))</f>
        <v/>
      </c>
      <c r="D561" s="64"/>
      <c r="E561" s="64"/>
      <c r="F561" s="65"/>
      <c r="G561" s="65"/>
      <c r="H561" s="67"/>
      <c r="I561" s="64"/>
      <c r="J561" s="65"/>
      <c r="K561" s="64"/>
      <c r="L561" s="64"/>
      <c r="M561" s="64"/>
      <c r="N561" s="72" t="str">
        <f aca="false">IF(B561="","",IF(D561="Anexo de modificación","No","Sí"))</f>
        <v/>
      </c>
      <c r="O561" s="73" t="str">
        <f aca="false">IF(AND(N561="Sí",ISNUMBER(F561)),COUNTIFS(C_ID,B561,C_DEFINE,"Sí",C_INICIO,"&lt;"&amp;F561)+COUNTIFS(B$7:B561,B561,N$7:N561,"Sí",F$7:F561,F561),"")</f>
        <v/>
      </c>
      <c r="P561" s="72" t="str">
        <f aca="false">IF(O561="","",B561&amp;"-P"&amp;O561)</f>
        <v/>
      </c>
      <c r="Q561" s="73" t="str">
        <f aca="false">IF(AND(N561="Sí",E561="Plazo fijo",ISNUMBER(F561)),COUNTIFS(C_ID,B561,C_TIPO,"Plazo fijo",C_DEFINE,"Sí",C_INICIO,"&lt;"&amp;F561)+COUNTIFS(B$7:B561,B561,E$7:E561,"Plazo fijo",N$7:N561,"Sí",F$7:F561,F561),"")</f>
        <v/>
      </c>
      <c r="R561" s="73" t="str">
        <f aca="false">IF(AND(B561&lt;&gt;"",ISNUMBER(H561),ISNUMBER(F561)),COUNTIFS(C_ID,B561,C_SUELDO,"&lt;&gt;",C_INICIO,"&lt;"&amp;F561)+COUNTIFS(B$7:B561,B561,H$7:H561,"&lt;&gt;",F$7:F561,F561),"")</f>
        <v/>
      </c>
      <c r="S561" s="72" t="str">
        <f aca="false">IF(R561="","",B561&amp;"-S"&amp;R561)</f>
        <v/>
      </c>
      <c r="T561" s="74" t="str">
        <f aca="false">IF(AND(ISNUMBER(F561),ISNUMBER(G561)),ROUND((G561-F561+1)/30.4375,1),"")</f>
        <v/>
      </c>
      <c r="U561" s="70" t="str">
        <f aca="false">IF(B561="","",IF(AND(N561="Sí",OR(E561="",NOT(ISNUMBER(F561)))),"⚠ Falta tipo de contrato o fecha de inicio",IF(NOT(ISNUMBER(F561)),"⚠ Falta fecha de inicio",IF(AND(N561="Sí",E561&lt;&gt;"Indefinido",NOT(ISNUMBER(G561))),"⚠ Falta fecha de término",IF(AND(D561="Paso a indefinido",E561&lt;&gt;"Indefinido"),"⚠ Un paso a indefinido debe tener tipo Indefinido",IF(N(Q561)&gt;=3,"⚠ 3er contrato a plazo fijo: por ley ya es INDEFINIDO (Art. 159 N°4)",IF(AND(E561="Plazo fijo",N(T561)&gt;12),"⚠ Plazo fijo mayor a 1 año (máx. legal; 2 años solo profesionales o técnicos)",IF(AND(ISNUMBER(G561),G561&lt;F561),"⚠ Término anterior al inicio",IF(AND(D561="Contrato inicial",ISNUMBER(J561),J561-F561&gt;15),"⚠ Escriturado fuera de plazo (Art. 9: 15 días)",IF(K561&lt;&gt;"Sí","Pendiente de firma","OK"))))))))))</f>
        <v/>
      </c>
    </row>
    <row r="562" customFormat="false" ht="15" hidden="false" customHeight="false" outlineLevel="0" collapsed="false">
      <c r="B562" s="64"/>
      <c r="C562" s="72" t="str">
        <f aca="false">IF(B562="","",IFERROR(INDEX(T_NOMBRE,MATCH(B562,T_ID,0)),"⚠ ID no existe en Trabajadores"))</f>
        <v/>
      </c>
      <c r="D562" s="64"/>
      <c r="E562" s="64"/>
      <c r="F562" s="65"/>
      <c r="G562" s="65"/>
      <c r="H562" s="67"/>
      <c r="I562" s="64"/>
      <c r="J562" s="65"/>
      <c r="K562" s="64"/>
      <c r="L562" s="64"/>
      <c r="M562" s="64"/>
      <c r="N562" s="72" t="str">
        <f aca="false">IF(B562="","",IF(D562="Anexo de modificación","No","Sí"))</f>
        <v/>
      </c>
      <c r="O562" s="73" t="str">
        <f aca="false">IF(AND(N562="Sí",ISNUMBER(F562)),COUNTIFS(C_ID,B562,C_DEFINE,"Sí",C_INICIO,"&lt;"&amp;F562)+COUNTIFS(B$7:B562,B562,N$7:N562,"Sí",F$7:F562,F562),"")</f>
        <v/>
      </c>
      <c r="P562" s="72" t="str">
        <f aca="false">IF(O562="","",B562&amp;"-P"&amp;O562)</f>
        <v/>
      </c>
      <c r="Q562" s="73" t="str">
        <f aca="false">IF(AND(N562="Sí",E562="Plazo fijo",ISNUMBER(F562)),COUNTIFS(C_ID,B562,C_TIPO,"Plazo fijo",C_DEFINE,"Sí",C_INICIO,"&lt;"&amp;F562)+COUNTIFS(B$7:B562,B562,E$7:E562,"Plazo fijo",N$7:N562,"Sí",F$7:F562,F562),"")</f>
        <v/>
      </c>
      <c r="R562" s="73" t="str">
        <f aca="false">IF(AND(B562&lt;&gt;"",ISNUMBER(H562),ISNUMBER(F562)),COUNTIFS(C_ID,B562,C_SUELDO,"&lt;&gt;",C_INICIO,"&lt;"&amp;F562)+COUNTIFS(B$7:B562,B562,H$7:H562,"&lt;&gt;",F$7:F562,F562),"")</f>
        <v/>
      </c>
      <c r="S562" s="72" t="str">
        <f aca="false">IF(R562="","",B562&amp;"-S"&amp;R562)</f>
        <v/>
      </c>
      <c r="T562" s="74" t="str">
        <f aca="false">IF(AND(ISNUMBER(F562),ISNUMBER(G562)),ROUND((G562-F562+1)/30.4375,1),"")</f>
        <v/>
      </c>
      <c r="U562" s="70" t="str">
        <f aca="false">IF(B562="","",IF(AND(N562="Sí",OR(E562="",NOT(ISNUMBER(F562)))),"⚠ Falta tipo de contrato o fecha de inicio",IF(NOT(ISNUMBER(F562)),"⚠ Falta fecha de inicio",IF(AND(N562="Sí",E562&lt;&gt;"Indefinido",NOT(ISNUMBER(G562))),"⚠ Falta fecha de término",IF(AND(D562="Paso a indefinido",E562&lt;&gt;"Indefinido"),"⚠ Un paso a indefinido debe tener tipo Indefinido",IF(N(Q562)&gt;=3,"⚠ 3er contrato a plazo fijo: por ley ya es INDEFINIDO (Art. 159 N°4)",IF(AND(E562="Plazo fijo",N(T562)&gt;12),"⚠ Plazo fijo mayor a 1 año (máx. legal; 2 años solo profesionales o técnicos)",IF(AND(ISNUMBER(G562),G562&lt;F562),"⚠ Término anterior al inicio",IF(AND(D562="Contrato inicial",ISNUMBER(J562),J562-F562&gt;15),"⚠ Escriturado fuera de plazo (Art. 9: 15 días)",IF(K562&lt;&gt;"Sí","Pendiente de firma","OK"))))))))))</f>
        <v/>
      </c>
    </row>
    <row r="563" customFormat="false" ht="15" hidden="false" customHeight="false" outlineLevel="0" collapsed="false">
      <c r="B563" s="64"/>
      <c r="C563" s="72" t="str">
        <f aca="false">IF(B563="","",IFERROR(INDEX(T_NOMBRE,MATCH(B563,T_ID,0)),"⚠ ID no existe en Trabajadores"))</f>
        <v/>
      </c>
      <c r="D563" s="64"/>
      <c r="E563" s="64"/>
      <c r="F563" s="65"/>
      <c r="G563" s="65"/>
      <c r="H563" s="67"/>
      <c r="I563" s="64"/>
      <c r="J563" s="65"/>
      <c r="K563" s="64"/>
      <c r="L563" s="64"/>
      <c r="M563" s="64"/>
      <c r="N563" s="72" t="str">
        <f aca="false">IF(B563="","",IF(D563="Anexo de modificación","No","Sí"))</f>
        <v/>
      </c>
      <c r="O563" s="73" t="str">
        <f aca="false">IF(AND(N563="Sí",ISNUMBER(F563)),COUNTIFS(C_ID,B563,C_DEFINE,"Sí",C_INICIO,"&lt;"&amp;F563)+COUNTIFS(B$7:B563,B563,N$7:N563,"Sí",F$7:F563,F563),"")</f>
        <v/>
      </c>
      <c r="P563" s="72" t="str">
        <f aca="false">IF(O563="","",B563&amp;"-P"&amp;O563)</f>
        <v/>
      </c>
      <c r="Q563" s="73" t="str">
        <f aca="false">IF(AND(N563="Sí",E563="Plazo fijo",ISNUMBER(F563)),COUNTIFS(C_ID,B563,C_TIPO,"Plazo fijo",C_DEFINE,"Sí",C_INICIO,"&lt;"&amp;F563)+COUNTIFS(B$7:B563,B563,E$7:E563,"Plazo fijo",N$7:N563,"Sí",F$7:F563,F563),"")</f>
        <v/>
      </c>
      <c r="R563" s="73" t="str">
        <f aca="false">IF(AND(B563&lt;&gt;"",ISNUMBER(H563),ISNUMBER(F563)),COUNTIFS(C_ID,B563,C_SUELDO,"&lt;&gt;",C_INICIO,"&lt;"&amp;F563)+COUNTIFS(B$7:B563,B563,H$7:H563,"&lt;&gt;",F$7:F563,F563),"")</f>
        <v/>
      </c>
      <c r="S563" s="72" t="str">
        <f aca="false">IF(R563="","",B563&amp;"-S"&amp;R563)</f>
        <v/>
      </c>
      <c r="T563" s="74" t="str">
        <f aca="false">IF(AND(ISNUMBER(F563),ISNUMBER(G563)),ROUND((G563-F563+1)/30.4375,1),"")</f>
        <v/>
      </c>
      <c r="U563" s="70" t="str">
        <f aca="false">IF(B563="","",IF(AND(N563="Sí",OR(E563="",NOT(ISNUMBER(F563)))),"⚠ Falta tipo de contrato o fecha de inicio",IF(NOT(ISNUMBER(F563)),"⚠ Falta fecha de inicio",IF(AND(N563="Sí",E563&lt;&gt;"Indefinido",NOT(ISNUMBER(G563))),"⚠ Falta fecha de término",IF(AND(D563="Paso a indefinido",E563&lt;&gt;"Indefinido"),"⚠ Un paso a indefinido debe tener tipo Indefinido",IF(N(Q563)&gt;=3,"⚠ 3er contrato a plazo fijo: por ley ya es INDEFINIDO (Art. 159 N°4)",IF(AND(E563="Plazo fijo",N(T563)&gt;12),"⚠ Plazo fijo mayor a 1 año (máx. legal; 2 años solo profesionales o técnicos)",IF(AND(ISNUMBER(G563),G563&lt;F563),"⚠ Término anterior al inicio",IF(AND(D563="Contrato inicial",ISNUMBER(J563),J563-F563&gt;15),"⚠ Escriturado fuera de plazo (Art. 9: 15 días)",IF(K563&lt;&gt;"Sí","Pendiente de firma","OK"))))))))))</f>
        <v/>
      </c>
    </row>
    <row r="564" customFormat="false" ht="15" hidden="false" customHeight="false" outlineLevel="0" collapsed="false">
      <c r="B564" s="64"/>
      <c r="C564" s="72" t="str">
        <f aca="false">IF(B564="","",IFERROR(INDEX(T_NOMBRE,MATCH(B564,T_ID,0)),"⚠ ID no existe en Trabajadores"))</f>
        <v/>
      </c>
      <c r="D564" s="64"/>
      <c r="E564" s="64"/>
      <c r="F564" s="65"/>
      <c r="G564" s="65"/>
      <c r="H564" s="67"/>
      <c r="I564" s="64"/>
      <c r="J564" s="65"/>
      <c r="K564" s="64"/>
      <c r="L564" s="64"/>
      <c r="M564" s="64"/>
      <c r="N564" s="72" t="str">
        <f aca="false">IF(B564="","",IF(D564="Anexo de modificación","No","Sí"))</f>
        <v/>
      </c>
      <c r="O564" s="73" t="str">
        <f aca="false">IF(AND(N564="Sí",ISNUMBER(F564)),COUNTIFS(C_ID,B564,C_DEFINE,"Sí",C_INICIO,"&lt;"&amp;F564)+COUNTIFS(B$7:B564,B564,N$7:N564,"Sí",F$7:F564,F564),"")</f>
        <v/>
      </c>
      <c r="P564" s="72" t="str">
        <f aca="false">IF(O564="","",B564&amp;"-P"&amp;O564)</f>
        <v/>
      </c>
      <c r="Q564" s="73" t="str">
        <f aca="false">IF(AND(N564="Sí",E564="Plazo fijo",ISNUMBER(F564)),COUNTIFS(C_ID,B564,C_TIPO,"Plazo fijo",C_DEFINE,"Sí",C_INICIO,"&lt;"&amp;F564)+COUNTIFS(B$7:B564,B564,E$7:E564,"Plazo fijo",N$7:N564,"Sí",F$7:F564,F564),"")</f>
        <v/>
      </c>
      <c r="R564" s="73" t="str">
        <f aca="false">IF(AND(B564&lt;&gt;"",ISNUMBER(H564),ISNUMBER(F564)),COUNTIFS(C_ID,B564,C_SUELDO,"&lt;&gt;",C_INICIO,"&lt;"&amp;F564)+COUNTIFS(B$7:B564,B564,H$7:H564,"&lt;&gt;",F$7:F564,F564),"")</f>
        <v/>
      </c>
      <c r="S564" s="72" t="str">
        <f aca="false">IF(R564="","",B564&amp;"-S"&amp;R564)</f>
        <v/>
      </c>
      <c r="T564" s="74" t="str">
        <f aca="false">IF(AND(ISNUMBER(F564),ISNUMBER(G564)),ROUND((G564-F564+1)/30.4375,1),"")</f>
        <v/>
      </c>
      <c r="U564" s="70" t="str">
        <f aca="false">IF(B564="","",IF(AND(N564="Sí",OR(E564="",NOT(ISNUMBER(F564)))),"⚠ Falta tipo de contrato o fecha de inicio",IF(NOT(ISNUMBER(F564)),"⚠ Falta fecha de inicio",IF(AND(N564="Sí",E564&lt;&gt;"Indefinido",NOT(ISNUMBER(G564))),"⚠ Falta fecha de término",IF(AND(D564="Paso a indefinido",E564&lt;&gt;"Indefinido"),"⚠ Un paso a indefinido debe tener tipo Indefinido",IF(N(Q564)&gt;=3,"⚠ 3er contrato a plazo fijo: por ley ya es INDEFINIDO (Art. 159 N°4)",IF(AND(E564="Plazo fijo",N(T564)&gt;12),"⚠ Plazo fijo mayor a 1 año (máx. legal; 2 años solo profesionales o técnicos)",IF(AND(ISNUMBER(G564),G564&lt;F564),"⚠ Término anterior al inicio",IF(AND(D564="Contrato inicial",ISNUMBER(J564),J564-F564&gt;15),"⚠ Escriturado fuera de plazo (Art. 9: 15 días)",IF(K564&lt;&gt;"Sí","Pendiente de firma","OK"))))))))))</f>
        <v/>
      </c>
    </row>
    <row r="565" customFormat="false" ht="15" hidden="false" customHeight="false" outlineLevel="0" collapsed="false">
      <c r="B565" s="64"/>
      <c r="C565" s="72" t="str">
        <f aca="false">IF(B565="","",IFERROR(INDEX(T_NOMBRE,MATCH(B565,T_ID,0)),"⚠ ID no existe en Trabajadores"))</f>
        <v/>
      </c>
      <c r="D565" s="64"/>
      <c r="E565" s="64"/>
      <c r="F565" s="65"/>
      <c r="G565" s="65"/>
      <c r="H565" s="67"/>
      <c r="I565" s="64"/>
      <c r="J565" s="65"/>
      <c r="K565" s="64"/>
      <c r="L565" s="64"/>
      <c r="M565" s="64"/>
      <c r="N565" s="72" t="str">
        <f aca="false">IF(B565="","",IF(D565="Anexo de modificación","No","Sí"))</f>
        <v/>
      </c>
      <c r="O565" s="73" t="str">
        <f aca="false">IF(AND(N565="Sí",ISNUMBER(F565)),COUNTIFS(C_ID,B565,C_DEFINE,"Sí",C_INICIO,"&lt;"&amp;F565)+COUNTIFS(B$7:B565,B565,N$7:N565,"Sí",F$7:F565,F565),"")</f>
        <v/>
      </c>
      <c r="P565" s="72" t="str">
        <f aca="false">IF(O565="","",B565&amp;"-P"&amp;O565)</f>
        <v/>
      </c>
      <c r="Q565" s="73" t="str">
        <f aca="false">IF(AND(N565="Sí",E565="Plazo fijo",ISNUMBER(F565)),COUNTIFS(C_ID,B565,C_TIPO,"Plazo fijo",C_DEFINE,"Sí",C_INICIO,"&lt;"&amp;F565)+COUNTIFS(B$7:B565,B565,E$7:E565,"Plazo fijo",N$7:N565,"Sí",F$7:F565,F565),"")</f>
        <v/>
      </c>
      <c r="R565" s="73" t="str">
        <f aca="false">IF(AND(B565&lt;&gt;"",ISNUMBER(H565),ISNUMBER(F565)),COUNTIFS(C_ID,B565,C_SUELDO,"&lt;&gt;",C_INICIO,"&lt;"&amp;F565)+COUNTIFS(B$7:B565,B565,H$7:H565,"&lt;&gt;",F$7:F565,F565),"")</f>
        <v/>
      </c>
      <c r="S565" s="72" t="str">
        <f aca="false">IF(R565="","",B565&amp;"-S"&amp;R565)</f>
        <v/>
      </c>
      <c r="T565" s="74" t="str">
        <f aca="false">IF(AND(ISNUMBER(F565),ISNUMBER(G565)),ROUND((G565-F565+1)/30.4375,1),"")</f>
        <v/>
      </c>
      <c r="U565" s="70" t="str">
        <f aca="false">IF(B565="","",IF(AND(N565="Sí",OR(E565="",NOT(ISNUMBER(F565)))),"⚠ Falta tipo de contrato o fecha de inicio",IF(NOT(ISNUMBER(F565)),"⚠ Falta fecha de inicio",IF(AND(N565="Sí",E565&lt;&gt;"Indefinido",NOT(ISNUMBER(G565))),"⚠ Falta fecha de término",IF(AND(D565="Paso a indefinido",E565&lt;&gt;"Indefinido"),"⚠ Un paso a indefinido debe tener tipo Indefinido",IF(N(Q565)&gt;=3,"⚠ 3er contrato a plazo fijo: por ley ya es INDEFINIDO (Art. 159 N°4)",IF(AND(E565="Plazo fijo",N(T565)&gt;12),"⚠ Plazo fijo mayor a 1 año (máx. legal; 2 años solo profesionales o técnicos)",IF(AND(ISNUMBER(G565),G565&lt;F565),"⚠ Término anterior al inicio",IF(AND(D565="Contrato inicial",ISNUMBER(J565),J565-F565&gt;15),"⚠ Escriturado fuera de plazo (Art. 9: 15 días)",IF(K565&lt;&gt;"Sí","Pendiente de firma","OK"))))))))))</f>
        <v/>
      </c>
    </row>
    <row r="566" customFormat="false" ht="15" hidden="false" customHeight="false" outlineLevel="0" collapsed="false">
      <c r="B566" s="64"/>
      <c r="C566" s="72" t="str">
        <f aca="false">IF(B566="","",IFERROR(INDEX(T_NOMBRE,MATCH(B566,T_ID,0)),"⚠ ID no existe en Trabajadores"))</f>
        <v/>
      </c>
      <c r="D566" s="64"/>
      <c r="E566" s="64"/>
      <c r="F566" s="65"/>
      <c r="G566" s="65"/>
      <c r="H566" s="67"/>
      <c r="I566" s="64"/>
      <c r="J566" s="65"/>
      <c r="K566" s="64"/>
      <c r="L566" s="64"/>
      <c r="M566" s="64"/>
      <c r="N566" s="72" t="str">
        <f aca="false">IF(B566="","",IF(D566="Anexo de modificación","No","Sí"))</f>
        <v/>
      </c>
      <c r="O566" s="73" t="str">
        <f aca="false">IF(AND(N566="Sí",ISNUMBER(F566)),COUNTIFS(C_ID,B566,C_DEFINE,"Sí",C_INICIO,"&lt;"&amp;F566)+COUNTIFS(B$7:B566,B566,N$7:N566,"Sí",F$7:F566,F566),"")</f>
        <v/>
      </c>
      <c r="P566" s="72" t="str">
        <f aca="false">IF(O566="","",B566&amp;"-P"&amp;O566)</f>
        <v/>
      </c>
      <c r="Q566" s="73" t="str">
        <f aca="false">IF(AND(N566="Sí",E566="Plazo fijo",ISNUMBER(F566)),COUNTIFS(C_ID,B566,C_TIPO,"Plazo fijo",C_DEFINE,"Sí",C_INICIO,"&lt;"&amp;F566)+COUNTIFS(B$7:B566,B566,E$7:E566,"Plazo fijo",N$7:N566,"Sí",F$7:F566,F566),"")</f>
        <v/>
      </c>
      <c r="R566" s="73" t="str">
        <f aca="false">IF(AND(B566&lt;&gt;"",ISNUMBER(H566),ISNUMBER(F566)),COUNTIFS(C_ID,B566,C_SUELDO,"&lt;&gt;",C_INICIO,"&lt;"&amp;F566)+COUNTIFS(B$7:B566,B566,H$7:H566,"&lt;&gt;",F$7:F566,F566),"")</f>
        <v/>
      </c>
      <c r="S566" s="72" t="str">
        <f aca="false">IF(R566="","",B566&amp;"-S"&amp;R566)</f>
        <v/>
      </c>
      <c r="T566" s="74" t="str">
        <f aca="false">IF(AND(ISNUMBER(F566),ISNUMBER(G566)),ROUND((G566-F566+1)/30.4375,1),"")</f>
        <v/>
      </c>
      <c r="U566" s="70" t="str">
        <f aca="false">IF(B566="","",IF(AND(N566="Sí",OR(E566="",NOT(ISNUMBER(F566)))),"⚠ Falta tipo de contrato o fecha de inicio",IF(NOT(ISNUMBER(F566)),"⚠ Falta fecha de inicio",IF(AND(N566="Sí",E566&lt;&gt;"Indefinido",NOT(ISNUMBER(G566))),"⚠ Falta fecha de término",IF(AND(D566="Paso a indefinido",E566&lt;&gt;"Indefinido"),"⚠ Un paso a indefinido debe tener tipo Indefinido",IF(N(Q566)&gt;=3,"⚠ 3er contrato a plazo fijo: por ley ya es INDEFINIDO (Art. 159 N°4)",IF(AND(E566="Plazo fijo",N(T566)&gt;12),"⚠ Plazo fijo mayor a 1 año (máx. legal; 2 años solo profesionales o técnicos)",IF(AND(ISNUMBER(G566),G566&lt;F566),"⚠ Término anterior al inicio",IF(AND(D566="Contrato inicial",ISNUMBER(J566),J566-F566&gt;15),"⚠ Escriturado fuera de plazo (Art. 9: 15 días)",IF(K566&lt;&gt;"Sí","Pendiente de firma","OK"))))))))))</f>
        <v/>
      </c>
    </row>
    <row r="567" customFormat="false" ht="15" hidden="false" customHeight="false" outlineLevel="0" collapsed="false">
      <c r="B567" s="64"/>
      <c r="C567" s="72" t="str">
        <f aca="false">IF(B567="","",IFERROR(INDEX(T_NOMBRE,MATCH(B567,T_ID,0)),"⚠ ID no existe en Trabajadores"))</f>
        <v/>
      </c>
      <c r="D567" s="64"/>
      <c r="E567" s="64"/>
      <c r="F567" s="65"/>
      <c r="G567" s="65"/>
      <c r="H567" s="67"/>
      <c r="I567" s="64"/>
      <c r="J567" s="65"/>
      <c r="K567" s="64"/>
      <c r="L567" s="64"/>
      <c r="M567" s="64"/>
      <c r="N567" s="72" t="str">
        <f aca="false">IF(B567="","",IF(D567="Anexo de modificación","No","Sí"))</f>
        <v/>
      </c>
      <c r="O567" s="73" t="str">
        <f aca="false">IF(AND(N567="Sí",ISNUMBER(F567)),COUNTIFS(C_ID,B567,C_DEFINE,"Sí",C_INICIO,"&lt;"&amp;F567)+COUNTIFS(B$7:B567,B567,N$7:N567,"Sí",F$7:F567,F567),"")</f>
        <v/>
      </c>
      <c r="P567" s="72" t="str">
        <f aca="false">IF(O567="","",B567&amp;"-P"&amp;O567)</f>
        <v/>
      </c>
      <c r="Q567" s="73" t="str">
        <f aca="false">IF(AND(N567="Sí",E567="Plazo fijo",ISNUMBER(F567)),COUNTIFS(C_ID,B567,C_TIPO,"Plazo fijo",C_DEFINE,"Sí",C_INICIO,"&lt;"&amp;F567)+COUNTIFS(B$7:B567,B567,E$7:E567,"Plazo fijo",N$7:N567,"Sí",F$7:F567,F567),"")</f>
        <v/>
      </c>
      <c r="R567" s="73" t="str">
        <f aca="false">IF(AND(B567&lt;&gt;"",ISNUMBER(H567),ISNUMBER(F567)),COUNTIFS(C_ID,B567,C_SUELDO,"&lt;&gt;",C_INICIO,"&lt;"&amp;F567)+COUNTIFS(B$7:B567,B567,H$7:H567,"&lt;&gt;",F$7:F567,F567),"")</f>
        <v/>
      </c>
      <c r="S567" s="72" t="str">
        <f aca="false">IF(R567="","",B567&amp;"-S"&amp;R567)</f>
        <v/>
      </c>
      <c r="T567" s="74" t="str">
        <f aca="false">IF(AND(ISNUMBER(F567),ISNUMBER(G567)),ROUND((G567-F567+1)/30.4375,1),"")</f>
        <v/>
      </c>
      <c r="U567" s="70" t="str">
        <f aca="false">IF(B567="","",IF(AND(N567="Sí",OR(E567="",NOT(ISNUMBER(F567)))),"⚠ Falta tipo de contrato o fecha de inicio",IF(NOT(ISNUMBER(F567)),"⚠ Falta fecha de inicio",IF(AND(N567="Sí",E567&lt;&gt;"Indefinido",NOT(ISNUMBER(G567))),"⚠ Falta fecha de término",IF(AND(D567="Paso a indefinido",E567&lt;&gt;"Indefinido"),"⚠ Un paso a indefinido debe tener tipo Indefinido",IF(N(Q567)&gt;=3,"⚠ 3er contrato a plazo fijo: por ley ya es INDEFINIDO (Art. 159 N°4)",IF(AND(E567="Plazo fijo",N(T567)&gt;12),"⚠ Plazo fijo mayor a 1 año (máx. legal; 2 años solo profesionales o técnicos)",IF(AND(ISNUMBER(G567),G567&lt;F567),"⚠ Término anterior al inicio",IF(AND(D567="Contrato inicial",ISNUMBER(J567),J567-F567&gt;15),"⚠ Escriturado fuera de plazo (Art. 9: 15 días)",IF(K567&lt;&gt;"Sí","Pendiente de firma","OK"))))))))))</f>
        <v/>
      </c>
    </row>
    <row r="568" customFormat="false" ht="15" hidden="false" customHeight="false" outlineLevel="0" collapsed="false">
      <c r="B568" s="64"/>
      <c r="C568" s="72" t="str">
        <f aca="false">IF(B568="","",IFERROR(INDEX(T_NOMBRE,MATCH(B568,T_ID,0)),"⚠ ID no existe en Trabajadores"))</f>
        <v/>
      </c>
      <c r="D568" s="64"/>
      <c r="E568" s="64"/>
      <c r="F568" s="65"/>
      <c r="G568" s="65"/>
      <c r="H568" s="67"/>
      <c r="I568" s="64"/>
      <c r="J568" s="65"/>
      <c r="K568" s="64"/>
      <c r="L568" s="64"/>
      <c r="M568" s="64"/>
      <c r="N568" s="72" t="str">
        <f aca="false">IF(B568="","",IF(D568="Anexo de modificación","No","Sí"))</f>
        <v/>
      </c>
      <c r="O568" s="73" t="str">
        <f aca="false">IF(AND(N568="Sí",ISNUMBER(F568)),COUNTIFS(C_ID,B568,C_DEFINE,"Sí",C_INICIO,"&lt;"&amp;F568)+COUNTIFS(B$7:B568,B568,N$7:N568,"Sí",F$7:F568,F568),"")</f>
        <v/>
      </c>
      <c r="P568" s="72" t="str">
        <f aca="false">IF(O568="","",B568&amp;"-P"&amp;O568)</f>
        <v/>
      </c>
      <c r="Q568" s="73" t="str">
        <f aca="false">IF(AND(N568="Sí",E568="Plazo fijo",ISNUMBER(F568)),COUNTIFS(C_ID,B568,C_TIPO,"Plazo fijo",C_DEFINE,"Sí",C_INICIO,"&lt;"&amp;F568)+COUNTIFS(B$7:B568,B568,E$7:E568,"Plazo fijo",N$7:N568,"Sí",F$7:F568,F568),"")</f>
        <v/>
      </c>
      <c r="R568" s="73" t="str">
        <f aca="false">IF(AND(B568&lt;&gt;"",ISNUMBER(H568),ISNUMBER(F568)),COUNTIFS(C_ID,B568,C_SUELDO,"&lt;&gt;",C_INICIO,"&lt;"&amp;F568)+COUNTIFS(B$7:B568,B568,H$7:H568,"&lt;&gt;",F$7:F568,F568),"")</f>
        <v/>
      </c>
      <c r="S568" s="72" t="str">
        <f aca="false">IF(R568="","",B568&amp;"-S"&amp;R568)</f>
        <v/>
      </c>
      <c r="T568" s="74" t="str">
        <f aca="false">IF(AND(ISNUMBER(F568),ISNUMBER(G568)),ROUND((G568-F568+1)/30.4375,1),"")</f>
        <v/>
      </c>
      <c r="U568" s="70" t="str">
        <f aca="false">IF(B568="","",IF(AND(N568="Sí",OR(E568="",NOT(ISNUMBER(F568)))),"⚠ Falta tipo de contrato o fecha de inicio",IF(NOT(ISNUMBER(F568)),"⚠ Falta fecha de inicio",IF(AND(N568="Sí",E568&lt;&gt;"Indefinido",NOT(ISNUMBER(G568))),"⚠ Falta fecha de término",IF(AND(D568="Paso a indefinido",E568&lt;&gt;"Indefinido"),"⚠ Un paso a indefinido debe tener tipo Indefinido",IF(N(Q568)&gt;=3,"⚠ 3er contrato a plazo fijo: por ley ya es INDEFINIDO (Art. 159 N°4)",IF(AND(E568="Plazo fijo",N(T568)&gt;12),"⚠ Plazo fijo mayor a 1 año (máx. legal; 2 años solo profesionales o técnicos)",IF(AND(ISNUMBER(G568),G568&lt;F568),"⚠ Término anterior al inicio",IF(AND(D568="Contrato inicial",ISNUMBER(J568),J568-F568&gt;15),"⚠ Escriturado fuera de plazo (Art. 9: 15 días)",IF(K568&lt;&gt;"Sí","Pendiente de firma","OK"))))))))))</f>
        <v/>
      </c>
    </row>
    <row r="569" customFormat="false" ht="15" hidden="false" customHeight="false" outlineLevel="0" collapsed="false">
      <c r="B569" s="64"/>
      <c r="C569" s="72" t="str">
        <f aca="false">IF(B569="","",IFERROR(INDEX(T_NOMBRE,MATCH(B569,T_ID,0)),"⚠ ID no existe en Trabajadores"))</f>
        <v/>
      </c>
      <c r="D569" s="64"/>
      <c r="E569" s="64"/>
      <c r="F569" s="65"/>
      <c r="G569" s="65"/>
      <c r="H569" s="67"/>
      <c r="I569" s="64"/>
      <c r="J569" s="65"/>
      <c r="K569" s="64"/>
      <c r="L569" s="64"/>
      <c r="M569" s="64"/>
      <c r="N569" s="72" t="str">
        <f aca="false">IF(B569="","",IF(D569="Anexo de modificación","No","Sí"))</f>
        <v/>
      </c>
      <c r="O569" s="73" t="str">
        <f aca="false">IF(AND(N569="Sí",ISNUMBER(F569)),COUNTIFS(C_ID,B569,C_DEFINE,"Sí",C_INICIO,"&lt;"&amp;F569)+COUNTIFS(B$7:B569,B569,N$7:N569,"Sí",F$7:F569,F569),"")</f>
        <v/>
      </c>
      <c r="P569" s="72" t="str">
        <f aca="false">IF(O569="","",B569&amp;"-P"&amp;O569)</f>
        <v/>
      </c>
      <c r="Q569" s="73" t="str">
        <f aca="false">IF(AND(N569="Sí",E569="Plazo fijo",ISNUMBER(F569)),COUNTIFS(C_ID,B569,C_TIPO,"Plazo fijo",C_DEFINE,"Sí",C_INICIO,"&lt;"&amp;F569)+COUNTIFS(B$7:B569,B569,E$7:E569,"Plazo fijo",N$7:N569,"Sí",F$7:F569,F569),"")</f>
        <v/>
      </c>
      <c r="R569" s="73" t="str">
        <f aca="false">IF(AND(B569&lt;&gt;"",ISNUMBER(H569),ISNUMBER(F569)),COUNTIFS(C_ID,B569,C_SUELDO,"&lt;&gt;",C_INICIO,"&lt;"&amp;F569)+COUNTIFS(B$7:B569,B569,H$7:H569,"&lt;&gt;",F$7:F569,F569),"")</f>
        <v/>
      </c>
      <c r="S569" s="72" t="str">
        <f aca="false">IF(R569="","",B569&amp;"-S"&amp;R569)</f>
        <v/>
      </c>
      <c r="T569" s="74" t="str">
        <f aca="false">IF(AND(ISNUMBER(F569),ISNUMBER(G569)),ROUND((G569-F569+1)/30.4375,1),"")</f>
        <v/>
      </c>
      <c r="U569" s="70" t="str">
        <f aca="false">IF(B569="","",IF(AND(N569="Sí",OR(E569="",NOT(ISNUMBER(F569)))),"⚠ Falta tipo de contrato o fecha de inicio",IF(NOT(ISNUMBER(F569)),"⚠ Falta fecha de inicio",IF(AND(N569="Sí",E569&lt;&gt;"Indefinido",NOT(ISNUMBER(G569))),"⚠ Falta fecha de término",IF(AND(D569="Paso a indefinido",E569&lt;&gt;"Indefinido"),"⚠ Un paso a indefinido debe tener tipo Indefinido",IF(N(Q569)&gt;=3,"⚠ 3er contrato a plazo fijo: por ley ya es INDEFINIDO (Art. 159 N°4)",IF(AND(E569="Plazo fijo",N(T569)&gt;12),"⚠ Plazo fijo mayor a 1 año (máx. legal; 2 años solo profesionales o técnicos)",IF(AND(ISNUMBER(G569),G569&lt;F569),"⚠ Término anterior al inicio",IF(AND(D569="Contrato inicial",ISNUMBER(J569),J569-F569&gt;15),"⚠ Escriturado fuera de plazo (Art. 9: 15 días)",IF(K569&lt;&gt;"Sí","Pendiente de firma","OK"))))))))))</f>
        <v/>
      </c>
    </row>
    <row r="570" customFormat="false" ht="15" hidden="false" customHeight="false" outlineLevel="0" collapsed="false">
      <c r="B570" s="64"/>
      <c r="C570" s="72" t="str">
        <f aca="false">IF(B570="","",IFERROR(INDEX(T_NOMBRE,MATCH(B570,T_ID,0)),"⚠ ID no existe en Trabajadores"))</f>
        <v/>
      </c>
      <c r="D570" s="64"/>
      <c r="E570" s="64"/>
      <c r="F570" s="65"/>
      <c r="G570" s="65"/>
      <c r="H570" s="67"/>
      <c r="I570" s="64"/>
      <c r="J570" s="65"/>
      <c r="K570" s="64"/>
      <c r="L570" s="64"/>
      <c r="M570" s="64"/>
      <c r="N570" s="72" t="str">
        <f aca="false">IF(B570="","",IF(D570="Anexo de modificación","No","Sí"))</f>
        <v/>
      </c>
      <c r="O570" s="73" t="str">
        <f aca="false">IF(AND(N570="Sí",ISNUMBER(F570)),COUNTIFS(C_ID,B570,C_DEFINE,"Sí",C_INICIO,"&lt;"&amp;F570)+COUNTIFS(B$7:B570,B570,N$7:N570,"Sí",F$7:F570,F570),"")</f>
        <v/>
      </c>
      <c r="P570" s="72" t="str">
        <f aca="false">IF(O570="","",B570&amp;"-P"&amp;O570)</f>
        <v/>
      </c>
      <c r="Q570" s="73" t="str">
        <f aca="false">IF(AND(N570="Sí",E570="Plazo fijo",ISNUMBER(F570)),COUNTIFS(C_ID,B570,C_TIPO,"Plazo fijo",C_DEFINE,"Sí",C_INICIO,"&lt;"&amp;F570)+COUNTIFS(B$7:B570,B570,E$7:E570,"Plazo fijo",N$7:N570,"Sí",F$7:F570,F570),"")</f>
        <v/>
      </c>
      <c r="R570" s="73" t="str">
        <f aca="false">IF(AND(B570&lt;&gt;"",ISNUMBER(H570),ISNUMBER(F570)),COUNTIFS(C_ID,B570,C_SUELDO,"&lt;&gt;",C_INICIO,"&lt;"&amp;F570)+COUNTIFS(B$7:B570,B570,H$7:H570,"&lt;&gt;",F$7:F570,F570),"")</f>
        <v/>
      </c>
      <c r="S570" s="72" t="str">
        <f aca="false">IF(R570="","",B570&amp;"-S"&amp;R570)</f>
        <v/>
      </c>
      <c r="T570" s="74" t="str">
        <f aca="false">IF(AND(ISNUMBER(F570),ISNUMBER(G570)),ROUND((G570-F570+1)/30.4375,1),"")</f>
        <v/>
      </c>
      <c r="U570" s="70" t="str">
        <f aca="false">IF(B570="","",IF(AND(N570="Sí",OR(E570="",NOT(ISNUMBER(F570)))),"⚠ Falta tipo de contrato o fecha de inicio",IF(NOT(ISNUMBER(F570)),"⚠ Falta fecha de inicio",IF(AND(N570="Sí",E570&lt;&gt;"Indefinido",NOT(ISNUMBER(G570))),"⚠ Falta fecha de término",IF(AND(D570="Paso a indefinido",E570&lt;&gt;"Indefinido"),"⚠ Un paso a indefinido debe tener tipo Indefinido",IF(N(Q570)&gt;=3,"⚠ 3er contrato a plazo fijo: por ley ya es INDEFINIDO (Art. 159 N°4)",IF(AND(E570="Plazo fijo",N(T570)&gt;12),"⚠ Plazo fijo mayor a 1 año (máx. legal; 2 años solo profesionales o técnicos)",IF(AND(ISNUMBER(G570),G570&lt;F570),"⚠ Término anterior al inicio",IF(AND(D570="Contrato inicial",ISNUMBER(J570),J570-F570&gt;15),"⚠ Escriturado fuera de plazo (Art. 9: 15 días)",IF(K570&lt;&gt;"Sí","Pendiente de firma","OK"))))))))))</f>
        <v/>
      </c>
    </row>
    <row r="571" customFormat="false" ht="15" hidden="false" customHeight="false" outlineLevel="0" collapsed="false">
      <c r="B571" s="64"/>
      <c r="C571" s="72" t="str">
        <f aca="false">IF(B571="","",IFERROR(INDEX(T_NOMBRE,MATCH(B571,T_ID,0)),"⚠ ID no existe en Trabajadores"))</f>
        <v/>
      </c>
      <c r="D571" s="64"/>
      <c r="E571" s="64"/>
      <c r="F571" s="65"/>
      <c r="G571" s="65"/>
      <c r="H571" s="67"/>
      <c r="I571" s="64"/>
      <c r="J571" s="65"/>
      <c r="K571" s="64"/>
      <c r="L571" s="64"/>
      <c r="M571" s="64"/>
      <c r="N571" s="72" t="str">
        <f aca="false">IF(B571="","",IF(D571="Anexo de modificación","No","Sí"))</f>
        <v/>
      </c>
      <c r="O571" s="73" t="str">
        <f aca="false">IF(AND(N571="Sí",ISNUMBER(F571)),COUNTIFS(C_ID,B571,C_DEFINE,"Sí",C_INICIO,"&lt;"&amp;F571)+COUNTIFS(B$7:B571,B571,N$7:N571,"Sí",F$7:F571,F571),"")</f>
        <v/>
      </c>
      <c r="P571" s="72" t="str">
        <f aca="false">IF(O571="","",B571&amp;"-P"&amp;O571)</f>
        <v/>
      </c>
      <c r="Q571" s="73" t="str">
        <f aca="false">IF(AND(N571="Sí",E571="Plazo fijo",ISNUMBER(F571)),COUNTIFS(C_ID,B571,C_TIPO,"Plazo fijo",C_DEFINE,"Sí",C_INICIO,"&lt;"&amp;F571)+COUNTIFS(B$7:B571,B571,E$7:E571,"Plazo fijo",N$7:N571,"Sí",F$7:F571,F571),"")</f>
        <v/>
      </c>
      <c r="R571" s="73" t="str">
        <f aca="false">IF(AND(B571&lt;&gt;"",ISNUMBER(H571),ISNUMBER(F571)),COUNTIFS(C_ID,B571,C_SUELDO,"&lt;&gt;",C_INICIO,"&lt;"&amp;F571)+COUNTIFS(B$7:B571,B571,H$7:H571,"&lt;&gt;",F$7:F571,F571),"")</f>
        <v/>
      </c>
      <c r="S571" s="72" t="str">
        <f aca="false">IF(R571="","",B571&amp;"-S"&amp;R571)</f>
        <v/>
      </c>
      <c r="T571" s="74" t="str">
        <f aca="false">IF(AND(ISNUMBER(F571),ISNUMBER(G571)),ROUND((G571-F571+1)/30.4375,1),"")</f>
        <v/>
      </c>
      <c r="U571" s="70" t="str">
        <f aca="false">IF(B571="","",IF(AND(N571="Sí",OR(E571="",NOT(ISNUMBER(F571)))),"⚠ Falta tipo de contrato o fecha de inicio",IF(NOT(ISNUMBER(F571)),"⚠ Falta fecha de inicio",IF(AND(N571="Sí",E571&lt;&gt;"Indefinido",NOT(ISNUMBER(G571))),"⚠ Falta fecha de término",IF(AND(D571="Paso a indefinido",E571&lt;&gt;"Indefinido"),"⚠ Un paso a indefinido debe tener tipo Indefinido",IF(N(Q571)&gt;=3,"⚠ 3er contrato a plazo fijo: por ley ya es INDEFINIDO (Art. 159 N°4)",IF(AND(E571="Plazo fijo",N(T571)&gt;12),"⚠ Plazo fijo mayor a 1 año (máx. legal; 2 años solo profesionales o técnicos)",IF(AND(ISNUMBER(G571),G571&lt;F571),"⚠ Término anterior al inicio",IF(AND(D571="Contrato inicial",ISNUMBER(J571),J571-F571&gt;15),"⚠ Escriturado fuera de plazo (Art. 9: 15 días)",IF(K571&lt;&gt;"Sí","Pendiente de firma","OK"))))))))))</f>
        <v/>
      </c>
    </row>
    <row r="572" customFormat="false" ht="15" hidden="false" customHeight="false" outlineLevel="0" collapsed="false">
      <c r="B572" s="64"/>
      <c r="C572" s="72" t="str">
        <f aca="false">IF(B572="","",IFERROR(INDEX(T_NOMBRE,MATCH(B572,T_ID,0)),"⚠ ID no existe en Trabajadores"))</f>
        <v/>
      </c>
      <c r="D572" s="64"/>
      <c r="E572" s="64"/>
      <c r="F572" s="65"/>
      <c r="G572" s="65"/>
      <c r="H572" s="67"/>
      <c r="I572" s="64"/>
      <c r="J572" s="65"/>
      <c r="K572" s="64"/>
      <c r="L572" s="64"/>
      <c r="M572" s="64"/>
      <c r="N572" s="72" t="str">
        <f aca="false">IF(B572="","",IF(D572="Anexo de modificación","No","Sí"))</f>
        <v/>
      </c>
      <c r="O572" s="73" t="str">
        <f aca="false">IF(AND(N572="Sí",ISNUMBER(F572)),COUNTIFS(C_ID,B572,C_DEFINE,"Sí",C_INICIO,"&lt;"&amp;F572)+COUNTIFS(B$7:B572,B572,N$7:N572,"Sí",F$7:F572,F572),"")</f>
        <v/>
      </c>
      <c r="P572" s="72" t="str">
        <f aca="false">IF(O572="","",B572&amp;"-P"&amp;O572)</f>
        <v/>
      </c>
      <c r="Q572" s="73" t="str">
        <f aca="false">IF(AND(N572="Sí",E572="Plazo fijo",ISNUMBER(F572)),COUNTIFS(C_ID,B572,C_TIPO,"Plazo fijo",C_DEFINE,"Sí",C_INICIO,"&lt;"&amp;F572)+COUNTIFS(B$7:B572,B572,E$7:E572,"Plazo fijo",N$7:N572,"Sí",F$7:F572,F572),"")</f>
        <v/>
      </c>
      <c r="R572" s="73" t="str">
        <f aca="false">IF(AND(B572&lt;&gt;"",ISNUMBER(H572),ISNUMBER(F572)),COUNTIFS(C_ID,B572,C_SUELDO,"&lt;&gt;",C_INICIO,"&lt;"&amp;F572)+COUNTIFS(B$7:B572,B572,H$7:H572,"&lt;&gt;",F$7:F572,F572),"")</f>
        <v/>
      </c>
      <c r="S572" s="72" t="str">
        <f aca="false">IF(R572="","",B572&amp;"-S"&amp;R572)</f>
        <v/>
      </c>
      <c r="T572" s="74" t="str">
        <f aca="false">IF(AND(ISNUMBER(F572),ISNUMBER(G572)),ROUND((G572-F572+1)/30.4375,1),"")</f>
        <v/>
      </c>
      <c r="U572" s="70" t="str">
        <f aca="false">IF(B572="","",IF(AND(N572="Sí",OR(E572="",NOT(ISNUMBER(F572)))),"⚠ Falta tipo de contrato o fecha de inicio",IF(NOT(ISNUMBER(F572)),"⚠ Falta fecha de inicio",IF(AND(N572="Sí",E572&lt;&gt;"Indefinido",NOT(ISNUMBER(G572))),"⚠ Falta fecha de término",IF(AND(D572="Paso a indefinido",E572&lt;&gt;"Indefinido"),"⚠ Un paso a indefinido debe tener tipo Indefinido",IF(N(Q572)&gt;=3,"⚠ 3er contrato a plazo fijo: por ley ya es INDEFINIDO (Art. 159 N°4)",IF(AND(E572="Plazo fijo",N(T572)&gt;12),"⚠ Plazo fijo mayor a 1 año (máx. legal; 2 años solo profesionales o técnicos)",IF(AND(ISNUMBER(G572),G572&lt;F572),"⚠ Término anterior al inicio",IF(AND(D572="Contrato inicial",ISNUMBER(J572),J572-F572&gt;15),"⚠ Escriturado fuera de plazo (Art. 9: 15 días)",IF(K572&lt;&gt;"Sí","Pendiente de firma","OK"))))))))))</f>
        <v/>
      </c>
    </row>
    <row r="573" customFormat="false" ht="15" hidden="false" customHeight="false" outlineLevel="0" collapsed="false">
      <c r="B573" s="64"/>
      <c r="C573" s="72" t="str">
        <f aca="false">IF(B573="","",IFERROR(INDEX(T_NOMBRE,MATCH(B573,T_ID,0)),"⚠ ID no existe en Trabajadores"))</f>
        <v/>
      </c>
      <c r="D573" s="64"/>
      <c r="E573" s="64"/>
      <c r="F573" s="65"/>
      <c r="G573" s="65"/>
      <c r="H573" s="67"/>
      <c r="I573" s="64"/>
      <c r="J573" s="65"/>
      <c r="K573" s="64"/>
      <c r="L573" s="64"/>
      <c r="M573" s="64"/>
      <c r="N573" s="72" t="str">
        <f aca="false">IF(B573="","",IF(D573="Anexo de modificación","No","Sí"))</f>
        <v/>
      </c>
      <c r="O573" s="73" t="str">
        <f aca="false">IF(AND(N573="Sí",ISNUMBER(F573)),COUNTIFS(C_ID,B573,C_DEFINE,"Sí",C_INICIO,"&lt;"&amp;F573)+COUNTIFS(B$7:B573,B573,N$7:N573,"Sí",F$7:F573,F573),"")</f>
        <v/>
      </c>
      <c r="P573" s="72" t="str">
        <f aca="false">IF(O573="","",B573&amp;"-P"&amp;O573)</f>
        <v/>
      </c>
      <c r="Q573" s="73" t="str">
        <f aca="false">IF(AND(N573="Sí",E573="Plazo fijo",ISNUMBER(F573)),COUNTIFS(C_ID,B573,C_TIPO,"Plazo fijo",C_DEFINE,"Sí",C_INICIO,"&lt;"&amp;F573)+COUNTIFS(B$7:B573,B573,E$7:E573,"Plazo fijo",N$7:N573,"Sí",F$7:F573,F573),"")</f>
        <v/>
      </c>
      <c r="R573" s="73" t="str">
        <f aca="false">IF(AND(B573&lt;&gt;"",ISNUMBER(H573),ISNUMBER(F573)),COUNTIFS(C_ID,B573,C_SUELDO,"&lt;&gt;",C_INICIO,"&lt;"&amp;F573)+COUNTIFS(B$7:B573,B573,H$7:H573,"&lt;&gt;",F$7:F573,F573),"")</f>
        <v/>
      </c>
      <c r="S573" s="72" t="str">
        <f aca="false">IF(R573="","",B573&amp;"-S"&amp;R573)</f>
        <v/>
      </c>
      <c r="T573" s="74" t="str">
        <f aca="false">IF(AND(ISNUMBER(F573),ISNUMBER(G573)),ROUND((G573-F573+1)/30.4375,1),"")</f>
        <v/>
      </c>
      <c r="U573" s="70" t="str">
        <f aca="false">IF(B573="","",IF(AND(N573="Sí",OR(E573="",NOT(ISNUMBER(F573)))),"⚠ Falta tipo de contrato o fecha de inicio",IF(NOT(ISNUMBER(F573)),"⚠ Falta fecha de inicio",IF(AND(N573="Sí",E573&lt;&gt;"Indefinido",NOT(ISNUMBER(G573))),"⚠ Falta fecha de término",IF(AND(D573="Paso a indefinido",E573&lt;&gt;"Indefinido"),"⚠ Un paso a indefinido debe tener tipo Indefinido",IF(N(Q573)&gt;=3,"⚠ 3er contrato a plazo fijo: por ley ya es INDEFINIDO (Art. 159 N°4)",IF(AND(E573="Plazo fijo",N(T573)&gt;12),"⚠ Plazo fijo mayor a 1 año (máx. legal; 2 años solo profesionales o técnicos)",IF(AND(ISNUMBER(G573),G573&lt;F573),"⚠ Término anterior al inicio",IF(AND(D573="Contrato inicial",ISNUMBER(J573),J573-F573&gt;15),"⚠ Escriturado fuera de plazo (Art. 9: 15 días)",IF(K573&lt;&gt;"Sí","Pendiente de firma","OK"))))))))))</f>
        <v/>
      </c>
    </row>
    <row r="574" customFormat="false" ht="15" hidden="false" customHeight="false" outlineLevel="0" collapsed="false">
      <c r="B574" s="64"/>
      <c r="C574" s="72" t="str">
        <f aca="false">IF(B574="","",IFERROR(INDEX(T_NOMBRE,MATCH(B574,T_ID,0)),"⚠ ID no existe en Trabajadores"))</f>
        <v/>
      </c>
      <c r="D574" s="64"/>
      <c r="E574" s="64"/>
      <c r="F574" s="65"/>
      <c r="G574" s="65"/>
      <c r="H574" s="67"/>
      <c r="I574" s="64"/>
      <c r="J574" s="65"/>
      <c r="K574" s="64"/>
      <c r="L574" s="64"/>
      <c r="M574" s="64"/>
      <c r="N574" s="72" t="str">
        <f aca="false">IF(B574="","",IF(D574="Anexo de modificación","No","Sí"))</f>
        <v/>
      </c>
      <c r="O574" s="73" t="str">
        <f aca="false">IF(AND(N574="Sí",ISNUMBER(F574)),COUNTIFS(C_ID,B574,C_DEFINE,"Sí",C_INICIO,"&lt;"&amp;F574)+COUNTIFS(B$7:B574,B574,N$7:N574,"Sí",F$7:F574,F574),"")</f>
        <v/>
      </c>
      <c r="P574" s="72" t="str">
        <f aca="false">IF(O574="","",B574&amp;"-P"&amp;O574)</f>
        <v/>
      </c>
      <c r="Q574" s="73" t="str">
        <f aca="false">IF(AND(N574="Sí",E574="Plazo fijo",ISNUMBER(F574)),COUNTIFS(C_ID,B574,C_TIPO,"Plazo fijo",C_DEFINE,"Sí",C_INICIO,"&lt;"&amp;F574)+COUNTIFS(B$7:B574,B574,E$7:E574,"Plazo fijo",N$7:N574,"Sí",F$7:F574,F574),"")</f>
        <v/>
      </c>
      <c r="R574" s="73" t="str">
        <f aca="false">IF(AND(B574&lt;&gt;"",ISNUMBER(H574),ISNUMBER(F574)),COUNTIFS(C_ID,B574,C_SUELDO,"&lt;&gt;",C_INICIO,"&lt;"&amp;F574)+COUNTIFS(B$7:B574,B574,H$7:H574,"&lt;&gt;",F$7:F574,F574),"")</f>
        <v/>
      </c>
      <c r="S574" s="72" t="str">
        <f aca="false">IF(R574="","",B574&amp;"-S"&amp;R574)</f>
        <v/>
      </c>
      <c r="T574" s="74" t="str">
        <f aca="false">IF(AND(ISNUMBER(F574),ISNUMBER(G574)),ROUND((G574-F574+1)/30.4375,1),"")</f>
        <v/>
      </c>
      <c r="U574" s="70" t="str">
        <f aca="false">IF(B574="","",IF(AND(N574="Sí",OR(E574="",NOT(ISNUMBER(F574)))),"⚠ Falta tipo de contrato o fecha de inicio",IF(NOT(ISNUMBER(F574)),"⚠ Falta fecha de inicio",IF(AND(N574="Sí",E574&lt;&gt;"Indefinido",NOT(ISNUMBER(G574))),"⚠ Falta fecha de término",IF(AND(D574="Paso a indefinido",E574&lt;&gt;"Indefinido"),"⚠ Un paso a indefinido debe tener tipo Indefinido",IF(N(Q574)&gt;=3,"⚠ 3er contrato a plazo fijo: por ley ya es INDEFINIDO (Art. 159 N°4)",IF(AND(E574="Plazo fijo",N(T574)&gt;12),"⚠ Plazo fijo mayor a 1 año (máx. legal; 2 años solo profesionales o técnicos)",IF(AND(ISNUMBER(G574),G574&lt;F574),"⚠ Término anterior al inicio",IF(AND(D574="Contrato inicial",ISNUMBER(J574),J574-F574&gt;15),"⚠ Escriturado fuera de plazo (Art. 9: 15 días)",IF(K574&lt;&gt;"Sí","Pendiente de firma","OK"))))))))))</f>
        <v/>
      </c>
    </row>
    <row r="575" customFormat="false" ht="15" hidden="false" customHeight="false" outlineLevel="0" collapsed="false">
      <c r="B575" s="64"/>
      <c r="C575" s="72" t="str">
        <f aca="false">IF(B575="","",IFERROR(INDEX(T_NOMBRE,MATCH(B575,T_ID,0)),"⚠ ID no existe en Trabajadores"))</f>
        <v/>
      </c>
      <c r="D575" s="64"/>
      <c r="E575" s="64"/>
      <c r="F575" s="65"/>
      <c r="G575" s="65"/>
      <c r="H575" s="67"/>
      <c r="I575" s="64"/>
      <c r="J575" s="65"/>
      <c r="K575" s="64"/>
      <c r="L575" s="64"/>
      <c r="M575" s="64"/>
      <c r="N575" s="72" t="str">
        <f aca="false">IF(B575="","",IF(D575="Anexo de modificación","No","Sí"))</f>
        <v/>
      </c>
      <c r="O575" s="73" t="str">
        <f aca="false">IF(AND(N575="Sí",ISNUMBER(F575)),COUNTIFS(C_ID,B575,C_DEFINE,"Sí",C_INICIO,"&lt;"&amp;F575)+COUNTIFS(B$7:B575,B575,N$7:N575,"Sí",F$7:F575,F575),"")</f>
        <v/>
      </c>
      <c r="P575" s="72" t="str">
        <f aca="false">IF(O575="","",B575&amp;"-P"&amp;O575)</f>
        <v/>
      </c>
      <c r="Q575" s="73" t="str">
        <f aca="false">IF(AND(N575="Sí",E575="Plazo fijo",ISNUMBER(F575)),COUNTIFS(C_ID,B575,C_TIPO,"Plazo fijo",C_DEFINE,"Sí",C_INICIO,"&lt;"&amp;F575)+COUNTIFS(B$7:B575,B575,E$7:E575,"Plazo fijo",N$7:N575,"Sí",F$7:F575,F575),"")</f>
        <v/>
      </c>
      <c r="R575" s="73" t="str">
        <f aca="false">IF(AND(B575&lt;&gt;"",ISNUMBER(H575),ISNUMBER(F575)),COUNTIFS(C_ID,B575,C_SUELDO,"&lt;&gt;",C_INICIO,"&lt;"&amp;F575)+COUNTIFS(B$7:B575,B575,H$7:H575,"&lt;&gt;",F$7:F575,F575),"")</f>
        <v/>
      </c>
      <c r="S575" s="72" t="str">
        <f aca="false">IF(R575="","",B575&amp;"-S"&amp;R575)</f>
        <v/>
      </c>
      <c r="T575" s="74" t="str">
        <f aca="false">IF(AND(ISNUMBER(F575),ISNUMBER(G575)),ROUND((G575-F575+1)/30.4375,1),"")</f>
        <v/>
      </c>
      <c r="U575" s="70" t="str">
        <f aca="false">IF(B575="","",IF(AND(N575="Sí",OR(E575="",NOT(ISNUMBER(F575)))),"⚠ Falta tipo de contrato o fecha de inicio",IF(NOT(ISNUMBER(F575)),"⚠ Falta fecha de inicio",IF(AND(N575="Sí",E575&lt;&gt;"Indefinido",NOT(ISNUMBER(G575))),"⚠ Falta fecha de término",IF(AND(D575="Paso a indefinido",E575&lt;&gt;"Indefinido"),"⚠ Un paso a indefinido debe tener tipo Indefinido",IF(N(Q575)&gt;=3,"⚠ 3er contrato a plazo fijo: por ley ya es INDEFINIDO (Art. 159 N°4)",IF(AND(E575="Plazo fijo",N(T575)&gt;12),"⚠ Plazo fijo mayor a 1 año (máx. legal; 2 años solo profesionales o técnicos)",IF(AND(ISNUMBER(G575),G575&lt;F575),"⚠ Término anterior al inicio",IF(AND(D575="Contrato inicial",ISNUMBER(J575),J575-F575&gt;15),"⚠ Escriturado fuera de plazo (Art. 9: 15 días)",IF(K575&lt;&gt;"Sí","Pendiente de firma","OK"))))))))))</f>
        <v/>
      </c>
    </row>
    <row r="576" customFormat="false" ht="15" hidden="false" customHeight="false" outlineLevel="0" collapsed="false">
      <c r="B576" s="64"/>
      <c r="C576" s="72" t="str">
        <f aca="false">IF(B576="","",IFERROR(INDEX(T_NOMBRE,MATCH(B576,T_ID,0)),"⚠ ID no existe en Trabajadores"))</f>
        <v/>
      </c>
      <c r="D576" s="64"/>
      <c r="E576" s="64"/>
      <c r="F576" s="65"/>
      <c r="G576" s="65"/>
      <c r="H576" s="67"/>
      <c r="I576" s="64"/>
      <c r="J576" s="65"/>
      <c r="K576" s="64"/>
      <c r="L576" s="64"/>
      <c r="M576" s="64"/>
      <c r="N576" s="72" t="str">
        <f aca="false">IF(B576="","",IF(D576="Anexo de modificación","No","Sí"))</f>
        <v/>
      </c>
      <c r="O576" s="73" t="str">
        <f aca="false">IF(AND(N576="Sí",ISNUMBER(F576)),COUNTIFS(C_ID,B576,C_DEFINE,"Sí",C_INICIO,"&lt;"&amp;F576)+COUNTIFS(B$7:B576,B576,N$7:N576,"Sí",F$7:F576,F576),"")</f>
        <v/>
      </c>
      <c r="P576" s="72" t="str">
        <f aca="false">IF(O576="","",B576&amp;"-P"&amp;O576)</f>
        <v/>
      </c>
      <c r="Q576" s="73" t="str">
        <f aca="false">IF(AND(N576="Sí",E576="Plazo fijo",ISNUMBER(F576)),COUNTIFS(C_ID,B576,C_TIPO,"Plazo fijo",C_DEFINE,"Sí",C_INICIO,"&lt;"&amp;F576)+COUNTIFS(B$7:B576,B576,E$7:E576,"Plazo fijo",N$7:N576,"Sí",F$7:F576,F576),"")</f>
        <v/>
      </c>
      <c r="R576" s="73" t="str">
        <f aca="false">IF(AND(B576&lt;&gt;"",ISNUMBER(H576),ISNUMBER(F576)),COUNTIFS(C_ID,B576,C_SUELDO,"&lt;&gt;",C_INICIO,"&lt;"&amp;F576)+COUNTIFS(B$7:B576,B576,H$7:H576,"&lt;&gt;",F$7:F576,F576),"")</f>
        <v/>
      </c>
      <c r="S576" s="72" t="str">
        <f aca="false">IF(R576="","",B576&amp;"-S"&amp;R576)</f>
        <v/>
      </c>
      <c r="T576" s="74" t="str">
        <f aca="false">IF(AND(ISNUMBER(F576),ISNUMBER(G576)),ROUND((G576-F576+1)/30.4375,1),"")</f>
        <v/>
      </c>
      <c r="U576" s="70" t="str">
        <f aca="false">IF(B576="","",IF(AND(N576="Sí",OR(E576="",NOT(ISNUMBER(F576)))),"⚠ Falta tipo de contrato o fecha de inicio",IF(NOT(ISNUMBER(F576)),"⚠ Falta fecha de inicio",IF(AND(N576="Sí",E576&lt;&gt;"Indefinido",NOT(ISNUMBER(G576))),"⚠ Falta fecha de término",IF(AND(D576="Paso a indefinido",E576&lt;&gt;"Indefinido"),"⚠ Un paso a indefinido debe tener tipo Indefinido",IF(N(Q576)&gt;=3,"⚠ 3er contrato a plazo fijo: por ley ya es INDEFINIDO (Art. 159 N°4)",IF(AND(E576="Plazo fijo",N(T576)&gt;12),"⚠ Plazo fijo mayor a 1 año (máx. legal; 2 años solo profesionales o técnicos)",IF(AND(ISNUMBER(G576),G576&lt;F576),"⚠ Término anterior al inicio",IF(AND(D576="Contrato inicial",ISNUMBER(J576),J576-F576&gt;15),"⚠ Escriturado fuera de plazo (Art. 9: 15 días)",IF(K576&lt;&gt;"Sí","Pendiente de firma","OK"))))))))))</f>
        <v/>
      </c>
    </row>
    <row r="577" customFormat="false" ht="15" hidden="false" customHeight="false" outlineLevel="0" collapsed="false">
      <c r="B577" s="64"/>
      <c r="C577" s="72" t="str">
        <f aca="false">IF(B577="","",IFERROR(INDEX(T_NOMBRE,MATCH(B577,T_ID,0)),"⚠ ID no existe en Trabajadores"))</f>
        <v/>
      </c>
      <c r="D577" s="64"/>
      <c r="E577" s="64"/>
      <c r="F577" s="65"/>
      <c r="G577" s="65"/>
      <c r="H577" s="67"/>
      <c r="I577" s="64"/>
      <c r="J577" s="65"/>
      <c r="K577" s="64"/>
      <c r="L577" s="64"/>
      <c r="M577" s="64"/>
      <c r="N577" s="72" t="str">
        <f aca="false">IF(B577="","",IF(D577="Anexo de modificación","No","Sí"))</f>
        <v/>
      </c>
      <c r="O577" s="73" t="str">
        <f aca="false">IF(AND(N577="Sí",ISNUMBER(F577)),COUNTIFS(C_ID,B577,C_DEFINE,"Sí",C_INICIO,"&lt;"&amp;F577)+COUNTIFS(B$7:B577,B577,N$7:N577,"Sí",F$7:F577,F577),"")</f>
        <v/>
      </c>
      <c r="P577" s="72" t="str">
        <f aca="false">IF(O577="","",B577&amp;"-P"&amp;O577)</f>
        <v/>
      </c>
      <c r="Q577" s="73" t="str">
        <f aca="false">IF(AND(N577="Sí",E577="Plazo fijo",ISNUMBER(F577)),COUNTIFS(C_ID,B577,C_TIPO,"Plazo fijo",C_DEFINE,"Sí",C_INICIO,"&lt;"&amp;F577)+COUNTIFS(B$7:B577,B577,E$7:E577,"Plazo fijo",N$7:N577,"Sí",F$7:F577,F577),"")</f>
        <v/>
      </c>
      <c r="R577" s="73" t="str">
        <f aca="false">IF(AND(B577&lt;&gt;"",ISNUMBER(H577),ISNUMBER(F577)),COUNTIFS(C_ID,B577,C_SUELDO,"&lt;&gt;",C_INICIO,"&lt;"&amp;F577)+COUNTIFS(B$7:B577,B577,H$7:H577,"&lt;&gt;",F$7:F577,F577),"")</f>
        <v/>
      </c>
      <c r="S577" s="72" t="str">
        <f aca="false">IF(R577="","",B577&amp;"-S"&amp;R577)</f>
        <v/>
      </c>
      <c r="T577" s="74" t="str">
        <f aca="false">IF(AND(ISNUMBER(F577),ISNUMBER(G577)),ROUND((G577-F577+1)/30.4375,1),"")</f>
        <v/>
      </c>
      <c r="U577" s="70" t="str">
        <f aca="false">IF(B577="","",IF(AND(N577="Sí",OR(E577="",NOT(ISNUMBER(F577)))),"⚠ Falta tipo de contrato o fecha de inicio",IF(NOT(ISNUMBER(F577)),"⚠ Falta fecha de inicio",IF(AND(N577="Sí",E577&lt;&gt;"Indefinido",NOT(ISNUMBER(G577))),"⚠ Falta fecha de término",IF(AND(D577="Paso a indefinido",E577&lt;&gt;"Indefinido"),"⚠ Un paso a indefinido debe tener tipo Indefinido",IF(N(Q577)&gt;=3,"⚠ 3er contrato a plazo fijo: por ley ya es INDEFINIDO (Art. 159 N°4)",IF(AND(E577="Plazo fijo",N(T577)&gt;12),"⚠ Plazo fijo mayor a 1 año (máx. legal; 2 años solo profesionales o técnicos)",IF(AND(ISNUMBER(G577),G577&lt;F577),"⚠ Término anterior al inicio",IF(AND(D577="Contrato inicial",ISNUMBER(J577),J577-F577&gt;15),"⚠ Escriturado fuera de plazo (Art. 9: 15 días)",IF(K577&lt;&gt;"Sí","Pendiente de firma","OK"))))))))))</f>
        <v/>
      </c>
    </row>
    <row r="578" customFormat="false" ht="15" hidden="false" customHeight="false" outlineLevel="0" collapsed="false">
      <c r="B578" s="64"/>
      <c r="C578" s="72" t="str">
        <f aca="false">IF(B578="","",IFERROR(INDEX(T_NOMBRE,MATCH(B578,T_ID,0)),"⚠ ID no existe en Trabajadores"))</f>
        <v/>
      </c>
      <c r="D578" s="64"/>
      <c r="E578" s="64"/>
      <c r="F578" s="65"/>
      <c r="G578" s="65"/>
      <c r="H578" s="67"/>
      <c r="I578" s="64"/>
      <c r="J578" s="65"/>
      <c r="K578" s="64"/>
      <c r="L578" s="64"/>
      <c r="M578" s="64"/>
      <c r="N578" s="72" t="str">
        <f aca="false">IF(B578="","",IF(D578="Anexo de modificación","No","Sí"))</f>
        <v/>
      </c>
      <c r="O578" s="73" t="str">
        <f aca="false">IF(AND(N578="Sí",ISNUMBER(F578)),COUNTIFS(C_ID,B578,C_DEFINE,"Sí",C_INICIO,"&lt;"&amp;F578)+COUNTIFS(B$7:B578,B578,N$7:N578,"Sí",F$7:F578,F578),"")</f>
        <v/>
      </c>
      <c r="P578" s="72" t="str">
        <f aca="false">IF(O578="","",B578&amp;"-P"&amp;O578)</f>
        <v/>
      </c>
      <c r="Q578" s="73" t="str">
        <f aca="false">IF(AND(N578="Sí",E578="Plazo fijo",ISNUMBER(F578)),COUNTIFS(C_ID,B578,C_TIPO,"Plazo fijo",C_DEFINE,"Sí",C_INICIO,"&lt;"&amp;F578)+COUNTIFS(B$7:B578,B578,E$7:E578,"Plazo fijo",N$7:N578,"Sí",F$7:F578,F578),"")</f>
        <v/>
      </c>
      <c r="R578" s="73" t="str">
        <f aca="false">IF(AND(B578&lt;&gt;"",ISNUMBER(H578),ISNUMBER(F578)),COUNTIFS(C_ID,B578,C_SUELDO,"&lt;&gt;",C_INICIO,"&lt;"&amp;F578)+COUNTIFS(B$7:B578,B578,H$7:H578,"&lt;&gt;",F$7:F578,F578),"")</f>
        <v/>
      </c>
      <c r="S578" s="72" t="str">
        <f aca="false">IF(R578="","",B578&amp;"-S"&amp;R578)</f>
        <v/>
      </c>
      <c r="T578" s="74" t="str">
        <f aca="false">IF(AND(ISNUMBER(F578),ISNUMBER(G578)),ROUND((G578-F578+1)/30.4375,1),"")</f>
        <v/>
      </c>
      <c r="U578" s="70" t="str">
        <f aca="false">IF(B578="","",IF(AND(N578="Sí",OR(E578="",NOT(ISNUMBER(F578)))),"⚠ Falta tipo de contrato o fecha de inicio",IF(NOT(ISNUMBER(F578)),"⚠ Falta fecha de inicio",IF(AND(N578="Sí",E578&lt;&gt;"Indefinido",NOT(ISNUMBER(G578))),"⚠ Falta fecha de término",IF(AND(D578="Paso a indefinido",E578&lt;&gt;"Indefinido"),"⚠ Un paso a indefinido debe tener tipo Indefinido",IF(N(Q578)&gt;=3,"⚠ 3er contrato a plazo fijo: por ley ya es INDEFINIDO (Art. 159 N°4)",IF(AND(E578="Plazo fijo",N(T578)&gt;12),"⚠ Plazo fijo mayor a 1 año (máx. legal; 2 años solo profesionales o técnicos)",IF(AND(ISNUMBER(G578),G578&lt;F578),"⚠ Término anterior al inicio",IF(AND(D578="Contrato inicial",ISNUMBER(J578),J578-F578&gt;15),"⚠ Escriturado fuera de plazo (Art. 9: 15 días)",IF(K578&lt;&gt;"Sí","Pendiente de firma","OK"))))))))))</f>
        <v/>
      </c>
    </row>
    <row r="579" customFormat="false" ht="15" hidden="false" customHeight="false" outlineLevel="0" collapsed="false">
      <c r="B579" s="64"/>
      <c r="C579" s="72" t="str">
        <f aca="false">IF(B579="","",IFERROR(INDEX(T_NOMBRE,MATCH(B579,T_ID,0)),"⚠ ID no existe en Trabajadores"))</f>
        <v/>
      </c>
      <c r="D579" s="64"/>
      <c r="E579" s="64"/>
      <c r="F579" s="65"/>
      <c r="G579" s="65"/>
      <c r="H579" s="67"/>
      <c r="I579" s="64"/>
      <c r="J579" s="65"/>
      <c r="K579" s="64"/>
      <c r="L579" s="64"/>
      <c r="M579" s="64"/>
      <c r="N579" s="72" t="str">
        <f aca="false">IF(B579="","",IF(D579="Anexo de modificación","No","Sí"))</f>
        <v/>
      </c>
      <c r="O579" s="73" t="str">
        <f aca="false">IF(AND(N579="Sí",ISNUMBER(F579)),COUNTIFS(C_ID,B579,C_DEFINE,"Sí",C_INICIO,"&lt;"&amp;F579)+COUNTIFS(B$7:B579,B579,N$7:N579,"Sí",F$7:F579,F579),"")</f>
        <v/>
      </c>
      <c r="P579" s="72" t="str">
        <f aca="false">IF(O579="","",B579&amp;"-P"&amp;O579)</f>
        <v/>
      </c>
      <c r="Q579" s="73" t="str">
        <f aca="false">IF(AND(N579="Sí",E579="Plazo fijo",ISNUMBER(F579)),COUNTIFS(C_ID,B579,C_TIPO,"Plazo fijo",C_DEFINE,"Sí",C_INICIO,"&lt;"&amp;F579)+COUNTIFS(B$7:B579,B579,E$7:E579,"Plazo fijo",N$7:N579,"Sí",F$7:F579,F579),"")</f>
        <v/>
      </c>
      <c r="R579" s="73" t="str">
        <f aca="false">IF(AND(B579&lt;&gt;"",ISNUMBER(H579),ISNUMBER(F579)),COUNTIFS(C_ID,B579,C_SUELDO,"&lt;&gt;",C_INICIO,"&lt;"&amp;F579)+COUNTIFS(B$7:B579,B579,H$7:H579,"&lt;&gt;",F$7:F579,F579),"")</f>
        <v/>
      </c>
      <c r="S579" s="72" t="str">
        <f aca="false">IF(R579="","",B579&amp;"-S"&amp;R579)</f>
        <v/>
      </c>
      <c r="T579" s="74" t="str">
        <f aca="false">IF(AND(ISNUMBER(F579),ISNUMBER(G579)),ROUND((G579-F579+1)/30.4375,1),"")</f>
        <v/>
      </c>
      <c r="U579" s="70" t="str">
        <f aca="false">IF(B579="","",IF(AND(N579="Sí",OR(E579="",NOT(ISNUMBER(F579)))),"⚠ Falta tipo de contrato o fecha de inicio",IF(NOT(ISNUMBER(F579)),"⚠ Falta fecha de inicio",IF(AND(N579="Sí",E579&lt;&gt;"Indefinido",NOT(ISNUMBER(G579))),"⚠ Falta fecha de término",IF(AND(D579="Paso a indefinido",E579&lt;&gt;"Indefinido"),"⚠ Un paso a indefinido debe tener tipo Indefinido",IF(N(Q579)&gt;=3,"⚠ 3er contrato a plazo fijo: por ley ya es INDEFINIDO (Art. 159 N°4)",IF(AND(E579="Plazo fijo",N(T579)&gt;12),"⚠ Plazo fijo mayor a 1 año (máx. legal; 2 años solo profesionales o técnicos)",IF(AND(ISNUMBER(G579),G579&lt;F579),"⚠ Término anterior al inicio",IF(AND(D579="Contrato inicial",ISNUMBER(J579),J579-F579&gt;15),"⚠ Escriturado fuera de plazo (Art. 9: 15 días)",IF(K579&lt;&gt;"Sí","Pendiente de firma","OK"))))))))))</f>
        <v/>
      </c>
    </row>
    <row r="580" customFormat="false" ht="15" hidden="false" customHeight="false" outlineLevel="0" collapsed="false">
      <c r="B580" s="64"/>
      <c r="C580" s="72" t="str">
        <f aca="false">IF(B580="","",IFERROR(INDEX(T_NOMBRE,MATCH(B580,T_ID,0)),"⚠ ID no existe en Trabajadores"))</f>
        <v/>
      </c>
      <c r="D580" s="64"/>
      <c r="E580" s="64"/>
      <c r="F580" s="65"/>
      <c r="G580" s="65"/>
      <c r="H580" s="67"/>
      <c r="I580" s="64"/>
      <c r="J580" s="65"/>
      <c r="K580" s="64"/>
      <c r="L580" s="64"/>
      <c r="M580" s="64"/>
      <c r="N580" s="72" t="str">
        <f aca="false">IF(B580="","",IF(D580="Anexo de modificación","No","Sí"))</f>
        <v/>
      </c>
      <c r="O580" s="73" t="str">
        <f aca="false">IF(AND(N580="Sí",ISNUMBER(F580)),COUNTIFS(C_ID,B580,C_DEFINE,"Sí",C_INICIO,"&lt;"&amp;F580)+COUNTIFS(B$7:B580,B580,N$7:N580,"Sí",F$7:F580,F580),"")</f>
        <v/>
      </c>
      <c r="P580" s="72" t="str">
        <f aca="false">IF(O580="","",B580&amp;"-P"&amp;O580)</f>
        <v/>
      </c>
      <c r="Q580" s="73" t="str">
        <f aca="false">IF(AND(N580="Sí",E580="Plazo fijo",ISNUMBER(F580)),COUNTIFS(C_ID,B580,C_TIPO,"Plazo fijo",C_DEFINE,"Sí",C_INICIO,"&lt;"&amp;F580)+COUNTIFS(B$7:B580,B580,E$7:E580,"Plazo fijo",N$7:N580,"Sí",F$7:F580,F580),"")</f>
        <v/>
      </c>
      <c r="R580" s="73" t="str">
        <f aca="false">IF(AND(B580&lt;&gt;"",ISNUMBER(H580),ISNUMBER(F580)),COUNTIFS(C_ID,B580,C_SUELDO,"&lt;&gt;",C_INICIO,"&lt;"&amp;F580)+COUNTIFS(B$7:B580,B580,H$7:H580,"&lt;&gt;",F$7:F580,F580),"")</f>
        <v/>
      </c>
      <c r="S580" s="72" t="str">
        <f aca="false">IF(R580="","",B580&amp;"-S"&amp;R580)</f>
        <v/>
      </c>
      <c r="T580" s="74" t="str">
        <f aca="false">IF(AND(ISNUMBER(F580),ISNUMBER(G580)),ROUND((G580-F580+1)/30.4375,1),"")</f>
        <v/>
      </c>
      <c r="U580" s="70" t="str">
        <f aca="false">IF(B580="","",IF(AND(N580="Sí",OR(E580="",NOT(ISNUMBER(F580)))),"⚠ Falta tipo de contrato o fecha de inicio",IF(NOT(ISNUMBER(F580)),"⚠ Falta fecha de inicio",IF(AND(N580="Sí",E580&lt;&gt;"Indefinido",NOT(ISNUMBER(G580))),"⚠ Falta fecha de término",IF(AND(D580="Paso a indefinido",E580&lt;&gt;"Indefinido"),"⚠ Un paso a indefinido debe tener tipo Indefinido",IF(N(Q580)&gt;=3,"⚠ 3er contrato a plazo fijo: por ley ya es INDEFINIDO (Art. 159 N°4)",IF(AND(E580="Plazo fijo",N(T580)&gt;12),"⚠ Plazo fijo mayor a 1 año (máx. legal; 2 años solo profesionales o técnicos)",IF(AND(ISNUMBER(G580),G580&lt;F580),"⚠ Término anterior al inicio",IF(AND(D580="Contrato inicial",ISNUMBER(J580),J580-F580&gt;15),"⚠ Escriturado fuera de plazo (Art. 9: 15 días)",IF(K580&lt;&gt;"Sí","Pendiente de firma","OK"))))))))))</f>
        <v/>
      </c>
    </row>
    <row r="581" customFormat="false" ht="15" hidden="false" customHeight="false" outlineLevel="0" collapsed="false">
      <c r="B581" s="64"/>
      <c r="C581" s="72" t="str">
        <f aca="false">IF(B581="","",IFERROR(INDEX(T_NOMBRE,MATCH(B581,T_ID,0)),"⚠ ID no existe en Trabajadores"))</f>
        <v/>
      </c>
      <c r="D581" s="64"/>
      <c r="E581" s="64"/>
      <c r="F581" s="65"/>
      <c r="G581" s="65"/>
      <c r="H581" s="67"/>
      <c r="I581" s="64"/>
      <c r="J581" s="65"/>
      <c r="K581" s="64"/>
      <c r="L581" s="64"/>
      <c r="M581" s="64"/>
      <c r="N581" s="72" t="str">
        <f aca="false">IF(B581="","",IF(D581="Anexo de modificación","No","Sí"))</f>
        <v/>
      </c>
      <c r="O581" s="73" t="str">
        <f aca="false">IF(AND(N581="Sí",ISNUMBER(F581)),COUNTIFS(C_ID,B581,C_DEFINE,"Sí",C_INICIO,"&lt;"&amp;F581)+COUNTIFS(B$7:B581,B581,N$7:N581,"Sí",F$7:F581,F581),"")</f>
        <v/>
      </c>
      <c r="P581" s="72" t="str">
        <f aca="false">IF(O581="","",B581&amp;"-P"&amp;O581)</f>
        <v/>
      </c>
      <c r="Q581" s="73" t="str">
        <f aca="false">IF(AND(N581="Sí",E581="Plazo fijo",ISNUMBER(F581)),COUNTIFS(C_ID,B581,C_TIPO,"Plazo fijo",C_DEFINE,"Sí",C_INICIO,"&lt;"&amp;F581)+COUNTIFS(B$7:B581,B581,E$7:E581,"Plazo fijo",N$7:N581,"Sí",F$7:F581,F581),"")</f>
        <v/>
      </c>
      <c r="R581" s="73" t="str">
        <f aca="false">IF(AND(B581&lt;&gt;"",ISNUMBER(H581),ISNUMBER(F581)),COUNTIFS(C_ID,B581,C_SUELDO,"&lt;&gt;",C_INICIO,"&lt;"&amp;F581)+COUNTIFS(B$7:B581,B581,H$7:H581,"&lt;&gt;",F$7:F581,F581),"")</f>
        <v/>
      </c>
      <c r="S581" s="72" t="str">
        <f aca="false">IF(R581="","",B581&amp;"-S"&amp;R581)</f>
        <v/>
      </c>
      <c r="T581" s="74" t="str">
        <f aca="false">IF(AND(ISNUMBER(F581),ISNUMBER(G581)),ROUND((G581-F581+1)/30.4375,1),"")</f>
        <v/>
      </c>
      <c r="U581" s="70" t="str">
        <f aca="false">IF(B581="","",IF(AND(N581="Sí",OR(E581="",NOT(ISNUMBER(F581)))),"⚠ Falta tipo de contrato o fecha de inicio",IF(NOT(ISNUMBER(F581)),"⚠ Falta fecha de inicio",IF(AND(N581="Sí",E581&lt;&gt;"Indefinido",NOT(ISNUMBER(G581))),"⚠ Falta fecha de término",IF(AND(D581="Paso a indefinido",E581&lt;&gt;"Indefinido"),"⚠ Un paso a indefinido debe tener tipo Indefinido",IF(N(Q581)&gt;=3,"⚠ 3er contrato a plazo fijo: por ley ya es INDEFINIDO (Art. 159 N°4)",IF(AND(E581="Plazo fijo",N(T581)&gt;12),"⚠ Plazo fijo mayor a 1 año (máx. legal; 2 años solo profesionales o técnicos)",IF(AND(ISNUMBER(G581),G581&lt;F581),"⚠ Término anterior al inicio",IF(AND(D581="Contrato inicial",ISNUMBER(J581),J581-F581&gt;15),"⚠ Escriturado fuera de plazo (Art. 9: 15 días)",IF(K581&lt;&gt;"Sí","Pendiente de firma","OK"))))))))))</f>
        <v/>
      </c>
    </row>
    <row r="582" customFormat="false" ht="15" hidden="false" customHeight="false" outlineLevel="0" collapsed="false">
      <c r="B582" s="64"/>
      <c r="C582" s="72" t="str">
        <f aca="false">IF(B582="","",IFERROR(INDEX(T_NOMBRE,MATCH(B582,T_ID,0)),"⚠ ID no existe en Trabajadores"))</f>
        <v/>
      </c>
      <c r="D582" s="64"/>
      <c r="E582" s="64"/>
      <c r="F582" s="65"/>
      <c r="G582" s="65"/>
      <c r="H582" s="67"/>
      <c r="I582" s="64"/>
      <c r="J582" s="65"/>
      <c r="K582" s="64"/>
      <c r="L582" s="64"/>
      <c r="M582" s="64"/>
      <c r="N582" s="72" t="str">
        <f aca="false">IF(B582="","",IF(D582="Anexo de modificación","No","Sí"))</f>
        <v/>
      </c>
      <c r="O582" s="73" t="str">
        <f aca="false">IF(AND(N582="Sí",ISNUMBER(F582)),COUNTIFS(C_ID,B582,C_DEFINE,"Sí",C_INICIO,"&lt;"&amp;F582)+COUNTIFS(B$7:B582,B582,N$7:N582,"Sí",F$7:F582,F582),"")</f>
        <v/>
      </c>
      <c r="P582" s="72" t="str">
        <f aca="false">IF(O582="","",B582&amp;"-P"&amp;O582)</f>
        <v/>
      </c>
      <c r="Q582" s="73" t="str">
        <f aca="false">IF(AND(N582="Sí",E582="Plazo fijo",ISNUMBER(F582)),COUNTIFS(C_ID,B582,C_TIPO,"Plazo fijo",C_DEFINE,"Sí",C_INICIO,"&lt;"&amp;F582)+COUNTIFS(B$7:B582,B582,E$7:E582,"Plazo fijo",N$7:N582,"Sí",F$7:F582,F582),"")</f>
        <v/>
      </c>
      <c r="R582" s="73" t="str">
        <f aca="false">IF(AND(B582&lt;&gt;"",ISNUMBER(H582),ISNUMBER(F582)),COUNTIFS(C_ID,B582,C_SUELDO,"&lt;&gt;",C_INICIO,"&lt;"&amp;F582)+COUNTIFS(B$7:B582,B582,H$7:H582,"&lt;&gt;",F$7:F582,F582),"")</f>
        <v/>
      </c>
      <c r="S582" s="72" t="str">
        <f aca="false">IF(R582="","",B582&amp;"-S"&amp;R582)</f>
        <v/>
      </c>
      <c r="T582" s="74" t="str">
        <f aca="false">IF(AND(ISNUMBER(F582),ISNUMBER(G582)),ROUND((G582-F582+1)/30.4375,1),"")</f>
        <v/>
      </c>
      <c r="U582" s="70" t="str">
        <f aca="false">IF(B582="","",IF(AND(N582="Sí",OR(E582="",NOT(ISNUMBER(F582)))),"⚠ Falta tipo de contrato o fecha de inicio",IF(NOT(ISNUMBER(F582)),"⚠ Falta fecha de inicio",IF(AND(N582="Sí",E582&lt;&gt;"Indefinido",NOT(ISNUMBER(G582))),"⚠ Falta fecha de término",IF(AND(D582="Paso a indefinido",E582&lt;&gt;"Indefinido"),"⚠ Un paso a indefinido debe tener tipo Indefinido",IF(N(Q582)&gt;=3,"⚠ 3er contrato a plazo fijo: por ley ya es INDEFINIDO (Art. 159 N°4)",IF(AND(E582="Plazo fijo",N(T582)&gt;12),"⚠ Plazo fijo mayor a 1 año (máx. legal; 2 años solo profesionales o técnicos)",IF(AND(ISNUMBER(G582),G582&lt;F582),"⚠ Término anterior al inicio",IF(AND(D582="Contrato inicial",ISNUMBER(J582),J582-F582&gt;15),"⚠ Escriturado fuera de plazo (Art. 9: 15 días)",IF(K582&lt;&gt;"Sí","Pendiente de firma","OK"))))))))))</f>
        <v/>
      </c>
    </row>
    <row r="583" customFormat="false" ht="15" hidden="false" customHeight="false" outlineLevel="0" collapsed="false">
      <c r="B583" s="64"/>
      <c r="C583" s="72" t="str">
        <f aca="false">IF(B583="","",IFERROR(INDEX(T_NOMBRE,MATCH(B583,T_ID,0)),"⚠ ID no existe en Trabajadores"))</f>
        <v/>
      </c>
      <c r="D583" s="64"/>
      <c r="E583" s="64"/>
      <c r="F583" s="65"/>
      <c r="G583" s="65"/>
      <c r="H583" s="67"/>
      <c r="I583" s="64"/>
      <c r="J583" s="65"/>
      <c r="K583" s="64"/>
      <c r="L583" s="64"/>
      <c r="M583" s="64"/>
      <c r="N583" s="72" t="str">
        <f aca="false">IF(B583="","",IF(D583="Anexo de modificación","No","Sí"))</f>
        <v/>
      </c>
      <c r="O583" s="73" t="str">
        <f aca="false">IF(AND(N583="Sí",ISNUMBER(F583)),COUNTIFS(C_ID,B583,C_DEFINE,"Sí",C_INICIO,"&lt;"&amp;F583)+COUNTIFS(B$7:B583,B583,N$7:N583,"Sí",F$7:F583,F583),"")</f>
        <v/>
      </c>
      <c r="P583" s="72" t="str">
        <f aca="false">IF(O583="","",B583&amp;"-P"&amp;O583)</f>
        <v/>
      </c>
      <c r="Q583" s="73" t="str">
        <f aca="false">IF(AND(N583="Sí",E583="Plazo fijo",ISNUMBER(F583)),COUNTIFS(C_ID,B583,C_TIPO,"Plazo fijo",C_DEFINE,"Sí",C_INICIO,"&lt;"&amp;F583)+COUNTIFS(B$7:B583,B583,E$7:E583,"Plazo fijo",N$7:N583,"Sí",F$7:F583,F583),"")</f>
        <v/>
      </c>
      <c r="R583" s="73" t="str">
        <f aca="false">IF(AND(B583&lt;&gt;"",ISNUMBER(H583),ISNUMBER(F583)),COUNTIFS(C_ID,B583,C_SUELDO,"&lt;&gt;",C_INICIO,"&lt;"&amp;F583)+COUNTIFS(B$7:B583,B583,H$7:H583,"&lt;&gt;",F$7:F583,F583),"")</f>
        <v/>
      </c>
      <c r="S583" s="72" t="str">
        <f aca="false">IF(R583="","",B583&amp;"-S"&amp;R583)</f>
        <v/>
      </c>
      <c r="T583" s="74" t="str">
        <f aca="false">IF(AND(ISNUMBER(F583),ISNUMBER(G583)),ROUND((G583-F583+1)/30.4375,1),"")</f>
        <v/>
      </c>
      <c r="U583" s="70" t="str">
        <f aca="false">IF(B583="","",IF(AND(N583="Sí",OR(E583="",NOT(ISNUMBER(F583)))),"⚠ Falta tipo de contrato o fecha de inicio",IF(NOT(ISNUMBER(F583)),"⚠ Falta fecha de inicio",IF(AND(N583="Sí",E583&lt;&gt;"Indefinido",NOT(ISNUMBER(G583))),"⚠ Falta fecha de término",IF(AND(D583="Paso a indefinido",E583&lt;&gt;"Indefinido"),"⚠ Un paso a indefinido debe tener tipo Indefinido",IF(N(Q583)&gt;=3,"⚠ 3er contrato a plazo fijo: por ley ya es INDEFINIDO (Art. 159 N°4)",IF(AND(E583="Plazo fijo",N(T583)&gt;12),"⚠ Plazo fijo mayor a 1 año (máx. legal; 2 años solo profesionales o técnicos)",IF(AND(ISNUMBER(G583),G583&lt;F583),"⚠ Término anterior al inicio",IF(AND(D583="Contrato inicial",ISNUMBER(J583),J583-F583&gt;15),"⚠ Escriturado fuera de plazo (Art. 9: 15 días)",IF(K583&lt;&gt;"Sí","Pendiente de firma","OK"))))))))))</f>
        <v/>
      </c>
    </row>
    <row r="584" customFormat="false" ht="15" hidden="false" customHeight="false" outlineLevel="0" collapsed="false">
      <c r="B584" s="64"/>
      <c r="C584" s="72" t="str">
        <f aca="false">IF(B584="","",IFERROR(INDEX(T_NOMBRE,MATCH(B584,T_ID,0)),"⚠ ID no existe en Trabajadores"))</f>
        <v/>
      </c>
      <c r="D584" s="64"/>
      <c r="E584" s="64"/>
      <c r="F584" s="65"/>
      <c r="G584" s="65"/>
      <c r="H584" s="67"/>
      <c r="I584" s="64"/>
      <c r="J584" s="65"/>
      <c r="K584" s="64"/>
      <c r="L584" s="64"/>
      <c r="M584" s="64"/>
      <c r="N584" s="72" t="str">
        <f aca="false">IF(B584="","",IF(D584="Anexo de modificación","No","Sí"))</f>
        <v/>
      </c>
      <c r="O584" s="73" t="str">
        <f aca="false">IF(AND(N584="Sí",ISNUMBER(F584)),COUNTIFS(C_ID,B584,C_DEFINE,"Sí",C_INICIO,"&lt;"&amp;F584)+COUNTIFS(B$7:B584,B584,N$7:N584,"Sí",F$7:F584,F584),"")</f>
        <v/>
      </c>
      <c r="P584" s="72" t="str">
        <f aca="false">IF(O584="","",B584&amp;"-P"&amp;O584)</f>
        <v/>
      </c>
      <c r="Q584" s="73" t="str">
        <f aca="false">IF(AND(N584="Sí",E584="Plazo fijo",ISNUMBER(F584)),COUNTIFS(C_ID,B584,C_TIPO,"Plazo fijo",C_DEFINE,"Sí",C_INICIO,"&lt;"&amp;F584)+COUNTIFS(B$7:B584,B584,E$7:E584,"Plazo fijo",N$7:N584,"Sí",F$7:F584,F584),"")</f>
        <v/>
      </c>
      <c r="R584" s="73" t="str">
        <f aca="false">IF(AND(B584&lt;&gt;"",ISNUMBER(H584),ISNUMBER(F584)),COUNTIFS(C_ID,B584,C_SUELDO,"&lt;&gt;",C_INICIO,"&lt;"&amp;F584)+COUNTIFS(B$7:B584,B584,H$7:H584,"&lt;&gt;",F$7:F584,F584),"")</f>
        <v/>
      </c>
      <c r="S584" s="72" t="str">
        <f aca="false">IF(R584="","",B584&amp;"-S"&amp;R584)</f>
        <v/>
      </c>
      <c r="T584" s="74" t="str">
        <f aca="false">IF(AND(ISNUMBER(F584),ISNUMBER(G584)),ROUND((G584-F584+1)/30.4375,1),"")</f>
        <v/>
      </c>
      <c r="U584" s="70" t="str">
        <f aca="false">IF(B584="","",IF(AND(N584="Sí",OR(E584="",NOT(ISNUMBER(F584)))),"⚠ Falta tipo de contrato o fecha de inicio",IF(NOT(ISNUMBER(F584)),"⚠ Falta fecha de inicio",IF(AND(N584="Sí",E584&lt;&gt;"Indefinido",NOT(ISNUMBER(G584))),"⚠ Falta fecha de término",IF(AND(D584="Paso a indefinido",E584&lt;&gt;"Indefinido"),"⚠ Un paso a indefinido debe tener tipo Indefinido",IF(N(Q584)&gt;=3,"⚠ 3er contrato a plazo fijo: por ley ya es INDEFINIDO (Art. 159 N°4)",IF(AND(E584="Plazo fijo",N(T584)&gt;12),"⚠ Plazo fijo mayor a 1 año (máx. legal; 2 años solo profesionales o técnicos)",IF(AND(ISNUMBER(G584),G584&lt;F584),"⚠ Término anterior al inicio",IF(AND(D584="Contrato inicial",ISNUMBER(J584),J584-F584&gt;15),"⚠ Escriturado fuera de plazo (Art. 9: 15 días)",IF(K584&lt;&gt;"Sí","Pendiente de firma","OK"))))))))))</f>
        <v/>
      </c>
    </row>
    <row r="585" customFormat="false" ht="15" hidden="false" customHeight="false" outlineLevel="0" collapsed="false">
      <c r="B585" s="64"/>
      <c r="C585" s="72" t="str">
        <f aca="false">IF(B585="","",IFERROR(INDEX(T_NOMBRE,MATCH(B585,T_ID,0)),"⚠ ID no existe en Trabajadores"))</f>
        <v/>
      </c>
      <c r="D585" s="64"/>
      <c r="E585" s="64"/>
      <c r="F585" s="65"/>
      <c r="G585" s="65"/>
      <c r="H585" s="67"/>
      <c r="I585" s="64"/>
      <c r="J585" s="65"/>
      <c r="K585" s="64"/>
      <c r="L585" s="64"/>
      <c r="M585" s="64"/>
      <c r="N585" s="72" t="str">
        <f aca="false">IF(B585="","",IF(D585="Anexo de modificación","No","Sí"))</f>
        <v/>
      </c>
      <c r="O585" s="73" t="str">
        <f aca="false">IF(AND(N585="Sí",ISNUMBER(F585)),COUNTIFS(C_ID,B585,C_DEFINE,"Sí",C_INICIO,"&lt;"&amp;F585)+COUNTIFS(B$7:B585,B585,N$7:N585,"Sí",F$7:F585,F585),"")</f>
        <v/>
      </c>
      <c r="P585" s="72" t="str">
        <f aca="false">IF(O585="","",B585&amp;"-P"&amp;O585)</f>
        <v/>
      </c>
      <c r="Q585" s="73" t="str">
        <f aca="false">IF(AND(N585="Sí",E585="Plazo fijo",ISNUMBER(F585)),COUNTIFS(C_ID,B585,C_TIPO,"Plazo fijo",C_DEFINE,"Sí",C_INICIO,"&lt;"&amp;F585)+COUNTIFS(B$7:B585,B585,E$7:E585,"Plazo fijo",N$7:N585,"Sí",F$7:F585,F585),"")</f>
        <v/>
      </c>
      <c r="R585" s="73" t="str">
        <f aca="false">IF(AND(B585&lt;&gt;"",ISNUMBER(H585),ISNUMBER(F585)),COUNTIFS(C_ID,B585,C_SUELDO,"&lt;&gt;",C_INICIO,"&lt;"&amp;F585)+COUNTIFS(B$7:B585,B585,H$7:H585,"&lt;&gt;",F$7:F585,F585),"")</f>
        <v/>
      </c>
      <c r="S585" s="72" t="str">
        <f aca="false">IF(R585="","",B585&amp;"-S"&amp;R585)</f>
        <v/>
      </c>
      <c r="T585" s="74" t="str">
        <f aca="false">IF(AND(ISNUMBER(F585),ISNUMBER(G585)),ROUND((G585-F585+1)/30.4375,1),"")</f>
        <v/>
      </c>
      <c r="U585" s="70" t="str">
        <f aca="false">IF(B585="","",IF(AND(N585="Sí",OR(E585="",NOT(ISNUMBER(F585)))),"⚠ Falta tipo de contrato o fecha de inicio",IF(NOT(ISNUMBER(F585)),"⚠ Falta fecha de inicio",IF(AND(N585="Sí",E585&lt;&gt;"Indefinido",NOT(ISNUMBER(G585))),"⚠ Falta fecha de término",IF(AND(D585="Paso a indefinido",E585&lt;&gt;"Indefinido"),"⚠ Un paso a indefinido debe tener tipo Indefinido",IF(N(Q585)&gt;=3,"⚠ 3er contrato a plazo fijo: por ley ya es INDEFINIDO (Art. 159 N°4)",IF(AND(E585="Plazo fijo",N(T585)&gt;12),"⚠ Plazo fijo mayor a 1 año (máx. legal; 2 años solo profesionales o técnicos)",IF(AND(ISNUMBER(G585),G585&lt;F585),"⚠ Término anterior al inicio",IF(AND(D585="Contrato inicial",ISNUMBER(J585),J585-F585&gt;15),"⚠ Escriturado fuera de plazo (Art. 9: 15 días)",IF(K585&lt;&gt;"Sí","Pendiente de firma","OK"))))))))))</f>
        <v/>
      </c>
    </row>
    <row r="586" customFormat="false" ht="15" hidden="false" customHeight="false" outlineLevel="0" collapsed="false">
      <c r="B586" s="64"/>
      <c r="C586" s="72" t="str">
        <f aca="false">IF(B586="","",IFERROR(INDEX(T_NOMBRE,MATCH(B586,T_ID,0)),"⚠ ID no existe en Trabajadores"))</f>
        <v/>
      </c>
      <c r="D586" s="64"/>
      <c r="E586" s="64"/>
      <c r="F586" s="65"/>
      <c r="G586" s="65"/>
      <c r="H586" s="67"/>
      <c r="I586" s="64"/>
      <c r="J586" s="65"/>
      <c r="K586" s="64"/>
      <c r="L586" s="64"/>
      <c r="M586" s="64"/>
      <c r="N586" s="72" t="str">
        <f aca="false">IF(B586="","",IF(D586="Anexo de modificación","No","Sí"))</f>
        <v/>
      </c>
      <c r="O586" s="73" t="str">
        <f aca="false">IF(AND(N586="Sí",ISNUMBER(F586)),COUNTIFS(C_ID,B586,C_DEFINE,"Sí",C_INICIO,"&lt;"&amp;F586)+COUNTIFS(B$7:B586,B586,N$7:N586,"Sí",F$7:F586,F586),"")</f>
        <v/>
      </c>
      <c r="P586" s="72" t="str">
        <f aca="false">IF(O586="","",B586&amp;"-P"&amp;O586)</f>
        <v/>
      </c>
      <c r="Q586" s="73" t="str">
        <f aca="false">IF(AND(N586="Sí",E586="Plazo fijo",ISNUMBER(F586)),COUNTIFS(C_ID,B586,C_TIPO,"Plazo fijo",C_DEFINE,"Sí",C_INICIO,"&lt;"&amp;F586)+COUNTIFS(B$7:B586,B586,E$7:E586,"Plazo fijo",N$7:N586,"Sí",F$7:F586,F586),"")</f>
        <v/>
      </c>
      <c r="R586" s="73" t="str">
        <f aca="false">IF(AND(B586&lt;&gt;"",ISNUMBER(H586),ISNUMBER(F586)),COUNTIFS(C_ID,B586,C_SUELDO,"&lt;&gt;",C_INICIO,"&lt;"&amp;F586)+COUNTIFS(B$7:B586,B586,H$7:H586,"&lt;&gt;",F$7:F586,F586),"")</f>
        <v/>
      </c>
      <c r="S586" s="72" t="str">
        <f aca="false">IF(R586="","",B586&amp;"-S"&amp;R586)</f>
        <v/>
      </c>
      <c r="T586" s="74" t="str">
        <f aca="false">IF(AND(ISNUMBER(F586),ISNUMBER(G586)),ROUND((G586-F586+1)/30.4375,1),"")</f>
        <v/>
      </c>
      <c r="U586" s="70" t="str">
        <f aca="false">IF(B586="","",IF(AND(N586="Sí",OR(E586="",NOT(ISNUMBER(F586)))),"⚠ Falta tipo de contrato o fecha de inicio",IF(NOT(ISNUMBER(F586)),"⚠ Falta fecha de inicio",IF(AND(N586="Sí",E586&lt;&gt;"Indefinido",NOT(ISNUMBER(G586))),"⚠ Falta fecha de término",IF(AND(D586="Paso a indefinido",E586&lt;&gt;"Indefinido"),"⚠ Un paso a indefinido debe tener tipo Indefinido",IF(N(Q586)&gt;=3,"⚠ 3er contrato a plazo fijo: por ley ya es INDEFINIDO (Art. 159 N°4)",IF(AND(E586="Plazo fijo",N(T586)&gt;12),"⚠ Plazo fijo mayor a 1 año (máx. legal; 2 años solo profesionales o técnicos)",IF(AND(ISNUMBER(G586),G586&lt;F586),"⚠ Término anterior al inicio",IF(AND(D586="Contrato inicial",ISNUMBER(J586),J586-F586&gt;15),"⚠ Escriturado fuera de plazo (Art. 9: 15 días)",IF(K586&lt;&gt;"Sí","Pendiente de firma","OK"))))))))))</f>
        <v/>
      </c>
    </row>
    <row r="587" customFormat="false" ht="15" hidden="false" customHeight="false" outlineLevel="0" collapsed="false">
      <c r="B587" s="64"/>
      <c r="C587" s="72" t="str">
        <f aca="false">IF(B587="","",IFERROR(INDEX(T_NOMBRE,MATCH(B587,T_ID,0)),"⚠ ID no existe en Trabajadores"))</f>
        <v/>
      </c>
      <c r="D587" s="64"/>
      <c r="E587" s="64"/>
      <c r="F587" s="65"/>
      <c r="G587" s="65"/>
      <c r="H587" s="67"/>
      <c r="I587" s="64"/>
      <c r="J587" s="65"/>
      <c r="K587" s="64"/>
      <c r="L587" s="64"/>
      <c r="M587" s="64"/>
      <c r="N587" s="72" t="str">
        <f aca="false">IF(B587="","",IF(D587="Anexo de modificación","No","Sí"))</f>
        <v/>
      </c>
      <c r="O587" s="73" t="str">
        <f aca="false">IF(AND(N587="Sí",ISNUMBER(F587)),COUNTIFS(C_ID,B587,C_DEFINE,"Sí",C_INICIO,"&lt;"&amp;F587)+COUNTIFS(B$7:B587,B587,N$7:N587,"Sí",F$7:F587,F587),"")</f>
        <v/>
      </c>
      <c r="P587" s="72" t="str">
        <f aca="false">IF(O587="","",B587&amp;"-P"&amp;O587)</f>
        <v/>
      </c>
      <c r="Q587" s="73" t="str">
        <f aca="false">IF(AND(N587="Sí",E587="Plazo fijo",ISNUMBER(F587)),COUNTIFS(C_ID,B587,C_TIPO,"Plazo fijo",C_DEFINE,"Sí",C_INICIO,"&lt;"&amp;F587)+COUNTIFS(B$7:B587,B587,E$7:E587,"Plazo fijo",N$7:N587,"Sí",F$7:F587,F587),"")</f>
        <v/>
      </c>
      <c r="R587" s="73" t="str">
        <f aca="false">IF(AND(B587&lt;&gt;"",ISNUMBER(H587),ISNUMBER(F587)),COUNTIFS(C_ID,B587,C_SUELDO,"&lt;&gt;",C_INICIO,"&lt;"&amp;F587)+COUNTIFS(B$7:B587,B587,H$7:H587,"&lt;&gt;",F$7:F587,F587),"")</f>
        <v/>
      </c>
      <c r="S587" s="72" t="str">
        <f aca="false">IF(R587="","",B587&amp;"-S"&amp;R587)</f>
        <v/>
      </c>
      <c r="T587" s="74" t="str">
        <f aca="false">IF(AND(ISNUMBER(F587),ISNUMBER(G587)),ROUND((G587-F587+1)/30.4375,1),"")</f>
        <v/>
      </c>
      <c r="U587" s="70" t="str">
        <f aca="false">IF(B587="","",IF(AND(N587="Sí",OR(E587="",NOT(ISNUMBER(F587)))),"⚠ Falta tipo de contrato o fecha de inicio",IF(NOT(ISNUMBER(F587)),"⚠ Falta fecha de inicio",IF(AND(N587="Sí",E587&lt;&gt;"Indefinido",NOT(ISNUMBER(G587))),"⚠ Falta fecha de término",IF(AND(D587="Paso a indefinido",E587&lt;&gt;"Indefinido"),"⚠ Un paso a indefinido debe tener tipo Indefinido",IF(N(Q587)&gt;=3,"⚠ 3er contrato a plazo fijo: por ley ya es INDEFINIDO (Art. 159 N°4)",IF(AND(E587="Plazo fijo",N(T587)&gt;12),"⚠ Plazo fijo mayor a 1 año (máx. legal; 2 años solo profesionales o técnicos)",IF(AND(ISNUMBER(G587),G587&lt;F587),"⚠ Término anterior al inicio",IF(AND(D587="Contrato inicial",ISNUMBER(J587),J587-F587&gt;15),"⚠ Escriturado fuera de plazo (Art. 9: 15 días)",IF(K587&lt;&gt;"Sí","Pendiente de firma","OK"))))))))))</f>
        <v/>
      </c>
    </row>
    <row r="588" customFormat="false" ht="15" hidden="false" customHeight="false" outlineLevel="0" collapsed="false">
      <c r="B588" s="64"/>
      <c r="C588" s="72" t="str">
        <f aca="false">IF(B588="","",IFERROR(INDEX(T_NOMBRE,MATCH(B588,T_ID,0)),"⚠ ID no existe en Trabajadores"))</f>
        <v/>
      </c>
      <c r="D588" s="64"/>
      <c r="E588" s="64"/>
      <c r="F588" s="65"/>
      <c r="G588" s="65"/>
      <c r="H588" s="67"/>
      <c r="I588" s="64"/>
      <c r="J588" s="65"/>
      <c r="K588" s="64"/>
      <c r="L588" s="64"/>
      <c r="M588" s="64"/>
      <c r="N588" s="72" t="str">
        <f aca="false">IF(B588="","",IF(D588="Anexo de modificación","No","Sí"))</f>
        <v/>
      </c>
      <c r="O588" s="73" t="str">
        <f aca="false">IF(AND(N588="Sí",ISNUMBER(F588)),COUNTIFS(C_ID,B588,C_DEFINE,"Sí",C_INICIO,"&lt;"&amp;F588)+COUNTIFS(B$7:B588,B588,N$7:N588,"Sí",F$7:F588,F588),"")</f>
        <v/>
      </c>
      <c r="P588" s="72" t="str">
        <f aca="false">IF(O588="","",B588&amp;"-P"&amp;O588)</f>
        <v/>
      </c>
      <c r="Q588" s="73" t="str">
        <f aca="false">IF(AND(N588="Sí",E588="Plazo fijo",ISNUMBER(F588)),COUNTIFS(C_ID,B588,C_TIPO,"Plazo fijo",C_DEFINE,"Sí",C_INICIO,"&lt;"&amp;F588)+COUNTIFS(B$7:B588,B588,E$7:E588,"Plazo fijo",N$7:N588,"Sí",F$7:F588,F588),"")</f>
        <v/>
      </c>
      <c r="R588" s="73" t="str">
        <f aca="false">IF(AND(B588&lt;&gt;"",ISNUMBER(H588),ISNUMBER(F588)),COUNTIFS(C_ID,B588,C_SUELDO,"&lt;&gt;",C_INICIO,"&lt;"&amp;F588)+COUNTIFS(B$7:B588,B588,H$7:H588,"&lt;&gt;",F$7:F588,F588),"")</f>
        <v/>
      </c>
      <c r="S588" s="72" t="str">
        <f aca="false">IF(R588="","",B588&amp;"-S"&amp;R588)</f>
        <v/>
      </c>
      <c r="T588" s="74" t="str">
        <f aca="false">IF(AND(ISNUMBER(F588),ISNUMBER(G588)),ROUND((G588-F588+1)/30.4375,1),"")</f>
        <v/>
      </c>
      <c r="U588" s="70" t="str">
        <f aca="false">IF(B588="","",IF(AND(N588="Sí",OR(E588="",NOT(ISNUMBER(F588)))),"⚠ Falta tipo de contrato o fecha de inicio",IF(NOT(ISNUMBER(F588)),"⚠ Falta fecha de inicio",IF(AND(N588="Sí",E588&lt;&gt;"Indefinido",NOT(ISNUMBER(G588))),"⚠ Falta fecha de término",IF(AND(D588="Paso a indefinido",E588&lt;&gt;"Indefinido"),"⚠ Un paso a indefinido debe tener tipo Indefinido",IF(N(Q588)&gt;=3,"⚠ 3er contrato a plazo fijo: por ley ya es INDEFINIDO (Art. 159 N°4)",IF(AND(E588="Plazo fijo",N(T588)&gt;12),"⚠ Plazo fijo mayor a 1 año (máx. legal; 2 años solo profesionales o técnicos)",IF(AND(ISNUMBER(G588),G588&lt;F588),"⚠ Término anterior al inicio",IF(AND(D588="Contrato inicial",ISNUMBER(J588),J588-F588&gt;15),"⚠ Escriturado fuera de plazo (Art. 9: 15 días)",IF(K588&lt;&gt;"Sí","Pendiente de firma","OK"))))))))))</f>
        <v/>
      </c>
    </row>
    <row r="589" customFormat="false" ht="15" hidden="false" customHeight="false" outlineLevel="0" collapsed="false">
      <c r="B589" s="64"/>
      <c r="C589" s="72" t="str">
        <f aca="false">IF(B589="","",IFERROR(INDEX(T_NOMBRE,MATCH(B589,T_ID,0)),"⚠ ID no existe en Trabajadores"))</f>
        <v/>
      </c>
      <c r="D589" s="64"/>
      <c r="E589" s="64"/>
      <c r="F589" s="65"/>
      <c r="G589" s="65"/>
      <c r="H589" s="67"/>
      <c r="I589" s="64"/>
      <c r="J589" s="65"/>
      <c r="K589" s="64"/>
      <c r="L589" s="64"/>
      <c r="M589" s="64"/>
      <c r="N589" s="72" t="str">
        <f aca="false">IF(B589="","",IF(D589="Anexo de modificación","No","Sí"))</f>
        <v/>
      </c>
      <c r="O589" s="73" t="str">
        <f aca="false">IF(AND(N589="Sí",ISNUMBER(F589)),COUNTIFS(C_ID,B589,C_DEFINE,"Sí",C_INICIO,"&lt;"&amp;F589)+COUNTIFS(B$7:B589,B589,N$7:N589,"Sí",F$7:F589,F589),"")</f>
        <v/>
      </c>
      <c r="P589" s="72" t="str">
        <f aca="false">IF(O589="","",B589&amp;"-P"&amp;O589)</f>
        <v/>
      </c>
      <c r="Q589" s="73" t="str">
        <f aca="false">IF(AND(N589="Sí",E589="Plazo fijo",ISNUMBER(F589)),COUNTIFS(C_ID,B589,C_TIPO,"Plazo fijo",C_DEFINE,"Sí",C_INICIO,"&lt;"&amp;F589)+COUNTIFS(B$7:B589,B589,E$7:E589,"Plazo fijo",N$7:N589,"Sí",F$7:F589,F589),"")</f>
        <v/>
      </c>
      <c r="R589" s="73" t="str">
        <f aca="false">IF(AND(B589&lt;&gt;"",ISNUMBER(H589),ISNUMBER(F589)),COUNTIFS(C_ID,B589,C_SUELDO,"&lt;&gt;",C_INICIO,"&lt;"&amp;F589)+COUNTIFS(B$7:B589,B589,H$7:H589,"&lt;&gt;",F$7:F589,F589),"")</f>
        <v/>
      </c>
      <c r="S589" s="72" t="str">
        <f aca="false">IF(R589="","",B589&amp;"-S"&amp;R589)</f>
        <v/>
      </c>
      <c r="T589" s="74" t="str">
        <f aca="false">IF(AND(ISNUMBER(F589),ISNUMBER(G589)),ROUND((G589-F589+1)/30.4375,1),"")</f>
        <v/>
      </c>
      <c r="U589" s="70" t="str">
        <f aca="false">IF(B589="","",IF(AND(N589="Sí",OR(E589="",NOT(ISNUMBER(F589)))),"⚠ Falta tipo de contrato o fecha de inicio",IF(NOT(ISNUMBER(F589)),"⚠ Falta fecha de inicio",IF(AND(N589="Sí",E589&lt;&gt;"Indefinido",NOT(ISNUMBER(G589))),"⚠ Falta fecha de término",IF(AND(D589="Paso a indefinido",E589&lt;&gt;"Indefinido"),"⚠ Un paso a indefinido debe tener tipo Indefinido",IF(N(Q589)&gt;=3,"⚠ 3er contrato a plazo fijo: por ley ya es INDEFINIDO (Art. 159 N°4)",IF(AND(E589="Plazo fijo",N(T589)&gt;12),"⚠ Plazo fijo mayor a 1 año (máx. legal; 2 años solo profesionales o técnicos)",IF(AND(ISNUMBER(G589),G589&lt;F589),"⚠ Término anterior al inicio",IF(AND(D589="Contrato inicial",ISNUMBER(J589),J589-F589&gt;15),"⚠ Escriturado fuera de plazo (Art. 9: 15 días)",IF(K589&lt;&gt;"Sí","Pendiente de firma","OK"))))))))))</f>
        <v/>
      </c>
    </row>
    <row r="590" customFormat="false" ht="15" hidden="false" customHeight="false" outlineLevel="0" collapsed="false">
      <c r="B590" s="64"/>
      <c r="C590" s="72" t="str">
        <f aca="false">IF(B590="","",IFERROR(INDEX(T_NOMBRE,MATCH(B590,T_ID,0)),"⚠ ID no existe en Trabajadores"))</f>
        <v/>
      </c>
      <c r="D590" s="64"/>
      <c r="E590" s="64"/>
      <c r="F590" s="65"/>
      <c r="G590" s="65"/>
      <c r="H590" s="67"/>
      <c r="I590" s="64"/>
      <c r="J590" s="65"/>
      <c r="K590" s="64"/>
      <c r="L590" s="64"/>
      <c r="M590" s="64"/>
      <c r="N590" s="72" t="str">
        <f aca="false">IF(B590="","",IF(D590="Anexo de modificación","No","Sí"))</f>
        <v/>
      </c>
      <c r="O590" s="73" t="str">
        <f aca="false">IF(AND(N590="Sí",ISNUMBER(F590)),COUNTIFS(C_ID,B590,C_DEFINE,"Sí",C_INICIO,"&lt;"&amp;F590)+COUNTIFS(B$7:B590,B590,N$7:N590,"Sí",F$7:F590,F590),"")</f>
        <v/>
      </c>
      <c r="P590" s="72" t="str">
        <f aca="false">IF(O590="","",B590&amp;"-P"&amp;O590)</f>
        <v/>
      </c>
      <c r="Q590" s="73" t="str">
        <f aca="false">IF(AND(N590="Sí",E590="Plazo fijo",ISNUMBER(F590)),COUNTIFS(C_ID,B590,C_TIPO,"Plazo fijo",C_DEFINE,"Sí",C_INICIO,"&lt;"&amp;F590)+COUNTIFS(B$7:B590,B590,E$7:E590,"Plazo fijo",N$7:N590,"Sí",F$7:F590,F590),"")</f>
        <v/>
      </c>
      <c r="R590" s="73" t="str">
        <f aca="false">IF(AND(B590&lt;&gt;"",ISNUMBER(H590),ISNUMBER(F590)),COUNTIFS(C_ID,B590,C_SUELDO,"&lt;&gt;",C_INICIO,"&lt;"&amp;F590)+COUNTIFS(B$7:B590,B590,H$7:H590,"&lt;&gt;",F$7:F590,F590),"")</f>
        <v/>
      </c>
      <c r="S590" s="72" t="str">
        <f aca="false">IF(R590="","",B590&amp;"-S"&amp;R590)</f>
        <v/>
      </c>
      <c r="T590" s="74" t="str">
        <f aca="false">IF(AND(ISNUMBER(F590),ISNUMBER(G590)),ROUND((G590-F590+1)/30.4375,1),"")</f>
        <v/>
      </c>
      <c r="U590" s="70" t="str">
        <f aca="false">IF(B590="","",IF(AND(N590="Sí",OR(E590="",NOT(ISNUMBER(F590)))),"⚠ Falta tipo de contrato o fecha de inicio",IF(NOT(ISNUMBER(F590)),"⚠ Falta fecha de inicio",IF(AND(N590="Sí",E590&lt;&gt;"Indefinido",NOT(ISNUMBER(G590))),"⚠ Falta fecha de término",IF(AND(D590="Paso a indefinido",E590&lt;&gt;"Indefinido"),"⚠ Un paso a indefinido debe tener tipo Indefinido",IF(N(Q590)&gt;=3,"⚠ 3er contrato a plazo fijo: por ley ya es INDEFINIDO (Art. 159 N°4)",IF(AND(E590="Plazo fijo",N(T590)&gt;12),"⚠ Plazo fijo mayor a 1 año (máx. legal; 2 años solo profesionales o técnicos)",IF(AND(ISNUMBER(G590),G590&lt;F590),"⚠ Término anterior al inicio",IF(AND(D590="Contrato inicial",ISNUMBER(J590),J590-F590&gt;15),"⚠ Escriturado fuera de plazo (Art. 9: 15 días)",IF(K590&lt;&gt;"Sí","Pendiente de firma","OK"))))))))))</f>
        <v/>
      </c>
    </row>
    <row r="591" customFormat="false" ht="15" hidden="false" customHeight="false" outlineLevel="0" collapsed="false">
      <c r="B591" s="64"/>
      <c r="C591" s="72" t="str">
        <f aca="false">IF(B591="","",IFERROR(INDEX(T_NOMBRE,MATCH(B591,T_ID,0)),"⚠ ID no existe en Trabajadores"))</f>
        <v/>
      </c>
      <c r="D591" s="64"/>
      <c r="E591" s="64"/>
      <c r="F591" s="65"/>
      <c r="G591" s="65"/>
      <c r="H591" s="67"/>
      <c r="I591" s="64"/>
      <c r="J591" s="65"/>
      <c r="K591" s="64"/>
      <c r="L591" s="64"/>
      <c r="M591" s="64"/>
      <c r="N591" s="72" t="str">
        <f aca="false">IF(B591="","",IF(D591="Anexo de modificación","No","Sí"))</f>
        <v/>
      </c>
      <c r="O591" s="73" t="str">
        <f aca="false">IF(AND(N591="Sí",ISNUMBER(F591)),COUNTIFS(C_ID,B591,C_DEFINE,"Sí",C_INICIO,"&lt;"&amp;F591)+COUNTIFS(B$7:B591,B591,N$7:N591,"Sí",F$7:F591,F591),"")</f>
        <v/>
      </c>
      <c r="P591" s="72" t="str">
        <f aca="false">IF(O591="","",B591&amp;"-P"&amp;O591)</f>
        <v/>
      </c>
      <c r="Q591" s="73" t="str">
        <f aca="false">IF(AND(N591="Sí",E591="Plazo fijo",ISNUMBER(F591)),COUNTIFS(C_ID,B591,C_TIPO,"Plazo fijo",C_DEFINE,"Sí",C_INICIO,"&lt;"&amp;F591)+COUNTIFS(B$7:B591,B591,E$7:E591,"Plazo fijo",N$7:N591,"Sí",F$7:F591,F591),"")</f>
        <v/>
      </c>
      <c r="R591" s="73" t="str">
        <f aca="false">IF(AND(B591&lt;&gt;"",ISNUMBER(H591),ISNUMBER(F591)),COUNTIFS(C_ID,B591,C_SUELDO,"&lt;&gt;",C_INICIO,"&lt;"&amp;F591)+COUNTIFS(B$7:B591,B591,H$7:H591,"&lt;&gt;",F$7:F591,F591),"")</f>
        <v/>
      </c>
      <c r="S591" s="72" t="str">
        <f aca="false">IF(R591="","",B591&amp;"-S"&amp;R591)</f>
        <v/>
      </c>
      <c r="T591" s="74" t="str">
        <f aca="false">IF(AND(ISNUMBER(F591),ISNUMBER(G591)),ROUND((G591-F591+1)/30.4375,1),"")</f>
        <v/>
      </c>
      <c r="U591" s="70" t="str">
        <f aca="false">IF(B591="","",IF(AND(N591="Sí",OR(E591="",NOT(ISNUMBER(F591)))),"⚠ Falta tipo de contrato o fecha de inicio",IF(NOT(ISNUMBER(F591)),"⚠ Falta fecha de inicio",IF(AND(N591="Sí",E591&lt;&gt;"Indefinido",NOT(ISNUMBER(G591))),"⚠ Falta fecha de término",IF(AND(D591="Paso a indefinido",E591&lt;&gt;"Indefinido"),"⚠ Un paso a indefinido debe tener tipo Indefinido",IF(N(Q591)&gt;=3,"⚠ 3er contrato a plazo fijo: por ley ya es INDEFINIDO (Art. 159 N°4)",IF(AND(E591="Plazo fijo",N(T591)&gt;12),"⚠ Plazo fijo mayor a 1 año (máx. legal; 2 años solo profesionales o técnicos)",IF(AND(ISNUMBER(G591),G591&lt;F591),"⚠ Término anterior al inicio",IF(AND(D591="Contrato inicial",ISNUMBER(J591),J591-F591&gt;15),"⚠ Escriturado fuera de plazo (Art. 9: 15 días)",IF(K591&lt;&gt;"Sí","Pendiente de firma","OK"))))))))))</f>
        <v/>
      </c>
    </row>
    <row r="592" customFormat="false" ht="15" hidden="false" customHeight="false" outlineLevel="0" collapsed="false">
      <c r="B592" s="64"/>
      <c r="C592" s="72" t="str">
        <f aca="false">IF(B592="","",IFERROR(INDEX(T_NOMBRE,MATCH(B592,T_ID,0)),"⚠ ID no existe en Trabajadores"))</f>
        <v/>
      </c>
      <c r="D592" s="64"/>
      <c r="E592" s="64"/>
      <c r="F592" s="65"/>
      <c r="G592" s="65"/>
      <c r="H592" s="67"/>
      <c r="I592" s="64"/>
      <c r="J592" s="65"/>
      <c r="K592" s="64"/>
      <c r="L592" s="64"/>
      <c r="M592" s="64"/>
      <c r="N592" s="72" t="str">
        <f aca="false">IF(B592="","",IF(D592="Anexo de modificación","No","Sí"))</f>
        <v/>
      </c>
      <c r="O592" s="73" t="str">
        <f aca="false">IF(AND(N592="Sí",ISNUMBER(F592)),COUNTIFS(C_ID,B592,C_DEFINE,"Sí",C_INICIO,"&lt;"&amp;F592)+COUNTIFS(B$7:B592,B592,N$7:N592,"Sí",F$7:F592,F592),"")</f>
        <v/>
      </c>
      <c r="P592" s="72" t="str">
        <f aca="false">IF(O592="","",B592&amp;"-P"&amp;O592)</f>
        <v/>
      </c>
      <c r="Q592" s="73" t="str">
        <f aca="false">IF(AND(N592="Sí",E592="Plazo fijo",ISNUMBER(F592)),COUNTIFS(C_ID,B592,C_TIPO,"Plazo fijo",C_DEFINE,"Sí",C_INICIO,"&lt;"&amp;F592)+COUNTIFS(B$7:B592,B592,E$7:E592,"Plazo fijo",N$7:N592,"Sí",F$7:F592,F592),"")</f>
        <v/>
      </c>
      <c r="R592" s="73" t="str">
        <f aca="false">IF(AND(B592&lt;&gt;"",ISNUMBER(H592),ISNUMBER(F592)),COUNTIFS(C_ID,B592,C_SUELDO,"&lt;&gt;",C_INICIO,"&lt;"&amp;F592)+COUNTIFS(B$7:B592,B592,H$7:H592,"&lt;&gt;",F$7:F592,F592),"")</f>
        <v/>
      </c>
      <c r="S592" s="72" t="str">
        <f aca="false">IF(R592="","",B592&amp;"-S"&amp;R592)</f>
        <v/>
      </c>
      <c r="T592" s="74" t="str">
        <f aca="false">IF(AND(ISNUMBER(F592),ISNUMBER(G592)),ROUND((G592-F592+1)/30.4375,1),"")</f>
        <v/>
      </c>
      <c r="U592" s="70" t="str">
        <f aca="false">IF(B592="","",IF(AND(N592="Sí",OR(E592="",NOT(ISNUMBER(F592)))),"⚠ Falta tipo de contrato o fecha de inicio",IF(NOT(ISNUMBER(F592)),"⚠ Falta fecha de inicio",IF(AND(N592="Sí",E592&lt;&gt;"Indefinido",NOT(ISNUMBER(G592))),"⚠ Falta fecha de término",IF(AND(D592="Paso a indefinido",E592&lt;&gt;"Indefinido"),"⚠ Un paso a indefinido debe tener tipo Indefinido",IF(N(Q592)&gt;=3,"⚠ 3er contrato a plazo fijo: por ley ya es INDEFINIDO (Art. 159 N°4)",IF(AND(E592="Plazo fijo",N(T592)&gt;12),"⚠ Plazo fijo mayor a 1 año (máx. legal; 2 años solo profesionales o técnicos)",IF(AND(ISNUMBER(G592),G592&lt;F592),"⚠ Término anterior al inicio",IF(AND(D592="Contrato inicial",ISNUMBER(J592),J592-F592&gt;15),"⚠ Escriturado fuera de plazo (Art. 9: 15 días)",IF(K592&lt;&gt;"Sí","Pendiente de firma","OK"))))))))))</f>
        <v/>
      </c>
    </row>
    <row r="593" customFormat="false" ht="15" hidden="false" customHeight="false" outlineLevel="0" collapsed="false">
      <c r="B593" s="64"/>
      <c r="C593" s="72" t="str">
        <f aca="false">IF(B593="","",IFERROR(INDEX(T_NOMBRE,MATCH(B593,T_ID,0)),"⚠ ID no existe en Trabajadores"))</f>
        <v/>
      </c>
      <c r="D593" s="64"/>
      <c r="E593" s="64"/>
      <c r="F593" s="65"/>
      <c r="G593" s="65"/>
      <c r="H593" s="67"/>
      <c r="I593" s="64"/>
      <c r="J593" s="65"/>
      <c r="K593" s="64"/>
      <c r="L593" s="64"/>
      <c r="M593" s="64"/>
      <c r="N593" s="72" t="str">
        <f aca="false">IF(B593="","",IF(D593="Anexo de modificación","No","Sí"))</f>
        <v/>
      </c>
      <c r="O593" s="73" t="str">
        <f aca="false">IF(AND(N593="Sí",ISNUMBER(F593)),COUNTIFS(C_ID,B593,C_DEFINE,"Sí",C_INICIO,"&lt;"&amp;F593)+COUNTIFS(B$7:B593,B593,N$7:N593,"Sí",F$7:F593,F593),"")</f>
        <v/>
      </c>
      <c r="P593" s="72" t="str">
        <f aca="false">IF(O593="","",B593&amp;"-P"&amp;O593)</f>
        <v/>
      </c>
      <c r="Q593" s="73" t="str">
        <f aca="false">IF(AND(N593="Sí",E593="Plazo fijo",ISNUMBER(F593)),COUNTIFS(C_ID,B593,C_TIPO,"Plazo fijo",C_DEFINE,"Sí",C_INICIO,"&lt;"&amp;F593)+COUNTIFS(B$7:B593,B593,E$7:E593,"Plazo fijo",N$7:N593,"Sí",F$7:F593,F593),"")</f>
        <v/>
      </c>
      <c r="R593" s="73" t="str">
        <f aca="false">IF(AND(B593&lt;&gt;"",ISNUMBER(H593),ISNUMBER(F593)),COUNTIFS(C_ID,B593,C_SUELDO,"&lt;&gt;",C_INICIO,"&lt;"&amp;F593)+COUNTIFS(B$7:B593,B593,H$7:H593,"&lt;&gt;",F$7:F593,F593),"")</f>
        <v/>
      </c>
      <c r="S593" s="72" t="str">
        <f aca="false">IF(R593="","",B593&amp;"-S"&amp;R593)</f>
        <v/>
      </c>
      <c r="T593" s="74" t="str">
        <f aca="false">IF(AND(ISNUMBER(F593),ISNUMBER(G593)),ROUND((G593-F593+1)/30.4375,1),"")</f>
        <v/>
      </c>
      <c r="U593" s="70" t="str">
        <f aca="false">IF(B593="","",IF(AND(N593="Sí",OR(E593="",NOT(ISNUMBER(F593)))),"⚠ Falta tipo de contrato o fecha de inicio",IF(NOT(ISNUMBER(F593)),"⚠ Falta fecha de inicio",IF(AND(N593="Sí",E593&lt;&gt;"Indefinido",NOT(ISNUMBER(G593))),"⚠ Falta fecha de término",IF(AND(D593="Paso a indefinido",E593&lt;&gt;"Indefinido"),"⚠ Un paso a indefinido debe tener tipo Indefinido",IF(N(Q593)&gt;=3,"⚠ 3er contrato a plazo fijo: por ley ya es INDEFINIDO (Art. 159 N°4)",IF(AND(E593="Plazo fijo",N(T593)&gt;12),"⚠ Plazo fijo mayor a 1 año (máx. legal; 2 años solo profesionales o técnicos)",IF(AND(ISNUMBER(G593),G593&lt;F593),"⚠ Término anterior al inicio",IF(AND(D593="Contrato inicial",ISNUMBER(J593),J593-F593&gt;15),"⚠ Escriturado fuera de plazo (Art. 9: 15 días)",IF(K593&lt;&gt;"Sí","Pendiente de firma","OK"))))))))))</f>
        <v/>
      </c>
    </row>
    <row r="594" customFormat="false" ht="15" hidden="false" customHeight="false" outlineLevel="0" collapsed="false">
      <c r="B594" s="64"/>
      <c r="C594" s="72" t="str">
        <f aca="false">IF(B594="","",IFERROR(INDEX(T_NOMBRE,MATCH(B594,T_ID,0)),"⚠ ID no existe en Trabajadores"))</f>
        <v/>
      </c>
      <c r="D594" s="64"/>
      <c r="E594" s="64"/>
      <c r="F594" s="65"/>
      <c r="G594" s="65"/>
      <c r="H594" s="67"/>
      <c r="I594" s="64"/>
      <c r="J594" s="65"/>
      <c r="K594" s="64"/>
      <c r="L594" s="64"/>
      <c r="M594" s="64"/>
      <c r="N594" s="72" t="str">
        <f aca="false">IF(B594="","",IF(D594="Anexo de modificación","No","Sí"))</f>
        <v/>
      </c>
      <c r="O594" s="73" t="str">
        <f aca="false">IF(AND(N594="Sí",ISNUMBER(F594)),COUNTIFS(C_ID,B594,C_DEFINE,"Sí",C_INICIO,"&lt;"&amp;F594)+COUNTIFS(B$7:B594,B594,N$7:N594,"Sí",F$7:F594,F594),"")</f>
        <v/>
      </c>
      <c r="P594" s="72" t="str">
        <f aca="false">IF(O594="","",B594&amp;"-P"&amp;O594)</f>
        <v/>
      </c>
      <c r="Q594" s="73" t="str">
        <f aca="false">IF(AND(N594="Sí",E594="Plazo fijo",ISNUMBER(F594)),COUNTIFS(C_ID,B594,C_TIPO,"Plazo fijo",C_DEFINE,"Sí",C_INICIO,"&lt;"&amp;F594)+COUNTIFS(B$7:B594,B594,E$7:E594,"Plazo fijo",N$7:N594,"Sí",F$7:F594,F594),"")</f>
        <v/>
      </c>
      <c r="R594" s="73" t="str">
        <f aca="false">IF(AND(B594&lt;&gt;"",ISNUMBER(H594),ISNUMBER(F594)),COUNTIFS(C_ID,B594,C_SUELDO,"&lt;&gt;",C_INICIO,"&lt;"&amp;F594)+COUNTIFS(B$7:B594,B594,H$7:H594,"&lt;&gt;",F$7:F594,F594),"")</f>
        <v/>
      </c>
      <c r="S594" s="72" t="str">
        <f aca="false">IF(R594="","",B594&amp;"-S"&amp;R594)</f>
        <v/>
      </c>
      <c r="T594" s="74" t="str">
        <f aca="false">IF(AND(ISNUMBER(F594),ISNUMBER(G594)),ROUND((G594-F594+1)/30.4375,1),"")</f>
        <v/>
      </c>
      <c r="U594" s="70" t="str">
        <f aca="false">IF(B594="","",IF(AND(N594="Sí",OR(E594="",NOT(ISNUMBER(F594)))),"⚠ Falta tipo de contrato o fecha de inicio",IF(NOT(ISNUMBER(F594)),"⚠ Falta fecha de inicio",IF(AND(N594="Sí",E594&lt;&gt;"Indefinido",NOT(ISNUMBER(G594))),"⚠ Falta fecha de término",IF(AND(D594="Paso a indefinido",E594&lt;&gt;"Indefinido"),"⚠ Un paso a indefinido debe tener tipo Indefinido",IF(N(Q594)&gt;=3,"⚠ 3er contrato a plazo fijo: por ley ya es INDEFINIDO (Art. 159 N°4)",IF(AND(E594="Plazo fijo",N(T594)&gt;12),"⚠ Plazo fijo mayor a 1 año (máx. legal; 2 años solo profesionales o técnicos)",IF(AND(ISNUMBER(G594),G594&lt;F594),"⚠ Término anterior al inicio",IF(AND(D594="Contrato inicial",ISNUMBER(J594),J594-F594&gt;15),"⚠ Escriturado fuera de plazo (Art. 9: 15 días)",IF(K594&lt;&gt;"Sí","Pendiente de firma","OK"))))))))))</f>
        <v/>
      </c>
    </row>
    <row r="595" customFormat="false" ht="15" hidden="false" customHeight="false" outlineLevel="0" collapsed="false">
      <c r="B595" s="64"/>
      <c r="C595" s="72" t="str">
        <f aca="false">IF(B595="","",IFERROR(INDEX(T_NOMBRE,MATCH(B595,T_ID,0)),"⚠ ID no existe en Trabajadores"))</f>
        <v/>
      </c>
      <c r="D595" s="64"/>
      <c r="E595" s="64"/>
      <c r="F595" s="65"/>
      <c r="G595" s="65"/>
      <c r="H595" s="67"/>
      <c r="I595" s="64"/>
      <c r="J595" s="65"/>
      <c r="K595" s="64"/>
      <c r="L595" s="64"/>
      <c r="M595" s="64"/>
      <c r="N595" s="72" t="str">
        <f aca="false">IF(B595="","",IF(D595="Anexo de modificación","No","Sí"))</f>
        <v/>
      </c>
      <c r="O595" s="73" t="str">
        <f aca="false">IF(AND(N595="Sí",ISNUMBER(F595)),COUNTIFS(C_ID,B595,C_DEFINE,"Sí",C_INICIO,"&lt;"&amp;F595)+COUNTIFS(B$7:B595,B595,N$7:N595,"Sí",F$7:F595,F595),"")</f>
        <v/>
      </c>
      <c r="P595" s="72" t="str">
        <f aca="false">IF(O595="","",B595&amp;"-P"&amp;O595)</f>
        <v/>
      </c>
      <c r="Q595" s="73" t="str">
        <f aca="false">IF(AND(N595="Sí",E595="Plazo fijo",ISNUMBER(F595)),COUNTIFS(C_ID,B595,C_TIPO,"Plazo fijo",C_DEFINE,"Sí",C_INICIO,"&lt;"&amp;F595)+COUNTIFS(B$7:B595,B595,E$7:E595,"Plazo fijo",N$7:N595,"Sí",F$7:F595,F595),"")</f>
        <v/>
      </c>
      <c r="R595" s="73" t="str">
        <f aca="false">IF(AND(B595&lt;&gt;"",ISNUMBER(H595),ISNUMBER(F595)),COUNTIFS(C_ID,B595,C_SUELDO,"&lt;&gt;",C_INICIO,"&lt;"&amp;F595)+COUNTIFS(B$7:B595,B595,H$7:H595,"&lt;&gt;",F$7:F595,F595),"")</f>
        <v/>
      </c>
      <c r="S595" s="72" t="str">
        <f aca="false">IF(R595="","",B595&amp;"-S"&amp;R595)</f>
        <v/>
      </c>
      <c r="T595" s="74" t="str">
        <f aca="false">IF(AND(ISNUMBER(F595),ISNUMBER(G595)),ROUND((G595-F595+1)/30.4375,1),"")</f>
        <v/>
      </c>
      <c r="U595" s="70" t="str">
        <f aca="false">IF(B595="","",IF(AND(N595="Sí",OR(E595="",NOT(ISNUMBER(F595)))),"⚠ Falta tipo de contrato o fecha de inicio",IF(NOT(ISNUMBER(F595)),"⚠ Falta fecha de inicio",IF(AND(N595="Sí",E595&lt;&gt;"Indefinido",NOT(ISNUMBER(G595))),"⚠ Falta fecha de término",IF(AND(D595="Paso a indefinido",E595&lt;&gt;"Indefinido"),"⚠ Un paso a indefinido debe tener tipo Indefinido",IF(N(Q595)&gt;=3,"⚠ 3er contrato a plazo fijo: por ley ya es INDEFINIDO (Art. 159 N°4)",IF(AND(E595="Plazo fijo",N(T595)&gt;12),"⚠ Plazo fijo mayor a 1 año (máx. legal; 2 años solo profesionales o técnicos)",IF(AND(ISNUMBER(G595),G595&lt;F595),"⚠ Término anterior al inicio",IF(AND(D595="Contrato inicial",ISNUMBER(J595),J595-F595&gt;15),"⚠ Escriturado fuera de plazo (Art. 9: 15 días)",IF(K595&lt;&gt;"Sí","Pendiente de firma","OK"))))))))))</f>
        <v/>
      </c>
    </row>
    <row r="596" customFormat="false" ht="15" hidden="false" customHeight="false" outlineLevel="0" collapsed="false">
      <c r="B596" s="64"/>
      <c r="C596" s="72" t="str">
        <f aca="false">IF(B596="","",IFERROR(INDEX(T_NOMBRE,MATCH(B596,T_ID,0)),"⚠ ID no existe en Trabajadores"))</f>
        <v/>
      </c>
      <c r="D596" s="64"/>
      <c r="E596" s="64"/>
      <c r="F596" s="65"/>
      <c r="G596" s="65"/>
      <c r="H596" s="67"/>
      <c r="I596" s="64"/>
      <c r="J596" s="65"/>
      <c r="K596" s="64"/>
      <c r="L596" s="64"/>
      <c r="M596" s="64"/>
      <c r="N596" s="72" t="str">
        <f aca="false">IF(B596="","",IF(D596="Anexo de modificación","No","Sí"))</f>
        <v/>
      </c>
      <c r="O596" s="73" t="str">
        <f aca="false">IF(AND(N596="Sí",ISNUMBER(F596)),COUNTIFS(C_ID,B596,C_DEFINE,"Sí",C_INICIO,"&lt;"&amp;F596)+COUNTIFS(B$7:B596,B596,N$7:N596,"Sí",F$7:F596,F596),"")</f>
        <v/>
      </c>
      <c r="P596" s="72" t="str">
        <f aca="false">IF(O596="","",B596&amp;"-P"&amp;O596)</f>
        <v/>
      </c>
      <c r="Q596" s="73" t="str">
        <f aca="false">IF(AND(N596="Sí",E596="Plazo fijo",ISNUMBER(F596)),COUNTIFS(C_ID,B596,C_TIPO,"Plazo fijo",C_DEFINE,"Sí",C_INICIO,"&lt;"&amp;F596)+COUNTIFS(B$7:B596,B596,E$7:E596,"Plazo fijo",N$7:N596,"Sí",F$7:F596,F596),"")</f>
        <v/>
      </c>
      <c r="R596" s="73" t="str">
        <f aca="false">IF(AND(B596&lt;&gt;"",ISNUMBER(H596),ISNUMBER(F596)),COUNTIFS(C_ID,B596,C_SUELDO,"&lt;&gt;",C_INICIO,"&lt;"&amp;F596)+COUNTIFS(B$7:B596,B596,H$7:H596,"&lt;&gt;",F$7:F596,F596),"")</f>
        <v/>
      </c>
      <c r="S596" s="72" t="str">
        <f aca="false">IF(R596="","",B596&amp;"-S"&amp;R596)</f>
        <v/>
      </c>
      <c r="T596" s="74" t="str">
        <f aca="false">IF(AND(ISNUMBER(F596),ISNUMBER(G596)),ROUND((G596-F596+1)/30.4375,1),"")</f>
        <v/>
      </c>
      <c r="U596" s="70" t="str">
        <f aca="false">IF(B596="","",IF(AND(N596="Sí",OR(E596="",NOT(ISNUMBER(F596)))),"⚠ Falta tipo de contrato o fecha de inicio",IF(NOT(ISNUMBER(F596)),"⚠ Falta fecha de inicio",IF(AND(N596="Sí",E596&lt;&gt;"Indefinido",NOT(ISNUMBER(G596))),"⚠ Falta fecha de término",IF(AND(D596="Paso a indefinido",E596&lt;&gt;"Indefinido"),"⚠ Un paso a indefinido debe tener tipo Indefinido",IF(N(Q596)&gt;=3,"⚠ 3er contrato a plazo fijo: por ley ya es INDEFINIDO (Art. 159 N°4)",IF(AND(E596="Plazo fijo",N(T596)&gt;12),"⚠ Plazo fijo mayor a 1 año (máx. legal; 2 años solo profesionales o técnicos)",IF(AND(ISNUMBER(G596),G596&lt;F596),"⚠ Término anterior al inicio",IF(AND(D596="Contrato inicial",ISNUMBER(J596),J596-F596&gt;15),"⚠ Escriturado fuera de plazo (Art. 9: 15 días)",IF(K596&lt;&gt;"Sí","Pendiente de firma","OK"))))))))))</f>
        <v/>
      </c>
    </row>
    <row r="597" customFormat="false" ht="15" hidden="false" customHeight="false" outlineLevel="0" collapsed="false">
      <c r="B597" s="64"/>
      <c r="C597" s="72" t="str">
        <f aca="false">IF(B597="","",IFERROR(INDEX(T_NOMBRE,MATCH(B597,T_ID,0)),"⚠ ID no existe en Trabajadores"))</f>
        <v/>
      </c>
      <c r="D597" s="64"/>
      <c r="E597" s="64"/>
      <c r="F597" s="65"/>
      <c r="G597" s="65"/>
      <c r="H597" s="67"/>
      <c r="I597" s="64"/>
      <c r="J597" s="65"/>
      <c r="K597" s="64"/>
      <c r="L597" s="64"/>
      <c r="M597" s="64"/>
      <c r="N597" s="72" t="str">
        <f aca="false">IF(B597="","",IF(D597="Anexo de modificación","No","Sí"))</f>
        <v/>
      </c>
      <c r="O597" s="73" t="str">
        <f aca="false">IF(AND(N597="Sí",ISNUMBER(F597)),COUNTIFS(C_ID,B597,C_DEFINE,"Sí",C_INICIO,"&lt;"&amp;F597)+COUNTIFS(B$7:B597,B597,N$7:N597,"Sí",F$7:F597,F597),"")</f>
        <v/>
      </c>
      <c r="P597" s="72" t="str">
        <f aca="false">IF(O597="","",B597&amp;"-P"&amp;O597)</f>
        <v/>
      </c>
      <c r="Q597" s="73" t="str">
        <f aca="false">IF(AND(N597="Sí",E597="Plazo fijo",ISNUMBER(F597)),COUNTIFS(C_ID,B597,C_TIPO,"Plazo fijo",C_DEFINE,"Sí",C_INICIO,"&lt;"&amp;F597)+COUNTIFS(B$7:B597,B597,E$7:E597,"Plazo fijo",N$7:N597,"Sí",F$7:F597,F597),"")</f>
        <v/>
      </c>
      <c r="R597" s="73" t="str">
        <f aca="false">IF(AND(B597&lt;&gt;"",ISNUMBER(H597),ISNUMBER(F597)),COUNTIFS(C_ID,B597,C_SUELDO,"&lt;&gt;",C_INICIO,"&lt;"&amp;F597)+COUNTIFS(B$7:B597,B597,H$7:H597,"&lt;&gt;",F$7:F597,F597),"")</f>
        <v/>
      </c>
      <c r="S597" s="72" t="str">
        <f aca="false">IF(R597="","",B597&amp;"-S"&amp;R597)</f>
        <v/>
      </c>
      <c r="T597" s="74" t="str">
        <f aca="false">IF(AND(ISNUMBER(F597),ISNUMBER(G597)),ROUND((G597-F597+1)/30.4375,1),"")</f>
        <v/>
      </c>
      <c r="U597" s="70" t="str">
        <f aca="false">IF(B597="","",IF(AND(N597="Sí",OR(E597="",NOT(ISNUMBER(F597)))),"⚠ Falta tipo de contrato o fecha de inicio",IF(NOT(ISNUMBER(F597)),"⚠ Falta fecha de inicio",IF(AND(N597="Sí",E597&lt;&gt;"Indefinido",NOT(ISNUMBER(G597))),"⚠ Falta fecha de término",IF(AND(D597="Paso a indefinido",E597&lt;&gt;"Indefinido"),"⚠ Un paso a indefinido debe tener tipo Indefinido",IF(N(Q597)&gt;=3,"⚠ 3er contrato a plazo fijo: por ley ya es INDEFINIDO (Art. 159 N°4)",IF(AND(E597="Plazo fijo",N(T597)&gt;12),"⚠ Plazo fijo mayor a 1 año (máx. legal; 2 años solo profesionales o técnicos)",IF(AND(ISNUMBER(G597),G597&lt;F597),"⚠ Término anterior al inicio",IF(AND(D597="Contrato inicial",ISNUMBER(J597),J597-F597&gt;15),"⚠ Escriturado fuera de plazo (Art. 9: 15 días)",IF(K597&lt;&gt;"Sí","Pendiente de firma","OK"))))))))))</f>
        <v/>
      </c>
    </row>
    <row r="598" customFormat="false" ht="15" hidden="false" customHeight="false" outlineLevel="0" collapsed="false">
      <c r="B598" s="64"/>
      <c r="C598" s="72" t="str">
        <f aca="false">IF(B598="","",IFERROR(INDEX(T_NOMBRE,MATCH(B598,T_ID,0)),"⚠ ID no existe en Trabajadores"))</f>
        <v/>
      </c>
      <c r="D598" s="64"/>
      <c r="E598" s="64"/>
      <c r="F598" s="65"/>
      <c r="G598" s="65"/>
      <c r="H598" s="67"/>
      <c r="I598" s="64"/>
      <c r="J598" s="65"/>
      <c r="K598" s="64"/>
      <c r="L598" s="64"/>
      <c r="M598" s="64"/>
      <c r="N598" s="72" t="str">
        <f aca="false">IF(B598="","",IF(D598="Anexo de modificación","No","Sí"))</f>
        <v/>
      </c>
      <c r="O598" s="73" t="str">
        <f aca="false">IF(AND(N598="Sí",ISNUMBER(F598)),COUNTIFS(C_ID,B598,C_DEFINE,"Sí",C_INICIO,"&lt;"&amp;F598)+COUNTIFS(B$7:B598,B598,N$7:N598,"Sí",F$7:F598,F598),"")</f>
        <v/>
      </c>
      <c r="P598" s="72" t="str">
        <f aca="false">IF(O598="","",B598&amp;"-P"&amp;O598)</f>
        <v/>
      </c>
      <c r="Q598" s="73" t="str">
        <f aca="false">IF(AND(N598="Sí",E598="Plazo fijo",ISNUMBER(F598)),COUNTIFS(C_ID,B598,C_TIPO,"Plazo fijo",C_DEFINE,"Sí",C_INICIO,"&lt;"&amp;F598)+COUNTIFS(B$7:B598,B598,E$7:E598,"Plazo fijo",N$7:N598,"Sí",F$7:F598,F598),"")</f>
        <v/>
      </c>
      <c r="R598" s="73" t="str">
        <f aca="false">IF(AND(B598&lt;&gt;"",ISNUMBER(H598),ISNUMBER(F598)),COUNTIFS(C_ID,B598,C_SUELDO,"&lt;&gt;",C_INICIO,"&lt;"&amp;F598)+COUNTIFS(B$7:B598,B598,H$7:H598,"&lt;&gt;",F$7:F598,F598),"")</f>
        <v/>
      </c>
      <c r="S598" s="72" t="str">
        <f aca="false">IF(R598="","",B598&amp;"-S"&amp;R598)</f>
        <v/>
      </c>
      <c r="T598" s="74" t="str">
        <f aca="false">IF(AND(ISNUMBER(F598),ISNUMBER(G598)),ROUND((G598-F598+1)/30.4375,1),"")</f>
        <v/>
      </c>
      <c r="U598" s="70" t="str">
        <f aca="false">IF(B598="","",IF(AND(N598="Sí",OR(E598="",NOT(ISNUMBER(F598)))),"⚠ Falta tipo de contrato o fecha de inicio",IF(NOT(ISNUMBER(F598)),"⚠ Falta fecha de inicio",IF(AND(N598="Sí",E598&lt;&gt;"Indefinido",NOT(ISNUMBER(G598))),"⚠ Falta fecha de término",IF(AND(D598="Paso a indefinido",E598&lt;&gt;"Indefinido"),"⚠ Un paso a indefinido debe tener tipo Indefinido",IF(N(Q598)&gt;=3,"⚠ 3er contrato a plazo fijo: por ley ya es INDEFINIDO (Art. 159 N°4)",IF(AND(E598="Plazo fijo",N(T598)&gt;12),"⚠ Plazo fijo mayor a 1 año (máx. legal; 2 años solo profesionales o técnicos)",IF(AND(ISNUMBER(G598),G598&lt;F598),"⚠ Término anterior al inicio",IF(AND(D598="Contrato inicial",ISNUMBER(J598),J598-F598&gt;15),"⚠ Escriturado fuera de plazo (Art. 9: 15 días)",IF(K598&lt;&gt;"Sí","Pendiente de firma","OK"))))))))))</f>
        <v/>
      </c>
    </row>
    <row r="599" customFormat="false" ht="15" hidden="false" customHeight="false" outlineLevel="0" collapsed="false">
      <c r="B599" s="64"/>
      <c r="C599" s="72" t="str">
        <f aca="false">IF(B599="","",IFERROR(INDEX(T_NOMBRE,MATCH(B599,T_ID,0)),"⚠ ID no existe en Trabajadores"))</f>
        <v/>
      </c>
      <c r="D599" s="64"/>
      <c r="E599" s="64"/>
      <c r="F599" s="65"/>
      <c r="G599" s="65"/>
      <c r="H599" s="67"/>
      <c r="I599" s="64"/>
      <c r="J599" s="65"/>
      <c r="K599" s="64"/>
      <c r="L599" s="64"/>
      <c r="M599" s="64"/>
      <c r="N599" s="72" t="str">
        <f aca="false">IF(B599="","",IF(D599="Anexo de modificación","No","Sí"))</f>
        <v/>
      </c>
      <c r="O599" s="73" t="str">
        <f aca="false">IF(AND(N599="Sí",ISNUMBER(F599)),COUNTIFS(C_ID,B599,C_DEFINE,"Sí",C_INICIO,"&lt;"&amp;F599)+COUNTIFS(B$7:B599,B599,N$7:N599,"Sí",F$7:F599,F599),"")</f>
        <v/>
      </c>
      <c r="P599" s="72" t="str">
        <f aca="false">IF(O599="","",B599&amp;"-P"&amp;O599)</f>
        <v/>
      </c>
      <c r="Q599" s="73" t="str">
        <f aca="false">IF(AND(N599="Sí",E599="Plazo fijo",ISNUMBER(F599)),COUNTIFS(C_ID,B599,C_TIPO,"Plazo fijo",C_DEFINE,"Sí",C_INICIO,"&lt;"&amp;F599)+COUNTIFS(B$7:B599,B599,E$7:E599,"Plazo fijo",N$7:N599,"Sí",F$7:F599,F599),"")</f>
        <v/>
      </c>
      <c r="R599" s="73" t="str">
        <f aca="false">IF(AND(B599&lt;&gt;"",ISNUMBER(H599),ISNUMBER(F599)),COUNTIFS(C_ID,B599,C_SUELDO,"&lt;&gt;",C_INICIO,"&lt;"&amp;F599)+COUNTIFS(B$7:B599,B599,H$7:H599,"&lt;&gt;",F$7:F599,F599),"")</f>
        <v/>
      </c>
      <c r="S599" s="72" t="str">
        <f aca="false">IF(R599="","",B599&amp;"-S"&amp;R599)</f>
        <v/>
      </c>
      <c r="T599" s="74" t="str">
        <f aca="false">IF(AND(ISNUMBER(F599),ISNUMBER(G599)),ROUND((G599-F599+1)/30.4375,1),"")</f>
        <v/>
      </c>
      <c r="U599" s="70" t="str">
        <f aca="false">IF(B599="","",IF(AND(N599="Sí",OR(E599="",NOT(ISNUMBER(F599)))),"⚠ Falta tipo de contrato o fecha de inicio",IF(NOT(ISNUMBER(F599)),"⚠ Falta fecha de inicio",IF(AND(N599="Sí",E599&lt;&gt;"Indefinido",NOT(ISNUMBER(G599))),"⚠ Falta fecha de término",IF(AND(D599="Paso a indefinido",E599&lt;&gt;"Indefinido"),"⚠ Un paso a indefinido debe tener tipo Indefinido",IF(N(Q599)&gt;=3,"⚠ 3er contrato a plazo fijo: por ley ya es INDEFINIDO (Art. 159 N°4)",IF(AND(E599="Plazo fijo",N(T599)&gt;12),"⚠ Plazo fijo mayor a 1 año (máx. legal; 2 años solo profesionales o técnicos)",IF(AND(ISNUMBER(G599),G599&lt;F599),"⚠ Término anterior al inicio",IF(AND(D599="Contrato inicial",ISNUMBER(J599),J599-F599&gt;15),"⚠ Escriturado fuera de plazo (Art. 9: 15 días)",IF(K599&lt;&gt;"Sí","Pendiente de firma","OK"))))))))))</f>
        <v/>
      </c>
    </row>
    <row r="600" customFormat="false" ht="15" hidden="false" customHeight="false" outlineLevel="0" collapsed="false">
      <c r="B600" s="64"/>
      <c r="C600" s="72" t="str">
        <f aca="false">IF(B600="","",IFERROR(INDEX(T_NOMBRE,MATCH(B600,T_ID,0)),"⚠ ID no existe en Trabajadores"))</f>
        <v/>
      </c>
      <c r="D600" s="64"/>
      <c r="E600" s="64"/>
      <c r="F600" s="65"/>
      <c r="G600" s="65"/>
      <c r="H600" s="67"/>
      <c r="I600" s="64"/>
      <c r="J600" s="65"/>
      <c r="K600" s="64"/>
      <c r="L600" s="64"/>
      <c r="M600" s="64"/>
      <c r="N600" s="72" t="str">
        <f aca="false">IF(B600="","",IF(D600="Anexo de modificación","No","Sí"))</f>
        <v/>
      </c>
      <c r="O600" s="73" t="str">
        <f aca="false">IF(AND(N600="Sí",ISNUMBER(F600)),COUNTIFS(C_ID,B600,C_DEFINE,"Sí",C_INICIO,"&lt;"&amp;F600)+COUNTIFS(B$7:B600,B600,N$7:N600,"Sí",F$7:F600,F600),"")</f>
        <v/>
      </c>
      <c r="P600" s="72" t="str">
        <f aca="false">IF(O600="","",B600&amp;"-P"&amp;O600)</f>
        <v/>
      </c>
      <c r="Q600" s="73" t="str">
        <f aca="false">IF(AND(N600="Sí",E600="Plazo fijo",ISNUMBER(F600)),COUNTIFS(C_ID,B600,C_TIPO,"Plazo fijo",C_DEFINE,"Sí",C_INICIO,"&lt;"&amp;F600)+COUNTIFS(B$7:B600,B600,E$7:E600,"Plazo fijo",N$7:N600,"Sí",F$7:F600,F600),"")</f>
        <v/>
      </c>
      <c r="R600" s="73" t="str">
        <f aca="false">IF(AND(B600&lt;&gt;"",ISNUMBER(H600),ISNUMBER(F600)),COUNTIFS(C_ID,B600,C_SUELDO,"&lt;&gt;",C_INICIO,"&lt;"&amp;F600)+COUNTIFS(B$7:B600,B600,H$7:H600,"&lt;&gt;",F$7:F600,F600),"")</f>
        <v/>
      </c>
      <c r="S600" s="72" t="str">
        <f aca="false">IF(R600="","",B600&amp;"-S"&amp;R600)</f>
        <v/>
      </c>
      <c r="T600" s="74" t="str">
        <f aca="false">IF(AND(ISNUMBER(F600),ISNUMBER(G600)),ROUND((G600-F600+1)/30.4375,1),"")</f>
        <v/>
      </c>
      <c r="U600" s="70" t="str">
        <f aca="false">IF(B600="","",IF(AND(N600="Sí",OR(E600="",NOT(ISNUMBER(F600)))),"⚠ Falta tipo de contrato o fecha de inicio",IF(NOT(ISNUMBER(F600)),"⚠ Falta fecha de inicio",IF(AND(N600="Sí",E600&lt;&gt;"Indefinido",NOT(ISNUMBER(G600))),"⚠ Falta fecha de término",IF(AND(D600="Paso a indefinido",E600&lt;&gt;"Indefinido"),"⚠ Un paso a indefinido debe tener tipo Indefinido",IF(N(Q600)&gt;=3,"⚠ 3er contrato a plazo fijo: por ley ya es INDEFINIDO (Art. 159 N°4)",IF(AND(E600="Plazo fijo",N(T600)&gt;12),"⚠ Plazo fijo mayor a 1 año (máx. legal; 2 años solo profesionales o técnicos)",IF(AND(ISNUMBER(G600),G600&lt;F600),"⚠ Término anterior al inicio",IF(AND(D600="Contrato inicial",ISNUMBER(J600),J600-F600&gt;15),"⚠ Escriturado fuera de plazo (Art. 9: 15 días)",IF(K600&lt;&gt;"Sí","Pendiente de firma","OK"))))))))))</f>
        <v/>
      </c>
    </row>
    <row r="601" customFormat="false" ht="15" hidden="false" customHeight="false" outlineLevel="0" collapsed="false">
      <c r="B601" s="64"/>
      <c r="C601" s="72" t="str">
        <f aca="false">IF(B601="","",IFERROR(INDEX(T_NOMBRE,MATCH(B601,T_ID,0)),"⚠ ID no existe en Trabajadores"))</f>
        <v/>
      </c>
      <c r="D601" s="64"/>
      <c r="E601" s="64"/>
      <c r="F601" s="65"/>
      <c r="G601" s="65"/>
      <c r="H601" s="67"/>
      <c r="I601" s="64"/>
      <c r="J601" s="65"/>
      <c r="K601" s="64"/>
      <c r="L601" s="64"/>
      <c r="M601" s="64"/>
      <c r="N601" s="72" t="str">
        <f aca="false">IF(B601="","",IF(D601="Anexo de modificación","No","Sí"))</f>
        <v/>
      </c>
      <c r="O601" s="73" t="str">
        <f aca="false">IF(AND(N601="Sí",ISNUMBER(F601)),COUNTIFS(C_ID,B601,C_DEFINE,"Sí",C_INICIO,"&lt;"&amp;F601)+COUNTIFS(B$7:B601,B601,N$7:N601,"Sí",F$7:F601,F601),"")</f>
        <v/>
      </c>
      <c r="P601" s="72" t="str">
        <f aca="false">IF(O601="","",B601&amp;"-P"&amp;O601)</f>
        <v/>
      </c>
      <c r="Q601" s="73" t="str">
        <f aca="false">IF(AND(N601="Sí",E601="Plazo fijo",ISNUMBER(F601)),COUNTIFS(C_ID,B601,C_TIPO,"Plazo fijo",C_DEFINE,"Sí",C_INICIO,"&lt;"&amp;F601)+COUNTIFS(B$7:B601,B601,E$7:E601,"Plazo fijo",N$7:N601,"Sí",F$7:F601,F601),"")</f>
        <v/>
      </c>
      <c r="R601" s="73" t="str">
        <f aca="false">IF(AND(B601&lt;&gt;"",ISNUMBER(H601),ISNUMBER(F601)),COUNTIFS(C_ID,B601,C_SUELDO,"&lt;&gt;",C_INICIO,"&lt;"&amp;F601)+COUNTIFS(B$7:B601,B601,H$7:H601,"&lt;&gt;",F$7:F601,F601),"")</f>
        <v/>
      </c>
      <c r="S601" s="72" t="str">
        <f aca="false">IF(R601="","",B601&amp;"-S"&amp;R601)</f>
        <v/>
      </c>
      <c r="T601" s="74" t="str">
        <f aca="false">IF(AND(ISNUMBER(F601),ISNUMBER(G601)),ROUND((G601-F601+1)/30.4375,1),"")</f>
        <v/>
      </c>
      <c r="U601" s="70" t="str">
        <f aca="false">IF(B601="","",IF(AND(N601="Sí",OR(E601="",NOT(ISNUMBER(F601)))),"⚠ Falta tipo de contrato o fecha de inicio",IF(NOT(ISNUMBER(F601)),"⚠ Falta fecha de inicio",IF(AND(N601="Sí",E601&lt;&gt;"Indefinido",NOT(ISNUMBER(G601))),"⚠ Falta fecha de término",IF(AND(D601="Paso a indefinido",E601&lt;&gt;"Indefinido"),"⚠ Un paso a indefinido debe tener tipo Indefinido",IF(N(Q601)&gt;=3,"⚠ 3er contrato a plazo fijo: por ley ya es INDEFINIDO (Art. 159 N°4)",IF(AND(E601="Plazo fijo",N(T601)&gt;12),"⚠ Plazo fijo mayor a 1 año (máx. legal; 2 años solo profesionales o técnicos)",IF(AND(ISNUMBER(G601),G601&lt;F601),"⚠ Término anterior al inicio",IF(AND(D601="Contrato inicial",ISNUMBER(J601),J601-F601&gt;15),"⚠ Escriturado fuera de plazo (Art. 9: 15 días)",IF(K601&lt;&gt;"Sí","Pendiente de firma","OK"))))))))))</f>
        <v/>
      </c>
    </row>
    <row r="602" customFormat="false" ht="15" hidden="false" customHeight="false" outlineLevel="0" collapsed="false">
      <c r="B602" s="64"/>
      <c r="C602" s="72" t="str">
        <f aca="false">IF(B602="","",IFERROR(INDEX(T_NOMBRE,MATCH(B602,T_ID,0)),"⚠ ID no existe en Trabajadores"))</f>
        <v/>
      </c>
      <c r="D602" s="64"/>
      <c r="E602" s="64"/>
      <c r="F602" s="65"/>
      <c r="G602" s="65"/>
      <c r="H602" s="67"/>
      <c r="I602" s="64"/>
      <c r="J602" s="65"/>
      <c r="K602" s="64"/>
      <c r="L602" s="64"/>
      <c r="M602" s="64"/>
      <c r="N602" s="72" t="str">
        <f aca="false">IF(B602="","",IF(D602="Anexo de modificación","No","Sí"))</f>
        <v/>
      </c>
      <c r="O602" s="73" t="str">
        <f aca="false">IF(AND(N602="Sí",ISNUMBER(F602)),COUNTIFS(C_ID,B602,C_DEFINE,"Sí",C_INICIO,"&lt;"&amp;F602)+COUNTIFS(B$7:B602,B602,N$7:N602,"Sí",F$7:F602,F602),"")</f>
        <v/>
      </c>
      <c r="P602" s="72" t="str">
        <f aca="false">IF(O602="","",B602&amp;"-P"&amp;O602)</f>
        <v/>
      </c>
      <c r="Q602" s="73" t="str">
        <f aca="false">IF(AND(N602="Sí",E602="Plazo fijo",ISNUMBER(F602)),COUNTIFS(C_ID,B602,C_TIPO,"Plazo fijo",C_DEFINE,"Sí",C_INICIO,"&lt;"&amp;F602)+COUNTIFS(B$7:B602,B602,E$7:E602,"Plazo fijo",N$7:N602,"Sí",F$7:F602,F602),"")</f>
        <v/>
      </c>
      <c r="R602" s="73" t="str">
        <f aca="false">IF(AND(B602&lt;&gt;"",ISNUMBER(H602),ISNUMBER(F602)),COUNTIFS(C_ID,B602,C_SUELDO,"&lt;&gt;",C_INICIO,"&lt;"&amp;F602)+COUNTIFS(B$7:B602,B602,H$7:H602,"&lt;&gt;",F$7:F602,F602),"")</f>
        <v/>
      </c>
      <c r="S602" s="72" t="str">
        <f aca="false">IF(R602="","",B602&amp;"-S"&amp;R602)</f>
        <v/>
      </c>
      <c r="T602" s="74" t="str">
        <f aca="false">IF(AND(ISNUMBER(F602),ISNUMBER(G602)),ROUND((G602-F602+1)/30.4375,1),"")</f>
        <v/>
      </c>
      <c r="U602" s="70" t="str">
        <f aca="false">IF(B602="","",IF(AND(N602="Sí",OR(E602="",NOT(ISNUMBER(F602)))),"⚠ Falta tipo de contrato o fecha de inicio",IF(NOT(ISNUMBER(F602)),"⚠ Falta fecha de inicio",IF(AND(N602="Sí",E602&lt;&gt;"Indefinido",NOT(ISNUMBER(G602))),"⚠ Falta fecha de término",IF(AND(D602="Paso a indefinido",E602&lt;&gt;"Indefinido"),"⚠ Un paso a indefinido debe tener tipo Indefinido",IF(N(Q602)&gt;=3,"⚠ 3er contrato a plazo fijo: por ley ya es INDEFINIDO (Art. 159 N°4)",IF(AND(E602="Plazo fijo",N(T602)&gt;12),"⚠ Plazo fijo mayor a 1 año (máx. legal; 2 años solo profesionales o técnicos)",IF(AND(ISNUMBER(G602),G602&lt;F602),"⚠ Término anterior al inicio",IF(AND(D602="Contrato inicial",ISNUMBER(J602),J602-F602&gt;15),"⚠ Escriturado fuera de plazo (Art. 9: 15 días)",IF(K602&lt;&gt;"Sí","Pendiente de firma","OK"))))))))))</f>
        <v/>
      </c>
    </row>
    <row r="603" customFormat="false" ht="15" hidden="false" customHeight="false" outlineLevel="0" collapsed="false">
      <c r="B603" s="64"/>
      <c r="C603" s="72" t="str">
        <f aca="false">IF(B603="","",IFERROR(INDEX(T_NOMBRE,MATCH(B603,T_ID,0)),"⚠ ID no existe en Trabajadores"))</f>
        <v/>
      </c>
      <c r="D603" s="64"/>
      <c r="E603" s="64"/>
      <c r="F603" s="65"/>
      <c r="G603" s="65"/>
      <c r="H603" s="67"/>
      <c r="I603" s="64"/>
      <c r="J603" s="65"/>
      <c r="K603" s="64"/>
      <c r="L603" s="64"/>
      <c r="M603" s="64"/>
      <c r="N603" s="72" t="str">
        <f aca="false">IF(B603="","",IF(D603="Anexo de modificación","No","Sí"))</f>
        <v/>
      </c>
      <c r="O603" s="73" t="str">
        <f aca="false">IF(AND(N603="Sí",ISNUMBER(F603)),COUNTIFS(C_ID,B603,C_DEFINE,"Sí",C_INICIO,"&lt;"&amp;F603)+COUNTIFS(B$7:B603,B603,N$7:N603,"Sí",F$7:F603,F603),"")</f>
        <v/>
      </c>
      <c r="P603" s="72" t="str">
        <f aca="false">IF(O603="","",B603&amp;"-P"&amp;O603)</f>
        <v/>
      </c>
      <c r="Q603" s="73" t="str">
        <f aca="false">IF(AND(N603="Sí",E603="Plazo fijo",ISNUMBER(F603)),COUNTIFS(C_ID,B603,C_TIPO,"Plazo fijo",C_DEFINE,"Sí",C_INICIO,"&lt;"&amp;F603)+COUNTIFS(B$7:B603,B603,E$7:E603,"Plazo fijo",N$7:N603,"Sí",F$7:F603,F603),"")</f>
        <v/>
      </c>
      <c r="R603" s="73" t="str">
        <f aca="false">IF(AND(B603&lt;&gt;"",ISNUMBER(H603),ISNUMBER(F603)),COUNTIFS(C_ID,B603,C_SUELDO,"&lt;&gt;",C_INICIO,"&lt;"&amp;F603)+COUNTIFS(B$7:B603,B603,H$7:H603,"&lt;&gt;",F$7:F603,F603),"")</f>
        <v/>
      </c>
      <c r="S603" s="72" t="str">
        <f aca="false">IF(R603="","",B603&amp;"-S"&amp;R603)</f>
        <v/>
      </c>
      <c r="T603" s="74" t="str">
        <f aca="false">IF(AND(ISNUMBER(F603),ISNUMBER(G603)),ROUND((G603-F603+1)/30.4375,1),"")</f>
        <v/>
      </c>
      <c r="U603" s="70" t="str">
        <f aca="false">IF(B603="","",IF(AND(N603="Sí",OR(E603="",NOT(ISNUMBER(F603)))),"⚠ Falta tipo de contrato o fecha de inicio",IF(NOT(ISNUMBER(F603)),"⚠ Falta fecha de inicio",IF(AND(N603="Sí",E603&lt;&gt;"Indefinido",NOT(ISNUMBER(G603))),"⚠ Falta fecha de término",IF(AND(D603="Paso a indefinido",E603&lt;&gt;"Indefinido"),"⚠ Un paso a indefinido debe tener tipo Indefinido",IF(N(Q603)&gt;=3,"⚠ 3er contrato a plazo fijo: por ley ya es INDEFINIDO (Art. 159 N°4)",IF(AND(E603="Plazo fijo",N(T603)&gt;12),"⚠ Plazo fijo mayor a 1 año (máx. legal; 2 años solo profesionales o técnicos)",IF(AND(ISNUMBER(G603),G603&lt;F603),"⚠ Término anterior al inicio",IF(AND(D603="Contrato inicial",ISNUMBER(J603),J603-F603&gt;15),"⚠ Escriturado fuera de plazo (Art. 9: 15 días)",IF(K603&lt;&gt;"Sí","Pendiente de firma","OK"))))))))))</f>
        <v/>
      </c>
    </row>
    <row r="604" customFormat="false" ht="15" hidden="false" customHeight="false" outlineLevel="0" collapsed="false">
      <c r="B604" s="64"/>
      <c r="C604" s="72" t="str">
        <f aca="false">IF(B604="","",IFERROR(INDEX(T_NOMBRE,MATCH(B604,T_ID,0)),"⚠ ID no existe en Trabajadores"))</f>
        <v/>
      </c>
      <c r="D604" s="64"/>
      <c r="E604" s="64"/>
      <c r="F604" s="65"/>
      <c r="G604" s="65"/>
      <c r="H604" s="67"/>
      <c r="I604" s="64"/>
      <c r="J604" s="65"/>
      <c r="K604" s="64"/>
      <c r="L604" s="64"/>
      <c r="M604" s="64"/>
      <c r="N604" s="72" t="str">
        <f aca="false">IF(B604="","",IF(D604="Anexo de modificación","No","Sí"))</f>
        <v/>
      </c>
      <c r="O604" s="73" t="str">
        <f aca="false">IF(AND(N604="Sí",ISNUMBER(F604)),COUNTIFS(C_ID,B604,C_DEFINE,"Sí",C_INICIO,"&lt;"&amp;F604)+COUNTIFS(B$7:B604,B604,N$7:N604,"Sí",F$7:F604,F604),"")</f>
        <v/>
      </c>
      <c r="P604" s="72" t="str">
        <f aca="false">IF(O604="","",B604&amp;"-P"&amp;O604)</f>
        <v/>
      </c>
      <c r="Q604" s="73" t="str">
        <f aca="false">IF(AND(N604="Sí",E604="Plazo fijo",ISNUMBER(F604)),COUNTIFS(C_ID,B604,C_TIPO,"Plazo fijo",C_DEFINE,"Sí",C_INICIO,"&lt;"&amp;F604)+COUNTIFS(B$7:B604,B604,E$7:E604,"Plazo fijo",N$7:N604,"Sí",F$7:F604,F604),"")</f>
        <v/>
      </c>
      <c r="R604" s="73" t="str">
        <f aca="false">IF(AND(B604&lt;&gt;"",ISNUMBER(H604),ISNUMBER(F604)),COUNTIFS(C_ID,B604,C_SUELDO,"&lt;&gt;",C_INICIO,"&lt;"&amp;F604)+COUNTIFS(B$7:B604,B604,H$7:H604,"&lt;&gt;",F$7:F604,F604),"")</f>
        <v/>
      </c>
      <c r="S604" s="72" t="str">
        <f aca="false">IF(R604="","",B604&amp;"-S"&amp;R604)</f>
        <v/>
      </c>
      <c r="T604" s="74" t="str">
        <f aca="false">IF(AND(ISNUMBER(F604),ISNUMBER(G604)),ROUND((G604-F604+1)/30.4375,1),"")</f>
        <v/>
      </c>
      <c r="U604" s="70" t="str">
        <f aca="false">IF(B604="","",IF(AND(N604="Sí",OR(E604="",NOT(ISNUMBER(F604)))),"⚠ Falta tipo de contrato o fecha de inicio",IF(NOT(ISNUMBER(F604)),"⚠ Falta fecha de inicio",IF(AND(N604="Sí",E604&lt;&gt;"Indefinido",NOT(ISNUMBER(G604))),"⚠ Falta fecha de término",IF(AND(D604="Paso a indefinido",E604&lt;&gt;"Indefinido"),"⚠ Un paso a indefinido debe tener tipo Indefinido",IF(N(Q604)&gt;=3,"⚠ 3er contrato a plazo fijo: por ley ya es INDEFINIDO (Art. 159 N°4)",IF(AND(E604="Plazo fijo",N(T604)&gt;12),"⚠ Plazo fijo mayor a 1 año (máx. legal; 2 años solo profesionales o técnicos)",IF(AND(ISNUMBER(G604),G604&lt;F604),"⚠ Término anterior al inicio",IF(AND(D604="Contrato inicial",ISNUMBER(J604),J604-F604&gt;15),"⚠ Escriturado fuera de plazo (Art. 9: 15 días)",IF(K604&lt;&gt;"Sí","Pendiente de firma","OK"))))))))))</f>
        <v/>
      </c>
    </row>
    <row r="605" customFormat="false" ht="15" hidden="false" customHeight="false" outlineLevel="0" collapsed="false">
      <c r="B605" s="64"/>
      <c r="C605" s="72" t="str">
        <f aca="false">IF(B605="","",IFERROR(INDEX(T_NOMBRE,MATCH(B605,T_ID,0)),"⚠ ID no existe en Trabajadores"))</f>
        <v/>
      </c>
      <c r="D605" s="64"/>
      <c r="E605" s="64"/>
      <c r="F605" s="65"/>
      <c r="G605" s="65"/>
      <c r="H605" s="67"/>
      <c r="I605" s="64"/>
      <c r="J605" s="65"/>
      <c r="K605" s="64"/>
      <c r="L605" s="64"/>
      <c r="M605" s="64"/>
      <c r="N605" s="72" t="str">
        <f aca="false">IF(B605="","",IF(D605="Anexo de modificación","No","Sí"))</f>
        <v/>
      </c>
      <c r="O605" s="73" t="str">
        <f aca="false">IF(AND(N605="Sí",ISNUMBER(F605)),COUNTIFS(C_ID,B605,C_DEFINE,"Sí",C_INICIO,"&lt;"&amp;F605)+COUNTIFS(B$7:B605,B605,N$7:N605,"Sí",F$7:F605,F605),"")</f>
        <v/>
      </c>
      <c r="P605" s="72" t="str">
        <f aca="false">IF(O605="","",B605&amp;"-P"&amp;O605)</f>
        <v/>
      </c>
      <c r="Q605" s="73" t="str">
        <f aca="false">IF(AND(N605="Sí",E605="Plazo fijo",ISNUMBER(F605)),COUNTIFS(C_ID,B605,C_TIPO,"Plazo fijo",C_DEFINE,"Sí",C_INICIO,"&lt;"&amp;F605)+COUNTIFS(B$7:B605,B605,E$7:E605,"Plazo fijo",N$7:N605,"Sí",F$7:F605,F605),"")</f>
        <v/>
      </c>
      <c r="R605" s="73" t="str">
        <f aca="false">IF(AND(B605&lt;&gt;"",ISNUMBER(H605),ISNUMBER(F605)),COUNTIFS(C_ID,B605,C_SUELDO,"&lt;&gt;",C_INICIO,"&lt;"&amp;F605)+COUNTIFS(B$7:B605,B605,H$7:H605,"&lt;&gt;",F$7:F605,F605),"")</f>
        <v/>
      </c>
      <c r="S605" s="72" t="str">
        <f aca="false">IF(R605="","",B605&amp;"-S"&amp;R605)</f>
        <v/>
      </c>
      <c r="T605" s="74" t="str">
        <f aca="false">IF(AND(ISNUMBER(F605),ISNUMBER(G605)),ROUND((G605-F605+1)/30.4375,1),"")</f>
        <v/>
      </c>
      <c r="U605" s="70" t="str">
        <f aca="false">IF(B605="","",IF(AND(N605="Sí",OR(E605="",NOT(ISNUMBER(F605)))),"⚠ Falta tipo de contrato o fecha de inicio",IF(NOT(ISNUMBER(F605)),"⚠ Falta fecha de inicio",IF(AND(N605="Sí",E605&lt;&gt;"Indefinido",NOT(ISNUMBER(G605))),"⚠ Falta fecha de término",IF(AND(D605="Paso a indefinido",E605&lt;&gt;"Indefinido"),"⚠ Un paso a indefinido debe tener tipo Indefinido",IF(N(Q605)&gt;=3,"⚠ 3er contrato a plazo fijo: por ley ya es INDEFINIDO (Art. 159 N°4)",IF(AND(E605="Plazo fijo",N(T605)&gt;12),"⚠ Plazo fijo mayor a 1 año (máx. legal; 2 años solo profesionales o técnicos)",IF(AND(ISNUMBER(G605),G605&lt;F605),"⚠ Término anterior al inicio",IF(AND(D605="Contrato inicial",ISNUMBER(J605),J605-F605&gt;15),"⚠ Escriturado fuera de plazo (Art. 9: 15 días)",IF(K605&lt;&gt;"Sí","Pendiente de firma","OK"))))))))))</f>
        <v/>
      </c>
    </row>
    <row r="606" customFormat="false" ht="15" hidden="false" customHeight="false" outlineLevel="0" collapsed="false">
      <c r="B606" s="64"/>
      <c r="C606" s="72" t="str">
        <f aca="false">IF(B606="","",IFERROR(INDEX(T_NOMBRE,MATCH(B606,T_ID,0)),"⚠ ID no existe en Trabajadores"))</f>
        <v/>
      </c>
      <c r="D606" s="64"/>
      <c r="E606" s="64"/>
      <c r="F606" s="65"/>
      <c r="G606" s="65"/>
      <c r="H606" s="67"/>
      <c r="I606" s="64"/>
      <c r="J606" s="65"/>
      <c r="K606" s="64"/>
      <c r="L606" s="64"/>
      <c r="M606" s="64"/>
      <c r="N606" s="72" t="str">
        <f aca="false">IF(B606="","",IF(D606="Anexo de modificación","No","Sí"))</f>
        <v/>
      </c>
      <c r="O606" s="73" t="str">
        <f aca="false">IF(AND(N606="Sí",ISNUMBER(F606)),COUNTIFS(C_ID,B606,C_DEFINE,"Sí",C_INICIO,"&lt;"&amp;F606)+COUNTIFS(B$7:B606,B606,N$7:N606,"Sí",F$7:F606,F606),"")</f>
        <v/>
      </c>
      <c r="P606" s="72" t="str">
        <f aca="false">IF(O606="","",B606&amp;"-P"&amp;O606)</f>
        <v/>
      </c>
      <c r="Q606" s="73" t="str">
        <f aca="false">IF(AND(N606="Sí",E606="Plazo fijo",ISNUMBER(F606)),COUNTIFS(C_ID,B606,C_TIPO,"Plazo fijo",C_DEFINE,"Sí",C_INICIO,"&lt;"&amp;F606)+COUNTIFS(B$7:B606,B606,E$7:E606,"Plazo fijo",N$7:N606,"Sí",F$7:F606,F606),"")</f>
        <v/>
      </c>
      <c r="R606" s="73" t="str">
        <f aca="false">IF(AND(B606&lt;&gt;"",ISNUMBER(H606),ISNUMBER(F606)),COUNTIFS(C_ID,B606,C_SUELDO,"&lt;&gt;",C_INICIO,"&lt;"&amp;F606)+COUNTIFS(B$7:B606,B606,H$7:H606,"&lt;&gt;",F$7:F606,F606),"")</f>
        <v/>
      </c>
      <c r="S606" s="72" t="str">
        <f aca="false">IF(R606="","",B606&amp;"-S"&amp;R606)</f>
        <v/>
      </c>
      <c r="T606" s="74" t="str">
        <f aca="false">IF(AND(ISNUMBER(F606),ISNUMBER(G606)),ROUND((G606-F606+1)/30.4375,1),"")</f>
        <v/>
      </c>
      <c r="U606" s="70" t="str">
        <f aca="false">IF(B606="","",IF(AND(N606="Sí",OR(E606="",NOT(ISNUMBER(F606)))),"⚠ Falta tipo de contrato o fecha de inicio",IF(NOT(ISNUMBER(F606)),"⚠ Falta fecha de inicio",IF(AND(N606="Sí",E606&lt;&gt;"Indefinido",NOT(ISNUMBER(G606))),"⚠ Falta fecha de término",IF(AND(D606="Paso a indefinido",E606&lt;&gt;"Indefinido"),"⚠ Un paso a indefinido debe tener tipo Indefinido",IF(N(Q606)&gt;=3,"⚠ 3er contrato a plazo fijo: por ley ya es INDEFINIDO (Art. 159 N°4)",IF(AND(E606="Plazo fijo",N(T606)&gt;12),"⚠ Plazo fijo mayor a 1 año (máx. legal; 2 años solo profesionales o técnicos)",IF(AND(ISNUMBER(G606),G606&lt;F606),"⚠ Término anterior al inicio",IF(AND(D606="Contrato inicial",ISNUMBER(J606),J606-F606&gt;15),"⚠ Escriturado fuera de plazo (Art. 9: 15 días)",IF(K606&lt;&gt;"Sí","Pendiente de firma","OK"))))))))))</f>
        <v/>
      </c>
    </row>
    <row r="607" customFormat="false" ht="15" hidden="false" customHeight="false" outlineLevel="0" collapsed="false">
      <c r="B607" s="64"/>
      <c r="C607" s="72" t="str">
        <f aca="false">IF(B607="","",IFERROR(INDEX(T_NOMBRE,MATCH(B607,T_ID,0)),"⚠ ID no existe en Trabajadores"))</f>
        <v/>
      </c>
      <c r="D607" s="64"/>
      <c r="E607" s="64"/>
      <c r="F607" s="65"/>
      <c r="G607" s="65"/>
      <c r="H607" s="67"/>
      <c r="I607" s="64"/>
      <c r="J607" s="65"/>
      <c r="K607" s="64"/>
      <c r="L607" s="64"/>
      <c r="M607" s="64"/>
      <c r="N607" s="72" t="str">
        <f aca="false">IF(B607="","",IF(D607="Anexo de modificación","No","Sí"))</f>
        <v/>
      </c>
      <c r="O607" s="73" t="str">
        <f aca="false">IF(AND(N607="Sí",ISNUMBER(F607)),COUNTIFS(C_ID,B607,C_DEFINE,"Sí",C_INICIO,"&lt;"&amp;F607)+COUNTIFS(B$7:B607,B607,N$7:N607,"Sí",F$7:F607,F607),"")</f>
        <v/>
      </c>
      <c r="P607" s="72" t="str">
        <f aca="false">IF(O607="","",B607&amp;"-P"&amp;O607)</f>
        <v/>
      </c>
      <c r="Q607" s="73" t="str">
        <f aca="false">IF(AND(N607="Sí",E607="Plazo fijo",ISNUMBER(F607)),COUNTIFS(C_ID,B607,C_TIPO,"Plazo fijo",C_DEFINE,"Sí",C_INICIO,"&lt;"&amp;F607)+COUNTIFS(B$7:B607,B607,E$7:E607,"Plazo fijo",N$7:N607,"Sí",F$7:F607,F607),"")</f>
        <v/>
      </c>
      <c r="R607" s="73" t="str">
        <f aca="false">IF(AND(B607&lt;&gt;"",ISNUMBER(H607),ISNUMBER(F607)),COUNTIFS(C_ID,B607,C_SUELDO,"&lt;&gt;",C_INICIO,"&lt;"&amp;F607)+COUNTIFS(B$7:B607,B607,H$7:H607,"&lt;&gt;",F$7:F607,F607),"")</f>
        <v/>
      </c>
      <c r="S607" s="72" t="str">
        <f aca="false">IF(R607="","",B607&amp;"-S"&amp;R607)</f>
        <v/>
      </c>
      <c r="T607" s="74" t="str">
        <f aca="false">IF(AND(ISNUMBER(F607),ISNUMBER(G607)),ROUND((G607-F607+1)/30.4375,1),"")</f>
        <v/>
      </c>
      <c r="U607" s="70" t="str">
        <f aca="false">IF(B607="","",IF(AND(N607="Sí",OR(E607="",NOT(ISNUMBER(F607)))),"⚠ Falta tipo de contrato o fecha de inicio",IF(NOT(ISNUMBER(F607)),"⚠ Falta fecha de inicio",IF(AND(N607="Sí",E607&lt;&gt;"Indefinido",NOT(ISNUMBER(G607))),"⚠ Falta fecha de término",IF(AND(D607="Paso a indefinido",E607&lt;&gt;"Indefinido"),"⚠ Un paso a indefinido debe tener tipo Indefinido",IF(N(Q607)&gt;=3,"⚠ 3er contrato a plazo fijo: por ley ya es INDEFINIDO (Art. 159 N°4)",IF(AND(E607="Plazo fijo",N(T607)&gt;12),"⚠ Plazo fijo mayor a 1 año (máx. legal; 2 años solo profesionales o técnicos)",IF(AND(ISNUMBER(G607),G607&lt;F607),"⚠ Término anterior al inicio",IF(AND(D607="Contrato inicial",ISNUMBER(J607),J607-F607&gt;15),"⚠ Escriturado fuera de plazo (Art. 9: 15 días)",IF(K607&lt;&gt;"Sí","Pendiente de firma","OK"))))))))))</f>
        <v/>
      </c>
    </row>
    <row r="608" customFormat="false" ht="15" hidden="false" customHeight="false" outlineLevel="0" collapsed="false">
      <c r="B608" s="64"/>
      <c r="C608" s="72" t="str">
        <f aca="false">IF(B608="","",IFERROR(INDEX(T_NOMBRE,MATCH(B608,T_ID,0)),"⚠ ID no existe en Trabajadores"))</f>
        <v/>
      </c>
      <c r="D608" s="64"/>
      <c r="E608" s="64"/>
      <c r="F608" s="65"/>
      <c r="G608" s="65"/>
      <c r="H608" s="67"/>
      <c r="I608" s="64"/>
      <c r="J608" s="65"/>
      <c r="K608" s="64"/>
      <c r="L608" s="64"/>
      <c r="M608" s="64"/>
      <c r="N608" s="72" t="str">
        <f aca="false">IF(B608="","",IF(D608="Anexo de modificación","No","Sí"))</f>
        <v/>
      </c>
      <c r="O608" s="73" t="str">
        <f aca="false">IF(AND(N608="Sí",ISNUMBER(F608)),COUNTIFS(C_ID,B608,C_DEFINE,"Sí",C_INICIO,"&lt;"&amp;F608)+COUNTIFS(B$7:B608,B608,N$7:N608,"Sí",F$7:F608,F608),"")</f>
        <v/>
      </c>
      <c r="P608" s="72" t="str">
        <f aca="false">IF(O608="","",B608&amp;"-P"&amp;O608)</f>
        <v/>
      </c>
      <c r="Q608" s="73" t="str">
        <f aca="false">IF(AND(N608="Sí",E608="Plazo fijo",ISNUMBER(F608)),COUNTIFS(C_ID,B608,C_TIPO,"Plazo fijo",C_DEFINE,"Sí",C_INICIO,"&lt;"&amp;F608)+COUNTIFS(B$7:B608,B608,E$7:E608,"Plazo fijo",N$7:N608,"Sí",F$7:F608,F608),"")</f>
        <v/>
      </c>
      <c r="R608" s="73" t="str">
        <f aca="false">IF(AND(B608&lt;&gt;"",ISNUMBER(H608),ISNUMBER(F608)),COUNTIFS(C_ID,B608,C_SUELDO,"&lt;&gt;",C_INICIO,"&lt;"&amp;F608)+COUNTIFS(B$7:B608,B608,H$7:H608,"&lt;&gt;",F$7:F608,F608),"")</f>
        <v/>
      </c>
      <c r="S608" s="72" t="str">
        <f aca="false">IF(R608="","",B608&amp;"-S"&amp;R608)</f>
        <v/>
      </c>
      <c r="T608" s="74" t="str">
        <f aca="false">IF(AND(ISNUMBER(F608),ISNUMBER(G608)),ROUND((G608-F608+1)/30.4375,1),"")</f>
        <v/>
      </c>
      <c r="U608" s="70" t="str">
        <f aca="false">IF(B608="","",IF(AND(N608="Sí",OR(E608="",NOT(ISNUMBER(F608)))),"⚠ Falta tipo de contrato o fecha de inicio",IF(NOT(ISNUMBER(F608)),"⚠ Falta fecha de inicio",IF(AND(N608="Sí",E608&lt;&gt;"Indefinido",NOT(ISNUMBER(G608))),"⚠ Falta fecha de término",IF(AND(D608="Paso a indefinido",E608&lt;&gt;"Indefinido"),"⚠ Un paso a indefinido debe tener tipo Indefinido",IF(N(Q608)&gt;=3,"⚠ 3er contrato a plazo fijo: por ley ya es INDEFINIDO (Art. 159 N°4)",IF(AND(E608="Plazo fijo",N(T608)&gt;12),"⚠ Plazo fijo mayor a 1 año (máx. legal; 2 años solo profesionales o técnicos)",IF(AND(ISNUMBER(G608),G608&lt;F608),"⚠ Término anterior al inicio",IF(AND(D608="Contrato inicial",ISNUMBER(J608),J608-F608&gt;15),"⚠ Escriturado fuera de plazo (Art. 9: 15 días)",IF(K608&lt;&gt;"Sí","Pendiente de firma","OK"))))))))))</f>
        <v/>
      </c>
    </row>
    <row r="609" customFormat="false" ht="15" hidden="false" customHeight="false" outlineLevel="0" collapsed="false">
      <c r="B609" s="64"/>
      <c r="C609" s="72" t="str">
        <f aca="false">IF(B609="","",IFERROR(INDEX(T_NOMBRE,MATCH(B609,T_ID,0)),"⚠ ID no existe en Trabajadores"))</f>
        <v/>
      </c>
      <c r="D609" s="64"/>
      <c r="E609" s="64"/>
      <c r="F609" s="65"/>
      <c r="G609" s="65"/>
      <c r="H609" s="67"/>
      <c r="I609" s="64"/>
      <c r="J609" s="65"/>
      <c r="K609" s="64"/>
      <c r="L609" s="64"/>
      <c r="M609" s="64"/>
      <c r="N609" s="72" t="str">
        <f aca="false">IF(B609="","",IF(D609="Anexo de modificación","No","Sí"))</f>
        <v/>
      </c>
      <c r="O609" s="73" t="str">
        <f aca="false">IF(AND(N609="Sí",ISNUMBER(F609)),COUNTIFS(C_ID,B609,C_DEFINE,"Sí",C_INICIO,"&lt;"&amp;F609)+COUNTIFS(B$7:B609,B609,N$7:N609,"Sí",F$7:F609,F609),"")</f>
        <v/>
      </c>
      <c r="P609" s="72" t="str">
        <f aca="false">IF(O609="","",B609&amp;"-P"&amp;O609)</f>
        <v/>
      </c>
      <c r="Q609" s="73" t="str">
        <f aca="false">IF(AND(N609="Sí",E609="Plazo fijo",ISNUMBER(F609)),COUNTIFS(C_ID,B609,C_TIPO,"Plazo fijo",C_DEFINE,"Sí",C_INICIO,"&lt;"&amp;F609)+COUNTIFS(B$7:B609,B609,E$7:E609,"Plazo fijo",N$7:N609,"Sí",F$7:F609,F609),"")</f>
        <v/>
      </c>
      <c r="R609" s="73" t="str">
        <f aca="false">IF(AND(B609&lt;&gt;"",ISNUMBER(H609),ISNUMBER(F609)),COUNTIFS(C_ID,B609,C_SUELDO,"&lt;&gt;",C_INICIO,"&lt;"&amp;F609)+COUNTIFS(B$7:B609,B609,H$7:H609,"&lt;&gt;",F$7:F609,F609),"")</f>
        <v/>
      </c>
      <c r="S609" s="72" t="str">
        <f aca="false">IF(R609="","",B609&amp;"-S"&amp;R609)</f>
        <v/>
      </c>
      <c r="T609" s="74" t="str">
        <f aca="false">IF(AND(ISNUMBER(F609),ISNUMBER(G609)),ROUND((G609-F609+1)/30.4375,1),"")</f>
        <v/>
      </c>
      <c r="U609" s="70" t="str">
        <f aca="false">IF(B609="","",IF(AND(N609="Sí",OR(E609="",NOT(ISNUMBER(F609)))),"⚠ Falta tipo de contrato o fecha de inicio",IF(NOT(ISNUMBER(F609)),"⚠ Falta fecha de inicio",IF(AND(N609="Sí",E609&lt;&gt;"Indefinido",NOT(ISNUMBER(G609))),"⚠ Falta fecha de término",IF(AND(D609="Paso a indefinido",E609&lt;&gt;"Indefinido"),"⚠ Un paso a indefinido debe tener tipo Indefinido",IF(N(Q609)&gt;=3,"⚠ 3er contrato a plazo fijo: por ley ya es INDEFINIDO (Art. 159 N°4)",IF(AND(E609="Plazo fijo",N(T609)&gt;12),"⚠ Plazo fijo mayor a 1 año (máx. legal; 2 años solo profesionales o técnicos)",IF(AND(ISNUMBER(G609),G609&lt;F609),"⚠ Término anterior al inicio",IF(AND(D609="Contrato inicial",ISNUMBER(J609),J609-F609&gt;15),"⚠ Escriturado fuera de plazo (Art. 9: 15 días)",IF(K609&lt;&gt;"Sí","Pendiente de firma","OK"))))))))))</f>
        <v/>
      </c>
    </row>
    <row r="610" customFormat="false" ht="15" hidden="false" customHeight="false" outlineLevel="0" collapsed="false">
      <c r="B610" s="64"/>
      <c r="C610" s="72" t="str">
        <f aca="false">IF(B610="","",IFERROR(INDEX(T_NOMBRE,MATCH(B610,T_ID,0)),"⚠ ID no existe en Trabajadores"))</f>
        <v/>
      </c>
      <c r="D610" s="64"/>
      <c r="E610" s="64"/>
      <c r="F610" s="65"/>
      <c r="G610" s="65"/>
      <c r="H610" s="67"/>
      <c r="I610" s="64"/>
      <c r="J610" s="65"/>
      <c r="K610" s="64"/>
      <c r="L610" s="64"/>
      <c r="M610" s="64"/>
      <c r="N610" s="72" t="str">
        <f aca="false">IF(B610="","",IF(D610="Anexo de modificación","No","Sí"))</f>
        <v/>
      </c>
      <c r="O610" s="73" t="str">
        <f aca="false">IF(AND(N610="Sí",ISNUMBER(F610)),COUNTIFS(C_ID,B610,C_DEFINE,"Sí",C_INICIO,"&lt;"&amp;F610)+COUNTIFS(B$7:B610,B610,N$7:N610,"Sí",F$7:F610,F610),"")</f>
        <v/>
      </c>
      <c r="P610" s="72" t="str">
        <f aca="false">IF(O610="","",B610&amp;"-P"&amp;O610)</f>
        <v/>
      </c>
      <c r="Q610" s="73" t="str">
        <f aca="false">IF(AND(N610="Sí",E610="Plazo fijo",ISNUMBER(F610)),COUNTIFS(C_ID,B610,C_TIPO,"Plazo fijo",C_DEFINE,"Sí",C_INICIO,"&lt;"&amp;F610)+COUNTIFS(B$7:B610,B610,E$7:E610,"Plazo fijo",N$7:N610,"Sí",F$7:F610,F610),"")</f>
        <v/>
      </c>
      <c r="R610" s="73" t="str">
        <f aca="false">IF(AND(B610&lt;&gt;"",ISNUMBER(H610),ISNUMBER(F610)),COUNTIFS(C_ID,B610,C_SUELDO,"&lt;&gt;",C_INICIO,"&lt;"&amp;F610)+COUNTIFS(B$7:B610,B610,H$7:H610,"&lt;&gt;",F$7:F610,F610),"")</f>
        <v/>
      </c>
      <c r="S610" s="72" t="str">
        <f aca="false">IF(R610="","",B610&amp;"-S"&amp;R610)</f>
        <v/>
      </c>
      <c r="T610" s="74" t="str">
        <f aca="false">IF(AND(ISNUMBER(F610),ISNUMBER(G610)),ROUND((G610-F610+1)/30.4375,1),"")</f>
        <v/>
      </c>
      <c r="U610" s="70" t="str">
        <f aca="false">IF(B610="","",IF(AND(N610="Sí",OR(E610="",NOT(ISNUMBER(F610)))),"⚠ Falta tipo de contrato o fecha de inicio",IF(NOT(ISNUMBER(F610)),"⚠ Falta fecha de inicio",IF(AND(N610="Sí",E610&lt;&gt;"Indefinido",NOT(ISNUMBER(G610))),"⚠ Falta fecha de término",IF(AND(D610="Paso a indefinido",E610&lt;&gt;"Indefinido"),"⚠ Un paso a indefinido debe tener tipo Indefinido",IF(N(Q610)&gt;=3,"⚠ 3er contrato a plazo fijo: por ley ya es INDEFINIDO (Art. 159 N°4)",IF(AND(E610="Plazo fijo",N(T610)&gt;12),"⚠ Plazo fijo mayor a 1 año (máx. legal; 2 años solo profesionales o técnicos)",IF(AND(ISNUMBER(G610),G610&lt;F610),"⚠ Término anterior al inicio",IF(AND(D610="Contrato inicial",ISNUMBER(J610),J610-F610&gt;15),"⚠ Escriturado fuera de plazo (Art. 9: 15 días)",IF(K610&lt;&gt;"Sí","Pendiente de firma","OK"))))))))))</f>
        <v/>
      </c>
    </row>
    <row r="611" customFormat="false" ht="15" hidden="false" customHeight="false" outlineLevel="0" collapsed="false">
      <c r="B611" s="64"/>
      <c r="C611" s="72" t="str">
        <f aca="false">IF(B611="","",IFERROR(INDEX(T_NOMBRE,MATCH(B611,T_ID,0)),"⚠ ID no existe en Trabajadores"))</f>
        <v/>
      </c>
      <c r="D611" s="64"/>
      <c r="E611" s="64"/>
      <c r="F611" s="65"/>
      <c r="G611" s="65"/>
      <c r="H611" s="67"/>
      <c r="I611" s="64"/>
      <c r="J611" s="65"/>
      <c r="K611" s="64"/>
      <c r="L611" s="64"/>
      <c r="M611" s="64"/>
      <c r="N611" s="72" t="str">
        <f aca="false">IF(B611="","",IF(D611="Anexo de modificación","No","Sí"))</f>
        <v/>
      </c>
      <c r="O611" s="73" t="str">
        <f aca="false">IF(AND(N611="Sí",ISNUMBER(F611)),COUNTIFS(C_ID,B611,C_DEFINE,"Sí",C_INICIO,"&lt;"&amp;F611)+COUNTIFS(B$7:B611,B611,N$7:N611,"Sí",F$7:F611,F611),"")</f>
        <v/>
      </c>
      <c r="P611" s="72" t="str">
        <f aca="false">IF(O611="","",B611&amp;"-P"&amp;O611)</f>
        <v/>
      </c>
      <c r="Q611" s="73" t="str">
        <f aca="false">IF(AND(N611="Sí",E611="Plazo fijo",ISNUMBER(F611)),COUNTIFS(C_ID,B611,C_TIPO,"Plazo fijo",C_DEFINE,"Sí",C_INICIO,"&lt;"&amp;F611)+COUNTIFS(B$7:B611,B611,E$7:E611,"Plazo fijo",N$7:N611,"Sí",F$7:F611,F611),"")</f>
        <v/>
      </c>
      <c r="R611" s="73" t="str">
        <f aca="false">IF(AND(B611&lt;&gt;"",ISNUMBER(H611),ISNUMBER(F611)),COUNTIFS(C_ID,B611,C_SUELDO,"&lt;&gt;",C_INICIO,"&lt;"&amp;F611)+COUNTIFS(B$7:B611,B611,H$7:H611,"&lt;&gt;",F$7:F611,F611),"")</f>
        <v/>
      </c>
      <c r="S611" s="72" t="str">
        <f aca="false">IF(R611="","",B611&amp;"-S"&amp;R611)</f>
        <v/>
      </c>
      <c r="T611" s="74" t="str">
        <f aca="false">IF(AND(ISNUMBER(F611),ISNUMBER(G611)),ROUND((G611-F611+1)/30.4375,1),"")</f>
        <v/>
      </c>
      <c r="U611" s="70" t="str">
        <f aca="false">IF(B611="","",IF(AND(N611="Sí",OR(E611="",NOT(ISNUMBER(F611)))),"⚠ Falta tipo de contrato o fecha de inicio",IF(NOT(ISNUMBER(F611)),"⚠ Falta fecha de inicio",IF(AND(N611="Sí",E611&lt;&gt;"Indefinido",NOT(ISNUMBER(G611))),"⚠ Falta fecha de término",IF(AND(D611="Paso a indefinido",E611&lt;&gt;"Indefinido"),"⚠ Un paso a indefinido debe tener tipo Indefinido",IF(N(Q611)&gt;=3,"⚠ 3er contrato a plazo fijo: por ley ya es INDEFINIDO (Art. 159 N°4)",IF(AND(E611="Plazo fijo",N(T611)&gt;12),"⚠ Plazo fijo mayor a 1 año (máx. legal; 2 años solo profesionales o técnicos)",IF(AND(ISNUMBER(G611),G611&lt;F611),"⚠ Término anterior al inicio",IF(AND(D611="Contrato inicial",ISNUMBER(J611),J611-F611&gt;15),"⚠ Escriturado fuera de plazo (Art. 9: 15 días)",IF(K611&lt;&gt;"Sí","Pendiente de firma","OK"))))))))))</f>
        <v/>
      </c>
    </row>
    <row r="612" customFormat="false" ht="15" hidden="false" customHeight="false" outlineLevel="0" collapsed="false">
      <c r="B612" s="64"/>
      <c r="C612" s="72" t="str">
        <f aca="false">IF(B612="","",IFERROR(INDEX(T_NOMBRE,MATCH(B612,T_ID,0)),"⚠ ID no existe en Trabajadores"))</f>
        <v/>
      </c>
      <c r="D612" s="64"/>
      <c r="E612" s="64"/>
      <c r="F612" s="65"/>
      <c r="G612" s="65"/>
      <c r="H612" s="67"/>
      <c r="I612" s="64"/>
      <c r="J612" s="65"/>
      <c r="K612" s="64"/>
      <c r="L612" s="64"/>
      <c r="M612" s="64"/>
      <c r="N612" s="72" t="str">
        <f aca="false">IF(B612="","",IF(D612="Anexo de modificación","No","Sí"))</f>
        <v/>
      </c>
      <c r="O612" s="73" t="str">
        <f aca="false">IF(AND(N612="Sí",ISNUMBER(F612)),COUNTIFS(C_ID,B612,C_DEFINE,"Sí",C_INICIO,"&lt;"&amp;F612)+COUNTIFS(B$7:B612,B612,N$7:N612,"Sí",F$7:F612,F612),"")</f>
        <v/>
      </c>
      <c r="P612" s="72" t="str">
        <f aca="false">IF(O612="","",B612&amp;"-P"&amp;O612)</f>
        <v/>
      </c>
      <c r="Q612" s="73" t="str">
        <f aca="false">IF(AND(N612="Sí",E612="Plazo fijo",ISNUMBER(F612)),COUNTIFS(C_ID,B612,C_TIPO,"Plazo fijo",C_DEFINE,"Sí",C_INICIO,"&lt;"&amp;F612)+COUNTIFS(B$7:B612,B612,E$7:E612,"Plazo fijo",N$7:N612,"Sí",F$7:F612,F612),"")</f>
        <v/>
      </c>
      <c r="R612" s="73" t="str">
        <f aca="false">IF(AND(B612&lt;&gt;"",ISNUMBER(H612),ISNUMBER(F612)),COUNTIFS(C_ID,B612,C_SUELDO,"&lt;&gt;",C_INICIO,"&lt;"&amp;F612)+COUNTIFS(B$7:B612,B612,H$7:H612,"&lt;&gt;",F$7:F612,F612),"")</f>
        <v/>
      </c>
      <c r="S612" s="72" t="str">
        <f aca="false">IF(R612="","",B612&amp;"-S"&amp;R612)</f>
        <v/>
      </c>
      <c r="T612" s="74" t="str">
        <f aca="false">IF(AND(ISNUMBER(F612),ISNUMBER(G612)),ROUND((G612-F612+1)/30.4375,1),"")</f>
        <v/>
      </c>
      <c r="U612" s="70" t="str">
        <f aca="false">IF(B612="","",IF(AND(N612="Sí",OR(E612="",NOT(ISNUMBER(F612)))),"⚠ Falta tipo de contrato o fecha de inicio",IF(NOT(ISNUMBER(F612)),"⚠ Falta fecha de inicio",IF(AND(N612="Sí",E612&lt;&gt;"Indefinido",NOT(ISNUMBER(G612))),"⚠ Falta fecha de término",IF(AND(D612="Paso a indefinido",E612&lt;&gt;"Indefinido"),"⚠ Un paso a indefinido debe tener tipo Indefinido",IF(N(Q612)&gt;=3,"⚠ 3er contrato a plazo fijo: por ley ya es INDEFINIDO (Art. 159 N°4)",IF(AND(E612="Plazo fijo",N(T612)&gt;12),"⚠ Plazo fijo mayor a 1 año (máx. legal; 2 años solo profesionales o técnicos)",IF(AND(ISNUMBER(G612),G612&lt;F612),"⚠ Término anterior al inicio",IF(AND(D612="Contrato inicial",ISNUMBER(J612),J612-F612&gt;15),"⚠ Escriturado fuera de plazo (Art. 9: 15 días)",IF(K612&lt;&gt;"Sí","Pendiente de firma","OK"))))))))))</f>
        <v/>
      </c>
    </row>
    <row r="613" customFormat="false" ht="15" hidden="false" customHeight="false" outlineLevel="0" collapsed="false">
      <c r="B613" s="64"/>
      <c r="C613" s="72" t="str">
        <f aca="false">IF(B613="","",IFERROR(INDEX(T_NOMBRE,MATCH(B613,T_ID,0)),"⚠ ID no existe en Trabajadores"))</f>
        <v/>
      </c>
      <c r="D613" s="64"/>
      <c r="E613" s="64"/>
      <c r="F613" s="65"/>
      <c r="G613" s="65"/>
      <c r="H613" s="67"/>
      <c r="I613" s="64"/>
      <c r="J613" s="65"/>
      <c r="K613" s="64"/>
      <c r="L613" s="64"/>
      <c r="M613" s="64"/>
      <c r="N613" s="72" t="str">
        <f aca="false">IF(B613="","",IF(D613="Anexo de modificación","No","Sí"))</f>
        <v/>
      </c>
      <c r="O613" s="73" t="str">
        <f aca="false">IF(AND(N613="Sí",ISNUMBER(F613)),COUNTIFS(C_ID,B613,C_DEFINE,"Sí",C_INICIO,"&lt;"&amp;F613)+COUNTIFS(B$7:B613,B613,N$7:N613,"Sí",F$7:F613,F613),"")</f>
        <v/>
      </c>
      <c r="P613" s="72" t="str">
        <f aca="false">IF(O613="","",B613&amp;"-P"&amp;O613)</f>
        <v/>
      </c>
      <c r="Q613" s="73" t="str">
        <f aca="false">IF(AND(N613="Sí",E613="Plazo fijo",ISNUMBER(F613)),COUNTIFS(C_ID,B613,C_TIPO,"Plazo fijo",C_DEFINE,"Sí",C_INICIO,"&lt;"&amp;F613)+COUNTIFS(B$7:B613,B613,E$7:E613,"Plazo fijo",N$7:N613,"Sí",F$7:F613,F613),"")</f>
        <v/>
      </c>
      <c r="R613" s="73" t="str">
        <f aca="false">IF(AND(B613&lt;&gt;"",ISNUMBER(H613),ISNUMBER(F613)),COUNTIFS(C_ID,B613,C_SUELDO,"&lt;&gt;",C_INICIO,"&lt;"&amp;F613)+COUNTIFS(B$7:B613,B613,H$7:H613,"&lt;&gt;",F$7:F613,F613),"")</f>
        <v/>
      </c>
      <c r="S613" s="72" t="str">
        <f aca="false">IF(R613="","",B613&amp;"-S"&amp;R613)</f>
        <v/>
      </c>
      <c r="T613" s="74" t="str">
        <f aca="false">IF(AND(ISNUMBER(F613),ISNUMBER(G613)),ROUND((G613-F613+1)/30.4375,1),"")</f>
        <v/>
      </c>
      <c r="U613" s="70" t="str">
        <f aca="false">IF(B613="","",IF(AND(N613="Sí",OR(E613="",NOT(ISNUMBER(F613)))),"⚠ Falta tipo de contrato o fecha de inicio",IF(NOT(ISNUMBER(F613)),"⚠ Falta fecha de inicio",IF(AND(N613="Sí",E613&lt;&gt;"Indefinido",NOT(ISNUMBER(G613))),"⚠ Falta fecha de término",IF(AND(D613="Paso a indefinido",E613&lt;&gt;"Indefinido"),"⚠ Un paso a indefinido debe tener tipo Indefinido",IF(N(Q613)&gt;=3,"⚠ 3er contrato a plazo fijo: por ley ya es INDEFINIDO (Art. 159 N°4)",IF(AND(E613="Plazo fijo",N(T613)&gt;12),"⚠ Plazo fijo mayor a 1 año (máx. legal; 2 años solo profesionales o técnicos)",IF(AND(ISNUMBER(G613),G613&lt;F613),"⚠ Término anterior al inicio",IF(AND(D613="Contrato inicial",ISNUMBER(J613),J613-F613&gt;15),"⚠ Escriturado fuera de plazo (Art. 9: 15 días)",IF(K613&lt;&gt;"Sí","Pendiente de firma","OK"))))))))))</f>
        <v/>
      </c>
    </row>
    <row r="614" customFormat="false" ht="15" hidden="false" customHeight="false" outlineLevel="0" collapsed="false">
      <c r="B614" s="64"/>
      <c r="C614" s="72" t="str">
        <f aca="false">IF(B614="","",IFERROR(INDEX(T_NOMBRE,MATCH(B614,T_ID,0)),"⚠ ID no existe en Trabajadores"))</f>
        <v/>
      </c>
      <c r="D614" s="64"/>
      <c r="E614" s="64"/>
      <c r="F614" s="65"/>
      <c r="G614" s="65"/>
      <c r="H614" s="67"/>
      <c r="I614" s="64"/>
      <c r="J614" s="65"/>
      <c r="K614" s="64"/>
      <c r="L614" s="64"/>
      <c r="M614" s="64"/>
      <c r="N614" s="72" t="str">
        <f aca="false">IF(B614="","",IF(D614="Anexo de modificación","No","Sí"))</f>
        <v/>
      </c>
      <c r="O614" s="73" t="str">
        <f aca="false">IF(AND(N614="Sí",ISNUMBER(F614)),COUNTIFS(C_ID,B614,C_DEFINE,"Sí",C_INICIO,"&lt;"&amp;F614)+COUNTIFS(B$7:B614,B614,N$7:N614,"Sí",F$7:F614,F614),"")</f>
        <v/>
      </c>
      <c r="P614" s="72" t="str">
        <f aca="false">IF(O614="","",B614&amp;"-P"&amp;O614)</f>
        <v/>
      </c>
      <c r="Q614" s="73" t="str">
        <f aca="false">IF(AND(N614="Sí",E614="Plazo fijo",ISNUMBER(F614)),COUNTIFS(C_ID,B614,C_TIPO,"Plazo fijo",C_DEFINE,"Sí",C_INICIO,"&lt;"&amp;F614)+COUNTIFS(B$7:B614,B614,E$7:E614,"Plazo fijo",N$7:N614,"Sí",F$7:F614,F614),"")</f>
        <v/>
      </c>
      <c r="R614" s="73" t="str">
        <f aca="false">IF(AND(B614&lt;&gt;"",ISNUMBER(H614),ISNUMBER(F614)),COUNTIFS(C_ID,B614,C_SUELDO,"&lt;&gt;",C_INICIO,"&lt;"&amp;F614)+COUNTIFS(B$7:B614,B614,H$7:H614,"&lt;&gt;",F$7:F614,F614),"")</f>
        <v/>
      </c>
      <c r="S614" s="72" t="str">
        <f aca="false">IF(R614="","",B614&amp;"-S"&amp;R614)</f>
        <v/>
      </c>
      <c r="T614" s="74" t="str">
        <f aca="false">IF(AND(ISNUMBER(F614),ISNUMBER(G614)),ROUND((G614-F614+1)/30.4375,1),"")</f>
        <v/>
      </c>
      <c r="U614" s="70" t="str">
        <f aca="false">IF(B614="","",IF(AND(N614="Sí",OR(E614="",NOT(ISNUMBER(F614)))),"⚠ Falta tipo de contrato o fecha de inicio",IF(NOT(ISNUMBER(F614)),"⚠ Falta fecha de inicio",IF(AND(N614="Sí",E614&lt;&gt;"Indefinido",NOT(ISNUMBER(G614))),"⚠ Falta fecha de término",IF(AND(D614="Paso a indefinido",E614&lt;&gt;"Indefinido"),"⚠ Un paso a indefinido debe tener tipo Indefinido",IF(N(Q614)&gt;=3,"⚠ 3er contrato a plazo fijo: por ley ya es INDEFINIDO (Art. 159 N°4)",IF(AND(E614="Plazo fijo",N(T614)&gt;12),"⚠ Plazo fijo mayor a 1 año (máx. legal; 2 años solo profesionales o técnicos)",IF(AND(ISNUMBER(G614),G614&lt;F614),"⚠ Término anterior al inicio",IF(AND(D614="Contrato inicial",ISNUMBER(J614),J614-F614&gt;15),"⚠ Escriturado fuera de plazo (Art. 9: 15 días)",IF(K614&lt;&gt;"Sí","Pendiente de firma","OK"))))))))))</f>
        <v/>
      </c>
    </row>
    <row r="615" customFormat="false" ht="15" hidden="false" customHeight="false" outlineLevel="0" collapsed="false">
      <c r="B615" s="64"/>
      <c r="C615" s="72" t="str">
        <f aca="false">IF(B615="","",IFERROR(INDEX(T_NOMBRE,MATCH(B615,T_ID,0)),"⚠ ID no existe en Trabajadores"))</f>
        <v/>
      </c>
      <c r="D615" s="64"/>
      <c r="E615" s="64"/>
      <c r="F615" s="65"/>
      <c r="G615" s="65"/>
      <c r="H615" s="67"/>
      <c r="I615" s="64"/>
      <c r="J615" s="65"/>
      <c r="K615" s="64"/>
      <c r="L615" s="64"/>
      <c r="M615" s="64"/>
      <c r="N615" s="72" t="str">
        <f aca="false">IF(B615="","",IF(D615="Anexo de modificación","No","Sí"))</f>
        <v/>
      </c>
      <c r="O615" s="73" t="str">
        <f aca="false">IF(AND(N615="Sí",ISNUMBER(F615)),COUNTIFS(C_ID,B615,C_DEFINE,"Sí",C_INICIO,"&lt;"&amp;F615)+COUNTIFS(B$7:B615,B615,N$7:N615,"Sí",F$7:F615,F615),"")</f>
        <v/>
      </c>
      <c r="P615" s="72" t="str">
        <f aca="false">IF(O615="","",B615&amp;"-P"&amp;O615)</f>
        <v/>
      </c>
      <c r="Q615" s="73" t="str">
        <f aca="false">IF(AND(N615="Sí",E615="Plazo fijo",ISNUMBER(F615)),COUNTIFS(C_ID,B615,C_TIPO,"Plazo fijo",C_DEFINE,"Sí",C_INICIO,"&lt;"&amp;F615)+COUNTIFS(B$7:B615,B615,E$7:E615,"Plazo fijo",N$7:N615,"Sí",F$7:F615,F615),"")</f>
        <v/>
      </c>
      <c r="R615" s="73" t="str">
        <f aca="false">IF(AND(B615&lt;&gt;"",ISNUMBER(H615),ISNUMBER(F615)),COUNTIFS(C_ID,B615,C_SUELDO,"&lt;&gt;",C_INICIO,"&lt;"&amp;F615)+COUNTIFS(B$7:B615,B615,H$7:H615,"&lt;&gt;",F$7:F615,F615),"")</f>
        <v/>
      </c>
      <c r="S615" s="72" t="str">
        <f aca="false">IF(R615="","",B615&amp;"-S"&amp;R615)</f>
        <v/>
      </c>
      <c r="T615" s="74" t="str">
        <f aca="false">IF(AND(ISNUMBER(F615),ISNUMBER(G615)),ROUND((G615-F615+1)/30.4375,1),"")</f>
        <v/>
      </c>
      <c r="U615" s="70" t="str">
        <f aca="false">IF(B615="","",IF(AND(N615="Sí",OR(E615="",NOT(ISNUMBER(F615)))),"⚠ Falta tipo de contrato o fecha de inicio",IF(NOT(ISNUMBER(F615)),"⚠ Falta fecha de inicio",IF(AND(N615="Sí",E615&lt;&gt;"Indefinido",NOT(ISNUMBER(G615))),"⚠ Falta fecha de término",IF(AND(D615="Paso a indefinido",E615&lt;&gt;"Indefinido"),"⚠ Un paso a indefinido debe tener tipo Indefinido",IF(N(Q615)&gt;=3,"⚠ 3er contrato a plazo fijo: por ley ya es INDEFINIDO (Art. 159 N°4)",IF(AND(E615="Plazo fijo",N(T615)&gt;12),"⚠ Plazo fijo mayor a 1 año (máx. legal; 2 años solo profesionales o técnicos)",IF(AND(ISNUMBER(G615),G615&lt;F615),"⚠ Término anterior al inicio",IF(AND(D615="Contrato inicial",ISNUMBER(J615),J615-F615&gt;15),"⚠ Escriturado fuera de plazo (Art. 9: 15 días)",IF(K615&lt;&gt;"Sí","Pendiente de firma","OK"))))))))))</f>
        <v/>
      </c>
    </row>
    <row r="616" customFormat="false" ht="15" hidden="false" customHeight="false" outlineLevel="0" collapsed="false">
      <c r="B616" s="64"/>
      <c r="C616" s="72" t="str">
        <f aca="false">IF(B616="","",IFERROR(INDEX(T_NOMBRE,MATCH(B616,T_ID,0)),"⚠ ID no existe en Trabajadores"))</f>
        <v/>
      </c>
      <c r="D616" s="64"/>
      <c r="E616" s="64"/>
      <c r="F616" s="65"/>
      <c r="G616" s="65"/>
      <c r="H616" s="67"/>
      <c r="I616" s="64"/>
      <c r="J616" s="65"/>
      <c r="K616" s="64"/>
      <c r="L616" s="64"/>
      <c r="M616" s="64"/>
      <c r="N616" s="72" t="str">
        <f aca="false">IF(B616="","",IF(D616="Anexo de modificación","No","Sí"))</f>
        <v/>
      </c>
      <c r="O616" s="73" t="str">
        <f aca="false">IF(AND(N616="Sí",ISNUMBER(F616)),COUNTIFS(C_ID,B616,C_DEFINE,"Sí",C_INICIO,"&lt;"&amp;F616)+COUNTIFS(B$7:B616,B616,N$7:N616,"Sí",F$7:F616,F616),"")</f>
        <v/>
      </c>
      <c r="P616" s="72" t="str">
        <f aca="false">IF(O616="","",B616&amp;"-P"&amp;O616)</f>
        <v/>
      </c>
      <c r="Q616" s="73" t="str">
        <f aca="false">IF(AND(N616="Sí",E616="Plazo fijo",ISNUMBER(F616)),COUNTIFS(C_ID,B616,C_TIPO,"Plazo fijo",C_DEFINE,"Sí",C_INICIO,"&lt;"&amp;F616)+COUNTIFS(B$7:B616,B616,E$7:E616,"Plazo fijo",N$7:N616,"Sí",F$7:F616,F616),"")</f>
        <v/>
      </c>
      <c r="R616" s="73" t="str">
        <f aca="false">IF(AND(B616&lt;&gt;"",ISNUMBER(H616),ISNUMBER(F616)),COUNTIFS(C_ID,B616,C_SUELDO,"&lt;&gt;",C_INICIO,"&lt;"&amp;F616)+COUNTIFS(B$7:B616,B616,H$7:H616,"&lt;&gt;",F$7:F616,F616),"")</f>
        <v/>
      </c>
      <c r="S616" s="72" t="str">
        <f aca="false">IF(R616="","",B616&amp;"-S"&amp;R616)</f>
        <v/>
      </c>
      <c r="T616" s="74" t="str">
        <f aca="false">IF(AND(ISNUMBER(F616),ISNUMBER(G616)),ROUND((G616-F616+1)/30.4375,1),"")</f>
        <v/>
      </c>
      <c r="U616" s="70" t="str">
        <f aca="false">IF(B616="","",IF(AND(N616="Sí",OR(E616="",NOT(ISNUMBER(F616)))),"⚠ Falta tipo de contrato o fecha de inicio",IF(NOT(ISNUMBER(F616)),"⚠ Falta fecha de inicio",IF(AND(N616="Sí",E616&lt;&gt;"Indefinido",NOT(ISNUMBER(G616))),"⚠ Falta fecha de término",IF(AND(D616="Paso a indefinido",E616&lt;&gt;"Indefinido"),"⚠ Un paso a indefinido debe tener tipo Indefinido",IF(N(Q616)&gt;=3,"⚠ 3er contrato a plazo fijo: por ley ya es INDEFINIDO (Art. 159 N°4)",IF(AND(E616="Plazo fijo",N(T616)&gt;12),"⚠ Plazo fijo mayor a 1 año (máx. legal; 2 años solo profesionales o técnicos)",IF(AND(ISNUMBER(G616),G616&lt;F616),"⚠ Término anterior al inicio",IF(AND(D616="Contrato inicial",ISNUMBER(J616),J616-F616&gt;15),"⚠ Escriturado fuera de plazo (Art. 9: 15 días)",IF(K616&lt;&gt;"Sí","Pendiente de firma","OK"))))))))))</f>
        <v/>
      </c>
    </row>
    <row r="617" customFormat="false" ht="15" hidden="false" customHeight="false" outlineLevel="0" collapsed="false">
      <c r="B617" s="64"/>
      <c r="C617" s="72" t="str">
        <f aca="false">IF(B617="","",IFERROR(INDEX(T_NOMBRE,MATCH(B617,T_ID,0)),"⚠ ID no existe en Trabajadores"))</f>
        <v/>
      </c>
      <c r="D617" s="64"/>
      <c r="E617" s="64"/>
      <c r="F617" s="65"/>
      <c r="G617" s="65"/>
      <c r="H617" s="67"/>
      <c r="I617" s="64"/>
      <c r="J617" s="65"/>
      <c r="K617" s="64"/>
      <c r="L617" s="64"/>
      <c r="M617" s="64"/>
      <c r="N617" s="72" t="str">
        <f aca="false">IF(B617="","",IF(D617="Anexo de modificación","No","Sí"))</f>
        <v/>
      </c>
      <c r="O617" s="73" t="str">
        <f aca="false">IF(AND(N617="Sí",ISNUMBER(F617)),COUNTIFS(C_ID,B617,C_DEFINE,"Sí",C_INICIO,"&lt;"&amp;F617)+COUNTIFS(B$7:B617,B617,N$7:N617,"Sí",F$7:F617,F617),"")</f>
        <v/>
      </c>
      <c r="P617" s="72" t="str">
        <f aca="false">IF(O617="","",B617&amp;"-P"&amp;O617)</f>
        <v/>
      </c>
      <c r="Q617" s="73" t="str">
        <f aca="false">IF(AND(N617="Sí",E617="Plazo fijo",ISNUMBER(F617)),COUNTIFS(C_ID,B617,C_TIPO,"Plazo fijo",C_DEFINE,"Sí",C_INICIO,"&lt;"&amp;F617)+COUNTIFS(B$7:B617,B617,E$7:E617,"Plazo fijo",N$7:N617,"Sí",F$7:F617,F617),"")</f>
        <v/>
      </c>
      <c r="R617" s="73" t="str">
        <f aca="false">IF(AND(B617&lt;&gt;"",ISNUMBER(H617),ISNUMBER(F617)),COUNTIFS(C_ID,B617,C_SUELDO,"&lt;&gt;",C_INICIO,"&lt;"&amp;F617)+COUNTIFS(B$7:B617,B617,H$7:H617,"&lt;&gt;",F$7:F617,F617),"")</f>
        <v/>
      </c>
      <c r="S617" s="72" t="str">
        <f aca="false">IF(R617="","",B617&amp;"-S"&amp;R617)</f>
        <v/>
      </c>
      <c r="T617" s="74" t="str">
        <f aca="false">IF(AND(ISNUMBER(F617),ISNUMBER(G617)),ROUND((G617-F617+1)/30.4375,1),"")</f>
        <v/>
      </c>
      <c r="U617" s="70" t="str">
        <f aca="false">IF(B617="","",IF(AND(N617="Sí",OR(E617="",NOT(ISNUMBER(F617)))),"⚠ Falta tipo de contrato o fecha de inicio",IF(NOT(ISNUMBER(F617)),"⚠ Falta fecha de inicio",IF(AND(N617="Sí",E617&lt;&gt;"Indefinido",NOT(ISNUMBER(G617))),"⚠ Falta fecha de término",IF(AND(D617="Paso a indefinido",E617&lt;&gt;"Indefinido"),"⚠ Un paso a indefinido debe tener tipo Indefinido",IF(N(Q617)&gt;=3,"⚠ 3er contrato a plazo fijo: por ley ya es INDEFINIDO (Art. 159 N°4)",IF(AND(E617="Plazo fijo",N(T617)&gt;12),"⚠ Plazo fijo mayor a 1 año (máx. legal; 2 años solo profesionales o técnicos)",IF(AND(ISNUMBER(G617),G617&lt;F617),"⚠ Término anterior al inicio",IF(AND(D617="Contrato inicial",ISNUMBER(J617),J617-F617&gt;15),"⚠ Escriturado fuera de plazo (Art. 9: 15 días)",IF(K617&lt;&gt;"Sí","Pendiente de firma","OK"))))))))))</f>
        <v/>
      </c>
    </row>
    <row r="618" customFormat="false" ht="15" hidden="false" customHeight="false" outlineLevel="0" collapsed="false">
      <c r="B618" s="64"/>
      <c r="C618" s="72" t="str">
        <f aca="false">IF(B618="","",IFERROR(INDEX(T_NOMBRE,MATCH(B618,T_ID,0)),"⚠ ID no existe en Trabajadores"))</f>
        <v/>
      </c>
      <c r="D618" s="64"/>
      <c r="E618" s="64"/>
      <c r="F618" s="65"/>
      <c r="G618" s="65"/>
      <c r="H618" s="67"/>
      <c r="I618" s="64"/>
      <c r="J618" s="65"/>
      <c r="K618" s="64"/>
      <c r="L618" s="64"/>
      <c r="M618" s="64"/>
      <c r="N618" s="72" t="str">
        <f aca="false">IF(B618="","",IF(D618="Anexo de modificación","No","Sí"))</f>
        <v/>
      </c>
      <c r="O618" s="73" t="str">
        <f aca="false">IF(AND(N618="Sí",ISNUMBER(F618)),COUNTIFS(C_ID,B618,C_DEFINE,"Sí",C_INICIO,"&lt;"&amp;F618)+COUNTIFS(B$7:B618,B618,N$7:N618,"Sí",F$7:F618,F618),"")</f>
        <v/>
      </c>
      <c r="P618" s="72" t="str">
        <f aca="false">IF(O618="","",B618&amp;"-P"&amp;O618)</f>
        <v/>
      </c>
      <c r="Q618" s="73" t="str">
        <f aca="false">IF(AND(N618="Sí",E618="Plazo fijo",ISNUMBER(F618)),COUNTIFS(C_ID,B618,C_TIPO,"Plazo fijo",C_DEFINE,"Sí",C_INICIO,"&lt;"&amp;F618)+COUNTIFS(B$7:B618,B618,E$7:E618,"Plazo fijo",N$7:N618,"Sí",F$7:F618,F618),"")</f>
        <v/>
      </c>
      <c r="R618" s="73" t="str">
        <f aca="false">IF(AND(B618&lt;&gt;"",ISNUMBER(H618),ISNUMBER(F618)),COUNTIFS(C_ID,B618,C_SUELDO,"&lt;&gt;",C_INICIO,"&lt;"&amp;F618)+COUNTIFS(B$7:B618,B618,H$7:H618,"&lt;&gt;",F$7:F618,F618),"")</f>
        <v/>
      </c>
      <c r="S618" s="72" t="str">
        <f aca="false">IF(R618="","",B618&amp;"-S"&amp;R618)</f>
        <v/>
      </c>
      <c r="T618" s="74" t="str">
        <f aca="false">IF(AND(ISNUMBER(F618),ISNUMBER(G618)),ROUND((G618-F618+1)/30.4375,1),"")</f>
        <v/>
      </c>
      <c r="U618" s="70" t="str">
        <f aca="false">IF(B618="","",IF(AND(N618="Sí",OR(E618="",NOT(ISNUMBER(F618)))),"⚠ Falta tipo de contrato o fecha de inicio",IF(NOT(ISNUMBER(F618)),"⚠ Falta fecha de inicio",IF(AND(N618="Sí",E618&lt;&gt;"Indefinido",NOT(ISNUMBER(G618))),"⚠ Falta fecha de término",IF(AND(D618="Paso a indefinido",E618&lt;&gt;"Indefinido"),"⚠ Un paso a indefinido debe tener tipo Indefinido",IF(N(Q618)&gt;=3,"⚠ 3er contrato a plazo fijo: por ley ya es INDEFINIDO (Art. 159 N°4)",IF(AND(E618="Plazo fijo",N(T618)&gt;12),"⚠ Plazo fijo mayor a 1 año (máx. legal; 2 años solo profesionales o técnicos)",IF(AND(ISNUMBER(G618),G618&lt;F618),"⚠ Término anterior al inicio",IF(AND(D618="Contrato inicial",ISNUMBER(J618),J618-F618&gt;15),"⚠ Escriturado fuera de plazo (Art. 9: 15 días)",IF(K618&lt;&gt;"Sí","Pendiente de firma","OK"))))))))))</f>
        <v/>
      </c>
    </row>
    <row r="619" customFormat="false" ht="15" hidden="false" customHeight="false" outlineLevel="0" collapsed="false">
      <c r="B619" s="64"/>
      <c r="C619" s="72" t="str">
        <f aca="false">IF(B619="","",IFERROR(INDEX(T_NOMBRE,MATCH(B619,T_ID,0)),"⚠ ID no existe en Trabajadores"))</f>
        <v/>
      </c>
      <c r="D619" s="64"/>
      <c r="E619" s="64"/>
      <c r="F619" s="65"/>
      <c r="G619" s="65"/>
      <c r="H619" s="67"/>
      <c r="I619" s="64"/>
      <c r="J619" s="65"/>
      <c r="K619" s="64"/>
      <c r="L619" s="64"/>
      <c r="M619" s="64"/>
      <c r="N619" s="72" t="str">
        <f aca="false">IF(B619="","",IF(D619="Anexo de modificación","No","Sí"))</f>
        <v/>
      </c>
      <c r="O619" s="73" t="str">
        <f aca="false">IF(AND(N619="Sí",ISNUMBER(F619)),COUNTIFS(C_ID,B619,C_DEFINE,"Sí",C_INICIO,"&lt;"&amp;F619)+COUNTIFS(B$7:B619,B619,N$7:N619,"Sí",F$7:F619,F619),"")</f>
        <v/>
      </c>
      <c r="P619" s="72" t="str">
        <f aca="false">IF(O619="","",B619&amp;"-P"&amp;O619)</f>
        <v/>
      </c>
      <c r="Q619" s="73" t="str">
        <f aca="false">IF(AND(N619="Sí",E619="Plazo fijo",ISNUMBER(F619)),COUNTIFS(C_ID,B619,C_TIPO,"Plazo fijo",C_DEFINE,"Sí",C_INICIO,"&lt;"&amp;F619)+COUNTIFS(B$7:B619,B619,E$7:E619,"Plazo fijo",N$7:N619,"Sí",F$7:F619,F619),"")</f>
        <v/>
      </c>
      <c r="R619" s="73" t="str">
        <f aca="false">IF(AND(B619&lt;&gt;"",ISNUMBER(H619),ISNUMBER(F619)),COUNTIFS(C_ID,B619,C_SUELDO,"&lt;&gt;",C_INICIO,"&lt;"&amp;F619)+COUNTIFS(B$7:B619,B619,H$7:H619,"&lt;&gt;",F$7:F619,F619),"")</f>
        <v/>
      </c>
      <c r="S619" s="72" t="str">
        <f aca="false">IF(R619="","",B619&amp;"-S"&amp;R619)</f>
        <v/>
      </c>
      <c r="T619" s="74" t="str">
        <f aca="false">IF(AND(ISNUMBER(F619),ISNUMBER(G619)),ROUND((G619-F619+1)/30.4375,1),"")</f>
        <v/>
      </c>
      <c r="U619" s="70" t="str">
        <f aca="false">IF(B619="","",IF(AND(N619="Sí",OR(E619="",NOT(ISNUMBER(F619)))),"⚠ Falta tipo de contrato o fecha de inicio",IF(NOT(ISNUMBER(F619)),"⚠ Falta fecha de inicio",IF(AND(N619="Sí",E619&lt;&gt;"Indefinido",NOT(ISNUMBER(G619))),"⚠ Falta fecha de término",IF(AND(D619="Paso a indefinido",E619&lt;&gt;"Indefinido"),"⚠ Un paso a indefinido debe tener tipo Indefinido",IF(N(Q619)&gt;=3,"⚠ 3er contrato a plazo fijo: por ley ya es INDEFINIDO (Art. 159 N°4)",IF(AND(E619="Plazo fijo",N(T619)&gt;12),"⚠ Plazo fijo mayor a 1 año (máx. legal; 2 años solo profesionales o técnicos)",IF(AND(ISNUMBER(G619),G619&lt;F619),"⚠ Término anterior al inicio",IF(AND(D619="Contrato inicial",ISNUMBER(J619),J619-F619&gt;15),"⚠ Escriturado fuera de plazo (Art. 9: 15 días)",IF(K619&lt;&gt;"Sí","Pendiente de firma","OK"))))))))))</f>
        <v/>
      </c>
    </row>
    <row r="620" customFormat="false" ht="15" hidden="false" customHeight="false" outlineLevel="0" collapsed="false">
      <c r="B620" s="64"/>
      <c r="C620" s="72" t="str">
        <f aca="false">IF(B620="","",IFERROR(INDEX(T_NOMBRE,MATCH(B620,T_ID,0)),"⚠ ID no existe en Trabajadores"))</f>
        <v/>
      </c>
      <c r="D620" s="64"/>
      <c r="E620" s="64"/>
      <c r="F620" s="65"/>
      <c r="G620" s="65"/>
      <c r="H620" s="67"/>
      <c r="I620" s="64"/>
      <c r="J620" s="65"/>
      <c r="K620" s="64"/>
      <c r="L620" s="64"/>
      <c r="M620" s="64"/>
      <c r="N620" s="72" t="str">
        <f aca="false">IF(B620="","",IF(D620="Anexo de modificación","No","Sí"))</f>
        <v/>
      </c>
      <c r="O620" s="73" t="str">
        <f aca="false">IF(AND(N620="Sí",ISNUMBER(F620)),COUNTIFS(C_ID,B620,C_DEFINE,"Sí",C_INICIO,"&lt;"&amp;F620)+COUNTIFS(B$7:B620,B620,N$7:N620,"Sí",F$7:F620,F620),"")</f>
        <v/>
      </c>
      <c r="P620" s="72" t="str">
        <f aca="false">IF(O620="","",B620&amp;"-P"&amp;O620)</f>
        <v/>
      </c>
      <c r="Q620" s="73" t="str">
        <f aca="false">IF(AND(N620="Sí",E620="Plazo fijo",ISNUMBER(F620)),COUNTIFS(C_ID,B620,C_TIPO,"Plazo fijo",C_DEFINE,"Sí",C_INICIO,"&lt;"&amp;F620)+COUNTIFS(B$7:B620,B620,E$7:E620,"Plazo fijo",N$7:N620,"Sí",F$7:F620,F620),"")</f>
        <v/>
      </c>
      <c r="R620" s="73" t="str">
        <f aca="false">IF(AND(B620&lt;&gt;"",ISNUMBER(H620),ISNUMBER(F620)),COUNTIFS(C_ID,B620,C_SUELDO,"&lt;&gt;",C_INICIO,"&lt;"&amp;F620)+COUNTIFS(B$7:B620,B620,H$7:H620,"&lt;&gt;",F$7:F620,F620),"")</f>
        <v/>
      </c>
      <c r="S620" s="72" t="str">
        <f aca="false">IF(R620="","",B620&amp;"-S"&amp;R620)</f>
        <v/>
      </c>
      <c r="T620" s="74" t="str">
        <f aca="false">IF(AND(ISNUMBER(F620),ISNUMBER(G620)),ROUND((G620-F620+1)/30.4375,1),"")</f>
        <v/>
      </c>
      <c r="U620" s="70" t="str">
        <f aca="false">IF(B620="","",IF(AND(N620="Sí",OR(E620="",NOT(ISNUMBER(F620)))),"⚠ Falta tipo de contrato o fecha de inicio",IF(NOT(ISNUMBER(F620)),"⚠ Falta fecha de inicio",IF(AND(N620="Sí",E620&lt;&gt;"Indefinido",NOT(ISNUMBER(G620))),"⚠ Falta fecha de término",IF(AND(D620="Paso a indefinido",E620&lt;&gt;"Indefinido"),"⚠ Un paso a indefinido debe tener tipo Indefinido",IF(N(Q620)&gt;=3,"⚠ 3er contrato a plazo fijo: por ley ya es INDEFINIDO (Art. 159 N°4)",IF(AND(E620="Plazo fijo",N(T620)&gt;12),"⚠ Plazo fijo mayor a 1 año (máx. legal; 2 años solo profesionales o técnicos)",IF(AND(ISNUMBER(G620),G620&lt;F620),"⚠ Término anterior al inicio",IF(AND(D620="Contrato inicial",ISNUMBER(J620),J620-F620&gt;15),"⚠ Escriturado fuera de plazo (Art. 9: 15 días)",IF(K620&lt;&gt;"Sí","Pendiente de firma","OK"))))))))))</f>
        <v/>
      </c>
    </row>
    <row r="621" customFormat="false" ht="15" hidden="false" customHeight="false" outlineLevel="0" collapsed="false">
      <c r="B621" s="64"/>
      <c r="C621" s="72" t="str">
        <f aca="false">IF(B621="","",IFERROR(INDEX(T_NOMBRE,MATCH(B621,T_ID,0)),"⚠ ID no existe en Trabajadores"))</f>
        <v/>
      </c>
      <c r="D621" s="64"/>
      <c r="E621" s="64"/>
      <c r="F621" s="65"/>
      <c r="G621" s="65"/>
      <c r="H621" s="67"/>
      <c r="I621" s="64"/>
      <c r="J621" s="65"/>
      <c r="K621" s="64"/>
      <c r="L621" s="64"/>
      <c r="M621" s="64"/>
      <c r="N621" s="72" t="str">
        <f aca="false">IF(B621="","",IF(D621="Anexo de modificación","No","Sí"))</f>
        <v/>
      </c>
      <c r="O621" s="73" t="str">
        <f aca="false">IF(AND(N621="Sí",ISNUMBER(F621)),COUNTIFS(C_ID,B621,C_DEFINE,"Sí",C_INICIO,"&lt;"&amp;F621)+COUNTIFS(B$7:B621,B621,N$7:N621,"Sí",F$7:F621,F621),"")</f>
        <v/>
      </c>
      <c r="P621" s="72" t="str">
        <f aca="false">IF(O621="","",B621&amp;"-P"&amp;O621)</f>
        <v/>
      </c>
      <c r="Q621" s="73" t="str">
        <f aca="false">IF(AND(N621="Sí",E621="Plazo fijo",ISNUMBER(F621)),COUNTIFS(C_ID,B621,C_TIPO,"Plazo fijo",C_DEFINE,"Sí",C_INICIO,"&lt;"&amp;F621)+COUNTIFS(B$7:B621,B621,E$7:E621,"Plazo fijo",N$7:N621,"Sí",F$7:F621,F621),"")</f>
        <v/>
      </c>
      <c r="R621" s="73" t="str">
        <f aca="false">IF(AND(B621&lt;&gt;"",ISNUMBER(H621),ISNUMBER(F621)),COUNTIFS(C_ID,B621,C_SUELDO,"&lt;&gt;",C_INICIO,"&lt;"&amp;F621)+COUNTIFS(B$7:B621,B621,H$7:H621,"&lt;&gt;",F$7:F621,F621),"")</f>
        <v/>
      </c>
      <c r="S621" s="72" t="str">
        <f aca="false">IF(R621="","",B621&amp;"-S"&amp;R621)</f>
        <v/>
      </c>
      <c r="T621" s="74" t="str">
        <f aca="false">IF(AND(ISNUMBER(F621),ISNUMBER(G621)),ROUND((G621-F621+1)/30.4375,1),"")</f>
        <v/>
      </c>
      <c r="U621" s="70" t="str">
        <f aca="false">IF(B621="","",IF(AND(N621="Sí",OR(E621="",NOT(ISNUMBER(F621)))),"⚠ Falta tipo de contrato o fecha de inicio",IF(NOT(ISNUMBER(F621)),"⚠ Falta fecha de inicio",IF(AND(N621="Sí",E621&lt;&gt;"Indefinido",NOT(ISNUMBER(G621))),"⚠ Falta fecha de término",IF(AND(D621="Paso a indefinido",E621&lt;&gt;"Indefinido"),"⚠ Un paso a indefinido debe tener tipo Indefinido",IF(N(Q621)&gt;=3,"⚠ 3er contrato a plazo fijo: por ley ya es INDEFINIDO (Art. 159 N°4)",IF(AND(E621="Plazo fijo",N(T621)&gt;12),"⚠ Plazo fijo mayor a 1 año (máx. legal; 2 años solo profesionales o técnicos)",IF(AND(ISNUMBER(G621),G621&lt;F621),"⚠ Término anterior al inicio",IF(AND(D621="Contrato inicial",ISNUMBER(J621),J621-F621&gt;15),"⚠ Escriturado fuera de plazo (Art. 9: 15 días)",IF(K621&lt;&gt;"Sí","Pendiente de firma","OK"))))))))))</f>
        <v/>
      </c>
    </row>
    <row r="622" customFormat="false" ht="15" hidden="false" customHeight="false" outlineLevel="0" collapsed="false">
      <c r="B622" s="64"/>
      <c r="C622" s="72" t="str">
        <f aca="false">IF(B622="","",IFERROR(INDEX(T_NOMBRE,MATCH(B622,T_ID,0)),"⚠ ID no existe en Trabajadores"))</f>
        <v/>
      </c>
      <c r="D622" s="64"/>
      <c r="E622" s="64"/>
      <c r="F622" s="65"/>
      <c r="G622" s="65"/>
      <c r="H622" s="67"/>
      <c r="I622" s="64"/>
      <c r="J622" s="65"/>
      <c r="K622" s="64"/>
      <c r="L622" s="64"/>
      <c r="M622" s="64"/>
      <c r="N622" s="72" t="str">
        <f aca="false">IF(B622="","",IF(D622="Anexo de modificación","No","Sí"))</f>
        <v/>
      </c>
      <c r="O622" s="73" t="str">
        <f aca="false">IF(AND(N622="Sí",ISNUMBER(F622)),COUNTIFS(C_ID,B622,C_DEFINE,"Sí",C_INICIO,"&lt;"&amp;F622)+COUNTIFS(B$7:B622,B622,N$7:N622,"Sí",F$7:F622,F622),"")</f>
        <v/>
      </c>
      <c r="P622" s="72" t="str">
        <f aca="false">IF(O622="","",B622&amp;"-P"&amp;O622)</f>
        <v/>
      </c>
      <c r="Q622" s="73" t="str">
        <f aca="false">IF(AND(N622="Sí",E622="Plazo fijo",ISNUMBER(F622)),COUNTIFS(C_ID,B622,C_TIPO,"Plazo fijo",C_DEFINE,"Sí",C_INICIO,"&lt;"&amp;F622)+COUNTIFS(B$7:B622,B622,E$7:E622,"Plazo fijo",N$7:N622,"Sí",F$7:F622,F622),"")</f>
        <v/>
      </c>
      <c r="R622" s="73" t="str">
        <f aca="false">IF(AND(B622&lt;&gt;"",ISNUMBER(H622),ISNUMBER(F622)),COUNTIFS(C_ID,B622,C_SUELDO,"&lt;&gt;",C_INICIO,"&lt;"&amp;F622)+COUNTIFS(B$7:B622,B622,H$7:H622,"&lt;&gt;",F$7:F622,F622),"")</f>
        <v/>
      </c>
      <c r="S622" s="72" t="str">
        <f aca="false">IF(R622="","",B622&amp;"-S"&amp;R622)</f>
        <v/>
      </c>
      <c r="T622" s="74" t="str">
        <f aca="false">IF(AND(ISNUMBER(F622),ISNUMBER(G622)),ROUND((G622-F622+1)/30.4375,1),"")</f>
        <v/>
      </c>
      <c r="U622" s="70" t="str">
        <f aca="false">IF(B622="","",IF(AND(N622="Sí",OR(E622="",NOT(ISNUMBER(F622)))),"⚠ Falta tipo de contrato o fecha de inicio",IF(NOT(ISNUMBER(F622)),"⚠ Falta fecha de inicio",IF(AND(N622="Sí",E622&lt;&gt;"Indefinido",NOT(ISNUMBER(G622))),"⚠ Falta fecha de término",IF(AND(D622="Paso a indefinido",E622&lt;&gt;"Indefinido"),"⚠ Un paso a indefinido debe tener tipo Indefinido",IF(N(Q622)&gt;=3,"⚠ 3er contrato a plazo fijo: por ley ya es INDEFINIDO (Art. 159 N°4)",IF(AND(E622="Plazo fijo",N(T622)&gt;12),"⚠ Plazo fijo mayor a 1 año (máx. legal; 2 años solo profesionales o técnicos)",IF(AND(ISNUMBER(G622),G622&lt;F622),"⚠ Término anterior al inicio",IF(AND(D622="Contrato inicial",ISNUMBER(J622),J622-F622&gt;15),"⚠ Escriturado fuera de plazo (Art. 9: 15 días)",IF(K622&lt;&gt;"Sí","Pendiente de firma","OK"))))))))))</f>
        <v/>
      </c>
    </row>
    <row r="623" customFormat="false" ht="15" hidden="false" customHeight="false" outlineLevel="0" collapsed="false">
      <c r="B623" s="64"/>
      <c r="C623" s="72" t="str">
        <f aca="false">IF(B623="","",IFERROR(INDEX(T_NOMBRE,MATCH(B623,T_ID,0)),"⚠ ID no existe en Trabajadores"))</f>
        <v/>
      </c>
      <c r="D623" s="64"/>
      <c r="E623" s="64"/>
      <c r="F623" s="65"/>
      <c r="G623" s="65"/>
      <c r="H623" s="67"/>
      <c r="I623" s="64"/>
      <c r="J623" s="65"/>
      <c r="K623" s="64"/>
      <c r="L623" s="64"/>
      <c r="M623" s="64"/>
      <c r="N623" s="72" t="str">
        <f aca="false">IF(B623="","",IF(D623="Anexo de modificación","No","Sí"))</f>
        <v/>
      </c>
      <c r="O623" s="73" t="str">
        <f aca="false">IF(AND(N623="Sí",ISNUMBER(F623)),COUNTIFS(C_ID,B623,C_DEFINE,"Sí",C_INICIO,"&lt;"&amp;F623)+COUNTIFS(B$7:B623,B623,N$7:N623,"Sí",F$7:F623,F623),"")</f>
        <v/>
      </c>
      <c r="P623" s="72" t="str">
        <f aca="false">IF(O623="","",B623&amp;"-P"&amp;O623)</f>
        <v/>
      </c>
      <c r="Q623" s="73" t="str">
        <f aca="false">IF(AND(N623="Sí",E623="Plazo fijo",ISNUMBER(F623)),COUNTIFS(C_ID,B623,C_TIPO,"Plazo fijo",C_DEFINE,"Sí",C_INICIO,"&lt;"&amp;F623)+COUNTIFS(B$7:B623,B623,E$7:E623,"Plazo fijo",N$7:N623,"Sí",F$7:F623,F623),"")</f>
        <v/>
      </c>
      <c r="R623" s="73" t="str">
        <f aca="false">IF(AND(B623&lt;&gt;"",ISNUMBER(H623),ISNUMBER(F623)),COUNTIFS(C_ID,B623,C_SUELDO,"&lt;&gt;",C_INICIO,"&lt;"&amp;F623)+COUNTIFS(B$7:B623,B623,H$7:H623,"&lt;&gt;",F$7:F623,F623),"")</f>
        <v/>
      </c>
      <c r="S623" s="72" t="str">
        <f aca="false">IF(R623="","",B623&amp;"-S"&amp;R623)</f>
        <v/>
      </c>
      <c r="T623" s="74" t="str">
        <f aca="false">IF(AND(ISNUMBER(F623),ISNUMBER(G623)),ROUND((G623-F623+1)/30.4375,1),"")</f>
        <v/>
      </c>
      <c r="U623" s="70" t="str">
        <f aca="false">IF(B623="","",IF(AND(N623="Sí",OR(E623="",NOT(ISNUMBER(F623)))),"⚠ Falta tipo de contrato o fecha de inicio",IF(NOT(ISNUMBER(F623)),"⚠ Falta fecha de inicio",IF(AND(N623="Sí",E623&lt;&gt;"Indefinido",NOT(ISNUMBER(G623))),"⚠ Falta fecha de término",IF(AND(D623="Paso a indefinido",E623&lt;&gt;"Indefinido"),"⚠ Un paso a indefinido debe tener tipo Indefinido",IF(N(Q623)&gt;=3,"⚠ 3er contrato a plazo fijo: por ley ya es INDEFINIDO (Art. 159 N°4)",IF(AND(E623="Plazo fijo",N(T623)&gt;12),"⚠ Plazo fijo mayor a 1 año (máx. legal; 2 años solo profesionales o técnicos)",IF(AND(ISNUMBER(G623),G623&lt;F623),"⚠ Término anterior al inicio",IF(AND(D623="Contrato inicial",ISNUMBER(J623),J623-F623&gt;15),"⚠ Escriturado fuera de plazo (Art. 9: 15 días)",IF(K623&lt;&gt;"Sí","Pendiente de firma","OK"))))))))))</f>
        <v/>
      </c>
    </row>
    <row r="624" customFormat="false" ht="15" hidden="false" customHeight="false" outlineLevel="0" collapsed="false">
      <c r="B624" s="64"/>
      <c r="C624" s="72" t="str">
        <f aca="false">IF(B624="","",IFERROR(INDEX(T_NOMBRE,MATCH(B624,T_ID,0)),"⚠ ID no existe en Trabajadores"))</f>
        <v/>
      </c>
      <c r="D624" s="64"/>
      <c r="E624" s="64"/>
      <c r="F624" s="65"/>
      <c r="G624" s="65"/>
      <c r="H624" s="67"/>
      <c r="I624" s="64"/>
      <c r="J624" s="65"/>
      <c r="K624" s="64"/>
      <c r="L624" s="64"/>
      <c r="M624" s="64"/>
      <c r="N624" s="72" t="str">
        <f aca="false">IF(B624="","",IF(D624="Anexo de modificación","No","Sí"))</f>
        <v/>
      </c>
      <c r="O624" s="73" t="str">
        <f aca="false">IF(AND(N624="Sí",ISNUMBER(F624)),COUNTIFS(C_ID,B624,C_DEFINE,"Sí",C_INICIO,"&lt;"&amp;F624)+COUNTIFS(B$7:B624,B624,N$7:N624,"Sí",F$7:F624,F624),"")</f>
        <v/>
      </c>
      <c r="P624" s="72" t="str">
        <f aca="false">IF(O624="","",B624&amp;"-P"&amp;O624)</f>
        <v/>
      </c>
      <c r="Q624" s="73" t="str">
        <f aca="false">IF(AND(N624="Sí",E624="Plazo fijo",ISNUMBER(F624)),COUNTIFS(C_ID,B624,C_TIPO,"Plazo fijo",C_DEFINE,"Sí",C_INICIO,"&lt;"&amp;F624)+COUNTIFS(B$7:B624,B624,E$7:E624,"Plazo fijo",N$7:N624,"Sí",F$7:F624,F624),"")</f>
        <v/>
      </c>
      <c r="R624" s="73" t="str">
        <f aca="false">IF(AND(B624&lt;&gt;"",ISNUMBER(H624),ISNUMBER(F624)),COUNTIFS(C_ID,B624,C_SUELDO,"&lt;&gt;",C_INICIO,"&lt;"&amp;F624)+COUNTIFS(B$7:B624,B624,H$7:H624,"&lt;&gt;",F$7:F624,F624),"")</f>
        <v/>
      </c>
      <c r="S624" s="72" t="str">
        <f aca="false">IF(R624="","",B624&amp;"-S"&amp;R624)</f>
        <v/>
      </c>
      <c r="T624" s="74" t="str">
        <f aca="false">IF(AND(ISNUMBER(F624),ISNUMBER(G624)),ROUND((G624-F624+1)/30.4375,1),"")</f>
        <v/>
      </c>
      <c r="U624" s="70" t="str">
        <f aca="false">IF(B624="","",IF(AND(N624="Sí",OR(E624="",NOT(ISNUMBER(F624)))),"⚠ Falta tipo de contrato o fecha de inicio",IF(NOT(ISNUMBER(F624)),"⚠ Falta fecha de inicio",IF(AND(N624="Sí",E624&lt;&gt;"Indefinido",NOT(ISNUMBER(G624))),"⚠ Falta fecha de término",IF(AND(D624="Paso a indefinido",E624&lt;&gt;"Indefinido"),"⚠ Un paso a indefinido debe tener tipo Indefinido",IF(N(Q624)&gt;=3,"⚠ 3er contrato a plazo fijo: por ley ya es INDEFINIDO (Art. 159 N°4)",IF(AND(E624="Plazo fijo",N(T624)&gt;12),"⚠ Plazo fijo mayor a 1 año (máx. legal; 2 años solo profesionales o técnicos)",IF(AND(ISNUMBER(G624),G624&lt;F624),"⚠ Término anterior al inicio",IF(AND(D624="Contrato inicial",ISNUMBER(J624),J624-F624&gt;15),"⚠ Escriturado fuera de plazo (Art. 9: 15 días)",IF(K624&lt;&gt;"Sí","Pendiente de firma","OK"))))))))))</f>
        <v/>
      </c>
    </row>
    <row r="625" customFormat="false" ht="15" hidden="false" customHeight="false" outlineLevel="0" collapsed="false">
      <c r="B625" s="64"/>
      <c r="C625" s="72" t="str">
        <f aca="false">IF(B625="","",IFERROR(INDEX(T_NOMBRE,MATCH(B625,T_ID,0)),"⚠ ID no existe en Trabajadores"))</f>
        <v/>
      </c>
      <c r="D625" s="64"/>
      <c r="E625" s="64"/>
      <c r="F625" s="65"/>
      <c r="G625" s="65"/>
      <c r="H625" s="67"/>
      <c r="I625" s="64"/>
      <c r="J625" s="65"/>
      <c r="K625" s="64"/>
      <c r="L625" s="64"/>
      <c r="M625" s="64"/>
      <c r="N625" s="72" t="str">
        <f aca="false">IF(B625="","",IF(D625="Anexo de modificación","No","Sí"))</f>
        <v/>
      </c>
      <c r="O625" s="73" t="str">
        <f aca="false">IF(AND(N625="Sí",ISNUMBER(F625)),COUNTIFS(C_ID,B625,C_DEFINE,"Sí",C_INICIO,"&lt;"&amp;F625)+COUNTIFS(B$7:B625,B625,N$7:N625,"Sí",F$7:F625,F625),"")</f>
        <v/>
      </c>
      <c r="P625" s="72" t="str">
        <f aca="false">IF(O625="","",B625&amp;"-P"&amp;O625)</f>
        <v/>
      </c>
      <c r="Q625" s="73" t="str">
        <f aca="false">IF(AND(N625="Sí",E625="Plazo fijo",ISNUMBER(F625)),COUNTIFS(C_ID,B625,C_TIPO,"Plazo fijo",C_DEFINE,"Sí",C_INICIO,"&lt;"&amp;F625)+COUNTIFS(B$7:B625,B625,E$7:E625,"Plazo fijo",N$7:N625,"Sí",F$7:F625,F625),"")</f>
        <v/>
      </c>
      <c r="R625" s="73" t="str">
        <f aca="false">IF(AND(B625&lt;&gt;"",ISNUMBER(H625),ISNUMBER(F625)),COUNTIFS(C_ID,B625,C_SUELDO,"&lt;&gt;",C_INICIO,"&lt;"&amp;F625)+COUNTIFS(B$7:B625,B625,H$7:H625,"&lt;&gt;",F$7:F625,F625),"")</f>
        <v/>
      </c>
      <c r="S625" s="72" t="str">
        <f aca="false">IF(R625="","",B625&amp;"-S"&amp;R625)</f>
        <v/>
      </c>
      <c r="T625" s="74" t="str">
        <f aca="false">IF(AND(ISNUMBER(F625),ISNUMBER(G625)),ROUND((G625-F625+1)/30.4375,1),"")</f>
        <v/>
      </c>
      <c r="U625" s="70" t="str">
        <f aca="false">IF(B625="","",IF(AND(N625="Sí",OR(E625="",NOT(ISNUMBER(F625)))),"⚠ Falta tipo de contrato o fecha de inicio",IF(NOT(ISNUMBER(F625)),"⚠ Falta fecha de inicio",IF(AND(N625="Sí",E625&lt;&gt;"Indefinido",NOT(ISNUMBER(G625))),"⚠ Falta fecha de término",IF(AND(D625="Paso a indefinido",E625&lt;&gt;"Indefinido"),"⚠ Un paso a indefinido debe tener tipo Indefinido",IF(N(Q625)&gt;=3,"⚠ 3er contrato a plazo fijo: por ley ya es INDEFINIDO (Art. 159 N°4)",IF(AND(E625="Plazo fijo",N(T625)&gt;12),"⚠ Plazo fijo mayor a 1 año (máx. legal; 2 años solo profesionales o técnicos)",IF(AND(ISNUMBER(G625),G625&lt;F625),"⚠ Término anterior al inicio",IF(AND(D625="Contrato inicial",ISNUMBER(J625),J625-F625&gt;15),"⚠ Escriturado fuera de plazo (Art. 9: 15 días)",IF(K625&lt;&gt;"Sí","Pendiente de firma","OK"))))))))))</f>
        <v/>
      </c>
    </row>
    <row r="626" customFormat="false" ht="15" hidden="false" customHeight="false" outlineLevel="0" collapsed="false">
      <c r="B626" s="64"/>
      <c r="C626" s="72" t="str">
        <f aca="false">IF(B626="","",IFERROR(INDEX(T_NOMBRE,MATCH(B626,T_ID,0)),"⚠ ID no existe en Trabajadores"))</f>
        <v/>
      </c>
      <c r="D626" s="64"/>
      <c r="E626" s="64"/>
      <c r="F626" s="65"/>
      <c r="G626" s="65"/>
      <c r="H626" s="67"/>
      <c r="I626" s="64"/>
      <c r="J626" s="65"/>
      <c r="K626" s="64"/>
      <c r="L626" s="64"/>
      <c r="M626" s="64"/>
      <c r="N626" s="72" t="str">
        <f aca="false">IF(B626="","",IF(D626="Anexo de modificación","No","Sí"))</f>
        <v/>
      </c>
      <c r="O626" s="73" t="str">
        <f aca="false">IF(AND(N626="Sí",ISNUMBER(F626)),COUNTIFS(C_ID,B626,C_DEFINE,"Sí",C_INICIO,"&lt;"&amp;F626)+COUNTIFS(B$7:B626,B626,N$7:N626,"Sí",F$7:F626,F626),"")</f>
        <v/>
      </c>
      <c r="P626" s="72" t="str">
        <f aca="false">IF(O626="","",B626&amp;"-P"&amp;O626)</f>
        <v/>
      </c>
      <c r="Q626" s="73" t="str">
        <f aca="false">IF(AND(N626="Sí",E626="Plazo fijo",ISNUMBER(F626)),COUNTIFS(C_ID,B626,C_TIPO,"Plazo fijo",C_DEFINE,"Sí",C_INICIO,"&lt;"&amp;F626)+COUNTIFS(B$7:B626,B626,E$7:E626,"Plazo fijo",N$7:N626,"Sí",F$7:F626,F626),"")</f>
        <v/>
      </c>
      <c r="R626" s="73" t="str">
        <f aca="false">IF(AND(B626&lt;&gt;"",ISNUMBER(H626),ISNUMBER(F626)),COUNTIFS(C_ID,B626,C_SUELDO,"&lt;&gt;",C_INICIO,"&lt;"&amp;F626)+COUNTIFS(B$7:B626,B626,H$7:H626,"&lt;&gt;",F$7:F626,F626),"")</f>
        <v/>
      </c>
      <c r="S626" s="72" t="str">
        <f aca="false">IF(R626="","",B626&amp;"-S"&amp;R626)</f>
        <v/>
      </c>
      <c r="T626" s="74" t="str">
        <f aca="false">IF(AND(ISNUMBER(F626),ISNUMBER(G626)),ROUND((G626-F626+1)/30.4375,1),"")</f>
        <v/>
      </c>
      <c r="U626" s="70" t="str">
        <f aca="false">IF(B626="","",IF(AND(N626="Sí",OR(E626="",NOT(ISNUMBER(F626)))),"⚠ Falta tipo de contrato o fecha de inicio",IF(NOT(ISNUMBER(F626)),"⚠ Falta fecha de inicio",IF(AND(N626="Sí",E626&lt;&gt;"Indefinido",NOT(ISNUMBER(G626))),"⚠ Falta fecha de término",IF(AND(D626="Paso a indefinido",E626&lt;&gt;"Indefinido"),"⚠ Un paso a indefinido debe tener tipo Indefinido",IF(N(Q626)&gt;=3,"⚠ 3er contrato a plazo fijo: por ley ya es INDEFINIDO (Art. 159 N°4)",IF(AND(E626="Plazo fijo",N(T626)&gt;12),"⚠ Plazo fijo mayor a 1 año (máx. legal; 2 años solo profesionales o técnicos)",IF(AND(ISNUMBER(G626),G626&lt;F626),"⚠ Término anterior al inicio",IF(AND(D626="Contrato inicial",ISNUMBER(J626),J626-F626&gt;15),"⚠ Escriturado fuera de plazo (Art. 9: 15 días)",IF(K626&lt;&gt;"Sí","Pendiente de firma","OK"))))))))))</f>
        <v/>
      </c>
    </row>
    <row r="627" customFormat="false" ht="15" hidden="false" customHeight="false" outlineLevel="0" collapsed="false">
      <c r="B627" s="64"/>
      <c r="C627" s="72" t="str">
        <f aca="false">IF(B627="","",IFERROR(INDEX(T_NOMBRE,MATCH(B627,T_ID,0)),"⚠ ID no existe en Trabajadores"))</f>
        <v/>
      </c>
      <c r="D627" s="64"/>
      <c r="E627" s="64"/>
      <c r="F627" s="65"/>
      <c r="G627" s="65"/>
      <c r="H627" s="67"/>
      <c r="I627" s="64"/>
      <c r="J627" s="65"/>
      <c r="K627" s="64"/>
      <c r="L627" s="64"/>
      <c r="M627" s="64"/>
      <c r="N627" s="72" t="str">
        <f aca="false">IF(B627="","",IF(D627="Anexo de modificación","No","Sí"))</f>
        <v/>
      </c>
      <c r="O627" s="73" t="str">
        <f aca="false">IF(AND(N627="Sí",ISNUMBER(F627)),COUNTIFS(C_ID,B627,C_DEFINE,"Sí",C_INICIO,"&lt;"&amp;F627)+COUNTIFS(B$7:B627,B627,N$7:N627,"Sí",F$7:F627,F627),"")</f>
        <v/>
      </c>
      <c r="P627" s="72" t="str">
        <f aca="false">IF(O627="","",B627&amp;"-P"&amp;O627)</f>
        <v/>
      </c>
      <c r="Q627" s="73" t="str">
        <f aca="false">IF(AND(N627="Sí",E627="Plazo fijo",ISNUMBER(F627)),COUNTIFS(C_ID,B627,C_TIPO,"Plazo fijo",C_DEFINE,"Sí",C_INICIO,"&lt;"&amp;F627)+COUNTIFS(B$7:B627,B627,E$7:E627,"Plazo fijo",N$7:N627,"Sí",F$7:F627,F627),"")</f>
        <v/>
      </c>
      <c r="R627" s="73" t="str">
        <f aca="false">IF(AND(B627&lt;&gt;"",ISNUMBER(H627),ISNUMBER(F627)),COUNTIFS(C_ID,B627,C_SUELDO,"&lt;&gt;",C_INICIO,"&lt;"&amp;F627)+COUNTIFS(B$7:B627,B627,H$7:H627,"&lt;&gt;",F$7:F627,F627),"")</f>
        <v/>
      </c>
      <c r="S627" s="72" t="str">
        <f aca="false">IF(R627="","",B627&amp;"-S"&amp;R627)</f>
        <v/>
      </c>
      <c r="T627" s="74" t="str">
        <f aca="false">IF(AND(ISNUMBER(F627),ISNUMBER(G627)),ROUND((G627-F627+1)/30.4375,1),"")</f>
        <v/>
      </c>
      <c r="U627" s="70" t="str">
        <f aca="false">IF(B627="","",IF(AND(N627="Sí",OR(E627="",NOT(ISNUMBER(F627)))),"⚠ Falta tipo de contrato o fecha de inicio",IF(NOT(ISNUMBER(F627)),"⚠ Falta fecha de inicio",IF(AND(N627="Sí",E627&lt;&gt;"Indefinido",NOT(ISNUMBER(G627))),"⚠ Falta fecha de término",IF(AND(D627="Paso a indefinido",E627&lt;&gt;"Indefinido"),"⚠ Un paso a indefinido debe tener tipo Indefinido",IF(N(Q627)&gt;=3,"⚠ 3er contrato a plazo fijo: por ley ya es INDEFINIDO (Art. 159 N°4)",IF(AND(E627="Plazo fijo",N(T627)&gt;12),"⚠ Plazo fijo mayor a 1 año (máx. legal; 2 años solo profesionales o técnicos)",IF(AND(ISNUMBER(G627),G627&lt;F627),"⚠ Término anterior al inicio",IF(AND(D627="Contrato inicial",ISNUMBER(J627),J627-F627&gt;15),"⚠ Escriturado fuera de plazo (Art. 9: 15 días)",IF(K627&lt;&gt;"Sí","Pendiente de firma","OK"))))))))))</f>
        <v/>
      </c>
    </row>
    <row r="628" customFormat="false" ht="15" hidden="false" customHeight="false" outlineLevel="0" collapsed="false">
      <c r="B628" s="64"/>
      <c r="C628" s="72" t="str">
        <f aca="false">IF(B628="","",IFERROR(INDEX(T_NOMBRE,MATCH(B628,T_ID,0)),"⚠ ID no existe en Trabajadores"))</f>
        <v/>
      </c>
      <c r="D628" s="64"/>
      <c r="E628" s="64"/>
      <c r="F628" s="65"/>
      <c r="G628" s="65"/>
      <c r="H628" s="67"/>
      <c r="I628" s="64"/>
      <c r="J628" s="65"/>
      <c r="K628" s="64"/>
      <c r="L628" s="64"/>
      <c r="M628" s="64"/>
      <c r="N628" s="72" t="str">
        <f aca="false">IF(B628="","",IF(D628="Anexo de modificación","No","Sí"))</f>
        <v/>
      </c>
      <c r="O628" s="73" t="str">
        <f aca="false">IF(AND(N628="Sí",ISNUMBER(F628)),COUNTIFS(C_ID,B628,C_DEFINE,"Sí",C_INICIO,"&lt;"&amp;F628)+COUNTIFS(B$7:B628,B628,N$7:N628,"Sí",F$7:F628,F628),"")</f>
        <v/>
      </c>
      <c r="P628" s="72" t="str">
        <f aca="false">IF(O628="","",B628&amp;"-P"&amp;O628)</f>
        <v/>
      </c>
      <c r="Q628" s="73" t="str">
        <f aca="false">IF(AND(N628="Sí",E628="Plazo fijo",ISNUMBER(F628)),COUNTIFS(C_ID,B628,C_TIPO,"Plazo fijo",C_DEFINE,"Sí",C_INICIO,"&lt;"&amp;F628)+COUNTIFS(B$7:B628,B628,E$7:E628,"Plazo fijo",N$7:N628,"Sí",F$7:F628,F628),"")</f>
        <v/>
      </c>
      <c r="R628" s="73" t="str">
        <f aca="false">IF(AND(B628&lt;&gt;"",ISNUMBER(H628),ISNUMBER(F628)),COUNTIFS(C_ID,B628,C_SUELDO,"&lt;&gt;",C_INICIO,"&lt;"&amp;F628)+COUNTIFS(B$7:B628,B628,H$7:H628,"&lt;&gt;",F$7:F628,F628),"")</f>
        <v/>
      </c>
      <c r="S628" s="72" t="str">
        <f aca="false">IF(R628="","",B628&amp;"-S"&amp;R628)</f>
        <v/>
      </c>
      <c r="T628" s="74" t="str">
        <f aca="false">IF(AND(ISNUMBER(F628),ISNUMBER(G628)),ROUND((G628-F628+1)/30.4375,1),"")</f>
        <v/>
      </c>
      <c r="U628" s="70" t="str">
        <f aca="false">IF(B628="","",IF(AND(N628="Sí",OR(E628="",NOT(ISNUMBER(F628)))),"⚠ Falta tipo de contrato o fecha de inicio",IF(NOT(ISNUMBER(F628)),"⚠ Falta fecha de inicio",IF(AND(N628="Sí",E628&lt;&gt;"Indefinido",NOT(ISNUMBER(G628))),"⚠ Falta fecha de término",IF(AND(D628="Paso a indefinido",E628&lt;&gt;"Indefinido"),"⚠ Un paso a indefinido debe tener tipo Indefinido",IF(N(Q628)&gt;=3,"⚠ 3er contrato a plazo fijo: por ley ya es INDEFINIDO (Art. 159 N°4)",IF(AND(E628="Plazo fijo",N(T628)&gt;12),"⚠ Plazo fijo mayor a 1 año (máx. legal; 2 años solo profesionales o técnicos)",IF(AND(ISNUMBER(G628),G628&lt;F628),"⚠ Término anterior al inicio",IF(AND(D628="Contrato inicial",ISNUMBER(J628),J628-F628&gt;15),"⚠ Escriturado fuera de plazo (Art. 9: 15 días)",IF(K628&lt;&gt;"Sí","Pendiente de firma","OK"))))))))))</f>
        <v/>
      </c>
    </row>
    <row r="629" customFormat="false" ht="15" hidden="false" customHeight="false" outlineLevel="0" collapsed="false">
      <c r="B629" s="64"/>
      <c r="C629" s="72" t="str">
        <f aca="false">IF(B629="","",IFERROR(INDEX(T_NOMBRE,MATCH(B629,T_ID,0)),"⚠ ID no existe en Trabajadores"))</f>
        <v/>
      </c>
      <c r="D629" s="64"/>
      <c r="E629" s="64"/>
      <c r="F629" s="65"/>
      <c r="G629" s="65"/>
      <c r="H629" s="67"/>
      <c r="I629" s="64"/>
      <c r="J629" s="65"/>
      <c r="K629" s="64"/>
      <c r="L629" s="64"/>
      <c r="M629" s="64"/>
      <c r="N629" s="72" t="str">
        <f aca="false">IF(B629="","",IF(D629="Anexo de modificación","No","Sí"))</f>
        <v/>
      </c>
      <c r="O629" s="73" t="str">
        <f aca="false">IF(AND(N629="Sí",ISNUMBER(F629)),COUNTIFS(C_ID,B629,C_DEFINE,"Sí",C_INICIO,"&lt;"&amp;F629)+COUNTIFS(B$7:B629,B629,N$7:N629,"Sí",F$7:F629,F629),"")</f>
        <v/>
      </c>
      <c r="P629" s="72" t="str">
        <f aca="false">IF(O629="","",B629&amp;"-P"&amp;O629)</f>
        <v/>
      </c>
      <c r="Q629" s="73" t="str">
        <f aca="false">IF(AND(N629="Sí",E629="Plazo fijo",ISNUMBER(F629)),COUNTIFS(C_ID,B629,C_TIPO,"Plazo fijo",C_DEFINE,"Sí",C_INICIO,"&lt;"&amp;F629)+COUNTIFS(B$7:B629,B629,E$7:E629,"Plazo fijo",N$7:N629,"Sí",F$7:F629,F629),"")</f>
        <v/>
      </c>
      <c r="R629" s="73" t="str">
        <f aca="false">IF(AND(B629&lt;&gt;"",ISNUMBER(H629),ISNUMBER(F629)),COUNTIFS(C_ID,B629,C_SUELDO,"&lt;&gt;",C_INICIO,"&lt;"&amp;F629)+COUNTIFS(B$7:B629,B629,H$7:H629,"&lt;&gt;",F$7:F629,F629),"")</f>
        <v/>
      </c>
      <c r="S629" s="72" t="str">
        <f aca="false">IF(R629="","",B629&amp;"-S"&amp;R629)</f>
        <v/>
      </c>
      <c r="T629" s="74" t="str">
        <f aca="false">IF(AND(ISNUMBER(F629),ISNUMBER(G629)),ROUND((G629-F629+1)/30.4375,1),"")</f>
        <v/>
      </c>
      <c r="U629" s="70" t="str">
        <f aca="false">IF(B629="","",IF(AND(N629="Sí",OR(E629="",NOT(ISNUMBER(F629)))),"⚠ Falta tipo de contrato o fecha de inicio",IF(NOT(ISNUMBER(F629)),"⚠ Falta fecha de inicio",IF(AND(N629="Sí",E629&lt;&gt;"Indefinido",NOT(ISNUMBER(G629))),"⚠ Falta fecha de término",IF(AND(D629="Paso a indefinido",E629&lt;&gt;"Indefinido"),"⚠ Un paso a indefinido debe tener tipo Indefinido",IF(N(Q629)&gt;=3,"⚠ 3er contrato a plazo fijo: por ley ya es INDEFINIDO (Art. 159 N°4)",IF(AND(E629="Plazo fijo",N(T629)&gt;12),"⚠ Plazo fijo mayor a 1 año (máx. legal; 2 años solo profesionales o técnicos)",IF(AND(ISNUMBER(G629),G629&lt;F629),"⚠ Término anterior al inicio",IF(AND(D629="Contrato inicial",ISNUMBER(J629),J629-F629&gt;15),"⚠ Escriturado fuera de plazo (Art. 9: 15 días)",IF(K629&lt;&gt;"Sí","Pendiente de firma","OK"))))))))))</f>
        <v/>
      </c>
    </row>
    <row r="630" customFormat="false" ht="15" hidden="false" customHeight="false" outlineLevel="0" collapsed="false">
      <c r="B630" s="64"/>
      <c r="C630" s="72" t="str">
        <f aca="false">IF(B630="","",IFERROR(INDEX(T_NOMBRE,MATCH(B630,T_ID,0)),"⚠ ID no existe en Trabajadores"))</f>
        <v/>
      </c>
      <c r="D630" s="64"/>
      <c r="E630" s="64"/>
      <c r="F630" s="65"/>
      <c r="G630" s="65"/>
      <c r="H630" s="67"/>
      <c r="I630" s="64"/>
      <c r="J630" s="65"/>
      <c r="K630" s="64"/>
      <c r="L630" s="64"/>
      <c r="M630" s="64"/>
      <c r="N630" s="72" t="str">
        <f aca="false">IF(B630="","",IF(D630="Anexo de modificación","No","Sí"))</f>
        <v/>
      </c>
      <c r="O630" s="73" t="str">
        <f aca="false">IF(AND(N630="Sí",ISNUMBER(F630)),COUNTIFS(C_ID,B630,C_DEFINE,"Sí",C_INICIO,"&lt;"&amp;F630)+COUNTIFS(B$7:B630,B630,N$7:N630,"Sí",F$7:F630,F630),"")</f>
        <v/>
      </c>
      <c r="P630" s="72" t="str">
        <f aca="false">IF(O630="","",B630&amp;"-P"&amp;O630)</f>
        <v/>
      </c>
      <c r="Q630" s="73" t="str">
        <f aca="false">IF(AND(N630="Sí",E630="Plazo fijo",ISNUMBER(F630)),COUNTIFS(C_ID,B630,C_TIPO,"Plazo fijo",C_DEFINE,"Sí",C_INICIO,"&lt;"&amp;F630)+COUNTIFS(B$7:B630,B630,E$7:E630,"Plazo fijo",N$7:N630,"Sí",F$7:F630,F630),"")</f>
        <v/>
      </c>
      <c r="R630" s="73" t="str">
        <f aca="false">IF(AND(B630&lt;&gt;"",ISNUMBER(H630),ISNUMBER(F630)),COUNTIFS(C_ID,B630,C_SUELDO,"&lt;&gt;",C_INICIO,"&lt;"&amp;F630)+COUNTIFS(B$7:B630,B630,H$7:H630,"&lt;&gt;",F$7:F630,F630),"")</f>
        <v/>
      </c>
      <c r="S630" s="72" t="str">
        <f aca="false">IF(R630="","",B630&amp;"-S"&amp;R630)</f>
        <v/>
      </c>
      <c r="T630" s="74" t="str">
        <f aca="false">IF(AND(ISNUMBER(F630),ISNUMBER(G630)),ROUND((G630-F630+1)/30.4375,1),"")</f>
        <v/>
      </c>
      <c r="U630" s="70" t="str">
        <f aca="false">IF(B630="","",IF(AND(N630="Sí",OR(E630="",NOT(ISNUMBER(F630)))),"⚠ Falta tipo de contrato o fecha de inicio",IF(NOT(ISNUMBER(F630)),"⚠ Falta fecha de inicio",IF(AND(N630="Sí",E630&lt;&gt;"Indefinido",NOT(ISNUMBER(G630))),"⚠ Falta fecha de término",IF(AND(D630="Paso a indefinido",E630&lt;&gt;"Indefinido"),"⚠ Un paso a indefinido debe tener tipo Indefinido",IF(N(Q630)&gt;=3,"⚠ 3er contrato a plazo fijo: por ley ya es INDEFINIDO (Art. 159 N°4)",IF(AND(E630="Plazo fijo",N(T630)&gt;12),"⚠ Plazo fijo mayor a 1 año (máx. legal; 2 años solo profesionales o técnicos)",IF(AND(ISNUMBER(G630),G630&lt;F630),"⚠ Término anterior al inicio",IF(AND(D630="Contrato inicial",ISNUMBER(J630),J630-F630&gt;15),"⚠ Escriturado fuera de plazo (Art. 9: 15 días)",IF(K630&lt;&gt;"Sí","Pendiente de firma","OK"))))))))))</f>
        <v/>
      </c>
    </row>
    <row r="631" customFormat="false" ht="15" hidden="false" customHeight="false" outlineLevel="0" collapsed="false">
      <c r="B631" s="64"/>
      <c r="C631" s="72" t="str">
        <f aca="false">IF(B631="","",IFERROR(INDEX(T_NOMBRE,MATCH(B631,T_ID,0)),"⚠ ID no existe en Trabajadores"))</f>
        <v/>
      </c>
      <c r="D631" s="64"/>
      <c r="E631" s="64"/>
      <c r="F631" s="65"/>
      <c r="G631" s="65"/>
      <c r="H631" s="67"/>
      <c r="I631" s="64"/>
      <c r="J631" s="65"/>
      <c r="K631" s="64"/>
      <c r="L631" s="64"/>
      <c r="M631" s="64"/>
      <c r="N631" s="72" t="str">
        <f aca="false">IF(B631="","",IF(D631="Anexo de modificación","No","Sí"))</f>
        <v/>
      </c>
      <c r="O631" s="73" t="str">
        <f aca="false">IF(AND(N631="Sí",ISNUMBER(F631)),COUNTIFS(C_ID,B631,C_DEFINE,"Sí",C_INICIO,"&lt;"&amp;F631)+COUNTIFS(B$7:B631,B631,N$7:N631,"Sí",F$7:F631,F631),"")</f>
        <v/>
      </c>
      <c r="P631" s="72" t="str">
        <f aca="false">IF(O631="","",B631&amp;"-P"&amp;O631)</f>
        <v/>
      </c>
      <c r="Q631" s="73" t="str">
        <f aca="false">IF(AND(N631="Sí",E631="Plazo fijo",ISNUMBER(F631)),COUNTIFS(C_ID,B631,C_TIPO,"Plazo fijo",C_DEFINE,"Sí",C_INICIO,"&lt;"&amp;F631)+COUNTIFS(B$7:B631,B631,E$7:E631,"Plazo fijo",N$7:N631,"Sí",F$7:F631,F631),"")</f>
        <v/>
      </c>
      <c r="R631" s="73" t="str">
        <f aca="false">IF(AND(B631&lt;&gt;"",ISNUMBER(H631),ISNUMBER(F631)),COUNTIFS(C_ID,B631,C_SUELDO,"&lt;&gt;",C_INICIO,"&lt;"&amp;F631)+COUNTIFS(B$7:B631,B631,H$7:H631,"&lt;&gt;",F$7:F631,F631),"")</f>
        <v/>
      </c>
      <c r="S631" s="72" t="str">
        <f aca="false">IF(R631="","",B631&amp;"-S"&amp;R631)</f>
        <v/>
      </c>
      <c r="T631" s="74" t="str">
        <f aca="false">IF(AND(ISNUMBER(F631),ISNUMBER(G631)),ROUND((G631-F631+1)/30.4375,1),"")</f>
        <v/>
      </c>
      <c r="U631" s="70" t="str">
        <f aca="false">IF(B631="","",IF(AND(N631="Sí",OR(E631="",NOT(ISNUMBER(F631)))),"⚠ Falta tipo de contrato o fecha de inicio",IF(NOT(ISNUMBER(F631)),"⚠ Falta fecha de inicio",IF(AND(N631="Sí",E631&lt;&gt;"Indefinido",NOT(ISNUMBER(G631))),"⚠ Falta fecha de término",IF(AND(D631="Paso a indefinido",E631&lt;&gt;"Indefinido"),"⚠ Un paso a indefinido debe tener tipo Indefinido",IF(N(Q631)&gt;=3,"⚠ 3er contrato a plazo fijo: por ley ya es INDEFINIDO (Art. 159 N°4)",IF(AND(E631="Plazo fijo",N(T631)&gt;12),"⚠ Plazo fijo mayor a 1 año (máx. legal; 2 años solo profesionales o técnicos)",IF(AND(ISNUMBER(G631),G631&lt;F631),"⚠ Término anterior al inicio",IF(AND(D631="Contrato inicial",ISNUMBER(J631),J631-F631&gt;15),"⚠ Escriturado fuera de plazo (Art. 9: 15 días)",IF(K631&lt;&gt;"Sí","Pendiente de firma","OK"))))))))))</f>
        <v/>
      </c>
    </row>
    <row r="632" customFormat="false" ht="15" hidden="false" customHeight="false" outlineLevel="0" collapsed="false">
      <c r="B632" s="64"/>
      <c r="C632" s="72" t="str">
        <f aca="false">IF(B632="","",IFERROR(INDEX(T_NOMBRE,MATCH(B632,T_ID,0)),"⚠ ID no existe en Trabajadores"))</f>
        <v/>
      </c>
      <c r="D632" s="64"/>
      <c r="E632" s="64"/>
      <c r="F632" s="65"/>
      <c r="G632" s="65"/>
      <c r="H632" s="67"/>
      <c r="I632" s="64"/>
      <c r="J632" s="65"/>
      <c r="K632" s="64"/>
      <c r="L632" s="64"/>
      <c r="M632" s="64"/>
      <c r="N632" s="72" t="str">
        <f aca="false">IF(B632="","",IF(D632="Anexo de modificación","No","Sí"))</f>
        <v/>
      </c>
      <c r="O632" s="73" t="str">
        <f aca="false">IF(AND(N632="Sí",ISNUMBER(F632)),COUNTIFS(C_ID,B632,C_DEFINE,"Sí",C_INICIO,"&lt;"&amp;F632)+COUNTIFS(B$7:B632,B632,N$7:N632,"Sí",F$7:F632,F632),"")</f>
        <v/>
      </c>
      <c r="P632" s="72" t="str">
        <f aca="false">IF(O632="","",B632&amp;"-P"&amp;O632)</f>
        <v/>
      </c>
      <c r="Q632" s="73" t="str">
        <f aca="false">IF(AND(N632="Sí",E632="Plazo fijo",ISNUMBER(F632)),COUNTIFS(C_ID,B632,C_TIPO,"Plazo fijo",C_DEFINE,"Sí",C_INICIO,"&lt;"&amp;F632)+COUNTIFS(B$7:B632,B632,E$7:E632,"Plazo fijo",N$7:N632,"Sí",F$7:F632,F632),"")</f>
        <v/>
      </c>
      <c r="R632" s="73" t="str">
        <f aca="false">IF(AND(B632&lt;&gt;"",ISNUMBER(H632),ISNUMBER(F632)),COUNTIFS(C_ID,B632,C_SUELDO,"&lt;&gt;",C_INICIO,"&lt;"&amp;F632)+COUNTIFS(B$7:B632,B632,H$7:H632,"&lt;&gt;",F$7:F632,F632),"")</f>
        <v/>
      </c>
      <c r="S632" s="72" t="str">
        <f aca="false">IF(R632="","",B632&amp;"-S"&amp;R632)</f>
        <v/>
      </c>
      <c r="T632" s="74" t="str">
        <f aca="false">IF(AND(ISNUMBER(F632),ISNUMBER(G632)),ROUND((G632-F632+1)/30.4375,1),"")</f>
        <v/>
      </c>
      <c r="U632" s="70" t="str">
        <f aca="false">IF(B632="","",IF(AND(N632="Sí",OR(E632="",NOT(ISNUMBER(F632)))),"⚠ Falta tipo de contrato o fecha de inicio",IF(NOT(ISNUMBER(F632)),"⚠ Falta fecha de inicio",IF(AND(N632="Sí",E632&lt;&gt;"Indefinido",NOT(ISNUMBER(G632))),"⚠ Falta fecha de término",IF(AND(D632="Paso a indefinido",E632&lt;&gt;"Indefinido"),"⚠ Un paso a indefinido debe tener tipo Indefinido",IF(N(Q632)&gt;=3,"⚠ 3er contrato a plazo fijo: por ley ya es INDEFINIDO (Art. 159 N°4)",IF(AND(E632="Plazo fijo",N(T632)&gt;12),"⚠ Plazo fijo mayor a 1 año (máx. legal; 2 años solo profesionales o técnicos)",IF(AND(ISNUMBER(G632),G632&lt;F632),"⚠ Término anterior al inicio",IF(AND(D632="Contrato inicial",ISNUMBER(J632),J632-F632&gt;15),"⚠ Escriturado fuera de plazo (Art. 9: 15 días)",IF(K632&lt;&gt;"Sí","Pendiente de firma","OK"))))))))))</f>
        <v/>
      </c>
    </row>
    <row r="633" customFormat="false" ht="15" hidden="false" customHeight="false" outlineLevel="0" collapsed="false">
      <c r="B633" s="64"/>
      <c r="C633" s="72" t="str">
        <f aca="false">IF(B633="","",IFERROR(INDEX(T_NOMBRE,MATCH(B633,T_ID,0)),"⚠ ID no existe en Trabajadores"))</f>
        <v/>
      </c>
      <c r="D633" s="64"/>
      <c r="E633" s="64"/>
      <c r="F633" s="65"/>
      <c r="G633" s="65"/>
      <c r="H633" s="67"/>
      <c r="I633" s="64"/>
      <c r="J633" s="65"/>
      <c r="K633" s="64"/>
      <c r="L633" s="64"/>
      <c r="M633" s="64"/>
      <c r="N633" s="72" t="str">
        <f aca="false">IF(B633="","",IF(D633="Anexo de modificación","No","Sí"))</f>
        <v/>
      </c>
      <c r="O633" s="73" t="str">
        <f aca="false">IF(AND(N633="Sí",ISNUMBER(F633)),COUNTIFS(C_ID,B633,C_DEFINE,"Sí",C_INICIO,"&lt;"&amp;F633)+COUNTIFS(B$7:B633,B633,N$7:N633,"Sí",F$7:F633,F633),"")</f>
        <v/>
      </c>
      <c r="P633" s="72" t="str">
        <f aca="false">IF(O633="","",B633&amp;"-P"&amp;O633)</f>
        <v/>
      </c>
      <c r="Q633" s="73" t="str">
        <f aca="false">IF(AND(N633="Sí",E633="Plazo fijo",ISNUMBER(F633)),COUNTIFS(C_ID,B633,C_TIPO,"Plazo fijo",C_DEFINE,"Sí",C_INICIO,"&lt;"&amp;F633)+COUNTIFS(B$7:B633,B633,E$7:E633,"Plazo fijo",N$7:N633,"Sí",F$7:F633,F633),"")</f>
        <v/>
      </c>
      <c r="R633" s="73" t="str">
        <f aca="false">IF(AND(B633&lt;&gt;"",ISNUMBER(H633),ISNUMBER(F633)),COUNTIFS(C_ID,B633,C_SUELDO,"&lt;&gt;",C_INICIO,"&lt;"&amp;F633)+COUNTIFS(B$7:B633,B633,H$7:H633,"&lt;&gt;",F$7:F633,F633),"")</f>
        <v/>
      </c>
      <c r="S633" s="72" t="str">
        <f aca="false">IF(R633="","",B633&amp;"-S"&amp;R633)</f>
        <v/>
      </c>
      <c r="T633" s="74" t="str">
        <f aca="false">IF(AND(ISNUMBER(F633),ISNUMBER(G633)),ROUND((G633-F633+1)/30.4375,1),"")</f>
        <v/>
      </c>
      <c r="U633" s="70" t="str">
        <f aca="false">IF(B633="","",IF(AND(N633="Sí",OR(E633="",NOT(ISNUMBER(F633)))),"⚠ Falta tipo de contrato o fecha de inicio",IF(NOT(ISNUMBER(F633)),"⚠ Falta fecha de inicio",IF(AND(N633="Sí",E633&lt;&gt;"Indefinido",NOT(ISNUMBER(G633))),"⚠ Falta fecha de término",IF(AND(D633="Paso a indefinido",E633&lt;&gt;"Indefinido"),"⚠ Un paso a indefinido debe tener tipo Indefinido",IF(N(Q633)&gt;=3,"⚠ 3er contrato a plazo fijo: por ley ya es INDEFINIDO (Art. 159 N°4)",IF(AND(E633="Plazo fijo",N(T633)&gt;12),"⚠ Plazo fijo mayor a 1 año (máx. legal; 2 años solo profesionales o técnicos)",IF(AND(ISNUMBER(G633),G633&lt;F633),"⚠ Término anterior al inicio",IF(AND(D633="Contrato inicial",ISNUMBER(J633),J633-F633&gt;15),"⚠ Escriturado fuera de plazo (Art. 9: 15 días)",IF(K633&lt;&gt;"Sí","Pendiente de firma","OK"))))))))))</f>
        <v/>
      </c>
    </row>
    <row r="634" customFormat="false" ht="15" hidden="false" customHeight="false" outlineLevel="0" collapsed="false">
      <c r="B634" s="64"/>
      <c r="C634" s="72" t="str">
        <f aca="false">IF(B634="","",IFERROR(INDEX(T_NOMBRE,MATCH(B634,T_ID,0)),"⚠ ID no existe en Trabajadores"))</f>
        <v/>
      </c>
      <c r="D634" s="64"/>
      <c r="E634" s="64"/>
      <c r="F634" s="65"/>
      <c r="G634" s="65"/>
      <c r="H634" s="67"/>
      <c r="I634" s="64"/>
      <c r="J634" s="65"/>
      <c r="K634" s="64"/>
      <c r="L634" s="64"/>
      <c r="M634" s="64"/>
      <c r="N634" s="72" t="str">
        <f aca="false">IF(B634="","",IF(D634="Anexo de modificación","No","Sí"))</f>
        <v/>
      </c>
      <c r="O634" s="73" t="str">
        <f aca="false">IF(AND(N634="Sí",ISNUMBER(F634)),COUNTIFS(C_ID,B634,C_DEFINE,"Sí",C_INICIO,"&lt;"&amp;F634)+COUNTIFS(B$7:B634,B634,N$7:N634,"Sí",F$7:F634,F634),"")</f>
        <v/>
      </c>
      <c r="P634" s="72" t="str">
        <f aca="false">IF(O634="","",B634&amp;"-P"&amp;O634)</f>
        <v/>
      </c>
      <c r="Q634" s="73" t="str">
        <f aca="false">IF(AND(N634="Sí",E634="Plazo fijo",ISNUMBER(F634)),COUNTIFS(C_ID,B634,C_TIPO,"Plazo fijo",C_DEFINE,"Sí",C_INICIO,"&lt;"&amp;F634)+COUNTIFS(B$7:B634,B634,E$7:E634,"Plazo fijo",N$7:N634,"Sí",F$7:F634,F634),"")</f>
        <v/>
      </c>
      <c r="R634" s="73" t="str">
        <f aca="false">IF(AND(B634&lt;&gt;"",ISNUMBER(H634),ISNUMBER(F634)),COUNTIFS(C_ID,B634,C_SUELDO,"&lt;&gt;",C_INICIO,"&lt;"&amp;F634)+COUNTIFS(B$7:B634,B634,H$7:H634,"&lt;&gt;",F$7:F634,F634),"")</f>
        <v/>
      </c>
      <c r="S634" s="72" t="str">
        <f aca="false">IF(R634="","",B634&amp;"-S"&amp;R634)</f>
        <v/>
      </c>
      <c r="T634" s="74" t="str">
        <f aca="false">IF(AND(ISNUMBER(F634),ISNUMBER(G634)),ROUND((G634-F634+1)/30.4375,1),"")</f>
        <v/>
      </c>
      <c r="U634" s="70" t="str">
        <f aca="false">IF(B634="","",IF(AND(N634="Sí",OR(E634="",NOT(ISNUMBER(F634)))),"⚠ Falta tipo de contrato o fecha de inicio",IF(NOT(ISNUMBER(F634)),"⚠ Falta fecha de inicio",IF(AND(N634="Sí",E634&lt;&gt;"Indefinido",NOT(ISNUMBER(G634))),"⚠ Falta fecha de término",IF(AND(D634="Paso a indefinido",E634&lt;&gt;"Indefinido"),"⚠ Un paso a indefinido debe tener tipo Indefinido",IF(N(Q634)&gt;=3,"⚠ 3er contrato a plazo fijo: por ley ya es INDEFINIDO (Art. 159 N°4)",IF(AND(E634="Plazo fijo",N(T634)&gt;12),"⚠ Plazo fijo mayor a 1 año (máx. legal; 2 años solo profesionales o técnicos)",IF(AND(ISNUMBER(G634),G634&lt;F634),"⚠ Término anterior al inicio",IF(AND(D634="Contrato inicial",ISNUMBER(J634),J634-F634&gt;15),"⚠ Escriturado fuera de plazo (Art. 9: 15 días)",IF(K634&lt;&gt;"Sí","Pendiente de firma","OK"))))))))))</f>
        <v/>
      </c>
    </row>
    <row r="635" customFormat="false" ht="15" hidden="false" customHeight="false" outlineLevel="0" collapsed="false">
      <c r="B635" s="64"/>
      <c r="C635" s="72" t="str">
        <f aca="false">IF(B635="","",IFERROR(INDEX(T_NOMBRE,MATCH(B635,T_ID,0)),"⚠ ID no existe en Trabajadores"))</f>
        <v/>
      </c>
      <c r="D635" s="64"/>
      <c r="E635" s="64"/>
      <c r="F635" s="65"/>
      <c r="G635" s="65"/>
      <c r="H635" s="67"/>
      <c r="I635" s="64"/>
      <c r="J635" s="65"/>
      <c r="K635" s="64"/>
      <c r="L635" s="64"/>
      <c r="M635" s="64"/>
      <c r="N635" s="72" t="str">
        <f aca="false">IF(B635="","",IF(D635="Anexo de modificación","No","Sí"))</f>
        <v/>
      </c>
      <c r="O635" s="73" t="str">
        <f aca="false">IF(AND(N635="Sí",ISNUMBER(F635)),COUNTIFS(C_ID,B635,C_DEFINE,"Sí",C_INICIO,"&lt;"&amp;F635)+COUNTIFS(B$7:B635,B635,N$7:N635,"Sí",F$7:F635,F635),"")</f>
        <v/>
      </c>
      <c r="P635" s="72" t="str">
        <f aca="false">IF(O635="","",B635&amp;"-P"&amp;O635)</f>
        <v/>
      </c>
      <c r="Q635" s="73" t="str">
        <f aca="false">IF(AND(N635="Sí",E635="Plazo fijo",ISNUMBER(F635)),COUNTIFS(C_ID,B635,C_TIPO,"Plazo fijo",C_DEFINE,"Sí",C_INICIO,"&lt;"&amp;F635)+COUNTIFS(B$7:B635,B635,E$7:E635,"Plazo fijo",N$7:N635,"Sí",F$7:F635,F635),"")</f>
        <v/>
      </c>
      <c r="R635" s="73" t="str">
        <f aca="false">IF(AND(B635&lt;&gt;"",ISNUMBER(H635),ISNUMBER(F635)),COUNTIFS(C_ID,B635,C_SUELDO,"&lt;&gt;",C_INICIO,"&lt;"&amp;F635)+COUNTIFS(B$7:B635,B635,H$7:H635,"&lt;&gt;",F$7:F635,F635),"")</f>
        <v/>
      </c>
      <c r="S635" s="72" t="str">
        <f aca="false">IF(R635="","",B635&amp;"-S"&amp;R635)</f>
        <v/>
      </c>
      <c r="T635" s="74" t="str">
        <f aca="false">IF(AND(ISNUMBER(F635),ISNUMBER(G635)),ROUND((G635-F635+1)/30.4375,1),"")</f>
        <v/>
      </c>
      <c r="U635" s="70" t="str">
        <f aca="false">IF(B635="","",IF(AND(N635="Sí",OR(E635="",NOT(ISNUMBER(F635)))),"⚠ Falta tipo de contrato o fecha de inicio",IF(NOT(ISNUMBER(F635)),"⚠ Falta fecha de inicio",IF(AND(N635="Sí",E635&lt;&gt;"Indefinido",NOT(ISNUMBER(G635))),"⚠ Falta fecha de término",IF(AND(D635="Paso a indefinido",E635&lt;&gt;"Indefinido"),"⚠ Un paso a indefinido debe tener tipo Indefinido",IF(N(Q635)&gt;=3,"⚠ 3er contrato a plazo fijo: por ley ya es INDEFINIDO (Art. 159 N°4)",IF(AND(E635="Plazo fijo",N(T635)&gt;12),"⚠ Plazo fijo mayor a 1 año (máx. legal; 2 años solo profesionales o técnicos)",IF(AND(ISNUMBER(G635),G635&lt;F635),"⚠ Término anterior al inicio",IF(AND(D635="Contrato inicial",ISNUMBER(J635),J635-F635&gt;15),"⚠ Escriturado fuera de plazo (Art. 9: 15 días)",IF(K635&lt;&gt;"Sí","Pendiente de firma","OK"))))))))))</f>
        <v/>
      </c>
    </row>
    <row r="636" customFormat="false" ht="15" hidden="false" customHeight="false" outlineLevel="0" collapsed="false">
      <c r="B636" s="64"/>
      <c r="C636" s="72" t="str">
        <f aca="false">IF(B636="","",IFERROR(INDEX(T_NOMBRE,MATCH(B636,T_ID,0)),"⚠ ID no existe en Trabajadores"))</f>
        <v/>
      </c>
      <c r="D636" s="64"/>
      <c r="E636" s="64"/>
      <c r="F636" s="65"/>
      <c r="G636" s="65"/>
      <c r="H636" s="67"/>
      <c r="I636" s="64"/>
      <c r="J636" s="65"/>
      <c r="K636" s="64"/>
      <c r="L636" s="64"/>
      <c r="M636" s="64"/>
      <c r="N636" s="72" t="str">
        <f aca="false">IF(B636="","",IF(D636="Anexo de modificación","No","Sí"))</f>
        <v/>
      </c>
      <c r="O636" s="73" t="str">
        <f aca="false">IF(AND(N636="Sí",ISNUMBER(F636)),COUNTIFS(C_ID,B636,C_DEFINE,"Sí",C_INICIO,"&lt;"&amp;F636)+COUNTIFS(B$7:B636,B636,N$7:N636,"Sí",F$7:F636,F636),"")</f>
        <v/>
      </c>
      <c r="P636" s="72" t="str">
        <f aca="false">IF(O636="","",B636&amp;"-P"&amp;O636)</f>
        <v/>
      </c>
      <c r="Q636" s="73" t="str">
        <f aca="false">IF(AND(N636="Sí",E636="Plazo fijo",ISNUMBER(F636)),COUNTIFS(C_ID,B636,C_TIPO,"Plazo fijo",C_DEFINE,"Sí",C_INICIO,"&lt;"&amp;F636)+COUNTIFS(B$7:B636,B636,E$7:E636,"Plazo fijo",N$7:N636,"Sí",F$7:F636,F636),"")</f>
        <v/>
      </c>
      <c r="R636" s="73" t="str">
        <f aca="false">IF(AND(B636&lt;&gt;"",ISNUMBER(H636),ISNUMBER(F636)),COUNTIFS(C_ID,B636,C_SUELDO,"&lt;&gt;",C_INICIO,"&lt;"&amp;F636)+COUNTIFS(B$7:B636,B636,H$7:H636,"&lt;&gt;",F$7:F636,F636),"")</f>
        <v/>
      </c>
      <c r="S636" s="72" t="str">
        <f aca="false">IF(R636="","",B636&amp;"-S"&amp;R636)</f>
        <v/>
      </c>
      <c r="T636" s="74" t="str">
        <f aca="false">IF(AND(ISNUMBER(F636),ISNUMBER(G636)),ROUND((G636-F636+1)/30.4375,1),"")</f>
        <v/>
      </c>
      <c r="U636" s="70" t="str">
        <f aca="false">IF(B636="","",IF(AND(N636="Sí",OR(E636="",NOT(ISNUMBER(F636)))),"⚠ Falta tipo de contrato o fecha de inicio",IF(NOT(ISNUMBER(F636)),"⚠ Falta fecha de inicio",IF(AND(N636="Sí",E636&lt;&gt;"Indefinido",NOT(ISNUMBER(G636))),"⚠ Falta fecha de término",IF(AND(D636="Paso a indefinido",E636&lt;&gt;"Indefinido"),"⚠ Un paso a indefinido debe tener tipo Indefinido",IF(N(Q636)&gt;=3,"⚠ 3er contrato a plazo fijo: por ley ya es INDEFINIDO (Art. 159 N°4)",IF(AND(E636="Plazo fijo",N(T636)&gt;12),"⚠ Plazo fijo mayor a 1 año (máx. legal; 2 años solo profesionales o técnicos)",IF(AND(ISNUMBER(G636),G636&lt;F636),"⚠ Término anterior al inicio",IF(AND(D636="Contrato inicial",ISNUMBER(J636),J636-F636&gt;15),"⚠ Escriturado fuera de plazo (Art. 9: 15 días)",IF(K636&lt;&gt;"Sí","Pendiente de firma","OK"))))))))))</f>
        <v/>
      </c>
    </row>
    <row r="637" customFormat="false" ht="15" hidden="false" customHeight="false" outlineLevel="0" collapsed="false">
      <c r="B637" s="64"/>
      <c r="C637" s="72" t="str">
        <f aca="false">IF(B637="","",IFERROR(INDEX(T_NOMBRE,MATCH(B637,T_ID,0)),"⚠ ID no existe en Trabajadores"))</f>
        <v/>
      </c>
      <c r="D637" s="64"/>
      <c r="E637" s="64"/>
      <c r="F637" s="65"/>
      <c r="G637" s="65"/>
      <c r="H637" s="67"/>
      <c r="I637" s="64"/>
      <c r="J637" s="65"/>
      <c r="K637" s="64"/>
      <c r="L637" s="64"/>
      <c r="M637" s="64"/>
      <c r="N637" s="72" t="str">
        <f aca="false">IF(B637="","",IF(D637="Anexo de modificación","No","Sí"))</f>
        <v/>
      </c>
      <c r="O637" s="73" t="str">
        <f aca="false">IF(AND(N637="Sí",ISNUMBER(F637)),COUNTIFS(C_ID,B637,C_DEFINE,"Sí",C_INICIO,"&lt;"&amp;F637)+COUNTIFS(B$7:B637,B637,N$7:N637,"Sí",F$7:F637,F637),"")</f>
        <v/>
      </c>
      <c r="P637" s="72" t="str">
        <f aca="false">IF(O637="","",B637&amp;"-P"&amp;O637)</f>
        <v/>
      </c>
      <c r="Q637" s="73" t="str">
        <f aca="false">IF(AND(N637="Sí",E637="Plazo fijo",ISNUMBER(F637)),COUNTIFS(C_ID,B637,C_TIPO,"Plazo fijo",C_DEFINE,"Sí",C_INICIO,"&lt;"&amp;F637)+COUNTIFS(B$7:B637,B637,E$7:E637,"Plazo fijo",N$7:N637,"Sí",F$7:F637,F637),"")</f>
        <v/>
      </c>
      <c r="R637" s="73" t="str">
        <f aca="false">IF(AND(B637&lt;&gt;"",ISNUMBER(H637),ISNUMBER(F637)),COUNTIFS(C_ID,B637,C_SUELDO,"&lt;&gt;",C_INICIO,"&lt;"&amp;F637)+COUNTIFS(B$7:B637,B637,H$7:H637,"&lt;&gt;",F$7:F637,F637),"")</f>
        <v/>
      </c>
      <c r="S637" s="72" t="str">
        <f aca="false">IF(R637="","",B637&amp;"-S"&amp;R637)</f>
        <v/>
      </c>
      <c r="T637" s="74" t="str">
        <f aca="false">IF(AND(ISNUMBER(F637),ISNUMBER(G637)),ROUND((G637-F637+1)/30.4375,1),"")</f>
        <v/>
      </c>
      <c r="U637" s="70" t="str">
        <f aca="false">IF(B637="","",IF(AND(N637="Sí",OR(E637="",NOT(ISNUMBER(F637)))),"⚠ Falta tipo de contrato o fecha de inicio",IF(NOT(ISNUMBER(F637)),"⚠ Falta fecha de inicio",IF(AND(N637="Sí",E637&lt;&gt;"Indefinido",NOT(ISNUMBER(G637))),"⚠ Falta fecha de término",IF(AND(D637="Paso a indefinido",E637&lt;&gt;"Indefinido"),"⚠ Un paso a indefinido debe tener tipo Indefinido",IF(N(Q637)&gt;=3,"⚠ 3er contrato a plazo fijo: por ley ya es INDEFINIDO (Art. 159 N°4)",IF(AND(E637="Plazo fijo",N(T637)&gt;12),"⚠ Plazo fijo mayor a 1 año (máx. legal; 2 años solo profesionales o técnicos)",IF(AND(ISNUMBER(G637),G637&lt;F637),"⚠ Término anterior al inicio",IF(AND(D637="Contrato inicial",ISNUMBER(J637),J637-F637&gt;15),"⚠ Escriturado fuera de plazo (Art. 9: 15 días)",IF(K637&lt;&gt;"Sí","Pendiente de firma","OK"))))))))))</f>
        <v/>
      </c>
    </row>
    <row r="638" customFormat="false" ht="15" hidden="false" customHeight="false" outlineLevel="0" collapsed="false">
      <c r="B638" s="64"/>
      <c r="C638" s="72" t="str">
        <f aca="false">IF(B638="","",IFERROR(INDEX(T_NOMBRE,MATCH(B638,T_ID,0)),"⚠ ID no existe en Trabajadores"))</f>
        <v/>
      </c>
      <c r="D638" s="64"/>
      <c r="E638" s="64"/>
      <c r="F638" s="65"/>
      <c r="G638" s="65"/>
      <c r="H638" s="67"/>
      <c r="I638" s="64"/>
      <c r="J638" s="65"/>
      <c r="K638" s="64"/>
      <c r="L638" s="64"/>
      <c r="M638" s="64"/>
      <c r="N638" s="72" t="str">
        <f aca="false">IF(B638="","",IF(D638="Anexo de modificación","No","Sí"))</f>
        <v/>
      </c>
      <c r="O638" s="73" t="str">
        <f aca="false">IF(AND(N638="Sí",ISNUMBER(F638)),COUNTIFS(C_ID,B638,C_DEFINE,"Sí",C_INICIO,"&lt;"&amp;F638)+COUNTIFS(B$7:B638,B638,N$7:N638,"Sí",F$7:F638,F638),"")</f>
        <v/>
      </c>
      <c r="P638" s="72" t="str">
        <f aca="false">IF(O638="","",B638&amp;"-P"&amp;O638)</f>
        <v/>
      </c>
      <c r="Q638" s="73" t="str">
        <f aca="false">IF(AND(N638="Sí",E638="Plazo fijo",ISNUMBER(F638)),COUNTIFS(C_ID,B638,C_TIPO,"Plazo fijo",C_DEFINE,"Sí",C_INICIO,"&lt;"&amp;F638)+COUNTIFS(B$7:B638,B638,E$7:E638,"Plazo fijo",N$7:N638,"Sí",F$7:F638,F638),"")</f>
        <v/>
      </c>
      <c r="R638" s="73" t="str">
        <f aca="false">IF(AND(B638&lt;&gt;"",ISNUMBER(H638),ISNUMBER(F638)),COUNTIFS(C_ID,B638,C_SUELDO,"&lt;&gt;",C_INICIO,"&lt;"&amp;F638)+COUNTIFS(B$7:B638,B638,H$7:H638,"&lt;&gt;",F$7:F638,F638),"")</f>
        <v/>
      </c>
      <c r="S638" s="72" t="str">
        <f aca="false">IF(R638="","",B638&amp;"-S"&amp;R638)</f>
        <v/>
      </c>
      <c r="T638" s="74" t="str">
        <f aca="false">IF(AND(ISNUMBER(F638),ISNUMBER(G638)),ROUND((G638-F638+1)/30.4375,1),"")</f>
        <v/>
      </c>
      <c r="U638" s="70" t="str">
        <f aca="false">IF(B638="","",IF(AND(N638="Sí",OR(E638="",NOT(ISNUMBER(F638)))),"⚠ Falta tipo de contrato o fecha de inicio",IF(NOT(ISNUMBER(F638)),"⚠ Falta fecha de inicio",IF(AND(N638="Sí",E638&lt;&gt;"Indefinido",NOT(ISNUMBER(G638))),"⚠ Falta fecha de término",IF(AND(D638="Paso a indefinido",E638&lt;&gt;"Indefinido"),"⚠ Un paso a indefinido debe tener tipo Indefinido",IF(N(Q638)&gt;=3,"⚠ 3er contrato a plazo fijo: por ley ya es INDEFINIDO (Art. 159 N°4)",IF(AND(E638="Plazo fijo",N(T638)&gt;12),"⚠ Plazo fijo mayor a 1 año (máx. legal; 2 años solo profesionales o técnicos)",IF(AND(ISNUMBER(G638),G638&lt;F638),"⚠ Término anterior al inicio",IF(AND(D638="Contrato inicial",ISNUMBER(J638),J638-F638&gt;15),"⚠ Escriturado fuera de plazo (Art. 9: 15 días)",IF(K638&lt;&gt;"Sí","Pendiente de firma","OK"))))))))))</f>
        <v/>
      </c>
    </row>
    <row r="639" customFormat="false" ht="15" hidden="false" customHeight="false" outlineLevel="0" collapsed="false">
      <c r="B639" s="64"/>
      <c r="C639" s="72" t="str">
        <f aca="false">IF(B639="","",IFERROR(INDEX(T_NOMBRE,MATCH(B639,T_ID,0)),"⚠ ID no existe en Trabajadores"))</f>
        <v/>
      </c>
      <c r="D639" s="64"/>
      <c r="E639" s="64"/>
      <c r="F639" s="65"/>
      <c r="G639" s="65"/>
      <c r="H639" s="67"/>
      <c r="I639" s="64"/>
      <c r="J639" s="65"/>
      <c r="K639" s="64"/>
      <c r="L639" s="64"/>
      <c r="M639" s="64"/>
      <c r="N639" s="72" t="str">
        <f aca="false">IF(B639="","",IF(D639="Anexo de modificación","No","Sí"))</f>
        <v/>
      </c>
      <c r="O639" s="73" t="str">
        <f aca="false">IF(AND(N639="Sí",ISNUMBER(F639)),COUNTIFS(C_ID,B639,C_DEFINE,"Sí",C_INICIO,"&lt;"&amp;F639)+COUNTIFS(B$7:B639,B639,N$7:N639,"Sí",F$7:F639,F639),"")</f>
        <v/>
      </c>
      <c r="P639" s="72" t="str">
        <f aca="false">IF(O639="","",B639&amp;"-P"&amp;O639)</f>
        <v/>
      </c>
      <c r="Q639" s="73" t="str">
        <f aca="false">IF(AND(N639="Sí",E639="Plazo fijo",ISNUMBER(F639)),COUNTIFS(C_ID,B639,C_TIPO,"Plazo fijo",C_DEFINE,"Sí",C_INICIO,"&lt;"&amp;F639)+COUNTIFS(B$7:B639,B639,E$7:E639,"Plazo fijo",N$7:N639,"Sí",F$7:F639,F639),"")</f>
        <v/>
      </c>
      <c r="R639" s="73" t="str">
        <f aca="false">IF(AND(B639&lt;&gt;"",ISNUMBER(H639),ISNUMBER(F639)),COUNTIFS(C_ID,B639,C_SUELDO,"&lt;&gt;",C_INICIO,"&lt;"&amp;F639)+COUNTIFS(B$7:B639,B639,H$7:H639,"&lt;&gt;",F$7:F639,F639),"")</f>
        <v/>
      </c>
      <c r="S639" s="72" t="str">
        <f aca="false">IF(R639="","",B639&amp;"-S"&amp;R639)</f>
        <v/>
      </c>
      <c r="T639" s="74" t="str">
        <f aca="false">IF(AND(ISNUMBER(F639),ISNUMBER(G639)),ROUND((G639-F639+1)/30.4375,1),"")</f>
        <v/>
      </c>
      <c r="U639" s="70" t="str">
        <f aca="false">IF(B639="","",IF(AND(N639="Sí",OR(E639="",NOT(ISNUMBER(F639)))),"⚠ Falta tipo de contrato o fecha de inicio",IF(NOT(ISNUMBER(F639)),"⚠ Falta fecha de inicio",IF(AND(N639="Sí",E639&lt;&gt;"Indefinido",NOT(ISNUMBER(G639))),"⚠ Falta fecha de término",IF(AND(D639="Paso a indefinido",E639&lt;&gt;"Indefinido"),"⚠ Un paso a indefinido debe tener tipo Indefinido",IF(N(Q639)&gt;=3,"⚠ 3er contrato a plazo fijo: por ley ya es INDEFINIDO (Art. 159 N°4)",IF(AND(E639="Plazo fijo",N(T639)&gt;12),"⚠ Plazo fijo mayor a 1 año (máx. legal; 2 años solo profesionales o técnicos)",IF(AND(ISNUMBER(G639),G639&lt;F639),"⚠ Término anterior al inicio",IF(AND(D639="Contrato inicial",ISNUMBER(J639),J639-F639&gt;15),"⚠ Escriturado fuera de plazo (Art. 9: 15 días)",IF(K639&lt;&gt;"Sí","Pendiente de firma","OK"))))))))))</f>
        <v/>
      </c>
    </row>
    <row r="640" customFormat="false" ht="15" hidden="false" customHeight="false" outlineLevel="0" collapsed="false">
      <c r="B640" s="64"/>
      <c r="C640" s="72" t="str">
        <f aca="false">IF(B640="","",IFERROR(INDEX(T_NOMBRE,MATCH(B640,T_ID,0)),"⚠ ID no existe en Trabajadores"))</f>
        <v/>
      </c>
      <c r="D640" s="64"/>
      <c r="E640" s="64"/>
      <c r="F640" s="65"/>
      <c r="G640" s="65"/>
      <c r="H640" s="67"/>
      <c r="I640" s="64"/>
      <c r="J640" s="65"/>
      <c r="K640" s="64"/>
      <c r="L640" s="64"/>
      <c r="M640" s="64"/>
      <c r="N640" s="72" t="str">
        <f aca="false">IF(B640="","",IF(D640="Anexo de modificación","No","Sí"))</f>
        <v/>
      </c>
      <c r="O640" s="73" t="str">
        <f aca="false">IF(AND(N640="Sí",ISNUMBER(F640)),COUNTIFS(C_ID,B640,C_DEFINE,"Sí",C_INICIO,"&lt;"&amp;F640)+COUNTIFS(B$7:B640,B640,N$7:N640,"Sí",F$7:F640,F640),"")</f>
        <v/>
      </c>
      <c r="P640" s="72" t="str">
        <f aca="false">IF(O640="","",B640&amp;"-P"&amp;O640)</f>
        <v/>
      </c>
      <c r="Q640" s="73" t="str">
        <f aca="false">IF(AND(N640="Sí",E640="Plazo fijo",ISNUMBER(F640)),COUNTIFS(C_ID,B640,C_TIPO,"Plazo fijo",C_DEFINE,"Sí",C_INICIO,"&lt;"&amp;F640)+COUNTIFS(B$7:B640,B640,E$7:E640,"Plazo fijo",N$7:N640,"Sí",F$7:F640,F640),"")</f>
        <v/>
      </c>
      <c r="R640" s="73" t="str">
        <f aca="false">IF(AND(B640&lt;&gt;"",ISNUMBER(H640),ISNUMBER(F640)),COUNTIFS(C_ID,B640,C_SUELDO,"&lt;&gt;",C_INICIO,"&lt;"&amp;F640)+COUNTIFS(B$7:B640,B640,H$7:H640,"&lt;&gt;",F$7:F640,F640),"")</f>
        <v/>
      </c>
      <c r="S640" s="72" t="str">
        <f aca="false">IF(R640="","",B640&amp;"-S"&amp;R640)</f>
        <v/>
      </c>
      <c r="T640" s="74" t="str">
        <f aca="false">IF(AND(ISNUMBER(F640),ISNUMBER(G640)),ROUND((G640-F640+1)/30.4375,1),"")</f>
        <v/>
      </c>
      <c r="U640" s="70" t="str">
        <f aca="false">IF(B640="","",IF(AND(N640="Sí",OR(E640="",NOT(ISNUMBER(F640)))),"⚠ Falta tipo de contrato o fecha de inicio",IF(NOT(ISNUMBER(F640)),"⚠ Falta fecha de inicio",IF(AND(N640="Sí",E640&lt;&gt;"Indefinido",NOT(ISNUMBER(G640))),"⚠ Falta fecha de término",IF(AND(D640="Paso a indefinido",E640&lt;&gt;"Indefinido"),"⚠ Un paso a indefinido debe tener tipo Indefinido",IF(N(Q640)&gt;=3,"⚠ 3er contrato a plazo fijo: por ley ya es INDEFINIDO (Art. 159 N°4)",IF(AND(E640="Plazo fijo",N(T640)&gt;12),"⚠ Plazo fijo mayor a 1 año (máx. legal; 2 años solo profesionales o técnicos)",IF(AND(ISNUMBER(G640),G640&lt;F640),"⚠ Término anterior al inicio",IF(AND(D640="Contrato inicial",ISNUMBER(J640),J640-F640&gt;15),"⚠ Escriturado fuera de plazo (Art. 9: 15 días)",IF(K640&lt;&gt;"Sí","Pendiente de firma","OK"))))))))))</f>
        <v/>
      </c>
    </row>
    <row r="641" customFormat="false" ht="15" hidden="false" customHeight="false" outlineLevel="0" collapsed="false">
      <c r="B641" s="64"/>
      <c r="C641" s="72" t="str">
        <f aca="false">IF(B641="","",IFERROR(INDEX(T_NOMBRE,MATCH(B641,T_ID,0)),"⚠ ID no existe en Trabajadores"))</f>
        <v/>
      </c>
      <c r="D641" s="64"/>
      <c r="E641" s="64"/>
      <c r="F641" s="65"/>
      <c r="G641" s="65"/>
      <c r="H641" s="67"/>
      <c r="I641" s="64"/>
      <c r="J641" s="65"/>
      <c r="K641" s="64"/>
      <c r="L641" s="64"/>
      <c r="M641" s="64"/>
      <c r="N641" s="72" t="str">
        <f aca="false">IF(B641="","",IF(D641="Anexo de modificación","No","Sí"))</f>
        <v/>
      </c>
      <c r="O641" s="73" t="str">
        <f aca="false">IF(AND(N641="Sí",ISNUMBER(F641)),COUNTIFS(C_ID,B641,C_DEFINE,"Sí",C_INICIO,"&lt;"&amp;F641)+COUNTIFS(B$7:B641,B641,N$7:N641,"Sí",F$7:F641,F641),"")</f>
        <v/>
      </c>
      <c r="P641" s="72" t="str">
        <f aca="false">IF(O641="","",B641&amp;"-P"&amp;O641)</f>
        <v/>
      </c>
      <c r="Q641" s="73" t="str">
        <f aca="false">IF(AND(N641="Sí",E641="Plazo fijo",ISNUMBER(F641)),COUNTIFS(C_ID,B641,C_TIPO,"Plazo fijo",C_DEFINE,"Sí",C_INICIO,"&lt;"&amp;F641)+COUNTIFS(B$7:B641,B641,E$7:E641,"Plazo fijo",N$7:N641,"Sí",F$7:F641,F641),"")</f>
        <v/>
      </c>
      <c r="R641" s="73" t="str">
        <f aca="false">IF(AND(B641&lt;&gt;"",ISNUMBER(H641),ISNUMBER(F641)),COUNTIFS(C_ID,B641,C_SUELDO,"&lt;&gt;",C_INICIO,"&lt;"&amp;F641)+COUNTIFS(B$7:B641,B641,H$7:H641,"&lt;&gt;",F$7:F641,F641),"")</f>
        <v/>
      </c>
      <c r="S641" s="72" t="str">
        <f aca="false">IF(R641="","",B641&amp;"-S"&amp;R641)</f>
        <v/>
      </c>
      <c r="T641" s="74" t="str">
        <f aca="false">IF(AND(ISNUMBER(F641),ISNUMBER(G641)),ROUND((G641-F641+1)/30.4375,1),"")</f>
        <v/>
      </c>
      <c r="U641" s="70" t="str">
        <f aca="false">IF(B641="","",IF(AND(N641="Sí",OR(E641="",NOT(ISNUMBER(F641)))),"⚠ Falta tipo de contrato o fecha de inicio",IF(NOT(ISNUMBER(F641)),"⚠ Falta fecha de inicio",IF(AND(N641="Sí",E641&lt;&gt;"Indefinido",NOT(ISNUMBER(G641))),"⚠ Falta fecha de término",IF(AND(D641="Paso a indefinido",E641&lt;&gt;"Indefinido"),"⚠ Un paso a indefinido debe tener tipo Indefinido",IF(N(Q641)&gt;=3,"⚠ 3er contrato a plazo fijo: por ley ya es INDEFINIDO (Art. 159 N°4)",IF(AND(E641="Plazo fijo",N(T641)&gt;12),"⚠ Plazo fijo mayor a 1 año (máx. legal; 2 años solo profesionales o técnicos)",IF(AND(ISNUMBER(G641),G641&lt;F641),"⚠ Término anterior al inicio",IF(AND(D641="Contrato inicial",ISNUMBER(J641),J641-F641&gt;15),"⚠ Escriturado fuera de plazo (Art. 9: 15 días)",IF(K641&lt;&gt;"Sí","Pendiente de firma","OK"))))))))))</f>
        <v/>
      </c>
    </row>
    <row r="642" customFormat="false" ht="15" hidden="false" customHeight="false" outlineLevel="0" collapsed="false">
      <c r="B642" s="64"/>
      <c r="C642" s="72" t="str">
        <f aca="false">IF(B642="","",IFERROR(INDEX(T_NOMBRE,MATCH(B642,T_ID,0)),"⚠ ID no existe en Trabajadores"))</f>
        <v/>
      </c>
      <c r="D642" s="64"/>
      <c r="E642" s="64"/>
      <c r="F642" s="65"/>
      <c r="G642" s="65"/>
      <c r="H642" s="67"/>
      <c r="I642" s="64"/>
      <c r="J642" s="65"/>
      <c r="K642" s="64"/>
      <c r="L642" s="64"/>
      <c r="M642" s="64"/>
      <c r="N642" s="72" t="str">
        <f aca="false">IF(B642="","",IF(D642="Anexo de modificación","No","Sí"))</f>
        <v/>
      </c>
      <c r="O642" s="73" t="str">
        <f aca="false">IF(AND(N642="Sí",ISNUMBER(F642)),COUNTIFS(C_ID,B642,C_DEFINE,"Sí",C_INICIO,"&lt;"&amp;F642)+COUNTIFS(B$7:B642,B642,N$7:N642,"Sí",F$7:F642,F642),"")</f>
        <v/>
      </c>
      <c r="P642" s="72" t="str">
        <f aca="false">IF(O642="","",B642&amp;"-P"&amp;O642)</f>
        <v/>
      </c>
      <c r="Q642" s="73" t="str">
        <f aca="false">IF(AND(N642="Sí",E642="Plazo fijo",ISNUMBER(F642)),COUNTIFS(C_ID,B642,C_TIPO,"Plazo fijo",C_DEFINE,"Sí",C_INICIO,"&lt;"&amp;F642)+COUNTIFS(B$7:B642,B642,E$7:E642,"Plazo fijo",N$7:N642,"Sí",F$7:F642,F642),"")</f>
        <v/>
      </c>
      <c r="R642" s="73" t="str">
        <f aca="false">IF(AND(B642&lt;&gt;"",ISNUMBER(H642),ISNUMBER(F642)),COUNTIFS(C_ID,B642,C_SUELDO,"&lt;&gt;",C_INICIO,"&lt;"&amp;F642)+COUNTIFS(B$7:B642,B642,H$7:H642,"&lt;&gt;",F$7:F642,F642),"")</f>
        <v/>
      </c>
      <c r="S642" s="72" t="str">
        <f aca="false">IF(R642="","",B642&amp;"-S"&amp;R642)</f>
        <v/>
      </c>
      <c r="T642" s="74" t="str">
        <f aca="false">IF(AND(ISNUMBER(F642),ISNUMBER(G642)),ROUND((G642-F642+1)/30.4375,1),"")</f>
        <v/>
      </c>
      <c r="U642" s="70" t="str">
        <f aca="false">IF(B642="","",IF(AND(N642="Sí",OR(E642="",NOT(ISNUMBER(F642)))),"⚠ Falta tipo de contrato o fecha de inicio",IF(NOT(ISNUMBER(F642)),"⚠ Falta fecha de inicio",IF(AND(N642="Sí",E642&lt;&gt;"Indefinido",NOT(ISNUMBER(G642))),"⚠ Falta fecha de término",IF(AND(D642="Paso a indefinido",E642&lt;&gt;"Indefinido"),"⚠ Un paso a indefinido debe tener tipo Indefinido",IF(N(Q642)&gt;=3,"⚠ 3er contrato a plazo fijo: por ley ya es INDEFINIDO (Art. 159 N°4)",IF(AND(E642="Plazo fijo",N(T642)&gt;12),"⚠ Plazo fijo mayor a 1 año (máx. legal; 2 años solo profesionales o técnicos)",IF(AND(ISNUMBER(G642),G642&lt;F642),"⚠ Término anterior al inicio",IF(AND(D642="Contrato inicial",ISNUMBER(J642),J642-F642&gt;15),"⚠ Escriturado fuera de plazo (Art. 9: 15 días)",IF(K642&lt;&gt;"Sí","Pendiente de firma","OK"))))))))))</f>
        <v/>
      </c>
    </row>
    <row r="643" customFormat="false" ht="15" hidden="false" customHeight="false" outlineLevel="0" collapsed="false">
      <c r="B643" s="64"/>
      <c r="C643" s="72" t="str">
        <f aca="false">IF(B643="","",IFERROR(INDEX(T_NOMBRE,MATCH(B643,T_ID,0)),"⚠ ID no existe en Trabajadores"))</f>
        <v/>
      </c>
      <c r="D643" s="64"/>
      <c r="E643" s="64"/>
      <c r="F643" s="65"/>
      <c r="G643" s="65"/>
      <c r="H643" s="67"/>
      <c r="I643" s="64"/>
      <c r="J643" s="65"/>
      <c r="K643" s="64"/>
      <c r="L643" s="64"/>
      <c r="M643" s="64"/>
      <c r="N643" s="72" t="str">
        <f aca="false">IF(B643="","",IF(D643="Anexo de modificación","No","Sí"))</f>
        <v/>
      </c>
      <c r="O643" s="73" t="str">
        <f aca="false">IF(AND(N643="Sí",ISNUMBER(F643)),COUNTIFS(C_ID,B643,C_DEFINE,"Sí",C_INICIO,"&lt;"&amp;F643)+COUNTIFS(B$7:B643,B643,N$7:N643,"Sí",F$7:F643,F643),"")</f>
        <v/>
      </c>
      <c r="P643" s="72" t="str">
        <f aca="false">IF(O643="","",B643&amp;"-P"&amp;O643)</f>
        <v/>
      </c>
      <c r="Q643" s="73" t="str">
        <f aca="false">IF(AND(N643="Sí",E643="Plazo fijo",ISNUMBER(F643)),COUNTIFS(C_ID,B643,C_TIPO,"Plazo fijo",C_DEFINE,"Sí",C_INICIO,"&lt;"&amp;F643)+COUNTIFS(B$7:B643,B643,E$7:E643,"Plazo fijo",N$7:N643,"Sí",F$7:F643,F643),"")</f>
        <v/>
      </c>
      <c r="R643" s="73" t="str">
        <f aca="false">IF(AND(B643&lt;&gt;"",ISNUMBER(H643),ISNUMBER(F643)),COUNTIFS(C_ID,B643,C_SUELDO,"&lt;&gt;",C_INICIO,"&lt;"&amp;F643)+COUNTIFS(B$7:B643,B643,H$7:H643,"&lt;&gt;",F$7:F643,F643),"")</f>
        <v/>
      </c>
      <c r="S643" s="72" t="str">
        <f aca="false">IF(R643="","",B643&amp;"-S"&amp;R643)</f>
        <v/>
      </c>
      <c r="T643" s="74" t="str">
        <f aca="false">IF(AND(ISNUMBER(F643),ISNUMBER(G643)),ROUND((G643-F643+1)/30.4375,1),"")</f>
        <v/>
      </c>
      <c r="U643" s="70" t="str">
        <f aca="false">IF(B643="","",IF(AND(N643="Sí",OR(E643="",NOT(ISNUMBER(F643)))),"⚠ Falta tipo de contrato o fecha de inicio",IF(NOT(ISNUMBER(F643)),"⚠ Falta fecha de inicio",IF(AND(N643="Sí",E643&lt;&gt;"Indefinido",NOT(ISNUMBER(G643))),"⚠ Falta fecha de término",IF(AND(D643="Paso a indefinido",E643&lt;&gt;"Indefinido"),"⚠ Un paso a indefinido debe tener tipo Indefinido",IF(N(Q643)&gt;=3,"⚠ 3er contrato a plazo fijo: por ley ya es INDEFINIDO (Art. 159 N°4)",IF(AND(E643="Plazo fijo",N(T643)&gt;12),"⚠ Plazo fijo mayor a 1 año (máx. legal; 2 años solo profesionales o técnicos)",IF(AND(ISNUMBER(G643),G643&lt;F643),"⚠ Término anterior al inicio",IF(AND(D643="Contrato inicial",ISNUMBER(J643),J643-F643&gt;15),"⚠ Escriturado fuera de plazo (Art. 9: 15 días)",IF(K643&lt;&gt;"Sí","Pendiente de firma","OK"))))))))))</f>
        <v/>
      </c>
    </row>
    <row r="644" customFormat="false" ht="15" hidden="false" customHeight="false" outlineLevel="0" collapsed="false">
      <c r="B644" s="64"/>
      <c r="C644" s="72" t="str">
        <f aca="false">IF(B644="","",IFERROR(INDEX(T_NOMBRE,MATCH(B644,T_ID,0)),"⚠ ID no existe en Trabajadores"))</f>
        <v/>
      </c>
      <c r="D644" s="64"/>
      <c r="E644" s="64"/>
      <c r="F644" s="65"/>
      <c r="G644" s="65"/>
      <c r="H644" s="67"/>
      <c r="I644" s="64"/>
      <c r="J644" s="65"/>
      <c r="K644" s="64"/>
      <c r="L644" s="64"/>
      <c r="M644" s="64"/>
      <c r="N644" s="72" t="str">
        <f aca="false">IF(B644="","",IF(D644="Anexo de modificación","No","Sí"))</f>
        <v/>
      </c>
      <c r="O644" s="73" t="str">
        <f aca="false">IF(AND(N644="Sí",ISNUMBER(F644)),COUNTIFS(C_ID,B644,C_DEFINE,"Sí",C_INICIO,"&lt;"&amp;F644)+COUNTIFS(B$7:B644,B644,N$7:N644,"Sí",F$7:F644,F644),"")</f>
        <v/>
      </c>
      <c r="P644" s="72" t="str">
        <f aca="false">IF(O644="","",B644&amp;"-P"&amp;O644)</f>
        <v/>
      </c>
      <c r="Q644" s="73" t="str">
        <f aca="false">IF(AND(N644="Sí",E644="Plazo fijo",ISNUMBER(F644)),COUNTIFS(C_ID,B644,C_TIPO,"Plazo fijo",C_DEFINE,"Sí",C_INICIO,"&lt;"&amp;F644)+COUNTIFS(B$7:B644,B644,E$7:E644,"Plazo fijo",N$7:N644,"Sí",F$7:F644,F644),"")</f>
        <v/>
      </c>
      <c r="R644" s="73" t="str">
        <f aca="false">IF(AND(B644&lt;&gt;"",ISNUMBER(H644),ISNUMBER(F644)),COUNTIFS(C_ID,B644,C_SUELDO,"&lt;&gt;",C_INICIO,"&lt;"&amp;F644)+COUNTIFS(B$7:B644,B644,H$7:H644,"&lt;&gt;",F$7:F644,F644),"")</f>
        <v/>
      </c>
      <c r="S644" s="72" t="str">
        <f aca="false">IF(R644="","",B644&amp;"-S"&amp;R644)</f>
        <v/>
      </c>
      <c r="T644" s="74" t="str">
        <f aca="false">IF(AND(ISNUMBER(F644),ISNUMBER(G644)),ROUND((G644-F644+1)/30.4375,1),"")</f>
        <v/>
      </c>
      <c r="U644" s="70" t="str">
        <f aca="false">IF(B644="","",IF(AND(N644="Sí",OR(E644="",NOT(ISNUMBER(F644)))),"⚠ Falta tipo de contrato o fecha de inicio",IF(NOT(ISNUMBER(F644)),"⚠ Falta fecha de inicio",IF(AND(N644="Sí",E644&lt;&gt;"Indefinido",NOT(ISNUMBER(G644))),"⚠ Falta fecha de término",IF(AND(D644="Paso a indefinido",E644&lt;&gt;"Indefinido"),"⚠ Un paso a indefinido debe tener tipo Indefinido",IF(N(Q644)&gt;=3,"⚠ 3er contrato a plazo fijo: por ley ya es INDEFINIDO (Art. 159 N°4)",IF(AND(E644="Plazo fijo",N(T644)&gt;12),"⚠ Plazo fijo mayor a 1 año (máx. legal; 2 años solo profesionales o técnicos)",IF(AND(ISNUMBER(G644),G644&lt;F644),"⚠ Término anterior al inicio",IF(AND(D644="Contrato inicial",ISNUMBER(J644),J644-F644&gt;15),"⚠ Escriturado fuera de plazo (Art. 9: 15 días)",IF(K644&lt;&gt;"Sí","Pendiente de firma","OK"))))))))))</f>
        <v/>
      </c>
    </row>
    <row r="645" customFormat="false" ht="15" hidden="false" customHeight="false" outlineLevel="0" collapsed="false">
      <c r="B645" s="64"/>
      <c r="C645" s="72" t="str">
        <f aca="false">IF(B645="","",IFERROR(INDEX(T_NOMBRE,MATCH(B645,T_ID,0)),"⚠ ID no existe en Trabajadores"))</f>
        <v/>
      </c>
      <c r="D645" s="64"/>
      <c r="E645" s="64"/>
      <c r="F645" s="65"/>
      <c r="G645" s="65"/>
      <c r="H645" s="67"/>
      <c r="I645" s="64"/>
      <c r="J645" s="65"/>
      <c r="K645" s="64"/>
      <c r="L645" s="64"/>
      <c r="M645" s="64"/>
      <c r="N645" s="72" t="str">
        <f aca="false">IF(B645="","",IF(D645="Anexo de modificación","No","Sí"))</f>
        <v/>
      </c>
      <c r="O645" s="73" t="str">
        <f aca="false">IF(AND(N645="Sí",ISNUMBER(F645)),COUNTIFS(C_ID,B645,C_DEFINE,"Sí",C_INICIO,"&lt;"&amp;F645)+COUNTIFS(B$7:B645,B645,N$7:N645,"Sí",F$7:F645,F645),"")</f>
        <v/>
      </c>
      <c r="P645" s="72" t="str">
        <f aca="false">IF(O645="","",B645&amp;"-P"&amp;O645)</f>
        <v/>
      </c>
      <c r="Q645" s="73" t="str">
        <f aca="false">IF(AND(N645="Sí",E645="Plazo fijo",ISNUMBER(F645)),COUNTIFS(C_ID,B645,C_TIPO,"Plazo fijo",C_DEFINE,"Sí",C_INICIO,"&lt;"&amp;F645)+COUNTIFS(B$7:B645,B645,E$7:E645,"Plazo fijo",N$7:N645,"Sí",F$7:F645,F645),"")</f>
        <v/>
      </c>
      <c r="R645" s="73" t="str">
        <f aca="false">IF(AND(B645&lt;&gt;"",ISNUMBER(H645),ISNUMBER(F645)),COUNTIFS(C_ID,B645,C_SUELDO,"&lt;&gt;",C_INICIO,"&lt;"&amp;F645)+COUNTIFS(B$7:B645,B645,H$7:H645,"&lt;&gt;",F$7:F645,F645),"")</f>
        <v/>
      </c>
      <c r="S645" s="72" t="str">
        <f aca="false">IF(R645="","",B645&amp;"-S"&amp;R645)</f>
        <v/>
      </c>
      <c r="T645" s="74" t="str">
        <f aca="false">IF(AND(ISNUMBER(F645),ISNUMBER(G645)),ROUND((G645-F645+1)/30.4375,1),"")</f>
        <v/>
      </c>
      <c r="U645" s="70" t="str">
        <f aca="false">IF(B645="","",IF(AND(N645="Sí",OR(E645="",NOT(ISNUMBER(F645)))),"⚠ Falta tipo de contrato o fecha de inicio",IF(NOT(ISNUMBER(F645)),"⚠ Falta fecha de inicio",IF(AND(N645="Sí",E645&lt;&gt;"Indefinido",NOT(ISNUMBER(G645))),"⚠ Falta fecha de término",IF(AND(D645="Paso a indefinido",E645&lt;&gt;"Indefinido"),"⚠ Un paso a indefinido debe tener tipo Indefinido",IF(N(Q645)&gt;=3,"⚠ 3er contrato a plazo fijo: por ley ya es INDEFINIDO (Art. 159 N°4)",IF(AND(E645="Plazo fijo",N(T645)&gt;12),"⚠ Plazo fijo mayor a 1 año (máx. legal; 2 años solo profesionales o técnicos)",IF(AND(ISNUMBER(G645),G645&lt;F645),"⚠ Término anterior al inicio",IF(AND(D645="Contrato inicial",ISNUMBER(J645),J645-F645&gt;15),"⚠ Escriturado fuera de plazo (Art. 9: 15 días)",IF(K645&lt;&gt;"Sí","Pendiente de firma","OK"))))))))))</f>
        <v/>
      </c>
    </row>
    <row r="646" customFormat="false" ht="15" hidden="false" customHeight="false" outlineLevel="0" collapsed="false">
      <c r="B646" s="64"/>
      <c r="C646" s="72" t="str">
        <f aca="false">IF(B646="","",IFERROR(INDEX(T_NOMBRE,MATCH(B646,T_ID,0)),"⚠ ID no existe en Trabajadores"))</f>
        <v/>
      </c>
      <c r="D646" s="64"/>
      <c r="E646" s="64"/>
      <c r="F646" s="65"/>
      <c r="G646" s="65"/>
      <c r="H646" s="67"/>
      <c r="I646" s="64"/>
      <c r="J646" s="65"/>
      <c r="K646" s="64"/>
      <c r="L646" s="64"/>
      <c r="M646" s="64"/>
      <c r="N646" s="72" t="str">
        <f aca="false">IF(B646="","",IF(D646="Anexo de modificación","No","Sí"))</f>
        <v/>
      </c>
      <c r="O646" s="73" t="str">
        <f aca="false">IF(AND(N646="Sí",ISNUMBER(F646)),COUNTIFS(C_ID,B646,C_DEFINE,"Sí",C_INICIO,"&lt;"&amp;F646)+COUNTIFS(B$7:B646,B646,N$7:N646,"Sí",F$7:F646,F646),"")</f>
        <v/>
      </c>
      <c r="P646" s="72" t="str">
        <f aca="false">IF(O646="","",B646&amp;"-P"&amp;O646)</f>
        <v/>
      </c>
      <c r="Q646" s="73" t="str">
        <f aca="false">IF(AND(N646="Sí",E646="Plazo fijo",ISNUMBER(F646)),COUNTIFS(C_ID,B646,C_TIPO,"Plazo fijo",C_DEFINE,"Sí",C_INICIO,"&lt;"&amp;F646)+COUNTIFS(B$7:B646,B646,E$7:E646,"Plazo fijo",N$7:N646,"Sí",F$7:F646,F646),"")</f>
        <v/>
      </c>
      <c r="R646" s="73" t="str">
        <f aca="false">IF(AND(B646&lt;&gt;"",ISNUMBER(H646),ISNUMBER(F646)),COUNTIFS(C_ID,B646,C_SUELDO,"&lt;&gt;",C_INICIO,"&lt;"&amp;F646)+COUNTIFS(B$7:B646,B646,H$7:H646,"&lt;&gt;",F$7:F646,F646),"")</f>
        <v/>
      </c>
      <c r="S646" s="72" t="str">
        <f aca="false">IF(R646="","",B646&amp;"-S"&amp;R646)</f>
        <v/>
      </c>
      <c r="T646" s="74" t="str">
        <f aca="false">IF(AND(ISNUMBER(F646),ISNUMBER(G646)),ROUND((G646-F646+1)/30.4375,1),"")</f>
        <v/>
      </c>
      <c r="U646" s="70" t="str">
        <f aca="false">IF(B646="","",IF(AND(N646="Sí",OR(E646="",NOT(ISNUMBER(F646)))),"⚠ Falta tipo de contrato o fecha de inicio",IF(NOT(ISNUMBER(F646)),"⚠ Falta fecha de inicio",IF(AND(N646="Sí",E646&lt;&gt;"Indefinido",NOT(ISNUMBER(G646))),"⚠ Falta fecha de término",IF(AND(D646="Paso a indefinido",E646&lt;&gt;"Indefinido"),"⚠ Un paso a indefinido debe tener tipo Indefinido",IF(N(Q646)&gt;=3,"⚠ 3er contrato a plazo fijo: por ley ya es INDEFINIDO (Art. 159 N°4)",IF(AND(E646="Plazo fijo",N(T646)&gt;12),"⚠ Plazo fijo mayor a 1 año (máx. legal; 2 años solo profesionales o técnicos)",IF(AND(ISNUMBER(G646),G646&lt;F646),"⚠ Término anterior al inicio",IF(AND(D646="Contrato inicial",ISNUMBER(J646),J646-F646&gt;15),"⚠ Escriturado fuera de plazo (Art. 9: 15 días)",IF(K646&lt;&gt;"Sí","Pendiente de firma","OK"))))))))))</f>
        <v/>
      </c>
    </row>
    <row r="647" customFormat="false" ht="15" hidden="false" customHeight="false" outlineLevel="0" collapsed="false">
      <c r="B647" s="64"/>
      <c r="C647" s="72" t="str">
        <f aca="false">IF(B647="","",IFERROR(INDEX(T_NOMBRE,MATCH(B647,T_ID,0)),"⚠ ID no existe en Trabajadores"))</f>
        <v/>
      </c>
      <c r="D647" s="64"/>
      <c r="E647" s="64"/>
      <c r="F647" s="65"/>
      <c r="G647" s="65"/>
      <c r="H647" s="67"/>
      <c r="I647" s="64"/>
      <c r="J647" s="65"/>
      <c r="K647" s="64"/>
      <c r="L647" s="64"/>
      <c r="M647" s="64"/>
      <c r="N647" s="72" t="str">
        <f aca="false">IF(B647="","",IF(D647="Anexo de modificación","No","Sí"))</f>
        <v/>
      </c>
      <c r="O647" s="73" t="str">
        <f aca="false">IF(AND(N647="Sí",ISNUMBER(F647)),COUNTIFS(C_ID,B647,C_DEFINE,"Sí",C_INICIO,"&lt;"&amp;F647)+COUNTIFS(B$7:B647,B647,N$7:N647,"Sí",F$7:F647,F647),"")</f>
        <v/>
      </c>
      <c r="P647" s="72" t="str">
        <f aca="false">IF(O647="","",B647&amp;"-P"&amp;O647)</f>
        <v/>
      </c>
      <c r="Q647" s="73" t="str">
        <f aca="false">IF(AND(N647="Sí",E647="Plazo fijo",ISNUMBER(F647)),COUNTIFS(C_ID,B647,C_TIPO,"Plazo fijo",C_DEFINE,"Sí",C_INICIO,"&lt;"&amp;F647)+COUNTIFS(B$7:B647,B647,E$7:E647,"Plazo fijo",N$7:N647,"Sí",F$7:F647,F647),"")</f>
        <v/>
      </c>
      <c r="R647" s="73" t="str">
        <f aca="false">IF(AND(B647&lt;&gt;"",ISNUMBER(H647),ISNUMBER(F647)),COUNTIFS(C_ID,B647,C_SUELDO,"&lt;&gt;",C_INICIO,"&lt;"&amp;F647)+COUNTIFS(B$7:B647,B647,H$7:H647,"&lt;&gt;",F$7:F647,F647),"")</f>
        <v/>
      </c>
      <c r="S647" s="72" t="str">
        <f aca="false">IF(R647="","",B647&amp;"-S"&amp;R647)</f>
        <v/>
      </c>
      <c r="T647" s="74" t="str">
        <f aca="false">IF(AND(ISNUMBER(F647),ISNUMBER(G647)),ROUND((G647-F647+1)/30.4375,1),"")</f>
        <v/>
      </c>
      <c r="U647" s="70" t="str">
        <f aca="false">IF(B647="","",IF(AND(N647="Sí",OR(E647="",NOT(ISNUMBER(F647)))),"⚠ Falta tipo de contrato o fecha de inicio",IF(NOT(ISNUMBER(F647)),"⚠ Falta fecha de inicio",IF(AND(N647="Sí",E647&lt;&gt;"Indefinido",NOT(ISNUMBER(G647))),"⚠ Falta fecha de término",IF(AND(D647="Paso a indefinido",E647&lt;&gt;"Indefinido"),"⚠ Un paso a indefinido debe tener tipo Indefinido",IF(N(Q647)&gt;=3,"⚠ 3er contrato a plazo fijo: por ley ya es INDEFINIDO (Art. 159 N°4)",IF(AND(E647="Plazo fijo",N(T647)&gt;12),"⚠ Plazo fijo mayor a 1 año (máx. legal; 2 años solo profesionales o técnicos)",IF(AND(ISNUMBER(G647),G647&lt;F647),"⚠ Término anterior al inicio",IF(AND(D647="Contrato inicial",ISNUMBER(J647),J647-F647&gt;15),"⚠ Escriturado fuera de plazo (Art. 9: 15 días)",IF(K647&lt;&gt;"Sí","Pendiente de firma","OK"))))))))))</f>
        <v/>
      </c>
    </row>
    <row r="648" customFormat="false" ht="15" hidden="false" customHeight="false" outlineLevel="0" collapsed="false">
      <c r="B648" s="64"/>
      <c r="C648" s="72" t="str">
        <f aca="false">IF(B648="","",IFERROR(INDEX(T_NOMBRE,MATCH(B648,T_ID,0)),"⚠ ID no existe en Trabajadores"))</f>
        <v/>
      </c>
      <c r="D648" s="64"/>
      <c r="E648" s="64"/>
      <c r="F648" s="65"/>
      <c r="G648" s="65"/>
      <c r="H648" s="67"/>
      <c r="I648" s="64"/>
      <c r="J648" s="65"/>
      <c r="K648" s="64"/>
      <c r="L648" s="64"/>
      <c r="M648" s="64"/>
      <c r="N648" s="72" t="str">
        <f aca="false">IF(B648="","",IF(D648="Anexo de modificación","No","Sí"))</f>
        <v/>
      </c>
      <c r="O648" s="73" t="str">
        <f aca="false">IF(AND(N648="Sí",ISNUMBER(F648)),COUNTIFS(C_ID,B648,C_DEFINE,"Sí",C_INICIO,"&lt;"&amp;F648)+COUNTIFS(B$7:B648,B648,N$7:N648,"Sí",F$7:F648,F648),"")</f>
        <v/>
      </c>
      <c r="P648" s="72" t="str">
        <f aca="false">IF(O648="","",B648&amp;"-P"&amp;O648)</f>
        <v/>
      </c>
      <c r="Q648" s="73" t="str">
        <f aca="false">IF(AND(N648="Sí",E648="Plazo fijo",ISNUMBER(F648)),COUNTIFS(C_ID,B648,C_TIPO,"Plazo fijo",C_DEFINE,"Sí",C_INICIO,"&lt;"&amp;F648)+COUNTIFS(B$7:B648,B648,E$7:E648,"Plazo fijo",N$7:N648,"Sí",F$7:F648,F648),"")</f>
        <v/>
      </c>
      <c r="R648" s="73" t="str">
        <f aca="false">IF(AND(B648&lt;&gt;"",ISNUMBER(H648),ISNUMBER(F648)),COUNTIFS(C_ID,B648,C_SUELDO,"&lt;&gt;",C_INICIO,"&lt;"&amp;F648)+COUNTIFS(B$7:B648,B648,H$7:H648,"&lt;&gt;",F$7:F648,F648),"")</f>
        <v/>
      </c>
      <c r="S648" s="72" t="str">
        <f aca="false">IF(R648="","",B648&amp;"-S"&amp;R648)</f>
        <v/>
      </c>
      <c r="T648" s="74" t="str">
        <f aca="false">IF(AND(ISNUMBER(F648),ISNUMBER(G648)),ROUND((G648-F648+1)/30.4375,1),"")</f>
        <v/>
      </c>
      <c r="U648" s="70" t="str">
        <f aca="false">IF(B648="","",IF(AND(N648="Sí",OR(E648="",NOT(ISNUMBER(F648)))),"⚠ Falta tipo de contrato o fecha de inicio",IF(NOT(ISNUMBER(F648)),"⚠ Falta fecha de inicio",IF(AND(N648="Sí",E648&lt;&gt;"Indefinido",NOT(ISNUMBER(G648))),"⚠ Falta fecha de término",IF(AND(D648="Paso a indefinido",E648&lt;&gt;"Indefinido"),"⚠ Un paso a indefinido debe tener tipo Indefinido",IF(N(Q648)&gt;=3,"⚠ 3er contrato a plazo fijo: por ley ya es INDEFINIDO (Art. 159 N°4)",IF(AND(E648="Plazo fijo",N(T648)&gt;12),"⚠ Plazo fijo mayor a 1 año (máx. legal; 2 años solo profesionales o técnicos)",IF(AND(ISNUMBER(G648),G648&lt;F648),"⚠ Término anterior al inicio",IF(AND(D648="Contrato inicial",ISNUMBER(J648),J648-F648&gt;15),"⚠ Escriturado fuera de plazo (Art. 9: 15 días)",IF(K648&lt;&gt;"Sí","Pendiente de firma","OK"))))))))))</f>
        <v/>
      </c>
    </row>
    <row r="649" customFormat="false" ht="15" hidden="false" customHeight="false" outlineLevel="0" collapsed="false">
      <c r="B649" s="64"/>
      <c r="C649" s="72" t="str">
        <f aca="false">IF(B649="","",IFERROR(INDEX(T_NOMBRE,MATCH(B649,T_ID,0)),"⚠ ID no existe en Trabajadores"))</f>
        <v/>
      </c>
      <c r="D649" s="64"/>
      <c r="E649" s="64"/>
      <c r="F649" s="65"/>
      <c r="G649" s="65"/>
      <c r="H649" s="67"/>
      <c r="I649" s="64"/>
      <c r="J649" s="65"/>
      <c r="K649" s="64"/>
      <c r="L649" s="64"/>
      <c r="M649" s="64"/>
      <c r="N649" s="72" t="str">
        <f aca="false">IF(B649="","",IF(D649="Anexo de modificación","No","Sí"))</f>
        <v/>
      </c>
      <c r="O649" s="73" t="str">
        <f aca="false">IF(AND(N649="Sí",ISNUMBER(F649)),COUNTIFS(C_ID,B649,C_DEFINE,"Sí",C_INICIO,"&lt;"&amp;F649)+COUNTIFS(B$7:B649,B649,N$7:N649,"Sí",F$7:F649,F649),"")</f>
        <v/>
      </c>
      <c r="P649" s="72" t="str">
        <f aca="false">IF(O649="","",B649&amp;"-P"&amp;O649)</f>
        <v/>
      </c>
      <c r="Q649" s="73" t="str">
        <f aca="false">IF(AND(N649="Sí",E649="Plazo fijo",ISNUMBER(F649)),COUNTIFS(C_ID,B649,C_TIPO,"Plazo fijo",C_DEFINE,"Sí",C_INICIO,"&lt;"&amp;F649)+COUNTIFS(B$7:B649,B649,E$7:E649,"Plazo fijo",N$7:N649,"Sí",F$7:F649,F649),"")</f>
        <v/>
      </c>
      <c r="R649" s="73" t="str">
        <f aca="false">IF(AND(B649&lt;&gt;"",ISNUMBER(H649),ISNUMBER(F649)),COUNTIFS(C_ID,B649,C_SUELDO,"&lt;&gt;",C_INICIO,"&lt;"&amp;F649)+COUNTIFS(B$7:B649,B649,H$7:H649,"&lt;&gt;",F$7:F649,F649),"")</f>
        <v/>
      </c>
      <c r="S649" s="72" t="str">
        <f aca="false">IF(R649="","",B649&amp;"-S"&amp;R649)</f>
        <v/>
      </c>
      <c r="T649" s="74" t="str">
        <f aca="false">IF(AND(ISNUMBER(F649),ISNUMBER(G649)),ROUND((G649-F649+1)/30.4375,1),"")</f>
        <v/>
      </c>
      <c r="U649" s="70" t="str">
        <f aca="false">IF(B649="","",IF(AND(N649="Sí",OR(E649="",NOT(ISNUMBER(F649)))),"⚠ Falta tipo de contrato o fecha de inicio",IF(NOT(ISNUMBER(F649)),"⚠ Falta fecha de inicio",IF(AND(N649="Sí",E649&lt;&gt;"Indefinido",NOT(ISNUMBER(G649))),"⚠ Falta fecha de término",IF(AND(D649="Paso a indefinido",E649&lt;&gt;"Indefinido"),"⚠ Un paso a indefinido debe tener tipo Indefinido",IF(N(Q649)&gt;=3,"⚠ 3er contrato a plazo fijo: por ley ya es INDEFINIDO (Art. 159 N°4)",IF(AND(E649="Plazo fijo",N(T649)&gt;12),"⚠ Plazo fijo mayor a 1 año (máx. legal; 2 años solo profesionales o técnicos)",IF(AND(ISNUMBER(G649),G649&lt;F649),"⚠ Término anterior al inicio",IF(AND(D649="Contrato inicial",ISNUMBER(J649),J649-F649&gt;15),"⚠ Escriturado fuera de plazo (Art. 9: 15 días)",IF(K649&lt;&gt;"Sí","Pendiente de firma","OK"))))))))))</f>
        <v/>
      </c>
    </row>
    <row r="650" customFormat="false" ht="15" hidden="false" customHeight="false" outlineLevel="0" collapsed="false">
      <c r="B650" s="64"/>
      <c r="C650" s="72" t="str">
        <f aca="false">IF(B650="","",IFERROR(INDEX(T_NOMBRE,MATCH(B650,T_ID,0)),"⚠ ID no existe en Trabajadores"))</f>
        <v/>
      </c>
      <c r="D650" s="64"/>
      <c r="E650" s="64"/>
      <c r="F650" s="65"/>
      <c r="G650" s="65"/>
      <c r="H650" s="67"/>
      <c r="I650" s="64"/>
      <c r="J650" s="65"/>
      <c r="K650" s="64"/>
      <c r="L650" s="64"/>
      <c r="M650" s="64"/>
      <c r="N650" s="72" t="str">
        <f aca="false">IF(B650="","",IF(D650="Anexo de modificación","No","Sí"))</f>
        <v/>
      </c>
      <c r="O650" s="73" t="str">
        <f aca="false">IF(AND(N650="Sí",ISNUMBER(F650)),COUNTIFS(C_ID,B650,C_DEFINE,"Sí",C_INICIO,"&lt;"&amp;F650)+COUNTIFS(B$7:B650,B650,N$7:N650,"Sí",F$7:F650,F650),"")</f>
        <v/>
      </c>
      <c r="P650" s="72" t="str">
        <f aca="false">IF(O650="","",B650&amp;"-P"&amp;O650)</f>
        <v/>
      </c>
      <c r="Q650" s="73" t="str">
        <f aca="false">IF(AND(N650="Sí",E650="Plazo fijo",ISNUMBER(F650)),COUNTIFS(C_ID,B650,C_TIPO,"Plazo fijo",C_DEFINE,"Sí",C_INICIO,"&lt;"&amp;F650)+COUNTIFS(B$7:B650,B650,E$7:E650,"Plazo fijo",N$7:N650,"Sí",F$7:F650,F650),"")</f>
        <v/>
      </c>
      <c r="R650" s="73" t="str">
        <f aca="false">IF(AND(B650&lt;&gt;"",ISNUMBER(H650),ISNUMBER(F650)),COUNTIFS(C_ID,B650,C_SUELDO,"&lt;&gt;",C_INICIO,"&lt;"&amp;F650)+COUNTIFS(B$7:B650,B650,H$7:H650,"&lt;&gt;",F$7:F650,F650),"")</f>
        <v/>
      </c>
      <c r="S650" s="72" t="str">
        <f aca="false">IF(R650="","",B650&amp;"-S"&amp;R650)</f>
        <v/>
      </c>
      <c r="T650" s="74" t="str">
        <f aca="false">IF(AND(ISNUMBER(F650),ISNUMBER(G650)),ROUND((G650-F650+1)/30.4375,1),"")</f>
        <v/>
      </c>
      <c r="U650" s="70" t="str">
        <f aca="false">IF(B650="","",IF(AND(N650="Sí",OR(E650="",NOT(ISNUMBER(F650)))),"⚠ Falta tipo de contrato o fecha de inicio",IF(NOT(ISNUMBER(F650)),"⚠ Falta fecha de inicio",IF(AND(N650="Sí",E650&lt;&gt;"Indefinido",NOT(ISNUMBER(G650))),"⚠ Falta fecha de término",IF(AND(D650="Paso a indefinido",E650&lt;&gt;"Indefinido"),"⚠ Un paso a indefinido debe tener tipo Indefinido",IF(N(Q650)&gt;=3,"⚠ 3er contrato a plazo fijo: por ley ya es INDEFINIDO (Art. 159 N°4)",IF(AND(E650="Plazo fijo",N(T650)&gt;12),"⚠ Plazo fijo mayor a 1 año (máx. legal; 2 años solo profesionales o técnicos)",IF(AND(ISNUMBER(G650),G650&lt;F650),"⚠ Término anterior al inicio",IF(AND(D650="Contrato inicial",ISNUMBER(J650),J650-F650&gt;15),"⚠ Escriturado fuera de plazo (Art. 9: 15 días)",IF(K650&lt;&gt;"Sí","Pendiente de firma","OK"))))))))))</f>
        <v/>
      </c>
    </row>
    <row r="651" customFormat="false" ht="15" hidden="false" customHeight="false" outlineLevel="0" collapsed="false">
      <c r="B651" s="64"/>
      <c r="C651" s="72" t="str">
        <f aca="false">IF(B651="","",IFERROR(INDEX(T_NOMBRE,MATCH(B651,T_ID,0)),"⚠ ID no existe en Trabajadores"))</f>
        <v/>
      </c>
      <c r="D651" s="64"/>
      <c r="E651" s="64"/>
      <c r="F651" s="65"/>
      <c r="G651" s="65"/>
      <c r="H651" s="67"/>
      <c r="I651" s="64"/>
      <c r="J651" s="65"/>
      <c r="K651" s="64"/>
      <c r="L651" s="64"/>
      <c r="M651" s="64"/>
      <c r="N651" s="72" t="str">
        <f aca="false">IF(B651="","",IF(D651="Anexo de modificación","No","Sí"))</f>
        <v/>
      </c>
      <c r="O651" s="73" t="str">
        <f aca="false">IF(AND(N651="Sí",ISNUMBER(F651)),COUNTIFS(C_ID,B651,C_DEFINE,"Sí",C_INICIO,"&lt;"&amp;F651)+COUNTIFS(B$7:B651,B651,N$7:N651,"Sí",F$7:F651,F651),"")</f>
        <v/>
      </c>
      <c r="P651" s="72" t="str">
        <f aca="false">IF(O651="","",B651&amp;"-P"&amp;O651)</f>
        <v/>
      </c>
      <c r="Q651" s="73" t="str">
        <f aca="false">IF(AND(N651="Sí",E651="Plazo fijo",ISNUMBER(F651)),COUNTIFS(C_ID,B651,C_TIPO,"Plazo fijo",C_DEFINE,"Sí",C_INICIO,"&lt;"&amp;F651)+COUNTIFS(B$7:B651,B651,E$7:E651,"Plazo fijo",N$7:N651,"Sí",F$7:F651,F651),"")</f>
        <v/>
      </c>
      <c r="R651" s="73" t="str">
        <f aca="false">IF(AND(B651&lt;&gt;"",ISNUMBER(H651),ISNUMBER(F651)),COUNTIFS(C_ID,B651,C_SUELDO,"&lt;&gt;",C_INICIO,"&lt;"&amp;F651)+COUNTIFS(B$7:B651,B651,H$7:H651,"&lt;&gt;",F$7:F651,F651),"")</f>
        <v/>
      </c>
      <c r="S651" s="72" t="str">
        <f aca="false">IF(R651="","",B651&amp;"-S"&amp;R651)</f>
        <v/>
      </c>
      <c r="T651" s="74" t="str">
        <f aca="false">IF(AND(ISNUMBER(F651),ISNUMBER(G651)),ROUND((G651-F651+1)/30.4375,1),"")</f>
        <v/>
      </c>
      <c r="U651" s="70" t="str">
        <f aca="false">IF(B651="","",IF(AND(N651="Sí",OR(E651="",NOT(ISNUMBER(F651)))),"⚠ Falta tipo de contrato o fecha de inicio",IF(NOT(ISNUMBER(F651)),"⚠ Falta fecha de inicio",IF(AND(N651="Sí",E651&lt;&gt;"Indefinido",NOT(ISNUMBER(G651))),"⚠ Falta fecha de término",IF(AND(D651="Paso a indefinido",E651&lt;&gt;"Indefinido"),"⚠ Un paso a indefinido debe tener tipo Indefinido",IF(N(Q651)&gt;=3,"⚠ 3er contrato a plazo fijo: por ley ya es INDEFINIDO (Art. 159 N°4)",IF(AND(E651="Plazo fijo",N(T651)&gt;12),"⚠ Plazo fijo mayor a 1 año (máx. legal; 2 años solo profesionales o técnicos)",IF(AND(ISNUMBER(G651),G651&lt;F651),"⚠ Término anterior al inicio",IF(AND(D651="Contrato inicial",ISNUMBER(J651),J651-F651&gt;15),"⚠ Escriturado fuera de plazo (Art. 9: 15 días)",IF(K651&lt;&gt;"Sí","Pendiente de firma","OK"))))))))))</f>
        <v/>
      </c>
    </row>
    <row r="652" customFormat="false" ht="15" hidden="false" customHeight="false" outlineLevel="0" collapsed="false">
      <c r="B652" s="64"/>
      <c r="C652" s="72" t="str">
        <f aca="false">IF(B652="","",IFERROR(INDEX(T_NOMBRE,MATCH(B652,T_ID,0)),"⚠ ID no existe en Trabajadores"))</f>
        <v/>
      </c>
      <c r="D652" s="64"/>
      <c r="E652" s="64"/>
      <c r="F652" s="65"/>
      <c r="G652" s="65"/>
      <c r="H652" s="67"/>
      <c r="I652" s="64"/>
      <c r="J652" s="65"/>
      <c r="K652" s="64"/>
      <c r="L652" s="64"/>
      <c r="M652" s="64"/>
      <c r="N652" s="72" t="str">
        <f aca="false">IF(B652="","",IF(D652="Anexo de modificación","No","Sí"))</f>
        <v/>
      </c>
      <c r="O652" s="73" t="str">
        <f aca="false">IF(AND(N652="Sí",ISNUMBER(F652)),COUNTIFS(C_ID,B652,C_DEFINE,"Sí",C_INICIO,"&lt;"&amp;F652)+COUNTIFS(B$7:B652,B652,N$7:N652,"Sí",F$7:F652,F652),"")</f>
        <v/>
      </c>
      <c r="P652" s="72" t="str">
        <f aca="false">IF(O652="","",B652&amp;"-P"&amp;O652)</f>
        <v/>
      </c>
      <c r="Q652" s="73" t="str">
        <f aca="false">IF(AND(N652="Sí",E652="Plazo fijo",ISNUMBER(F652)),COUNTIFS(C_ID,B652,C_TIPO,"Plazo fijo",C_DEFINE,"Sí",C_INICIO,"&lt;"&amp;F652)+COUNTIFS(B$7:B652,B652,E$7:E652,"Plazo fijo",N$7:N652,"Sí",F$7:F652,F652),"")</f>
        <v/>
      </c>
      <c r="R652" s="73" t="str">
        <f aca="false">IF(AND(B652&lt;&gt;"",ISNUMBER(H652),ISNUMBER(F652)),COUNTIFS(C_ID,B652,C_SUELDO,"&lt;&gt;",C_INICIO,"&lt;"&amp;F652)+COUNTIFS(B$7:B652,B652,H$7:H652,"&lt;&gt;",F$7:F652,F652),"")</f>
        <v/>
      </c>
      <c r="S652" s="72" t="str">
        <f aca="false">IF(R652="","",B652&amp;"-S"&amp;R652)</f>
        <v/>
      </c>
      <c r="T652" s="74" t="str">
        <f aca="false">IF(AND(ISNUMBER(F652),ISNUMBER(G652)),ROUND((G652-F652+1)/30.4375,1),"")</f>
        <v/>
      </c>
      <c r="U652" s="70" t="str">
        <f aca="false">IF(B652="","",IF(AND(N652="Sí",OR(E652="",NOT(ISNUMBER(F652)))),"⚠ Falta tipo de contrato o fecha de inicio",IF(NOT(ISNUMBER(F652)),"⚠ Falta fecha de inicio",IF(AND(N652="Sí",E652&lt;&gt;"Indefinido",NOT(ISNUMBER(G652))),"⚠ Falta fecha de término",IF(AND(D652="Paso a indefinido",E652&lt;&gt;"Indefinido"),"⚠ Un paso a indefinido debe tener tipo Indefinido",IF(N(Q652)&gt;=3,"⚠ 3er contrato a plazo fijo: por ley ya es INDEFINIDO (Art. 159 N°4)",IF(AND(E652="Plazo fijo",N(T652)&gt;12),"⚠ Plazo fijo mayor a 1 año (máx. legal; 2 años solo profesionales o técnicos)",IF(AND(ISNUMBER(G652),G652&lt;F652),"⚠ Término anterior al inicio",IF(AND(D652="Contrato inicial",ISNUMBER(J652),J652-F652&gt;15),"⚠ Escriturado fuera de plazo (Art. 9: 15 días)",IF(K652&lt;&gt;"Sí","Pendiente de firma","OK"))))))))))</f>
        <v/>
      </c>
    </row>
    <row r="653" customFormat="false" ht="15" hidden="false" customHeight="false" outlineLevel="0" collapsed="false">
      <c r="B653" s="64"/>
      <c r="C653" s="72" t="str">
        <f aca="false">IF(B653="","",IFERROR(INDEX(T_NOMBRE,MATCH(B653,T_ID,0)),"⚠ ID no existe en Trabajadores"))</f>
        <v/>
      </c>
      <c r="D653" s="64"/>
      <c r="E653" s="64"/>
      <c r="F653" s="65"/>
      <c r="G653" s="65"/>
      <c r="H653" s="67"/>
      <c r="I653" s="64"/>
      <c r="J653" s="65"/>
      <c r="K653" s="64"/>
      <c r="L653" s="64"/>
      <c r="M653" s="64"/>
      <c r="N653" s="72" t="str">
        <f aca="false">IF(B653="","",IF(D653="Anexo de modificación","No","Sí"))</f>
        <v/>
      </c>
      <c r="O653" s="73" t="str">
        <f aca="false">IF(AND(N653="Sí",ISNUMBER(F653)),COUNTIFS(C_ID,B653,C_DEFINE,"Sí",C_INICIO,"&lt;"&amp;F653)+COUNTIFS(B$7:B653,B653,N$7:N653,"Sí",F$7:F653,F653),"")</f>
        <v/>
      </c>
      <c r="P653" s="72" t="str">
        <f aca="false">IF(O653="","",B653&amp;"-P"&amp;O653)</f>
        <v/>
      </c>
      <c r="Q653" s="73" t="str">
        <f aca="false">IF(AND(N653="Sí",E653="Plazo fijo",ISNUMBER(F653)),COUNTIFS(C_ID,B653,C_TIPO,"Plazo fijo",C_DEFINE,"Sí",C_INICIO,"&lt;"&amp;F653)+COUNTIFS(B$7:B653,B653,E$7:E653,"Plazo fijo",N$7:N653,"Sí",F$7:F653,F653),"")</f>
        <v/>
      </c>
      <c r="R653" s="73" t="str">
        <f aca="false">IF(AND(B653&lt;&gt;"",ISNUMBER(H653),ISNUMBER(F653)),COUNTIFS(C_ID,B653,C_SUELDO,"&lt;&gt;",C_INICIO,"&lt;"&amp;F653)+COUNTIFS(B$7:B653,B653,H$7:H653,"&lt;&gt;",F$7:F653,F653),"")</f>
        <v/>
      </c>
      <c r="S653" s="72" t="str">
        <f aca="false">IF(R653="","",B653&amp;"-S"&amp;R653)</f>
        <v/>
      </c>
      <c r="T653" s="74" t="str">
        <f aca="false">IF(AND(ISNUMBER(F653),ISNUMBER(G653)),ROUND((G653-F653+1)/30.4375,1),"")</f>
        <v/>
      </c>
      <c r="U653" s="70" t="str">
        <f aca="false">IF(B653="","",IF(AND(N653="Sí",OR(E653="",NOT(ISNUMBER(F653)))),"⚠ Falta tipo de contrato o fecha de inicio",IF(NOT(ISNUMBER(F653)),"⚠ Falta fecha de inicio",IF(AND(N653="Sí",E653&lt;&gt;"Indefinido",NOT(ISNUMBER(G653))),"⚠ Falta fecha de término",IF(AND(D653="Paso a indefinido",E653&lt;&gt;"Indefinido"),"⚠ Un paso a indefinido debe tener tipo Indefinido",IF(N(Q653)&gt;=3,"⚠ 3er contrato a plazo fijo: por ley ya es INDEFINIDO (Art. 159 N°4)",IF(AND(E653="Plazo fijo",N(T653)&gt;12),"⚠ Plazo fijo mayor a 1 año (máx. legal; 2 años solo profesionales o técnicos)",IF(AND(ISNUMBER(G653),G653&lt;F653),"⚠ Término anterior al inicio",IF(AND(D653="Contrato inicial",ISNUMBER(J653),J653-F653&gt;15),"⚠ Escriturado fuera de plazo (Art. 9: 15 días)",IF(K653&lt;&gt;"Sí","Pendiente de firma","OK"))))))))))</f>
        <v/>
      </c>
    </row>
    <row r="654" customFormat="false" ht="15" hidden="false" customHeight="false" outlineLevel="0" collapsed="false">
      <c r="B654" s="64"/>
      <c r="C654" s="72" t="str">
        <f aca="false">IF(B654="","",IFERROR(INDEX(T_NOMBRE,MATCH(B654,T_ID,0)),"⚠ ID no existe en Trabajadores"))</f>
        <v/>
      </c>
      <c r="D654" s="64"/>
      <c r="E654" s="64"/>
      <c r="F654" s="65"/>
      <c r="G654" s="65"/>
      <c r="H654" s="67"/>
      <c r="I654" s="64"/>
      <c r="J654" s="65"/>
      <c r="K654" s="64"/>
      <c r="L654" s="64"/>
      <c r="M654" s="64"/>
      <c r="N654" s="72" t="str">
        <f aca="false">IF(B654="","",IF(D654="Anexo de modificación","No","Sí"))</f>
        <v/>
      </c>
      <c r="O654" s="73" t="str">
        <f aca="false">IF(AND(N654="Sí",ISNUMBER(F654)),COUNTIFS(C_ID,B654,C_DEFINE,"Sí",C_INICIO,"&lt;"&amp;F654)+COUNTIFS(B$7:B654,B654,N$7:N654,"Sí",F$7:F654,F654),"")</f>
        <v/>
      </c>
      <c r="P654" s="72" t="str">
        <f aca="false">IF(O654="","",B654&amp;"-P"&amp;O654)</f>
        <v/>
      </c>
      <c r="Q654" s="73" t="str">
        <f aca="false">IF(AND(N654="Sí",E654="Plazo fijo",ISNUMBER(F654)),COUNTIFS(C_ID,B654,C_TIPO,"Plazo fijo",C_DEFINE,"Sí",C_INICIO,"&lt;"&amp;F654)+COUNTIFS(B$7:B654,B654,E$7:E654,"Plazo fijo",N$7:N654,"Sí",F$7:F654,F654),"")</f>
        <v/>
      </c>
      <c r="R654" s="73" t="str">
        <f aca="false">IF(AND(B654&lt;&gt;"",ISNUMBER(H654),ISNUMBER(F654)),COUNTIFS(C_ID,B654,C_SUELDO,"&lt;&gt;",C_INICIO,"&lt;"&amp;F654)+COUNTIFS(B$7:B654,B654,H$7:H654,"&lt;&gt;",F$7:F654,F654),"")</f>
        <v/>
      </c>
      <c r="S654" s="72" t="str">
        <f aca="false">IF(R654="","",B654&amp;"-S"&amp;R654)</f>
        <v/>
      </c>
      <c r="T654" s="74" t="str">
        <f aca="false">IF(AND(ISNUMBER(F654),ISNUMBER(G654)),ROUND((G654-F654+1)/30.4375,1),"")</f>
        <v/>
      </c>
      <c r="U654" s="70" t="str">
        <f aca="false">IF(B654="","",IF(AND(N654="Sí",OR(E654="",NOT(ISNUMBER(F654)))),"⚠ Falta tipo de contrato o fecha de inicio",IF(NOT(ISNUMBER(F654)),"⚠ Falta fecha de inicio",IF(AND(N654="Sí",E654&lt;&gt;"Indefinido",NOT(ISNUMBER(G654))),"⚠ Falta fecha de término",IF(AND(D654="Paso a indefinido",E654&lt;&gt;"Indefinido"),"⚠ Un paso a indefinido debe tener tipo Indefinido",IF(N(Q654)&gt;=3,"⚠ 3er contrato a plazo fijo: por ley ya es INDEFINIDO (Art. 159 N°4)",IF(AND(E654="Plazo fijo",N(T654)&gt;12),"⚠ Plazo fijo mayor a 1 año (máx. legal; 2 años solo profesionales o técnicos)",IF(AND(ISNUMBER(G654),G654&lt;F654),"⚠ Término anterior al inicio",IF(AND(D654="Contrato inicial",ISNUMBER(J654),J654-F654&gt;15),"⚠ Escriturado fuera de plazo (Art. 9: 15 días)",IF(K654&lt;&gt;"Sí","Pendiente de firma","OK"))))))))))</f>
        <v/>
      </c>
    </row>
    <row r="655" customFormat="false" ht="15" hidden="false" customHeight="false" outlineLevel="0" collapsed="false">
      <c r="B655" s="64"/>
      <c r="C655" s="72" t="str">
        <f aca="false">IF(B655="","",IFERROR(INDEX(T_NOMBRE,MATCH(B655,T_ID,0)),"⚠ ID no existe en Trabajadores"))</f>
        <v/>
      </c>
      <c r="D655" s="64"/>
      <c r="E655" s="64"/>
      <c r="F655" s="65"/>
      <c r="G655" s="65"/>
      <c r="H655" s="67"/>
      <c r="I655" s="64"/>
      <c r="J655" s="65"/>
      <c r="K655" s="64"/>
      <c r="L655" s="64"/>
      <c r="M655" s="64"/>
      <c r="N655" s="72" t="str">
        <f aca="false">IF(B655="","",IF(D655="Anexo de modificación","No","Sí"))</f>
        <v/>
      </c>
      <c r="O655" s="73" t="str">
        <f aca="false">IF(AND(N655="Sí",ISNUMBER(F655)),COUNTIFS(C_ID,B655,C_DEFINE,"Sí",C_INICIO,"&lt;"&amp;F655)+COUNTIFS(B$7:B655,B655,N$7:N655,"Sí",F$7:F655,F655),"")</f>
        <v/>
      </c>
      <c r="P655" s="72" t="str">
        <f aca="false">IF(O655="","",B655&amp;"-P"&amp;O655)</f>
        <v/>
      </c>
      <c r="Q655" s="73" t="str">
        <f aca="false">IF(AND(N655="Sí",E655="Plazo fijo",ISNUMBER(F655)),COUNTIFS(C_ID,B655,C_TIPO,"Plazo fijo",C_DEFINE,"Sí",C_INICIO,"&lt;"&amp;F655)+COUNTIFS(B$7:B655,B655,E$7:E655,"Plazo fijo",N$7:N655,"Sí",F$7:F655,F655),"")</f>
        <v/>
      </c>
      <c r="R655" s="73" t="str">
        <f aca="false">IF(AND(B655&lt;&gt;"",ISNUMBER(H655),ISNUMBER(F655)),COUNTIFS(C_ID,B655,C_SUELDO,"&lt;&gt;",C_INICIO,"&lt;"&amp;F655)+COUNTIFS(B$7:B655,B655,H$7:H655,"&lt;&gt;",F$7:F655,F655),"")</f>
        <v/>
      </c>
      <c r="S655" s="72" t="str">
        <f aca="false">IF(R655="","",B655&amp;"-S"&amp;R655)</f>
        <v/>
      </c>
      <c r="T655" s="74" t="str">
        <f aca="false">IF(AND(ISNUMBER(F655),ISNUMBER(G655)),ROUND((G655-F655+1)/30.4375,1),"")</f>
        <v/>
      </c>
      <c r="U655" s="70" t="str">
        <f aca="false">IF(B655="","",IF(AND(N655="Sí",OR(E655="",NOT(ISNUMBER(F655)))),"⚠ Falta tipo de contrato o fecha de inicio",IF(NOT(ISNUMBER(F655)),"⚠ Falta fecha de inicio",IF(AND(N655="Sí",E655&lt;&gt;"Indefinido",NOT(ISNUMBER(G655))),"⚠ Falta fecha de término",IF(AND(D655="Paso a indefinido",E655&lt;&gt;"Indefinido"),"⚠ Un paso a indefinido debe tener tipo Indefinido",IF(N(Q655)&gt;=3,"⚠ 3er contrato a plazo fijo: por ley ya es INDEFINIDO (Art. 159 N°4)",IF(AND(E655="Plazo fijo",N(T655)&gt;12),"⚠ Plazo fijo mayor a 1 año (máx. legal; 2 años solo profesionales o técnicos)",IF(AND(ISNUMBER(G655),G655&lt;F655),"⚠ Término anterior al inicio",IF(AND(D655="Contrato inicial",ISNUMBER(J655),J655-F655&gt;15),"⚠ Escriturado fuera de plazo (Art. 9: 15 días)",IF(K655&lt;&gt;"Sí","Pendiente de firma","OK"))))))))))</f>
        <v/>
      </c>
    </row>
    <row r="656" customFormat="false" ht="15" hidden="false" customHeight="false" outlineLevel="0" collapsed="false">
      <c r="B656" s="64"/>
      <c r="C656" s="72" t="str">
        <f aca="false">IF(B656="","",IFERROR(INDEX(T_NOMBRE,MATCH(B656,T_ID,0)),"⚠ ID no existe en Trabajadores"))</f>
        <v/>
      </c>
      <c r="D656" s="64"/>
      <c r="E656" s="64"/>
      <c r="F656" s="65"/>
      <c r="G656" s="65"/>
      <c r="H656" s="67"/>
      <c r="I656" s="64"/>
      <c r="J656" s="65"/>
      <c r="K656" s="64"/>
      <c r="L656" s="64"/>
      <c r="M656" s="64"/>
      <c r="N656" s="72" t="str">
        <f aca="false">IF(B656="","",IF(D656="Anexo de modificación","No","Sí"))</f>
        <v/>
      </c>
      <c r="O656" s="73" t="str">
        <f aca="false">IF(AND(N656="Sí",ISNUMBER(F656)),COUNTIFS(C_ID,B656,C_DEFINE,"Sí",C_INICIO,"&lt;"&amp;F656)+COUNTIFS(B$7:B656,B656,N$7:N656,"Sí",F$7:F656,F656),"")</f>
        <v/>
      </c>
      <c r="P656" s="72" t="str">
        <f aca="false">IF(O656="","",B656&amp;"-P"&amp;O656)</f>
        <v/>
      </c>
      <c r="Q656" s="73" t="str">
        <f aca="false">IF(AND(N656="Sí",E656="Plazo fijo",ISNUMBER(F656)),COUNTIFS(C_ID,B656,C_TIPO,"Plazo fijo",C_DEFINE,"Sí",C_INICIO,"&lt;"&amp;F656)+COUNTIFS(B$7:B656,B656,E$7:E656,"Plazo fijo",N$7:N656,"Sí",F$7:F656,F656),"")</f>
        <v/>
      </c>
      <c r="R656" s="73" t="str">
        <f aca="false">IF(AND(B656&lt;&gt;"",ISNUMBER(H656),ISNUMBER(F656)),COUNTIFS(C_ID,B656,C_SUELDO,"&lt;&gt;",C_INICIO,"&lt;"&amp;F656)+COUNTIFS(B$7:B656,B656,H$7:H656,"&lt;&gt;",F$7:F656,F656),"")</f>
        <v/>
      </c>
      <c r="S656" s="72" t="str">
        <f aca="false">IF(R656="","",B656&amp;"-S"&amp;R656)</f>
        <v/>
      </c>
      <c r="T656" s="74" t="str">
        <f aca="false">IF(AND(ISNUMBER(F656),ISNUMBER(G656)),ROUND((G656-F656+1)/30.4375,1),"")</f>
        <v/>
      </c>
      <c r="U656" s="70" t="str">
        <f aca="false">IF(B656="","",IF(AND(N656="Sí",OR(E656="",NOT(ISNUMBER(F656)))),"⚠ Falta tipo de contrato o fecha de inicio",IF(NOT(ISNUMBER(F656)),"⚠ Falta fecha de inicio",IF(AND(N656="Sí",E656&lt;&gt;"Indefinido",NOT(ISNUMBER(G656))),"⚠ Falta fecha de término",IF(AND(D656="Paso a indefinido",E656&lt;&gt;"Indefinido"),"⚠ Un paso a indefinido debe tener tipo Indefinido",IF(N(Q656)&gt;=3,"⚠ 3er contrato a plazo fijo: por ley ya es INDEFINIDO (Art. 159 N°4)",IF(AND(E656="Plazo fijo",N(T656)&gt;12),"⚠ Plazo fijo mayor a 1 año (máx. legal; 2 años solo profesionales o técnicos)",IF(AND(ISNUMBER(G656),G656&lt;F656),"⚠ Término anterior al inicio",IF(AND(D656="Contrato inicial",ISNUMBER(J656),J656-F656&gt;15),"⚠ Escriturado fuera de plazo (Art. 9: 15 días)",IF(K656&lt;&gt;"Sí","Pendiente de firma","OK"))))))))))</f>
        <v/>
      </c>
    </row>
    <row r="657" customFormat="false" ht="15" hidden="false" customHeight="false" outlineLevel="0" collapsed="false">
      <c r="B657" s="64"/>
      <c r="C657" s="72" t="str">
        <f aca="false">IF(B657="","",IFERROR(INDEX(T_NOMBRE,MATCH(B657,T_ID,0)),"⚠ ID no existe en Trabajadores"))</f>
        <v/>
      </c>
      <c r="D657" s="64"/>
      <c r="E657" s="64"/>
      <c r="F657" s="65"/>
      <c r="G657" s="65"/>
      <c r="H657" s="67"/>
      <c r="I657" s="64"/>
      <c r="J657" s="65"/>
      <c r="K657" s="64"/>
      <c r="L657" s="64"/>
      <c r="M657" s="64"/>
      <c r="N657" s="72" t="str">
        <f aca="false">IF(B657="","",IF(D657="Anexo de modificación","No","Sí"))</f>
        <v/>
      </c>
      <c r="O657" s="73" t="str">
        <f aca="false">IF(AND(N657="Sí",ISNUMBER(F657)),COUNTIFS(C_ID,B657,C_DEFINE,"Sí",C_INICIO,"&lt;"&amp;F657)+COUNTIFS(B$7:B657,B657,N$7:N657,"Sí",F$7:F657,F657),"")</f>
        <v/>
      </c>
      <c r="P657" s="72" t="str">
        <f aca="false">IF(O657="","",B657&amp;"-P"&amp;O657)</f>
        <v/>
      </c>
      <c r="Q657" s="73" t="str">
        <f aca="false">IF(AND(N657="Sí",E657="Plazo fijo",ISNUMBER(F657)),COUNTIFS(C_ID,B657,C_TIPO,"Plazo fijo",C_DEFINE,"Sí",C_INICIO,"&lt;"&amp;F657)+COUNTIFS(B$7:B657,B657,E$7:E657,"Plazo fijo",N$7:N657,"Sí",F$7:F657,F657),"")</f>
        <v/>
      </c>
      <c r="R657" s="73" t="str">
        <f aca="false">IF(AND(B657&lt;&gt;"",ISNUMBER(H657),ISNUMBER(F657)),COUNTIFS(C_ID,B657,C_SUELDO,"&lt;&gt;",C_INICIO,"&lt;"&amp;F657)+COUNTIFS(B$7:B657,B657,H$7:H657,"&lt;&gt;",F$7:F657,F657),"")</f>
        <v/>
      </c>
      <c r="S657" s="72" t="str">
        <f aca="false">IF(R657="","",B657&amp;"-S"&amp;R657)</f>
        <v/>
      </c>
      <c r="T657" s="74" t="str">
        <f aca="false">IF(AND(ISNUMBER(F657),ISNUMBER(G657)),ROUND((G657-F657+1)/30.4375,1),"")</f>
        <v/>
      </c>
      <c r="U657" s="70" t="str">
        <f aca="false">IF(B657="","",IF(AND(N657="Sí",OR(E657="",NOT(ISNUMBER(F657)))),"⚠ Falta tipo de contrato o fecha de inicio",IF(NOT(ISNUMBER(F657)),"⚠ Falta fecha de inicio",IF(AND(N657="Sí",E657&lt;&gt;"Indefinido",NOT(ISNUMBER(G657))),"⚠ Falta fecha de término",IF(AND(D657="Paso a indefinido",E657&lt;&gt;"Indefinido"),"⚠ Un paso a indefinido debe tener tipo Indefinido",IF(N(Q657)&gt;=3,"⚠ 3er contrato a plazo fijo: por ley ya es INDEFINIDO (Art. 159 N°4)",IF(AND(E657="Plazo fijo",N(T657)&gt;12),"⚠ Plazo fijo mayor a 1 año (máx. legal; 2 años solo profesionales o técnicos)",IF(AND(ISNUMBER(G657),G657&lt;F657),"⚠ Término anterior al inicio",IF(AND(D657="Contrato inicial",ISNUMBER(J657),J657-F657&gt;15),"⚠ Escriturado fuera de plazo (Art. 9: 15 días)",IF(K657&lt;&gt;"Sí","Pendiente de firma","OK"))))))))))</f>
        <v/>
      </c>
    </row>
    <row r="658" customFormat="false" ht="15" hidden="false" customHeight="false" outlineLevel="0" collapsed="false">
      <c r="B658" s="64"/>
      <c r="C658" s="72" t="str">
        <f aca="false">IF(B658="","",IFERROR(INDEX(T_NOMBRE,MATCH(B658,T_ID,0)),"⚠ ID no existe en Trabajadores"))</f>
        <v/>
      </c>
      <c r="D658" s="64"/>
      <c r="E658" s="64"/>
      <c r="F658" s="65"/>
      <c r="G658" s="65"/>
      <c r="H658" s="67"/>
      <c r="I658" s="64"/>
      <c r="J658" s="65"/>
      <c r="K658" s="64"/>
      <c r="L658" s="64"/>
      <c r="M658" s="64"/>
      <c r="N658" s="72" t="str">
        <f aca="false">IF(B658="","",IF(D658="Anexo de modificación","No","Sí"))</f>
        <v/>
      </c>
      <c r="O658" s="73" t="str">
        <f aca="false">IF(AND(N658="Sí",ISNUMBER(F658)),COUNTIFS(C_ID,B658,C_DEFINE,"Sí",C_INICIO,"&lt;"&amp;F658)+COUNTIFS(B$7:B658,B658,N$7:N658,"Sí",F$7:F658,F658),"")</f>
        <v/>
      </c>
      <c r="P658" s="72" t="str">
        <f aca="false">IF(O658="","",B658&amp;"-P"&amp;O658)</f>
        <v/>
      </c>
      <c r="Q658" s="73" t="str">
        <f aca="false">IF(AND(N658="Sí",E658="Plazo fijo",ISNUMBER(F658)),COUNTIFS(C_ID,B658,C_TIPO,"Plazo fijo",C_DEFINE,"Sí",C_INICIO,"&lt;"&amp;F658)+COUNTIFS(B$7:B658,B658,E$7:E658,"Plazo fijo",N$7:N658,"Sí",F$7:F658,F658),"")</f>
        <v/>
      </c>
      <c r="R658" s="73" t="str">
        <f aca="false">IF(AND(B658&lt;&gt;"",ISNUMBER(H658),ISNUMBER(F658)),COUNTIFS(C_ID,B658,C_SUELDO,"&lt;&gt;",C_INICIO,"&lt;"&amp;F658)+COUNTIFS(B$7:B658,B658,H$7:H658,"&lt;&gt;",F$7:F658,F658),"")</f>
        <v/>
      </c>
      <c r="S658" s="72" t="str">
        <f aca="false">IF(R658="","",B658&amp;"-S"&amp;R658)</f>
        <v/>
      </c>
      <c r="T658" s="74" t="str">
        <f aca="false">IF(AND(ISNUMBER(F658),ISNUMBER(G658)),ROUND((G658-F658+1)/30.4375,1),"")</f>
        <v/>
      </c>
      <c r="U658" s="70" t="str">
        <f aca="false">IF(B658="","",IF(AND(N658="Sí",OR(E658="",NOT(ISNUMBER(F658)))),"⚠ Falta tipo de contrato o fecha de inicio",IF(NOT(ISNUMBER(F658)),"⚠ Falta fecha de inicio",IF(AND(N658="Sí",E658&lt;&gt;"Indefinido",NOT(ISNUMBER(G658))),"⚠ Falta fecha de término",IF(AND(D658="Paso a indefinido",E658&lt;&gt;"Indefinido"),"⚠ Un paso a indefinido debe tener tipo Indefinido",IF(N(Q658)&gt;=3,"⚠ 3er contrato a plazo fijo: por ley ya es INDEFINIDO (Art. 159 N°4)",IF(AND(E658="Plazo fijo",N(T658)&gt;12),"⚠ Plazo fijo mayor a 1 año (máx. legal; 2 años solo profesionales o técnicos)",IF(AND(ISNUMBER(G658),G658&lt;F658),"⚠ Término anterior al inicio",IF(AND(D658="Contrato inicial",ISNUMBER(J658),J658-F658&gt;15),"⚠ Escriturado fuera de plazo (Art. 9: 15 días)",IF(K658&lt;&gt;"Sí","Pendiente de firma","OK"))))))))))</f>
        <v/>
      </c>
    </row>
    <row r="659" customFormat="false" ht="15" hidden="false" customHeight="false" outlineLevel="0" collapsed="false">
      <c r="B659" s="64"/>
      <c r="C659" s="72" t="str">
        <f aca="false">IF(B659="","",IFERROR(INDEX(T_NOMBRE,MATCH(B659,T_ID,0)),"⚠ ID no existe en Trabajadores"))</f>
        <v/>
      </c>
      <c r="D659" s="64"/>
      <c r="E659" s="64"/>
      <c r="F659" s="65"/>
      <c r="G659" s="65"/>
      <c r="H659" s="67"/>
      <c r="I659" s="64"/>
      <c r="J659" s="65"/>
      <c r="K659" s="64"/>
      <c r="L659" s="64"/>
      <c r="M659" s="64"/>
      <c r="N659" s="72" t="str">
        <f aca="false">IF(B659="","",IF(D659="Anexo de modificación","No","Sí"))</f>
        <v/>
      </c>
      <c r="O659" s="73" t="str">
        <f aca="false">IF(AND(N659="Sí",ISNUMBER(F659)),COUNTIFS(C_ID,B659,C_DEFINE,"Sí",C_INICIO,"&lt;"&amp;F659)+COUNTIFS(B$7:B659,B659,N$7:N659,"Sí",F$7:F659,F659),"")</f>
        <v/>
      </c>
      <c r="P659" s="72" t="str">
        <f aca="false">IF(O659="","",B659&amp;"-P"&amp;O659)</f>
        <v/>
      </c>
      <c r="Q659" s="73" t="str">
        <f aca="false">IF(AND(N659="Sí",E659="Plazo fijo",ISNUMBER(F659)),COUNTIFS(C_ID,B659,C_TIPO,"Plazo fijo",C_DEFINE,"Sí",C_INICIO,"&lt;"&amp;F659)+COUNTIFS(B$7:B659,B659,E$7:E659,"Plazo fijo",N$7:N659,"Sí",F$7:F659,F659),"")</f>
        <v/>
      </c>
      <c r="R659" s="73" t="str">
        <f aca="false">IF(AND(B659&lt;&gt;"",ISNUMBER(H659),ISNUMBER(F659)),COUNTIFS(C_ID,B659,C_SUELDO,"&lt;&gt;",C_INICIO,"&lt;"&amp;F659)+COUNTIFS(B$7:B659,B659,H$7:H659,"&lt;&gt;",F$7:F659,F659),"")</f>
        <v/>
      </c>
      <c r="S659" s="72" t="str">
        <f aca="false">IF(R659="","",B659&amp;"-S"&amp;R659)</f>
        <v/>
      </c>
      <c r="T659" s="74" t="str">
        <f aca="false">IF(AND(ISNUMBER(F659),ISNUMBER(G659)),ROUND((G659-F659+1)/30.4375,1),"")</f>
        <v/>
      </c>
      <c r="U659" s="70" t="str">
        <f aca="false">IF(B659="","",IF(AND(N659="Sí",OR(E659="",NOT(ISNUMBER(F659)))),"⚠ Falta tipo de contrato o fecha de inicio",IF(NOT(ISNUMBER(F659)),"⚠ Falta fecha de inicio",IF(AND(N659="Sí",E659&lt;&gt;"Indefinido",NOT(ISNUMBER(G659))),"⚠ Falta fecha de término",IF(AND(D659="Paso a indefinido",E659&lt;&gt;"Indefinido"),"⚠ Un paso a indefinido debe tener tipo Indefinido",IF(N(Q659)&gt;=3,"⚠ 3er contrato a plazo fijo: por ley ya es INDEFINIDO (Art. 159 N°4)",IF(AND(E659="Plazo fijo",N(T659)&gt;12),"⚠ Plazo fijo mayor a 1 año (máx. legal; 2 años solo profesionales o técnicos)",IF(AND(ISNUMBER(G659),G659&lt;F659),"⚠ Término anterior al inicio",IF(AND(D659="Contrato inicial",ISNUMBER(J659),J659-F659&gt;15),"⚠ Escriturado fuera de plazo (Art. 9: 15 días)",IF(K659&lt;&gt;"Sí","Pendiente de firma","OK"))))))))))</f>
        <v/>
      </c>
    </row>
    <row r="660" customFormat="false" ht="15" hidden="false" customHeight="false" outlineLevel="0" collapsed="false">
      <c r="B660" s="64"/>
      <c r="C660" s="72" t="str">
        <f aca="false">IF(B660="","",IFERROR(INDEX(T_NOMBRE,MATCH(B660,T_ID,0)),"⚠ ID no existe en Trabajadores"))</f>
        <v/>
      </c>
      <c r="D660" s="64"/>
      <c r="E660" s="64"/>
      <c r="F660" s="65"/>
      <c r="G660" s="65"/>
      <c r="H660" s="67"/>
      <c r="I660" s="64"/>
      <c r="J660" s="65"/>
      <c r="K660" s="64"/>
      <c r="L660" s="64"/>
      <c r="M660" s="64"/>
      <c r="N660" s="72" t="str">
        <f aca="false">IF(B660="","",IF(D660="Anexo de modificación","No","Sí"))</f>
        <v/>
      </c>
      <c r="O660" s="73" t="str">
        <f aca="false">IF(AND(N660="Sí",ISNUMBER(F660)),COUNTIFS(C_ID,B660,C_DEFINE,"Sí",C_INICIO,"&lt;"&amp;F660)+COUNTIFS(B$7:B660,B660,N$7:N660,"Sí",F$7:F660,F660),"")</f>
        <v/>
      </c>
      <c r="P660" s="72" t="str">
        <f aca="false">IF(O660="","",B660&amp;"-P"&amp;O660)</f>
        <v/>
      </c>
      <c r="Q660" s="73" t="str">
        <f aca="false">IF(AND(N660="Sí",E660="Plazo fijo",ISNUMBER(F660)),COUNTIFS(C_ID,B660,C_TIPO,"Plazo fijo",C_DEFINE,"Sí",C_INICIO,"&lt;"&amp;F660)+COUNTIFS(B$7:B660,B660,E$7:E660,"Plazo fijo",N$7:N660,"Sí",F$7:F660,F660),"")</f>
        <v/>
      </c>
      <c r="R660" s="73" t="str">
        <f aca="false">IF(AND(B660&lt;&gt;"",ISNUMBER(H660),ISNUMBER(F660)),COUNTIFS(C_ID,B660,C_SUELDO,"&lt;&gt;",C_INICIO,"&lt;"&amp;F660)+COUNTIFS(B$7:B660,B660,H$7:H660,"&lt;&gt;",F$7:F660,F660),"")</f>
        <v/>
      </c>
      <c r="S660" s="72" t="str">
        <f aca="false">IF(R660="","",B660&amp;"-S"&amp;R660)</f>
        <v/>
      </c>
      <c r="T660" s="74" t="str">
        <f aca="false">IF(AND(ISNUMBER(F660),ISNUMBER(G660)),ROUND((G660-F660+1)/30.4375,1),"")</f>
        <v/>
      </c>
      <c r="U660" s="70" t="str">
        <f aca="false">IF(B660="","",IF(AND(N660="Sí",OR(E660="",NOT(ISNUMBER(F660)))),"⚠ Falta tipo de contrato o fecha de inicio",IF(NOT(ISNUMBER(F660)),"⚠ Falta fecha de inicio",IF(AND(N660="Sí",E660&lt;&gt;"Indefinido",NOT(ISNUMBER(G660))),"⚠ Falta fecha de término",IF(AND(D660="Paso a indefinido",E660&lt;&gt;"Indefinido"),"⚠ Un paso a indefinido debe tener tipo Indefinido",IF(N(Q660)&gt;=3,"⚠ 3er contrato a plazo fijo: por ley ya es INDEFINIDO (Art. 159 N°4)",IF(AND(E660="Plazo fijo",N(T660)&gt;12),"⚠ Plazo fijo mayor a 1 año (máx. legal; 2 años solo profesionales o técnicos)",IF(AND(ISNUMBER(G660),G660&lt;F660),"⚠ Término anterior al inicio",IF(AND(D660="Contrato inicial",ISNUMBER(J660),J660-F660&gt;15),"⚠ Escriturado fuera de plazo (Art. 9: 15 días)",IF(K660&lt;&gt;"Sí","Pendiente de firma","OK"))))))))))</f>
        <v/>
      </c>
    </row>
    <row r="661" customFormat="false" ht="15" hidden="false" customHeight="false" outlineLevel="0" collapsed="false">
      <c r="B661" s="64"/>
      <c r="C661" s="72" t="str">
        <f aca="false">IF(B661="","",IFERROR(INDEX(T_NOMBRE,MATCH(B661,T_ID,0)),"⚠ ID no existe en Trabajadores"))</f>
        <v/>
      </c>
      <c r="D661" s="64"/>
      <c r="E661" s="64"/>
      <c r="F661" s="65"/>
      <c r="G661" s="65"/>
      <c r="H661" s="67"/>
      <c r="I661" s="64"/>
      <c r="J661" s="65"/>
      <c r="K661" s="64"/>
      <c r="L661" s="64"/>
      <c r="M661" s="64"/>
      <c r="N661" s="72" t="str">
        <f aca="false">IF(B661="","",IF(D661="Anexo de modificación","No","Sí"))</f>
        <v/>
      </c>
      <c r="O661" s="73" t="str">
        <f aca="false">IF(AND(N661="Sí",ISNUMBER(F661)),COUNTIFS(C_ID,B661,C_DEFINE,"Sí",C_INICIO,"&lt;"&amp;F661)+COUNTIFS(B$7:B661,B661,N$7:N661,"Sí",F$7:F661,F661),"")</f>
        <v/>
      </c>
      <c r="P661" s="72" t="str">
        <f aca="false">IF(O661="","",B661&amp;"-P"&amp;O661)</f>
        <v/>
      </c>
      <c r="Q661" s="73" t="str">
        <f aca="false">IF(AND(N661="Sí",E661="Plazo fijo",ISNUMBER(F661)),COUNTIFS(C_ID,B661,C_TIPO,"Plazo fijo",C_DEFINE,"Sí",C_INICIO,"&lt;"&amp;F661)+COUNTIFS(B$7:B661,B661,E$7:E661,"Plazo fijo",N$7:N661,"Sí",F$7:F661,F661),"")</f>
        <v/>
      </c>
      <c r="R661" s="73" t="str">
        <f aca="false">IF(AND(B661&lt;&gt;"",ISNUMBER(H661),ISNUMBER(F661)),COUNTIFS(C_ID,B661,C_SUELDO,"&lt;&gt;",C_INICIO,"&lt;"&amp;F661)+COUNTIFS(B$7:B661,B661,H$7:H661,"&lt;&gt;",F$7:F661,F661),"")</f>
        <v/>
      </c>
      <c r="S661" s="72" t="str">
        <f aca="false">IF(R661="","",B661&amp;"-S"&amp;R661)</f>
        <v/>
      </c>
      <c r="T661" s="74" t="str">
        <f aca="false">IF(AND(ISNUMBER(F661),ISNUMBER(G661)),ROUND((G661-F661+1)/30.4375,1),"")</f>
        <v/>
      </c>
      <c r="U661" s="70" t="str">
        <f aca="false">IF(B661="","",IF(AND(N661="Sí",OR(E661="",NOT(ISNUMBER(F661)))),"⚠ Falta tipo de contrato o fecha de inicio",IF(NOT(ISNUMBER(F661)),"⚠ Falta fecha de inicio",IF(AND(N661="Sí",E661&lt;&gt;"Indefinido",NOT(ISNUMBER(G661))),"⚠ Falta fecha de término",IF(AND(D661="Paso a indefinido",E661&lt;&gt;"Indefinido"),"⚠ Un paso a indefinido debe tener tipo Indefinido",IF(N(Q661)&gt;=3,"⚠ 3er contrato a plazo fijo: por ley ya es INDEFINIDO (Art. 159 N°4)",IF(AND(E661="Plazo fijo",N(T661)&gt;12),"⚠ Plazo fijo mayor a 1 año (máx. legal; 2 años solo profesionales o técnicos)",IF(AND(ISNUMBER(G661),G661&lt;F661),"⚠ Término anterior al inicio",IF(AND(D661="Contrato inicial",ISNUMBER(J661),J661-F661&gt;15),"⚠ Escriturado fuera de plazo (Art. 9: 15 días)",IF(K661&lt;&gt;"Sí","Pendiente de firma","OK"))))))))))</f>
        <v/>
      </c>
    </row>
    <row r="662" customFormat="false" ht="15" hidden="false" customHeight="false" outlineLevel="0" collapsed="false">
      <c r="B662" s="64"/>
      <c r="C662" s="72" t="str">
        <f aca="false">IF(B662="","",IFERROR(INDEX(T_NOMBRE,MATCH(B662,T_ID,0)),"⚠ ID no existe en Trabajadores"))</f>
        <v/>
      </c>
      <c r="D662" s="64"/>
      <c r="E662" s="64"/>
      <c r="F662" s="65"/>
      <c r="G662" s="65"/>
      <c r="H662" s="67"/>
      <c r="I662" s="64"/>
      <c r="J662" s="65"/>
      <c r="K662" s="64"/>
      <c r="L662" s="64"/>
      <c r="M662" s="64"/>
      <c r="N662" s="72" t="str">
        <f aca="false">IF(B662="","",IF(D662="Anexo de modificación","No","Sí"))</f>
        <v/>
      </c>
      <c r="O662" s="73" t="str">
        <f aca="false">IF(AND(N662="Sí",ISNUMBER(F662)),COUNTIFS(C_ID,B662,C_DEFINE,"Sí",C_INICIO,"&lt;"&amp;F662)+COUNTIFS(B$7:B662,B662,N$7:N662,"Sí",F$7:F662,F662),"")</f>
        <v/>
      </c>
      <c r="P662" s="72" t="str">
        <f aca="false">IF(O662="","",B662&amp;"-P"&amp;O662)</f>
        <v/>
      </c>
      <c r="Q662" s="73" t="str">
        <f aca="false">IF(AND(N662="Sí",E662="Plazo fijo",ISNUMBER(F662)),COUNTIFS(C_ID,B662,C_TIPO,"Plazo fijo",C_DEFINE,"Sí",C_INICIO,"&lt;"&amp;F662)+COUNTIFS(B$7:B662,B662,E$7:E662,"Plazo fijo",N$7:N662,"Sí",F$7:F662,F662),"")</f>
        <v/>
      </c>
      <c r="R662" s="73" t="str">
        <f aca="false">IF(AND(B662&lt;&gt;"",ISNUMBER(H662),ISNUMBER(F662)),COUNTIFS(C_ID,B662,C_SUELDO,"&lt;&gt;",C_INICIO,"&lt;"&amp;F662)+COUNTIFS(B$7:B662,B662,H$7:H662,"&lt;&gt;",F$7:F662,F662),"")</f>
        <v/>
      </c>
      <c r="S662" s="72" t="str">
        <f aca="false">IF(R662="","",B662&amp;"-S"&amp;R662)</f>
        <v/>
      </c>
      <c r="T662" s="74" t="str">
        <f aca="false">IF(AND(ISNUMBER(F662),ISNUMBER(G662)),ROUND((G662-F662+1)/30.4375,1),"")</f>
        <v/>
      </c>
      <c r="U662" s="70" t="str">
        <f aca="false">IF(B662="","",IF(AND(N662="Sí",OR(E662="",NOT(ISNUMBER(F662)))),"⚠ Falta tipo de contrato o fecha de inicio",IF(NOT(ISNUMBER(F662)),"⚠ Falta fecha de inicio",IF(AND(N662="Sí",E662&lt;&gt;"Indefinido",NOT(ISNUMBER(G662))),"⚠ Falta fecha de término",IF(AND(D662="Paso a indefinido",E662&lt;&gt;"Indefinido"),"⚠ Un paso a indefinido debe tener tipo Indefinido",IF(N(Q662)&gt;=3,"⚠ 3er contrato a plazo fijo: por ley ya es INDEFINIDO (Art. 159 N°4)",IF(AND(E662="Plazo fijo",N(T662)&gt;12),"⚠ Plazo fijo mayor a 1 año (máx. legal; 2 años solo profesionales o técnicos)",IF(AND(ISNUMBER(G662),G662&lt;F662),"⚠ Término anterior al inicio",IF(AND(D662="Contrato inicial",ISNUMBER(J662),J662-F662&gt;15),"⚠ Escriturado fuera de plazo (Art. 9: 15 días)",IF(K662&lt;&gt;"Sí","Pendiente de firma","OK"))))))))))</f>
        <v/>
      </c>
    </row>
    <row r="663" customFormat="false" ht="15" hidden="false" customHeight="false" outlineLevel="0" collapsed="false">
      <c r="B663" s="64"/>
      <c r="C663" s="72" t="str">
        <f aca="false">IF(B663="","",IFERROR(INDEX(T_NOMBRE,MATCH(B663,T_ID,0)),"⚠ ID no existe en Trabajadores"))</f>
        <v/>
      </c>
      <c r="D663" s="64"/>
      <c r="E663" s="64"/>
      <c r="F663" s="65"/>
      <c r="G663" s="65"/>
      <c r="H663" s="67"/>
      <c r="I663" s="64"/>
      <c r="J663" s="65"/>
      <c r="K663" s="64"/>
      <c r="L663" s="64"/>
      <c r="M663" s="64"/>
      <c r="N663" s="72" t="str">
        <f aca="false">IF(B663="","",IF(D663="Anexo de modificación","No","Sí"))</f>
        <v/>
      </c>
      <c r="O663" s="73" t="str">
        <f aca="false">IF(AND(N663="Sí",ISNUMBER(F663)),COUNTIFS(C_ID,B663,C_DEFINE,"Sí",C_INICIO,"&lt;"&amp;F663)+COUNTIFS(B$7:B663,B663,N$7:N663,"Sí",F$7:F663,F663),"")</f>
        <v/>
      </c>
      <c r="P663" s="72" t="str">
        <f aca="false">IF(O663="","",B663&amp;"-P"&amp;O663)</f>
        <v/>
      </c>
      <c r="Q663" s="73" t="str">
        <f aca="false">IF(AND(N663="Sí",E663="Plazo fijo",ISNUMBER(F663)),COUNTIFS(C_ID,B663,C_TIPO,"Plazo fijo",C_DEFINE,"Sí",C_INICIO,"&lt;"&amp;F663)+COUNTIFS(B$7:B663,B663,E$7:E663,"Plazo fijo",N$7:N663,"Sí",F$7:F663,F663),"")</f>
        <v/>
      </c>
      <c r="R663" s="73" t="str">
        <f aca="false">IF(AND(B663&lt;&gt;"",ISNUMBER(H663),ISNUMBER(F663)),COUNTIFS(C_ID,B663,C_SUELDO,"&lt;&gt;",C_INICIO,"&lt;"&amp;F663)+COUNTIFS(B$7:B663,B663,H$7:H663,"&lt;&gt;",F$7:F663,F663),"")</f>
        <v/>
      </c>
      <c r="S663" s="72" t="str">
        <f aca="false">IF(R663="","",B663&amp;"-S"&amp;R663)</f>
        <v/>
      </c>
      <c r="T663" s="74" t="str">
        <f aca="false">IF(AND(ISNUMBER(F663),ISNUMBER(G663)),ROUND((G663-F663+1)/30.4375,1),"")</f>
        <v/>
      </c>
      <c r="U663" s="70" t="str">
        <f aca="false">IF(B663="","",IF(AND(N663="Sí",OR(E663="",NOT(ISNUMBER(F663)))),"⚠ Falta tipo de contrato o fecha de inicio",IF(NOT(ISNUMBER(F663)),"⚠ Falta fecha de inicio",IF(AND(N663="Sí",E663&lt;&gt;"Indefinido",NOT(ISNUMBER(G663))),"⚠ Falta fecha de término",IF(AND(D663="Paso a indefinido",E663&lt;&gt;"Indefinido"),"⚠ Un paso a indefinido debe tener tipo Indefinido",IF(N(Q663)&gt;=3,"⚠ 3er contrato a plazo fijo: por ley ya es INDEFINIDO (Art. 159 N°4)",IF(AND(E663="Plazo fijo",N(T663)&gt;12),"⚠ Plazo fijo mayor a 1 año (máx. legal; 2 años solo profesionales o técnicos)",IF(AND(ISNUMBER(G663),G663&lt;F663),"⚠ Término anterior al inicio",IF(AND(D663="Contrato inicial",ISNUMBER(J663),J663-F663&gt;15),"⚠ Escriturado fuera de plazo (Art. 9: 15 días)",IF(K663&lt;&gt;"Sí","Pendiente de firma","OK"))))))))))</f>
        <v/>
      </c>
    </row>
    <row r="664" customFormat="false" ht="15" hidden="false" customHeight="false" outlineLevel="0" collapsed="false">
      <c r="B664" s="64"/>
      <c r="C664" s="72" t="str">
        <f aca="false">IF(B664="","",IFERROR(INDEX(T_NOMBRE,MATCH(B664,T_ID,0)),"⚠ ID no existe en Trabajadores"))</f>
        <v/>
      </c>
      <c r="D664" s="64"/>
      <c r="E664" s="64"/>
      <c r="F664" s="65"/>
      <c r="G664" s="65"/>
      <c r="H664" s="67"/>
      <c r="I664" s="64"/>
      <c r="J664" s="65"/>
      <c r="K664" s="64"/>
      <c r="L664" s="64"/>
      <c r="M664" s="64"/>
      <c r="N664" s="72" t="str">
        <f aca="false">IF(B664="","",IF(D664="Anexo de modificación","No","Sí"))</f>
        <v/>
      </c>
      <c r="O664" s="73" t="str">
        <f aca="false">IF(AND(N664="Sí",ISNUMBER(F664)),COUNTIFS(C_ID,B664,C_DEFINE,"Sí",C_INICIO,"&lt;"&amp;F664)+COUNTIFS(B$7:B664,B664,N$7:N664,"Sí",F$7:F664,F664),"")</f>
        <v/>
      </c>
      <c r="P664" s="72" t="str">
        <f aca="false">IF(O664="","",B664&amp;"-P"&amp;O664)</f>
        <v/>
      </c>
      <c r="Q664" s="73" t="str">
        <f aca="false">IF(AND(N664="Sí",E664="Plazo fijo",ISNUMBER(F664)),COUNTIFS(C_ID,B664,C_TIPO,"Plazo fijo",C_DEFINE,"Sí",C_INICIO,"&lt;"&amp;F664)+COUNTIFS(B$7:B664,B664,E$7:E664,"Plazo fijo",N$7:N664,"Sí",F$7:F664,F664),"")</f>
        <v/>
      </c>
      <c r="R664" s="73" t="str">
        <f aca="false">IF(AND(B664&lt;&gt;"",ISNUMBER(H664),ISNUMBER(F664)),COUNTIFS(C_ID,B664,C_SUELDO,"&lt;&gt;",C_INICIO,"&lt;"&amp;F664)+COUNTIFS(B$7:B664,B664,H$7:H664,"&lt;&gt;",F$7:F664,F664),"")</f>
        <v/>
      </c>
      <c r="S664" s="72" t="str">
        <f aca="false">IF(R664="","",B664&amp;"-S"&amp;R664)</f>
        <v/>
      </c>
      <c r="T664" s="74" t="str">
        <f aca="false">IF(AND(ISNUMBER(F664),ISNUMBER(G664)),ROUND((G664-F664+1)/30.4375,1),"")</f>
        <v/>
      </c>
      <c r="U664" s="70" t="str">
        <f aca="false">IF(B664="","",IF(AND(N664="Sí",OR(E664="",NOT(ISNUMBER(F664)))),"⚠ Falta tipo de contrato o fecha de inicio",IF(NOT(ISNUMBER(F664)),"⚠ Falta fecha de inicio",IF(AND(N664="Sí",E664&lt;&gt;"Indefinido",NOT(ISNUMBER(G664))),"⚠ Falta fecha de término",IF(AND(D664="Paso a indefinido",E664&lt;&gt;"Indefinido"),"⚠ Un paso a indefinido debe tener tipo Indefinido",IF(N(Q664)&gt;=3,"⚠ 3er contrato a plazo fijo: por ley ya es INDEFINIDO (Art. 159 N°4)",IF(AND(E664="Plazo fijo",N(T664)&gt;12),"⚠ Plazo fijo mayor a 1 año (máx. legal; 2 años solo profesionales o técnicos)",IF(AND(ISNUMBER(G664),G664&lt;F664),"⚠ Término anterior al inicio",IF(AND(D664="Contrato inicial",ISNUMBER(J664),J664-F664&gt;15),"⚠ Escriturado fuera de plazo (Art. 9: 15 días)",IF(K664&lt;&gt;"Sí","Pendiente de firma","OK"))))))))))</f>
        <v/>
      </c>
    </row>
    <row r="665" customFormat="false" ht="15" hidden="false" customHeight="false" outlineLevel="0" collapsed="false">
      <c r="B665" s="64"/>
      <c r="C665" s="72" t="str">
        <f aca="false">IF(B665="","",IFERROR(INDEX(T_NOMBRE,MATCH(B665,T_ID,0)),"⚠ ID no existe en Trabajadores"))</f>
        <v/>
      </c>
      <c r="D665" s="64"/>
      <c r="E665" s="64"/>
      <c r="F665" s="65"/>
      <c r="G665" s="65"/>
      <c r="H665" s="67"/>
      <c r="I665" s="64"/>
      <c r="J665" s="65"/>
      <c r="K665" s="64"/>
      <c r="L665" s="64"/>
      <c r="M665" s="64"/>
      <c r="N665" s="72" t="str">
        <f aca="false">IF(B665="","",IF(D665="Anexo de modificación","No","Sí"))</f>
        <v/>
      </c>
      <c r="O665" s="73" t="str">
        <f aca="false">IF(AND(N665="Sí",ISNUMBER(F665)),COUNTIFS(C_ID,B665,C_DEFINE,"Sí",C_INICIO,"&lt;"&amp;F665)+COUNTIFS(B$7:B665,B665,N$7:N665,"Sí",F$7:F665,F665),"")</f>
        <v/>
      </c>
      <c r="P665" s="72" t="str">
        <f aca="false">IF(O665="","",B665&amp;"-P"&amp;O665)</f>
        <v/>
      </c>
      <c r="Q665" s="73" t="str">
        <f aca="false">IF(AND(N665="Sí",E665="Plazo fijo",ISNUMBER(F665)),COUNTIFS(C_ID,B665,C_TIPO,"Plazo fijo",C_DEFINE,"Sí",C_INICIO,"&lt;"&amp;F665)+COUNTIFS(B$7:B665,B665,E$7:E665,"Plazo fijo",N$7:N665,"Sí",F$7:F665,F665),"")</f>
        <v/>
      </c>
      <c r="R665" s="73" t="str">
        <f aca="false">IF(AND(B665&lt;&gt;"",ISNUMBER(H665),ISNUMBER(F665)),COUNTIFS(C_ID,B665,C_SUELDO,"&lt;&gt;",C_INICIO,"&lt;"&amp;F665)+COUNTIFS(B$7:B665,B665,H$7:H665,"&lt;&gt;",F$7:F665,F665),"")</f>
        <v/>
      </c>
      <c r="S665" s="72" t="str">
        <f aca="false">IF(R665="","",B665&amp;"-S"&amp;R665)</f>
        <v/>
      </c>
      <c r="T665" s="74" t="str">
        <f aca="false">IF(AND(ISNUMBER(F665),ISNUMBER(G665)),ROUND((G665-F665+1)/30.4375,1),"")</f>
        <v/>
      </c>
      <c r="U665" s="70" t="str">
        <f aca="false">IF(B665="","",IF(AND(N665="Sí",OR(E665="",NOT(ISNUMBER(F665)))),"⚠ Falta tipo de contrato o fecha de inicio",IF(NOT(ISNUMBER(F665)),"⚠ Falta fecha de inicio",IF(AND(N665="Sí",E665&lt;&gt;"Indefinido",NOT(ISNUMBER(G665))),"⚠ Falta fecha de término",IF(AND(D665="Paso a indefinido",E665&lt;&gt;"Indefinido"),"⚠ Un paso a indefinido debe tener tipo Indefinido",IF(N(Q665)&gt;=3,"⚠ 3er contrato a plazo fijo: por ley ya es INDEFINIDO (Art. 159 N°4)",IF(AND(E665="Plazo fijo",N(T665)&gt;12),"⚠ Plazo fijo mayor a 1 año (máx. legal; 2 años solo profesionales o técnicos)",IF(AND(ISNUMBER(G665),G665&lt;F665),"⚠ Término anterior al inicio",IF(AND(D665="Contrato inicial",ISNUMBER(J665),J665-F665&gt;15),"⚠ Escriturado fuera de plazo (Art. 9: 15 días)",IF(K665&lt;&gt;"Sí","Pendiente de firma","OK"))))))))))</f>
        <v/>
      </c>
    </row>
    <row r="666" customFormat="false" ht="15" hidden="false" customHeight="false" outlineLevel="0" collapsed="false">
      <c r="B666" s="64"/>
      <c r="C666" s="72" t="str">
        <f aca="false">IF(B666="","",IFERROR(INDEX(T_NOMBRE,MATCH(B666,T_ID,0)),"⚠ ID no existe en Trabajadores"))</f>
        <v/>
      </c>
      <c r="D666" s="64"/>
      <c r="E666" s="64"/>
      <c r="F666" s="65"/>
      <c r="G666" s="65"/>
      <c r="H666" s="67"/>
      <c r="I666" s="64"/>
      <c r="J666" s="65"/>
      <c r="K666" s="64"/>
      <c r="L666" s="64"/>
      <c r="M666" s="64"/>
      <c r="N666" s="72" t="str">
        <f aca="false">IF(B666="","",IF(D666="Anexo de modificación","No","Sí"))</f>
        <v/>
      </c>
      <c r="O666" s="73" t="str">
        <f aca="false">IF(AND(N666="Sí",ISNUMBER(F666)),COUNTIFS(C_ID,B666,C_DEFINE,"Sí",C_INICIO,"&lt;"&amp;F666)+COUNTIFS(B$7:B666,B666,N$7:N666,"Sí",F$7:F666,F666),"")</f>
        <v/>
      </c>
      <c r="P666" s="72" t="str">
        <f aca="false">IF(O666="","",B666&amp;"-P"&amp;O666)</f>
        <v/>
      </c>
      <c r="Q666" s="73" t="str">
        <f aca="false">IF(AND(N666="Sí",E666="Plazo fijo",ISNUMBER(F666)),COUNTIFS(C_ID,B666,C_TIPO,"Plazo fijo",C_DEFINE,"Sí",C_INICIO,"&lt;"&amp;F666)+COUNTIFS(B$7:B666,B666,E$7:E666,"Plazo fijo",N$7:N666,"Sí",F$7:F666,F666),"")</f>
        <v/>
      </c>
      <c r="R666" s="73" t="str">
        <f aca="false">IF(AND(B666&lt;&gt;"",ISNUMBER(H666),ISNUMBER(F666)),COUNTIFS(C_ID,B666,C_SUELDO,"&lt;&gt;",C_INICIO,"&lt;"&amp;F666)+COUNTIFS(B$7:B666,B666,H$7:H666,"&lt;&gt;",F$7:F666,F666),"")</f>
        <v/>
      </c>
      <c r="S666" s="72" t="str">
        <f aca="false">IF(R666="","",B666&amp;"-S"&amp;R666)</f>
        <v/>
      </c>
      <c r="T666" s="74" t="str">
        <f aca="false">IF(AND(ISNUMBER(F666),ISNUMBER(G666)),ROUND((G666-F666+1)/30.4375,1),"")</f>
        <v/>
      </c>
      <c r="U666" s="70" t="str">
        <f aca="false">IF(B666="","",IF(AND(N666="Sí",OR(E666="",NOT(ISNUMBER(F666)))),"⚠ Falta tipo de contrato o fecha de inicio",IF(NOT(ISNUMBER(F666)),"⚠ Falta fecha de inicio",IF(AND(N666="Sí",E666&lt;&gt;"Indefinido",NOT(ISNUMBER(G666))),"⚠ Falta fecha de término",IF(AND(D666="Paso a indefinido",E666&lt;&gt;"Indefinido"),"⚠ Un paso a indefinido debe tener tipo Indefinido",IF(N(Q666)&gt;=3,"⚠ 3er contrato a plazo fijo: por ley ya es INDEFINIDO (Art. 159 N°4)",IF(AND(E666="Plazo fijo",N(T666)&gt;12),"⚠ Plazo fijo mayor a 1 año (máx. legal; 2 años solo profesionales o técnicos)",IF(AND(ISNUMBER(G666),G666&lt;F666),"⚠ Término anterior al inicio",IF(AND(D666="Contrato inicial",ISNUMBER(J666),J666-F666&gt;15),"⚠ Escriturado fuera de plazo (Art. 9: 15 días)",IF(K666&lt;&gt;"Sí","Pendiente de firma","OK"))))))))))</f>
        <v/>
      </c>
    </row>
    <row r="667" customFormat="false" ht="15" hidden="false" customHeight="false" outlineLevel="0" collapsed="false">
      <c r="B667" s="64"/>
      <c r="C667" s="72" t="str">
        <f aca="false">IF(B667="","",IFERROR(INDEX(T_NOMBRE,MATCH(B667,T_ID,0)),"⚠ ID no existe en Trabajadores"))</f>
        <v/>
      </c>
      <c r="D667" s="64"/>
      <c r="E667" s="64"/>
      <c r="F667" s="65"/>
      <c r="G667" s="65"/>
      <c r="H667" s="67"/>
      <c r="I667" s="64"/>
      <c r="J667" s="65"/>
      <c r="K667" s="64"/>
      <c r="L667" s="64"/>
      <c r="M667" s="64"/>
      <c r="N667" s="72" t="str">
        <f aca="false">IF(B667="","",IF(D667="Anexo de modificación","No","Sí"))</f>
        <v/>
      </c>
      <c r="O667" s="73" t="str">
        <f aca="false">IF(AND(N667="Sí",ISNUMBER(F667)),COUNTIFS(C_ID,B667,C_DEFINE,"Sí",C_INICIO,"&lt;"&amp;F667)+COUNTIFS(B$7:B667,B667,N$7:N667,"Sí",F$7:F667,F667),"")</f>
        <v/>
      </c>
      <c r="P667" s="72" t="str">
        <f aca="false">IF(O667="","",B667&amp;"-P"&amp;O667)</f>
        <v/>
      </c>
      <c r="Q667" s="73" t="str">
        <f aca="false">IF(AND(N667="Sí",E667="Plazo fijo",ISNUMBER(F667)),COUNTIFS(C_ID,B667,C_TIPO,"Plazo fijo",C_DEFINE,"Sí",C_INICIO,"&lt;"&amp;F667)+COUNTIFS(B$7:B667,B667,E$7:E667,"Plazo fijo",N$7:N667,"Sí",F$7:F667,F667),"")</f>
        <v/>
      </c>
      <c r="R667" s="73" t="str">
        <f aca="false">IF(AND(B667&lt;&gt;"",ISNUMBER(H667),ISNUMBER(F667)),COUNTIFS(C_ID,B667,C_SUELDO,"&lt;&gt;",C_INICIO,"&lt;"&amp;F667)+COUNTIFS(B$7:B667,B667,H$7:H667,"&lt;&gt;",F$7:F667,F667),"")</f>
        <v/>
      </c>
      <c r="S667" s="72" t="str">
        <f aca="false">IF(R667="","",B667&amp;"-S"&amp;R667)</f>
        <v/>
      </c>
      <c r="T667" s="74" t="str">
        <f aca="false">IF(AND(ISNUMBER(F667),ISNUMBER(G667)),ROUND((G667-F667+1)/30.4375,1),"")</f>
        <v/>
      </c>
      <c r="U667" s="70" t="str">
        <f aca="false">IF(B667="","",IF(AND(N667="Sí",OR(E667="",NOT(ISNUMBER(F667)))),"⚠ Falta tipo de contrato o fecha de inicio",IF(NOT(ISNUMBER(F667)),"⚠ Falta fecha de inicio",IF(AND(N667="Sí",E667&lt;&gt;"Indefinido",NOT(ISNUMBER(G667))),"⚠ Falta fecha de término",IF(AND(D667="Paso a indefinido",E667&lt;&gt;"Indefinido"),"⚠ Un paso a indefinido debe tener tipo Indefinido",IF(N(Q667)&gt;=3,"⚠ 3er contrato a plazo fijo: por ley ya es INDEFINIDO (Art. 159 N°4)",IF(AND(E667="Plazo fijo",N(T667)&gt;12),"⚠ Plazo fijo mayor a 1 año (máx. legal; 2 años solo profesionales o técnicos)",IF(AND(ISNUMBER(G667),G667&lt;F667),"⚠ Término anterior al inicio",IF(AND(D667="Contrato inicial",ISNUMBER(J667),J667-F667&gt;15),"⚠ Escriturado fuera de plazo (Art. 9: 15 días)",IF(K667&lt;&gt;"Sí","Pendiente de firma","OK"))))))))))</f>
        <v/>
      </c>
    </row>
    <row r="668" customFormat="false" ht="15" hidden="false" customHeight="false" outlineLevel="0" collapsed="false">
      <c r="B668" s="64"/>
      <c r="C668" s="72" t="str">
        <f aca="false">IF(B668="","",IFERROR(INDEX(T_NOMBRE,MATCH(B668,T_ID,0)),"⚠ ID no existe en Trabajadores"))</f>
        <v/>
      </c>
      <c r="D668" s="64"/>
      <c r="E668" s="64"/>
      <c r="F668" s="65"/>
      <c r="G668" s="65"/>
      <c r="H668" s="67"/>
      <c r="I668" s="64"/>
      <c r="J668" s="65"/>
      <c r="K668" s="64"/>
      <c r="L668" s="64"/>
      <c r="M668" s="64"/>
      <c r="N668" s="72" t="str">
        <f aca="false">IF(B668="","",IF(D668="Anexo de modificación","No","Sí"))</f>
        <v/>
      </c>
      <c r="O668" s="73" t="str">
        <f aca="false">IF(AND(N668="Sí",ISNUMBER(F668)),COUNTIFS(C_ID,B668,C_DEFINE,"Sí",C_INICIO,"&lt;"&amp;F668)+COUNTIFS(B$7:B668,B668,N$7:N668,"Sí",F$7:F668,F668),"")</f>
        <v/>
      </c>
      <c r="P668" s="72" t="str">
        <f aca="false">IF(O668="","",B668&amp;"-P"&amp;O668)</f>
        <v/>
      </c>
      <c r="Q668" s="73" t="str">
        <f aca="false">IF(AND(N668="Sí",E668="Plazo fijo",ISNUMBER(F668)),COUNTIFS(C_ID,B668,C_TIPO,"Plazo fijo",C_DEFINE,"Sí",C_INICIO,"&lt;"&amp;F668)+COUNTIFS(B$7:B668,B668,E$7:E668,"Plazo fijo",N$7:N668,"Sí",F$7:F668,F668),"")</f>
        <v/>
      </c>
      <c r="R668" s="73" t="str">
        <f aca="false">IF(AND(B668&lt;&gt;"",ISNUMBER(H668),ISNUMBER(F668)),COUNTIFS(C_ID,B668,C_SUELDO,"&lt;&gt;",C_INICIO,"&lt;"&amp;F668)+COUNTIFS(B$7:B668,B668,H$7:H668,"&lt;&gt;",F$7:F668,F668),"")</f>
        <v/>
      </c>
      <c r="S668" s="72" t="str">
        <f aca="false">IF(R668="","",B668&amp;"-S"&amp;R668)</f>
        <v/>
      </c>
      <c r="T668" s="74" t="str">
        <f aca="false">IF(AND(ISNUMBER(F668),ISNUMBER(G668)),ROUND((G668-F668+1)/30.4375,1),"")</f>
        <v/>
      </c>
      <c r="U668" s="70" t="str">
        <f aca="false">IF(B668="","",IF(AND(N668="Sí",OR(E668="",NOT(ISNUMBER(F668)))),"⚠ Falta tipo de contrato o fecha de inicio",IF(NOT(ISNUMBER(F668)),"⚠ Falta fecha de inicio",IF(AND(N668="Sí",E668&lt;&gt;"Indefinido",NOT(ISNUMBER(G668))),"⚠ Falta fecha de término",IF(AND(D668="Paso a indefinido",E668&lt;&gt;"Indefinido"),"⚠ Un paso a indefinido debe tener tipo Indefinido",IF(N(Q668)&gt;=3,"⚠ 3er contrato a plazo fijo: por ley ya es INDEFINIDO (Art. 159 N°4)",IF(AND(E668="Plazo fijo",N(T668)&gt;12),"⚠ Plazo fijo mayor a 1 año (máx. legal; 2 años solo profesionales o técnicos)",IF(AND(ISNUMBER(G668),G668&lt;F668),"⚠ Término anterior al inicio",IF(AND(D668="Contrato inicial",ISNUMBER(J668),J668-F668&gt;15),"⚠ Escriturado fuera de plazo (Art. 9: 15 días)",IF(K668&lt;&gt;"Sí","Pendiente de firma","OK"))))))))))</f>
        <v/>
      </c>
    </row>
    <row r="669" customFormat="false" ht="15" hidden="false" customHeight="false" outlineLevel="0" collapsed="false">
      <c r="B669" s="64"/>
      <c r="C669" s="72" t="str">
        <f aca="false">IF(B669="","",IFERROR(INDEX(T_NOMBRE,MATCH(B669,T_ID,0)),"⚠ ID no existe en Trabajadores"))</f>
        <v/>
      </c>
      <c r="D669" s="64"/>
      <c r="E669" s="64"/>
      <c r="F669" s="65"/>
      <c r="G669" s="65"/>
      <c r="H669" s="67"/>
      <c r="I669" s="64"/>
      <c r="J669" s="65"/>
      <c r="K669" s="64"/>
      <c r="L669" s="64"/>
      <c r="M669" s="64"/>
      <c r="N669" s="72" t="str">
        <f aca="false">IF(B669="","",IF(D669="Anexo de modificación","No","Sí"))</f>
        <v/>
      </c>
      <c r="O669" s="73" t="str">
        <f aca="false">IF(AND(N669="Sí",ISNUMBER(F669)),COUNTIFS(C_ID,B669,C_DEFINE,"Sí",C_INICIO,"&lt;"&amp;F669)+COUNTIFS(B$7:B669,B669,N$7:N669,"Sí",F$7:F669,F669),"")</f>
        <v/>
      </c>
      <c r="P669" s="72" t="str">
        <f aca="false">IF(O669="","",B669&amp;"-P"&amp;O669)</f>
        <v/>
      </c>
      <c r="Q669" s="73" t="str">
        <f aca="false">IF(AND(N669="Sí",E669="Plazo fijo",ISNUMBER(F669)),COUNTIFS(C_ID,B669,C_TIPO,"Plazo fijo",C_DEFINE,"Sí",C_INICIO,"&lt;"&amp;F669)+COUNTIFS(B$7:B669,B669,E$7:E669,"Plazo fijo",N$7:N669,"Sí",F$7:F669,F669),"")</f>
        <v/>
      </c>
      <c r="R669" s="73" t="str">
        <f aca="false">IF(AND(B669&lt;&gt;"",ISNUMBER(H669),ISNUMBER(F669)),COUNTIFS(C_ID,B669,C_SUELDO,"&lt;&gt;",C_INICIO,"&lt;"&amp;F669)+COUNTIFS(B$7:B669,B669,H$7:H669,"&lt;&gt;",F$7:F669,F669),"")</f>
        <v/>
      </c>
      <c r="S669" s="72" t="str">
        <f aca="false">IF(R669="","",B669&amp;"-S"&amp;R669)</f>
        <v/>
      </c>
      <c r="T669" s="74" t="str">
        <f aca="false">IF(AND(ISNUMBER(F669),ISNUMBER(G669)),ROUND((G669-F669+1)/30.4375,1),"")</f>
        <v/>
      </c>
      <c r="U669" s="70" t="str">
        <f aca="false">IF(B669="","",IF(AND(N669="Sí",OR(E669="",NOT(ISNUMBER(F669)))),"⚠ Falta tipo de contrato o fecha de inicio",IF(NOT(ISNUMBER(F669)),"⚠ Falta fecha de inicio",IF(AND(N669="Sí",E669&lt;&gt;"Indefinido",NOT(ISNUMBER(G669))),"⚠ Falta fecha de término",IF(AND(D669="Paso a indefinido",E669&lt;&gt;"Indefinido"),"⚠ Un paso a indefinido debe tener tipo Indefinido",IF(N(Q669)&gt;=3,"⚠ 3er contrato a plazo fijo: por ley ya es INDEFINIDO (Art. 159 N°4)",IF(AND(E669="Plazo fijo",N(T669)&gt;12),"⚠ Plazo fijo mayor a 1 año (máx. legal; 2 años solo profesionales o técnicos)",IF(AND(ISNUMBER(G669),G669&lt;F669),"⚠ Término anterior al inicio",IF(AND(D669="Contrato inicial",ISNUMBER(J669),J669-F669&gt;15),"⚠ Escriturado fuera de plazo (Art. 9: 15 días)",IF(K669&lt;&gt;"Sí","Pendiente de firma","OK"))))))))))</f>
        <v/>
      </c>
    </row>
    <row r="670" customFormat="false" ht="15" hidden="false" customHeight="false" outlineLevel="0" collapsed="false">
      <c r="B670" s="64"/>
      <c r="C670" s="72" t="str">
        <f aca="false">IF(B670="","",IFERROR(INDEX(T_NOMBRE,MATCH(B670,T_ID,0)),"⚠ ID no existe en Trabajadores"))</f>
        <v/>
      </c>
      <c r="D670" s="64"/>
      <c r="E670" s="64"/>
      <c r="F670" s="65"/>
      <c r="G670" s="65"/>
      <c r="H670" s="67"/>
      <c r="I670" s="64"/>
      <c r="J670" s="65"/>
      <c r="K670" s="64"/>
      <c r="L670" s="64"/>
      <c r="M670" s="64"/>
      <c r="N670" s="72" t="str">
        <f aca="false">IF(B670="","",IF(D670="Anexo de modificación","No","Sí"))</f>
        <v/>
      </c>
      <c r="O670" s="73" t="str">
        <f aca="false">IF(AND(N670="Sí",ISNUMBER(F670)),COUNTIFS(C_ID,B670,C_DEFINE,"Sí",C_INICIO,"&lt;"&amp;F670)+COUNTIFS(B$7:B670,B670,N$7:N670,"Sí",F$7:F670,F670),"")</f>
        <v/>
      </c>
      <c r="P670" s="72" t="str">
        <f aca="false">IF(O670="","",B670&amp;"-P"&amp;O670)</f>
        <v/>
      </c>
      <c r="Q670" s="73" t="str">
        <f aca="false">IF(AND(N670="Sí",E670="Plazo fijo",ISNUMBER(F670)),COUNTIFS(C_ID,B670,C_TIPO,"Plazo fijo",C_DEFINE,"Sí",C_INICIO,"&lt;"&amp;F670)+COUNTIFS(B$7:B670,B670,E$7:E670,"Plazo fijo",N$7:N670,"Sí",F$7:F670,F670),"")</f>
        <v/>
      </c>
      <c r="R670" s="73" t="str">
        <f aca="false">IF(AND(B670&lt;&gt;"",ISNUMBER(H670),ISNUMBER(F670)),COUNTIFS(C_ID,B670,C_SUELDO,"&lt;&gt;",C_INICIO,"&lt;"&amp;F670)+COUNTIFS(B$7:B670,B670,H$7:H670,"&lt;&gt;",F$7:F670,F670),"")</f>
        <v/>
      </c>
      <c r="S670" s="72" t="str">
        <f aca="false">IF(R670="","",B670&amp;"-S"&amp;R670)</f>
        <v/>
      </c>
      <c r="T670" s="74" t="str">
        <f aca="false">IF(AND(ISNUMBER(F670),ISNUMBER(G670)),ROUND((G670-F670+1)/30.4375,1),"")</f>
        <v/>
      </c>
      <c r="U670" s="70" t="str">
        <f aca="false">IF(B670="","",IF(AND(N670="Sí",OR(E670="",NOT(ISNUMBER(F670)))),"⚠ Falta tipo de contrato o fecha de inicio",IF(NOT(ISNUMBER(F670)),"⚠ Falta fecha de inicio",IF(AND(N670="Sí",E670&lt;&gt;"Indefinido",NOT(ISNUMBER(G670))),"⚠ Falta fecha de término",IF(AND(D670="Paso a indefinido",E670&lt;&gt;"Indefinido"),"⚠ Un paso a indefinido debe tener tipo Indefinido",IF(N(Q670)&gt;=3,"⚠ 3er contrato a plazo fijo: por ley ya es INDEFINIDO (Art. 159 N°4)",IF(AND(E670="Plazo fijo",N(T670)&gt;12),"⚠ Plazo fijo mayor a 1 año (máx. legal; 2 años solo profesionales o técnicos)",IF(AND(ISNUMBER(G670),G670&lt;F670),"⚠ Término anterior al inicio",IF(AND(D670="Contrato inicial",ISNUMBER(J670),J670-F670&gt;15),"⚠ Escriturado fuera de plazo (Art. 9: 15 días)",IF(K670&lt;&gt;"Sí","Pendiente de firma","OK"))))))))))</f>
        <v/>
      </c>
    </row>
    <row r="671" customFormat="false" ht="15" hidden="false" customHeight="false" outlineLevel="0" collapsed="false">
      <c r="B671" s="64"/>
      <c r="C671" s="72" t="str">
        <f aca="false">IF(B671="","",IFERROR(INDEX(T_NOMBRE,MATCH(B671,T_ID,0)),"⚠ ID no existe en Trabajadores"))</f>
        <v/>
      </c>
      <c r="D671" s="64"/>
      <c r="E671" s="64"/>
      <c r="F671" s="65"/>
      <c r="G671" s="65"/>
      <c r="H671" s="67"/>
      <c r="I671" s="64"/>
      <c r="J671" s="65"/>
      <c r="K671" s="64"/>
      <c r="L671" s="64"/>
      <c r="M671" s="64"/>
      <c r="N671" s="72" t="str">
        <f aca="false">IF(B671="","",IF(D671="Anexo de modificación","No","Sí"))</f>
        <v/>
      </c>
      <c r="O671" s="73" t="str">
        <f aca="false">IF(AND(N671="Sí",ISNUMBER(F671)),COUNTIFS(C_ID,B671,C_DEFINE,"Sí",C_INICIO,"&lt;"&amp;F671)+COUNTIFS(B$7:B671,B671,N$7:N671,"Sí",F$7:F671,F671),"")</f>
        <v/>
      </c>
      <c r="P671" s="72" t="str">
        <f aca="false">IF(O671="","",B671&amp;"-P"&amp;O671)</f>
        <v/>
      </c>
      <c r="Q671" s="73" t="str">
        <f aca="false">IF(AND(N671="Sí",E671="Plazo fijo",ISNUMBER(F671)),COUNTIFS(C_ID,B671,C_TIPO,"Plazo fijo",C_DEFINE,"Sí",C_INICIO,"&lt;"&amp;F671)+COUNTIFS(B$7:B671,B671,E$7:E671,"Plazo fijo",N$7:N671,"Sí",F$7:F671,F671),"")</f>
        <v/>
      </c>
      <c r="R671" s="73" t="str">
        <f aca="false">IF(AND(B671&lt;&gt;"",ISNUMBER(H671),ISNUMBER(F671)),COUNTIFS(C_ID,B671,C_SUELDO,"&lt;&gt;",C_INICIO,"&lt;"&amp;F671)+COUNTIFS(B$7:B671,B671,H$7:H671,"&lt;&gt;",F$7:F671,F671),"")</f>
        <v/>
      </c>
      <c r="S671" s="72" t="str">
        <f aca="false">IF(R671="","",B671&amp;"-S"&amp;R671)</f>
        <v/>
      </c>
      <c r="T671" s="74" t="str">
        <f aca="false">IF(AND(ISNUMBER(F671),ISNUMBER(G671)),ROUND((G671-F671+1)/30.4375,1),"")</f>
        <v/>
      </c>
      <c r="U671" s="70" t="str">
        <f aca="false">IF(B671="","",IF(AND(N671="Sí",OR(E671="",NOT(ISNUMBER(F671)))),"⚠ Falta tipo de contrato o fecha de inicio",IF(NOT(ISNUMBER(F671)),"⚠ Falta fecha de inicio",IF(AND(N671="Sí",E671&lt;&gt;"Indefinido",NOT(ISNUMBER(G671))),"⚠ Falta fecha de término",IF(AND(D671="Paso a indefinido",E671&lt;&gt;"Indefinido"),"⚠ Un paso a indefinido debe tener tipo Indefinido",IF(N(Q671)&gt;=3,"⚠ 3er contrato a plazo fijo: por ley ya es INDEFINIDO (Art. 159 N°4)",IF(AND(E671="Plazo fijo",N(T671)&gt;12),"⚠ Plazo fijo mayor a 1 año (máx. legal; 2 años solo profesionales o técnicos)",IF(AND(ISNUMBER(G671),G671&lt;F671),"⚠ Término anterior al inicio",IF(AND(D671="Contrato inicial",ISNUMBER(J671),J671-F671&gt;15),"⚠ Escriturado fuera de plazo (Art. 9: 15 días)",IF(K671&lt;&gt;"Sí","Pendiente de firma","OK"))))))))))</f>
        <v/>
      </c>
    </row>
    <row r="672" customFormat="false" ht="15" hidden="false" customHeight="false" outlineLevel="0" collapsed="false">
      <c r="B672" s="64"/>
      <c r="C672" s="72" t="str">
        <f aca="false">IF(B672="","",IFERROR(INDEX(T_NOMBRE,MATCH(B672,T_ID,0)),"⚠ ID no existe en Trabajadores"))</f>
        <v/>
      </c>
      <c r="D672" s="64"/>
      <c r="E672" s="64"/>
      <c r="F672" s="65"/>
      <c r="G672" s="65"/>
      <c r="H672" s="67"/>
      <c r="I672" s="64"/>
      <c r="J672" s="65"/>
      <c r="K672" s="64"/>
      <c r="L672" s="64"/>
      <c r="M672" s="64"/>
      <c r="N672" s="72" t="str">
        <f aca="false">IF(B672="","",IF(D672="Anexo de modificación","No","Sí"))</f>
        <v/>
      </c>
      <c r="O672" s="73" t="str">
        <f aca="false">IF(AND(N672="Sí",ISNUMBER(F672)),COUNTIFS(C_ID,B672,C_DEFINE,"Sí",C_INICIO,"&lt;"&amp;F672)+COUNTIFS(B$7:B672,B672,N$7:N672,"Sí",F$7:F672,F672),"")</f>
        <v/>
      </c>
      <c r="P672" s="72" t="str">
        <f aca="false">IF(O672="","",B672&amp;"-P"&amp;O672)</f>
        <v/>
      </c>
      <c r="Q672" s="73" t="str">
        <f aca="false">IF(AND(N672="Sí",E672="Plazo fijo",ISNUMBER(F672)),COUNTIFS(C_ID,B672,C_TIPO,"Plazo fijo",C_DEFINE,"Sí",C_INICIO,"&lt;"&amp;F672)+COUNTIFS(B$7:B672,B672,E$7:E672,"Plazo fijo",N$7:N672,"Sí",F$7:F672,F672),"")</f>
        <v/>
      </c>
      <c r="R672" s="73" t="str">
        <f aca="false">IF(AND(B672&lt;&gt;"",ISNUMBER(H672),ISNUMBER(F672)),COUNTIFS(C_ID,B672,C_SUELDO,"&lt;&gt;",C_INICIO,"&lt;"&amp;F672)+COUNTIFS(B$7:B672,B672,H$7:H672,"&lt;&gt;",F$7:F672,F672),"")</f>
        <v/>
      </c>
      <c r="S672" s="72" t="str">
        <f aca="false">IF(R672="","",B672&amp;"-S"&amp;R672)</f>
        <v/>
      </c>
      <c r="T672" s="74" t="str">
        <f aca="false">IF(AND(ISNUMBER(F672),ISNUMBER(G672)),ROUND((G672-F672+1)/30.4375,1),"")</f>
        <v/>
      </c>
      <c r="U672" s="70" t="str">
        <f aca="false">IF(B672="","",IF(AND(N672="Sí",OR(E672="",NOT(ISNUMBER(F672)))),"⚠ Falta tipo de contrato o fecha de inicio",IF(NOT(ISNUMBER(F672)),"⚠ Falta fecha de inicio",IF(AND(N672="Sí",E672&lt;&gt;"Indefinido",NOT(ISNUMBER(G672))),"⚠ Falta fecha de término",IF(AND(D672="Paso a indefinido",E672&lt;&gt;"Indefinido"),"⚠ Un paso a indefinido debe tener tipo Indefinido",IF(N(Q672)&gt;=3,"⚠ 3er contrato a plazo fijo: por ley ya es INDEFINIDO (Art. 159 N°4)",IF(AND(E672="Plazo fijo",N(T672)&gt;12),"⚠ Plazo fijo mayor a 1 año (máx. legal; 2 años solo profesionales o técnicos)",IF(AND(ISNUMBER(G672),G672&lt;F672),"⚠ Término anterior al inicio",IF(AND(D672="Contrato inicial",ISNUMBER(J672),J672-F672&gt;15),"⚠ Escriturado fuera de plazo (Art. 9: 15 días)",IF(K672&lt;&gt;"Sí","Pendiente de firma","OK"))))))))))</f>
        <v/>
      </c>
    </row>
    <row r="673" customFormat="false" ht="15" hidden="false" customHeight="false" outlineLevel="0" collapsed="false">
      <c r="B673" s="64"/>
      <c r="C673" s="72" t="str">
        <f aca="false">IF(B673="","",IFERROR(INDEX(T_NOMBRE,MATCH(B673,T_ID,0)),"⚠ ID no existe en Trabajadores"))</f>
        <v/>
      </c>
      <c r="D673" s="64"/>
      <c r="E673" s="64"/>
      <c r="F673" s="65"/>
      <c r="G673" s="65"/>
      <c r="H673" s="67"/>
      <c r="I673" s="64"/>
      <c r="J673" s="65"/>
      <c r="K673" s="64"/>
      <c r="L673" s="64"/>
      <c r="M673" s="64"/>
      <c r="N673" s="72" t="str">
        <f aca="false">IF(B673="","",IF(D673="Anexo de modificación","No","Sí"))</f>
        <v/>
      </c>
      <c r="O673" s="73" t="str">
        <f aca="false">IF(AND(N673="Sí",ISNUMBER(F673)),COUNTIFS(C_ID,B673,C_DEFINE,"Sí",C_INICIO,"&lt;"&amp;F673)+COUNTIFS(B$7:B673,B673,N$7:N673,"Sí",F$7:F673,F673),"")</f>
        <v/>
      </c>
      <c r="P673" s="72" t="str">
        <f aca="false">IF(O673="","",B673&amp;"-P"&amp;O673)</f>
        <v/>
      </c>
      <c r="Q673" s="73" t="str">
        <f aca="false">IF(AND(N673="Sí",E673="Plazo fijo",ISNUMBER(F673)),COUNTIFS(C_ID,B673,C_TIPO,"Plazo fijo",C_DEFINE,"Sí",C_INICIO,"&lt;"&amp;F673)+COUNTIFS(B$7:B673,B673,E$7:E673,"Plazo fijo",N$7:N673,"Sí",F$7:F673,F673),"")</f>
        <v/>
      </c>
      <c r="R673" s="73" t="str">
        <f aca="false">IF(AND(B673&lt;&gt;"",ISNUMBER(H673),ISNUMBER(F673)),COUNTIFS(C_ID,B673,C_SUELDO,"&lt;&gt;",C_INICIO,"&lt;"&amp;F673)+COUNTIFS(B$7:B673,B673,H$7:H673,"&lt;&gt;",F$7:F673,F673),"")</f>
        <v/>
      </c>
      <c r="S673" s="72" t="str">
        <f aca="false">IF(R673="","",B673&amp;"-S"&amp;R673)</f>
        <v/>
      </c>
      <c r="T673" s="74" t="str">
        <f aca="false">IF(AND(ISNUMBER(F673),ISNUMBER(G673)),ROUND((G673-F673+1)/30.4375,1),"")</f>
        <v/>
      </c>
      <c r="U673" s="70" t="str">
        <f aca="false">IF(B673="","",IF(AND(N673="Sí",OR(E673="",NOT(ISNUMBER(F673)))),"⚠ Falta tipo de contrato o fecha de inicio",IF(NOT(ISNUMBER(F673)),"⚠ Falta fecha de inicio",IF(AND(N673="Sí",E673&lt;&gt;"Indefinido",NOT(ISNUMBER(G673))),"⚠ Falta fecha de término",IF(AND(D673="Paso a indefinido",E673&lt;&gt;"Indefinido"),"⚠ Un paso a indefinido debe tener tipo Indefinido",IF(N(Q673)&gt;=3,"⚠ 3er contrato a plazo fijo: por ley ya es INDEFINIDO (Art. 159 N°4)",IF(AND(E673="Plazo fijo",N(T673)&gt;12),"⚠ Plazo fijo mayor a 1 año (máx. legal; 2 años solo profesionales o técnicos)",IF(AND(ISNUMBER(G673),G673&lt;F673),"⚠ Término anterior al inicio",IF(AND(D673="Contrato inicial",ISNUMBER(J673),J673-F673&gt;15),"⚠ Escriturado fuera de plazo (Art. 9: 15 días)",IF(K673&lt;&gt;"Sí","Pendiente de firma","OK"))))))))))</f>
        <v/>
      </c>
    </row>
    <row r="674" customFormat="false" ht="15" hidden="false" customHeight="false" outlineLevel="0" collapsed="false">
      <c r="B674" s="64"/>
      <c r="C674" s="72" t="str">
        <f aca="false">IF(B674="","",IFERROR(INDEX(T_NOMBRE,MATCH(B674,T_ID,0)),"⚠ ID no existe en Trabajadores"))</f>
        <v/>
      </c>
      <c r="D674" s="64"/>
      <c r="E674" s="64"/>
      <c r="F674" s="65"/>
      <c r="G674" s="65"/>
      <c r="H674" s="67"/>
      <c r="I674" s="64"/>
      <c r="J674" s="65"/>
      <c r="K674" s="64"/>
      <c r="L674" s="64"/>
      <c r="M674" s="64"/>
      <c r="N674" s="72" t="str">
        <f aca="false">IF(B674="","",IF(D674="Anexo de modificación","No","Sí"))</f>
        <v/>
      </c>
      <c r="O674" s="73" t="str">
        <f aca="false">IF(AND(N674="Sí",ISNUMBER(F674)),COUNTIFS(C_ID,B674,C_DEFINE,"Sí",C_INICIO,"&lt;"&amp;F674)+COUNTIFS(B$7:B674,B674,N$7:N674,"Sí",F$7:F674,F674),"")</f>
        <v/>
      </c>
      <c r="P674" s="72" t="str">
        <f aca="false">IF(O674="","",B674&amp;"-P"&amp;O674)</f>
        <v/>
      </c>
      <c r="Q674" s="73" t="str">
        <f aca="false">IF(AND(N674="Sí",E674="Plazo fijo",ISNUMBER(F674)),COUNTIFS(C_ID,B674,C_TIPO,"Plazo fijo",C_DEFINE,"Sí",C_INICIO,"&lt;"&amp;F674)+COUNTIFS(B$7:B674,B674,E$7:E674,"Plazo fijo",N$7:N674,"Sí",F$7:F674,F674),"")</f>
        <v/>
      </c>
      <c r="R674" s="73" t="str">
        <f aca="false">IF(AND(B674&lt;&gt;"",ISNUMBER(H674),ISNUMBER(F674)),COUNTIFS(C_ID,B674,C_SUELDO,"&lt;&gt;",C_INICIO,"&lt;"&amp;F674)+COUNTIFS(B$7:B674,B674,H$7:H674,"&lt;&gt;",F$7:F674,F674),"")</f>
        <v/>
      </c>
      <c r="S674" s="72" t="str">
        <f aca="false">IF(R674="","",B674&amp;"-S"&amp;R674)</f>
        <v/>
      </c>
      <c r="T674" s="74" t="str">
        <f aca="false">IF(AND(ISNUMBER(F674),ISNUMBER(G674)),ROUND((G674-F674+1)/30.4375,1),"")</f>
        <v/>
      </c>
      <c r="U674" s="70" t="str">
        <f aca="false">IF(B674="","",IF(AND(N674="Sí",OR(E674="",NOT(ISNUMBER(F674)))),"⚠ Falta tipo de contrato o fecha de inicio",IF(NOT(ISNUMBER(F674)),"⚠ Falta fecha de inicio",IF(AND(N674="Sí",E674&lt;&gt;"Indefinido",NOT(ISNUMBER(G674))),"⚠ Falta fecha de término",IF(AND(D674="Paso a indefinido",E674&lt;&gt;"Indefinido"),"⚠ Un paso a indefinido debe tener tipo Indefinido",IF(N(Q674)&gt;=3,"⚠ 3er contrato a plazo fijo: por ley ya es INDEFINIDO (Art. 159 N°4)",IF(AND(E674="Plazo fijo",N(T674)&gt;12),"⚠ Plazo fijo mayor a 1 año (máx. legal; 2 años solo profesionales o técnicos)",IF(AND(ISNUMBER(G674),G674&lt;F674),"⚠ Término anterior al inicio",IF(AND(D674="Contrato inicial",ISNUMBER(J674),J674-F674&gt;15),"⚠ Escriturado fuera de plazo (Art. 9: 15 días)",IF(K674&lt;&gt;"Sí","Pendiente de firma","OK"))))))))))</f>
        <v/>
      </c>
    </row>
    <row r="675" customFormat="false" ht="15" hidden="false" customHeight="false" outlineLevel="0" collapsed="false">
      <c r="B675" s="64"/>
      <c r="C675" s="72" t="str">
        <f aca="false">IF(B675="","",IFERROR(INDEX(T_NOMBRE,MATCH(B675,T_ID,0)),"⚠ ID no existe en Trabajadores"))</f>
        <v/>
      </c>
      <c r="D675" s="64"/>
      <c r="E675" s="64"/>
      <c r="F675" s="65"/>
      <c r="G675" s="65"/>
      <c r="H675" s="67"/>
      <c r="I675" s="64"/>
      <c r="J675" s="65"/>
      <c r="K675" s="64"/>
      <c r="L675" s="64"/>
      <c r="M675" s="64"/>
      <c r="N675" s="72" t="str">
        <f aca="false">IF(B675="","",IF(D675="Anexo de modificación","No","Sí"))</f>
        <v/>
      </c>
      <c r="O675" s="73" t="str">
        <f aca="false">IF(AND(N675="Sí",ISNUMBER(F675)),COUNTIFS(C_ID,B675,C_DEFINE,"Sí",C_INICIO,"&lt;"&amp;F675)+COUNTIFS(B$7:B675,B675,N$7:N675,"Sí",F$7:F675,F675),"")</f>
        <v/>
      </c>
      <c r="P675" s="72" t="str">
        <f aca="false">IF(O675="","",B675&amp;"-P"&amp;O675)</f>
        <v/>
      </c>
      <c r="Q675" s="73" t="str">
        <f aca="false">IF(AND(N675="Sí",E675="Plazo fijo",ISNUMBER(F675)),COUNTIFS(C_ID,B675,C_TIPO,"Plazo fijo",C_DEFINE,"Sí",C_INICIO,"&lt;"&amp;F675)+COUNTIFS(B$7:B675,B675,E$7:E675,"Plazo fijo",N$7:N675,"Sí",F$7:F675,F675),"")</f>
        <v/>
      </c>
      <c r="R675" s="73" t="str">
        <f aca="false">IF(AND(B675&lt;&gt;"",ISNUMBER(H675),ISNUMBER(F675)),COUNTIFS(C_ID,B675,C_SUELDO,"&lt;&gt;",C_INICIO,"&lt;"&amp;F675)+COUNTIFS(B$7:B675,B675,H$7:H675,"&lt;&gt;",F$7:F675,F675),"")</f>
        <v/>
      </c>
      <c r="S675" s="72" t="str">
        <f aca="false">IF(R675="","",B675&amp;"-S"&amp;R675)</f>
        <v/>
      </c>
      <c r="T675" s="74" t="str">
        <f aca="false">IF(AND(ISNUMBER(F675),ISNUMBER(G675)),ROUND((G675-F675+1)/30.4375,1),"")</f>
        <v/>
      </c>
      <c r="U675" s="70" t="str">
        <f aca="false">IF(B675="","",IF(AND(N675="Sí",OR(E675="",NOT(ISNUMBER(F675)))),"⚠ Falta tipo de contrato o fecha de inicio",IF(NOT(ISNUMBER(F675)),"⚠ Falta fecha de inicio",IF(AND(N675="Sí",E675&lt;&gt;"Indefinido",NOT(ISNUMBER(G675))),"⚠ Falta fecha de término",IF(AND(D675="Paso a indefinido",E675&lt;&gt;"Indefinido"),"⚠ Un paso a indefinido debe tener tipo Indefinido",IF(N(Q675)&gt;=3,"⚠ 3er contrato a plazo fijo: por ley ya es INDEFINIDO (Art. 159 N°4)",IF(AND(E675="Plazo fijo",N(T675)&gt;12),"⚠ Plazo fijo mayor a 1 año (máx. legal; 2 años solo profesionales o técnicos)",IF(AND(ISNUMBER(G675),G675&lt;F675),"⚠ Término anterior al inicio",IF(AND(D675="Contrato inicial",ISNUMBER(J675),J675-F675&gt;15),"⚠ Escriturado fuera de plazo (Art. 9: 15 días)",IF(K675&lt;&gt;"Sí","Pendiente de firma","OK"))))))))))</f>
        <v/>
      </c>
    </row>
    <row r="676" customFormat="false" ht="15" hidden="false" customHeight="false" outlineLevel="0" collapsed="false">
      <c r="B676" s="64"/>
      <c r="C676" s="72" t="str">
        <f aca="false">IF(B676="","",IFERROR(INDEX(T_NOMBRE,MATCH(B676,T_ID,0)),"⚠ ID no existe en Trabajadores"))</f>
        <v/>
      </c>
      <c r="D676" s="64"/>
      <c r="E676" s="64"/>
      <c r="F676" s="65"/>
      <c r="G676" s="65"/>
      <c r="H676" s="67"/>
      <c r="I676" s="64"/>
      <c r="J676" s="65"/>
      <c r="K676" s="64"/>
      <c r="L676" s="64"/>
      <c r="M676" s="64"/>
      <c r="N676" s="72" t="str">
        <f aca="false">IF(B676="","",IF(D676="Anexo de modificación","No","Sí"))</f>
        <v/>
      </c>
      <c r="O676" s="73" t="str">
        <f aca="false">IF(AND(N676="Sí",ISNUMBER(F676)),COUNTIFS(C_ID,B676,C_DEFINE,"Sí",C_INICIO,"&lt;"&amp;F676)+COUNTIFS(B$7:B676,B676,N$7:N676,"Sí",F$7:F676,F676),"")</f>
        <v/>
      </c>
      <c r="P676" s="72" t="str">
        <f aca="false">IF(O676="","",B676&amp;"-P"&amp;O676)</f>
        <v/>
      </c>
      <c r="Q676" s="73" t="str">
        <f aca="false">IF(AND(N676="Sí",E676="Plazo fijo",ISNUMBER(F676)),COUNTIFS(C_ID,B676,C_TIPO,"Plazo fijo",C_DEFINE,"Sí",C_INICIO,"&lt;"&amp;F676)+COUNTIFS(B$7:B676,B676,E$7:E676,"Plazo fijo",N$7:N676,"Sí",F$7:F676,F676),"")</f>
        <v/>
      </c>
      <c r="R676" s="73" t="str">
        <f aca="false">IF(AND(B676&lt;&gt;"",ISNUMBER(H676),ISNUMBER(F676)),COUNTIFS(C_ID,B676,C_SUELDO,"&lt;&gt;",C_INICIO,"&lt;"&amp;F676)+COUNTIFS(B$7:B676,B676,H$7:H676,"&lt;&gt;",F$7:F676,F676),"")</f>
        <v/>
      </c>
      <c r="S676" s="72" t="str">
        <f aca="false">IF(R676="","",B676&amp;"-S"&amp;R676)</f>
        <v/>
      </c>
      <c r="T676" s="74" t="str">
        <f aca="false">IF(AND(ISNUMBER(F676),ISNUMBER(G676)),ROUND((G676-F676+1)/30.4375,1),"")</f>
        <v/>
      </c>
      <c r="U676" s="70" t="str">
        <f aca="false">IF(B676="","",IF(AND(N676="Sí",OR(E676="",NOT(ISNUMBER(F676)))),"⚠ Falta tipo de contrato o fecha de inicio",IF(NOT(ISNUMBER(F676)),"⚠ Falta fecha de inicio",IF(AND(N676="Sí",E676&lt;&gt;"Indefinido",NOT(ISNUMBER(G676))),"⚠ Falta fecha de término",IF(AND(D676="Paso a indefinido",E676&lt;&gt;"Indefinido"),"⚠ Un paso a indefinido debe tener tipo Indefinido",IF(N(Q676)&gt;=3,"⚠ 3er contrato a plazo fijo: por ley ya es INDEFINIDO (Art. 159 N°4)",IF(AND(E676="Plazo fijo",N(T676)&gt;12),"⚠ Plazo fijo mayor a 1 año (máx. legal; 2 años solo profesionales o técnicos)",IF(AND(ISNUMBER(G676),G676&lt;F676),"⚠ Término anterior al inicio",IF(AND(D676="Contrato inicial",ISNUMBER(J676),J676-F676&gt;15),"⚠ Escriturado fuera de plazo (Art. 9: 15 días)",IF(K676&lt;&gt;"Sí","Pendiente de firma","OK"))))))))))</f>
        <v/>
      </c>
    </row>
    <row r="677" customFormat="false" ht="15" hidden="false" customHeight="false" outlineLevel="0" collapsed="false">
      <c r="B677" s="64"/>
      <c r="C677" s="72" t="str">
        <f aca="false">IF(B677="","",IFERROR(INDEX(T_NOMBRE,MATCH(B677,T_ID,0)),"⚠ ID no existe en Trabajadores"))</f>
        <v/>
      </c>
      <c r="D677" s="64"/>
      <c r="E677" s="64"/>
      <c r="F677" s="65"/>
      <c r="G677" s="65"/>
      <c r="H677" s="67"/>
      <c r="I677" s="64"/>
      <c r="J677" s="65"/>
      <c r="K677" s="64"/>
      <c r="L677" s="64"/>
      <c r="M677" s="64"/>
      <c r="N677" s="72" t="str">
        <f aca="false">IF(B677="","",IF(D677="Anexo de modificación","No","Sí"))</f>
        <v/>
      </c>
      <c r="O677" s="73" t="str">
        <f aca="false">IF(AND(N677="Sí",ISNUMBER(F677)),COUNTIFS(C_ID,B677,C_DEFINE,"Sí",C_INICIO,"&lt;"&amp;F677)+COUNTIFS(B$7:B677,B677,N$7:N677,"Sí",F$7:F677,F677),"")</f>
        <v/>
      </c>
      <c r="P677" s="72" t="str">
        <f aca="false">IF(O677="","",B677&amp;"-P"&amp;O677)</f>
        <v/>
      </c>
      <c r="Q677" s="73" t="str">
        <f aca="false">IF(AND(N677="Sí",E677="Plazo fijo",ISNUMBER(F677)),COUNTIFS(C_ID,B677,C_TIPO,"Plazo fijo",C_DEFINE,"Sí",C_INICIO,"&lt;"&amp;F677)+COUNTIFS(B$7:B677,B677,E$7:E677,"Plazo fijo",N$7:N677,"Sí",F$7:F677,F677),"")</f>
        <v/>
      </c>
      <c r="R677" s="73" t="str">
        <f aca="false">IF(AND(B677&lt;&gt;"",ISNUMBER(H677),ISNUMBER(F677)),COUNTIFS(C_ID,B677,C_SUELDO,"&lt;&gt;",C_INICIO,"&lt;"&amp;F677)+COUNTIFS(B$7:B677,B677,H$7:H677,"&lt;&gt;",F$7:F677,F677),"")</f>
        <v/>
      </c>
      <c r="S677" s="72" t="str">
        <f aca="false">IF(R677="","",B677&amp;"-S"&amp;R677)</f>
        <v/>
      </c>
      <c r="T677" s="74" t="str">
        <f aca="false">IF(AND(ISNUMBER(F677),ISNUMBER(G677)),ROUND((G677-F677+1)/30.4375,1),"")</f>
        <v/>
      </c>
      <c r="U677" s="70" t="str">
        <f aca="false">IF(B677="","",IF(AND(N677="Sí",OR(E677="",NOT(ISNUMBER(F677)))),"⚠ Falta tipo de contrato o fecha de inicio",IF(NOT(ISNUMBER(F677)),"⚠ Falta fecha de inicio",IF(AND(N677="Sí",E677&lt;&gt;"Indefinido",NOT(ISNUMBER(G677))),"⚠ Falta fecha de término",IF(AND(D677="Paso a indefinido",E677&lt;&gt;"Indefinido"),"⚠ Un paso a indefinido debe tener tipo Indefinido",IF(N(Q677)&gt;=3,"⚠ 3er contrato a plazo fijo: por ley ya es INDEFINIDO (Art. 159 N°4)",IF(AND(E677="Plazo fijo",N(T677)&gt;12),"⚠ Plazo fijo mayor a 1 año (máx. legal; 2 años solo profesionales o técnicos)",IF(AND(ISNUMBER(G677),G677&lt;F677),"⚠ Término anterior al inicio",IF(AND(D677="Contrato inicial",ISNUMBER(J677),J677-F677&gt;15),"⚠ Escriturado fuera de plazo (Art. 9: 15 días)",IF(K677&lt;&gt;"Sí","Pendiente de firma","OK"))))))))))</f>
        <v/>
      </c>
    </row>
    <row r="678" customFormat="false" ht="15" hidden="false" customHeight="false" outlineLevel="0" collapsed="false">
      <c r="B678" s="64"/>
      <c r="C678" s="72" t="str">
        <f aca="false">IF(B678="","",IFERROR(INDEX(T_NOMBRE,MATCH(B678,T_ID,0)),"⚠ ID no existe en Trabajadores"))</f>
        <v/>
      </c>
      <c r="D678" s="64"/>
      <c r="E678" s="64"/>
      <c r="F678" s="65"/>
      <c r="G678" s="65"/>
      <c r="H678" s="67"/>
      <c r="I678" s="64"/>
      <c r="J678" s="65"/>
      <c r="K678" s="64"/>
      <c r="L678" s="64"/>
      <c r="M678" s="64"/>
      <c r="N678" s="72" t="str">
        <f aca="false">IF(B678="","",IF(D678="Anexo de modificación","No","Sí"))</f>
        <v/>
      </c>
      <c r="O678" s="73" t="str">
        <f aca="false">IF(AND(N678="Sí",ISNUMBER(F678)),COUNTIFS(C_ID,B678,C_DEFINE,"Sí",C_INICIO,"&lt;"&amp;F678)+COUNTIFS(B$7:B678,B678,N$7:N678,"Sí",F$7:F678,F678),"")</f>
        <v/>
      </c>
      <c r="P678" s="72" t="str">
        <f aca="false">IF(O678="","",B678&amp;"-P"&amp;O678)</f>
        <v/>
      </c>
      <c r="Q678" s="73" t="str">
        <f aca="false">IF(AND(N678="Sí",E678="Plazo fijo",ISNUMBER(F678)),COUNTIFS(C_ID,B678,C_TIPO,"Plazo fijo",C_DEFINE,"Sí",C_INICIO,"&lt;"&amp;F678)+COUNTIFS(B$7:B678,B678,E$7:E678,"Plazo fijo",N$7:N678,"Sí",F$7:F678,F678),"")</f>
        <v/>
      </c>
      <c r="R678" s="73" t="str">
        <f aca="false">IF(AND(B678&lt;&gt;"",ISNUMBER(H678),ISNUMBER(F678)),COUNTIFS(C_ID,B678,C_SUELDO,"&lt;&gt;",C_INICIO,"&lt;"&amp;F678)+COUNTIFS(B$7:B678,B678,H$7:H678,"&lt;&gt;",F$7:F678,F678),"")</f>
        <v/>
      </c>
      <c r="S678" s="72" t="str">
        <f aca="false">IF(R678="","",B678&amp;"-S"&amp;R678)</f>
        <v/>
      </c>
      <c r="T678" s="74" t="str">
        <f aca="false">IF(AND(ISNUMBER(F678),ISNUMBER(G678)),ROUND((G678-F678+1)/30.4375,1),"")</f>
        <v/>
      </c>
      <c r="U678" s="70" t="str">
        <f aca="false">IF(B678="","",IF(AND(N678="Sí",OR(E678="",NOT(ISNUMBER(F678)))),"⚠ Falta tipo de contrato o fecha de inicio",IF(NOT(ISNUMBER(F678)),"⚠ Falta fecha de inicio",IF(AND(N678="Sí",E678&lt;&gt;"Indefinido",NOT(ISNUMBER(G678))),"⚠ Falta fecha de término",IF(AND(D678="Paso a indefinido",E678&lt;&gt;"Indefinido"),"⚠ Un paso a indefinido debe tener tipo Indefinido",IF(N(Q678)&gt;=3,"⚠ 3er contrato a plazo fijo: por ley ya es INDEFINIDO (Art. 159 N°4)",IF(AND(E678="Plazo fijo",N(T678)&gt;12),"⚠ Plazo fijo mayor a 1 año (máx. legal; 2 años solo profesionales o técnicos)",IF(AND(ISNUMBER(G678),G678&lt;F678),"⚠ Término anterior al inicio",IF(AND(D678="Contrato inicial",ISNUMBER(J678),J678-F678&gt;15),"⚠ Escriturado fuera de plazo (Art. 9: 15 días)",IF(K678&lt;&gt;"Sí","Pendiente de firma","OK"))))))))))</f>
        <v/>
      </c>
    </row>
    <row r="679" customFormat="false" ht="15" hidden="false" customHeight="false" outlineLevel="0" collapsed="false">
      <c r="B679" s="64"/>
      <c r="C679" s="72" t="str">
        <f aca="false">IF(B679="","",IFERROR(INDEX(T_NOMBRE,MATCH(B679,T_ID,0)),"⚠ ID no existe en Trabajadores"))</f>
        <v/>
      </c>
      <c r="D679" s="64"/>
      <c r="E679" s="64"/>
      <c r="F679" s="65"/>
      <c r="G679" s="65"/>
      <c r="H679" s="67"/>
      <c r="I679" s="64"/>
      <c r="J679" s="65"/>
      <c r="K679" s="64"/>
      <c r="L679" s="64"/>
      <c r="M679" s="64"/>
      <c r="N679" s="72" t="str">
        <f aca="false">IF(B679="","",IF(D679="Anexo de modificación","No","Sí"))</f>
        <v/>
      </c>
      <c r="O679" s="73" t="str">
        <f aca="false">IF(AND(N679="Sí",ISNUMBER(F679)),COUNTIFS(C_ID,B679,C_DEFINE,"Sí",C_INICIO,"&lt;"&amp;F679)+COUNTIFS(B$7:B679,B679,N$7:N679,"Sí",F$7:F679,F679),"")</f>
        <v/>
      </c>
      <c r="P679" s="72" t="str">
        <f aca="false">IF(O679="","",B679&amp;"-P"&amp;O679)</f>
        <v/>
      </c>
      <c r="Q679" s="73" t="str">
        <f aca="false">IF(AND(N679="Sí",E679="Plazo fijo",ISNUMBER(F679)),COUNTIFS(C_ID,B679,C_TIPO,"Plazo fijo",C_DEFINE,"Sí",C_INICIO,"&lt;"&amp;F679)+COUNTIFS(B$7:B679,B679,E$7:E679,"Plazo fijo",N$7:N679,"Sí",F$7:F679,F679),"")</f>
        <v/>
      </c>
      <c r="R679" s="73" t="str">
        <f aca="false">IF(AND(B679&lt;&gt;"",ISNUMBER(H679),ISNUMBER(F679)),COUNTIFS(C_ID,B679,C_SUELDO,"&lt;&gt;",C_INICIO,"&lt;"&amp;F679)+COUNTIFS(B$7:B679,B679,H$7:H679,"&lt;&gt;",F$7:F679,F679),"")</f>
        <v/>
      </c>
      <c r="S679" s="72" t="str">
        <f aca="false">IF(R679="","",B679&amp;"-S"&amp;R679)</f>
        <v/>
      </c>
      <c r="T679" s="74" t="str">
        <f aca="false">IF(AND(ISNUMBER(F679),ISNUMBER(G679)),ROUND((G679-F679+1)/30.4375,1),"")</f>
        <v/>
      </c>
      <c r="U679" s="70" t="str">
        <f aca="false">IF(B679="","",IF(AND(N679="Sí",OR(E679="",NOT(ISNUMBER(F679)))),"⚠ Falta tipo de contrato o fecha de inicio",IF(NOT(ISNUMBER(F679)),"⚠ Falta fecha de inicio",IF(AND(N679="Sí",E679&lt;&gt;"Indefinido",NOT(ISNUMBER(G679))),"⚠ Falta fecha de término",IF(AND(D679="Paso a indefinido",E679&lt;&gt;"Indefinido"),"⚠ Un paso a indefinido debe tener tipo Indefinido",IF(N(Q679)&gt;=3,"⚠ 3er contrato a plazo fijo: por ley ya es INDEFINIDO (Art. 159 N°4)",IF(AND(E679="Plazo fijo",N(T679)&gt;12),"⚠ Plazo fijo mayor a 1 año (máx. legal; 2 años solo profesionales o técnicos)",IF(AND(ISNUMBER(G679),G679&lt;F679),"⚠ Término anterior al inicio",IF(AND(D679="Contrato inicial",ISNUMBER(J679),J679-F679&gt;15),"⚠ Escriturado fuera de plazo (Art. 9: 15 días)",IF(K679&lt;&gt;"Sí","Pendiente de firma","OK"))))))))))</f>
        <v/>
      </c>
    </row>
    <row r="680" customFormat="false" ht="15" hidden="false" customHeight="false" outlineLevel="0" collapsed="false">
      <c r="B680" s="64"/>
      <c r="C680" s="72" t="str">
        <f aca="false">IF(B680="","",IFERROR(INDEX(T_NOMBRE,MATCH(B680,T_ID,0)),"⚠ ID no existe en Trabajadores"))</f>
        <v/>
      </c>
      <c r="D680" s="64"/>
      <c r="E680" s="64"/>
      <c r="F680" s="65"/>
      <c r="G680" s="65"/>
      <c r="H680" s="67"/>
      <c r="I680" s="64"/>
      <c r="J680" s="65"/>
      <c r="K680" s="64"/>
      <c r="L680" s="64"/>
      <c r="M680" s="64"/>
      <c r="N680" s="72" t="str">
        <f aca="false">IF(B680="","",IF(D680="Anexo de modificación","No","Sí"))</f>
        <v/>
      </c>
      <c r="O680" s="73" t="str">
        <f aca="false">IF(AND(N680="Sí",ISNUMBER(F680)),COUNTIFS(C_ID,B680,C_DEFINE,"Sí",C_INICIO,"&lt;"&amp;F680)+COUNTIFS(B$7:B680,B680,N$7:N680,"Sí",F$7:F680,F680),"")</f>
        <v/>
      </c>
      <c r="P680" s="72" t="str">
        <f aca="false">IF(O680="","",B680&amp;"-P"&amp;O680)</f>
        <v/>
      </c>
      <c r="Q680" s="73" t="str">
        <f aca="false">IF(AND(N680="Sí",E680="Plazo fijo",ISNUMBER(F680)),COUNTIFS(C_ID,B680,C_TIPO,"Plazo fijo",C_DEFINE,"Sí",C_INICIO,"&lt;"&amp;F680)+COUNTIFS(B$7:B680,B680,E$7:E680,"Plazo fijo",N$7:N680,"Sí",F$7:F680,F680),"")</f>
        <v/>
      </c>
      <c r="R680" s="73" t="str">
        <f aca="false">IF(AND(B680&lt;&gt;"",ISNUMBER(H680),ISNUMBER(F680)),COUNTIFS(C_ID,B680,C_SUELDO,"&lt;&gt;",C_INICIO,"&lt;"&amp;F680)+COUNTIFS(B$7:B680,B680,H$7:H680,"&lt;&gt;",F$7:F680,F680),"")</f>
        <v/>
      </c>
      <c r="S680" s="72" t="str">
        <f aca="false">IF(R680="","",B680&amp;"-S"&amp;R680)</f>
        <v/>
      </c>
      <c r="T680" s="74" t="str">
        <f aca="false">IF(AND(ISNUMBER(F680),ISNUMBER(G680)),ROUND((G680-F680+1)/30.4375,1),"")</f>
        <v/>
      </c>
      <c r="U680" s="70" t="str">
        <f aca="false">IF(B680="","",IF(AND(N680="Sí",OR(E680="",NOT(ISNUMBER(F680)))),"⚠ Falta tipo de contrato o fecha de inicio",IF(NOT(ISNUMBER(F680)),"⚠ Falta fecha de inicio",IF(AND(N680="Sí",E680&lt;&gt;"Indefinido",NOT(ISNUMBER(G680))),"⚠ Falta fecha de término",IF(AND(D680="Paso a indefinido",E680&lt;&gt;"Indefinido"),"⚠ Un paso a indefinido debe tener tipo Indefinido",IF(N(Q680)&gt;=3,"⚠ 3er contrato a plazo fijo: por ley ya es INDEFINIDO (Art. 159 N°4)",IF(AND(E680="Plazo fijo",N(T680)&gt;12),"⚠ Plazo fijo mayor a 1 año (máx. legal; 2 años solo profesionales o técnicos)",IF(AND(ISNUMBER(G680),G680&lt;F680),"⚠ Término anterior al inicio",IF(AND(D680="Contrato inicial",ISNUMBER(J680),J680-F680&gt;15),"⚠ Escriturado fuera de plazo (Art. 9: 15 días)",IF(K680&lt;&gt;"Sí","Pendiente de firma","OK"))))))))))</f>
        <v/>
      </c>
    </row>
    <row r="681" customFormat="false" ht="15" hidden="false" customHeight="false" outlineLevel="0" collapsed="false">
      <c r="B681" s="64"/>
      <c r="C681" s="72" t="str">
        <f aca="false">IF(B681="","",IFERROR(INDEX(T_NOMBRE,MATCH(B681,T_ID,0)),"⚠ ID no existe en Trabajadores"))</f>
        <v/>
      </c>
      <c r="D681" s="64"/>
      <c r="E681" s="64"/>
      <c r="F681" s="65"/>
      <c r="G681" s="65"/>
      <c r="H681" s="67"/>
      <c r="I681" s="64"/>
      <c r="J681" s="65"/>
      <c r="K681" s="64"/>
      <c r="L681" s="64"/>
      <c r="M681" s="64"/>
      <c r="N681" s="72" t="str">
        <f aca="false">IF(B681="","",IF(D681="Anexo de modificación","No","Sí"))</f>
        <v/>
      </c>
      <c r="O681" s="73" t="str">
        <f aca="false">IF(AND(N681="Sí",ISNUMBER(F681)),COUNTIFS(C_ID,B681,C_DEFINE,"Sí",C_INICIO,"&lt;"&amp;F681)+COUNTIFS(B$7:B681,B681,N$7:N681,"Sí",F$7:F681,F681),"")</f>
        <v/>
      </c>
      <c r="P681" s="72" t="str">
        <f aca="false">IF(O681="","",B681&amp;"-P"&amp;O681)</f>
        <v/>
      </c>
      <c r="Q681" s="73" t="str">
        <f aca="false">IF(AND(N681="Sí",E681="Plazo fijo",ISNUMBER(F681)),COUNTIFS(C_ID,B681,C_TIPO,"Plazo fijo",C_DEFINE,"Sí",C_INICIO,"&lt;"&amp;F681)+COUNTIFS(B$7:B681,B681,E$7:E681,"Plazo fijo",N$7:N681,"Sí",F$7:F681,F681),"")</f>
        <v/>
      </c>
      <c r="R681" s="73" t="str">
        <f aca="false">IF(AND(B681&lt;&gt;"",ISNUMBER(H681),ISNUMBER(F681)),COUNTIFS(C_ID,B681,C_SUELDO,"&lt;&gt;",C_INICIO,"&lt;"&amp;F681)+COUNTIFS(B$7:B681,B681,H$7:H681,"&lt;&gt;",F$7:F681,F681),"")</f>
        <v/>
      </c>
      <c r="S681" s="72" t="str">
        <f aca="false">IF(R681="","",B681&amp;"-S"&amp;R681)</f>
        <v/>
      </c>
      <c r="T681" s="74" t="str">
        <f aca="false">IF(AND(ISNUMBER(F681),ISNUMBER(G681)),ROUND((G681-F681+1)/30.4375,1),"")</f>
        <v/>
      </c>
      <c r="U681" s="70" t="str">
        <f aca="false">IF(B681="","",IF(AND(N681="Sí",OR(E681="",NOT(ISNUMBER(F681)))),"⚠ Falta tipo de contrato o fecha de inicio",IF(NOT(ISNUMBER(F681)),"⚠ Falta fecha de inicio",IF(AND(N681="Sí",E681&lt;&gt;"Indefinido",NOT(ISNUMBER(G681))),"⚠ Falta fecha de término",IF(AND(D681="Paso a indefinido",E681&lt;&gt;"Indefinido"),"⚠ Un paso a indefinido debe tener tipo Indefinido",IF(N(Q681)&gt;=3,"⚠ 3er contrato a plazo fijo: por ley ya es INDEFINIDO (Art. 159 N°4)",IF(AND(E681="Plazo fijo",N(T681)&gt;12),"⚠ Plazo fijo mayor a 1 año (máx. legal; 2 años solo profesionales o técnicos)",IF(AND(ISNUMBER(G681),G681&lt;F681),"⚠ Término anterior al inicio",IF(AND(D681="Contrato inicial",ISNUMBER(J681),J681-F681&gt;15),"⚠ Escriturado fuera de plazo (Art. 9: 15 días)",IF(K681&lt;&gt;"Sí","Pendiente de firma","OK"))))))))))</f>
        <v/>
      </c>
    </row>
    <row r="682" customFormat="false" ht="15" hidden="false" customHeight="false" outlineLevel="0" collapsed="false">
      <c r="B682" s="64"/>
      <c r="C682" s="72" t="str">
        <f aca="false">IF(B682="","",IFERROR(INDEX(T_NOMBRE,MATCH(B682,T_ID,0)),"⚠ ID no existe en Trabajadores"))</f>
        <v/>
      </c>
      <c r="D682" s="64"/>
      <c r="E682" s="64"/>
      <c r="F682" s="65"/>
      <c r="G682" s="65"/>
      <c r="H682" s="67"/>
      <c r="I682" s="64"/>
      <c r="J682" s="65"/>
      <c r="K682" s="64"/>
      <c r="L682" s="64"/>
      <c r="M682" s="64"/>
      <c r="N682" s="72" t="str">
        <f aca="false">IF(B682="","",IF(D682="Anexo de modificación","No","Sí"))</f>
        <v/>
      </c>
      <c r="O682" s="73" t="str">
        <f aca="false">IF(AND(N682="Sí",ISNUMBER(F682)),COUNTIFS(C_ID,B682,C_DEFINE,"Sí",C_INICIO,"&lt;"&amp;F682)+COUNTIFS(B$7:B682,B682,N$7:N682,"Sí",F$7:F682,F682),"")</f>
        <v/>
      </c>
      <c r="P682" s="72" t="str">
        <f aca="false">IF(O682="","",B682&amp;"-P"&amp;O682)</f>
        <v/>
      </c>
      <c r="Q682" s="73" t="str">
        <f aca="false">IF(AND(N682="Sí",E682="Plazo fijo",ISNUMBER(F682)),COUNTIFS(C_ID,B682,C_TIPO,"Plazo fijo",C_DEFINE,"Sí",C_INICIO,"&lt;"&amp;F682)+COUNTIFS(B$7:B682,B682,E$7:E682,"Plazo fijo",N$7:N682,"Sí",F$7:F682,F682),"")</f>
        <v/>
      </c>
      <c r="R682" s="73" t="str">
        <f aca="false">IF(AND(B682&lt;&gt;"",ISNUMBER(H682),ISNUMBER(F682)),COUNTIFS(C_ID,B682,C_SUELDO,"&lt;&gt;",C_INICIO,"&lt;"&amp;F682)+COUNTIFS(B$7:B682,B682,H$7:H682,"&lt;&gt;",F$7:F682,F682),"")</f>
        <v/>
      </c>
      <c r="S682" s="72" t="str">
        <f aca="false">IF(R682="","",B682&amp;"-S"&amp;R682)</f>
        <v/>
      </c>
      <c r="T682" s="74" t="str">
        <f aca="false">IF(AND(ISNUMBER(F682),ISNUMBER(G682)),ROUND((G682-F682+1)/30.4375,1),"")</f>
        <v/>
      </c>
      <c r="U682" s="70" t="str">
        <f aca="false">IF(B682="","",IF(AND(N682="Sí",OR(E682="",NOT(ISNUMBER(F682)))),"⚠ Falta tipo de contrato o fecha de inicio",IF(NOT(ISNUMBER(F682)),"⚠ Falta fecha de inicio",IF(AND(N682="Sí",E682&lt;&gt;"Indefinido",NOT(ISNUMBER(G682))),"⚠ Falta fecha de término",IF(AND(D682="Paso a indefinido",E682&lt;&gt;"Indefinido"),"⚠ Un paso a indefinido debe tener tipo Indefinido",IF(N(Q682)&gt;=3,"⚠ 3er contrato a plazo fijo: por ley ya es INDEFINIDO (Art. 159 N°4)",IF(AND(E682="Plazo fijo",N(T682)&gt;12),"⚠ Plazo fijo mayor a 1 año (máx. legal; 2 años solo profesionales o técnicos)",IF(AND(ISNUMBER(G682),G682&lt;F682),"⚠ Término anterior al inicio",IF(AND(D682="Contrato inicial",ISNUMBER(J682),J682-F682&gt;15),"⚠ Escriturado fuera de plazo (Art. 9: 15 días)",IF(K682&lt;&gt;"Sí","Pendiente de firma","OK"))))))))))</f>
        <v/>
      </c>
    </row>
    <row r="683" customFormat="false" ht="15" hidden="false" customHeight="false" outlineLevel="0" collapsed="false">
      <c r="B683" s="64"/>
      <c r="C683" s="72" t="str">
        <f aca="false">IF(B683="","",IFERROR(INDEX(T_NOMBRE,MATCH(B683,T_ID,0)),"⚠ ID no existe en Trabajadores"))</f>
        <v/>
      </c>
      <c r="D683" s="64"/>
      <c r="E683" s="64"/>
      <c r="F683" s="65"/>
      <c r="G683" s="65"/>
      <c r="H683" s="67"/>
      <c r="I683" s="64"/>
      <c r="J683" s="65"/>
      <c r="K683" s="64"/>
      <c r="L683" s="64"/>
      <c r="M683" s="64"/>
      <c r="N683" s="72" t="str">
        <f aca="false">IF(B683="","",IF(D683="Anexo de modificación","No","Sí"))</f>
        <v/>
      </c>
      <c r="O683" s="73" t="str">
        <f aca="false">IF(AND(N683="Sí",ISNUMBER(F683)),COUNTIFS(C_ID,B683,C_DEFINE,"Sí",C_INICIO,"&lt;"&amp;F683)+COUNTIFS(B$7:B683,B683,N$7:N683,"Sí",F$7:F683,F683),"")</f>
        <v/>
      </c>
      <c r="P683" s="72" t="str">
        <f aca="false">IF(O683="","",B683&amp;"-P"&amp;O683)</f>
        <v/>
      </c>
      <c r="Q683" s="73" t="str">
        <f aca="false">IF(AND(N683="Sí",E683="Plazo fijo",ISNUMBER(F683)),COUNTIFS(C_ID,B683,C_TIPO,"Plazo fijo",C_DEFINE,"Sí",C_INICIO,"&lt;"&amp;F683)+COUNTIFS(B$7:B683,B683,E$7:E683,"Plazo fijo",N$7:N683,"Sí",F$7:F683,F683),"")</f>
        <v/>
      </c>
      <c r="R683" s="73" t="str">
        <f aca="false">IF(AND(B683&lt;&gt;"",ISNUMBER(H683),ISNUMBER(F683)),COUNTIFS(C_ID,B683,C_SUELDO,"&lt;&gt;",C_INICIO,"&lt;"&amp;F683)+COUNTIFS(B$7:B683,B683,H$7:H683,"&lt;&gt;",F$7:F683,F683),"")</f>
        <v/>
      </c>
      <c r="S683" s="72" t="str">
        <f aca="false">IF(R683="","",B683&amp;"-S"&amp;R683)</f>
        <v/>
      </c>
      <c r="T683" s="74" t="str">
        <f aca="false">IF(AND(ISNUMBER(F683),ISNUMBER(G683)),ROUND((G683-F683+1)/30.4375,1),"")</f>
        <v/>
      </c>
      <c r="U683" s="70" t="str">
        <f aca="false">IF(B683="","",IF(AND(N683="Sí",OR(E683="",NOT(ISNUMBER(F683)))),"⚠ Falta tipo de contrato o fecha de inicio",IF(NOT(ISNUMBER(F683)),"⚠ Falta fecha de inicio",IF(AND(N683="Sí",E683&lt;&gt;"Indefinido",NOT(ISNUMBER(G683))),"⚠ Falta fecha de término",IF(AND(D683="Paso a indefinido",E683&lt;&gt;"Indefinido"),"⚠ Un paso a indefinido debe tener tipo Indefinido",IF(N(Q683)&gt;=3,"⚠ 3er contrato a plazo fijo: por ley ya es INDEFINIDO (Art. 159 N°4)",IF(AND(E683="Plazo fijo",N(T683)&gt;12),"⚠ Plazo fijo mayor a 1 año (máx. legal; 2 años solo profesionales o técnicos)",IF(AND(ISNUMBER(G683),G683&lt;F683),"⚠ Término anterior al inicio",IF(AND(D683="Contrato inicial",ISNUMBER(J683),J683-F683&gt;15),"⚠ Escriturado fuera de plazo (Art. 9: 15 días)",IF(K683&lt;&gt;"Sí","Pendiente de firma","OK"))))))))))</f>
        <v/>
      </c>
    </row>
    <row r="684" customFormat="false" ht="15" hidden="false" customHeight="false" outlineLevel="0" collapsed="false">
      <c r="B684" s="64"/>
      <c r="C684" s="72" t="str">
        <f aca="false">IF(B684="","",IFERROR(INDEX(T_NOMBRE,MATCH(B684,T_ID,0)),"⚠ ID no existe en Trabajadores"))</f>
        <v/>
      </c>
      <c r="D684" s="64"/>
      <c r="E684" s="64"/>
      <c r="F684" s="65"/>
      <c r="G684" s="65"/>
      <c r="H684" s="67"/>
      <c r="I684" s="64"/>
      <c r="J684" s="65"/>
      <c r="K684" s="64"/>
      <c r="L684" s="64"/>
      <c r="M684" s="64"/>
      <c r="N684" s="72" t="str">
        <f aca="false">IF(B684="","",IF(D684="Anexo de modificación","No","Sí"))</f>
        <v/>
      </c>
      <c r="O684" s="73" t="str">
        <f aca="false">IF(AND(N684="Sí",ISNUMBER(F684)),COUNTIFS(C_ID,B684,C_DEFINE,"Sí",C_INICIO,"&lt;"&amp;F684)+COUNTIFS(B$7:B684,B684,N$7:N684,"Sí",F$7:F684,F684),"")</f>
        <v/>
      </c>
      <c r="P684" s="72" t="str">
        <f aca="false">IF(O684="","",B684&amp;"-P"&amp;O684)</f>
        <v/>
      </c>
      <c r="Q684" s="73" t="str">
        <f aca="false">IF(AND(N684="Sí",E684="Plazo fijo",ISNUMBER(F684)),COUNTIFS(C_ID,B684,C_TIPO,"Plazo fijo",C_DEFINE,"Sí",C_INICIO,"&lt;"&amp;F684)+COUNTIFS(B$7:B684,B684,E$7:E684,"Plazo fijo",N$7:N684,"Sí",F$7:F684,F684),"")</f>
        <v/>
      </c>
      <c r="R684" s="73" t="str">
        <f aca="false">IF(AND(B684&lt;&gt;"",ISNUMBER(H684),ISNUMBER(F684)),COUNTIFS(C_ID,B684,C_SUELDO,"&lt;&gt;",C_INICIO,"&lt;"&amp;F684)+COUNTIFS(B$7:B684,B684,H$7:H684,"&lt;&gt;",F$7:F684,F684),"")</f>
        <v/>
      </c>
      <c r="S684" s="72" t="str">
        <f aca="false">IF(R684="","",B684&amp;"-S"&amp;R684)</f>
        <v/>
      </c>
      <c r="T684" s="74" t="str">
        <f aca="false">IF(AND(ISNUMBER(F684),ISNUMBER(G684)),ROUND((G684-F684+1)/30.4375,1),"")</f>
        <v/>
      </c>
      <c r="U684" s="70" t="str">
        <f aca="false">IF(B684="","",IF(AND(N684="Sí",OR(E684="",NOT(ISNUMBER(F684)))),"⚠ Falta tipo de contrato o fecha de inicio",IF(NOT(ISNUMBER(F684)),"⚠ Falta fecha de inicio",IF(AND(N684="Sí",E684&lt;&gt;"Indefinido",NOT(ISNUMBER(G684))),"⚠ Falta fecha de término",IF(AND(D684="Paso a indefinido",E684&lt;&gt;"Indefinido"),"⚠ Un paso a indefinido debe tener tipo Indefinido",IF(N(Q684)&gt;=3,"⚠ 3er contrato a plazo fijo: por ley ya es INDEFINIDO (Art. 159 N°4)",IF(AND(E684="Plazo fijo",N(T684)&gt;12),"⚠ Plazo fijo mayor a 1 año (máx. legal; 2 años solo profesionales o técnicos)",IF(AND(ISNUMBER(G684),G684&lt;F684),"⚠ Término anterior al inicio",IF(AND(D684="Contrato inicial",ISNUMBER(J684),J684-F684&gt;15),"⚠ Escriturado fuera de plazo (Art. 9: 15 días)",IF(K684&lt;&gt;"Sí","Pendiente de firma","OK"))))))))))</f>
        <v/>
      </c>
    </row>
    <row r="685" customFormat="false" ht="15" hidden="false" customHeight="false" outlineLevel="0" collapsed="false">
      <c r="B685" s="64"/>
      <c r="C685" s="72" t="str">
        <f aca="false">IF(B685="","",IFERROR(INDEX(T_NOMBRE,MATCH(B685,T_ID,0)),"⚠ ID no existe en Trabajadores"))</f>
        <v/>
      </c>
      <c r="D685" s="64"/>
      <c r="E685" s="64"/>
      <c r="F685" s="65"/>
      <c r="G685" s="65"/>
      <c r="H685" s="67"/>
      <c r="I685" s="64"/>
      <c r="J685" s="65"/>
      <c r="K685" s="64"/>
      <c r="L685" s="64"/>
      <c r="M685" s="64"/>
      <c r="N685" s="72" t="str">
        <f aca="false">IF(B685="","",IF(D685="Anexo de modificación","No","Sí"))</f>
        <v/>
      </c>
      <c r="O685" s="73" t="str">
        <f aca="false">IF(AND(N685="Sí",ISNUMBER(F685)),COUNTIFS(C_ID,B685,C_DEFINE,"Sí",C_INICIO,"&lt;"&amp;F685)+COUNTIFS(B$7:B685,B685,N$7:N685,"Sí",F$7:F685,F685),"")</f>
        <v/>
      </c>
      <c r="P685" s="72" t="str">
        <f aca="false">IF(O685="","",B685&amp;"-P"&amp;O685)</f>
        <v/>
      </c>
      <c r="Q685" s="73" t="str">
        <f aca="false">IF(AND(N685="Sí",E685="Plazo fijo",ISNUMBER(F685)),COUNTIFS(C_ID,B685,C_TIPO,"Plazo fijo",C_DEFINE,"Sí",C_INICIO,"&lt;"&amp;F685)+COUNTIFS(B$7:B685,B685,E$7:E685,"Plazo fijo",N$7:N685,"Sí",F$7:F685,F685),"")</f>
        <v/>
      </c>
      <c r="R685" s="73" t="str">
        <f aca="false">IF(AND(B685&lt;&gt;"",ISNUMBER(H685),ISNUMBER(F685)),COUNTIFS(C_ID,B685,C_SUELDO,"&lt;&gt;",C_INICIO,"&lt;"&amp;F685)+COUNTIFS(B$7:B685,B685,H$7:H685,"&lt;&gt;",F$7:F685,F685),"")</f>
        <v/>
      </c>
      <c r="S685" s="72" t="str">
        <f aca="false">IF(R685="","",B685&amp;"-S"&amp;R685)</f>
        <v/>
      </c>
      <c r="T685" s="74" t="str">
        <f aca="false">IF(AND(ISNUMBER(F685),ISNUMBER(G685)),ROUND((G685-F685+1)/30.4375,1),"")</f>
        <v/>
      </c>
      <c r="U685" s="70" t="str">
        <f aca="false">IF(B685="","",IF(AND(N685="Sí",OR(E685="",NOT(ISNUMBER(F685)))),"⚠ Falta tipo de contrato o fecha de inicio",IF(NOT(ISNUMBER(F685)),"⚠ Falta fecha de inicio",IF(AND(N685="Sí",E685&lt;&gt;"Indefinido",NOT(ISNUMBER(G685))),"⚠ Falta fecha de término",IF(AND(D685="Paso a indefinido",E685&lt;&gt;"Indefinido"),"⚠ Un paso a indefinido debe tener tipo Indefinido",IF(N(Q685)&gt;=3,"⚠ 3er contrato a plazo fijo: por ley ya es INDEFINIDO (Art. 159 N°4)",IF(AND(E685="Plazo fijo",N(T685)&gt;12),"⚠ Plazo fijo mayor a 1 año (máx. legal; 2 años solo profesionales o técnicos)",IF(AND(ISNUMBER(G685),G685&lt;F685),"⚠ Término anterior al inicio",IF(AND(D685="Contrato inicial",ISNUMBER(J685),J685-F685&gt;15),"⚠ Escriturado fuera de plazo (Art. 9: 15 días)",IF(K685&lt;&gt;"Sí","Pendiente de firma","OK"))))))))))</f>
        <v/>
      </c>
    </row>
    <row r="686" customFormat="false" ht="15" hidden="false" customHeight="false" outlineLevel="0" collapsed="false">
      <c r="B686" s="64"/>
      <c r="C686" s="72" t="str">
        <f aca="false">IF(B686="","",IFERROR(INDEX(T_NOMBRE,MATCH(B686,T_ID,0)),"⚠ ID no existe en Trabajadores"))</f>
        <v/>
      </c>
      <c r="D686" s="64"/>
      <c r="E686" s="64"/>
      <c r="F686" s="65"/>
      <c r="G686" s="65"/>
      <c r="H686" s="67"/>
      <c r="I686" s="64"/>
      <c r="J686" s="65"/>
      <c r="K686" s="64"/>
      <c r="L686" s="64"/>
      <c r="M686" s="64"/>
      <c r="N686" s="72" t="str">
        <f aca="false">IF(B686="","",IF(D686="Anexo de modificación","No","Sí"))</f>
        <v/>
      </c>
      <c r="O686" s="73" t="str">
        <f aca="false">IF(AND(N686="Sí",ISNUMBER(F686)),COUNTIFS(C_ID,B686,C_DEFINE,"Sí",C_INICIO,"&lt;"&amp;F686)+COUNTIFS(B$7:B686,B686,N$7:N686,"Sí",F$7:F686,F686),"")</f>
        <v/>
      </c>
      <c r="P686" s="72" t="str">
        <f aca="false">IF(O686="","",B686&amp;"-P"&amp;O686)</f>
        <v/>
      </c>
      <c r="Q686" s="73" t="str">
        <f aca="false">IF(AND(N686="Sí",E686="Plazo fijo",ISNUMBER(F686)),COUNTIFS(C_ID,B686,C_TIPO,"Plazo fijo",C_DEFINE,"Sí",C_INICIO,"&lt;"&amp;F686)+COUNTIFS(B$7:B686,B686,E$7:E686,"Plazo fijo",N$7:N686,"Sí",F$7:F686,F686),"")</f>
        <v/>
      </c>
      <c r="R686" s="73" t="str">
        <f aca="false">IF(AND(B686&lt;&gt;"",ISNUMBER(H686),ISNUMBER(F686)),COUNTIFS(C_ID,B686,C_SUELDO,"&lt;&gt;",C_INICIO,"&lt;"&amp;F686)+COUNTIFS(B$7:B686,B686,H$7:H686,"&lt;&gt;",F$7:F686,F686),"")</f>
        <v/>
      </c>
      <c r="S686" s="72" t="str">
        <f aca="false">IF(R686="","",B686&amp;"-S"&amp;R686)</f>
        <v/>
      </c>
      <c r="T686" s="74" t="str">
        <f aca="false">IF(AND(ISNUMBER(F686),ISNUMBER(G686)),ROUND((G686-F686+1)/30.4375,1),"")</f>
        <v/>
      </c>
      <c r="U686" s="70" t="str">
        <f aca="false">IF(B686="","",IF(AND(N686="Sí",OR(E686="",NOT(ISNUMBER(F686)))),"⚠ Falta tipo de contrato o fecha de inicio",IF(NOT(ISNUMBER(F686)),"⚠ Falta fecha de inicio",IF(AND(N686="Sí",E686&lt;&gt;"Indefinido",NOT(ISNUMBER(G686))),"⚠ Falta fecha de término",IF(AND(D686="Paso a indefinido",E686&lt;&gt;"Indefinido"),"⚠ Un paso a indefinido debe tener tipo Indefinido",IF(N(Q686)&gt;=3,"⚠ 3er contrato a plazo fijo: por ley ya es INDEFINIDO (Art. 159 N°4)",IF(AND(E686="Plazo fijo",N(T686)&gt;12),"⚠ Plazo fijo mayor a 1 año (máx. legal; 2 años solo profesionales o técnicos)",IF(AND(ISNUMBER(G686),G686&lt;F686),"⚠ Término anterior al inicio",IF(AND(D686="Contrato inicial",ISNUMBER(J686),J686-F686&gt;15),"⚠ Escriturado fuera de plazo (Art. 9: 15 días)",IF(K686&lt;&gt;"Sí","Pendiente de firma","OK"))))))))))</f>
        <v/>
      </c>
    </row>
    <row r="687" customFormat="false" ht="15" hidden="false" customHeight="false" outlineLevel="0" collapsed="false">
      <c r="B687" s="64"/>
      <c r="C687" s="72" t="str">
        <f aca="false">IF(B687="","",IFERROR(INDEX(T_NOMBRE,MATCH(B687,T_ID,0)),"⚠ ID no existe en Trabajadores"))</f>
        <v/>
      </c>
      <c r="D687" s="64"/>
      <c r="E687" s="64"/>
      <c r="F687" s="65"/>
      <c r="G687" s="65"/>
      <c r="H687" s="67"/>
      <c r="I687" s="64"/>
      <c r="J687" s="65"/>
      <c r="K687" s="64"/>
      <c r="L687" s="64"/>
      <c r="M687" s="64"/>
      <c r="N687" s="72" t="str">
        <f aca="false">IF(B687="","",IF(D687="Anexo de modificación","No","Sí"))</f>
        <v/>
      </c>
      <c r="O687" s="73" t="str">
        <f aca="false">IF(AND(N687="Sí",ISNUMBER(F687)),COUNTIFS(C_ID,B687,C_DEFINE,"Sí",C_INICIO,"&lt;"&amp;F687)+COUNTIFS(B$7:B687,B687,N$7:N687,"Sí",F$7:F687,F687),"")</f>
        <v/>
      </c>
      <c r="P687" s="72" t="str">
        <f aca="false">IF(O687="","",B687&amp;"-P"&amp;O687)</f>
        <v/>
      </c>
      <c r="Q687" s="73" t="str">
        <f aca="false">IF(AND(N687="Sí",E687="Plazo fijo",ISNUMBER(F687)),COUNTIFS(C_ID,B687,C_TIPO,"Plazo fijo",C_DEFINE,"Sí",C_INICIO,"&lt;"&amp;F687)+COUNTIFS(B$7:B687,B687,E$7:E687,"Plazo fijo",N$7:N687,"Sí",F$7:F687,F687),"")</f>
        <v/>
      </c>
      <c r="R687" s="73" t="str">
        <f aca="false">IF(AND(B687&lt;&gt;"",ISNUMBER(H687),ISNUMBER(F687)),COUNTIFS(C_ID,B687,C_SUELDO,"&lt;&gt;",C_INICIO,"&lt;"&amp;F687)+COUNTIFS(B$7:B687,B687,H$7:H687,"&lt;&gt;",F$7:F687,F687),"")</f>
        <v/>
      </c>
      <c r="S687" s="72" t="str">
        <f aca="false">IF(R687="","",B687&amp;"-S"&amp;R687)</f>
        <v/>
      </c>
      <c r="T687" s="74" t="str">
        <f aca="false">IF(AND(ISNUMBER(F687),ISNUMBER(G687)),ROUND((G687-F687+1)/30.4375,1),"")</f>
        <v/>
      </c>
      <c r="U687" s="70" t="str">
        <f aca="false">IF(B687="","",IF(AND(N687="Sí",OR(E687="",NOT(ISNUMBER(F687)))),"⚠ Falta tipo de contrato o fecha de inicio",IF(NOT(ISNUMBER(F687)),"⚠ Falta fecha de inicio",IF(AND(N687="Sí",E687&lt;&gt;"Indefinido",NOT(ISNUMBER(G687))),"⚠ Falta fecha de término",IF(AND(D687="Paso a indefinido",E687&lt;&gt;"Indefinido"),"⚠ Un paso a indefinido debe tener tipo Indefinido",IF(N(Q687)&gt;=3,"⚠ 3er contrato a plazo fijo: por ley ya es INDEFINIDO (Art. 159 N°4)",IF(AND(E687="Plazo fijo",N(T687)&gt;12),"⚠ Plazo fijo mayor a 1 año (máx. legal; 2 años solo profesionales o técnicos)",IF(AND(ISNUMBER(G687),G687&lt;F687),"⚠ Término anterior al inicio",IF(AND(D687="Contrato inicial",ISNUMBER(J687),J687-F687&gt;15),"⚠ Escriturado fuera de plazo (Art. 9: 15 días)",IF(K687&lt;&gt;"Sí","Pendiente de firma","OK"))))))))))</f>
        <v/>
      </c>
    </row>
    <row r="688" customFormat="false" ht="15" hidden="false" customHeight="false" outlineLevel="0" collapsed="false">
      <c r="B688" s="64"/>
      <c r="C688" s="72" t="str">
        <f aca="false">IF(B688="","",IFERROR(INDEX(T_NOMBRE,MATCH(B688,T_ID,0)),"⚠ ID no existe en Trabajadores"))</f>
        <v/>
      </c>
      <c r="D688" s="64"/>
      <c r="E688" s="64"/>
      <c r="F688" s="65"/>
      <c r="G688" s="65"/>
      <c r="H688" s="67"/>
      <c r="I688" s="64"/>
      <c r="J688" s="65"/>
      <c r="K688" s="64"/>
      <c r="L688" s="64"/>
      <c r="M688" s="64"/>
      <c r="N688" s="72" t="str">
        <f aca="false">IF(B688="","",IF(D688="Anexo de modificación","No","Sí"))</f>
        <v/>
      </c>
      <c r="O688" s="73" t="str">
        <f aca="false">IF(AND(N688="Sí",ISNUMBER(F688)),COUNTIFS(C_ID,B688,C_DEFINE,"Sí",C_INICIO,"&lt;"&amp;F688)+COUNTIFS(B$7:B688,B688,N$7:N688,"Sí",F$7:F688,F688),"")</f>
        <v/>
      </c>
      <c r="P688" s="72" t="str">
        <f aca="false">IF(O688="","",B688&amp;"-P"&amp;O688)</f>
        <v/>
      </c>
      <c r="Q688" s="73" t="str">
        <f aca="false">IF(AND(N688="Sí",E688="Plazo fijo",ISNUMBER(F688)),COUNTIFS(C_ID,B688,C_TIPO,"Plazo fijo",C_DEFINE,"Sí",C_INICIO,"&lt;"&amp;F688)+COUNTIFS(B$7:B688,B688,E$7:E688,"Plazo fijo",N$7:N688,"Sí",F$7:F688,F688),"")</f>
        <v/>
      </c>
      <c r="R688" s="73" t="str">
        <f aca="false">IF(AND(B688&lt;&gt;"",ISNUMBER(H688),ISNUMBER(F688)),COUNTIFS(C_ID,B688,C_SUELDO,"&lt;&gt;",C_INICIO,"&lt;"&amp;F688)+COUNTIFS(B$7:B688,B688,H$7:H688,"&lt;&gt;",F$7:F688,F688),"")</f>
        <v/>
      </c>
      <c r="S688" s="72" t="str">
        <f aca="false">IF(R688="","",B688&amp;"-S"&amp;R688)</f>
        <v/>
      </c>
      <c r="T688" s="74" t="str">
        <f aca="false">IF(AND(ISNUMBER(F688),ISNUMBER(G688)),ROUND((G688-F688+1)/30.4375,1),"")</f>
        <v/>
      </c>
      <c r="U688" s="70" t="str">
        <f aca="false">IF(B688="","",IF(AND(N688="Sí",OR(E688="",NOT(ISNUMBER(F688)))),"⚠ Falta tipo de contrato o fecha de inicio",IF(NOT(ISNUMBER(F688)),"⚠ Falta fecha de inicio",IF(AND(N688="Sí",E688&lt;&gt;"Indefinido",NOT(ISNUMBER(G688))),"⚠ Falta fecha de término",IF(AND(D688="Paso a indefinido",E688&lt;&gt;"Indefinido"),"⚠ Un paso a indefinido debe tener tipo Indefinido",IF(N(Q688)&gt;=3,"⚠ 3er contrato a plazo fijo: por ley ya es INDEFINIDO (Art. 159 N°4)",IF(AND(E688="Plazo fijo",N(T688)&gt;12),"⚠ Plazo fijo mayor a 1 año (máx. legal; 2 años solo profesionales o técnicos)",IF(AND(ISNUMBER(G688),G688&lt;F688),"⚠ Término anterior al inicio",IF(AND(D688="Contrato inicial",ISNUMBER(J688),J688-F688&gt;15),"⚠ Escriturado fuera de plazo (Art. 9: 15 días)",IF(K688&lt;&gt;"Sí","Pendiente de firma","OK"))))))))))</f>
        <v/>
      </c>
    </row>
    <row r="689" customFormat="false" ht="15" hidden="false" customHeight="false" outlineLevel="0" collapsed="false">
      <c r="B689" s="64"/>
      <c r="C689" s="72" t="str">
        <f aca="false">IF(B689="","",IFERROR(INDEX(T_NOMBRE,MATCH(B689,T_ID,0)),"⚠ ID no existe en Trabajadores"))</f>
        <v/>
      </c>
      <c r="D689" s="64"/>
      <c r="E689" s="64"/>
      <c r="F689" s="65"/>
      <c r="G689" s="65"/>
      <c r="H689" s="67"/>
      <c r="I689" s="64"/>
      <c r="J689" s="65"/>
      <c r="K689" s="64"/>
      <c r="L689" s="64"/>
      <c r="M689" s="64"/>
      <c r="N689" s="72" t="str">
        <f aca="false">IF(B689="","",IF(D689="Anexo de modificación","No","Sí"))</f>
        <v/>
      </c>
      <c r="O689" s="73" t="str">
        <f aca="false">IF(AND(N689="Sí",ISNUMBER(F689)),COUNTIFS(C_ID,B689,C_DEFINE,"Sí",C_INICIO,"&lt;"&amp;F689)+COUNTIFS(B$7:B689,B689,N$7:N689,"Sí",F$7:F689,F689),"")</f>
        <v/>
      </c>
      <c r="P689" s="72" t="str">
        <f aca="false">IF(O689="","",B689&amp;"-P"&amp;O689)</f>
        <v/>
      </c>
      <c r="Q689" s="73" t="str">
        <f aca="false">IF(AND(N689="Sí",E689="Plazo fijo",ISNUMBER(F689)),COUNTIFS(C_ID,B689,C_TIPO,"Plazo fijo",C_DEFINE,"Sí",C_INICIO,"&lt;"&amp;F689)+COUNTIFS(B$7:B689,B689,E$7:E689,"Plazo fijo",N$7:N689,"Sí",F$7:F689,F689),"")</f>
        <v/>
      </c>
      <c r="R689" s="73" t="str">
        <f aca="false">IF(AND(B689&lt;&gt;"",ISNUMBER(H689),ISNUMBER(F689)),COUNTIFS(C_ID,B689,C_SUELDO,"&lt;&gt;",C_INICIO,"&lt;"&amp;F689)+COUNTIFS(B$7:B689,B689,H$7:H689,"&lt;&gt;",F$7:F689,F689),"")</f>
        <v/>
      </c>
      <c r="S689" s="72" t="str">
        <f aca="false">IF(R689="","",B689&amp;"-S"&amp;R689)</f>
        <v/>
      </c>
      <c r="T689" s="74" t="str">
        <f aca="false">IF(AND(ISNUMBER(F689),ISNUMBER(G689)),ROUND((G689-F689+1)/30.4375,1),"")</f>
        <v/>
      </c>
      <c r="U689" s="70" t="str">
        <f aca="false">IF(B689="","",IF(AND(N689="Sí",OR(E689="",NOT(ISNUMBER(F689)))),"⚠ Falta tipo de contrato o fecha de inicio",IF(NOT(ISNUMBER(F689)),"⚠ Falta fecha de inicio",IF(AND(N689="Sí",E689&lt;&gt;"Indefinido",NOT(ISNUMBER(G689))),"⚠ Falta fecha de término",IF(AND(D689="Paso a indefinido",E689&lt;&gt;"Indefinido"),"⚠ Un paso a indefinido debe tener tipo Indefinido",IF(N(Q689)&gt;=3,"⚠ 3er contrato a plazo fijo: por ley ya es INDEFINIDO (Art. 159 N°4)",IF(AND(E689="Plazo fijo",N(T689)&gt;12),"⚠ Plazo fijo mayor a 1 año (máx. legal; 2 años solo profesionales o técnicos)",IF(AND(ISNUMBER(G689),G689&lt;F689),"⚠ Término anterior al inicio",IF(AND(D689="Contrato inicial",ISNUMBER(J689),J689-F689&gt;15),"⚠ Escriturado fuera de plazo (Art. 9: 15 días)",IF(K689&lt;&gt;"Sí","Pendiente de firma","OK"))))))))))</f>
        <v/>
      </c>
    </row>
    <row r="690" customFormat="false" ht="15" hidden="false" customHeight="false" outlineLevel="0" collapsed="false">
      <c r="B690" s="64"/>
      <c r="C690" s="72" t="str">
        <f aca="false">IF(B690="","",IFERROR(INDEX(T_NOMBRE,MATCH(B690,T_ID,0)),"⚠ ID no existe en Trabajadores"))</f>
        <v/>
      </c>
      <c r="D690" s="64"/>
      <c r="E690" s="64"/>
      <c r="F690" s="65"/>
      <c r="G690" s="65"/>
      <c r="H690" s="67"/>
      <c r="I690" s="64"/>
      <c r="J690" s="65"/>
      <c r="K690" s="64"/>
      <c r="L690" s="64"/>
      <c r="M690" s="64"/>
      <c r="N690" s="72" t="str">
        <f aca="false">IF(B690="","",IF(D690="Anexo de modificación","No","Sí"))</f>
        <v/>
      </c>
      <c r="O690" s="73" t="str">
        <f aca="false">IF(AND(N690="Sí",ISNUMBER(F690)),COUNTIFS(C_ID,B690,C_DEFINE,"Sí",C_INICIO,"&lt;"&amp;F690)+COUNTIFS(B$7:B690,B690,N$7:N690,"Sí",F$7:F690,F690),"")</f>
        <v/>
      </c>
      <c r="P690" s="72" t="str">
        <f aca="false">IF(O690="","",B690&amp;"-P"&amp;O690)</f>
        <v/>
      </c>
      <c r="Q690" s="73" t="str">
        <f aca="false">IF(AND(N690="Sí",E690="Plazo fijo",ISNUMBER(F690)),COUNTIFS(C_ID,B690,C_TIPO,"Plazo fijo",C_DEFINE,"Sí",C_INICIO,"&lt;"&amp;F690)+COUNTIFS(B$7:B690,B690,E$7:E690,"Plazo fijo",N$7:N690,"Sí",F$7:F690,F690),"")</f>
        <v/>
      </c>
      <c r="R690" s="73" t="str">
        <f aca="false">IF(AND(B690&lt;&gt;"",ISNUMBER(H690),ISNUMBER(F690)),COUNTIFS(C_ID,B690,C_SUELDO,"&lt;&gt;",C_INICIO,"&lt;"&amp;F690)+COUNTIFS(B$7:B690,B690,H$7:H690,"&lt;&gt;",F$7:F690,F690),"")</f>
        <v/>
      </c>
      <c r="S690" s="72" t="str">
        <f aca="false">IF(R690="","",B690&amp;"-S"&amp;R690)</f>
        <v/>
      </c>
      <c r="T690" s="74" t="str">
        <f aca="false">IF(AND(ISNUMBER(F690),ISNUMBER(G690)),ROUND((G690-F690+1)/30.4375,1),"")</f>
        <v/>
      </c>
      <c r="U690" s="70" t="str">
        <f aca="false">IF(B690="","",IF(AND(N690="Sí",OR(E690="",NOT(ISNUMBER(F690)))),"⚠ Falta tipo de contrato o fecha de inicio",IF(NOT(ISNUMBER(F690)),"⚠ Falta fecha de inicio",IF(AND(N690="Sí",E690&lt;&gt;"Indefinido",NOT(ISNUMBER(G690))),"⚠ Falta fecha de término",IF(AND(D690="Paso a indefinido",E690&lt;&gt;"Indefinido"),"⚠ Un paso a indefinido debe tener tipo Indefinido",IF(N(Q690)&gt;=3,"⚠ 3er contrato a plazo fijo: por ley ya es INDEFINIDO (Art. 159 N°4)",IF(AND(E690="Plazo fijo",N(T690)&gt;12),"⚠ Plazo fijo mayor a 1 año (máx. legal; 2 años solo profesionales o técnicos)",IF(AND(ISNUMBER(G690),G690&lt;F690),"⚠ Término anterior al inicio",IF(AND(D690="Contrato inicial",ISNUMBER(J690),J690-F690&gt;15),"⚠ Escriturado fuera de plazo (Art. 9: 15 días)",IF(K690&lt;&gt;"Sí","Pendiente de firma","OK"))))))))))</f>
        <v/>
      </c>
    </row>
    <row r="691" customFormat="false" ht="15" hidden="false" customHeight="false" outlineLevel="0" collapsed="false">
      <c r="B691" s="64"/>
      <c r="C691" s="72" t="str">
        <f aca="false">IF(B691="","",IFERROR(INDEX(T_NOMBRE,MATCH(B691,T_ID,0)),"⚠ ID no existe en Trabajadores"))</f>
        <v/>
      </c>
      <c r="D691" s="64"/>
      <c r="E691" s="64"/>
      <c r="F691" s="65"/>
      <c r="G691" s="65"/>
      <c r="H691" s="67"/>
      <c r="I691" s="64"/>
      <c r="J691" s="65"/>
      <c r="K691" s="64"/>
      <c r="L691" s="64"/>
      <c r="M691" s="64"/>
      <c r="N691" s="72" t="str">
        <f aca="false">IF(B691="","",IF(D691="Anexo de modificación","No","Sí"))</f>
        <v/>
      </c>
      <c r="O691" s="73" t="str">
        <f aca="false">IF(AND(N691="Sí",ISNUMBER(F691)),COUNTIFS(C_ID,B691,C_DEFINE,"Sí",C_INICIO,"&lt;"&amp;F691)+COUNTIFS(B$7:B691,B691,N$7:N691,"Sí",F$7:F691,F691),"")</f>
        <v/>
      </c>
      <c r="P691" s="72" t="str">
        <f aca="false">IF(O691="","",B691&amp;"-P"&amp;O691)</f>
        <v/>
      </c>
      <c r="Q691" s="73" t="str">
        <f aca="false">IF(AND(N691="Sí",E691="Plazo fijo",ISNUMBER(F691)),COUNTIFS(C_ID,B691,C_TIPO,"Plazo fijo",C_DEFINE,"Sí",C_INICIO,"&lt;"&amp;F691)+COUNTIFS(B$7:B691,B691,E$7:E691,"Plazo fijo",N$7:N691,"Sí",F$7:F691,F691),"")</f>
        <v/>
      </c>
      <c r="R691" s="73" t="str">
        <f aca="false">IF(AND(B691&lt;&gt;"",ISNUMBER(H691),ISNUMBER(F691)),COUNTIFS(C_ID,B691,C_SUELDO,"&lt;&gt;",C_INICIO,"&lt;"&amp;F691)+COUNTIFS(B$7:B691,B691,H$7:H691,"&lt;&gt;",F$7:F691,F691),"")</f>
        <v/>
      </c>
      <c r="S691" s="72" t="str">
        <f aca="false">IF(R691="","",B691&amp;"-S"&amp;R691)</f>
        <v/>
      </c>
      <c r="T691" s="74" t="str">
        <f aca="false">IF(AND(ISNUMBER(F691),ISNUMBER(G691)),ROUND((G691-F691+1)/30.4375,1),"")</f>
        <v/>
      </c>
      <c r="U691" s="70" t="str">
        <f aca="false">IF(B691="","",IF(AND(N691="Sí",OR(E691="",NOT(ISNUMBER(F691)))),"⚠ Falta tipo de contrato o fecha de inicio",IF(NOT(ISNUMBER(F691)),"⚠ Falta fecha de inicio",IF(AND(N691="Sí",E691&lt;&gt;"Indefinido",NOT(ISNUMBER(G691))),"⚠ Falta fecha de término",IF(AND(D691="Paso a indefinido",E691&lt;&gt;"Indefinido"),"⚠ Un paso a indefinido debe tener tipo Indefinido",IF(N(Q691)&gt;=3,"⚠ 3er contrato a plazo fijo: por ley ya es INDEFINIDO (Art. 159 N°4)",IF(AND(E691="Plazo fijo",N(T691)&gt;12),"⚠ Plazo fijo mayor a 1 año (máx. legal; 2 años solo profesionales o técnicos)",IF(AND(ISNUMBER(G691),G691&lt;F691),"⚠ Término anterior al inicio",IF(AND(D691="Contrato inicial",ISNUMBER(J691),J691-F691&gt;15),"⚠ Escriturado fuera de plazo (Art. 9: 15 días)",IF(K691&lt;&gt;"Sí","Pendiente de firma","OK"))))))))))</f>
        <v/>
      </c>
    </row>
    <row r="692" customFormat="false" ht="15" hidden="false" customHeight="false" outlineLevel="0" collapsed="false">
      <c r="B692" s="64"/>
      <c r="C692" s="72" t="str">
        <f aca="false">IF(B692="","",IFERROR(INDEX(T_NOMBRE,MATCH(B692,T_ID,0)),"⚠ ID no existe en Trabajadores"))</f>
        <v/>
      </c>
      <c r="D692" s="64"/>
      <c r="E692" s="64"/>
      <c r="F692" s="65"/>
      <c r="G692" s="65"/>
      <c r="H692" s="67"/>
      <c r="I692" s="64"/>
      <c r="J692" s="65"/>
      <c r="K692" s="64"/>
      <c r="L692" s="64"/>
      <c r="M692" s="64"/>
      <c r="N692" s="72" t="str">
        <f aca="false">IF(B692="","",IF(D692="Anexo de modificación","No","Sí"))</f>
        <v/>
      </c>
      <c r="O692" s="73" t="str">
        <f aca="false">IF(AND(N692="Sí",ISNUMBER(F692)),COUNTIFS(C_ID,B692,C_DEFINE,"Sí",C_INICIO,"&lt;"&amp;F692)+COUNTIFS(B$7:B692,B692,N$7:N692,"Sí",F$7:F692,F692),"")</f>
        <v/>
      </c>
      <c r="P692" s="72" t="str">
        <f aca="false">IF(O692="","",B692&amp;"-P"&amp;O692)</f>
        <v/>
      </c>
      <c r="Q692" s="73" t="str">
        <f aca="false">IF(AND(N692="Sí",E692="Plazo fijo",ISNUMBER(F692)),COUNTIFS(C_ID,B692,C_TIPO,"Plazo fijo",C_DEFINE,"Sí",C_INICIO,"&lt;"&amp;F692)+COUNTIFS(B$7:B692,B692,E$7:E692,"Plazo fijo",N$7:N692,"Sí",F$7:F692,F692),"")</f>
        <v/>
      </c>
      <c r="R692" s="73" t="str">
        <f aca="false">IF(AND(B692&lt;&gt;"",ISNUMBER(H692),ISNUMBER(F692)),COUNTIFS(C_ID,B692,C_SUELDO,"&lt;&gt;",C_INICIO,"&lt;"&amp;F692)+COUNTIFS(B$7:B692,B692,H$7:H692,"&lt;&gt;",F$7:F692,F692),"")</f>
        <v/>
      </c>
      <c r="S692" s="72" t="str">
        <f aca="false">IF(R692="","",B692&amp;"-S"&amp;R692)</f>
        <v/>
      </c>
      <c r="T692" s="74" t="str">
        <f aca="false">IF(AND(ISNUMBER(F692),ISNUMBER(G692)),ROUND((G692-F692+1)/30.4375,1),"")</f>
        <v/>
      </c>
      <c r="U692" s="70" t="str">
        <f aca="false">IF(B692="","",IF(AND(N692="Sí",OR(E692="",NOT(ISNUMBER(F692)))),"⚠ Falta tipo de contrato o fecha de inicio",IF(NOT(ISNUMBER(F692)),"⚠ Falta fecha de inicio",IF(AND(N692="Sí",E692&lt;&gt;"Indefinido",NOT(ISNUMBER(G692))),"⚠ Falta fecha de término",IF(AND(D692="Paso a indefinido",E692&lt;&gt;"Indefinido"),"⚠ Un paso a indefinido debe tener tipo Indefinido",IF(N(Q692)&gt;=3,"⚠ 3er contrato a plazo fijo: por ley ya es INDEFINIDO (Art. 159 N°4)",IF(AND(E692="Plazo fijo",N(T692)&gt;12),"⚠ Plazo fijo mayor a 1 año (máx. legal; 2 años solo profesionales o técnicos)",IF(AND(ISNUMBER(G692),G692&lt;F692),"⚠ Término anterior al inicio",IF(AND(D692="Contrato inicial",ISNUMBER(J692),J692-F692&gt;15),"⚠ Escriturado fuera de plazo (Art. 9: 15 días)",IF(K692&lt;&gt;"Sí","Pendiente de firma","OK"))))))))))</f>
        <v/>
      </c>
    </row>
    <row r="693" customFormat="false" ht="15" hidden="false" customHeight="false" outlineLevel="0" collapsed="false">
      <c r="B693" s="64"/>
      <c r="C693" s="72" t="str">
        <f aca="false">IF(B693="","",IFERROR(INDEX(T_NOMBRE,MATCH(B693,T_ID,0)),"⚠ ID no existe en Trabajadores"))</f>
        <v/>
      </c>
      <c r="D693" s="64"/>
      <c r="E693" s="64"/>
      <c r="F693" s="65"/>
      <c r="G693" s="65"/>
      <c r="H693" s="67"/>
      <c r="I693" s="64"/>
      <c r="J693" s="65"/>
      <c r="K693" s="64"/>
      <c r="L693" s="64"/>
      <c r="M693" s="64"/>
      <c r="N693" s="72" t="str">
        <f aca="false">IF(B693="","",IF(D693="Anexo de modificación","No","Sí"))</f>
        <v/>
      </c>
      <c r="O693" s="73" t="str">
        <f aca="false">IF(AND(N693="Sí",ISNUMBER(F693)),COUNTIFS(C_ID,B693,C_DEFINE,"Sí",C_INICIO,"&lt;"&amp;F693)+COUNTIFS(B$7:B693,B693,N$7:N693,"Sí",F$7:F693,F693),"")</f>
        <v/>
      </c>
      <c r="P693" s="72" t="str">
        <f aca="false">IF(O693="","",B693&amp;"-P"&amp;O693)</f>
        <v/>
      </c>
      <c r="Q693" s="73" t="str">
        <f aca="false">IF(AND(N693="Sí",E693="Plazo fijo",ISNUMBER(F693)),COUNTIFS(C_ID,B693,C_TIPO,"Plazo fijo",C_DEFINE,"Sí",C_INICIO,"&lt;"&amp;F693)+COUNTIFS(B$7:B693,B693,E$7:E693,"Plazo fijo",N$7:N693,"Sí",F$7:F693,F693),"")</f>
        <v/>
      </c>
      <c r="R693" s="73" t="str">
        <f aca="false">IF(AND(B693&lt;&gt;"",ISNUMBER(H693),ISNUMBER(F693)),COUNTIFS(C_ID,B693,C_SUELDO,"&lt;&gt;",C_INICIO,"&lt;"&amp;F693)+COUNTIFS(B$7:B693,B693,H$7:H693,"&lt;&gt;",F$7:F693,F693),"")</f>
        <v/>
      </c>
      <c r="S693" s="72" t="str">
        <f aca="false">IF(R693="","",B693&amp;"-S"&amp;R693)</f>
        <v/>
      </c>
      <c r="T693" s="74" t="str">
        <f aca="false">IF(AND(ISNUMBER(F693),ISNUMBER(G693)),ROUND((G693-F693+1)/30.4375,1),"")</f>
        <v/>
      </c>
      <c r="U693" s="70" t="str">
        <f aca="false">IF(B693="","",IF(AND(N693="Sí",OR(E693="",NOT(ISNUMBER(F693)))),"⚠ Falta tipo de contrato o fecha de inicio",IF(NOT(ISNUMBER(F693)),"⚠ Falta fecha de inicio",IF(AND(N693="Sí",E693&lt;&gt;"Indefinido",NOT(ISNUMBER(G693))),"⚠ Falta fecha de término",IF(AND(D693="Paso a indefinido",E693&lt;&gt;"Indefinido"),"⚠ Un paso a indefinido debe tener tipo Indefinido",IF(N(Q693)&gt;=3,"⚠ 3er contrato a plazo fijo: por ley ya es INDEFINIDO (Art. 159 N°4)",IF(AND(E693="Plazo fijo",N(T693)&gt;12),"⚠ Plazo fijo mayor a 1 año (máx. legal; 2 años solo profesionales o técnicos)",IF(AND(ISNUMBER(G693),G693&lt;F693),"⚠ Término anterior al inicio",IF(AND(D693="Contrato inicial",ISNUMBER(J693),J693-F693&gt;15),"⚠ Escriturado fuera de plazo (Art. 9: 15 días)",IF(K693&lt;&gt;"Sí","Pendiente de firma","OK"))))))))))</f>
        <v/>
      </c>
    </row>
    <row r="694" customFormat="false" ht="15" hidden="false" customHeight="false" outlineLevel="0" collapsed="false">
      <c r="B694" s="64"/>
      <c r="C694" s="72" t="str">
        <f aca="false">IF(B694="","",IFERROR(INDEX(T_NOMBRE,MATCH(B694,T_ID,0)),"⚠ ID no existe en Trabajadores"))</f>
        <v/>
      </c>
      <c r="D694" s="64"/>
      <c r="E694" s="64"/>
      <c r="F694" s="65"/>
      <c r="G694" s="65"/>
      <c r="H694" s="67"/>
      <c r="I694" s="64"/>
      <c r="J694" s="65"/>
      <c r="K694" s="64"/>
      <c r="L694" s="64"/>
      <c r="M694" s="64"/>
      <c r="N694" s="72" t="str">
        <f aca="false">IF(B694="","",IF(D694="Anexo de modificación","No","Sí"))</f>
        <v/>
      </c>
      <c r="O694" s="73" t="str">
        <f aca="false">IF(AND(N694="Sí",ISNUMBER(F694)),COUNTIFS(C_ID,B694,C_DEFINE,"Sí",C_INICIO,"&lt;"&amp;F694)+COUNTIFS(B$7:B694,B694,N$7:N694,"Sí",F$7:F694,F694),"")</f>
        <v/>
      </c>
      <c r="P694" s="72" t="str">
        <f aca="false">IF(O694="","",B694&amp;"-P"&amp;O694)</f>
        <v/>
      </c>
      <c r="Q694" s="73" t="str">
        <f aca="false">IF(AND(N694="Sí",E694="Plazo fijo",ISNUMBER(F694)),COUNTIFS(C_ID,B694,C_TIPO,"Plazo fijo",C_DEFINE,"Sí",C_INICIO,"&lt;"&amp;F694)+COUNTIFS(B$7:B694,B694,E$7:E694,"Plazo fijo",N$7:N694,"Sí",F$7:F694,F694),"")</f>
        <v/>
      </c>
      <c r="R694" s="73" t="str">
        <f aca="false">IF(AND(B694&lt;&gt;"",ISNUMBER(H694),ISNUMBER(F694)),COUNTIFS(C_ID,B694,C_SUELDO,"&lt;&gt;",C_INICIO,"&lt;"&amp;F694)+COUNTIFS(B$7:B694,B694,H$7:H694,"&lt;&gt;",F$7:F694,F694),"")</f>
        <v/>
      </c>
      <c r="S694" s="72" t="str">
        <f aca="false">IF(R694="","",B694&amp;"-S"&amp;R694)</f>
        <v/>
      </c>
      <c r="T694" s="74" t="str">
        <f aca="false">IF(AND(ISNUMBER(F694),ISNUMBER(G694)),ROUND((G694-F694+1)/30.4375,1),"")</f>
        <v/>
      </c>
      <c r="U694" s="70" t="str">
        <f aca="false">IF(B694="","",IF(AND(N694="Sí",OR(E694="",NOT(ISNUMBER(F694)))),"⚠ Falta tipo de contrato o fecha de inicio",IF(NOT(ISNUMBER(F694)),"⚠ Falta fecha de inicio",IF(AND(N694="Sí",E694&lt;&gt;"Indefinido",NOT(ISNUMBER(G694))),"⚠ Falta fecha de término",IF(AND(D694="Paso a indefinido",E694&lt;&gt;"Indefinido"),"⚠ Un paso a indefinido debe tener tipo Indefinido",IF(N(Q694)&gt;=3,"⚠ 3er contrato a plazo fijo: por ley ya es INDEFINIDO (Art. 159 N°4)",IF(AND(E694="Plazo fijo",N(T694)&gt;12),"⚠ Plazo fijo mayor a 1 año (máx. legal; 2 años solo profesionales o técnicos)",IF(AND(ISNUMBER(G694),G694&lt;F694),"⚠ Término anterior al inicio",IF(AND(D694="Contrato inicial",ISNUMBER(J694),J694-F694&gt;15),"⚠ Escriturado fuera de plazo (Art. 9: 15 días)",IF(K694&lt;&gt;"Sí","Pendiente de firma","OK"))))))))))</f>
        <v/>
      </c>
    </row>
    <row r="695" customFormat="false" ht="15" hidden="false" customHeight="false" outlineLevel="0" collapsed="false">
      <c r="B695" s="64"/>
      <c r="C695" s="72" t="str">
        <f aca="false">IF(B695="","",IFERROR(INDEX(T_NOMBRE,MATCH(B695,T_ID,0)),"⚠ ID no existe en Trabajadores"))</f>
        <v/>
      </c>
      <c r="D695" s="64"/>
      <c r="E695" s="64"/>
      <c r="F695" s="65"/>
      <c r="G695" s="65"/>
      <c r="H695" s="67"/>
      <c r="I695" s="64"/>
      <c r="J695" s="65"/>
      <c r="K695" s="64"/>
      <c r="L695" s="64"/>
      <c r="M695" s="64"/>
      <c r="N695" s="72" t="str">
        <f aca="false">IF(B695="","",IF(D695="Anexo de modificación","No","Sí"))</f>
        <v/>
      </c>
      <c r="O695" s="73" t="str">
        <f aca="false">IF(AND(N695="Sí",ISNUMBER(F695)),COUNTIFS(C_ID,B695,C_DEFINE,"Sí",C_INICIO,"&lt;"&amp;F695)+COUNTIFS(B$7:B695,B695,N$7:N695,"Sí",F$7:F695,F695),"")</f>
        <v/>
      </c>
      <c r="P695" s="72" t="str">
        <f aca="false">IF(O695="","",B695&amp;"-P"&amp;O695)</f>
        <v/>
      </c>
      <c r="Q695" s="73" t="str">
        <f aca="false">IF(AND(N695="Sí",E695="Plazo fijo",ISNUMBER(F695)),COUNTIFS(C_ID,B695,C_TIPO,"Plazo fijo",C_DEFINE,"Sí",C_INICIO,"&lt;"&amp;F695)+COUNTIFS(B$7:B695,B695,E$7:E695,"Plazo fijo",N$7:N695,"Sí",F$7:F695,F695),"")</f>
        <v/>
      </c>
      <c r="R695" s="73" t="str">
        <f aca="false">IF(AND(B695&lt;&gt;"",ISNUMBER(H695),ISNUMBER(F695)),COUNTIFS(C_ID,B695,C_SUELDO,"&lt;&gt;",C_INICIO,"&lt;"&amp;F695)+COUNTIFS(B$7:B695,B695,H$7:H695,"&lt;&gt;",F$7:F695,F695),"")</f>
        <v/>
      </c>
      <c r="S695" s="72" t="str">
        <f aca="false">IF(R695="","",B695&amp;"-S"&amp;R695)</f>
        <v/>
      </c>
      <c r="T695" s="74" t="str">
        <f aca="false">IF(AND(ISNUMBER(F695),ISNUMBER(G695)),ROUND((G695-F695+1)/30.4375,1),"")</f>
        <v/>
      </c>
      <c r="U695" s="70" t="str">
        <f aca="false">IF(B695="","",IF(AND(N695="Sí",OR(E695="",NOT(ISNUMBER(F695)))),"⚠ Falta tipo de contrato o fecha de inicio",IF(NOT(ISNUMBER(F695)),"⚠ Falta fecha de inicio",IF(AND(N695="Sí",E695&lt;&gt;"Indefinido",NOT(ISNUMBER(G695))),"⚠ Falta fecha de término",IF(AND(D695="Paso a indefinido",E695&lt;&gt;"Indefinido"),"⚠ Un paso a indefinido debe tener tipo Indefinido",IF(N(Q695)&gt;=3,"⚠ 3er contrato a plazo fijo: por ley ya es INDEFINIDO (Art. 159 N°4)",IF(AND(E695="Plazo fijo",N(T695)&gt;12),"⚠ Plazo fijo mayor a 1 año (máx. legal; 2 años solo profesionales o técnicos)",IF(AND(ISNUMBER(G695),G695&lt;F695),"⚠ Término anterior al inicio",IF(AND(D695="Contrato inicial",ISNUMBER(J695),J695-F695&gt;15),"⚠ Escriturado fuera de plazo (Art. 9: 15 días)",IF(K695&lt;&gt;"Sí","Pendiente de firma","OK"))))))))))</f>
        <v/>
      </c>
    </row>
    <row r="696" customFormat="false" ht="15" hidden="false" customHeight="false" outlineLevel="0" collapsed="false">
      <c r="B696" s="64"/>
      <c r="C696" s="72" t="str">
        <f aca="false">IF(B696="","",IFERROR(INDEX(T_NOMBRE,MATCH(B696,T_ID,0)),"⚠ ID no existe en Trabajadores"))</f>
        <v/>
      </c>
      <c r="D696" s="64"/>
      <c r="E696" s="64"/>
      <c r="F696" s="65"/>
      <c r="G696" s="65"/>
      <c r="H696" s="67"/>
      <c r="I696" s="64"/>
      <c r="J696" s="65"/>
      <c r="K696" s="64"/>
      <c r="L696" s="64"/>
      <c r="M696" s="64"/>
      <c r="N696" s="72" t="str">
        <f aca="false">IF(B696="","",IF(D696="Anexo de modificación","No","Sí"))</f>
        <v/>
      </c>
      <c r="O696" s="73" t="str">
        <f aca="false">IF(AND(N696="Sí",ISNUMBER(F696)),COUNTIFS(C_ID,B696,C_DEFINE,"Sí",C_INICIO,"&lt;"&amp;F696)+COUNTIFS(B$7:B696,B696,N$7:N696,"Sí",F$7:F696,F696),"")</f>
        <v/>
      </c>
      <c r="P696" s="72" t="str">
        <f aca="false">IF(O696="","",B696&amp;"-P"&amp;O696)</f>
        <v/>
      </c>
      <c r="Q696" s="73" t="str">
        <f aca="false">IF(AND(N696="Sí",E696="Plazo fijo",ISNUMBER(F696)),COUNTIFS(C_ID,B696,C_TIPO,"Plazo fijo",C_DEFINE,"Sí",C_INICIO,"&lt;"&amp;F696)+COUNTIFS(B$7:B696,B696,E$7:E696,"Plazo fijo",N$7:N696,"Sí",F$7:F696,F696),"")</f>
        <v/>
      </c>
      <c r="R696" s="73" t="str">
        <f aca="false">IF(AND(B696&lt;&gt;"",ISNUMBER(H696),ISNUMBER(F696)),COUNTIFS(C_ID,B696,C_SUELDO,"&lt;&gt;",C_INICIO,"&lt;"&amp;F696)+COUNTIFS(B$7:B696,B696,H$7:H696,"&lt;&gt;",F$7:F696,F696),"")</f>
        <v/>
      </c>
      <c r="S696" s="72" t="str">
        <f aca="false">IF(R696="","",B696&amp;"-S"&amp;R696)</f>
        <v/>
      </c>
      <c r="T696" s="74" t="str">
        <f aca="false">IF(AND(ISNUMBER(F696),ISNUMBER(G696)),ROUND((G696-F696+1)/30.4375,1),"")</f>
        <v/>
      </c>
      <c r="U696" s="70" t="str">
        <f aca="false">IF(B696="","",IF(AND(N696="Sí",OR(E696="",NOT(ISNUMBER(F696)))),"⚠ Falta tipo de contrato o fecha de inicio",IF(NOT(ISNUMBER(F696)),"⚠ Falta fecha de inicio",IF(AND(N696="Sí",E696&lt;&gt;"Indefinido",NOT(ISNUMBER(G696))),"⚠ Falta fecha de término",IF(AND(D696="Paso a indefinido",E696&lt;&gt;"Indefinido"),"⚠ Un paso a indefinido debe tener tipo Indefinido",IF(N(Q696)&gt;=3,"⚠ 3er contrato a plazo fijo: por ley ya es INDEFINIDO (Art. 159 N°4)",IF(AND(E696="Plazo fijo",N(T696)&gt;12),"⚠ Plazo fijo mayor a 1 año (máx. legal; 2 años solo profesionales o técnicos)",IF(AND(ISNUMBER(G696),G696&lt;F696),"⚠ Término anterior al inicio",IF(AND(D696="Contrato inicial",ISNUMBER(J696),J696-F696&gt;15),"⚠ Escriturado fuera de plazo (Art. 9: 15 días)",IF(K696&lt;&gt;"Sí","Pendiente de firma","OK"))))))))))</f>
        <v/>
      </c>
    </row>
    <row r="697" customFormat="false" ht="15" hidden="false" customHeight="false" outlineLevel="0" collapsed="false">
      <c r="B697" s="64"/>
      <c r="C697" s="72" t="str">
        <f aca="false">IF(B697="","",IFERROR(INDEX(T_NOMBRE,MATCH(B697,T_ID,0)),"⚠ ID no existe en Trabajadores"))</f>
        <v/>
      </c>
      <c r="D697" s="64"/>
      <c r="E697" s="64"/>
      <c r="F697" s="65"/>
      <c r="G697" s="65"/>
      <c r="H697" s="67"/>
      <c r="I697" s="64"/>
      <c r="J697" s="65"/>
      <c r="K697" s="64"/>
      <c r="L697" s="64"/>
      <c r="M697" s="64"/>
      <c r="N697" s="72" t="str">
        <f aca="false">IF(B697="","",IF(D697="Anexo de modificación","No","Sí"))</f>
        <v/>
      </c>
      <c r="O697" s="73" t="str">
        <f aca="false">IF(AND(N697="Sí",ISNUMBER(F697)),COUNTIFS(C_ID,B697,C_DEFINE,"Sí",C_INICIO,"&lt;"&amp;F697)+COUNTIFS(B$7:B697,B697,N$7:N697,"Sí",F$7:F697,F697),"")</f>
        <v/>
      </c>
      <c r="P697" s="72" t="str">
        <f aca="false">IF(O697="","",B697&amp;"-P"&amp;O697)</f>
        <v/>
      </c>
      <c r="Q697" s="73" t="str">
        <f aca="false">IF(AND(N697="Sí",E697="Plazo fijo",ISNUMBER(F697)),COUNTIFS(C_ID,B697,C_TIPO,"Plazo fijo",C_DEFINE,"Sí",C_INICIO,"&lt;"&amp;F697)+COUNTIFS(B$7:B697,B697,E$7:E697,"Plazo fijo",N$7:N697,"Sí",F$7:F697,F697),"")</f>
        <v/>
      </c>
      <c r="R697" s="73" t="str">
        <f aca="false">IF(AND(B697&lt;&gt;"",ISNUMBER(H697),ISNUMBER(F697)),COUNTIFS(C_ID,B697,C_SUELDO,"&lt;&gt;",C_INICIO,"&lt;"&amp;F697)+COUNTIFS(B$7:B697,B697,H$7:H697,"&lt;&gt;",F$7:F697,F697),"")</f>
        <v/>
      </c>
      <c r="S697" s="72" t="str">
        <f aca="false">IF(R697="","",B697&amp;"-S"&amp;R697)</f>
        <v/>
      </c>
      <c r="T697" s="74" t="str">
        <f aca="false">IF(AND(ISNUMBER(F697),ISNUMBER(G697)),ROUND((G697-F697+1)/30.4375,1),"")</f>
        <v/>
      </c>
      <c r="U697" s="70" t="str">
        <f aca="false">IF(B697="","",IF(AND(N697="Sí",OR(E697="",NOT(ISNUMBER(F697)))),"⚠ Falta tipo de contrato o fecha de inicio",IF(NOT(ISNUMBER(F697)),"⚠ Falta fecha de inicio",IF(AND(N697="Sí",E697&lt;&gt;"Indefinido",NOT(ISNUMBER(G697))),"⚠ Falta fecha de término",IF(AND(D697="Paso a indefinido",E697&lt;&gt;"Indefinido"),"⚠ Un paso a indefinido debe tener tipo Indefinido",IF(N(Q697)&gt;=3,"⚠ 3er contrato a plazo fijo: por ley ya es INDEFINIDO (Art. 159 N°4)",IF(AND(E697="Plazo fijo",N(T697)&gt;12),"⚠ Plazo fijo mayor a 1 año (máx. legal; 2 años solo profesionales o técnicos)",IF(AND(ISNUMBER(G697),G697&lt;F697),"⚠ Término anterior al inicio",IF(AND(D697="Contrato inicial",ISNUMBER(J697),J697-F697&gt;15),"⚠ Escriturado fuera de plazo (Art. 9: 15 días)",IF(K697&lt;&gt;"Sí","Pendiente de firma","OK"))))))))))</f>
        <v/>
      </c>
    </row>
    <row r="698" customFormat="false" ht="15" hidden="false" customHeight="false" outlineLevel="0" collapsed="false">
      <c r="B698" s="64"/>
      <c r="C698" s="72" t="str">
        <f aca="false">IF(B698="","",IFERROR(INDEX(T_NOMBRE,MATCH(B698,T_ID,0)),"⚠ ID no existe en Trabajadores"))</f>
        <v/>
      </c>
      <c r="D698" s="64"/>
      <c r="E698" s="64"/>
      <c r="F698" s="65"/>
      <c r="G698" s="65"/>
      <c r="H698" s="67"/>
      <c r="I698" s="64"/>
      <c r="J698" s="65"/>
      <c r="K698" s="64"/>
      <c r="L698" s="64"/>
      <c r="M698" s="64"/>
      <c r="N698" s="72" t="str">
        <f aca="false">IF(B698="","",IF(D698="Anexo de modificación","No","Sí"))</f>
        <v/>
      </c>
      <c r="O698" s="73" t="str">
        <f aca="false">IF(AND(N698="Sí",ISNUMBER(F698)),COUNTIFS(C_ID,B698,C_DEFINE,"Sí",C_INICIO,"&lt;"&amp;F698)+COUNTIFS(B$7:B698,B698,N$7:N698,"Sí",F$7:F698,F698),"")</f>
        <v/>
      </c>
      <c r="P698" s="72" t="str">
        <f aca="false">IF(O698="","",B698&amp;"-P"&amp;O698)</f>
        <v/>
      </c>
      <c r="Q698" s="73" t="str">
        <f aca="false">IF(AND(N698="Sí",E698="Plazo fijo",ISNUMBER(F698)),COUNTIFS(C_ID,B698,C_TIPO,"Plazo fijo",C_DEFINE,"Sí",C_INICIO,"&lt;"&amp;F698)+COUNTIFS(B$7:B698,B698,E$7:E698,"Plazo fijo",N$7:N698,"Sí",F$7:F698,F698),"")</f>
        <v/>
      </c>
      <c r="R698" s="73" t="str">
        <f aca="false">IF(AND(B698&lt;&gt;"",ISNUMBER(H698),ISNUMBER(F698)),COUNTIFS(C_ID,B698,C_SUELDO,"&lt;&gt;",C_INICIO,"&lt;"&amp;F698)+COUNTIFS(B$7:B698,B698,H$7:H698,"&lt;&gt;",F$7:F698,F698),"")</f>
        <v/>
      </c>
      <c r="S698" s="72" t="str">
        <f aca="false">IF(R698="","",B698&amp;"-S"&amp;R698)</f>
        <v/>
      </c>
      <c r="T698" s="74" t="str">
        <f aca="false">IF(AND(ISNUMBER(F698),ISNUMBER(G698)),ROUND((G698-F698+1)/30.4375,1),"")</f>
        <v/>
      </c>
      <c r="U698" s="70" t="str">
        <f aca="false">IF(B698="","",IF(AND(N698="Sí",OR(E698="",NOT(ISNUMBER(F698)))),"⚠ Falta tipo de contrato o fecha de inicio",IF(NOT(ISNUMBER(F698)),"⚠ Falta fecha de inicio",IF(AND(N698="Sí",E698&lt;&gt;"Indefinido",NOT(ISNUMBER(G698))),"⚠ Falta fecha de término",IF(AND(D698="Paso a indefinido",E698&lt;&gt;"Indefinido"),"⚠ Un paso a indefinido debe tener tipo Indefinido",IF(N(Q698)&gt;=3,"⚠ 3er contrato a plazo fijo: por ley ya es INDEFINIDO (Art. 159 N°4)",IF(AND(E698="Plazo fijo",N(T698)&gt;12),"⚠ Plazo fijo mayor a 1 año (máx. legal; 2 años solo profesionales o técnicos)",IF(AND(ISNUMBER(G698),G698&lt;F698),"⚠ Término anterior al inicio",IF(AND(D698="Contrato inicial",ISNUMBER(J698),J698-F698&gt;15),"⚠ Escriturado fuera de plazo (Art. 9: 15 días)",IF(K698&lt;&gt;"Sí","Pendiente de firma","OK"))))))))))</f>
        <v/>
      </c>
    </row>
    <row r="699" customFormat="false" ht="15" hidden="false" customHeight="false" outlineLevel="0" collapsed="false">
      <c r="B699" s="64"/>
      <c r="C699" s="72" t="str">
        <f aca="false">IF(B699="","",IFERROR(INDEX(T_NOMBRE,MATCH(B699,T_ID,0)),"⚠ ID no existe en Trabajadores"))</f>
        <v/>
      </c>
      <c r="D699" s="64"/>
      <c r="E699" s="64"/>
      <c r="F699" s="65"/>
      <c r="G699" s="65"/>
      <c r="H699" s="67"/>
      <c r="I699" s="64"/>
      <c r="J699" s="65"/>
      <c r="K699" s="64"/>
      <c r="L699" s="64"/>
      <c r="M699" s="64"/>
      <c r="N699" s="72" t="str">
        <f aca="false">IF(B699="","",IF(D699="Anexo de modificación","No","Sí"))</f>
        <v/>
      </c>
      <c r="O699" s="73" t="str">
        <f aca="false">IF(AND(N699="Sí",ISNUMBER(F699)),COUNTIFS(C_ID,B699,C_DEFINE,"Sí",C_INICIO,"&lt;"&amp;F699)+COUNTIFS(B$7:B699,B699,N$7:N699,"Sí",F$7:F699,F699),"")</f>
        <v/>
      </c>
      <c r="P699" s="72" t="str">
        <f aca="false">IF(O699="","",B699&amp;"-P"&amp;O699)</f>
        <v/>
      </c>
      <c r="Q699" s="73" t="str">
        <f aca="false">IF(AND(N699="Sí",E699="Plazo fijo",ISNUMBER(F699)),COUNTIFS(C_ID,B699,C_TIPO,"Plazo fijo",C_DEFINE,"Sí",C_INICIO,"&lt;"&amp;F699)+COUNTIFS(B$7:B699,B699,E$7:E699,"Plazo fijo",N$7:N699,"Sí",F$7:F699,F699),"")</f>
        <v/>
      </c>
      <c r="R699" s="73" t="str">
        <f aca="false">IF(AND(B699&lt;&gt;"",ISNUMBER(H699),ISNUMBER(F699)),COUNTIFS(C_ID,B699,C_SUELDO,"&lt;&gt;",C_INICIO,"&lt;"&amp;F699)+COUNTIFS(B$7:B699,B699,H$7:H699,"&lt;&gt;",F$7:F699,F699),"")</f>
        <v/>
      </c>
      <c r="S699" s="72" t="str">
        <f aca="false">IF(R699="","",B699&amp;"-S"&amp;R699)</f>
        <v/>
      </c>
      <c r="T699" s="74" t="str">
        <f aca="false">IF(AND(ISNUMBER(F699),ISNUMBER(G699)),ROUND((G699-F699+1)/30.4375,1),"")</f>
        <v/>
      </c>
      <c r="U699" s="70" t="str">
        <f aca="false">IF(B699="","",IF(AND(N699="Sí",OR(E699="",NOT(ISNUMBER(F699)))),"⚠ Falta tipo de contrato o fecha de inicio",IF(NOT(ISNUMBER(F699)),"⚠ Falta fecha de inicio",IF(AND(N699="Sí",E699&lt;&gt;"Indefinido",NOT(ISNUMBER(G699))),"⚠ Falta fecha de término",IF(AND(D699="Paso a indefinido",E699&lt;&gt;"Indefinido"),"⚠ Un paso a indefinido debe tener tipo Indefinido",IF(N(Q699)&gt;=3,"⚠ 3er contrato a plazo fijo: por ley ya es INDEFINIDO (Art. 159 N°4)",IF(AND(E699="Plazo fijo",N(T699)&gt;12),"⚠ Plazo fijo mayor a 1 año (máx. legal; 2 años solo profesionales o técnicos)",IF(AND(ISNUMBER(G699),G699&lt;F699),"⚠ Término anterior al inicio",IF(AND(D699="Contrato inicial",ISNUMBER(J699),J699-F699&gt;15),"⚠ Escriturado fuera de plazo (Art. 9: 15 días)",IF(K699&lt;&gt;"Sí","Pendiente de firma","OK"))))))))))</f>
        <v/>
      </c>
    </row>
    <row r="700" customFormat="false" ht="15" hidden="false" customHeight="false" outlineLevel="0" collapsed="false">
      <c r="B700" s="64"/>
      <c r="C700" s="72" t="str">
        <f aca="false">IF(B700="","",IFERROR(INDEX(T_NOMBRE,MATCH(B700,T_ID,0)),"⚠ ID no existe en Trabajadores"))</f>
        <v/>
      </c>
      <c r="D700" s="64"/>
      <c r="E700" s="64"/>
      <c r="F700" s="65"/>
      <c r="G700" s="65"/>
      <c r="H700" s="67"/>
      <c r="I700" s="64"/>
      <c r="J700" s="65"/>
      <c r="K700" s="64"/>
      <c r="L700" s="64"/>
      <c r="M700" s="64"/>
      <c r="N700" s="72" t="str">
        <f aca="false">IF(B700="","",IF(D700="Anexo de modificación","No","Sí"))</f>
        <v/>
      </c>
      <c r="O700" s="73" t="str">
        <f aca="false">IF(AND(N700="Sí",ISNUMBER(F700)),COUNTIFS(C_ID,B700,C_DEFINE,"Sí",C_INICIO,"&lt;"&amp;F700)+COUNTIFS(B$7:B700,B700,N$7:N700,"Sí",F$7:F700,F700),"")</f>
        <v/>
      </c>
      <c r="P700" s="72" t="str">
        <f aca="false">IF(O700="","",B700&amp;"-P"&amp;O700)</f>
        <v/>
      </c>
      <c r="Q700" s="73" t="str">
        <f aca="false">IF(AND(N700="Sí",E700="Plazo fijo",ISNUMBER(F700)),COUNTIFS(C_ID,B700,C_TIPO,"Plazo fijo",C_DEFINE,"Sí",C_INICIO,"&lt;"&amp;F700)+COUNTIFS(B$7:B700,B700,E$7:E700,"Plazo fijo",N$7:N700,"Sí",F$7:F700,F700),"")</f>
        <v/>
      </c>
      <c r="R700" s="73" t="str">
        <f aca="false">IF(AND(B700&lt;&gt;"",ISNUMBER(H700),ISNUMBER(F700)),COUNTIFS(C_ID,B700,C_SUELDO,"&lt;&gt;",C_INICIO,"&lt;"&amp;F700)+COUNTIFS(B$7:B700,B700,H$7:H700,"&lt;&gt;",F$7:F700,F700),"")</f>
        <v/>
      </c>
      <c r="S700" s="72" t="str">
        <f aca="false">IF(R700="","",B700&amp;"-S"&amp;R700)</f>
        <v/>
      </c>
      <c r="T700" s="74" t="str">
        <f aca="false">IF(AND(ISNUMBER(F700),ISNUMBER(G700)),ROUND((G700-F700+1)/30.4375,1),"")</f>
        <v/>
      </c>
      <c r="U700" s="70" t="str">
        <f aca="false">IF(B700="","",IF(AND(N700="Sí",OR(E700="",NOT(ISNUMBER(F700)))),"⚠ Falta tipo de contrato o fecha de inicio",IF(NOT(ISNUMBER(F700)),"⚠ Falta fecha de inicio",IF(AND(N700="Sí",E700&lt;&gt;"Indefinido",NOT(ISNUMBER(G700))),"⚠ Falta fecha de término",IF(AND(D700="Paso a indefinido",E700&lt;&gt;"Indefinido"),"⚠ Un paso a indefinido debe tener tipo Indefinido",IF(N(Q700)&gt;=3,"⚠ 3er contrato a plazo fijo: por ley ya es INDEFINIDO (Art. 159 N°4)",IF(AND(E700="Plazo fijo",N(T700)&gt;12),"⚠ Plazo fijo mayor a 1 año (máx. legal; 2 años solo profesionales o técnicos)",IF(AND(ISNUMBER(G700),G700&lt;F700),"⚠ Término anterior al inicio",IF(AND(D700="Contrato inicial",ISNUMBER(J700),J700-F700&gt;15),"⚠ Escriturado fuera de plazo (Art. 9: 15 días)",IF(K700&lt;&gt;"Sí","Pendiente de firma","OK"))))))))))</f>
        <v/>
      </c>
    </row>
    <row r="701" customFormat="false" ht="15" hidden="false" customHeight="false" outlineLevel="0" collapsed="false">
      <c r="B701" s="64"/>
      <c r="C701" s="72" t="str">
        <f aca="false">IF(B701="","",IFERROR(INDEX(T_NOMBRE,MATCH(B701,T_ID,0)),"⚠ ID no existe en Trabajadores"))</f>
        <v/>
      </c>
      <c r="D701" s="64"/>
      <c r="E701" s="64"/>
      <c r="F701" s="65"/>
      <c r="G701" s="65"/>
      <c r="H701" s="67"/>
      <c r="I701" s="64"/>
      <c r="J701" s="65"/>
      <c r="K701" s="64"/>
      <c r="L701" s="64"/>
      <c r="M701" s="64"/>
      <c r="N701" s="72" t="str">
        <f aca="false">IF(B701="","",IF(D701="Anexo de modificación","No","Sí"))</f>
        <v/>
      </c>
      <c r="O701" s="73" t="str">
        <f aca="false">IF(AND(N701="Sí",ISNUMBER(F701)),COUNTIFS(C_ID,B701,C_DEFINE,"Sí",C_INICIO,"&lt;"&amp;F701)+COUNTIFS(B$7:B701,B701,N$7:N701,"Sí",F$7:F701,F701),"")</f>
        <v/>
      </c>
      <c r="P701" s="72" t="str">
        <f aca="false">IF(O701="","",B701&amp;"-P"&amp;O701)</f>
        <v/>
      </c>
      <c r="Q701" s="73" t="str">
        <f aca="false">IF(AND(N701="Sí",E701="Plazo fijo",ISNUMBER(F701)),COUNTIFS(C_ID,B701,C_TIPO,"Plazo fijo",C_DEFINE,"Sí",C_INICIO,"&lt;"&amp;F701)+COUNTIFS(B$7:B701,B701,E$7:E701,"Plazo fijo",N$7:N701,"Sí",F$7:F701,F701),"")</f>
        <v/>
      </c>
      <c r="R701" s="73" t="str">
        <f aca="false">IF(AND(B701&lt;&gt;"",ISNUMBER(H701),ISNUMBER(F701)),COUNTIFS(C_ID,B701,C_SUELDO,"&lt;&gt;",C_INICIO,"&lt;"&amp;F701)+COUNTIFS(B$7:B701,B701,H$7:H701,"&lt;&gt;",F$7:F701,F701),"")</f>
        <v/>
      </c>
      <c r="S701" s="72" t="str">
        <f aca="false">IF(R701="","",B701&amp;"-S"&amp;R701)</f>
        <v/>
      </c>
      <c r="T701" s="74" t="str">
        <f aca="false">IF(AND(ISNUMBER(F701),ISNUMBER(G701)),ROUND((G701-F701+1)/30.4375,1),"")</f>
        <v/>
      </c>
      <c r="U701" s="70" t="str">
        <f aca="false">IF(B701="","",IF(AND(N701="Sí",OR(E701="",NOT(ISNUMBER(F701)))),"⚠ Falta tipo de contrato o fecha de inicio",IF(NOT(ISNUMBER(F701)),"⚠ Falta fecha de inicio",IF(AND(N701="Sí",E701&lt;&gt;"Indefinido",NOT(ISNUMBER(G701))),"⚠ Falta fecha de término",IF(AND(D701="Paso a indefinido",E701&lt;&gt;"Indefinido"),"⚠ Un paso a indefinido debe tener tipo Indefinido",IF(N(Q701)&gt;=3,"⚠ 3er contrato a plazo fijo: por ley ya es INDEFINIDO (Art. 159 N°4)",IF(AND(E701="Plazo fijo",N(T701)&gt;12),"⚠ Plazo fijo mayor a 1 año (máx. legal; 2 años solo profesionales o técnicos)",IF(AND(ISNUMBER(G701),G701&lt;F701),"⚠ Término anterior al inicio",IF(AND(D701="Contrato inicial",ISNUMBER(J701),J701-F701&gt;15),"⚠ Escriturado fuera de plazo (Art. 9: 15 días)",IF(K701&lt;&gt;"Sí","Pendiente de firma","OK"))))))))))</f>
        <v/>
      </c>
    </row>
    <row r="702" customFormat="false" ht="15" hidden="false" customHeight="false" outlineLevel="0" collapsed="false">
      <c r="B702" s="64"/>
      <c r="C702" s="72" t="str">
        <f aca="false">IF(B702="","",IFERROR(INDEX(T_NOMBRE,MATCH(B702,T_ID,0)),"⚠ ID no existe en Trabajadores"))</f>
        <v/>
      </c>
      <c r="D702" s="64"/>
      <c r="E702" s="64"/>
      <c r="F702" s="65"/>
      <c r="G702" s="65"/>
      <c r="H702" s="67"/>
      <c r="I702" s="64"/>
      <c r="J702" s="65"/>
      <c r="K702" s="64"/>
      <c r="L702" s="64"/>
      <c r="M702" s="64"/>
      <c r="N702" s="72" t="str">
        <f aca="false">IF(B702="","",IF(D702="Anexo de modificación","No","Sí"))</f>
        <v/>
      </c>
      <c r="O702" s="73" t="str">
        <f aca="false">IF(AND(N702="Sí",ISNUMBER(F702)),COUNTIFS(C_ID,B702,C_DEFINE,"Sí",C_INICIO,"&lt;"&amp;F702)+COUNTIFS(B$7:B702,B702,N$7:N702,"Sí",F$7:F702,F702),"")</f>
        <v/>
      </c>
      <c r="P702" s="72" t="str">
        <f aca="false">IF(O702="","",B702&amp;"-P"&amp;O702)</f>
        <v/>
      </c>
      <c r="Q702" s="73" t="str">
        <f aca="false">IF(AND(N702="Sí",E702="Plazo fijo",ISNUMBER(F702)),COUNTIFS(C_ID,B702,C_TIPO,"Plazo fijo",C_DEFINE,"Sí",C_INICIO,"&lt;"&amp;F702)+COUNTIFS(B$7:B702,B702,E$7:E702,"Plazo fijo",N$7:N702,"Sí",F$7:F702,F702),"")</f>
        <v/>
      </c>
      <c r="R702" s="73" t="str">
        <f aca="false">IF(AND(B702&lt;&gt;"",ISNUMBER(H702),ISNUMBER(F702)),COUNTIFS(C_ID,B702,C_SUELDO,"&lt;&gt;",C_INICIO,"&lt;"&amp;F702)+COUNTIFS(B$7:B702,B702,H$7:H702,"&lt;&gt;",F$7:F702,F702),"")</f>
        <v/>
      </c>
      <c r="S702" s="72" t="str">
        <f aca="false">IF(R702="","",B702&amp;"-S"&amp;R702)</f>
        <v/>
      </c>
      <c r="T702" s="74" t="str">
        <f aca="false">IF(AND(ISNUMBER(F702),ISNUMBER(G702)),ROUND((G702-F702+1)/30.4375,1),"")</f>
        <v/>
      </c>
      <c r="U702" s="70" t="str">
        <f aca="false">IF(B702="","",IF(AND(N702="Sí",OR(E702="",NOT(ISNUMBER(F702)))),"⚠ Falta tipo de contrato o fecha de inicio",IF(NOT(ISNUMBER(F702)),"⚠ Falta fecha de inicio",IF(AND(N702="Sí",E702&lt;&gt;"Indefinido",NOT(ISNUMBER(G702))),"⚠ Falta fecha de término",IF(AND(D702="Paso a indefinido",E702&lt;&gt;"Indefinido"),"⚠ Un paso a indefinido debe tener tipo Indefinido",IF(N(Q702)&gt;=3,"⚠ 3er contrato a plazo fijo: por ley ya es INDEFINIDO (Art. 159 N°4)",IF(AND(E702="Plazo fijo",N(T702)&gt;12),"⚠ Plazo fijo mayor a 1 año (máx. legal; 2 años solo profesionales o técnicos)",IF(AND(ISNUMBER(G702),G702&lt;F702),"⚠ Término anterior al inicio",IF(AND(D702="Contrato inicial",ISNUMBER(J702),J702-F702&gt;15),"⚠ Escriturado fuera de plazo (Art. 9: 15 días)",IF(K702&lt;&gt;"Sí","Pendiente de firma","OK"))))))))))</f>
        <v/>
      </c>
    </row>
    <row r="703" customFormat="false" ht="15" hidden="false" customHeight="false" outlineLevel="0" collapsed="false">
      <c r="B703" s="64"/>
      <c r="C703" s="72" t="str">
        <f aca="false">IF(B703="","",IFERROR(INDEX(T_NOMBRE,MATCH(B703,T_ID,0)),"⚠ ID no existe en Trabajadores"))</f>
        <v/>
      </c>
      <c r="D703" s="64"/>
      <c r="E703" s="64"/>
      <c r="F703" s="65"/>
      <c r="G703" s="65"/>
      <c r="H703" s="67"/>
      <c r="I703" s="64"/>
      <c r="J703" s="65"/>
      <c r="K703" s="64"/>
      <c r="L703" s="64"/>
      <c r="M703" s="64"/>
      <c r="N703" s="72" t="str">
        <f aca="false">IF(B703="","",IF(D703="Anexo de modificación","No","Sí"))</f>
        <v/>
      </c>
      <c r="O703" s="73" t="str">
        <f aca="false">IF(AND(N703="Sí",ISNUMBER(F703)),COUNTIFS(C_ID,B703,C_DEFINE,"Sí",C_INICIO,"&lt;"&amp;F703)+COUNTIFS(B$7:B703,B703,N$7:N703,"Sí",F$7:F703,F703),"")</f>
        <v/>
      </c>
      <c r="P703" s="72" t="str">
        <f aca="false">IF(O703="","",B703&amp;"-P"&amp;O703)</f>
        <v/>
      </c>
      <c r="Q703" s="73" t="str">
        <f aca="false">IF(AND(N703="Sí",E703="Plazo fijo",ISNUMBER(F703)),COUNTIFS(C_ID,B703,C_TIPO,"Plazo fijo",C_DEFINE,"Sí",C_INICIO,"&lt;"&amp;F703)+COUNTIFS(B$7:B703,B703,E$7:E703,"Plazo fijo",N$7:N703,"Sí",F$7:F703,F703),"")</f>
        <v/>
      </c>
      <c r="R703" s="73" t="str">
        <f aca="false">IF(AND(B703&lt;&gt;"",ISNUMBER(H703),ISNUMBER(F703)),COUNTIFS(C_ID,B703,C_SUELDO,"&lt;&gt;",C_INICIO,"&lt;"&amp;F703)+COUNTIFS(B$7:B703,B703,H$7:H703,"&lt;&gt;",F$7:F703,F703),"")</f>
        <v/>
      </c>
      <c r="S703" s="72" t="str">
        <f aca="false">IF(R703="","",B703&amp;"-S"&amp;R703)</f>
        <v/>
      </c>
      <c r="T703" s="74" t="str">
        <f aca="false">IF(AND(ISNUMBER(F703),ISNUMBER(G703)),ROUND((G703-F703+1)/30.4375,1),"")</f>
        <v/>
      </c>
      <c r="U703" s="70" t="str">
        <f aca="false">IF(B703="","",IF(AND(N703="Sí",OR(E703="",NOT(ISNUMBER(F703)))),"⚠ Falta tipo de contrato o fecha de inicio",IF(NOT(ISNUMBER(F703)),"⚠ Falta fecha de inicio",IF(AND(N703="Sí",E703&lt;&gt;"Indefinido",NOT(ISNUMBER(G703))),"⚠ Falta fecha de término",IF(AND(D703="Paso a indefinido",E703&lt;&gt;"Indefinido"),"⚠ Un paso a indefinido debe tener tipo Indefinido",IF(N(Q703)&gt;=3,"⚠ 3er contrato a plazo fijo: por ley ya es INDEFINIDO (Art. 159 N°4)",IF(AND(E703="Plazo fijo",N(T703)&gt;12),"⚠ Plazo fijo mayor a 1 año (máx. legal; 2 años solo profesionales o técnicos)",IF(AND(ISNUMBER(G703),G703&lt;F703),"⚠ Término anterior al inicio",IF(AND(D703="Contrato inicial",ISNUMBER(J703),J703-F703&gt;15),"⚠ Escriturado fuera de plazo (Art. 9: 15 días)",IF(K703&lt;&gt;"Sí","Pendiente de firma","OK"))))))))))</f>
        <v/>
      </c>
    </row>
    <row r="704" customFormat="false" ht="15" hidden="false" customHeight="false" outlineLevel="0" collapsed="false">
      <c r="B704" s="64"/>
      <c r="C704" s="72" t="str">
        <f aca="false">IF(B704="","",IFERROR(INDEX(T_NOMBRE,MATCH(B704,T_ID,0)),"⚠ ID no existe en Trabajadores"))</f>
        <v/>
      </c>
      <c r="D704" s="64"/>
      <c r="E704" s="64"/>
      <c r="F704" s="65"/>
      <c r="G704" s="65"/>
      <c r="H704" s="67"/>
      <c r="I704" s="64"/>
      <c r="J704" s="65"/>
      <c r="K704" s="64"/>
      <c r="L704" s="64"/>
      <c r="M704" s="64"/>
      <c r="N704" s="72" t="str">
        <f aca="false">IF(B704="","",IF(D704="Anexo de modificación","No","Sí"))</f>
        <v/>
      </c>
      <c r="O704" s="73" t="str">
        <f aca="false">IF(AND(N704="Sí",ISNUMBER(F704)),COUNTIFS(C_ID,B704,C_DEFINE,"Sí",C_INICIO,"&lt;"&amp;F704)+COUNTIFS(B$7:B704,B704,N$7:N704,"Sí",F$7:F704,F704),"")</f>
        <v/>
      </c>
      <c r="P704" s="72" t="str">
        <f aca="false">IF(O704="","",B704&amp;"-P"&amp;O704)</f>
        <v/>
      </c>
      <c r="Q704" s="73" t="str">
        <f aca="false">IF(AND(N704="Sí",E704="Plazo fijo",ISNUMBER(F704)),COUNTIFS(C_ID,B704,C_TIPO,"Plazo fijo",C_DEFINE,"Sí",C_INICIO,"&lt;"&amp;F704)+COUNTIFS(B$7:B704,B704,E$7:E704,"Plazo fijo",N$7:N704,"Sí",F$7:F704,F704),"")</f>
        <v/>
      </c>
      <c r="R704" s="73" t="str">
        <f aca="false">IF(AND(B704&lt;&gt;"",ISNUMBER(H704),ISNUMBER(F704)),COUNTIFS(C_ID,B704,C_SUELDO,"&lt;&gt;",C_INICIO,"&lt;"&amp;F704)+COUNTIFS(B$7:B704,B704,H$7:H704,"&lt;&gt;",F$7:F704,F704),"")</f>
        <v/>
      </c>
      <c r="S704" s="72" t="str">
        <f aca="false">IF(R704="","",B704&amp;"-S"&amp;R704)</f>
        <v/>
      </c>
      <c r="T704" s="74" t="str">
        <f aca="false">IF(AND(ISNUMBER(F704),ISNUMBER(G704)),ROUND((G704-F704+1)/30.4375,1),"")</f>
        <v/>
      </c>
      <c r="U704" s="70" t="str">
        <f aca="false">IF(B704="","",IF(AND(N704="Sí",OR(E704="",NOT(ISNUMBER(F704)))),"⚠ Falta tipo de contrato o fecha de inicio",IF(NOT(ISNUMBER(F704)),"⚠ Falta fecha de inicio",IF(AND(N704="Sí",E704&lt;&gt;"Indefinido",NOT(ISNUMBER(G704))),"⚠ Falta fecha de término",IF(AND(D704="Paso a indefinido",E704&lt;&gt;"Indefinido"),"⚠ Un paso a indefinido debe tener tipo Indefinido",IF(N(Q704)&gt;=3,"⚠ 3er contrato a plazo fijo: por ley ya es INDEFINIDO (Art. 159 N°4)",IF(AND(E704="Plazo fijo",N(T704)&gt;12),"⚠ Plazo fijo mayor a 1 año (máx. legal; 2 años solo profesionales o técnicos)",IF(AND(ISNUMBER(G704),G704&lt;F704),"⚠ Término anterior al inicio",IF(AND(D704="Contrato inicial",ISNUMBER(J704),J704-F704&gt;15),"⚠ Escriturado fuera de plazo (Art. 9: 15 días)",IF(K704&lt;&gt;"Sí","Pendiente de firma","OK"))))))))))</f>
        <v/>
      </c>
    </row>
    <row r="705" customFormat="false" ht="15" hidden="false" customHeight="false" outlineLevel="0" collapsed="false">
      <c r="B705" s="64"/>
      <c r="C705" s="72" t="str">
        <f aca="false">IF(B705="","",IFERROR(INDEX(T_NOMBRE,MATCH(B705,T_ID,0)),"⚠ ID no existe en Trabajadores"))</f>
        <v/>
      </c>
      <c r="D705" s="64"/>
      <c r="E705" s="64"/>
      <c r="F705" s="65"/>
      <c r="G705" s="65"/>
      <c r="H705" s="67"/>
      <c r="I705" s="64"/>
      <c r="J705" s="65"/>
      <c r="K705" s="64"/>
      <c r="L705" s="64"/>
      <c r="M705" s="64"/>
      <c r="N705" s="72" t="str">
        <f aca="false">IF(B705="","",IF(D705="Anexo de modificación","No","Sí"))</f>
        <v/>
      </c>
      <c r="O705" s="73" t="str">
        <f aca="false">IF(AND(N705="Sí",ISNUMBER(F705)),COUNTIFS(C_ID,B705,C_DEFINE,"Sí",C_INICIO,"&lt;"&amp;F705)+COUNTIFS(B$7:B705,B705,N$7:N705,"Sí",F$7:F705,F705),"")</f>
        <v/>
      </c>
      <c r="P705" s="72" t="str">
        <f aca="false">IF(O705="","",B705&amp;"-P"&amp;O705)</f>
        <v/>
      </c>
      <c r="Q705" s="73" t="str">
        <f aca="false">IF(AND(N705="Sí",E705="Plazo fijo",ISNUMBER(F705)),COUNTIFS(C_ID,B705,C_TIPO,"Plazo fijo",C_DEFINE,"Sí",C_INICIO,"&lt;"&amp;F705)+COUNTIFS(B$7:B705,B705,E$7:E705,"Plazo fijo",N$7:N705,"Sí",F$7:F705,F705),"")</f>
        <v/>
      </c>
      <c r="R705" s="73" t="str">
        <f aca="false">IF(AND(B705&lt;&gt;"",ISNUMBER(H705),ISNUMBER(F705)),COUNTIFS(C_ID,B705,C_SUELDO,"&lt;&gt;",C_INICIO,"&lt;"&amp;F705)+COUNTIFS(B$7:B705,B705,H$7:H705,"&lt;&gt;",F$7:F705,F705),"")</f>
        <v/>
      </c>
      <c r="S705" s="72" t="str">
        <f aca="false">IF(R705="","",B705&amp;"-S"&amp;R705)</f>
        <v/>
      </c>
      <c r="T705" s="74" t="str">
        <f aca="false">IF(AND(ISNUMBER(F705),ISNUMBER(G705)),ROUND((G705-F705+1)/30.4375,1),"")</f>
        <v/>
      </c>
      <c r="U705" s="70" t="str">
        <f aca="false">IF(B705="","",IF(AND(N705="Sí",OR(E705="",NOT(ISNUMBER(F705)))),"⚠ Falta tipo de contrato o fecha de inicio",IF(NOT(ISNUMBER(F705)),"⚠ Falta fecha de inicio",IF(AND(N705="Sí",E705&lt;&gt;"Indefinido",NOT(ISNUMBER(G705))),"⚠ Falta fecha de término",IF(AND(D705="Paso a indefinido",E705&lt;&gt;"Indefinido"),"⚠ Un paso a indefinido debe tener tipo Indefinido",IF(N(Q705)&gt;=3,"⚠ 3er contrato a plazo fijo: por ley ya es INDEFINIDO (Art. 159 N°4)",IF(AND(E705="Plazo fijo",N(T705)&gt;12),"⚠ Plazo fijo mayor a 1 año (máx. legal; 2 años solo profesionales o técnicos)",IF(AND(ISNUMBER(G705),G705&lt;F705),"⚠ Término anterior al inicio",IF(AND(D705="Contrato inicial",ISNUMBER(J705),J705-F705&gt;15),"⚠ Escriturado fuera de plazo (Art. 9: 15 días)",IF(K705&lt;&gt;"Sí","Pendiente de firma","OK"))))))))))</f>
        <v/>
      </c>
    </row>
    <row r="706" customFormat="false" ht="15" hidden="false" customHeight="false" outlineLevel="0" collapsed="false">
      <c r="B706" s="64"/>
      <c r="C706" s="72" t="str">
        <f aca="false">IF(B706="","",IFERROR(INDEX(T_NOMBRE,MATCH(B706,T_ID,0)),"⚠ ID no existe en Trabajadores"))</f>
        <v/>
      </c>
      <c r="D706" s="64"/>
      <c r="E706" s="64"/>
      <c r="F706" s="65"/>
      <c r="G706" s="65"/>
      <c r="H706" s="67"/>
      <c r="I706" s="64"/>
      <c r="J706" s="65"/>
      <c r="K706" s="64"/>
      <c r="L706" s="64"/>
      <c r="M706" s="64"/>
      <c r="N706" s="72" t="str">
        <f aca="false">IF(B706="","",IF(D706="Anexo de modificación","No","Sí"))</f>
        <v/>
      </c>
      <c r="O706" s="73" t="str">
        <f aca="false">IF(AND(N706="Sí",ISNUMBER(F706)),COUNTIFS(C_ID,B706,C_DEFINE,"Sí",C_INICIO,"&lt;"&amp;F706)+COUNTIFS(B$7:B706,B706,N$7:N706,"Sí",F$7:F706,F706),"")</f>
        <v/>
      </c>
      <c r="P706" s="72" t="str">
        <f aca="false">IF(O706="","",B706&amp;"-P"&amp;O706)</f>
        <v/>
      </c>
      <c r="Q706" s="73" t="str">
        <f aca="false">IF(AND(N706="Sí",E706="Plazo fijo",ISNUMBER(F706)),COUNTIFS(C_ID,B706,C_TIPO,"Plazo fijo",C_DEFINE,"Sí",C_INICIO,"&lt;"&amp;F706)+COUNTIFS(B$7:B706,B706,E$7:E706,"Plazo fijo",N$7:N706,"Sí",F$7:F706,F706),"")</f>
        <v/>
      </c>
      <c r="R706" s="73" t="str">
        <f aca="false">IF(AND(B706&lt;&gt;"",ISNUMBER(H706),ISNUMBER(F706)),COUNTIFS(C_ID,B706,C_SUELDO,"&lt;&gt;",C_INICIO,"&lt;"&amp;F706)+COUNTIFS(B$7:B706,B706,H$7:H706,"&lt;&gt;",F$7:F706,F706),"")</f>
        <v/>
      </c>
      <c r="S706" s="72" t="str">
        <f aca="false">IF(R706="","",B706&amp;"-S"&amp;R706)</f>
        <v/>
      </c>
      <c r="T706" s="74" t="str">
        <f aca="false">IF(AND(ISNUMBER(F706),ISNUMBER(G706)),ROUND((G706-F706+1)/30.4375,1),"")</f>
        <v/>
      </c>
      <c r="U706" s="70" t="str">
        <f aca="false">IF(B706="","",IF(AND(N706="Sí",OR(E706="",NOT(ISNUMBER(F706)))),"⚠ Falta tipo de contrato o fecha de inicio",IF(NOT(ISNUMBER(F706)),"⚠ Falta fecha de inicio",IF(AND(N706="Sí",E706&lt;&gt;"Indefinido",NOT(ISNUMBER(G706))),"⚠ Falta fecha de término",IF(AND(D706="Paso a indefinido",E706&lt;&gt;"Indefinido"),"⚠ Un paso a indefinido debe tener tipo Indefinido",IF(N(Q706)&gt;=3,"⚠ 3er contrato a plazo fijo: por ley ya es INDEFINIDO (Art. 159 N°4)",IF(AND(E706="Plazo fijo",N(T706)&gt;12),"⚠ Plazo fijo mayor a 1 año (máx. legal; 2 años solo profesionales o técnicos)",IF(AND(ISNUMBER(G706),G706&lt;F706),"⚠ Término anterior al inicio",IF(AND(D706="Contrato inicial",ISNUMBER(J706),J706-F706&gt;15),"⚠ Escriturado fuera de plazo (Art. 9: 15 días)",IF(K706&lt;&gt;"Sí","Pendiente de firma","OK"))))))))))</f>
        <v/>
      </c>
    </row>
    <row r="707" customFormat="false" ht="15" hidden="false" customHeight="false" outlineLevel="0" collapsed="false">
      <c r="B707" s="64"/>
      <c r="C707" s="72" t="str">
        <f aca="false">IF(B707="","",IFERROR(INDEX(T_NOMBRE,MATCH(B707,T_ID,0)),"⚠ ID no existe en Trabajadores"))</f>
        <v/>
      </c>
      <c r="D707" s="64"/>
      <c r="E707" s="64"/>
      <c r="F707" s="65"/>
      <c r="G707" s="65"/>
      <c r="H707" s="67"/>
      <c r="I707" s="64"/>
      <c r="J707" s="65"/>
      <c r="K707" s="64"/>
      <c r="L707" s="64"/>
      <c r="M707" s="64"/>
      <c r="N707" s="72" t="str">
        <f aca="false">IF(B707="","",IF(D707="Anexo de modificación","No","Sí"))</f>
        <v/>
      </c>
      <c r="O707" s="73" t="str">
        <f aca="false">IF(AND(N707="Sí",ISNUMBER(F707)),COUNTIFS(C_ID,B707,C_DEFINE,"Sí",C_INICIO,"&lt;"&amp;F707)+COUNTIFS(B$7:B707,B707,N$7:N707,"Sí",F$7:F707,F707),"")</f>
        <v/>
      </c>
      <c r="P707" s="72" t="str">
        <f aca="false">IF(O707="","",B707&amp;"-P"&amp;O707)</f>
        <v/>
      </c>
      <c r="Q707" s="73" t="str">
        <f aca="false">IF(AND(N707="Sí",E707="Plazo fijo",ISNUMBER(F707)),COUNTIFS(C_ID,B707,C_TIPO,"Plazo fijo",C_DEFINE,"Sí",C_INICIO,"&lt;"&amp;F707)+COUNTIFS(B$7:B707,B707,E$7:E707,"Plazo fijo",N$7:N707,"Sí",F$7:F707,F707),"")</f>
        <v/>
      </c>
      <c r="R707" s="73" t="str">
        <f aca="false">IF(AND(B707&lt;&gt;"",ISNUMBER(H707),ISNUMBER(F707)),COUNTIFS(C_ID,B707,C_SUELDO,"&lt;&gt;",C_INICIO,"&lt;"&amp;F707)+COUNTIFS(B$7:B707,B707,H$7:H707,"&lt;&gt;",F$7:F707,F707),"")</f>
        <v/>
      </c>
      <c r="S707" s="72" t="str">
        <f aca="false">IF(R707="","",B707&amp;"-S"&amp;R707)</f>
        <v/>
      </c>
      <c r="T707" s="74" t="str">
        <f aca="false">IF(AND(ISNUMBER(F707),ISNUMBER(G707)),ROUND((G707-F707+1)/30.4375,1),"")</f>
        <v/>
      </c>
      <c r="U707" s="70" t="str">
        <f aca="false">IF(B707="","",IF(AND(N707="Sí",OR(E707="",NOT(ISNUMBER(F707)))),"⚠ Falta tipo de contrato o fecha de inicio",IF(NOT(ISNUMBER(F707)),"⚠ Falta fecha de inicio",IF(AND(N707="Sí",E707&lt;&gt;"Indefinido",NOT(ISNUMBER(G707))),"⚠ Falta fecha de término",IF(AND(D707="Paso a indefinido",E707&lt;&gt;"Indefinido"),"⚠ Un paso a indefinido debe tener tipo Indefinido",IF(N(Q707)&gt;=3,"⚠ 3er contrato a plazo fijo: por ley ya es INDEFINIDO (Art. 159 N°4)",IF(AND(E707="Plazo fijo",N(T707)&gt;12),"⚠ Plazo fijo mayor a 1 año (máx. legal; 2 años solo profesionales o técnicos)",IF(AND(ISNUMBER(G707),G707&lt;F707),"⚠ Término anterior al inicio",IF(AND(D707="Contrato inicial",ISNUMBER(J707),J707-F707&gt;15),"⚠ Escriturado fuera de plazo (Art. 9: 15 días)",IF(K707&lt;&gt;"Sí","Pendiente de firma","OK"))))))))))</f>
        <v/>
      </c>
    </row>
    <row r="708" customFormat="false" ht="15" hidden="false" customHeight="false" outlineLevel="0" collapsed="false">
      <c r="B708" s="64"/>
      <c r="C708" s="72" t="str">
        <f aca="false">IF(B708="","",IFERROR(INDEX(T_NOMBRE,MATCH(B708,T_ID,0)),"⚠ ID no existe en Trabajadores"))</f>
        <v/>
      </c>
      <c r="D708" s="64"/>
      <c r="E708" s="64"/>
      <c r="F708" s="65"/>
      <c r="G708" s="65"/>
      <c r="H708" s="67"/>
      <c r="I708" s="64"/>
      <c r="J708" s="65"/>
      <c r="K708" s="64"/>
      <c r="L708" s="64"/>
      <c r="M708" s="64"/>
      <c r="N708" s="72" t="str">
        <f aca="false">IF(B708="","",IF(D708="Anexo de modificación","No","Sí"))</f>
        <v/>
      </c>
      <c r="O708" s="73" t="str">
        <f aca="false">IF(AND(N708="Sí",ISNUMBER(F708)),COUNTIFS(C_ID,B708,C_DEFINE,"Sí",C_INICIO,"&lt;"&amp;F708)+COUNTIFS(B$7:B708,B708,N$7:N708,"Sí",F$7:F708,F708),"")</f>
        <v/>
      </c>
      <c r="P708" s="72" t="str">
        <f aca="false">IF(O708="","",B708&amp;"-P"&amp;O708)</f>
        <v/>
      </c>
      <c r="Q708" s="73" t="str">
        <f aca="false">IF(AND(N708="Sí",E708="Plazo fijo",ISNUMBER(F708)),COUNTIFS(C_ID,B708,C_TIPO,"Plazo fijo",C_DEFINE,"Sí",C_INICIO,"&lt;"&amp;F708)+COUNTIFS(B$7:B708,B708,E$7:E708,"Plazo fijo",N$7:N708,"Sí",F$7:F708,F708),"")</f>
        <v/>
      </c>
      <c r="R708" s="73" t="str">
        <f aca="false">IF(AND(B708&lt;&gt;"",ISNUMBER(H708),ISNUMBER(F708)),COUNTIFS(C_ID,B708,C_SUELDO,"&lt;&gt;",C_INICIO,"&lt;"&amp;F708)+COUNTIFS(B$7:B708,B708,H$7:H708,"&lt;&gt;",F$7:F708,F708),"")</f>
        <v/>
      </c>
      <c r="S708" s="72" t="str">
        <f aca="false">IF(R708="","",B708&amp;"-S"&amp;R708)</f>
        <v/>
      </c>
      <c r="T708" s="74" t="str">
        <f aca="false">IF(AND(ISNUMBER(F708),ISNUMBER(G708)),ROUND((G708-F708+1)/30.4375,1),"")</f>
        <v/>
      </c>
      <c r="U708" s="70" t="str">
        <f aca="false">IF(B708="","",IF(AND(N708="Sí",OR(E708="",NOT(ISNUMBER(F708)))),"⚠ Falta tipo de contrato o fecha de inicio",IF(NOT(ISNUMBER(F708)),"⚠ Falta fecha de inicio",IF(AND(N708="Sí",E708&lt;&gt;"Indefinido",NOT(ISNUMBER(G708))),"⚠ Falta fecha de término",IF(AND(D708="Paso a indefinido",E708&lt;&gt;"Indefinido"),"⚠ Un paso a indefinido debe tener tipo Indefinido",IF(N(Q708)&gt;=3,"⚠ 3er contrato a plazo fijo: por ley ya es INDEFINIDO (Art. 159 N°4)",IF(AND(E708="Plazo fijo",N(T708)&gt;12),"⚠ Plazo fijo mayor a 1 año (máx. legal; 2 años solo profesionales o técnicos)",IF(AND(ISNUMBER(G708),G708&lt;F708),"⚠ Término anterior al inicio",IF(AND(D708="Contrato inicial",ISNUMBER(J708),J708-F708&gt;15),"⚠ Escriturado fuera de plazo (Art. 9: 15 días)",IF(K708&lt;&gt;"Sí","Pendiente de firma","OK"))))))))))</f>
        <v/>
      </c>
    </row>
    <row r="709" customFormat="false" ht="15" hidden="false" customHeight="false" outlineLevel="0" collapsed="false">
      <c r="B709" s="64"/>
      <c r="C709" s="72" t="str">
        <f aca="false">IF(B709="","",IFERROR(INDEX(T_NOMBRE,MATCH(B709,T_ID,0)),"⚠ ID no existe en Trabajadores"))</f>
        <v/>
      </c>
      <c r="D709" s="64"/>
      <c r="E709" s="64"/>
      <c r="F709" s="65"/>
      <c r="G709" s="65"/>
      <c r="H709" s="67"/>
      <c r="I709" s="64"/>
      <c r="J709" s="65"/>
      <c r="K709" s="64"/>
      <c r="L709" s="64"/>
      <c r="M709" s="64"/>
      <c r="N709" s="72" t="str">
        <f aca="false">IF(B709="","",IF(D709="Anexo de modificación","No","Sí"))</f>
        <v/>
      </c>
      <c r="O709" s="73" t="str">
        <f aca="false">IF(AND(N709="Sí",ISNUMBER(F709)),COUNTIFS(C_ID,B709,C_DEFINE,"Sí",C_INICIO,"&lt;"&amp;F709)+COUNTIFS(B$7:B709,B709,N$7:N709,"Sí",F$7:F709,F709),"")</f>
        <v/>
      </c>
      <c r="P709" s="72" t="str">
        <f aca="false">IF(O709="","",B709&amp;"-P"&amp;O709)</f>
        <v/>
      </c>
      <c r="Q709" s="73" t="str">
        <f aca="false">IF(AND(N709="Sí",E709="Plazo fijo",ISNUMBER(F709)),COUNTIFS(C_ID,B709,C_TIPO,"Plazo fijo",C_DEFINE,"Sí",C_INICIO,"&lt;"&amp;F709)+COUNTIFS(B$7:B709,B709,E$7:E709,"Plazo fijo",N$7:N709,"Sí",F$7:F709,F709),"")</f>
        <v/>
      </c>
      <c r="R709" s="73" t="str">
        <f aca="false">IF(AND(B709&lt;&gt;"",ISNUMBER(H709),ISNUMBER(F709)),COUNTIFS(C_ID,B709,C_SUELDO,"&lt;&gt;",C_INICIO,"&lt;"&amp;F709)+COUNTIFS(B$7:B709,B709,H$7:H709,"&lt;&gt;",F$7:F709,F709),"")</f>
        <v/>
      </c>
      <c r="S709" s="72" t="str">
        <f aca="false">IF(R709="","",B709&amp;"-S"&amp;R709)</f>
        <v/>
      </c>
      <c r="T709" s="74" t="str">
        <f aca="false">IF(AND(ISNUMBER(F709),ISNUMBER(G709)),ROUND((G709-F709+1)/30.4375,1),"")</f>
        <v/>
      </c>
      <c r="U709" s="70" t="str">
        <f aca="false">IF(B709="","",IF(AND(N709="Sí",OR(E709="",NOT(ISNUMBER(F709)))),"⚠ Falta tipo de contrato o fecha de inicio",IF(NOT(ISNUMBER(F709)),"⚠ Falta fecha de inicio",IF(AND(N709="Sí",E709&lt;&gt;"Indefinido",NOT(ISNUMBER(G709))),"⚠ Falta fecha de término",IF(AND(D709="Paso a indefinido",E709&lt;&gt;"Indefinido"),"⚠ Un paso a indefinido debe tener tipo Indefinido",IF(N(Q709)&gt;=3,"⚠ 3er contrato a plazo fijo: por ley ya es INDEFINIDO (Art. 159 N°4)",IF(AND(E709="Plazo fijo",N(T709)&gt;12),"⚠ Plazo fijo mayor a 1 año (máx. legal; 2 años solo profesionales o técnicos)",IF(AND(ISNUMBER(G709),G709&lt;F709),"⚠ Término anterior al inicio",IF(AND(D709="Contrato inicial",ISNUMBER(J709),J709-F709&gt;15),"⚠ Escriturado fuera de plazo (Art. 9: 15 días)",IF(K709&lt;&gt;"Sí","Pendiente de firma","OK"))))))))))</f>
        <v/>
      </c>
    </row>
    <row r="710" customFormat="false" ht="15" hidden="false" customHeight="false" outlineLevel="0" collapsed="false">
      <c r="B710" s="64"/>
      <c r="C710" s="72" t="str">
        <f aca="false">IF(B710="","",IFERROR(INDEX(T_NOMBRE,MATCH(B710,T_ID,0)),"⚠ ID no existe en Trabajadores"))</f>
        <v/>
      </c>
      <c r="D710" s="64"/>
      <c r="E710" s="64"/>
      <c r="F710" s="65"/>
      <c r="G710" s="65"/>
      <c r="H710" s="67"/>
      <c r="I710" s="64"/>
      <c r="J710" s="65"/>
      <c r="K710" s="64"/>
      <c r="L710" s="64"/>
      <c r="M710" s="64"/>
      <c r="N710" s="72" t="str">
        <f aca="false">IF(B710="","",IF(D710="Anexo de modificación","No","Sí"))</f>
        <v/>
      </c>
      <c r="O710" s="73" t="str">
        <f aca="false">IF(AND(N710="Sí",ISNUMBER(F710)),COUNTIFS(C_ID,B710,C_DEFINE,"Sí",C_INICIO,"&lt;"&amp;F710)+COUNTIFS(B$7:B710,B710,N$7:N710,"Sí",F$7:F710,F710),"")</f>
        <v/>
      </c>
      <c r="P710" s="72" t="str">
        <f aca="false">IF(O710="","",B710&amp;"-P"&amp;O710)</f>
        <v/>
      </c>
      <c r="Q710" s="73" t="str">
        <f aca="false">IF(AND(N710="Sí",E710="Plazo fijo",ISNUMBER(F710)),COUNTIFS(C_ID,B710,C_TIPO,"Plazo fijo",C_DEFINE,"Sí",C_INICIO,"&lt;"&amp;F710)+COUNTIFS(B$7:B710,B710,E$7:E710,"Plazo fijo",N$7:N710,"Sí",F$7:F710,F710),"")</f>
        <v/>
      </c>
      <c r="R710" s="73" t="str">
        <f aca="false">IF(AND(B710&lt;&gt;"",ISNUMBER(H710),ISNUMBER(F710)),COUNTIFS(C_ID,B710,C_SUELDO,"&lt;&gt;",C_INICIO,"&lt;"&amp;F710)+COUNTIFS(B$7:B710,B710,H$7:H710,"&lt;&gt;",F$7:F710,F710),"")</f>
        <v/>
      </c>
      <c r="S710" s="72" t="str">
        <f aca="false">IF(R710="","",B710&amp;"-S"&amp;R710)</f>
        <v/>
      </c>
      <c r="T710" s="74" t="str">
        <f aca="false">IF(AND(ISNUMBER(F710),ISNUMBER(G710)),ROUND((G710-F710+1)/30.4375,1),"")</f>
        <v/>
      </c>
      <c r="U710" s="70" t="str">
        <f aca="false">IF(B710="","",IF(AND(N710="Sí",OR(E710="",NOT(ISNUMBER(F710)))),"⚠ Falta tipo de contrato o fecha de inicio",IF(NOT(ISNUMBER(F710)),"⚠ Falta fecha de inicio",IF(AND(N710="Sí",E710&lt;&gt;"Indefinido",NOT(ISNUMBER(G710))),"⚠ Falta fecha de término",IF(AND(D710="Paso a indefinido",E710&lt;&gt;"Indefinido"),"⚠ Un paso a indefinido debe tener tipo Indefinido",IF(N(Q710)&gt;=3,"⚠ 3er contrato a plazo fijo: por ley ya es INDEFINIDO (Art. 159 N°4)",IF(AND(E710="Plazo fijo",N(T710)&gt;12),"⚠ Plazo fijo mayor a 1 año (máx. legal; 2 años solo profesionales o técnicos)",IF(AND(ISNUMBER(G710),G710&lt;F710),"⚠ Término anterior al inicio",IF(AND(D710="Contrato inicial",ISNUMBER(J710),J710-F710&gt;15),"⚠ Escriturado fuera de plazo (Art. 9: 15 días)",IF(K710&lt;&gt;"Sí","Pendiente de firma","OK"))))))))))</f>
        <v/>
      </c>
    </row>
    <row r="711" customFormat="false" ht="15" hidden="false" customHeight="false" outlineLevel="0" collapsed="false">
      <c r="B711" s="64"/>
      <c r="C711" s="72" t="str">
        <f aca="false">IF(B711="","",IFERROR(INDEX(T_NOMBRE,MATCH(B711,T_ID,0)),"⚠ ID no existe en Trabajadores"))</f>
        <v/>
      </c>
      <c r="D711" s="64"/>
      <c r="E711" s="64"/>
      <c r="F711" s="65"/>
      <c r="G711" s="65"/>
      <c r="H711" s="67"/>
      <c r="I711" s="64"/>
      <c r="J711" s="65"/>
      <c r="K711" s="64"/>
      <c r="L711" s="64"/>
      <c r="M711" s="64"/>
      <c r="N711" s="72" t="str">
        <f aca="false">IF(B711="","",IF(D711="Anexo de modificación","No","Sí"))</f>
        <v/>
      </c>
      <c r="O711" s="73" t="str">
        <f aca="false">IF(AND(N711="Sí",ISNUMBER(F711)),COUNTIFS(C_ID,B711,C_DEFINE,"Sí",C_INICIO,"&lt;"&amp;F711)+COUNTIFS(B$7:B711,B711,N$7:N711,"Sí",F$7:F711,F711),"")</f>
        <v/>
      </c>
      <c r="P711" s="72" t="str">
        <f aca="false">IF(O711="","",B711&amp;"-P"&amp;O711)</f>
        <v/>
      </c>
      <c r="Q711" s="73" t="str">
        <f aca="false">IF(AND(N711="Sí",E711="Plazo fijo",ISNUMBER(F711)),COUNTIFS(C_ID,B711,C_TIPO,"Plazo fijo",C_DEFINE,"Sí",C_INICIO,"&lt;"&amp;F711)+COUNTIFS(B$7:B711,B711,E$7:E711,"Plazo fijo",N$7:N711,"Sí",F$7:F711,F711),"")</f>
        <v/>
      </c>
      <c r="R711" s="73" t="str">
        <f aca="false">IF(AND(B711&lt;&gt;"",ISNUMBER(H711),ISNUMBER(F711)),COUNTIFS(C_ID,B711,C_SUELDO,"&lt;&gt;",C_INICIO,"&lt;"&amp;F711)+COUNTIFS(B$7:B711,B711,H$7:H711,"&lt;&gt;",F$7:F711,F711),"")</f>
        <v/>
      </c>
      <c r="S711" s="72" t="str">
        <f aca="false">IF(R711="","",B711&amp;"-S"&amp;R711)</f>
        <v/>
      </c>
      <c r="T711" s="74" t="str">
        <f aca="false">IF(AND(ISNUMBER(F711),ISNUMBER(G711)),ROUND((G711-F711+1)/30.4375,1),"")</f>
        <v/>
      </c>
      <c r="U711" s="70" t="str">
        <f aca="false">IF(B711="","",IF(AND(N711="Sí",OR(E711="",NOT(ISNUMBER(F711)))),"⚠ Falta tipo de contrato o fecha de inicio",IF(NOT(ISNUMBER(F711)),"⚠ Falta fecha de inicio",IF(AND(N711="Sí",E711&lt;&gt;"Indefinido",NOT(ISNUMBER(G711))),"⚠ Falta fecha de término",IF(AND(D711="Paso a indefinido",E711&lt;&gt;"Indefinido"),"⚠ Un paso a indefinido debe tener tipo Indefinido",IF(N(Q711)&gt;=3,"⚠ 3er contrato a plazo fijo: por ley ya es INDEFINIDO (Art. 159 N°4)",IF(AND(E711="Plazo fijo",N(T711)&gt;12),"⚠ Plazo fijo mayor a 1 año (máx. legal; 2 años solo profesionales o técnicos)",IF(AND(ISNUMBER(G711),G711&lt;F711),"⚠ Término anterior al inicio",IF(AND(D711="Contrato inicial",ISNUMBER(J711),J711-F711&gt;15),"⚠ Escriturado fuera de plazo (Art. 9: 15 días)",IF(K711&lt;&gt;"Sí","Pendiente de firma","OK"))))))))))</f>
        <v/>
      </c>
    </row>
    <row r="712" customFormat="false" ht="15" hidden="false" customHeight="false" outlineLevel="0" collapsed="false">
      <c r="B712" s="64"/>
      <c r="C712" s="72" t="str">
        <f aca="false">IF(B712="","",IFERROR(INDEX(T_NOMBRE,MATCH(B712,T_ID,0)),"⚠ ID no existe en Trabajadores"))</f>
        <v/>
      </c>
      <c r="D712" s="64"/>
      <c r="E712" s="64"/>
      <c r="F712" s="65"/>
      <c r="G712" s="65"/>
      <c r="H712" s="67"/>
      <c r="I712" s="64"/>
      <c r="J712" s="65"/>
      <c r="K712" s="64"/>
      <c r="L712" s="64"/>
      <c r="M712" s="64"/>
      <c r="N712" s="72" t="str">
        <f aca="false">IF(B712="","",IF(D712="Anexo de modificación","No","Sí"))</f>
        <v/>
      </c>
      <c r="O712" s="73" t="str">
        <f aca="false">IF(AND(N712="Sí",ISNUMBER(F712)),COUNTIFS(C_ID,B712,C_DEFINE,"Sí",C_INICIO,"&lt;"&amp;F712)+COUNTIFS(B$7:B712,B712,N$7:N712,"Sí",F$7:F712,F712),"")</f>
        <v/>
      </c>
      <c r="P712" s="72" t="str">
        <f aca="false">IF(O712="","",B712&amp;"-P"&amp;O712)</f>
        <v/>
      </c>
      <c r="Q712" s="73" t="str">
        <f aca="false">IF(AND(N712="Sí",E712="Plazo fijo",ISNUMBER(F712)),COUNTIFS(C_ID,B712,C_TIPO,"Plazo fijo",C_DEFINE,"Sí",C_INICIO,"&lt;"&amp;F712)+COUNTIFS(B$7:B712,B712,E$7:E712,"Plazo fijo",N$7:N712,"Sí",F$7:F712,F712),"")</f>
        <v/>
      </c>
      <c r="R712" s="73" t="str">
        <f aca="false">IF(AND(B712&lt;&gt;"",ISNUMBER(H712),ISNUMBER(F712)),COUNTIFS(C_ID,B712,C_SUELDO,"&lt;&gt;",C_INICIO,"&lt;"&amp;F712)+COUNTIFS(B$7:B712,B712,H$7:H712,"&lt;&gt;",F$7:F712,F712),"")</f>
        <v/>
      </c>
      <c r="S712" s="72" t="str">
        <f aca="false">IF(R712="","",B712&amp;"-S"&amp;R712)</f>
        <v/>
      </c>
      <c r="T712" s="74" t="str">
        <f aca="false">IF(AND(ISNUMBER(F712),ISNUMBER(G712)),ROUND((G712-F712+1)/30.4375,1),"")</f>
        <v/>
      </c>
      <c r="U712" s="70" t="str">
        <f aca="false">IF(B712="","",IF(AND(N712="Sí",OR(E712="",NOT(ISNUMBER(F712)))),"⚠ Falta tipo de contrato o fecha de inicio",IF(NOT(ISNUMBER(F712)),"⚠ Falta fecha de inicio",IF(AND(N712="Sí",E712&lt;&gt;"Indefinido",NOT(ISNUMBER(G712))),"⚠ Falta fecha de término",IF(AND(D712="Paso a indefinido",E712&lt;&gt;"Indefinido"),"⚠ Un paso a indefinido debe tener tipo Indefinido",IF(N(Q712)&gt;=3,"⚠ 3er contrato a plazo fijo: por ley ya es INDEFINIDO (Art. 159 N°4)",IF(AND(E712="Plazo fijo",N(T712)&gt;12),"⚠ Plazo fijo mayor a 1 año (máx. legal; 2 años solo profesionales o técnicos)",IF(AND(ISNUMBER(G712),G712&lt;F712),"⚠ Término anterior al inicio",IF(AND(D712="Contrato inicial",ISNUMBER(J712),J712-F712&gt;15),"⚠ Escriturado fuera de plazo (Art. 9: 15 días)",IF(K712&lt;&gt;"Sí","Pendiente de firma","OK"))))))))))</f>
        <v/>
      </c>
    </row>
    <row r="713" customFormat="false" ht="15" hidden="false" customHeight="false" outlineLevel="0" collapsed="false">
      <c r="B713" s="64"/>
      <c r="C713" s="72" t="str">
        <f aca="false">IF(B713="","",IFERROR(INDEX(T_NOMBRE,MATCH(B713,T_ID,0)),"⚠ ID no existe en Trabajadores"))</f>
        <v/>
      </c>
      <c r="D713" s="64"/>
      <c r="E713" s="64"/>
      <c r="F713" s="65"/>
      <c r="G713" s="65"/>
      <c r="H713" s="67"/>
      <c r="I713" s="64"/>
      <c r="J713" s="65"/>
      <c r="K713" s="64"/>
      <c r="L713" s="64"/>
      <c r="M713" s="64"/>
      <c r="N713" s="72" t="str">
        <f aca="false">IF(B713="","",IF(D713="Anexo de modificación","No","Sí"))</f>
        <v/>
      </c>
      <c r="O713" s="73" t="str">
        <f aca="false">IF(AND(N713="Sí",ISNUMBER(F713)),COUNTIFS(C_ID,B713,C_DEFINE,"Sí",C_INICIO,"&lt;"&amp;F713)+COUNTIFS(B$7:B713,B713,N$7:N713,"Sí",F$7:F713,F713),"")</f>
        <v/>
      </c>
      <c r="P713" s="72" t="str">
        <f aca="false">IF(O713="","",B713&amp;"-P"&amp;O713)</f>
        <v/>
      </c>
      <c r="Q713" s="73" t="str">
        <f aca="false">IF(AND(N713="Sí",E713="Plazo fijo",ISNUMBER(F713)),COUNTIFS(C_ID,B713,C_TIPO,"Plazo fijo",C_DEFINE,"Sí",C_INICIO,"&lt;"&amp;F713)+COUNTIFS(B$7:B713,B713,E$7:E713,"Plazo fijo",N$7:N713,"Sí",F$7:F713,F713),"")</f>
        <v/>
      </c>
      <c r="R713" s="73" t="str">
        <f aca="false">IF(AND(B713&lt;&gt;"",ISNUMBER(H713),ISNUMBER(F713)),COUNTIFS(C_ID,B713,C_SUELDO,"&lt;&gt;",C_INICIO,"&lt;"&amp;F713)+COUNTIFS(B$7:B713,B713,H$7:H713,"&lt;&gt;",F$7:F713,F713),"")</f>
        <v/>
      </c>
      <c r="S713" s="72" t="str">
        <f aca="false">IF(R713="","",B713&amp;"-S"&amp;R713)</f>
        <v/>
      </c>
      <c r="T713" s="74" t="str">
        <f aca="false">IF(AND(ISNUMBER(F713),ISNUMBER(G713)),ROUND((G713-F713+1)/30.4375,1),"")</f>
        <v/>
      </c>
      <c r="U713" s="70" t="str">
        <f aca="false">IF(B713="","",IF(AND(N713="Sí",OR(E713="",NOT(ISNUMBER(F713)))),"⚠ Falta tipo de contrato o fecha de inicio",IF(NOT(ISNUMBER(F713)),"⚠ Falta fecha de inicio",IF(AND(N713="Sí",E713&lt;&gt;"Indefinido",NOT(ISNUMBER(G713))),"⚠ Falta fecha de término",IF(AND(D713="Paso a indefinido",E713&lt;&gt;"Indefinido"),"⚠ Un paso a indefinido debe tener tipo Indefinido",IF(N(Q713)&gt;=3,"⚠ 3er contrato a plazo fijo: por ley ya es INDEFINIDO (Art. 159 N°4)",IF(AND(E713="Plazo fijo",N(T713)&gt;12),"⚠ Plazo fijo mayor a 1 año (máx. legal; 2 años solo profesionales o técnicos)",IF(AND(ISNUMBER(G713),G713&lt;F713),"⚠ Término anterior al inicio",IF(AND(D713="Contrato inicial",ISNUMBER(J713),J713-F713&gt;15),"⚠ Escriturado fuera de plazo (Art. 9: 15 días)",IF(K713&lt;&gt;"Sí","Pendiente de firma","OK"))))))))))</f>
        <v/>
      </c>
    </row>
    <row r="714" customFormat="false" ht="15" hidden="false" customHeight="false" outlineLevel="0" collapsed="false">
      <c r="B714" s="64"/>
      <c r="C714" s="72" t="str">
        <f aca="false">IF(B714="","",IFERROR(INDEX(T_NOMBRE,MATCH(B714,T_ID,0)),"⚠ ID no existe en Trabajadores"))</f>
        <v/>
      </c>
      <c r="D714" s="64"/>
      <c r="E714" s="64"/>
      <c r="F714" s="65"/>
      <c r="G714" s="65"/>
      <c r="H714" s="67"/>
      <c r="I714" s="64"/>
      <c r="J714" s="65"/>
      <c r="K714" s="64"/>
      <c r="L714" s="64"/>
      <c r="M714" s="64"/>
      <c r="N714" s="72" t="str">
        <f aca="false">IF(B714="","",IF(D714="Anexo de modificación","No","Sí"))</f>
        <v/>
      </c>
      <c r="O714" s="73" t="str">
        <f aca="false">IF(AND(N714="Sí",ISNUMBER(F714)),COUNTIFS(C_ID,B714,C_DEFINE,"Sí",C_INICIO,"&lt;"&amp;F714)+COUNTIFS(B$7:B714,B714,N$7:N714,"Sí",F$7:F714,F714),"")</f>
        <v/>
      </c>
      <c r="P714" s="72" t="str">
        <f aca="false">IF(O714="","",B714&amp;"-P"&amp;O714)</f>
        <v/>
      </c>
      <c r="Q714" s="73" t="str">
        <f aca="false">IF(AND(N714="Sí",E714="Plazo fijo",ISNUMBER(F714)),COUNTIFS(C_ID,B714,C_TIPO,"Plazo fijo",C_DEFINE,"Sí",C_INICIO,"&lt;"&amp;F714)+COUNTIFS(B$7:B714,B714,E$7:E714,"Plazo fijo",N$7:N714,"Sí",F$7:F714,F714),"")</f>
        <v/>
      </c>
      <c r="R714" s="73" t="str">
        <f aca="false">IF(AND(B714&lt;&gt;"",ISNUMBER(H714),ISNUMBER(F714)),COUNTIFS(C_ID,B714,C_SUELDO,"&lt;&gt;",C_INICIO,"&lt;"&amp;F714)+COUNTIFS(B$7:B714,B714,H$7:H714,"&lt;&gt;",F$7:F714,F714),"")</f>
        <v/>
      </c>
      <c r="S714" s="72" t="str">
        <f aca="false">IF(R714="","",B714&amp;"-S"&amp;R714)</f>
        <v/>
      </c>
      <c r="T714" s="74" t="str">
        <f aca="false">IF(AND(ISNUMBER(F714),ISNUMBER(G714)),ROUND((G714-F714+1)/30.4375,1),"")</f>
        <v/>
      </c>
      <c r="U714" s="70" t="str">
        <f aca="false">IF(B714="","",IF(AND(N714="Sí",OR(E714="",NOT(ISNUMBER(F714)))),"⚠ Falta tipo de contrato o fecha de inicio",IF(NOT(ISNUMBER(F714)),"⚠ Falta fecha de inicio",IF(AND(N714="Sí",E714&lt;&gt;"Indefinido",NOT(ISNUMBER(G714))),"⚠ Falta fecha de término",IF(AND(D714="Paso a indefinido",E714&lt;&gt;"Indefinido"),"⚠ Un paso a indefinido debe tener tipo Indefinido",IF(N(Q714)&gt;=3,"⚠ 3er contrato a plazo fijo: por ley ya es INDEFINIDO (Art. 159 N°4)",IF(AND(E714="Plazo fijo",N(T714)&gt;12),"⚠ Plazo fijo mayor a 1 año (máx. legal; 2 años solo profesionales o técnicos)",IF(AND(ISNUMBER(G714),G714&lt;F714),"⚠ Término anterior al inicio",IF(AND(D714="Contrato inicial",ISNUMBER(J714),J714-F714&gt;15),"⚠ Escriturado fuera de plazo (Art. 9: 15 días)",IF(K714&lt;&gt;"Sí","Pendiente de firma","OK"))))))))))</f>
        <v/>
      </c>
    </row>
    <row r="715" customFormat="false" ht="15" hidden="false" customHeight="false" outlineLevel="0" collapsed="false">
      <c r="B715" s="64"/>
      <c r="C715" s="72" t="str">
        <f aca="false">IF(B715="","",IFERROR(INDEX(T_NOMBRE,MATCH(B715,T_ID,0)),"⚠ ID no existe en Trabajadores"))</f>
        <v/>
      </c>
      <c r="D715" s="64"/>
      <c r="E715" s="64"/>
      <c r="F715" s="65"/>
      <c r="G715" s="65"/>
      <c r="H715" s="67"/>
      <c r="I715" s="64"/>
      <c r="J715" s="65"/>
      <c r="K715" s="64"/>
      <c r="L715" s="64"/>
      <c r="M715" s="64"/>
      <c r="N715" s="72" t="str">
        <f aca="false">IF(B715="","",IF(D715="Anexo de modificación","No","Sí"))</f>
        <v/>
      </c>
      <c r="O715" s="73" t="str">
        <f aca="false">IF(AND(N715="Sí",ISNUMBER(F715)),COUNTIFS(C_ID,B715,C_DEFINE,"Sí",C_INICIO,"&lt;"&amp;F715)+COUNTIFS(B$7:B715,B715,N$7:N715,"Sí",F$7:F715,F715),"")</f>
        <v/>
      </c>
      <c r="P715" s="72" t="str">
        <f aca="false">IF(O715="","",B715&amp;"-P"&amp;O715)</f>
        <v/>
      </c>
      <c r="Q715" s="73" t="str">
        <f aca="false">IF(AND(N715="Sí",E715="Plazo fijo",ISNUMBER(F715)),COUNTIFS(C_ID,B715,C_TIPO,"Plazo fijo",C_DEFINE,"Sí",C_INICIO,"&lt;"&amp;F715)+COUNTIFS(B$7:B715,B715,E$7:E715,"Plazo fijo",N$7:N715,"Sí",F$7:F715,F715),"")</f>
        <v/>
      </c>
      <c r="R715" s="73" t="str">
        <f aca="false">IF(AND(B715&lt;&gt;"",ISNUMBER(H715),ISNUMBER(F715)),COUNTIFS(C_ID,B715,C_SUELDO,"&lt;&gt;",C_INICIO,"&lt;"&amp;F715)+COUNTIFS(B$7:B715,B715,H$7:H715,"&lt;&gt;",F$7:F715,F715),"")</f>
        <v/>
      </c>
      <c r="S715" s="72" t="str">
        <f aca="false">IF(R715="","",B715&amp;"-S"&amp;R715)</f>
        <v/>
      </c>
      <c r="T715" s="74" t="str">
        <f aca="false">IF(AND(ISNUMBER(F715),ISNUMBER(G715)),ROUND((G715-F715+1)/30.4375,1),"")</f>
        <v/>
      </c>
      <c r="U715" s="70" t="str">
        <f aca="false">IF(B715="","",IF(AND(N715="Sí",OR(E715="",NOT(ISNUMBER(F715)))),"⚠ Falta tipo de contrato o fecha de inicio",IF(NOT(ISNUMBER(F715)),"⚠ Falta fecha de inicio",IF(AND(N715="Sí",E715&lt;&gt;"Indefinido",NOT(ISNUMBER(G715))),"⚠ Falta fecha de término",IF(AND(D715="Paso a indefinido",E715&lt;&gt;"Indefinido"),"⚠ Un paso a indefinido debe tener tipo Indefinido",IF(N(Q715)&gt;=3,"⚠ 3er contrato a plazo fijo: por ley ya es INDEFINIDO (Art. 159 N°4)",IF(AND(E715="Plazo fijo",N(T715)&gt;12),"⚠ Plazo fijo mayor a 1 año (máx. legal; 2 años solo profesionales o técnicos)",IF(AND(ISNUMBER(G715),G715&lt;F715),"⚠ Término anterior al inicio",IF(AND(D715="Contrato inicial",ISNUMBER(J715),J715-F715&gt;15),"⚠ Escriturado fuera de plazo (Art. 9: 15 días)",IF(K715&lt;&gt;"Sí","Pendiente de firma","OK"))))))))))</f>
        <v/>
      </c>
    </row>
    <row r="716" customFormat="false" ht="15" hidden="false" customHeight="false" outlineLevel="0" collapsed="false">
      <c r="B716" s="64"/>
      <c r="C716" s="72" t="str">
        <f aca="false">IF(B716="","",IFERROR(INDEX(T_NOMBRE,MATCH(B716,T_ID,0)),"⚠ ID no existe en Trabajadores"))</f>
        <v/>
      </c>
      <c r="D716" s="64"/>
      <c r="E716" s="64"/>
      <c r="F716" s="65"/>
      <c r="G716" s="65"/>
      <c r="H716" s="67"/>
      <c r="I716" s="64"/>
      <c r="J716" s="65"/>
      <c r="K716" s="64"/>
      <c r="L716" s="64"/>
      <c r="M716" s="64"/>
      <c r="N716" s="72" t="str">
        <f aca="false">IF(B716="","",IF(D716="Anexo de modificación","No","Sí"))</f>
        <v/>
      </c>
      <c r="O716" s="73" t="str">
        <f aca="false">IF(AND(N716="Sí",ISNUMBER(F716)),COUNTIFS(C_ID,B716,C_DEFINE,"Sí",C_INICIO,"&lt;"&amp;F716)+COUNTIFS(B$7:B716,B716,N$7:N716,"Sí",F$7:F716,F716),"")</f>
        <v/>
      </c>
      <c r="P716" s="72" t="str">
        <f aca="false">IF(O716="","",B716&amp;"-P"&amp;O716)</f>
        <v/>
      </c>
      <c r="Q716" s="73" t="str">
        <f aca="false">IF(AND(N716="Sí",E716="Plazo fijo",ISNUMBER(F716)),COUNTIFS(C_ID,B716,C_TIPO,"Plazo fijo",C_DEFINE,"Sí",C_INICIO,"&lt;"&amp;F716)+COUNTIFS(B$7:B716,B716,E$7:E716,"Plazo fijo",N$7:N716,"Sí",F$7:F716,F716),"")</f>
        <v/>
      </c>
      <c r="R716" s="73" t="str">
        <f aca="false">IF(AND(B716&lt;&gt;"",ISNUMBER(H716),ISNUMBER(F716)),COUNTIFS(C_ID,B716,C_SUELDO,"&lt;&gt;",C_INICIO,"&lt;"&amp;F716)+COUNTIFS(B$7:B716,B716,H$7:H716,"&lt;&gt;",F$7:F716,F716),"")</f>
        <v/>
      </c>
      <c r="S716" s="72" t="str">
        <f aca="false">IF(R716="","",B716&amp;"-S"&amp;R716)</f>
        <v/>
      </c>
      <c r="T716" s="74" t="str">
        <f aca="false">IF(AND(ISNUMBER(F716),ISNUMBER(G716)),ROUND((G716-F716+1)/30.4375,1),"")</f>
        <v/>
      </c>
      <c r="U716" s="70" t="str">
        <f aca="false">IF(B716="","",IF(AND(N716="Sí",OR(E716="",NOT(ISNUMBER(F716)))),"⚠ Falta tipo de contrato o fecha de inicio",IF(NOT(ISNUMBER(F716)),"⚠ Falta fecha de inicio",IF(AND(N716="Sí",E716&lt;&gt;"Indefinido",NOT(ISNUMBER(G716))),"⚠ Falta fecha de término",IF(AND(D716="Paso a indefinido",E716&lt;&gt;"Indefinido"),"⚠ Un paso a indefinido debe tener tipo Indefinido",IF(N(Q716)&gt;=3,"⚠ 3er contrato a plazo fijo: por ley ya es INDEFINIDO (Art. 159 N°4)",IF(AND(E716="Plazo fijo",N(T716)&gt;12),"⚠ Plazo fijo mayor a 1 año (máx. legal; 2 años solo profesionales o técnicos)",IF(AND(ISNUMBER(G716),G716&lt;F716),"⚠ Término anterior al inicio",IF(AND(D716="Contrato inicial",ISNUMBER(J716),J716-F716&gt;15),"⚠ Escriturado fuera de plazo (Art. 9: 15 días)",IF(K716&lt;&gt;"Sí","Pendiente de firma","OK"))))))))))</f>
        <v/>
      </c>
    </row>
    <row r="717" customFormat="false" ht="15" hidden="false" customHeight="false" outlineLevel="0" collapsed="false">
      <c r="B717" s="64"/>
      <c r="C717" s="72" t="str">
        <f aca="false">IF(B717="","",IFERROR(INDEX(T_NOMBRE,MATCH(B717,T_ID,0)),"⚠ ID no existe en Trabajadores"))</f>
        <v/>
      </c>
      <c r="D717" s="64"/>
      <c r="E717" s="64"/>
      <c r="F717" s="65"/>
      <c r="G717" s="65"/>
      <c r="H717" s="67"/>
      <c r="I717" s="64"/>
      <c r="J717" s="65"/>
      <c r="K717" s="64"/>
      <c r="L717" s="64"/>
      <c r="M717" s="64"/>
      <c r="N717" s="72" t="str">
        <f aca="false">IF(B717="","",IF(D717="Anexo de modificación","No","Sí"))</f>
        <v/>
      </c>
      <c r="O717" s="73" t="str">
        <f aca="false">IF(AND(N717="Sí",ISNUMBER(F717)),COUNTIFS(C_ID,B717,C_DEFINE,"Sí",C_INICIO,"&lt;"&amp;F717)+COUNTIFS(B$7:B717,B717,N$7:N717,"Sí",F$7:F717,F717),"")</f>
        <v/>
      </c>
      <c r="P717" s="72" t="str">
        <f aca="false">IF(O717="","",B717&amp;"-P"&amp;O717)</f>
        <v/>
      </c>
      <c r="Q717" s="73" t="str">
        <f aca="false">IF(AND(N717="Sí",E717="Plazo fijo",ISNUMBER(F717)),COUNTIFS(C_ID,B717,C_TIPO,"Plazo fijo",C_DEFINE,"Sí",C_INICIO,"&lt;"&amp;F717)+COUNTIFS(B$7:B717,B717,E$7:E717,"Plazo fijo",N$7:N717,"Sí",F$7:F717,F717),"")</f>
        <v/>
      </c>
      <c r="R717" s="73" t="str">
        <f aca="false">IF(AND(B717&lt;&gt;"",ISNUMBER(H717),ISNUMBER(F717)),COUNTIFS(C_ID,B717,C_SUELDO,"&lt;&gt;",C_INICIO,"&lt;"&amp;F717)+COUNTIFS(B$7:B717,B717,H$7:H717,"&lt;&gt;",F$7:F717,F717),"")</f>
        <v/>
      </c>
      <c r="S717" s="72" t="str">
        <f aca="false">IF(R717="","",B717&amp;"-S"&amp;R717)</f>
        <v/>
      </c>
      <c r="T717" s="74" t="str">
        <f aca="false">IF(AND(ISNUMBER(F717),ISNUMBER(G717)),ROUND((G717-F717+1)/30.4375,1),"")</f>
        <v/>
      </c>
      <c r="U717" s="70" t="str">
        <f aca="false">IF(B717="","",IF(AND(N717="Sí",OR(E717="",NOT(ISNUMBER(F717)))),"⚠ Falta tipo de contrato o fecha de inicio",IF(NOT(ISNUMBER(F717)),"⚠ Falta fecha de inicio",IF(AND(N717="Sí",E717&lt;&gt;"Indefinido",NOT(ISNUMBER(G717))),"⚠ Falta fecha de término",IF(AND(D717="Paso a indefinido",E717&lt;&gt;"Indefinido"),"⚠ Un paso a indefinido debe tener tipo Indefinido",IF(N(Q717)&gt;=3,"⚠ 3er contrato a plazo fijo: por ley ya es INDEFINIDO (Art. 159 N°4)",IF(AND(E717="Plazo fijo",N(T717)&gt;12),"⚠ Plazo fijo mayor a 1 año (máx. legal; 2 años solo profesionales o técnicos)",IF(AND(ISNUMBER(G717),G717&lt;F717),"⚠ Término anterior al inicio",IF(AND(D717="Contrato inicial",ISNUMBER(J717),J717-F717&gt;15),"⚠ Escriturado fuera de plazo (Art. 9: 15 días)",IF(K717&lt;&gt;"Sí","Pendiente de firma","OK"))))))))))</f>
        <v/>
      </c>
    </row>
    <row r="718" customFormat="false" ht="15" hidden="false" customHeight="false" outlineLevel="0" collapsed="false">
      <c r="B718" s="64"/>
      <c r="C718" s="72" t="str">
        <f aca="false">IF(B718="","",IFERROR(INDEX(T_NOMBRE,MATCH(B718,T_ID,0)),"⚠ ID no existe en Trabajadores"))</f>
        <v/>
      </c>
      <c r="D718" s="64"/>
      <c r="E718" s="64"/>
      <c r="F718" s="65"/>
      <c r="G718" s="65"/>
      <c r="H718" s="67"/>
      <c r="I718" s="64"/>
      <c r="J718" s="65"/>
      <c r="K718" s="64"/>
      <c r="L718" s="64"/>
      <c r="M718" s="64"/>
      <c r="N718" s="72" t="str">
        <f aca="false">IF(B718="","",IF(D718="Anexo de modificación","No","Sí"))</f>
        <v/>
      </c>
      <c r="O718" s="73" t="str">
        <f aca="false">IF(AND(N718="Sí",ISNUMBER(F718)),COUNTIFS(C_ID,B718,C_DEFINE,"Sí",C_INICIO,"&lt;"&amp;F718)+COUNTIFS(B$7:B718,B718,N$7:N718,"Sí",F$7:F718,F718),"")</f>
        <v/>
      </c>
      <c r="P718" s="72" t="str">
        <f aca="false">IF(O718="","",B718&amp;"-P"&amp;O718)</f>
        <v/>
      </c>
      <c r="Q718" s="73" t="str">
        <f aca="false">IF(AND(N718="Sí",E718="Plazo fijo",ISNUMBER(F718)),COUNTIFS(C_ID,B718,C_TIPO,"Plazo fijo",C_DEFINE,"Sí",C_INICIO,"&lt;"&amp;F718)+COUNTIFS(B$7:B718,B718,E$7:E718,"Plazo fijo",N$7:N718,"Sí",F$7:F718,F718),"")</f>
        <v/>
      </c>
      <c r="R718" s="73" t="str">
        <f aca="false">IF(AND(B718&lt;&gt;"",ISNUMBER(H718),ISNUMBER(F718)),COUNTIFS(C_ID,B718,C_SUELDO,"&lt;&gt;",C_INICIO,"&lt;"&amp;F718)+COUNTIFS(B$7:B718,B718,H$7:H718,"&lt;&gt;",F$7:F718,F718),"")</f>
        <v/>
      </c>
      <c r="S718" s="72" t="str">
        <f aca="false">IF(R718="","",B718&amp;"-S"&amp;R718)</f>
        <v/>
      </c>
      <c r="T718" s="74" t="str">
        <f aca="false">IF(AND(ISNUMBER(F718),ISNUMBER(G718)),ROUND((G718-F718+1)/30.4375,1),"")</f>
        <v/>
      </c>
      <c r="U718" s="70" t="str">
        <f aca="false">IF(B718="","",IF(AND(N718="Sí",OR(E718="",NOT(ISNUMBER(F718)))),"⚠ Falta tipo de contrato o fecha de inicio",IF(NOT(ISNUMBER(F718)),"⚠ Falta fecha de inicio",IF(AND(N718="Sí",E718&lt;&gt;"Indefinido",NOT(ISNUMBER(G718))),"⚠ Falta fecha de término",IF(AND(D718="Paso a indefinido",E718&lt;&gt;"Indefinido"),"⚠ Un paso a indefinido debe tener tipo Indefinido",IF(N(Q718)&gt;=3,"⚠ 3er contrato a plazo fijo: por ley ya es INDEFINIDO (Art. 159 N°4)",IF(AND(E718="Plazo fijo",N(T718)&gt;12),"⚠ Plazo fijo mayor a 1 año (máx. legal; 2 años solo profesionales o técnicos)",IF(AND(ISNUMBER(G718),G718&lt;F718),"⚠ Término anterior al inicio",IF(AND(D718="Contrato inicial",ISNUMBER(J718),J718-F718&gt;15),"⚠ Escriturado fuera de plazo (Art. 9: 15 días)",IF(K718&lt;&gt;"Sí","Pendiente de firma","OK"))))))))))</f>
        <v/>
      </c>
    </row>
    <row r="719" customFormat="false" ht="15" hidden="false" customHeight="false" outlineLevel="0" collapsed="false">
      <c r="B719" s="64"/>
      <c r="C719" s="72" t="str">
        <f aca="false">IF(B719="","",IFERROR(INDEX(T_NOMBRE,MATCH(B719,T_ID,0)),"⚠ ID no existe en Trabajadores"))</f>
        <v/>
      </c>
      <c r="D719" s="64"/>
      <c r="E719" s="64"/>
      <c r="F719" s="65"/>
      <c r="G719" s="65"/>
      <c r="H719" s="67"/>
      <c r="I719" s="64"/>
      <c r="J719" s="65"/>
      <c r="K719" s="64"/>
      <c r="L719" s="64"/>
      <c r="M719" s="64"/>
      <c r="N719" s="72" t="str">
        <f aca="false">IF(B719="","",IF(D719="Anexo de modificación","No","Sí"))</f>
        <v/>
      </c>
      <c r="O719" s="73" t="str">
        <f aca="false">IF(AND(N719="Sí",ISNUMBER(F719)),COUNTIFS(C_ID,B719,C_DEFINE,"Sí",C_INICIO,"&lt;"&amp;F719)+COUNTIFS(B$7:B719,B719,N$7:N719,"Sí",F$7:F719,F719),"")</f>
        <v/>
      </c>
      <c r="P719" s="72" t="str">
        <f aca="false">IF(O719="","",B719&amp;"-P"&amp;O719)</f>
        <v/>
      </c>
      <c r="Q719" s="73" t="str">
        <f aca="false">IF(AND(N719="Sí",E719="Plazo fijo",ISNUMBER(F719)),COUNTIFS(C_ID,B719,C_TIPO,"Plazo fijo",C_DEFINE,"Sí",C_INICIO,"&lt;"&amp;F719)+COUNTIFS(B$7:B719,B719,E$7:E719,"Plazo fijo",N$7:N719,"Sí",F$7:F719,F719),"")</f>
        <v/>
      </c>
      <c r="R719" s="73" t="str">
        <f aca="false">IF(AND(B719&lt;&gt;"",ISNUMBER(H719),ISNUMBER(F719)),COUNTIFS(C_ID,B719,C_SUELDO,"&lt;&gt;",C_INICIO,"&lt;"&amp;F719)+COUNTIFS(B$7:B719,B719,H$7:H719,"&lt;&gt;",F$7:F719,F719),"")</f>
        <v/>
      </c>
      <c r="S719" s="72" t="str">
        <f aca="false">IF(R719="","",B719&amp;"-S"&amp;R719)</f>
        <v/>
      </c>
      <c r="T719" s="74" t="str">
        <f aca="false">IF(AND(ISNUMBER(F719),ISNUMBER(G719)),ROUND((G719-F719+1)/30.4375,1),"")</f>
        <v/>
      </c>
      <c r="U719" s="70" t="str">
        <f aca="false">IF(B719="","",IF(AND(N719="Sí",OR(E719="",NOT(ISNUMBER(F719)))),"⚠ Falta tipo de contrato o fecha de inicio",IF(NOT(ISNUMBER(F719)),"⚠ Falta fecha de inicio",IF(AND(N719="Sí",E719&lt;&gt;"Indefinido",NOT(ISNUMBER(G719))),"⚠ Falta fecha de término",IF(AND(D719="Paso a indefinido",E719&lt;&gt;"Indefinido"),"⚠ Un paso a indefinido debe tener tipo Indefinido",IF(N(Q719)&gt;=3,"⚠ 3er contrato a plazo fijo: por ley ya es INDEFINIDO (Art. 159 N°4)",IF(AND(E719="Plazo fijo",N(T719)&gt;12),"⚠ Plazo fijo mayor a 1 año (máx. legal; 2 años solo profesionales o técnicos)",IF(AND(ISNUMBER(G719),G719&lt;F719),"⚠ Término anterior al inicio",IF(AND(D719="Contrato inicial",ISNUMBER(J719),J719-F719&gt;15),"⚠ Escriturado fuera de plazo (Art. 9: 15 días)",IF(K719&lt;&gt;"Sí","Pendiente de firma","OK"))))))))))</f>
        <v/>
      </c>
    </row>
    <row r="720" customFormat="false" ht="15" hidden="false" customHeight="false" outlineLevel="0" collapsed="false">
      <c r="B720" s="64"/>
      <c r="C720" s="72" t="str">
        <f aca="false">IF(B720="","",IFERROR(INDEX(T_NOMBRE,MATCH(B720,T_ID,0)),"⚠ ID no existe en Trabajadores"))</f>
        <v/>
      </c>
      <c r="D720" s="64"/>
      <c r="E720" s="64"/>
      <c r="F720" s="65"/>
      <c r="G720" s="65"/>
      <c r="H720" s="67"/>
      <c r="I720" s="64"/>
      <c r="J720" s="65"/>
      <c r="K720" s="64"/>
      <c r="L720" s="64"/>
      <c r="M720" s="64"/>
      <c r="N720" s="72" t="str">
        <f aca="false">IF(B720="","",IF(D720="Anexo de modificación","No","Sí"))</f>
        <v/>
      </c>
      <c r="O720" s="73" t="str">
        <f aca="false">IF(AND(N720="Sí",ISNUMBER(F720)),COUNTIFS(C_ID,B720,C_DEFINE,"Sí",C_INICIO,"&lt;"&amp;F720)+COUNTIFS(B$7:B720,B720,N$7:N720,"Sí",F$7:F720,F720),"")</f>
        <v/>
      </c>
      <c r="P720" s="72" t="str">
        <f aca="false">IF(O720="","",B720&amp;"-P"&amp;O720)</f>
        <v/>
      </c>
      <c r="Q720" s="73" t="str">
        <f aca="false">IF(AND(N720="Sí",E720="Plazo fijo",ISNUMBER(F720)),COUNTIFS(C_ID,B720,C_TIPO,"Plazo fijo",C_DEFINE,"Sí",C_INICIO,"&lt;"&amp;F720)+COUNTIFS(B$7:B720,B720,E$7:E720,"Plazo fijo",N$7:N720,"Sí",F$7:F720,F720),"")</f>
        <v/>
      </c>
      <c r="R720" s="73" t="str">
        <f aca="false">IF(AND(B720&lt;&gt;"",ISNUMBER(H720),ISNUMBER(F720)),COUNTIFS(C_ID,B720,C_SUELDO,"&lt;&gt;",C_INICIO,"&lt;"&amp;F720)+COUNTIFS(B$7:B720,B720,H$7:H720,"&lt;&gt;",F$7:F720,F720),"")</f>
        <v/>
      </c>
      <c r="S720" s="72" t="str">
        <f aca="false">IF(R720="","",B720&amp;"-S"&amp;R720)</f>
        <v/>
      </c>
      <c r="T720" s="74" t="str">
        <f aca="false">IF(AND(ISNUMBER(F720),ISNUMBER(G720)),ROUND((G720-F720+1)/30.4375,1),"")</f>
        <v/>
      </c>
      <c r="U720" s="70" t="str">
        <f aca="false">IF(B720="","",IF(AND(N720="Sí",OR(E720="",NOT(ISNUMBER(F720)))),"⚠ Falta tipo de contrato o fecha de inicio",IF(NOT(ISNUMBER(F720)),"⚠ Falta fecha de inicio",IF(AND(N720="Sí",E720&lt;&gt;"Indefinido",NOT(ISNUMBER(G720))),"⚠ Falta fecha de término",IF(AND(D720="Paso a indefinido",E720&lt;&gt;"Indefinido"),"⚠ Un paso a indefinido debe tener tipo Indefinido",IF(N(Q720)&gt;=3,"⚠ 3er contrato a plazo fijo: por ley ya es INDEFINIDO (Art. 159 N°4)",IF(AND(E720="Plazo fijo",N(T720)&gt;12),"⚠ Plazo fijo mayor a 1 año (máx. legal; 2 años solo profesionales o técnicos)",IF(AND(ISNUMBER(G720),G720&lt;F720),"⚠ Término anterior al inicio",IF(AND(D720="Contrato inicial",ISNUMBER(J720),J720-F720&gt;15),"⚠ Escriturado fuera de plazo (Art. 9: 15 días)",IF(K720&lt;&gt;"Sí","Pendiente de firma","OK"))))))))))</f>
        <v/>
      </c>
    </row>
    <row r="721" customFormat="false" ht="15" hidden="false" customHeight="false" outlineLevel="0" collapsed="false">
      <c r="B721" s="64"/>
      <c r="C721" s="72" t="str">
        <f aca="false">IF(B721="","",IFERROR(INDEX(T_NOMBRE,MATCH(B721,T_ID,0)),"⚠ ID no existe en Trabajadores"))</f>
        <v/>
      </c>
      <c r="D721" s="64"/>
      <c r="E721" s="64"/>
      <c r="F721" s="65"/>
      <c r="G721" s="65"/>
      <c r="H721" s="67"/>
      <c r="I721" s="64"/>
      <c r="J721" s="65"/>
      <c r="K721" s="64"/>
      <c r="L721" s="64"/>
      <c r="M721" s="64"/>
      <c r="N721" s="72" t="str">
        <f aca="false">IF(B721="","",IF(D721="Anexo de modificación","No","Sí"))</f>
        <v/>
      </c>
      <c r="O721" s="73" t="str">
        <f aca="false">IF(AND(N721="Sí",ISNUMBER(F721)),COUNTIFS(C_ID,B721,C_DEFINE,"Sí",C_INICIO,"&lt;"&amp;F721)+COUNTIFS(B$7:B721,B721,N$7:N721,"Sí",F$7:F721,F721),"")</f>
        <v/>
      </c>
      <c r="P721" s="72" t="str">
        <f aca="false">IF(O721="","",B721&amp;"-P"&amp;O721)</f>
        <v/>
      </c>
      <c r="Q721" s="73" t="str">
        <f aca="false">IF(AND(N721="Sí",E721="Plazo fijo",ISNUMBER(F721)),COUNTIFS(C_ID,B721,C_TIPO,"Plazo fijo",C_DEFINE,"Sí",C_INICIO,"&lt;"&amp;F721)+COUNTIFS(B$7:B721,B721,E$7:E721,"Plazo fijo",N$7:N721,"Sí",F$7:F721,F721),"")</f>
        <v/>
      </c>
      <c r="R721" s="73" t="str">
        <f aca="false">IF(AND(B721&lt;&gt;"",ISNUMBER(H721),ISNUMBER(F721)),COUNTIFS(C_ID,B721,C_SUELDO,"&lt;&gt;",C_INICIO,"&lt;"&amp;F721)+COUNTIFS(B$7:B721,B721,H$7:H721,"&lt;&gt;",F$7:F721,F721),"")</f>
        <v/>
      </c>
      <c r="S721" s="72" t="str">
        <f aca="false">IF(R721="","",B721&amp;"-S"&amp;R721)</f>
        <v/>
      </c>
      <c r="T721" s="74" t="str">
        <f aca="false">IF(AND(ISNUMBER(F721),ISNUMBER(G721)),ROUND((G721-F721+1)/30.4375,1),"")</f>
        <v/>
      </c>
      <c r="U721" s="70" t="str">
        <f aca="false">IF(B721="","",IF(AND(N721="Sí",OR(E721="",NOT(ISNUMBER(F721)))),"⚠ Falta tipo de contrato o fecha de inicio",IF(NOT(ISNUMBER(F721)),"⚠ Falta fecha de inicio",IF(AND(N721="Sí",E721&lt;&gt;"Indefinido",NOT(ISNUMBER(G721))),"⚠ Falta fecha de término",IF(AND(D721="Paso a indefinido",E721&lt;&gt;"Indefinido"),"⚠ Un paso a indefinido debe tener tipo Indefinido",IF(N(Q721)&gt;=3,"⚠ 3er contrato a plazo fijo: por ley ya es INDEFINIDO (Art. 159 N°4)",IF(AND(E721="Plazo fijo",N(T721)&gt;12),"⚠ Plazo fijo mayor a 1 año (máx. legal; 2 años solo profesionales o técnicos)",IF(AND(ISNUMBER(G721),G721&lt;F721),"⚠ Término anterior al inicio",IF(AND(D721="Contrato inicial",ISNUMBER(J721),J721-F721&gt;15),"⚠ Escriturado fuera de plazo (Art. 9: 15 días)",IF(K721&lt;&gt;"Sí","Pendiente de firma","OK"))))))))))</f>
        <v/>
      </c>
    </row>
    <row r="722" customFormat="false" ht="15" hidden="false" customHeight="false" outlineLevel="0" collapsed="false">
      <c r="B722" s="64"/>
      <c r="C722" s="72" t="str">
        <f aca="false">IF(B722="","",IFERROR(INDEX(T_NOMBRE,MATCH(B722,T_ID,0)),"⚠ ID no existe en Trabajadores"))</f>
        <v/>
      </c>
      <c r="D722" s="64"/>
      <c r="E722" s="64"/>
      <c r="F722" s="65"/>
      <c r="G722" s="65"/>
      <c r="H722" s="67"/>
      <c r="I722" s="64"/>
      <c r="J722" s="65"/>
      <c r="K722" s="64"/>
      <c r="L722" s="64"/>
      <c r="M722" s="64"/>
      <c r="N722" s="72" t="str">
        <f aca="false">IF(B722="","",IF(D722="Anexo de modificación","No","Sí"))</f>
        <v/>
      </c>
      <c r="O722" s="73" t="str">
        <f aca="false">IF(AND(N722="Sí",ISNUMBER(F722)),COUNTIFS(C_ID,B722,C_DEFINE,"Sí",C_INICIO,"&lt;"&amp;F722)+COUNTIFS(B$7:B722,B722,N$7:N722,"Sí",F$7:F722,F722),"")</f>
        <v/>
      </c>
      <c r="P722" s="72" t="str">
        <f aca="false">IF(O722="","",B722&amp;"-P"&amp;O722)</f>
        <v/>
      </c>
      <c r="Q722" s="73" t="str">
        <f aca="false">IF(AND(N722="Sí",E722="Plazo fijo",ISNUMBER(F722)),COUNTIFS(C_ID,B722,C_TIPO,"Plazo fijo",C_DEFINE,"Sí",C_INICIO,"&lt;"&amp;F722)+COUNTIFS(B$7:B722,B722,E$7:E722,"Plazo fijo",N$7:N722,"Sí",F$7:F722,F722),"")</f>
        <v/>
      </c>
      <c r="R722" s="73" t="str">
        <f aca="false">IF(AND(B722&lt;&gt;"",ISNUMBER(H722),ISNUMBER(F722)),COUNTIFS(C_ID,B722,C_SUELDO,"&lt;&gt;",C_INICIO,"&lt;"&amp;F722)+COUNTIFS(B$7:B722,B722,H$7:H722,"&lt;&gt;",F$7:F722,F722),"")</f>
        <v/>
      </c>
      <c r="S722" s="72" t="str">
        <f aca="false">IF(R722="","",B722&amp;"-S"&amp;R722)</f>
        <v/>
      </c>
      <c r="T722" s="74" t="str">
        <f aca="false">IF(AND(ISNUMBER(F722),ISNUMBER(G722)),ROUND((G722-F722+1)/30.4375,1),"")</f>
        <v/>
      </c>
      <c r="U722" s="70" t="str">
        <f aca="false">IF(B722="","",IF(AND(N722="Sí",OR(E722="",NOT(ISNUMBER(F722)))),"⚠ Falta tipo de contrato o fecha de inicio",IF(NOT(ISNUMBER(F722)),"⚠ Falta fecha de inicio",IF(AND(N722="Sí",E722&lt;&gt;"Indefinido",NOT(ISNUMBER(G722))),"⚠ Falta fecha de término",IF(AND(D722="Paso a indefinido",E722&lt;&gt;"Indefinido"),"⚠ Un paso a indefinido debe tener tipo Indefinido",IF(N(Q722)&gt;=3,"⚠ 3er contrato a plazo fijo: por ley ya es INDEFINIDO (Art. 159 N°4)",IF(AND(E722="Plazo fijo",N(T722)&gt;12),"⚠ Plazo fijo mayor a 1 año (máx. legal; 2 años solo profesionales o técnicos)",IF(AND(ISNUMBER(G722),G722&lt;F722),"⚠ Término anterior al inicio",IF(AND(D722="Contrato inicial",ISNUMBER(J722),J722-F722&gt;15),"⚠ Escriturado fuera de plazo (Art. 9: 15 días)",IF(K722&lt;&gt;"Sí","Pendiente de firma","OK"))))))))))</f>
        <v/>
      </c>
    </row>
    <row r="723" customFormat="false" ht="15" hidden="false" customHeight="false" outlineLevel="0" collapsed="false">
      <c r="B723" s="64"/>
      <c r="C723" s="72" t="str">
        <f aca="false">IF(B723="","",IFERROR(INDEX(T_NOMBRE,MATCH(B723,T_ID,0)),"⚠ ID no existe en Trabajadores"))</f>
        <v/>
      </c>
      <c r="D723" s="64"/>
      <c r="E723" s="64"/>
      <c r="F723" s="65"/>
      <c r="G723" s="65"/>
      <c r="H723" s="67"/>
      <c r="I723" s="64"/>
      <c r="J723" s="65"/>
      <c r="K723" s="64"/>
      <c r="L723" s="64"/>
      <c r="M723" s="64"/>
      <c r="N723" s="72" t="str">
        <f aca="false">IF(B723="","",IF(D723="Anexo de modificación","No","Sí"))</f>
        <v/>
      </c>
      <c r="O723" s="73" t="str">
        <f aca="false">IF(AND(N723="Sí",ISNUMBER(F723)),COUNTIFS(C_ID,B723,C_DEFINE,"Sí",C_INICIO,"&lt;"&amp;F723)+COUNTIFS(B$7:B723,B723,N$7:N723,"Sí",F$7:F723,F723),"")</f>
        <v/>
      </c>
      <c r="P723" s="72" t="str">
        <f aca="false">IF(O723="","",B723&amp;"-P"&amp;O723)</f>
        <v/>
      </c>
      <c r="Q723" s="73" t="str">
        <f aca="false">IF(AND(N723="Sí",E723="Plazo fijo",ISNUMBER(F723)),COUNTIFS(C_ID,B723,C_TIPO,"Plazo fijo",C_DEFINE,"Sí",C_INICIO,"&lt;"&amp;F723)+COUNTIFS(B$7:B723,B723,E$7:E723,"Plazo fijo",N$7:N723,"Sí",F$7:F723,F723),"")</f>
        <v/>
      </c>
      <c r="R723" s="73" t="str">
        <f aca="false">IF(AND(B723&lt;&gt;"",ISNUMBER(H723),ISNUMBER(F723)),COUNTIFS(C_ID,B723,C_SUELDO,"&lt;&gt;",C_INICIO,"&lt;"&amp;F723)+COUNTIFS(B$7:B723,B723,H$7:H723,"&lt;&gt;",F$7:F723,F723),"")</f>
        <v/>
      </c>
      <c r="S723" s="72" t="str">
        <f aca="false">IF(R723="","",B723&amp;"-S"&amp;R723)</f>
        <v/>
      </c>
      <c r="T723" s="74" t="str">
        <f aca="false">IF(AND(ISNUMBER(F723),ISNUMBER(G723)),ROUND((G723-F723+1)/30.4375,1),"")</f>
        <v/>
      </c>
      <c r="U723" s="70" t="str">
        <f aca="false">IF(B723="","",IF(AND(N723="Sí",OR(E723="",NOT(ISNUMBER(F723)))),"⚠ Falta tipo de contrato o fecha de inicio",IF(NOT(ISNUMBER(F723)),"⚠ Falta fecha de inicio",IF(AND(N723="Sí",E723&lt;&gt;"Indefinido",NOT(ISNUMBER(G723))),"⚠ Falta fecha de término",IF(AND(D723="Paso a indefinido",E723&lt;&gt;"Indefinido"),"⚠ Un paso a indefinido debe tener tipo Indefinido",IF(N(Q723)&gt;=3,"⚠ 3er contrato a plazo fijo: por ley ya es INDEFINIDO (Art. 159 N°4)",IF(AND(E723="Plazo fijo",N(T723)&gt;12),"⚠ Plazo fijo mayor a 1 año (máx. legal; 2 años solo profesionales o técnicos)",IF(AND(ISNUMBER(G723),G723&lt;F723),"⚠ Término anterior al inicio",IF(AND(D723="Contrato inicial",ISNUMBER(J723),J723-F723&gt;15),"⚠ Escriturado fuera de plazo (Art. 9: 15 días)",IF(K723&lt;&gt;"Sí","Pendiente de firma","OK"))))))))))</f>
        <v/>
      </c>
    </row>
    <row r="724" customFormat="false" ht="15" hidden="false" customHeight="false" outlineLevel="0" collapsed="false">
      <c r="B724" s="64"/>
      <c r="C724" s="72" t="str">
        <f aca="false">IF(B724="","",IFERROR(INDEX(T_NOMBRE,MATCH(B724,T_ID,0)),"⚠ ID no existe en Trabajadores"))</f>
        <v/>
      </c>
      <c r="D724" s="64"/>
      <c r="E724" s="64"/>
      <c r="F724" s="65"/>
      <c r="G724" s="65"/>
      <c r="H724" s="67"/>
      <c r="I724" s="64"/>
      <c r="J724" s="65"/>
      <c r="K724" s="64"/>
      <c r="L724" s="64"/>
      <c r="M724" s="64"/>
      <c r="N724" s="72" t="str">
        <f aca="false">IF(B724="","",IF(D724="Anexo de modificación","No","Sí"))</f>
        <v/>
      </c>
      <c r="O724" s="73" t="str">
        <f aca="false">IF(AND(N724="Sí",ISNUMBER(F724)),COUNTIFS(C_ID,B724,C_DEFINE,"Sí",C_INICIO,"&lt;"&amp;F724)+COUNTIFS(B$7:B724,B724,N$7:N724,"Sí",F$7:F724,F724),"")</f>
        <v/>
      </c>
      <c r="P724" s="72" t="str">
        <f aca="false">IF(O724="","",B724&amp;"-P"&amp;O724)</f>
        <v/>
      </c>
      <c r="Q724" s="73" t="str">
        <f aca="false">IF(AND(N724="Sí",E724="Plazo fijo",ISNUMBER(F724)),COUNTIFS(C_ID,B724,C_TIPO,"Plazo fijo",C_DEFINE,"Sí",C_INICIO,"&lt;"&amp;F724)+COUNTIFS(B$7:B724,B724,E$7:E724,"Plazo fijo",N$7:N724,"Sí",F$7:F724,F724),"")</f>
        <v/>
      </c>
      <c r="R724" s="73" t="str">
        <f aca="false">IF(AND(B724&lt;&gt;"",ISNUMBER(H724),ISNUMBER(F724)),COUNTIFS(C_ID,B724,C_SUELDO,"&lt;&gt;",C_INICIO,"&lt;"&amp;F724)+COUNTIFS(B$7:B724,B724,H$7:H724,"&lt;&gt;",F$7:F724,F724),"")</f>
        <v/>
      </c>
      <c r="S724" s="72" t="str">
        <f aca="false">IF(R724="","",B724&amp;"-S"&amp;R724)</f>
        <v/>
      </c>
      <c r="T724" s="74" t="str">
        <f aca="false">IF(AND(ISNUMBER(F724),ISNUMBER(G724)),ROUND((G724-F724+1)/30.4375,1),"")</f>
        <v/>
      </c>
      <c r="U724" s="70" t="str">
        <f aca="false">IF(B724="","",IF(AND(N724="Sí",OR(E724="",NOT(ISNUMBER(F724)))),"⚠ Falta tipo de contrato o fecha de inicio",IF(NOT(ISNUMBER(F724)),"⚠ Falta fecha de inicio",IF(AND(N724="Sí",E724&lt;&gt;"Indefinido",NOT(ISNUMBER(G724))),"⚠ Falta fecha de término",IF(AND(D724="Paso a indefinido",E724&lt;&gt;"Indefinido"),"⚠ Un paso a indefinido debe tener tipo Indefinido",IF(N(Q724)&gt;=3,"⚠ 3er contrato a plazo fijo: por ley ya es INDEFINIDO (Art. 159 N°4)",IF(AND(E724="Plazo fijo",N(T724)&gt;12),"⚠ Plazo fijo mayor a 1 año (máx. legal; 2 años solo profesionales o técnicos)",IF(AND(ISNUMBER(G724),G724&lt;F724),"⚠ Término anterior al inicio",IF(AND(D724="Contrato inicial",ISNUMBER(J724),J724-F724&gt;15),"⚠ Escriturado fuera de plazo (Art. 9: 15 días)",IF(K724&lt;&gt;"Sí","Pendiente de firma","OK"))))))))))</f>
        <v/>
      </c>
    </row>
    <row r="725" customFormat="false" ht="15" hidden="false" customHeight="false" outlineLevel="0" collapsed="false">
      <c r="B725" s="64"/>
      <c r="C725" s="72" t="str">
        <f aca="false">IF(B725="","",IFERROR(INDEX(T_NOMBRE,MATCH(B725,T_ID,0)),"⚠ ID no existe en Trabajadores"))</f>
        <v/>
      </c>
      <c r="D725" s="64"/>
      <c r="E725" s="64"/>
      <c r="F725" s="65"/>
      <c r="G725" s="65"/>
      <c r="H725" s="67"/>
      <c r="I725" s="64"/>
      <c r="J725" s="65"/>
      <c r="K725" s="64"/>
      <c r="L725" s="64"/>
      <c r="M725" s="64"/>
      <c r="N725" s="72" t="str">
        <f aca="false">IF(B725="","",IF(D725="Anexo de modificación","No","Sí"))</f>
        <v/>
      </c>
      <c r="O725" s="73" t="str">
        <f aca="false">IF(AND(N725="Sí",ISNUMBER(F725)),COUNTIFS(C_ID,B725,C_DEFINE,"Sí",C_INICIO,"&lt;"&amp;F725)+COUNTIFS(B$7:B725,B725,N$7:N725,"Sí",F$7:F725,F725),"")</f>
        <v/>
      </c>
      <c r="P725" s="72" t="str">
        <f aca="false">IF(O725="","",B725&amp;"-P"&amp;O725)</f>
        <v/>
      </c>
      <c r="Q725" s="73" t="str">
        <f aca="false">IF(AND(N725="Sí",E725="Plazo fijo",ISNUMBER(F725)),COUNTIFS(C_ID,B725,C_TIPO,"Plazo fijo",C_DEFINE,"Sí",C_INICIO,"&lt;"&amp;F725)+COUNTIFS(B$7:B725,B725,E$7:E725,"Plazo fijo",N$7:N725,"Sí",F$7:F725,F725),"")</f>
        <v/>
      </c>
      <c r="R725" s="73" t="str">
        <f aca="false">IF(AND(B725&lt;&gt;"",ISNUMBER(H725),ISNUMBER(F725)),COUNTIFS(C_ID,B725,C_SUELDO,"&lt;&gt;",C_INICIO,"&lt;"&amp;F725)+COUNTIFS(B$7:B725,B725,H$7:H725,"&lt;&gt;",F$7:F725,F725),"")</f>
        <v/>
      </c>
      <c r="S725" s="72" t="str">
        <f aca="false">IF(R725="","",B725&amp;"-S"&amp;R725)</f>
        <v/>
      </c>
      <c r="T725" s="74" t="str">
        <f aca="false">IF(AND(ISNUMBER(F725),ISNUMBER(G725)),ROUND((G725-F725+1)/30.4375,1),"")</f>
        <v/>
      </c>
      <c r="U725" s="70" t="str">
        <f aca="false">IF(B725="","",IF(AND(N725="Sí",OR(E725="",NOT(ISNUMBER(F725)))),"⚠ Falta tipo de contrato o fecha de inicio",IF(NOT(ISNUMBER(F725)),"⚠ Falta fecha de inicio",IF(AND(N725="Sí",E725&lt;&gt;"Indefinido",NOT(ISNUMBER(G725))),"⚠ Falta fecha de término",IF(AND(D725="Paso a indefinido",E725&lt;&gt;"Indefinido"),"⚠ Un paso a indefinido debe tener tipo Indefinido",IF(N(Q725)&gt;=3,"⚠ 3er contrato a plazo fijo: por ley ya es INDEFINIDO (Art. 159 N°4)",IF(AND(E725="Plazo fijo",N(T725)&gt;12),"⚠ Plazo fijo mayor a 1 año (máx. legal; 2 años solo profesionales o técnicos)",IF(AND(ISNUMBER(G725),G725&lt;F725),"⚠ Término anterior al inicio",IF(AND(D725="Contrato inicial",ISNUMBER(J725),J725-F725&gt;15),"⚠ Escriturado fuera de plazo (Art. 9: 15 días)",IF(K725&lt;&gt;"Sí","Pendiente de firma","OK"))))))))))</f>
        <v/>
      </c>
    </row>
    <row r="726" customFormat="false" ht="15" hidden="false" customHeight="false" outlineLevel="0" collapsed="false">
      <c r="B726" s="64"/>
      <c r="C726" s="72" t="str">
        <f aca="false">IF(B726="","",IFERROR(INDEX(T_NOMBRE,MATCH(B726,T_ID,0)),"⚠ ID no existe en Trabajadores"))</f>
        <v/>
      </c>
      <c r="D726" s="64"/>
      <c r="E726" s="64"/>
      <c r="F726" s="65"/>
      <c r="G726" s="65"/>
      <c r="H726" s="67"/>
      <c r="I726" s="64"/>
      <c r="J726" s="65"/>
      <c r="K726" s="64"/>
      <c r="L726" s="64"/>
      <c r="M726" s="64"/>
      <c r="N726" s="72" t="str">
        <f aca="false">IF(B726="","",IF(D726="Anexo de modificación","No","Sí"))</f>
        <v/>
      </c>
      <c r="O726" s="73" t="str">
        <f aca="false">IF(AND(N726="Sí",ISNUMBER(F726)),COUNTIFS(C_ID,B726,C_DEFINE,"Sí",C_INICIO,"&lt;"&amp;F726)+COUNTIFS(B$7:B726,B726,N$7:N726,"Sí",F$7:F726,F726),"")</f>
        <v/>
      </c>
      <c r="P726" s="72" t="str">
        <f aca="false">IF(O726="","",B726&amp;"-P"&amp;O726)</f>
        <v/>
      </c>
      <c r="Q726" s="73" t="str">
        <f aca="false">IF(AND(N726="Sí",E726="Plazo fijo",ISNUMBER(F726)),COUNTIFS(C_ID,B726,C_TIPO,"Plazo fijo",C_DEFINE,"Sí",C_INICIO,"&lt;"&amp;F726)+COUNTIFS(B$7:B726,B726,E$7:E726,"Plazo fijo",N$7:N726,"Sí",F$7:F726,F726),"")</f>
        <v/>
      </c>
      <c r="R726" s="73" t="str">
        <f aca="false">IF(AND(B726&lt;&gt;"",ISNUMBER(H726),ISNUMBER(F726)),COUNTIFS(C_ID,B726,C_SUELDO,"&lt;&gt;",C_INICIO,"&lt;"&amp;F726)+COUNTIFS(B$7:B726,B726,H$7:H726,"&lt;&gt;",F$7:F726,F726),"")</f>
        <v/>
      </c>
      <c r="S726" s="72" t="str">
        <f aca="false">IF(R726="","",B726&amp;"-S"&amp;R726)</f>
        <v/>
      </c>
      <c r="T726" s="74" t="str">
        <f aca="false">IF(AND(ISNUMBER(F726),ISNUMBER(G726)),ROUND((G726-F726+1)/30.4375,1),"")</f>
        <v/>
      </c>
      <c r="U726" s="70" t="str">
        <f aca="false">IF(B726="","",IF(AND(N726="Sí",OR(E726="",NOT(ISNUMBER(F726)))),"⚠ Falta tipo de contrato o fecha de inicio",IF(NOT(ISNUMBER(F726)),"⚠ Falta fecha de inicio",IF(AND(N726="Sí",E726&lt;&gt;"Indefinido",NOT(ISNUMBER(G726))),"⚠ Falta fecha de término",IF(AND(D726="Paso a indefinido",E726&lt;&gt;"Indefinido"),"⚠ Un paso a indefinido debe tener tipo Indefinido",IF(N(Q726)&gt;=3,"⚠ 3er contrato a plazo fijo: por ley ya es INDEFINIDO (Art. 159 N°4)",IF(AND(E726="Plazo fijo",N(T726)&gt;12),"⚠ Plazo fijo mayor a 1 año (máx. legal; 2 años solo profesionales o técnicos)",IF(AND(ISNUMBER(G726),G726&lt;F726),"⚠ Término anterior al inicio",IF(AND(D726="Contrato inicial",ISNUMBER(J726),J726-F726&gt;15),"⚠ Escriturado fuera de plazo (Art. 9: 15 días)",IF(K726&lt;&gt;"Sí","Pendiente de firma","OK"))))))))))</f>
        <v/>
      </c>
    </row>
    <row r="727" customFormat="false" ht="15" hidden="false" customHeight="false" outlineLevel="0" collapsed="false">
      <c r="B727" s="64"/>
      <c r="C727" s="72" t="str">
        <f aca="false">IF(B727="","",IFERROR(INDEX(T_NOMBRE,MATCH(B727,T_ID,0)),"⚠ ID no existe en Trabajadores"))</f>
        <v/>
      </c>
      <c r="D727" s="64"/>
      <c r="E727" s="64"/>
      <c r="F727" s="65"/>
      <c r="G727" s="65"/>
      <c r="H727" s="67"/>
      <c r="I727" s="64"/>
      <c r="J727" s="65"/>
      <c r="K727" s="64"/>
      <c r="L727" s="64"/>
      <c r="M727" s="64"/>
      <c r="N727" s="72" t="str">
        <f aca="false">IF(B727="","",IF(D727="Anexo de modificación","No","Sí"))</f>
        <v/>
      </c>
      <c r="O727" s="73" t="str">
        <f aca="false">IF(AND(N727="Sí",ISNUMBER(F727)),COUNTIFS(C_ID,B727,C_DEFINE,"Sí",C_INICIO,"&lt;"&amp;F727)+COUNTIFS(B$7:B727,B727,N$7:N727,"Sí",F$7:F727,F727),"")</f>
        <v/>
      </c>
      <c r="P727" s="72" t="str">
        <f aca="false">IF(O727="","",B727&amp;"-P"&amp;O727)</f>
        <v/>
      </c>
      <c r="Q727" s="73" t="str">
        <f aca="false">IF(AND(N727="Sí",E727="Plazo fijo",ISNUMBER(F727)),COUNTIFS(C_ID,B727,C_TIPO,"Plazo fijo",C_DEFINE,"Sí",C_INICIO,"&lt;"&amp;F727)+COUNTIFS(B$7:B727,B727,E$7:E727,"Plazo fijo",N$7:N727,"Sí",F$7:F727,F727),"")</f>
        <v/>
      </c>
      <c r="R727" s="73" t="str">
        <f aca="false">IF(AND(B727&lt;&gt;"",ISNUMBER(H727),ISNUMBER(F727)),COUNTIFS(C_ID,B727,C_SUELDO,"&lt;&gt;",C_INICIO,"&lt;"&amp;F727)+COUNTIFS(B$7:B727,B727,H$7:H727,"&lt;&gt;",F$7:F727,F727),"")</f>
        <v/>
      </c>
      <c r="S727" s="72" t="str">
        <f aca="false">IF(R727="","",B727&amp;"-S"&amp;R727)</f>
        <v/>
      </c>
      <c r="T727" s="74" t="str">
        <f aca="false">IF(AND(ISNUMBER(F727),ISNUMBER(G727)),ROUND((G727-F727+1)/30.4375,1),"")</f>
        <v/>
      </c>
      <c r="U727" s="70" t="str">
        <f aca="false">IF(B727="","",IF(AND(N727="Sí",OR(E727="",NOT(ISNUMBER(F727)))),"⚠ Falta tipo de contrato o fecha de inicio",IF(NOT(ISNUMBER(F727)),"⚠ Falta fecha de inicio",IF(AND(N727="Sí",E727&lt;&gt;"Indefinido",NOT(ISNUMBER(G727))),"⚠ Falta fecha de término",IF(AND(D727="Paso a indefinido",E727&lt;&gt;"Indefinido"),"⚠ Un paso a indefinido debe tener tipo Indefinido",IF(N(Q727)&gt;=3,"⚠ 3er contrato a plazo fijo: por ley ya es INDEFINIDO (Art. 159 N°4)",IF(AND(E727="Plazo fijo",N(T727)&gt;12),"⚠ Plazo fijo mayor a 1 año (máx. legal; 2 años solo profesionales o técnicos)",IF(AND(ISNUMBER(G727),G727&lt;F727),"⚠ Término anterior al inicio",IF(AND(D727="Contrato inicial",ISNUMBER(J727),J727-F727&gt;15),"⚠ Escriturado fuera de plazo (Art. 9: 15 días)",IF(K727&lt;&gt;"Sí","Pendiente de firma","OK"))))))))))</f>
        <v/>
      </c>
    </row>
    <row r="728" customFormat="false" ht="15" hidden="false" customHeight="false" outlineLevel="0" collapsed="false">
      <c r="B728" s="64"/>
      <c r="C728" s="72" t="str">
        <f aca="false">IF(B728="","",IFERROR(INDEX(T_NOMBRE,MATCH(B728,T_ID,0)),"⚠ ID no existe en Trabajadores"))</f>
        <v/>
      </c>
      <c r="D728" s="64"/>
      <c r="E728" s="64"/>
      <c r="F728" s="65"/>
      <c r="G728" s="65"/>
      <c r="H728" s="67"/>
      <c r="I728" s="64"/>
      <c r="J728" s="65"/>
      <c r="K728" s="64"/>
      <c r="L728" s="64"/>
      <c r="M728" s="64"/>
      <c r="N728" s="72" t="str">
        <f aca="false">IF(B728="","",IF(D728="Anexo de modificación","No","Sí"))</f>
        <v/>
      </c>
      <c r="O728" s="73" t="str">
        <f aca="false">IF(AND(N728="Sí",ISNUMBER(F728)),COUNTIFS(C_ID,B728,C_DEFINE,"Sí",C_INICIO,"&lt;"&amp;F728)+COUNTIFS(B$7:B728,B728,N$7:N728,"Sí",F$7:F728,F728),"")</f>
        <v/>
      </c>
      <c r="P728" s="72" t="str">
        <f aca="false">IF(O728="","",B728&amp;"-P"&amp;O728)</f>
        <v/>
      </c>
      <c r="Q728" s="73" t="str">
        <f aca="false">IF(AND(N728="Sí",E728="Plazo fijo",ISNUMBER(F728)),COUNTIFS(C_ID,B728,C_TIPO,"Plazo fijo",C_DEFINE,"Sí",C_INICIO,"&lt;"&amp;F728)+COUNTIFS(B$7:B728,B728,E$7:E728,"Plazo fijo",N$7:N728,"Sí",F$7:F728,F728),"")</f>
        <v/>
      </c>
      <c r="R728" s="73" t="str">
        <f aca="false">IF(AND(B728&lt;&gt;"",ISNUMBER(H728),ISNUMBER(F728)),COUNTIFS(C_ID,B728,C_SUELDO,"&lt;&gt;",C_INICIO,"&lt;"&amp;F728)+COUNTIFS(B$7:B728,B728,H$7:H728,"&lt;&gt;",F$7:F728,F728),"")</f>
        <v/>
      </c>
      <c r="S728" s="72" t="str">
        <f aca="false">IF(R728="","",B728&amp;"-S"&amp;R728)</f>
        <v/>
      </c>
      <c r="T728" s="74" t="str">
        <f aca="false">IF(AND(ISNUMBER(F728),ISNUMBER(G728)),ROUND((G728-F728+1)/30.4375,1),"")</f>
        <v/>
      </c>
      <c r="U728" s="70" t="str">
        <f aca="false">IF(B728="","",IF(AND(N728="Sí",OR(E728="",NOT(ISNUMBER(F728)))),"⚠ Falta tipo de contrato o fecha de inicio",IF(NOT(ISNUMBER(F728)),"⚠ Falta fecha de inicio",IF(AND(N728="Sí",E728&lt;&gt;"Indefinido",NOT(ISNUMBER(G728))),"⚠ Falta fecha de término",IF(AND(D728="Paso a indefinido",E728&lt;&gt;"Indefinido"),"⚠ Un paso a indefinido debe tener tipo Indefinido",IF(N(Q728)&gt;=3,"⚠ 3er contrato a plazo fijo: por ley ya es INDEFINIDO (Art. 159 N°4)",IF(AND(E728="Plazo fijo",N(T728)&gt;12),"⚠ Plazo fijo mayor a 1 año (máx. legal; 2 años solo profesionales o técnicos)",IF(AND(ISNUMBER(G728),G728&lt;F728),"⚠ Término anterior al inicio",IF(AND(D728="Contrato inicial",ISNUMBER(J728),J728-F728&gt;15),"⚠ Escriturado fuera de plazo (Art. 9: 15 días)",IF(K728&lt;&gt;"Sí","Pendiente de firma","OK"))))))))))</f>
        <v/>
      </c>
    </row>
    <row r="729" customFormat="false" ht="15" hidden="false" customHeight="false" outlineLevel="0" collapsed="false">
      <c r="B729" s="64"/>
      <c r="C729" s="72" t="str">
        <f aca="false">IF(B729="","",IFERROR(INDEX(T_NOMBRE,MATCH(B729,T_ID,0)),"⚠ ID no existe en Trabajadores"))</f>
        <v/>
      </c>
      <c r="D729" s="64"/>
      <c r="E729" s="64"/>
      <c r="F729" s="65"/>
      <c r="G729" s="65"/>
      <c r="H729" s="67"/>
      <c r="I729" s="64"/>
      <c r="J729" s="65"/>
      <c r="K729" s="64"/>
      <c r="L729" s="64"/>
      <c r="M729" s="64"/>
      <c r="N729" s="72" t="str">
        <f aca="false">IF(B729="","",IF(D729="Anexo de modificación","No","Sí"))</f>
        <v/>
      </c>
      <c r="O729" s="73" t="str">
        <f aca="false">IF(AND(N729="Sí",ISNUMBER(F729)),COUNTIFS(C_ID,B729,C_DEFINE,"Sí",C_INICIO,"&lt;"&amp;F729)+COUNTIFS(B$7:B729,B729,N$7:N729,"Sí",F$7:F729,F729),"")</f>
        <v/>
      </c>
      <c r="P729" s="72" t="str">
        <f aca="false">IF(O729="","",B729&amp;"-P"&amp;O729)</f>
        <v/>
      </c>
      <c r="Q729" s="73" t="str">
        <f aca="false">IF(AND(N729="Sí",E729="Plazo fijo",ISNUMBER(F729)),COUNTIFS(C_ID,B729,C_TIPO,"Plazo fijo",C_DEFINE,"Sí",C_INICIO,"&lt;"&amp;F729)+COUNTIFS(B$7:B729,B729,E$7:E729,"Plazo fijo",N$7:N729,"Sí",F$7:F729,F729),"")</f>
        <v/>
      </c>
      <c r="R729" s="73" t="str">
        <f aca="false">IF(AND(B729&lt;&gt;"",ISNUMBER(H729),ISNUMBER(F729)),COUNTIFS(C_ID,B729,C_SUELDO,"&lt;&gt;",C_INICIO,"&lt;"&amp;F729)+COUNTIFS(B$7:B729,B729,H$7:H729,"&lt;&gt;",F$7:F729,F729),"")</f>
        <v/>
      </c>
      <c r="S729" s="72" t="str">
        <f aca="false">IF(R729="","",B729&amp;"-S"&amp;R729)</f>
        <v/>
      </c>
      <c r="T729" s="74" t="str">
        <f aca="false">IF(AND(ISNUMBER(F729),ISNUMBER(G729)),ROUND((G729-F729+1)/30.4375,1),"")</f>
        <v/>
      </c>
      <c r="U729" s="70" t="str">
        <f aca="false">IF(B729="","",IF(AND(N729="Sí",OR(E729="",NOT(ISNUMBER(F729)))),"⚠ Falta tipo de contrato o fecha de inicio",IF(NOT(ISNUMBER(F729)),"⚠ Falta fecha de inicio",IF(AND(N729="Sí",E729&lt;&gt;"Indefinido",NOT(ISNUMBER(G729))),"⚠ Falta fecha de término",IF(AND(D729="Paso a indefinido",E729&lt;&gt;"Indefinido"),"⚠ Un paso a indefinido debe tener tipo Indefinido",IF(N(Q729)&gt;=3,"⚠ 3er contrato a plazo fijo: por ley ya es INDEFINIDO (Art. 159 N°4)",IF(AND(E729="Plazo fijo",N(T729)&gt;12),"⚠ Plazo fijo mayor a 1 año (máx. legal; 2 años solo profesionales o técnicos)",IF(AND(ISNUMBER(G729),G729&lt;F729),"⚠ Término anterior al inicio",IF(AND(D729="Contrato inicial",ISNUMBER(J729),J729-F729&gt;15),"⚠ Escriturado fuera de plazo (Art. 9: 15 días)",IF(K729&lt;&gt;"Sí","Pendiente de firma","OK"))))))))))</f>
        <v/>
      </c>
    </row>
    <row r="730" customFormat="false" ht="15" hidden="false" customHeight="false" outlineLevel="0" collapsed="false">
      <c r="B730" s="64"/>
      <c r="C730" s="72" t="str">
        <f aca="false">IF(B730="","",IFERROR(INDEX(T_NOMBRE,MATCH(B730,T_ID,0)),"⚠ ID no existe en Trabajadores"))</f>
        <v/>
      </c>
      <c r="D730" s="64"/>
      <c r="E730" s="64"/>
      <c r="F730" s="65"/>
      <c r="G730" s="65"/>
      <c r="H730" s="67"/>
      <c r="I730" s="64"/>
      <c r="J730" s="65"/>
      <c r="K730" s="64"/>
      <c r="L730" s="64"/>
      <c r="M730" s="64"/>
      <c r="N730" s="72" t="str">
        <f aca="false">IF(B730="","",IF(D730="Anexo de modificación","No","Sí"))</f>
        <v/>
      </c>
      <c r="O730" s="73" t="str">
        <f aca="false">IF(AND(N730="Sí",ISNUMBER(F730)),COUNTIFS(C_ID,B730,C_DEFINE,"Sí",C_INICIO,"&lt;"&amp;F730)+COUNTIFS(B$7:B730,B730,N$7:N730,"Sí",F$7:F730,F730),"")</f>
        <v/>
      </c>
      <c r="P730" s="72" t="str">
        <f aca="false">IF(O730="","",B730&amp;"-P"&amp;O730)</f>
        <v/>
      </c>
      <c r="Q730" s="73" t="str">
        <f aca="false">IF(AND(N730="Sí",E730="Plazo fijo",ISNUMBER(F730)),COUNTIFS(C_ID,B730,C_TIPO,"Plazo fijo",C_DEFINE,"Sí",C_INICIO,"&lt;"&amp;F730)+COUNTIFS(B$7:B730,B730,E$7:E730,"Plazo fijo",N$7:N730,"Sí",F$7:F730,F730),"")</f>
        <v/>
      </c>
      <c r="R730" s="73" t="str">
        <f aca="false">IF(AND(B730&lt;&gt;"",ISNUMBER(H730),ISNUMBER(F730)),COUNTIFS(C_ID,B730,C_SUELDO,"&lt;&gt;",C_INICIO,"&lt;"&amp;F730)+COUNTIFS(B$7:B730,B730,H$7:H730,"&lt;&gt;",F$7:F730,F730),"")</f>
        <v/>
      </c>
      <c r="S730" s="72" t="str">
        <f aca="false">IF(R730="","",B730&amp;"-S"&amp;R730)</f>
        <v/>
      </c>
      <c r="T730" s="74" t="str">
        <f aca="false">IF(AND(ISNUMBER(F730),ISNUMBER(G730)),ROUND((G730-F730+1)/30.4375,1),"")</f>
        <v/>
      </c>
      <c r="U730" s="70" t="str">
        <f aca="false">IF(B730="","",IF(AND(N730="Sí",OR(E730="",NOT(ISNUMBER(F730)))),"⚠ Falta tipo de contrato o fecha de inicio",IF(NOT(ISNUMBER(F730)),"⚠ Falta fecha de inicio",IF(AND(N730="Sí",E730&lt;&gt;"Indefinido",NOT(ISNUMBER(G730))),"⚠ Falta fecha de término",IF(AND(D730="Paso a indefinido",E730&lt;&gt;"Indefinido"),"⚠ Un paso a indefinido debe tener tipo Indefinido",IF(N(Q730)&gt;=3,"⚠ 3er contrato a plazo fijo: por ley ya es INDEFINIDO (Art. 159 N°4)",IF(AND(E730="Plazo fijo",N(T730)&gt;12),"⚠ Plazo fijo mayor a 1 año (máx. legal; 2 años solo profesionales o técnicos)",IF(AND(ISNUMBER(G730),G730&lt;F730),"⚠ Término anterior al inicio",IF(AND(D730="Contrato inicial",ISNUMBER(J730),J730-F730&gt;15),"⚠ Escriturado fuera de plazo (Art. 9: 15 días)",IF(K730&lt;&gt;"Sí","Pendiente de firma","OK"))))))))))</f>
        <v/>
      </c>
    </row>
    <row r="731" customFormat="false" ht="15" hidden="false" customHeight="false" outlineLevel="0" collapsed="false">
      <c r="B731" s="64"/>
      <c r="C731" s="72" t="str">
        <f aca="false">IF(B731="","",IFERROR(INDEX(T_NOMBRE,MATCH(B731,T_ID,0)),"⚠ ID no existe en Trabajadores"))</f>
        <v/>
      </c>
      <c r="D731" s="64"/>
      <c r="E731" s="64"/>
      <c r="F731" s="65"/>
      <c r="G731" s="65"/>
      <c r="H731" s="67"/>
      <c r="I731" s="64"/>
      <c r="J731" s="65"/>
      <c r="K731" s="64"/>
      <c r="L731" s="64"/>
      <c r="M731" s="64"/>
      <c r="N731" s="72" t="str">
        <f aca="false">IF(B731="","",IF(D731="Anexo de modificación","No","Sí"))</f>
        <v/>
      </c>
      <c r="O731" s="73" t="str">
        <f aca="false">IF(AND(N731="Sí",ISNUMBER(F731)),COUNTIFS(C_ID,B731,C_DEFINE,"Sí",C_INICIO,"&lt;"&amp;F731)+COUNTIFS(B$7:B731,B731,N$7:N731,"Sí",F$7:F731,F731),"")</f>
        <v/>
      </c>
      <c r="P731" s="72" t="str">
        <f aca="false">IF(O731="","",B731&amp;"-P"&amp;O731)</f>
        <v/>
      </c>
      <c r="Q731" s="73" t="str">
        <f aca="false">IF(AND(N731="Sí",E731="Plazo fijo",ISNUMBER(F731)),COUNTIFS(C_ID,B731,C_TIPO,"Plazo fijo",C_DEFINE,"Sí",C_INICIO,"&lt;"&amp;F731)+COUNTIFS(B$7:B731,B731,E$7:E731,"Plazo fijo",N$7:N731,"Sí",F$7:F731,F731),"")</f>
        <v/>
      </c>
      <c r="R731" s="73" t="str">
        <f aca="false">IF(AND(B731&lt;&gt;"",ISNUMBER(H731),ISNUMBER(F731)),COUNTIFS(C_ID,B731,C_SUELDO,"&lt;&gt;",C_INICIO,"&lt;"&amp;F731)+COUNTIFS(B$7:B731,B731,H$7:H731,"&lt;&gt;",F$7:F731,F731),"")</f>
        <v/>
      </c>
      <c r="S731" s="72" t="str">
        <f aca="false">IF(R731="","",B731&amp;"-S"&amp;R731)</f>
        <v/>
      </c>
      <c r="T731" s="74" t="str">
        <f aca="false">IF(AND(ISNUMBER(F731),ISNUMBER(G731)),ROUND((G731-F731+1)/30.4375,1),"")</f>
        <v/>
      </c>
      <c r="U731" s="70" t="str">
        <f aca="false">IF(B731="","",IF(AND(N731="Sí",OR(E731="",NOT(ISNUMBER(F731)))),"⚠ Falta tipo de contrato o fecha de inicio",IF(NOT(ISNUMBER(F731)),"⚠ Falta fecha de inicio",IF(AND(N731="Sí",E731&lt;&gt;"Indefinido",NOT(ISNUMBER(G731))),"⚠ Falta fecha de término",IF(AND(D731="Paso a indefinido",E731&lt;&gt;"Indefinido"),"⚠ Un paso a indefinido debe tener tipo Indefinido",IF(N(Q731)&gt;=3,"⚠ 3er contrato a plazo fijo: por ley ya es INDEFINIDO (Art. 159 N°4)",IF(AND(E731="Plazo fijo",N(T731)&gt;12),"⚠ Plazo fijo mayor a 1 año (máx. legal; 2 años solo profesionales o técnicos)",IF(AND(ISNUMBER(G731),G731&lt;F731),"⚠ Término anterior al inicio",IF(AND(D731="Contrato inicial",ISNUMBER(J731),J731-F731&gt;15),"⚠ Escriturado fuera de plazo (Art. 9: 15 días)",IF(K731&lt;&gt;"Sí","Pendiente de firma","OK"))))))))))</f>
        <v/>
      </c>
    </row>
    <row r="732" customFormat="false" ht="15" hidden="false" customHeight="false" outlineLevel="0" collapsed="false">
      <c r="B732" s="64"/>
      <c r="C732" s="72" t="str">
        <f aca="false">IF(B732="","",IFERROR(INDEX(T_NOMBRE,MATCH(B732,T_ID,0)),"⚠ ID no existe en Trabajadores"))</f>
        <v/>
      </c>
      <c r="D732" s="64"/>
      <c r="E732" s="64"/>
      <c r="F732" s="65"/>
      <c r="G732" s="65"/>
      <c r="H732" s="67"/>
      <c r="I732" s="64"/>
      <c r="J732" s="65"/>
      <c r="K732" s="64"/>
      <c r="L732" s="64"/>
      <c r="M732" s="64"/>
      <c r="N732" s="72" t="str">
        <f aca="false">IF(B732="","",IF(D732="Anexo de modificación","No","Sí"))</f>
        <v/>
      </c>
      <c r="O732" s="73" t="str">
        <f aca="false">IF(AND(N732="Sí",ISNUMBER(F732)),COUNTIFS(C_ID,B732,C_DEFINE,"Sí",C_INICIO,"&lt;"&amp;F732)+COUNTIFS(B$7:B732,B732,N$7:N732,"Sí",F$7:F732,F732),"")</f>
        <v/>
      </c>
      <c r="P732" s="72" t="str">
        <f aca="false">IF(O732="","",B732&amp;"-P"&amp;O732)</f>
        <v/>
      </c>
      <c r="Q732" s="73" t="str">
        <f aca="false">IF(AND(N732="Sí",E732="Plazo fijo",ISNUMBER(F732)),COUNTIFS(C_ID,B732,C_TIPO,"Plazo fijo",C_DEFINE,"Sí",C_INICIO,"&lt;"&amp;F732)+COUNTIFS(B$7:B732,B732,E$7:E732,"Plazo fijo",N$7:N732,"Sí",F$7:F732,F732),"")</f>
        <v/>
      </c>
      <c r="R732" s="73" t="str">
        <f aca="false">IF(AND(B732&lt;&gt;"",ISNUMBER(H732),ISNUMBER(F732)),COUNTIFS(C_ID,B732,C_SUELDO,"&lt;&gt;",C_INICIO,"&lt;"&amp;F732)+COUNTIFS(B$7:B732,B732,H$7:H732,"&lt;&gt;",F$7:F732,F732),"")</f>
        <v/>
      </c>
      <c r="S732" s="72" t="str">
        <f aca="false">IF(R732="","",B732&amp;"-S"&amp;R732)</f>
        <v/>
      </c>
      <c r="T732" s="74" t="str">
        <f aca="false">IF(AND(ISNUMBER(F732),ISNUMBER(G732)),ROUND((G732-F732+1)/30.4375,1),"")</f>
        <v/>
      </c>
      <c r="U732" s="70" t="str">
        <f aca="false">IF(B732="","",IF(AND(N732="Sí",OR(E732="",NOT(ISNUMBER(F732)))),"⚠ Falta tipo de contrato o fecha de inicio",IF(NOT(ISNUMBER(F732)),"⚠ Falta fecha de inicio",IF(AND(N732="Sí",E732&lt;&gt;"Indefinido",NOT(ISNUMBER(G732))),"⚠ Falta fecha de término",IF(AND(D732="Paso a indefinido",E732&lt;&gt;"Indefinido"),"⚠ Un paso a indefinido debe tener tipo Indefinido",IF(N(Q732)&gt;=3,"⚠ 3er contrato a plazo fijo: por ley ya es INDEFINIDO (Art. 159 N°4)",IF(AND(E732="Plazo fijo",N(T732)&gt;12),"⚠ Plazo fijo mayor a 1 año (máx. legal; 2 años solo profesionales o técnicos)",IF(AND(ISNUMBER(G732),G732&lt;F732),"⚠ Término anterior al inicio",IF(AND(D732="Contrato inicial",ISNUMBER(J732),J732-F732&gt;15),"⚠ Escriturado fuera de plazo (Art. 9: 15 días)",IF(K732&lt;&gt;"Sí","Pendiente de firma","OK"))))))))))</f>
        <v/>
      </c>
    </row>
    <row r="733" customFormat="false" ht="15" hidden="false" customHeight="false" outlineLevel="0" collapsed="false">
      <c r="B733" s="64"/>
      <c r="C733" s="72" t="str">
        <f aca="false">IF(B733="","",IFERROR(INDEX(T_NOMBRE,MATCH(B733,T_ID,0)),"⚠ ID no existe en Trabajadores"))</f>
        <v/>
      </c>
      <c r="D733" s="64"/>
      <c r="E733" s="64"/>
      <c r="F733" s="65"/>
      <c r="G733" s="65"/>
      <c r="H733" s="67"/>
      <c r="I733" s="64"/>
      <c r="J733" s="65"/>
      <c r="K733" s="64"/>
      <c r="L733" s="64"/>
      <c r="M733" s="64"/>
      <c r="N733" s="72" t="str">
        <f aca="false">IF(B733="","",IF(D733="Anexo de modificación","No","Sí"))</f>
        <v/>
      </c>
      <c r="O733" s="73" t="str">
        <f aca="false">IF(AND(N733="Sí",ISNUMBER(F733)),COUNTIFS(C_ID,B733,C_DEFINE,"Sí",C_INICIO,"&lt;"&amp;F733)+COUNTIFS(B$7:B733,B733,N$7:N733,"Sí",F$7:F733,F733),"")</f>
        <v/>
      </c>
      <c r="P733" s="72" t="str">
        <f aca="false">IF(O733="","",B733&amp;"-P"&amp;O733)</f>
        <v/>
      </c>
      <c r="Q733" s="73" t="str">
        <f aca="false">IF(AND(N733="Sí",E733="Plazo fijo",ISNUMBER(F733)),COUNTIFS(C_ID,B733,C_TIPO,"Plazo fijo",C_DEFINE,"Sí",C_INICIO,"&lt;"&amp;F733)+COUNTIFS(B$7:B733,B733,E$7:E733,"Plazo fijo",N$7:N733,"Sí",F$7:F733,F733),"")</f>
        <v/>
      </c>
      <c r="R733" s="73" t="str">
        <f aca="false">IF(AND(B733&lt;&gt;"",ISNUMBER(H733),ISNUMBER(F733)),COUNTIFS(C_ID,B733,C_SUELDO,"&lt;&gt;",C_INICIO,"&lt;"&amp;F733)+COUNTIFS(B$7:B733,B733,H$7:H733,"&lt;&gt;",F$7:F733,F733),"")</f>
        <v/>
      </c>
      <c r="S733" s="72" t="str">
        <f aca="false">IF(R733="","",B733&amp;"-S"&amp;R733)</f>
        <v/>
      </c>
      <c r="T733" s="74" t="str">
        <f aca="false">IF(AND(ISNUMBER(F733),ISNUMBER(G733)),ROUND((G733-F733+1)/30.4375,1),"")</f>
        <v/>
      </c>
      <c r="U733" s="70" t="str">
        <f aca="false">IF(B733="","",IF(AND(N733="Sí",OR(E733="",NOT(ISNUMBER(F733)))),"⚠ Falta tipo de contrato o fecha de inicio",IF(NOT(ISNUMBER(F733)),"⚠ Falta fecha de inicio",IF(AND(N733="Sí",E733&lt;&gt;"Indefinido",NOT(ISNUMBER(G733))),"⚠ Falta fecha de término",IF(AND(D733="Paso a indefinido",E733&lt;&gt;"Indefinido"),"⚠ Un paso a indefinido debe tener tipo Indefinido",IF(N(Q733)&gt;=3,"⚠ 3er contrato a plazo fijo: por ley ya es INDEFINIDO (Art. 159 N°4)",IF(AND(E733="Plazo fijo",N(T733)&gt;12),"⚠ Plazo fijo mayor a 1 año (máx. legal; 2 años solo profesionales o técnicos)",IF(AND(ISNUMBER(G733),G733&lt;F733),"⚠ Término anterior al inicio",IF(AND(D733="Contrato inicial",ISNUMBER(J733),J733-F733&gt;15),"⚠ Escriturado fuera de plazo (Art. 9: 15 días)",IF(K733&lt;&gt;"Sí","Pendiente de firma","OK"))))))))))</f>
        <v/>
      </c>
    </row>
    <row r="734" customFormat="false" ht="15" hidden="false" customHeight="false" outlineLevel="0" collapsed="false">
      <c r="B734" s="64"/>
      <c r="C734" s="72" t="str">
        <f aca="false">IF(B734="","",IFERROR(INDEX(T_NOMBRE,MATCH(B734,T_ID,0)),"⚠ ID no existe en Trabajadores"))</f>
        <v/>
      </c>
      <c r="D734" s="64"/>
      <c r="E734" s="64"/>
      <c r="F734" s="65"/>
      <c r="G734" s="65"/>
      <c r="H734" s="67"/>
      <c r="I734" s="64"/>
      <c r="J734" s="65"/>
      <c r="K734" s="64"/>
      <c r="L734" s="64"/>
      <c r="M734" s="64"/>
      <c r="N734" s="72" t="str">
        <f aca="false">IF(B734="","",IF(D734="Anexo de modificación","No","Sí"))</f>
        <v/>
      </c>
      <c r="O734" s="73" t="str">
        <f aca="false">IF(AND(N734="Sí",ISNUMBER(F734)),COUNTIFS(C_ID,B734,C_DEFINE,"Sí",C_INICIO,"&lt;"&amp;F734)+COUNTIFS(B$7:B734,B734,N$7:N734,"Sí",F$7:F734,F734),"")</f>
        <v/>
      </c>
      <c r="P734" s="72" t="str">
        <f aca="false">IF(O734="","",B734&amp;"-P"&amp;O734)</f>
        <v/>
      </c>
      <c r="Q734" s="73" t="str">
        <f aca="false">IF(AND(N734="Sí",E734="Plazo fijo",ISNUMBER(F734)),COUNTIFS(C_ID,B734,C_TIPO,"Plazo fijo",C_DEFINE,"Sí",C_INICIO,"&lt;"&amp;F734)+COUNTIFS(B$7:B734,B734,E$7:E734,"Plazo fijo",N$7:N734,"Sí",F$7:F734,F734),"")</f>
        <v/>
      </c>
      <c r="R734" s="73" t="str">
        <f aca="false">IF(AND(B734&lt;&gt;"",ISNUMBER(H734),ISNUMBER(F734)),COUNTIFS(C_ID,B734,C_SUELDO,"&lt;&gt;",C_INICIO,"&lt;"&amp;F734)+COUNTIFS(B$7:B734,B734,H$7:H734,"&lt;&gt;",F$7:F734,F734),"")</f>
        <v/>
      </c>
      <c r="S734" s="72" t="str">
        <f aca="false">IF(R734="","",B734&amp;"-S"&amp;R734)</f>
        <v/>
      </c>
      <c r="T734" s="74" t="str">
        <f aca="false">IF(AND(ISNUMBER(F734),ISNUMBER(G734)),ROUND((G734-F734+1)/30.4375,1),"")</f>
        <v/>
      </c>
      <c r="U734" s="70" t="str">
        <f aca="false">IF(B734="","",IF(AND(N734="Sí",OR(E734="",NOT(ISNUMBER(F734)))),"⚠ Falta tipo de contrato o fecha de inicio",IF(NOT(ISNUMBER(F734)),"⚠ Falta fecha de inicio",IF(AND(N734="Sí",E734&lt;&gt;"Indefinido",NOT(ISNUMBER(G734))),"⚠ Falta fecha de término",IF(AND(D734="Paso a indefinido",E734&lt;&gt;"Indefinido"),"⚠ Un paso a indefinido debe tener tipo Indefinido",IF(N(Q734)&gt;=3,"⚠ 3er contrato a plazo fijo: por ley ya es INDEFINIDO (Art. 159 N°4)",IF(AND(E734="Plazo fijo",N(T734)&gt;12),"⚠ Plazo fijo mayor a 1 año (máx. legal; 2 años solo profesionales o técnicos)",IF(AND(ISNUMBER(G734),G734&lt;F734),"⚠ Término anterior al inicio",IF(AND(D734="Contrato inicial",ISNUMBER(J734),J734-F734&gt;15),"⚠ Escriturado fuera de plazo (Art. 9: 15 días)",IF(K734&lt;&gt;"Sí","Pendiente de firma","OK"))))))))))</f>
        <v/>
      </c>
    </row>
    <row r="735" customFormat="false" ht="15" hidden="false" customHeight="false" outlineLevel="0" collapsed="false">
      <c r="B735" s="64"/>
      <c r="C735" s="72" t="str">
        <f aca="false">IF(B735="","",IFERROR(INDEX(T_NOMBRE,MATCH(B735,T_ID,0)),"⚠ ID no existe en Trabajadores"))</f>
        <v/>
      </c>
      <c r="D735" s="64"/>
      <c r="E735" s="64"/>
      <c r="F735" s="65"/>
      <c r="G735" s="65"/>
      <c r="H735" s="67"/>
      <c r="I735" s="64"/>
      <c r="J735" s="65"/>
      <c r="K735" s="64"/>
      <c r="L735" s="64"/>
      <c r="M735" s="64"/>
      <c r="N735" s="72" t="str">
        <f aca="false">IF(B735="","",IF(D735="Anexo de modificación","No","Sí"))</f>
        <v/>
      </c>
      <c r="O735" s="73" t="str">
        <f aca="false">IF(AND(N735="Sí",ISNUMBER(F735)),COUNTIFS(C_ID,B735,C_DEFINE,"Sí",C_INICIO,"&lt;"&amp;F735)+COUNTIFS(B$7:B735,B735,N$7:N735,"Sí",F$7:F735,F735),"")</f>
        <v/>
      </c>
      <c r="P735" s="72" t="str">
        <f aca="false">IF(O735="","",B735&amp;"-P"&amp;O735)</f>
        <v/>
      </c>
      <c r="Q735" s="73" t="str">
        <f aca="false">IF(AND(N735="Sí",E735="Plazo fijo",ISNUMBER(F735)),COUNTIFS(C_ID,B735,C_TIPO,"Plazo fijo",C_DEFINE,"Sí",C_INICIO,"&lt;"&amp;F735)+COUNTIFS(B$7:B735,B735,E$7:E735,"Plazo fijo",N$7:N735,"Sí",F$7:F735,F735),"")</f>
        <v/>
      </c>
      <c r="R735" s="73" t="str">
        <f aca="false">IF(AND(B735&lt;&gt;"",ISNUMBER(H735),ISNUMBER(F735)),COUNTIFS(C_ID,B735,C_SUELDO,"&lt;&gt;",C_INICIO,"&lt;"&amp;F735)+COUNTIFS(B$7:B735,B735,H$7:H735,"&lt;&gt;",F$7:F735,F735),"")</f>
        <v/>
      </c>
      <c r="S735" s="72" t="str">
        <f aca="false">IF(R735="","",B735&amp;"-S"&amp;R735)</f>
        <v/>
      </c>
      <c r="T735" s="74" t="str">
        <f aca="false">IF(AND(ISNUMBER(F735),ISNUMBER(G735)),ROUND((G735-F735+1)/30.4375,1),"")</f>
        <v/>
      </c>
      <c r="U735" s="70" t="str">
        <f aca="false">IF(B735="","",IF(AND(N735="Sí",OR(E735="",NOT(ISNUMBER(F735)))),"⚠ Falta tipo de contrato o fecha de inicio",IF(NOT(ISNUMBER(F735)),"⚠ Falta fecha de inicio",IF(AND(N735="Sí",E735&lt;&gt;"Indefinido",NOT(ISNUMBER(G735))),"⚠ Falta fecha de término",IF(AND(D735="Paso a indefinido",E735&lt;&gt;"Indefinido"),"⚠ Un paso a indefinido debe tener tipo Indefinido",IF(N(Q735)&gt;=3,"⚠ 3er contrato a plazo fijo: por ley ya es INDEFINIDO (Art. 159 N°4)",IF(AND(E735="Plazo fijo",N(T735)&gt;12),"⚠ Plazo fijo mayor a 1 año (máx. legal; 2 años solo profesionales o técnicos)",IF(AND(ISNUMBER(G735),G735&lt;F735),"⚠ Término anterior al inicio",IF(AND(D735="Contrato inicial",ISNUMBER(J735),J735-F735&gt;15),"⚠ Escriturado fuera de plazo (Art. 9: 15 días)",IF(K735&lt;&gt;"Sí","Pendiente de firma","OK"))))))))))</f>
        <v/>
      </c>
    </row>
    <row r="736" customFormat="false" ht="15" hidden="false" customHeight="false" outlineLevel="0" collapsed="false">
      <c r="B736" s="64"/>
      <c r="C736" s="72" t="str">
        <f aca="false">IF(B736="","",IFERROR(INDEX(T_NOMBRE,MATCH(B736,T_ID,0)),"⚠ ID no existe en Trabajadores"))</f>
        <v/>
      </c>
      <c r="D736" s="64"/>
      <c r="E736" s="64"/>
      <c r="F736" s="65"/>
      <c r="G736" s="65"/>
      <c r="H736" s="67"/>
      <c r="I736" s="64"/>
      <c r="J736" s="65"/>
      <c r="K736" s="64"/>
      <c r="L736" s="64"/>
      <c r="M736" s="64"/>
      <c r="N736" s="72" t="str">
        <f aca="false">IF(B736="","",IF(D736="Anexo de modificación","No","Sí"))</f>
        <v/>
      </c>
      <c r="O736" s="73" t="str">
        <f aca="false">IF(AND(N736="Sí",ISNUMBER(F736)),COUNTIFS(C_ID,B736,C_DEFINE,"Sí",C_INICIO,"&lt;"&amp;F736)+COUNTIFS(B$7:B736,B736,N$7:N736,"Sí",F$7:F736,F736),"")</f>
        <v/>
      </c>
      <c r="P736" s="72" t="str">
        <f aca="false">IF(O736="","",B736&amp;"-P"&amp;O736)</f>
        <v/>
      </c>
      <c r="Q736" s="73" t="str">
        <f aca="false">IF(AND(N736="Sí",E736="Plazo fijo",ISNUMBER(F736)),COUNTIFS(C_ID,B736,C_TIPO,"Plazo fijo",C_DEFINE,"Sí",C_INICIO,"&lt;"&amp;F736)+COUNTIFS(B$7:B736,B736,E$7:E736,"Plazo fijo",N$7:N736,"Sí",F$7:F736,F736),"")</f>
        <v/>
      </c>
      <c r="R736" s="73" t="str">
        <f aca="false">IF(AND(B736&lt;&gt;"",ISNUMBER(H736),ISNUMBER(F736)),COUNTIFS(C_ID,B736,C_SUELDO,"&lt;&gt;",C_INICIO,"&lt;"&amp;F736)+COUNTIFS(B$7:B736,B736,H$7:H736,"&lt;&gt;",F$7:F736,F736),"")</f>
        <v/>
      </c>
      <c r="S736" s="72" t="str">
        <f aca="false">IF(R736="","",B736&amp;"-S"&amp;R736)</f>
        <v/>
      </c>
      <c r="T736" s="74" t="str">
        <f aca="false">IF(AND(ISNUMBER(F736),ISNUMBER(G736)),ROUND((G736-F736+1)/30.4375,1),"")</f>
        <v/>
      </c>
      <c r="U736" s="70" t="str">
        <f aca="false">IF(B736="","",IF(AND(N736="Sí",OR(E736="",NOT(ISNUMBER(F736)))),"⚠ Falta tipo de contrato o fecha de inicio",IF(NOT(ISNUMBER(F736)),"⚠ Falta fecha de inicio",IF(AND(N736="Sí",E736&lt;&gt;"Indefinido",NOT(ISNUMBER(G736))),"⚠ Falta fecha de término",IF(AND(D736="Paso a indefinido",E736&lt;&gt;"Indefinido"),"⚠ Un paso a indefinido debe tener tipo Indefinido",IF(N(Q736)&gt;=3,"⚠ 3er contrato a plazo fijo: por ley ya es INDEFINIDO (Art. 159 N°4)",IF(AND(E736="Plazo fijo",N(T736)&gt;12),"⚠ Plazo fijo mayor a 1 año (máx. legal; 2 años solo profesionales o técnicos)",IF(AND(ISNUMBER(G736),G736&lt;F736),"⚠ Término anterior al inicio",IF(AND(D736="Contrato inicial",ISNUMBER(J736),J736-F736&gt;15),"⚠ Escriturado fuera de plazo (Art. 9: 15 días)",IF(K736&lt;&gt;"Sí","Pendiente de firma","OK"))))))))))</f>
        <v/>
      </c>
    </row>
    <row r="737" customFormat="false" ht="15" hidden="false" customHeight="false" outlineLevel="0" collapsed="false">
      <c r="B737" s="64"/>
      <c r="C737" s="72" t="str">
        <f aca="false">IF(B737="","",IFERROR(INDEX(T_NOMBRE,MATCH(B737,T_ID,0)),"⚠ ID no existe en Trabajadores"))</f>
        <v/>
      </c>
      <c r="D737" s="64"/>
      <c r="E737" s="64"/>
      <c r="F737" s="65"/>
      <c r="G737" s="65"/>
      <c r="H737" s="67"/>
      <c r="I737" s="64"/>
      <c r="J737" s="65"/>
      <c r="K737" s="64"/>
      <c r="L737" s="64"/>
      <c r="M737" s="64"/>
      <c r="N737" s="72" t="str">
        <f aca="false">IF(B737="","",IF(D737="Anexo de modificación","No","Sí"))</f>
        <v/>
      </c>
      <c r="O737" s="73" t="str">
        <f aca="false">IF(AND(N737="Sí",ISNUMBER(F737)),COUNTIFS(C_ID,B737,C_DEFINE,"Sí",C_INICIO,"&lt;"&amp;F737)+COUNTIFS(B$7:B737,B737,N$7:N737,"Sí",F$7:F737,F737),"")</f>
        <v/>
      </c>
      <c r="P737" s="72" t="str">
        <f aca="false">IF(O737="","",B737&amp;"-P"&amp;O737)</f>
        <v/>
      </c>
      <c r="Q737" s="73" t="str">
        <f aca="false">IF(AND(N737="Sí",E737="Plazo fijo",ISNUMBER(F737)),COUNTIFS(C_ID,B737,C_TIPO,"Plazo fijo",C_DEFINE,"Sí",C_INICIO,"&lt;"&amp;F737)+COUNTIFS(B$7:B737,B737,E$7:E737,"Plazo fijo",N$7:N737,"Sí",F$7:F737,F737),"")</f>
        <v/>
      </c>
      <c r="R737" s="73" t="str">
        <f aca="false">IF(AND(B737&lt;&gt;"",ISNUMBER(H737),ISNUMBER(F737)),COUNTIFS(C_ID,B737,C_SUELDO,"&lt;&gt;",C_INICIO,"&lt;"&amp;F737)+COUNTIFS(B$7:B737,B737,H$7:H737,"&lt;&gt;",F$7:F737,F737),"")</f>
        <v/>
      </c>
      <c r="S737" s="72" t="str">
        <f aca="false">IF(R737="","",B737&amp;"-S"&amp;R737)</f>
        <v/>
      </c>
      <c r="T737" s="74" t="str">
        <f aca="false">IF(AND(ISNUMBER(F737),ISNUMBER(G737)),ROUND((G737-F737+1)/30.4375,1),"")</f>
        <v/>
      </c>
      <c r="U737" s="70" t="str">
        <f aca="false">IF(B737="","",IF(AND(N737="Sí",OR(E737="",NOT(ISNUMBER(F737)))),"⚠ Falta tipo de contrato o fecha de inicio",IF(NOT(ISNUMBER(F737)),"⚠ Falta fecha de inicio",IF(AND(N737="Sí",E737&lt;&gt;"Indefinido",NOT(ISNUMBER(G737))),"⚠ Falta fecha de término",IF(AND(D737="Paso a indefinido",E737&lt;&gt;"Indefinido"),"⚠ Un paso a indefinido debe tener tipo Indefinido",IF(N(Q737)&gt;=3,"⚠ 3er contrato a plazo fijo: por ley ya es INDEFINIDO (Art. 159 N°4)",IF(AND(E737="Plazo fijo",N(T737)&gt;12),"⚠ Plazo fijo mayor a 1 año (máx. legal; 2 años solo profesionales o técnicos)",IF(AND(ISNUMBER(G737),G737&lt;F737),"⚠ Término anterior al inicio",IF(AND(D737="Contrato inicial",ISNUMBER(J737),J737-F737&gt;15),"⚠ Escriturado fuera de plazo (Art. 9: 15 días)",IF(K737&lt;&gt;"Sí","Pendiente de firma","OK"))))))))))</f>
        <v/>
      </c>
    </row>
    <row r="738" customFormat="false" ht="15" hidden="false" customHeight="false" outlineLevel="0" collapsed="false">
      <c r="B738" s="64"/>
      <c r="C738" s="72" t="str">
        <f aca="false">IF(B738="","",IFERROR(INDEX(T_NOMBRE,MATCH(B738,T_ID,0)),"⚠ ID no existe en Trabajadores"))</f>
        <v/>
      </c>
      <c r="D738" s="64"/>
      <c r="E738" s="64"/>
      <c r="F738" s="65"/>
      <c r="G738" s="65"/>
      <c r="H738" s="67"/>
      <c r="I738" s="64"/>
      <c r="J738" s="65"/>
      <c r="K738" s="64"/>
      <c r="L738" s="64"/>
      <c r="M738" s="64"/>
      <c r="N738" s="72" t="str">
        <f aca="false">IF(B738="","",IF(D738="Anexo de modificación","No","Sí"))</f>
        <v/>
      </c>
      <c r="O738" s="73" t="str">
        <f aca="false">IF(AND(N738="Sí",ISNUMBER(F738)),COUNTIFS(C_ID,B738,C_DEFINE,"Sí",C_INICIO,"&lt;"&amp;F738)+COUNTIFS(B$7:B738,B738,N$7:N738,"Sí",F$7:F738,F738),"")</f>
        <v/>
      </c>
      <c r="P738" s="72" t="str">
        <f aca="false">IF(O738="","",B738&amp;"-P"&amp;O738)</f>
        <v/>
      </c>
      <c r="Q738" s="73" t="str">
        <f aca="false">IF(AND(N738="Sí",E738="Plazo fijo",ISNUMBER(F738)),COUNTIFS(C_ID,B738,C_TIPO,"Plazo fijo",C_DEFINE,"Sí",C_INICIO,"&lt;"&amp;F738)+COUNTIFS(B$7:B738,B738,E$7:E738,"Plazo fijo",N$7:N738,"Sí",F$7:F738,F738),"")</f>
        <v/>
      </c>
      <c r="R738" s="73" t="str">
        <f aca="false">IF(AND(B738&lt;&gt;"",ISNUMBER(H738),ISNUMBER(F738)),COUNTIFS(C_ID,B738,C_SUELDO,"&lt;&gt;",C_INICIO,"&lt;"&amp;F738)+COUNTIFS(B$7:B738,B738,H$7:H738,"&lt;&gt;",F$7:F738,F738),"")</f>
        <v/>
      </c>
      <c r="S738" s="72" t="str">
        <f aca="false">IF(R738="","",B738&amp;"-S"&amp;R738)</f>
        <v/>
      </c>
      <c r="T738" s="74" t="str">
        <f aca="false">IF(AND(ISNUMBER(F738),ISNUMBER(G738)),ROUND((G738-F738+1)/30.4375,1),"")</f>
        <v/>
      </c>
      <c r="U738" s="70" t="str">
        <f aca="false">IF(B738="","",IF(AND(N738="Sí",OR(E738="",NOT(ISNUMBER(F738)))),"⚠ Falta tipo de contrato o fecha de inicio",IF(NOT(ISNUMBER(F738)),"⚠ Falta fecha de inicio",IF(AND(N738="Sí",E738&lt;&gt;"Indefinido",NOT(ISNUMBER(G738))),"⚠ Falta fecha de término",IF(AND(D738="Paso a indefinido",E738&lt;&gt;"Indefinido"),"⚠ Un paso a indefinido debe tener tipo Indefinido",IF(N(Q738)&gt;=3,"⚠ 3er contrato a plazo fijo: por ley ya es INDEFINIDO (Art. 159 N°4)",IF(AND(E738="Plazo fijo",N(T738)&gt;12),"⚠ Plazo fijo mayor a 1 año (máx. legal; 2 años solo profesionales o técnicos)",IF(AND(ISNUMBER(G738),G738&lt;F738),"⚠ Término anterior al inicio",IF(AND(D738="Contrato inicial",ISNUMBER(J738),J738-F738&gt;15),"⚠ Escriturado fuera de plazo (Art. 9: 15 días)",IF(K738&lt;&gt;"Sí","Pendiente de firma","OK"))))))))))</f>
        <v/>
      </c>
    </row>
    <row r="739" customFormat="false" ht="15" hidden="false" customHeight="false" outlineLevel="0" collapsed="false">
      <c r="B739" s="64"/>
      <c r="C739" s="72" t="str">
        <f aca="false">IF(B739="","",IFERROR(INDEX(T_NOMBRE,MATCH(B739,T_ID,0)),"⚠ ID no existe en Trabajadores"))</f>
        <v/>
      </c>
      <c r="D739" s="64"/>
      <c r="E739" s="64"/>
      <c r="F739" s="65"/>
      <c r="G739" s="65"/>
      <c r="H739" s="67"/>
      <c r="I739" s="64"/>
      <c r="J739" s="65"/>
      <c r="K739" s="64"/>
      <c r="L739" s="64"/>
      <c r="M739" s="64"/>
      <c r="N739" s="72" t="str">
        <f aca="false">IF(B739="","",IF(D739="Anexo de modificación","No","Sí"))</f>
        <v/>
      </c>
      <c r="O739" s="73" t="str">
        <f aca="false">IF(AND(N739="Sí",ISNUMBER(F739)),COUNTIFS(C_ID,B739,C_DEFINE,"Sí",C_INICIO,"&lt;"&amp;F739)+COUNTIFS(B$7:B739,B739,N$7:N739,"Sí",F$7:F739,F739),"")</f>
        <v/>
      </c>
      <c r="P739" s="72" t="str">
        <f aca="false">IF(O739="","",B739&amp;"-P"&amp;O739)</f>
        <v/>
      </c>
      <c r="Q739" s="73" t="str">
        <f aca="false">IF(AND(N739="Sí",E739="Plazo fijo",ISNUMBER(F739)),COUNTIFS(C_ID,B739,C_TIPO,"Plazo fijo",C_DEFINE,"Sí",C_INICIO,"&lt;"&amp;F739)+COUNTIFS(B$7:B739,B739,E$7:E739,"Plazo fijo",N$7:N739,"Sí",F$7:F739,F739),"")</f>
        <v/>
      </c>
      <c r="R739" s="73" t="str">
        <f aca="false">IF(AND(B739&lt;&gt;"",ISNUMBER(H739),ISNUMBER(F739)),COUNTIFS(C_ID,B739,C_SUELDO,"&lt;&gt;",C_INICIO,"&lt;"&amp;F739)+COUNTIFS(B$7:B739,B739,H$7:H739,"&lt;&gt;",F$7:F739,F739),"")</f>
        <v/>
      </c>
      <c r="S739" s="72" t="str">
        <f aca="false">IF(R739="","",B739&amp;"-S"&amp;R739)</f>
        <v/>
      </c>
      <c r="T739" s="74" t="str">
        <f aca="false">IF(AND(ISNUMBER(F739),ISNUMBER(G739)),ROUND((G739-F739+1)/30.4375,1),"")</f>
        <v/>
      </c>
      <c r="U739" s="70" t="str">
        <f aca="false">IF(B739="","",IF(AND(N739="Sí",OR(E739="",NOT(ISNUMBER(F739)))),"⚠ Falta tipo de contrato o fecha de inicio",IF(NOT(ISNUMBER(F739)),"⚠ Falta fecha de inicio",IF(AND(N739="Sí",E739&lt;&gt;"Indefinido",NOT(ISNUMBER(G739))),"⚠ Falta fecha de término",IF(AND(D739="Paso a indefinido",E739&lt;&gt;"Indefinido"),"⚠ Un paso a indefinido debe tener tipo Indefinido",IF(N(Q739)&gt;=3,"⚠ 3er contrato a plazo fijo: por ley ya es INDEFINIDO (Art. 159 N°4)",IF(AND(E739="Plazo fijo",N(T739)&gt;12),"⚠ Plazo fijo mayor a 1 año (máx. legal; 2 años solo profesionales o técnicos)",IF(AND(ISNUMBER(G739),G739&lt;F739),"⚠ Término anterior al inicio",IF(AND(D739="Contrato inicial",ISNUMBER(J739),J739-F739&gt;15),"⚠ Escriturado fuera de plazo (Art. 9: 15 días)",IF(K739&lt;&gt;"Sí","Pendiente de firma","OK"))))))))))</f>
        <v/>
      </c>
    </row>
    <row r="740" customFormat="false" ht="15" hidden="false" customHeight="false" outlineLevel="0" collapsed="false">
      <c r="B740" s="64"/>
      <c r="C740" s="72" t="str">
        <f aca="false">IF(B740="","",IFERROR(INDEX(T_NOMBRE,MATCH(B740,T_ID,0)),"⚠ ID no existe en Trabajadores"))</f>
        <v/>
      </c>
      <c r="D740" s="64"/>
      <c r="E740" s="64"/>
      <c r="F740" s="65"/>
      <c r="G740" s="65"/>
      <c r="H740" s="67"/>
      <c r="I740" s="64"/>
      <c r="J740" s="65"/>
      <c r="K740" s="64"/>
      <c r="L740" s="64"/>
      <c r="M740" s="64"/>
      <c r="N740" s="72" t="str">
        <f aca="false">IF(B740="","",IF(D740="Anexo de modificación","No","Sí"))</f>
        <v/>
      </c>
      <c r="O740" s="73" t="str">
        <f aca="false">IF(AND(N740="Sí",ISNUMBER(F740)),COUNTIFS(C_ID,B740,C_DEFINE,"Sí",C_INICIO,"&lt;"&amp;F740)+COUNTIFS(B$7:B740,B740,N$7:N740,"Sí",F$7:F740,F740),"")</f>
        <v/>
      </c>
      <c r="P740" s="72" t="str">
        <f aca="false">IF(O740="","",B740&amp;"-P"&amp;O740)</f>
        <v/>
      </c>
      <c r="Q740" s="73" t="str">
        <f aca="false">IF(AND(N740="Sí",E740="Plazo fijo",ISNUMBER(F740)),COUNTIFS(C_ID,B740,C_TIPO,"Plazo fijo",C_DEFINE,"Sí",C_INICIO,"&lt;"&amp;F740)+COUNTIFS(B$7:B740,B740,E$7:E740,"Plazo fijo",N$7:N740,"Sí",F$7:F740,F740),"")</f>
        <v/>
      </c>
      <c r="R740" s="73" t="str">
        <f aca="false">IF(AND(B740&lt;&gt;"",ISNUMBER(H740),ISNUMBER(F740)),COUNTIFS(C_ID,B740,C_SUELDO,"&lt;&gt;",C_INICIO,"&lt;"&amp;F740)+COUNTIFS(B$7:B740,B740,H$7:H740,"&lt;&gt;",F$7:F740,F740),"")</f>
        <v/>
      </c>
      <c r="S740" s="72" t="str">
        <f aca="false">IF(R740="","",B740&amp;"-S"&amp;R740)</f>
        <v/>
      </c>
      <c r="T740" s="74" t="str">
        <f aca="false">IF(AND(ISNUMBER(F740),ISNUMBER(G740)),ROUND((G740-F740+1)/30.4375,1),"")</f>
        <v/>
      </c>
      <c r="U740" s="70" t="str">
        <f aca="false">IF(B740="","",IF(AND(N740="Sí",OR(E740="",NOT(ISNUMBER(F740)))),"⚠ Falta tipo de contrato o fecha de inicio",IF(NOT(ISNUMBER(F740)),"⚠ Falta fecha de inicio",IF(AND(N740="Sí",E740&lt;&gt;"Indefinido",NOT(ISNUMBER(G740))),"⚠ Falta fecha de término",IF(AND(D740="Paso a indefinido",E740&lt;&gt;"Indefinido"),"⚠ Un paso a indefinido debe tener tipo Indefinido",IF(N(Q740)&gt;=3,"⚠ 3er contrato a plazo fijo: por ley ya es INDEFINIDO (Art. 159 N°4)",IF(AND(E740="Plazo fijo",N(T740)&gt;12),"⚠ Plazo fijo mayor a 1 año (máx. legal; 2 años solo profesionales o técnicos)",IF(AND(ISNUMBER(G740),G740&lt;F740),"⚠ Término anterior al inicio",IF(AND(D740="Contrato inicial",ISNUMBER(J740),J740-F740&gt;15),"⚠ Escriturado fuera de plazo (Art. 9: 15 días)",IF(K740&lt;&gt;"Sí","Pendiente de firma","OK"))))))))))</f>
        <v/>
      </c>
    </row>
    <row r="741" customFormat="false" ht="15" hidden="false" customHeight="false" outlineLevel="0" collapsed="false">
      <c r="B741" s="64"/>
      <c r="C741" s="72" t="str">
        <f aca="false">IF(B741="","",IFERROR(INDEX(T_NOMBRE,MATCH(B741,T_ID,0)),"⚠ ID no existe en Trabajadores"))</f>
        <v/>
      </c>
      <c r="D741" s="64"/>
      <c r="E741" s="64"/>
      <c r="F741" s="65"/>
      <c r="G741" s="65"/>
      <c r="H741" s="67"/>
      <c r="I741" s="64"/>
      <c r="J741" s="65"/>
      <c r="K741" s="64"/>
      <c r="L741" s="64"/>
      <c r="M741" s="64"/>
      <c r="N741" s="72" t="str">
        <f aca="false">IF(B741="","",IF(D741="Anexo de modificación","No","Sí"))</f>
        <v/>
      </c>
      <c r="O741" s="73" t="str">
        <f aca="false">IF(AND(N741="Sí",ISNUMBER(F741)),COUNTIFS(C_ID,B741,C_DEFINE,"Sí",C_INICIO,"&lt;"&amp;F741)+COUNTIFS(B$7:B741,B741,N$7:N741,"Sí",F$7:F741,F741),"")</f>
        <v/>
      </c>
      <c r="P741" s="72" t="str">
        <f aca="false">IF(O741="","",B741&amp;"-P"&amp;O741)</f>
        <v/>
      </c>
      <c r="Q741" s="73" t="str">
        <f aca="false">IF(AND(N741="Sí",E741="Plazo fijo",ISNUMBER(F741)),COUNTIFS(C_ID,B741,C_TIPO,"Plazo fijo",C_DEFINE,"Sí",C_INICIO,"&lt;"&amp;F741)+COUNTIFS(B$7:B741,B741,E$7:E741,"Plazo fijo",N$7:N741,"Sí",F$7:F741,F741),"")</f>
        <v/>
      </c>
      <c r="R741" s="73" t="str">
        <f aca="false">IF(AND(B741&lt;&gt;"",ISNUMBER(H741),ISNUMBER(F741)),COUNTIFS(C_ID,B741,C_SUELDO,"&lt;&gt;",C_INICIO,"&lt;"&amp;F741)+COUNTIFS(B$7:B741,B741,H$7:H741,"&lt;&gt;",F$7:F741,F741),"")</f>
        <v/>
      </c>
      <c r="S741" s="72" t="str">
        <f aca="false">IF(R741="","",B741&amp;"-S"&amp;R741)</f>
        <v/>
      </c>
      <c r="T741" s="74" t="str">
        <f aca="false">IF(AND(ISNUMBER(F741),ISNUMBER(G741)),ROUND((G741-F741+1)/30.4375,1),"")</f>
        <v/>
      </c>
      <c r="U741" s="70" t="str">
        <f aca="false">IF(B741="","",IF(AND(N741="Sí",OR(E741="",NOT(ISNUMBER(F741)))),"⚠ Falta tipo de contrato o fecha de inicio",IF(NOT(ISNUMBER(F741)),"⚠ Falta fecha de inicio",IF(AND(N741="Sí",E741&lt;&gt;"Indefinido",NOT(ISNUMBER(G741))),"⚠ Falta fecha de término",IF(AND(D741="Paso a indefinido",E741&lt;&gt;"Indefinido"),"⚠ Un paso a indefinido debe tener tipo Indefinido",IF(N(Q741)&gt;=3,"⚠ 3er contrato a plazo fijo: por ley ya es INDEFINIDO (Art. 159 N°4)",IF(AND(E741="Plazo fijo",N(T741)&gt;12),"⚠ Plazo fijo mayor a 1 año (máx. legal; 2 años solo profesionales o técnicos)",IF(AND(ISNUMBER(G741),G741&lt;F741),"⚠ Término anterior al inicio",IF(AND(D741="Contrato inicial",ISNUMBER(J741),J741-F741&gt;15),"⚠ Escriturado fuera de plazo (Art. 9: 15 días)",IF(K741&lt;&gt;"Sí","Pendiente de firma","OK"))))))))))</f>
        <v/>
      </c>
    </row>
    <row r="742" customFormat="false" ht="15" hidden="false" customHeight="false" outlineLevel="0" collapsed="false">
      <c r="B742" s="64"/>
      <c r="C742" s="72" t="str">
        <f aca="false">IF(B742="","",IFERROR(INDEX(T_NOMBRE,MATCH(B742,T_ID,0)),"⚠ ID no existe en Trabajadores"))</f>
        <v/>
      </c>
      <c r="D742" s="64"/>
      <c r="E742" s="64"/>
      <c r="F742" s="65"/>
      <c r="G742" s="65"/>
      <c r="H742" s="67"/>
      <c r="I742" s="64"/>
      <c r="J742" s="65"/>
      <c r="K742" s="64"/>
      <c r="L742" s="64"/>
      <c r="M742" s="64"/>
      <c r="N742" s="72" t="str">
        <f aca="false">IF(B742="","",IF(D742="Anexo de modificación","No","Sí"))</f>
        <v/>
      </c>
      <c r="O742" s="73" t="str">
        <f aca="false">IF(AND(N742="Sí",ISNUMBER(F742)),COUNTIFS(C_ID,B742,C_DEFINE,"Sí",C_INICIO,"&lt;"&amp;F742)+COUNTIFS(B$7:B742,B742,N$7:N742,"Sí",F$7:F742,F742),"")</f>
        <v/>
      </c>
      <c r="P742" s="72" t="str">
        <f aca="false">IF(O742="","",B742&amp;"-P"&amp;O742)</f>
        <v/>
      </c>
      <c r="Q742" s="73" t="str">
        <f aca="false">IF(AND(N742="Sí",E742="Plazo fijo",ISNUMBER(F742)),COUNTIFS(C_ID,B742,C_TIPO,"Plazo fijo",C_DEFINE,"Sí",C_INICIO,"&lt;"&amp;F742)+COUNTIFS(B$7:B742,B742,E$7:E742,"Plazo fijo",N$7:N742,"Sí",F$7:F742,F742),"")</f>
        <v/>
      </c>
      <c r="R742" s="73" t="str">
        <f aca="false">IF(AND(B742&lt;&gt;"",ISNUMBER(H742),ISNUMBER(F742)),COUNTIFS(C_ID,B742,C_SUELDO,"&lt;&gt;",C_INICIO,"&lt;"&amp;F742)+COUNTIFS(B$7:B742,B742,H$7:H742,"&lt;&gt;",F$7:F742,F742),"")</f>
        <v/>
      </c>
      <c r="S742" s="72" t="str">
        <f aca="false">IF(R742="","",B742&amp;"-S"&amp;R742)</f>
        <v/>
      </c>
      <c r="T742" s="74" t="str">
        <f aca="false">IF(AND(ISNUMBER(F742),ISNUMBER(G742)),ROUND((G742-F742+1)/30.4375,1),"")</f>
        <v/>
      </c>
      <c r="U742" s="70" t="str">
        <f aca="false">IF(B742="","",IF(AND(N742="Sí",OR(E742="",NOT(ISNUMBER(F742)))),"⚠ Falta tipo de contrato o fecha de inicio",IF(NOT(ISNUMBER(F742)),"⚠ Falta fecha de inicio",IF(AND(N742="Sí",E742&lt;&gt;"Indefinido",NOT(ISNUMBER(G742))),"⚠ Falta fecha de término",IF(AND(D742="Paso a indefinido",E742&lt;&gt;"Indefinido"),"⚠ Un paso a indefinido debe tener tipo Indefinido",IF(N(Q742)&gt;=3,"⚠ 3er contrato a plazo fijo: por ley ya es INDEFINIDO (Art. 159 N°4)",IF(AND(E742="Plazo fijo",N(T742)&gt;12),"⚠ Plazo fijo mayor a 1 año (máx. legal; 2 años solo profesionales o técnicos)",IF(AND(ISNUMBER(G742),G742&lt;F742),"⚠ Término anterior al inicio",IF(AND(D742="Contrato inicial",ISNUMBER(J742),J742-F742&gt;15),"⚠ Escriturado fuera de plazo (Art. 9: 15 días)",IF(K742&lt;&gt;"Sí","Pendiente de firma","OK"))))))))))</f>
        <v/>
      </c>
    </row>
    <row r="743" customFormat="false" ht="15" hidden="false" customHeight="false" outlineLevel="0" collapsed="false">
      <c r="B743" s="64"/>
      <c r="C743" s="72" t="str">
        <f aca="false">IF(B743="","",IFERROR(INDEX(T_NOMBRE,MATCH(B743,T_ID,0)),"⚠ ID no existe en Trabajadores"))</f>
        <v/>
      </c>
      <c r="D743" s="64"/>
      <c r="E743" s="64"/>
      <c r="F743" s="65"/>
      <c r="G743" s="65"/>
      <c r="H743" s="67"/>
      <c r="I743" s="64"/>
      <c r="J743" s="65"/>
      <c r="K743" s="64"/>
      <c r="L743" s="64"/>
      <c r="M743" s="64"/>
      <c r="N743" s="72" t="str">
        <f aca="false">IF(B743="","",IF(D743="Anexo de modificación","No","Sí"))</f>
        <v/>
      </c>
      <c r="O743" s="73" t="str">
        <f aca="false">IF(AND(N743="Sí",ISNUMBER(F743)),COUNTIFS(C_ID,B743,C_DEFINE,"Sí",C_INICIO,"&lt;"&amp;F743)+COUNTIFS(B$7:B743,B743,N$7:N743,"Sí",F$7:F743,F743),"")</f>
        <v/>
      </c>
      <c r="P743" s="72" t="str">
        <f aca="false">IF(O743="","",B743&amp;"-P"&amp;O743)</f>
        <v/>
      </c>
      <c r="Q743" s="73" t="str">
        <f aca="false">IF(AND(N743="Sí",E743="Plazo fijo",ISNUMBER(F743)),COUNTIFS(C_ID,B743,C_TIPO,"Plazo fijo",C_DEFINE,"Sí",C_INICIO,"&lt;"&amp;F743)+COUNTIFS(B$7:B743,B743,E$7:E743,"Plazo fijo",N$7:N743,"Sí",F$7:F743,F743),"")</f>
        <v/>
      </c>
      <c r="R743" s="73" t="str">
        <f aca="false">IF(AND(B743&lt;&gt;"",ISNUMBER(H743),ISNUMBER(F743)),COUNTIFS(C_ID,B743,C_SUELDO,"&lt;&gt;",C_INICIO,"&lt;"&amp;F743)+COUNTIFS(B$7:B743,B743,H$7:H743,"&lt;&gt;",F$7:F743,F743),"")</f>
        <v/>
      </c>
      <c r="S743" s="72" t="str">
        <f aca="false">IF(R743="","",B743&amp;"-S"&amp;R743)</f>
        <v/>
      </c>
      <c r="T743" s="74" t="str">
        <f aca="false">IF(AND(ISNUMBER(F743),ISNUMBER(G743)),ROUND((G743-F743+1)/30.4375,1),"")</f>
        <v/>
      </c>
      <c r="U743" s="70" t="str">
        <f aca="false">IF(B743="","",IF(AND(N743="Sí",OR(E743="",NOT(ISNUMBER(F743)))),"⚠ Falta tipo de contrato o fecha de inicio",IF(NOT(ISNUMBER(F743)),"⚠ Falta fecha de inicio",IF(AND(N743="Sí",E743&lt;&gt;"Indefinido",NOT(ISNUMBER(G743))),"⚠ Falta fecha de término",IF(AND(D743="Paso a indefinido",E743&lt;&gt;"Indefinido"),"⚠ Un paso a indefinido debe tener tipo Indefinido",IF(N(Q743)&gt;=3,"⚠ 3er contrato a plazo fijo: por ley ya es INDEFINIDO (Art. 159 N°4)",IF(AND(E743="Plazo fijo",N(T743)&gt;12),"⚠ Plazo fijo mayor a 1 año (máx. legal; 2 años solo profesionales o técnicos)",IF(AND(ISNUMBER(G743),G743&lt;F743),"⚠ Término anterior al inicio",IF(AND(D743="Contrato inicial",ISNUMBER(J743),J743-F743&gt;15),"⚠ Escriturado fuera de plazo (Art. 9: 15 días)",IF(K743&lt;&gt;"Sí","Pendiente de firma","OK"))))))))))</f>
        <v/>
      </c>
    </row>
    <row r="744" customFormat="false" ht="15" hidden="false" customHeight="false" outlineLevel="0" collapsed="false">
      <c r="B744" s="64"/>
      <c r="C744" s="72" t="str">
        <f aca="false">IF(B744="","",IFERROR(INDEX(T_NOMBRE,MATCH(B744,T_ID,0)),"⚠ ID no existe en Trabajadores"))</f>
        <v/>
      </c>
      <c r="D744" s="64"/>
      <c r="E744" s="64"/>
      <c r="F744" s="65"/>
      <c r="G744" s="65"/>
      <c r="H744" s="67"/>
      <c r="I744" s="64"/>
      <c r="J744" s="65"/>
      <c r="K744" s="64"/>
      <c r="L744" s="64"/>
      <c r="M744" s="64"/>
      <c r="N744" s="72" t="str">
        <f aca="false">IF(B744="","",IF(D744="Anexo de modificación","No","Sí"))</f>
        <v/>
      </c>
      <c r="O744" s="73" t="str">
        <f aca="false">IF(AND(N744="Sí",ISNUMBER(F744)),COUNTIFS(C_ID,B744,C_DEFINE,"Sí",C_INICIO,"&lt;"&amp;F744)+COUNTIFS(B$7:B744,B744,N$7:N744,"Sí",F$7:F744,F744),"")</f>
        <v/>
      </c>
      <c r="P744" s="72" t="str">
        <f aca="false">IF(O744="","",B744&amp;"-P"&amp;O744)</f>
        <v/>
      </c>
      <c r="Q744" s="73" t="str">
        <f aca="false">IF(AND(N744="Sí",E744="Plazo fijo",ISNUMBER(F744)),COUNTIFS(C_ID,B744,C_TIPO,"Plazo fijo",C_DEFINE,"Sí",C_INICIO,"&lt;"&amp;F744)+COUNTIFS(B$7:B744,B744,E$7:E744,"Plazo fijo",N$7:N744,"Sí",F$7:F744,F744),"")</f>
        <v/>
      </c>
      <c r="R744" s="73" t="str">
        <f aca="false">IF(AND(B744&lt;&gt;"",ISNUMBER(H744),ISNUMBER(F744)),COUNTIFS(C_ID,B744,C_SUELDO,"&lt;&gt;",C_INICIO,"&lt;"&amp;F744)+COUNTIFS(B$7:B744,B744,H$7:H744,"&lt;&gt;",F$7:F744,F744),"")</f>
        <v/>
      </c>
      <c r="S744" s="72" t="str">
        <f aca="false">IF(R744="","",B744&amp;"-S"&amp;R744)</f>
        <v/>
      </c>
      <c r="T744" s="74" t="str">
        <f aca="false">IF(AND(ISNUMBER(F744),ISNUMBER(G744)),ROUND((G744-F744+1)/30.4375,1),"")</f>
        <v/>
      </c>
      <c r="U744" s="70" t="str">
        <f aca="false">IF(B744="","",IF(AND(N744="Sí",OR(E744="",NOT(ISNUMBER(F744)))),"⚠ Falta tipo de contrato o fecha de inicio",IF(NOT(ISNUMBER(F744)),"⚠ Falta fecha de inicio",IF(AND(N744="Sí",E744&lt;&gt;"Indefinido",NOT(ISNUMBER(G744))),"⚠ Falta fecha de término",IF(AND(D744="Paso a indefinido",E744&lt;&gt;"Indefinido"),"⚠ Un paso a indefinido debe tener tipo Indefinido",IF(N(Q744)&gt;=3,"⚠ 3er contrato a plazo fijo: por ley ya es INDEFINIDO (Art. 159 N°4)",IF(AND(E744="Plazo fijo",N(T744)&gt;12),"⚠ Plazo fijo mayor a 1 año (máx. legal; 2 años solo profesionales o técnicos)",IF(AND(ISNUMBER(G744),G744&lt;F744),"⚠ Término anterior al inicio",IF(AND(D744="Contrato inicial",ISNUMBER(J744),J744-F744&gt;15),"⚠ Escriturado fuera de plazo (Art. 9: 15 días)",IF(K744&lt;&gt;"Sí","Pendiente de firma","OK"))))))))))</f>
        <v/>
      </c>
    </row>
    <row r="745" customFormat="false" ht="15" hidden="false" customHeight="false" outlineLevel="0" collapsed="false">
      <c r="B745" s="64"/>
      <c r="C745" s="72" t="str">
        <f aca="false">IF(B745="","",IFERROR(INDEX(T_NOMBRE,MATCH(B745,T_ID,0)),"⚠ ID no existe en Trabajadores"))</f>
        <v/>
      </c>
      <c r="D745" s="64"/>
      <c r="E745" s="64"/>
      <c r="F745" s="65"/>
      <c r="G745" s="65"/>
      <c r="H745" s="67"/>
      <c r="I745" s="64"/>
      <c r="J745" s="65"/>
      <c r="K745" s="64"/>
      <c r="L745" s="64"/>
      <c r="M745" s="64"/>
      <c r="N745" s="72" t="str">
        <f aca="false">IF(B745="","",IF(D745="Anexo de modificación","No","Sí"))</f>
        <v/>
      </c>
      <c r="O745" s="73" t="str">
        <f aca="false">IF(AND(N745="Sí",ISNUMBER(F745)),COUNTIFS(C_ID,B745,C_DEFINE,"Sí",C_INICIO,"&lt;"&amp;F745)+COUNTIFS(B$7:B745,B745,N$7:N745,"Sí",F$7:F745,F745),"")</f>
        <v/>
      </c>
      <c r="P745" s="72" t="str">
        <f aca="false">IF(O745="","",B745&amp;"-P"&amp;O745)</f>
        <v/>
      </c>
      <c r="Q745" s="73" t="str">
        <f aca="false">IF(AND(N745="Sí",E745="Plazo fijo",ISNUMBER(F745)),COUNTIFS(C_ID,B745,C_TIPO,"Plazo fijo",C_DEFINE,"Sí",C_INICIO,"&lt;"&amp;F745)+COUNTIFS(B$7:B745,B745,E$7:E745,"Plazo fijo",N$7:N745,"Sí",F$7:F745,F745),"")</f>
        <v/>
      </c>
      <c r="R745" s="73" t="str">
        <f aca="false">IF(AND(B745&lt;&gt;"",ISNUMBER(H745),ISNUMBER(F745)),COUNTIFS(C_ID,B745,C_SUELDO,"&lt;&gt;",C_INICIO,"&lt;"&amp;F745)+COUNTIFS(B$7:B745,B745,H$7:H745,"&lt;&gt;",F$7:F745,F745),"")</f>
        <v/>
      </c>
      <c r="S745" s="72" t="str">
        <f aca="false">IF(R745="","",B745&amp;"-S"&amp;R745)</f>
        <v/>
      </c>
      <c r="T745" s="74" t="str">
        <f aca="false">IF(AND(ISNUMBER(F745),ISNUMBER(G745)),ROUND((G745-F745+1)/30.4375,1),"")</f>
        <v/>
      </c>
      <c r="U745" s="70" t="str">
        <f aca="false">IF(B745="","",IF(AND(N745="Sí",OR(E745="",NOT(ISNUMBER(F745)))),"⚠ Falta tipo de contrato o fecha de inicio",IF(NOT(ISNUMBER(F745)),"⚠ Falta fecha de inicio",IF(AND(N745="Sí",E745&lt;&gt;"Indefinido",NOT(ISNUMBER(G745))),"⚠ Falta fecha de término",IF(AND(D745="Paso a indefinido",E745&lt;&gt;"Indefinido"),"⚠ Un paso a indefinido debe tener tipo Indefinido",IF(N(Q745)&gt;=3,"⚠ 3er contrato a plazo fijo: por ley ya es INDEFINIDO (Art. 159 N°4)",IF(AND(E745="Plazo fijo",N(T745)&gt;12),"⚠ Plazo fijo mayor a 1 año (máx. legal; 2 años solo profesionales o técnicos)",IF(AND(ISNUMBER(G745),G745&lt;F745),"⚠ Término anterior al inicio",IF(AND(D745="Contrato inicial",ISNUMBER(J745),J745-F745&gt;15),"⚠ Escriturado fuera de plazo (Art. 9: 15 días)",IF(K745&lt;&gt;"Sí","Pendiente de firma","OK"))))))))))</f>
        <v/>
      </c>
    </row>
    <row r="746" customFormat="false" ht="15" hidden="false" customHeight="false" outlineLevel="0" collapsed="false">
      <c r="B746" s="64"/>
      <c r="C746" s="72" t="str">
        <f aca="false">IF(B746="","",IFERROR(INDEX(T_NOMBRE,MATCH(B746,T_ID,0)),"⚠ ID no existe en Trabajadores"))</f>
        <v/>
      </c>
      <c r="D746" s="64"/>
      <c r="E746" s="64"/>
      <c r="F746" s="65"/>
      <c r="G746" s="65"/>
      <c r="H746" s="67"/>
      <c r="I746" s="64"/>
      <c r="J746" s="65"/>
      <c r="K746" s="64"/>
      <c r="L746" s="64"/>
      <c r="M746" s="64"/>
      <c r="N746" s="72" t="str">
        <f aca="false">IF(B746="","",IF(D746="Anexo de modificación","No","Sí"))</f>
        <v/>
      </c>
      <c r="O746" s="73" t="str">
        <f aca="false">IF(AND(N746="Sí",ISNUMBER(F746)),COUNTIFS(C_ID,B746,C_DEFINE,"Sí",C_INICIO,"&lt;"&amp;F746)+COUNTIFS(B$7:B746,B746,N$7:N746,"Sí",F$7:F746,F746),"")</f>
        <v/>
      </c>
      <c r="P746" s="72" t="str">
        <f aca="false">IF(O746="","",B746&amp;"-P"&amp;O746)</f>
        <v/>
      </c>
      <c r="Q746" s="73" t="str">
        <f aca="false">IF(AND(N746="Sí",E746="Plazo fijo",ISNUMBER(F746)),COUNTIFS(C_ID,B746,C_TIPO,"Plazo fijo",C_DEFINE,"Sí",C_INICIO,"&lt;"&amp;F746)+COUNTIFS(B$7:B746,B746,E$7:E746,"Plazo fijo",N$7:N746,"Sí",F$7:F746,F746),"")</f>
        <v/>
      </c>
      <c r="R746" s="73" t="str">
        <f aca="false">IF(AND(B746&lt;&gt;"",ISNUMBER(H746),ISNUMBER(F746)),COUNTIFS(C_ID,B746,C_SUELDO,"&lt;&gt;",C_INICIO,"&lt;"&amp;F746)+COUNTIFS(B$7:B746,B746,H$7:H746,"&lt;&gt;",F$7:F746,F746),"")</f>
        <v/>
      </c>
      <c r="S746" s="72" t="str">
        <f aca="false">IF(R746="","",B746&amp;"-S"&amp;R746)</f>
        <v/>
      </c>
      <c r="T746" s="74" t="str">
        <f aca="false">IF(AND(ISNUMBER(F746),ISNUMBER(G746)),ROUND((G746-F746+1)/30.4375,1),"")</f>
        <v/>
      </c>
      <c r="U746" s="70" t="str">
        <f aca="false">IF(B746="","",IF(AND(N746="Sí",OR(E746="",NOT(ISNUMBER(F746)))),"⚠ Falta tipo de contrato o fecha de inicio",IF(NOT(ISNUMBER(F746)),"⚠ Falta fecha de inicio",IF(AND(N746="Sí",E746&lt;&gt;"Indefinido",NOT(ISNUMBER(G746))),"⚠ Falta fecha de término",IF(AND(D746="Paso a indefinido",E746&lt;&gt;"Indefinido"),"⚠ Un paso a indefinido debe tener tipo Indefinido",IF(N(Q746)&gt;=3,"⚠ 3er contrato a plazo fijo: por ley ya es INDEFINIDO (Art. 159 N°4)",IF(AND(E746="Plazo fijo",N(T746)&gt;12),"⚠ Plazo fijo mayor a 1 año (máx. legal; 2 años solo profesionales o técnicos)",IF(AND(ISNUMBER(G746),G746&lt;F746),"⚠ Término anterior al inicio",IF(AND(D746="Contrato inicial",ISNUMBER(J746),J746-F746&gt;15),"⚠ Escriturado fuera de plazo (Art. 9: 15 días)",IF(K746&lt;&gt;"Sí","Pendiente de firma","OK"))))))))))</f>
        <v/>
      </c>
    </row>
    <row r="747" customFormat="false" ht="15" hidden="false" customHeight="false" outlineLevel="0" collapsed="false">
      <c r="B747" s="64"/>
      <c r="C747" s="72" t="str">
        <f aca="false">IF(B747="","",IFERROR(INDEX(T_NOMBRE,MATCH(B747,T_ID,0)),"⚠ ID no existe en Trabajadores"))</f>
        <v/>
      </c>
      <c r="D747" s="64"/>
      <c r="E747" s="64"/>
      <c r="F747" s="65"/>
      <c r="G747" s="65"/>
      <c r="H747" s="67"/>
      <c r="I747" s="64"/>
      <c r="J747" s="65"/>
      <c r="K747" s="64"/>
      <c r="L747" s="64"/>
      <c r="M747" s="64"/>
      <c r="N747" s="72" t="str">
        <f aca="false">IF(B747="","",IF(D747="Anexo de modificación","No","Sí"))</f>
        <v/>
      </c>
      <c r="O747" s="73" t="str">
        <f aca="false">IF(AND(N747="Sí",ISNUMBER(F747)),COUNTIFS(C_ID,B747,C_DEFINE,"Sí",C_INICIO,"&lt;"&amp;F747)+COUNTIFS(B$7:B747,B747,N$7:N747,"Sí",F$7:F747,F747),"")</f>
        <v/>
      </c>
      <c r="P747" s="72" t="str">
        <f aca="false">IF(O747="","",B747&amp;"-P"&amp;O747)</f>
        <v/>
      </c>
      <c r="Q747" s="73" t="str">
        <f aca="false">IF(AND(N747="Sí",E747="Plazo fijo",ISNUMBER(F747)),COUNTIFS(C_ID,B747,C_TIPO,"Plazo fijo",C_DEFINE,"Sí",C_INICIO,"&lt;"&amp;F747)+COUNTIFS(B$7:B747,B747,E$7:E747,"Plazo fijo",N$7:N747,"Sí",F$7:F747,F747),"")</f>
        <v/>
      </c>
      <c r="R747" s="73" t="str">
        <f aca="false">IF(AND(B747&lt;&gt;"",ISNUMBER(H747),ISNUMBER(F747)),COUNTIFS(C_ID,B747,C_SUELDO,"&lt;&gt;",C_INICIO,"&lt;"&amp;F747)+COUNTIFS(B$7:B747,B747,H$7:H747,"&lt;&gt;",F$7:F747,F747),"")</f>
        <v/>
      </c>
      <c r="S747" s="72" t="str">
        <f aca="false">IF(R747="","",B747&amp;"-S"&amp;R747)</f>
        <v/>
      </c>
      <c r="T747" s="74" t="str">
        <f aca="false">IF(AND(ISNUMBER(F747),ISNUMBER(G747)),ROUND((G747-F747+1)/30.4375,1),"")</f>
        <v/>
      </c>
      <c r="U747" s="70" t="str">
        <f aca="false">IF(B747="","",IF(AND(N747="Sí",OR(E747="",NOT(ISNUMBER(F747)))),"⚠ Falta tipo de contrato o fecha de inicio",IF(NOT(ISNUMBER(F747)),"⚠ Falta fecha de inicio",IF(AND(N747="Sí",E747&lt;&gt;"Indefinido",NOT(ISNUMBER(G747))),"⚠ Falta fecha de término",IF(AND(D747="Paso a indefinido",E747&lt;&gt;"Indefinido"),"⚠ Un paso a indefinido debe tener tipo Indefinido",IF(N(Q747)&gt;=3,"⚠ 3er contrato a plazo fijo: por ley ya es INDEFINIDO (Art. 159 N°4)",IF(AND(E747="Plazo fijo",N(T747)&gt;12),"⚠ Plazo fijo mayor a 1 año (máx. legal; 2 años solo profesionales o técnicos)",IF(AND(ISNUMBER(G747),G747&lt;F747),"⚠ Término anterior al inicio",IF(AND(D747="Contrato inicial",ISNUMBER(J747),J747-F747&gt;15),"⚠ Escriturado fuera de plazo (Art. 9: 15 días)",IF(K747&lt;&gt;"Sí","Pendiente de firma","OK"))))))))))</f>
        <v/>
      </c>
    </row>
    <row r="748" customFormat="false" ht="15" hidden="false" customHeight="false" outlineLevel="0" collapsed="false">
      <c r="B748" s="64"/>
      <c r="C748" s="72" t="str">
        <f aca="false">IF(B748="","",IFERROR(INDEX(T_NOMBRE,MATCH(B748,T_ID,0)),"⚠ ID no existe en Trabajadores"))</f>
        <v/>
      </c>
      <c r="D748" s="64"/>
      <c r="E748" s="64"/>
      <c r="F748" s="65"/>
      <c r="G748" s="65"/>
      <c r="H748" s="67"/>
      <c r="I748" s="64"/>
      <c r="J748" s="65"/>
      <c r="K748" s="64"/>
      <c r="L748" s="64"/>
      <c r="M748" s="64"/>
      <c r="N748" s="72" t="str">
        <f aca="false">IF(B748="","",IF(D748="Anexo de modificación","No","Sí"))</f>
        <v/>
      </c>
      <c r="O748" s="73" t="str">
        <f aca="false">IF(AND(N748="Sí",ISNUMBER(F748)),COUNTIFS(C_ID,B748,C_DEFINE,"Sí",C_INICIO,"&lt;"&amp;F748)+COUNTIFS(B$7:B748,B748,N$7:N748,"Sí",F$7:F748,F748),"")</f>
        <v/>
      </c>
      <c r="P748" s="72" t="str">
        <f aca="false">IF(O748="","",B748&amp;"-P"&amp;O748)</f>
        <v/>
      </c>
      <c r="Q748" s="73" t="str">
        <f aca="false">IF(AND(N748="Sí",E748="Plazo fijo",ISNUMBER(F748)),COUNTIFS(C_ID,B748,C_TIPO,"Plazo fijo",C_DEFINE,"Sí",C_INICIO,"&lt;"&amp;F748)+COUNTIFS(B$7:B748,B748,E$7:E748,"Plazo fijo",N$7:N748,"Sí",F$7:F748,F748),"")</f>
        <v/>
      </c>
      <c r="R748" s="73" t="str">
        <f aca="false">IF(AND(B748&lt;&gt;"",ISNUMBER(H748),ISNUMBER(F748)),COUNTIFS(C_ID,B748,C_SUELDO,"&lt;&gt;",C_INICIO,"&lt;"&amp;F748)+COUNTIFS(B$7:B748,B748,H$7:H748,"&lt;&gt;",F$7:F748,F748),"")</f>
        <v/>
      </c>
      <c r="S748" s="72" t="str">
        <f aca="false">IF(R748="","",B748&amp;"-S"&amp;R748)</f>
        <v/>
      </c>
      <c r="T748" s="74" t="str">
        <f aca="false">IF(AND(ISNUMBER(F748),ISNUMBER(G748)),ROUND((G748-F748+1)/30.4375,1),"")</f>
        <v/>
      </c>
      <c r="U748" s="70" t="str">
        <f aca="false">IF(B748="","",IF(AND(N748="Sí",OR(E748="",NOT(ISNUMBER(F748)))),"⚠ Falta tipo de contrato o fecha de inicio",IF(NOT(ISNUMBER(F748)),"⚠ Falta fecha de inicio",IF(AND(N748="Sí",E748&lt;&gt;"Indefinido",NOT(ISNUMBER(G748))),"⚠ Falta fecha de término",IF(AND(D748="Paso a indefinido",E748&lt;&gt;"Indefinido"),"⚠ Un paso a indefinido debe tener tipo Indefinido",IF(N(Q748)&gt;=3,"⚠ 3er contrato a plazo fijo: por ley ya es INDEFINIDO (Art. 159 N°4)",IF(AND(E748="Plazo fijo",N(T748)&gt;12),"⚠ Plazo fijo mayor a 1 año (máx. legal; 2 años solo profesionales o técnicos)",IF(AND(ISNUMBER(G748),G748&lt;F748),"⚠ Término anterior al inicio",IF(AND(D748="Contrato inicial",ISNUMBER(J748),J748-F748&gt;15),"⚠ Escriturado fuera de plazo (Art. 9: 15 días)",IF(K748&lt;&gt;"Sí","Pendiente de firma","OK"))))))))))</f>
        <v/>
      </c>
    </row>
    <row r="749" customFormat="false" ht="15" hidden="false" customHeight="false" outlineLevel="0" collapsed="false">
      <c r="B749" s="64"/>
      <c r="C749" s="72" t="str">
        <f aca="false">IF(B749="","",IFERROR(INDEX(T_NOMBRE,MATCH(B749,T_ID,0)),"⚠ ID no existe en Trabajadores"))</f>
        <v/>
      </c>
      <c r="D749" s="64"/>
      <c r="E749" s="64"/>
      <c r="F749" s="65"/>
      <c r="G749" s="65"/>
      <c r="H749" s="67"/>
      <c r="I749" s="64"/>
      <c r="J749" s="65"/>
      <c r="K749" s="64"/>
      <c r="L749" s="64"/>
      <c r="M749" s="64"/>
      <c r="N749" s="72" t="str">
        <f aca="false">IF(B749="","",IF(D749="Anexo de modificación","No","Sí"))</f>
        <v/>
      </c>
      <c r="O749" s="73" t="str">
        <f aca="false">IF(AND(N749="Sí",ISNUMBER(F749)),COUNTIFS(C_ID,B749,C_DEFINE,"Sí",C_INICIO,"&lt;"&amp;F749)+COUNTIFS(B$7:B749,B749,N$7:N749,"Sí",F$7:F749,F749),"")</f>
        <v/>
      </c>
      <c r="P749" s="72" t="str">
        <f aca="false">IF(O749="","",B749&amp;"-P"&amp;O749)</f>
        <v/>
      </c>
      <c r="Q749" s="73" t="str">
        <f aca="false">IF(AND(N749="Sí",E749="Plazo fijo",ISNUMBER(F749)),COUNTIFS(C_ID,B749,C_TIPO,"Plazo fijo",C_DEFINE,"Sí",C_INICIO,"&lt;"&amp;F749)+COUNTIFS(B$7:B749,B749,E$7:E749,"Plazo fijo",N$7:N749,"Sí",F$7:F749,F749),"")</f>
        <v/>
      </c>
      <c r="R749" s="73" t="str">
        <f aca="false">IF(AND(B749&lt;&gt;"",ISNUMBER(H749),ISNUMBER(F749)),COUNTIFS(C_ID,B749,C_SUELDO,"&lt;&gt;",C_INICIO,"&lt;"&amp;F749)+COUNTIFS(B$7:B749,B749,H$7:H749,"&lt;&gt;",F$7:F749,F749),"")</f>
        <v/>
      </c>
      <c r="S749" s="72" t="str">
        <f aca="false">IF(R749="","",B749&amp;"-S"&amp;R749)</f>
        <v/>
      </c>
      <c r="T749" s="74" t="str">
        <f aca="false">IF(AND(ISNUMBER(F749),ISNUMBER(G749)),ROUND((G749-F749+1)/30.4375,1),"")</f>
        <v/>
      </c>
      <c r="U749" s="70" t="str">
        <f aca="false">IF(B749="","",IF(AND(N749="Sí",OR(E749="",NOT(ISNUMBER(F749)))),"⚠ Falta tipo de contrato o fecha de inicio",IF(NOT(ISNUMBER(F749)),"⚠ Falta fecha de inicio",IF(AND(N749="Sí",E749&lt;&gt;"Indefinido",NOT(ISNUMBER(G749))),"⚠ Falta fecha de término",IF(AND(D749="Paso a indefinido",E749&lt;&gt;"Indefinido"),"⚠ Un paso a indefinido debe tener tipo Indefinido",IF(N(Q749)&gt;=3,"⚠ 3er contrato a plazo fijo: por ley ya es INDEFINIDO (Art. 159 N°4)",IF(AND(E749="Plazo fijo",N(T749)&gt;12),"⚠ Plazo fijo mayor a 1 año (máx. legal; 2 años solo profesionales o técnicos)",IF(AND(ISNUMBER(G749),G749&lt;F749),"⚠ Término anterior al inicio",IF(AND(D749="Contrato inicial",ISNUMBER(J749),J749-F749&gt;15),"⚠ Escriturado fuera de plazo (Art. 9: 15 días)",IF(K749&lt;&gt;"Sí","Pendiente de firma","OK"))))))))))</f>
        <v/>
      </c>
    </row>
    <row r="750" customFormat="false" ht="15" hidden="false" customHeight="false" outlineLevel="0" collapsed="false">
      <c r="B750" s="64"/>
      <c r="C750" s="72" t="str">
        <f aca="false">IF(B750="","",IFERROR(INDEX(T_NOMBRE,MATCH(B750,T_ID,0)),"⚠ ID no existe en Trabajadores"))</f>
        <v/>
      </c>
      <c r="D750" s="64"/>
      <c r="E750" s="64"/>
      <c r="F750" s="65"/>
      <c r="G750" s="65"/>
      <c r="H750" s="67"/>
      <c r="I750" s="64"/>
      <c r="J750" s="65"/>
      <c r="K750" s="64"/>
      <c r="L750" s="64"/>
      <c r="M750" s="64"/>
      <c r="N750" s="72" t="str">
        <f aca="false">IF(B750="","",IF(D750="Anexo de modificación","No","Sí"))</f>
        <v/>
      </c>
      <c r="O750" s="73" t="str">
        <f aca="false">IF(AND(N750="Sí",ISNUMBER(F750)),COUNTIFS(C_ID,B750,C_DEFINE,"Sí",C_INICIO,"&lt;"&amp;F750)+COUNTIFS(B$7:B750,B750,N$7:N750,"Sí",F$7:F750,F750),"")</f>
        <v/>
      </c>
      <c r="P750" s="72" t="str">
        <f aca="false">IF(O750="","",B750&amp;"-P"&amp;O750)</f>
        <v/>
      </c>
      <c r="Q750" s="73" t="str">
        <f aca="false">IF(AND(N750="Sí",E750="Plazo fijo",ISNUMBER(F750)),COUNTIFS(C_ID,B750,C_TIPO,"Plazo fijo",C_DEFINE,"Sí",C_INICIO,"&lt;"&amp;F750)+COUNTIFS(B$7:B750,B750,E$7:E750,"Plazo fijo",N$7:N750,"Sí",F$7:F750,F750),"")</f>
        <v/>
      </c>
      <c r="R750" s="73" t="str">
        <f aca="false">IF(AND(B750&lt;&gt;"",ISNUMBER(H750),ISNUMBER(F750)),COUNTIFS(C_ID,B750,C_SUELDO,"&lt;&gt;",C_INICIO,"&lt;"&amp;F750)+COUNTIFS(B$7:B750,B750,H$7:H750,"&lt;&gt;",F$7:F750,F750),"")</f>
        <v/>
      </c>
      <c r="S750" s="72" t="str">
        <f aca="false">IF(R750="","",B750&amp;"-S"&amp;R750)</f>
        <v/>
      </c>
      <c r="T750" s="74" t="str">
        <f aca="false">IF(AND(ISNUMBER(F750),ISNUMBER(G750)),ROUND((G750-F750+1)/30.4375,1),"")</f>
        <v/>
      </c>
      <c r="U750" s="70" t="str">
        <f aca="false">IF(B750="","",IF(AND(N750="Sí",OR(E750="",NOT(ISNUMBER(F750)))),"⚠ Falta tipo de contrato o fecha de inicio",IF(NOT(ISNUMBER(F750)),"⚠ Falta fecha de inicio",IF(AND(N750="Sí",E750&lt;&gt;"Indefinido",NOT(ISNUMBER(G750))),"⚠ Falta fecha de término",IF(AND(D750="Paso a indefinido",E750&lt;&gt;"Indefinido"),"⚠ Un paso a indefinido debe tener tipo Indefinido",IF(N(Q750)&gt;=3,"⚠ 3er contrato a plazo fijo: por ley ya es INDEFINIDO (Art. 159 N°4)",IF(AND(E750="Plazo fijo",N(T750)&gt;12),"⚠ Plazo fijo mayor a 1 año (máx. legal; 2 años solo profesionales o técnicos)",IF(AND(ISNUMBER(G750),G750&lt;F750),"⚠ Término anterior al inicio",IF(AND(D750="Contrato inicial",ISNUMBER(J750),J750-F750&gt;15),"⚠ Escriturado fuera de plazo (Art. 9: 15 días)",IF(K750&lt;&gt;"Sí","Pendiente de firma","OK"))))))))))</f>
        <v/>
      </c>
    </row>
    <row r="751" customFormat="false" ht="15" hidden="false" customHeight="false" outlineLevel="0" collapsed="false">
      <c r="B751" s="64"/>
      <c r="C751" s="72" t="str">
        <f aca="false">IF(B751="","",IFERROR(INDEX(T_NOMBRE,MATCH(B751,T_ID,0)),"⚠ ID no existe en Trabajadores"))</f>
        <v/>
      </c>
      <c r="D751" s="64"/>
      <c r="E751" s="64"/>
      <c r="F751" s="65"/>
      <c r="G751" s="65"/>
      <c r="H751" s="67"/>
      <c r="I751" s="64"/>
      <c r="J751" s="65"/>
      <c r="K751" s="64"/>
      <c r="L751" s="64"/>
      <c r="M751" s="64"/>
      <c r="N751" s="72" t="str">
        <f aca="false">IF(B751="","",IF(D751="Anexo de modificación","No","Sí"))</f>
        <v/>
      </c>
      <c r="O751" s="73" t="str">
        <f aca="false">IF(AND(N751="Sí",ISNUMBER(F751)),COUNTIFS(C_ID,B751,C_DEFINE,"Sí",C_INICIO,"&lt;"&amp;F751)+COUNTIFS(B$7:B751,B751,N$7:N751,"Sí",F$7:F751,F751),"")</f>
        <v/>
      </c>
      <c r="P751" s="72" t="str">
        <f aca="false">IF(O751="","",B751&amp;"-P"&amp;O751)</f>
        <v/>
      </c>
      <c r="Q751" s="73" t="str">
        <f aca="false">IF(AND(N751="Sí",E751="Plazo fijo",ISNUMBER(F751)),COUNTIFS(C_ID,B751,C_TIPO,"Plazo fijo",C_DEFINE,"Sí",C_INICIO,"&lt;"&amp;F751)+COUNTIFS(B$7:B751,B751,E$7:E751,"Plazo fijo",N$7:N751,"Sí",F$7:F751,F751),"")</f>
        <v/>
      </c>
      <c r="R751" s="73" t="str">
        <f aca="false">IF(AND(B751&lt;&gt;"",ISNUMBER(H751),ISNUMBER(F751)),COUNTIFS(C_ID,B751,C_SUELDO,"&lt;&gt;",C_INICIO,"&lt;"&amp;F751)+COUNTIFS(B$7:B751,B751,H$7:H751,"&lt;&gt;",F$7:F751,F751),"")</f>
        <v/>
      </c>
      <c r="S751" s="72" t="str">
        <f aca="false">IF(R751="","",B751&amp;"-S"&amp;R751)</f>
        <v/>
      </c>
      <c r="T751" s="74" t="str">
        <f aca="false">IF(AND(ISNUMBER(F751),ISNUMBER(G751)),ROUND((G751-F751+1)/30.4375,1),"")</f>
        <v/>
      </c>
      <c r="U751" s="70" t="str">
        <f aca="false">IF(B751="","",IF(AND(N751="Sí",OR(E751="",NOT(ISNUMBER(F751)))),"⚠ Falta tipo de contrato o fecha de inicio",IF(NOT(ISNUMBER(F751)),"⚠ Falta fecha de inicio",IF(AND(N751="Sí",E751&lt;&gt;"Indefinido",NOT(ISNUMBER(G751))),"⚠ Falta fecha de término",IF(AND(D751="Paso a indefinido",E751&lt;&gt;"Indefinido"),"⚠ Un paso a indefinido debe tener tipo Indefinido",IF(N(Q751)&gt;=3,"⚠ 3er contrato a plazo fijo: por ley ya es INDEFINIDO (Art. 159 N°4)",IF(AND(E751="Plazo fijo",N(T751)&gt;12),"⚠ Plazo fijo mayor a 1 año (máx. legal; 2 años solo profesionales o técnicos)",IF(AND(ISNUMBER(G751),G751&lt;F751),"⚠ Término anterior al inicio",IF(AND(D751="Contrato inicial",ISNUMBER(J751),J751-F751&gt;15),"⚠ Escriturado fuera de plazo (Art. 9: 15 días)",IF(K751&lt;&gt;"Sí","Pendiente de firma","OK"))))))))))</f>
        <v/>
      </c>
    </row>
    <row r="752" customFormat="false" ht="15" hidden="false" customHeight="false" outlineLevel="0" collapsed="false">
      <c r="B752" s="64"/>
      <c r="C752" s="72" t="str">
        <f aca="false">IF(B752="","",IFERROR(INDEX(T_NOMBRE,MATCH(B752,T_ID,0)),"⚠ ID no existe en Trabajadores"))</f>
        <v/>
      </c>
      <c r="D752" s="64"/>
      <c r="E752" s="64"/>
      <c r="F752" s="65"/>
      <c r="G752" s="65"/>
      <c r="H752" s="67"/>
      <c r="I752" s="64"/>
      <c r="J752" s="65"/>
      <c r="K752" s="64"/>
      <c r="L752" s="64"/>
      <c r="M752" s="64"/>
      <c r="N752" s="72" t="str">
        <f aca="false">IF(B752="","",IF(D752="Anexo de modificación","No","Sí"))</f>
        <v/>
      </c>
      <c r="O752" s="73" t="str">
        <f aca="false">IF(AND(N752="Sí",ISNUMBER(F752)),COUNTIFS(C_ID,B752,C_DEFINE,"Sí",C_INICIO,"&lt;"&amp;F752)+COUNTIFS(B$7:B752,B752,N$7:N752,"Sí",F$7:F752,F752),"")</f>
        <v/>
      </c>
      <c r="P752" s="72" t="str">
        <f aca="false">IF(O752="","",B752&amp;"-P"&amp;O752)</f>
        <v/>
      </c>
      <c r="Q752" s="73" t="str">
        <f aca="false">IF(AND(N752="Sí",E752="Plazo fijo",ISNUMBER(F752)),COUNTIFS(C_ID,B752,C_TIPO,"Plazo fijo",C_DEFINE,"Sí",C_INICIO,"&lt;"&amp;F752)+COUNTIFS(B$7:B752,B752,E$7:E752,"Plazo fijo",N$7:N752,"Sí",F$7:F752,F752),"")</f>
        <v/>
      </c>
      <c r="R752" s="73" t="str">
        <f aca="false">IF(AND(B752&lt;&gt;"",ISNUMBER(H752),ISNUMBER(F752)),COUNTIFS(C_ID,B752,C_SUELDO,"&lt;&gt;",C_INICIO,"&lt;"&amp;F752)+COUNTIFS(B$7:B752,B752,H$7:H752,"&lt;&gt;",F$7:F752,F752),"")</f>
        <v/>
      </c>
      <c r="S752" s="72" t="str">
        <f aca="false">IF(R752="","",B752&amp;"-S"&amp;R752)</f>
        <v/>
      </c>
      <c r="T752" s="74" t="str">
        <f aca="false">IF(AND(ISNUMBER(F752),ISNUMBER(G752)),ROUND((G752-F752+1)/30.4375,1),"")</f>
        <v/>
      </c>
      <c r="U752" s="70" t="str">
        <f aca="false">IF(B752="","",IF(AND(N752="Sí",OR(E752="",NOT(ISNUMBER(F752)))),"⚠ Falta tipo de contrato o fecha de inicio",IF(NOT(ISNUMBER(F752)),"⚠ Falta fecha de inicio",IF(AND(N752="Sí",E752&lt;&gt;"Indefinido",NOT(ISNUMBER(G752))),"⚠ Falta fecha de término",IF(AND(D752="Paso a indefinido",E752&lt;&gt;"Indefinido"),"⚠ Un paso a indefinido debe tener tipo Indefinido",IF(N(Q752)&gt;=3,"⚠ 3er contrato a plazo fijo: por ley ya es INDEFINIDO (Art. 159 N°4)",IF(AND(E752="Plazo fijo",N(T752)&gt;12),"⚠ Plazo fijo mayor a 1 año (máx. legal; 2 años solo profesionales o técnicos)",IF(AND(ISNUMBER(G752),G752&lt;F752),"⚠ Término anterior al inicio",IF(AND(D752="Contrato inicial",ISNUMBER(J752),J752-F752&gt;15),"⚠ Escriturado fuera de plazo (Art. 9: 15 días)",IF(K752&lt;&gt;"Sí","Pendiente de firma","OK"))))))))))</f>
        <v/>
      </c>
    </row>
    <row r="753" customFormat="false" ht="15" hidden="false" customHeight="false" outlineLevel="0" collapsed="false">
      <c r="B753" s="64"/>
      <c r="C753" s="72" t="str">
        <f aca="false">IF(B753="","",IFERROR(INDEX(T_NOMBRE,MATCH(B753,T_ID,0)),"⚠ ID no existe en Trabajadores"))</f>
        <v/>
      </c>
      <c r="D753" s="64"/>
      <c r="E753" s="64"/>
      <c r="F753" s="65"/>
      <c r="G753" s="65"/>
      <c r="H753" s="67"/>
      <c r="I753" s="64"/>
      <c r="J753" s="65"/>
      <c r="K753" s="64"/>
      <c r="L753" s="64"/>
      <c r="M753" s="64"/>
      <c r="N753" s="72" t="str">
        <f aca="false">IF(B753="","",IF(D753="Anexo de modificación","No","Sí"))</f>
        <v/>
      </c>
      <c r="O753" s="73" t="str">
        <f aca="false">IF(AND(N753="Sí",ISNUMBER(F753)),COUNTIFS(C_ID,B753,C_DEFINE,"Sí",C_INICIO,"&lt;"&amp;F753)+COUNTIFS(B$7:B753,B753,N$7:N753,"Sí",F$7:F753,F753),"")</f>
        <v/>
      </c>
      <c r="P753" s="72" t="str">
        <f aca="false">IF(O753="","",B753&amp;"-P"&amp;O753)</f>
        <v/>
      </c>
      <c r="Q753" s="73" t="str">
        <f aca="false">IF(AND(N753="Sí",E753="Plazo fijo",ISNUMBER(F753)),COUNTIFS(C_ID,B753,C_TIPO,"Plazo fijo",C_DEFINE,"Sí",C_INICIO,"&lt;"&amp;F753)+COUNTIFS(B$7:B753,B753,E$7:E753,"Plazo fijo",N$7:N753,"Sí",F$7:F753,F753),"")</f>
        <v/>
      </c>
      <c r="R753" s="73" t="str">
        <f aca="false">IF(AND(B753&lt;&gt;"",ISNUMBER(H753),ISNUMBER(F753)),COUNTIFS(C_ID,B753,C_SUELDO,"&lt;&gt;",C_INICIO,"&lt;"&amp;F753)+COUNTIFS(B$7:B753,B753,H$7:H753,"&lt;&gt;",F$7:F753,F753),"")</f>
        <v/>
      </c>
      <c r="S753" s="72" t="str">
        <f aca="false">IF(R753="","",B753&amp;"-S"&amp;R753)</f>
        <v/>
      </c>
      <c r="T753" s="74" t="str">
        <f aca="false">IF(AND(ISNUMBER(F753),ISNUMBER(G753)),ROUND((G753-F753+1)/30.4375,1),"")</f>
        <v/>
      </c>
      <c r="U753" s="70" t="str">
        <f aca="false">IF(B753="","",IF(AND(N753="Sí",OR(E753="",NOT(ISNUMBER(F753)))),"⚠ Falta tipo de contrato o fecha de inicio",IF(NOT(ISNUMBER(F753)),"⚠ Falta fecha de inicio",IF(AND(N753="Sí",E753&lt;&gt;"Indefinido",NOT(ISNUMBER(G753))),"⚠ Falta fecha de término",IF(AND(D753="Paso a indefinido",E753&lt;&gt;"Indefinido"),"⚠ Un paso a indefinido debe tener tipo Indefinido",IF(N(Q753)&gt;=3,"⚠ 3er contrato a plazo fijo: por ley ya es INDEFINIDO (Art. 159 N°4)",IF(AND(E753="Plazo fijo",N(T753)&gt;12),"⚠ Plazo fijo mayor a 1 año (máx. legal; 2 años solo profesionales o técnicos)",IF(AND(ISNUMBER(G753),G753&lt;F753),"⚠ Término anterior al inicio",IF(AND(D753="Contrato inicial",ISNUMBER(J753),J753-F753&gt;15),"⚠ Escriturado fuera de plazo (Art. 9: 15 días)",IF(K753&lt;&gt;"Sí","Pendiente de firma","OK"))))))))))</f>
        <v/>
      </c>
    </row>
    <row r="754" customFormat="false" ht="15" hidden="false" customHeight="false" outlineLevel="0" collapsed="false">
      <c r="B754" s="64"/>
      <c r="C754" s="72" t="str">
        <f aca="false">IF(B754="","",IFERROR(INDEX(T_NOMBRE,MATCH(B754,T_ID,0)),"⚠ ID no existe en Trabajadores"))</f>
        <v/>
      </c>
      <c r="D754" s="64"/>
      <c r="E754" s="64"/>
      <c r="F754" s="65"/>
      <c r="G754" s="65"/>
      <c r="H754" s="67"/>
      <c r="I754" s="64"/>
      <c r="J754" s="65"/>
      <c r="K754" s="64"/>
      <c r="L754" s="64"/>
      <c r="M754" s="64"/>
      <c r="N754" s="72" t="str">
        <f aca="false">IF(B754="","",IF(D754="Anexo de modificación","No","Sí"))</f>
        <v/>
      </c>
      <c r="O754" s="73" t="str">
        <f aca="false">IF(AND(N754="Sí",ISNUMBER(F754)),COUNTIFS(C_ID,B754,C_DEFINE,"Sí",C_INICIO,"&lt;"&amp;F754)+COUNTIFS(B$7:B754,B754,N$7:N754,"Sí",F$7:F754,F754),"")</f>
        <v/>
      </c>
      <c r="P754" s="72" t="str">
        <f aca="false">IF(O754="","",B754&amp;"-P"&amp;O754)</f>
        <v/>
      </c>
      <c r="Q754" s="73" t="str">
        <f aca="false">IF(AND(N754="Sí",E754="Plazo fijo",ISNUMBER(F754)),COUNTIFS(C_ID,B754,C_TIPO,"Plazo fijo",C_DEFINE,"Sí",C_INICIO,"&lt;"&amp;F754)+COUNTIFS(B$7:B754,B754,E$7:E754,"Plazo fijo",N$7:N754,"Sí",F$7:F754,F754),"")</f>
        <v/>
      </c>
      <c r="R754" s="73" t="str">
        <f aca="false">IF(AND(B754&lt;&gt;"",ISNUMBER(H754),ISNUMBER(F754)),COUNTIFS(C_ID,B754,C_SUELDO,"&lt;&gt;",C_INICIO,"&lt;"&amp;F754)+COUNTIFS(B$7:B754,B754,H$7:H754,"&lt;&gt;",F$7:F754,F754),"")</f>
        <v/>
      </c>
      <c r="S754" s="72" t="str">
        <f aca="false">IF(R754="","",B754&amp;"-S"&amp;R754)</f>
        <v/>
      </c>
      <c r="T754" s="74" t="str">
        <f aca="false">IF(AND(ISNUMBER(F754),ISNUMBER(G754)),ROUND((G754-F754+1)/30.4375,1),"")</f>
        <v/>
      </c>
      <c r="U754" s="70" t="str">
        <f aca="false">IF(B754="","",IF(AND(N754="Sí",OR(E754="",NOT(ISNUMBER(F754)))),"⚠ Falta tipo de contrato o fecha de inicio",IF(NOT(ISNUMBER(F754)),"⚠ Falta fecha de inicio",IF(AND(N754="Sí",E754&lt;&gt;"Indefinido",NOT(ISNUMBER(G754))),"⚠ Falta fecha de término",IF(AND(D754="Paso a indefinido",E754&lt;&gt;"Indefinido"),"⚠ Un paso a indefinido debe tener tipo Indefinido",IF(N(Q754)&gt;=3,"⚠ 3er contrato a plazo fijo: por ley ya es INDEFINIDO (Art. 159 N°4)",IF(AND(E754="Plazo fijo",N(T754)&gt;12),"⚠ Plazo fijo mayor a 1 año (máx. legal; 2 años solo profesionales o técnicos)",IF(AND(ISNUMBER(G754),G754&lt;F754),"⚠ Término anterior al inicio",IF(AND(D754="Contrato inicial",ISNUMBER(J754),J754-F754&gt;15),"⚠ Escriturado fuera de plazo (Art. 9: 15 días)",IF(K754&lt;&gt;"Sí","Pendiente de firma","OK"))))))))))</f>
        <v/>
      </c>
    </row>
    <row r="755" customFormat="false" ht="15" hidden="false" customHeight="false" outlineLevel="0" collapsed="false">
      <c r="B755" s="64"/>
      <c r="C755" s="72" t="str">
        <f aca="false">IF(B755="","",IFERROR(INDEX(T_NOMBRE,MATCH(B755,T_ID,0)),"⚠ ID no existe en Trabajadores"))</f>
        <v/>
      </c>
      <c r="D755" s="64"/>
      <c r="E755" s="64"/>
      <c r="F755" s="65"/>
      <c r="G755" s="65"/>
      <c r="H755" s="67"/>
      <c r="I755" s="64"/>
      <c r="J755" s="65"/>
      <c r="K755" s="64"/>
      <c r="L755" s="64"/>
      <c r="M755" s="64"/>
      <c r="N755" s="72" t="str">
        <f aca="false">IF(B755="","",IF(D755="Anexo de modificación","No","Sí"))</f>
        <v/>
      </c>
      <c r="O755" s="73" t="str">
        <f aca="false">IF(AND(N755="Sí",ISNUMBER(F755)),COUNTIFS(C_ID,B755,C_DEFINE,"Sí",C_INICIO,"&lt;"&amp;F755)+COUNTIFS(B$7:B755,B755,N$7:N755,"Sí",F$7:F755,F755),"")</f>
        <v/>
      </c>
      <c r="P755" s="72" t="str">
        <f aca="false">IF(O755="","",B755&amp;"-P"&amp;O755)</f>
        <v/>
      </c>
      <c r="Q755" s="73" t="str">
        <f aca="false">IF(AND(N755="Sí",E755="Plazo fijo",ISNUMBER(F755)),COUNTIFS(C_ID,B755,C_TIPO,"Plazo fijo",C_DEFINE,"Sí",C_INICIO,"&lt;"&amp;F755)+COUNTIFS(B$7:B755,B755,E$7:E755,"Plazo fijo",N$7:N755,"Sí",F$7:F755,F755),"")</f>
        <v/>
      </c>
      <c r="R755" s="73" t="str">
        <f aca="false">IF(AND(B755&lt;&gt;"",ISNUMBER(H755),ISNUMBER(F755)),COUNTIFS(C_ID,B755,C_SUELDO,"&lt;&gt;",C_INICIO,"&lt;"&amp;F755)+COUNTIFS(B$7:B755,B755,H$7:H755,"&lt;&gt;",F$7:F755,F755),"")</f>
        <v/>
      </c>
      <c r="S755" s="72" t="str">
        <f aca="false">IF(R755="","",B755&amp;"-S"&amp;R755)</f>
        <v/>
      </c>
      <c r="T755" s="74" t="str">
        <f aca="false">IF(AND(ISNUMBER(F755),ISNUMBER(G755)),ROUND((G755-F755+1)/30.4375,1),"")</f>
        <v/>
      </c>
      <c r="U755" s="70" t="str">
        <f aca="false">IF(B755="","",IF(AND(N755="Sí",OR(E755="",NOT(ISNUMBER(F755)))),"⚠ Falta tipo de contrato o fecha de inicio",IF(NOT(ISNUMBER(F755)),"⚠ Falta fecha de inicio",IF(AND(N755="Sí",E755&lt;&gt;"Indefinido",NOT(ISNUMBER(G755))),"⚠ Falta fecha de término",IF(AND(D755="Paso a indefinido",E755&lt;&gt;"Indefinido"),"⚠ Un paso a indefinido debe tener tipo Indefinido",IF(N(Q755)&gt;=3,"⚠ 3er contrato a plazo fijo: por ley ya es INDEFINIDO (Art. 159 N°4)",IF(AND(E755="Plazo fijo",N(T755)&gt;12),"⚠ Plazo fijo mayor a 1 año (máx. legal; 2 años solo profesionales o técnicos)",IF(AND(ISNUMBER(G755),G755&lt;F755),"⚠ Término anterior al inicio",IF(AND(D755="Contrato inicial",ISNUMBER(J755),J755-F755&gt;15),"⚠ Escriturado fuera de plazo (Art. 9: 15 días)",IF(K755&lt;&gt;"Sí","Pendiente de firma","OK"))))))))))</f>
        <v/>
      </c>
    </row>
    <row r="756" customFormat="false" ht="15" hidden="false" customHeight="false" outlineLevel="0" collapsed="false">
      <c r="B756" s="64"/>
      <c r="C756" s="72" t="str">
        <f aca="false">IF(B756="","",IFERROR(INDEX(T_NOMBRE,MATCH(B756,T_ID,0)),"⚠ ID no existe en Trabajadores"))</f>
        <v/>
      </c>
      <c r="D756" s="64"/>
      <c r="E756" s="64"/>
      <c r="F756" s="65"/>
      <c r="G756" s="65"/>
      <c r="H756" s="67"/>
      <c r="I756" s="64"/>
      <c r="J756" s="65"/>
      <c r="K756" s="64"/>
      <c r="L756" s="64"/>
      <c r="M756" s="64"/>
      <c r="N756" s="72" t="str">
        <f aca="false">IF(B756="","",IF(D756="Anexo de modificación","No","Sí"))</f>
        <v/>
      </c>
      <c r="O756" s="73" t="str">
        <f aca="false">IF(AND(N756="Sí",ISNUMBER(F756)),COUNTIFS(C_ID,B756,C_DEFINE,"Sí",C_INICIO,"&lt;"&amp;F756)+COUNTIFS(B$7:B756,B756,N$7:N756,"Sí",F$7:F756,F756),"")</f>
        <v/>
      </c>
      <c r="P756" s="72" t="str">
        <f aca="false">IF(O756="","",B756&amp;"-P"&amp;O756)</f>
        <v/>
      </c>
      <c r="Q756" s="73" t="str">
        <f aca="false">IF(AND(N756="Sí",E756="Plazo fijo",ISNUMBER(F756)),COUNTIFS(C_ID,B756,C_TIPO,"Plazo fijo",C_DEFINE,"Sí",C_INICIO,"&lt;"&amp;F756)+COUNTIFS(B$7:B756,B756,E$7:E756,"Plazo fijo",N$7:N756,"Sí",F$7:F756,F756),"")</f>
        <v/>
      </c>
      <c r="R756" s="73" t="str">
        <f aca="false">IF(AND(B756&lt;&gt;"",ISNUMBER(H756),ISNUMBER(F756)),COUNTIFS(C_ID,B756,C_SUELDO,"&lt;&gt;",C_INICIO,"&lt;"&amp;F756)+COUNTIFS(B$7:B756,B756,H$7:H756,"&lt;&gt;",F$7:F756,F756),"")</f>
        <v/>
      </c>
      <c r="S756" s="72" t="str">
        <f aca="false">IF(R756="","",B756&amp;"-S"&amp;R756)</f>
        <v/>
      </c>
      <c r="T756" s="74" t="str">
        <f aca="false">IF(AND(ISNUMBER(F756),ISNUMBER(G756)),ROUND((G756-F756+1)/30.4375,1),"")</f>
        <v/>
      </c>
      <c r="U756" s="70" t="str">
        <f aca="false">IF(B756="","",IF(AND(N756="Sí",OR(E756="",NOT(ISNUMBER(F756)))),"⚠ Falta tipo de contrato o fecha de inicio",IF(NOT(ISNUMBER(F756)),"⚠ Falta fecha de inicio",IF(AND(N756="Sí",E756&lt;&gt;"Indefinido",NOT(ISNUMBER(G756))),"⚠ Falta fecha de término",IF(AND(D756="Paso a indefinido",E756&lt;&gt;"Indefinido"),"⚠ Un paso a indefinido debe tener tipo Indefinido",IF(N(Q756)&gt;=3,"⚠ 3er contrato a plazo fijo: por ley ya es INDEFINIDO (Art. 159 N°4)",IF(AND(E756="Plazo fijo",N(T756)&gt;12),"⚠ Plazo fijo mayor a 1 año (máx. legal; 2 años solo profesionales o técnicos)",IF(AND(ISNUMBER(G756),G756&lt;F756),"⚠ Término anterior al inicio",IF(AND(D756="Contrato inicial",ISNUMBER(J756),J756-F756&gt;15),"⚠ Escriturado fuera de plazo (Art. 9: 15 días)",IF(K756&lt;&gt;"Sí","Pendiente de firma","OK"))))))))))</f>
        <v/>
      </c>
    </row>
    <row r="757" customFormat="false" ht="15" hidden="false" customHeight="false" outlineLevel="0" collapsed="false">
      <c r="B757" s="64"/>
      <c r="C757" s="72" t="str">
        <f aca="false">IF(B757="","",IFERROR(INDEX(T_NOMBRE,MATCH(B757,T_ID,0)),"⚠ ID no existe en Trabajadores"))</f>
        <v/>
      </c>
      <c r="D757" s="64"/>
      <c r="E757" s="64"/>
      <c r="F757" s="65"/>
      <c r="G757" s="65"/>
      <c r="H757" s="67"/>
      <c r="I757" s="64"/>
      <c r="J757" s="65"/>
      <c r="K757" s="64"/>
      <c r="L757" s="64"/>
      <c r="M757" s="64"/>
      <c r="N757" s="72" t="str">
        <f aca="false">IF(B757="","",IF(D757="Anexo de modificación","No","Sí"))</f>
        <v/>
      </c>
      <c r="O757" s="73" t="str">
        <f aca="false">IF(AND(N757="Sí",ISNUMBER(F757)),COUNTIFS(C_ID,B757,C_DEFINE,"Sí",C_INICIO,"&lt;"&amp;F757)+COUNTIFS(B$7:B757,B757,N$7:N757,"Sí",F$7:F757,F757),"")</f>
        <v/>
      </c>
      <c r="P757" s="72" t="str">
        <f aca="false">IF(O757="","",B757&amp;"-P"&amp;O757)</f>
        <v/>
      </c>
      <c r="Q757" s="73" t="str">
        <f aca="false">IF(AND(N757="Sí",E757="Plazo fijo",ISNUMBER(F757)),COUNTIFS(C_ID,B757,C_TIPO,"Plazo fijo",C_DEFINE,"Sí",C_INICIO,"&lt;"&amp;F757)+COUNTIFS(B$7:B757,B757,E$7:E757,"Plazo fijo",N$7:N757,"Sí",F$7:F757,F757),"")</f>
        <v/>
      </c>
      <c r="R757" s="73" t="str">
        <f aca="false">IF(AND(B757&lt;&gt;"",ISNUMBER(H757),ISNUMBER(F757)),COUNTIFS(C_ID,B757,C_SUELDO,"&lt;&gt;",C_INICIO,"&lt;"&amp;F757)+COUNTIFS(B$7:B757,B757,H$7:H757,"&lt;&gt;",F$7:F757,F757),"")</f>
        <v/>
      </c>
      <c r="S757" s="72" t="str">
        <f aca="false">IF(R757="","",B757&amp;"-S"&amp;R757)</f>
        <v/>
      </c>
      <c r="T757" s="74" t="str">
        <f aca="false">IF(AND(ISNUMBER(F757),ISNUMBER(G757)),ROUND((G757-F757+1)/30.4375,1),"")</f>
        <v/>
      </c>
      <c r="U757" s="70" t="str">
        <f aca="false">IF(B757="","",IF(AND(N757="Sí",OR(E757="",NOT(ISNUMBER(F757)))),"⚠ Falta tipo de contrato o fecha de inicio",IF(NOT(ISNUMBER(F757)),"⚠ Falta fecha de inicio",IF(AND(N757="Sí",E757&lt;&gt;"Indefinido",NOT(ISNUMBER(G757))),"⚠ Falta fecha de término",IF(AND(D757="Paso a indefinido",E757&lt;&gt;"Indefinido"),"⚠ Un paso a indefinido debe tener tipo Indefinido",IF(N(Q757)&gt;=3,"⚠ 3er contrato a plazo fijo: por ley ya es INDEFINIDO (Art. 159 N°4)",IF(AND(E757="Plazo fijo",N(T757)&gt;12),"⚠ Plazo fijo mayor a 1 año (máx. legal; 2 años solo profesionales o técnicos)",IF(AND(ISNUMBER(G757),G757&lt;F757),"⚠ Término anterior al inicio",IF(AND(D757="Contrato inicial",ISNUMBER(J757),J757-F757&gt;15),"⚠ Escriturado fuera de plazo (Art. 9: 15 días)",IF(K757&lt;&gt;"Sí","Pendiente de firma","OK"))))))))))</f>
        <v/>
      </c>
    </row>
    <row r="758" customFormat="false" ht="15" hidden="false" customHeight="false" outlineLevel="0" collapsed="false">
      <c r="B758" s="64"/>
      <c r="C758" s="72" t="str">
        <f aca="false">IF(B758="","",IFERROR(INDEX(T_NOMBRE,MATCH(B758,T_ID,0)),"⚠ ID no existe en Trabajadores"))</f>
        <v/>
      </c>
      <c r="D758" s="64"/>
      <c r="E758" s="64"/>
      <c r="F758" s="65"/>
      <c r="G758" s="65"/>
      <c r="H758" s="67"/>
      <c r="I758" s="64"/>
      <c r="J758" s="65"/>
      <c r="K758" s="64"/>
      <c r="L758" s="64"/>
      <c r="M758" s="64"/>
      <c r="N758" s="72" t="str">
        <f aca="false">IF(B758="","",IF(D758="Anexo de modificación","No","Sí"))</f>
        <v/>
      </c>
      <c r="O758" s="73" t="str">
        <f aca="false">IF(AND(N758="Sí",ISNUMBER(F758)),COUNTIFS(C_ID,B758,C_DEFINE,"Sí",C_INICIO,"&lt;"&amp;F758)+COUNTIFS(B$7:B758,B758,N$7:N758,"Sí",F$7:F758,F758),"")</f>
        <v/>
      </c>
      <c r="P758" s="72" t="str">
        <f aca="false">IF(O758="","",B758&amp;"-P"&amp;O758)</f>
        <v/>
      </c>
      <c r="Q758" s="73" t="str">
        <f aca="false">IF(AND(N758="Sí",E758="Plazo fijo",ISNUMBER(F758)),COUNTIFS(C_ID,B758,C_TIPO,"Plazo fijo",C_DEFINE,"Sí",C_INICIO,"&lt;"&amp;F758)+COUNTIFS(B$7:B758,B758,E$7:E758,"Plazo fijo",N$7:N758,"Sí",F$7:F758,F758),"")</f>
        <v/>
      </c>
      <c r="R758" s="73" t="str">
        <f aca="false">IF(AND(B758&lt;&gt;"",ISNUMBER(H758),ISNUMBER(F758)),COUNTIFS(C_ID,B758,C_SUELDO,"&lt;&gt;",C_INICIO,"&lt;"&amp;F758)+COUNTIFS(B$7:B758,B758,H$7:H758,"&lt;&gt;",F$7:F758,F758),"")</f>
        <v/>
      </c>
      <c r="S758" s="72" t="str">
        <f aca="false">IF(R758="","",B758&amp;"-S"&amp;R758)</f>
        <v/>
      </c>
      <c r="T758" s="74" t="str">
        <f aca="false">IF(AND(ISNUMBER(F758),ISNUMBER(G758)),ROUND((G758-F758+1)/30.4375,1),"")</f>
        <v/>
      </c>
      <c r="U758" s="70" t="str">
        <f aca="false">IF(B758="","",IF(AND(N758="Sí",OR(E758="",NOT(ISNUMBER(F758)))),"⚠ Falta tipo de contrato o fecha de inicio",IF(NOT(ISNUMBER(F758)),"⚠ Falta fecha de inicio",IF(AND(N758="Sí",E758&lt;&gt;"Indefinido",NOT(ISNUMBER(G758))),"⚠ Falta fecha de término",IF(AND(D758="Paso a indefinido",E758&lt;&gt;"Indefinido"),"⚠ Un paso a indefinido debe tener tipo Indefinido",IF(N(Q758)&gt;=3,"⚠ 3er contrato a plazo fijo: por ley ya es INDEFINIDO (Art. 159 N°4)",IF(AND(E758="Plazo fijo",N(T758)&gt;12),"⚠ Plazo fijo mayor a 1 año (máx. legal; 2 años solo profesionales o técnicos)",IF(AND(ISNUMBER(G758),G758&lt;F758),"⚠ Término anterior al inicio",IF(AND(D758="Contrato inicial",ISNUMBER(J758),J758-F758&gt;15),"⚠ Escriturado fuera de plazo (Art. 9: 15 días)",IF(K758&lt;&gt;"Sí","Pendiente de firma","OK"))))))))))</f>
        <v/>
      </c>
    </row>
    <row r="759" customFormat="false" ht="15" hidden="false" customHeight="false" outlineLevel="0" collapsed="false">
      <c r="B759" s="64"/>
      <c r="C759" s="72" t="str">
        <f aca="false">IF(B759="","",IFERROR(INDEX(T_NOMBRE,MATCH(B759,T_ID,0)),"⚠ ID no existe en Trabajadores"))</f>
        <v/>
      </c>
      <c r="D759" s="64"/>
      <c r="E759" s="64"/>
      <c r="F759" s="65"/>
      <c r="G759" s="65"/>
      <c r="H759" s="67"/>
      <c r="I759" s="64"/>
      <c r="J759" s="65"/>
      <c r="K759" s="64"/>
      <c r="L759" s="64"/>
      <c r="M759" s="64"/>
      <c r="N759" s="72" t="str">
        <f aca="false">IF(B759="","",IF(D759="Anexo de modificación","No","Sí"))</f>
        <v/>
      </c>
      <c r="O759" s="73" t="str">
        <f aca="false">IF(AND(N759="Sí",ISNUMBER(F759)),COUNTIFS(C_ID,B759,C_DEFINE,"Sí",C_INICIO,"&lt;"&amp;F759)+COUNTIFS(B$7:B759,B759,N$7:N759,"Sí",F$7:F759,F759),"")</f>
        <v/>
      </c>
      <c r="P759" s="72" t="str">
        <f aca="false">IF(O759="","",B759&amp;"-P"&amp;O759)</f>
        <v/>
      </c>
      <c r="Q759" s="73" t="str">
        <f aca="false">IF(AND(N759="Sí",E759="Plazo fijo",ISNUMBER(F759)),COUNTIFS(C_ID,B759,C_TIPO,"Plazo fijo",C_DEFINE,"Sí",C_INICIO,"&lt;"&amp;F759)+COUNTIFS(B$7:B759,B759,E$7:E759,"Plazo fijo",N$7:N759,"Sí",F$7:F759,F759),"")</f>
        <v/>
      </c>
      <c r="R759" s="73" t="str">
        <f aca="false">IF(AND(B759&lt;&gt;"",ISNUMBER(H759),ISNUMBER(F759)),COUNTIFS(C_ID,B759,C_SUELDO,"&lt;&gt;",C_INICIO,"&lt;"&amp;F759)+COUNTIFS(B$7:B759,B759,H$7:H759,"&lt;&gt;",F$7:F759,F759),"")</f>
        <v/>
      </c>
      <c r="S759" s="72" t="str">
        <f aca="false">IF(R759="","",B759&amp;"-S"&amp;R759)</f>
        <v/>
      </c>
      <c r="T759" s="74" t="str">
        <f aca="false">IF(AND(ISNUMBER(F759),ISNUMBER(G759)),ROUND((G759-F759+1)/30.4375,1),"")</f>
        <v/>
      </c>
      <c r="U759" s="70" t="str">
        <f aca="false">IF(B759="","",IF(AND(N759="Sí",OR(E759="",NOT(ISNUMBER(F759)))),"⚠ Falta tipo de contrato o fecha de inicio",IF(NOT(ISNUMBER(F759)),"⚠ Falta fecha de inicio",IF(AND(N759="Sí",E759&lt;&gt;"Indefinido",NOT(ISNUMBER(G759))),"⚠ Falta fecha de término",IF(AND(D759="Paso a indefinido",E759&lt;&gt;"Indefinido"),"⚠ Un paso a indefinido debe tener tipo Indefinido",IF(N(Q759)&gt;=3,"⚠ 3er contrato a plazo fijo: por ley ya es INDEFINIDO (Art. 159 N°4)",IF(AND(E759="Plazo fijo",N(T759)&gt;12),"⚠ Plazo fijo mayor a 1 año (máx. legal; 2 años solo profesionales o técnicos)",IF(AND(ISNUMBER(G759),G759&lt;F759),"⚠ Término anterior al inicio",IF(AND(D759="Contrato inicial",ISNUMBER(J759),J759-F759&gt;15),"⚠ Escriturado fuera de plazo (Art. 9: 15 días)",IF(K759&lt;&gt;"Sí","Pendiente de firma","OK"))))))))))</f>
        <v/>
      </c>
    </row>
    <row r="760" customFormat="false" ht="15" hidden="false" customHeight="false" outlineLevel="0" collapsed="false">
      <c r="B760" s="64"/>
      <c r="C760" s="72" t="str">
        <f aca="false">IF(B760="","",IFERROR(INDEX(T_NOMBRE,MATCH(B760,T_ID,0)),"⚠ ID no existe en Trabajadores"))</f>
        <v/>
      </c>
      <c r="D760" s="64"/>
      <c r="E760" s="64"/>
      <c r="F760" s="65"/>
      <c r="G760" s="65"/>
      <c r="H760" s="67"/>
      <c r="I760" s="64"/>
      <c r="J760" s="65"/>
      <c r="K760" s="64"/>
      <c r="L760" s="64"/>
      <c r="M760" s="64"/>
      <c r="N760" s="72" t="str">
        <f aca="false">IF(B760="","",IF(D760="Anexo de modificación","No","Sí"))</f>
        <v/>
      </c>
      <c r="O760" s="73" t="str">
        <f aca="false">IF(AND(N760="Sí",ISNUMBER(F760)),COUNTIFS(C_ID,B760,C_DEFINE,"Sí",C_INICIO,"&lt;"&amp;F760)+COUNTIFS(B$7:B760,B760,N$7:N760,"Sí",F$7:F760,F760),"")</f>
        <v/>
      </c>
      <c r="P760" s="72" t="str">
        <f aca="false">IF(O760="","",B760&amp;"-P"&amp;O760)</f>
        <v/>
      </c>
      <c r="Q760" s="73" t="str">
        <f aca="false">IF(AND(N760="Sí",E760="Plazo fijo",ISNUMBER(F760)),COUNTIFS(C_ID,B760,C_TIPO,"Plazo fijo",C_DEFINE,"Sí",C_INICIO,"&lt;"&amp;F760)+COUNTIFS(B$7:B760,B760,E$7:E760,"Plazo fijo",N$7:N760,"Sí",F$7:F760,F760),"")</f>
        <v/>
      </c>
      <c r="R760" s="73" t="str">
        <f aca="false">IF(AND(B760&lt;&gt;"",ISNUMBER(H760),ISNUMBER(F760)),COUNTIFS(C_ID,B760,C_SUELDO,"&lt;&gt;",C_INICIO,"&lt;"&amp;F760)+COUNTIFS(B$7:B760,B760,H$7:H760,"&lt;&gt;",F$7:F760,F760),"")</f>
        <v/>
      </c>
      <c r="S760" s="72" t="str">
        <f aca="false">IF(R760="","",B760&amp;"-S"&amp;R760)</f>
        <v/>
      </c>
      <c r="T760" s="74" t="str">
        <f aca="false">IF(AND(ISNUMBER(F760),ISNUMBER(G760)),ROUND((G760-F760+1)/30.4375,1),"")</f>
        <v/>
      </c>
      <c r="U760" s="70" t="str">
        <f aca="false">IF(B760="","",IF(AND(N760="Sí",OR(E760="",NOT(ISNUMBER(F760)))),"⚠ Falta tipo de contrato o fecha de inicio",IF(NOT(ISNUMBER(F760)),"⚠ Falta fecha de inicio",IF(AND(N760="Sí",E760&lt;&gt;"Indefinido",NOT(ISNUMBER(G760))),"⚠ Falta fecha de término",IF(AND(D760="Paso a indefinido",E760&lt;&gt;"Indefinido"),"⚠ Un paso a indefinido debe tener tipo Indefinido",IF(N(Q760)&gt;=3,"⚠ 3er contrato a plazo fijo: por ley ya es INDEFINIDO (Art. 159 N°4)",IF(AND(E760="Plazo fijo",N(T760)&gt;12),"⚠ Plazo fijo mayor a 1 año (máx. legal; 2 años solo profesionales o técnicos)",IF(AND(ISNUMBER(G760),G760&lt;F760),"⚠ Término anterior al inicio",IF(AND(D760="Contrato inicial",ISNUMBER(J760),J760-F760&gt;15),"⚠ Escriturado fuera de plazo (Art. 9: 15 días)",IF(K760&lt;&gt;"Sí","Pendiente de firma","OK"))))))))))</f>
        <v/>
      </c>
    </row>
    <row r="761" customFormat="false" ht="15" hidden="false" customHeight="false" outlineLevel="0" collapsed="false">
      <c r="B761" s="64"/>
      <c r="C761" s="72" t="str">
        <f aca="false">IF(B761="","",IFERROR(INDEX(T_NOMBRE,MATCH(B761,T_ID,0)),"⚠ ID no existe en Trabajadores"))</f>
        <v/>
      </c>
      <c r="D761" s="64"/>
      <c r="E761" s="64"/>
      <c r="F761" s="65"/>
      <c r="G761" s="65"/>
      <c r="H761" s="67"/>
      <c r="I761" s="64"/>
      <c r="J761" s="65"/>
      <c r="K761" s="64"/>
      <c r="L761" s="64"/>
      <c r="M761" s="64"/>
      <c r="N761" s="72" t="str">
        <f aca="false">IF(B761="","",IF(D761="Anexo de modificación","No","Sí"))</f>
        <v/>
      </c>
      <c r="O761" s="73" t="str">
        <f aca="false">IF(AND(N761="Sí",ISNUMBER(F761)),COUNTIFS(C_ID,B761,C_DEFINE,"Sí",C_INICIO,"&lt;"&amp;F761)+COUNTIFS(B$7:B761,B761,N$7:N761,"Sí",F$7:F761,F761),"")</f>
        <v/>
      </c>
      <c r="P761" s="72" t="str">
        <f aca="false">IF(O761="","",B761&amp;"-P"&amp;O761)</f>
        <v/>
      </c>
      <c r="Q761" s="73" t="str">
        <f aca="false">IF(AND(N761="Sí",E761="Plazo fijo",ISNUMBER(F761)),COUNTIFS(C_ID,B761,C_TIPO,"Plazo fijo",C_DEFINE,"Sí",C_INICIO,"&lt;"&amp;F761)+COUNTIFS(B$7:B761,B761,E$7:E761,"Plazo fijo",N$7:N761,"Sí",F$7:F761,F761),"")</f>
        <v/>
      </c>
      <c r="R761" s="73" t="str">
        <f aca="false">IF(AND(B761&lt;&gt;"",ISNUMBER(H761),ISNUMBER(F761)),COUNTIFS(C_ID,B761,C_SUELDO,"&lt;&gt;",C_INICIO,"&lt;"&amp;F761)+COUNTIFS(B$7:B761,B761,H$7:H761,"&lt;&gt;",F$7:F761,F761),"")</f>
        <v/>
      </c>
      <c r="S761" s="72" t="str">
        <f aca="false">IF(R761="","",B761&amp;"-S"&amp;R761)</f>
        <v/>
      </c>
      <c r="T761" s="74" t="str">
        <f aca="false">IF(AND(ISNUMBER(F761),ISNUMBER(G761)),ROUND((G761-F761+1)/30.4375,1),"")</f>
        <v/>
      </c>
      <c r="U761" s="70" t="str">
        <f aca="false">IF(B761="","",IF(AND(N761="Sí",OR(E761="",NOT(ISNUMBER(F761)))),"⚠ Falta tipo de contrato o fecha de inicio",IF(NOT(ISNUMBER(F761)),"⚠ Falta fecha de inicio",IF(AND(N761="Sí",E761&lt;&gt;"Indefinido",NOT(ISNUMBER(G761))),"⚠ Falta fecha de término",IF(AND(D761="Paso a indefinido",E761&lt;&gt;"Indefinido"),"⚠ Un paso a indefinido debe tener tipo Indefinido",IF(N(Q761)&gt;=3,"⚠ 3er contrato a plazo fijo: por ley ya es INDEFINIDO (Art. 159 N°4)",IF(AND(E761="Plazo fijo",N(T761)&gt;12),"⚠ Plazo fijo mayor a 1 año (máx. legal; 2 años solo profesionales o técnicos)",IF(AND(ISNUMBER(G761),G761&lt;F761),"⚠ Término anterior al inicio",IF(AND(D761="Contrato inicial",ISNUMBER(J761),J761-F761&gt;15),"⚠ Escriturado fuera de plazo (Art. 9: 15 días)",IF(K761&lt;&gt;"Sí","Pendiente de firma","OK"))))))))))</f>
        <v/>
      </c>
    </row>
    <row r="762" customFormat="false" ht="15" hidden="false" customHeight="false" outlineLevel="0" collapsed="false">
      <c r="B762" s="64"/>
      <c r="C762" s="72" t="str">
        <f aca="false">IF(B762="","",IFERROR(INDEX(T_NOMBRE,MATCH(B762,T_ID,0)),"⚠ ID no existe en Trabajadores"))</f>
        <v/>
      </c>
      <c r="D762" s="64"/>
      <c r="E762" s="64"/>
      <c r="F762" s="65"/>
      <c r="G762" s="65"/>
      <c r="H762" s="67"/>
      <c r="I762" s="64"/>
      <c r="J762" s="65"/>
      <c r="K762" s="64"/>
      <c r="L762" s="64"/>
      <c r="M762" s="64"/>
      <c r="N762" s="72" t="str">
        <f aca="false">IF(B762="","",IF(D762="Anexo de modificación","No","Sí"))</f>
        <v/>
      </c>
      <c r="O762" s="73" t="str">
        <f aca="false">IF(AND(N762="Sí",ISNUMBER(F762)),COUNTIFS(C_ID,B762,C_DEFINE,"Sí",C_INICIO,"&lt;"&amp;F762)+COUNTIFS(B$7:B762,B762,N$7:N762,"Sí",F$7:F762,F762),"")</f>
        <v/>
      </c>
      <c r="P762" s="72" t="str">
        <f aca="false">IF(O762="","",B762&amp;"-P"&amp;O762)</f>
        <v/>
      </c>
      <c r="Q762" s="73" t="str">
        <f aca="false">IF(AND(N762="Sí",E762="Plazo fijo",ISNUMBER(F762)),COUNTIFS(C_ID,B762,C_TIPO,"Plazo fijo",C_DEFINE,"Sí",C_INICIO,"&lt;"&amp;F762)+COUNTIFS(B$7:B762,B762,E$7:E762,"Plazo fijo",N$7:N762,"Sí",F$7:F762,F762),"")</f>
        <v/>
      </c>
      <c r="R762" s="73" t="str">
        <f aca="false">IF(AND(B762&lt;&gt;"",ISNUMBER(H762),ISNUMBER(F762)),COUNTIFS(C_ID,B762,C_SUELDO,"&lt;&gt;",C_INICIO,"&lt;"&amp;F762)+COUNTIFS(B$7:B762,B762,H$7:H762,"&lt;&gt;",F$7:F762,F762),"")</f>
        <v/>
      </c>
      <c r="S762" s="72" t="str">
        <f aca="false">IF(R762="","",B762&amp;"-S"&amp;R762)</f>
        <v/>
      </c>
      <c r="T762" s="74" t="str">
        <f aca="false">IF(AND(ISNUMBER(F762),ISNUMBER(G762)),ROUND((G762-F762+1)/30.4375,1),"")</f>
        <v/>
      </c>
      <c r="U762" s="70" t="str">
        <f aca="false">IF(B762="","",IF(AND(N762="Sí",OR(E762="",NOT(ISNUMBER(F762)))),"⚠ Falta tipo de contrato o fecha de inicio",IF(NOT(ISNUMBER(F762)),"⚠ Falta fecha de inicio",IF(AND(N762="Sí",E762&lt;&gt;"Indefinido",NOT(ISNUMBER(G762))),"⚠ Falta fecha de término",IF(AND(D762="Paso a indefinido",E762&lt;&gt;"Indefinido"),"⚠ Un paso a indefinido debe tener tipo Indefinido",IF(N(Q762)&gt;=3,"⚠ 3er contrato a plazo fijo: por ley ya es INDEFINIDO (Art. 159 N°4)",IF(AND(E762="Plazo fijo",N(T762)&gt;12),"⚠ Plazo fijo mayor a 1 año (máx. legal; 2 años solo profesionales o técnicos)",IF(AND(ISNUMBER(G762),G762&lt;F762),"⚠ Término anterior al inicio",IF(AND(D762="Contrato inicial",ISNUMBER(J762),J762-F762&gt;15),"⚠ Escriturado fuera de plazo (Art. 9: 15 días)",IF(K762&lt;&gt;"Sí","Pendiente de firma","OK"))))))))))</f>
        <v/>
      </c>
    </row>
    <row r="763" customFormat="false" ht="15" hidden="false" customHeight="false" outlineLevel="0" collapsed="false">
      <c r="B763" s="64"/>
      <c r="C763" s="72" t="str">
        <f aca="false">IF(B763="","",IFERROR(INDEX(T_NOMBRE,MATCH(B763,T_ID,0)),"⚠ ID no existe en Trabajadores"))</f>
        <v/>
      </c>
      <c r="D763" s="64"/>
      <c r="E763" s="64"/>
      <c r="F763" s="65"/>
      <c r="G763" s="65"/>
      <c r="H763" s="67"/>
      <c r="I763" s="64"/>
      <c r="J763" s="65"/>
      <c r="K763" s="64"/>
      <c r="L763" s="64"/>
      <c r="M763" s="64"/>
      <c r="N763" s="72" t="str">
        <f aca="false">IF(B763="","",IF(D763="Anexo de modificación","No","Sí"))</f>
        <v/>
      </c>
      <c r="O763" s="73" t="str">
        <f aca="false">IF(AND(N763="Sí",ISNUMBER(F763)),COUNTIFS(C_ID,B763,C_DEFINE,"Sí",C_INICIO,"&lt;"&amp;F763)+COUNTIFS(B$7:B763,B763,N$7:N763,"Sí",F$7:F763,F763),"")</f>
        <v/>
      </c>
      <c r="P763" s="72" t="str">
        <f aca="false">IF(O763="","",B763&amp;"-P"&amp;O763)</f>
        <v/>
      </c>
      <c r="Q763" s="73" t="str">
        <f aca="false">IF(AND(N763="Sí",E763="Plazo fijo",ISNUMBER(F763)),COUNTIFS(C_ID,B763,C_TIPO,"Plazo fijo",C_DEFINE,"Sí",C_INICIO,"&lt;"&amp;F763)+COUNTIFS(B$7:B763,B763,E$7:E763,"Plazo fijo",N$7:N763,"Sí",F$7:F763,F763),"")</f>
        <v/>
      </c>
      <c r="R763" s="73" t="str">
        <f aca="false">IF(AND(B763&lt;&gt;"",ISNUMBER(H763),ISNUMBER(F763)),COUNTIFS(C_ID,B763,C_SUELDO,"&lt;&gt;",C_INICIO,"&lt;"&amp;F763)+COUNTIFS(B$7:B763,B763,H$7:H763,"&lt;&gt;",F$7:F763,F763),"")</f>
        <v/>
      </c>
      <c r="S763" s="72" t="str">
        <f aca="false">IF(R763="","",B763&amp;"-S"&amp;R763)</f>
        <v/>
      </c>
      <c r="T763" s="74" t="str">
        <f aca="false">IF(AND(ISNUMBER(F763),ISNUMBER(G763)),ROUND((G763-F763+1)/30.4375,1),"")</f>
        <v/>
      </c>
      <c r="U763" s="70" t="str">
        <f aca="false">IF(B763="","",IF(AND(N763="Sí",OR(E763="",NOT(ISNUMBER(F763)))),"⚠ Falta tipo de contrato o fecha de inicio",IF(NOT(ISNUMBER(F763)),"⚠ Falta fecha de inicio",IF(AND(N763="Sí",E763&lt;&gt;"Indefinido",NOT(ISNUMBER(G763))),"⚠ Falta fecha de término",IF(AND(D763="Paso a indefinido",E763&lt;&gt;"Indefinido"),"⚠ Un paso a indefinido debe tener tipo Indefinido",IF(N(Q763)&gt;=3,"⚠ 3er contrato a plazo fijo: por ley ya es INDEFINIDO (Art. 159 N°4)",IF(AND(E763="Plazo fijo",N(T763)&gt;12),"⚠ Plazo fijo mayor a 1 año (máx. legal; 2 años solo profesionales o técnicos)",IF(AND(ISNUMBER(G763),G763&lt;F763),"⚠ Término anterior al inicio",IF(AND(D763="Contrato inicial",ISNUMBER(J763),J763-F763&gt;15),"⚠ Escriturado fuera de plazo (Art. 9: 15 días)",IF(K763&lt;&gt;"Sí","Pendiente de firma","OK"))))))))))</f>
        <v/>
      </c>
    </row>
    <row r="764" customFormat="false" ht="15" hidden="false" customHeight="false" outlineLevel="0" collapsed="false">
      <c r="B764" s="64"/>
      <c r="C764" s="72" t="str">
        <f aca="false">IF(B764="","",IFERROR(INDEX(T_NOMBRE,MATCH(B764,T_ID,0)),"⚠ ID no existe en Trabajadores"))</f>
        <v/>
      </c>
      <c r="D764" s="64"/>
      <c r="E764" s="64"/>
      <c r="F764" s="65"/>
      <c r="G764" s="65"/>
      <c r="H764" s="67"/>
      <c r="I764" s="64"/>
      <c r="J764" s="65"/>
      <c r="K764" s="64"/>
      <c r="L764" s="64"/>
      <c r="M764" s="64"/>
      <c r="N764" s="72" t="str">
        <f aca="false">IF(B764="","",IF(D764="Anexo de modificación","No","Sí"))</f>
        <v/>
      </c>
      <c r="O764" s="73" t="str">
        <f aca="false">IF(AND(N764="Sí",ISNUMBER(F764)),COUNTIFS(C_ID,B764,C_DEFINE,"Sí",C_INICIO,"&lt;"&amp;F764)+COUNTIFS(B$7:B764,B764,N$7:N764,"Sí",F$7:F764,F764),"")</f>
        <v/>
      </c>
      <c r="P764" s="72" t="str">
        <f aca="false">IF(O764="","",B764&amp;"-P"&amp;O764)</f>
        <v/>
      </c>
      <c r="Q764" s="73" t="str">
        <f aca="false">IF(AND(N764="Sí",E764="Plazo fijo",ISNUMBER(F764)),COUNTIFS(C_ID,B764,C_TIPO,"Plazo fijo",C_DEFINE,"Sí",C_INICIO,"&lt;"&amp;F764)+COUNTIFS(B$7:B764,B764,E$7:E764,"Plazo fijo",N$7:N764,"Sí",F$7:F764,F764),"")</f>
        <v/>
      </c>
      <c r="R764" s="73" t="str">
        <f aca="false">IF(AND(B764&lt;&gt;"",ISNUMBER(H764),ISNUMBER(F764)),COUNTIFS(C_ID,B764,C_SUELDO,"&lt;&gt;",C_INICIO,"&lt;"&amp;F764)+COUNTIFS(B$7:B764,B764,H$7:H764,"&lt;&gt;",F$7:F764,F764),"")</f>
        <v/>
      </c>
      <c r="S764" s="72" t="str">
        <f aca="false">IF(R764="","",B764&amp;"-S"&amp;R764)</f>
        <v/>
      </c>
      <c r="T764" s="74" t="str">
        <f aca="false">IF(AND(ISNUMBER(F764),ISNUMBER(G764)),ROUND((G764-F764+1)/30.4375,1),"")</f>
        <v/>
      </c>
      <c r="U764" s="70" t="str">
        <f aca="false">IF(B764="","",IF(AND(N764="Sí",OR(E764="",NOT(ISNUMBER(F764)))),"⚠ Falta tipo de contrato o fecha de inicio",IF(NOT(ISNUMBER(F764)),"⚠ Falta fecha de inicio",IF(AND(N764="Sí",E764&lt;&gt;"Indefinido",NOT(ISNUMBER(G764))),"⚠ Falta fecha de término",IF(AND(D764="Paso a indefinido",E764&lt;&gt;"Indefinido"),"⚠ Un paso a indefinido debe tener tipo Indefinido",IF(N(Q764)&gt;=3,"⚠ 3er contrato a plazo fijo: por ley ya es INDEFINIDO (Art. 159 N°4)",IF(AND(E764="Plazo fijo",N(T764)&gt;12),"⚠ Plazo fijo mayor a 1 año (máx. legal; 2 años solo profesionales o técnicos)",IF(AND(ISNUMBER(G764),G764&lt;F764),"⚠ Término anterior al inicio",IF(AND(D764="Contrato inicial",ISNUMBER(J764),J764-F764&gt;15),"⚠ Escriturado fuera de plazo (Art. 9: 15 días)",IF(K764&lt;&gt;"Sí","Pendiente de firma","OK"))))))))))</f>
        <v/>
      </c>
    </row>
    <row r="765" customFormat="false" ht="15" hidden="false" customHeight="false" outlineLevel="0" collapsed="false">
      <c r="B765" s="64"/>
      <c r="C765" s="72" t="str">
        <f aca="false">IF(B765="","",IFERROR(INDEX(T_NOMBRE,MATCH(B765,T_ID,0)),"⚠ ID no existe en Trabajadores"))</f>
        <v/>
      </c>
      <c r="D765" s="64"/>
      <c r="E765" s="64"/>
      <c r="F765" s="65"/>
      <c r="G765" s="65"/>
      <c r="H765" s="67"/>
      <c r="I765" s="64"/>
      <c r="J765" s="65"/>
      <c r="K765" s="64"/>
      <c r="L765" s="64"/>
      <c r="M765" s="64"/>
      <c r="N765" s="72" t="str">
        <f aca="false">IF(B765="","",IF(D765="Anexo de modificación","No","Sí"))</f>
        <v/>
      </c>
      <c r="O765" s="73" t="str">
        <f aca="false">IF(AND(N765="Sí",ISNUMBER(F765)),COUNTIFS(C_ID,B765,C_DEFINE,"Sí",C_INICIO,"&lt;"&amp;F765)+COUNTIFS(B$7:B765,B765,N$7:N765,"Sí",F$7:F765,F765),"")</f>
        <v/>
      </c>
      <c r="P765" s="72" t="str">
        <f aca="false">IF(O765="","",B765&amp;"-P"&amp;O765)</f>
        <v/>
      </c>
      <c r="Q765" s="73" t="str">
        <f aca="false">IF(AND(N765="Sí",E765="Plazo fijo",ISNUMBER(F765)),COUNTIFS(C_ID,B765,C_TIPO,"Plazo fijo",C_DEFINE,"Sí",C_INICIO,"&lt;"&amp;F765)+COUNTIFS(B$7:B765,B765,E$7:E765,"Plazo fijo",N$7:N765,"Sí",F$7:F765,F765),"")</f>
        <v/>
      </c>
      <c r="R765" s="73" t="str">
        <f aca="false">IF(AND(B765&lt;&gt;"",ISNUMBER(H765),ISNUMBER(F765)),COUNTIFS(C_ID,B765,C_SUELDO,"&lt;&gt;",C_INICIO,"&lt;"&amp;F765)+COUNTIFS(B$7:B765,B765,H$7:H765,"&lt;&gt;",F$7:F765,F765),"")</f>
        <v/>
      </c>
      <c r="S765" s="72" t="str">
        <f aca="false">IF(R765="","",B765&amp;"-S"&amp;R765)</f>
        <v/>
      </c>
      <c r="T765" s="74" t="str">
        <f aca="false">IF(AND(ISNUMBER(F765),ISNUMBER(G765)),ROUND((G765-F765+1)/30.4375,1),"")</f>
        <v/>
      </c>
      <c r="U765" s="70" t="str">
        <f aca="false">IF(B765="","",IF(AND(N765="Sí",OR(E765="",NOT(ISNUMBER(F765)))),"⚠ Falta tipo de contrato o fecha de inicio",IF(NOT(ISNUMBER(F765)),"⚠ Falta fecha de inicio",IF(AND(N765="Sí",E765&lt;&gt;"Indefinido",NOT(ISNUMBER(G765))),"⚠ Falta fecha de término",IF(AND(D765="Paso a indefinido",E765&lt;&gt;"Indefinido"),"⚠ Un paso a indefinido debe tener tipo Indefinido",IF(N(Q765)&gt;=3,"⚠ 3er contrato a plazo fijo: por ley ya es INDEFINIDO (Art. 159 N°4)",IF(AND(E765="Plazo fijo",N(T765)&gt;12),"⚠ Plazo fijo mayor a 1 año (máx. legal; 2 años solo profesionales o técnicos)",IF(AND(ISNUMBER(G765),G765&lt;F765),"⚠ Término anterior al inicio",IF(AND(D765="Contrato inicial",ISNUMBER(J765),J765-F765&gt;15),"⚠ Escriturado fuera de plazo (Art. 9: 15 días)",IF(K765&lt;&gt;"Sí","Pendiente de firma","OK"))))))))))</f>
        <v/>
      </c>
    </row>
    <row r="766" customFormat="false" ht="15" hidden="false" customHeight="false" outlineLevel="0" collapsed="false">
      <c r="B766" s="64"/>
      <c r="C766" s="72" t="str">
        <f aca="false">IF(B766="","",IFERROR(INDEX(T_NOMBRE,MATCH(B766,T_ID,0)),"⚠ ID no existe en Trabajadores"))</f>
        <v/>
      </c>
      <c r="D766" s="64"/>
      <c r="E766" s="64"/>
      <c r="F766" s="65"/>
      <c r="G766" s="65"/>
      <c r="H766" s="67"/>
      <c r="I766" s="64"/>
      <c r="J766" s="65"/>
      <c r="K766" s="64"/>
      <c r="L766" s="64"/>
      <c r="M766" s="64"/>
      <c r="N766" s="72" t="str">
        <f aca="false">IF(B766="","",IF(D766="Anexo de modificación","No","Sí"))</f>
        <v/>
      </c>
      <c r="O766" s="73" t="str">
        <f aca="false">IF(AND(N766="Sí",ISNUMBER(F766)),COUNTIFS(C_ID,B766,C_DEFINE,"Sí",C_INICIO,"&lt;"&amp;F766)+COUNTIFS(B$7:B766,B766,N$7:N766,"Sí",F$7:F766,F766),"")</f>
        <v/>
      </c>
      <c r="P766" s="72" t="str">
        <f aca="false">IF(O766="","",B766&amp;"-P"&amp;O766)</f>
        <v/>
      </c>
      <c r="Q766" s="73" t="str">
        <f aca="false">IF(AND(N766="Sí",E766="Plazo fijo",ISNUMBER(F766)),COUNTIFS(C_ID,B766,C_TIPO,"Plazo fijo",C_DEFINE,"Sí",C_INICIO,"&lt;"&amp;F766)+COUNTIFS(B$7:B766,B766,E$7:E766,"Plazo fijo",N$7:N766,"Sí",F$7:F766,F766),"")</f>
        <v/>
      </c>
      <c r="R766" s="73" t="str">
        <f aca="false">IF(AND(B766&lt;&gt;"",ISNUMBER(H766),ISNUMBER(F766)),COUNTIFS(C_ID,B766,C_SUELDO,"&lt;&gt;",C_INICIO,"&lt;"&amp;F766)+COUNTIFS(B$7:B766,B766,H$7:H766,"&lt;&gt;",F$7:F766,F766),"")</f>
        <v/>
      </c>
      <c r="S766" s="72" t="str">
        <f aca="false">IF(R766="","",B766&amp;"-S"&amp;R766)</f>
        <v/>
      </c>
      <c r="T766" s="74" t="str">
        <f aca="false">IF(AND(ISNUMBER(F766),ISNUMBER(G766)),ROUND((G766-F766+1)/30.4375,1),"")</f>
        <v/>
      </c>
      <c r="U766" s="70" t="str">
        <f aca="false">IF(B766="","",IF(AND(N766="Sí",OR(E766="",NOT(ISNUMBER(F766)))),"⚠ Falta tipo de contrato o fecha de inicio",IF(NOT(ISNUMBER(F766)),"⚠ Falta fecha de inicio",IF(AND(N766="Sí",E766&lt;&gt;"Indefinido",NOT(ISNUMBER(G766))),"⚠ Falta fecha de término",IF(AND(D766="Paso a indefinido",E766&lt;&gt;"Indefinido"),"⚠ Un paso a indefinido debe tener tipo Indefinido",IF(N(Q766)&gt;=3,"⚠ 3er contrato a plazo fijo: por ley ya es INDEFINIDO (Art. 159 N°4)",IF(AND(E766="Plazo fijo",N(T766)&gt;12),"⚠ Plazo fijo mayor a 1 año (máx. legal; 2 años solo profesionales o técnicos)",IF(AND(ISNUMBER(G766),G766&lt;F766),"⚠ Término anterior al inicio",IF(AND(D766="Contrato inicial",ISNUMBER(J766),J766-F766&gt;15),"⚠ Escriturado fuera de plazo (Art. 9: 15 días)",IF(K766&lt;&gt;"Sí","Pendiente de firma","OK"))))))))))</f>
        <v/>
      </c>
    </row>
    <row r="767" customFormat="false" ht="15" hidden="false" customHeight="false" outlineLevel="0" collapsed="false">
      <c r="B767" s="64"/>
      <c r="C767" s="72" t="str">
        <f aca="false">IF(B767="","",IFERROR(INDEX(T_NOMBRE,MATCH(B767,T_ID,0)),"⚠ ID no existe en Trabajadores"))</f>
        <v/>
      </c>
      <c r="D767" s="64"/>
      <c r="E767" s="64"/>
      <c r="F767" s="65"/>
      <c r="G767" s="65"/>
      <c r="H767" s="67"/>
      <c r="I767" s="64"/>
      <c r="J767" s="65"/>
      <c r="K767" s="64"/>
      <c r="L767" s="64"/>
      <c r="M767" s="64"/>
      <c r="N767" s="72" t="str">
        <f aca="false">IF(B767="","",IF(D767="Anexo de modificación","No","Sí"))</f>
        <v/>
      </c>
      <c r="O767" s="73" t="str">
        <f aca="false">IF(AND(N767="Sí",ISNUMBER(F767)),COUNTIFS(C_ID,B767,C_DEFINE,"Sí",C_INICIO,"&lt;"&amp;F767)+COUNTIFS(B$7:B767,B767,N$7:N767,"Sí",F$7:F767,F767),"")</f>
        <v/>
      </c>
      <c r="P767" s="72" t="str">
        <f aca="false">IF(O767="","",B767&amp;"-P"&amp;O767)</f>
        <v/>
      </c>
      <c r="Q767" s="73" t="str">
        <f aca="false">IF(AND(N767="Sí",E767="Plazo fijo",ISNUMBER(F767)),COUNTIFS(C_ID,B767,C_TIPO,"Plazo fijo",C_DEFINE,"Sí",C_INICIO,"&lt;"&amp;F767)+COUNTIFS(B$7:B767,B767,E$7:E767,"Plazo fijo",N$7:N767,"Sí",F$7:F767,F767),"")</f>
        <v/>
      </c>
      <c r="R767" s="73" t="str">
        <f aca="false">IF(AND(B767&lt;&gt;"",ISNUMBER(H767),ISNUMBER(F767)),COUNTIFS(C_ID,B767,C_SUELDO,"&lt;&gt;",C_INICIO,"&lt;"&amp;F767)+COUNTIFS(B$7:B767,B767,H$7:H767,"&lt;&gt;",F$7:F767,F767),"")</f>
        <v/>
      </c>
      <c r="S767" s="72" t="str">
        <f aca="false">IF(R767="","",B767&amp;"-S"&amp;R767)</f>
        <v/>
      </c>
      <c r="T767" s="74" t="str">
        <f aca="false">IF(AND(ISNUMBER(F767),ISNUMBER(G767)),ROUND((G767-F767+1)/30.4375,1),"")</f>
        <v/>
      </c>
      <c r="U767" s="70" t="str">
        <f aca="false">IF(B767="","",IF(AND(N767="Sí",OR(E767="",NOT(ISNUMBER(F767)))),"⚠ Falta tipo de contrato o fecha de inicio",IF(NOT(ISNUMBER(F767)),"⚠ Falta fecha de inicio",IF(AND(N767="Sí",E767&lt;&gt;"Indefinido",NOT(ISNUMBER(G767))),"⚠ Falta fecha de término",IF(AND(D767="Paso a indefinido",E767&lt;&gt;"Indefinido"),"⚠ Un paso a indefinido debe tener tipo Indefinido",IF(N(Q767)&gt;=3,"⚠ 3er contrato a plazo fijo: por ley ya es INDEFINIDO (Art. 159 N°4)",IF(AND(E767="Plazo fijo",N(T767)&gt;12),"⚠ Plazo fijo mayor a 1 año (máx. legal; 2 años solo profesionales o técnicos)",IF(AND(ISNUMBER(G767),G767&lt;F767),"⚠ Término anterior al inicio",IF(AND(D767="Contrato inicial",ISNUMBER(J767),J767-F767&gt;15),"⚠ Escriturado fuera de plazo (Art. 9: 15 días)",IF(K767&lt;&gt;"Sí","Pendiente de firma","OK"))))))))))</f>
        <v/>
      </c>
    </row>
    <row r="768" customFormat="false" ht="15" hidden="false" customHeight="false" outlineLevel="0" collapsed="false">
      <c r="B768" s="64"/>
      <c r="C768" s="72" t="str">
        <f aca="false">IF(B768="","",IFERROR(INDEX(T_NOMBRE,MATCH(B768,T_ID,0)),"⚠ ID no existe en Trabajadores"))</f>
        <v/>
      </c>
      <c r="D768" s="64"/>
      <c r="E768" s="64"/>
      <c r="F768" s="65"/>
      <c r="G768" s="65"/>
      <c r="H768" s="67"/>
      <c r="I768" s="64"/>
      <c r="J768" s="65"/>
      <c r="K768" s="64"/>
      <c r="L768" s="64"/>
      <c r="M768" s="64"/>
      <c r="N768" s="72" t="str">
        <f aca="false">IF(B768="","",IF(D768="Anexo de modificación","No","Sí"))</f>
        <v/>
      </c>
      <c r="O768" s="73" t="str">
        <f aca="false">IF(AND(N768="Sí",ISNUMBER(F768)),COUNTIFS(C_ID,B768,C_DEFINE,"Sí",C_INICIO,"&lt;"&amp;F768)+COUNTIFS(B$7:B768,B768,N$7:N768,"Sí",F$7:F768,F768),"")</f>
        <v/>
      </c>
      <c r="P768" s="72" t="str">
        <f aca="false">IF(O768="","",B768&amp;"-P"&amp;O768)</f>
        <v/>
      </c>
      <c r="Q768" s="73" t="str">
        <f aca="false">IF(AND(N768="Sí",E768="Plazo fijo",ISNUMBER(F768)),COUNTIFS(C_ID,B768,C_TIPO,"Plazo fijo",C_DEFINE,"Sí",C_INICIO,"&lt;"&amp;F768)+COUNTIFS(B$7:B768,B768,E$7:E768,"Plazo fijo",N$7:N768,"Sí",F$7:F768,F768),"")</f>
        <v/>
      </c>
      <c r="R768" s="73" t="str">
        <f aca="false">IF(AND(B768&lt;&gt;"",ISNUMBER(H768),ISNUMBER(F768)),COUNTIFS(C_ID,B768,C_SUELDO,"&lt;&gt;",C_INICIO,"&lt;"&amp;F768)+COUNTIFS(B$7:B768,B768,H$7:H768,"&lt;&gt;",F$7:F768,F768),"")</f>
        <v/>
      </c>
      <c r="S768" s="72" t="str">
        <f aca="false">IF(R768="","",B768&amp;"-S"&amp;R768)</f>
        <v/>
      </c>
      <c r="T768" s="74" t="str">
        <f aca="false">IF(AND(ISNUMBER(F768),ISNUMBER(G768)),ROUND((G768-F768+1)/30.4375,1),"")</f>
        <v/>
      </c>
      <c r="U768" s="70" t="str">
        <f aca="false">IF(B768="","",IF(AND(N768="Sí",OR(E768="",NOT(ISNUMBER(F768)))),"⚠ Falta tipo de contrato o fecha de inicio",IF(NOT(ISNUMBER(F768)),"⚠ Falta fecha de inicio",IF(AND(N768="Sí",E768&lt;&gt;"Indefinido",NOT(ISNUMBER(G768))),"⚠ Falta fecha de término",IF(AND(D768="Paso a indefinido",E768&lt;&gt;"Indefinido"),"⚠ Un paso a indefinido debe tener tipo Indefinido",IF(N(Q768)&gt;=3,"⚠ 3er contrato a plazo fijo: por ley ya es INDEFINIDO (Art. 159 N°4)",IF(AND(E768="Plazo fijo",N(T768)&gt;12),"⚠ Plazo fijo mayor a 1 año (máx. legal; 2 años solo profesionales o técnicos)",IF(AND(ISNUMBER(G768),G768&lt;F768),"⚠ Término anterior al inicio",IF(AND(D768="Contrato inicial",ISNUMBER(J768),J768-F768&gt;15),"⚠ Escriturado fuera de plazo (Art. 9: 15 días)",IF(K768&lt;&gt;"Sí","Pendiente de firma","OK"))))))))))</f>
        <v/>
      </c>
    </row>
    <row r="769" customFormat="false" ht="15" hidden="false" customHeight="false" outlineLevel="0" collapsed="false">
      <c r="B769" s="64"/>
      <c r="C769" s="72" t="str">
        <f aca="false">IF(B769="","",IFERROR(INDEX(T_NOMBRE,MATCH(B769,T_ID,0)),"⚠ ID no existe en Trabajadores"))</f>
        <v/>
      </c>
      <c r="D769" s="64"/>
      <c r="E769" s="64"/>
      <c r="F769" s="65"/>
      <c r="G769" s="65"/>
      <c r="H769" s="67"/>
      <c r="I769" s="64"/>
      <c r="J769" s="65"/>
      <c r="K769" s="64"/>
      <c r="L769" s="64"/>
      <c r="M769" s="64"/>
      <c r="N769" s="72" t="str">
        <f aca="false">IF(B769="","",IF(D769="Anexo de modificación","No","Sí"))</f>
        <v/>
      </c>
      <c r="O769" s="73" t="str">
        <f aca="false">IF(AND(N769="Sí",ISNUMBER(F769)),COUNTIFS(C_ID,B769,C_DEFINE,"Sí",C_INICIO,"&lt;"&amp;F769)+COUNTIFS(B$7:B769,B769,N$7:N769,"Sí",F$7:F769,F769),"")</f>
        <v/>
      </c>
      <c r="P769" s="72" t="str">
        <f aca="false">IF(O769="","",B769&amp;"-P"&amp;O769)</f>
        <v/>
      </c>
      <c r="Q769" s="73" t="str">
        <f aca="false">IF(AND(N769="Sí",E769="Plazo fijo",ISNUMBER(F769)),COUNTIFS(C_ID,B769,C_TIPO,"Plazo fijo",C_DEFINE,"Sí",C_INICIO,"&lt;"&amp;F769)+COUNTIFS(B$7:B769,B769,E$7:E769,"Plazo fijo",N$7:N769,"Sí",F$7:F769,F769),"")</f>
        <v/>
      </c>
      <c r="R769" s="73" t="str">
        <f aca="false">IF(AND(B769&lt;&gt;"",ISNUMBER(H769),ISNUMBER(F769)),COUNTIFS(C_ID,B769,C_SUELDO,"&lt;&gt;",C_INICIO,"&lt;"&amp;F769)+COUNTIFS(B$7:B769,B769,H$7:H769,"&lt;&gt;",F$7:F769,F769),"")</f>
        <v/>
      </c>
      <c r="S769" s="72" t="str">
        <f aca="false">IF(R769="","",B769&amp;"-S"&amp;R769)</f>
        <v/>
      </c>
      <c r="T769" s="74" t="str">
        <f aca="false">IF(AND(ISNUMBER(F769),ISNUMBER(G769)),ROUND((G769-F769+1)/30.4375,1),"")</f>
        <v/>
      </c>
      <c r="U769" s="70" t="str">
        <f aca="false">IF(B769="","",IF(AND(N769="Sí",OR(E769="",NOT(ISNUMBER(F769)))),"⚠ Falta tipo de contrato o fecha de inicio",IF(NOT(ISNUMBER(F769)),"⚠ Falta fecha de inicio",IF(AND(N769="Sí",E769&lt;&gt;"Indefinido",NOT(ISNUMBER(G769))),"⚠ Falta fecha de término",IF(AND(D769="Paso a indefinido",E769&lt;&gt;"Indefinido"),"⚠ Un paso a indefinido debe tener tipo Indefinido",IF(N(Q769)&gt;=3,"⚠ 3er contrato a plazo fijo: por ley ya es INDEFINIDO (Art. 159 N°4)",IF(AND(E769="Plazo fijo",N(T769)&gt;12),"⚠ Plazo fijo mayor a 1 año (máx. legal; 2 años solo profesionales o técnicos)",IF(AND(ISNUMBER(G769),G769&lt;F769),"⚠ Término anterior al inicio",IF(AND(D769="Contrato inicial",ISNUMBER(J769),J769-F769&gt;15),"⚠ Escriturado fuera de plazo (Art. 9: 15 días)",IF(K769&lt;&gt;"Sí","Pendiente de firma","OK"))))))))))</f>
        <v/>
      </c>
    </row>
    <row r="770" customFormat="false" ht="15" hidden="false" customHeight="false" outlineLevel="0" collapsed="false">
      <c r="B770" s="64"/>
      <c r="C770" s="72" t="str">
        <f aca="false">IF(B770="","",IFERROR(INDEX(T_NOMBRE,MATCH(B770,T_ID,0)),"⚠ ID no existe en Trabajadores"))</f>
        <v/>
      </c>
      <c r="D770" s="64"/>
      <c r="E770" s="64"/>
      <c r="F770" s="65"/>
      <c r="G770" s="65"/>
      <c r="H770" s="67"/>
      <c r="I770" s="64"/>
      <c r="J770" s="65"/>
      <c r="K770" s="64"/>
      <c r="L770" s="64"/>
      <c r="M770" s="64"/>
      <c r="N770" s="72" t="str">
        <f aca="false">IF(B770="","",IF(D770="Anexo de modificación","No","Sí"))</f>
        <v/>
      </c>
      <c r="O770" s="73" t="str">
        <f aca="false">IF(AND(N770="Sí",ISNUMBER(F770)),COUNTIFS(C_ID,B770,C_DEFINE,"Sí",C_INICIO,"&lt;"&amp;F770)+COUNTIFS(B$7:B770,B770,N$7:N770,"Sí",F$7:F770,F770),"")</f>
        <v/>
      </c>
      <c r="P770" s="72" t="str">
        <f aca="false">IF(O770="","",B770&amp;"-P"&amp;O770)</f>
        <v/>
      </c>
      <c r="Q770" s="73" t="str">
        <f aca="false">IF(AND(N770="Sí",E770="Plazo fijo",ISNUMBER(F770)),COUNTIFS(C_ID,B770,C_TIPO,"Plazo fijo",C_DEFINE,"Sí",C_INICIO,"&lt;"&amp;F770)+COUNTIFS(B$7:B770,B770,E$7:E770,"Plazo fijo",N$7:N770,"Sí",F$7:F770,F770),"")</f>
        <v/>
      </c>
      <c r="R770" s="73" t="str">
        <f aca="false">IF(AND(B770&lt;&gt;"",ISNUMBER(H770),ISNUMBER(F770)),COUNTIFS(C_ID,B770,C_SUELDO,"&lt;&gt;",C_INICIO,"&lt;"&amp;F770)+COUNTIFS(B$7:B770,B770,H$7:H770,"&lt;&gt;",F$7:F770,F770),"")</f>
        <v/>
      </c>
      <c r="S770" s="72" t="str">
        <f aca="false">IF(R770="","",B770&amp;"-S"&amp;R770)</f>
        <v/>
      </c>
      <c r="T770" s="74" t="str">
        <f aca="false">IF(AND(ISNUMBER(F770),ISNUMBER(G770)),ROUND((G770-F770+1)/30.4375,1),"")</f>
        <v/>
      </c>
      <c r="U770" s="70" t="str">
        <f aca="false">IF(B770="","",IF(AND(N770="Sí",OR(E770="",NOT(ISNUMBER(F770)))),"⚠ Falta tipo de contrato o fecha de inicio",IF(NOT(ISNUMBER(F770)),"⚠ Falta fecha de inicio",IF(AND(N770="Sí",E770&lt;&gt;"Indefinido",NOT(ISNUMBER(G770))),"⚠ Falta fecha de término",IF(AND(D770="Paso a indefinido",E770&lt;&gt;"Indefinido"),"⚠ Un paso a indefinido debe tener tipo Indefinido",IF(N(Q770)&gt;=3,"⚠ 3er contrato a plazo fijo: por ley ya es INDEFINIDO (Art. 159 N°4)",IF(AND(E770="Plazo fijo",N(T770)&gt;12),"⚠ Plazo fijo mayor a 1 año (máx. legal; 2 años solo profesionales o técnicos)",IF(AND(ISNUMBER(G770),G770&lt;F770),"⚠ Término anterior al inicio",IF(AND(D770="Contrato inicial",ISNUMBER(J770),J770-F770&gt;15),"⚠ Escriturado fuera de plazo (Art. 9: 15 días)",IF(K770&lt;&gt;"Sí","Pendiente de firma","OK"))))))))))</f>
        <v/>
      </c>
    </row>
    <row r="771" customFormat="false" ht="15" hidden="false" customHeight="false" outlineLevel="0" collapsed="false">
      <c r="B771" s="64"/>
      <c r="C771" s="72" t="str">
        <f aca="false">IF(B771="","",IFERROR(INDEX(T_NOMBRE,MATCH(B771,T_ID,0)),"⚠ ID no existe en Trabajadores"))</f>
        <v/>
      </c>
      <c r="D771" s="64"/>
      <c r="E771" s="64"/>
      <c r="F771" s="65"/>
      <c r="G771" s="65"/>
      <c r="H771" s="67"/>
      <c r="I771" s="64"/>
      <c r="J771" s="65"/>
      <c r="K771" s="64"/>
      <c r="L771" s="64"/>
      <c r="M771" s="64"/>
      <c r="N771" s="72" t="str">
        <f aca="false">IF(B771="","",IF(D771="Anexo de modificación","No","Sí"))</f>
        <v/>
      </c>
      <c r="O771" s="73" t="str">
        <f aca="false">IF(AND(N771="Sí",ISNUMBER(F771)),COUNTIFS(C_ID,B771,C_DEFINE,"Sí",C_INICIO,"&lt;"&amp;F771)+COUNTIFS(B$7:B771,B771,N$7:N771,"Sí",F$7:F771,F771),"")</f>
        <v/>
      </c>
      <c r="P771" s="72" t="str">
        <f aca="false">IF(O771="","",B771&amp;"-P"&amp;O771)</f>
        <v/>
      </c>
      <c r="Q771" s="73" t="str">
        <f aca="false">IF(AND(N771="Sí",E771="Plazo fijo",ISNUMBER(F771)),COUNTIFS(C_ID,B771,C_TIPO,"Plazo fijo",C_DEFINE,"Sí",C_INICIO,"&lt;"&amp;F771)+COUNTIFS(B$7:B771,B771,E$7:E771,"Plazo fijo",N$7:N771,"Sí",F$7:F771,F771),"")</f>
        <v/>
      </c>
      <c r="R771" s="73" t="str">
        <f aca="false">IF(AND(B771&lt;&gt;"",ISNUMBER(H771),ISNUMBER(F771)),COUNTIFS(C_ID,B771,C_SUELDO,"&lt;&gt;",C_INICIO,"&lt;"&amp;F771)+COUNTIFS(B$7:B771,B771,H$7:H771,"&lt;&gt;",F$7:F771,F771),"")</f>
        <v/>
      </c>
      <c r="S771" s="72" t="str">
        <f aca="false">IF(R771="","",B771&amp;"-S"&amp;R771)</f>
        <v/>
      </c>
      <c r="T771" s="74" t="str">
        <f aca="false">IF(AND(ISNUMBER(F771),ISNUMBER(G771)),ROUND((G771-F771+1)/30.4375,1),"")</f>
        <v/>
      </c>
      <c r="U771" s="70" t="str">
        <f aca="false">IF(B771="","",IF(AND(N771="Sí",OR(E771="",NOT(ISNUMBER(F771)))),"⚠ Falta tipo de contrato o fecha de inicio",IF(NOT(ISNUMBER(F771)),"⚠ Falta fecha de inicio",IF(AND(N771="Sí",E771&lt;&gt;"Indefinido",NOT(ISNUMBER(G771))),"⚠ Falta fecha de término",IF(AND(D771="Paso a indefinido",E771&lt;&gt;"Indefinido"),"⚠ Un paso a indefinido debe tener tipo Indefinido",IF(N(Q771)&gt;=3,"⚠ 3er contrato a plazo fijo: por ley ya es INDEFINIDO (Art. 159 N°4)",IF(AND(E771="Plazo fijo",N(T771)&gt;12),"⚠ Plazo fijo mayor a 1 año (máx. legal; 2 años solo profesionales o técnicos)",IF(AND(ISNUMBER(G771),G771&lt;F771),"⚠ Término anterior al inicio",IF(AND(D771="Contrato inicial",ISNUMBER(J771),J771-F771&gt;15),"⚠ Escriturado fuera de plazo (Art. 9: 15 días)",IF(K771&lt;&gt;"Sí","Pendiente de firma","OK"))))))))))</f>
        <v/>
      </c>
    </row>
    <row r="772" customFormat="false" ht="15" hidden="false" customHeight="false" outlineLevel="0" collapsed="false">
      <c r="B772" s="64"/>
      <c r="C772" s="72" t="str">
        <f aca="false">IF(B772="","",IFERROR(INDEX(T_NOMBRE,MATCH(B772,T_ID,0)),"⚠ ID no existe en Trabajadores"))</f>
        <v/>
      </c>
      <c r="D772" s="64"/>
      <c r="E772" s="64"/>
      <c r="F772" s="65"/>
      <c r="G772" s="65"/>
      <c r="H772" s="67"/>
      <c r="I772" s="64"/>
      <c r="J772" s="65"/>
      <c r="K772" s="64"/>
      <c r="L772" s="64"/>
      <c r="M772" s="64"/>
      <c r="N772" s="72" t="str">
        <f aca="false">IF(B772="","",IF(D772="Anexo de modificación","No","Sí"))</f>
        <v/>
      </c>
      <c r="O772" s="73" t="str">
        <f aca="false">IF(AND(N772="Sí",ISNUMBER(F772)),COUNTIFS(C_ID,B772,C_DEFINE,"Sí",C_INICIO,"&lt;"&amp;F772)+COUNTIFS(B$7:B772,B772,N$7:N772,"Sí",F$7:F772,F772),"")</f>
        <v/>
      </c>
      <c r="P772" s="72" t="str">
        <f aca="false">IF(O772="","",B772&amp;"-P"&amp;O772)</f>
        <v/>
      </c>
      <c r="Q772" s="73" t="str">
        <f aca="false">IF(AND(N772="Sí",E772="Plazo fijo",ISNUMBER(F772)),COUNTIFS(C_ID,B772,C_TIPO,"Plazo fijo",C_DEFINE,"Sí",C_INICIO,"&lt;"&amp;F772)+COUNTIFS(B$7:B772,B772,E$7:E772,"Plazo fijo",N$7:N772,"Sí",F$7:F772,F772),"")</f>
        <v/>
      </c>
      <c r="R772" s="73" t="str">
        <f aca="false">IF(AND(B772&lt;&gt;"",ISNUMBER(H772),ISNUMBER(F772)),COUNTIFS(C_ID,B772,C_SUELDO,"&lt;&gt;",C_INICIO,"&lt;"&amp;F772)+COUNTIFS(B$7:B772,B772,H$7:H772,"&lt;&gt;",F$7:F772,F772),"")</f>
        <v/>
      </c>
      <c r="S772" s="72" t="str">
        <f aca="false">IF(R772="","",B772&amp;"-S"&amp;R772)</f>
        <v/>
      </c>
      <c r="T772" s="74" t="str">
        <f aca="false">IF(AND(ISNUMBER(F772),ISNUMBER(G772)),ROUND((G772-F772+1)/30.4375,1),"")</f>
        <v/>
      </c>
      <c r="U772" s="70" t="str">
        <f aca="false">IF(B772="","",IF(AND(N772="Sí",OR(E772="",NOT(ISNUMBER(F772)))),"⚠ Falta tipo de contrato o fecha de inicio",IF(NOT(ISNUMBER(F772)),"⚠ Falta fecha de inicio",IF(AND(N772="Sí",E772&lt;&gt;"Indefinido",NOT(ISNUMBER(G772))),"⚠ Falta fecha de término",IF(AND(D772="Paso a indefinido",E772&lt;&gt;"Indefinido"),"⚠ Un paso a indefinido debe tener tipo Indefinido",IF(N(Q772)&gt;=3,"⚠ 3er contrato a plazo fijo: por ley ya es INDEFINIDO (Art. 159 N°4)",IF(AND(E772="Plazo fijo",N(T772)&gt;12),"⚠ Plazo fijo mayor a 1 año (máx. legal; 2 años solo profesionales o técnicos)",IF(AND(ISNUMBER(G772),G772&lt;F772),"⚠ Término anterior al inicio",IF(AND(D772="Contrato inicial",ISNUMBER(J772),J772-F772&gt;15),"⚠ Escriturado fuera de plazo (Art. 9: 15 días)",IF(K772&lt;&gt;"Sí","Pendiente de firma","OK"))))))))))</f>
        <v/>
      </c>
    </row>
    <row r="773" customFormat="false" ht="15" hidden="false" customHeight="false" outlineLevel="0" collapsed="false">
      <c r="B773" s="64"/>
      <c r="C773" s="72" t="str">
        <f aca="false">IF(B773="","",IFERROR(INDEX(T_NOMBRE,MATCH(B773,T_ID,0)),"⚠ ID no existe en Trabajadores"))</f>
        <v/>
      </c>
      <c r="D773" s="64"/>
      <c r="E773" s="64"/>
      <c r="F773" s="65"/>
      <c r="G773" s="65"/>
      <c r="H773" s="67"/>
      <c r="I773" s="64"/>
      <c r="J773" s="65"/>
      <c r="K773" s="64"/>
      <c r="L773" s="64"/>
      <c r="M773" s="64"/>
      <c r="N773" s="72" t="str">
        <f aca="false">IF(B773="","",IF(D773="Anexo de modificación","No","Sí"))</f>
        <v/>
      </c>
      <c r="O773" s="73" t="str">
        <f aca="false">IF(AND(N773="Sí",ISNUMBER(F773)),COUNTIFS(C_ID,B773,C_DEFINE,"Sí",C_INICIO,"&lt;"&amp;F773)+COUNTIFS(B$7:B773,B773,N$7:N773,"Sí",F$7:F773,F773),"")</f>
        <v/>
      </c>
      <c r="P773" s="72" t="str">
        <f aca="false">IF(O773="","",B773&amp;"-P"&amp;O773)</f>
        <v/>
      </c>
      <c r="Q773" s="73" t="str">
        <f aca="false">IF(AND(N773="Sí",E773="Plazo fijo",ISNUMBER(F773)),COUNTIFS(C_ID,B773,C_TIPO,"Plazo fijo",C_DEFINE,"Sí",C_INICIO,"&lt;"&amp;F773)+COUNTIFS(B$7:B773,B773,E$7:E773,"Plazo fijo",N$7:N773,"Sí",F$7:F773,F773),"")</f>
        <v/>
      </c>
      <c r="R773" s="73" t="str">
        <f aca="false">IF(AND(B773&lt;&gt;"",ISNUMBER(H773),ISNUMBER(F773)),COUNTIFS(C_ID,B773,C_SUELDO,"&lt;&gt;",C_INICIO,"&lt;"&amp;F773)+COUNTIFS(B$7:B773,B773,H$7:H773,"&lt;&gt;",F$7:F773,F773),"")</f>
        <v/>
      </c>
      <c r="S773" s="72" t="str">
        <f aca="false">IF(R773="","",B773&amp;"-S"&amp;R773)</f>
        <v/>
      </c>
      <c r="T773" s="74" t="str">
        <f aca="false">IF(AND(ISNUMBER(F773),ISNUMBER(G773)),ROUND((G773-F773+1)/30.4375,1),"")</f>
        <v/>
      </c>
      <c r="U773" s="70" t="str">
        <f aca="false">IF(B773="","",IF(AND(N773="Sí",OR(E773="",NOT(ISNUMBER(F773)))),"⚠ Falta tipo de contrato o fecha de inicio",IF(NOT(ISNUMBER(F773)),"⚠ Falta fecha de inicio",IF(AND(N773="Sí",E773&lt;&gt;"Indefinido",NOT(ISNUMBER(G773))),"⚠ Falta fecha de término",IF(AND(D773="Paso a indefinido",E773&lt;&gt;"Indefinido"),"⚠ Un paso a indefinido debe tener tipo Indefinido",IF(N(Q773)&gt;=3,"⚠ 3er contrato a plazo fijo: por ley ya es INDEFINIDO (Art. 159 N°4)",IF(AND(E773="Plazo fijo",N(T773)&gt;12),"⚠ Plazo fijo mayor a 1 año (máx. legal; 2 años solo profesionales o técnicos)",IF(AND(ISNUMBER(G773),G773&lt;F773),"⚠ Término anterior al inicio",IF(AND(D773="Contrato inicial",ISNUMBER(J773),J773-F773&gt;15),"⚠ Escriturado fuera de plazo (Art. 9: 15 días)",IF(K773&lt;&gt;"Sí","Pendiente de firma","OK"))))))))))</f>
        <v/>
      </c>
    </row>
    <row r="774" customFormat="false" ht="15" hidden="false" customHeight="false" outlineLevel="0" collapsed="false">
      <c r="B774" s="64"/>
      <c r="C774" s="72" t="str">
        <f aca="false">IF(B774="","",IFERROR(INDEX(T_NOMBRE,MATCH(B774,T_ID,0)),"⚠ ID no existe en Trabajadores"))</f>
        <v/>
      </c>
      <c r="D774" s="64"/>
      <c r="E774" s="64"/>
      <c r="F774" s="65"/>
      <c r="G774" s="65"/>
      <c r="H774" s="67"/>
      <c r="I774" s="64"/>
      <c r="J774" s="65"/>
      <c r="K774" s="64"/>
      <c r="L774" s="64"/>
      <c r="M774" s="64"/>
      <c r="N774" s="72" t="str">
        <f aca="false">IF(B774="","",IF(D774="Anexo de modificación","No","Sí"))</f>
        <v/>
      </c>
      <c r="O774" s="73" t="str">
        <f aca="false">IF(AND(N774="Sí",ISNUMBER(F774)),COUNTIFS(C_ID,B774,C_DEFINE,"Sí",C_INICIO,"&lt;"&amp;F774)+COUNTIFS(B$7:B774,B774,N$7:N774,"Sí",F$7:F774,F774),"")</f>
        <v/>
      </c>
      <c r="P774" s="72" t="str">
        <f aca="false">IF(O774="","",B774&amp;"-P"&amp;O774)</f>
        <v/>
      </c>
      <c r="Q774" s="73" t="str">
        <f aca="false">IF(AND(N774="Sí",E774="Plazo fijo",ISNUMBER(F774)),COUNTIFS(C_ID,B774,C_TIPO,"Plazo fijo",C_DEFINE,"Sí",C_INICIO,"&lt;"&amp;F774)+COUNTIFS(B$7:B774,B774,E$7:E774,"Plazo fijo",N$7:N774,"Sí",F$7:F774,F774),"")</f>
        <v/>
      </c>
      <c r="R774" s="73" t="str">
        <f aca="false">IF(AND(B774&lt;&gt;"",ISNUMBER(H774),ISNUMBER(F774)),COUNTIFS(C_ID,B774,C_SUELDO,"&lt;&gt;",C_INICIO,"&lt;"&amp;F774)+COUNTIFS(B$7:B774,B774,H$7:H774,"&lt;&gt;",F$7:F774,F774),"")</f>
        <v/>
      </c>
      <c r="S774" s="72" t="str">
        <f aca="false">IF(R774="","",B774&amp;"-S"&amp;R774)</f>
        <v/>
      </c>
      <c r="T774" s="74" t="str">
        <f aca="false">IF(AND(ISNUMBER(F774),ISNUMBER(G774)),ROUND((G774-F774+1)/30.4375,1),"")</f>
        <v/>
      </c>
      <c r="U774" s="70" t="str">
        <f aca="false">IF(B774="","",IF(AND(N774="Sí",OR(E774="",NOT(ISNUMBER(F774)))),"⚠ Falta tipo de contrato o fecha de inicio",IF(NOT(ISNUMBER(F774)),"⚠ Falta fecha de inicio",IF(AND(N774="Sí",E774&lt;&gt;"Indefinido",NOT(ISNUMBER(G774))),"⚠ Falta fecha de término",IF(AND(D774="Paso a indefinido",E774&lt;&gt;"Indefinido"),"⚠ Un paso a indefinido debe tener tipo Indefinido",IF(N(Q774)&gt;=3,"⚠ 3er contrato a plazo fijo: por ley ya es INDEFINIDO (Art. 159 N°4)",IF(AND(E774="Plazo fijo",N(T774)&gt;12),"⚠ Plazo fijo mayor a 1 año (máx. legal; 2 años solo profesionales o técnicos)",IF(AND(ISNUMBER(G774),G774&lt;F774),"⚠ Término anterior al inicio",IF(AND(D774="Contrato inicial",ISNUMBER(J774),J774-F774&gt;15),"⚠ Escriturado fuera de plazo (Art. 9: 15 días)",IF(K774&lt;&gt;"Sí","Pendiente de firma","OK"))))))))))</f>
        <v/>
      </c>
    </row>
    <row r="775" customFormat="false" ht="15" hidden="false" customHeight="false" outlineLevel="0" collapsed="false">
      <c r="B775" s="64"/>
      <c r="C775" s="72" t="str">
        <f aca="false">IF(B775="","",IFERROR(INDEX(T_NOMBRE,MATCH(B775,T_ID,0)),"⚠ ID no existe en Trabajadores"))</f>
        <v/>
      </c>
      <c r="D775" s="64"/>
      <c r="E775" s="64"/>
      <c r="F775" s="65"/>
      <c r="G775" s="65"/>
      <c r="H775" s="67"/>
      <c r="I775" s="64"/>
      <c r="J775" s="65"/>
      <c r="K775" s="64"/>
      <c r="L775" s="64"/>
      <c r="M775" s="64"/>
      <c r="N775" s="72" t="str">
        <f aca="false">IF(B775="","",IF(D775="Anexo de modificación","No","Sí"))</f>
        <v/>
      </c>
      <c r="O775" s="73" t="str">
        <f aca="false">IF(AND(N775="Sí",ISNUMBER(F775)),COUNTIFS(C_ID,B775,C_DEFINE,"Sí",C_INICIO,"&lt;"&amp;F775)+COUNTIFS(B$7:B775,B775,N$7:N775,"Sí",F$7:F775,F775),"")</f>
        <v/>
      </c>
      <c r="P775" s="72" t="str">
        <f aca="false">IF(O775="","",B775&amp;"-P"&amp;O775)</f>
        <v/>
      </c>
      <c r="Q775" s="73" t="str">
        <f aca="false">IF(AND(N775="Sí",E775="Plazo fijo",ISNUMBER(F775)),COUNTIFS(C_ID,B775,C_TIPO,"Plazo fijo",C_DEFINE,"Sí",C_INICIO,"&lt;"&amp;F775)+COUNTIFS(B$7:B775,B775,E$7:E775,"Plazo fijo",N$7:N775,"Sí",F$7:F775,F775),"")</f>
        <v/>
      </c>
      <c r="R775" s="73" t="str">
        <f aca="false">IF(AND(B775&lt;&gt;"",ISNUMBER(H775),ISNUMBER(F775)),COUNTIFS(C_ID,B775,C_SUELDO,"&lt;&gt;",C_INICIO,"&lt;"&amp;F775)+COUNTIFS(B$7:B775,B775,H$7:H775,"&lt;&gt;",F$7:F775,F775),"")</f>
        <v/>
      </c>
      <c r="S775" s="72" t="str">
        <f aca="false">IF(R775="","",B775&amp;"-S"&amp;R775)</f>
        <v/>
      </c>
      <c r="T775" s="74" t="str">
        <f aca="false">IF(AND(ISNUMBER(F775),ISNUMBER(G775)),ROUND((G775-F775+1)/30.4375,1),"")</f>
        <v/>
      </c>
      <c r="U775" s="70" t="str">
        <f aca="false">IF(B775="","",IF(AND(N775="Sí",OR(E775="",NOT(ISNUMBER(F775)))),"⚠ Falta tipo de contrato o fecha de inicio",IF(NOT(ISNUMBER(F775)),"⚠ Falta fecha de inicio",IF(AND(N775="Sí",E775&lt;&gt;"Indefinido",NOT(ISNUMBER(G775))),"⚠ Falta fecha de término",IF(AND(D775="Paso a indefinido",E775&lt;&gt;"Indefinido"),"⚠ Un paso a indefinido debe tener tipo Indefinido",IF(N(Q775)&gt;=3,"⚠ 3er contrato a plazo fijo: por ley ya es INDEFINIDO (Art. 159 N°4)",IF(AND(E775="Plazo fijo",N(T775)&gt;12),"⚠ Plazo fijo mayor a 1 año (máx. legal; 2 años solo profesionales o técnicos)",IF(AND(ISNUMBER(G775),G775&lt;F775),"⚠ Término anterior al inicio",IF(AND(D775="Contrato inicial",ISNUMBER(J775),J775-F775&gt;15),"⚠ Escriturado fuera de plazo (Art. 9: 15 días)",IF(K775&lt;&gt;"Sí","Pendiente de firma","OK"))))))))))</f>
        <v/>
      </c>
    </row>
    <row r="776" customFormat="false" ht="15" hidden="false" customHeight="false" outlineLevel="0" collapsed="false">
      <c r="B776" s="64"/>
      <c r="C776" s="72" t="str">
        <f aca="false">IF(B776="","",IFERROR(INDEX(T_NOMBRE,MATCH(B776,T_ID,0)),"⚠ ID no existe en Trabajadores"))</f>
        <v/>
      </c>
      <c r="D776" s="64"/>
      <c r="E776" s="64"/>
      <c r="F776" s="65"/>
      <c r="G776" s="65"/>
      <c r="H776" s="67"/>
      <c r="I776" s="64"/>
      <c r="J776" s="65"/>
      <c r="K776" s="64"/>
      <c r="L776" s="64"/>
      <c r="M776" s="64"/>
      <c r="N776" s="72" t="str">
        <f aca="false">IF(B776="","",IF(D776="Anexo de modificación","No","Sí"))</f>
        <v/>
      </c>
      <c r="O776" s="73" t="str">
        <f aca="false">IF(AND(N776="Sí",ISNUMBER(F776)),COUNTIFS(C_ID,B776,C_DEFINE,"Sí",C_INICIO,"&lt;"&amp;F776)+COUNTIFS(B$7:B776,B776,N$7:N776,"Sí",F$7:F776,F776),"")</f>
        <v/>
      </c>
      <c r="P776" s="72" t="str">
        <f aca="false">IF(O776="","",B776&amp;"-P"&amp;O776)</f>
        <v/>
      </c>
      <c r="Q776" s="73" t="str">
        <f aca="false">IF(AND(N776="Sí",E776="Plazo fijo",ISNUMBER(F776)),COUNTIFS(C_ID,B776,C_TIPO,"Plazo fijo",C_DEFINE,"Sí",C_INICIO,"&lt;"&amp;F776)+COUNTIFS(B$7:B776,B776,E$7:E776,"Plazo fijo",N$7:N776,"Sí",F$7:F776,F776),"")</f>
        <v/>
      </c>
      <c r="R776" s="73" t="str">
        <f aca="false">IF(AND(B776&lt;&gt;"",ISNUMBER(H776),ISNUMBER(F776)),COUNTIFS(C_ID,B776,C_SUELDO,"&lt;&gt;",C_INICIO,"&lt;"&amp;F776)+COUNTIFS(B$7:B776,B776,H$7:H776,"&lt;&gt;",F$7:F776,F776),"")</f>
        <v/>
      </c>
      <c r="S776" s="72" t="str">
        <f aca="false">IF(R776="","",B776&amp;"-S"&amp;R776)</f>
        <v/>
      </c>
      <c r="T776" s="74" t="str">
        <f aca="false">IF(AND(ISNUMBER(F776),ISNUMBER(G776)),ROUND((G776-F776+1)/30.4375,1),"")</f>
        <v/>
      </c>
      <c r="U776" s="70" t="str">
        <f aca="false">IF(B776="","",IF(AND(N776="Sí",OR(E776="",NOT(ISNUMBER(F776)))),"⚠ Falta tipo de contrato o fecha de inicio",IF(NOT(ISNUMBER(F776)),"⚠ Falta fecha de inicio",IF(AND(N776="Sí",E776&lt;&gt;"Indefinido",NOT(ISNUMBER(G776))),"⚠ Falta fecha de término",IF(AND(D776="Paso a indefinido",E776&lt;&gt;"Indefinido"),"⚠ Un paso a indefinido debe tener tipo Indefinido",IF(N(Q776)&gt;=3,"⚠ 3er contrato a plazo fijo: por ley ya es INDEFINIDO (Art. 159 N°4)",IF(AND(E776="Plazo fijo",N(T776)&gt;12),"⚠ Plazo fijo mayor a 1 año (máx. legal; 2 años solo profesionales o técnicos)",IF(AND(ISNUMBER(G776),G776&lt;F776),"⚠ Término anterior al inicio",IF(AND(D776="Contrato inicial",ISNUMBER(J776),J776-F776&gt;15),"⚠ Escriturado fuera de plazo (Art. 9: 15 días)",IF(K776&lt;&gt;"Sí","Pendiente de firma","OK"))))))))))</f>
        <v/>
      </c>
    </row>
    <row r="777" customFormat="false" ht="15" hidden="false" customHeight="false" outlineLevel="0" collapsed="false">
      <c r="B777" s="64"/>
      <c r="C777" s="72" t="str">
        <f aca="false">IF(B777="","",IFERROR(INDEX(T_NOMBRE,MATCH(B777,T_ID,0)),"⚠ ID no existe en Trabajadores"))</f>
        <v/>
      </c>
      <c r="D777" s="64"/>
      <c r="E777" s="64"/>
      <c r="F777" s="65"/>
      <c r="G777" s="65"/>
      <c r="H777" s="67"/>
      <c r="I777" s="64"/>
      <c r="J777" s="65"/>
      <c r="K777" s="64"/>
      <c r="L777" s="64"/>
      <c r="M777" s="64"/>
      <c r="N777" s="72" t="str">
        <f aca="false">IF(B777="","",IF(D777="Anexo de modificación","No","Sí"))</f>
        <v/>
      </c>
      <c r="O777" s="73" t="str">
        <f aca="false">IF(AND(N777="Sí",ISNUMBER(F777)),COUNTIFS(C_ID,B777,C_DEFINE,"Sí",C_INICIO,"&lt;"&amp;F777)+COUNTIFS(B$7:B777,B777,N$7:N777,"Sí",F$7:F777,F777),"")</f>
        <v/>
      </c>
      <c r="P777" s="72" t="str">
        <f aca="false">IF(O777="","",B777&amp;"-P"&amp;O777)</f>
        <v/>
      </c>
      <c r="Q777" s="73" t="str">
        <f aca="false">IF(AND(N777="Sí",E777="Plazo fijo",ISNUMBER(F777)),COUNTIFS(C_ID,B777,C_TIPO,"Plazo fijo",C_DEFINE,"Sí",C_INICIO,"&lt;"&amp;F777)+COUNTIFS(B$7:B777,B777,E$7:E777,"Plazo fijo",N$7:N777,"Sí",F$7:F777,F777),"")</f>
        <v/>
      </c>
      <c r="R777" s="73" t="str">
        <f aca="false">IF(AND(B777&lt;&gt;"",ISNUMBER(H777),ISNUMBER(F777)),COUNTIFS(C_ID,B777,C_SUELDO,"&lt;&gt;",C_INICIO,"&lt;"&amp;F777)+COUNTIFS(B$7:B777,B777,H$7:H777,"&lt;&gt;",F$7:F777,F777),"")</f>
        <v/>
      </c>
      <c r="S777" s="72" t="str">
        <f aca="false">IF(R777="","",B777&amp;"-S"&amp;R777)</f>
        <v/>
      </c>
      <c r="T777" s="74" t="str">
        <f aca="false">IF(AND(ISNUMBER(F777),ISNUMBER(G777)),ROUND((G777-F777+1)/30.4375,1),"")</f>
        <v/>
      </c>
      <c r="U777" s="70" t="str">
        <f aca="false">IF(B777="","",IF(AND(N777="Sí",OR(E777="",NOT(ISNUMBER(F777)))),"⚠ Falta tipo de contrato o fecha de inicio",IF(NOT(ISNUMBER(F777)),"⚠ Falta fecha de inicio",IF(AND(N777="Sí",E777&lt;&gt;"Indefinido",NOT(ISNUMBER(G777))),"⚠ Falta fecha de término",IF(AND(D777="Paso a indefinido",E777&lt;&gt;"Indefinido"),"⚠ Un paso a indefinido debe tener tipo Indefinido",IF(N(Q777)&gt;=3,"⚠ 3er contrato a plazo fijo: por ley ya es INDEFINIDO (Art. 159 N°4)",IF(AND(E777="Plazo fijo",N(T777)&gt;12),"⚠ Plazo fijo mayor a 1 año (máx. legal; 2 años solo profesionales o técnicos)",IF(AND(ISNUMBER(G777),G777&lt;F777),"⚠ Término anterior al inicio",IF(AND(D777="Contrato inicial",ISNUMBER(J777),J777-F777&gt;15),"⚠ Escriturado fuera de plazo (Art. 9: 15 días)",IF(K777&lt;&gt;"Sí","Pendiente de firma","OK"))))))))))</f>
        <v/>
      </c>
    </row>
    <row r="778" customFormat="false" ht="15" hidden="false" customHeight="false" outlineLevel="0" collapsed="false">
      <c r="B778" s="64"/>
      <c r="C778" s="72" t="str">
        <f aca="false">IF(B778="","",IFERROR(INDEX(T_NOMBRE,MATCH(B778,T_ID,0)),"⚠ ID no existe en Trabajadores"))</f>
        <v/>
      </c>
      <c r="D778" s="64"/>
      <c r="E778" s="64"/>
      <c r="F778" s="65"/>
      <c r="G778" s="65"/>
      <c r="H778" s="67"/>
      <c r="I778" s="64"/>
      <c r="J778" s="65"/>
      <c r="K778" s="64"/>
      <c r="L778" s="64"/>
      <c r="M778" s="64"/>
      <c r="N778" s="72" t="str">
        <f aca="false">IF(B778="","",IF(D778="Anexo de modificación","No","Sí"))</f>
        <v/>
      </c>
      <c r="O778" s="73" t="str">
        <f aca="false">IF(AND(N778="Sí",ISNUMBER(F778)),COUNTIFS(C_ID,B778,C_DEFINE,"Sí",C_INICIO,"&lt;"&amp;F778)+COUNTIFS(B$7:B778,B778,N$7:N778,"Sí",F$7:F778,F778),"")</f>
        <v/>
      </c>
      <c r="P778" s="72" t="str">
        <f aca="false">IF(O778="","",B778&amp;"-P"&amp;O778)</f>
        <v/>
      </c>
      <c r="Q778" s="73" t="str">
        <f aca="false">IF(AND(N778="Sí",E778="Plazo fijo",ISNUMBER(F778)),COUNTIFS(C_ID,B778,C_TIPO,"Plazo fijo",C_DEFINE,"Sí",C_INICIO,"&lt;"&amp;F778)+COUNTIFS(B$7:B778,B778,E$7:E778,"Plazo fijo",N$7:N778,"Sí",F$7:F778,F778),"")</f>
        <v/>
      </c>
      <c r="R778" s="73" t="str">
        <f aca="false">IF(AND(B778&lt;&gt;"",ISNUMBER(H778),ISNUMBER(F778)),COUNTIFS(C_ID,B778,C_SUELDO,"&lt;&gt;",C_INICIO,"&lt;"&amp;F778)+COUNTIFS(B$7:B778,B778,H$7:H778,"&lt;&gt;",F$7:F778,F778),"")</f>
        <v/>
      </c>
      <c r="S778" s="72" t="str">
        <f aca="false">IF(R778="","",B778&amp;"-S"&amp;R778)</f>
        <v/>
      </c>
      <c r="T778" s="74" t="str">
        <f aca="false">IF(AND(ISNUMBER(F778),ISNUMBER(G778)),ROUND((G778-F778+1)/30.4375,1),"")</f>
        <v/>
      </c>
      <c r="U778" s="70" t="str">
        <f aca="false">IF(B778="","",IF(AND(N778="Sí",OR(E778="",NOT(ISNUMBER(F778)))),"⚠ Falta tipo de contrato o fecha de inicio",IF(NOT(ISNUMBER(F778)),"⚠ Falta fecha de inicio",IF(AND(N778="Sí",E778&lt;&gt;"Indefinido",NOT(ISNUMBER(G778))),"⚠ Falta fecha de término",IF(AND(D778="Paso a indefinido",E778&lt;&gt;"Indefinido"),"⚠ Un paso a indefinido debe tener tipo Indefinido",IF(N(Q778)&gt;=3,"⚠ 3er contrato a plazo fijo: por ley ya es INDEFINIDO (Art. 159 N°4)",IF(AND(E778="Plazo fijo",N(T778)&gt;12),"⚠ Plazo fijo mayor a 1 año (máx. legal; 2 años solo profesionales o técnicos)",IF(AND(ISNUMBER(G778),G778&lt;F778),"⚠ Término anterior al inicio",IF(AND(D778="Contrato inicial",ISNUMBER(J778),J778-F778&gt;15),"⚠ Escriturado fuera de plazo (Art. 9: 15 días)",IF(K778&lt;&gt;"Sí","Pendiente de firma","OK"))))))))))</f>
        <v/>
      </c>
    </row>
    <row r="779" customFormat="false" ht="15" hidden="false" customHeight="false" outlineLevel="0" collapsed="false">
      <c r="B779" s="64"/>
      <c r="C779" s="72" t="str">
        <f aca="false">IF(B779="","",IFERROR(INDEX(T_NOMBRE,MATCH(B779,T_ID,0)),"⚠ ID no existe en Trabajadores"))</f>
        <v/>
      </c>
      <c r="D779" s="64"/>
      <c r="E779" s="64"/>
      <c r="F779" s="65"/>
      <c r="G779" s="65"/>
      <c r="H779" s="67"/>
      <c r="I779" s="64"/>
      <c r="J779" s="65"/>
      <c r="K779" s="64"/>
      <c r="L779" s="64"/>
      <c r="M779" s="64"/>
      <c r="N779" s="72" t="str">
        <f aca="false">IF(B779="","",IF(D779="Anexo de modificación","No","Sí"))</f>
        <v/>
      </c>
      <c r="O779" s="73" t="str">
        <f aca="false">IF(AND(N779="Sí",ISNUMBER(F779)),COUNTIFS(C_ID,B779,C_DEFINE,"Sí",C_INICIO,"&lt;"&amp;F779)+COUNTIFS(B$7:B779,B779,N$7:N779,"Sí",F$7:F779,F779),"")</f>
        <v/>
      </c>
      <c r="P779" s="72" t="str">
        <f aca="false">IF(O779="","",B779&amp;"-P"&amp;O779)</f>
        <v/>
      </c>
      <c r="Q779" s="73" t="str">
        <f aca="false">IF(AND(N779="Sí",E779="Plazo fijo",ISNUMBER(F779)),COUNTIFS(C_ID,B779,C_TIPO,"Plazo fijo",C_DEFINE,"Sí",C_INICIO,"&lt;"&amp;F779)+COUNTIFS(B$7:B779,B779,E$7:E779,"Plazo fijo",N$7:N779,"Sí",F$7:F779,F779),"")</f>
        <v/>
      </c>
      <c r="R779" s="73" t="str">
        <f aca="false">IF(AND(B779&lt;&gt;"",ISNUMBER(H779),ISNUMBER(F779)),COUNTIFS(C_ID,B779,C_SUELDO,"&lt;&gt;",C_INICIO,"&lt;"&amp;F779)+COUNTIFS(B$7:B779,B779,H$7:H779,"&lt;&gt;",F$7:F779,F779),"")</f>
        <v/>
      </c>
      <c r="S779" s="72" t="str">
        <f aca="false">IF(R779="","",B779&amp;"-S"&amp;R779)</f>
        <v/>
      </c>
      <c r="T779" s="74" t="str">
        <f aca="false">IF(AND(ISNUMBER(F779),ISNUMBER(G779)),ROUND((G779-F779+1)/30.4375,1),"")</f>
        <v/>
      </c>
      <c r="U779" s="70" t="str">
        <f aca="false">IF(B779="","",IF(AND(N779="Sí",OR(E779="",NOT(ISNUMBER(F779)))),"⚠ Falta tipo de contrato o fecha de inicio",IF(NOT(ISNUMBER(F779)),"⚠ Falta fecha de inicio",IF(AND(N779="Sí",E779&lt;&gt;"Indefinido",NOT(ISNUMBER(G779))),"⚠ Falta fecha de término",IF(AND(D779="Paso a indefinido",E779&lt;&gt;"Indefinido"),"⚠ Un paso a indefinido debe tener tipo Indefinido",IF(N(Q779)&gt;=3,"⚠ 3er contrato a plazo fijo: por ley ya es INDEFINIDO (Art. 159 N°4)",IF(AND(E779="Plazo fijo",N(T779)&gt;12),"⚠ Plazo fijo mayor a 1 año (máx. legal; 2 años solo profesionales o técnicos)",IF(AND(ISNUMBER(G779),G779&lt;F779),"⚠ Término anterior al inicio",IF(AND(D779="Contrato inicial",ISNUMBER(J779),J779-F779&gt;15),"⚠ Escriturado fuera de plazo (Art. 9: 15 días)",IF(K779&lt;&gt;"Sí","Pendiente de firma","OK"))))))))))</f>
        <v/>
      </c>
    </row>
    <row r="780" customFormat="false" ht="15" hidden="false" customHeight="false" outlineLevel="0" collapsed="false">
      <c r="B780" s="64"/>
      <c r="C780" s="72" t="str">
        <f aca="false">IF(B780="","",IFERROR(INDEX(T_NOMBRE,MATCH(B780,T_ID,0)),"⚠ ID no existe en Trabajadores"))</f>
        <v/>
      </c>
      <c r="D780" s="64"/>
      <c r="E780" s="64"/>
      <c r="F780" s="65"/>
      <c r="G780" s="65"/>
      <c r="H780" s="67"/>
      <c r="I780" s="64"/>
      <c r="J780" s="65"/>
      <c r="K780" s="64"/>
      <c r="L780" s="64"/>
      <c r="M780" s="64"/>
      <c r="N780" s="72" t="str">
        <f aca="false">IF(B780="","",IF(D780="Anexo de modificación","No","Sí"))</f>
        <v/>
      </c>
      <c r="O780" s="73" t="str">
        <f aca="false">IF(AND(N780="Sí",ISNUMBER(F780)),COUNTIFS(C_ID,B780,C_DEFINE,"Sí",C_INICIO,"&lt;"&amp;F780)+COUNTIFS(B$7:B780,B780,N$7:N780,"Sí",F$7:F780,F780),"")</f>
        <v/>
      </c>
      <c r="P780" s="72" t="str">
        <f aca="false">IF(O780="","",B780&amp;"-P"&amp;O780)</f>
        <v/>
      </c>
      <c r="Q780" s="73" t="str">
        <f aca="false">IF(AND(N780="Sí",E780="Plazo fijo",ISNUMBER(F780)),COUNTIFS(C_ID,B780,C_TIPO,"Plazo fijo",C_DEFINE,"Sí",C_INICIO,"&lt;"&amp;F780)+COUNTIFS(B$7:B780,B780,E$7:E780,"Plazo fijo",N$7:N780,"Sí",F$7:F780,F780),"")</f>
        <v/>
      </c>
      <c r="R780" s="73" t="str">
        <f aca="false">IF(AND(B780&lt;&gt;"",ISNUMBER(H780),ISNUMBER(F780)),COUNTIFS(C_ID,B780,C_SUELDO,"&lt;&gt;",C_INICIO,"&lt;"&amp;F780)+COUNTIFS(B$7:B780,B780,H$7:H780,"&lt;&gt;",F$7:F780,F780),"")</f>
        <v/>
      </c>
      <c r="S780" s="72" t="str">
        <f aca="false">IF(R780="","",B780&amp;"-S"&amp;R780)</f>
        <v/>
      </c>
      <c r="T780" s="74" t="str">
        <f aca="false">IF(AND(ISNUMBER(F780),ISNUMBER(G780)),ROUND((G780-F780+1)/30.4375,1),"")</f>
        <v/>
      </c>
      <c r="U780" s="70" t="str">
        <f aca="false">IF(B780="","",IF(AND(N780="Sí",OR(E780="",NOT(ISNUMBER(F780)))),"⚠ Falta tipo de contrato o fecha de inicio",IF(NOT(ISNUMBER(F780)),"⚠ Falta fecha de inicio",IF(AND(N780="Sí",E780&lt;&gt;"Indefinido",NOT(ISNUMBER(G780))),"⚠ Falta fecha de término",IF(AND(D780="Paso a indefinido",E780&lt;&gt;"Indefinido"),"⚠ Un paso a indefinido debe tener tipo Indefinido",IF(N(Q780)&gt;=3,"⚠ 3er contrato a plazo fijo: por ley ya es INDEFINIDO (Art. 159 N°4)",IF(AND(E780="Plazo fijo",N(T780)&gt;12),"⚠ Plazo fijo mayor a 1 año (máx. legal; 2 años solo profesionales o técnicos)",IF(AND(ISNUMBER(G780),G780&lt;F780),"⚠ Término anterior al inicio",IF(AND(D780="Contrato inicial",ISNUMBER(J780),J780-F780&gt;15),"⚠ Escriturado fuera de plazo (Art. 9: 15 días)",IF(K780&lt;&gt;"Sí","Pendiente de firma","OK"))))))))))</f>
        <v/>
      </c>
    </row>
    <row r="781" customFormat="false" ht="15" hidden="false" customHeight="false" outlineLevel="0" collapsed="false">
      <c r="B781" s="64"/>
      <c r="C781" s="72" t="str">
        <f aca="false">IF(B781="","",IFERROR(INDEX(T_NOMBRE,MATCH(B781,T_ID,0)),"⚠ ID no existe en Trabajadores"))</f>
        <v/>
      </c>
      <c r="D781" s="64"/>
      <c r="E781" s="64"/>
      <c r="F781" s="65"/>
      <c r="G781" s="65"/>
      <c r="H781" s="67"/>
      <c r="I781" s="64"/>
      <c r="J781" s="65"/>
      <c r="K781" s="64"/>
      <c r="L781" s="64"/>
      <c r="M781" s="64"/>
      <c r="N781" s="72" t="str">
        <f aca="false">IF(B781="","",IF(D781="Anexo de modificación","No","Sí"))</f>
        <v/>
      </c>
      <c r="O781" s="73" t="str">
        <f aca="false">IF(AND(N781="Sí",ISNUMBER(F781)),COUNTIFS(C_ID,B781,C_DEFINE,"Sí",C_INICIO,"&lt;"&amp;F781)+COUNTIFS(B$7:B781,B781,N$7:N781,"Sí",F$7:F781,F781),"")</f>
        <v/>
      </c>
      <c r="P781" s="72" t="str">
        <f aca="false">IF(O781="","",B781&amp;"-P"&amp;O781)</f>
        <v/>
      </c>
      <c r="Q781" s="73" t="str">
        <f aca="false">IF(AND(N781="Sí",E781="Plazo fijo",ISNUMBER(F781)),COUNTIFS(C_ID,B781,C_TIPO,"Plazo fijo",C_DEFINE,"Sí",C_INICIO,"&lt;"&amp;F781)+COUNTIFS(B$7:B781,B781,E$7:E781,"Plazo fijo",N$7:N781,"Sí",F$7:F781,F781),"")</f>
        <v/>
      </c>
      <c r="R781" s="73" t="str">
        <f aca="false">IF(AND(B781&lt;&gt;"",ISNUMBER(H781),ISNUMBER(F781)),COUNTIFS(C_ID,B781,C_SUELDO,"&lt;&gt;",C_INICIO,"&lt;"&amp;F781)+COUNTIFS(B$7:B781,B781,H$7:H781,"&lt;&gt;",F$7:F781,F781),"")</f>
        <v/>
      </c>
      <c r="S781" s="72" t="str">
        <f aca="false">IF(R781="","",B781&amp;"-S"&amp;R781)</f>
        <v/>
      </c>
      <c r="T781" s="74" t="str">
        <f aca="false">IF(AND(ISNUMBER(F781),ISNUMBER(G781)),ROUND((G781-F781+1)/30.4375,1),"")</f>
        <v/>
      </c>
      <c r="U781" s="70" t="str">
        <f aca="false">IF(B781="","",IF(AND(N781="Sí",OR(E781="",NOT(ISNUMBER(F781)))),"⚠ Falta tipo de contrato o fecha de inicio",IF(NOT(ISNUMBER(F781)),"⚠ Falta fecha de inicio",IF(AND(N781="Sí",E781&lt;&gt;"Indefinido",NOT(ISNUMBER(G781))),"⚠ Falta fecha de término",IF(AND(D781="Paso a indefinido",E781&lt;&gt;"Indefinido"),"⚠ Un paso a indefinido debe tener tipo Indefinido",IF(N(Q781)&gt;=3,"⚠ 3er contrato a plazo fijo: por ley ya es INDEFINIDO (Art. 159 N°4)",IF(AND(E781="Plazo fijo",N(T781)&gt;12),"⚠ Plazo fijo mayor a 1 año (máx. legal; 2 años solo profesionales o técnicos)",IF(AND(ISNUMBER(G781),G781&lt;F781),"⚠ Término anterior al inicio",IF(AND(D781="Contrato inicial",ISNUMBER(J781),J781-F781&gt;15),"⚠ Escriturado fuera de plazo (Art. 9: 15 días)",IF(K781&lt;&gt;"Sí","Pendiente de firma","OK"))))))))))</f>
        <v/>
      </c>
    </row>
    <row r="782" customFormat="false" ht="15" hidden="false" customHeight="false" outlineLevel="0" collapsed="false">
      <c r="B782" s="64"/>
      <c r="C782" s="72" t="str">
        <f aca="false">IF(B782="","",IFERROR(INDEX(T_NOMBRE,MATCH(B782,T_ID,0)),"⚠ ID no existe en Trabajadores"))</f>
        <v/>
      </c>
      <c r="D782" s="64"/>
      <c r="E782" s="64"/>
      <c r="F782" s="65"/>
      <c r="G782" s="65"/>
      <c r="H782" s="67"/>
      <c r="I782" s="64"/>
      <c r="J782" s="65"/>
      <c r="K782" s="64"/>
      <c r="L782" s="64"/>
      <c r="M782" s="64"/>
      <c r="N782" s="72" t="str">
        <f aca="false">IF(B782="","",IF(D782="Anexo de modificación","No","Sí"))</f>
        <v/>
      </c>
      <c r="O782" s="73" t="str">
        <f aca="false">IF(AND(N782="Sí",ISNUMBER(F782)),COUNTIFS(C_ID,B782,C_DEFINE,"Sí",C_INICIO,"&lt;"&amp;F782)+COUNTIFS(B$7:B782,B782,N$7:N782,"Sí",F$7:F782,F782),"")</f>
        <v/>
      </c>
      <c r="P782" s="72" t="str">
        <f aca="false">IF(O782="","",B782&amp;"-P"&amp;O782)</f>
        <v/>
      </c>
      <c r="Q782" s="73" t="str">
        <f aca="false">IF(AND(N782="Sí",E782="Plazo fijo",ISNUMBER(F782)),COUNTIFS(C_ID,B782,C_TIPO,"Plazo fijo",C_DEFINE,"Sí",C_INICIO,"&lt;"&amp;F782)+COUNTIFS(B$7:B782,B782,E$7:E782,"Plazo fijo",N$7:N782,"Sí",F$7:F782,F782),"")</f>
        <v/>
      </c>
      <c r="R782" s="73" t="str">
        <f aca="false">IF(AND(B782&lt;&gt;"",ISNUMBER(H782),ISNUMBER(F782)),COUNTIFS(C_ID,B782,C_SUELDO,"&lt;&gt;",C_INICIO,"&lt;"&amp;F782)+COUNTIFS(B$7:B782,B782,H$7:H782,"&lt;&gt;",F$7:F782,F782),"")</f>
        <v/>
      </c>
      <c r="S782" s="72" t="str">
        <f aca="false">IF(R782="","",B782&amp;"-S"&amp;R782)</f>
        <v/>
      </c>
      <c r="T782" s="74" t="str">
        <f aca="false">IF(AND(ISNUMBER(F782),ISNUMBER(G782)),ROUND((G782-F782+1)/30.4375,1),"")</f>
        <v/>
      </c>
      <c r="U782" s="70" t="str">
        <f aca="false">IF(B782="","",IF(AND(N782="Sí",OR(E782="",NOT(ISNUMBER(F782)))),"⚠ Falta tipo de contrato o fecha de inicio",IF(NOT(ISNUMBER(F782)),"⚠ Falta fecha de inicio",IF(AND(N782="Sí",E782&lt;&gt;"Indefinido",NOT(ISNUMBER(G782))),"⚠ Falta fecha de término",IF(AND(D782="Paso a indefinido",E782&lt;&gt;"Indefinido"),"⚠ Un paso a indefinido debe tener tipo Indefinido",IF(N(Q782)&gt;=3,"⚠ 3er contrato a plazo fijo: por ley ya es INDEFINIDO (Art. 159 N°4)",IF(AND(E782="Plazo fijo",N(T782)&gt;12),"⚠ Plazo fijo mayor a 1 año (máx. legal; 2 años solo profesionales o técnicos)",IF(AND(ISNUMBER(G782),G782&lt;F782),"⚠ Término anterior al inicio",IF(AND(D782="Contrato inicial",ISNUMBER(J782),J782-F782&gt;15),"⚠ Escriturado fuera de plazo (Art. 9: 15 días)",IF(K782&lt;&gt;"Sí","Pendiente de firma","OK"))))))))))</f>
        <v/>
      </c>
    </row>
    <row r="783" customFormat="false" ht="15" hidden="false" customHeight="false" outlineLevel="0" collapsed="false">
      <c r="B783" s="64"/>
      <c r="C783" s="72" t="str">
        <f aca="false">IF(B783="","",IFERROR(INDEX(T_NOMBRE,MATCH(B783,T_ID,0)),"⚠ ID no existe en Trabajadores"))</f>
        <v/>
      </c>
      <c r="D783" s="64"/>
      <c r="E783" s="64"/>
      <c r="F783" s="65"/>
      <c r="G783" s="65"/>
      <c r="H783" s="67"/>
      <c r="I783" s="64"/>
      <c r="J783" s="65"/>
      <c r="K783" s="64"/>
      <c r="L783" s="64"/>
      <c r="M783" s="64"/>
      <c r="N783" s="72" t="str">
        <f aca="false">IF(B783="","",IF(D783="Anexo de modificación","No","Sí"))</f>
        <v/>
      </c>
      <c r="O783" s="73" t="str">
        <f aca="false">IF(AND(N783="Sí",ISNUMBER(F783)),COUNTIFS(C_ID,B783,C_DEFINE,"Sí",C_INICIO,"&lt;"&amp;F783)+COUNTIFS(B$7:B783,B783,N$7:N783,"Sí",F$7:F783,F783),"")</f>
        <v/>
      </c>
      <c r="P783" s="72" t="str">
        <f aca="false">IF(O783="","",B783&amp;"-P"&amp;O783)</f>
        <v/>
      </c>
      <c r="Q783" s="73" t="str">
        <f aca="false">IF(AND(N783="Sí",E783="Plazo fijo",ISNUMBER(F783)),COUNTIFS(C_ID,B783,C_TIPO,"Plazo fijo",C_DEFINE,"Sí",C_INICIO,"&lt;"&amp;F783)+COUNTIFS(B$7:B783,B783,E$7:E783,"Plazo fijo",N$7:N783,"Sí",F$7:F783,F783),"")</f>
        <v/>
      </c>
      <c r="R783" s="73" t="str">
        <f aca="false">IF(AND(B783&lt;&gt;"",ISNUMBER(H783),ISNUMBER(F783)),COUNTIFS(C_ID,B783,C_SUELDO,"&lt;&gt;",C_INICIO,"&lt;"&amp;F783)+COUNTIFS(B$7:B783,B783,H$7:H783,"&lt;&gt;",F$7:F783,F783),"")</f>
        <v/>
      </c>
      <c r="S783" s="72" t="str">
        <f aca="false">IF(R783="","",B783&amp;"-S"&amp;R783)</f>
        <v/>
      </c>
      <c r="T783" s="74" t="str">
        <f aca="false">IF(AND(ISNUMBER(F783),ISNUMBER(G783)),ROUND((G783-F783+1)/30.4375,1),"")</f>
        <v/>
      </c>
      <c r="U783" s="70" t="str">
        <f aca="false">IF(B783="","",IF(AND(N783="Sí",OR(E783="",NOT(ISNUMBER(F783)))),"⚠ Falta tipo de contrato o fecha de inicio",IF(NOT(ISNUMBER(F783)),"⚠ Falta fecha de inicio",IF(AND(N783="Sí",E783&lt;&gt;"Indefinido",NOT(ISNUMBER(G783))),"⚠ Falta fecha de término",IF(AND(D783="Paso a indefinido",E783&lt;&gt;"Indefinido"),"⚠ Un paso a indefinido debe tener tipo Indefinido",IF(N(Q783)&gt;=3,"⚠ 3er contrato a plazo fijo: por ley ya es INDEFINIDO (Art. 159 N°4)",IF(AND(E783="Plazo fijo",N(T783)&gt;12),"⚠ Plazo fijo mayor a 1 año (máx. legal; 2 años solo profesionales o técnicos)",IF(AND(ISNUMBER(G783),G783&lt;F783),"⚠ Término anterior al inicio",IF(AND(D783="Contrato inicial",ISNUMBER(J783),J783-F783&gt;15),"⚠ Escriturado fuera de plazo (Art. 9: 15 días)",IF(K783&lt;&gt;"Sí","Pendiente de firma","OK"))))))))))</f>
        <v/>
      </c>
    </row>
    <row r="784" customFormat="false" ht="15" hidden="false" customHeight="false" outlineLevel="0" collapsed="false">
      <c r="B784" s="64"/>
      <c r="C784" s="72" t="str">
        <f aca="false">IF(B784="","",IFERROR(INDEX(T_NOMBRE,MATCH(B784,T_ID,0)),"⚠ ID no existe en Trabajadores"))</f>
        <v/>
      </c>
      <c r="D784" s="64"/>
      <c r="E784" s="64"/>
      <c r="F784" s="65"/>
      <c r="G784" s="65"/>
      <c r="H784" s="67"/>
      <c r="I784" s="64"/>
      <c r="J784" s="65"/>
      <c r="K784" s="64"/>
      <c r="L784" s="64"/>
      <c r="M784" s="64"/>
      <c r="N784" s="72" t="str">
        <f aca="false">IF(B784="","",IF(D784="Anexo de modificación","No","Sí"))</f>
        <v/>
      </c>
      <c r="O784" s="73" t="str">
        <f aca="false">IF(AND(N784="Sí",ISNUMBER(F784)),COUNTIFS(C_ID,B784,C_DEFINE,"Sí",C_INICIO,"&lt;"&amp;F784)+COUNTIFS(B$7:B784,B784,N$7:N784,"Sí",F$7:F784,F784),"")</f>
        <v/>
      </c>
      <c r="P784" s="72" t="str">
        <f aca="false">IF(O784="","",B784&amp;"-P"&amp;O784)</f>
        <v/>
      </c>
      <c r="Q784" s="73" t="str">
        <f aca="false">IF(AND(N784="Sí",E784="Plazo fijo",ISNUMBER(F784)),COUNTIFS(C_ID,B784,C_TIPO,"Plazo fijo",C_DEFINE,"Sí",C_INICIO,"&lt;"&amp;F784)+COUNTIFS(B$7:B784,B784,E$7:E784,"Plazo fijo",N$7:N784,"Sí",F$7:F784,F784),"")</f>
        <v/>
      </c>
      <c r="R784" s="73" t="str">
        <f aca="false">IF(AND(B784&lt;&gt;"",ISNUMBER(H784),ISNUMBER(F784)),COUNTIFS(C_ID,B784,C_SUELDO,"&lt;&gt;",C_INICIO,"&lt;"&amp;F784)+COUNTIFS(B$7:B784,B784,H$7:H784,"&lt;&gt;",F$7:F784,F784),"")</f>
        <v/>
      </c>
      <c r="S784" s="72" t="str">
        <f aca="false">IF(R784="","",B784&amp;"-S"&amp;R784)</f>
        <v/>
      </c>
      <c r="T784" s="74" t="str">
        <f aca="false">IF(AND(ISNUMBER(F784),ISNUMBER(G784)),ROUND((G784-F784+1)/30.4375,1),"")</f>
        <v/>
      </c>
      <c r="U784" s="70" t="str">
        <f aca="false">IF(B784="","",IF(AND(N784="Sí",OR(E784="",NOT(ISNUMBER(F784)))),"⚠ Falta tipo de contrato o fecha de inicio",IF(NOT(ISNUMBER(F784)),"⚠ Falta fecha de inicio",IF(AND(N784="Sí",E784&lt;&gt;"Indefinido",NOT(ISNUMBER(G784))),"⚠ Falta fecha de término",IF(AND(D784="Paso a indefinido",E784&lt;&gt;"Indefinido"),"⚠ Un paso a indefinido debe tener tipo Indefinido",IF(N(Q784)&gt;=3,"⚠ 3er contrato a plazo fijo: por ley ya es INDEFINIDO (Art. 159 N°4)",IF(AND(E784="Plazo fijo",N(T784)&gt;12),"⚠ Plazo fijo mayor a 1 año (máx. legal; 2 años solo profesionales o técnicos)",IF(AND(ISNUMBER(G784),G784&lt;F784),"⚠ Término anterior al inicio",IF(AND(D784="Contrato inicial",ISNUMBER(J784),J784-F784&gt;15),"⚠ Escriturado fuera de plazo (Art. 9: 15 días)",IF(K784&lt;&gt;"Sí","Pendiente de firma","OK"))))))))))</f>
        <v/>
      </c>
    </row>
    <row r="785" customFormat="false" ht="15" hidden="false" customHeight="false" outlineLevel="0" collapsed="false">
      <c r="B785" s="64"/>
      <c r="C785" s="72" t="str">
        <f aca="false">IF(B785="","",IFERROR(INDEX(T_NOMBRE,MATCH(B785,T_ID,0)),"⚠ ID no existe en Trabajadores"))</f>
        <v/>
      </c>
      <c r="D785" s="64"/>
      <c r="E785" s="64"/>
      <c r="F785" s="65"/>
      <c r="G785" s="65"/>
      <c r="H785" s="67"/>
      <c r="I785" s="64"/>
      <c r="J785" s="65"/>
      <c r="K785" s="64"/>
      <c r="L785" s="64"/>
      <c r="M785" s="64"/>
      <c r="N785" s="72" t="str">
        <f aca="false">IF(B785="","",IF(D785="Anexo de modificación","No","Sí"))</f>
        <v/>
      </c>
      <c r="O785" s="73" t="str">
        <f aca="false">IF(AND(N785="Sí",ISNUMBER(F785)),COUNTIFS(C_ID,B785,C_DEFINE,"Sí",C_INICIO,"&lt;"&amp;F785)+COUNTIFS(B$7:B785,B785,N$7:N785,"Sí",F$7:F785,F785),"")</f>
        <v/>
      </c>
      <c r="P785" s="72" t="str">
        <f aca="false">IF(O785="","",B785&amp;"-P"&amp;O785)</f>
        <v/>
      </c>
      <c r="Q785" s="73" t="str">
        <f aca="false">IF(AND(N785="Sí",E785="Plazo fijo",ISNUMBER(F785)),COUNTIFS(C_ID,B785,C_TIPO,"Plazo fijo",C_DEFINE,"Sí",C_INICIO,"&lt;"&amp;F785)+COUNTIFS(B$7:B785,B785,E$7:E785,"Plazo fijo",N$7:N785,"Sí",F$7:F785,F785),"")</f>
        <v/>
      </c>
      <c r="R785" s="73" t="str">
        <f aca="false">IF(AND(B785&lt;&gt;"",ISNUMBER(H785),ISNUMBER(F785)),COUNTIFS(C_ID,B785,C_SUELDO,"&lt;&gt;",C_INICIO,"&lt;"&amp;F785)+COUNTIFS(B$7:B785,B785,H$7:H785,"&lt;&gt;",F$7:F785,F785),"")</f>
        <v/>
      </c>
      <c r="S785" s="72" t="str">
        <f aca="false">IF(R785="","",B785&amp;"-S"&amp;R785)</f>
        <v/>
      </c>
      <c r="T785" s="74" t="str">
        <f aca="false">IF(AND(ISNUMBER(F785),ISNUMBER(G785)),ROUND((G785-F785+1)/30.4375,1),"")</f>
        <v/>
      </c>
      <c r="U785" s="70" t="str">
        <f aca="false">IF(B785="","",IF(AND(N785="Sí",OR(E785="",NOT(ISNUMBER(F785)))),"⚠ Falta tipo de contrato o fecha de inicio",IF(NOT(ISNUMBER(F785)),"⚠ Falta fecha de inicio",IF(AND(N785="Sí",E785&lt;&gt;"Indefinido",NOT(ISNUMBER(G785))),"⚠ Falta fecha de término",IF(AND(D785="Paso a indefinido",E785&lt;&gt;"Indefinido"),"⚠ Un paso a indefinido debe tener tipo Indefinido",IF(N(Q785)&gt;=3,"⚠ 3er contrato a plazo fijo: por ley ya es INDEFINIDO (Art. 159 N°4)",IF(AND(E785="Plazo fijo",N(T785)&gt;12),"⚠ Plazo fijo mayor a 1 año (máx. legal; 2 años solo profesionales o técnicos)",IF(AND(ISNUMBER(G785),G785&lt;F785),"⚠ Término anterior al inicio",IF(AND(D785="Contrato inicial",ISNUMBER(J785),J785-F785&gt;15),"⚠ Escriturado fuera de plazo (Art. 9: 15 días)",IF(K785&lt;&gt;"Sí","Pendiente de firma","OK"))))))))))</f>
        <v/>
      </c>
    </row>
    <row r="786" customFormat="false" ht="15" hidden="false" customHeight="false" outlineLevel="0" collapsed="false">
      <c r="B786" s="64"/>
      <c r="C786" s="72" t="str">
        <f aca="false">IF(B786="","",IFERROR(INDEX(T_NOMBRE,MATCH(B786,T_ID,0)),"⚠ ID no existe en Trabajadores"))</f>
        <v/>
      </c>
      <c r="D786" s="64"/>
      <c r="E786" s="64"/>
      <c r="F786" s="65"/>
      <c r="G786" s="65"/>
      <c r="H786" s="67"/>
      <c r="I786" s="64"/>
      <c r="J786" s="65"/>
      <c r="K786" s="64"/>
      <c r="L786" s="64"/>
      <c r="M786" s="64"/>
      <c r="N786" s="72" t="str">
        <f aca="false">IF(B786="","",IF(D786="Anexo de modificación","No","Sí"))</f>
        <v/>
      </c>
      <c r="O786" s="73" t="str">
        <f aca="false">IF(AND(N786="Sí",ISNUMBER(F786)),COUNTIFS(C_ID,B786,C_DEFINE,"Sí",C_INICIO,"&lt;"&amp;F786)+COUNTIFS(B$7:B786,B786,N$7:N786,"Sí",F$7:F786,F786),"")</f>
        <v/>
      </c>
      <c r="P786" s="72" t="str">
        <f aca="false">IF(O786="","",B786&amp;"-P"&amp;O786)</f>
        <v/>
      </c>
      <c r="Q786" s="73" t="str">
        <f aca="false">IF(AND(N786="Sí",E786="Plazo fijo",ISNUMBER(F786)),COUNTIFS(C_ID,B786,C_TIPO,"Plazo fijo",C_DEFINE,"Sí",C_INICIO,"&lt;"&amp;F786)+COUNTIFS(B$7:B786,B786,E$7:E786,"Plazo fijo",N$7:N786,"Sí",F$7:F786,F786),"")</f>
        <v/>
      </c>
      <c r="R786" s="73" t="str">
        <f aca="false">IF(AND(B786&lt;&gt;"",ISNUMBER(H786),ISNUMBER(F786)),COUNTIFS(C_ID,B786,C_SUELDO,"&lt;&gt;",C_INICIO,"&lt;"&amp;F786)+COUNTIFS(B$7:B786,B786,H$7:H786,"&lt;&gt;",F$7:F786,F786),"")</f>
        <v/>
      </c>
      <c r="S786" s="72" t="str">
        <f aca="false">IF(R786="","",B786&amp;"-S"&amp;R786)</f>
        <v/>
      </c>
      <c r="T786" s="74" t="str">
        <f aca="false">IF(AND(ISNUMBER(F786),ISNUMBER(G786)),ROUND((G786-F786+1)/30.4375,1),"")</f>
        <v/>
      </c>
      <c r="U786" s="70" t="str">
        <f aca="false">IF(B786="","",IF(AND(N786="Sí",OR(E786="",NOT(ISNUMBER(F786)))),"⚠ Falta tipo de contrato o fecha de inicio",IF(NOT(ISNUMBER(F786)),"⚠ Falta fecha de inicio",IF(AND(N786="Sí",E786&lt;&gt;"Indefinido",NOT(ISNUMBER(G786))),"⚠ Falta fecha de término",IF(AND(D786="Paso a indefinido",E786&lt;&gt;"Indefinido"),"⚠ Un paso a indefinido debe tener tipo Indefinido",IF(N(Q786)&gt;=3,"⚠ 3er contrato a plazo fijo: por ley ya es INDEFINIDO (Art. 159 N°4)",IF(AND(E786="Plazo fijo",N(T786)&gt;12),"⚠ Plazo fijo mayor a 1 año (máx. legal; 2 años solo profesionales o técnicos)",IF(AND(ISNUMBER(G786),G786&lt;F786),"⚠ Término anterior al inicio",IF(AND(D786="Contrato inicial",ISNUMBER(J786),J786-F786&gt;15),"⚠ Escriturado fuera de plazo (Art. 9: 15 días)",IF(K786&lt;&gt;"Sí","Pendiente de firma","OK"))))))))))</f>
        <v/>
      </c>
    </row>
    <row r="787" customFormat="false" ht="15" hidden="false" customHeight="false" outlineLevel="0" collapsed="false">
      <c r="B787" s="64"/>
      <c r="C787" s="72" t="str">
        <f aca="false">IF(B787="","",IFERROR(INDEX(T_NOMBRE,MATCH(B787,T_ID,0)),"⚠ ID no existe en Trabajadores"))</f>
        <v/>
      </c>
      <c r="D787" s="64"/>
      <c r="E787" s="64"/>
      <c r="F787" s="65"/>
      <c r="G787" s="65"/>
      <c r="H787" s="67"/>
      <c r="I787" s="64"/>
      <c r="J787" s="65"/>
      <c r="K787" s="64"/>
      <c r="L787" s="64"/>
      <c r="M787" s="64"/>
      <c r="N787" s="72" t="str">
        <f aca="false">IF(B787="","",IF(D787="Anexo de modificación","No","Sí"))</f>
        <v/>
      </c>
      <c r="O787" s="73" t="str">
        <f aca="false">IF(AND(N787="Sí",ISNUMBER(F787)),COUNTIFS(C_ID,B787,C_DEFINE,"Sí",C_INICIO,"&lt;"&amp;F787)+COUNTIFS(B$7:B787,B787,N$7:N787,"Sí",F$7:F787,F787),"")</f>
        <v/>
      </c>
      <c r="P787" s="72" t="str">
        <f aca="false">IF(O787="","",B787&amp;"-P"&amp;O787)</f>
        <v/>
      </c>
      <c r="Q787" s="73" t="str">
        <f aca="false">IF(AND(N787="Sí",E787="Plazo fijo",ISNUMBER(F787)),COUNTIFS(C_ID,B787,C_TIPO,"Plazo fijo",C_DEFINE,"Sí",C_INICIO,"&lt;"&amp;F787)+COUNTIFS(B$7:B787,B787,E$7:E787,"Plazo fijo",N$7:N787,"Sí",F$7:F787,F787),"")</f>
        <v/>
      </c>
      <c r="R787" s="73" t="str">
        <f aca="false">IF(AND(B787&lt;&gt;"",ISNUMBER(H787),ISNUMBER(F787)),COUNTIFS(C_ID,B787,C_SUELDO,"&lt;&gt;",C_INICIO,"&lt;"&amp;F787)+COUNTIFS(B$7:B787,B787,H$7:H787,"&lt;&gt;",F$7:F787,F787),"")</f>
        <v/>
      </c>
      <c r="S787" s="72" t="str">
        <f aca="false">IF(R787="","",B787&amp;"-S"&amp;R787)</f>
        <v/>
      </c>
      <c r="T787" s="74" t="str">
        <f aca="false">IF(AND(ISNUMBER(F787),ISNUMBER(G787)),ROUND((G787-F787+1)/30.4375,1),"")</f>
        <v/>
      </c>
      <c r="U787" s="70" t="str">
        <f aca="false">IF(B787="","",IF(AND(N787="Sí",OR(E787="",NOT(ISNUMBER(F787)))),"⚠ Falta tipo de contrato o fecha de inicio",IF(NOT(ISNUMBER(F787)),"⚠ Falta fecha de inicio",IF(AND(N787="Sí",E787&lt;&gt;"Indefinido",NOT(ISNUMBER(G787))),"⚠ Falta fecha de término",IF(AND(D787="Paso a indefinido",E787&lt;&gt;"Indefinido"),"⚠ Un paso a indefinido debe tener tipo Indefinido",IF(N(Q787)&gt;=3,"⚠ 3er contrato a plazo fijo: por ley ya es INDEFINIDO (Art. 159 N°4)",IF(AND(E787="Plazo fijo",N(T787)&gt;12),"⚠ Plazo fijo mayor a 1 año (máx. legal; 2 años solo profesionales o técnicos)",IF(AND(ISNUMBER(G787),G787&lt;F787),"⚠ Término anterior al inicio",IF(AND(D787="Contrato inicial",ISNUMBER(J787),J787-F787&gt;15),"⚠ Escriturado fuera de plazo (Art. 9: 15 días)",IF(K787&lt;&gt;"Sí","Pendiente de firma","OK"))))))))))</f>
        <v/>
      </c>
    </row>
    <row r="788" customFormat="false" ht="15" hidden="false" customHeight="false" outlineLevel="0" collapsed="false">
      <c r="B788" s="64"/>
      <c r="C788" s="72" t="str">
        <f aca="false">IF(B788="","",IFERROR(INDEX(T_NOMBRE,MATCH(B788,T_ID,0)),"⚠ ID no existe en Trabajadores"))</f>
        <v/>
      </c>
      <c r="D788" s="64"/>
      <c r="E788" s="64"/>
      <c r="F788" s="65"/>
      <c r="G788" s="65"/>
      <c r="H788" s="67"/>
      <c r="I788" s="64"/>
      <c r="J788" s="65"/>
      <c r="K788" s="64"/>
      <c r="L788" s="64"/>
      <c r="M788" s="64"/>
      <c r="N788" s="72" t="str">
        <f aca="false">IF(B788="","",IF(D788="Anexo de modificación","No","Sí"))</f>
        <v/>
      </c>
      <c r="O788" s="73" t="str">
        <f aca="false">IF(AND(N788="Sí",ISNUMBER(F788)),COUNTIFS(C_ID,B788,C_DEFINE,"Sí",C_INICIO,"&lt;"&amp;F788)+COUNTIFS(B$7:B788,B788,N$7:N788,"Sí",F$7:F788,F788),"")</f>
        <v/>
      </c>
      <c r="P788" s="72" t="str">
        <f aca="false">IF(O788="","",B788&amp;"-P"&amp;O788)</f>
        <v/>
      </c>
      <c r="Q788" s="73" t="str">
        <f aca="false">IF(AND(N788="Sí",E788="Plazo fijo",ISNUMBER(F788)),COUNTIFS(C_ID,B788,C_TIPO,"Plazo fijo",C_DEFINE,"Sí",C_INICIO,"&lt;"&amp;F788)+COUNTIFS(B$7:B788,B788,E$7:E788,"Plazo fijo",N$7:N788,"Sí",F$7:F788,F788),"")</f>
        <v/>
      </c>
      <c r="R788" s="73" t="str">
        <f aca="false">IF(AND(B788&lt;&gt;"",ISNUMBER(H788),ISNUMBER(F788)),COUNTIFS(C_ID,B788,C_SUELDO,"&lt;&gt;",C_INICIO,"&lt;"&amp;F788)+COUNTIFS(B$7:B788,B788,H$7:H788,"&lt;&gt;",F$7:F788,F788),"")</f>
        <v/>
      </c>
      <c r="S788" s="72" t="str">
        <f aca="false">IF(R788="","",B788&amp;"-S"&amp;R788)</f>
        <v/>
      </c>
      <c r="T788" s="74" t="str">
        <f aca="false">IF(AND(ISNUMBER(F788),ISNUMBER(G788)),ROUND((G788-F788+1)/30.4375,1),"")</f>
        <v/>
      </c>
      <c r="U788" s="70" t="str">
        <f aca="false">IF(B788="","",IF(AND(N788="Sí",OR(E788="",NOT(ISNUMBER(F788)))),"⚠ Falta tipo de contrato o fecha de inicio",IF(NOT(ISNUMBER(F788)),"⚠ Falta fecha de inicio",IF(AND(N788="Sí",E788&lt;&gt;"Indefinido",NOT(ISNUMBER(G788))),"⚠ Falta fecha de término",IF(AND(D788="Paso a indefinido",E788&lt;&gt;"Indefinido"),"⚠ Un paso a indefinido debe tener tipo Indefinido",IF(N(Q788)&gt;=3,"⚠ 3er contrato a plazo fijo: por ley ya es INDEFINIDO (Art. 159 N°4)",IF(AND(E788="Plazo fijo",N(T788)&gt;12),"⚠ Plazo fijo mayor a 1 año (máx. legal; 2 años solo profesionales o técnicos)",IF(AND(ISNUMBER(G788),G788&lt;F788),"⚠ Término anterior al inicio",IF(AND(D788="Contrato inicial",ISNUMBER(J788),J788-F788&gt;15),"⚠ Escriturado fuera de plazo (Art. 9: 15 días)",IF(K788&lt;&gt;"Sí","Pendiente de firma","OK"))))))))))</f>
        <v/>
      </c>
    </row>
    <row r="789" customFormat="false" ht="15" hidden="false" customHeight="false" outlineLevel="0" collapsed="false">
      <c r="B789" s="64"/>
      <c r="C789" s="72" t="str">
        <f aca="false">IF(B789="","",IFERROR(INDEX(T_NOMBRE,MATCH(B789,T_ID,0)),"⚠ ID no existe en Trabajadores"))</f>
        <v/>
      </c>
      <c r="D789" s="64"/>
      <c r="E789" s="64"/>
      <c r="F789" s="65"/>
      <c r="G789" s="65"/>
      <c r="H789" s="67"/>
      <c r="I789" s="64"/>
      <c r="J789" s="65"/>
      <c r="K789" s="64"/>
      <c r="L789" s="64"/>
      <c r="M789" s="64"/>
      <c r="N789" s="72" t="str">
        <f aca="false">IF(B789="","",IF(D789="Anexo de modificación","No","Sí"))</f>
        <v/>
      </c>
      <c r="O789" s="73" t="str">
        <f aca="false">IF(AND(N789="Sí",ISNUMBER(F789)),COUNTIFS(C_ID,B789,C_DEFINE,"Sí",C_INICIO,"&lt;"&amp;F789)+COUNTIFS(B$7:B789,B789,N$7:N789,"Sí",F$7:F789,F789),"")</f>
        <v/>
      </c>
      <c r="P789" s="72" t="str">
        <f aca="false">IF(O789="","",B789&amp;"-P"&amp;O789)</f>
        <v/>
      </c>
      <c r="Q789" s="73" t="str">
        <f aca="false">IF(AND(N789="Sí",E789="Plazo fijo",ISNUMBER(F789)),COUNTIFS(C_ID,B789,C_TIPO,"Plazo fijo",C_DEFINE,"Sí",C_INICIO,"&lt;"&amp;F789)+COUNTIFS(B$7:B789,B789,E$7:E789,"Plazo fijo",N$7:N789,"Sí",F$7:F789,F789),"")</f>
        <v/>
      </c>
      <c r="R789" s="73" t="str">
        <f aca="false">IF(AND(B789&lt;&gt;"",ISNUMBER(H789),ISNUMBER(F789)),COUNTIFS(C_ID,B789,C_SUELDO,"&lt;&gt;",C_INICIO,"&lt;"&amp;F789)+COUNTIFS(B$7:B789,B789,H$7:H789,"&lt;&gt;",F$7:F789,F789),"")</f>
        <v/>
      </c>
      <c r="S789" s="72" t="str">
        <f aca="false">IF(R789="","",B789&amp;"-S"&amp;R789)</f>
        <v/>
      </c>
      <c r="T789" s="74" t="str">
        <f aca="false">IF(AND(ISNUMBER(F789),ISNUMBER(G789)),ROUND((G789-F789+1)/30.4375,1),"")</f>
        <v/>
      </c>
      <c r="U789" s="70" t="str">
        <f aca="false">IF(B789="","",IF(AND(N789="Sí",OR(E789="",NOT(ISNUMBER(F789)))),"⚠ Falta tipo de contrato o fecha de inicio",IF(NOT(ISNUMBER(F789)),"⚠ Falta fecha de inicio",IF(AND(N789="Sí",E789&lt;&gt;"Indefinido",NOT(ISNUMBER(G789))),"⚠ Falta fecha de término",IF(AND(D789="Paso a indefinido",E789&lt;&gt;"Indefinido"),"⚠ Un paso a indefinido debe tener tipo Indefinido",IF(N(Q789)&gt;=3,"⚠ 3er contrato a plazo fijo: por ley ya es INDEFINIDO (Art. 159 N°4)",IF(AND(E789="Plazo fijo",N(T789)&gt;12),"⚠ Plazo fijo mayor a 1 año (máx. legal; 2 años solo profesionales o técnicos)",IF(AND(ISNUMBER(G789),G789&lt;F789),"⚠ Término anterior al inicio",IF(AND(D789="Contrato inicial",ISNUMBER(J789),J789-F789&gt;15),"⚠ Escriturado fuera de plazo (Art. 9: 15 días)",IF(K789&lt;&gt;"Sí","Pendiente de firma","OK"))))))))))</f>
        <v/>
      </c>
    </row>
    <row r="790" customFormat="false" ht="15" hidden="false" customHeight="false" outlineLevel="0" collapsed="false">
      <c r="B790" s="64"/>
      <c r="C790" s="72" t="str">
        <f aca="false">IF(B790="","",IFERROR(INDEX(T_NOMBRE,MATCH(B790,T_ID,0)),"⚠ ID no existe en Trabajadores"))</f>
        <v/>
      </c>
      <c r="D790" s="64"/>
      <c r="E790" s="64"/>
      <c r="F790" s="65"/>
      <c r="G790" s="65"/>
      <c r="H790" s="67"/>
      <c r="I790" s="64"/>
      <c r="J790" s="65"/>
      <c r="K790" s="64"/>
      <c r="L790" s="64"/>
      <c r="M790" s="64"/>
      <c r="N790" s="72" t="str">
        <f aca="false">IF(B790="","",IF(D790="Anexo de modificación","No","Sí"))</f>
        <v/>
      </c>
      <c r="O790" s="73" t="str">
        <f aca="false">IF(AND(N790="Sí",ISNUMBER(F790)),COUNTIFS(C_ID,B790,C_DEFINE,"Sí",C_INICIO,"&lt;"&amp;F790)+COUNTIFS(B$7:B790,B790,N$7:N790,"Sí",F$7:F790,F790),"")</f>
        <v/>
      </c>
      <c r="P790" s="72" t="str">
        <f aca="false">IF(O790="","",B790&amp;"-P"&amp;O790)</f>
        <v/>
      </c>
      <c r="Q790" s="73" t="str">
        <f aca="false">IF(AND(N790="Sí",E790="Plazo fijo",ISNUMBER(F790)),COUNTIFS(C_ID,B790,C_TIPO,"Plazo fijo",C_DEFINE,"Sí",C_INICIO,"&lt;"&amp;F790)+COUNTIFS(B$7:B790,B790,E$7:E790,"Plazo fijo",N$7:N790,"Sí",F$7:F790,F790),"")</f>
        <v/>
      </c>
      <c r="R790" s="73" t="str">
        <f aca="false">IF(AND(B790&lt;&gt;"",ISNUMBER(H790),ISNUMBER(F790)),COUNTIFS(C_ID,B790,C_SUELDO,"&lt;&gt;",C_INICIO,"&lt;"&amp;F790)+COUNTIFS(B$7:B790,B790,H$7:H790,"&lt;&gt;",F$7:F790,F790),"")</f>
        <v/>
      </c>
      <c r="S790" s="72" t="str">
        <f aca="false">IF(R790="","",B790&amp;"-S"&amp;R790)</f>
        <v/>
      </c>
      <c r="T790" s="74" t="str">
        <f aca="false">IF(AND(ISNUMBER(F790),ISNUMBER(G790)),ROUND((G790-F790+1)/30.4375,1),"")</f>
        <v/>
      </c>
      <c r="U790" s="70" t="str">
        <f aca="false">IF(B790="","",IF(AND(N790="Sí",OR(E790="",NOT(ISNUMBER(F790)))),"⚠ Falta tipo de contrato o fecha de inicio",IF(NOT(ISNUMBER(F790)),"⚠ Falta fecha de inicio",IF(AND(N790="Sí",E790&lt;&gt;"Indefinido",NOT(ISNUMBER(G790))),"⚠ Falta fecha de término",IF(AND(D790="Paso a indefinido",E790&lt;&gt;"Indefinido"),"⚠ Un paso a indefinido debe tener tipo Indefinido",IF(N(Q790)&gt;=3,"⚠ 3er contrato a plazo fijo: por ley ya es INDEFINIDO (Art. 159 N°4)",IF(AND(E790="Plazo fijo",N(T790)&gt;12),"⚠ Plazo fijo mayor a 1 año (máx. legal; 2 años solo profesionales o técnicos)",IF(AND(ISNUMBER(G790),G790&lt;F790),"⚠ Término anterior al inicio",IF(AND(D790="Contrato inicial",ISNUMBER(J790),J790-F790&gt;15),"⚠ Escriturado fuera de plazo (Art. 9: 15 días)",IF(K790&lt;&gt;"Sí","Pendiente de firma","OK"))))))))))</f>
        <v/>
      </c>
    </row>
    <row r="791" customFormat="false" ht="15" hidden="false" customHeight="false" outlineLevel="0" collapsed="false">
      <c r="B791" s="64"/>
      <c r="C791" s="72" t="str">
        <f aca="false">IF(B791="","",IFERROR(INDEX(T_NOMBRE,MATCH(B791,T_ID,0)),"⚠ ID no existe en Trabajadores"))</f>
        <v/>
      </c>
      <c r="D791" s="64"/>
      <c r="E791" s="64"/>
      <c r="F791" s="65"/>
      <c r="G791" s="65"/>
      <c r="H791" s="67"/>
      <c r="I791" s="64"/>
      <c r="J791" s="65"/>
      <c r="K791" s="64"/>
      <c r="L791" s="64"/>
      <c r="M791" s="64"/>
      <c r="N791" s="72" t="str">
        <f aca="false">IF(B791="","",IF(D791="Anexo de modificación","No","Sí"))</f>
        <v/>
      </c>
      <c r="O791" s="73" t="str">
        <f aca="false">IF(AND(N791="Sí",ISNUMBER(F791)),COUNTIFS(C_ID,B791,C_DEFINE,"Sí",C_INICIO,"&lt;"&amp;F791)+COUNTIFS(B$7:B791,B791,N$7:N791,"Sí",F$7:F791,F791),"")</f>
        <v/>
      </c>
      <c r="P791" s="72" t="str">
        <f aca="false">IF(O791="","",B791&amp;"-P"&amp;O791)</f>
        <v/>
      </c>
      <c r="Q791" s="73" t="str">
        <f aca="false">IF(AND(N791="Sí",E791="Plazo fijo",ISNUMBER(F791)),COUNTIFS(C_ID,B791,C_TIPO,"Plazo fijo",C_DEFINE,"Sí",C_INICIO,"&lt;"&amp;F791)+COUNTIFS(B$7:B791,B791,E$7:E791,"Plazo fijo",N$7:N791,"Sí",F$7:F791,F791),"")</f>
        <v/>
      </c>
      <c r="R791" s="73" t="str">
        <f aca="false">IF(AND(B791&lt;&gt;"",ISNUMBER(H791),ISNUMBER(F791)),COUNTIFS(C_ID,B791,C_SUELDO,"&lt;&gt;",C_INICIO,"&lt;"&amp;F791)+COUNTIFS(B$7:B791,B791,H$7:H791,"&lt;&gt;",F$7:F791,F791),"")</f>
        <v/>
      </c>
      <c r="S791" s="72" t="str">
        <f aca="false">IF(R791="","",B791&amp;"-S"&amp;R791)</f>
        <v/>
      </c>
      <c r="T791" s="74" t="str">
        <f aca="false">IF(AND(ISNUMBER(F791),ISNUMBER(G791)),ROUND((G791-F791+1)/30.4375,1),"")</f>
        <v/>
      </c>
      <c r="U791" s="70" t="str">
        <f aca="false">IF(B791="","",IF(AND(N791="Sí",OR(E791="",NOT(ISNUMBER(F791)))),"⚠ Falta tipo de contrato o fecha de inicio",IF(NOT(ISNUMBER(F791)),"⚠ Falta fecha de inicio",IF(AND(N791="Sí",E791&lt;&gt;"Indefinido",NOT(ISNUMBER(G791))),"⚠ Falta fecha de término",IF(AND(D791="Paso a indefinido",E791&lt;&gt;"Indefinido"),"⚠ Un paso a indefinido debe tener tipo Indefinido",IF(N(Q791)&gt;=3,"⚠ 3er contrato a plazo fijo: por ley ya es INDEFINIDO (Art. 159 N°4)",IF(AND(E791="Plazo fijo",N(T791)&gt;12),"⚠ Plazo fijo mayor a 1 año (máx. legal; 2 años solo profesionales o técnicos)",IF(AND(ISNUMBER(G791),G791&lt;F791),"⚠ Término anterior al inicio",IF(AND(D791="Contrato inicial",ISNUMBER(J791),J791-F791&gt;15),"⚠ Escriturado fuera de plazo (Art. 9: 15 días)",IF(K791&lt;&gt;"Sí","Pendiente de firma","OK"))))))))))</f>
        <v/>
      </c>
    </row>
    <row r="792" customFormat="false" ht="15" hidden="false" customHeight="false" outlineLevel="0" collapsed="false">
      <c r="B792" s="64"/>
      <c r="C792" s="72" t="str">
        <f aca="false">IF(B792="","",IFERROR(INDEX(T_NOMBRE,MATCH(B792,T_ID,0)),"⚠ ID no existe en Trabajadores"))</f>
        <v/>
      </c>
      <c r="D792" s="64"/>
      <c r="E792" s="64"/>
      <c r="F792" s="65"/>
      <c r="G792" s="65"/>
      <c r="H792" s="67"/>
      <c r="I792" s="64"/>
      <c r="J792" s="65"/>
      <c r="K792" s="64"/>
      <c r="L792" s="64"/>
      <c r="M792" s="64"/>
      <c r="N792" s="72" t="str">
        <f aca="false">IF(B792="","",IF(D792="Anexo de modificación","No","Sí"))</f>
        <v/>
      </c>
      <c r="O792" s="73" t="str">
        <f aca="false">IF(AND(N792="Sí",ISNUMBER(F792)),COUNTIFS(C_ID,B792,C_DEFINE,"Sí",C_INICIO,"&lt;"&amp;F792)+COUNTIFS(B$7:B792,B792,N$7:N792,"Sí",F$7:F792,F792),"")</f>
        <v/>
      </c>
      <c r="P792" s="72" t="str">
        <f aca="false">IF(O792="","",B792&amp;"-P"&amp;O792)</f>
        <v/>
      </c>
      <c r="Q792" s="73" t="str">
        <f aca="false">IF(AND(N792="Sí",E792="Plazo fijo",ISNUMBER(F792)),COUNTIFS(C_ID,B792,C_TIPO,"Plazo fijo",C_DEFINE,"Sí",C_INICIO,"&lt;"&amp;F792)+COUNTIFS(B$7:B792,B792,E$7:E792,"Plazo fijo",N$7:N792,"Sí",F$7:F792,F792),"")</f>
        <v/>
      </c>
      <c r="R792" s="73" t="str">
        <f aca="false">IF(AND(B792&lt;&gt;"",ISNUMBER(H792),ISNUMBER(F792)),COUNTIFS(C_ID,B792,C_SUELDO,"&lt;&gt;",C_INICIO,"&lt;"&amp;F792)+COUNTIFS(B$7:B792,B792,H$7:H792,"&lt;&gt;",F$7:F792,F792),"")</f>
        <v/>
      </c>
      <c r="S792" s="72" t="str">
        <f aca="false">IF(R792="","",B792&amp;"-S"&amp;R792)</f>
        <v/>
      </c>
      <c r="T792" s="74" t="str">
        <f aca="false">IF(AND(ISNUMBER(F792),ISNUMBER(G792)),ROUND((G792-F792+1)/30.4375,1),"")</f>
        <v/>
      </c>
      <c r="U792" s="70" t="str">
        <f aca="false">IF(B792="","",IF(AND(N792="Sí",OR(E792="",NOT(ISNUMBER(F792)))),"⚠ Falta tipo de contrato o fecha de inicio",IF(NOT(ISNUMBER(F792)),"⚠ Falta fecha de inicio",IF(AND(N792="Sí",E792&lt;&gt;"Indefinido",NOT(ISNUMBER(G792))),"⚠ Falta fecha de término",IF(AND(D792="Paso a indefinido",E792&lt;&gt;"Indefinido"),"⚠ Un paso a indefinido debe tener tipo Indefinido",IF(N(Q792)&gt;=3,"⚠ 3er contrato a plazo fijo: por ley ya es INDEFINIDO (Art. 159 N°4)",IF(AND(E792="Plazo fijo",N(T792)&gt;12),"⚠ Plazo fijo mayor a 1 año (máx. legal; 2 años solo profesionales o técnicos)",IF(AND(ISNUMBER(G792),G792&lt;F792),"⚠ Término anterior al inicio",IF(AND(D792="Contrato inicial",ISNUMBER(J792),J792-F792&gt;15),"⚠ Escriturado fuera de plazo (Art. 9: 15 días)",IF(K792&lt;&gt;"Sí","Pendiente de firma","OK"))))))))))</f>
        <v/>
      </c>
    </row>
    <row r="793" customFormat="false" ht="15" hidden="false" customHeight="false" outlineLevel="0" collapsed="false">
      <c r="B793" s="64"/>
      <c r="C793" s="72" t="str">
        <f aca="false">IF(B793="","",IFERROR(INDEX(T_NOMBRE,MATCH(B793,T_ID,0)),"⚠ ID no existe en Trabajadores"))</f>
        <v/>
      </c>
      <c r="D793" s="64"/>
      <c r="E793" s="64"/>
      <c r="F793" s="65"/>
      <c r="G793" s="65"/>
      <c r="H793" s="67"/>
      <c r="I793" s="64"/>
      <c r="J793" s="65"/>
      <c r="K793" s="64"/>
      <c r="L793" s="64"/>
      <c r="M793" s="64"/>
      <c r="N793" s="72" t="str">
        <f aca="false">IF(B793="","",IF(D793="Anexo de modificación","No","Sí"))</f>
        <v/>
      </c>
      <c r="O793" s="73" t="str">
        <f aca="false">IF(AND(N793="Sí",ISNUMBER(F793)),COUNTIFS(C_ID,B793,C_DEFINE,"Sí",C_INICIO,"&lt;"&amp;F793)+COUNTIFS(B$7:B793,B793,N$7:N793,"Sí",F$7:F793,F793),"")</f>
        <v/>
      </c>
      <c r="P793" s="72" t="str">
        <f aca="false">IF(O793="","",B793&amp;"-P"&amp;O793)</f>
        <v/>
      </c>
      <c r="Q793" s="73" t="str">
        <f aca="false">IF(AND(N793="Sí",E793="Plazo fijo",ISNUMBER(F793)),COUNTIFS(C_ID,B793,C_TIPO,"Plazo fijo",C_DEFINE,"Sí",C_INICIO,"&lt;"&amp;F793)+COUNTIFS(B$7:B793,B793,E$7:E793,"Plazo fijo",N$7:N793,"Sí",F$7:F793,F793),"")</f>
        <v/>
      </c>
      <c r="R793" s="73" t="str">
        <f aca="false">IF(AND(B793&lt;&gt;"",ISNUMBER(H793),ISNUMBER(F793)),COUNTIFS(C_ID,B793,C_SUELDO,"&lt;&gt;",C_INICIO,"&lt;"&amp;F793)+COUNTIFS(B$7:B793,B793,H$7:H793,"&lt;&gt;",F$7:F793,F793),"")</f>
        <v/>
      </c>
      <c r="S793" s="72" t="str">
        <f aca="false">IF(R793="","",B793&amp;"-S"&amp;R793)</f>
        <v/>
      </c>
      <c r="T793" s="74" t="str">
        <f aca="false">IF(AND(ISNUMBER(F793),ISNUMBER(G793)),ROUND((G793-F793+1)/30.4375,1),"")</f>
        <v/>
      </c>
      <c r="U793" s="70" t="str">
        <f aca="false">IF(B793="","",IF(AND(N793="Sí",OR(E793="",NOT(ISNUMBER(F793)))),"⚠ Falta tipo de contrato o fecha de inicio",IF(NOT(ISNUMBER(F793)),"⚠ Falta fecha de inicio",IF(AND(N793="Sí",E793&lt;&gt;"Indefinido",NOT(ISNUMBER(G793))),"⚠ Falta fecha de término",IF(AND(D793="Paso a indefinido",E793&lt;&gt;"Indefinido"),"⚠ Un paso a indefinido debe tener tipo Indefinido",IF(N(Q793)&gt;=3,"⚠ 3er contrato a plazo fijo: por ley ya es INDEFINIDO (Art. 159 N°4)",IF(AND(E793="Plazo fijo",N(T793)&gt;12),"⚠ Plazo fijo mayor a 1 año (máx. legal; 2 años solo profesionales o técnicos)",IF(AND(ISNUMBER(G793),G793&lt;F793),"⚠ Término anterior al inicio",IF(AND(D793="Contrato inicial",ISNUMBER(J793),J793-F793&gt;15),"⚠ Escriturado fuera de plazo (Art. 9: 15 días)",IF(K793&lt;&gt;"Sí","Pendiente de firma","OK"))))))))))</f>
        <v/>
      </c>
    </row>
    <row r="794" customFormat="false" ht="15" hidden="false" customHeight="false" outlineLevel="0" collapsed="false">
      <c r="B794" s="64"/>
      <c r="C794" s="72" t="str">
        <f aca="false">IF(B794="","",IFERROR(INDEX(T_NOMBRE,MATCH(B794,T_ID,0)),"⚠ ID no existe en Trabajadores"))</f>
        <v/>
      </c>
      <c r="D794" s="64"/>
      <c r="E794" s="64"/>
      <c r="F794" s="65"/>
      <c r="G794" s="65"/>
      <c r="H794" s="67"/>
      <c r="I794" s="64"/>
      <c r="J794" s="65"/>
      <c r="K794" s="64"/>
      <c r="L794" s="64"/>
      <c r="M794" s="64"/>
      <c r="N794" s="72" t="str">
        <f aca="false">IF(B794="","",IF(D794="Anexo de modificación","No","Sí"))</f>
        <v/>
      </c>
      <c r="O794" s="73" t="str">
        <f aca="false">IF(AND(N794="Sí",ISNUMBER(F794)),COUNTIFS(C_ID,B794,C_DEFINE,"Sí",C_INICIO,"&lt;"&amp;F794)+COUNTIFS(B$7:B794,B794,N$7:N794,"Sí",F$7:F794,F794),"")</f>
        <v/>
      </c>
      <c r="P794" s="72" t="str">
        <f aca="false">IF(O794="","",B794&amp;"-P"&amp;O794)</f>
        <v/>
      </c>
      <c r="Q794" s="73" t="str">
        <f aca="false">IF(AND(N794="Sí",E794="Plazo fijo",ISNUMBER(F794)),COUNTIFS(C_ID,B794,C_TIPO,"Plazo fijo",C_DEFINE,"Sí",C_INICIO,"&lt;"&amp;F794)+COUNTIFS(B$7:B794,B794,E$7:E794,"Plazo fijo",N$7:N794,"Sí",F$7:F794,F794),"")</f>
        <v/>
      </c>
      <c r="R794" s="73" t="str">
        <f aca="false">IF(AND(B794&lt;&gt;"",ISNUMBER(H794),ISNUMBER(F794)),COUNTIFS(C_ID,B794,C_SUELDO,"&lt;&gt;",C_INICIO,"&lt;"&amp;F794)+COUNTIFS(B$7:B794,B794,H$7:H794,"&lt;&gt;",F$7:F794,F794),"")</f>
        <v/>
      </c>
      <c r="S794" s="72" t="str">
        <f aca="false">IF(R794="","",B794&amp;"-S"&amp;R794)</f>
        <v/>
      </c>
      <c r="T794" s="74" t="str">
        <f aca="false">IF(AND(ISNUMBER(F794),ISNUMBER(G794)),ROUND((G794-F794+1)/30.4375,1),"")</f>
        <v/>
      </c>
      <c r="U794" s="70" t="str">
        <f aca="false">IF(B794="","",IF(AND(N794="Sí",OR(E794="",NOT(ISNUMBER(F794)))),"⚠ Falta tipo de contrato o fecha de inicio",IF(NOT(ISNUMBER(F794)),"⚠ Falta fecha de inicio",IF(AND(N794="Sí",E794&lt;&gt;"Indefinido",NOT(ISNUMBER(G794))),"⚠ Falta fecha de término",IF(AND(D794="Paso a indefinido",E794&lt;&gt;"Indefinido"),"⚠ Un paso a indefinido debe tener tipo Indefinido",IF(N(Q794)&gt;=3,"⚠ 3er contrato a plazo fijo: por ley ya es INDEFINIDO (Art. 159 N°4)",IF(AND(E794="Plazo fijo",N(T794)&gt;12),"⚠ Plazo fijo mayor a 1 año (máx. legal; 2 años solo profesionales o técnicos)",IF(AND(ISNUMBER(G794),G794&lt;F794),"⚠ Término anterior al inicio",IF(AND(D794="Contrato inicial",ISNUMBER(J794),J794-F794&gt;15),"⚠ Escriturado fuera de plazo (Art. 9: 15 días)",IF(K794&lt;&gt;"Sí","Pendiente de firma","OK"))))))))))</f>
        <v/>
      </c>
    </row>
    <row r="795" customFormat="false" ht="15" hidden="false" customHeight="false" outlineLevel="0" collapsed="false">
      <c r="B795" s="64"/>
      <c r="C795" s="72" t="str">
        <f aca="false">IF(B795="","",IFERROR(INDEX(T_NOMBRE,MATCH(B795,T_ID,0)),"⚠ ID no existe en Trabajadores"))</f>
        <v/>
      </c>
      <c r="D795" s="64"/>
      <c r="E795" s="64"/>
      <c r="F795" s="65"/>
      <c r="G795" s="65"/>
      <c r="H795" s="67"/>
      <c r="I795" s="64"/>
      <c r="J795" s="65"/>
      <c r="K795" s="64"/>
      <c r="L795" s="64"/>
      <c r="M795" s="64"/>
      <c r="N795" s="72" t="str">
        <f aca="false">IF(B795="","",IF(D795="Anexo de modificación","No","Sí"))</f>
        <v/>
      </c>
      <c r="O795" s="73" t="str">
        <f aca="false">IF(AND(N795="Sí",ISNUMBER(F795)),COUNTIFS(C_ID,B795,C_DEFINE,"Sí",C_INICIO,"&lt;"&amp;F795)+COUNTIFS(B$7:B795,B795,N$7:N795,"Sí",F$7:F795,F795),"")</f>
        <v/>
      </c>
      <c r="P795" s="72" t="str">
        <f aca="false">IF(O795="","",B795&amp;"-P"&amp;O795)</f>
        <v/>
      </c>
      <c r="Q795" s="73" t="str">
        <f aca="false">IF(AND(N795="Sí",E795="Plazo fijo",ISNUMBER(F795)),COUNTIFS(C_ID,B795,C_TIPO,"Plazo fijo",C_DEFINE,"Sí",C_INICIO,"&lt;"&amp;F795)+COUNTIFS(B$7:B795,B795,E$7:E795,"Plazo fijo",N$7:N795,"Sí",F$7:F795,F795),"")</f>
        <v/>
      </c>
      <c r="R795" s="73" t="str">
        <f aca="false">IF(AND(B795&lt;&gt;"",ISNUMBER(H795),ISNUMBER(F795)),COUNTIFS(C_ID,B795,C_SUELDO,"&lt;&gt;",C_INICIO,"&lt;"&amp;F795)+COUNTIFS(B$7:B795,B795,H$7:H795,"&lt;&gt;",F$7:F795,F795),"")</f>
        <v/>
      </c>
      <c r="S795" s="72" t="str">
        <f aca="false">IF(R795="","",B795&amp;"-S"&amp;R795)</f>
        <v/>
      </c>
      <c r="T795" s="74" t="str">
        <f aca="false">IF(AND(ISNUMBER(F795),ISNUMBER(G795)),ROUND((G795-F795+1)/30.4375,1),"")</f>
        <v/>
      </c>
      <c r="U795" s="70" t="str">
        <f aca="false">IF(B795="","",IF(AND(N795="Sí",OR(E795="",NOT(ISNUMBER(F795)))),"⚠ Falta tipo de contrato o fecha de inicio",IF(NOT(ISNUMBER(F795)),"⚠ Falta fecha de inicio",IF(AND(N795="Sí",E795&lt;&gt;"Indefinido",NOT(ISNUMBER(G795))),"⚠ Falta fecha de término",IF(AND(D795="Paso a indefinido",E795&lt;&gt;"Indefinido"),"⚠ Un paso a indefinido debe tener tipo Indefinido",IF(N(Q795)&gt;=3,"⚠ 3er contrato a plazo fijo: por ley ya es INDEFINIDO (Art. 159 N°4)",IF(AND(E795="Plazo fijo",N(T795)&gt;12),"⚠ Plazo fijo mayor a 1 año (máx. legal; 2 años solo profesionales o técnicos)",IF(AND(ISNUMBER(G795),G795&lt;F795),"⚠ Término anterior al inicio",IF(AND(D795="Contrato inicial",ISNUMBER(J795),J795-F795&gt;15),"⚠ Escriturado fuera de plazo (Art. 9: 15 días)",IF(K795&lt;&gt;"Sí","Pendiente de firma","OK"))))))))))</f>
        <v/>
      </c>
    </row>
    <row r="796" customFormat="false" ht="15" hidden="false" customHeight="false" outlineLevel="0" collapsed="false">
      <c r="B796" s="64"/>
      <c r="C796" s="72" t="str">
        <f aca="false">IF(B796="","",IFERROR(INDEX(T_NOMBRE,MATCH(B796,T_ID,0)),"⚠ ID no existe en Trabajadores"))</f>
        <v/>
      </c>
      <c r="D796" s="64"/>
      <c r="E796" s="64"/>
      <c r="F796" s="65"/>
      <c r="G796" s="65"/>
      <c r="H796" s="67"/>
      <c r="I796" s="64"/>
      <c r="J796" s="65"/>
      <c r="K796" s="64"/>
      <c r="L796" s="64"/>
      <c r="M796" s="64"/>
      <c r="N796" s="72" t="str">
        <f aca="false">IF(B796="","",IF(D796="Anexo de modificación","No","Sí"))</f>
        <v/>
      </c>
      <c r="O796" s="73" t="str">
        <f aca="false">IF(AND(N796="Sí",ISNUMBER(F796)),COUNTIFS(C_ID,B796,C_DEFINE,"Sí",C_INICIO,"&lt;"&amp;F796)+COUNTIFS(B$7:B796,B796,N$7:N796,"Sí",F$7:F796,F796),"")</f>
        <v/>
      </c>
      <c r="P796" s="72" t="str">
        <f aca="false">IF(O796="","",B796&amp;"-P"&amp;O796)</f>
        <v/>
      </c>
      <c r="Q796" s="73" t="str">
        <f aca="false">IF(AND(N796="Sí",E796="Plazo fijo",ISNUMBER(F796)),COUNTIFS(C_ID,B796,C_TIPO,"Plazo fijo",C_DEFINE,"Sí",C_INICIO,"&lt;"&amp;F796)+COUNTIFS(B$7:B796,B796,E$7:E796,"Plazo fijo",N$7:N796,"Sí",F$7:F796,F796),"")</f>
        <v/>
      </c>
      <c r="R796" s="73" t="str">
        <f aca="false">IF(AND(B796&lt;&gt;"",ISNUMBER(H796),ISNUMBER(F796)),COUNTIFS(C_ID,B796,C_SUELDO,"&lt;&gt;",C_INICIO,"&lt;"&amp;F796)+COUNTIFS(B$7:B796,B796,H$7:H796,"&lt;&gt;",F$7:F796,F796),"")</f>
        <v/>
      </c>
      <c r="S796" s="72" t="str">
        <f aca="false">IF(R796="","",B796&amp;"-S"&amp;R796)</f>
        <v/>
      </c>
      <c r="T796" s="74" t="str">
        <f aca="false">IF(AND(ISNUMBER(F796),ISNUMBER(G796)),ROUND((G796-F796+1)/30.4375,1),"")</f>
        <v/>
      </c>
      <c r="U796" s="70" t="str">
        <f aca="false">IF(B796="","",IF(AND(N796="Sí",OR(E796="",NOT(ISNUMBER(F796)))),"⚠ Falta tipo de contrato o fecha de inicio",IF(NOT(ISNUMBER(F796)),"⚠ Falta fecha de inicio",IF(AND(N796="Sí",E796&lt;&gt;"Indefinido",NOT(ISNUMBER(G796))),"⚠ Falta fecha de término",IF(AND(D796="Paso a indefinido",E796&lt;&gt;"Indefinido"),"⚠ Un paso a indefinido debe tener tipo Indefinido",IF(N(Q796)&gt;=3,"⚠ 3er contrato a plazo fijo: por ley ya es INDEFINIDO (Art. 159 N°4)",IF(AND(E796="Plazo fijo",N(T796)&gt;12),"⚠ Plazo fijo mayor a 1 año (máx. legal; 2 años solo profesionales o técnicos)",IF(AND(ISNUMBER(G796),G796&lt;F796),"⚠ Término anterior al inicio",IF(AND(D796="Contrato inicial",ISNUMBER(J796),J796-F796&gt;15),"⚠ Escriturado fuera de plazo (Art. 9: 15 días)",IF(K796&lt;&gt;"Sí","Pendiente de firma","OK"))))))))))</f>
        <v/>
      </c>
    </row>
    <row r="797" customFormat="false" ht="15" hidden="false" customHeight="false" outlineLevel="0" collapsed="false">
      <c r="B797" s="64"/>
      <c r="C797" s="72" t="str">
        <f aca="false">IF(B797="","",IFERROR(INDEX(T_NOMBRE,MATCH(B797,T_ID,0)),"⚠ ID no existe en Trabajadores"))</f>
        <v/>
      </c>
      <c r="D797" s="64"/>
      <c r="E797" s="64"/>
      <c r="F797" s="65"/>
      <c r="G797" s="65"/>
      <c r="H797" s="67"/>
      <c r="I797" s="64"/>
      <c r="J797" s="65"/>
      <c r="K797" s="64"/>
      <c r="L797" s="64"/>
      <c r="M797" s="64"/>
      <c r="N797" s="72" t="str">
        <f aca="false">IF(B797="","",IF(D797="Anexo de modificación","No","Sí"))</f>
        <v/>
      </c>
      <c r="O797" s="73" t="str">
        <f aca="false">IF(AND(N797="Sí",ISNUMBER(F797)),COUNTIFS(C_ID,B797,C_DEFINE,"Sí",C_INICIO,"&lt;"&amp;F797)+COUNTIFS(B$7:B797,B797,N$7:N797,"Sí",F$7:F797,F797),"")</f>
        <v/>
      </c>
      <c r="P797" s="72" t="str">
        <f aca="false">IF(O797="","",B797&amp;"-P"&amp;O797)</f>
        <v/>
      </c>
      <c r="Q797" s="73" t="str">
        <f aca="false">IF(AND(N797="Sí",E797="Plazo fijo",ISNUMBER(F797)),COUNTIFS(C_ID,B797,C_TIPO,"Plazo fijo",C_DEFINE,"Sí",C_INICIO,"&lt;"&amp;F797)+COUNTIFS(B$7:B797,B797,E$7:E797,"Plazo fijo",N$7:N797,"Sí",F$7:F797,F797),"")</f>
        <v/>
      </c>
      <c r="R797" s="73" t="str">
        <f aca="false">IF(AND(B797&lt;&gt;"",ISNUMBER(H797),ISNUMBER(F797)),COUNTIFS(C_ID,B797,C_SUELDO,"&lt;&gt;",C_INICIO,"&lt;"&amp;F797)+COUNTIFS(B$7:B797,B797,H$7:H797,"&lt;&gt;",F$7:F797,F797),"")</f>
        <v/>
      </c>
      <c r="S797" s="72" t="str">
        <f aca="false">IF(R797="","",B797&amp;"-S"&amp;R797)</f>
        <v/>
      </c>
      <c r="T797" s="74" t="str">
        <f aca="false">IF(AND(ISNUMBER(F797),ISNUMBER(G797)),ROUND((G797-F797+1)/30.4375,1),"")</f>
        <v/>
      </c>
      <c r="U797" s="70" t="str">
        <f aca="false">IF(B797="","",IF(AND(N797="Sí",OR(E797="",NOT(ISNUMBER(F797)))),"⚠ Falta tipo de contrato o fecha de inicio",IF(NOT(ISNUMBER(F797)),"⚠ Falta fecha de inicio",IF(AND(N797="Sí",E797&lt;&gt;"Indefinido",NOT(ISNUMBER(G797))),"⚠ Falta fecha de término",IF(AND(D797="Paso a indefinido",E797&lt;&gt;"Indefinido"),"⚠ Un paso a indefinido debe tener tipo Indefinido",IF(N(Q797)&gt;=3,"⚠ 3er contrato a plazo fijo: por ley ya es INDEFINIDO (Art. 159 N°4)",IF(AND(E797="Plazo fijo",N(T797)&gt;12),"⚠ Plazo fijo mayor a 1 año (máx. legal; 2 años solo profesionales o técnicos)",IF(AND(ISNUMBER(G797),G797&lt;F797),"⚠ Término anterior al inicio",IF(AND(D797="Contrato inicial",ISNUMBER(J797),J797-F797&gt;15),"⚠ Escriturado fuera de plazo (Art. 9: 15 días)",IF(K797&lt;&gt;"Sí","Pendiente de firma","OK"))))))))))</f>
        <v/>
      </c>
    </row>
    <row r="798" customFormat="false" ht="15" hidden="false" customHeight="false" outlineLevel="0" collapsed="false">
      <c r="B798" s="64"/>
      <c r="C798" s="72" t="str">
        <f aca="false">IF(B798="","",IFERROR(INDEX(T_NOMBRE,MATCH(B798,T_ID,0)),"⚠ ID no existe en Trabajadores"))</f>
        <v/>
      </c>
      <c r="D798" s="64"/>
      <c r="E798" s="64"/>
      <c r="F798" s="65"/>
      <c r="G798" s="65"/>
      <c r="H798" s="67"/>
      <c r="I798" s="64"/>
      <c r="J798" s="65"/>
      <c r="K798" s="64"/>
      <c r="L798" s="64"/>
      <c r="M798" s="64"/>
      <c r="N798" s="72" t="str">
        <f aca="false">IF(B798="","",IF(D798="Anexo de modificación","No","Sí"))</f>
        <v/>
      </c>
      <c r="O798" s="73" t="str">
        <f aca="false">IF(AND(N798="Sí",ISNUMBER(F798)),COUNTIFS(C_ID,B798,C_DEFINE,"Sí",C_INICIO,"&lt;"&amp;F798)+COUNTIFS(B$7:B798,B798,N$7:N798,"Sí",F$7:F798,F798),"")</f>
        <v/>
      </c>
      <c r="P798" s="72" t="str">
        <f aca="false">IF(O798="","",B798&amp;"-P"&amp;O798)</f>
        <v/>
      </c>
      <c r="Q798" s="73" t="str">
        <f aca="false">IF(AND(N798="Sí",E798="Plazo fijo",ISNUMBER(F798)),COUNTIFS(C_ID,B798,C_TIPO,"Plazo fijo",C_DEFINE,"Sí",C_INICIO,"&lt;"&amp;F798)+COUNTIFS(B$7:B798,B798,E$7:E798,"Plazo fijo",N$7:N798,"Sí",F$7:F798,F798),"")</f>
        <v/>
      </c>
      <c r="R798" s="73" t="str">
        <f aca="false">IF(AND(B798&lt;&gt;"",ISNUMBER(H798),ISNUMBER(F798)),COUNTIFS(C_ID,B798,C_SUELDO,"&lt;&gt;",C_INICIO,"&lt;"&amp;F798)+COUNTIFS(B$7:B798,B798,H$7:H798,"&lt;&gt;",F$7:F798,F798),"")</f>
        <v/>
      </c>
      <c r="S798" s="72" t="str">
        <f aca="false">IF(R798="","",B798&amp;"-S"&amp;R798)</f>
        <v/>
      </c>
      <c r="T798" s="74" t="str">
        <f aca="false">IF(AND(ISNUMBER(F798),ISNUMBER(G798)),ROUND((G798-F798+1)/30.4375,1),"")</f>
        <v/>
      </c>
      <c r="U798" s="70" t="str">
        <f aca="false">IF(B798="","",IF(AND(N798="Sí",OR(E798="",NOT(ISNUMBER(F798)))),"⚠ Falta tipo de contrato o fecha de inicio",IF(NOT(ISNUMBER(F798)),"⚠ Falta fecha de inicio",IF(AND(N798="Sí",E798&lt;&gt;"Indefinido",NOT(ISNUMBER(G798))),"⚠ Falta fecha de término",IF(AND(D798="Paso a indefinido",E798&lt;&gt;"Indefinido"),"⚠ Un paso a indefinido debe tener tipo Indefinido",IF(N(Q798)&gt;=3,"⚠ 3er contrato a plazo fijo: por ley ya es INDEFINIDO (Art. 159 N°4)",IF(AND(E798="Plazo fijo",N(T798)&gt;12),"⚠ Plazo fijo mayor a 1 año (máx. legal; 2 años solo profesionales o técnicos)",IF(AND(ISNUMBER(G798),G798&lt;F798),"⚠ Término anterior al inicio",IF(AND(D798="Contrato inicial",ISNUMBER(J798),J798-F798&gt;15),"⚠ Escriturado fuera de plazo (Art. 9: 15 días)",IF(K798&lt;&gt;"Sí","Pendiente de firma","OK"))))))))))</f>
        <v/>
      </c>
    </row>
    <row r="799" customFormat="false" ht="15" hidden="false" customHeight="false" outlineLevel="0" collapsed="false">
      <c r="B799" s="64"/>
      <c r="C799" s="72" t="str">
        <f aca="false">IF(B799="","",IFERROR(INDEX(T_NOMBRE,MATCH(B799,T_ID,0)),"⚠ ID no existe en Trabajadores"))</f>
        <v/>
      </c>
      <c r="D799" s="64"/>
      <c r="E799" s="64"/>
      <c r="F799" s="65"/>
      <c r="G799" s="65"/>
      <c r="H799" s="67"/>
      <c r="I799" s="64"/>
      <c r="J799" s="65"/>
      <c r="K799" s="64"/>
      <c r="L799" s="64"/>
      <c r="M799" s="64"/>
      <c r="N799" s="72" t="str">
        <f aca="false">IF(B799="","",IF(D799="Anexo de modificación","No","Sí"))</f>
        <v/>
      </c>
      <c r="O799" s="73" t="str">
        <f aca="false">IF(AND(N799="Sí",ISNUMBER(F799)),COUNTIFS(C_ID,B799,C_DEFINE,"Sí",C_INICIO,"&lt;"&amp;F799)+COUNTIFS(B$7:B799,B799,N$7:N799,"Sí",F$7:F799,F799),"")</f>
        <v/>
      </c>
      <c r="P799" s="72" t="str">
        <f aca="false">IF(O799="","",B799&amp;"-P"&amp;O799)</f>
        <v/>
      </c>
      <c r="Q799" s="73" t="str">
        <f aca="false">IF(AND(N799="Sí",E799="Plazo fijo",ISNUMBER(F799)),COUNTIFS(C_ID,B799,C_TIPO,"Plazo fijo",C_DEFINE,"Sí",C_INICIO,"&lt;"&amp;F799)+COUNTIFS(B$7:B799,B799,E$7:E799,"Plazo fijo",N$7:N799,"Sí",F$7:F799,F799),"")</f>
        <v/>
      </c>
      <c r="R799" s="73" t="str">
        <f aca="false">IF(AND(B799&lt;&gt;"",ISNUMBER(H799),ISNUMBER(F799)),COUNTIFS(C_ID,B799,C_SUELDO,"&lt;&gt;",C_INICIO,"&lt;"&amp;F799)+COUNTIFS(B$7:B799,B799,H$7:H799,"&lt;&gt;",F$7:F799,F799),"")</f>
        <v/>
      </c>
      <c r="S799" s="72" t="str">
        <f aca="false">IF(R799="","",B799&amp;"-S"&amp;R799)</f>
        <v/>
      </c>
      <c r="T799" s="74" t="str">
        <f aca="false">IF(AND(ISNUMBER(F799),ISNUMBER(G799)),ROUND((G799-F799+1)/30.4375,1),"")</f>
        <v/>
      </c>
      <c r="U799" s="70" t="str">
        <f aca="false">IF(B799="","",IF(AND(N799="Sí",OR(E799="",NOT(ISNUMBER(F799)))),"⚠ Falta tipo de contrato o fecha de inicio",IF(NOT(ISNUMBER(F799)),"⚠ Falta fecha de inicio",IF(AND(N799="Sí",E799&lt;&gt;"Indefinido",NOT(ISNUMBER(G799))),"⚠ Falta fecha de término",IF(AND(D799="Paso a indefinido",E799&lt;&gt;"Indefinido"),"⚠ Un paso a indefinido debe tener tipo Indefinido",IF(N(Q799)&gt;=3,"⚠ 3er contrato a plazo fijo: por ley ya es INDEFINIDO (Art. 159 N°4)",IF(AND(E799="Plazo fijo",N(T799)&gt;12),"⚠ Plazo fijo mayor a 1 año (máx. legal; 2 años solo profesionales o técnicos)",IF(AND(ISNUMBER(G799),G799&lt;F799),"⚠ Término anterior al inicio",IF(AND(D799="Contrato inicial",ISNUMBER(J799),J799-F799&gt;15),"⚠ Escriturado fuera de plazo (Art. 9: 15 días)",IF(K799&lt;&gt;"Sí","Pendiente de firma","OK"))))))))))</f>
        <v/>
      </c>
    </row>
    <row r="800" customFormat="false" ht="15" hidden="false" customHeight="false" outlineLevel="0" collapsed="false">
      <c r="B800" s="64"/>
      <c r="C800" s="72" t="str">
        <f aca="false">IF(B800="","",IFERROR(INDEX(T_NOMBRE,MATCH(B800,T_ID,0)),"⚠ ID no existe en Trabajadores"))</f>
        <v/>
      </c>
      <c r="D800" s="64"/>
      <c r="E800" s="64"/>
      <c r="F800" s="65"/>
      <c r="G800" s="65"/>
      <c r="H800" s="67"/>
      <c r="I800" s="64"/>
      <c r="J800" s="65"/>
      <c r="K800" s="64"/>
      <c r="L800" s="64"/>
      <c r="M800" s="64"/>
      <c r="N800" s="72" t="str">
        <f aca="false">IF(B800="","",IF(D800="Anexo de modificación","No","Sí"))</f>
        <v/>
      </c>
      <c r="O800" s="73" t="str">
        <f aca="false">IF(AND(N800="Sí",ISNUMBER(F800)),COUNTIFS(C_ID,B800,C_DEFINE,"Sí",C_INICIO,"&lt;"&amp;F800)+COUNTIFS(B$7:B800,B800,N$7:N800,"Sí",F$7:F800,F800),"")</f>
        <v/>
      </c>
      <c r="P800" s="72" t="str">
        <f aca="false">IF(O800="","",B800&amp;"-P"&amp;O800)</f>
        <v/>
      </c>
      <c r="Q800" s="73" t="str">
        <f aca="false">IF(AND(N800="Sí",E800="Plazo fijo",ISNUMBER(F800)),COUNTIFS(C_ID,B800,C_TIPO,"Plazo fijo",C_DEFINE,"Sí",C_INICIO,"&lt;"&amp;F800)+COUNTIFS(B$7:B800,B800,E$7:E800,"Plazo fijo",N$7:N800,"Sí",F$7:F800,F800),"")</f>
        <v/>
      </c>
      <c r="R800" s="73" t="str">
        <f aca="false">IF(AND(B800&lt;&gt;"",ISNUMBER(H800),ISNUMBER(F800)),COUNTIFS(C_ID,B800,C_SUELDO,"&lt;&gt;",C_INICIO,"&lt;"&amp;F800)+COUNTIFS(B$7:B800,B800,H$7:H800,"&lt;&gt;",F$7:F800,F800),"")</f>
        <v/>
      </c>
      <c r="S800" s="72" t="str">
        <f aca="false">IF(R800="","",B800&amp;"-S"&amp;R800)</f>
        <v/>
      </c>
      <c r="T800" s="74" t="str">
        <f aca="false">IF(AND(ISNUMBER(F800),ISNUMBER(G800)),ROUND((G800-F800+1)/30.4375,1),"")</f>
        <v/>
      </c>
      <c r="U800" s="70" t="str">
        <f aca="false">IF(B800="","",IF(AND(N800="Sí",OR(E800="",NOT(ISNUMBER(F800)))),"⚠ Falta tipo de contrato o fecha de inicio",IF(NOT(ISNUMBER(F800)),"⚠ Falta fecha de inicio",IF(AND(N800="Sí",E800&lt;&gt;"Indefinido",NOT(ISNUMBER(G800))),"⚠ Falta fecha de término",IF(AND(D800="Paso a indefinido",E800&lt;&gt;"Indefinido"),"⚠ Un paso a indefinido debe tener tipo Indefinido",IF(N(Q800)&gt;=3,"⚠ 3er contrato a plazo fijo: por ley ya es INDEFINIDO (Art. 159 N°4)",IF(AND(E800="Plazo fijo",N(T800)&gt;12),"⚠ Plazo fijo mayor a 1 año (máx. legal; 2 años solo profesionales o técnicos)",IF(AND(ISNUMBER(G800),G800&lt;F800),"⚠ Término anterior al inicio",IF(AND(D800="Contrato inicial",ISNUMBER(J800),J800-F800&gt;15),"⚠ Escriturado fuera de plazo (Art. 9: 15 días)",IF(K800&lt;&gt;"Sí","Pendiente de firma","OK"))))))))))</f>
        <v/>
      </c>
    </row>
    <row r="801" customFormat="false" ht="15" hidden="false" customHeight="false" outlineLevel="0" collapsed="false">
      <c r="B801" s="64"/>
      <c r="C801" s="72" t="str">
        <f aca="false">IF(B801="","",IFERROR(INDEX(T_NOMBRE,MATCH(B801,T_ID,0)),"⚠ ID no existe en Trabajadores"))</f>
        <v/>
      </c>
      <c r="D801" s="64"/>
      <c r="E801" s="64"/>
      <c r="F801" s="65"/>
      <c r="G801" s="65"/>
      <c r="H801" s="67"/>
      <c r="I801" s="64"/>
      <c r="J801" s="65"/>
      <c r="K801" s="64"/>
      <c r="L801" s="64"/>
      <c r="M801" s="64"/>
      <c r="N801" s="72" t="str">
        <f aca="false">IF(B801="","",IF(D801="Anexo de modificación","No","Sí"))</f>
        <v/>
      </c>
      <c r="O801" s="73" t="str">
        <f aca="false">IF(AND(N801="Sí",ISNUMBER(F801)),COUNTIFS(C_ID,B801,C_DEFINE,"Sí",C_INICIO,"&lt;"&amp;F801)+COUNTIFS(B$7:B801,B801,N$7:N801,"Sí",F$7:F801,F801),"")</f>
        <v/>
      </c>
      <c r="P801" s="72" t="str">
        <f aca="false">IF(O801="","",B801&amp;"-P"&amp;O801)</f>
        <v/>
      </c>
      <c r="Q801" s="73" t="str">
        <f aca="false">IF(AND(N801="Sí",E801="Plazo fijo",ISNUMBER(F801)),COUNTIFS(C_ID,B801,C_TIPO,"Plazo fijo",C_DEFINE,"Sí",C_INICIO,"&lt;"&amp;F801)+COUNTIFS(B$7:B801,B801,E$7:E801,"Plazo fijo",N$7:N801,"Sí",F$7:F801,F801),"")</f>
        <v/>
      </c>
      <c r="R801" s="73" t="str">
        <f aca="false">IF(AND(B801&lt;&gt;"",ISNUMBER(H801),ISNUMBER(F801)),COUNTIFS(C_ID,B801,C_SUELDO,"&lt;&gt;",C_INICIO,"&lt;"&amp;F801)+COUNTIFS(B$7:B801,B801,H$7:H801,"&lt;&gt;",F$7:F801,F801),"")</f>
        <v/>
      </c>
      <c r="S801" s="72" t="str">
        <f aca="false">IF(R801="","",B801&amp;"-S"&amp;R801)</f>
        <v/>
      </c>
      <c r="T801" s="74" t="str">
        <f aca="false">IF(AND(ISNUMBER(F801),ISNUMBER(G801)),ROUND((G801-F801+1)/30.4375,1),"")</f>
        <v/>
      </c>
      <c r="U801" s="70" t="str">
        <f aca="false">IF(B801="","",IF(AND(N801="Sí",OR(E801="",NOT(ISNUMBER(F801)))),"⚠ Falta tipo de contrato o fecha de inicio",IF(NOT(ISNUMBER(F801)),"⚠ Falta fecha de inicio",IF(AND(N801="Sí",E801&lt;&gt;"Indefinido",NOT(ISNUMBER(G801))),"⚠ Falta fecha de término",IF(AND(D801="Paso a indefinido",E801&lt;&gt;"Indefinido"),"⚠ Un paso a indefinido debe tener tipo Indefinido",IF(N(Q801)&gt;=3,"⚠ 3er contrato a plazo fijo: por ley ya es INDEFINIDO (Art. 159 N°4)",IF(AND(E801="Plazo fijo",N(T801)&gt;12),"⚠ Plazo fijo mayor a 1 año (máx. legal; 2 años solo profesionales o técnicos)",IF(AND(ISNUMBER(G801),G801&lt;F801),"⚠ Término anterior al inicio",IF(AND(D801="Contrato inicial",ISNUMBER(J801),J801-F801&gt;15),"⚠ Escriturado fuera de plazo (Art. 9: 15 días)",IF(K801&lt;&gt;"Sí","Pendiente de firma","OK"))))))))))</f>
        <v/>
      </c>
    </row>
    <row r="802" customFormat="false" ht="15" hidden="false" customHeight="false" outlineLevel="0" collapsed="false">
      <c r="B802" s="64"/>
      <c r="C802" s="72" t="str">
        <f aca="false">IF(B802="","",IFERROR(INDEX(T_NOMBRE,MATCH(B802,T_ID,0)),"⚠ ID no existe en Trabajadores"))</f>
        <v/>
      </c>
      <c r="D802" s="64"/>
      <c r="E802" s="64"/>
      <c r="F802" s="65"/>
      <c r="G802" s="65"/>
      <c r="H802" s="67"/>
      <c r="I802" s="64"/>
      <c r="J802" s="65"/>
      <c r="K802" s="64"/>
      <c r="L802" s="64"/>
      <c r="M802" s="64"/>
      <c r="N802" s="72" t="str">
        <f aca="false">IF(B802="","",IF(D802="Anexo de modificación","No","Sí"))</f>
        <v/>
      </c>
      <c r="O802" s="73" t="str">
        <f aca="false">IF(AND(N802="Sí",ISNUMBER(F802)),COUNTIFS(C_ID,B802,C_DEFINE,"Sí",C_INICIO,"&lt;"&amp;F802)+COUNTIFS(B$7:B802,B802,N$7:N802,"Sí",F$7:F802,F802),"")</f>
        <v/>
      </c>
      <c r="P802" s="72" t="str">
        <f aca="false">IF(O802="","",B802&amp;"-P"&amp;O802)</f>
        <v/>
      </c>
      <c r="Q802" s="73" t="str">
        <f aca="false">IF(AND(N802="Sí",E802="Plazo fijo",ISNUMBER(F802)),COUNTIFS(C_ID,B802,C_TIPO,"Plazo fijo",C_DEFINE,"Sí",C_INICIO,"&lt;"&amp;F802)+COUNTIFS(B$7:B802,B802,E$7:E802,"Plazo fijo",N$7:N802,"Sí",F$7:F802,F802),"")</f>
        <v/>
      </c>
      <c r="R802" s="73" t="str">
        <f aca="false">IF(AND(B802&lt;&gt;"",ISNUMBER(H802),ISNUMBER(F802)),COUNTIFS(C_ID,B802,C_SUELDO,"&lt;&gt;",C_INICIO,"&lt;"&amp;F802)+COUNTIFS(B$7:B802,B802,H$7:H802,"&lt;&gt;",F$7:F802,F802),"")</f>
        <v/>
      </c>
      <c r="S802" s="72" t="str">
        <f aca="false">IF(R802="","",B802&amp;"-S"&amp;R802)</f>
        <v/>
      </c>
      <c r="T802" s="74" t="str">
        <f aca="false">IF(AND(ISNUMBER(F802),ISNUMBER(G802)),ROUND((G802-F802+1)/30.4375,1),"")</f>
        <v/>
      </c>
      <c r="U802" s="70" t="str">
        <f aca="false">IF(B802="","",IF(AND(N802="Sí",OR(E802="",NOT(ISNUMBER(F802)))),"⚠ Falta tipo de contrato o fecha de inicio",IF(NOT(ISNUMBER(F802)),"⚠ Falta fecha de inicio",IF(AND(N802="Sí",E802&lt;&gt;"Indefinido",NOT(ISNUMBER(G802))),"⚠ Falta fecha de término",IF(AND(D802="Paso a indefinido",E802&lt;&gt;"Indefinido"),"⚠ Un paso a indefinido debe tener tipo Indefinido",IF(N(Q802)&gt;=3,"⚠ 3er contrato a plazo fijo: por ley ya es INDEFINIDO (Art. 159 N°4)",IF(AND(E802="Plazo fijo",N(T802)&gt;12),"⚠ Plazo fijo mayor a 1 año (máx. legal; 2 años solo profesionales o técnicos)",IF(AND(ISNUMBER(G802),G802&lt;F802),"⚠ Término anterior al inicio",IF(AND(D802="Contrato inicial",ISNUMBER(J802),J802-F802&gt;15),"⚠ Escriturado fuera de plazo (Art. 9: 15 días)",IF(K802&lt;&gt;"Sí","Pendiente de firma","OK"))))))))))</f>
        <v/>
      </c>
    </row>
    <row r="803" customFormat="false" ht="15" hidden="false" customHeight="false" outlineLevel="0" collapsed="false">
      <c r="B803" s="64"/>
      <c r="C803" s="72" t="str">
        <f aca="false">IF(B803="","",IFERROR(INDEX(T_NOMBRE,MATCH(B803,T_ID,0)),"⚠ ID no existe en Trabajadores"))</f>
        <v/>
      </c>
      <c r="D803" s="64"/>
      <c r="E803" s="64"/>
      <c r="F803" s="65"/>
      <c r="G803" s="65"/>
      <c r="H803" s="67"/>
      <c r="I803" s="64"/>
      <c r="J803" s="65"/>
      <c r="K803" s="64"/>
      <c r="L803" s="64"/>
      <c r="M803" s="64"/>
      <c r="N803" s="72" t="str">
        <f aca="false">IF(B803="","",IF(D803="Anexo de modificación","No","Sí"))</f>
        <v/>
      </c>
      <c r="O803" s="73" t="str">
        <f aca="false">IF(AND(N803="Sí",ISNUMBER(F803)),COUNTIFS(C_ID,B803,C_DEFINE,"Sí",C_INICIO,"&lt;"&amp;F803)+COUNTIFS(B$7:B803,B803,N$7:N803,"Sí",F$7:F803,F803),"")</f>
        <v/>
      </c>
      <c r="P803" s="72" t="str">
        <f aca="false">IF(O803="","",B803&amp;"-P"&amp;O803)</f>
        <v/>
      </c>
      <c r="Q803" s="73" t="str">
        <f aca="false">IF(AND(N803="Sí",E803="Plazo fijo",ISNUMBER(F803)),COUNTIFS(C_ID,B803,C_TIPO,"Plazo fijo",C_DEFINE,"Sí",C_INICIO,"&lt;"&amp;F803)+COUNTIFS(B$7:B803,B803,E$7:E803,"Plazo fijo",N$7:N803,"Sí",F$7:F803,F803),"")</f>
        <v/>
      </c>
      <c r="R803" s="73" t="str">
        <f aca="false">IF(AND(B803&lt;&gt;"",ISNUMBER(H803),ISNUMBER(F803)),COUNTIFS(C_ID,B803,C_SUELDO,"&lt;&gt;",C_INICIO,"&lt;"&amp;F803)+COUNTIFS(B$7:B803,B803,H$7:H803,"&lt;&gt;",F$7:F803,F803),"")</f>
        <v/>
      </c>
      <c r="S803" s="72" t="str">
        <f aca="false">IF(R803="","",B803&amp;"-S"&amp;R803)</f>
        <v/>
      </c>
      <c r="T803" s="74" t="str">
        <f aca="false">IF(AND(ISNUMBER(F803),ISNUMBER(G803)),ROUND((G803-F803+1)/30.4375,1),"")</f>
        <v/>
      </c>
      <c r="U803" s="70" t="str">
        <f aca="false">IF(B803="","",IF(AND(N803="Sí",OR(E803="",NOT(ISNUMBER(F803)))),"⚠ Falta tipo de contrato o fecha de inicio",IF(NOT(ISNUMBER(F803)),"⚠ Falta fecha de inicio",IF(AND(N803="Sí",E803&lt;&gt;"Indefinido",NOT(ISNUMBER(G803))),"⚠ Falta fecha de término",IF(AND(D803="Paso a indefinido",E803&lt;&gt;"Indefinido"),"⚠ Un paso a indefinido debe tener tipo Indefinido",IF(N(Q803)&gt;=3,"⚠ 3er contrato a plazo fijo: por ley ya es INDEFINIDO (Art. 159 N°4)",IF(AND(E803="Plazo fijo",N(T803)&gt;12),"⚠ Plazo fijo mayor a 1 año (máx. legal; 2 años solo profesionales o técnicos)",IF(AND(ISNUMBER(G803),G803&lt;F803),"⚠ Término anterior al inicio",IF(AND(D803="Contrato inicial",ISNUMBER(J803),J803-F803&gt;15),"⚠ Escriturado fuera de plazo (Art. 9: 15 días)",IF(K803&lt;&gt;"Sí","Pendiente de firma","OK"))))))))))</f>
        <v/>
      </c>
    </row>
    <row r="804" customFormat="false" ht="15" hidden="false" customHeight="false" outlineLevel="0" collapsed="false">
      <c r="B804" s="64"/>
      <c r="C804" s="72" t="str">
        <f aca="false">IF(B804="","",IFERROR(INDEX(T_NOMBRE,MATCH(B804,T_ID,0)),"⚠ ID no existe en Trabajadores"))</f>
        <v/>
      </c>
      <c r="D804" s="64"/>
      <c r="E804" s="64"/>
      <c r="F804" s="65"/>
      <c r="G804" s="65"/>
      <c r="H804" s="67"/>
      <c r="I804" s="64"/>
      <c r="J804" s="65"/>
      <c r="K804" s="64"/>
      <c r="L804" s="64"/>
      <c r="M804" s="64"/>
      <c r="N804" s="72" t="str">
        <f aca="false">IF(B804="","",IF(D804="Anexo de modificación","No","Sí"))</f>
        <v/>
      </c>
      <c r="O804" s="73" t="str">
        <f aca="false">IF(AND(N804="Sí",ISNUMBER(F804)),COUNTIFS(C_ID,B804,C_DEFINE,"Sí",C_INICIO,"&lt;"&amp;F804)+COUNTIFS(B$7:B804,B804,N$7:N804,"Sí",F$7:F804,F804),"")</f>
        <v/>
      </c>
      <c r="P804" s="72" t="str">
        <f aca="false">IF(O804="","",B804&amp;"-P"&amp;O804)</f>
        <v/>
      </c>
      <c r="Q804" s="73" t="str">
        <f aca="false">IF(AND(N804="Sí",E804="Plazo fijo",ISNUMBER(F804)),COUNTIFS(C_ID,B804,C_TIPO,"Plazo fijo",C_DEFINE,"Sí",C_INICIO,"&lt;"&amp;F804)+COUNTIFS(B$7:B804,B804,E$7:E804,"Plazo fijo",N$7:N804,"Sí",F$7:F804,F804),"")</f>
        <v/>
      </c>
      <c r="R804" s="73" t="str">
        <f aca="false">IF(AND(B804&lt;&gt;"",ISNUMBER(H804),ISNUMBER(F804)),COUNTIFS(C_ID,B804,C_SUELDO,"&lt;&gt;",C_INICIO,"&lt;"&amp;F804)+COUNTIFS(B$7:B804,B804,H$7:H804,"&lt;&gt;",F$7:F804,F804),"")</f>
        <v/>
      </c>
      <c r="S804" s="72" t="str">
        <f aca="false">IF(R804="","",B804&amp;"-S"&amp;R804)</f>
        <v/>
      </c>
      <c r="T804" s="74" t="str">
        <f aca="false">IF(AND(ISNUMBER(F804),ISNUMBER(G804)),ROUND((G804-F804+1)/30.4375,1),"")</f>
        <v/>
      </c>
      <c r="U804" s="70" t="str">
        <f aca="false">IF(B804="","",IF(AND(N804="Sí",OR(E804="",NOT(ISNUMBER(F804)))),"⚠ Falta tipo de contrato o fecha de inicio",IF(NOT(ISNUMBER(F804)),"⚠ Falta fecha de inicio",IF(AND(N804="Sí",E804&lt;&gt;"Indefinido",NOT(ISNUMBER(G804))),"⚠ Falta fecha de término",IF(AND(D804="Paso a indefinido",E804&lt;&gt;"Indefinido"),"⚠ Un paso a indefinido debe tener tipo Indefinido",IF(N(Q804)&gt;=3,"⚠ 3er contrato a plazo fijo: por ley ya es INDEFINIDO (Art. 159 N°4)",IF(AND(E804="Plazo fijo",N(T804)&gt;12),"⚠ Plazo fijo mayor a 1 año (máx. legal; 2 años solo profesionales o técnicos)",IF(AND(ISNUMBER(G804),G804&lt;F804),"⚠ Término anterior al inicio",IF(AND(D804="Contrato inicial",ISNUMBER(J804),J804-F804&gt;15),"⚠ Escriturado fuera de plazo (Art. 9: 15 días)",IF(K804&lt;&gt;"Sí","Pendiente de firma","OK"))))))))))</f>
        <v/>
      </c>
    </row>
    <row r="805" customFormat="false" ht="15" hidden="false" customHeight="false" outlineLevel="0" collapsed="false">
      <c r="B805" s="64"/>
      <c r="C805" s="72" t="str">
        <f aca="false">IF(B805="","",IFERROR(INDEX(T_NOMBRE,MATCH(B805,T_ID,0)),"⚠ ID no existe en Trabajadores"))</f>
        <v/>
      </c>
      <c r="D805" s="64"/>
      <c r="E805" s="64"/>
      <c r="F805" s="65"/>
      <c r="G805" s="65"/>
      <c r="H805" s="67"/>
      <c r="I805" s="64"/>
      <c r="J805" s="65"/>
      <c r="K805" s="64"/>
      <c r="L805" s="64"/>
      <c r="M805" s="64"/>
      <c r="N805" s="72" t="str">
        <f aca="false">IF(B805="","",IF(D805="Anexo de modificación","No","Sí"))</f>
        <v/>
      </c>
      <c r="O805" s="73" t="str">
        <f aca="false">IF(AND(N805="Sí",ISNUMBER(F805)),COUNTIFS(C_ID,B805,C_DEFINE,"Sí",C_INICIO,"&lt;"&amp;F805)+COUNTIFS(B$7:B805,B805,N$7:N805,"Sí",F$7:F805,F805),"")</f>
        <v/>
      </c>
      <c r="P805" s="72" t="str">
        <f aca="false">IF(O805="","",B805&amp;"-P"&amp;O805)</f>
        <v/>
      </c>
      <c r="Q805" s="73" t="str">
        <f aca="false">IF(AND(N805="Sí",E805="Plazo fijo",ISNUMBER(F805)),COUNTIFS(C_ID,B805,C_TIPO,"Plazo fijo",C_DEFINE,"Sí",C_INICIO,"&lt;"&amp;F805)+COUNTIFS(B$7:B805,B805,E$7:E805,"Plazo fijo",N$7:N805,"Sí",F$7:F805,F805),"")</f>
        <v/>
      </c>
      <c r="R805" s="73" t="str">
        <f aca="false">IF(AND(B805&lt;&gt;"",ISNUMBER(H805),ISNUMBER(F805)),COUNTIFS(C_ID,B805,C_SUELDO,"&lt;&gt;",C_INICIO,"&lt;"&amp;F805)+COUNTIFS(B$7:B805,B805,H$7:H805,"&lt;&gt;",F$7:F805,F805),"")</f>
        <v/>
      </c>
      <c r="S805" s="72" t="str">
        <f aca="false">IF(R805="","",B805&amp;"-S"&amp;R805)</f>
        <v/>
      </c>
      <c r="T805" s="74" t="str">
        <f aca="false">IF(AND(ISNUMBER(F805),ISNUMBER(G805)),ROUND((G805-F805+1)/30.4375,1),"")</f>
        <v/>
      </c>
      <c r="U805" s="70" t="str">
        <f aca="false">IF(B805="","",IF(AND(N805="Sí",OR(E805="",NOT(ISNUMBER(F805)))),"⚠ Falta tipo de contrato o fecha de inicio",IF(NOT(ISNUMBER(F805)),"⚠ Falta fecha de inicio",IF(AND(N805="Sí",E805&lt;&gt;"Indefinido",NOT(ISNUMBER(G805))),"⚠ Falta fecha de término",IF(AND(D805="Paso a indefinido",E805&lt;&gt;"Indefinido"),"⚠ Un paso a indefinido debe tener tipo Indefinido",IF(N(Q805)&gt;=3,"⚠ 3er contrato a plazo fijo: por ley ya es INDEFINIDO (Art. 159 N°4)",IF(AND(E805="Plazo fijo",N(T805)&gt;12),"⚠ Plazo fijo mayor a 1 año (máx. legal; 2 años solo profesionales o técnicos)",IF(AND(ISNUMBER(G805),G805&lt;F805),"⚠ Término anterior al inicio",IF(AND(D805="Contrato inicial",ISNUMBER(J805),J805-F805&gt;15),"⚠ Escriturado fuera de plazo (Art. 9: 15 días)",IF(K805&lt;&gt;"Sí","Pendiente de firma","OK"))))))))))</f>
        <v/>
      </c>
    </row>
    <row r="806" customFormat="false" ht="15" hidden="false" customHeight="false" outlineLevel="0" collapsed="false">
      <c r="B806" s="64"/>
      <c r="C806" s="72" t="str">
        <f aca="false">IF(B806="","",IFERROR(INDEX(T_NOMBRE,MATCH(B806,T_ID,0)),"⚠ ID no existe en Trabajadores"))</f>
        <v/>
      </c>
      <c r="D806" s="64"/>
      <c r="E806" s="64"/>
      <c r="F806" s="65"/>
      <c r="G806" s="65"/>
      <c r="H806" s="67"/>
      <c r="I806" s="64"/>
      <c r="J806" s="65"/>
      <c r="K806" s="64"/>
      <c r="L806" s="64"/>
      <c r="M806" s="64"/>
      <c r="N806" s="72" t="str">
        <f aca="false">IF(B806="","",IF(D806="Anexo de modificación","No","Sí"))</f>
        <v/>
      </c>
      <c r="O806" s="73" t="str">
        <f aca="false">IF(AND(N806="Sí",ISNUMBER(F806)),COUNTIFS(C_ID,B806,C_DEFINE,"Sí",C_INICIO,"&lt;"&amp;F806)+COUNTIFS(B$7:B806,B806,N$7:N806,"Sí",F$7:F806,F806),"")</f>
        <v/>
      </c>
      <c r="P806" s="72" t="str">
        <f aca="false">IF(O806="","",B806&amp;"-P"&amp;O806)</f>
        <v/>
      </c>
      <c r="Q806" s="73" t="str">
        <f aca="false">IF(AND(N806="Sí",E806="Plazo fijo",ISNUMBER(F806)),COUNTIFS(C_ID,B806,C_TIPO,"Plazo fijo",C_DEFINE,"Sí",C_INICIO,"&lt;"&amp;F806)+COUNTIFS(B$7:B806,B806,E$7:E806,"Plazo fijo",N$7:N806,"Sí",F$7:F806,F806),"")</f>
        <v/>
      </c>
      <c r="R806" s="73" t="str">
        <f aca="false">IF(AND(B806&lt;&gt;"",ISNUMBER(H806),ISNUMBER(F806)),COUNTIFS(C_ID,B806,C_SUELDO,"&lt;&gt;",C_INICIO,"&lt;"&amp;F806)+COUNTIFS(B$7:B806,B806,H$7:H806,"&lt;&gt;",F$7:F806,F806),"")</f>
        <v/>
      </c>
      <c r="S806" s="72" t="str">
        <f aca="false">IF(R806="","",B806&amp;"-S"&amp;R806)</f>
        <v/>
      </c>
      <c r="T806" s="74" t="str">
        <f aca="false">IF(AND(ISNUMBER(F806),ISNUMBER(G806)),ROUND((G806-F806+1)/30.4375,1),"")</f>
        <v/>
      </c>
      <c r="U806" s="70" t="str">
        <f aca="false">IF(B806="","",IF(AND(N806="Sí",OR(E806="",NOT(ISNUMBER(F806)))),"⚠ Falta tipo de contrato o fecha de inicio",IF(NOT(ISNUMBER(F806)),"⚠ Falta fecha de inicio",IF(AND(N806="Sí",E806&lt;&gt;"Indefinido",NOT(ISNUMBER(G806))),"⚠ Falta fecha de término",IF(AND(D806="Paso a indefinido",E806&lt;&gt;"Indefinido"),"⚠ Un paso a indefinido debe tener tipo Indefinido",IF(N(Q806)&gt;=3,"⚠ 3er contrato a plazo fijo: por ley ya es INDEFINIDO (Art. 159 N°4)",IF(AND(E806="Plazo fijo",N(T806)&gt;12),"⚠ Plazo fijo mayor a 1 año (máx. legal; 2 años solo profesionales o técnicos)",IF(AND(ISNUMBER(G806),G806&lt;F806),"⚠ Término anterior al inicio",IF(AND(D806="Contrato inicial",ISNUMBER(J806),J806-F806&gt;15),"⚠ Escriturado fuera de plazo (Art. 9: 15 días)",IF(K806&lt;&gt;"Sí","Pendiente de firma","OK"))))))))))</f>
        <v/>
      </c>
    </row>
  </sheetData>
  <autoFilter ref="B6:U806"/>
  <conditionalFormatting sqref="U7:U806">
    <cfRule type="expression" priority="2" aboveAverage="0" equalAverage="0" bottom="0" percent="0" rank="0" text="" dxfId="15">
      <formula>LEFT($U7,1)="⚠"</formula>
    </cfRule>
    <cfRule type="expression" priority="3" aboveAverage="0" equalAverage="0" bottom="0" percent="0" rank="0" text="" dxfId="19">
      <formula>$U7="Pendiente de firma"</formula>
    </cfRule>
    <cfRule type="expression" priority="4" aboveAverage="0" equalAverage="0" bottom="0" percent="0" rank="0" text="" dxfId="16">
      <formula>$U7="OK"</formula>
    </cfRule>
  </conditionalFormatting>
  <dataValidations count="5">
    <dataValidation allowBlank="true" error="Ingrese una fecha (dd-mm-aaaa)." errorStyle="stop" errorTitle="Fecha no válida" operator="between" showDropDown="false" showErrorMessage="true" showInputMessage="false" sqref="F7:G806 J7:J806" type="date">
      <formula1>32874</formula1>
      <formula2>73051</formula2>
    </dataValidation>
    <dataValidation allowBlank="true" error="Seleccione un valor de la lista desplegable." errorStyle="stop" errorTitle="Valor no válido" operator="between" showDropDown="false" showErrorMessage="true" showInputMessage="false" sqref="B7:B806" type="list">
      <formula1>T_ID</formula1>
      <formula2>0</formula2>
    </dataValidation>
    <dataValidation allowBlank="true" error="Seleccione un valor de la lista desplegable." errorStyle="stop" errorTitle="Valor no válido" operator="between" showDropDown="false" showErrorMessage="true" showInputMessage="false" sqref="D7:D806" type="list">
      <formula1>LS_TIPODOC</formula1>
      <formula2>0</formula2>
    </dataValidation>
    <dataValidation allowBlank="true" error="Seleccione un valor de la lista desplegable." errorStyle="stop" errorTitle="Valor no válido" operator="between" showDropDown="false" showErrorMessage="true" showInputMessage="false" sqref="E7:E806" type="list">
      <formula1>LS_TIPOCONT</formula1>
      <formula2>0</formula2>
    </dataValidation>
    <dataValidation allowBlank="true" error="Seleccione un valor de la lista desplegable." errorStyle="stop" errorTitle="Valor no válido" operator="between" showDropDown="false" showErrorMessage="true" showInputMessage="false" sqref="K7:K806" type="list">
      <formula1>LS_SINO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4A"/>
    <pageSetUpPr fitToPage="false"/>
  </sheetPr>
  <dimension ref="B2:V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24"/>
    <col collapsed="false" customWidth="true" hidden="false" outlineLevel="0" max="4" min="4" style="0" width="20"/>
    <col collapsed="false" customWidth="true" hidden="false" outlineLevel="0" max="5" min="5" style="0" width="14"/>
    <col collapsed="false" customWidth="true" hidden="false" outlineLevel="0" max="6" min="6" style="0" width="11"/>
    <col collapsed="false" customWidth="true" hidden="true" outlineLevel="0" max="8" min="7" style="0" width="9"/>
    <col collapsed="false" customWidth="true" hidden="false" outlineLevel="0" max="9" min="9" style="0" width="12"/>
    <col collapsed="false" customWidth="true" hidden="false" outlineLevel="0" max="10" min="10" style="0" width="19"/>
    <col collapsed="false" customWidth="true" hidden="false" outlineLevel="0" max="11" min="11" style="0" width="9"/>
    <col collapsed="false" customWidth="true" hidden="false" outlineLevel="0" max="12" min="12" style="0" width="10"/>
    <col collapsed="false" customWidth="true" hidden="false" outlineLevel="0" max="14" min="13" style="0" width="11"/>
    <col collapsed="false" customWidth="true" hidden="false" outlineLevel="0" max="15" min="15" style="0" width="8"/>
    <col collapsed="false" customWidth="true" hidden="false" outlineLevel="0" max="16" min="16" style="0" width="11"/>
    <col collapsed="false" customWidth="true" hidden="false" outlineLevel="0" max="17" min="17" style="0" width="12"/>
    <col collapsed="false" customWidth="true" hidden="false" outlineLevel="0" max="18" min="18" style="0" width="20"/>
    <col collapsed="false" customWidth="true" hidden="false" outlineLevel="0" max="19" min="19" style="0" width="66"/>
    <col collapsed="false" customWidth="true" hidden="false" outlineLevel="0" max="20" min="20" style="0" width="40"/>
    <col collapsed="false" customWidth="true" hidden="false" outlineLevel="0" max="21" min="21" style="0" width="12"/>
    <col collapsed="false" customWidth="true" hidden="true" outlineLevel="0" max="22" min="22" style="0" width="5"/>
  </cols>
  <sheetData>
    <row r="2" customFormat="false" ht="24" hidden="false" customHeight="true" outlineLevel="0" collapsed="false">
      <c r="B2" s="1" t="s">
        <v>274</v>
      </c>
      <c r="C2" s="2"/>
      <c r="D2" s="2"/>
      <c r="E2" s="2"/>
      <c r="F2" s="2"/>
      <c r="G2" s="2"/>
      <c r="H2" s="2"/>
      <c r="I2" s="2"/>
      <c r="J2" s="2"/>
      <c r="K2" s="2"/>
      <c r="L2" s="2"/>
      <c r="M2" s="2"/>
      <c r="N2" s="2"/>
      <c r="O2" s="2"/>
      <c r="P2" s="2"/>
      <c r="Q2" s="2"/>
      <c r="R2" s="2"/>
      <c r="S2" s="2"/>
      <c r="T2" s="2"/>
      <c r="U2" s="2"/>
      <c r="V2" s="2"/>
    </row>
    <row r="3" customFormat="false" ht="15.75" hidden="false" customHeight="true" outlineLevel="0" collapsed="false">
      <c r="B3" s="3" t="s">
        <v>275</v>
      </c>
      <c r="C3" s="2"/>
      <c r="D3" s="2"/>
      <c r="E3" s="2"/>
      <c r="F3" s="2"/>
      <c r="G3" s="2"/>
      <c r="H3" s="2"/>
      <c r="I3" s="2"/>
      <c r="J3" s="2"/>
      <c r="K3" s="2"/>
      <c r="L3" s="2"/>
      <c r="M3" s="2"/>
      <c r="N3" s="2"/>
      <c r="O3" s="2"/>
      <c r="P3" s="2"/>
      <c r="Q3" s="2"/>
      <c r="R3" s="2"/>
      <c r="S3" s="2"/>
      <c r="T3" s="2"/>
      <c r="U3" s="2"/>
      <c r="V3" s="2"/>
    </row>
    <row r="4" customFormat="false" ht="15" hidden="false" customHeight="false" outlineLevel="0" collapsed="false">
      <c r="B4" s="63" t="s">
        <v>276</v>
      </c>
    </row>
    <row r="6" customFormat="false" ht="48" hidden="false" customHeight="true" outlineLevel="0" collapsed="false">
      <c r="B6" s="53" t="s">
        <v>152</v>
      </c>
      <c r="C6" s="53" t="s">
        <v>277</v>
      </c>
      <c r="D6" s="53" t="s">
        <v>113</v>
      </c>
      <c r="E6" s="53" t="s">
        <v>278</v>
      </c>
      <c r="F6" s="53" t="s">
        <v>279</v>
      </c>
      <c r="G6" s="53" t="s">
        <v>280</v>
      </c>
      <c r="H6" s="53" t="s">
        <v>281</v>
      </c>
      <c r="I6" s="53" t="s">
        <v>174</v>
      </c>
      <c r="J6" s="53" t="s">
        <v>282</v>
      </c>
      <c r="K6" s="53" t="s">
        <v>283</v>
      </c>
      <c r="L6" s="53" t="s">
        <v>284</v>
      </c>
      <c r="M6" s="53" t="s">
        <v>285</v>
      </c>
      <c r="N6" s="53" t="s">
        <v>286</v>
      </c>
      <c r="O6" s="53" t="s">
        <v>287</v>
      </c>
      <c r="P6" s="53" t="s">
        <v>288</v>
      </c>
      <c r="Q6" s="53" t="s">
        <v>289</v>
      </c>
      <c r="R6" s="53" t="s">
        <v>290</v>
      </c>
      <c r="S6" s="53" t="s">
        <v>291</v>
      </c>
      <c r="T6" s="53" t="s">
        <v>292</v>
      </c>
      <c r="U6" s="53" t="s">
        <v>293</v>
      </c>
      <c r="V6" s="53" t="s">
        <v>294</v>
      </c>
    </row>
    <row r="7" customFormat="false" ht="15" hidden="false" customHeight="false" outlineLevel="0" collapsed="false">
      <c r="B7" s="70" t="str">
        <f aca="false">IFERROR(IF(INDEX(T_ID,1)="","",INDEX(T_ID,1)),"")</f>
        <v>T001</v>
      </c>
      <c r="C7" s="70" t="str">
        <f aca="false">IF(B7="","",INDEX(T_NOMBRE,1)&amp;"")</f>
        <v>María Soto (EJEMPLO)</v>
      </c>
      <c r="D7" s="70" t="str">
        <f aca="false">IF(B7="","",INDEX(T_CARGO,1)&amp;"")</f>
        <v>Jefa de Producción</v>
      </c>
      <c r="E7" s="70" t="str">
        <f aca="false">IF(B7="","",INDEX(T_ESTADO,1))</f>
        <v>Activo</v>
      </c>
      <c r="F7" s="75" t="n">
        <f aca="false">IF(B7="","",INDEX(T_INGRESO,1))</f>
        <v>44256</v>
      </c>
      <c r="G7" s="70" t="n">
        <f aca="false">IF(B7="","",COUNTIFS(C_ID,B7,C_DEFINE,"Sí",C_INICIO,"&lt;="&amp;FECHA_CORTE))</f>
        <v>3</v>
      </c>
      <c r="H7" s="70" t="n">
        <f aca="false">IF(B7="","",COUNTIFS(C_ID,B7,C_DEFINE,"Sí"))</f>
        <v>3</v>
      </c>
      <c r="I7" s="70" t="str">
        <f aca="false">IF(B7="","",IF(H7=0,"Sin contrato",IFERROR(INDEX(C_TIPO,MATCH(B7&amp;"-P"&amp;MAX(1,G7),C_CLAVE,0))&amp;"","")))</f>
        <v>Indefinido</v>
      </c>
      <c r="J7" s="70" t="str">
        <f aca="false">IF(OR(B7="",N(H7)=0),"",IFERROR(INDEX(C_TIPODOC,MATCH(B7&amp;"-P"&amp;MAX(1,G7),C_CLAVE,0))&amp;"",""))</f>
        <v>Paso a indefinido</v>
      </c>
      <c r="K7" s="76" t="str">
        <f aca="false">IF(I7="Plazo fijo",IFERROR(INDEX(C_NPF,MATCH(B7&amp;"-P"&amp;MAX(1,G7),C_CLAVE,0)),""),"")</f>
        <v/>
      </c>
      <c r="L7" s="70" t="n">
        <f aca="false">IF(B7="","",COUNTIFS(C_ID,B7,C_TIPODOC,"Anexo de modificación"))</f>
        <v>3</v>
      </c>
      <c r="M7" s="75" t="n">
        <f aca="false">IF(OR(B7="",N(H7)=0),"",IFERROR(INDEX(C_INICIO,MATCH(B7&amp;"-P"&amp;MAX(1,G7),C_CLAVE,0)),""))</f>
        <v>44440</v>
      </c>
      <c r="N7" s="75" t="str">
        <f aca="false">IF(OR(I7="Plazo fijo",I7="Obra o faena"),IFERROR(IF(N(INDEX(C_TERMINO,MATCH(B7&amp;"-P"&amp;MAX(1,G7),C_CLAVE,0)))=0,"",INDEX(C_TERMINO,MATCH(B7&amp;"-P"&amp;MAX(1,G7),C_CLAVE,0))),""),"")</f>
        <v/>
      </c>
      <c r="O7" s="77" t="str">
        <f aca="false">IF(AND(ISNUMBER(N7),E7&lt;&gt;"Desvinculado"),N7-FECHA_CORTE,"")</f>
        <v/>
      </c>
      <c r="P7" s="75" t="str">
        <f aca="false">IF(AND(ISNUMBER(N7),E7&lt;&gt;"Desvinculado"),N7-DIAS_DECISION,"")</f>
        <v/>
      </c>
      <c r="Q7" s="75" t="str">
        <f aca="false">IF(OR(B7="",N(H7)&lt;=N(G7)),"",IFERROR(INDEX(C_INICIO,MATCH(B7&amp;"-P"&amp;(G7+1),C_CLAVE,0)),""))</f>
        <v/>
      </c>
      <c r="R7" s="70" t="str">
        <f aca="false">IF(B7="","",IF(E7="Desvinculado","Terminado",IF(H7=0,"Sin contrato registrado",IF(E7="Por ingresar","Por ingresar",IF(ISNUMBER(Q7),"Renovación registrada",IF(I7="Indefinido","Indefinido",IF(NOT(ISNUMBER(O7)),"Falta fecha de término",IF(O7&lt;0,"VENCIDO",IF(O7&lt;=ALERTA_ROJA,"Vence en ≤ "&amp;ALERTA_ROJA&amp;" días",IF(O7&lt;=ALERTA_NARANJA,"Vence en ≤ "&amp;ALERTA_NARANJA&amp;" días",IF(O7&lt;=ALERTA_AMARILLA,"Vence en ≤ "&amp;ALERTA_AMARILLA&amp;" días","Vigente")))))))))))</f>
        <v>Indefinido</v>
      </c>
      <c r="S7" s="70" t="str">
        <f aca="false">IF(B7="","",IF(R7="Terminado","—",IF(R7="Sin contrato registrado","Registrar el contrato en la hoja Contratos",IF(R7="Por ingresar","Tener el contrato firmado y hacer el alta en AFP, salud, seguro de cesantía y mutual",IF(R7="Renovación registrada",IF(AND(N(K7)&gt;=2,IFERROR(INDEX(C_TIPO,MATCH(B7&amp;"-P"&amp;(G7+1),C_CLAVE,0)),"")="Plazo fijo"),"⚠ El período registrado sería el 3er contrato a plazo: por ley es INDEFINIDO. Registrarlo como Paso a indefinido","Siguiente período ya registrado: verificar que el documento esté firmado"),IF(I7="Indefinido","Sin vencimiento. Cambios de sueldo, cargo o jornada se formalizan con anexo de modificación",IF(R7="Falta fecha de término","Completar la fecha de término en la hoja Contratos",IF(R7="VENCIDO","Si sigue trabajando, por ley el contrato ya es INDEFINIDO (Art. 159 N°4): firmar anexo de paso a indefinido o regularizar el término",IF(I7="Obra o faena","Al concluir la obra: finiquito por Art. 159 N°5 + indemnización de 2,5 días por mes trabajado (Ley 21.122)",IF(N(K7)&gt;=3,"Por ley ya es indefinido (2ª renovación): firmar anexo de paso a indefinido",IF(N(K7)=2,"2° contrato a plazo: NO admite otra renovación a plazo fijo. Pasar a indefinido o terminar al vencimiento (carta dentro de 3 días hábiles)","1er contrato a plazo: renovar (2° plazo fijo), pasar a indefinido o terminar al vencimiento (carta dentro de 3 días hábiles)")))))))))))</f>
        <v>Sin vencimiento. Cambios de sueldo, cargo o jornada se formalizan con anexo de modificación</v>
      </c>
      <c r="T7" s="70" t="str">
        <f aca="false">IF(B7="","",IF(COUNTIFS(C_ID,B7,C_FIRMADO,"&lt;&gt;Sí")&gt;0,COUNTIFS(C_ID,B7,C_FIRMADO,"&lt;&gt;Sí")&amp;" documento(s) sin firma. ","")&amp;IF(COUNTIFS(C_ID,B7,C_TIPO,"Plazo fijo",C_DEFINE,"Sí")&gt;2,"Más de 2 contratos a plazo: revisar presunción de indefinido. ","")&amp;IF(AND(R7="VENCIDO",LEFT(E7,6)="Activo"),"Trabaja con contrato vencido. ",""))</f>
        <v/>
      </c>
      <c r="U7" s="71" t="n">
        <f aca="false">IF(B7="","",INDEX(T_SUELDO,1))</f>
        <v>1250000</v>
      </c>
      <c r="V7" s="72" t="str">
        <f aca="false">IF(AND(B7&lt;&gt;"",LEFT(E7,6)="Activo",ISNUMBER(O7),R7&lt;&gt;"Renovación registrada"),O7+ROW()/100000,"")</f>
        <v/>
      </c>
    </row>
    <row r="8" customFormat="false" ht="15" hidden="false" customHeight="false" outlineLevel="0" collapsed="false">
      <c r="B8" s="70" t="str">
        <f aca="false">IFERROR(IF(INDEX(T_ID,2)="","",INDEX(T_ID,2)),"")</f>
        <v>T002</v>
      </c>
      <c r="C8" s="70" t="str">
        <f aca="false">IF(B8="","",INDEX(T_NOMBRE,2)&amp;"")</f>
        <v>Juan Pérez (EJEMPLO)</v>
      </c>
      <c r="D8" s="70" t="str">
        <f aca="false">IF(B8="","",INDEX(T_CARGO,2)&amp;"")</f>
        <v>Operador de sublimación</v>
      </c>
      <c r="E8" s="70" t="str">
        <f aca="false">IF(B8="","",INDEX(T_ESTADO,2))</f>
        <v>Activo</v>
      </c>
      <c r="F8" s="75" t="n">
        <f aca="false">IF(B8="","",INDEX(T_INGRESO,2))</f>
        <v>46237</v>
      </c>
      <c r="G8" s="70" t="n">
        <f aca="false">IF(B8="","",COUNTIFS(C_ID,B8,C_DEFINE,"Sí",C_INICIO,"&lt;="&amp;FECHA_CORTE))</f>
        <v>1</v>
      </c>
      <c r="H8" s="70" t="n">
        <f aca="false">IF(B8="","",COUNTIFS(C_ID,B8,C_DEFINE,"Sí"))</f>
        <v>1</v>
      </c>
      <c r="I8" s="70" t="str">
        <f aca="false">IF(B8="","",IF(H8=0,"Sin contrato",IFERROR(INDEX(C_TIPO,MATCH(B8&amp;"-P"&amp;MAX(1,G8),C_CLAVE,0))&amp;"","")))</f>
        <v>Plazo fijo</v>
      </c>
      <c r="J8" s="70" t="str">
        <f aca="false">IF(OR(B8="",N(H8)=0),"",IFERROR(INDEX(C_TIPODOC,MATCH(B8&amp;"-P"&amp;MAX(1,G8),C_CLAVE,0))&amp;"",""))</f>
        <v>Contrato inicial</v>
      </c>
      <c r="K8" s="76" t="n">
        <f aca="false">IF(I8="Plazo fijo",IFERROR(INDEX(C_NPF,MATCH(B8&amp;"-P"&amp;MAX(1,G8),C_CLAVE,0)),""),"")</f>
        <v>1</v>
      </c>
      <c r="L8" s="70" t="n">
        <f aca="false">IF(B8="","",COUNTIFS(C_ID,B8,C_TIPODOC,"Anexo de modificación"))</f>
        <v>0</v>
      </c>
      <c r="M8" s="75" t="n">
        <f aca="false">IF(OR(B8="",N(H8)=0),"",IFERROR(INDEX(C_INICIO,MATCH(B8&amp;"-P"&amp;MAX(1,G8),C_CLAVE,0)),""))</f>
        <v>46237</v>
      </c>
      <c r="N8" s="75" t="n">
        <f aca="false">IF(OR(I8="Plazo fijo",I8="Obra o faena"),IFERROR(IF(N(INDEX(C_TERMINO,MATCH(B8&amp;"-P"&amp;MAX(1,G8),C_CLAVE,0)))=0,"",INDEX(C_TERMINO,MATCH(B8&amp;"-P"&amp;MAX(1,G8),C_CLAVE,0))),""),"")</f>
        <v>46328</v>
      </c>
      <c r="O8" s="77" t="n">
        <f aca="false">IF(AND(ISNUMBER(N8),E8&lt;&gt;"Desvinculado"),N8-FECHA_CORTE,"")</f>
        <v>6</v>
      </c>
      <c r="P8" s="75" t="n">
        <f aca="false">IF(AND(ISNUMBER(N8),E8&lt;&gt;"Desvinculado"),N8-DIAS_DECISION,"")</f>
        <v>46313</v>
      </c>
      <c r="Q8" s="75" t="str">
        <f aca="false">IF(OR(B8="",N(H8)&lt;=N(G8)),"",IFERROR(INDEX(C_INICIO,MATCH(B8&amp;"-P"&amp;(G8+1),C_CLAVE,0)),""))</f>
        <v/>
      </c>
      <c r="R8" s="70" t="str">
        <f aca="false">IF(B8="","",IF(E8="Desvinculado","Terminado",IF(H8=0,"Sin contrato registrado",IF(E8="Por ingresar","Por ingresar",IF(ISNUMBER(Q8),"Renovación registrada",IF(I8="Indefinido","Indefinido",IF(NOT(ISNUMBER(O8)),"Falta fecha de término",IF(O8&lt;0,"VENCIDO",IF(O8&lt;=ALERTA_ROJA,"Vence en ≤ "&amp;ALERTA_ROJA&amp;" días",IF(O8&lt;=ALERTA_NARANJA,"Vence en ≤ "&amp;ALERTA_NARANJA&amp;" días",IF(O8&lt;=ALERTA_AMARILLA,"Vence en ≤ "&amp;ALERTA_AMARILLA&amp;" días","Vigente")))))))))))</f>
        <v>Vence en ≤ 15 días</v>
      </c>
      <c r="S8" s="70" t="str">
        <f aca="false">IF(B8="","",IF(R8="Terminado","—",IF(R8="Sin contrato registrado","Registrar el contrato en la hoja Contratos",IF(R8="Por ingresar","Tener el contrato firmado y hacer el alta en AFP, salud, seguro de cesantía y mutual",IF(R8="Renovación registrada",IF(AND(N(K8)&gt;=2,IFERROR(INDEX(C_TIPO,MATCH(B8&amp;"-P"&amp;(G8+1),C_CLAVE,0)),"")="Plazo fijo"),"⚠ El período registrado sería el 3er contrato a plazo: por ley es INDEFINIDO. Registrarlo como Paso a indefinido","Siguiente período ya registrado: verificar que el documento esté firmado"),IF(I8="Indefinido","Sin vencimiento. Cambios de sueldo, cargo o jornada se formalizan con anexo de modificación",IF(R8="Falta fecha de término","Completar la fecha de término en la hoja Contratos",IF(R8="VENCIDO","Si sigue trabajando, por ley el contrato ya es INDEFINIDO (Art. 159 N°4): firmar anexo de paso a indefinido o regularizar el término",IF(I8="Obra o faena","Al concluir la obra: finiquito por Art. 159 N°5 + indemnización de 2,5 días por mes trabajado (Ley 21.122)",IF(N(K8)&gt;=3,"Por ley ya es indefinido (2ª renovación): firmar anexo de paso a indefinido",IF(N(K8)=2,"2° contrato a plazo: NO admite otra renovación a plazo fijo. Pasar a indefinido o terminar al vencimiento (carta dentro de 3 días hábiles)","1er contrato a plazo: renovar (2° plazo fijo), pasar a indefinido o terminar al vencimiento (carta dentro de 3 días hábiles)")))))))))))</f>
        <v>1er contrato a plazo: renovar (2° plazo fijo), pasar a indefinido o terminar al vencimiento (carta dentro de 3 días hábiles)</v>
      </c>
      <c r="T8" s="70" t="str">
        <f aca="false">IF(B8="","",IF(COUNTIFS(C_ID,B8,C_FIRMADO,"&lt;&gt;Sí")&gt;0,COUNTIFS(C_ID,B8,C_FIRMADO,"&lt;&gt;Sí")&amp;" documento(s) sin firma. ","")&amp;IF(COUNTIFS(C_ID,B8,C_TIPO,"Plazo fijo",C_DEFINE,"Sí")&gt;2,"Más de 2 contratos a plazo: revisar presunción de indefinido. ","")&amp;IF(AND(R8="VENCIDO",LEFT(E8,6)="Activo"),"Trabaja con contrato vencido. ",""))</f>
        <v/>
      </c>
      <c r="U8" s="71" t="n">
        <f aca="false">IF(B8="","",INDEX(T_SUELDO,2))</f>
        <v>580000</v>
      </c>
      <c r="V8" s="72" t="n">
        <f aca="false">IF(AND(B8&lt;&gt;"",LEFT(E8,6)="Activo",ISNUMBER(O8),R8&lt;&gt;"Renovación registrada"),O8+ROW()/100000,"")</f>
        <v>6.00008</v>
      </c>
    </row>
    <row r="9" customFormat="false" ht="15" hidden="false" customHeight="false" outlineLevel="0" collapsed="false">
      <c r="B9" s="70" t="str">
        <f aca="false">IFERROR(IF(INDEX(T_ID,3)="","",INDEX(T_ID,3)),"")</f>
        <v>T003</v>
      </c>
      <c r="C9" s="70" t="str">
        <f aca="false">IF(B9="","",INDEX(T_NOMBRE,3)&amp;"")</f>
        <v>Camila Rojas (EJEMPLO)</v>
      </c>
      <c r="D9" s="70" t="str">
        <f aca="false">IF(B9="","",INDEX(T_CARGO,3)&amp;"")</f>
        <v>Diseñadora gráfica</v>
      </c>
      <c r="E9" s="70" t="str">
        <f aca="false">IF(B9="","",INDEX(T_ESTADO,3))</f>
        <v>Activo</v>
      </c>
      <c r="F9" s="75" t="n">
        <f aca="false">IF(B9="","",INDEX(T_INGRESO,3))</f>
        <v>46097</v>
      </c>
      <c r="G9" s="70" t="n">
        <f aca="false">IF(B9="","",COUNTIFS(C_ID,B9,C_DEFINE,"Sí",C_INICIO,"&lt;="&amp;FECHA_CORTE))</f>
        <v>2</v>
      </c>
      <c r="H9" s="70" t="n">
        <f aca="false">IF(B9="","",COUNTIFS(C_ID,B9,C_DEFINE,"Sí"))</f>
        <v>2</v>
      </c>
      <c r="I9" s="70" t="str">
        <f aca="false">IF(B9="","",IF(H9=0,"Sin contrato",IFERROR(INDEX(C_TIPO,MATCH(B9&amp;"-P"&amp;MAX(1,G9),C_CLAVE,0))&amp;"","")))</f>
        <v>Plazo fijo</v>
      </c>
      <c r="J9" s="70" t="str">
        <f aca="false">IF(OR(B9="",N(H9)=0),"",IFERROR(INDEX(C_TIPODOC,MATCH(B9&amp;"-P"&amp;MAX(1,G9),C_CLAVE,0))&amp;"",""))</f>
        <v>Renovación / prórroga</v>
      </c>
      <c r="K9" s="76" t="n">
        <f aca="false">IF(I9="Plazo fijo",IFERROR(INDEX(C_NPF,MATCH(B9&amp;"-P"&amp;MAX(1,G9),C_CLAVE,0)),""),"")</f>
        <v>2</v>
      </c>
      <c r="L9" s="70" t="n">
        <f aca="false">IF(B9="","",COUNTIFS(C_ID,B9,C_TIPODOC,"Anexo de modificación"))</f>
        <v>0</v>
      </c>
      <c r="M9" s="75" t="n">
        <f aca="false">IF(OR(B9="",N(H9)=0),"",IFERROR(INDEX(C_INICIO,MATCH(B9&amp;"-P"&amp;MAX(1,G9),C_CLAVE,0)),""))</f>
        <v>46189</v>
      </c>
      <c r="N9" s="75" t="n">
        <f aca="false">IF(OR(I9="Plazo fijo",I9="Obra o faena"),IFERROR(IF(N(INDEX(C_TERMINO,MATCH(B9&amp;"-P"&amp;MAX(1,G9),C_CLAVE,0)))=0,"",INDEX(C_TERMINO,MATCH(B9&amp;"-P"&amp;MAX(1,G9),C_CLAVE,0))),""),"")</f>
        <v>46371</v>
      </c>
      <c r="O9" s="77" t="n">
        <f aca="false">IF(AND(ISNUMBER(N9),E9&lt;&gt;"Desvinculado"),N9-FECHA_CORTE,"")</f>
        <v>49</v>
      </c>
      <c r="P9" s="75" t="n">
        <f aca="false">IF(AND(ISNUMBER(N9),E9&lt;&gt;"Desvinculado"),N9-DIAS_DECISION,"")</f>
        <v>46356</v>
      </c>
      <c r="Q9" s="75" t="str">
        <f aca="false">IF(OR(B9="",N(H9)&lt;=N(G9)),"",IFERROR(INDEX(C_INICIO,MATCH(B9&amp;"-P"&amp;(G9+1),C_CLAVE,0)),""))</f>
        <v/>
      </c>
      <c r="R9" s="70" t="str">
        <f aca="false">IF(B9="","",IF(E9="Desvinculado","Terminado",IF(H9=0,"Sin contrato registrado",IF(E9="Por ingresar","Por ingresar",IF(ISNUMBER(Q9),"Renovación registrada",IF(I9="Indefinido","Indefinido",IF(NOT(ISNUMBER(O9)),"Falta fecha de término",IF(O9&lt;0,"VENCIDO",IF(O9&lt;=ALERTA_ROJA,"Vence en ≤ "&amp;ALERTA_ROJA&amp;" días",IF(O9&lt;=ALERTA_NARANJA,"Vence en ≤ "&amp;ALERTA_NARANJA&amp;" días",IF(O9&lt;=ALERTA_AMARILLA,"Vence en ≤ "&amp;ALERTA_AMARILLA&amp;" días","Vigente")))))))))))</f>
        <v>Vence en ≤ 60 días</v>
      </c>
      <c r="S9" s="70" t="str">
        <f aca="false">IF(B9="","",IF(R9="Terminado","—",IF(R9="Sin contrato registrado","Registrar el contrato en la hoja Contratos",IF(R9="Por ingresar","Tener el contrato firmado y hacer el alta en AFP, salud, seguro de cesantía y mutual",IF(R9="Renovación registrada",IF(AND(N(K9)&gt;=2,IFERROR(INDEX(C_TIPO,MATCH(B9&amp;"-P"&amp;(G9+1),C_CLAVE,0)),"")="Plazo fijo"),"⚠ El período registrado sería el 3er contrato a plazo: por ley es INDEFINIDO. Registrarlo como Paso a indefinido","Siguiente período ya registrado: verificar que el documento esté firmado"),IF(I9="Indefinido","Sin vencimiento. Cambios de sueldo, cargo o jornada se formalizan con anexo de modificación",IF(R9="Falta fecha de término","Completar la fecha de término en la hoja Contratos",IF(R9="VENCIDO","Si sigue trabajando, por ley el contrato ya es INDEFINIDO (Art. 159 N°4): firmar anexo de paso a indefinido o regularizar el término",IF(I9="Obra o faena","Al concluir la obra: finiquito por Art. 159 N°5 + indemnización de 2,5 días por mes trabajado (Ley 21.122)",IF(N(K9)&gt;=3,"Por ley ya es indefinido (2ª renovación): firmar anexo de paso a indefinido",IF(N(K9)=2,"2° contrato a plazo: NO admite otra renovación a plazo fijo. Pasar a indefinido o terminar al vencimiento (carta dentro de 3 días hábiles)","1er contrato a plazo: renovar (2° plazo fijo), pasar a indefinido o terminar al vencimiento (carta dentro de 3 días hábiles)")))))))))))</f>
        <v>2° contrato a plazo: NO admite otra renovación a plazo fijo. Pasar a indefinido o terminar al vencimiento (carta dentro de 3 días hábiles)</v>
      </c>
      <c r="T9" s="70" t="str">
        <f aca="false">IF(B9="","",IF(COUNTIFS(C_ID,B9,C_FIRMADO,"&lt;&gt;Sí")&gt;0,COUNTIFS(C_ID,B9,C_FIRMADO,"&lt;&gt;Sí")&amp;" documento(s) sin firma. ","")&amp;IF(COUNTIFS(C_ID,B9,C_TIPO,"Plazo fijo",C_DEFINE,"Sí")&gt;2,"Más de 2 contratos a plazo: revisar presunción de indefinido. ","")&amp;IF(AND(R9="VENCIDO",LEFT(E9,6)="Activo"),"Trabaja con contrato vencido. ",""))</f>
        <v/>
      </c>
      <c r="U9" s="71" t="n">
        <f aca="false">IF(B9="","",INDEX(T_SUELDO,3))</f>
        <v>850000</v>
      </c>
      <c r="V9" s="72" t="n">
        <f aca="false">IF(AND(B9&lt;&gt;"",LEFT(E9,6)="Activo",ISNUMBER(O9),R9&lt;&gt;"Renovación registrada"),O9+ROW()/100000,"")</f>
        <v>49.00009</v>
      </c>
    </row>
    <row r="10" customFormat="false" ht="15" hidden="false" customHeight="false" outlineLevel="0" collapsed="false">
      <c r="B10" s="70" t="str">
        <f aca="false">IFERROR(IF(INDEX(T_ID,4)="","",INDEX(T_ID,4)),"")</f>
        <v>T004</v>
      </c>
      <c r="C10" s="70" t="str">
        <f aca="false">IF(B10="","",INDEX(T_NOMBRE,4)&amp;"")</f>
        <v>Pedro Muñoz (EJEMPLO)</v>
      </c>
      <c r="D10" s="70" t="str">
        <f aca="false">IF(B10="","",INDEX(T_CARGO,4)&amp;"")</f>
        <v>Cortador</v>
      </c>
      <c r="E10" s="70" t="str">
        <f aca="false">IF(B10="","",INDEX(T_ESTADO,4))</f>
        <v>Activo</v>
      </c>
      <c r="F10" s="75" t="n">
        <f aca="false">IF(B10="","",INDEX(T_INGRESO,4))</f>
        <v>45110</v>
      </c>
      <c r="G10" s="70" t="n">
        <f aca="false">IF(B10="","",COUNTIFS(C_ID,B10,C_DEFINE,"Sí",C_INICIO,"&lt;="&amp;FECHA_CORTE))</f>
        <v>1</v>
      </c>
      <c r="H10" s="70" t="n">
        <f aca="false">IF(B10="","",COUNTIFS(C_ID,B10,C_DEFINE,"Sí"))</f>
        <v>1</v>
      </c>
      <c r="I10" s="70" t="str">
        <f aca="false">IF(B10="","",IF(H10=0,"Sin contrato",IFERROR(INDEX(C_TIPO,MATCH(B10&amp;"-P"&amp;MAX(1,G10),C_CLAVE,0))&amp;"","")))</f>
        <v>Indefinido</v>
      </c>
      <c r="J10" s="70" t="str">
        <f aca="false">IF(OR(B10="",N(H10)=0),"",IFERROR(INDEX(C_TIPODOC,MATCH(B10&amp;"-P"&amp;MAX(1,G10),C_CLAVE,0))&amp;"",""))</f>
        <v>Contrato inicial</v>
      </c>
      <c r="K10" s="76" t="str">
        <f aca="false">IF(I10="Plazo fijo",IFERROR(INDEX(C_NPF,MATCH(B10&amp;"-P"&amp;MAX(1,G10),C_CLAVE,0)),""),"")</f>
        <v/>
      </c>
      <c r="L10" s="70" t="n">
        <f aca="false">IF(B10="","",COUNTIFS(C_ID,B10,C_TIPODOC,"Anexo de modificación"))</f>
        <v>1</v>
      </c>
      <c r="M10" s="75" t="n">
        <f aca="false">IF(OR(B10="",N(H10)=0),"",IFERROR(INDEX(C_INICIO,MATCH(B10&amp;"-P"&amp;MAX(1,G10),C_CLAVE,0)),""))</f>
        <v>45110</v>
      </c>
      <c r="N10" s="75" t="str">
        <f aca="false">IF(OR(I10="Plazo fijo",I10="Obra o faena"),IFERROR(IF(N(INDEX(C_TERMINO,MATCH(B10&amp;"-P"&amp;MAX(1,G10),C_CLAVE,0)))=0,"",INDEX(C_TERMINO,MATCH(B10&amp;"-P"&amp;MAX(1,G10),C_CLAVE,0))),""),"")</f>
        <v/>
      </c>
      <c r="O10" s="77" t="str">
        <f aca="false">IF(AND(ISNUMBER(N10),E10&lt;&gt;"Desvinculado"),N10-FECHA_CORTE,"")</f>
        <v/>
      </c>
      <c r="P10" s="75" t="str">
        <f aca="false">IF(AND(ISNUMBER(N10),E10&lt;&gt;"Desvinculado"),N10-DIAS_DECISION,"")</f>
        <v/>
      </c>
      <c r="Q10" s="75" t="str">
        <f aca="false">IF(OR(B10="",N(H10)&lt;=N(G10)),"",IFERROR(INDEX(C_INICIO,MATCH(B10&amp;"-P"&amp;(G10+1),C_CLAVE,0)),""))</f>
        <v/>
      </c>
      <c r="R10" s="70" t="str">
        <f aca="false">IF(B10="","",IF(E10="Desvinculado","Terminado",IF(H10=0,"Sin contrato registrado",IF(E10="Por ingresar","Por ingresar",IF(ISNUMBER(Q10),"Renovación registrada",IF(I10="Indefinido","Indefinido",IF(NOT(ISNUMBER(O10)),"Falta fecha de término",IF(O10&lt;0,"VENCIDO",IF(O10&lt;=ALERTA_ROJA,"Vence en ≤ "&amp;ALERTA_ROJA&amp;" días",IF(O10&lt;=ALERTA_NARANJA,"Vence en ≤ "&amp;ALERTA_NARANJA&amp;" días",IF(O10&lt;=ALERTA_AMARILLA,"Vence en ≤ "&amp;ALERTA_AMARILLA&amp;" días","Vigente")))))))))))</f>
        <v>Indefinido</v>
      </c>
      <c r="S10" s="70" t="str">
        <f aca="false">IF(B10="","",IF(R10="Terminado","—",IF(R10="Sin contrato registrado","Registrar el contrato en la hoja Contratos",IF(R10="Por ingresar","Tener el contrato firmado y hacer el alta en AFP, salud, seguro de cesantía y mutual",IF(R10="Renovación registrada",IF(AND(N(K10)&gt;=2,IFERROR(INDEX(C_TIPO,MATCH(B10&amp;"-P"&amp;(G10+1),C_CLAVE,0)),"")="Plazo fijo"),"⚠ El período registrado sería el 3er contrato a plazo: por ley es INDEFINIDO. Registrarlo como Paso a indefinido","Siguiente período ya registrado: verificar que el documento esté firmado"),IF(I10="Indefinido","Sin vencimiento. Cambios de sueldo, cargo o jornada se formalizan con anexo de modificación",IF(R10="Falta fecha de término","Completar la fecha de término en la hoja Contratos",IF(R10="VENCIDO","Si sigue trabajando, por ley el contrato ya es INDEFINIDO (Art. 159 N°4): firmar anexo de paso a indefinido o regularizar el término",IF(I10="Obra o faena","Al concluir la obra: finiquito por Art. 159 N°5 + indemnización de 2,5 días por mes trabajado (Ley 21.122)",IF(N(K10)&gt;=3,"Por ley ya es indefinido (2ª renovación): firmar anexo de paso a indefinido",IF(N(K10)=2,"2° contrato a plazo: NO admite otra renovación a plazo fijo. Pasar a indefinido o terminar al vencimiento (carta dentro de 3 días hábiles)","1er contrato a plazo: renovar (2° plazo fijo), pasar a indefinido o terminar al vencimiento (carta dentro de 3 días hábiles)")))))))))))</f>
        <v>Sin vencimiento. Cambios de sueldo, cargo o jornada se formalizan con anexo de modificación</v>
      </c>
      <c r="T10" s="70" t="str">
        <f aca="false">IF(B10="","",IF(COUNTIFS(C_ID,B10,C_FIRMADO,"&lt;&gt;Sí")&gt;0,COUNTIFS(C_ID,B10,C_FIRMADO,"&lt;&gt;Sí")&amp;" documento(s) sin firma. ","")&amp;IF(COUNTIFS(C_ID,B10,C_TIPO,"Plazo fijo",C_DEFINE,"Sí")&gt;2,"Más de 2 contratos a plazo: revisar presunción de indefinido. ","")&amp;IF(AND(R10="VENCIDO",LEFT(E10,6)="Activo"),"Trabaja con contrato vencido. ",""))</f>
        <v/>
      </c>
      <c r="U10" s="71" t="n">
        <f aca="false">IF(B10="","",INDEX(T_SUELDO,4))</f>
        <v>720000</v>
      </c>
      <c r="V10" s="72" t="str">
        <f aca="false">IF(AND(B10&lt;&gt;"",LEFT(E10,6)="Activo",ISNUMBER(O10),R10&lt;&gt;"Renovación registrada"),O10+ROW()/100000,"")</f>
        <v/>
      </c>
    </row>
    <row r="11" customFormat="false" ht="15" hidden="false" customHeight="false" outlineLevel="0" collapsed="false">
      <c r="B11" s="70" t="str">
        <f aca="false">IFERROR(IF(INDEX(T_ID,5)="","",INDEX(T_ID,5)),"")</f>
        <v>T005</v>
      </c>
      <c r="C11" s="70" t="str">
        <f aca="false">IF(B11="","",INDEX(T_NOMBRE,5)&amp;"")</f>
        <v>Ana Díaz (EJEMPLO)</v>
      </c>
      <c r="D11" s="70" t="str">
        <f aca="false">IF(B11="","",INDEX(T_CARGO,5)&amp;"")</f>
        <v>Costurera</v>
      </c>
      <c r="E11" s="70" t="str">
        <f aca="false">IF(B11="","",INDEX(T_ESTADO,5))</f>
        <v>Activo</v>
      </c>
      <c r="F11" s="75" t="n">
        <f aca="false">IF(B11="","",INDEX(T_INGRESO,5))</f>
        <v>46266</v>
      </c>
      <c r="G11" s="70" t="n">
        <f aca="false">IF(B11="","",COUNTIFS(C_ID,B11,C_DEFINE,"Sí",C_INICIO,"&lt;="&amp;FECHA_CORTE))</f>
        <v>1</v>
      </c>
      <c r="H11" s="70" t="n">
        <f aca="false">IF(B11="","",COUNTIFS(C_ID,B11,C_DEFINE,"Sí"))</f>
        <v>1</v>
      </c>
      <c r="I11" s="70" t="str">
        <f aca="false">IF(B11="","",IF(H11=0,"Sin contrato",IFERROR(INDEX(C_TIPO,MATCH(B11&amp;"-P"&amp;MAX(1,G11),C_CLAVE,0))&amp;"","")))</f>
        <v>Obra o faena</v>
      </c>
      <c r="J11" s="70" t="str">
        <f aca="false">IF(OR(B11="",N(H11)=0),"",IFERROR(INDEX(C_TIPODOC,MATCH(B11&amp;"-P"&amp;MAX(1,G11),C_CLAVE,0))&amp;"",""))</f>
        <v>Contrato inicial</v>
      </c>
      <c r="K11" s="76" t="str">
        <f aca="false">IF(I11="Plazo fijo",IFERROR(INDEX(C_NPF,MATCH(B11&amp;"-P"&amp;MAX(1,G11),C_CLAVE,0)),""),"")</f>
        <v/>
      </c>
      <c r="L11" s="70" t="n">
        <f aca="false">IF(B11="","",COUNTIFS(C_ID,B11,C_TIPODOC,"Anexo de modificación"))</f>
        <v>0</v>
      </c>
      <c r="M11" s="75" t="n">
        <f aca="false">IF(OR(B11="",N(H11)=0),"",IFERROR(INDEX(C_INICIO,MATCH(B11&amp;"-P"&amp;MAX(1,G11),C_CLAVE,0)),""))</f>
        <v>46266</v>
      </c>
      <c r="N11" s="75" t="n">
        <f aca="false">IF(OR(I11="Plazo fijo",I11="Obra o faena"),IFERROR(IF(N(INDEX(C_TERMINO,MATCH(B11&amp;"-P"&amp;MAX(1,G11),C_CLAVE,0)))=0,"",INDEX(C_TERMINO,MATCH(B11&amp;"-P"&amp;MAX(1,G11),C_CLAVE,0))),""),"")</f>
        <v>46387</v>
      </c>
      <c r="O11" s="77" t="n">
        <f aca="false">IF(AND(ISNUMBER(N11),E11&lt;&gt;"Desvinculado"),N11-FECHA_CORTE,"")</f>
        <v>65</v>
      </c>
      <c r="P11" s="75" t="n">
        <f aca="false">IF(AND(ISNUMBER(N11),E11&lt;&gt;"Desvinculado"),N11-DIAS_DECISION,"")</f>
        <v>46372</v>
      </c>
      <c r="Q11" s="75" t="str">
        <f aca="false">IF(OR(B11="",N(H11)&lt;=N(G11)),"",IFERROR(INDEX(C_INICIO,MATCH(B11&amp;"-P"&amp;(G11+1),C_CLAVE,0)),""))</f>
        <v/>
      </c>
      <c r="R11" s="70" t="str">
        <f aca="false">IF(B11="","",IF(E11="Desvinculado","Terminado",IF(H11=0,"Sin contrato registrado",IF(E11="Por ingresar","Por ingresar",IF(ISNUMBER(Q11),"Renovación registrada",IF(I11="Indefinido","Indefinido",IF(NOT(ISNUMBER(O11)),"Falta fecha de término",IF(O11&lt;0,"VENCIDO",IF(O11&lt;=ALERTA_ROJA,"Vence en ≤ "&amp;ALERTA_ROJA&amp;" días",IF(O11&lt;=ALERTA_NARANJA,"Vence en ≤ "&amp;ALERTA_NARANJA&amp;" días",IF(O11&lt;=ALERTA_AMARILLA,"Vence en ≤ "&amp;ALERTA_AMARILLA&amp;" días","Vigente")))))))))))</f>
        <v>Vigente</v>
      </c>
      <c r="S11" s="70" t="str">
        <f aca="false">IF(B11="","",IF(R11="Terminado","—",IF(R11="Sin contrato registrado","Registrar el contrato en la hoja Contratos",IF(R11="Por ingresar","Tener el contrato firmado y hacer el alta en AFP, salud, seguro de cesantía y mutual",IF(R11="Renovación registrada",IF(AND(N(K11)&gt;=2,IFERROR(INDEX(C_TIPO,MATCH(B11&amp;"-P"&amp;(G11+1),C_CLAVE,0)),"")="Plazo fijo"),"⚠ El período registrado sería el 3er contrato a plazo: por ley es INDEFINIDO. Registrarlo como Paso a indefinido","Siguiente período ya registrado: verificar que el documento esté firmado"),IF(I11="Indefinido","Sin vencimiento. Cambios de sueldo, cargo o jornada se formalizan con anexo de modificación",IF(R11="Falta fecha de término","Completar la fecha de término en la hoja Contratos",IF(R11="VENCIDO","Si sigue trabajando, por ley el contrato ya es INDEFINIDO (Art. 159 N°4): firmar anexo de paso a indefinido o regularizar el término",IF(I11="Obra o faena","Al concluir la obra: finiquito por Art. 159 N°5 + indemnización de 2,5 días por mes trabajado (Ley 21.122)",IF(N(K11)&gt;=3,"Por ley ya es indefinido (2ª renovación): firmar anexo de paso a indefinido",IF(N(K11)=2,"2° contrato a plazo: NO admite otra renovación a plazo fijo. Pasar a indefinido o terminar al vencimiento (carta dentro de 3 días hábiles)","1er contrato a plazo: renovar (2° plazo fijo), pasar a indefinido o terminar al vencimiento (carta dentro de 3 días hábiles)")))))))))))</f>
        <v>Al concluir la obra: finiquito por Art. 159 N°5 + indemnización de 2,5 días por mes trabajado (Ley 21.122)</v>
      </c>
      <c r="T11" s="70" t="str">
        <f aca="false">IF(B11="","",IF(COUNTIFS(C_ID,B11,C_FIRMADO,"&lt;&gt;Sí")&gt;0,COUNTIFS(C_ID,B11,C_FIRMADO,"&lt;&gt;Sí")&amp;" documento(s) sin firma. ","")&amp;IF(COUNTIFS(C_ID,B11,C_TIPO,"Plazo fijo",C_DEFINE,"Sí")&gt;2,"Más de 2 contratos a plazo: revisar presunción de indefinido. ","")&amp;IF(AND(R11="VENCIDO",LEFT(E11,6)="Activo"),"Trabaja con contrato vencido. ",""))</f>
        <v>1 documento(s) sin firma. </v>
      </c>
      <c r="U11" s="71" t="n">
        <f aca="false">IF(B11="","",INDEX(T_SUELDO,5))</f>
        <v>560000</v>
      </c>
      <c r="V11" s="72" t="n">
        <f aca="false">IF(AND(B11&lt;&gt;"",LEFT(E11,6)="Activo",ISNUMBER(O11),R11&lt;&gt;"Renovación registrada"),O11+ROW()/100000,"")</f>
        <v>65.00011</v>
      </c>
    </row>
    <row r="12" customFormat="false" ht="15" hidden="false" customHeight="false" outlineLevel="0" collapsed="false">
      <c r="B12" s="70" t="str">
        <f aca="false">IFERROR(IF(INDEX(T_ID,6)="","",INDEX(T_ID,6)),"")</f>
        <v>T006</v>
      </c>
      <c r="C12" s="70" t="str">
        <f aca="false">IF(B12="","",INDEX(T_NOMBRE,6)&amp;"")</f>
        <v>Luis Vega (EJEMPLO)</v>
      </c>
      <c r="D12" s="70" t="str">
        <f aca="false">IF(B12="","",INDEX(T_CARGO,6)&amp;"")</f>
        <v>Ayudante de despacho</v>
      </c>
      <c r="E12" s="70" t="str">
        <f aca="false">IF(B12="","",INDEX(T_ESTADO,6))</f>
        <v>Desvinculado</v>
      </c>
      <c r="F12" s="75" t="n">
        <f aca="false">IF(B12="","",INDEX(T_INGRESO,6))</f>
        <v>45964</v>
      </c>
      <c r="G12" s="70" t="n">
        <f aca="false">IF(B12="","",COUNTIFS(C_ID,B12,C_DEFINE,"Sí",C_INICIO,"&lt;="&amp;FECHA_CORTE))</f>
        <v>1</v>
      </c>
      <c r="H12" s="70" t="n">
        <f aca="false">IF(B12="","",COUNTIFS(C_ID,B12,C_DEFINE,"Sí"))</f>
        <v>1</v>
      </c>
      <c r="I12" s="70" t="str">
        <f aca="false">IF(B12="","",IF(H12=0,"Sin contrato",IFERROR(INDEX(C_TIPO,MATCH(B12&amp;"-P"&amp;MAX(1,G12),C_CLAVE,0))&amp;"","")))</f>
        <v>Plazo fijo</v>
      </c>
      <c r="J12" s="70" t="str">
        <f aca="false">IF(OR(B12="",N(H12)=0),"",IFERROR(INDEX(C_TIPODOC,MATCH(B12&amp;"-P"&amp;MAX(1,G12),C_CLAVE,0))&amp;"",""))</f>
        <v>Contrato inicial</v>
      </c>
      <c r="K12" s="76" t="n">
        <f aca="false">IF(I12="Plazo fijo",IFERROR(INDEX(C_NPF,MATCH(B12&amp;"-P"&amp;MAX(1,G12),C_CLAVE,0)),""),"")</f>
        <v>1</v>
      </c>
      <c r="L12" s="70" t="n">
        <f aca="false">IF(B12="","",COUNTIFS(C_ID,B12,C_TIPODOC,"Anexo de modificación"))</f>
        <v>0</v>
      </c>
      <c r="M12" s="75" t="n">
        <f aca="false">IF(OR(B12="",N(H12)=0),"",IFERROR(INDEX(C_INICIO,MATCH(B12&amp;"-P"&amp;MAX(1,G12),C_CLAVE,0)),""))</f>
        <v>45964</v>
      </c>
      <c r="N12" s="75" t="n">
        <f aca="false">IF(OR(I12="Plazo fijo",I12="Obra o faena"),IFERROR(IF(N(INDEX(C_TERMINO,MATCH(B12&amp;"-P"&amp;MAX(1,G12),C_CLAVE,0)))=0,"",INDEX(C_TERMINO,MATCH(B12&amp;"-P"&amp;MAX(1,G12),C_CLAVE,0))),""),"")</f>
        <v>46055</v>
      </c>
      <c r="O12" s="77" t="str">
        <f aca="false">IF(AND(ISNUMBER(N12),E12&lt;&gt;"Desvinculado"),N12-FECHA_CORTE,"")</f>
        <v/>
      </c>
      <c r="P12" s="75" t="str">
        <f aca="false">IF(AND(ISNUMBER(N12),E12&lt;&gt;"Desvinculado"),N12-DIAS_DECISION,"")</f>
        <v/>
      </c>
      <c r="Q12" s="75" t="str">
        <f aca="false">IF(OR(B12="",N(H12)&lt;=N(G12)),"",IFERROR(INDEX(C_INICIO,MATCH(B12&amp;"-P"&amp;(G12+1),C_CLAVE,0)),""))</f>
        <v/>
      </c>
      <c r="R12" s="70" t="str">
        <f aca="false">IF(B12="","",IF(E12="Desvinculado","Terminado",IF(H12=0,"Sin contrato registrado",IF(E12="Por ingresar","Por ingresar",IF(ISNUMBER(Q12),"Renovación registrada",IF(I12="Indefinido","Indefinido",IF(NOT(ISNUMBER(O12)),"Falta fecha de término",IF(O12&lt;0,"VENCIDO",IF(O12&lt;=ALERTA_ROJA,"Vence en ≤ "&amp;ALERTA_ROJA&amp;" días",IF(O12&lt;=ALERTA_NARANJA,"Vence en ≤ "&amp;ALERTA_NARANJA&amp;" días",IF(O12&lt;=ALERTA_AMARILLA,"Vence en ≤ "&amp;ALERTA_AMARILLA&amp;" días","Vigente")))))))))))</f>
        <v>Terminado</v>
      </c>
      <c r="S12" s="70" t="str">
        <f aca="false">IF(B12="","",IF(R12="Terminado","—",IF(R12="Sin contrato registrado","Registrar el contrato en la hoja Contratos",IF(R12="Por ingresar","Tener el contrato firmado y hacer el alta en AFP, salud, seguro de cesantía y mutual",IF(R12="Renovación registrada",IF(AND(N(K12)&gt;=2,IFERROR(INDEX(C_TIPO,MATCH(B12&amp;"-P"&amp;(G12+1),C_CLAVE,0)),"")="Plazo fijo"),"⚠ El período registrado sería el 3er contrato a plazo: por ley es INDEFINIDO. Registrarlo como Paso a indefinido","Siguiente período ya registrado: verificar que el documento esté firmado"),IF(I12="Indefinido","Sin vencimiento. Cambios de sueldo, cargo o jornada se formalizan con anexo de modificación",IF(R12="Falta fecha de término","Completar la fecha de término en la hoja Contratos",IF(R12="VENCIDO","Si sigue trabajando, por ley el contrato ya es INDEFINIDO (Art. 159 N°4): firmar anexo de paso a indefinido o regularizar el término",IF(I12="Obra o faena","Al concluir la obra: finiquito por Art. 159 N°5 + indemnización de 2,5 días por mes trabajado (Ley 21.122)",IF(N(K12)&gt;=3,"Por ley ya es indefinido (2ª renovación): firmar anexo de paso a indefinido",IF(N(K12)=2,"2° contrato a plazo: NO admite otra renovación a plazo fijo. Pasar a indefinido o terminar al vencimiento (carta dentro de 3 días hábiles)","1er contrato a plazo: renovar (2° plazo fijo), pasar a indefinido o terminar al vencimiento (carta dentro de 3 días hábiles)")))))))))))</f>
        <v>—</v>
      </c>
      <c r="T12" s="70" t="str">
        <f aca="false">IF(B12="","",IF(COUNTIFS(C_ID,B12,C_FIRMADO,"&lt;&gt;Sí")&gt;0,COUNTIFS(C_ID,B12,C_FIRMADO,"&lt;&gt;Sí")&amp;" documento(s) sin firma. ","")&amp;IF(COUNTIFS(C_ID,B12,C_TIPO,"Plazo fijo",C_DEFINE,"Sí")&gt;2,"Más de 2 contratos a plazo: revisar presunción de indefinido. ","")&amp;IF(AND(R12="VENCIDO",LEFT(E12,6)="Activo"),"Trabaja con contrato vencido. ",""))</f>
        <v/>
      </c>
      <c r="U12" s="71" t="n">
        <f aca="false">IF(B12="","",INDEX(T_SUELDO,6))</f>
        <v>540000</v>
      </c>
      <c r="V12" s="72" t="str">
        <f aca="false">IF(AND(B12&lt;&gt;"",LEFT(E12,6)="Activo",ISNUMBER(O12),R12&lt;&gt;"Renovación registrada"),O12+ROW()/100000,"")</f>
        <v/>
      </c>
    </row>
    <row r="13" customFormat="false" ht="15" hidden="false" customHeight="false" outlineLevel="0" collapsed="false">
      <c r="B13" s="70" t="str">
        <f aca="false">IFERROR(IF(INDEX(T_ID,7)="","",INDEX(T_ID,7)),"")</f>
        <v/>
      </c>
      <c r="C13" s="70" t="str">
        <f aca="false">IF(B13="","",INDEX(T_NOMBRE,7)&amp;"")</f>
        <v/>
      </c>
      <c r="D13" s="70" t="str">
        <f aca="false">IF(B13="","",INDEX(T_CARGO,7)&amp;"")</f>
        <v/>
      </c>
      <c r="E13" s="70" t="str">
        <f aca="false">IF(B13="","",INDEX(T_ESTADO,7))</f>
        <v/>
      </c>
      <c r="F13" s="75" t="str">
        <f aca="false">IF(B13="","",INDEX(T_INGRESO,7))</f>
        <v/>
      </c>
      <c r="G13" s="70" t="str">
        <f aca="false">IF(B13="","",COUNTIFS(C_ID,B13,C_DEFINE,"Sí",C_INICIO,"&lt;="&amp;FECHA_CORTE))</f>
        <v/>
      </c>
      <c r="H13" s="70" t="str">
        <f aca="false">IF(B13="","",COUNTIFS(C_ID,B13,C_DEFINE,"Sí"))</f>
        <v/>
      </c>
      <c r="I13" s="70" t="str">
        <f aca="false">IF(B13="","",IF(H13=0,"Sin contrato",IFERROR(INDEX(C_TIPO,MATCH(B13&amp;"-P"&amp;MAX(1,G13),C_CLAVE,0))&amp;"","")))</f>
        <v/>
      </c>
      <c r="J13" s="70" t="str">
        <f aca="false">IF(OR(B13="",N(H13)=0),"",IFERROR(INDEX(C_TIPODOC,MATCH(B13&amp;"-P"&amp;MAX(1,G13),C_CLAVE,0))&amp;"",""))</f>
        <v/>
      </c>
      <c r="K13" s="76" t="str">
        <f aca="false">IF(I13="Plazo fijo",IFERROR(INDEX(C_NPF,MATCH(B13&amp;"-P"&amp;MAX(1,G13),C_CLAVE,0)),""),"")</f>
        <v/>
      </c>
      <c r="L13" s="70" t="str">
        <f aca="false">IF(B13="","",COUNTIFS(C_ID,B13,C_TIPODOC,"Anexo de modificación"))</f>
        <v/>
      </c>
      <c r="M13" s="75" t="str">
        <f aca="false">IF(OR(B13="",N(H13)=0),"",IFERROR(INDEX(C_INICIO,MATCH(B13&amp;"-P"&amp;MAX(1,G13),C_CLAVE,0)),""))</f>
        <v/>
      </c>
      <c r="N13" s="75" t="str">
        <f aca="false">IF(OR(I13="Plazo fijo",I13="Obra o faena"),IFERROR(IF(N(INDEX(C_TERMINO,MATCH(B13&amp;"-P"&amp;MAX(1,G13),C_CLAVE,0)))=0,"",INDEX(C_TERMINO,MATCH(B13&amp;"-P"&amp;MAX(1,G13),C_CLAVE,0))),""),"")</f>
        <v/>
      </c>
      <c r="O13" s="77" t="str">
        <f aca="false">IF(AND(ISNUMBER(N13),E13&lt;&gt;"Desvinculado"),N13-FECHA_CORTE,"")</f>
        <v/>
      </c>
      <c r="P13" s="75" t="str">
        <f aca="false">IF(AND(ISNUMBER(N13),E13&lt;&gt;"Desvinculado"),N13-DIAS_DECISION,"")</f>
        <v/>
      </c>
      <c r="Q13" s="75" t="str">
        <f aca="false">IF(OR(B13="",N(H13)&lt;=N(G13)),"",IFERROR(INDEX(C_INICIO,MATCH(B13&amp;"-P"&amp;(G13+1),C_CLAVE,0)),""))</f>
        <v/>
      </c>
      <c r="R13" s="70" t="str">
        <f aca="false">IF(B13="","",IF(E13="Desvinculado","Terminado",IF(H13=0,"Sin contrato registrado",IF(E13="Por ingresar","Por ingresar",IF(ISNUMBER(Q13),"Renovación registrada",IF(I13="Indefinido","Indefinido",IF(NOT(ISNUMBER(O13)),"Falta fecha de término",IF(O13&lt;0,"VENCIDO",IF(O13&lt;=ALERTA_ROJA,"Vence en ≤ "&amp;ALERTA_ROJA&amp;" días",IF(O13&lt;=ALERTA_NARANJA,"Vence en ≤ "&amp;ALERTA_NARANJA&amp;" días",IF(O13&lt;=ALERTA_AMARILLA,"Vence en ≤ "&amp;ALERTA_AMARILLA&amp;" días","Vigente")))))))))))</f>
        <v/>
      </c>
      <c r="S13" s="70" t="str">
        <f aca="false">IF(B13="","",IF(R13="Terminado","—",IF(R13="Sin contrato registrado","Registrar el contrato en la hoja Contratos",IF(R13="Por ingresar","Tener el contrato firmado y hacer el alta en AFP, salud, seguro de cesantía y mutual",IF(R13="Renovación registrada",IF(AND(N(K13)&gt;=2,IFERROR(INDEX(C_TIPO,MATCH(B13&amp;"-P"&amp;(G13+1),C_CLAVE,0)),"")="Plazo fijo"),"⚠ El período registrado sería el 3er contrato a plazo: por ley es INDEFINIDO. Registrarlo como Paso a indefinido","Siguiente período ya registrado: verificar que el documento esté firmado"),IF(I13="Indefinido","Sin vencimiento. Cambios de sueldo, cargo o jornada se formalizan con anexo de modificación",IF(R13="Falta fecha de término","Completar la fecha de término en la hoja Contratos",IF(R13="VENCIDO","Si sigue trabajando, por ley el contrato ya es INDEFINIDO (Art. 159 N°4): firmar anexo de paso a indefinido o regularizar el término",IF(I13="Obra o faena","Al concluir la obra: finiquito por Art. 159 N°5 + indemnización de 2,5 días por mes trabajado (Ley 21.122)",IF(N(K13)&gt;=3,"Por ley ya es indefinido (2ª renovación): firmar anexo de paso a indefinido",IF(N(K13)=2,"2° contrato a plazo: NO admite otra renovación a plazo fijo. Pasar a indefinido o terminar al vencimiento (carta dentro de 3 días hábiles)","1er contrato a plazo: renovar (2° plazo fijo), pasar a indefinido o terminar al vencimiento (carta dentro de 3 días hábiles)")))))))))))</f>
        <v/>
      </c>
      <c r="T13" s="70" t="str">
        <f aca="false">IF(B13="","",IF(COUNTIFS(C_ID,B13,C_FIRMADO,"&lt;&gt;Sí")&gt;0,COUNTIFS(C_ID,B13,C_FIRMADO,"&lt;&gt;Sí")&amp;" documento(s) sin firma. ","")&amp;IF(COUNTIFS(C_ID,B13,C_TIPO,"Plazo fijo",C_DEFINE,"Sí")&gt;2,"Más de 2 contratos a plazo: revisar presunción de indefinido. ","")&amp;IF(AND(R13="VENCIDO",LEFT(E13,6)="Activo"),"Trabaja con contrato vencido. ",""))</f>
        <v/>
      </c>
      <c r="U13" s="71" t="str">
        <f aca="false">IF(B13="","",INDEX(T_SUELDO,7))</f>
        <v/>
      </c>
      <c r="V13" s="72" t="str">
        <f aca="false">IF(AND(B13&lt;&gt;"",LEFT(E13,6)="Activo",ISNUMBER(O13),R13&lt;&gt;"Renovación registrada"),O13+ROW()/100000,"")</f>
        <v/>
      </c>
    </row>
    <row r="14" customFormat="false" ht="15" hidden="false" customHeight="false" outlineLevel="0" collapsed="false">
      <c r="B14" s="70" t="str">
        <f aca="false">IFERROR(IF(INDEX(T_ID,8)="","",INDEX(T_ID,8)),"")</f>
        <v/>
      </c>
      <c r="C14" s="70" t="str">
        <f aca="false">IF(B14="","",INDEX(T_NOMBRE,8)&amp;"")</f>
        <v/>
      </c>
      <c r="D14" s="70" t="str">
        <f aca="false">IF(B14="","",INDEX(T_CARGO,8)&amp;"")</f>
        <v/>
      </c>
      <c r="E14" s="70" t="str">
        <f aca="false">IF(B14="","",INDEX(T_ESTADO,8))</f>
        <v/>
      </c>
      <c r="F14" s="75" t="str">
        <f aca="false">IF(B14="","",INDEX(T_INGRESO,8))</f>
        <v/>
      </c>
      <c r="G14" s="70" t="str">
        <f aca="false">IF(B14="","",COUNTIFS(C_ID,B14,C_DEFINE,"Sí",C_INICIO,"&lt;="&amp;FECHA_CORTE))</f>
        <v/>
      </c>
      <c r="H14" s="70" t="str">
        <f aca="false">IF(B14="","",COUNTIFS(C_ID,B14,C_DEFINE,"Sí"))</f>
        <v/>
      </c>
      <c r="I14" s="70" t="str">
        <f aca="false">IF(B14="","",IF(H14=0,"Sin contrato",IFERROR(INDEX(C_TIPO,MATCH(B14&amp;"-P"&amp;MAX(1,G14),C_CLAVE,0))&amp;"","")))</f>
        <v/>
      </c>
      <c r="J14" s="70" t="str">
        <f aca="false">IF(OR(B14="",N(H14)=0),"",IFERROR(INDEX(C_TIPODOC,MATCH(B14&amp;"-P"&amp;MAX(1,G14),C_CLAVE,0))&amp;"",""))</f>
        <v/>
      </c>
      <c r="K14" s="76" t="str">
        <f aca="false">IF(I14="Plazo fijo",IFERROR(INDEX(C_NPF,MATCH(B14&amp;"-P"&amp;MAX(1,G14),C_CLAVE,0)),""),"")</f>
        <v/>
      </c>
      <c r="L14" s="70" t="str">
        <f aca="false">IF(B14="","",COUNTIFS(C_ID,B14,C_TIPODOC,"Anexo de modificación"))</f>
        <v/>
      </c>
      <c r="M14" s="75" t="str">
        <f aca="false">IF(OR(B14="",N(H14)=0),"",IFERROR(INDEX(C_INICIO,MATCH(B14&amp;"-P"&amp;MAX(1,G14),C_CLAVE,0)),""))</f>
        <v/>
      </c>
      <c r="N14" s="75" t="str">
        <f aca="false">IF(OR(I14="Plazo fijo",I14="Obra o faena"),IFERROR(IF(N(INDEX(C_TERMINO,MATCH(B14&amp;"-P"&amp;MAX(1,G14),C_CLAVE,0)))=0,"",INDEX(C_TERMINO,MATCH(B14&amp;"-P"&amp;MAX(1,G14),C_CLAVE,0))),""),"")</f>
        <v/>
      </c>
      <c r="O14" s="77" t="str">
        <f aca="false">IF(AND(ISNUMBER(N14),E14&lt;&gt;"Desvinculado"),N14-FECHA_CORTE,"")</f>
        <v/>
      </c>
      <c r="P14" s="75" t="str">
        <f aca="false">IF(AND(ISNUMBER(N14),E14&lt;&gt;"Desvinculado"),N14-DIAS_DECISION,"")</f>
        <v/>
      </c>
      <c r="Q14" s="75" t="str">
        <f aca="false">IF(OR(B14="",N(H14)&lt;=N(G14)),"",IFERROR(INDEX(C_INICIO,MATCH(B14&amp;"-P"&amp;(G14+1),C_CLAVE,0)),""))</f>
        <v/>
      </c>
      <c r="R14" s="70" t="str">
        <f aca="false">IF(B14="","",IF(E14="Desvinculado","Terminado",IF(H14=0,"Sin contrato registrado",IF(E14="Por ingresar","Por ingresar",IF(ISNUMBER(Q14),"Renovación registrada",IF(I14="Indefinido","Indefinido",IF(NOT(ISNUMBER(O14)),"Falta fecha de término",IF(O14&lt;0,"VENCIDO",IF(O14&lt;=ALERTA_ROJA,"Vence en ≤ "&amp;ALERTA_ROJA&amp;" días",IF(O14&lt;=ALERTA_NARANJA,"Vence en ≤ "&amp;ALERTA_NARANJA&amp;" días",IF(O14&lt;=ALERTA_AMARILLA,"Vence en ≤ "&amp;ALERTA_AMARILLA&amp;" días","Vigente")))))))))))</f>
        <v/>
      </c>
      <c r="S14" s="70" t="str">
        <f aca="false">IF(B14="","",IF(R14="Terminado","—",IF(R14="Sin contrato registrado","Registrar el contrato en la hoja Contratos",IF(R14="Por ingresar","Tener el contrato firmado y hacer el alta en AFP, salud, seguro de cesantía y mutual",IF(R14="Renovación registrada",IF(AND(N(K14)&gt;=2,IFERROR(INDEX(C_TIPO,MATCH(B14&amp;"-P"&amp;(G14+1),C_CLAVE,0)),"")="Plazo fijo"),"⚠ El período registrado sería el 3er contrato a plazo: por ley es INDEFINIDO. Registrarlo como Paso a indefinido","Siguiente período ya registrado: verificar que el documento esté firmado"),IF(I14="Indefinido","Sin vencimiento. Cambios de sueldo, cargo o jornada se formalizan con anexo de modificación",IF(R14="Falta fecha de término","Completar la fecha de término en la hoja Contratos",IF(R14="VENCIDO","Si sigue trabajando, por ley el contrato ya es INDEFINIDO (Art. 159 N°4): firmar anexo de paso a indefinido o regularizar el término",IF(I14="Obra o faena","Al concluir la obra: finiquito por Art. 159 N°5 + indemnización de 2,5 días por mes trabajado (Ley 21.122)",IF(N(K14)&gt;=3,"Por ley ya es indefinido (2ª renovación): firmar anexo de paso a indefinido",IF(N(K14)=2,"2° contrato a plazo: NO admite otra renovación a plazo fijo. Pasar a indefinido o terminar al vencimiento (carta dentro de 3 días hábiles)","1er contrato a plazo: renovar (2° plazo fijo), pasar a indefinido o terminar al vencimiento (carta dentro de 3 días hábiles)")))))))))))</f>
        <v/>
      </c>
      <c r="T14" s="70" t="str">
        <f aca="false">IF(B14="","",IF(COUNTIFS(C_ID,B14,C_FIRMADO,"&lt;&gt;Sí")&gt;0,COUNTIFS(C_ID,B14,C_FIRMADO,"&lt;&gt;Sí")&amp;" documento(s) sin firma. ","")&amp;IF(COUNTIFS(C_ID,B14,C_TIPO,"Plazo fijo",C_DEFINE,"Sí")&gt;2,"Más de 2 contratos a plazo: revisar presunción de indefinido. ","")&amp;IF(AND(R14="VENCIDO",LEFT(E14,6)="Activo"),"Trabaja con contrato vencido. ",""))</f>
        <v/>
      </c>
      <c r="U14" s="71" t="str">
        <f aca="false">IF(B14="","",INDEX(T_SUELDO,8))</f>
        <v/>
      </c>
      <c r="V14" s="72" t="str">
        <f aca="false">IF(AND(B14&lt;&gt;"",LEFT(E14,6)="Activo",ISNUMBER(O14),R14&lt;&gt;"Renovación registrada"),O14+ROW()/100000,"")</f>
        <v/>
      </c>
    </row>
    <row r="15" customFormat="false" ht="15" hidden="false" customHeight="false" outlineLevel="0" collapsed="false">
      <c r="B15" s="70" t="str">
        <f aca="false">IFERROR(IF(INDEX(T_ID,9)="","",INDEX(T_ID,9)),"")</f>
        <v/>
      </c>
      <c r="C15" s="70" t="str">
        <f aca="false">IF(B15="","",INDEX(T_NOMBRE,9)&amp;"")</f>
        <v/>
      </c>
      <c r="D15" s="70" t="str">
        <f aca="false">IF(B15="","",INDEX(T_CARGO,9)&amp;"")</f>
        <v/>
      </c>
      <c r="E15" s="70" t="str">
        <f aca="false">IF(B15="","",INDEX(T_ESTADO,9))</f>
        <v/>
      </c>
      <c r="F15" s="75" t="str">
        <f aca="false">IF(B15="","",INDEX(T_INGRESO,9))</f>
        <v/>
      </c>
      <c r="G15" s="70" t="str">
        <f aca="false">IF(B15="","",COUNTIFS(C_ID,B15,C_DEFINE,"Sí",C_INICIO,"&lt;="&amp;FECHA_CORTE))</f>
        <v/>
      </c>
      <c r="H15" s="70" t="str">
        <f aca="false">IF(B15="","",COUNTIFS(C_ID,B15,C_DEFINE,"Sí"))</f>
        <v/>
      </c>
      <c r="I15" s="70" t="str">
        <f aca="false">IF(B15="","",IF(H15=0,"Sin contrato",IFERROR(INDEX(C_TIPO,MATCH(B15&amp;"-P"&amp;MAX(1,G15),C_CLAVE,0))&amp;"","")))</f>
        <v/>
      </c>
      <c r="J15" s="70" t="str">
        <f aca="false">IF(OR(B15="",N(H15)=0),"",IFERROR(INDEX(C_TIPODOC,MATCH(B15&amp;"-P"&amp;MAX(1,G15),C_CLAVE,0))&amp;"",""))</f>
        <v/>
      </c>
      <c r="K15" s="76" t="str">
        <f aca="false">IF(I15="Plazo fijo",IFERROR(INDEX(C_NPF,MATCH(B15&amp;"-P"&amp;MAX(1,G15),C_CLAVE,0)),""),"")</f>
        <v/>
      </c>
      <c r="L15" s="70" t="str">
        <f aca="false">IF(B15="","",COUNTIFS(C_ID,B15,C_TIPODOC,"Anexo de modificación"))</f>
        <v/>
      </c>
      <c r="M15" s="75" t="str">
        <f aca="false">IF(OR(B15="",N(H15)=0),"",IFERROR(INDEX(C_INICIO,MATCH(B15&amp;"-P"&amp;MAX(1,G15),C_CLAVE,0)),""))</f>
        <v/>
      </c>
      <c r="N15" s="75" t="str">
        <f aca="false">IF(OR(I15="Plazo fijo",I15="Obra o faena"),IFERROR(IF(N(INDEX(C_TERMINO,MATCH(B15&amp;"-P"&amp;MAX(1,G15),C_CLAVE,0)))=0,"",INDEX(C_TERMINO,MATCH(B15&amp;"-P"&amp;MAX(1,G15),C_CLAVE,0))),""),"")</f>
        <v/>
      </c>
      <c r="O15" s="77" t="str">
        <f aca="false">IF(AND(ISNUMBER(N15),E15&lt;&gt;"Desvinculado"),N15-FECHA_CORTE,"")</f>
        <v/>
      </c>
      <c r="P15" s="75" t="str">
        <f aca="false">IF(AND(ISNUMBER(N15),E15&lt;&gt;"Desvinculado"),N15-DIAS_DECISION,"")</f>
        <v/>
      </c>
      <c r="Q15" s="75" t="str">
        <f aca="false">IF(OR(B15="",N(H15)&lt;=N(G15)),"",IFERROR(INDEX(C_INICIO,MATCH(B15&amp;"-P"&amp;(G15+1),C_CLAVE,0)),""))</f>
        <v/>
      </c>
      <c r="R15" s="70" t="str">
        <f aca="false">IF(B15="","",IF(E15="Desvinculado","Terminado",IF(H15=0,"Sin contrato registrado",IF(E15="Por ingresar","Por ingresar",IF(ISNUMBER(Q15),"Renovación registrada",IF(I15="Indefinido","Indefinido",IF(NOT(ISNUMBER(O15)),"Falta fecha de término",IF(O15&lt;0,"VENCIDO",IF(O15&lt;=ALERTA_ROJA,"Vence en ≤ "&amp;ALERTA_ROJA&amp;" días",IF(O15&lt;=ALERTA_NARANJA,"Vence en ≤ "&amp;ALERTA_NARANJA&amp;" días",IF(O15&lt;=ALERTA_AMARILLA,"Vence en ≤ "&amp;ALERTA_AMARILLA&amp;" días","Vigente")))))))))))</f>
        <v/>
      </c>
      <c r="S15" s="70" t="str">
        <f aca="false">IF(B15="","",IF(R15="Terminado","—",IF(R15="Sin contrato registrado","Registrar el contrato en la hoja Contratos",IF(R15="Por ingresar","Tener el contrato firmado y hacer el alta en AFP, salud, seguro de cesantía y mutual",IF(R15="Renovación registrada",IF(AND(N(K15)&gt;=2,IFERROR(INDEX(C_TIPO,MATCH(B15&amp;"-P"&amp;(G15+1),C_CLAVE,0)),"")="Plazo fijo"),"⚠ El período registrado sería el 3er contrato a plazo: por ley es INDEFINIDO. Registrarlo como Paso a indefinido","Siguiente período ya registrado: verificar que el documento esté firmado"),IF(I15="Indefinido","Sin vencimiento. Cambios de sueldo, cargo o jornada se formalizan con anexo de modificación",IF(R15="Falta fecha de término","Completar la fecha de término en la hoja Contratos",IF(R15="VENCIDO","Si sigue trabajando, por ley el contrato ya es INDEFINIDO (Art. 159 N°4): firmar anexo de paso a indefinido o regularizar el término",IF(I15="Obra o faena","Al concluir la obra: finiquito por Art. 159 N°5 + indemnización de 2,5 días por mes trabajado (Ley 21.122)",IF(N(K15)&gt;=3,"Por ley ya es indefinido (2ª renovación): firmar anexo de paso a indefinido",IF(N(K15)=2,"2° contrato a plazo: NO admite otra renovación a plazo fijo. Pasar a indefinido o terminar al vencimiento (carta dentro de 3 días hábiles)","1er contrato a plazo: renovar (2° plazo fijo), pasar a indefinido o terminar al vencimiento (carta dentro de 3 días hábiles)")))))))))))</f>
        <v/>
      </c>
      <c r="T15" s="70" t="str">
        <f aca="false">IF(B15="","",IF(COUNTIFS(C_ID,B15,C_FIRMADO,"&lt;&gt;Sí")&gt;0,COUNTIFS(C_ID,B15,C_FIRMADO,"&lt;&gt;Sí")&amp;" documento(s) sin firma. ","")&amp;IF(COUNTIFS(C_ID,B15,C_TIPO,"Plazo fijo",C_DEFINE,"Sí")&gt;2,"Más de 2 contratos a plazo: revisar presunción de indefinido. ","")&amp;IF(AND(R15="VENCIDO",LEFT(E15,6)="Activo"),"Trabaja con contrato vencido. ",""))</f>
        <v/>
      </c>
      <c r="U15" s="71" t="str">
        <f aca="false">IF(B15="","",INDEX(T_SUELDO,9))</f>
        <v/>
      </c>
      <c r="V15" s="72" t="str">
        <f aca="false">IF(AND(B15&lt;&gt;"",LEFT(E15,6)="Activo",ISNUMBER(O15),R15&lt;&gt;"Renovación registrada"),O15+ROW()/100000,"")</f>
        <v/>
      </c>
    </row>
    <row r="16" customFormat="false" ht="15" hidden="false" customHeight="false" outlineLevel="0" collapsed="false">
      <c r="B16" s="70" t="str">
        <f aca="false">IFERROR(IF(INDEX(T_ID,10)="","",INDEX(T_ID,10)),"")</f>
        <v/>
      </c>
      <c r="C16" s="70" t="str">
        <f aca="false">IF(B16="","",INDEX(T_NOMBRE,10)&amp;"")</f>
        <v/>
      </c>
      <c r="D16" s="70" t="str">
        <f aca="false">IF(B16="","",INDEX(T_CARGO,10)&amp;"")</f>
        <v/>
      </c>
      <c r="E16" s="70" t="str">
        <f aca="false">IF(B16="","",INDEX(T_ESTADO,10))</f>
        <v/>
      </c>
      <c r="F16" s="75" t="str">
        <f aca="false">IF(B16="","",INDEX(T_INGRESO,10))</f>
        <v/>
      </c>
      <c r="G16" s="70" t="str">
        <f aca="false">IF(B16="","",COUNTIFS(C_ID,B16,C_DEFINE,"Sí",C_INICIO,"&lt;="&amp;FECHA_CORTE))</f>
        <v/>
      </c>
      <c r="H16" s="70" t="str">
        <f aca="false">IF(B16="","",COUNTIFS(C_ID,B16,C_DEFINE,"Sí"))</f>
        <v/>
      </c>
      <c r="I16" s="70" t="str">
        <f aca="false">IF(B16="","",IF(H16=0,"Sin contrato",IFERROR(INDEX(C_TIPO,MATCH(B16&amp;"-P"&amp;MAX(1,G16),C_CLAVE,0))&amp;"","")))</f>
        <v/>
      </c>
      <c r="J16" s="70" t="str">
        <f aca="false">IF(OR(B16="",N(H16)=0),"",IFERROR(INDEX(C_TIPODOC,MATCH(B16&amp;"-P"&amp;MAX(1,G16),C_CLAVE,0))&amp;"",""))</f>
        <v/>
      </c>
      <c r="K16" s="76" t="str">
        <f aca="false">IF(I16="Plazo fijo",IFERROR(INDEX(C_NPF,MATCH(B16&amp;"-P"&amp;MAX(1,G16),C_CLAVE,0)),""),"")</f>
        <v/>
      </c>
      <c r="L16" s="70" t="str">
        <f aca="false">IF(B16="","",COUNTIFS(C_ID,B16,C_TIPODOC,"Anexo de modificación"))</f>
        <v/>
      </c>
      <c r="M16" s="75" t="str">
        <f aca="false">IF(OR(B16="",N(H16)=0),"",IFERROR(INDEX(C_INICIO,MATCH(B16&amp;"-P"&amp;MAX(1,G16),C_CLAVE,0)),""))</f>
        <v/>
      </c>
      <c r="N16" s="75" t="str">
        <f aca="false">IF(OR(I16="Plazo fijo",I16="Obra o faena"),IFERROR(IF(N(INDEX(C_TERMINO,MATCH(B16&amp;"-P"&amp;MAX(1,G16),C_CLAVE,0)))=0,"",INDEX(C_TERMINO,MATCH(B16&amp;"-P"&amp;MAX(1,G16),C_CLAVE,0))),""),"")</f>
        <v/>
      </c>
      <c r="O16" s="77" t="str">
        <f aca="false">IF(AND(ISNUMBER(N16),E16&lt;&gt;"Desvinculado"),N16-FECHA_CORTE,"")</f>
        <v/>
      </c>
      <c r="P16" s="75" t="str">
        <f aca="false">IF(AND(ISNUMBER(N16),E16&lt;&gt;"Desvinculado"),N16-DIAS_DECISION,"")</f>
        <v/>
      </c>
      <c r="Q16" s="75" t="str">
        <f aca="false">IF(OR(B16="",N(H16)&lt;=N(G16)),"",IFERROR(INDEX(C_INICIO,MATCH(B16&amp;"-P"&amp;(G16+1),C_CLAVE,0)),""))</f>
        <v/>
      </c>
      <c r="R16" s="70" t="str">
        <f aca="false">IF(B16="","",IF(E16="Desvinculado","Terminado",IF(H16=0,"Sin contrato registrado",IF(E16="Por ingresar","Por ingresar",IF(ISNUMBER(Q16),"Renovación registrada",IF(I16="Indefinido","Indefinido",IF(NOT(ISNUMBER(O16)),"Falta fecha de término",IF(O16&lt;0,"VENCIDO",IF(O16&lt;=ALERTA_ROJA,"Vence en ≤ "&amp;ALERTA_ROJA&amp;" días",IF(O16&lt;=ALERTA_NARANJA,"Vence en ≤ "&amp;ALERTA_NARANJA&amp;" días",IF(O16&lt;=ALERTA_AMARILLA,"Vence en ≤ "&amp;ALERTA_AMARILLA&amp;" días","Vigente")))))))))))</f>
        <v/>
      </c>
      <c r="S16" s="70" t="str">
        <f aca="false">IF(B16="","",IF(R16="Terminado","—",IF(R16="Sin contrato registrado","Registrar el contrato en la hoja Contratos",IF(R16="Por ingresar","Tener el contrato firmado y hacer el alta en AFP, salud, seguro de cesantía y mutual",IF(R16="Renovación registrada",IF(AND(N(K16)&gt;=2,IFERROR(INDEX(C_TIPO,MATCH(B16&amp;"-P"&amp;(G16+1),C_CLAVE,0)),"")="Plazo fijo"),"⚠ El período registrado sería el 3er contrato a plazo: por ley es INDEFINIDO. Registrarlo como Paso a indefinido","Siguiente período ya registrado: verificar que el documento esté firmado"),IF(I16="Indefinido","Sin vencimiento. Cambios de sueldo, cargo o jornada se formalizan con anexo de modificación",IF(R16="Falta fecha de término","Completar la fecha de término en la hoja Contratos",IF(R16="VENCIDO","Si sigue trabajando, por ley el contrato ya es INDEFINIDO (Art. 159 N°4): firmar anexo de paso a indefinido o regularizar el término",IF(I16="Obra o faena","Al concluir la obra: finiquito por Art. 159 N°5 + indemnización de 2,5 días por mes trabajado (Ley 21.122)",IF(N(K16)&gt;=3,"Por ley ya es indefinido (2ª renovación): firmar anexo de paso a indefinido",IF(N(K16)=2,"2° contrato a plazo: NO admite otra renovación a plazo fijo. Pasar a indefinido o terminar al vencimiento (carta dentro de 3 días hábiles)","1er contrato a plazo: renovar (2° plazo fijo), pasar a indefinido o terminar al vencimiento (carta dentro de 3 días hábiles)")))))))))))</f>
        <v/>
      </c>
      <c r="T16" s="70" t="str">
        <f aca="false">IF(B16="","",IF(COUNTIFS(C_ID,B16,C_FIRMADO,"&lt;&gt;Sí")&gt;0,COUNTIFS(C_ID,B16,C_FIRMADO,"&lt;&gt;Sí")&amp;" documento(s) sin firma. ","")&amp;IF(COUNTIFS(C_ID,B16,C_TIPO,"Plazo fijo",C_DEFINE,"Sí")&gt;2,"Más de 2 contratos a plazo: revisar presunción de indefinido. ","")&amp;IF(AND(R16="VENCIDO",LEFT(E16,6)="Activo"),"Trabaja con contrato vencido. ",""))</f>
        <v/>
      </c>
      <c r="U16" s="71" t="str">
        <f aca="false">IF(B16="","",INDEX(T_SUELDO,10))</f>
        <v/>
      </c>
      <c r="V16" s="72" t="str">
        <f aca="false">IF(AND(B16&lt;&gt;"",LEFT(E16,6)="Activo",ISNUMBER(O16),R16&lt;&gt;"Renovación registrada"),O16+ROW()/100000,"")</f>
        <v/>
      </c>
    </row>
    <row r="17" customFormat="false" ht="15" hidden="false" customHeight="false" outlineLevel="0" collapsed="false">
      <c r="B17" s="70" t="str">
        <f aca="false">IFERROR(IF(INDEX(T_ID,11)="","",INDEX(T_ID,11)),"")</f>
        <v/>
      </c>
      <c r="C17" s="70" t="str">
        <f aca="false">IF(B17="","",INDEX(T_NOMBRE,11)&amp;"")</f>
        <v/>
      </c>
      <c r="D17" s="70" t="str">
        <f aca="false">IF(B17="","",INDEX(T_CARGO,11)&amp;"")</f>
        <v/>
      </c>
      <c r="E17" s="70" t="str">
        <f aca="false">IF(B17="","",INDEX(T_ESTADO,11))</f>
        <v/>
      </c>
      <c r="F17" s="75" t="str">
        <f aca="false">IF(B17="","",INDEX(T_INGRESO,11))</f>
        <v/>
      </c>
      <c r="G17" s="70" t="str">
        <f aca="false">IF(B17="","",COUNTIFS(C_ID,B17,C_DEFINE,"Sí",C_INICIO,"&lt;="&amp;FECHA_CORTE))</f>
        <v/>
      </c>
      <c r="H17" s="70" t="str">
        <f aca="false">IF(B17="","",COUNTIFS(C_ID,B17,C_DEFINE,"Sí"))</f>
        <v/>
      </c>
      <c r="I17" s="70" t="str">
        <f aca="false">IF(B17="","",IF(H17=0,"Sin contrato",IFERROR(INDEX(C_TIPO,MATCH(B17&amp;"-P"&amp;MAX(1,G17),C_CLAVE,0))&amp;"","")))</f>
        <v/>
      </c>
      <c r="J17" s="70" t="str">
        <f aca="false">IF(OR(B17="",N(H17)=0),"",IFERROR(INDEX(C_TIPODOC,MATCH(B17&amp;"-P"&amp;MAX(1,G17),C_CLAVE,0))&amp;"",""))</f>
        <v/>
      </c>
      <c r="K17" s="76" t="str">
        <f aca="false">IF(I17="Plazo fijo",IFERROR(INDEX(C_NPF,MATCH(B17&amp;"-P"&amp;MAX(1,G17),C_CLAVE,0)),""),"")</f>
        <v/>
      </c>
      <c r="L17" s="70" t="str">
        <f aca="false">IF(B17="","",COUNTIFS(C_ID,B17,C_TIPODOC,"Anexo de modificación"))</f>
        <v/>
      </c>
      <c r="M17" s="75" t="str">
        <f aca="false">IF(OR(B17="",N(H17)=0),"",IFERROR(INDEX(C_INICIO,MATCH(B17&amp;"-P"&amp;MAX(1,G17),C_CLAVE,0)),""))</f>
        <v/>
      </c>
      <c r="N17" s="75" t="str">
        <f aca="false">IF(OR(I17="Plazo fijo",I17="Obra o faena"),IFERROR(IF(N(INDEX(C_TERMINO,MATCH(B17&amp;"-P"&amp;MAX(1,G17),C_CLAVE,0)))=0,"",INDEX(C_TERMINO,MATCH(B17&amp;"-P"&amp;MAX(1,G17),C_CLAVE,0))),""),"")</f>
        <v/>
      </c>
      <c r="O17" s="77" t="str">
        <f aca="false">IF(AND(ISNUMBER(N17),E17&lt;&gt;"Desvinculado"),N17-FECHA_CORTE,"")</f>
        <v/>
      </c>
      <c r="P17" s="75" t="str">
        <f aca="false">IF(AND(ISNUMBER(N17),E17&lt;&gt;"Desvinculado"),N17-DIAS_DECISION,"")</f>
        <v/>
      </c>
      <c r="Q17" s="75" t="str">
        <f aca="false">IF(OR(B17="",N(H17)&lt;=N(G17)),"",IFERROR(INDEX(C_INICIO,MATCH(B17&amp;"-P"&amp;(G17+1),C_CLAVE,0)),""))</f>
        <v/>
      </c>
      <c r="R17" s="70" t="str">
        <f aca="false">IF(B17="","",IF(E17="Desvinculado","Terminado",IF(H17=0,"Sin contrato registrado",IF(E17="Por ingresar","Por ingresar",IF(ISNUMBER(Q17),"Renovación registrada",IF(I17="Indefinido","Indefinido",IF(NOT(ISNUMBER(O17)),"Falta fecha de término",IF(O17&lt;0,"VENCIDO",IF(O17&lt;=ALERTA_ROJA,"Vence en ≤ "&amp;ALERTA_ROJA&amp;" días",IF(O17&lt;=ALERTA_NARANJA,"Vence en ≤ "&amp;ALERTA_NARANJA&amp;" días",IF(O17&lt;=ALERTA_AMARILLA,"Vence en ≤ "&amp;ALERTA_AMARILLA&amp;" días","Vigente")))))))))))</f>
        <v/>
      </c>
      <c r="S17" s="70" t="str">
        <f aca="false">IF(B17="","",IF(R17="Terminado","—",IF(R17="Sin contrato registrado","Registrar el contrato en la hoja Contratos",IF(R17="Por ingresar","Tener el contrato firmado y hacer el alta en AFP, salud, seguro de cesantía y mutual",IF(R17="Renovación registrada",IF(AND(N(K17)&gt;=2,IFERROR(INDEX(C_TIPO,MATCH(B17&amp;"-P"&amp;(G17+1),C_CLAVE,0)),"")="Plazo fijo"),"⚠ El período registrado sería el 3er contrato a plazo: por ley es INDEFINIDO. Registrarlo como Paso a indefinido","Siguiente período ya registrado: verificar que el documento esté firmado"),IF(I17="Indefinido","Sin vencimiento. Cambios de sueldo, cargo o jornada se formalizan con anexo de modificación",IF(R17="Falta fecha de término","Completar la fecha de término en la hoja Contratos",IF(R17="VENCIDO","Si sigue trabajando, por ley el contrato ya es INDEFINIDO (Art. 159 N°4): firmar anexo de paso a indefinido o regularizar el término",IF(I17="Obra o faena","Al concluir la obra: finiquito por Art. 159 N°5 + indemnización de 2,5 días por mes trabajado (Ley 21.122)",IF(N(K17)&gt;=3,"Por ley ya es indefinido (2ª renovación): firmar anexo de paso a indefinido",IF(N(K17)=2,"2° contrato a plazo: NO admite otra renovación a plazo fijo. Pasar a indefinido o terminar al vencimiento (carta dentro de 3 días hábiles)","1er contrato a plazo: renovar (2° plazo fijo), pasar a indefinido o terminar al vencimiento (carta dentro de 3 días hábiles)")))))))))))</f>
        <v/>
      </c>
      <c r="T17" s="70" t="str">
        <f aca="false">IF(B17="","",IF(COUNTIFS(C_ID,B17,C_FIRMADO,"&lt;&gt;Sí")&gt;0,COUNTIFS(C_ID,B17,C_FIRMADO,"&lt;&gt;Sí")&amp;" documento(s) sin firma. ","")&amp;IF(COUNTIFS(C_ID,B17,C_TIPO,"Plazo fijo",C_DEFINE,"Sí")&gt;2,"Más de 2 contratos a plazo: revisar presunción de indefinido. ","")&amp;IF(AND(R17="VENCIDO",LEFT(E17,6)="Activo"),"Trabaja con contrato vencido. ",""))</f>
        <v/>
      </c>
      <c r="U17" s="71" t="str">
        <f aca="false">IF(B17="","",INDEX(T_SUELDO,11))</f>
        <v/>
      </c>
      <c r="V17" s="72" t="str">
        <f aca="false">IF(AND(B17&lt;&gt;"",LEFT(E17,6)="Activo",ISNUMBER(O17),R17&lt;&gt;"Renovación registrada"),O17+ROW()/100000,"")</f>
        <v/>
      </c>
    </row>
    <row r="18" customFormat="false" ht="15" hidden="false" customHeight="false" outlineLevel="0" collapsed="false">
      <c r="B18" s="70" t="str">
        <f aca="false">IFERROR(IF(INDEX(T_ID,12)="","",INDEX(T_ID,12)),"")</f>
        <v/>
      </c>
      <c r="C18" s="70" t="str">
        <f aca="false">IF(B18="","",INDEX(T_NOMBRE,12)&amp;"")</f>
        <v/>
      </c>
      <c r="D18" s="70" t="str">
        <f aca="false">IF(B18="","",INDEX(T_CARGO,12)&amp;"")</f>
        <v/>
      </c>
      <c r="E18" s="70" t="str">
        <f aca="false">IF(B18="","",INDEX(T_ESTADO,12))</f>
        <v/>
      </c>
      <c r="F18" s="75" t="str">
        <f aca="false">IF(B18="","",INDEX(T_INGRESO,12))</f>
        <v/>
      </c>
      <c r="G18" s="70" t="str">
        <f aca="false">IF(B18="","",COUNTIFS(C_ID,B18,C_DEFINE,"Sí",C_INICIO,"&lt;="&amp;FECHA_CORTE))</f>
        <v/>
      </c>
      <c r="H18" s="70" t="str">
        <f aca="false">IF(B18="","",COUNTIFS(C_ID,B18,C_DEFINE,"Sí"))</f>
        <v/>
      </c>
      <c r="I18" s="70" t="str">
        <f aca="false">IF(B18="","",IF(H18=0,"Sin contrato",IFERROR(INDEX(C_TIPO,MATCH(B18&amp;"-P"&amp;MAX(1,G18),C_CLAVE,0))&amp;"","")))</f>
        <v/>
      </c>
      <c r="J18" s="70" t="str">
        <f aca="false">IF(OR(B18="",N(H18)=0),"",IFERROR(INDEX(C_TIPODOC,MATCH(B18&amp;"-P"&amp;MAX(1,G18),C_CLAVE,0))&amp;"",""))</f>
        <v/>
      </c>
      <c r="K18" s="76" t="str">
        <f aca="false">IF(I18="Plazo fijo",IFERROR(INDEX(C_NPF,MATCH(B18&amp;"-P"&amp;MAX(1,G18),C_CLAVE,0)),""),"")</f>
        <v/>
      </c>
      <c r="L18" s="70" t="str">
        <f aca="false">IF(B18="","",COUNTIFS(C_ID,B18,C_TIPODOC,"Anexo de modificación"))</f>
        <v/>
      </c>
      <c r="M18" s="75" t="str">
        <f aca="false">IF(OR(B18="",N(H18)=0),"",IFERROR(INDEX(C_INICIO,MATCH(B18&amp;"-P"&amp;MAX(1,G18),C_CLAVE,0)),""))</f>
        <v/>
      </c>
      <c r="N18" s="75" t="str">
        <f aca="false">IF(OR(I18="Plazo fijo",I18="Obra o faena"),IFERROR(IF(N(INDEX(C_TERMINO,MATCH(B18&amp;"-P"&amp;MAX(1,G18),C_CLAVE,0)))=0,"",INDEX(C_TERMINO,MATCH(B18&amp;"-P"&amp;MAX(1,G18),C_CLAVE,0))),""),"")</f>
        <v/>
      </c>
      <c r="O18" s="77" t="str">
        <f aca="false">IF(AND(ISNUMBER(N18),E18&lt;&gt;"Desvinculado"),N18-FECHA_CORTE,"")</f>
        <v/>
      </c>
      <c r="P18" s="75" t="str">
        <f aca="false">IF(AND(ISNUMBER(N18),E18&lt;&gt;"Desvinculado"),N18-DIAS_DECISION,"")</f>
        <v/>
      </c>
      <c r="Q18" s="75" t="str">
        <f aca="false">IF(OR(B18="",N(H18)&lt;=N(G18)),"",IFERROR(INDEX(C_INICIO,MATCH(B18&amp;"-P"&amp;(G18+1),C_CLAVE,0)),""))</f>
        <v/>
      </c>
      <c r="R18" s="70" t="str">
        <f aca="false">IF(B18="","",IF(E18="Desvinculado","Terminado",IF(H18=0,"Sin contrato registrado",IF(E18="Por ingresar","Por ingresar",IF(ISNUMBER(Q18),"Renovación registrada",IF(I18="Indefinido","Indefinido",IF(NOT(ISNUMBER(O18)),"Falta fecha de término",IF(O18&lt;0,"VENCIDO",IF(O18&lt;=ALERTA_ROJA,"Vence en ≤ "&amp;ALERTA_ROJA&amp;" días",IF(O18&lt;=ALERTA_NARANJA,"Vence en ≤ "&amp;ALERTA_NARANJA&amp;" días",IF(O18&lt;=ALERTA_AMARILLA,"Vence en ≤ "&amp;ALERTA_AMARILLA&amp;" días","Vigente")))))))))))</f>
        <v/>
      </c>
      <c r="S18" s="70" t="str">
        <f aca="false">IF(B18="","",IF(R18="Terminado","—",IF(R18="Sin contrato registrado","Registrar el contrato en la hoja Contratos",IF(R18="Por ingresar","Tener el contrato firmado y hacer el alta en AFP, salud, seguro de cesantía y mutual",IF(R18="Renovación registrada",IF(AND(N(K18)&gt;=2,IFERROR(INDEX(C_TIPO,MATCH(B18&amp;"-P"&amp;(G18+1),C_CLAVE,0)),"")="Plazo fijo"),"⚠ El período registrado sería el 3er contrato a plazo: por ley es INDEFINIDO. Registrarlo como Paso a indefinido","Siguiente período ya registrado: verificar que el documento esté firmado"),IF(I18="Indefinido","Sin vencimiento. Cambios de sueldo, cargo o jornada se formalizan con anexo de modificación",IF(R18="Falta fecha de término","Completar la fecha de término en la hoja Contratos",IF(R18="VENCIDO","Si sigue trabajando, por ley el contrato ya es INDEFINIDO (Art. 159 N°4): firmar anexo de paso a indefinido o regularizar el término",IF(I18="Obra o faena","Al concluir la obra: finiquito por Art. 159 N°5 + indemnización de 2,5 días por mes trabajado (Ley 21.122)",IF(N(K18)&gt;=3,"Por ley ya es indefinido (2ª renovación): firmar anexo de paso a indefinido",IF(N(K18)=2,"2° contrato a plazo: NO admite otra renovación a plazo fijo. Pasar a indefinido o terminar al vencimiento (carta dentro de 3 días hábiles)","1er contrato a plazo: renovar (2° plazo fijo), pasar a indefinido o terminar al vencimiento (carta dentro de 3 días hábiles)")))))))))))</f>
        <v/>
      </c>
      <c r="T18" s="70" t="str">
        <f aca="false">IF(B18="","",IF(COUNTIFS(C_ID,B18,C_FIRMADO,"&lt;&gt;Sí")&gt;0,COUNTIFS(C_ID,B18,C_FIRMADO,"&lt;&gt;Sí")&amp;" documento(s) sin firma. ","")&amp;IF(COUNTIFS(C_ID,B18,C_TIPO,"Plazo fijo",C_DEFINE,"Sí")&gt;2,"Más de 2 contratos a plazo: revisar presunción de indefinido. ","")&amp;IF(AND(R18="VENCIDO",LEFT(E18,6)="Activo"),"Trabaja con contrato vencido. ",""))</f>
        <v/>
      </c>
      <c r="U18" s="71" t="str">
        <f aca="false">IF(B18="","",INDEX(T_SUELDO,12))</f>
        <v/>
      </c>
      <c r="V18" s="72" t="str">
        <f aca="false">IF(AND(B18&lt;&gt;"",LEFT(E18,6)="Activo",ISNUMBER(O18),R18&lt;&gt;"Renovación registrada"),O18+ROW()/100000,"")</f>
        <v/>
      </c>
    </row>
    <row r="19" customFormat="false" ht="15" hidden="false" customHeight="false" outlineLevel="0" collapsed="false">
      <c r="B19" s="70" t="str">
        <f aca="false">IFERROR(IF(INDEX(T_ID,13)="","",INDEX(T_ID,13)),"")</f>
        <v/>
      </c>
      <c r="C19" s="70" t="str">
        <f aca="false">IF(B19="","",INDEX(T_NOMBRE,13)&amp;"")</f>
        <v/>
      </c>
      <c r="D19" s="70" t="str">
        <f aca="false">IF(B19="","",INDEX(T_CARGO,13)&amp;"")</f>
        <v/>
      </c>
      <c r="E19" s="70" t="str">
        <f aca="false">IF(B19="","",INDEX(T_ESTADO,13))</f>
        <v/>
      </c>
      <c r="F19" s="75" t="str">
        <f aca="false">IF(B19="","",INDEX(T_INGRESO,13))</f>
        <v/>
      </c>
      <c r="G19" s="70" t="str">
        <f aca="false">IF(B19="","",COUNTIFS(C_ID,B19,C_DEFINE,"Sí",C_INICIO,"&lt;="&amp;FECHA_CORTE))</f>
        <v/>
      </c>
      <c r="H19" s="70" t="str">
        <f aca="false">IF(B19="","",COUNTIFS(C_ID,B19,C_DEFINE,"Sí"))</f>
        <v/>
      </c>
      <c r="I19" s="70" t="str">
        <f aca="false">IF(B19="","",IF(H19=0,"Sin contrato",IFERROR(INDEX(C_TIPO,MATCH(B19&amp;"-P"&amp;MAX(1,G19),C_CLAVE,0))&amp;"","")))</f>
        <v/>
      </c>
      <c r="J19" s="70" t="str">
        <f aca="false">IF(OR(B19="",N(H19)=0),"",IFERROR(INDEX(C_TIPODOC,MATCH(B19&amp;"-P"&amp;MAX(1,G19),C_CLAVE,0))&amp;"",""))</f>
        <v/>
      </c>
      <c r="K19" s="76" t="str">
        <f aca="false">IF(I19="Plazo fijo",IFERROR(INDEX(C_NPF,MATCH(B19&amp;"-P"&amp;MAX(1,G19),C_CLAVE,0)),""),"")</f>
        <v/>
      </c>
      <c r="L19" s="70" t="str">
        <f aca="false">IF(B19="","",COUNTIFS(C_ID,B19,C_TIPODOC,"Anexo de modificación"))</f>
        <v/>
      </c>
      <c r="M19" s="75" t="str">
        <f aca="false">IF(OR(B19="",N(H19)=0),"",IFERROR(INDEX(C_INICIO,MATCH(B19&amp;"-P"&amp;MAX(1,G19),C_CLAVE,0)),""))</f>
        <v/>
      </c>
      <c r="N19" s="75" t="str">
        <f aca="false">IF(OR(I19="Plazo fijo",I19="Obra o faena"),IFERROR(IF(N(INDEX(C_TERMINO,MATCH(B19&amp;"-P"&amp;MAX(1,G19),C_CLAVE,0)))=0,"",INDEX(C_TERMINO,MATCH(B19&amp;"-P"&amp;MAX(1,G19),C_CLAVE,0))),""),"")</f>
        <v/>
      </c>
      <c r="O19" s="77" t="str">
        <f aca="false">IF(AND(ISNUMBER(N19),E19&lt;&gt;"Desvinculado"),N19-FECHA_CORTE,"")</f>
        <v/>
      </c>
      <c r="P19" s="75" t="str">
        <f aca="false">IF(AND(ISNUMBER(N19),E19&lt;&gt;"Desvinculado"),N19-DIAS_DECISION,"")</f>
        <v/>
      </c>
      <c r="Q19" s="75" t="str">
        <f aca="false">IF(OR(B19="",N(H19)&lt;=N(G19)),"",IFERROR(INDEX(C_INICIO,MATCH(B19&amp;"-P"&amp;(G19+1),C_CLAVE,0)),""))</f>
        <v/>
      </c>
      <c r="R19" s="70" t="str">
        <f aca="false">IF(B19="","",IF(E19="Desvinculado","Terminado",IF(H19=0,"Sin contrato registrado",IF(E19="Por ingresar","Por ingresar",IF(ISNUMBER(Q19),"Renovación registrada",IF(I19="Indefinido","Indefinido",IF(NOT(ISNUMBER(O19)),"Falta fecha de término",IF(O19&lt;0,"VENCIDO",IF(O19&lt;=ALERTA_ROJA,"Vence en ≤ "&amp;ALERTA_ROJA&amp;" días",IF(O19&lt;=ALERTA_NARANJA,"Vence en ≤ "&amp;ALERTA_NARANJA&amp;" días",IF(O19&lt;=ALERTA_AMARILLA,"Vence en ≤ "&amp;ALERTA_AMARILLA&amp;" días","Vigente")))))))))))</f>
        <v/>
      </c>
      <c r="S19" s="70" t="str">
        <f aca="false">IF(B19="","",IF(R19="Terminado","—",IF(R19="Sin contrato registrado","Registrar el contrato en la hoja Contratos",IF(R19="Por ingresar","Tener el contrato firmado y hacer el alta en AFP, salud, seguro de cesantía y mutual",IF(R19="Renovación registrada",IF(AND(N(K19)&gt;=2,IFERROR(INDEX(C_TIPO,MATCH(B19&amp;"-P"&amp;(G19+1),C_CLAVE,0)),"")="Plazo fijo"),"⚠ El período registrado sería el 3er contrato a plazo: por ley es INDEFINIDO. Registrarlo como Paso a indefinido","Siguiente período ya registrado: verificar que el documento esté firmado"),IF(I19="Indefinido","Sin vencimiento. Cambios de sueldo, cargo o jornada se formalizan con anexo de modificación",IF(R19="Falta fecha de término","Completar la fecha de término en la hoja Contratos",IF(R19="VENCIDO","Si sigue trabajando, por ley el contrato ya es INDEFINIDO (Art. 159 N°4): firmar anexo de paso a indefinido o regularizar el término",IF(I19="Obra o faena","Al concluir la obra: finiquito por Art. 159 N°5 + indemnización de 2,5 días por mes trabajado (Ley 21.122)",IF(N(K19)&gt;=3,"Por ley ya es indefinido (2ª renovación): firmar anexo de paso a indefinido",IF(N(K19)=2,"2° contrato a plazo: NO admite otra renovación a plazo fijo. Pasar a indefinido o terminar al vencimiento (carta dentro de 3 días hábiles)","1er contrato a plazo: renovar (2° plazo fijo), pasar a indefinido o terminar al vencimiento (carta dentro de 3 días hábiles)")))))))))))</f>
        <v/>
      </c>
      <c r="T19" s="70" t="str">
        <f aca="false">IF(B19="","",IF(COUNTIFS(C_ID,B19,C_FIRMADO,"&lt;&gt;Sí")&gt;0,COUNTIFS(C_ID,B19,C_FIRMADO,"&lt;&gt;Sí")&amp;" documento(s) sin firma. ","")&amp;IF(COUNTIFS(C_ID,B19,C_TIPO,"Plazo fijo",C_DEFINE,"Sí")&gt;2,"Más de 2 contratos a plazo: revisar presunción de indefinido. ","")&amp;IF(AND(R19="VENCIDO",LEFT(E19,6)="Activo"),"Trabaja con contrato vencido. ",""))</f>
        <v/>
      </c>
      <c r="U19" s="71" t="str">
        <f aca="false">IF(B19="","",INDEX(T_SUELDO,13))</f>
        <v/>
      </c>
      <c r="V19" s="72" t="str">
        <f aca="false">IF(AND(B19&lt;&gt;"",LEFT(E19,6)="Activo",ISNUMBER(O19),R19&lt;&gt;"Renovación registrada"),O19+ROW()/100000,"")</f>
        <v/>
      </c>
    </row>
    <row r="20" customFormat="false" ht="15" hidden="false" customHeight="false" outlineLevel="0" collapsed="false">
      <c r="B20" s="70" t="str">
        <f aca="false">IFERROR(IF(INDEX(T_ID,14)="","",INDEX(T_ID,14)),"")</f>
        <v/>
      </c>
      <c r="C20" s="70" t="str">
        <f aca="false">IF(B20="","",INDEX(T_NOMBRE,14)&amp;"")</f>
        <v/>
      </c>
      <c r="D20" s="70" t="str">
        <f aca="false">IF(B20="","",INDEX(T_CARGO,14)&amp;"")</f>
        <v/>
      </c>
      <c r="E20" s="70" t="str">
        <f aca="false">IF(B20="","",INDEX(T_ESTADO,14))</f>
        <v/>
      </c>
      <c r="F20" s="75" t="str">
        <f aca="false">IF(B20="","",INDEX(T_INGRESO,14))</f>
        <v/>
      </c>
      <c r="G20" s="70" t="str">
        <f aca="false">IF(B20="","",COUNTIFS(C_ID,B20,C_DEFINE,"Sí",C_INICIO,"&lt;="&amp;FECHA_CORTE))</f>
        <v/>
      </c>
      <c r="H20" s="70" t="str">
        <f aca="false">IF(B20="","",COUNTIFS(C_ID,B20,C_DEFINE,"Sí"))</f>
        <v/>
      </c>
      <c r="I20" s="70" t="str">
        <f aca="false">IF(B20="","",IF(H20=0,"Sin contrato",IFERROR(INDEX(C_TIPO,MATCH(B20&amp;"-P"&amp;MAX(1,G20),C_CLAVE,0))&amp;"","")))</f>
        <v/>
      </c>
      <c r="J20" s="70" t="str">
        <f aca="false">IF(OR(B20="",N(H20)=0),"",IFERROR(INDEX(C_TIPODOC,MATCH(B20&amp;"-P"&amp;MAX(1,G20),C_CLAVE,0))&amp;"",""))</f>
        <v/>
      </c>
      <c r="K20" s="76" t="str">
        <f aca="false">IF(I20="Plazo fijo",IFERROR(INDEX(C_NPF,MATCH(B20&amp;"-P"&amp;MAX(1,G20),C_CLAVE,0)),""),"")</f>
        <v/>
      </c>
      <c r="L20" s="70" t="str">
        <f aca="false">IF(B20="","",COUNTIFS(C_ID,B20,C_TIPODOC,"Anexo de modificación"))</f>
        <v/>
      </c>
      <c r="M20" s="75" t="str">
        <f aca="false">IF(OR(B20="",N(H20)=0),"",IFERROR(INDEX(C_INICIO,MATCH(B20&amp;"-P"&amp;MAX(1,G20),C_CLAVE,0)),""))</f>
        <v/>
      </c>
      <c r="N20" s="75" t="str">
        <f aca="false">IF(OR(I20="Plazo fijo",I20="Obra o faena"),IFERROR(IF(N(INDEX(C_TERMINO,MATCH(B20&amp;"-P"&amp;MAX(1,G20),C_CLAVE,0)))=0,"",INDEX(C_TERMINO,MATCH(B20&amp;"-P"&amp;MAX(1,G20),C_CLAVE,0))),""),"")</f>
        <v/>
      </c>
      <c r="O20" s="77" t="str">
        <f aca="false">IF(AND(ISNUMBER(N20),E20&lt;&gt;"Desvinculado"),N20-FECHA_CORTE,"")</f>
        <v/>
      </c>
      <c r="P20" s="75" t="str">
        <f aca="false">IF(AND(ISNUMBER(N20),E20&lt;&gt;"Desvinculado"),N20-DIAS_DECISION,"")</f>
        <v/>
      </c>
      <c r="Q20" s="75" t="str">
        <f aca="false">IF(OR(B20="",N(H20)&lt;=N(G20)),"",IFERROR(INDEX(C_INICIO,MATCH(B20&amp;"-P"&amp;(G20+1),C_CLAVE,0)),""))</f>
        <v/>
      </c>
      <c r="R20" s="70" t="str">
        <f aca="false">IF(B20="","",IF(E20="Desvinculado","Terminado",IF(H20=0,"Sin contrato registrado",IF(E20="Por ingresar","Por ingresar",IF(ISNUMBER(Q20),"Renovación registrada",IF(I20="Indefinido","Indefinido",IF(NOT(ISNUMBER(O20)),"Falta fecha de término",IF(O20&lt;0,"VENCIDO",IF(O20&lt;=ALERTA_ROJA,"Vence en ≤ "&amp;ALERTA_ROJA&amp;" días",IF(O20&lt;=ALERTA_NARANJA,"Vence en ≤ "&amp;ALERTA_NARANJA&amp;" días",IF(O20&lt;=ALERTA_AMARILLA,"Vence en ≤ "&amp;ALERTA_AMARILLA&amp;" días","Vigente")))))))))))</f>
        <v/>
      </c>
      <c r="S20" s="70" t="str">
        <f aca="false">IF(B20="","",IF(R20="Terminado","—",IF(R20="Sin contrato registrado","Registrar el contrato en la hoja Contratos",IF(R20="Por ingresar","Tener el contrato firmado y hacer el alta en AFP, salud, seguro de cesantía y mutual",IF(R20="Renovación registrada",IF(AND(N(K20)&gt;=2,IFERROR(INDEX(C_TIPO,MATCH(B20&amp;"-P"&amp;(G20+1),C_CLAVE,0)),"")="Plazo fijo"),"⚠ El período registrado sería el 3er contrato a plazo: por ley es INDEFINIDO. Registrarlo como Paso a indefinido","Siguiente período ya registrado: verificar que el documento esté firmado"),IF(I20="Indefinido","Sin vencimiento. Cambios de sueldo, cargo o jornada se formalizan con anexo de modificación",IF(R20="Falta fecha de término","Completar la fecha de término en la hoja Contratos",IF(R20="VENCIDO","Si sigue trabajando, por ley el contrato ya es INDEFINIDO (Art. 159 N°4): firmar anexo de paso a indefinido o regularizar el término",IF(I20="Obra o faena","Al concluir la obra: finiquito por Art. 159 N°5 + indemnización de 2,5 días por mes trabajado (Ley 21.122)",IF(N(K20)&gt;=3,"Por ley ya es indefinido (2ª renovación): firmar anexo de paso a indefinido",IF(N(K20)=2,"2° contrato a plazo: NO admite otra renovación a plazo fijo. Pasar a indefinido o terminar al vencimiento (carta dentro de 3 días hábiles)","1er contrato a plazo: renovar (2° plazo fijo), pasar a indefinido o terminar al vencimiento (carta dentro de 3 días hábiles)")))))))))))</f>
        <v/>
      </c>
      <c r="T20" s="70" t="str">
        <f aca="false">IF(B20="","",IF(COUNTIFS(C_ID,B20,C_FIRMADO,"&lt;&gt;Sí")&gt;0,COUNTIFS(C_ID,B20,C_FIRMADO,"&lt;&gt;Sí")&amp;" documento(s) sin firma. ","")&amp;IF(COUNTIFS(C_ID,B20,C_TIPO,"Plazo fijo",C_DEFINE,"Sí")&gt;2,"Más de 2 contratos a plazo: revisar presunción de indefinido. ","")&amp;IF(AND(R20="VENCIDO",LEFT(E20,6)="Activo"),"Trabaja con contrato vencido. ",""))</f>
        <v/>
      </c>
      <c r="U20" s="71" t="str">
        <f aca="false">IF(B20="","",INDEX(T_SUELDO,14))</f>
        <v/>
      </c>
      <c r="V20" s="72" t="str">
        <f aca="false">IF(AND(B20&lt;&gt;"",LEFT(E20,6)="Activo",ISNUMBER(O20),R20&lt;&gt;"Renovación registrada"),O20+ROW()/100000,"")</f>
        <v/>
      </c>
    </row>
    <row r="21" customFormat="false" ht="15" hidden="false" customHeight="false" outlineLevel="0" collapsed="false">
      <c r="B21" s="70" t="str">
        <f aca="false">IFERROR(IF(INDEX(T_ID,15)="","",INDEX(T_ID,15)),"")</f>
        <v/>
      </c>
      <c r="C21" s="70" t="str">
        <f aca="false">IF(B21="","",INDEX(T_NOMBRE,15)&amp;"")</f>
        <v/>
      </c>
      <c r="D21" s="70" t="str">
        <f aca="false">IF(B21="","",INDEX(T_CARGO,15)&amp;"")</f>
        <v/>
      </c>
      <c r="E21" s="70" t="str">
        <f aca="false">IF(B21="","",INDEX(T_ESTADO,15))</f>
        <v/>
      </c>
      <c r="F21" s="75" t="str">
        <f aca="false">IF(B21="","",INDEX(T_INGRESO,15))</f>
        <v/>
      </c>
      <c r="G21" s="70" t="str">
        <f aca="false">IF(B21="","",COUNTIFS(C_ID,B21,C_DEFINE,"Sí",C_INICIO,"&lt;="&amp;FECHA_CORTE))</f>
        <v/>
      </c>
      <c r="H21" s="70" t="str">
        <f aca="false">IF(B21="","",COUNTIFS(C_ID,B21,C_DEFINE,"Sí"))</f>
        <v/>
      </c>
      <c r="I21" s="70" t="str">
        <f aca="false">IF(B21="","",IF(H21=0,"Sin contrato",IFERROR(INDEX(C_TIPO,MATCH(B21&amp;"-P"&amp;MAX(1,G21),C_CLAVE,0))&amp;"","")))</f>
        <v/>
      </c>
      <c r="J21" s="70" t="str">
        <f aca="false">IF(OR(B21="",N(H21)=0),"",IFERROR(INDEX(C_TIPODOC,MATCH(B21&amp;"-P"&amp;MAX(1,G21),C_CLAVE,0))&amp;"",""))</f>
        <v/>
      </c>
      <c r="K21" s="76" t="str">
        <f aca="false">IF(I21="Plazo fijo",IFERROR(INDEX(C_NPF,MATCH(B21&amp;"-P"&amp;MAX(1,G21),C_CLAVE,0)),""),"")</f>
        <v/>
      </c>
      <c r="L21" s="70" t="str">
        <f aca="false">IF(B21="","",COUNTIFS(C_ID,B21,C_TIPODOC,"Anexo de modificación"))</f>
        <v/>
      </c>
      <c r="M21" s="75" t="str">
        <f aca="false">IF(OR(B21="",N(H21)=0),"",IFERROR(INDEX(C_INICIO,MATCH(B21&amp;"-P"&amp;MAX(1,G21),C_CLAVE,0)),""))</f>
        <v/>
      </c>
      <c r="N21" s="75" t="str">
        <f aca="false">IF(OR(I21="Plazo fijo",I21="Obra o faena"),IFERROR(IF(N(INDEX(C_TERMINO,MATCH(B21&amp;"-P"&amp;MAX(1,G21),C_CLAVE,0)))=0,"",INDEX(C_TERMINO,MATCH(B21&amp;"-P"&amp;MAX(1,G21),C_CLAVE,0))),""),"")</f>
        <v/>
      </c>
      <c r="O21" s="77" t="str">
        <f aca="false">IF(AND(ISNUMBER(N21),E21&lt;&gt;"Desvinculado"),N21-FECHA_CORTE,"")</f>
        <v/>
      </c>
      <c r="P21" s="75" t="str">
        <f aca="false">IF(AND(ISNUMBER(N21),E21&lt;&gt;"Desvinculado"),N21-DIAS_DECISION,"")</f>
        <v/>
      </c>
      <c r="Q21" s="75" t="str">
        <f aca="false">IF(OR(B21="",N(H21)&lt;=N(G21)),"",IFERROR(INDEX(C_INICIO,MATCH(B21&amp;"-P"&amp;(G21+1),C_CLAVE,0)),""))</f>
        <v/>
      </c>
      <c r="R21" s="70" t="str">
        <f aca="false">IF(B21="","",IF(E21="Desvinculado","Terminado",IF(H21=0,"Sin contrato registrado",IF(E21="Por ingresar","Por ingresar",IF(ISNUMBER(Q21),"Renovación registrada",IF(I21="Indefinido","Indefinido",IF(NOT(ISNUMBER(O21)),"Falta fecha de término",IF(O21&lt;0,"VENCIDO",IF(O21&lt;=ALERTA_ROJA,"Vence en ≤ "&amp;ALERTA_ROJA&amp;" días",IF(O21&lt;=ALERTA_NARANJA,"Vence en ≤ "&amp;ALERTA_NARANJA&amp;" días",IF(O21&lt;=ALERTA_AMARILLA,"Vence en ≤ "&amp;ALERTA_AMARILLA&amp;" días","Vigente")))))))))))</f>
        <v/>
      </c>
      <c r="S21" s="70" t="str">
        <f aca="false">IF(B21="","",IF(R21="Terminado","—",IF(R21="Sin contrato registrado","Registrar el contrato en la hoja Contratos",IF(R21="Por ingresar","Tener el contrato firmado y hacer el alta en AFP, salud, seguro de cesantía y mutual",IF(R21="Renovación registrada",IF(AND(N(K21)&gt;=2,IFERROR(INDEX(C_TIPO,MATCH(B21&amp;"-P"&amp;(G21+1),C_CLAVE,0)),"")="Plazo fijo"),"⚠ El período registrado sería el 3er contrato a plazo: por ley es INDEFINIDO. Registrarlo como Paso a indefinido","Siguiente período ya registrado: verificar que el documento esté firmado"),IF(I21="Indefinido","Sin vencimiento. Cambios de sueldo, cargo o jornada se formalizan con anexo de modificación",IF(R21="Falta fecha de término","Completar la fecha de término en la hoja Contratos",IF(R21="VENCIDO","Si sigue trabajando, por ley el contrato ya es INDEFINIDO (Art. 159 N°4): firmar anexo de paso a indefinido o regularizar el término",IF(I21="Obra o faena","Al concluir la obra: finiquito por Art. 159 N°5 + indemnización de 2,5 días por mes trabajado (Ley 21.122)",IF(N(K21)&gt;=3,"Por ley ya es indefinido (2ª renovación): firmar anexo de paso a indefinido",IF(N(K21)=2,"2° contrato a plazo: NO admite otra renovación a plazo fijo. Pasar a indefinido o terminar al vencimiento (carta dentro de 3 días hábiles)","1er contrato a plazo: renovar (2° plazo fijo), pasar a indefinido o terminar al vencimiento (carta dentro de 3 días hábiles)")))))))))))</f>
        <v/>
      </c>
      <c r="T21" s="70" t="str">
        <f aca="false">IF(B21="","",IF(COUNTIFS(C_ID,B21,C_FIRMADO,"&lt;&gt;Sí")&gt;0,COUNTIFS(C_ID,B21,C_FIRMADO,"&lt;&gt;Sí")&amp;" documento(s) sin firma. ","")&amp;IF(COUNTIFS(C_ID,B21,C_TIPO,"Plazo fijo",C_DEFINE,"Sí")&gt;2,"Más de 2 contratos a plazo: revisar presunción de indefinido. ","")&amp;IF(AND(R21="VENCIDO",LEFT(E21,6)="Activo"),"Trabaja con contrato vencido. ",""))</f>
        <v/>
      </c>
      <c r="U21" s="71" t="str">
        <f aca="false">IF(B21="","",INDEX(T_SUELDO,15))</f>
        <v/>
      </c>
      <c r="V21" s="72" t="str">
        <f aca="false">IF(AND(B21&lt;&gt;"",LEFT(E21,6)="Activo",ISNUMBER(O21),R21&lt;&gt;"Renovación registrada"),O21+ROW()/100000,"")</f>
        <v/>
      </c>
    </row>
    <row r="22" customFormat="false" ht="15" hidden="false" customHeight="false" outlineLevel="0" collapsed="false">
      <c r="B22" s="70" t="str">
        <f aca="false">IFERROR(IF(INDEX(T_ID,16)="","",INDEX(T_ID,16)),"")</f>
        <v/>
      </c>
      <c r="C22" s="70" t="str">
        <f aca="false">IF(B22="","",INDEX(T_NOMBRE,16)&amp;"")</f>
        <v/>
      </c>
      <c r="D22" s="70" t="str">
        <f aca="false">IF(B22="","",INDEX(T_CARGO,16)&amp;"")</f>
        <v/>
      </c>
      <c r="E22" s="70" t="str">
        <f aca="false">IF(B22="","",INDEX(T_ESTADO,16))</f>
        <v/>
      </c>
      <c r="F22" s="75" t="str">
        <f aca="false">IF(B22="","",INDEX(T_INGRESO,16))</f>
        <v/>
      </c>
      <c r="G22" s="70" t="str">
        <f aca="false">IF(B22="","",COUNTIFS(C_ID,B22,C_DEFINE,"Sí",C_INICIO,"&lt;="&amp;FECHA_CORTE))</f>
        <v/>
      </c>
      <c r="H22" s="70" t="str">
        <f aca="false">IF(B22="","",COUNTIFS(C_ID,B22,C_DEFINE,"Sí"))</f>
        <v/>
      </c>
      <c r="I22" s="70" t="str">
        <f aca="false">IF(B22="","",IF(H22=0,"Sin contrato",IFERROR(INDEX(C_TIPO,MATCH(B22&amp;"-P"&amp;MAX(1,G22),C_CLAVE,0))&amp;"","")))</f>
        <v/>
      </c>
      <c r="J22" s="70" t="str">
        <f aca="false">IF(OR(B22="",N(H22)=0),"",IFERROR(INDEX(C_TIPODOC,MATCH(B22&amp;"-P"&amp;MAX(1,G22),C_CLAVE,0))&amp;"",""))</f>
        <v/>
      </c>
      <c r="K22" s="76" t="str">
        <f aca="false">IF(I22="Plazo fijo",IFERROR(INDEX(C_NPF,MATCH(B22&amp;"-P"&amp;MAX(1,G22),C_CLAVE,0)),""),"")</f>
        <v/>
      </c>
      <c r="L22" s="70" t="str">
        <f aca="false">IF(B22="","",COUNTIFS(C_ID,B22,C_TIPODOC,"Anexo de modificación"))</f>
        <v/>
      </c>
      <c r="M22" s="75" t="str">
        <f aca="false">IF(OR(B22="",N(H22)=0),"",IFERROR(INDEX(C_INICIO,MATCH(B22&amp;"-P"&amp;MAX(1,G22),C_CLAVE,0)),""))</f>
        <v/>
      </c>
      <c r="N22" s="75" t="str">
        <f aca="false">IF(OR(I22="Plazo fijo",I22="Obra o faena"),IFERROR(IF(N(INDEX(C_TERMINO,MATCH(B22&amp;"-P"&amp;MAX(1,G22),C_CLAVE,0)))=0,"",INDEX(C_TERMINO,MATCH(B22&amp;"-P"&amp;MAX(1,G22),C_CLAVE,0))),""),"")</f>
        <v/>
      </c>
      <c r="O22" s="77" t="str">
        <f aca="false">IF(AND(ISNUMBER(N22),E22&lt;&gt;"Desvinculado"),N22-FECHA_CORTE,"")</f>
        <v/>
      </c>
      <c r="P22" s="75" t="str">
        <f aca="false">IF(AND(ISNUMBER(N22),E22&lt;&gt;"Desvinculado"),N22-DIAS_DECISION,"")</f>
        <v/>
      </c>
      <c r="Q22" s="75" t="str">
        <f aca="false">IF(OR(B22="",N(H22)&lt;=N(G22)),"",IFERROR(INDEX(C_INICIO,MATCH(B22&amp;"-P"&amp;(G22+1),C_CLAVE,0)),""))</f>
        <v/>
      </c>
      <c r="R22" s="70" t="str">
        <f aca="false">IF(B22="","",IF(E22="Desvinculado","Terminado",IF(H22=0,"Sin contrato registrado",IF(E22="Por ingresar","Por ingresar",IF(ISNUMBER(Q22),"Renovación registrada",IF(I22="Indefinido","Indefinido",IF(NOT(ISNUMBER(O22)),"Falta fecha de término",IF(O22&lt;0,"VENCIDO",IF(O22&lt;=ALERTA_ROJA,"Vence en ≤ "&amp;ALERTA_ROJA&amp;" días",IF(O22&lt;=ALERTA_NARANJA,"Vence en ≤ "&amp;ALERTA_NARANJA&amp;" días",IF(O22&lt;=ALERTA_AMARILLA,"Vence en ≤ "&amp;ALERTA_AMARILLA&amp;" días","Vigente")))))))))))</f>
        <v/>
      </c>
      <c r="S22" s="70" t="str">
        <f aca="false">IF(B22="","",IF(R22="Terminado","—",IF(R22="Sin contrato registrado","Registrar el contrato en la hoja Contratos",IF(R22="Por ingresar","Tener el contrato firmado y hacer el alta en AFP, salud, seguro de cesantía y mutual",IF(R22="Renovación registrada",IF(AND(N(K22)&gt;=2,IFERROR(INDEX(C_TIPO,MATCH(B22&amp;"-P"&amp;(G22+1),C_CLAVE,0)),"")="Plazo fijo"),"⚠ El período registrado sería el 3er contrato a plazo: por ley es INDEFINIDO. Registrarlo como Paso a indefinido","Siguiente período ya registrado: verificar que el documento esté firmado"),IF(I22="Indefinido","Sin vencimiento. Cambios de sueldo, cargo o jornada se formalizan con anexo de modificación",IF(R22="Falta fecha de término","Completar la fecha de término en la hoja Contratos",IF(R22="VENCIDO","Si sigue trabajando, por ley el contrato ya es INDEFINIDO (Art. 159 N°4): firmar anexo de paso a indefinido o regularizar el término",IF(I22="Obra o faena","Al concluir la obra: finiquito por Art. 159 N°5 + indemnización de 2,5 días por mes trabajado (Ley 21.122)",IF(N(K22)&gt;=3,"Por ley ya es indefinido (2ª renovación): firmar anexo de paso a indefinido",IF(N(K22)=2,"2° contrato a plazo: NO admite otra renovación a plazo fijo. Pasar a indefinido o terminar al vencimiento (carta dentro de 3 días hábiles)","1er contrato a plazo: renovar (2° plazo fijo), pasar a indefinido o terminar al vencimiento (carta dentro de 3 días hábiles)")))))))))))</f>
        <v/>
      </c>
      <c r="T22" s="70" t="str">
        <f aca="false">IF(B22="","",IF(COUNTIFS(C_ID,B22,C_FIRMADO,"&lt;&gt;Sí")&gt;0,COUNTIFS(C_ID,B22,C_FIRMADO,"&lt;&gt;Sí")&amp;" documento(s) sin firma. ","")&amp;IF(COUNTIFS(C_ID,B22,C_TIPO,"Plazo fijo",C_DEFINE,"Sí")&gt;2,"Más de 2 contratos a plazo: revisar presunción de indefinido. ","")&amp;IF(AND(R22="VENCIDO",LEFT(E22,6)="Activo"),"Trabaja con contrato vencido. ",""))</f>
        <v/>
      </c>
      <c r="U22" s="71" t="str">
        <f aca="false">IF(B22="","",INDEX(T_SUELDO,16))</f>
        <v/>
      </c>
      <c r="V22" s="72" t="str">
        <f aca="false">IF(AND(B22&lt;&gt;"",LEFT(E22,6)="Activo",ISNUMBER(O22),R22&lt;&gt;"Renovación registrada"),O22+ROW()/100000,"")</f>
        <v/>
      </c>
    </row>
    <row r="23" customFormat="false" ht="15" hidden="false" customHeight="false" outlineLevel="0" collapsed="false">
      <c r="B23" s="70" t="str">
        <f aca="false">IFERROR(IF(INDEX(T_ID,17)="","",INDEX(T_ID,17)),"")</f>
        <v/>
      </c>
      <c r="C23" s="70" t="str">
        <f aca="false">IF(B23="","",INDEX(T_NOMBRE,17)&amp;"")</f>
        <v/>
      </c>
      <c r="D23" s="70" t="str">
        <f aca="false">IF(B23="","",INDEX(T_CARGO,17)&amp;"")</f>
        <v/>
      </c>
      <c r="E23" s="70" t="str">
        <f aca="false">IF(B23="","",INDEX(T_ESTADO,17))</f>
        <v/>
      </c>
      <c r="F23" s="75" t="str">
        <f aca="false">IF(B23="","",INDEX(T_INGRESO,17))</f>
        <v/>
      </c>
      <c r="G23" s="70" t="str">
        <f aca="false">IF(B23="","",COUNTIFS(C_ID,B23,C_DEFINE,"Sí",C_INICIO,"&lt;="&amp;FECHA_CORTE))</f>
        <v/>
      </c>
      <c r="H23" s="70" t="str">
        <f aca="false">IF(B23="","",COUNTIFS(C_ID,B23,C_DEFINE,"Sí"))</f>
        <v/>
      </c>
      <c r="I23" s="70" t="str">
        <f aca="false">IF(B23="","",IF(H23=0,"Sin contrato",IFERROR(INDEX(C_TIPO,MATCH(B23&amp;"-P"&amp;MAX(1,G23),C_CLAVE,0))&amp;"","")))</f>
        <v/>
      </c>
      <c r="J23" s="70" t="str">
        <f aca="false">IF(OR(B23="",N(H23)=0),"",IFERROR(INDEX(C_TIPODOC,MATCH(B23&amp;"-P"&amp;MAX(1,G23),C_CLAVE,0))&amp;"",""))</f>
        <v/>
      </c>
      <c r="K23" s="76" t="str">
        <f aca="false">IF(I23="Plazo fijo",IFERROR(INDEX(C_NPF,MATCH(B23&amp;"-P"&amp;MAX(1,G23),C_CLAVE,0)),""),"")</f>
        <v/>
      </c>
      <c r="L23" s="70" t="str">
        <f aca="false">IF(B23="","",COUNTIFS(C_ID,B23,C_TIPODOC,"Anexo de modificación"))</f>
        <v/>
      </c>
      <c r="M23" s="75" t="str">
        <f aca="false">IF(OR(B23="",N(H23)=0),"",IFERROR(INDEX(C_INICIO,MATCH(B23&amp;"-P"&amp;MAX(1,G23),C_CLAVE,0)),""))</f>
        <v/>
      </c>
      <c r="N23" s="75" t="str">
        <f aca="false">IF(OR(I23="Plazo fijo",I23="Obra o faena"),IFERROR(IF(N(INDEX(C_TERMINO,MATCH(B23&amp;"-P"&amp;MAX(1,G23),C_CLAVE,0)))=0,"",INDEX(C_TERMINO,MATCH(B23&amp;"-P"&amp;MAX(1,G23),C_CLAVE,0))),""),"")</f>
        <v/>
      </c>
      <c r="O23" s="77" t="str">
        <f aca="false">IF(AND(ISNUMBER(N23),E23&lt;&gt;"Desvinculado"),N23-FECHA_CORTE,"")</f>
        <v/>
      </c>
      <c r="P23" s="75" t="str">
        <f aca="false">IF(AND(ISNUMBER(N23),E23&lt;&gt;"Desvinculado"),N23-DIAS_DECISION,"")</f>
        <v/>
      </c>
      <c r="Q23" s="75" t="str">
        <f aca="false">IF(OR(B23="",N(H23)&lt;=N(G23)),"",IFERROR(INDEX(C_INICIO,MATCH(B23&amp;"-P"&amp;(G23+1),C_CLAVE,0)),""))</f>
        <v/>
      </c>
      <c r="R23" s="70" t="str">
        <f aca="false">IF(B23="","",IF(E23="Desvinculado","Terminado",IF(H23=0,"Sin contrato registrado",IF(E23="Por ingresar","Por ingresar",IF(ISNUMBER(Q23),"Renovación registrada",IF(I23="Indefinido","Indefinido",IF(NOT(ISNUMBER(O23)),"Falta fecha de término",IF(O23&lt;0,"VENCIDO",IF(O23&lt;=ALERTA_ROJA,"Vence en ≤ "&amp;ALERTA_ROJA&amp;" días",IF(O23&lt;=ALERTA_NARANJA,"Vence en ≤ "&amp;ALERTA_NARANJA&amp;" días",IF(O23&lt;=ALERTA_AMARILLA,"Vence en ≤ "&amp;ALERTA_AMARILLA&amp;" días","Vigente")))))))))))</f>
        <v/>
      </c>
      <c r="S23" s="70" t="str">
        <f aca="false">IF(B23="","",IF(R23="Terminado","—",IF(R23="Sin contrato registrado","Registrar el contrato en la hoja Contratos",IF(R23="Por ingresar","Tener el contrato firmado y hacer el alta en AFP, salud, seguro de cesantía y mutual",IF(R23="Renovación registrada",IF(AND(N(K23)&gt;=2,IFERROR(INDEX(C_TIPO,MATCH(B23&amp;"-P"&amp;(G23+1),C_CLAVE,0)),"")="Plazo fijo"),"⚠ El período registrado sería el 3er contrato a plazo: por ley es INDEFINIDO. Registrarlo como Paso a indefinido","Siguiente período ya registrado: verificar que el documento esté firmado"),IF(I23="Indefinido","Sin vencimiento. Cambios de sueldo, cargo o jornada se formalizan con anexo de modificación",IF(R23="Falta fecha de término","Completar la fecha de término en la hoja Contratos",IF(R23="VENCIDO","Si sigue trabajando, por ley el contrato ya es INDEFINIDO (Art. 159 N°4): firmar anexo de paso a indefinido o regularizar el término",IF(I23="Obra o faena","Al concluir la obra: finiquito por Art. 159 N°5 + indemnización de 2,5 días por mes trabajado (Ley 21.122)",IF(N(K23)&gt;=3,"Por ley ya es indefinido (2ª renovación): firmar anexo de paso a indefinido",IF(N(K23)=2,"2° contrato a plazo: NO admite otra renovación a plazo fijo. Pasar a indefinido o terminar al vencimiento (carta dentro de 3 días hábiles)","1er contrato a plazo: renovar (2° plazo fijo), pasar a indefinido o terminar al vencimiento (carta dentro de 3 días hábiles)")))))))))))</f>
        <v/>
      </c>
      <c r="T23" s="70" t="str">
        <f aca="false">IF(B23="","",IF(COUNTIFS(C_ID,B23,C_FIRMADO,"&lt;&gt;Sí")&gt;0,COUNTIFS(C_ID,B23,C_FIRMADO,"&lt;&gt;Sí")&amp;" documento(s) sin firma. ","")&amp;IF(COUNTIFS(C_ID,B23,C_TIPO,"Plazo fijo",C_DEFINE,"Sí")&gt;2,"Más de 2 contratos a plazo: revisar presunción de indefinido. ","")&amp;IF(AND(R23="VENCIDO",LEFT(E23,6)="Activo"),"Trabaja con contrato vencido. ",""))</f>
        <v/>
      </c>
      <c r="U23" s="71" t="str">
        <f aca="false">IF(B23="","",INDEX(T_SUELDO,17))</f>
        <v/>
      </c>
      <c r="V23" s="72" t="str">
        <f aca="false">IF(AND(B23&lt;&gt;"",LEFT(E23,6)="Activo",ISNUMBER(O23),R23&lt;&gt;"Renovación registrada"),O23+ROW()/100000,"")</f>
        <v/>
      </c>
    </row>
    <row r="24" customFormat="false" ht="15" hidden="false" customHeight="false" outlineLevel="0" collapsed="false">
      <c r="B24" s="70" t="str">
        <f aca="false">IFERROR(IF(INDEX(T_ID,18)="","",INDEX(T_ID,18)),"")</f>
        <v/>
      </c>
      <c r="C24" s="70" t="str">
        <f aca="false">IF(B24="","",INDEX(T_NOMBRE,18)&amp;"")</f>
        <v/>
      </c>
      <c r="D24" s="70" t="str">
        <f aca="false">IF(B24="","",INDEX(T_CARGO,18)&amp;"")</f>
        <v/>
      </c>
      <c r="E24" s="70" t="str">
        <f aca="false">IF(B24="","",INDEX(T_ESTADO,18))</f>
        <v/>
      </c>
      <c r="F24" s="75" t="str">
        <f aca="false">IF(B24="","",INDEX(T_INGRESO,18))</f>
        <v/>
      </c>
      <c r="G24" s="70" t="str">
        <f aca="false">IF(B24="","",COUNTIFS(C_ID,B24,C_DEFINE,"Sí",C_INICIO,"&lt;="&amp;FECHA_CORTE))</f>
        <v/>
      </c>
      <c r="H24" s="70" t="str">
        <f aca="false">IF(B24="","",COUNTIFS(C_ID,B24,C_DEFINE,"Sí"))</f>
        <v/>
      </c>
      <c r="I24" s="70" t="str">
        <f aca="false">IF(B24="","",IF(H24=0,"Sin contrato",IFERROR(INDEX(C_TIPO,MATCH(B24&amp;"-P"&amp;MAX(1,G24),C_CLAVE,0))&amp;"","")))</f>
        <v/>
      </c>
      <c r="J24" s="70" t="str">
        <f aca="false">IF(OR(B24="",N(H24)=0),"",IFERROR(INDEX(C_TIPODOC,MATCH(B24&amp;"-P"&amp;MAX(1,G24),C_CLAVE,0))&amp;"",""))</f>
        <v/>
      </c>
      <c r="K24" s="76" t="str">
        <f aca="false">IF(I24="Plazo fijo",IFERROR(INDEX(C_NPF,MATCH(B24&amp;"-P"&amp;MAX(1,G24),C_CLAVE,0)),""),"")</f>
        <v/>
      </c>
      <c r="L24" s="70" t="str">
        <f aca="false">IF(B24="","",COUNTIFS(C_ID,B24,C_TIPODOC,"Anexo de modificación"))</f>
        <v/>
      </c>
      <c r="M24" s="75" t="str">
        <f aca="false">IF(OR(B24="",N(H24)=0),"",IFERROR(INDEX(C_INICIO,MATCH(B24&amp;"-P"&amp;MAX(1,G24),C_CLAVE,0)),""))</f>
        <v/>
      </c>
      <c r="N24" s="75" t="str">
        <f aca="false">IF(OR(I24="Plazo fijo",I24="Obra o faena"),IFERROR(IF(N(INDEX(C_TERMINO,MATCH(B24&amp;"-P"&amp;MAX(1,G24),C_CLAVE,0)))=0,"",INDEX(C_TERMINO,MATCH(B24&amp;"-P"&amp;MAX(1,G24),C_CLAVE,0))),""),"")</f>
        <v/>
      </c>
      <c r="O24" s="77" t="str">
        <f aca="false">IF(AND(ISNUMBER(N24),E24&lt;&gt;"Desvinculado"),N24-FECHA_CORTE,"")</f>
        <v/>
      </c>
      <c r="P24" s="75" t="str">
        <f aca="false">IF(AND(ISNUMBER(N24),E24&lt;&gt;"Desvinculado"),N24-DIAS_DECISION,"")</f>
        <v/>
      </c>
      <c r="Q24" s="75" t="str">
        <f aca="false">IF(OR(B24="",N(H24)&lt;=N(G24)),"",IFERROR(INDEX(C_INICIO,MATCH(B24&amp;"-P"&amp;(G24+1),C_CLAVE,0)),""))</f>
        <v/>
      </c>
      <c r="R24" s="70" t="str">
        <f aca="false">IF(B24="","",IF(E24="Desvinculado","Terminado",IF(H24=0,"Sin contrato registrado",IF(E24="Por ingresar","Por ingresar",IF(ISNUMBER(Q24),"Renovación registrada",IF(I24="Indefinido","Indefinido",IF(NOT(ISNUMBER(O24)),"Falta fecha de término",IF(O24&lt;0,"VENCIDO",IF(O24&lt;=ALERTA_ROJA,"Vence en ≤ "&amp;ALERTA_ROJA&amp;" días",IF(O24&lt;=ALERTA_NARANJA,"Vence en ≤ "&amp;ALERTA_NARANJA&amp;" días",IF(O24&lt;=ALERTA_AMARILLA,"Vence en ≤ "&amp;ALERTA_AMARILLA&amp;" días","Vigente")))))))))))</f>
        <v/>
      </c>
      <c r="S24" s="70" t="str">
        <f aca="false">IF(B24="","",IF(R24="Terminado","—",IF(R24="Sin contrato registrado","Registrar el contrato en la hoja Contratos",IF(R24="Por ingresar","Tener el contrato firmado y hacer el alta en AFP, salud, seguro de cesantía y mutual",IF(R24="Renovación registrada",IF(AND(N(K24)&gt;=2,IFERROR(INDEX(C_TIPO,MATCH(B24&amp;"-P"&amp;(G24+1),C_CLAVE,0)),"")="Plazo fijo"),"⚠ El período registrado sería el 3er contrato a plazo: por ley es INDEFINIDO. Registrarlo como Paso a indefinido","Siguiente período ya registrado: verificar que el documento esté firmado"),IF(I24="Indefinido","Sin vencimiento. Cambios de sueldo, cargo o jornada se formalizan con anexo de modificación",IF(R24="Falta fecha de término","Completar la fecha de término en la hoja Contratos",IF(R24="VENCIDO","Si sigue trabajando, por ley el contrato ya es INDEFINIDO (Art. 159 N°4): firmar anexo de paso a indefinido o regularizar el término",IF(I24="Obra o faena","Al concluir la obra: finiquito por Art. 159 N°5 + indemnización de 2,5 días por mes trabajado (Ley 21.122)",IF(N(K24)&gt;=3,"Por ley ya es indefinido (2ª renovación): firmar anexo de paso a indefinido",IF(N(K24)=2,"2° contrato a plazo: NO admite otra renovación a plazo fijo. Pasar a indefinido o terminar al vencimiento (carta dentro de 3 días hábiles)","1er contrato a plazo: renovar (2° plazo fijo), pasar a indefinido o terminar al vencimiento (carta dentro de 3 días hábiles)")))))))))))</f>
        <v/>
      </c>
      <c r="T24" s="70" t="str">
        <f aca="false">IF(B24="","",IF(COUNTIFS(C_ID,B24,C_FIRMADO,"&lt;&gt;Sí")&gt;0,COUNTIFS(C_ID,B24,C_FIRMADO,"&lt;&gt;Sí")&amp;" documento(s) sin firma. ","")&amp;IF(COUNTIFS(C_ID,B24,C_TIPO,"Plazo fijo",C_DEFINE,"Sí")&gt;2,"Más de 2 contratos a plazo: revisar presunción de indefinido. ","")&amp;IF(AND(R24="VENCIDO",LEFT(E24,6)="Activo"),"Trabaja con contrato vencido. ",""))</f>
        <v/>
      </c>
      <c r="U24" s="71" t="str">
        <f aca="false">IF(B24="","",INDEX(T_SUELDO,18))</f>
        <v/>
      </c>
      <c r="V24" s="72" t="str">
        <f aca="false">IF(AND(B24&lt;&gt;"",LEFT(E24,6)="Activo",ISNUMBER(O24),R24&lt;&gt;"Renovación registrada"),O24+ROW()/100000,"")</f>
        <v/>
      </c>
    </row>
    <row r="25" customFormat="false" ht="15" hidden="false" customHeight="false" outlineLevel="0" collapsed="false">
      <c r="B25" s="70" t="str">
        <f aca="false">IFERROR(IF(INDEX(T_ID,19)="","",INDEX(T_ID,19)),"")</f>
        <v/>
      </c>
      <c r="C25" s="70" t="str">
        <f aca="false">IF(B25="","",INDEX(T_NOMBRE,19)&amp;"")</f>
        <v/>
      </c>
      <c r="D25" s="70" t="str">
        <f aca="false">IF(B25="","",INDEX(T_CARGO,19)&amp;"")</f>
        <v/>
      </c>
      <c r="E25" s="70" t="str">
        <f aca="false">IF(B25="","",INDEX(T_ESTADO,19))</f>
        <v/>
      </c>
      <c r="F25" s="75" t="str">
        <f aca="false">IF(B25="","",INDEX(T_INGRESO,19))</f>
        <v/>
      </c>
      <c r="G25" s="70" t="str">
        <f aca="false">IF(B25="","",COUNTIFS(C_ID,B25,C_DEFINE,"Sí",C_INICIO,"&lt;="&amp;FECHA_CORTE))</f>
        <v/>
      </c>
      <c r="H25" s="70" t="str">
        <f aca="false">IF(B25="","",COUNTIFS(C_ID,B25,C_DEFINE,"Sí"))</f>
        <v/>
      </c>
      <c r="I25" s="70" t="str">
        <f aca="false">IF(B25="","",IF(H25=0,"Sin contrato",IFERROR(INDEX(C_TIPO,MATCH(B25&amp;"-P"&amp;MAX(1,G25),C_CLAVE,0))&amp;"","")))</f>
        <v/>
      </c>
      <c r="J25" s="70" t="str">
        <f aca="false">IF(OR(B25="",N(H25)=0),"",IFERROR(INDEX(C_TIPODOC,MATCH(B25&amp;"-P"&amp;MAX(1,G25),C_CLAVE,0))&amp;"",""))</f>
        <v/>
      </c>
      <c r="K25" s="76" t="str">
        <f aca="false">IF(I25="Plazo fijo",IFERROR(INDEX(C_NPF,MATCH(B25&amp;"-P"&amp;MAX(1,G25),C_CLAVE,0)),""),"")</f>
        <v/>
      </c>
      <c r="L25" s="70" t="str">
        <f aca="false">IF(B25="","",COUNTIFS(C_ID,B25,C_TIPODOC,"Anexo de modificación"))</f>
        <v/>
      </c>
      <c r="M25" s="75" t="str">
        <f aca="false">IF(OR(B25="",N(H25)=0),"",IFERROR(INDEX(C_INICIO,MATCH(B25&amp;"-P"&amp;MAX(1,G25),C_CLAVE,0)),""))</f>
        <v/>
      </c>
      <c r="N25" s="75" t="str">
        <f aca="false">IF(OR(I25="Plazo fijo",I25="Obra o faena"),IFERROR(IF(N(INDEX(C_TERMINO,MATCH(B25&amp;"-P"&amp;MAX(1,G25),C_CLAVE,0)))=0,"",INDEX(C_TERMINO,MATCH(B25&amp;"-P"&amp;MAX(1,G25),C_CLAVE,0))),""),"")</f>
        <v/>
      </c>
      <c r="O25" s="77" t="str">
        <f aca="false">IF(AND(ISNUMBER(N25),E25&lt;&gt;"Desvinculado"),N25-FECHA_CORTE,"")</f>
        <v/>
      </c>
      <c r="P25" s="75" t="str">
        <f aca="false">IF(AND(ISNUMBER(N25),E25&lt;&gt;"Desvinculado"),N25-DIAS_DECISION,"")</f>
        <v/>
      </c>
      <c r="Q25" s="75" t="str">
        <f aca="false">IF(OR(B25="",N(H25)&lt;=N(G25)),"",IFERROR(INDEX(C_INICIO,MATCH(B25&amp;"-P"&amp;(G25+1),C_CLAVE,0)),""))</f>
        <v/>
      </c>
      <c r="R25" s="70" t="str">
        <f aca="false">IF(B25="","",IF(E25="Desvinculado","Terminado",IF(H25=0,"Sin contrato registrado",IF(E25="Por ingresar","Por ingresar",IF(ISNUMBER(Q25),"Renovación registrada",IF(I25="Indefinido","Indefinido",IF(NOT(ISNUMBER(O25)),"Falta fecha de término",IF(O25&lt;0,"VENCIDO",IF(O25&lt;=ALERTA_ROJA,"Vence en ≤ "&amp;ALERTA_ROJA&amp;" días",IF(O25&lt;=ALERTA_NARANJA,"Vence en ≤ "&amp;ALERTA_NARANJA&amp;" días",IF(O25&lt;=ALERTA_AMARILLA,"Vence en ≤ "&amp;ALERTA_AMARILLA&amp;" días","Vigente")))))))))))</f>
        <v/>
      </c>
      <c r="S25" s="70" t="str">
        <f aca="false">IF(B25="","",IF(R25="Terminado","—",IF(R25="Sin contrato registrado","Registrar el contrato en la hoja Contratos",IF(R25="Por ingresar","Tener el contrato firmado y hacer el alta en AFP, salud, seguro de cesantía y mutual",IF(R25="Renovación registrada",IF(AND(N(K25)&gt;=2,IFERROR(INDEX(C_TIPO,MATCH(B25&amp;"-P"&amp;(G25+1),C_CLAVE,0)),"")="Plazo fijo"),"⚠ El período registrado sería el 3er contrato a plazo: por ley es INDEFINIDO. Registrarlo como Paso a indefinido","Siguiente período ya registrado: verificar que el documento esté firmado"),IF(I25="Indefinido","Sin vencimiento. Cambios de sueldo, cargo o jornada se formalizan con anexo de modificación",IF(R25="Falta fecha de término","Completar la fecha de término en la hoja Contratos",IF(R25="VENCIDO","Si sigue trabajando, por ley el contrato ya es INDEFINIDO (Art. 159 N°4): firmar anexo de paso a indefinido o regularizar el término",IF(I25="Obra o faena","Al concluir la obra: finiquito por Art. 159 N°5 + indemnización de 2,5 días por mes trabajado (Ley 21.122)",IF(N(K25)&gt;=3,"Por ley ya es indefinido (2ª renovación): firmar anexo de paso a indefinido",IF(N(K25)=2,"2° contrato a plazo: NO admite otra renovación a plazo fijo. Pasar a indefinido o terminar al vencimiento (carta dentro de 3 días hábiles)","1er contrato a plazo: renovar (2° plazo fijo), pasar a indefinido o terminar al vencimiento (carta dentro de 3 días hábiles)")))))))))))</f>
        <v/>
      </c>
      <c r="T25" s="70" t="str">
        <f aca="false">IF(B25="","",IF(COUNTIFS(C_ID,B25,C_FIRMADO,"&lt;&gt;Sí")&gt;0,COUNTIFS(C_ID,B25,C_FIRMADO,"&lt;&gt;Sí")&amp;" documento(s) sin firma. ","")&amp;IF(COUNTIFS(C_ID,B25,C_TIPO,"Plazo fijo",C_DEFINE,"Sí")&gt;2,"Más de 2 contratos a plazo: revisar presunción de indefinido. ","")&amp;IF(AND(R25="VENCIDO",LEFT(E25,6)="Activo"),"Trabaja con contrato vencido. ",""))</f>
        <v/>
      </c>
      <c r="U25" s="71" t="str">
        <f aca="false">IF(B25="","",INDEX(T_SUELDO,19))</f>
        <v/>
      </c>
      <c r="V25" s="72" t="str">
        <f aca="false">IF(AND(B25&lt;&gt;"",LEFT(E25,6)="Activo",ISNUMBER(O25),R25&lt;&gt;"Renovación registrada"),O25+ROW()/100000,"")</f>
        <v/>
      </c>
    </row>
    <row r="26" customFormat="false" ht="15" hidden="false" customHeight="false" outlineLevel="0" collapsed="false">
      <c r="B26" s="70" t="str">
        <f aca="false">IFERROR(IF(INDEX(T_ID,20)="","",INDEX(T_ID,20)),"")</f>
        <v/>
      </c>
      <c r="C26" s="70" t="str">
        <f aca="false">IF(B26="","",INDEX(T_NOMBRE,20)&amp;"")</f>
        <v/>
      </c>
      <c r="D26" s="70" t="str">
        <f aca="false">IF(B26="","",INDEX(T_CARGO,20)&amp;"")</f>
        <v/>
      </c>
      <c r="E26" s="70" t="str">
        <f aca="false">IF(B26="","",INDEX(T_ESTADO,20))</f>
        <v/>
      </c>
      <c r="F26" s="75" t="str">
        <f aca="false">IF(B26="","",INDEX(T_INGRESO,20))</f>
        <v/>
      </c>
      <c r="G26" s="70" t="str">
        <f aca="false">IF(B26="","",COUNTIFS(C_ID,B26,C_DEFINE,"Sí",C_INICIO,"&lt;="&amp;FECHA_CORTE))</f>
        <v/>
      </c>
      <c r="H26" s="70" t="str">
        <f aca="false">IF(B26="","",COUNTIFS(C_ID,B26,C_DEFINE,"Sí"))</f>
        <v/>
      </c>
      <c r="I26" s="70" t="str">
        <f aca="false">IF(B26="","",IF(H26=0,"Sin contrato",IFERROR(INDEX(C_TIPO,MATCH(B26&amp;"-P"&amp;MAX(1,G26),C_CLAVE,0))&amp;"","")))</f>
        <v/>
      </c>
      <c r="J26" s="70" t="str">
        <f aca="false">IF(OR(B26="",N(H26)=0),"",IFERROR(INDEX(C_TIPODOC,MATCH(B26&amp;"-P"&amp;MAX(1,G26),C_CLAVE,0))&amp;"",""))</f>
        <v/>
      </c>
      <c r="K26" s="76" t="str">
        <f aca="false">IF(I26="Plazo fijo",IFERROR(INDEX(C_NPF,MATCH(B26&amp;"-P"&amp;MAX(1,G26),C_CLAVE,0)),""),"")</f>
        <v/>
      </c>
      <c r="L26" s="70" t="str">
        <f aca="false">IF(B26="","",COUNTIFS(C_ID,B26,C_TIPODOC,"Anexo de modificación"))</f>
        <v/>
      </c>
      <c r="M26" s="75" t="str">
        <f aca="false">IF(OR(B26="",N(H26)=0),"",IFERROR(INDEX(C_INICIO,MATCH(B26&amp;"-P"&amp;MAX(1,G26),C_CLAVE,0)),""))</f>
        <v/>
      </c>
      <c r="N26" s="75" t="str">
        <f aca="false">IF(OR(I26="Plazo fijo",I26="Obra o faena"),IFERROR(IF(N(INDEX(C_TERMINO,MATCH(B26&amp;"-P"&amp;MAX(1,G26),C_CLAVE,0)))=0,"",INDEX(C_TERMINO,MATCH(B26&amp;"-P"&amp;MAX(1,G26),C_CLAVE,0))),""),"")</f>
        <v/>
      </c>
      <c r="O26" s="77" t="str">
        <f aca="false">IF(AND(ISNUMBER(N26),E26&lt;&gt;"Desvinculado"),N26-FECHA_CORTE,"")</f>
        <v/>
      </c>
      <c r="P26" s="75" t="str">
        <f aca="false">IF(AND(ISNUMBER(N26),E26&lt;&gt;"Desvinculado"),N26-DIAS_DECISION,"")</f>
        <v/>
      </c>
      <c r="Q26" s="75" t="str">
        <f aca="false">IF(OR(B26="",N(H26)&lt;=N(G26)),"",IFERROR(INDEX(C_INICIO,MATCH(B26&amp;"-P"&amp;(G26+1),C_CLAVE,0)),""))</f>
        <v/>
      </c>
      <c r="R26" s="70" t="str">
        <f aca="false">IF(B26="","",IF(E26="Desvinculado","Terminado",IF(H26=0,"Sin contrato registrado",IF(E26="Por ingresar","Por ingresar",IF(ISNUMBER(Q26),"Renovación registrada",IF(I26="Indefinido","Indefinido",IF(NOT(ISNUMBER(O26)),"Falta fecha de término",IF(O26&lt;0,"VENCIDO",IF(O26&lt;=ALERTA_ROJA,"Vence en ≤ "&amp;ALERTA_ROJA&amp;" días",IF(O26&lt;=ALERTA_NARANJA,"Vence en ≤ "&amp;ALERTA_NARANJA&amp;" días",IF(O26&lt;=ALERTA_AMARILLA,"Vence en ≤ "&amp;ALERTA_AMARILLA&amp;" días","Vigente")))))))))))</f>
        <v/>
      </c>
      <c r="S26" s="70" t="str">
        <f aca="false">IF(B26="","",IF(R26="Terminado","—",IF(R26="Sin contrato registrado","Registrar el contrato en la hoja Contratos",IF(R26="Por ingresar","Tener el contrato firmado y hacer el alta en AFP, salud, seguro de cesantía y mutual",IF(R26="Renovación registrada",IF(AND(N(K26)&gt;=2,IFERROR(INDEX(C_TIPO,MATCH(B26&amp;"-P"&amp;(G26+1),C_CLAVE,0)),"")="Plazo fijo"),"⚠ El período registrado sería el 3er contrato a plazo: por ley es INDEFINIDO. Registrarlo como Paso a indefinido","Siguiente período ya registrado: verificar que el documento esté firmado"),IF(I26="Indefinido","Sin vencimiento. Cambios de sueldo, cargo o jornada se formalizan con anexo de modificación",IF(R26="Falta fecha de término","Completar la fecha de término en la hoja Contratos",IF(R26="VENCIDO","Si sigue trabajando, por ley el contrato ya es INDEFINIDO (Art. 159 N°4): firmar anexo de paso a indefinido o regularizar el término",IF(I26="Obra o faena","Al concluir la obra: finiquito por Art. 159 N°5 + indemnización de 2,5 días por mes trabajado (Ley 21.122)",IF(N(K26)&gt;=3,"Por ley ya es indefinido (2ª renovación): firmar anexo de paso a indefinido",IF(N(K26)=2,"2° contrato a plazo: NO admite otra renovación a plazo fijo. Pasar a indefinido o terminar al vencimiento (carta dentro de 3 días hábiles)","1er contrato a plazo: renovar (2° plazo fijo), pasar a indefinido o terminar al vencimiento (carta dentro de 3 días hábiles)")))))))))))</f>
        <v/>
      </c>
      <c r="T26" s="70" t="str">
        <f aca="false">IF(B26="","",IF(COUNTIFS(C_ID,B26,C_FIRMADO,"&lt;&gt;Sí")&gt;0,COUNTIFS(C_ID,B26,C_FIRMADO,"&lt;&gt;Sí")&amp;" documento(s) sin firma. ","")&amp;IF(COUNTIFS(C_ID,B26,C_TIPO,"Plazo fijo",C_DEFINE,"Sí")&gt;2,"Más de 2 contratos a plazo: revisar presunción de indefinido. ","")&amp;IF(AND(R26="VENCIDO",LEFT(E26,6)="Activo"),"Trabaja con contrato vencido. ",""))</f>
        <v/>
      </c>
      <c r="U26" s="71" t="str">
        <f aca="false">IF(B26="","",INDEX(T_SUELDO,20))</f>
        <v/>
      </c>
      <c r="V26" s="72" t="str">
        <f aca="false">IF(AND(B26&lt;&gt;"",LEFT(E26,6)="Activo",ISNUMBER(O26),R26&lt;&gt;"Renovación registrada"),O26+ROW()/100000,"")</f>
        <v/>
      </c>
    </row>
    <row r="27" customFormat="false" ht="15" hidden="false" customHeight="false" outlineLevel="0" collapsed="false">
      <c r="B27" s="70" t="str">
        <f aca="false">IFERROR(IF(INDEX(T_ID,21)="","",INDEX(T_ID,21)),"")</f>
        <v/>
      </c>
      <c r="C27" s="70" t="str">
        <f aca="false">IF(B27="","",INDEX(T_NOMBRE,21)&amp;"")</f>
        <v/>
      </c>
      <c r="D27" s="70" t="str">
        <f aca="false">IF(B27="","",INDEX(T_CARGO,21)&amp;"")</f>
        <v/>
      </c>
      <c r="E27" s="70" t="str">
        <f aca="false">IF(B27="","",INDEX(T_ESTADO,21))</f>
        <v/>
      </c>
      <c r="F27" s="75" t="str">
        <f aca="false">IF(B27="","",INDEX(T_INGRESO,21))</f>
        <v/>
      </c>
      <c r="G27" s="70" t="str">
        <f aca="false">IF(B27="","",COUNTIFS(C_ID,B27,C_DEFINE,"Sí",C_INICIO,"&lt;="&amp;FECHA_CORTE))</f>
        <v/>
      </c>
      <c r="H27" s="70" t="str">
        <f aca="false">IF(B27="","",COUNTIFS(C_ID,B27,C_DEFINE,"Sí"))</f>
        <v/>
      </c>
      <c r="I27" s="70" t="str">
        <f aca="false">IF(B27="","",IF(H27=0,"Sin contrato",IFERROR(INDEX(C_TIPO,MATCH(B27&amp;"-P"&amp;MAX(1,G27),C_CLAVE,0))&amp;"","")))</f>
        <v/>
      </c>
      <c r="J27" s="70" t="str">
        <f aca="false">IF(OR(B27="",N(H27)=0),"",IFERROR(INDEX(C_TIPODOC,MATCH(B27&amp;"-P"&amp;MAX(1,G27),C_CLAVE,0))&amp;"",""))</f>
        <v/>
      </c>
      <c r="K27" s="76" t="str">
        <f aca="false">IF(I27="Plazo fijo",IFERROR(INDEX(C_NPF,MATCH(B27&amp;"-P"&amp;MAX(1,G27),C_CLAVE,0)),""),"")</f>
        <v/>
      </c>
      <c r="L27" s="70" t="str">
        <f aca="false">IF(B27="","",COUNTIFS(C_ID,B27,C_TIPODOC,"Anexo de modificación"))</f>
        <v/>
      </c>
      <c r="M27" s="75" t="str">
        <f aca="false">IF(OR(B27="",N(H27)=0),"",IFERROR(INDEX(C_INICIO,MATCH(B27&amp;"-P"&amp;MAX(1,G27),C_CLAVE,0)),""))</f>
        <v/>
      </c>
      <c r="N27" s="75" t="str">
        <f aca="false">IF(OR(I27="Plazo fijo",I27="Obra o faena"),IFERROR(IF(N(INDEX(C_TERMINO,MATCH(B27&amp;"-P"&amp;MAX(1,G27),C_CLAVE,0)))=0,"",INDEX(C_TERMINO,MATCH(B27&amp;"-P"&amp;MAX(1,G27),C_CLAVE,0))),""),"")</f>
        <v/>
      </c>
      <c r="O27" s="77" t="str">
        <f aca="false">IF(AND(ISNUMBER(N27),E27&lt;&gt;"Desvinculado"),N27-FECHA_CORTE,"")</f>
        <v/>
      </c>
      <c r="P27" s="75" t="str">
        <f aca="false">IF(AND(ISNUMBER(N27),E27&lt;&gt;"Desvinculado"),N27-DIAS_DECISION,"")</f>
        <v/>
      </c>
      <c r="Q27" s="75" t="str">
        <f aca="false">IF(OR(B27="",N(H27)&lt;=N(G27)),"",IFERROR(INDEX(C_INICIO,MATCH(B27&amp;"-P"&amp;(G27+1),C_CLAVE,0)),""))</f>
        <v/>
      </c>
      <c r="R27" s="70" t="str">
        <f aca="false">IF(B27="","",IF(E27="Desvinculado","Terminado",IF(H27=0,"Sin contrato registrado",IF(E27="Por ingresar","Por ingresar",IF(ISNUMBER(Q27),"Renovación registrada",IF(I27="Indefinido","Indefinido",IF(NOT(ISNUMBER(O27)),"Falta fecha de término",IF(O27&lt;0,"VENCIDO",IF(O27&lt;=ALERTA_ROJA,"Vence en ≤ "&amp;ALERTA_ROJA&amp;" días",IF(O27&lt;=ALERTA_NARANJA,"Vence en ≤ "&amp;ALERTA_NARANJA&amp;" días",IF(O27&lt;=ALERTA_AMARILLA,"Vence en ≤ "&amp;ALERTA_AMARILLA&amp;" días","Vigente")))))))))))</f>
        <v/>
      </c>
      <c r="S27" s="70" t="str">
        <f aca="false">IF(B27="","",IF(R27="Terminado","—",IF(R27="Sin contrato registrado","Registrar el contrato en la hoja Contratos",IF(R27="Por ingresar","Tener el contrato firmado y hacer el alta en AFP, salud, seguro de cesantía y mutual",IF(R27="Renovación registrada",IF(AND(N(K27)&gt;=2,IFERROR(INDEX(C_TIPO,MATCH(B27&amp;"-P"&amp;(G27+1),C_CLAVE,0)),"")="Plazo fijo"),"⚠ El período registrado sería el 3er contrato a plazo: por ley es INDEFINIDO. Registrarlo como Paso a indefinido","Siguiente período ya registrado: verificar que el documento esté firmado"),IF(I27="Indefinido","Sin vencimiento. Cambios de sueldo, cargo o jornada se formalizan con anexo de modificación",IF(R27="Falta fecha de término","Completar la fecha de término en la hoja Contratos",IF(R27="VENCIDO","Si sigue trabajando, por ley el contrato ya es INDEFINIDO (Art. 159 N°4): firmar anexo de paso a indefinido o regularizar el término",IF(I27="Obra o faena","Al concluir la obra: finiquito por Art. 159 N°5 + indemnización de 2,5 días por mes trabajado (Ley 21.122)",IF(N(K27)&gt;=3,"Por ley ya es indefinido (2ª renovación): firmar anexo de paso a indefinido",IF(N(K27)=2,"2° contrato a plazo: NO admite otra renovación a plazo fijo. Pasar a indefinido o terminar al vencimiento (carta dentro de 3 días hábiles)","1er contrato a plazo: renovar (2° plazo fijo), pasar a indefinido o terminar al vencimiento (carta dentro de 3 días hábiles)")))))))))))</f>
        <v/>
      </c>
      <c r="T27" s="70" t="str">
        <f aca="false">IF(B27="","",IF(COUNTIFS(C_ID,B27,C_FIRMADO,"&lt;&gt;Sí")&gt;0,COUNTIFS(C_ID,B27,C_FIRMADO,"&lt;&gt;Sí")&amp;" documento(s) sin firma. ","")&amp;IF(COUNTIFS(C_ID,B27,C_TIPO,"Plazo fijo",C_DEFINE,"Sí")&gt;2,"Más de 2 contratos a plazo: revisar presunción de indefinido. ","")&amp;IF(AND(R27="VENCIDO",LEFT(E27,6)="Activo"),"Trabaja con contrato vencido. ",""))</f>
        <v/>
      </c>
      <c r="U27" s="71" t="str">
        <f aca="false">IF(B27="","",INDEX(T_SUELDO,21))</f>
        <v/>
      </c>
      <c r="V27" s="72" t="str">
        <f aca="false">IF(AND(B27&lt;&gt;"",LEFT(E27,6)="Activo",ISNUMBER(O27),R27&lt;&gt;"Renovación registrada"),O27+ROW()/100000,"")</f>
        <v/>
      </c>
    </row>
    <row r="28" customFormat="false" ht="15" hidden="false" customHeight="false" outlineLevel="0" collapsed="false">
      <c r="B28" s="70" t="str">
        <f aca="false">IFERROR(IF(INDEX(T_ID,22)="","",INDEX(T_ID,22)),"")</f>
        <v/>
      </c>
      <c r="C28" s="70" t="str">
        <f aca="false">IF(B28="","",INDEX(T_NOMBRE,22)&amp;"")</f>
        <v/>
      </c>
      <c r="D28" s="70" t="str">
        <f aca="false">IF(B28="","",INDEX(T_CARGO,22)&amp;"")</f>
        <v/>
      </c>
      <c r="E28" s="70" t="str">
        <f aca="false">IF(B28="","",INDEX(T_ESTADO,22))</f>
        <v/>
      </c>
      <c r="F28" s="75" t="str">
        <f aca="false">IF(B28="","",INDEX(T_INGRESO,22))</f>
        <v/>
      </c>
      <c r="G28" s="70" t="str">
        <f aca="false">IF(B28="","",COUNTIFS(C_ID,B28,C_DEFINE,"Sí",C_INICIO,"&lt;="&amp;FECHA_CORTE))</f>
        <v/>
      </c>
      <c r="H28" s="70" t="str">
        <f aca="false">IF(B28="","",COUNTIFS(C_ID,B28,C_DEFINE,"Sí"))</f>
        <v/>
      </c>
      <c r="I28" s="70" t="str">
        <f aca="false">IF(B28="","",IF(H28=0,"Sin contrato",IFERROR(INDEX(C_TIPO,MATCH(B28&amp;"-P"&amp;MAX(1,G28),C_CLAVE,0))&amp;"","")))</f>
        <v/>
      </c>
      <c r="J28" s="70" t="str">
        <f aca="false">IF(OR(B28="",N(H28)=0),"",IFERROR(INDEX(C_TIPODOC,MATCH(B28&amp;"-P"&amp;MAX(1,G28),C_CLAVE,0))&amp;"",""))</f>
        <v/>
      </c>
      <c r="K28" s="76" t="str">
        <f aca="false">IF(I28="Plazo fijo",IFERROR(INDEX(C_NPF,MATCH(B28&amp;"-P"&amp;MAX(1,G28),C_CLAVE,0)),""),"")</f>
        <v/>
      </c>
      <c r="L28" s="70" t="str">
        <f aca="false">IF(B28="","",COUNTIFS(C_ID,B28,C_TIPODOC,"Anexo de modificación"))</f>
        <v/>
      </c>
      <c r="M28" s="75" t="str">
        <f aca="false">IF(OR(B28="",N(H28)=0),"",IFERROR(INDEX(C_INICIO,MATCH(B28&amp;"-P"&amp;MAX(1,G28),C_CLAVE,0)),""))</f>
        <v/>
      </c>
      <c r="N28" s="75" t="str">
        <f aca="false">IF(OR(I28="Plazo fijo",I28="Obra o faena"),IFERROR(IF(N(INDEX(C_TERMINO,MATCH(B28&amp;"-P"&amp;MAX(1,G28),C_CLAVE,0)))=0,"",INDEX(C_TERMINO,MATCH(B28&amp;"-P"&amp;MAX(1,G28),C_CLAVE,0))),""),"")</f>
        <v/>
      </c>
      <c r="O28" s="77" t="str">
        <f aca="false">IF(AND(ISNUMBER(N28),E28&lt;&gt;"Desvinculado"),N28-FECHA_CORTE,"")</f>
        <v/>
      </c>
      <c r="P28" s="75" t="str">
        <f aca="false">IF(AND(ISNUMBER(N28),E28&lt;&gt;"Desvinculado"),N28-DIAS_DECISION,"")</f>
        <v/>
      </c>
      <c r="Q28" s="75" t="str">
        <f aca="false">IF(OR(B28="",N(H28)&lt;=N(G28)),"",IFERROR(INDEX(C_INICIO,MATCH(B28&amp;"-P"&amp;(G28+1),C_CLAVE,0)),""))</f>
        <v/>
      </c>
      <c r="R28" s="70" t="str">
        <f aca="false">IF(B28="","",IF(E28="Desvinculado","Terminado",IF(H28=0,"Sin contrato registrado",IF(E28="Por ingresar","Por ingresar",IF(ISNUMBER(Q28),"Renovación registrada",IF(I28="Indefinido","Indefinido",IF(NOT(ISNUMBER(O28)),"Falta fecha de término",IF(O28&lt;0,"VENCIDO",IF(O28&lt;=ALERTA_ROJA,"Vence en ≤ "&amp;ALERTA_ROJA&amp;" días",IF(O28&lt;=ALERTA_NARANJA,"Vence en ≤ "&amp;ALERTA_NARANJA&amp;" días",IF(O28&lt;=ALERTA_AMARILLA,"Vence en ≤ "&amp;ALERTA_AMARILLA&amp;" días","Vigente")))))))))))</f>
        <v/>
      </c>
      <c r="S28" s="70" t="str">
        <f aca="false">IF(B28="","",IF(R28="Terminado","—",IF(R28="Sin contrato registrado","Registrar el contrato en la hoja Contratos",IF(R28="Por ingresar","Tener el contrato firmado y hacer el alta en AFP, salud, seguro de cesantía y mutual",IF(R28="Renovación registrada",IF(AND(N(K28)&gt;=2,IFERROR(INDEX(C_TIPO,MATCH(B28&amp;"-P"&amp;(G28+1),C_CLAVE,0)),"")="Plazo fijo"),"⚠ El período registrado sería el 3er contrato a plazo: por ley es INDEFINIDO. Registrarlo como Paso a indefinido","Siguiente período ya registrado: verificar que el documento esté firmado"),IF(I28="Indefinido","Sin vencimiento. Cambios de sueldo, cargo o jornada se formalizan con anexo de modificación",IF(R28="Falta fecha de término","Completar la fecha de término en la hoja Contratos",IF(R28="VENCIDO","Si sigue trabajando, por ley el contrato ya es INDEFINIDO (Art. 159 N°4): firmar anexo de paso a indefinido o regularizar el término",IF(I28="Obra o faena","Al concluir la obra: finiquito por Art. 159 N°5 + indemnización de 2,5 días por mes trabajado (Ley 21.122)",IF(N(K28)&gt;=3,"Por ley ya es indefinido (2ª renovación): firmar anexo de paso a indefinido",IF(N(K28)=2,"2° contrato a plazo: NO admite otra renovación a plazo fijo. Pasar a indefinido o terminar al vencimiento (carta dentro de 3 días hábiles)","1er contrato a plazo: renovar (2° plazo fijo), pasar a indefinido o terminar al vencimiento (carta dentro de 3 días hábiles)")))))))))))</f>
        <v/>
      </c>
      <c r="T28" s="70" t="str">
        <f aca="false">IF(B28="","",IF(COUNTIFS(C_ID,B28,C_FIRMADO,"&lt;&gt;Sí")&gt;0,COUNTIFS(C_ID,B28,C_FIRMADO,"&lt;&gt;Sí")&amp;" documento(s) sin firma. ","")&amp;IF(COUNTIFS(C_ID,B28,C_TIPO,"Plazo fijo",C_DEFINE,"Sí")&gt;2,"Más de 2 contratos a plazo: revisar presunción de indefinido. ","")&amp;IF(AND(R28="VENCIDO",LEFT(E28,6)="Activo"),"Trabaja con contrato vencido. ",""))</f>
        <v/>
      </c>
      <c r="U28" s="71" t="str">
        <f aca="false">IF(B28="","",INDEX(T_SUELDO,22))</f>
        <v/>
      </c>
      <c r="V28" s="72" t="str">
        <f aca="false">IF(AND(B28&lt;&gt;"",LEFT(E28,6)="Activo",ISNUMBER(O28),R28&lt;&gt;"Renovación registrada"),O28+ROW()/100000,"")</f>
        <v/>
      </c>
    </row>
    <row r="29" customFormat="false" ht="15" hidden="false" customHeight="false" outlineLevel="0" collapsed="false">
      <c r="B29" s="70" t="str">
        <f aca="false">IFERROR(IF(INDEX(T_ID,23)="","",INDEX(T_ID,23)),"")</f>
        <v/>
      </c>
      <c r="C29" s="70" t="str">
        <f aca="false">IF(B29="","",INDEX(T_NOMBRE,23)&amp;"")</f>
        <v/>
      </c>
      <c r="D29" s="70" t="str">
        <f aca="false">IF(B29="","",INDEX(T_CARGO,23)&amp;"")</f>
        <v/>
      </c>
      <c r="E29" s="70" t="str">
        <f aca="false">IF(B29="","",INDEX(T_ESTADO,23))</f>
        <v/>
      </c>
      <c r="F29" s="75" t="str">
        <f aca="false">IF(B29="","",INDEX(T_INGRESO,23))</f>
        <v/>
      </c>
      <c r="G29" s="70" t="str">
        <f aca="false">IF(B29="","",COUNTIFS(C_ID,B29,C_DEFINE,"Sí",C_INICIO,"&lt;="&amp;FECHA_CORTE))</f>
        <v/>
      </c>
      <c r="H29" s="70" t="str">
        <f aca="false">IF(B29="","",COUNTIFS(C_ID,B29,C_DEFINE,"Sí"))</f>
        <v/>
      </c>
      <c r="I29" s="70" t="str">
        <f aca="false">IF(B29="","",IF(H29=0,"Sin contrato",IFERROR(INDEX(C_TIPO,MATCH(B29&amp;"-P"&amp;MAX(1,G29),C_CLAVE,0))&amp;"","")))</f>
        <v/>
      </c>
      <c r="J29" s="70" t="str">
        <f aca="false">IF(OR(B29="",N(H29)=0),"",IFERROR(INDEX(C_TIPODOC,MATCH(B29&amp;"-P"&amp;MAX(1,G29),C_CLAVE,0))&amp;"",""))</f>
        <v/>
      </c>
      <c r="K29" s="76" t="str">
        <f aca="false">IF(I29="Plazo fijo",IFERROR(INDEX(C_NPF,MATCH(B29&amp;"-P"&amp;MAX(1,G29),C_CLAVE,0)),""),"")</f>
        <v/>
      </c>
      <c r="L29" s="70" t="str">
        <f aca="false">IF(B29="","",COUNTIFS(C_ID,B29,C_TIPODOC,"Anexo de modificación"))</f>
        <v/>
      </c>
      <c r="M29" s="75" t="str">
        <f aca="false">IF(OR(B29="",N(H29)=0),"",IFERROR(INDEX(C_INICIO,MATCH(B29&amp;"-P"&amp;MAX(1,G29),C_CLAVE,0)),""))</f>
        <v/>
      </c>
      <c r="N29" s="75" t="str">
        <f aca="false">IF(OR(I29="Plazo fijo",I29="Obra o faena"),IFERROR(IF(N(INDEX(C_TERMINO,MATCH(B29&amp;"-P"&amp;MAX(1,G29),C_CLAVE,0)))=0,"",INDEX(C_TERMINO,MATCH(B29&amp;"-P"&amp;MAX(1,G29),C_CLAVE,0))),""),"")</f>
        <v/>
      </c>
      <c r="O29" s="77" t="str">
        <f aca="false">IF(AND(ISNUMBER(N29),E29&lt;&gt;"Desvinculado"),N29-FECHA_CORTE,"")</f>
        <v/>
      </c>
      <c r="P29" s="75" t="str">
        <f aca="false">IF(AND(ISNUMBER(N29),E29&lt;&gt;"Desvinculado"),N29-DIAS_DECISION,"")</f>
        <v/>
      </c>
      <c r="Q29" s="75" t="str">
        <f aca="false">IF(OR(B29="",N(H29)&lt;=N(G29)),"",IFERROR(INDEX(C_INICIO,MATCH(B29&amp;"-P"&amp;(G29+1),C_CLAVE,0)),""))</f>
        <v/>
      </c>
      <c r="R29" s="70" t="str">
        <f aca="false">IF(B29="","",IF(E29="Desvinculado","Terminado",IF(H29=0,"Sin contrato registrado",IF(E29="Por ingresar","Por ingresar",IF(ISNUMBER(Q29),"Renovación registrada",IF(I29="Indefinido","Indefinido",IF(NOT(ISNUMBER(O29)),"Falta fecha de término",IF(O29&lt;0,"VENCIDO",IF(O29&lt;=ALERTA_ROJA,"Vence en ≤ "&amp;ALERTA_ROJA&amp;" días",IF(O29&lt;=ALERTA_NARANJA,"Vence en ≤ "&amp;ALERTA_NARANJA&amp;" días",IF(O29&lt;=ALERTA_AMARILLA,"Vence en ≤ "&amp;ALERTA_AMARILLA&amp;" días","Vigente")))))))))))</f>
        <v/>
      </c>
      <c r="S29" s="70" t="str">
        <f aca="false">IF(B29="","",IF(R29="Terminado","—",IF(R29="Sin contrato registrado","Registrar el contrato en la hoja Contratos",IF(R29="Por ingresar","Tener el contrato firmado y hacer el alta en AFP, salud, seguro de cesantía y mutual",IF(R29="Renovación registrada",IF(AND(N(K29)&gt;=2,IFERROR(INDEX(C_TIPO,MATCH(B29&amp;"-P"&amp;(G29+1),C_CLAVE,0)),"")="Plazo fijo"),"⚠ El período registrado sería el 3er contrato a plazo: por ley es INDEFINIDO. Registrarlo como Paso a indefinido","Siguiente período ya registrado: verificar que el documento esté firmado"),IF(I29="Indefinido","Sin vencimiento. Cambios de sueldo, cargo o jornada se formalizan con anexo de modificación",IF(R29="Falta fecha de término","Completar la fecha de término en la hoja Contratos",IF(R29="VENCIDO","Si sigue trabajando, por ley el contrato ya es INDEFINIDO (Art. 159 N°4): firmar anexo de paso a indefinido o regularizar el término",IF(I29="Obra o faena","Al concluir la obra: finiquito por Art. 159 N°5 + indemnización de 2,5 días por mes trabajado (Ley 21.122)",IF(N(K29)&gt;=3,"Por ley ya es indefinido (2ª renovación): firmar anexo de paso a indefinido",IF(N(K29)=2,"2° contrato a plazo: NO admite otra renovación a plazo fijo. Pasar a indefinido o terminar al vencimiento (carta dentro de 3 días hábiles)","1er contrato a plazo: renovar (2° plazo fijo), pasar a indefinido o terminar al vencimiento (carta dentro de 3 días hábiles)")))))))))))</f>
        <v/>
      </c>
      <c r="T29" s="70" t="str">
        <f aca="false">IF(B29="","",IF(COUNTIFS(C_ID,B29,C_FIRMADO,"&lt;&gt;Sí")&gt;0,COUNTIFS(C_ID,B29,C_FIRMADO,"&lt;&gt;Sí")&amp;" documento(s) sin firma. ","")&amp;IF(COUNTIFS(C_ID,B29,C_TIPO,"Plazo fijo",C_DEFINE,"Sí")&gt;2,"Más de 2 contratos a plazo: revisar presunción de indefinido. ","")&amp;IF(AND(R29="VENCIDO",LEFT(E29,6)="Activo"),"Trabaja con contrato vencido. ",""))</f>
        <v/>
      </c>
      <c r="U29" s="71" t="str">
        <f aca="false">IF(B29="","",INDEX(T_SUELDO,23))</f>
        <v/>
      </c>
      <c r="V29" s="72" t="str">
        <f aca="false">IF(AND(B29&lt;&gt;"",LEFT(E29,6)="Activo",ISNUMBER(O29),R29&lt;&gt;"Renovación registrada"),O29+ROW()/100000,"")</f>
        <v/>
      </c>
    </row>
    <row r="30" customFormat="false" ht="15" hidden="false" customHeight="false" outlineLevel="0" collapsed="false">
      <c r="B30" s="70" t="str">
        <f aca="false">IFERROR(IF(INDEX(T_ID,24)="","",INDEX(T_ID,24)),"")</f>
        <v/>
      </c>
      <c r="C30" s="70" t="str">
        <f aca="false">IF(B30="","",INDEX(T_NOMBRE,24)&amp;"")</f>
        <v/>
      </c>
      <c r="D30" s="70" t="str">
        <f aca="false">IF(B30="","",INDEX(T_CARGO,24)&amp;"")</f>
        <v/>
      </c>
      <c r="E30" s="70" t="str">
        <f aca="false">IF(B30="","",INDEX(T_ESTADO,24))</f>
        <v/>
      </c>
      <c r="F30" s="75" t="str">
        <f aca="false">IF(B30="","",INDEX(T_INGRESO,24))</f>
        <v/>
      </c>
      <c r="G30" s="70" t="str">
        <f aca="false">IF(B30="","",COUNTIFS(C_ID,B30,C_DEFINE,"Sí",C_INICIO,"&lt;="&amp;FECHA_CORTE))</f>
        <v/>
      </c>
      <c r="H30" s="70" t="str">
        <f aca="false">IF(B30="","",COUNTIFS(C_ID,B30,C_DEFINE,"Sí"))</f>
        <v/>
      </c>
      <c r="I30" s="70" t="str">
        <f aca="false">IF(B30="","",IF(H30=0,"Sin contrato",IFERROR(INDEX(C_TIPO,MATCH(B30&amp;"-P"&amp;MAX(1,G30),C_CLAVE,0))&amp;"","")))</f>
        <v/>
      </c>
      <c r="J30" s="70" t="str">
        <f aca="false">IF(OR(B30="",N(H30)=0),"",IFERROR(INDEX(C_TIPODOC,MATCH(B30&amp;"-P"&amp;MAX(1,G30),C_CLAVE,0))&amp;"",""))</f>
        <v/>
      </c>
      <c r="K30" s="76" t="str">
        <f aca="false">IF(I30="Plazo fijo",IFERROR(INDEX(C_NPF,MATCH(B30&amp;"-P"&amp;MAX(1,G30),C_CLAVE,0)),""),"")</f>
        <v/>
      </c>
      <c r="L30" s="70" t="str">
        <f aca="false">IF(B30="","",COUNTIFS(C_ID,B30,C_TIPODOC,"Anexo de modificación"))</f>
        <v/>
      </c>
      <c r="M30" s="75" t="str">
        <f aca="false">IF(OR(B30="",N(H30)=0),"",IFERROR(INDEX(C_INICIO,MATCH(B30&amp;"-P"&amp;MAX(1,G30),C_CLAVE,0)),""))</f>
        <v/>
      </c>
      <c r="N30" s="75" t="str">
        <f aca="false">IF(OR(I30="Plazo fijo",I30="Obra o faena"),IFERROR(IF(N(INDEX(C_TERMINO,MATCH(B30&amp;"-P"&amp;MAX(1,G30),C_CLAVE,0)))=0,"",INDEX(C_TERMINO,MATCH(B30&amp;"-P"&amp;MAX(1,G30),C_CLAVE,0))),""),"")</f>
        <v/>
      </c>
      <c r="O30" s="77" t="str">
        <f aca="false">IF(AND(ISNUMBER(N30),E30&lt;&gt;"Desvinculado"),N30-FECHA_CORTE,"")</f>
        <v/>
      </c>
      <c r="P30" s="75" t="str">
        <f aca="false">IF(AND(ISNUMBER(N30),E30&lt;&gt;"Desvinculado"),N30-DIAS_DECISION,"")</f>
        <v/>
      </c>
      <c r="Q30" s="75" t="str">
        <f aca="false">IF(OR(B30="",N(H30)&lt;=N(G30)),"",IFERROR(INDEX(C_INICIO,MATCH(B30&amp;"-P"&amp;(G30+1),C_CLAVE,0)),""))</f>
        <v/>
      </c>
      <c r="R30" s="70" t="str">
        <f aca="false">IF(B30="","",IF(E30="Desvinculado","Terminado",IF(H30=0,"Sin contrato registrado",IF(E30="Por ingresar","Por ingresar",IF(ISNUMBER(Q30),"Renovación registrada",IF(I30="Indefinido","Indefinido",IF(NOT(ISNUMBER(O30)),"Falta fecha de término",IF(O30&lt;0,"VENCIDO",IF(O30&lt;=ALERTA_ROJA,"Vence en ≤ "&amp;ALERTA_ROJA&amp;" días",IF(O30&lt;=ALERTA_NARANJA,"Vence en ≤ "&amp;ALERTA_NARANJA&amp;" días",IF(O30&lt;=ALERTA_AMARILLA,"Vence en ≤ "&amp;ALERTA_AMARILLA&amp;" días","Vigente")))))))))))</f>
        <v/>
      </c>
      <c r="S30" s="70" t="str">
        <f aca="false">IF(B30="","",IF(R30="Terminado","—",IF(R30="Sin contrato registrado","Registrar el contrato en la hoja Contratos",IF(R30="Por ingresar","Tener el contrato firmado y hacer el alta en AFP, salud, seguro de cesantía y mutual",IF(R30="Renovación registrada",IF(AND(N(K30)&gt;=2,IFERROR(INDEX(C_TIPO,MATCH(B30&amp;"-P"&amp;(G30+1),C_CLAVE,0)),"")="Plazo fijo"),"⚠ El período registrado sería el 3er contrato a plazo: por ley es INDEFINIDO. Registrarlo como Paso a indefinido","Siguiente período ya registrado: verificar que el documento esté firmado"),IF(I30="Indefinido","Sin vencimiento. Cambios de sueldo, cargo o jornada se formalizan con anexo de modificación",IF(R30="Falta fecha de término","Completar la fecha de término en la hoja Contratos",IF(R30="VENCIDO","Si sigue trabajando, por ley el contrato ya es INDEFINIDO (Art. 159 N°4): firmar anexo de paso a indefinido o regularizar el término",IF(I30="Obra o faena","Al concluir la obra: finiquito por Art. 159 N°5 + indemnización de 2,5 días por mes trabajado (Ley 21.122)",IF(N(K30)&gt;=3,"Por ley ya es indefinido (2ª renovación): firmar anexo de paso a indefinido",IF(N(K30)=2,"2° contrato a plazo: NO admite otra renovación a plazo fijo. Pasar a indefinido o terminar al vencimiento (carta dentro de 3 días hábiles)","1er contrato a plazo: renovar (2° plazo fijo), pasar a indefinido o terminar al vencimiento (carta dentro de 3 días hábiles)")))))))))))</f>
        <v/>
      </c>
      <c r="T30" s="70" t="str">
        <f aca="false">IF(B30="","",IF(COUNTIFS(C_ID,B30,C_FIRMADO,"&lt;&gt;Sí")&gt;0,COUNTIFS(C_ID,B30,C_FIRMADO,"&lt;&gt;Sí")&amp;" documento(s) sin firma. ","")&amp;IF(COUNTIFS(C_ID,B30,C_TIPO,"Plazo fijo",C_DEFINE,"Sí")&gt;2,"Más de 2 contratos a plazo: revisar presunción de indefinido. ","")&amp;IF(AND(R30="VENCIDO",LEFT(E30,6)="Activo"),"Trabaja con contrato vencido. ",""))</f>
        <v/>
      </c>
      <c r="U30" s="71" t="str">
        <f aca="false">IF(B30="","",INDEX(T_SUELDO,24))</f>
        <v/>
      </c>
      <c r="V30" s="72" t="str">
        <f aca="false">IF(AND(B30&lt;&gt;"",LEFT(E30,6)="Activo",ISNUMBER(O30),R30&lt;&gt;"Renovación registrada"),O30+ROW()/100000,"")</f>
        <v/>
      </c>
    </row>
    <row r="31" customFormat="false" ht="15" hidden="false" customHeight="false" outlineLevel="0" collapsed="false">
      <c r="B31" s="70" t="str">
        <f aca="false">IFERROR(IF(INDEX(T_ID,25)="","",INDEX(T_ID,25)),"")</f>
        <v/>
      </c>
      <c r="C31" s="70" t="str">
        <f aca="false">IF(B31="","",INDEX(T_NOMBRE,25)&amp;"")</f>
        <v/>
      </c>
      <c r="D31" s="70" t="str">
        <f aca="false">IF(B31="","",INDEX(T_CARGO,25)&amp;"")</f>
        <v/>
      </c>
      <c r="E31" s="70" t="str">
        <f aca="false">IF(B31="","",INDEX(T_ESTADO,25))</f>
        <v/>
      </c>
      <c r="F31" s="75" t="str">
        <f aca="false">IF(B31="","",INDEX(T_INGRESO,25))</f>
        <v/>
      </c>
      <c r="G31" s="70" t="str">
        <f aca="false">IF(B31="","",COUNTIFS(C_ID,B31,C_DEFINE,"Sí",C_INICIO,"&lt;="&amp;FECHA_CORTE))</f>
        <v/>
      </c>
      <c r="H31" s="70" t="str">
        <f aca="false">IF(B31="","",COUNTIFS(C_ID,B31,C_DEFINE,"Sí"))</f>
        <v/>
      </c>
      <c r="I31" s="70" t="str">
        <f aca="false">IF(B31="","",IF(H31=0,"Sin contrato",IFERROR(INDEX(C_TIPO,MATCH(B31&amp;"-P"&amp;MAX(1,G31),C_CLAVE,0))&amp;"","")))</f>
        <v/>
      </c>
      <c r="J31" s="70" t="str">
        <f aca="false">IF(OR(B31="",N(H31)=0),"",IFERROR(INDEX(C_TIPODOC,MATCH(B31&amp;"-P"&amp;MAX(1,G31),C_CLAVE,0))&amp;"",""))</f>
        <v/>
      </c>
      <c r="K31" s="76" t="str">
        <f aca="false">IF(I31="Plazo fijo",IFERROR(INDEX(C_NPF,MATCH(B31&amp;"-P"&amp;MAX(1,G31),C_CLAVE,0)),""),"")</f>
        <v/>
      </c>
      <c r="L31" s="70" t="str">
        <f aca="false">IF(B31="","",COUNTIFS(C_ID,B31,C_TIPODOC,"Anexo de modificación"))</f>
        <v/>
      </c>
      <c r="M31" s="75" t="str">
        <f aca="false">IF(OR(B31="",N(H31)=0),"",IFERROR(INDEX(C_INICIO,MATCH(B31&amp;"-P"&amp;MAX(1,G31),C_CLAVE,0)),""))</f>
        <v/>
      </c>
      <c r="N31" s="75" t="str">
        <f aca="false">IF(OR(I31="Plazo fijo",I31="Obra o faena"),IFERROR(IF(N(INDEX(C_TERMINO,MATCH(B31&amp;"-P"&amp;MAX(1,G31),C_CLAVE,0)))=0,"",INDEX(C_TERMINO,MATCH(B31&amp;"-P"&amp;MAX(1,G31),C_CLAVE,0))),""),"")</f>
        <v/>
      </c>
      <c r="O31" s="77" t="str">
        <f aca="false">IF(AND(ISNUMBER(N31),E31&lt;&gt;"Desvinculado"),N31-FECHA_CORTE,"")</f>
        <v/>
      </c>
      <c r="P31" s="75" t="str">
        <f aca="false">IF(AND(ISNUMBER(N31),E31&lt;&gt;"Desvinculado"),N31-DIAS_DECISION,"")</f>
        <v/>
      </c>
      <c r="Q31" s="75" t="str">
        <f aca="false">IF(OR(B31="",N(H31)&lt;=N(G31)),"",IFERROR(INDEX(C_INICIO,MATCH(B31&amp;"-P"&amp;(G31+1),C_CLAVE,0)),""))</f>
        <v/>
      </c>
      <c r="R31" s="70" t="str">
        <f aca="false">IF(B31="","",IF(E31="Desvinculado","Terminado",IF(H31=0,"Sin contrato registrado",IF(E31="Por ingresar","Por ingresar",IF(ISNUMBER(Q31),"Renovación registrada",IF(I31="Indefinido","Indefinido",IF(NOT(ISNUMBER(O31)),"Falta fecha de término",IF(O31&lt;0,"VENCIDO",IF(O31&lt;=ALERTA_ROJA,"Vence en ≤ "&amp;ALERTA_ROJA&amp;" días",IF(O31&lt;=ALERTA_NARANJA,"Vence en ≤ "&amp;ALERTA_NARANJA&amp;" días",IF(O31&lt;=ALERTA_AMARILLA,"Vence en ≤ "&amp;ALERTA_AMARILLA&amp;" días","Vigente")))))))))))</f>
        <v/>
      </c>
      <c r="S31" s="70" t="str">
        <f aca="false">IF(B31="","",IF(R31="Terminado","—",IF(R31="Sin contrato registrado","Registrar el contrato en la hoja Contratos",IF(R31="Por ingresar","Tener el contrato firmado y hacer el alta en AFP, salud, seguro de cesantía y mutual",IF(R31="Renovación registrada",IF(AND(N(K31)&gt;=2,IFERROR(INDEX(C_TIPO,MATCH(B31&amp;"-P"&amp;(G31+1),C_CLAVE,0)),"")="Plazo fijo"),"⚠ El período registrado sería el 3er contrato a plazo: por ley es INDEFINIDO. Registrarlo como Paso a indefinido","Siguiente período ya registrado: verificar que el documento esté firmado"),IF(I31="Indefinido","Sin vencimiento. Cambios de sueldo, cargo o jornada se formalizan con anexo de modificación",IF(R31="Falta fecha de término","Completar la fecha de término en la hoja Contratos",IF(R31="VENCIDO","Si sigue trabajando, por ley el contrato ya es INDEFINIDO (Art. 159 N°4): firmar anexo de paso a indefinido o regularizar el término",IF(I31="Obra o faena","Al concluir la obra: finiquito por Art. 159 N°5 + indemnización de 2,5 días por mes trabajado (Ley 21.122)",IF(N(K31)&gt;=3,"Por ley ya es indefinido (2ª renovación): firmar anexo de paso a indefinido",IF(N(K31)=2,"2° contrato a plazo: NO admite otra renovación a plazo fijo. Pasar a indefinido o terminar al vencimiento (carta dentro de 3 días hábiles)","1er contrato a plazo: renovar (2° plazo fijo), pasar a indefinido o terminar al vencimiento (carta dentro de 3 días hábiles)")))))))))))</f>
        <v/>
      </c>
      <c r="T31" s="70" t="str">
        <f aca="false">IF(B31="","",IF(COUNTIFS(C_ID,B31,C_FIRMADO,"&lt;&gt;Sí")&gt;0,COUNTIFS(C_ID,B31,C_FIRMADO,"&lt;&gt;Sí")&amp;" documento(s) sin firma. ","")&amp;IF(COUNTIFS(C_ID,B31,C_TIPO,"Plazo fijo",C_DEFINE,"Sí")&gt;2,"Más de 2 contratos a plazo: revisar presunción de indefinido. ","")&amp;IF(AND(R31="VENCIDO",LEFT(E31,6)="Activo"),"Trabaja con contrato vencido. ",""))</f>
        <v/>
      </c>
      <c r="U31" s="71" t="str">
        <f aca="false">IF(B31="","",INDEX(T_SUELDO,25))</f>
        <v/>
      </c>
      <c r="V31" s="72" t="str">
        <f aca="false">IF(AND(B31&lt;&gt;"",LEFT(E31,6)="Activo",ISNUMBER(O31),R31&lt;&gt;"Renovación registrada"),O31+ROW()/100000,"")</f>
        <v/>
      </c>
    </row>
    <row r="32" customFormat="false" ht="15" hidden="false" customHeight="false" outlineLevel="0" collapsed="false">
      <c r="B32" s="70" t="str">
        <f aca="false">IFERROR(IF(INDEX(T_ID,26)="","",INDEX(T_ID,26)),"")</f>
        <v/>
      </c>
      <c r="C32" s="70" t="str">
        <f aca="false">IF(B32="","",INDEX(T_NOMBRE,26)&amp;"")</f>
        <v/>
      </c>
      <c r="D32" s="70" t="str">
        <f aca="false">IF(B32="","",INDEX(T_CARGO,26)&amp;"")</f>
        <v/>
      </c>
      <c r="E32" s="70" t="str">
        <f aca="false">IF(B32="","",INDEX(T_ESTADO,26))</f>
        <v/>
      </c>
      <c r="F32" s="75" t="str">
        <f aca="false">IF(B32="","",INDEX(T_INGRESO,26))</f>
        <v/>
      </c>
      <c r="G32" s="70" t="str">
        <f aca="false">IF(B32="","",COUNTIFS(C_ID,B32,C_DEFINE,"Sí",C_INICIO,"&lt;="&amp;FECHA_CORTE))</f>
        <v/>
      </c>
      <c r="H32" s="70" t="str">
        <f aca="false">IF(B32="","",COUNTIFS(C_ID,B32,C_DEFINE,"Sí"))</f>
        <v/>
      </c>
      <c r="I32" s="70" t="str">
        <f aca="false">IF(B32="","",IF(H32=0,"Sin contrato",IFERROR(INDEX(C_TIPO,MATCH(B32&amp;"-P"&amp;MAX(1,G32),C_CLAVE,0))&amp;"","")))</f>
        <v/>
      </c>
      <c r="J32" s="70" t="str">
        <f aca="false">IF(OR(B32="",N(H32)=0),"",IFERROR(INDEX(C_TIPODOC,MATCH(B32&amp;"-P"&amp;MAX(1,G32),C_CLAVE,0))&amp;"",""))</f>
        <v/>
      </c>
      <c r="K32" s="76" t="str">
        <f aca="false">IF(I32="Plazo fijo",IFERROR(INDEX(C_NPF,MATCH(B32&amp;"-P"&amp;MAX(1,G32),C_CLAVE,0)),""),"")</f>
        <v/>
      </c>
      <c r="L32" s="70" t="str">
        <f aca="false">IF(B32="","",COUNTIFS(C_ID,B32,C_TIPODOC,"Anexo de modificación"))</f>
        <v/>
      </c>
      <c r="M32" s="75" t="str">
        <f aca="false">IF(OR(B32="",N(H32)=0),"",IFERROR(INDEX(C_INICIO,MATCH(B32&amp;"-P"&amp;MAX(1,G32),C_CLAVE,0)),""))</f>
        <v/>
      </c>
      <c r="N32" s="75" t="str">
        <f aca="false">IF(OR(I32="Plazo fijo",I32="Obra o faena"),IFERROR(IF(N(INDEX(C_TERMINO,MATCH(B32&amp;"-P"&amp;MAX(1,G32),C_CLAVE,0)))=0,"",INDEX(C_TERMINO,MATCH(B32&amp;"-P"&amp;MAX(1,G32),C_CLAVE,0))),""),"")</f>
        <v/>
      </c>
      <c r="O32" s="77" t="str">
        <f aca="false">IF(AND(ISNUMBER(N32),E32&lt;&gt;"Desvinculado"),N32-FECHA_CORTE,"")</f>
        <v/>
      </c>
      <c r="P32" s="75" t="str">
        <f aca="false">IF(AND(ISNUMBER(N32),E32&lt;&gt;"Desvinculado"),N32-DIAS_DECISION,"")</f>
        <v/>
      </c>
      <c r="Q32" s="75" t="str">
        <f aca="false">IF(OR(B32="",N(H32)&lt;=N(G32)),"",IFERROR(INDEX(C_INICIO,MATCH(B32&amp;"-P"&amp;(G32+1),C_CLAVE,0)),""))</f>
        <v/>
      </c>
      <c r="R32" s="70" t="str">
        <f aca="false">IF(B32="","",IF(E32="Desvinculado","Terminado",IF(H32=0,"Sin contrato registrado",IF(E32="Por ingresar","Por ingresar",IF(ISNUMBER(Q32),"Renovación registrada",IF(I32="Indefinido","Indefinido",IF(NOT(ISNUMBER(O32)),"Falta fecha de término",IF(O32&lt;0,"VENCIDO",IF(O32&lt;=ALERTA_ROJA,"Vence en ≤ "&amp;ALERTA_ROJA&amp;" días",IF(O32&lt;=ALERTA_NARANJA,"Vence en ≤ "&amp;ALERTA_NARANJA&amp;" días",IF(O32&lt;=ALERTA_AMARILLA,"Vence en ≤ "&amp;ALERTA_AMARILLA&amp;" días","Vigente")))))))))))</f>
        <v/>
      </c>
      <c r="S32" s="70" t="str">
        <f aca="false">IF(B32="","",IF(R32="Terminado","—",IF(R32="Sin contrato registrado","Registrar el contrato en la hoja Contratos",IF(R32="Por ingresar","Tener el contrato firmado y hacer el alta en AFP, salud, seguro de cesantía y mutual",IF(R32="Renovación registrada",IF(AND(N(K32)&gt;=2,IFERROR(INDEX(C_TIPO,MATCH(B32&amp;"-P"&amp;(G32+1),C_CLAVE,0)),"")="Plazo fijo"),"⚠ El período registrado sería el 3er contrato a plazo: por ley es INDEFINIDO. Registrarlo como Paso a indefinido","Siguiente período ya registrado: verificar que el documento esté firmado"),IF(I32="Indefinido","Sin vencimiento. Cambios de sueldo, cargo o jornada se formalizan con anexo de modificación",IF(R32="Falta fecha de término","Completar la fecha de término en la hoja Contratos",IF(R32="VENCIDO","Si sigue trabajando, por ley el contrato ya es INDEFINIDO (Art. 159 N°4): firmar anexo de paso a indefinido o regularizar el término",IF(I32="Obra o faena","Al concluir la obra: finiquito por Art. 159 N°5 + indemnización de 2,5 días por mes trabajado (Ley 21.122)",IF(N(K32)&gt;=3,"Por ley ya es indefinido (2ª renovación): firmar anexo de paso a indefinido",IF(N(K32)=2,"2° contrato a plazo: NO admite otra renovación a plazo fijo. Pasar a indefinido o terminar al vencimiento (carta dentro de 3 días hábiles)","1er contrato a plazo: renovar (2° plazo fijo), pasar a indefinido o terminar al vencimiento (carta dentro de 3 días hábiles)")))))))))))</f>
        <v/>
      </c>
      <c r="T32" s="70" t="str">
        <f aca="false">IF(B32="","",IF(COUNTIFS(C_ID,B32,C_FIRMADO,"&lt;&gt;Sí")&gt;0,COUNTIFS(C_ID,B32,C_FIRMADO,"&lt;&gt;Sí")&amp;" documento(s) sin firma. ","")&amp;IF(COUNTIFS(C_ID,B32,C_TIPO,"Plazo fijo",C_DEFINE,"Sí")&gt;2,"Más de 2 contratos a plazo: revisar presunción de indefinido. ","")&amp;IF(AND(R32="VENCIDO",LEFT(E32,6)="Activo"),"Trabaja con contrato vencido. ",""))</f>
        <v/>
      </c>
      <c r="U32" s="71" t="str">
        <f aca="false">IF(B32="","",INDEX(T_SUELDO,26))</f>
        <v/>
      </c>
      <c r="V32" s="72" t="str">
        <f aca="false">IF(AND(B32&lt;&gt;"",LEFT(E32,6)="Activo",ISNUMBER(O32),R32&lt;&gt;"Renovación registrada"),O32+ROW()/100000,"")</f>
        <v/>
      </c>
    </row>
    <row r="33" customFormat="false" ht="15" hidden="false" customHeight="false" outlineLevel="0" collapsed="false">
      <c r="B33" s="70" t="str">
        <f aca="false">IFERROR(IF(INDEX(T_ID,27)="","",INDEX(T_ID,27)),"")</f>
        <v/>
      </c>
      <c r="C33" s="70" t="str">
        <f aca="false">IF(B33="","",INDEX(T_NOMBRE,27)&amp;"")</f>
        <v/>
      </c>
      <c r="D33" s="70" t="str">
        <f aca="false">IF(B33="","",INDEX(T_CARGO,27)&amp;"")</f>
        <v/>
      </c>
      <c r="E33" s="70" t="str">
        <f aca="false">IF(B33="","",INDEX(T_ESTADO,27))</f>
        <v/>
      </c>
      <c r="F33" s="75" t="str">
        <f aca="false">IF(B33="","",INDEX(T_INGRESO,27))</f>
        <v/>
      </c>
      <c r="G33" s="70" t="str">
        <f aca="false">IF(B33="","",COUNTIFS(C_ID,B33,C_DEFINE,"Sí",C_INICIO,"&lt;="&amp;FECHA_CORTE))</f>
        <v/>
      </c>
      <c r="H33" s="70" t="str">
        <f aca="false">IF(B33="","",COUNTIFS(C_ID,B33,C_DEFINE,"Sí"))</f>
        <v/>
      </c>
      <c r="I33" s="70" t="str">
        <f aca="false">IF(B33="","",IF(H33=0,"Sin contrato",IFERROR(INDEX(C_TIPO,MATCH(B33&amp;"-P"&amp;MAX(1,G33),C_CLAVE,0))&amp;"","")))</f>
        <v/>
      </c>
      <c r="J33" s="70" t="str">
        <f aca="false">IF(OR(B33="",N(H33)=0),"",IFERROR(INDEX(C_TIPODOC,MATCH(B33&amp;"-P"&amp;MAX(1,G33),C_CLAVE,0))&amp;"",""))</f>
        <v/>
      </c>
      <c r="K33" s="76" t="str">
        <f aca="false">IF(I33="Plazo fijo",IFERROR(INDEX(C_NPF,MATCH(B33&amp;"-P"&amp;MAX(1,G33),C_CLAVE,0)),""),"")</f>
        <v/>
      </c>
      <c r="L33" s="70" t="str">
        <f aca="false">IF(B33="","",COUNTIFS(C_ID,B33,C_TIPODOC,"Anexo de modificación"))</f>
        <v/>
      </c>
      <c r="M33" s="75" t="str">
        <f aca="false">IF(OR(B33="",N(H33)=0),"",IFERROR(INDEX(C_INICIO,MATCH(B33&amp;"-P"&amp;MAX(1,G33),C_CLAVE,0)),""))</f>
        <v/>
      </c>
      <c r="N33" s="75" t="str">
        <f aca="false">IF(OR(I33="Plazo fijo",I33="Obra o faena"),IFERROR(IF(N(INDEX(C_TERMINO,MATCH(B33&amp;"-P"&amp;MAX(1,G33),C_CLAVE,0)))=0,"",INDEX(C_TERMINO,MATCH(B33&amp;"-P"&amp;MAX(1,G33),C_CLAVE,0))),""),"")</f>
        <v/>
      </c>
      <c r="O33" s="77" t="str">
        <f aca="false">IF(AND(ISNUMBER(N33),E33&lt;&gt;"Desvinculado"),N33-FECHA_CORTE,"")</f>
        <v/>
      </c>
      <c r="P33" s="75" t="str">
        <f aca="false">IF(AND(ISNUMBER(N33),E33&lt;&gt;"Desvinculado"),N33-DIAS_DECISION,"")</f>
        <v/>
      </c>
      <c r="Q33" s="75" t="str">
        <f aca="false">IF(OR(B33="",N(H33)&lt;=N(G33)),"",IFERROR(INDEX(C_INICIO,MATCH(B33&amp;"-P"&amp;(G33+1),C_CLAVE,0)),""))</f>
        <v/>
      </c>
      <c r="R33" s="70" t="str">
        <f aca="false">IF(B33="","",IF(E33="Desvinculado","Terminado",IF(H33=0,"Sin contrato registrado",IF(E33="Por ingresar","Por ingresar",IF(ISNUMBER(Q33),"Renovación registrada",IF(I33="Indefinido","Indefinido",IF(NOT(ISNUMBER(O33)),"Falta fecha de término",IF(O33&lt;0,"VENCIDO",IF(O33&lt;=ALERTA_ROJA,"Vence en ≤ "&amp;ALERTA_ROJA&amp;" días",IF(O33&lt;=ALERTA_NARANJA,"Vence en ≤ "&amp;ALERTA_NARANJA&amp;" días",IF(O33&lt;=ALERTA_AMARILLA,"Vence en ≤ "&amp;ALERTA_AMARILLA&amp;" días","Vigente")))))))))))</f>
        <v/>
      </c>
      <c r="S33" s="70" t="str">
        <f aca="false">IF(B33="","",IF(R33="Terminado","—",IF(R33="Sin contrato registrado","Registrar el contrato en la hoja Contratos",IF(R33="Por ingresar","Tener el contrato firmado y hacer el alta en AFP, salud, seguro de cesantía y mutual",IF(R33="Renovación registrada",IF(AND(N(K33)&gt;=2,IFERROR(INDEX(C_TIPO,MATCH(B33&amp;"-P"&amp;(G33+1),C_CLAVE,0)),"")="Plazo fijo"),"⚠ El período registrado sería el 3er contrato a plazo: por ley es INDEFINIDO. Registrarlo como Paso a indefinido","Siguiente período ya registrado: verificar que el documento esté firmado"),IF(I33="Indefinido","Sin vencimiento. Cambios de sueldo, cargo o jornada se formalizan con anexo de modificación",IF(R33="Falta fecha de término","Completar la fecha de término en la hoja Contratos",IF(R33="VENCIDO","Si sigue trabajando, por ley el contrato ya es INDEFINIDO (Art. 159 N°4): firmar anexo de paso a indefinido o regularizar el término",IF(I33="Obra o faena","Al concluir la obra: finiquito por Art. 159 N°5 + indemnización de 2,5 días por mes trabajado (Ley 21.122)",IF(N(K33)&gt;=3,"Por ley ya es indefinido (2ª renovación): firmar anexo de paso a indefinido",IF(N(K33)=2,"2° contrato a plazo: NO admite otra renovación a plazo fijo. Pasar a indefinido o terminar al vencimiento (carta dentro de 3 días hábiles)","1er contrato a plazo: renovar (2° plazo fijo), pasar a indefinido o terminar al vencimiento (carta dentro de 3 días hábiles)")))))))))))</f>
        <v/>
      </c>
      <c r="T33" s="70" t="str">
        <f aca="false">IF(B33="","",IF(COUNTIFS(C_ID,B33,C_FIRMADO,"&lt;&gt;Sí")&gt;0,COUNTIFS(C_ID,B33,C_FIRMADO,"&lt;&gt;Sí")&amp;" documento(s) sin firma. ","")&amp;IF(COUNTIFS(C_ID,B33,C_TIPO,"Plazo fijo",C_DEFINE,"Sí")&gt;2,"Más de 2 contratos a plazo: revisar presunción de indefinido. ","")&amp;IF(AND(R33="VENCIDO",LEFT(E33,6)="Activo"),"Trabaja con contrato vencido. ",""))</f>
        <v/>
      </c>
      <c r="U33" s="71" t="str">
        <f aca="false">IF(B33="","",INDEX(T_SUELDO,27))</f>
        <v/>
      </c>
      <c r="V33" s="72" t="str">
        <f aca="false">IF(AND(B33&lt;&gt;"",LEFT(E33,6)="Activo",ISNUMBER(O33),R33&lt;&gt;"Renovación registrada"),O33+ROW()/100000,"")</f>
        <v/>
      </c>
    </row>
    <row r="34" customFormat="false" ht="15" hidden="false" customHeight="false" outlineLevel="0" collapsed="false">
      <c r="B34" s="70" t="str">
        <f aca="false">IFERROR(IF(INDEX(T_ID,28)="","",INDEX(T_ID,28)),"")</f>
        <v/>
      </c>
      <c r="C34" s="70" t="str">
        <f aca="false">IF(B34="","",INDEX(T_NOMBRE,28)&amp;"")</f>
        <v/>
      </c>
      <c r="D34" s="70" t="str">
        <f aca="false">IF(B34="","",INDEX(T_CARGO,28)&amp;"")</f>
        <v/>
      </c>
      <c r="E34" s="70" t="str">
        <f aca="false">IF(B34="","",INDEX(T_ESTADO,28))</f>
        <v/>
      </c>
      <c r="F34" s="75" t="str">
        <f aca="false">IF(B34="","",INDEX(T_INGRESO,28))</f>
        <v/>
      </c>
      <c r="G34" s="70" t="str">
        <f aca="false">IF(B34="","",COUNTIFS(C_ID,B34,C_DEFINE,"Sí",C_INICIO,"&lt;="&amp;FECHA_CORTE))</f>
        <v/>
      </c>
      <c r="H34" s="70" t="str">
        <f aca="false">IF(B34="","",COUNTIFS(C_ID,B34,C_DEFINE,"Sí"))</f>
        <v/>
      </c>
      <c r="I34" s="70" t="str">
        <f aca="false">IF(B34="","",IF(H34=0,"Sin contrato",IFERROR(INDEX(C_TIPO,MATCH(B34&amp;"-P"&amp;MAX(1,G34),C_CLAVE,0))&amp;"","")))</f>
        <v/>
      </c>
      <c r="J34" s="70" t="str">
        <f aca="false">IF(OR(B34="",N(H34)=0),"",IFERROR(INDEX(C_TIPODOC,MATCH(B34&amp;"-P"&amp;MAX(1,G34),C_CLAVE,0))&amp;"",""))</f>
        <v/>
      </c>
      <c r="K34" s="76" t="str">
        <f aca="false">IF(I34="Plazo fijo",IFERROR(INDEX(C_NPF,MATCH(B34&amp;"-P"&amp;MAX(1,G34),C_CLAVE,0)),""),"")</f>
        <v/>
      </c>
      <c r="L34" s="70" t="str">
        <f aca="false">IF(B34="","",COUNTIFS(C_ID,B34,C_TIPODOC,"Anexo de modificación"))</f>
        <v/>
      </c>
      <c r="M34" s="75" t="str">
        <f aca="false">IF(OR(B34="",N(H34)=0),"",IFERROR(INDEX(C_INICIO,MATCH(B34&amp;"-P"&amp;MAX(1,G34),C_CLAVE,0)),""))</f>
        <v/>
      </c>
      <c r="N34" s="75" t="str">
        <f aca="false">IF(OR(I34="Plazo fijo",I34="Obra o faena"),IFERROR(IF(N(INDEX(C_TERMINO,MATCH(B34&amp;"-P"&amp;MAX(1,G34),C_CLAVE,0)))=0,"",INDEX(C_TERMINO,MATCH(B34&amp;"-P"&amp;MAX(1,G34),C_CLAVE,0))),""),"")</f>
        <v/>
      </c>
      <c r="O34" s="77" t="str">
        <f aca="false">IF(AND(ISNUMBER(N34),E34&lt;&gt;"Desvinculado"),N34-FECHA_CORTE,"")</f>
        <v/>
      </c>
      <c r="P34" s="75" t="str">
        <f aca="false">IF(AND(ISNUMBER(N34),E34&lt;&gt;"Desvinculado"),N34-DIAS_DECISION,"")</f>
        <v/>
      </c>
      <c r="Q34" s="75" t="str">
        <f aca="false">IF(OR(B34="",N(H34)&lt;=N(G34)),"",IFERROR(INDEX(C_INICIO,MATCH(B34&amp;"-P"&amp;(G34+1),C_CLAVE,0)),""))</f>
        <v/>
      </c>
      <c r="R34" s="70" t="str">
        <f aca="false">IF(B34="","",IF(E34="Desvinculado","Terminado",IF(H34=0,"Sin contrato registrado",IF(E34="Por ingresar","Por ingresar",IF(ISNUMBER(Q34),"Renovación registrada",IF(I34="Indefinido","Indefinido",IF(NOT(ISNUMBER(O34)),"Falta fecha de término",IF(O34&lt;0,"VENCIDO",IF(O34&lt;=ALERTA_ROJA,"Vence en ≤ "&amp;ALERTA_ROJA&amp;" días",IF(O34&lt;=ALERTA_NARANJA,"Vence en ≤ "&amp;ALERTA_NARANJA&amp;" días",IF(O34&lt;=ALERTA_AMARILLA,"Vence en ≤ "&amp;ALERTA_AMARILLA&amp;" días","Vigente")))))))))))</f>
        <v/>
      </c>
      <c r="S34" s="70" t="str">
        <f aca="false">IF(B34="","",IF(R34="Terminado","—",IF(R34="Sin contrato registrado","Registrar el contrato en la hoja Contratos",IF(R34="Por ingresar","Tener el contrato firmado y hacer el alta en AFP, salud, seguro de cesantía y mutual",IF(R34="Renovación registrada",IF(AND(N(K34)&gt;=2,IFERROR(INDEX(C_TIPO,MATCH(B34&amp;"-P"&amp;(G34+1),C_CLAVE,0)),"")="Plazo fijo"),"⚠ El período registrado sería el 3er contrato a plazo: por ley es INDEFINIDO. Registrarlo como Paso a indefinido","Siguiente período ya registrado: verificar que el documento esté firmado"),IF(I34="Indefinido","Sin vencimiento. Cambios de sueldo, cargo o jornada se formalizan con anexo de modificación",IF(R34="Falta fecha de término","Completar la fecha de término en la hoja Contratos",IF(R34="VENCIDO","Si sigue trabajando, por ley el contrato ya es INDEFINIDO (Art. 159 N°4): firmar anexo de paso a indefinido o regularizar el término",IF(I34="Obra o faena","Al concluir la obra: finiquito por Art. 159 N°5 + indemnización de 2,5 días por mes trabajado (Ley 21.122)",IF(N(K34)&gt;=3,"Por ley ya es indefinido (2ª renovación): firmar anexo de paso a indefinido",IF(N(K34)=2,"2° contrato a plazo: NO admite otra renovación a plazo fijo. Pasar a indefinido o terminar al vencimiento (carta dentro de 3 días hábiles)","1er contrato a plazo: renovar (2° plazo fijo), pasar a indefinido o terminar al vencimiento (carta dentro de 3 días hábiles)")))))))))))</f>
        <v/>
      </c>
      <c r="T34" s="70" t="str">
        <f aca="false">IF(B34="","",IF(COUNTIFS(C_ID,B34,C_FIRMADO,"&lt;&gt;Sí")&gt;0,COUNTIFS(C_ID,B34,C_FIRMADO,"&lt;&gt;Sí")&amp;" documento(s) sin firma. ","")&amp;IF(COUNTIFS(C_ID,B34,C_TIPO,"Plazo fijo",C_DEFINE,"Sí")&gt;2,"Más de 2 contratos a plazo: revisar presunción de indefinido. ","")&amp;IF(AND(R34="VENCIDO",LEFT(E34,6)="Activo"),"Trabaja con contrato vencido. ",""))</f>
        <v/>
      </c>
      <c r="U34" s="71" t="str">
        <f aca="false">IF(B34="","",INDEX(T_SUELDO,28))</f>
        <v/>
      </c>
      <c r="V34" s="72" t="str">
        <f aca="false">IF(AND(B34&lt;&gt;"",LEFT(E34,6)="Activo",ISNUMBER(O34),R34&lt;&gt;"Renovación registrada"),O34+ROW()/100000,"")</f>
        <v/>
      </c>
    </row>
    <row r="35" customFormat="false" ht="15" hidden="false" customHeight="false" outlineLevel="0" collapsed="false">
      <c r="B35" s="70" t="str">
        <f aca="false">IFERROR(IF(INDEX(T_ID,29)="","",INDEX(T_ID,29)),"")</f>
        <v/>
      </c>
      <c r="C35" s="70" t="str">
        <f aca="false">IF(B35="","",INDEX(T_NOMBRE,29)&amp;"")</f>
        <v/>
      </c>
      <c r="D35" s="70" t="str">
        <f aca="false">IF(B35="","",INDEX(T_CARGO,29)&amp;"")</f>
        <v/>
      </c>
      <c r="E35" s="70" t="str">
        <f aca="false">IF(B35="","",INDEX(T_ESTADO,29))</f>
        <v/>
      </c>
      <c r="F35" s="75" t="str">
        <f aca="false">IF(B35="","",INDEX(T_INGRESO,29))</f>
        <v/>
      </c>
      <c r="G35" s="70" t="str">
        <f aca="false">IF(B35="","",COUNTIFS(C_ID,B35,C_DEFINE,"Sí",C_INICIO,"&lt;="&amp;FECHA_CORTE))</f>
        <v/>
      </c>
      <c r="H35" s="70" t="str">
        <f aca="false">IF(B35="","",COUNTIFS(C_ID,B35,C_DEFINE,"Sí"))</f>
        <v/>
      </c>
      <c r="I35" s="70" t="str">
        <f aca="false">IF(B35="","",IF(H35=0,"Sin contrato",IFERROR(INDEX(C_TIPO,MATCH(B35&amp;"-P"&amp;MAX(1,G35),C_CLAVE,0))&amp;"","")))</f>
        <v/>
      </c>
      <c r="J35" s="70" t="str">
        <f aca="false">IF(OR(B35="",N(H35)=0),"",IFERROR(INDEX(C_TIPODOC,MATCH(B35&amp;"-P"&amp;MAX(1,G35),C_CLAVE,0))&amp;"",""))</f>
        <v/>
      </c>
      <c r="K35" s="76" t="str">
        <f aca="false">IF(I35="Plazo fijo",IFERROR(INDEX(C_NPF,MATCH(B35&amp;"-P"&amp;MAX(1,G35),C_CLAVE,0)),""),"")</f>
        <v/>
      </c>
      <c r="L35" s="70" t="str">
        <f aca="false">IF(B35="","",COUNTIFS(C_ID,B35,C_TIPODOC,"Anexo de modificación"))</f>
        <v/>
      </c>
      <c r="M35" s="75" t="str">
        <f aca="false">IF(OR(B35="",N(H35)=0),"",IFERROR(INDEX(C_INICIO,MATCH(B35&amp;"-P"&amp;MAX(1,G35),C_CLAVE,0)),""))</f>
        <v/>
      </c>
      <c r="N35" s="75" t="str">
        <f aca="false">IF(OR(I35="Plazo fijo",I35="Obra o faena"),IFERROR(IF(N(INDEX(C_TERMINO,MATCH(B35&amp;"-P"&amp;MAX(1,G35),C_CLAVE,0)))=0,"",INDEX(C_TERMINO,MATCH(B35&amp;"-P"&amp;MAX(1,G35),C_CLAVE,0))),""),"")</f>
        <v/>
      </c>
      <c r="O35" s="77" t="str">
        <f aca="false">IF(AND(ISNUMBER(N35),E35&lt;&gt;"Desvinculado"),N35-FECHA_CORTE,"")</f>
        <v/>
      </c>
      <c r="P35" s="75" t="str">
        <f aca="false">IF(AND(ISNUMBER(N35),E35&lt;&gt;"Desvinculado"),N35-DIAS_DECISION,"")</f>
        <v/>
      </c>
      <c r="Q35" s="75" t="str">
        <f aca="false">IF(OR(B35="",N(H35)&lt;=N(G35)),"",IFERROR(INDEX(C_INICIO,MATCH(B35&amp;"-P"&amp;(G35+1),C_CLAVE,0)),""))</f>
        <v/>
      </c>
      <c r="R35" s="70" t="str">
        <f aca="false">IF(B35="","",IF(E35="Desvinculado","Terminado",IF(H35=0,"Sin contrato registrado",IF(E35="Por ingresar","Por ingresar",IF(ISNUMBER(Q35),"Renovación registrada",IF(I35="Indefinido","Indefinido",IF(NOT(ISNUMBER(O35)),"Falta fecha de término",IF(O35&lt;0,"VENCIDO",IF(O35&lt;=ALERTA_ROJA,"Vence en ≤ "&amp;ALERTA_ROJA&amp;" días",IF(O35&lt;=ALERTA_NARANJA,"Vence en ≤ "&amp;ALERTA_NARANJA&amp;" días",IF(O35&lt;=ALERTA_AMARILLA,"Vence en ≤ "&amp;ALERTA_AMARILLA&amp;" días","Vigente")))))))))))</f>
        <v/>
      </c>
      <c r="S35" s="70" t="str">
        <f aca="false">IF(B35="","",IF(R35="Terminado","—",IF(R35="Sin contrato registrado","Registrar el contrato en la hoja Contratos",IF(R35="Por ingresar","Tener el contrato firmado y hacer el alta en AFP, salud, seguro de cesantía y mutual",IF(R35="Renovación registrada",IF(AND(N(K35)&gt;=2,IFERROR(INDEX(C_TIPO,MATCH(B35&amp;"-P"&amp;(G35+1),C_CLAVE,0)),"")="Plazo fijo"),"⚠ El período registrado sería el 3er contrato a plazo: por ley es INDEFINIDO. Registrarlo como Paso a indefinido","Siguiente período ya registrado: verificar que el documento esté firmado"),IF(I35="Indefinido","Sin vencimiento. Cambios de sueldo, cargo o jornada se formalizan con anexo de modificación",IF(R35="Falta fecha de término","Completar la fecha de término en la hoja Contratos",IF(R35="VENCIDO","Si sigue trabajando, por ley el contrato ya es INDEFINIDO (Art. 159 N°4): firmar anexo de paso a indefinido o regularizar el término",IF(I35="Obra o faena","Al concluir la obra: finiquito por Art. 159 N°5 + indemnización de 2,5 días por mes trabajado (Ley 21.122)",IF(N(K35)&gt;=3,"Por ley ya es indefinido (2ª renovación): firmar anexo de paso a indefinido",IF(N(K35)=2,"2° contrato a plazo: NO admite otra renovación a plazo fijo. Pasar a indefinido o terminar al vencimiento (carta dentro de 3 días hábiles)","1er contrato a plazo: renovar (2° plazo fijo), pasar a indefinido o terminar al vencimiento (carta dentro de 3 días hábiles)")))))))))))</f>
        <v/>
      </c>
      <c r="T35" s="70" t="str">
        <f aca="false">IF(B35="","",IF(COUNTIFS(C_ID,B35,C_FIRMADO,"&lt;&gt;Sí")&gt;0,COUNTIFS(C_ID,B35,C_FIRMADO,"&lt;&gt;Sí")&amp;" documento(s) sin firma. ","")&amp;IF(COUNTIFS(C_ID,B35,C_TIPO,"Plazo fijo",C_DEFINE,"Sí")&gt;2,"Más de 2 contratos a plazo: revisar presunción de indefinido. ","")&amp;IF(AND(R35="VENCIDO",LEFT(E35,6)="Activo"),"Trabaja con contrato vencido. ",""))</f>
        <v/>
      </c>
      <c r="U35" s="71" t="str">
        <f aca="false">IF(B35="","",INDEX(T_SUELDO,29))</f>
        <v/>
      </c>
      <c r="V35" s="72" t="str">
        <f aca="false">IF(AND(B35&lt;&gt;"",LEFT(E35,6)="Activo",ISNUMBER(O35),R35&lt;&gt;"Renovación registrada"),O35+ROW()/100000,"")</f>
        <v/>
      </c>
    </row>
    <row r="36" customFormat="false" ht="15" hidden="false" customHeight="false" outlineLevel="0" collapsed="false">
      <c r="B36" s="70" t="str">
        <f aca="false">IFERROR(IF(INDEX(T_ID,30)="","",INDEX(T_ID,30)),"")</f>
        <v/>
      </c>
      <c r="C36" s="70" t="str">
        <f aca="false">IF(B36="","",INDEX(T_NOMBRE,30)&amp;"")</f>
        <v/>
      </c>
      <c r="D36" s="70" t="str">
        <f aca="false">IF(B36="","",INDEX(T_CARGO,30)&amp;"")</f>
        <v/>
      </c>
      <c r="E36" s="70" t="str">
        <f aca="false">IF(B36="","",INDEX(T_ESTADO,30))</f>
        <v/>
      </c>
      <c r="F36" s="75" t="str">
        <f aca="false">IF(B36="","",INDEX(T_INGRESO,30))</f>
        <v/>
      </c>
      <c r="G36" s="70" t="str">
        <f aca="false">IF(B36="","",COUNTIFS(C_ID,B36,C_DEFINE,"Sí",C_INICIO,"&lt;="&amp;FECHA_CORTE))</f>
        <v/>
      </c>
      <c r="H36" s="70" t="str">
        <f aca="false">IF(B36="","",COUNTIFS(C_ID,B36,C_DEFINE,"Sí"))</f>
        <v/>
      </c>
      <c r="I36" s="70" t="str">
        <f aca="false">IF(B36="","",IF(H36=0,"Sin contrato",IFERROR(INDEX(C_TIPO,MATCH(B36&amp;"-P"&amp;MAX(1,G36),C_CLAVE,0))&amp;"","")))</f>
        <v/>
      </c>
      <c r="J36" s="70" t="str">
        <f aca="false">IF(OR(B36="",N(H36)=0),"",IFERROR(INDEX(C_TIPODOC,MATCH(B36&amp;"-P"&amp;MAX(1,G36),C_CLAVE,0))&amp;"",""))</f>
        <v/>
      </c>
      <c r="K36" s="76" t="str">
        <f aca="false">IF(I36="Plazo fijo",IFERROR(INDEX(C_NPF,MATCH(B36&amp;"-P"&amp;MAX(1,G36),C_CLAVE,0)),""),"")</f>
        <v/>
      </c>
      <c r="L36" s="70" t="str">
        <f aca="false">IF(B36="","",COUNTIFS(C_ID,B36,C_TIPODOC,"Anexo de modificación"))</f>
        <v/>
      </c>
      <c r="M36" s="75" t="str">
        <f aca="false">IF(OR(B36="",N(H36)=0),"",IFERROR(INDEX(C_INICIO,MATCH(B36&amp;"-P"&amp;MAX(1,G36),C_CLAVE,0)),""))</f>
        <v/>
      </c>
      <c r="N36" s="75" t="str">
        <f aca="false">IF(OR(I36="Plazo fijo",I36="Obra o faena"),IFERROR(IF(N(INDEX(C_TERMINO,MATCH(B36&amp;"-P"&amp;MAX(1,G36),C_CLAVE,0)))=0,"",INDEX(C_TERMINO,MATCH(B36&amp;"-P"&amp;MAX(1,G36),C_CLAVE,0))),""),"")</f>
        <v/>
      </c>
      <c r="O36" s="77" t="str">
        <f aca="false">IF(AND(ISNUMBER(N36),E36&lt;&gt;"Desvinculado"),N36-FECHA_CORTE,"")</f>
        <v/>
      </c>
      <c r="P36" s="75" t="str">
        <f aca="false">IF(AND(ISNUMBER(N36),E36&lt;&gt;"Desvinculado"),N36-DIAS_DECISION,"")</f>
        <v/>
      </c>
      <c r="Q36" s="75" t="str">
        <f aca="false">IF(OR(B36="",N(H36)&lt;=N(G36)),"",IFERROR(INDEX(C_INICIO,MATCH(B36&amp;"-P"&amp;(G36+1),C_CLAVE,0)),""))</f>
        <v/>
      </c>
      <c r="R36" s="70" t="str">
        <f aca="false">IF(B36="","",IF(E36="Desvinculado","Terminado",IF(H36=0,"Sin contrato registrado",IF(E36="Por ingresar","Por ingresar",IF(ISNUMBER(Q36),"Renovación registrada",IF(I36="Indefinido","Indefinido",IF(NOT(ISNUMBER(O36)),"Falta fecha de término",IF(O36&lt;0,"VENCIDO",IF(O36&lt;=ALERTA_ROJA,"Vence en ≤ "&amp;ALERTA_ROJA&amp;" días",IF(O36&lt;=ALERTA_NARANJA,"Vence en ≤ "&amp;ALERTA_NARANJA&amp;" días",IF(O36&lt;=ALERTA_AMARILLA,"Vence en ≤ "&amp;ALERTA_AMARILLA&amp;" días","Vigente")))))))))))</f>
        <v/>
      </c>
      <c r="S36" s="70" t="str">
        <f aca="false">IF(B36="","",IF(R36="Terminado","—",IF(R36="Sin contrato registrado","Registrar el contrato en la hoja Contratos",IF(R36="Por ingresar","Tener el contrato firmado y hacer el alta en AFP, salud, seguro de cesantía y mutual",IF(R36="Renovación registrada",IF(AND(N(K36)&gt;=2,IFERROR(INDEX(C_TIPO,MATCH(B36&amp;"-P"&amp;(G36+1),C_CLAVE,0)),"")="Plazo fijo"),"⚠ El período registrado sería el 3er contrato a plazo: por ley es INDEFINIDO. Registrarlo como Paso a indefinido","Siguiente período ya registrado: verificar que el documento esté firmado"),IF(I36="Indefinido","Sin vencimiento. Cambios de sueldo, cargo o jornada se formalizan con anexo de modificación",IF(R36="Falta fecha de término","Completar la fecha de término en la hoja Contratos",IF(R36="VENCIDO","Si sigue trabajando, por ley el contrato ya es INDEFINIDO (Art. 159 N°4): firmar anexo de paso a indefinido o regularizar el término",IF(I36="Obra o faena","Al concluir la obra: finiquito por Art. 159 N°5 + indemnización de 2,5 días por mes trabajado (Ley 21.122)",IF(N(K36)&gt;=3,"Por ley ya es indefinido (2ª renovación): firmar anexo de paso a indefinido",IF(N(K36)=2,"2° contrato a plazo: NO admite otra renovación a plazo fijo. Pasar a indefinido o terminar al vencimiento (carta dentro de 3 días hábiles)","1er contrato a plazo: renovar (2° plazo fijo), pasar a indefinido o terminar al vencimiento (carta dentro de 3 días hábiles)")))))))))))</f>
        <v/>
      </c>
      <c r="T36" s="70" t="str">
        <f aca="false">IF(B36="","",IF(COUNTIFS(C_ID,B36,C_FIRMADO,"&lt;&gt;Sí")&gt;0,COUNTIFS(C_ID,B36,C_FIRMADO,"&lt;&gt;Sí")&amp;" documento(s) sin firma. ","")&amp;IF(COUNTIFS(C_ID,B36,C_TIPO,"Plazo fijo",C_DEFINE,"Sí")&gt;2,"Más de 2 contratos a plazo: revisar presunción de indefinido. ","")&amp;IF(AND(R36="VENCIDO",LEFT(E36,6)="Activo"),"Trabaja con contrato vencido. ",""))</f>
        <v/>
      </c>
      <c r="U36" s="71" t="str">
        <f aca="false">IF(B36="","",INDEX(T_SUELDO,30))</f>
        <v/>
      </c>
      <c r="V36" s="72" t="str">
        <f aca="false">IF(AND(B36&lt;&gt;"",LEFT(E36,6)="Activo",ISNUMBER(O36),R36&lt;&gt;"Renovación registrada"),O36+ROW()/100000,"")</f>
        <v/>
      </c>
    </row>
    <row r="37" customFormat="false" ht="15" hidden="false" customHeight="false" outlineLevel="0" collapsed="false">
      <c r="B37" s="70" t="str">
        <f aca="false">IFERROR(IF(INDEX(T_ID,31)="","",INDEX(T_ID,31)),"")</f>
        <v/>
      </c>
      <c r="C37" s="70" t="str">
        <f aca="false">IF(B37="","",INDEX(T_NOMBRE,31)&amp;"")</f>
        <v/>
      </c>
      <c r="D37" s="70" t="str">
        <f aca="false">IF(B37="","",INDEX(T_CARGO,31)&amp;"")</f>
        <v/>
      </c>
      <c r="E37" s="70" t="str">
        <f aca="false">IF(B37="","",INDEX(T_ESTADO,31))</f>
        <v/>
      </c>
      <c r="F37" s="75" t="str">
        <f aca="false">IF(B37="","",INDEX(T_INGRESO,31))</f>
        <v/>
      </c>
      <c r="G37" s="70" t="str">
        <f aca="false">IF(B37="","",COUNTIFS(C_ID,B37,C_DEFINE,"Sí",C_INICIO,"&lt;="&amp;FECHA_CORTE))</f>
        <v/>
      </c>
      <c r="H37" s="70" t="str">
        <f aca="false">IF(B37="","",COUNTIFS(C_ID,B37,C_DEFINE,"Sí"))</f>
        <v/>
      </c>
      <c r="I37" s="70" t="str">
        <f aca="false">IF(B37="","",IF(H37=0,"Sin contrato",IFERROR(INDEX(C_TIPO,MATCH(B37&amp;"-P"&amp;MAX(1,G37),C_CLAVE,0))&amp;"","")))</f>
        <v/>
      </c>
      <c r="J37" s="70" t="str">
        <f aca="false">IF(OR(B37="",N(H37)=0),"",IFERROR(INDEX(C_TIPODOC,MATCH(B37&amp;"-P"&amp;MAX(1,G37),C_CLAVE,0))&amp;"",""))</f>
        <v/>
      </c>
      <c r="K37" s="76" t="str">
        <f aca="false">IF(I37="Plazo fijo",IFERROR(INDEX(C_NPF,MATCH(B37&amp;"-P"&amp;MAX(1,G37),C_CLAVE,0)),""),"")</f>
        <v/>
      </c>
      <c r="L37" s="70" t="str">
        <f aca="false">IF(B37="","",COUNTIFS(C_ID,B37,C_TIPODOC,"Anexo de modificación"))</f>
        <v/>
      </c>
      <c r="M37" s="75" t="str">
        <f aca="false">IF(OR(B37="",N(H37)=0),"",IFERROR(INDEX(C_INICIO,MATCH(B37&amp;"-P"&amp;MAX(1,G37),C_CLAVE,0)),""))</f>
        <v/>
      </c>
      <c r="N37" s="75" t="str">
        <f aca="false">IF(OR(I37="Plazo fijo",I37="Obra o faena"),IFERROR(IF(N(INDEX(C_TERMINO,MATCH(B37&amp;"-P"&amp;MAX(1,G37),C_CLAVE,0)))=0,"",INDEX(C_TERMINO,MATCH(B37&amp;"-P"&amp;MAX(1,G37),C_CLAVE,0))),""),"")</f>
        <v/>
      </c>
      <c r="O37" s="77" t="str">
        <f aca="false">IF(AND(ISNUMBER(N37),E37&lt;&gt;"Desvinculado"),N37-FECHA_CORTE,"")</f>
        <v/>
      </c>
      <c r="P37" s="75" t="str">
        <f aca="false">IF(AND(ISNUMBER(N37),E37&lt;&gt;"Desvinculado"),N37-DIAS_DECISION,"")</f>
        <v/>
      </c>
      <c r="Q37" s="75" t="str">
        <f aca="false">IF(OR(B37="",N(H37)&lt;=N(G37)),"",IFERROR(INDEX(C_INICIO,MATCH(B37&amp;"-P"&amp;(G37+1),C_CLAVE,0)),""))</f>
        <v/>
      </c>
      <c r="R37" s="70" t="str">
        <f aca="false">IF(B37="","",IF(E37="Desvinculado","Terminado",IF(H37=0,"Sin contrato registrado",IF(E37="Por ingresar","Por ingresar",IF(ISNUMBER(Q37),"Renovación registrada",IF(I37="Indefinido","Indefinido",IF(NOT(ISNUMBER(O37)),"Falta fecha de término",IF(O37&lt;0,"VENCIDO",IF(O37&lt;=ALERTA_ROJA,"Vence en ≤ "&amp;ALERTA_ROJA&amp;" días",IF(O37&lt;=ALERTA_NARANJA,"Vence en ≤ "&amp;ALERTA_NARANJA&amp;" días",IF(O37&lt;=ALERTA_AMARILLA,"Vence en ≤ "&amp;ALERTA_AMARILLA&amp;" días","Vigente")))))))))))</f>
        <v/>
      </c>
      <c r="S37" s="70" t="str">
        <f aca="false">IF(B37="","",IF(R37="Terminado","—",IF(R37="Sin contrato registrado","Registrar el contrato en la hoja Contratos",IF(R37="Por ingresar","Tener el contrato firmado y hacer el alta en AFP, salud, seguro de cesantía y mutual",IF(R37="Renovación registrada",IF(AND(N(K37)&gt;=2,IFERROR(INDEX(C_TIPO,MATCH(B37&amp;"-P"&amp;(G37+1),C_CLAVE,0)),"")="Plazo fijo"),"⚠ El período registrado sería el 3er contrato a plazo: por ley es INDEFINIDO. Registrarlo como Paso a indefinido","Siguiente período ya registrado: verificar que el documento esté firmado"),IF(I37="Indefinido","Sin vencimiento. Cambios de sueldo, cargo o jornada se formalizan con anexo de modificación",IF(R37="Falta fecha de término","Completar la fecha de término en la hoja Contratos",IF(R37="VENCIDO","Si sigue trabajando, por ley el contrato ya es INDEFINIDO (Art. 159 N°4): firmar anexo de paso a indefinido o regularizar el término",IF(I37="Obra o faena","Al concluir la obra: finiquito por Art. 159 N°5 + indemnización de 2,5 días por mes trabajado (Ley 21.122)",IF(N(K37)&gt;=3,"Por ley ya es indefinido (2ª renovación): firmar anexo de paso a indefinido",IF(N(K37)=2,"2° contrato a plazo: NO admite otra renovación a plazo fijo. Pasar a indefinido o terminar al vencimiento (carta dentro de 3 días hábiles)","1er contrato a plazo: renovar (2° plazo fijo), pasar a indefinido o terminar al vencimiento (carta dentro de 3 días hábiles)")))))))))))</f>
        <v/>
      </c>
      <c r="T37" s="70" t="str">
        <f aca="false">IF(B37="","",IF(COUNTIFS(C_ID,B37,C_FIRMADO,"&lt;&gt;Sí")&gt;0,COUNTIFS(C_ID,B37,C_FIRMADO,"&lt;&gt;Sí")&amp;" documento(s) sin firma. ","")&amp;IF(COUNTIFS(C_ID,B37,C_TIPO,"Plazo fijo",C_DEFINE,"Sí")&gt;2,"Más de 2 contratos a plazo: revisar presunción de indefinido. ","")&amp;IF(AND(R37="VENCIDO",LEFT(E37,6)="Activo"),"Trabaja con contrato vencido. ",""))</f>
        <v/>
      </c>
      <c r="U37" s="71" t="str">
        <f aca="false">IF(B37="","",INDEX(T_SUELDO,31))</f>
        <v/>
      </c>
      <c r="V37" s="72" t="str">
        <f aca="false">IF(AND(B37&lt;&gt;"",LEFT(E37,6)="Activo",ISNUMBER(O37),R37&lt;&gt;"Renovación registrada"),O37+ROW()/100000,"")</f>
        <v/>
      </c>
    </row>
    <row r="38" customFormat="false" ht="15" hidden="false" customHeight="false" outlineLevel="0" collapsed="false">
      <c r="B38" s="70" t="str">
        <f aca="false">IFERROR(IF(INDEX(T_ID,32)="","",INDEX(T_ID,32)),"")</f>
        <v/>
      </c>
      <c r="C38" s="70" t="str">
        <f aca="false">IF(B38="","",INDEX(T_NOMBRE,32)&amp;"")</f>
        <v/>
      </c>
      <c r="D38" s="70" t="str">
        <f aca="false">IF(B38="","",INDEX(T_CARGO,32)&amp;"")</f>
        <v/>
      </c>
      <c r="E38" s="70" t="str">
        <f aca="false">IF(B38="","",INDEX(T_ESTADO,32))</f>
        <v/>
      </c>
      <c r="F38" s="75" t="str">
        <f aca="false">IF(B38="","",INDEX(T_INGRESO,32))</f>
        <v/>
      </c>
      <c r="G38" s="70" t="str">
        <f aca="false">IF(B38="","",COUNTIFS(C_ID,B38,C_DEFINE,"Sí",C_INICIO,"&lt;="&amp;FECHA_CORTE))</f>
        <v/>
      </c>
      <c r="H38" s="70" t="str">
        <f aca="false">IF(B38="","",COUNTIFS(C_ID,B38,C_DEFINE,"Sí"))</f>
        <v/>
      </c>
      <c r="I38" s="70" t="str">
        <f aca="false">IF(B38="","",IF(H38=0,"Sin contrato",IFERROR(INDEX(C_TIPO,MATCH(B38&amp;"-P"&amp;MAX(1,G38),C_CLAVE,0))&amp;"","")))</f>
        <v/>
      </c>
      <c r="J38" s="70" t="str">
        <f aca="false">IF(OR(B38="",N(H38)=0),"",IFERROR(INDEX(C_TIPODOC,MATCH(B38&amp;"-P"&amp;MAX(1,G38),C_CLAVE,0))&amp;"",""))</f>
        <v/>
      </c>
      <c r="K38" s="76" t="str">
        <f aca="false">IF(I38="Plazo fijo",IFERROR(INDEX(C_NPF,MATCH(B38&amp;"-P"&amp;MAX(1,G38),C_CLAVE,0)),""),"")</f>
        <v/>
      </c>
      <c r="L38" s="70" t="str">
        <f aca="false">IF(B38="","",COUNTIFS(C_ID,B38,C_TIPODOC,"Anexo de modificación"))</f>
        <v/>
      </c>
      <c r="M38" s="75" t="str">
        <f aca="false">IF(OR(B38="",N(H38)=0),"",IFERROR(INDEX(C_INICIO,MATCH(B38&amp;"-P"&amp;MAX(1,G38),C_CLAVE,0)),""))</f>
        <v/>
      </c>
      <c r="N38" s="75" t="str">
        <f aca="false">IF(OR(I38="Plazo fijo",I38="Obra o faena"),IFERROR(IF(N(INDEX(C_TERMINO,MATCH(B38&amp;"-P"&amp;MAX(1,G38),C_CLAVE,0)))=0,"",INDEX(C_TERMINO,MATCH(B38&amp;"-P"&amp;MAX(1,G38),C_CLAVE,0))),""),"")</f>
        <v/>
      </c>
      <c r="O38" s="77" t="str">
        <f aca="false">IF(AND(ISNUMBER(N38),E38&lt;&gt;"Desvinculado"),N38-FECHA_CORTE,"")</f>
        <v/>
      </c>
      <c r="P38" s="75" t="str">
        <f aca="false">IF(AND(ISNUMBER(N38),E38&lt;&gt;"Desvinculado"),N38-DIAS_DECISION,"")</f>
        <v/>
      </c>
      <c r="Q38" s="75" t="str">
        <f aca="false">IF(OR(B38="",N(H38)&lt;=N(G38)),"",IFERROR(INDEX(C_INICIO,MATCH(B38&amp;"-P"&amp;(G38+1),C_CLAVE,0)),""))</f>
        <v/>
      </c>
      <c r="R38" s="70" t="str">
        <f aca="false">IF(B38="","",IF(E38="Desvinculado","Terminado",IF(H38=0,"Sin contrato registrado",IF(E38="Por ingresar","Por ingresar",IF(ISNUMBER(Q38),"Renovación registrada",IF(I38="Indefinido","Indefinido",IF(NOT(ISNUMBER(O38)),"Falta fecha de término",IF(O38&lt;0,"VENCIDO",IF(O38&lt;=ALERTA_ROJA,"Vence en ≤ "&amp;ALERTA_ROJA&amp;" días",IF(O38&lt;=ALERTA_NARANJA,"Vence en ≤ "&amp;ALERTA_NARANJA&amp;" días",IF(O38&lt;=ALERTA_AMARILLA,"Vence en ≤ "&amp;ALERTA_AMARILLA&amp;" días","Vigente")))))))))))</f>
        <v/>
      </c>
      <c r="S38" s="70" t="str">
        <f aca="false">IF(B38="","",IF(R38="Terminado","—",IF(R38="Sin contrato registrado","Registrar el contrato en la hoja Contratos",IF(R38="Por ingresar","Tener el contrato firmado y hacer el alta en AFP, salud, seguro de cesantía y mutual",IF(R38="Renovación registrada",IF(AND(N(K38)&gt;=2,IFERROR(INDEX(C_TIPO,MATCH(B38&amp;"-P"&amp;(G38+1),C_CLAVE,0)),"")="Plazo fijo"),"⚠ El período registrado sería el 3er contrato a plazo: por ley es INDEFINIDO. Registrarlo como Paso a indefinido","Siguiente período ya registrado: verificar que el documento esté firmado"),IF(I38="Indefinido","Sin vencimiento. Cambios de sueldo, cargo o jornada se formalizan con anexo de modificación",IF(R38="Falta fecha de término","Completar la fecha de término en la hoja Contratos",IF(R38="VENCIDO","Si sigue trabajando, por ley el contrato ya es INDEFINIDO (Art. 159 N°4): firmar anexo de paso a indefinido o regularizar el término",IF(I38="Obra o faena","Al concluir la obra: finiquito por Art. 159 N°5 + indemnización de 2,5 días por mes trabajado (Ley 21.122)",IF(N(K38)&gt;=3,"Por ley ya es indefinido (2ª renovación): firmar anexo de paso a indefinido",IF(N(K38)=2,"2° contrato a plazo: NO admite otra renovación a plazo fijo. Pasar a indefinido o terminar al vencimiento (carta dentro de 3 días hábiles)","1er contrato a plazo: renovar (2° plazo fijo), pasar a indefinido o terminar al vencimiento (carta dentro de 3 días hábiles)")))))))))))</f>
        <v/>
      </c>
      <c r="T38" s="70" t="str">
        <f aca="false">IF(B38="","",IF(COUNTIFS(C_ID,B38,C_FIRMADO,"&lt;&gt;Sí")&gt;0,COUNTIFS(C_ID,B38,C_FIRMADO,"&lt;&gt;Sí")&amp;" documento(s) sin firma. ","")&amp;IF(COUNTIFS(C_ID,B38,C_TIPO,"Plazo fijo",C_DEFINE,"Sí")&gt;2,"Más de 2 contratos a plazo: revisar presunción de indefinido. ","")&amp;IF(AND(R38="VENCIDO",LEFT(E38,6)="Activo"),"Trabaja con contrato vencido. ",""))</f>
        <v/>
      </c>
      <c r="U38" s="71" t="str">
        <f aca="false">IF(B38="","",INDEX(T_SUELDO,32))</f>
        <v/>
      </c>
      <c r="V38" s="72" t="str">
        <f aca="false">IF(AND(B38&lt;&gt;"",LEFT(E38,6)="Activo",ISNUMBER(O38),R38&lt;&gt;"Renovación registrada"),O38+ROW()/100000,"")</f>
        <v/>
      </c>
    </row>
    <row r="39" customFormat="false" ht="15" hidden="false" customHeight="false" outlineLevel="0" collapsed="false">
      <c r="B39" s="70" t="str">
        <f aca="false">IFERROR(IF(INDEX(T_ID,33)="","",INDEX(T_ID,33)),"")</f>
        <v/>
      </c>
      <c r="C39" s="70" t="str">
        <f aca="false">IF(B39="","",INDEX(T_NOMBRE,33)&amp;"")</f>
        <v/>
      </c>
      <c r="D39" s="70" t="str">
        <f aca="false">IF(B39="","",INDEX(T_CARGO,33)&amp;"")</f>
        <v/>
      </c>
      <c r="E39" s="70" t="str">
        <f aca="false">IF(B39="","",INDEX(T_ESTADO,33))</f>
        <v/>
      </c>
      <c r="F39" s="75" t="str">
        <f aca="false">IF(B39="","",INDEX(T_INGRESO,33))</f>
        <v/>
      </c>
      <c r="G39" s="70" t="str">
        <f aca="false">IF(B39="","",COUNTIFS(C_ID,B39,C_DEFINE,"Sí",C_INICIO,"&lt;="&amp;FECHA_CORTE))</f>
        <v/>
      </c>
      <c r="H39" s="70" t="str">
        <f aca="false">IF(B39="","",COUNTIFS(C_ID,B39,C_DEFINE,"Sí"))</f>
        <v/>
      </c>
      <c r="I39" s="70" t="str">
        <f aca="false">IF(B39="","",IF(H39=0,"Sin contrato",IFERROR(INDEX(C_TIPO,MATCH(B39&amp;"-P"&amp;MAX(1,G39),C_CLAVE,0))&amp;"","")))</f>
        <v/>
      </c>
      <c r="J39" s="70" t="str">
        <f aca="false">IF(OR(B39="",N(H39)=0),"",IFERROR(INDEX(C_TIPODOC,MATCH(B39&amp;"-P"&amp;MAX(1,G39),C_CLAVE,0))&amp;"",""))</f>
        <v/>
      </c>
      <c r="K39" s="76" t="str">
        <f aca="false">IF(I39="Plazo fijo",IFERROR(INDEX(C_NPF,MATCH(B39&amp;"-P"&amp;MAX(1,G39),C_CLAVE,0)),""),"")</f>
        <v/>
      </c>
      <c r="L39" s="70" t="str">
        <f aca="false">IF(B39="","",COUNTIFS(C_ID,B39,C_TIPODOC,"Anexo de modificación"))</f>
        <v/>
      </c>
      <c r="M39" s="75" t="str">
        <f aca="false">IF(OR(B39="",N(H39)=0),"",IFERROR(INDEX(C_INICIO,MATCH(B39&amp;"-P"&amp;MAX(1,G39),C_CLAVE,0)),""))</f>
        <v/>
      </c>
      <c r="N39" s="75" t="str">
        <f aca="false">IF(OR(I39="Plazo fijo",I39="Obra o faena"),IFERROR(IF(N(INDEX(C_TERMINO,MATCH(B39&amp;"-P"&amp;MAX(1,G39),C_CLAVE,0)))=0,"",INDEX(C_TERMINO,MATCH(B39&amp;"-P"&amp;MAX(1,G39),C_CLAVE,0))),""),"")</f>
        <v/>
      </c>
      <c r="O39" s="77" t="str">
        <f aca="false">IF(AND(ISNUMBER(N39),E39&lt;&gt;"Desvinculado"),N39-FECHA_CORTE,"")</f>
        <v/>
      </c>
      <c r="P39" s="75" t="str">
        <f aca="false">IF(AND(ISNUMBER(N39),E39&lt;&gt;"Desvinculado"),N39-DIAS_DECISION,"")</f>
        <v/>
      </c>
      <c r="Q39" s="75" t="str">
        <f aca="false">IF(OR(B39="",N(H39)&lt;=N(G39)),"",IFERROR(INDEX(C_INICIO,MATCH(B39&amp;"-P"&amp;(G39+1),C_CLAVE,0)),""))</f>
        <v/>
      </c>
      <c r="R39" s="70" t="str">
        <f aca="false">IF(B39="","",IF(E39="Desvinculado","Terminado",IF(H39=0,"Sin contrato registrado",IF(E39="Por ingresar","Por ingresar",IF(ISNUMBER(Q39),"Renovación registrada",IF(I39="Indefinido","Indefinido",IF(NOT(ISNUMBER(O39)),"Falta fecha de término",IF(O39&lt;0,"VENCIDO",IF(O39&lt;=ALERTA_ROJA,"Vence en ≤ "&amp;ALERTA_ROJA&amp;" días",IF(O39&lt;=ALERTA_NARANJA,"Vence en ≤ "&amp;ALERTA_NARANJA&amp;" días",IF(O39&lt;=ALERTA_AMARILLA,"Vence en ≤ "&amp;ALERTA_AMARILLA&amp;" días","Vigente")))))))))))</f>
        <v/>
      </c>
      <c r="S39" s="70" t="str">
        <f aca="false">IF(B39="","",IF(R39="Terminado","—",IF(R39="Sin contrato registrado","Registrar el contrato en la hoja Contratos",IF(R39="Por ingresar","Tener el contrato firmado y hacer el alta en AFP, salud, seguro de cesantía y mutual",IF(R39="Renovación registrada",IF(AND(N(K39)&gt;=2,IFERROR(INDEX(C_TIPO,MATCH(B39&amp;"-P"&amp;(G39+1),C_CLAVE,0)),"")="Plazo fijo"),"⚠ El período registrado sería el 3er contrato a plazo: por ley es INDEFINIDO. Registrarlo como Paso a indefinido","Siguiente período ya registrado: verificar que el documento esté firmado"),IF(I39="Indefinido","Sin vencimiento. Cambios de sueldo, cargo o jornada se formalizan con anexo de modificación",IF(R39="Falta fecha de término","Completar la fecha de término en la hoja Contratos",IF(R39="VENCIDO","Si sigue trabajando, por ley el contrato ya es INDEFINIDO (Art. 159 N°4): firmar anexo de paso a indefinido o regularizar el término",IF(I39="Obra o faena","Al concluir la obra: finiquito por Art. 159 N°5 + indemnización de 2,5 días por mes trabajado (Ley 21.122)",IF(N(K39)&gt;=3,"Por ley ya es indefinido (2ª renovación): firmar anexo de paso a indefinido",IF(N(K39)=2,"2° contrato a plazo: NO admite otra renovación a plazo fijo. Pasar a indefinido o terminar al vencimiento (carta dentro de 3 días hábiles)","1er contrato a plazo: renovar (2° plazo fijo), pasar a indefinido o terminar al vencimiento (carta dentro de 3 días hábiles)")))))))))))</f>
        <v/>
      </c>
      <c r="T39" s="70" t="str">
        <f aca="false">IF(B39="","",IF(COUNTIFS(C_ID,B39,C_FIRMADO,"&lt;&gt;Sí")&gt;0,COUNTIFS(C_ID,B39,C_FIRMADO,"&lt;&gt;Sí")&amp;" documento(s) sin firma. ","")&amp;IF(COUNTIFS(C_ID,B39,C_TIPO,"Plazo fijo",C_DEFINE,"Sí")&gt;2,"Más de 2 contratos a plazo: revisar presunción de indefinido. ","")&amp;IF(AND(R39="VENCIDO",LEFT(E39,6)="Activo"),"Trabaja con contrato vencido. ",""))</f>
        <v/>
      </c>
      <c r="U39" s="71" t="str">
        <f aca="false">IF(B39="","",INDEX(T_SUELDO,33))</f>
        <v/>
      </c>
      <c r="V39" s="72" t="str">
        <f aca="false">IF(AND(B39&lt;&gt;"",LEFT(E39,6)="Activo",ISNUMBER(O39),R39&lt;&gt;"Renovación registrada"),O39+ROW()/100000,"")</f>
        <v/>
      </c>
    </row>
    <row r="40" customFormat="false" ht="15" hidden="false" customHeight="false" outlineLevel="0" collapsed="false">
      <c r="B40" s="70" t="str">
        <f aca="false">IFERROR(IF(INDEX(T_ID,34)="","",INDEX(T_ID,34)),"")</f>
        <v/>
      </c>
      <c r="C40" s="70" t="str">
        <f aca="false">IF(B40="","",INDEX(T_NOMBRE,34)&amp;"")</f>
        <v/>
      </c>
      <c r="D40" s="70" t="str">
        <f aca="false">IF(B40="","",INDEX(T_CARGO,34)&amp;"")</f>
        <v/>
      </c>
      <c r="E40" s="70" t="str">
        <f aca="false">IF(B40="","",INDEX(T_ESTADO,34))</f>
        <v/>
      </c>
      <c r="F40" s="75" t="str">
        <f aca="false">IF(B40="","",INDEX(T_INGRESO,34))</f>
        <v/>
      </c>
      <c r="G40" s="70" t="str">
        <f aca="false">IF(B40="","",COUNTIFS(C_ID,B40,C_DEFINE,"Sí",C_INICIO,"&lt;="&amp;FECHA_CORTE))</f>
        <v/>
      </c>
      <c r="H40" s="70" t="str">
        <f aca="false">IF(B40="","",COUNTIFS(C_ID,B40,C_DEFINE,"Sí"))</f>
        <v/>
      </c>
      <c r="I40" s="70" t="str">
        <f aca="false">IF(B40="","",IF(H40=0,"Sin contrato",IFERROR(INDEX(C_TIPO,MATCH(B40&amp;"-P"&amp;MAX(1,G40),C_CLAVE,0))&amp;"","")))</f>
        <v/>
      </c>
      <c r="J40" s="70" t="str">
        <f aca="false">IF(OR(B40="",N(H40)=0),"",IFERROR(INDEX(C_TIPODOC,MATCH(B40&amp;"-P"&amp;MAX(1,G40),C_CLAVE,0))&amp;"",""))</f>
        <v/>
      </c>
      <c r="K40" s="76" t="str">
        <f aca="false">IF(I40="Plazo fijo",IFERROR(INDEX(C_NPF,MATCH(B40&amp;"-P"&amp;MAX(1,G40),C_CLAVE,0)),""),"")</f>
        <v/>
      </c>
      <c r="L40" s="70" t="str">
        <f aca="false">IF(B40="","",COUNTIFS(C_ID,B40,C_TIPODOC,"Anexo de modificación"))</f>
        <v/>
      </c>
      <c r="M40" s="75" t="str">
        <f aca="false">IF(OR(B40="",N(H40)=0),"",IFERROR(INDEX(C_INICIO,MATCH(B40&amp;"-P"&amp;MAX(1,G40),C_CLAVE,0)),""))</f>
        <v/>
      </c>
      <c r="N40" s="75" t="str">
        <f aca="false">IF(OR(I40="Plazo fijo",I40="Obra o faena"),IFERROR(IF(N(INDEX(C_TERMINO,MATCH(B40&amp;"-P"&amp;MAX(1,G40),C_CLAVE,0)))=0,"",INDEX(C_TERMINO,MATCH(B40&amp;"-P"&amp;MAX(1,G40),C_CLAVE,0))),""),"")</f>
        <v/>
      </c>
      <c r="O40" s="77" t="str">
        <f aca="false">IF(AND(ISNUMBER(N40),E40&lt;&gt;"Desvinculado"),N40-FECHA_CORTE,"")</f>
        <v/>
      </c>
      <c r="P40" s="75" t="str">
        <f aca="false">IF(AND(ISNUMBER(N40),E40&lt;&gt;"Desvinculado"),N40-DIAS_DECISION,"")</f>
        <v/>
      </c>
      <c r="Q40" s="75" t="str">
        <f aca="false">IF(OR(B40="",N(H40)&lt;=N(G40)),"",IFERROR(INDEX(C_INICIO,MATCH(B40&amp;"-P"&amp;(G40+1),C_CLAVE,0)),""))</f>
        <v/>
      </c>
      <c r="R40" s="70" t="str">
        <f aca="false">IF(B40="","",IF(E40="Desvinculado","Terminado",IF(H40=0,"Sin contrato registrado",IF(E40="Por ingresar","Por ingresar",IF(ISNUMBER(Q40),"Renovación registrada",IF(I40="Indefinido","Indefinido",IF(NOT(ISNUMBER(O40)),"Falta fecha de término",IF(O40&lt;0,"VENCIDO",IF(O40&lt;=ALERTA_ROJA,"Vence en ≤ "&amp;ALERTA_ROJA&amp;" días",IF(O40&lt;=ALERTA_NARANJA,"Vence en ≤ "&amp;ALERTA_NARANJA&amp;" días",IF(O40&lt;=ALERTA_AMARILLA,"Vence en ≤ "&amp;ALERTA_AMARILLA&amp;" días","Vigente")))))))))))</f>
        <v/>
      </c>
      <c r="S40" s="70" t="str">
        <f aca="false">IF(B40="","",IF(R40="Terminado","—",IF(R40="Sin contrato registrado","Registrar el contrato en la hoja Contratos",IF(R40="Por ingresar","Tener el contrato firmado y hacer el alta en AFP, salud, seguro de cesantía y mutual",IF(R40="Renovación registrada",IF(AND(N(K40)&gt;=2,IFERROR(INDEX(C_TIPO,MATCH(B40&amp;"-P"&amp;(G40+1),C_CLAVE,0)),"")="Plazo fijo"),"⚠ El período registrado sería el 3er contrato a plazo: por ley es INDEFINIDO. Registrarlo como Paso a indefinido","Siguiente período ya registrado: verificar que el documento esté firmado"),IF(I40="Indefinido","Sin vencimiento. Cambios de sueldo, cargo o jornada se formalizan con anexo de modificación",IF(R40="Falta fecha de término","Completar la fecha de término en la hoja Contratos",IF(R40="VENCIDO","Si sigue trabajando, por ley el contrato ya es INDEFINIDO (Art. 159 N°4): firmar anexo de paso a indefinido o regularizar el término",IF(I40="Obra o faena","Al concluir la obra: finiquito por Art. 159 N°5 + indemnización de 2,5 días por mes trabajado (Ley 21.122)",IF(N(K40)&gt;=3,"Por ley ya es indefinido (2ª renovación): firmar anexo de paso a indefinido",IF(N(K40)=2,"2° contrato a plazo: NO admite otra renovación a plazo fijo. Pasar a indefinido o terminar al vencimiento (carta dentro de 3 días hábiles)","1er contrato a plazo: renovar (2° plazo fijo), pasar a indefinido o terminar al vencimiento (carta dentro de 3 días hábiles)")))))))))))</f>
        <v/>
      </c>
      <c r="T40" s="70" t="str">
        <f aca="false">IF(B40="","",IF(COUNTIFS(C_ID,B40,C_FIRMADO,"&lt;&gt;Sí")&gt;0,COUNTIFS(C_ID,B40,C_FIRMADO,"&lt;&gt;Sí")&amp;" documento(s) sin firma. ","")&amp;IF(COUNTIFS(C_ID,B40,C_TIPO,"Plazo fijo",C_DEFINE,"Sí")&gt;2,"Más de 2 contratos a plazo: revisar presunción de indefinido. ","")&amp;IF(AND(R40="VENCIDO",LEFT(E40,6)="Activo"),"Trabaja con contrato vencido. ",""))</f>
        <v/>
      </c>
      <c r="U40" s="71" t="str">
        <f aca="false">IF(B40="","",INDEX(T_SUELDO,34))</f>
        <v/>
      </c>
      <c r="V40" s="72" t="str">
        <f aca="false">IF(AND(B40&lt;&gt;"",LEFT(E40,6)="Activo",ISNUMBER(O40),R40&lt;&gt;"Renovación registrada"),O40+ROW()/100000,"")</f>
        <v/>
      </c>
    </row>
    <row r="41" customFormat="false" ht="15" hidden="false" customHeight="false" outlineLevel="0" collapsed="false">
      <c r="B41" s="70" t="str">
        <f aca="false">IFERROR(IF(INDEX(T_ID,35)="","",INDEX(T_ID,35)),"")</f>
        <v/>
      </c>
      <c r="C41" s="70" t="str">
        <f aca="false">IF(B41="","",INDEX(T_NOMBRE,35)&amp;"")</f>
        <v/>
      </c>
      <c r="D41" s="70" t="str">
        <f aca="false">IF(B41="","",INDEX(T_CARGO,35)&amp;"")</f>
        <v/>
      </c>
      <c r="E41" s="70" t="str">
        <f aca="false">IF(B41="","",INDEX(T_ESTADO,35))</f>
        <v/>
      </c>
      <c r="F41" s="75" t="str">
        <f aca="false">IF(B41="","",INDEX(T_INGRESO,35))</f>
        <v/>
      </c>
      <c r="G41" s="70" t="str">
        <f aca="false">IF(B41="","",COUNTIFS(C_ID,B41,C_DEFINE,"Sí",C_INICIO,"&lt;="&amp;FECHA_CORTE))</f>
        <v/>
      </c>
      <c r="H41" s="70" t="str">
        <f aca="false">IF(B41="","",COUNTIFS(C_ID,B41,C_DEFINE,"Sí"))</f>
        <v/>
      </c>
      <c r="I41" s="70" t="str">
        <f aca="false">IF(B41="","",IF(H41=0,"Sin contrato",IFERROR(INDEX(C_TIPO,MATCH(B41&amp;"-P"&amp;MAX(1,G41),C_CLAVE,0))&amp;"","")))</f>
        <v/>
      </c>
      <c r="J41" s="70" t="str">
        <f aca="false">IF(OR(B41="",N(H41)=0),"",IFERROR(INDEX(C_TIPODOC,MATCH(B41&amp;"-P"&amp;MAX(1,G41),C_CLAVE,0))&amp;"",""))</f>
        <v/>
      </c>
      <c r="K41" s="76" t="str">
        <f aca="false">IF(I41="Plazo fijo",IFERROR(INDEX(C_NPF,MATCH(B41&amp;"-P"&amp;MAX(1,G41),C_CLAVE,0)),""),"")</f>
        <v/>
      </c>
      <c r="L41" s="70" t="str">
        <f aca="false">IF(B41="","",COUNTIFS(C_ID,B41,C_TIPODOC,"Anexo de modificación"))</f>
        <v/>
      </c>
      <c r="M41" s="75" t="str">
        <f aca="false">IF(OR(B41="",N(H41)=0),"",IFERROR(INDEX(C_INICIO,MATCH(B41&amp;"-P"&amp;MAX(1,G41),C_CLAVE,0)),""))</f>
        <v/>
      </c>
      <c r="N41" s="75" t="str">
        <f aca="false">IF(OR(I41="Plazo fijo",I41="Obra o faena"),IFERROR(IF(N(INDEX(C_TERMINO,MATCH(B41&amp;"-P"&amp;MAX(1,G41),C_CLAVE,0)))=0,"",INDEX(C_TERMINO,MATCH(B41&amp;"-P"&amp;MAX(1,G41),C_CLAVE,0))),""),"")</f>
        <v/>
      </c>
      <c r="O41" s="77" t="str">
        <f aca="false">IF(AND(ISNUMBER(N41),E41&lt;&gt;"Desvinculado"),N41-FECHA_CORTE,"")</f>
        <v/>
      </c>
      <c r="P41" s="75" t="str">
        <f aca="false">IF(AND(ISNUMBER(N41),E41&lt;&gt;"Desvinculado"),N41-DIAS_DECISION,"")</f>
        <v/>
      </c>
      <c r="Q41" s="75" t="str">
        <f aca="false">IF(OR(B41="",N(H41)&lt;=N(G41)),"",IFERROR(INDEX(C_INICIO,MATCH(B41&amp;"-P"&amp;(G41+1),C_CLAVE,0)),""))</f>
        <v/>
      </c>
      <c r="R41" s="70" t="str">
        <f aca="false">IF(B41="","",IF(E41="Desvinculado","Terminado",IF(H41=0,"Sin contrato registrado",IF(E41="Por ingresar","Por ingresar",IF(ISNUMBER(Q41),"Renovación registrada",IF(I41="Indefinido","Indefinido",IF(NOT(ISNUMBER(O41)),"Falta fecha de término",IF(O41&lt;0,"VENCIDO",IF(O41&lt;=ALERTA_ROJA,"Vence en ≤ "&amp;ALERTA_ROJA&amp;" días",IF(O41&lt;=ALERTA_NARANJA,"Vence en ≤ "&amp;ALERTA_NARANJA&amp;" días",IF(O41&lt;=ALERTA_AMARILLA,"Vence en ≤ "&amp;ALERTA_AMARILLA&amp;" días","Vigente")))))))))))</f>
        <v/>
      </c>
      <c r="S41" s="70" t="str">
        <f aca="false">IF(B41="","",IF(R41="Terminado","—",IF(R41="Sin contrato registrado","Registrar el contrato en la hoja Contratos",IF(R41="Por ingresar","Tener el contrato firmado y hacer el alta en AFP, salud, seguro de cesantía y mutual",IF(R41="Renovación registrada",IF(AND(N(K41)&gt;=2,IFERROR(INDEX(C_TIPO,MATCH(B41&amp;"-P"&amp;(G41+1),C_CLAVE,0)),"")="Plazo fijo"),"⚠ El período registrado sería el 3er contrato a plazo: por ley es INDEFINIDO. Registrarlo como Paso a indefinido","Siguiente período ya registrado: verificar que el documento esté firmado"),IF(I41="Indefinido","Sin vencimiento. Cambios de sueldo, cargo o jornada se formalizan con anexo de modificación",IF(R41="Falta fecha de término","Completar la fecha de término en la hoja Contratos",IF(R41="VENCIDO","Si sigue trabajando, por ley el contrato ya es INDEFINIDO (Art. 159 N°4): firmar anexo de paso a indefinido o regularizar el término",IF(I41="Obra o faena","Al concluir la obra: finiquito por Art. 159 N°5 + indemnización de 2,5 días por mes trabajado (Ley 21.122)",IF(N(K41)&gt;=3,"Por ley ya es indefinido (2ª renovación): firmar anexo de paso a indefinido",IF(N(K41)=2,"2° contrato a plazo: NO admite otra renovación a plazo fijo. Pasar a indefinido o terminar al vencimiento (carta dentro de 3 días hábiles)","1er contrato a plazo: renovar (2° plazo fijo), pasar a indefinido o terminar al vencimiento (carta dentro de 3 días hábiles)")))))))))))</f>
        <v/>
      </c>
      <c r="T41" s="70" t="str">
        <f aca="false">IF(B41="","",IF(COUNTIFS(C_ID,B41,C_FIRMADO,"&lt;&gt;Sí")&gt;0,COUNTIFS(C_ID,B41,C_FIRMADO,"&lt;&gt;Sí")&amp;" documento(s) sin firma. ","")&amp;IF(COUNTIFS(C_ID,B41,C_TIPO,"Plazo fijo",C_DEFINE,"Sí")&gt;2,"Más de 2 contratos a plazo: revisar presunción de indefinido. ","")&amp;IF(AND(R41="VENCIDO",LEFT(E41,6)="Activo"),"Trabaja con contrato vencido. ",""))</f>
        <v/>
      </c>
      <c r="U41" s="71" t="str">
        <f aca="false">IF(B41="","",INDEX(T_SUELDO,35))</f>
        <v/>
      </c>
      <c r="V41" s="72" t="str">
        <f aca="false">IF(AND(B41&lt;&gt;"",LEFT(E41,6)="Activo",ISNUMBER(O41),R41&lt;&gt;"Renovación registrada"),O41+ROW()/100000,"")</f>
        <v/>
      </c>
    </row>
    <row r="42" customFormat="false" ht="15" hidden="false" customHeight="false" outlineLevel="0" collapsed="false">
      <c r="B42" s="70" t="str">
        <f aca="false">IFERROR(IF(INDEX(T_ID,36)="","",INDEX(T_ID,36)),"")</f>
        <v/>
      </c>
      <c r="C42" s="70" t="str">
        <f aca="false">IF(B42="","",INDEX(T_NOMBRE,36)&amp;"")</f>
        <v/>
      </c>
      <c r="D42" s="70" t="str">
        <f aca="false">IF(B42="","",INDEX(T_CARGO,36)&amp;"")</f>
        <v/>
      </c>
      <c r="E42" s="70" t="str">
        <f aca="false">IF(B42="","",INDEX(T_ESTADO,36))</f>
        <v/>
      </c>
      <c r="F42" s="75" t="str">
        <f aca="false">IF(B42="","",INDEX(T_INGRESO,36))</f>
        <v/>
      </c>
      <c r="G42" s="70" t="str">
        <f aca="false">IF(B42="","",COUNTIFS(C_ID,B42,C_DEFINE,"Sí",C_INICIO,"&lt;="&amp;FECHA_CORTE))</f>
        <v/>
      </c>
      <c r="H42" s="70" t="str">
        <f aca="false">IF(B42="","",COUNTIFS(C_ID,B42,C_DEFINE,"Sí"))</f>
        <v/>
      </c>
      <c r="I42" s="70" t="str">
        <f aca="false">IF(B42="","",IF(H42=0,"Sin contrato",IFERROR(INDEX(C_TIPO,MATCH(B42&amp;"-P"&amp;MAX(1,G42),C_CLAVE,0))&amp;"","")))</f>
        <v/>
      </c>
      <c r="J42" s="70" t="str">
        <f aca="false">IF(OR(B42="",N(H42)=0),"",IFERROR(INDEX(C_TIPODOC,MATCH(B42&amp;"-P"&amp;MAX(1,G42),C_CLAVE,0))&amp;"",""))</f>
        <v/>
      </c>
      <c r="K42" s="76" t="str">
        <f aca="false">IF(I42="Plazo fijo",IFERROR(INDEX(C_NPF,MATCH(B42&amp;"-P"&amp;MAX(1,G42),C_CLAVE,0)),""),"")</f>
        <v/>
      </c>
      <c r="L42" s="70" t="str">
        <f aca="false">IF(B42="","",COUNTIFS(C_ID,B42,C_TIPODOC,"Anexo de modificación"))</f>
        <v/>
      </c>
      <c r="M42" s="75" t="str">
        <f aca="false">IF(OR(B42="",N(H42)=0),"",IFERROR(INDEX(C_INICIO,MATCH(B42&amp;"-P"&amp;MAX(1,G42),C_CLAVE,0)),""))</f>
        <v/>
      </c>
      <c r="N42" s="75" t="str">
        <f aca="false">IF(OR(I42="Plazo fijo",I42="Obra o faena"),IFERROR(IF(N(INDEX(C_TERMINO,MATCH(B42&amp;"-P"&amp;MAX(1,G42),C_CLAVE,0)))=0,"",INDEX(C_TERMINO,MATCH(B42&amp;"-P"&amp;MAX(1,G42),C_CLAVE,0))),""),"")</f>
        <v/>
      </c>
      <c r="O42" s="77" t="str">
        <f aca="false">IF(AND(ISNUMBER(N42),E42&lt;&gt;"Desvinculado"),N42-FECHA_CORTE,"")</f>
        <v/>
      </c>
      <c r="P42" s="75" t="str">
        <f aca="false">IF(AND(ISNUMBER(N42),E42&lt;&gt;"Desvinculado"),N42-DIAS_DECISION,"")</f>
        <v/>
      </c>
      <c r="Q42" s="75" t="str">
        <f aca="false">IF(OR(B42="",N(H42)&lt;=N(G42)),"",IFERROR(INDEX(C_INICIO,MATCH(B42&amp;"-P"&amp;(G42+1),C_CLAVE,0)),""))</f>
        <v/>
      </c>
      <c r="R42" s="70" t="str">
        <f aca="false">IF(B42="","",IF(E42="Desvinculado","Terminado",IF(H42=0,"Sin contrato registrado",IF(E42="Por ingresar","Por ingresar",IF(ISNUMBER(Q42),"Renovación registrada",IF(I42="Indefinido","Indefinido",IF(NOT(ISNUMBER(O42)),"Falta fecha de término",IF(O42&lt;0,"VENCIDO",IF(O42&lt;=ALERTA_ROJA,"Vence en ≤ "&amp;ALERTA_ROJA&amp;" días",IF(O42&lt;=ALERTA_NARANJA,"Vence en ≤ "&amp;ALERTA_NARANJA&amp;" días",IF(O42&lt;=ALERTA_AMARILLA,"Vence en ≤ "&amp;ALERTA_AMARILLA&amp;" días","Vigente")))))))))))</f>
        <v/>
      </c>
      <c r="S42" s="70" t="str">
        <f aca="false">IF(B42="","",IF(R42="Terminado","—",IF(R42="Sin contrato registrado","Registrar el contrato en la hoja Contratos",IF(R42="Por ingresar","Tener el contrato firmado y hacer el alta en AFP, salud, seguro de cesantía y mutual",IF(R42="Renovación registrada",IF(AND(N(K42)&gt;=2,IFERROR(INDEX(C_TIPO,MATCH(B42&amp;"-P"&amp;(G42+1),C_CLAVE,0)),"")="Plazo fijo"),"⚠ El período registrado sería el 3er contrato a plazo: por ley es INDEFINIDO. Registrarlo como Paso a indefinido","Siguiente período ya registrado: verificar que el documento esté firmado"),IF(I42="Indefinido","Sin vencimiento. Cambios de sueldo, cargo o jornada se formalizan con anexo de modificación",IF(R42="Falta fecha de término","Completar la fecha de término en la hoja Contratos",IF(R42="VENCIDO","Si sigue trabajando, por ley el contrato ya es INDEFINIDO (Art. 159 N°4): firmar anexo de paso a indefinido o regularizar el término",IF(I42="Obra o faena","Al concluir la obra: finiquito por Art. 159 N°5 + indemnización de 2,5 días por mes trabajado (Ley 21.122)",IF(N(K42)&gt;=3,"Por ley ya es indefinido (2ª renovación): firmar anexo de paso a indefinido",IF(N(K42)=2,"2° contrato a plazo: NO admite otra renovación a plazo fijo. Pasar a indefinido o terminar al vencimiento (carta dentro de 3 días hábiles)","1er contrato a plazo: renovar (2° plazo fijo), pasar a indefinido o terminar al vencimiento (carta dentro de 3 días hábiles)")))))))))))</f>
        <v/>
      </c>
      <c r="T42" s="70" t="str">
        <f aca="false">IF(B42="","",IF(COUNTIFS(C_ID,B42,C_FIRMADO,"&lt;&gt;Sí")&gt;0,COUNTIFS(C_ID,B42,C_FIRMADO,"&lt;&gt;Sí")&amp;" documento(s) sin firma. ","")&amp;IF(COUNTIFS(C_ID,B42,C_TIPO,"Plazo fijo",C_DEFINE,"Sí")&gt;2,"Más de 2 contratos a plazo: revisar presunción de indefinido. ","")&amp;IF(AND(R42="VENCIDO",LEFT(E42,6)="Activo"),"Trabaja con contrato vencido. ",""))</f>
        <v/>
      </c>
      <c r="U42" s="71" t="str">
        <f aca="false">IF(B42="","",INDEX(T_SUELDO,36))</f>
        <v/>
      </c>
      <c r="V42" s="72" t="str">
        <f aca="false">IF(AND(B42&lt;&gt;"",LEFT(E42,6)="Activo",ISNUMBER(O42),R42&lt;&gt;"Renovación registrada"),O42+ROW()/100000,"")</f>
        <v/>
      </c>
    </row>
    <row r="43" customFormat="false" ht="15" hidden="false" customHeight="false" outlineLevel="0" collapsed="false">
      <c r="B43" s="70" t="str">
        <f aca="false">IFERROR(IF(INDEX(T_ID,37)="","",INDEX(T_ID,37)),"")</f>
        <v/>
      </c>
      <c r="C43" s="70" t="str">
        <f aca="false">IF(B43="","",INDEX(T_NOMBRE,37)&amp;"")</f>
        <v/>
      </c>
      <c r="D43" s="70" t="str">
        <f aca="false">IF(B43="","",INDEX(T_CARGO,37)&amp;"")</f>
        <v/>
      </c>
      <c r="E43" s="70" t="str">
        <f aca="false">IF(B43="","",INDEX(T_ESTADO,37))</f>
        <v/>
      </c>
      <c r="F43" s="75" t="str">
        <f aca="false">IF(B43="","",INDEX(T_INGRESO,37))</f>
        <v/>
      </c>
      <c r="G43" s="70" t="str">
        <f aca="false">IF(B43="","",COUNTIFS(C_ID,B43,C_DEFINE,"Sí",C_INICIO,"&lt;="&amp;FECHA_CORTE))</f>
        <v/>
      </c>
      <c r="H43" s="70" t="str">
        <f aca="false">IF(B43="","",COUNTIFS(C_ID,B43,C_DEFINE,"Sí"))</f>
        <v/>
      </c>
      <c r="I43" s="70" t="str">
        <f aca="false">IF(B43="","",IF(H43=0,"Sin contrato",IFERROR(INDEX(C_TIPO,MATCH(B43&amp;"-P"&amp;MAX(1,G43),C_CLAVE,0))&amp;"","")))</f>
        <v/>
      </c>
      <c r="J43" s="70" t="str">
        <f aca="false">IF(OR(B43="",N(H43)=0),"",IFERROR(INDEX(C_TIPODOC,MATCH(B43&amp;"-P"&amp;MAX(1,G43),C_CLAVE,0))&amp;"",""))</f>
        <v/>
      </c>
      <c r="K43" s="76" t="str">
        <f aca="false">IF(I43="Plazo fijo",IFERROR(INDEX(C_NPF,MATCH(B43&amp;"-P"&amp;MAX(1,G43),C_CLAVE,0)),""),"")</f>
        <v/>
      </c>
      <c r="L43" s="70" t="str">
        <f aca="false">IF(B43="","",COUNTIFS(C_ID,B43,C_TIPODOC,"Anexo de modificación"))</f>
        <v/>
      </c>
      <c r="M43" s="75" t="str">
        <f aca="false">IF(OR(B43="",N(H43)=0),"",IFERROR(INDEX(C_INICIO,MATCH(B43&amp;"-P"&amp;MAX(1,G43),C_CLAVE,0)),""))</f>
        <v/>
      </c>
      <c r="N43" s="75" t="str">
        <f aca="false">IF(OR(I43="Plazo fijo",I43="Obra o faena"),IFERROR(IF(N(INDEX(C_TERMINO,MATCH(B43&amp;"-P"&amp;MAX(1,G43),C_CLAVE,0)))=0,"",INDEX(C_TERMINO,MATCH(B43&amp;"-P"&amp;MAX(1,G43),C_CLAVE,0))),""),"")</f>
        <v/>
      </c>
      <c r="O43" s="77" t="str">
        <f aca="false">IF(AND(ISNUMBER(N43),E43&lt;&gt;"Desvinculado"),N43-FECHA_CORTE,"")</f>
        <v/>
      </c>
      <c r="P43" s="75" t="str">
        <f aca="false">IF(AND(ISNUMBER(N43),E43&lt;&gt;"Desvinculado"),N43-DIAS_DECISION,"")</f>
        <v/>
      </c>
      <c r="Q43" s="75" t="str">
        <f aca="false">IF(OR(B43="",N(H43)&lt;=N(G43)),"",IFERROR(INDEX(C_INICIO,MATCH(B43&amp;"-P"&amp;(G43+1),C_CLAVE,0)),""))</f>
        <v/>
      </c>
      <c r="R43" s="70" t="str">
        <f aca="false">IF(B43="","",IF(E43="Desvinculado","Terminado",IF(H43=0,"Sin contrato registrado",IF(E43="Por ingresar","Por ingresar",IF(ISNUMBER(Q43),"Renovación registrada",IF(I43="Indefinido","Indefinido",IF(NOT(ISNUMBER(O43)),"Falta fecha de término",IF(O43&lt;0,"VENCIDO",IF(O43&lt;=ALERTA_ROJA,"Vence en ≤ "&amp;ALERTA_ROJA&amp;" días",IF(O43&lt;=ALERTA_NARANJA,"Vence en ≤ "&amp;ALERTA_NARANJA&amp;" días",IF(O43&lt;=ALERTA_AMARILLA,"Vence en ≤ "&amp;ALERTA_AMARILLA&amp;" días","Vigente")))))))))))</f>
        <v/>
      </c>
      <c r="S43" s="70" t="str">
        <f aca="false">IF(B43="","",IF(R43="Terminado","—",IF(R43="Sin contrato registrado","Registrar el contrato en la hoja Contratos",IF(R43="Por ingresar","Tener el contrato firmado y hacer el alta en AFP, salud, seguro de cesantía y mutual",IF(R43="Renovación registrada",IF(AND(N(K43)&gt;=2,IFERROR(INDEX(C_TIPO,MATCH(B43&amp;"-P"&amp;(G43+1),C_CLAVE,0)),"")="Plazo fijo"),"⚠ El período registrado sería el 3er contrato a plazo: por ley es INDEFINIDO. Registrarlo como Paso a indefinido","Siguiente período ya registrado: verificar que el documento esté firmado"),IF(I43="Indefinido","Sin vencimiento. Cambios de sueldo, cargo o jornada se formalizan con anexo de modificación",IF(R43="Falta fecha de término","Completar la fecha de término en la hoja Contratos",IF(R43="VENCIDO","Si sigue trabajando, por ley el contrato ya es INDEFINIDO (Art. 159 N°4): firmar anexo de paso a indefinido o regularizar el término",IF(I43="Obra o faena","Al concluir la obra: finiquito por Art. 159 N°5 + indemnización de 2,5 días por mes trabajado (Ley 21.122)",IF(N(K43)&gt;=3,"Por ley ya es indefinido (2ª renovación): firmar anexo de paso a indefinido",IF(N(K43)=2,"2° contrato a plazo: NO admite otra renovación a plazo fijo. Pasar a indefinido o terminar al vencimiento (carta dentro de 3 días hábiles)","1er contrato a plazo: renovar (2° plazo fijo), pasar a indefinido o terminar al vencimiento (carta dentro de 3 días hábiles)")))))))))))</f>
        <v/>
      </c>
      <c r="T43" s="70" t="str">
        <f aca="false">IF(B43="","",IF(COUNTIFS(C_ID,B43,C_FIRMADO,"&lt;&gt;Sí")&gt;0,COUNTIFS(C_ID,B43,C_FIRMADO,"&lt;&gt;Sí")&amp;" documento(s) sin firma. ","")&amp;IF(COUNTIFS(C_ID,B43,C_TIPO,"Plazo fijo",C_DEFINE,"Sí")&gt;2,"Más de 2 contratos a plazo: revisar presunción de indefinido. ","")&amp;IF(AND(R43="VENCIDO",LEFT(E43,6)="Activo"),"Trabaja con contrato vencido. ",""))</f>
        <v/>
      </c>
      <c r="U43" s="71" t="str">
        <f aca="false">IF(B43="","",INDEX(T_SUELDO,37))</f>
        <v/>
      </c>
      <c r="V43" s="72" t="str">
        <f aca="false">IF(AND(B43&lt;&gt;"",LEFT(E43,6)="Activo",ISNUMBER(O43),R43&lt;&gt;"Renovación registrada"),O43+ROW()/100000,"")</f>
        <v/>
      </c>
    </row>
    <row r="44" customFormat="false" ht="15" hidden="false" customHeight="false" outlineLevel="0" collapsed="false">
      <c r="B44" s="70" t="str">
        <f aca="false">IFERROR(IF(INDEX(T_ID,38)="","",INDEX(T_ID,38)),"")</f>
        <v/>
      </c>
      <c r="C44" s="70" t="str">
        <f aca="false">IF(B44="","",INDEX(T_NOMBRE,38)&amp;"")</f>
        <v/>
      </c>
      <c r="D44" s="70" t="str">
        <f aca="false">IF(B44="","",INDEX(T_CARGO,38)&amp;"")</f>
        <v/>
      </c>
      <c r="E44" s="70" t="str">
        <f aca="false">IF(B44="","",INDEX(T_ESTADO,38))</f>
        <v/>
      </c>
      <c r="F44" s="75" t="str">
        <f aca="false">IF(B44="","",INDEX(T_INGRESO,38))</f>
        <v/>
      </c>
      <c r="G44" s="70" t="str">
        <f aca="false">IF(B44="","",COUNTIFS(C_ID,B44,C_DEFINE,"Sí",C_INICIO,"&lt;="&amp;FECHA_CORTE))</f>
        <v/>
      </c>
      <c r="H44" s="70" t="str">
        <f aca="false">IF(B44="","",COUNTIFS(C_ID,B44,C_DEFINE,"Sí"))</f>
        <v/>
      </c>
      <c r="I44" s="70" t="str">
        <f aca="false">IF(B44="","",IF(H44=0,"Sin contrato",IFERROR(INDEX(C_TIPO,MATCH(B44&amp;"-P"&amp;MAX(1,G44),C_CLAVE,0))&amp;"","")))</f>
        <v/>
      </c>
      <c r="J44" s="70" t="str">
        <f aca="false">IF(OR(B44="",N(H44)=0),"",IFERROR(INDEX(C_TIPODOC,MATCH(B44&amp;"-P"&amp;MAX(1,G44),C_CLAVE,0))&amp;"",""))</f>
        <v/>
      </c>
      <c r="K44" s="76" t="str">
        <f aca="false">IF(I44="Plazo fijo",IFERROR(INDEX(C_NPF,MATCH(B44&amp;"-P"&amp;MAX(1,G44),C_CLAVE,0)),""),"")</f>
        <v/>
      </c>
      <c r="L44" s="70" t="str">
        <f aca="false">IF(B44="","",COUNTIFS(C_ID,B44,C_TIPODOC,"Anexo de modificación"))</f>
        <v/>
      </c>
      <c r="M44" s="75" t="str">
        <f aca="false">IF(OR(B44="",N(H44)=0),"",IFERROR(INDEX(C_INICIO,MATCH(B44&amp;"-P"&amp;MAX(1,G44),C_CLAVE,0)),""))</f>
        <v/>
      </c>
      <c r="N44" s="75" t="str">
        <f aca="false">IF(OR(I44="Plazo fijo",I44="Obra o faena"),IFERROR(IF(N(INDEX(C_TERMINO,MATCH(B44&amp;"-P"&amp;MAX(1,G44),C_CLAVE,0)))=0,"",INDEX(C_TERMINO,MATCH(B44&amp;"-P"&amp;MAX(1,G44),C_CLAVE,0))),""),"")</f>
        <v/>
      </c>
      <c r="O44" s="77" t="str">
        <f aca="false">IF(AND(ISNUMBER(N44),E44&lt;&gt;"Desvinculado"),N44-FECHA_CORTE,"")</f>
        <v/>
      </c>
      <c r="P44" s="75" t="str">
        <f aca="false">IF(AND(ISNUMBER(N44),E44&lt;&gt;"Desvinculado"),N44-DIAS_DECISION,"")</f>
        <v/>
      </c>
      <c r="Q44" s="75" t="str">
        <f aca="false">IF(OR(B44="",N(H44)&lt;=N(G44)),"",IFERROR(INDEX(C_INICIO,MATCH(B44&amp;"-P"&amp;(G44+1),C_CLAVE,0)),""))</f>
        <v/>
      </c>
      <c r="R44" s="70" t="str">
        <f aca="false">IF(B44="","",IF(E44="Desvinculado","Terminado",IF(H44=0,"Sin contrato registrado",IF(E44="Por ingresar","Por ingresar",IF(ISNUMBER(Q44),"Renovación registrada",IF(I44="Indefinido","Indefinido",IF(NOT(ISNUMBER(O44)),"Falta fecha de término",IF(O44&lt;0,"VENCIDO",IF(O44&lt;=ALERTA_ROJA,"Vence en ≤ "&amp;ALERTA_ROJA&amp;" días",IF(O44&lt;=ALERTA_NARANJA,"Vence en ≤ "&amp;ALERTA_NARANJA&amp;" días",IF(O44&lt;=ALERTA_AMARILLA,"Vence en ≤ "&amp;ALERTA_AMARILLA&amp;" días","Vigente")))))))))))</f>
        <v/>
      </c>
      <c r="S44" s="70" t="str">
        <f aca="false">IF(B44="","",IF(R44="Terminado","—",IF(R44="Sin contrato registrado","Registrar el contrato en la hoja Contratos",IF(R44="Por ingresar","Tener el contrato firmado y hacer el alta en AFP, salud, seguro de cesantía y mutual",IF(R44="Renovación registrada",IF(AND(N(K44)&gt;=2,IFERROR(INDEX(C_TIPO,MATCH(B44&amp;"-P"&amp;(G44+1),C_CLAVE,0)),"")="Plazo fijo"),"⚠ El período registrado sería el 3er contrato a plazo: por ley es INDEFINIDO. Registrarlo como Paso a indefinido","Siguiente período ya registrado: verificar que el documento esté firmado"),IF(I44="Indefinido","Sin vencimiento. Cambios de sueldo, cargo o jornada se formalizan con anexo de modificación",IF(R44="Falta fecha de término","Completar la fecha de término en la hoja Contratos",IF(R44="VENCIDO","Si sigue trabajando, por ley el contrato ya es INDEFINIDO (Art. 159 N°4): firmar anexo de paso a indefinido o regularizar el término",IF(I44="Obra o faena","Al concluir la obra: finiquito por Art. 159 N°5 + indemnización de 2,5 días por mes trabajado (Ley 21.122)",IF(N(K44)&gt;=3,"Por ley ya es indefinido (2ª renovación): firmar anexo de paso a indefinido",IF(N(K44)=2,"2° contrato a plazo: NO admite otra renovación a plazo fijo. Pasar a indefinido o terminar al vencimiento (carta dentro de 3 días hábiles)","1er contrato a plazo: renovar (2° plazo fijo), pasar a indefinido o terminar al vencimiento (carta dentro de 3 días hábiles)")))))))))))</f>
        <v/>
      </c>
      <c r="T44" s="70" t="str">
        <f aca="false">IF(B44="","",IF(COUNTIFS(C_ID,B44,C_FIRMADO,"&lt;&gt;Sí")&gt;0,COUNTIFS(C_ID,B44,C_FIRMADO,"&lt;&gt;Sí")&amp;" documento(s) sin firma. ","")&amp;IF(COUNTIFS(C_ID,B44,C_TIPO,"Plazo fijo",C_DEFINE,"Sí")&gt;2,"Más de 2 contratos a plazo: revisar presunción de indefinido. ","")&amp;IF(AND(R44="VENCIDO",LEFT(E44,6)="Activo"),"Trabaja con contrato vencido. ",""))</f>
        <v/>
      </c>
      <c r="U44" s="71" t="str">
        <f aca="false">IF(B44="","",INDEX(T_SUELDO,38))</f>
        <v/>
      </c>
      <c r="V44" s="72" t="str">
        <f aca="false">IF(AND(B44&lt;&gt;"",LEFT(E44,6)="Activo",ISNUMBER(O44),R44&lt;&gt;"Renovación registrada"),O44+ROW()/100000,"")</f>
        <v/>
      </c>
    </row>
    <row r="45" customFormat="false" ht="15" hidden="false" customHeight="false" outlineLevel="0" collapsed="false">
      <c r="B45" s="70" t="str">
        <f aca="false">IFERROR(IF(INDEX(T_ID,39)="","",INDEX(T_ID,39)),"")</f>
        <v/>
      </c>
      <c r="C45" s="70" t="str">
        <f aca="false">IF(B45="","",INDEX(T_NOMBRE,39)&amp;"")</f>
        <v/>
      </c>
      <c r="D45" s="70" t="str">
        <f aca="false">IF(B45="","",INDEX(T_CARGO,39)&amp;"")</f>
        <v/>
      </c>
      <c r="E45" s="70" t="str">
        <f aca="false">IF(B45="","",INDEX(T_ESTADO,39))</f>
        <v/>
      </c>
      <c r="F45" s="75" t="str">
        <f aca="false">IF(B45="","",INDEX(T_INGRESO,39))</f>
        <v/>
      </c>
      <c r="G45" s="70" t="str">
        <f aca="false">IF(B45="","",COUNTIFS(C_ID,B45,C_DEFINE,"Sí",C_INICIO,"&lt;="&amp;FECHA_CORTE))</f>
        <v/>
      </c>
      <c r="H45" s="70" t="str">
        <f aca="false">IF(B45="","",COUNTIFS(C_ID,B45,C_DEFINE,"Sí"))</f>
        <v/>
      </c>
      <c r="I45" s="70" t="str">
        <f aca="false">IF(B45="","",IF(H45=0,"Sin contrato",IFERROR(INDEX(C_TIPO,MATCH(B45&amp;"-P"&amp;MAX(1,G45),C_CLAVE,0))&amp;"","")))</f>
        <v/>
      </c>
      <c r="J45" s="70" t="str">
        <f aca="false">IF(OR(B45="",N(H45)=0),"",IFERROR(INDEX(C_TIPODOC,MATCH(B45&amp;"-P"&amp;MAX(1,G45),C_CLAVE,0))&amp;"",""))</f>
        <v/>
      </c>
      <c r="K45" s="76" t="str">
        <f aca="false">IF(I45="Plazo fijo",IFERROR(INDEX(C_NPF,MATCH(B45&amp;"-P"&amp;MAX(1,G45),C_CLAVE,0)),""),"")</f>
        <v/>
      </c>
      <c r="L45" s="70" t="str">
        <f aca="false">IF(B45="","",COUNTIFS(C_ID,B45,C_TIPODOC,"Anexo de modificación"))</f>
        <v/>
      </c>
      <c r="M45" s="75" t="str">
        <f aca="false">IF(OR(B45="",N(H45)=0),"",IFERROR(INDEX(C_INICIO,MATCH(B45&amp;"-P"&amp;MAX(1,G45),C_CLAVE,0)),""))</f>
        <v/>
      </c>
      <c r="N45" s="75" t="str">
        <f aca="false">IF(OR(I45="Plazo fijo",I45="Obra o faena"),IFERROR(IF(N(INDEX(C_TERMINO,MATCH(B45&amp;"-P"&amp;MAX(1,G45),C_CLAVE,0)))=0,"",INDEX(C_TERMINO,MATCH(B45&amp;"-P"&amp;MAX(1,G45),C_CLAVE,0))),""),"")</f>
        <v/>
      </c>
      <c r="O45" s="77" t="str">
        <f aca="false">IF(AND(ISNUMBER(N45),E45&lt;&gt;"Desvinculado"),N45-FECHA_CORTE,"")</f>
        <v/>
      </c>
      <c r="P45" s="75" t="str">
        <f aca="false">IF(AND(ISNUMBER(N45),E45&lt;&gt;"Desvinculado"),N45-DIAS_DECISION,"")</f>
        <v/>
      </c>
      <c r="Q45" s="75" t="str">
        <f aca="false">IF(OR(B45="",N(H45)&lt;=N(G45)),"",IFERROR(INDEX(C_INICIO,MATCH(B45&amp;"-P"&amp;(G45+1),C_CLAVE,0)),""))</f>
        <v/>
      </c>
      <c r="R45" s="70" t="str">
        <f aca="false">IF(B45="","",IF(E45="Desvinculado","Terminado",IF(H45=0,"Sin contrato registrado",IF(E45="Por ingresar","Por ingresar",IF(ISNUMBER(Q45),"Renovación registrada",IF(I45="Indefinido","Indefinido",IF(NOT(ISNUMBER(O45)),"Falta fecha de término",IF(O45&lt;0,"VENCIDO",IF(O45&lt;=ALERTA_ROJA,"Vence en ≤ "&amp;ALERTA_ROJA&amp;" días",IF(O45&lt;=ALERTA_NARANJA,"Vence en ≤ "&amp;ALERTA_NARANJA&amp;" días",IF(O45&lt;=ALERTA_AMARILLA,"Vence en ≤ "&amp;ALERTA_AMARILLA&amp;" días","Vigente")))))))))))</f>
        <v/>
      </c>
      <c r="S45" s="70" t="str">
        <f aca="false">IF(B45="","",IF(R45="Terminado","—",IF(R45="Sin contrato registrado","Registrar el contrato en la hoja Contratos",IF(R45="Por ingresar","Tener el contrato firmado y hacer el alta en AFP, salud, seguro de cesantía y mutual",IF(R45="Renovación registrada",IF(AND(N(K45)&gt;=2,IFERROR(INDEX(C_TIPO,MATCH(B45&amp;"-P"&amp;(G45+1),C_CLAVE,0)),"")="Plazo fijo"),"⚠ El período registrado sería el 3er contrato a plazo: por ley es INDEFINIDO. Registrarlo como Paso a indefinido","Siguiente período ya registrado: verificar que el documento esté firmado"),IF(I45="Indefinido","Sin vencimiento. Cambios de sueldo, cargo o jornada se formalizan con anexo de modificación",IF(R45="Falta fecha de término","Completar la fecha de término en la hoja Contratos",IF(R45="VENCIDO","Si sigue trabajando, por ley el contrato ya es INDEFINIDO (Art. 159 N°4): firmar anexo de paso a indefinido o regularizar el término",IF(I45="Obra o faena","Al concluir la obra: finiquito por Art. 159 N°5 + indemnización de 2,5 días por mes trabajado (Ley 21.122)",IF(N(K45)&gt;=3,"Por ley ya es indefinido (2ª renovación): firmar anexo de paso a indefinido",IF(N(K45)=2,"2° contrato a plazo: NO admite otra renovación a plazo fijo. Pasar a indefinido o terminar al vencimiento (carta dentro de 3 días hábiles)","1er contrato a plazo: renovar (2° plazo fijo), pasar a indefinido o terminar al vencimiento (carta dentro de 3 días hábiles)")))))))))))</f>
        <v/>
      </c>
      <c r="T45" s="70" t="str">
        <f aca="false">IF(B45="","",IF(COUNTIFS(C_ID,B45,C_FIRMADO,"&lt;&gt;Sí")&gt;0,COUNTIFS(C_ID,B45,C_FIRMADO,"&lt;&gt;Sí")&amp;" documento(s) sin firma. ","")&amp;IF(COUNTIFS(C_ID,B45,C_TIPO,"Plazo fijo",C_DEFINE,"Sí")&gt;2,"Más de 2 contratos a plazo: revisar presunción de indefinido. ","")&amp;IF(AND(R45="VENCIDO",LEFT(E45,6)="Activo"),"Trabaja con contrato vencido. ",""))</f>
        <v/>
      </c>
      <c r="U45" s="71" t="str">
        <f aca="false">IF(B45="","",INDEX(T_SUELDO,39))</f>
        <v/>
      </c>
      <c r="V45" s="72" t="str">
        <f aca="false">IF(AND(B45&lt;&gt;"",LEFT(E45,6)="Activo",ISNUMBER(O45),R45&lt;&gt;"Renovación registrada"),O45+ROW()/100000,"")</f>
        <v/>
      </c>
    </row>
    <row r="46" customFormat="false" ht="15" hidden="false" customHeight="false" outlineLevel="0" collapsed="false">
      <c r="B46" s="70" t="str">
        <f aca="false">IFERROR(IF(INDEX(T_ID,40)="","",INDEX(T_ID,40)),"")</f>
        <v/>
      </c>
      <c r="C46" s="70" t="str">
        <f aca="false">IF(B46="","",INDEX(T_NOMBRE,40)&amp;"")</f>
        <v/>
      </c>
      <c r="D46" s="70" t="str">
        <f aca="false">IF(B46="","",INDEX(T_CARGO,40)&amp;"")</f>
        <v/>
      </c>
      <c r="E46" s="70" t="str">
        <f aca="false">IF(B46="","",INDEX(T_ESTADO,40))</f>
        <v/>
      </c>
      <c r="F46" s="75" t="str">
        <f aca="false">IF(B46="","",INDEX(T_INGRESO,40))</f>
        <v/>
      </c>
      <c r="G46" s="70" t="str">
        <f aca="false">IF(B46="","",COUNTIFS(C_ID,B46,C_DEFINE,"Sí",C_INICIO,"&lt;="&amp;FECHA_CORTE))</f>
        <v/>
      </c>
      <c r="H46" s="70" t="str">
        <f aca="false">IF(B46="","",COUNTIFS(C_ID,B46,C_DEFINE,"Sí"))</f>
        <v/>
      </c>
      <c r="I46" s="70" t="str">
        <f aca="false">IF(B46="","",IF(H46=0,"Sin contrato",IFERROR(INDEX(C_TIPO,MATCH(B46&amp;"-P"&amp;MAX(1,G46),C_CLAVE,0))&amp;"","")))</f>
        <v/>
      </c>
      <c r="J46" s="70" t="str">
        <f aca="false">IF(OR(B46="",N(H46)=0),"",IFERROR(INDEX(C_TIPODOC,MATCH(B46&amp;"-P"&amp;MAX(1,G46),C_CLAVE,0))&amp;"",""))</f>
        <v/>
      </c>
      <c r="K46" s="76" t="str">
        <f aca="false">IF(I46="Plazo fijo",IFERROR(INDEX(C_NPF,MATCH(B46&amp;"-P"&amp;MAX(1,G46),C_CLAVE,0)),""),"")</f>
        <v/>
      </c>
      <c r="L46" s="70" t="str">
        <f aca="false">IF(B46="","",COUNTIFS(C_ID,B46,C_TIPODOC,"Anexo de modificación"))</f>
        <v/>
      </c>
      <c r="M46" s="75" t="str">
        <f aca="false">IF(OR(B46="",N(H46)=0),"",IFERROR(INDEX(C_INICIO,MATCH(B46&amp;"-P"&amp;MAX(1,G46),C_CLAVE,0)),""))</f>
        <v/>
      </c>
      <c r="N46" s="75" t="str">
        <f aca="false">IF(OR(I46="Plazo fijo",I46="Obra o faena"),IFERROR(IF(N(INDEX(C_TERMINO,MATCH(B46&amp;"-P"&amp;MAX(1,G46),C_CLAVE,0)))=0,"",INDEX(C_TERMINO,MATCH(B46&amp;"-P"&amp;MAX(1,G46),C_CLAVE,0))),""),"")</f>
        <v/>
      </c>
      <c r="O46" s="77" t="str">
        <f aca="false">IF(AND(ISNUMBER(N46),E46&lt;&gt;"Desvinculado"),N46-FECHA_CORTE,"")</f>
        <v/>
      </c>
      <c r="P46" s="75" t="str">
        <f aca="false">IF(AND(ISNUMBER(N46),E46&lt;&gt;"Desvinculado"),N46-DIAS_DECISION,"")</f>
        <v/>
      </c>
      <c r="Q46" s="75" t="str">
        <f aca="false">IF(OR(B46="",N(H46)&lt;=N(G46)),"",IFERROR(INDEX(C_INICIO,MATCH(B46&amp;"-P"&amp;(G46+1),C_CLAVE,0)),""))</f>
        <v/>
      </c>
      <c r="R46" s="70" t="str">
        <f aca="false">IF(B46="","",IF(E46="Desvinculado","Terminado",IF(H46=0,"Sin contrato registrado",IF(E46="Por ingresar","Por ingresar",IF(ISNUMBER(Q46),"Renovación registrada",IF(I46="Indefinido","Indefinido",IF(NOT(ISNUMBER(O46)),"Falta fecha de término",IF(O46&lt;0,"VENCIDO",IF(O46&lt;=ALERTA_ROJA,"Vence en ≤ "&amp;ALERTA_ROJA&amp;" días",IF(O46&lt;=ALERTA_NARANJA,"Vence en ≤ "&amp;ALERTA_NARANJA&amp;" días",IF(O46&lt;=ALERTA_AMARILLA,"Vence en ≤ "&amp;ALERTA_AMARILLA&amp;" días","Vigente")))))))))))</f>
        <v/>
      </c>
      <c r="S46" s="70" t="str">
        <f aca="false">IF(B46="","",IF(R46="Terminado","—",IF(R46="Sin contrato registrado","Registrar el contrato en la hoja Contratos",IF(R46="Por ingresar","Tener el contrato firmado y hacer el alta en AFP, salud, seguro de cesantía y mutual",IF(R46="Renovación registrada",IF(AND(N(K46)&gt;=2,IFERROR(INDEX(C_TIPO,MATCH(B46&amp;"-P"&amp;(G46+1),C_CLAVE,0)),"")="Plazo fijo"),"⚠ El período registrado sería el 3er contrato a plazo: por ley es INDEFINIDO. Registrarlo como Paso a indefinido","Siguiente período ya registrado: verificar que el documento esté firmado"),IF(I46="Indefinido","Sin vencimiento. Cambios de sueldo, cargo o jornada se formalizan con anexo de modificación",IF(R46="Falta fecha de término","Completar la fecha de término en la hoja Contratos",IF(R46="VENCIDO","Si sigue trabajando, por ley el contrato ya es INDEFINIDO (Art. 159 N°4): firmar anexo de paso a indefinido o regularizar el término",IF(I46="Obra o faena","Al concluir la obra: finiquito por Art. 159 N°5 + indemnización de 2,5 días por mes trabajado (Ley 21.122)",IF(N(K46)&gt;=3,"Por ley ya es indefinido (2ª renovación): firmar anexo de paso a indefinido",IF(N(K46)=2,"2° contrato a plazo: NO admite otra renovación a plazo fijo. Pasar a indefinido o terminar al vencimiento (carta dentro de 3 días hábiles)","1er contrato a plazo: renovar (2° plazo fijo), pasar a indefinido o terminar al vencimiento (carta dentro de 3 días hábiles)")))))))))))</f>
        <v/>
      </c>
      <c r="T46" s="70" t="str">
        <f aca="false">IF(B46="","",IF(COUNTIFS(C_ID,B46,C_FIRMADO,"&lt;&gt;Sí")&gt;0,COUNTIFS(C_ID,B46,C_FIRMADO,"&lt;&gt;Sí")&amp;" documento(s) sin firma. ","")&amp;IF(COUNTIFS(C_ID,B46,C_TIPO,"Plazo fijo",C_DEFINE,"Sí")&gt;2,"Más de 2 contratos a plazo: revisar presunción de indefinido. ","")&amp;IF(AND(R46="VENCIDO",LEFT(E46,6)="Activo"),"Trabaja con contrato vencido. ",""))</f>
        <v/>
      </c>
      <c r="U46" s="71" t="str">
        <f aca="false">IF(B46="","",INDEX(T_SUELDO,40))</f>
        <v/>
      </c>
      <c r="V46" s="72" t="str">
        <f aca="false">IF(AND(B46&lt;&gt;"",LEFT(E46,6)="Activo",ISNUMBER(O46),R46&lt;&gt;"Renovación registrada"),O46+ROW()/100000,"")</f>
        <v/>
      </c>
    </row>
    <row r="47" customFormat="false" ht="15" hidden="false" customHeight="false" outlineLevel="0" collapsed="false">
      <c r="B47" s="70" t="str">
        <f aca="false">IFERROR(IF(INDEX(T_ID,41)="","",INDEX(T_ID,41)),"")</f>
        <v/>
      </c>
      <c r="C47" s="70" t="str">
        <f aca="false">IF(B47="","",INDEX(T_NOMBRE,41)&amp;"")</f>
        <v/>
      </c>
      <c r="D47" s="70" t="str">
        <f aca="false">IF(B47="","",INDEX(T_CARGO,41)&amp;"")</f>
        <v/>
      </c>
      <c r="E47" s="70" t="str">
        <f aca="false">IF(B47="","",INDEX(T_ESTADO,41))</f>
        <v/>
      </c>
      <c r="F47" s="75" t="str">
        <f aca="false">IF(B47="","",INDEX(T_INGRESO,41))</f>
        <v/>
      </c>
      <c r="G47" s="70" t="str">
        <f aca="false">IF(B47="","",COUNTIFS(C_ID,B47,C_DEFINE,"Sí",C_INICIO,"&lt;="&amp;FECHA_CORTE))</f>
        <v/>
      </c>
      <c r="H47" s="70" t="str">
        <f aca="false">IF(B47="","",COUNTIFS(C_ID,B47,C_DEFINE,"Sí"))</f>
        <v/>
      </c>
      <c r="I47" s="70" t="str">
        <f aca="false">IF(B47="","",IF(H47=0,"Sin contrato",IFERROR(INDEX(C_TIPO,MATCH(B47&amp;"-P"&amp;MAX(1,G47),C_CLAVE,0))&amp;"","")))</f>
        <v/>
      </c>
      <c r="J47" s="70" t="str">
        <f aca="false">IF(OR(B47="",N(H47)=0),"",IFERROR(INDEX(C_TIPODOC,MATCH(B47&amp;"-P"&amp;MAX(1,G47),C_CLAVE,0))&amp;"",""))</f>
        <v/>
      </c>
      <c r="K47" s="76" t="str">
        <f aca="false">IF(I47="Plazo fijo",IFERROR(INDEX(C_NPF,MATCH(B47&amp;"-P"&amp;MAX(1,G47),C_CLAVE,0)),""),"")</f>
        <v/>
      </c>
      <c r="L47" s="70" t="str">
        <f aca="false">IF(B47="","",COUNTIFS(C_ID,B47,C_TIPODOC,"Anexo de modificación"))</f>
        <v/>
      </c>
      <c r="M47" s="75" t="str">
        <f aca="false">IF(OR(B47="",N(H47)=0),"",IFERROR(INDEX(C_INICIO,MATCH(B47&amp;"-P"&amp;MAX(1,G47),C_CLAVE,0)),""))</f>
        <v/>
      </c>
      <c r="N47" s="75" t="str">
        <f aca="false">IF(OR(I47="Plazo fijo",I47="Obra o faena"),IFERROR(IF(N(INDEX(C_TERMINO,MATCH(B47&amp;"-P"&amp;MAX(1,G47),C_CLAVE,0)))=0,"",INDEX(C_TERMINO,MATCH(B47&amp;"-P"&amp;MAX(1,G47),C_CLAVE,0))),""),"")</f>
        <v/>
      </c>
      <c r="O47" s="77" t="str">
        <f aca="false">IF(AND(ISNUMBER(N47),E47&lt;&gt;"Desvinculado"),N47-FECHA_CORTE,"")</f>
        <v/>
      </c>
      <c r="P47" s="75" t="str">
        <f aca="false">IF(AND(ISNUMBER(N47),E47&lt;&gt;"Desvinculado"),N47-DIAS_DECISION,"")</f>
        <v/>
      </c>
      <c r="Q47" s="75" t="str">
        <f aca="false">IF(OR(B47="",N(H47)&lt;=N(G47)),"",IFERROR(INDEX(C_INICIO,MATCH(B47&amp;"-P"&amp;(G47+1),C_CLAVE,0)),""))</f>
        <v/>
      </c>
      <c r="R47" s="70" t="str">
        <f aca="false">IF(B47="","",IF(E47="Desvinculado","Terminado",IF(H47=0,"Sin contrato registrado",IF(E47="Por ingresar","Por ingresar",IF(ISNUMBER(Q47),"Renovación registrada",IF(I47="Indefinido","Indefinido",IF(NOT(ISNUMBER(O47)),"Falta fecha de término",IF(O47&lt;0,"VENCIDO",IF(O47&lt;=ALERTA_ROJA,"Vence en ≤ "&amp;ALERTA_ROJA&amp;" días",IF(O47&lt;=ALERTA_NARANJA,"Vence en ≤ "&amp;ALERTA_NARANJA&amp;" días",IF(O47&lt;=ALERTA_AMARILLA,"Vence en ≤ "&amp;ALERTA_AMARILLA&amp;" días","Vigente")))))))))))</f>
        <v/>
      </c>
      <c r="S47" s="70" t="str">
        <f aca="false">IF(B47="","",IF(R47="Terminado","—",IF(R47="Sin contrato registrado","Registrar el contrato en la hoja Contratos",IF(R47="Por ingresar","Tener el contrato firmado y hacer el alta en AFP, salud, seguro de cesantía y mutual",IF(R47="Renovación registrada",IF(AND(N(K47)&gt;=2,IFERROR(INDEX(C_TIPO,MATCH(B47&amp;"-P"&amp;(G47+1),C_CLAVE,0)),"")="Plazo fijo"),"⚠ El período registrado sería el 3er contrato a plazo: por ley es INDEFINIDO. Registrarlo como Paso a indefinido","Siguiente período ya registrado: verificar que el documento esté firmado"),IF(I47="Indefinido","Sin vencimiento. Cambios de sueldo, cargo o jornada se formalizan con anexo de modificación",IF(R47="Falta fecha de término","Completar la fecha de término en la hoja Contratos",IF(R47="VENCIDO","Si sigue trabajando, por ley el contrato ya es INDEFINIDO (Art. 159 N°4): firmar anexo de paso a indefinido o regularizar el término",IF(I47="Obra o faena","Al concluir la obra: finiquito por Art. 159 N°5 + indemnización de 2,5 días por mes trabajado (Ley 21.122)",IF(N(K47)&gt;=3,"Por ley ya es indefinido (2ª renovación): firmar anexo de paso a indefinido",IF(N(K47)=2,"2° contrato a plazo: NO admite otra renovación a plazo fijo. Pasar a indefinido o terminar al vencimiento (carta dentro de 3 días hábiles)","1er contrato a plazo: renovar (2° plazo fijo), pasar a indefinido o terminar al vencimiento (carta dentro de 3 días hábiles)")))))))))))</f>
        <v/>
      </c>
      <c r="T47" s="70" t="str">
        <f aca="false">IF(B47="","",IF(COUNTIFS(C_ID,B47,C_FIRMADO,"&lt;&gt;Sí")&gt;0,COUNTIFS(C_ID,B47,C_FIRMADO,"&lt;&gt;Sí")&amp;" documento(s) sin firma. ","")&amp;IF(COUNTIFS(C_ID,B47,C_TIPO,"Plazo fijo",C_DEFINE,"Sí")&gt;2,"Más de 2 contratos a plazo: revisar presunción de indefinido. ","")&amp;IF(AND(R47="VENCIDO",LEFT(E47,6)="Activo"),"Trabaja con contrato vencido. ",""))</f>
        <v/>
      </c>
      <c r="U47" s="71" t="str">
        <f aca="false">IF(B47="","",INDEX(T_SUELDO,41))</f>
        <v/>
      </c>
      <c r="V47" s="72" t="str">
        <f aca="false">IF(AND(B47&lt;&gt;"",LEFT(E47,6)="Activo",ISNUMBER(O47),R47&lt;&gt;"Renovación registrada"),O47+ROW()/100000,"")</f>
        <v/>
      </c>
    </row>
    <row r="48" customFormat="false" ht="15" hidden="false" customHeight="false" outlineLevel="0" collapsed="false">
      <c r="B48" s="70" t="str">
        <f aca="false">IFERROR(IF(INDEX(T_ID,42)="","",INDEX(T_ID,42)),"")</f>
        <v/>
      </c>
      <c r="C48" s="70" t="str">
        <f aca="false">IF(B48="","",INDEX(T_NOMBRE,42)&amp;"")</f>
        <v/>
      </c>
      <c r="D48" s="70" t="str">
        <f aca="false">IF(B48="","",INDEX(T_CARGO,42)&amp;"")</f>
        <v/>
      </c>
      <c r="E48" s="70" t="str">
        <f aca="false">IF(B48="","",INDEX(T_ESTADO,42))</f>
        <v/>
      </c>
      <c r="F48" s="75" t="str">
        <f aca="false">IF(B48="","",INDEX(T_INGRESO,42))</f>
        <v/>
      </c>
      <c r="G48" s="70" t="str">
        <f aca="false">IF(B48="","",COUNTIFS(C_ID,B48,C_DEFINE,"Sí",C_INICIO,"&lt;="&amp;FECHA_CORTE))</f>
        <v/>
      </c>
      <c r="H48" s="70" t="str">
        <f aca="false">IF(B48="","",COUNTIFS(C_ID,B48,C_DEFINE,"Sí"))</f>
        <v/>
      </c>
      <c r="I48" s="70" t="str">
        <f aca="false">IF(B48="","",IF(H48=0,"Sin contrato",IFERROR(INDEX(C_TIPO,MATCH(B48&amp;"-P"&amp;MAX(1,G48),C_CLAVE,0))&amp;"","")))</f>
        <v/>
      </c>
      <c r="J48" s="70" t="str">
        <f aca="false">IF(OR(B48="",N(H48)=0),"",IFERROR(INDEX(C_TIPODOC,MATCH(B48&amp;"-P"&amp;MAX(1,G48),C_CLAVE,0))&amp;"",""))</f>
        <v/>
      </c>
      <c r="K48" s="76" t="str">
        <f aca="false">IF(I48="Plazo fijo",IFERROR(INDEX(C_NPF,MATCH(B48&amp;"-P"&amp;MAX(1,G48),C_CLAVE,0)),""),"")</f>
        <v/>
      </c>
      <c r="L48" s="70" t="str">
        <f aca="false">IF(B48="","",COUNTIFS(C_ID,B48,C_TIPODOC,"Anexo de modificación"))</f>
        <v/>
      </c>
      <c r="M48" s="75" t="str">
        <f aca="false">IF(OR(B48="",N(H48)=0),"",IFERROR(INDEX(C_INICIO,MATCH(B48&amp;"-P"&amp;MAX(1,G48),C_CLAVE,0)),""))</f>
        <v/>
      </c>
      <c r="N48" s="75" t="str">
        <f aca="false">IF(OR(I48="Plazo fijo",I48="Obra o faena"),IFERROR(IF(N(INDEX(C_TERMINO,MATCH(B48&amp;"-P"&amp;MAX(1,G48),C_CLAVE,0)))=0,"",INDEX(C_TERMINO,MATCH(B48&amp;"-P"&amp;MAX(1,G48),C_CLAVE,0))),""),"")</f>
        <v/>
      </c>
      <c r="O48" s="77" t="str">
        <f aca="false">IF(AND(ISNUMBER(N48),E48&lt;&gt;"Desvinculado"),N48-FECHA_CORTE,"")</f>
        <v/>
      </c>
      <c r="P48" s="75" t="str">
        <f aca="false">IF(AND(ISNUMBER(N48),E48&lt;&gt;"Desvinculado"),N48-DIAS_DECISION,"")</f>
        <v/>
      </c>
      <c r="Q48" s="75" t="str">
        <f aca="false">IF(OR(B48="",N(H48)&lt;=N(G48)),"",IFERROR(INDEX(C_INICIO,MATCH(B48&amp;"-P"&amp;(G48+1),C_CLAVE,0)),""))</f>
        <v/>
      </c>
      <c r="R48" s="70" t="str">
        <f aca="false">IF(B48="","",IF(E48="Desvinculado","Terminado",IF(H48=0,"Sin contrato registrado",IF(E48="Por ingresar","Por ingresar",IF(ISNUMBER(Q48),"Renovación registrada",IF(I48="Indefinido","Indefinido",IF(NOT(ISNUMBER(O48)),"Falta fecha de término",IF(O48&lt;0,"VENCIDO",IF(O48&lt;=ALERTA_ROJA,"Vence en ≤ "&amp;ALERTA_ROJA&amp;" días",IF(O48&lt;=ALERTA_NARANJA,"Vence en ≤ "&amp;ALERTA_NARANJA&amp;" días",IF(O48&lt;=ALERTA_AMARILLA,"Vence en ≤ "&amp;ALERTA_AMARILLA&amp;" días","Vigente")))))))))))</f>
        <v/>
      </c>
      <c r="S48" s="70" t="str">
        <f aca="false">IF(B48="","",IF(R48="Terminado","—",IF(R48="Sin contrato registrado","Registrar el contrato en la hoja Contratos",IF(R48="Por ingresar","Tener el contrato firmado y hacer el alta en AFP, salud, seguro de cesantía y mutual",IF(R48="Renovación registrada",IF(AND(N(K48)&gt;=2,IFERROR(INDEX(C_TIPO,MATCH(B48&amp;"-P"&amp;(G48+1),C_CLAVE,0)),"")="Plazo fijo"),"⚠ El período registrado sería el 3er contrato a plazo: por ley es INDEFINIDO. Registrarlo como Paso a indefinido","Siguiente período ya registrado: verificar que el documento esté firmado"),IF(I48="Indefinido","Sin vencimiento. Cambios de sueldo, cargo o jornada se formalizan con anexo de modificación",IF(R48="Falta fecha de término","Completar la fecha de término en la hoja Contratos",IF(R48="VENCIDO","Si sigue trabajando, por ley el contrato ya es INDEFINIDO (Art. 159 N°4): firmar anexo de paso a indefinido o regularizar el término",IF(I48="Obra o faena","Al concluir la obra: finiquito por Art. 159 N°5 + indemnización de 2,5 días por mes trabajado (Ley 21.122)",IF(N(K48)&gt;=3,"Por ley ya es indefinido (2ª renovación): firmar anexo de paso a indefinido",IF(N(K48)=2,"2° contrato a plazo: NO admite otra renovación a plazo fijo. Pasar a indefinido o terminar al vencimiento (carta dentro de 3 días hábiles)","1er contrato a plazo: renovar (2° plazo fijo), pasar a indefinido o terminar al vencimiento (carta dentro de 3 días hábiles)")))))))))))</f>
        <v/>
      </c>
      <c r="T48" s="70" t="str">
        <f aca="false">IF(B48="","",IF(COUNTIFS(C_ID,B48,C_FIRMADO,"&lt;&gt;Sí")&gt;0,COUNTIFS(C_ID,B48,C_FIRMADO,"&lt;&gt;Sí")&amp;" documento(s) sin firma. ","")&amp;IF(COUNTIFS(C_ID,B48,C_TIPO,"Plazo fijo",C_DEFINE,"Sí")&gt;2,"Más de 2 contratos a plazo: revisar presunción de indefinido. ","")&amp;IF(AND(R48="VENCIDO",LEFT(E48,6)="Activo"),"Trabaja con contrato vencido. ",""))</f>
        <v/>
      </c>
      <c r="U48" s="71" t="str">
        <f aca="false">IF(B48="","",INDEX(T_SUELDO,42))</f>
        <v/>
      </c>
      <c r="V48" s="72" t="str">
        <f aca="false">IF(AND(B48&lt;&gt;"",LEFT(E48,6)="Activo",ISNUMBER(O48),R48&lt;&gt;"Renovación registrada"),O48+ROW()/100000,"")</f>
        <v/>
      </c>
    </row>
    <row r="49" customFormat="false" ht="15" hidden="false" customHeight="false" outlineLevel="0" collapsed="false">
      <c r="B49" s="70" t="str">
        <f aca="false">IFERROR(IF(INDEX(T_ID,43)="","",INDEX(T_ID,43)),"")</f>
        <v/>
      </c>
      <c r="C49" s="70" t="str">
        <f aca="false">IF(B49="","",INDEX(T_NOMBRE,43)&amp;"")</f>
        <v/>
      </c>
      <c r="D49" s="70" t="str">
        <f aca="false">IF(B49="","",INDEX(T_CARGO,43)&amp;"")</f>
        <v/>
      </c>
      <c r="E49" s="70" t="str">
        <f aca="false">IF(B49="","",INDEX(T_ESTADO,43))</f>
        <v/>
      </c>
      <c r="F49" s="75" t="str">
        <f aca="false">IF(B49="","",INDEX(T_INGRESO,43))</f>
        <v/>
      </c>
      <c r="G49" s="70" t="str">
        <f aca="false">IF(B49="","",COUNTIFS(C_ID,B49,C_DEFINE,"Sí",C_INICIO,"&lt;="&amp;FECHA_CORTE))</f>
        <v/>
      </c>
      <c r="H49" s="70" t="str">
        <f aca="false">IF(B49="","",COUNTIFS(C_ID,B49,C_DEFINE,"Sí"))</f>
        <v/>
      </c>
      <c r="I49" s="70" t="str">
        <f aca="false">IF(B49="","",IF(H49=0,"Sin contrato",IFERROR(INDEX(C_TIPO,MATCH(B49&amp;"-P"&amp;MAX(1,G49),C_CLAVE,0))&amp;"","")))</f>
        <v/>
      </c>
      <c r="J49" s="70" t="str">
        <f aca="false">IF(OR(B49="",N(H49)=0),"",IFERROR(INDEX(C_TIPODOC,MATCH(B49&amp;"-P"&amp;MAX(1,G49),C_CLAVE,0))&amp;"",""))</f>
        <v/>
      </c>
      <c r="K49" s="76" t="str">
        <f aca="false">IF(I49="Plazo fijo",IFERROR(INDEX(C_NPF,MATCH(B49&amp;"-P"&amp;MAX(1,G49),C_CLAVE,0)),""),"")</f>
        <v/>
      </c>
      <c r="L49" s="70" t="str">
        <f aca="false">IF(B49="","",COUNTIFS(C_ID,B49,C_TIPODOC,"Anexo de modificación"))</f>
        <v/>
      </c>
      <c r="M49" s="75" t="str">
        <f aca="false">IF(OR(B49="",N(H49)=0),"",IFERROR(INDEX(C_INICIO,MATCH(B49&amp;"-P"&amp;MAX(1,G49),C_CLAVE,0)),""))</f>
        <v/>
      </c>
      <c r="N49" s="75" t="str">
        <f aca="false">IF(OR(I49="Plazo fijo",I49="Obra o faena"),IFERROR(IF(N(INDEX(C_TERMINO,MATCH(B49&amp;"-P"&amp;MAX(1,G49),C_CLAVE,0)))=0,"",INDEX(C_TERMINO,MATCH(B49&amp;"-P"&amp;MAX(1,G49),C_CLAVE,0))),""),"")</f>
        <v/>
      </c>
      <c r="O49" s="77" t="str">
        <f aca="false">IF(AND(ISNUMBER(N49),E49&lt;&gt;"Desvinculado"),N49-FECHA_CORTE,"")</f>
        <v/>
      </c>
      <c r="P49" s="75" t="str">
        <f aca="false">IF(AND(ISNUMBER(N49),E49&lt;&gt;"Desvinculado"),N49-DIAS_DECISION,"")</f>
        <v/>
      </c>
      <c r="Q49" s="75" t="str">
        <f aca="false">IF(OR(B49="",N(H49)&lt;=N(G49)),"",IFERROR(INDEX(C_INICIO,MATCH(B49&amp;"-P"&amp;(G49+1),C_CLAVE,0)),""))</f>
        <v/>
      </c>
      <c r="R49" s="70" t="str">
        <f aca="false">IF(B49="","",IF(E49="Desvinculado","Terminado",IF(H49=0,"Sin contrato registrado",IF(E49="Por ingresar","Por ingresar",IF(ISNUMBER(Q49),"Renovación registrada",IF(I49="Indefinido","Indefinido",IF(NOT(ISNUMBER(O49)),"Falta fecha de término",IF(O49&lt;0,"VENCIDO",IF(O49&lt;=ALERTA_ROJA,"Vence en ≤ "&amp;ALERTA_ROJA&amp;" días",IF(O49&lt;=ALERTA_NARANJA,"Vence en ≤ "&amp;ALERTA_NARANJA&amp;" días",IF(O49&lt;=ALERTA_AMARILLA,"Vence en ≤ "&amp;ALERTA_AMARILLA&amp;" días","Vigente")))))))))))</f>
        <v/>
      </c>
      <c r="S49" s="70" t="str">
        <f aca="false">IF(B49="","",IF(R49="Terminado","—",IF(R49="Sin contrato registrado","Registrar el contrato en la hoja Contratos",IF(R49="Por ingresar","Tener el contrato firmado y hacer el alta en AFP, salud, seguro de cesantía y mutual",IF(R49="Renovación registrada",IF(AND(N(K49)&gt;=2,IFERROR(INDEX(C_TIPO,MATCH(B49&amp;"-P"&amp;(G49+1),C_CLAVE,0)),"")="Plazo fijo"),"⚠ El período registrado sería el 3er contrato a plazo: por ley es INDEFINIDO. Registrarlo como Paso a indefinido","Siguiente período ya registrado: verificar que el documento esté firmado"),IF(I49="Indefinido","Sin vencimiento. Cambios de sueldo, cargo o jornada se formalizan con anexo de modificación",IF(R49="Falta fecha de término","Completar la fecha de término en la hoja Contratos",IF(R49="VENCIDO","Si sigue trabajando, por ley el contrato ya es INDEFINIDO (Art. 159 N°4): firmar anexo de paso a indefinido o regularizar el término",IF(I49="Obra o faena","Al concluir la obra: finiquito por Art. 159 N°5 + indemnización de 2,5 días por mes trabajado (Ley 21.122)",IF(N(K49)&gt;=3,"Por ley ya es indefinido (2ª renovación): firmar anexo de paso a indefinido",IF(N(K49)=2,"2° contrato a plazo: NO admite otra renovación a plazo fijo. Pasar a indefinido o terminar al vencimiento (carta dentro de 3 días hábiles)","1er contrato a plazo: renovar (2° plazo fijo), pasar a indefinido o terminar al vencimiento (carta dentro de 3 días hábiles)")))))))))))</f>
        <v/>
      </c>
      <c r="T49" s="70" t="str">
        <f aca="false">IF(B49="","",IF(COUNTIFS(C_ID,B49,C_FIRMADO,"&lt;&gt;Sí")&gt;0,COUNTIFS(C_ID,B49,C_FIRMADO,"&lt;&gt;Sí")&amp;" documento(s) sin firma. ","")&amp;IF(COUNTIFS(C_ID,B49,C_TIPO,"Plazo fijo",C_DEFINE,"Sí")&gt;2,"Más de 2 contratos a plazo: revisar presunción de indefinido. ","")&amp;IF(AND(R49="VENCIDO",LEFT(E49,6)="Activo"),"Trabaja con contrato vencido. ",""))</f>
        <v/>
      </c>
      <c r="U49" s="71" t="str">
        <f aca="false">IF(B49="","",INDEX(T_SUELDO,43))</f>
        <v/>
      </c>
      <c r="V49" s="72" t="str">
        <f aca="false">IF(AND(B49&lt;&gt;"",LEFT(E49,6)="Activo",ISNUMBER(O49),R49&lt;&gt;"Renovación registrada"),O49+ROW()/100000,"")</f>
        <v/>
      </c>
    </row>
    <row r="50" customFormat="false" ht="15" hidden="false" customHeight="false" outlineLevel="0" collapsed="false">
      <c r="B50" s="70" t="str">
        <f aca="false">IFERROR(IF(INDEX(T_ID,44)="","",INDEX(T_ID,44)),"")</f>
        <v/>
      </c>
      <c r="C50" s="70" t="str">
        <f aca="false">IF(B50="","",INDEX(T_NOMBRE,44)&amp;"")</f>
        <v/>
      </c>
      <c r="D50" s="70" t="str">
        <f aca="false">IF(B50="","",INDEX(T_CARGO,44)&amp;"")</f>
        <v/>
      </c>
      <c r="E50" s="70" t="str">
        <f aca="false">IF(B50="","",INDEX(T_ESTADO,44))</f>
        <v/>
      </c>
      <c r="F50" s="75" t="str">
        <f aca="false">IF(B50="","",INDEX(T_INGRESO,44))</f>
        <v/>
      </c>
      <c r="G50" s="70" t="str">
        <f aca="false">IF(B50="","",COUNTIFS(C_ID,B50,C_DEFINE,"Sí",C_INICIO,"&lt;="&amp;FECHA_CORTE))</f>
        <v/>
      </c>
      <c r="H50" s="70" t="str">
        <f aca="false">IF(B50="","",COUNTIFS(C_ID,B50,C_DEFINE,"Sí"))</f>
        <v/>
      </c>
      <c r="I50" s="70" t="str">
        <f aca="false">IF(B50="","",IF(H50=0,"Sin contrato",IFERROR(INDEX(C_TIPO,MATCH(B50&amp;"-P"&amp;MAX(1,G50),C_CLAVE,0))&amp;"","")))</f>
        <v/>
      </c>
      <c r="J50" s="70" t="str">
        <f aca="false">IF(OR(B50="",N(H50)=0),"",IFERROR(INDEX(C_TIPODOC,MATCH(B50&amp;"-P"&amp;MAX(1,G50),C_CLAVE,0))&amp;"",""))</f>
        <v/>
      </c>
      <c r="K50" s="76" t="str">
        <f aca="false">IF(I50="Plazo fijo",IFERROR(INDEX(C_NPF,MATCH(B50&amp;"-P"&amp;MAX(1,G50),C_CLAVE,0)),""),"")</f>
        <v/>
      </c>
      <c r="L50" s="70" t="str">
        <f aca="false">IF(B50="","",COUNTIFS(C_ID,B50,C_TIPODOC,"Anexo de modificación"))</f>
        <v/>
      </c>
      <c r="M50" s="75" t="str">
        <f aca="false">IF(OR(B50="",N(H50)=0),"",IFERROR(INDEX(C_INICIO,MATCH(B50&amp;"-P"&amp;MAX(1,G50),C_CLAVE,0)),""))</f>
        <v/>
      </c>
      <c r="N50" s="75" t="str">
        <f aca="false">IF(OR(I50="Plazo fijo",I50="Obra o faena"),IFERROR(IF(N(INDEX(C_TERMINO,MATCH(B50&amp;"-P"&amp;MAX(1,G50),C_CLAVE,0)))=0,"",INDEX(C_TERMINO,MATCH(B50&amp;"-P"&amp;MAX(1,G50),C_CLAVE,0))),""),"")</f>
        <v/>
      </c>
      <c r="O50" s="77" t="str">
        <f aca="false">IF(AND(ISNUMBER(N50),E50&lt;&gt;"Desvinculado"),N50-FECHA_CORTE,"")</f>
        <v/>
      </c>
      <c r="P50" s="75" t="str">
        <f aca="false">IF(AND(ISNUMBER(N50),E50&lt;&gt;"Desvinculado"),N50-DIAS_DECISION,"")</f>
        <v/>
      </c>
      <c r="Q50" s="75" t="str">
        <f aca="false">IF(OR(B50="",N(H50)&lt;=N(G50)),"",IFERROR(INDEX(C_INICIO,MATCH(B50&amp;"-P"&amp;(G50+1),C_CLAVE,0)),""))</f>
        <v/>
      </c>
      <c r="R50" s="70" t="str">
        <f aca="false">IF(B50="","",IF(E50="Desvinculado","Terminado",IF(H50=0,"Sin contrato registrado",IF(E50="Por ingresar","Por ingresar",IF(ISNUMBER(Q50),"Renovación registrada",IF(I50="Indefinido","Indefinido",IF(NOT(ISNUMBER(O50)),"Falta fecha de término",IF(O50&lt;0,"VENCIDO",IF(O50&lt;=ALERTA_ROJA,"Vence en ≤ "&amp;ALERTA_ROJA&amp;" días",IF(O50&lt;=ALERTA_NARANJA,"Vence en ≤ "&amp;ALERTA_NARANJA&amp;" días",IF(O50&lt;=ALERTA_AMARILLA,"Vence en ≤ "&amp;ALERTA_AMARILLA&amp;" días","Vigente")))))))))))</f>
        <v/>
      </c>
      <c r="S50" s="70" t="str">
        <f aca="false">IF(B50="","",IF(R50="Terminado","—",IF(R50="Sin contrato registrado","Registrar el contrato en la hoja Contratos",IF(R50="Por ingresar","Tener el contrato firmado y hacer el alta en AFP, salud, seguro de cesantía y mutual",IF(R50="Renovación registrada",IF(AND(N(K50)&gt;=2,IFERROR(INDEX(C_TIPO,MATCH(B50&amp;"-P"&amp;(G50+1),C_CLAVE,0)),"")="Plazo fijo"),"⚠ El período registrado sería el 3er contrato a plazo: por ley es INDEFINIDO. Registrarlo como Paso a indefinido","Siguiente período ya registrado: verificar que el documento esté firmado"),IF(I50="Indefinido","Sin vencimiento. Cambios de sueldo, cargo o jornada se formalizan con anexo de modificación",IF(R50="Falta fecha de término","Completar la fecha de término en la hoja Contratos",IF(R50="VENCIDO","Si sigue trabajando, por ley el contrato ya es INDEFINIDO (Art. 159 N°4): firmar anexo de paso a indefinido o regularizar el término",IF(I50="Obra o faena","Al concluir la obra: finiquito por Art. 159 N°5 + indemnización de 2,5 días por mes trabajado (Ley 21.122)",IF(N(K50)&gt;=3,"Por ley ya es indefinido (2ª renovación): firmar anexo de paso a indefinido",IF(N(K50)=2,"2° contrato a plazo: NO admite otra renovación a plazo fijo. Pasar a indefinido o terminar al vencimiento (carta dentro de 3 días hábiles)","1er contrato a plazo: renovar (2° plazo fijo), pasar a indefinido o terminar al vencimiento (carta dentro de 3 días hábiles)")))))))))))</f>
        <v/>
      </c>
      <c r="T50" s="70" t="str">
        <f aca="false">IF(B50="","",IF(COUNTIFS(C_ID,B50,C_FIRMADO,"&lt;&gt;Sí")&gt;0,COUNTIFS(C_ID,B50,C_FIRMADO,"&lt;&gt;Sí")&amp;" documento(s) sin firma. ","")&amp;IF(COUNTIFS(C_ID,B50,C_TIPO,"Plazo fijo",C_DEFINE,"Sí")&gt;2,"Más de 2 contratos a plazo: revisar presunción de indefinido. ","")&amp;IF(AND(R50="VENCIDO",LEFT(E50,6)="Activo"),"Trabaja con contrato vencido. ",""))</f>
        <v/>
      </c>
      <c r="U50" s="71" t="str">
        <f aca="false">IF(B50="","",INDEX(T_SUELDO,44))</f>
        <v/>
      </c>
      <c r="V50" s="72" t="str">
        <f aca="false">IF(AND(B50&lt;&gt;"",LEFT(E50,6)="Activo",ISNUMBER(O50),R50&lt;&gt;"Renovación registrada"),O50+ROW()/100000,"")</f>
        <v/>
      </c>
    </row>
    <row r="51" customFormat="false" ht="15" hidden="false" customHeight="false" outlineLevel="0" collapsed="false">
      <c r="B51" s="70" t="str">
        <f aca="false">IFERROR(IF(INDEX(T_ID,45)="","",INDEX(T_ID,45)),"")</f>
        <v/>
      </c>
      <c r="C51" s="70" t="str">
        <f aca="false">IF(B51="","",INDEX(T_NOMBRE,45)&amp;"")</f>
        <v/>
      </c>
      <c r="D51" s="70" t="str">
        <f aca="false">IF(B51="","",INDEX(T_CARGO,45)&amp;"")</f>
        <v/>
      </c>
      <c r="E51" s="70" t="str">
        <f aca="false">IF(B51="","",INDEX(T_ESTADO,45))</f>
        <v/>
      </c>
      <c r="F51" s="75" t="str">
        <f aca="false">IF(B51="","",INDEX(T_INGRESO,45))</f>
        <v/>
      </c>
      <c r="G51" s="70" t="str">
        <f aca="false">IF(B51="","",COUNTIFS(C_ID,B51,C_DEFINE,"Sí",C_INICIO,"&lt;="&amp;FECHA_CORTE))</f>
        <v/>
      </c>
      <c r="H51" s="70" t="str">
        <f aca="false">IF(B51="","",COUNTIFS(C_ID,B51,C_DEFINE,"Sí"))</f>
        <v/>
      </c>
      <c r="I51" s="70" t="str">
        <f aca="false">IF(B51="","",IF(H51=0,"Sin contrato",IFERROR(INDEX(C_TIPO,MATCH(B51&amp;"-P"&amp;MAX(1,G51),C_CLAVE,0))&amp;"","")))</f>
        <v/>
      </c>
      <c r="J51" s="70" t="str">
        <f aca="false">IF(OR(B51="",N(H51)=0),"",IFERROR(INDEX(C_TIPODOC,MATCH(B51&amp;"-P"&amp;MAX(1,G51),C_CLAVE,0))&amp;"",""))</f>
        <v/>
      </c>
      <c r="K51" s="76" t="str">
        <f aca="false">IF(I51="Plazo fijo",IFERROR(INDEX(C_NPF,MATCH(B51&amp;"-P"&amp;MAX(1,G51),C_CLAVE,0)),""),"")</f>
        <v/>
      </c>
      <c r="L51" s="70" t="str">
        <f aca="false">IF(B51="","",COUNTIFS(C_ID,B51,C_TIPODOC,"Anexo de modificación"))</f>
        <v/>
      </c>
      <c r="M51" s="75" t="str">
        <f aca="false">IF(OR(B51="",N(H51)=0),"",IFERROR(INDEX(C_INICIO,MATCH(B51&amp;"-P"&amp;MAX(1,G51),C_CLAVE,0)),""))</f>
        <v/>
      </c>
      <c r="N51" s="75" t="str">
        <f aca="false">IF(OR(I51="Plazo fijo",I51="Obra o faena"),IFERROR(IF(N(INDEX(C_TERMINO,MATCH(B51&amp;"-P"&amp;MAX(1,G51),C_CLAVE,0)))=0,"",INDEX(C_TERMINO,MATCH(B51&amp;"-P"&amp;MAX(1,G51),C_CLAVE,0))),""),"")</f>
        <v/>
      </c>
      <c r="O51" s="77" t="str">
        <f aca="false">IF(AND(ISNUMBER(N51),E51&lt;&gt;"Desvinculado"),N51-FECHA_CORTE,"")</f>
        <v/>
      </c>
      <c r="P51" s="75" t="str">
        <f aca="false">IF(AND(ISNUMBER(N51),E51&lt;&gt;"Desvinculado"),N51-DIAS_DECISION,"")</f>
        <v/>
      </c>
      <c r="Q51" s="75" t="str">
        <f aca="false">IF(OR(B51="",N(H51)&lt;=N(G51)),"",IFERROR(INDEX(C_INICIO,MATCH(B51&amp;"-P"&amp;(G51+1),C_CLAVE,0)),""))</f>
        <v/>
      </c>
      <c r="R51" s="70" t="str">
        <f aca="false">IF(B51="","",IF(E51="Desvinculado","Terminado",IF(H51=0,"Sin contrato registrado",IF(E51="Por ingresar","Por ingresar",IF(ISNUMBER(Q51),"Renovación registrada",IF(I51="Indefinido","Indefinido",IF(NOT(ISNUMBER(O51)),"Falta fecha de término",IF(O51&lt;0,"VENCIDO",IF(O51&lt;=ALERTA_ROJA,"Vence en ≤ "&amp;ALERTA_ROJA&amp;" días",IF(O51&lt;=ALERTA_NARANJA,"Vence en ≤ "&amp;ALERTA_NARANJA&amp;" días",IF(O51&lt;=ALERTA_AMARILLA,"Vence en ≤ "&amp;ALERTA_AMARILLA&amp;" días","Vigente")))))))))))</f>
        <v/>
      </c>
      <c r="S51" s="70" t="str">
        <f aca="false">IF(B51="","",IF(R51="Terminado","—",IF(R51="Sin contrato registrado","Registrar el contrato en la hoja Contratos",IF(R51="Por ingresar","Tener el contrato firmado y hacer el alta en AFP, salud, seguro de cesantía y mutual",IF(R51="Renovación registrada",IF(AND(N(K51)&gt;=2,IFERROR(INDEX(C_TIPO,MATCH(B51&amp;"-P"&amp;(G51+1),C_CLAVE,0)),"")="Plazo fijo"),"⚠ El período registrado sería el 3er contrato a plazo: por ley es INDEFINIDO. Registrarlo como Paso a indefinido","Siguiente período ya registrado: verificar que el documento esté firmado"),IF(I51="Indefinido","Sin vencimiento. Cambios de sueldo, cargo o jornada se formalizan con anexo de modificación",IF(R51="Falta fecha de término","Completar la fecha de término en la hoja Contratos",IF(R51="VENCIDO","Si sigue trabajando, por ley el contrato ya es INDEFINIDO (Art. 159 N°4): firmar anexo de paso a indefinido o regularizar el término",IF(I51="Obra o faena","Al concluir la obra: finiquito por Art. 159 N°5 + indemnización de 2,5 días por mes trabajado (Ley 21.122)",IF(N(K51)&gt;=3,"Por ley ya es indefinido (2ª renovación): firmar anexo de paso a indefinido",IF(N(K51)=2,"2° contrato a plazo: NO admite otra renovación a plazo fijo. Pasar a indefinido o terminar al vencimiento (carta dentro de 3 días hábiles)","1er contrato a plazo: renovar (2° plazo fijo), pasar a indefinido o terminar al vencimiento (carta dentro de 3 días hábiles)")))))))))))</f>
        <v/>
      </c>
      <c r="T51" s="70" t="str">
        <f aca="false">IF(B51="","",IF(COUNTIFS(C_ID,B51,C_FIRMADO,"&lt;&gt;Sí")&gt;0,COUNTIFS(C_ID,B51,C_FIRMADO,"&lt;&gt;Sí")&amp;" documento(s) sin firma. ","")&amp;IF(COUNTIFS(C_ID,B51,C_TIPO,"Plazo fijo",C_DEFINE,"Sí")&gt;2,"Más de 2 contratos a plazo: revisar presunción de indefinido. ","")&amp;IF(AND(R51="VENCIDO",LEFT(E51,6)="Activo"),"Trabaja con contrato vencido. ",""))</f>
        <v/>
      </c>
      <c r="U51" s="71" t="str">
        <f aca="false">IF(B51="","",INDEX(T_SUELDO,45))</f>
        <v/>
      </c>
      <c r="V51" s="72" t="str">
        <f aca="false">IF(AND(B51&lt;&gt;"",LEFT(E51,6)="Activo",ISNUMBER(O51),R51&lt;&gt;"Renovación registrada"),O51+ROW()/100000,"")</f>
        <v/>
      </c>
    </row>
    <row r="52" customFormat="false" ht="15" hidden="false" customHeight="false" outlineLevel="0" collapsed="false">
      <c r="B52" s="70" t="str">
        <f aca="false">IFERROR(IF(INDEX(T_ID,46)="","",INDEX(T_ID,46)),"")</f>
        <v/>
      </c>
      <c r="C52" s="70" t="str">
        <f aca="false">IF(B52="","",INDEX(T_NOMBRE,46)&amp;"")</f>
        <v/>
      </c>
      <c r="D52" s="70" t="str">
        <f aca="false">IF(B52="","",INDEX(T_CARGO,46)&amp;"")</f>
        <v/>
      </c>
      <c r="E52" s="70" t="str">
        <f aca="false">IF(B52="","",INDEX(T_ESTADO,46))</f>
        <v/>
      </c>
      <c r="F52" s="75" t="str">
        <f aca="false">IF(B52="","",INDEX(T_INGRESO,46))</f>
        <v/>
      </c>
      <c r="G52" s="70" t="str">
        <f aca="false">IF(B52="","",COUNTIFS(C_ID,B52,C_DEFINE,"Sí",C_INICIO,"&lt;="&amp;FECHA_CORTE))</f>
        <v/>
      </c>
      <c r="H52" s="70" t="str">
        <f aca="false">IF(B52="","",COUNTIFS(C_ID,B52,C_DEFINE,"Sí"))</f>
        <v/>
      </c>
      <c r="I52" s="70" t="str">
        <f aca="false">IF(B52="","",IF(H52=0,"Sin contrato",IFERROR(INDEX(C_TIPO,MATCH(B52&amp;"-P"&amp;MAX(1,G52),C_CLAVE,0))&amp;"","")))</f>
        <v/>
      </c>
      <c r="J52" s="70" t="str">
        <f aca="false">IF(OR(B52="",N(H52)=0),"",IFERROR(INDEX(C_TIPODOC,MATCH(B52&amp;"-P"&amp;MAX(1,G52),C_CLAVE,0))&amp;"",""))</f>
        <v/>
      </c>
      <c r="K52" s="76" t="str">
        <f aca="false">IF(I52="Plazo fijo",IFERROR(INDEX(C_NPF,MATCH(B52&amp;"-P"&amp;MAX(1,G52),C_CLAVE,0)),""),"")</f>
        <v/>
      </c>
      <c r="L52" s="70" t="str">
        <f aca="false">IF(B52="","",COUNTIFS(C_ID,B52,C_TIPODOC,"Anexo de modificación"))</f>
        <v/>
      </c>
      <c r="M52" s="75" t="str">
        <f aca="false">IF(OR(B52="",N(H52)=0),"",IFERROR(INDEX(C_INICIO,MATCH(B52&amp;"-P"&amp;MAX(1,G52),C_CLAVE,0)),""))</f>
        <v/>
      </c>
      <c r="N52" s="75" t="str">
        <f aca="false">IF(OR(I52="Plazo fijo",I52="Obra o faena"),IFERROR(IF(N(INDEX(C_TERMINO,MATCH(B52&amp;"-P"&amp;MAX(1,G52),C_CLAVE,0)))=0,"",INDEX(C_TERMINO,MATCH(B52&amp;"-P"&amp;MAX(1,G52),C_CLAVE,0))),""),"")</f>
        <v/>
      </c>
      <c r="O52" s="77" t="str">
        <f aca="false">IF(AND(ISNUMBER(N52),E52&lt;&gt;"Desvinculado"),N52-FECHA_CORTE,"")</f>
        <v/>
      </c>
      <c r="P52" s="75" t="str">
        <f aca="false">IF(AND(ISNUMBER(N52),E52&lt;&gt;"Desvinculado"),N52-DIAS_DECISION,"")</f>
        <v/>
      </c>
      <c r="Q52" s="75" t="str">
        <f aca="false">IF(OR(B52="",N(H52)&lt;=N(G52)),"",IFERROR(INDEX(C_INICIO,MATCH(B52&amp;"-P"&amp;(G52+1),C_CLAVE,0)),""))</f>
        <v/>
      </c>
      <c r="R52" s="70" t="str">
        <f aca="false">IF(B52="","",IF(E52="Desvinculado","Terminado",IF(H52=0,"Sin contrato registrado",IF(E52="Por ingresar","Por ingresar",IF(ISNUMBER(Q52),"Renovación registrada",IF(I52="Indefinido","Indefinido",IF(NOT(ISNUMBER(O52)),"Falta fecha de término",IF(O52&lt;0,"VENCIDO",IF(O52&lt;=ALERTA_ROJA,"Vence en ≤ "&amp;ALERTA_ROJA&amp;" días",IF(O52&lt;=ALERTA_NARANJA,"Vence en ≤ "&amp;ALERTA_NARANJA&amp;" días",IF(O52&lt;=ALERTA_AMARILLA,"Vence en ≤ "&amp;ALERTA_AMARILLA&amp;" días","Vigente")))))))))))</f>
        <v/>
      </c>
      <c r="S52" s="70" t="str">
        <f aca="false">IF(B52="","",IF(R52="Terminado","—",IF(R52="Sin contrato registrado","Registrar el contrato en la hoja Contratos",IF(R52="Por ingresar","Tener el contrato firmado y hacer el alta en AFP, salud, seguro de cesantía y mutual",IF(R52="Renovación registrada",IF(AND(N(K52)&gt;=2,IFERROR(INDEX(C_TIPO,MATCH(B52&amp;"-P"&amp;(G52+1),C_CLAVE,0)),"")="Plazo fijo"),"⚠ El período registrado sería el 3er contrato a plazo: por ley es INDEFINIDO. Registrarlo como Paso a indefinido","Siguiente período ya registrado: verificar que el documento esté firmado"),IF(I52="Indefinido","Sin vencimiento. Cambios de sueldo, cargo o jornada se formalizan con anexo de modificación",IF(R52="Falta fecha de término","Completar la fecha de término en la hoja Contratos",IF(R52="VENCIDO","Si sigue trabajando, por ley el contrato ya es INDEFINIDO (Art. 159 N°4): firmar anexo de paso a indefinido o regularizar el término",IF(I52="Obra o faena","Al concluir la obra: finiquito por Art. 159 N°5 + indemnización de 2,5 días por mes trabajado (Ley 21.122)",IF(N(K52)&gt;=3,"Por ley ya es indefinido (2ª renovación): firmar anexo de paso a indefinido",IF(N(K52)=2,"2° contrato a plazo: NO admite otra renovación a plazo fijo. Pasar a indefinido o terminar al vencimiento (carta dentro de 3 días hábiles)","1er contrato a plazo: renovar (2° plazo fijo), pasar a indefinido o terminar al vencimiento (carta dentro de 3 días hábiles)")))))))))))</f>
        <v/>
      </c>
      <c r="T52" s="70" t="str">
        <f aca="false">IF(B52="","",IF(COUNTIFS(C_ID,B52,C_FIRMADO,"&lt;&gt;Sí")&gt;0,COUNTIFS(C_ID,B52,C_FIRMADO,"&lt;&gt;Sí")&amp;" documento(s) sin firma. ","")&amp;IF(COUNTIFS(C_ID,B52,C_TIPO,"Plazo fijo",C_DEFINE,"Sí")&gt;2,"Más de 2 contratos a plazo: revisar presunción de indefinido. ","")&amp;IF(AND(R52="VENCIDO",LEFT(E52,6)="Activo"),"Trabaja con contrato vencido. ",""))</f>
        <v/>
      </c>
      <c r="U52" s="71" t="str">
        <f aca="false">IF(B52="","",INDEX(T_SUELDO,46))</f>
        <v/>
      </c>
      <c r="V52" s="72" t="str">
        <f aca="false">IF(AND(B52&lt;&gt;"",LEFT(E52,6)="Activo",ISNUMBER(O52),R52&lt;&gt;"Renovación registrada"),O52+ROW()/100000,"")</f>
        <v/>
      </c>
    </row>
    <row r="53" customFormat="false" ht="15" hidden="false" customHeight="false" outlineLevel="0" collapsed="false">
      <c r="B53" s="70" t="str">
        <f aca="false">IFERROR(IF(INDEX(T_ID,47)="","",INDEX(T_ID,47)),"")</f>
        <v/>
      </c>
      <c r="C53" s="70" t="str">
        <f aca="false">IF(B53="","",INDEX(T_NOMBRE,47)&amp;"")</f>
        <v/>
      </c>
      <c r="D53" s="70" t="str">
        <f aca="false">IF(B53="","",INDEX(T_CARGO,47)&amp;"")</f>
        <v/>
      </c>
      <c r="E53" s="70" t="str">
        <f aca="false">IF(B53="","",INDEX(T_ESTADO,47))</f>
        <v/>
      </c>
      <c r="F53" s="75" t="str">
        <f aca="false">IF(B53="","",INDEX(T_INGRESO,47))</f>
        <v/>
      </c>
      <c r="G53" s="70" t="str">
        <f aca="false">IF(B53="","",COUNTIFS(C_ID,B53,C_DEFINE,"Sí",C_INICIO,"&lt;="&amp;FECHA_CORTE))</f>
        <v/>
      </c>
      <c r="H53" s="70" t="str">
        <f aca="false">IF(B53="","",COUNTIFS(C_ID,B53,C_DEFINE,"Sí"))</f>
        <v/>
      </c>
      <c r="I53" s="70" t="str">
        <f aca="false">IF(B53="","",IF(H53=0,"Sin contrato",IFERROR(INDEX(C_TIPO,MATCH(B53&amp;"-P"&amp;MAX(1,G53),C_CLAVE,0))&amp;"","")))</f>
        <v/>
      </c>
      <c r="J53" s="70" t="str">
        <f aca="false">IF(OR(B53="",N(H53)=0),"",IFERROR(INDEX(C_TIPODOC,MATCH(B53&amp;"-P"&amp;MAX(1,G53),C_CLAVE,0))&amp;"",""))</f>
        <v/>
      </c>
      <c r="K53" s="76" t="str">
        <f aca="false">IF(I53="Plazo fijo",IFERROR(INDEX(C_NPF,MATCH(B53&amp;"-P"&amp;MAX(1,G53),C_CLAVE,0)),""),"")</f>
        <v/>
      </c>
      <c r="L53" s="70" t="str">
        <f aca="false">IF(B53="","",COUNTIFS(C_ID,B53,C_TIPODOC,"Anexo de modificación"))</f>
        <v/>
      </c>
      <c r="M53" s="75" t="str">
        <f aca="false">IF(OR(B53="",N(H53)=0),"",IFERROR(INDEX(C_INICIO,MATCH(B53&amp;"-P"&amp;MAX(1,G53),C_CLAVE,0)),""))</f>
        <v/>
      </c>
      <c r="N53" s="75" t="str">
        <f aca="false">IF(OR(I53="Plazo fijo",I53="Obra o faena"),IFERROR(IF(N(INDEX(C_TERMINO,MATCH(B53&amp;"-P"&amp;MAX(1,G53),C_CLAVE,0)))=0,"",INDEX(C_TERMINO,MATCH(B53&amp;"-P"&amp;MAX(1,G53),C_CLAVE,0))),""),"")</f>
        <v/>
      </c>
      <c r="O53" s="77" t="str">
        <f aca="false">IF(AND(ISNUMBER(N53),E53&lt;&gt;"Desvinculado"),N53-FECHA_CORTE,"")</f>
        <v/>
      </c>
      <c r="P53" s="75" t="str">
        <f aca="false">IF(AND(ISNUMBER(N53),E53&lt;&gt;"Desvinculado"),N53-DIAS_DECISION,"")</f>
        <v/>
      </c>
      <c r="Q53" s="75" t="str">
        <f aca="false">IF(OR(B53="",N(H53)&lt;=N(G53)),"",IFERROR(INDEX(C_INICIO,MATCH(B53&amp;"-P"&amp;(G53+1),C_CLAVE,0)),""))</f>
        <v/>
      </c>
      <c r="R53" s="70" t="str">
        <f aca="false">IF(B53="","",IF(E53="Desvinculado","Terminado",IF(H53=0,"Sin contrato registrado",IF(E53="Por ingresar","Por ingresar",IF(ISNUMBER(Q53),"Renovación registrada",IF(I53="Indefinido","Indefinido",IF(NOT(ISNUMBER(O53)),"Falta fecha de término",IF(O53&lt;0,"VENCIDO",IF(O53&lt;=ALERTA_ROJA,"Vence en ≤ "&amp;ALERTA_ROJA&amp;" días",IF(O53&lt;=ALERTA_NARANJA,"Vence en ≤ "&amp;ALERTA_NARANJA&amp;" días",IF(O53&lt;=ALERTA_AMARILLA,"Vence en ≤ "&amp;ALERTA_AMARILLA&amp;" días","Vigente")))))))))))</f>
        <v/>
      </c>
      <c r="S53" s="70" t="str">
        <f aca="false">IF(B53="","",IF(R53="Terminado","—",IF(R53="Sin contrato registrado","Registrar el contrato en la hoja Contratos",IF(R53="Por ingresar","Tener el contrato firmado y hacer el alta en AFP, salud, seguro de cesantía y mutual",IF(R53="Renovación registrada",IF(AND(N(K53)&gt;=2,IFERROR(INDEX(C_TIPO,MATCH(B53&amp;"-P"&amp;(G53+1),C_CLAVE,0)),"")="Plazo fijo"),"⚠ El período registrado sería el 3er contrato a plazo: por ley es INDEFINIDO. Registrarlo como Paso a indefinido","Siguiente período ya registrado: verificar que el documento esté firmado"),IF(I53="Indefinido","Sin vencimiento. Cambios de sueldo, cargo o jornada se formalizan con anexo de modificación",IF(R53="Falta fecha de término","Completar la fecha de término en la hoja Contratos",IF(R53="VENCIDO","Si sigue trabajando, por ley el contrato ya es INDEFINIDO (Art. 159 N°4): firmar anexo de paso a indefinido o regularizar el término",IF(I53="Obra o faena","Al concluir la obra: finiquito por Art. 159 N°5 + indemnización de 2,5 días por mes trabajado (Ley 21.122)",IF(N(K53)&gt;=3,"Por ley ya es indefinido (2ª renovación): firmar anexo de paso a indefinido",IF(N(K53)=2,"2° contrato a plazo: NO admite otra renovación a plazo fijo. Pasar a indefinido o terminar al vencimiento (carta dentro de 3 días hábiles)","1er contrato a plazo: renovar (2° plazo fijo), pasar a indefinido o terminar al vencimiento (carta dentro de 3 días hábiles)")))))))))))</f>
        <v/>
      </c>
      <c r="T53" s="70" t="str">
        <f aca="false">IF(B53="","",IF(COUNTIFS(C_ID,B53,C_FIRMADO,"&lt;&gt;Sí")&gt;0,COUNTIFS(C_ID,B53,C_FIRMADO,"&lt;&gt;Sí")&amp;" documento(s) sin firma. ","")&amp;IF(COUNTIFS(C_ID,B53,C_TIPO,"Plazo fijo",C_DEFINE,"Sí")&gt;2,"Más de 2 contratos a plazo: revisar presunción de indefinido. ","")&amp;IF(AND(R53="VENCIDO",LEFT(E53,6)="Activo"),"Trabaja con contrato vencido. ",""))</f>
        <v/>
      </c>
      <c r="U53" s="71" t="str">
        <f aca="false">IF(B53="","",INDEX(T_SUELDO,47))</f>
        <v/>
      </c>
      <c r="V53" s="72" t="str">
        <f aca="false">IF(AND(B53&lt;&gt;"",LEFT(E53,6)="Activo",ISNUMBER(O53),R53&lt;&gt;"Renovación registrada"),O53+ROW()/100000,"")</f>
        <v/>
      </c>
    </row>
    <row r="54" customFormat="false" ht="15" hidden="false" customHeight="false" outlineLevel="0" collapsed="false">
      <c r="B54" s="70" t="str">
        <f aca="false">IFERROR(IF(INDEX(T_ID,48)="","",INDEX(T_ID,48)),"")</f>
        <v/>
      </c>
      <c r="C54" s="70" t="str">
        <f aca="false">IF(B54="","",INDEX(T_NOMBRE,48)&amp;"")</f>
        <v/>
      </c>
      <c r="D54" s="70" t="str">
        <f aca="false">IF(B54="","",INDEX(T_CARGO,48)&amp;"")</f>
        <v/>
      </c>
      <c r="E54" s="70" t="str">
        <f aca="false">IF(B54="","",INDEX(T_ESTADO,48))</f>
        <v/>
      </c>
      <c r="F54" s="75" t="str">
        <f aca="false">IF(B54="","",INDEX(T_INGRESO,48))</f>
        <v/>
      </c>
      <c r="G54" s="70" t="str">
        <f aca="false">IF(B54="","",COUNTIFS(C_ID,B54,C_DEFINE,"Sí",C_INICIO,"&lt;="&amp;FECHA_CORTE))</f>
        <v/>
      </c>
      <c r="H54" s="70" t="str">
        <f aca="false">IF(B54="","",COUNTIFS(C_ID,B54,C_DEFINE,"Sí"))</f>
        <v/>
      </c>
      <c r="I54" s="70" t="str">
        <f aca="false">IF(B54="","",IF(H54=0,"Sin contrato",IFERROR(INDEX(C_TIPO,MATCH(B54&amp;"-P"&amp;MAX(1,G54),C_CLAVE,0))&amp;"","")))</f>
        <v/>
      </c>
      <c r="J54" s="70" t="str">
        <f aca="false">IF(OR(B54="",N(H54)=0),"",IFERROR(INDEX(C_TIPODOC,MATCH(B54&amp;"-P"&amp;MAX(1,G54),C_CLAVE,0))&amp;"",""))</f>
        <v/>
      </c>
      <c r="K54" s="76" t="str">
        <f aca="false">IF(I54="Plazo fijo",IFERROR(INDEX(C_NPF,MATCH(B54&amp;"-P"&amp;MAX(1,G54),C_CLAVE,0)),""),"")</f>
        <v/>
      </c>
      <c r="L54" s="70" t="str">
        <f aca="false">IF(B54="","",COUNTIFS(C_ID,B54,C_TIPODOC,"Anexo de modificación"))</f>
        <v/>
      </c>
      <c r="M54" s="75" t="str">
        <f aca="false">IF(OR(B54="",N(H54)=0),"",IFERROR(INDEX(C_INICIO,MATCH(B54&amp;"-P"&amp;MAX(1,G54),C_CLAVE,0)),""))</f>
        <v/>
      </c>
      <c r="N54" s="75" t="str">
        <f aca="false">IF(OR(I54="Plazo fijo",I54="Obra o faena"),IFERROR(IF(N(INDEX(C_TERMINO,MATCH(B54&amp;"-P"&amp;MAX(1,G54),C_CLAVE,0)))=0,"",INDEX(C_TERMINO,MATCH(B54&amp;"-P"&amp;MAX(1,G54),C_CLAVE,0))),""),"")</f>
        <v/>
      </c>
      <c r="O54" s="77" t="str">
        <f aca="false">IF(AND(ISNUMBER(N54),E54&lt;&gt;"Desvinculado"),N54-FECHA_CORTE,"")</f>
        <v/>
      </c>
      <c r="P54" s="75" t="str">
        <f aca="false">IF(AND(ISNUMBER(N54),E54&lt;&gt;"Desvinculado"),N54-DIAS_DECISION,"")</f>
        <v/>
      </c>
      <c r="Q54" s="75" t="str">
        <f aca="false">IF(OR(B54="",N(H54)&lt;=N(G54)),"",IFERROR(INDEX(C_INICIO,MATCH(B54&amp;"-P"&amp;(G54+1),C_CLAVE,0)),""))</f>
        <v/>
      </c>
      <c r="R54" s="70" t="str">
        <f aca="false">IF(B54="","",IF(E54="Desvinculado","Terminado",IF(H54=0,"Sin contrato registrado",IF(E54="Por ingresar","Por ingresar",IF(ISNUMBER(Q54),"Renovación registrada",IF(I54="Indefinido","Indefinido",IF(NOT(ISNUMBER(O54)),"Falta fecha de término",IF(O54&lt;0,"VENCIDO",IF(O54&lt;=ALERTA_ROJA,"Vence en ≤ "&amp;ALERTA_ROJA&amp;" días",IF(O54&lt;=ALERTA_NARANJA,"Vence en ≤ "&amp;ALERTA_NARANJA&amp;" días",IF(O54&lt;=ALERTA_AMARILLA,"Vence en ≤ "&amp;ALERTA_AMARILLA&amp;" días","Vigente")))))))))))</f>
        <v/>
      </c>
      <c r="S54" s="70" t="str">
        <f aca="false">IF(B54="","",IF(R54="Terminado","—",IF(R54="Sin contrato registrado","Registrar el contrato en la hoja Contratos",IF(R54="Por ingresar","Tener el contrato firmado y hacer el alta en AFP, salud, seguro de cesantía y mutual",IF(R54="Renovación registrada",IF(AND(N(K54)&gt;=2,IFERROR(INDEX(C_TIPO,MATCH(B54&amp;"-P"&amp;(G54+1),C_CLAVE,0)),"")="Plazo fijo"),"⚠ El período registrado sería el 3er contrato a plazo: por ley es INDEFINIDO. Registrarlo como Paso a indefinido","Siguiente período ya registrado: verificar que el documento esté firmado"),IF(I54="Indefinido","Sin vencimiento. Cambios de sueldo, cargo o jornada se formalizan con anexo de modificación",IF(R54="Falta fecha de término","Completar la fecha de término en la hoja Contratos",IF(R54="VENCIDO","Si sigue trabajando, por ley el contrato ya es INDEFINIDO (Art. 159 N°4): firmar anexo de paso a indefinido o regularizar el término",IF(I54="Obra o faena","Al concluir la obra: finiquito por Art. 159 N°5 + indemnización de 2,5 días por mes trabajado (Ley 21.122)",IF(N(K54)&gt;=3,"Por ley ya es indefinido (2ª renovación): firmar anexo de paso a indefinido",IF(N(K54)=2,"2° contrato a plazo: NO admite otra renovación a plazo fijo. Pasar a indefinido o terminar al vencimiento (carta dentro de 3 días hábiles)","1er contrato a plazo: renovar (2° plazo fijo), pasar a indefinido o terminar al vencimiento (carta dentro de 3 días hábiles)")))))))))))</f>
        <v/>
      </c>
      <c r="T54" s="70" t="str">
        <f aca="false">IF(B54="","",IF(COUNTIFS(C_ID,B54,C_FIRMADO,"&lt;&gt;Sí")&gt;0,COUNTIFS(C_ID,B54,C_FIRMADO,"&lt;&gt;Sí")&amp;" documento(s) sin firma. ","")&amp;IF(COUNTIFS(C_ID,B54,C_TIPO,"Plazo fijo",C_DEFINE,"Sí")&gt;2,"Más de 2 contratos a plazo: revisar presunción de indefinido. ","")&amp;IF(AND(R54="VENCIDO",LEFT(E54,6)="Activo"),"Trabaja con contrato vencido. ",""))</f>
        <v/>
      </c>
      <c r="U54" s="71" t="str">
        <f aca="false">IF(B54="","",INDEX(T_SUELDO,48))</f>
        <v/>
      </c>
      <c r="V54" s="72" t="str">
        <f aca="false">IF(AND(B54&lt;&gt;"",LEFT(E54,6)="Activo",ISNUMBER(O54),R54&lt;&gt;"Renovación registrada"),O54+ROW()/100000,"")</f>
        <v/>
      </c>
    </row>
    <row r="55" customFormat="false" ht="15" hidden="false" customHeight="false" outlineLevel="0" collapsed="false">
      <c r="B55" s="70" t="str">
        <f aca="false">IFERROR(IF(INDEX(T_ID,49)="","",INDEX(T_ID,49)),"")</f>
        <v/>
      </c>
      <c r="C55" s="70" t="str">
        <f aca="false">IF(B55="","",INDEX(T_NOMBRE,49)&amp;"")</f>
        <v/>
      </c>
      <c r="D55" s="70" t="str">
        <f aca="false">IF(B55="","",INDEX(T_CARGO,49)&amp;"")</f>
        <v/>
      </c>
      <c r="E55" s="70" t="str">
        <f aca="false">IF(B55="","",INDEX(T_ESTADO,49))</f>
        <v/>
      </c>
      <c r="F55" s="75" t="str">
        <f aca="false">IF(B55="","",INDEX(T_INGRESO,49))</f>
        <v/>
      </c>
      <c r="G55" s="70" t="str">
        <f aca="false">IF(B55="","",COUNTIFS(C_ID,B55,C_DEFINE,"Sí",C_INICIO,"&lt;="&amp;FECHA_CORTE))</f>
        <v/>
      </c>
      <c r="H55" s="70" t="str">
        <f aca="false">IF(B55="","",COUNTIFS(C_ID,B55,C_DEFINE,"Sí"))</f>
        <v/>
      </c>
      <c r="I55" s="70" t="str">
        <f aca="false">IF(B55="","",IF(H55=0,"Sin contrato",IFERROR(INDEX(C_TIPO,MATCH(B55&amp;"-P"&amp;MAX(1,G55),C_CLAVE,0))&amp;"","")))</f>
        <v/>
      </c>
      <c r="J55" s="70" t="str">
        <f aca="false">IF(OR(B55="",N(H55)=0),"",IFERROR(INDEX(C_TIPODOC,MATCH(B55&amp;"-P"&amp;MAX(1,G55),C_CLAVE,0))&amp;"",""))</f>
        <v/>
      </c>
      <c r="K55" s="76" t="str">
        <f aca="false">IF(I55="Plazo fijo",IFERROR(INDEX(C_NPF,MATCH(B55&amp;"-P"&amp;MAX(1,G55),C_CLAVE,0)),""),"")</f>
        <v/>
      </c>
      <c r="L55" s="70" t="str">
        <f aca="false">IF(B55="","",COUNTIFS(C_ID,B55,C_TIPODOC,"Anexo de modificación"))</f>
        <v/>
      </c>
      <c r="M55" s="75" t="str">
        <f aca="false">IF(OR(B55="",N(H55)=0),"",IFERROR(INDEX(C_INICIO,MATCH(B55&amp;"-P"&amp;MAX(1,G55),C_CLAVE,0)),""))</f>
        <v/>
      </c>
      <c r="N55" s="75" t="str">
        <f aca="false">IF(OR(I55="Plazo fijo",I55="Obra o faena"),IFERROR(IF(N(INDEX(C_TERMINO,MATCH(B55&amp;"-P"&amp;MAX(1,G55),C_CLAVE,0)))=0,"",INDEX(C_TERMINO,MATCH(B55&amp;"-P"&amp;MAX(1,G55),C_CLAVE,0))),""),"")</f>
        <v/>
      </c>
      <c r="O55" s="77" t="str">
        <f aca="false">IF(AND(ISNUMBER(N55),E55&lt;&gt;"Desvinculado"),N55-FECHA_CORTE,"")</f>
        <v/>
      </c>
      <c r="P55" s="75" t="str">
        <f aca="false">IF(AND(ISNUMBER(N55),E55&lt;&gt;"Desvinculado"),N55-DIAS_DECISION,"")</f>
        <v/>
      </c>
      <c r="Q55" s="75" t="str">
        <f aca="false">IF(OR(B55="",N(H55)&lt;=N(G55)),"",IFERROR(INDEX(C_INICIO,MATCH(B55&amp;"-P"&amp;(G55+1),C_CLAVE,0)),""))</f>
        <v/>
      </c>
      <c r="R55" s="70" t="str">
        <f aca="false">IF(B55="","",IF(E55="Desvinculado","Terminado",IF(H55=0,"Sin contrato registrado",IF(E55="Por ingresar","Por ingresar",IF(ISNUMBER(Q55),"Renovación registrada",IF(I55="Indefinido","Indefinido",IF(NOT(ISNUMBER(O55)),"Falta fecha de término",IF(O55&lt;0,"VENCIDO",IF(O55&lt;=ALERTA_ROJA,"Vence en ≤ "&amp;ALERTA_ROJA&amp;" días",IF(O55&lt;=ALERTA_NARANJA,"Vence en ≤ "&amp;ALERTA_NARANJA&amp;" días",IF(O55&lt;=ALERTA_AMARILLA,"Vence en ≤ "&amp;ALERTA_AMARILLA&amp;" días","Vigente")))))))))))</f>
        <v/>
      </c>
      <c r="S55" s="70" t="str">
        <f aca="false">IF(B55="","",IF(R55="Terminado","—",IF(R55="Sin contrato registrado","Registrar el contrato en la hoja Contratos",IF(R55="Por ingresar","Tener el contrato firmado y hacer el alta en AFP, salud, seguro de cesantía y mutual",IF(R55="Renovación registrada",IF(AND(N(K55)&gt;=2,IFERROR(INDEX(C_TIPO,MATCH(B55&amp;"-P"&amp;(G55+1),C_CLAVE,0)),"")="Plazo fijo"),"⚠ El período registrado sería el 3er contrato a plazo: por ley es INDEFINIDO. Registrarlo como Paso a indefinido","Siguiente período ya registrado: verificar que el documento esté firmado"),IF(I55="Indefinido","Sin vencimiento. Cambios de sueldo, cargo o jornada se formalizan con anexo de modificación",IF(R55="Falta fecha de término","Completar la fecha de término en la hoja Contratos",IF(R55="VENCIDO","Si sigue trabajando, por ley el contrato ya es INDEFINIDO (Art. 159 N°4): firmar anexo de paso a indefinido o regularizar el término",IF(I55="Obra o faena","Al concluir la obra: finiquito por Art. 159 N°5 + indemnización de 2,5 días por mes trabajado (Ley 21.122)",IF(N(K55)&gt;=3,"Por ley ya es indefinido (2ª renovación): firmar anexo de paso a indefinido",IF(N(K55)=2,"2° contrato a plazo: NO admite otra renovación a plazo fijo. Pasar a indefinido o terminar al vencimiento (carta dentro de 3 días hábiles)","1er contrato a plazo: renovar (2° plazo fijo), pasar a indefinido o terminar al vencimiento (carta dentro de 3 días hábiles)")))))))))))</f>
        <v/>
      </c>
      <c r="T55" s="70" t="str">
        <f aca="false">IF(B55="","",IF(COUNTIFS(C_ID,B55,C_FIRMADO,"&lt;&gt;Sí")&gt;0,COUNTIFS(C_ID,B55,C_FIRMADO,"&lt;&gt;Sí")&amp;" documento(s) sin firma. ","")&amp;IF(COUNTIFS(C_ID,B55,C_TIPO,"Plazo fijo",C_DEFINE,"Sí")&gt;2,"Más de 2 contratos a plazo: revisar presunción de indefinido. ","")&amp;IF(AND(R55="VENCIDO",LEFT(E55,6)="Activo"),"Trabaja con contrato vencido. ",""))</f>
        <v/>
      </c>
      <c r="U55" s="71" t="str">
        <f aca="false">IF(B55="","",INDEX(T_SUELDO,49))</f>
        <v/>
      </c>
      <c r="V55" s="72" t="str">
        <f aca="false">IF(AND(B55&lt;&gt;"",LEFT(E55,6)="Activo",ISNUMBER(O55),R55&lt;&gt;"Renovación registrada"),O55+ROW()/100000,"")</f>
        <v/>
      </c>
    </row>
    <row r="56" customFormat="false" ht="15" hidden="false" customHeight="false" outlineLevel="0" collapsed="false">
      <c r="B56" s="70" t="str">
        <f aca="false">IFERROR(IF(INDEX(T_ID,50)="","",INDEX(T_ID,50)),"")</f>
        <v/>
      </c>
      <c r="C56" s="70" t="str">
        <f aca="false">IF(B56="","",INDEX(T_NOMBRE,50)&amp;"")</f>
        <v/>
      </c>
      <c r="D56" s="70" t="str">
        <f aca="false">IF(B56="","",INDEX(T_CARGO,50)&amp;"")</f>
        <v/>
      </c>
      <c r="E56" s="70" t="str">
        <f aca="false">IF(B56="","",INDEX(T_ESTADO,50))</f>
        <v/>
      </c>
      <c r="F56" s="75" t="str">
        <f aca="false">IF(B56="","",INDEX(T_INGRESO,50))</f>
        <v/>
      </c>
      <c r="G56" s="70" t="str">
        <f aca="false">IF(B56="","",COUNTIFS(C_ID,B56,C_DEFINE,"Sí",C_INICIO,"&lt;="&amp;FECHA_CORTE))</f>
        <v/>
      </c>
      <c r="H56" s="70" t="str">
        <f aca="false">IF(B56="","",COUNTIFS(C_ID,B56,C_DEFINE,"Sí"))</f>
        <v/>
      </c>
      <c r="I56" s="70" t="str">
        <f aca="false">IF(B56="","",IF(H56=0,"Sin contrato",IFERROR(INDEX(C_TIPO,MATCH(B56&amp;"-P"&amp;MAX(1,G56),C_CLAVE,0))&amp;"","")))</f>
        <v/>
      </c>
      <c r="J56" s="70" t="str">
        <f aca="false">IF(OR(B56="",N(H56)=0),"",IFERROR(INDEX(C_TIPODOC,MATCH(B56&amp;"-P"&amp;MAX(1,G56),C_CLAVE,0))&amp;"",""))</f>
        <v/>
      </c>
      <c r="K56" s="76" t="str">
        <f aca="false">IF(I56="Plazo fijo",IFERROR(INDEX(C_NPF,MATCH(B56&amp;"-P"&amp;MAX(1,G56),C_CLAVE,0)),""),"")</f>
        <v/>
      </c>
      <c r="L56" s="70" t="str">
        <f aca="false">IF(B56="","",COUNTIFS(C_ID,B56,C_TIPODOC,"Anexo de modificación"))</f>
        <v/>
      </c>
      <c r="M56" s="75" t="str">
        <f aca="false">IF(OR(B56="",N(H56)=0),"",IFERROR(INDEX(C_INICIO,MATCH(B56&amp;"-P"&amp;MAX(1,G56),C_CLAVE,0)),""))</f>
        <v/>
      </c>
      <c r="N56" s="75" t="str">
        <f aca="false">IF(OR(I56="Plazo fijo",I56="Obra o faena"),IFERROR(IF(N(INDEX(C_TERMINO,MATCH(B56&amp;"-P"&amp;MAX(1,G56),C_CLAVE,0)))=0,"",INDEX(C_TERMINO,MATCH(B56&amp;"-P"&amp;MAX(1,G56),C_CLAVE,0))),""),"")</f>
        <v/>
      </c>
      <c r="O56" s="77" t="str">
        <f aca="false">IF(AND(ISNUMBER(N56),E56&lt;&gt;"Desvinculado"),N56-FECHA_CORTE,"")</f>
        <v/>
      </c>
      <c r="P56" s="75" t="str">
        <f aca="false">IF(AND(ISNUMBER(N56),E56&lt;&gt;"Desvinculado"),N56-DIAS_DECISION,"")</f>
        <v/>
      </c>
      <c r="Q56" s="75" t="str">
        <f aca="false">IF(OR(B56="",N(H56)&lt;=N(G56)),"",IFERROR(INDEX(C_INICIO,MATCH(B56&amp;"-P"&amp;(G56+1),C_CLAVE,0)),""))</f>
        <v/>
      </c>
      <c r="R56" s="70" t="str">
        <f aca="false">IF(B56="","",IF(E56="Desvinculado","Terminado",IF(H56=0,"Sin contrato registrado",IF(E56="Por ingresar","Por ingresar",IF(ISNUMBER(Q56),"Renovación registrada",IF(I56="Indefinido","Indefinido",IF(NOT(ISNUMBER(O56)),"Falta fecha de término",IF(O56&lt;0,"VENCIDO",IF(O56&lt;=ALERTA_ROJA,"Vence en ≤ "&amp;ALERTA_ROJA&amp;" días",IF(O56&lt;=ALERTA_NARANJA,"Vence en ≤ "&amp;ALERTA_NARANJA&amp;" días",IF(O56&lt;=ALERTA_AMARILLA,"Vence en ≤ "&amp;ALERTA_AMARILLA&amp;" días","Vigente")))))))))))</f>
        <v/>
      </c>
      <c r="S56" s="70" t="str">
        <f aca="false">IF(B56="","",IF(R56="Terminado","—",IF(R56="Sin contrato registrado","Registrar el contrato en la hoja Contratos",IF(R56="Por ingresar","Tener el contrato firmado y hacer el alta en AFP, salud, seguro de cesantía y mutual",IF(R56="Renovación registrada",IF(AND(N(K56)&gt;=2,IFERROR(INDEX(C_TIPO,MATCH(B56&amp;"-P"&amp;(G56+1),C_CLAVE,0)),"")="Plazo fijo"),"⚠ El período registrado sería el 3er contrato a plazo: por ley es INDEFINIDO. Registrarlo como Paso a indefinido","Siguiente período ya registrado: verificar que el documento esté firmado"),IF(I56="Indefinido","Sin vencimiento. Cambios de sueldo, cargo o jornada se formalizan con anexo de modificación",IF(R56="Falta fecha de término","Completar la fecha de término en la hoja Contratos",IF(R56="VENCIDO","Si sigue trabajando, por ley el contrato ya es INDEFINIDO (Art. 159 N°4): firmar anexo de paso a indefinido o regularizar el término",IF(I56="Obra o faena","Al concluir la obra: finiquito por Art. 159 N°5 + indemnización de 2,5 días por mes trabajado (Ley 21.122)",IF(N(K56)&gt;=3,"Por ley ya es indefinido (2ª renovación): firmar anexo de paso a indefinido",IF(N(K56)=2,"2° contrato a plazo: NO admite otra renovación a plazo fijo. Pasar a indefinido o terminar al vencimiento (carta dentro de 3 días hábiles)","1er contrato a plazo: renovar (2° plazo fijo), pasar a indefinido o terminar al vencimiento (carta dentro de 3 días hábiles)")))))))))))</f>
        <v/>
      </c>
      <c r="T56" s="70" t="str">
        <f aca="false">IF(B56="","",IF(COUNTIFS(C_ID,B56,C_FIRMADO,"&lt;&gt;Sí")&gt;0,COUNTIFS(C_ID,B56,C_FIRMADO,"&lt;&gt;Sí")&amp;" documento(s) sin firma. ","")&amp;IF(COUNTIFS(C_ID,B56,C_TIPO,"Plazo fijo",C_DEFINE,"Sí")&gt;2,"Más de 2 contratos a plazo: revisar presunción de indefinido. ","")&amp;IF(AND(R56="VENCIDO",LEFT(E56,6)="Activo"),"Trabaja con contrato vencido. ",""))</f>
        <v/>
      </c>
      <c r="U56" s="71" t="str">
        <f aca="false">IF(B56="","",INDEX(T_SUELDO,50))</f>
        <v/>
      </c>
      <c r="V56" s="72" t="str">
        <f aca="false">IF(AND(B56&lt;&gt;"",LEFT(E56,6)="Activo",ISNUMBER(O56),R56&lt;&gt;"Renovación registrada"),O56+ROW()/100000,"")</f>
        <v/>
      </c>
    </row>
    <row r="57" customFormat="false" ht="15" hidden="false" customHeight="false" outlineLevel="0" collapsed="false">
      <c r="B57" s="70" t="str">
        <f aca="false">IFERROR(IF(INDEX(T_ID,51)="","",INDEX(T_ID,51)),"")</f>
        <v/>
      </c>
      <c r="C57" s="70" t="str">
        <f aca="false">IF(B57="","",INDEX(T_NOMBRE,51)&amp;"")</f>
        <v/>
      </c>
      <c r="D57" s="70" t="str">
        <f aca="false">IF(B57="","",INDEX(T_CARGO,51)&amp;"")</f>
        <v/>
      </c>
      <c r="E57" s="70" t="str">
        <f aca="false">IF(B57="","",INDEX(T_ESTADO,51))</f>
        <v/>
      </c>
      <c r="F57" s="75" t="str">
        <f aca="false">IF(B57="","",INDEX(T_INGRESO,51))</f>
        <v/>
      </c>
      <c r="G57" s="70" t="str">
        <f aca="false">IF(B57="","",COUNTIFS(C_ID,B57,C_DEFINE,"Sí",C_INICIO,"&lt;="&amp;FECHA_CORTE))</f>
        <v/>
      </c>
      <c r="H57" s="70" t="str">
        <f aca="false">IF(B57="","",COUNTIFS(C_ID,B57,C_DEFINE,"Sí"))</f>
        <v/>
      </c>
      <c r="I57" s="70" t="str">
        <f aca="false">IF(B57="","",IF(H57=0,"Sin contrato",IFERROR(INDEX(C_TIPO,MATCH(B57&amp;"-P"&amp;MAX(1,G57),C_CLAVE,0))&amp;"","")))</f>
        <v/>
      </c>
      <c r="J57" s="70" t="str">
        <f aca="false">IF(OR(B57="",N(H57)=0),"",IFERROR(INDEX(C_TIPODOC,MATCH(B57&amp;"-P"&amp;MAX(1,G57),C_CLAVE,0))&amp;"",""))</f>
        <v/>
      </c>
      <c r="K57" s="76" t="str">
        <f aca="false">IF(I57="Plazo fijo",IFERROR(INDEX(C_NPF,MATCH(B57&amp;"-P"&amp;MAX(1,G57),C_CLAVE,0)),""),"")</f>
        <v/>
      </c>
      <c r="L57" s="70" t="str">
        <f aca="false">IF(B57="","",COUNTIFS(C_ID,B57,C_TIPODOC,"Anexo de modificación"))</f>
        <v/>
      </c>
      <c r="M57" s="75" t="str">
        <f aca="false">IF(OR(B57="",N(H57)=0),"",IFERROR(INDEX(C_INICIO,MATCH(B57&amp;"-P"&amp;MAX(1,G57),C_CLAVE,0)),""))</f>
        <v/>
      </c>
      <c r="N57" s="75" t="str">
        <f aca="false">IF(OR(I57="Plazo fijo",I57="Obra o faena"),IFERROR(IF(N(INDEX(C_TERMINO,MATCH(B57&amp;"-P"&amp;MAX(1,G57),C_CLAVE,0)))=0,"",INDEX(C_TERMINO,MATCH(B57&amp;"-P"&amp;MAX(1,G57),C_CLAVE,0))),""),"")</f>
        <v/>
      </c>
      <c r="O57" s="77" t="str">
        <f aca="false">IF(AND(ISNUMBER(N57),E57&lt;&gt;"Desvinculado"),N57-FECHA_CORTE,"")</f>
        <v/>
      </c>
      <c r="P57" s="75" t="str">
        <f aca="false">IF(AND(ISNUMBER(N57),E57&lt;&gt;"Desvinculado"),N57-DIAS_DECISION,"")</f>
        <v/>
      </c>
      <c r="Q57" s="75" t="str">
        <f aca="false">IF(OR(B57="",N(H57)&lt;=N(G57)),"",IFERROR(INDEX(C_INICIO,MATCH(B57&amp;"-P"&amp;(G57+1),C_CLAVE,0)),""))</f>
        <v/>
      </c>
      <c r="R57" s="70" t="str">
        <f aca="false">IF(B57="","",IF(E57="Desvinculado","Terminado",IF(H57=0,"Sin contrato registrado",IF(E57="Por ingresar","Por ingresar",IF(ISNUMBER(Q57),"Renovación registrada",IF(I57="Indefinido","Indefinido",IF(NOT(ISNUMBER(O57)),"Falta fecha de término",IF(O57&lt;0,"VENCIDO",IF(O57&lt;=ALERTA_ROJA,"Vence en ≤ "&amp;ALERTA_ROJA&amp;" días",IF(O57&lt;=ALERTA_NARANJA,"Vence en ≤ "&amp;ALERTA_NARANJA&amp;" días",IF(O57&lt;=ALERTA_AMARILLA,"Vence en ≤ "&amp;ALERTA_AMARILLA&amp;" días","Vigente")))))))))))</f>
        <v/>
      </c>
      <c r="S57" s="70" t="str">
        <f aca="false">IF(B57="","",IF(R57="Terminado","—",IF(R57="Sin contrato registrado","Registrar el contrato en la hoja Contratos",IF(R57="Por ingresar","Tener el contrato firmado y hacer el alta en AFP, salud, seguro de cesantía y mutual",IF(R57="Renovación registrada",IF(AND(N(K57)&gt;=2,IFERROR(INDEX(C_TIPO,MATCH(B57&amp;"-P"&amp;(G57+1),C_CLAVE,0)),"")="Plazo fijo"),"⚠ El período registrado sería el 3er contrato a plazo: por ley es INDEFINIDO. Registrarlo como Paso a indefinido","Siguiente período ya registrado: verificar que el documento esté firmado"),IF(I57="Indefinido","Sin vencimiento. Cambios de sueldo, cargo o jornada se formalizan con anexo de modificación",IF(R57="Falta fecha de término","Completar la fecha de término en la hoja Contratos",IF(R57="VENCIDO","Si sigue trabajando, por ley el contrato ya es INDEFINIDO (Art. 159 N°4): firmar anexo de paso a indefinido o regularizar el término",IF(I57="Obra o faena","Al concluir la obra: finiquito por Art. 159 N°5 + indemnización de 2,5 días por mes trabajado (Ley 21.122)",IF(N(K57)&gt;=3,"Por ley ya es indefinido (2ª renovación): firmar anexo de paso a indefinido",IF(N(K57)=2,"2° contrato a plazo: NO admite otra renovación a plazo fijo. Pasar a indefinido o terminar al vencimiento (carta dentro de 3 días hábiles)","1er contrato a plazo: renovar (2° plazo fijo), pasar a indefinido o terminar al vencimiento (carta dentro de 3 días hábiles)")))))))))))</f>
        <v/>
      </c>
      <c r="T57" s="70" t="str">
        <f aca="false">IF(B57="","",IF(COUNTIFS(C_ID,B57,C_FIRMADO,"&lt;&gt;Sí")&gt;0,COUNTIFS(C_ID,B57,C_FIRMADO,"&lt;&gt;Sí")&amp;" documento(s) sin firma. ","")&amp;IF(COUNTIFS(C_ID,B57,C_TIPO,"Plazo fijo",C_DEFINE,"Sí")&gt;2,"Más de 2 contratos a plazo: revisar presunción de indefinido. ","")&amp;IF(AND(R57="VENCIDO",LEFT(E57,6)="Activo"),"Trabaja con contrato vencido. ",""))</f>
        <v/>
      </c>
      <c r="U57" s="71" t="str">
        <f aca="false">IF(B57="","",INDEX(T_SUELDO,51))</f>
        <v/>
      </c>
      <c r="V57" s="72" t="str">
        <f aca="false">IF(AND(B57&lt;&gt;"",LEFT(E57,6)="Activo",ISNUMBER(O57),R57&lt;&gt;"Renovación registrada"),O57+ROW()/100000,"")</f>
        <v/>
      </c>
    </row>
    <row r="58" customFormat="false" ht="15" hidden="false" customHeight="false" outlineLevel="0" collapsed="false">
      <c r="B58" s="70" t="str">
        <f aca="false">IFERROR(IF(INDEX(T_ID,52)="","",INDEX(T_ID,52)),"")</f>
        <v/>
      </c>
      <c r="C58" s="70" t="str">
        <f aca="false">IF(B58="","",INDEX(T_NOMBRE,52)&amp;"")</f>
        <v/>
      </c>
      <c r="D58" s="70" t="str">
        <f aca="false">IF(B58="","",INDEX(T_CARGO,52)&amp;"")</f>
        <v/>
      </c>
      <c r="E58" s="70" t="str">
        <f aca="false">IF(B58="","",INDEX(T_ESTADO,52))</f>
        <v/>
      </c>
      <c r="F58" s="75" t="str">
        <f aca="false">IF(B58="","",INDEX(T_INGRESO,52))</f>
        <v/>
      </c>
      <c r="G58" s="70" t="str">
        <f aca="false">IF(B58="","",COUNTIFS(C_ID,B58,C_DEFINE,"Sí",C_INICIO,"&lt;="&amp;FECHA_CORTE))</f>
        <v/>
      </c>
      <c r="H58" s="70" t="str">
        <f aca="false">IF(B58="","",COUNTIFS(C_ID,B58,C_DEFINE,"Sí"))</f>
        <v/>
      </c>
      <c r="I58" s="70" t="str">
        <f aca="false">IF(B58="","",IF(H58=0,"Sin contrato",IFERROR(INDEX(C_TIPO,MATCH(B58&amp;"-P"&amp;MAX(1,G58),C_CLAVE,0))&amp;"","")))</f>
        <v/>
      </c>
      <c r="J58" s="70" t="str">
        <f aca="false">IF(OR(B58="",N(H58)=0),"",IFERROR(INDEX(C_TIPODOC,MATCH(B58&amp;"-P"&amp;MAX(1,G58),C_CLAVE,0))&amp;"",""))</f>
        <v/>
      </c>
      <c r="K58" s="76" t="str">
        <f aca="false">IF(I58="Plazo fijo",IFERROR(INDEX(C_NPF,MATCH(B58&amp;"-P"&amp;MAX(1,G58),C_CLAVE,0)),""),"")</f>
        <v/>
      </c>
      <c r="L58" s="70" t="str">
        <f aca="false">IF(B58="","",COUNTIFS(C_ID,B58,C_TIPODOC,"Anexo de modificación"))</f>
        <v/>
      </c>
      <c r="M58" s="75" t="str">
        <f aca="false">IF(OR(B58="",N(H58)=0),"",IFERROR(INDEX(C_INICIO,MATCH(B58&amp;"-P"&amp;MAX(1,G58),C_CLAVE,0)),""))</f>
        <v/>
      </c>
      <c r="N58" s="75" t="str">
        <f aca="false">IF(OR(I58="Plazo fijo",I58="Obra o faena"),IFERROR(IF(N(INDEX(C_TERMINO,MATCH(B58&amp;"-P"&amp;MAX(1,G58),C_CLAVE,0)))=0,"",INDEX(C_TERMINO,MATCH(B58&amp;"-P"&amp;MAX(1,G58),C_CLAVE,0))),""),"")</f>
        <v/>
      </c>
      <c r="O58" s="77" t="str">
        <f aca="false">IF(AND(ISNUMBER(N58),E58&lt;&gt;"Desvinculado"),N58-FECHA_CORTE,"")</f>
        <v/>
      </c>
      <c r="P58" s="75" t="str">
        <f aca="false">IF(AND(ISNUMBER(N58),E58&lt;&gt;"Desvinculado"),N58-DIAS_DECISION,"")</f>
        <v/>
      </c>
      <c r="Q58" s="75" t="str">
        <f aca="false">IF(OR(B58="",N(H58)&lt;=N(G58)),"",IFERROR(INDEX(C_INICIO,MATCH(B58&amp;"-P"&amp;(G58+1),C_CLAVE,0)),""))</f>
        <v/>
      </c>
      <c r="R58" s="70" t="str">
        <f aca="false">IF(B58="","",IF(E58="Desvinculado","Terminado",IF(H58=0,"Sin contrato registrado",IF(E58="Por ingresar","Por ingresar",IF(ISNUMBER(Q58),"Renovación registrada",IF(I58="Indefinido","Indefinido",IF(NOT(ISNUMBER(O58)),"Falta fecha de término",IF(O58&lt;0,"VENCIDO",IF(O58&lt;=ALERTA_ROJA,"Vence en ≤ "&amp;ALERTA_ROJA&amp;" días",IF(O58&lt;=ALERTA_NARANJA,"Vence en ≤ "&amp;ALERTA_NARANJA&amp;" días",IF(O58&lt;=ALERTA_AMARILLA,"Vence en ≤ "&amp;ALERTA_AMARILLA&amp;" días","Vigente")))))))))))</f>
        <v/>
      </c>
      <c r="S58" s="70" t="str">
        <f aca="false">IF(B58="","",IF(R58="Terminado","—",IF(R58="Sin contrato registrado","Registrar el contrato en la hoja Contratos",IF(R58="Por ingresar","Tener el contrato firmado y hacer el alta en AFP, salud, seguro de cesantía y mutual",IF(R58="Renovación registrada",IF(AND(N(K58)&gt;=2,IFERROR(INDEX(C_TIPO,MATCH(B58&amp;"-P"&amp;(G58+1),C_CLAVE,0)),"")="Plazo fijo"),"⚠ El período registrado sería el 3er contrato a plazo: por ley es INDEFINIDO. Registrarlo como Paso a indefinido","Siguiente período ya registrado: verificar que el documento esté firmado"),IF(I58="Indefinido","Sin vencimiento. Cambios de sueldo, cargo o jornada se formalizan con anexo de modificación",IF(R58="Falta fecha de término","Completar la fecha de término en la hoja Contratos",IF(R58="VENCIDO","Si sigue trabajando, por ley el contrato ya es INDEFINIDO (Art. 159 N°4): firmar anexo de paso a indefinido o regularizar el término",IF(I58="Obra o faena","Al concluir la obra: finiquito por Art. 159 N°5 + indemnización de 2,5 días por mes trabajado (Ley 21.122)",IF(N(K58)&gt;=3,"Por ley ya es indefinido (2ª renovación): firmar anexo de paso a indefinido",IF(N(K58)=2,"2° contrato a plazo: NO admite otra renovación a plazo fijo. Pasar a indefinido o terminar al vencimiento (carta dentro de 3 días hábiles)","1er contrato a plazo: renovar (2° plazo fijo), pasar a indefinido o terminar al vencimiento (carta dentro de 3 días hábiles)")))))))))))</f>
        <v/>
      </c>
      <c r="T58" s="70" t="str">
        <f aca="false">IF(B58="","",IF(COUNTIFS(C_ID,B58,C_FIRMADO,"&lt;&gt;Sí")&gt;0,COUNTIFS(C_ID,B58,C_FIRMADO,"&lt;&gt;Sí")&amp;" documento(s) sin firma. ","")&amp;IF(COUNTIFS(C_ID,B58,C_TIPO,"Plazo fijo",C_DEFINE,"Sí")&gt;2,"Más de 2 contratos a plazo: revisar presunción de indefinido. ","")&amp;IF(AND(R58="VENCIDO",LEFT(E58,6)="Activo"),"Trabaja con contrato vencido. ",""))</f>
        <v/>
      </c>
      <c r="U58" s="71" t="str">
        <f aca="false">IF(B58="","",INDEX(T_SUELDO,52))</f>
        <v/>
      </c>
      <c r="V58" s="72" t="str">
        <f aca="false">IF(AND(B58&lt;&gt;"",LEFT(E58,6)="Activo",ISNUMBER(O58),R58&lt;&gt;"Renovación registrada"),O58+ROW()/100000,"")</f>
        <v/>
      </c>
    </row>
    <row r="59" customFormat="false" ht="15" hidden="false" customHeight="false" outlineLevel="0" collapsed="false">
      <c r="B59" s="70" t="str">
        <f aca="false">IFERROR(IF(INDEX(T_ID,53)="","",INDEX(T_ID,53)),"")</f>
        <v/>
      </c>
      <c r="C59" s="70" t="str">
        <f aca="false">IF(B59="","",INDEX(T_NOMBRE,53)&amp;"")</f>
        <v/>
      </c>
      <c r="D59" s="70" t="str">
        <f aca="false">IF(B59="","",INDEX(T_CARGO,53)&amp;"")</f>
        <v/>
      </c>
      <c r="E59" s="70" t="str">
        <f aca="false">IF(B59="","",INDEX(T_ESTADO,53))</f>
        <v/>
      </c>
      <c r="F59" s="75" t="str">
        <f aca="false">IF(B59="","",INDEX(T_INGRESO,53))</f>
        <v/>
      </c>
      <c r="G59" s="70" t="str">
        <f aca="false">IF(B59="","",COUNTIFS(C_ID,B59,C_DEFINE,"Sí",C_INICIO,"&lt;="&amp;FECHA_CORTE))</f>
        <v/>
      </c>
      <c r="H59" s="70" t="str">
        <f aca="false">IF(B59="","",COUNTIFS(C_ID,B59,C_DEFINE,"Sí"))</f>
        <v/>
      </c>
      <c r="I59" s="70" t="str">
        <f aca="false">IF(B59="","",IF(H59=0,"Sin contrato",IFERROR(INDEX(C_TIPO,MATCH(B59&amp;"-P"&amp;MAX(1,G59),C_CLAVE,0))&amp;"","")))</f>
        <v/>
      </c>
      <c r="J59" s="70" t="str">
        <f aca="false">IF(OR(B59="",N(H59)=0),"",IFERROR(INDEX(C_TIPODOC,MATCH(B59&amp;"-P"&amp;MAX(1,G59),C_CLAVE,0))&amp;"",""))</f>
        <v/>
      </c>
      <c r="K59" s="76" t="str">
        <f aca="false">IF(I59="Plazo fijo",IFERROR(INDEX(C_NPF,MATCH(B59&amp;"-P"&amp;MAX(1,G59),C_CLAVE,0)),""),"")</f>
        <v/>
      </c>
      <c r="L59" s="70" t="str">
        <f aca="false">IF(B59="","",COUNTIFS(C_ID,B59,C_TIPODOC,"Anexo de modificación"))</f>
        <v/>
      </c>
      <c r="M59" s="75" t="str">
        <f aca="false">IF(OR(B59="",N(H59)=0),"",IFERROR(INDEX(C_INICIO,MATCH(B59&amp;"-P"&amp;MAX(1,G59),C_CLAVE,0)),""))</f>
        <v/>
      </c>
      <c r="N59" s="75" t="str">
        <f aca="false">IF(OR(I59="Plazo fijo",I59="Obra o faena"),IFERROR(IF(N(INDEX(C_TERMINO,MATCH(B59&amp;"-P"&amp;MAX(1,G59),C_CLAVE,0)))=0,"",INDEX(C_TERMINO,MATCH(B59&amp;"-P"&amp;MAX(1,G59),C_CLAVE,0))),""),"")</f>
        <v/>
      </c>
      <c r="O59" s="77" t="str">
        <f aca="false">IF(AND(ISNUMBER(N59),E59&lt;&gt;"Desvinculado"),N59-FECHA_CORTE,"")</f>
        <v/>
      </c>
      <c r="P59" s="75" t="str">
        <f aca="false">IF(AND(ISNUMBER(N59),E59&lt;&gt;"Desvinculado"),N59-DIAS_DECISION,"")</f>
        <v/>
      </c>
      <c r="Q59" s="75" t="str">
        <f aca="false">IF(OR(B59="",N(H59)&lt;=N(G59)),"",IFERROR(INDEX(C_INICIO,MATCH(B59&amp;"-P"&amp;(G59+1),C_CLAVE,0)),""))</f>
        <v/>
      </c>
      <c r="R59" s="70" t="str">
        <f aca="false">IF(B59="","",IF(E59="Desvinculado","Terminado",IF(H59=0,"Sin contrato registrado",IF(E59="Por ingresar","Por ingresar",IF(ISNUMBER(Q59),"Renovación registrada",IF(I59="Indefinido","Indefinido",IF(NOT(ISNUMBER(O59)),"Falta fecha de término",IF(O59&lt;0,"VENCIDO",IF(O59&lt;=ALERTA_ROJA,"Vence en ≤ "&amp;ALERTA_ROJA&amp;" días",IF(O59&lt;=ALERTA_NARANJA,"Vence en ≤ "&amp;ALERTA_NARANJA&amp;" días",IF(O59&lt;=ALERTA_AMARILLA,"Vence en ≤ "&amp;ALERTA_AMARILLA&amp;" días","Vigente")))))))))))</f>
        <v/>
      </c>
      <c r="S59" s="70" t="str">
        <f aca="false">IF(B59="","",IF(R59="Terminado","—",IF(R59="Sin contrato registrado","Registrar el contrato en la hoja Contratos",IF(R59="Por ingresar","Tener el contrato firmado y hacer el alta en AFP, salud, seguro de cesantía y mutual",IF(R59="Renovación registrada",IF(AND(N(K59)&gt;=2,IFERROR(INDEX(C_TIPO,MATCH(B59&amp;"-P"&amp;(G59+1),C_CLAVE,0)),"")="Plazo fijo"),"⚠ El período registrado sería el 3er contrato a plazo: por ley es INDEFINIDO. Registrarlo como Paso a indefinido","Siguiente período ya registrado: verificar que el documento esté firmado"),IF(I59="Indefinido","Sin vencimiento. Cambios de sueldo, cargo o jornada se formalizan con anexo de modificación",IF(R59="Falta fecha de término","Completar la fecha de término en la hoja Contratos",IF(R59="VENCIDO","Si sigue trabajando, por ley el contrato ya es INDEFINIDO (Art. 159 N°4): firmar anexo de paso a indefinido o regularizar el término",IF(I59="Obra o faena","Al concluir la obra: finiquito por Art. 159 N°5 + indemnización de 2,5 días por mes trabajado (Ley 21.122)",IF(N(K59)&gt;=3,"Por ley ya es indefinido (2ª renovación): firmar anexo de paso a indefinido",IF(N(K59)=2,"2° contrato a plazo: NO admite otra renovación a plazo fijo. Pasar a indefinido o terminar al vencimiento (carta dentro de 3 días hábiles)","1er contrato a plazo: renovar (2° plazo fijo), pasar a indefinido o terminar al vencimiento (carta dentro de 3 días hábiles)")))))))))))</f>
        <v/>
      </c>
      <c r="T59" s="70" t="str">
        <f aca="false">IF(B59="","",IF(COUNTIFS(C_ID,B59,C_FIRMADO,"&lt;&gt;Sí")&gt;0,COUNTIFS(C_ID,B59,C_FIRMADO,"&lt;&gt;Sí")&amp;" documento(s) sin firma. ","")&amp;IF(COUNTIFS(C_ID,B59,C_TIPO,"Plazo fijo",C_DEFINE,"Sí")&gt;2,"Más de 2 contratos a plazo: revisar presunción de indefinido. ","")&amp;IF(AND(R59="VENCIDO",LEFT(E59,6)="Activo"),"Trabaja con contrato vencido. ",""))</f>
        <v/>
      </c>
      <c r="U59" s="71" t="str">
        <f aca="false">IF(B59="","",INDEX(T_SUELDO,53))</f>
        <v/>
      </c>
      <c r="V59" s="72" t="str">
        <f aca="false">IF(AND(B59&lt;&gt;"",LEFT(E59,6)="Activo",ISNUMBER(O59),R59&lt;&gt;"Renovación registrada"),O59+ROW()/100000,"")</f>
        <v/>
      </c>
    </row>
    <row r="60" customFormat="false" ht="15" hidden="false" customHeight="false" outlineLevel="0" collapsed="false">
      <c r="B60" s="70" t="str">
        <f aca="false">IFERROR(IF(INDEX(T_ID,54)="","",INDEX(T_ID,54)),"")</f>
        <v/>
      </c>
      <c r="C60" s="70" t="str">
        <f aca="false">IF(B60="","",INDEX(T_NOMBRE,54)&amp;"")</f>
        <v/>
      </c>
      <c r="D60" s="70" t="str">
        <f aca="false">IF(B60="","",INDEX(T_CARGO,54)&amp;"")</f>
        <v/>
      </c>
      <c r="E60" s="70" t="str">
        <f aca="false">IF(B60="","",INDEX(T_ESTADO,54))</f>
        <v/>
      </c>
      <c r="F60" s="75" t="str">
        <f aca="false">IF(B60="","",INDEX(T_INGRESO,54))</f>
        <v/>
      </c>
      <c r="G60" s="70" t="str">
        <f aca="false">IF(B60="","",COUNTIFS(C_ID,B60,C_DEFINE,"Sí",C_INICIO,"&lt;="&amp;FECHA_CORTE))</f>
        <v/>
      </c>
      <c r="H60" s="70" t="str">
        <f aca="false">IF(B60="","",COUNTIFS(C_ID,B60,C_DEFINE,"Sí"))</f>
        <v/>
      </c>
      <c r="I60" s="70" t="str">
        <f aca="false">IF(B60="","",IF(H60=0,"Sin contrato",IFERROR(INDEX(C_TIPO,MATCH(B60&amp;"-P"&amp;MAX(1,G60),C_CLAVE,0))&amp;"","")))</f>
        <v/>
      </c>
      <c r="J60" s="70" t="str">
        <f aca="false">IF(OR(B60="",N(H60)=0),"",IFERROR(INDEX(C_TIPODOC,MATCH(B60&amp;"-P"&amp;MAX(1,G60),C_CLAVE,0))&amp;"",""))</f>
        <v/>
      </c>
      <c r="K60" s="76" t="str">
        <f aca="false">IF(I60="Plazo fijo",IFERROR(INDEX(C_NPF,MATCH(B60&amp;"-P"&amp;MAX(1,G60),C_CLAVE,0)),""),"")</f>
        <v/>
      </c>
      <c r="L60" s="70" t="str">
        <f aca="false">IF(B60="","",COUNTIFS(C_ID,B60,C_TIPODOC,"Anexo de modificación"))</f>
        <v/>
      </c>
      <c r="M60" s="75" t="str">
        <f aca="false">IF(OR(B60="",N(H60)=0),"",IFERROR(INDEX(C_INICIO,MATCH(B60&amp;"-P"&amp;MAX(1,G60),C_CLAVE,0)),""))</f>
        <v/>
      </c>
      <c r="N60" s="75" t="str">
        <f aca="false">IF(OR(I60="Plazo fijo",I60="Obra o faena"),IFERROR(IF(N(INDEX(C_TERMINO,MATCH(B60&amp;"-P"&amp;MAX(1,G60),C_CLAVE,0)))=0,"",INDEX(C_TERMINO,MATCH(B60&amp;"-P"&amp;MAX(1,G60),C_CLAVE,0))),""),"")</f>
        <v/>
      </c>
      <c r="O60" s="77" t="str">
        <f aca="false">IF(AND(ISNUMBER(N60),E60&lt;&gt;"Desvinculado"),N60-FECHA_CORTE,"")</f>
        <v/>
      </c>
      <c r="P60" s="75" t="str">
        <f aca="false">IF(AND(ISNUMBER(N60),E60&lt;&gt;"Desvinculado"),N60-DIAS_DECISION,"")</f>
        <v/>
      </c>
      <c r="Q60" s="75" t="str">
        <f aca="false">IF(OR(B60="",N(H60)&lt;=N(G60)),"",IFERROR(INDEX(C_INICIO,MATCH(B60&amp;"-P"&amp;(G60+1),C_CLAVE,0)),""))</f>
        <v/>
      </c>
      <c r="R60" s="70" t="str">
        <f aca="false">IF(B60="","",IF(E60="Desvinculado","Terminado",IF(H60=0,"Sin contrato registrado",IF(E60="Por ingresar","Por ingresar",IF(ISNUMBER(Q60),"Renovación registrada",IF(I60="Indefinido","Indefinido",IF(NOT(ISNUMBER(O60)),"Falta fecha de término",IF(O60&lt;0,"VENCIDO",IF(O60&lt;=ALERTA_ROJA,"Vence en ≤ "&amp;ALERTA_ROJA&amp;" días",IF(O60&lt;=ALERTA_NARANJA,"Vence en ≤ "&amp;ALERTA_NARANJA&amp;" días",IF(O60&lt;=ALERTA_AMARILLA,"Vence en ≤ "&amp;ALERTA_AMARILLA&amp;" días","Vigente")))))))))))</f>
        <v/>
      </c>
      <c r="S60" s="70" t="str">
        <f aca="false">IF(B60="","",IF(R60="Terminado","—",IF(R60="Sin contrato registrado","Registrar el contrato en la hoja Contratos",IF(R60="Por ingresar","Tener el contrato firmado y hacer el alta en AFP, salud, seguro de cesantía y mutual",IF(R60="Renovación registrada",IF(AND(N(K60)&gt;=2,IFERROR(INDEX(C_TIPO,MATCH(B60&amp;"-P"&amp;(G60+1),C_CLAVE,0)),"")="Plazo fijo"),"⚠ El período registrado sería el 3er contrato a plazo: por ley es INDEFINIDO. Registrarlo como Paso a indefinido","Siguiente período ya registrado: verificar que el documento esté firmado"),IF(I60="Indefinido","Sin vencimiento. Cambios de sueldo, cargo o jornada se formalizan con anexo de modificación",IF(R60="Falta fecha de término","Completar la fecha de término en la hoja Contratos",IF(R60="VENCIDO","Si sigue trabajando, por ley el contrato ya es INDEFINIDO (Art. 159 N°4): firmar anexo de paso a indefinido o regularizar el término",IF(I60="Obra o faena","Al concluir la obra: finiquito por Art. 159 N°5 + indemnización de 2,5 días por mes trabajado (Ley 21.122)",IF(N(K60)&gt;=3,"Por ley ya es indefinido (2ª renovación): firmar anexo de paso a indefinido",IF(N(K60)=2,"2° contrato a plazo: NO admite otra renovación a plazo fijo. Pasar a indefinido o terminar al vencimiento (carta dentro de 3 días hábiles)","1er contrato a plazo: renovar (2° plazo fijo), pasar a indefinido o terminar al vencimiento (carta dentro de 3 días hábiles)")))))))))))</f>
        <v/>
      </c>
      <c r="T60" s="70" t="str">
        <f aca="false">IF(B60="","",IF(COUNTIFS(C_ID,B60,C_FIRMADO,"&lt;&gt;Sí")&gt;0,COUNTIFS(C_ID,B60,C_FIRMADO,"&lt;&gt;Sí")&amp;" documento(s) sin firma. ","")&amp;IF(COUNTIFS(C_ID,B60,C_TIPO,"Plazo fijo",C_DEFINE,"Sí")&gt;2,"Más de 2 contratos a plazo: revisar presunción de indefinido. ","")&amp;IF(AND(R60="VENCIDO",LEFT(E60,6)="Activo"),"Trabaja con contrato vencido. ",""))</f>
        <v/>
      </c>
      <c r="U60" s="71" t="str">
        <f aca="false">IF(B60="","",INDEX(T_SUELDO,54))</f>
        <v/>
      </c>
      <c r="V60" s="72" t="str">
        <f aca="false">IF(AND(B60&lt;&gt;"",LEFT(E60,6)="Activo",ISNUMBER(O60),R60&lt;&gt;"Renovación registrada"),O60+ROW()/100000,"")</f>
        <v/>
      </c>
    </row>
    <row r="61" customFormat="false" ht="15" hidden="false" customHeight="false" outlineLevel="0" collapsed="false">
      <c r="B61" s="70" t="str">
        <f aca="false">IFERROR(IF(INDEX(T_ID,55)="","",INDEX(T_ID,55)),"")</f>
        <v/>
      </c>
      <c r="C61" s="70" t="str">
        <f aca="false">IF(B61="","",INDEX(T_NOMBRE,55)&amp;"")</f>
        <v/>
      </c>
      <c r="D61" s="70" t="str">
        <f aca="false">IF(B61="","",INDEX(T_CARGO,55)&amp;"")</f>
        <v/>
      </c>
      <c r="E61" s="70" t="str">
        <f aca="false">IF(B61="","",INDEX(T_ESTADO,55))</f>
        <v/>
      </c>
      <c r="F61" s="75" t="str">
        <f aca="false">IF(B61="","",INDEX(T_INGRESO,55))</f>
        <v/>
      </c>
      <c r="G61" s="70" t="str">
        <f aca="false">IF(B61="","",COUNTIFS(C_ID,B61,C_DEFINE,"Sí",C_INICIO,"&lt;="&amp;FECHA_CORTE))</f>
        <v/>
      </c>
      <c r="H61" s="70" t="str">
        <f aca="false">IF(B61="","",COUNTIFS(C_ID,B61,C_DEFINE,"Sí"))</f>
        <v/>
      </c>
      <c r="I61" s="70" t="str">
        <f aca="false">IF(B61="","",IF(H61=0,"Sin contrato",IFERROR(INDEX(C_TIPO,MATCH(B61&amp;"-P"&amp;MAX(1,G61),C_CLAVE,0))&amp;"","")))</f>
        <v/>
      </c>
      <c r="J61" s="70" t="str">
        <f aca="false">IF(OR(B61="",N(H61)=0),"",IFERROR(INDEX(C_TIPODOC,MATCH(B61&amp;"-P"&amp;MAX(1,G61),C_CLAVE,0))&amp;"",""))</f>
        <v/>
      </c>
      <c r="K61" s="76" t="str">
        <f aca="false">IF(I61="Plazo fijo",IFERROR(INDEX(C_NPF,MATCH(B61&amp;"-P"&amp;MAX(1,G61),C_CLAVE,0)),""),"")</f>
        <v/>
      </c>
      <c r="L61" s="70" t="str">
        <f aca="false">IF(B61="","",COUNTIFS(C_ID,B61,C_TIPODOC,"Anexo de modificación"))</f>
        <v/>
      </c>
      <c r="M61" s="75" t="str">
        <f aca="false">IF(OR(B61="",N(H61)=0),"",IFERROR(INDEX(C_INICIO,MATCH(B61&amp;"-P"&amp;MAX(1,G61),C_CLAVE,0)),""))</f>
        <v/>
      </c>
      <c r="N61" s="75" t="str">
        <f aca="false">IF(OR(I61="Plazo fijo",I61="Obra o faena"),IFERROR(IF(N(INDEX(C_TERMINO,MATCH(B61&amp;"-P"&amp;MAX(1,G61),C_CLAVE,0)))=0,"",INDEX(C_TERMINO,MATCH(B61&amp;"-P"&amp;MAX(1,G61),C_CLAVE,0))),""),"")</f>
        <v/>
      </c>
      <c r="O61" s="77" t="str">
        <f aca="false">IF(AND(ISNUMBER(N61),E61&lt;&gt;"Desvinculado"),N61-FECHA_CORTE,"")</f>
        <v/>
      </c>
      <c r="P61" s="75" t="str">
        <f aca="false">IF(AND(ISNUMBER(N61),E61&lt;&gt;"Desvinculado"),N61-DIAS_DECISION,"")</f>
        <v/>
      </c>
      <c r="Q61" s="75" t="str">
        <f aca="false">IF(OR(B61="",N(H61)&lt;=N(G61)),"",IFERROR(INDEX(C_INICIO,MATCH(B61&amp;"-P"&amp;(G61+1),C_CLAVE,0)),""))</f>
        <v/>
      </c>
      <c r="R61" s="70" t="str">
        <f aca="false">IF(B61="","",IF(E61="Desvinculado","Terminado",IF(H61=0,"Sin contrato registrado",IF(E61="Por ingresar","Por ingresar",IF(ISNUMBER(Q61),"Renovación registrada",IF(I61="Indefinido","Indefinido",IF(NOT(ISNUMBER(O61)),"Falta fecha de término",IF(O61&lt;0,"VENCIDO",IF(O61&lt;=ALERTA_ROJA,"Vence en ≤ "&amp;ALERTA_ROJA&amp;" días",IF(O61&lt;=ALERTA_NARANJA,"Vence en ≤ "&amp;ALERTA_NARANJA&amp;" días",IF(O61&lt;=ALERTA_AMARILLA,"Vence en ≤ "&amp;ALERTA_AMARILLA&amp;" días","Vigente")))))))))))</f>
        <v/>
      </c>
      <c r="S61" s="70" t="str">
        <f aca="false">IF(B61="","",IF(R61="Terminado","—",IF(R61="Sin contrato registrado","Registrar el contrato en la hoja Contratos",IF(R61="Por ingresar","Tener el contrato firmado y hacer el alta en AFP, salud, seguro de cesantía y mutual",IF(R61="Renovación registrada",IF(AND(N(K61)&gt;=2,IFERROR(INDEX(C_TIPO,MATCH(B61&amp;"-P"&amp;(G61+1),C_CLAVE,0)),"")="Plazo fijo"),"⚠ El período registrado sería el 3er contrato a plazo: por ley es INDEFINIDO. Registrarlo como Paso a indefinido","Siguiente período ya registrado: verificar que el documento esté firmado"),IF(I61="Indefinido","Sin vencimiento. Cambios de sueldo, cargo o jornada se formalizan con anexo de modificación",IF(R61="Falta fecha de término","Completar la fecha de término en la hoja Contratos",IF(R61="VENCIDO","Si sigue trabajando, por ley el contrato ya es INDEFINIDO (Art. 159 N°4): firmar anexo de paso a indefinido o regularizar el término",IF(I61="Obra o faena","Al concluir la obra: finiquito por Art. 159 N°5 + indemnización de 2,5 días por mes trabajado (Ley 21.122)",IF(N(K61)&gt;=3,"Por ley ya es indefinido (2ª renovación): firmar anexo de paso a indefinido",IF(N(K61)=2,"2° contrato a plazo: NO admite otra renovación a plazo fijo. Pasar a indefinido o terminar al vencimiento (carta dentro de 3 días hábiles)","1er contrato a plazo: renovar (2° plazo fijo), pasar a indefinido o terminar al vencimiento (carta dentro de 3 días hábiles)")))))))))))</f>
        <v/>
      </c>
      <c r="T61" s="70" t="str">
        <f aca="false">IF(B61="","",IF(COUNTIFS(C_ID,B61,C_FIRMADO,"&lt;&gt;Sí")&gt;0,COUNTIFS(C_ID,B61,C_FIRMADO,"&lt;&gt;Sí")&amp;" documento(s) sin firma. ","")&amp;IF(COUNTIFS(C_ID,B61,C_TIPO,"Plazo fijo",C_DEFINE,"Sí")&gt;2,"Más de 2 contratos a plazo: revisar presunción de indefinido. ","")&amp;IF(AND(R61="VENCIDO",LEFT(E61,6)="Activo"),"Trabaja con contrato vencido. ",""))</f>
        <v/>
      </c>
      <c r="U61" s="71" t="str">
        <f aca="false">IF(B61="","",INDEX(T_SUELDO,55))</f>
        <v/>
      </c>
      <c r="V61" s="72" t="str">
        <f aca="false">IF(AND(B61&lt;&gt;"",LEFT(E61,6)="Activo",ISNUMBER(O61),R61&lt;&gt;"Renovación registrada"),O61+ROW()/100000,"")</f>
        <v/>
      </c>
    </row>
    <row r="62" customFormat="false" ht="15" hidden="false" customHeight="false" outlineLevel="0" collapsed="false">
      <c r="B62" s="70" t="str">
        <f aca="false">IFERROR(IF(INDEX(T_ID,56)="","",INDEX(T_ID,56)),"")</f>
        <v/>
      </c>
      <c r="C62" s="70" t="str">
        <f aca="false">IF(B62="","",INDEX(T_NOMBRE,56)&amp;"")</f>
        <v/>
      </c>
      <c r="D62" s="70" t="str">
        <f aca="false">IF(B62="","",INDEX(T_CARGO,56)&amp;"")</f>
        <v/>
      </c>
      <c r="E62" s="70" t="str">
        <f aca="false">IF(B62="","",INDEX(T_ESTADO,56))</f>
        <v/>
      </c>
      <c r="F62" s="75" t="str">
        <f aca="false">IF(B62="","",INDEX(T_INGRESO,56))</f>
        <v/>
      </c>
      <c r="G62" s="70" t="str">
        <f aca="false">IF(B62="","",COUNTIFS(C_ID,B62,C_DEFINE,"Sí",C_INICIO,"&lt;="&amp;FECHA_CORTE))</f>
        <v/>
      </c>
      <c r="H62" s="70" t="str">
        <f aca="false">IF(B62="","",COUNTIFS(C_ID,B62,C_DEFINE,"Sí"))</f>
        <v/>
      </c>
      <c r="I62" s="70" t="str">
        <f aca="false">IF(B62="","",IF(H62=0,"Sin contrato",IFERROR(INDEX(C_TIPO,MATCH(B62&amp;"-P"&amp;MAX(1,G62),C_CLAVE,0))&amp;"","")))</f>
        <v/>
      </c>
      <c r="J62" s="70" t="str">
        <f aca="false">IF(OR(B62="",N(H62)=0),"",IFERROR(INDEX(C_TIPODOC,MATCH(B62&amp;"-P"&amp;MAX(1,G62),C_CLAVE,0))&amp;"",""))</f>
        <v/>
      </c>
      <c r="K62" s="76" t="str">
        <f aca="false">IF(I62="Plazo fijo",IFERROR(INDEX(C_NPF,MATCH(B62&amp;"-P"&amp;MAX(1,G62),C_CLAVE,0)),""),"")</f>
        <v/>
      </c>
      <c r="L62" s="70" t="str">
        <f aca="false">IF(B62="","",COUNTIFS(C_ID,B62,C_TIPODOC,"Anexo de modificación"))</f>
        <v/>
      </c>
      <c r="M62" s="75" t="str">
        <f aca="false">IF(OR(B62="",N(H62)=0),"",IFERROR(INDEX(C_INICIO,MATCH(B62&amp;"-P"&amp;MAX(1,G62),C_CLAVE,0)),""))</f>
        <v/>
      </c>
      <c r="N62" s="75" t="str">
        <f aca="false">IF(OR(I62="Plazo fijo",I62="Obra o faena"),IFERROR(IF(N(INDEX(C_TERMINO,MATCH(B62&amp;"-P"&amp;MAX(1,G62),C_CLAVE,0)))=0,"",INDEX(C_TERMINO,MATCH(B62&amp;"-P"&amp;MAX(1,G62),C_CLAVE,0))),""),"")</f>
        <v/>
      </c>
      <c r="O62" s="77" t="str">
        <f aca="false">IF(AND(ISNUMBER(N62),E62&lt;&gt;"Desvinculado"),N62-FECHA_CORTE,"")</f>
        <v/>
      </c>
      <c r="P62" s="75" t="str">
        <f aca="false">IF(AND(ISNUMBER(N62),E62&lt;&gt;"Desvinculado"),N62-DIAS_DECISION,"")</f>
        <v/>
      </c>
      <c r="Q62" s="75" t="str">
        <f aca="false">IF(OR(B62="",N(H62)&lt;=N(G62)),"",IFERROR(INDEX(C_INICIO,MATCH(B62&amp;"-P"&amp;(G62+1),C_CLAVE,0)),""))</f>
        <v/>
      </c>
      <c r="R62" s="70" t="str">
        <f aca="false">IF(B62="","",IF(E62="Desvinculado","Terminado",IF(H62=0,"Sin contrato registrado",IF(E62="Por ingresar","Por ingresar",IF(ISNUMBER(Q62),"Renovación registrada",IF(I62="Indefinido","Indefinido",IF(NOT(ISNUMBER(O62)),"Falta fecha de término",IF(O62&lt;0,"VENCIDO",IF(O62&lt;=ALERTA_ROJA,"Vence en ≤ "&amp;ALERTA_ROJA&amp;" días",IF(O62&lt;=ALERTA_NARANJA,"Vence en ≤ "&amp;ALERTA_NARANJA&amp;" días",IF(O62&lt;=ALERTA_AMARILLA,"Vence en ≤ "&amp;ALERTA_AMARILLA&amp;" días","Vigente")))))))))))</f>
        <v/>
      </c>
      <c r="S62" s="70" t="str">
        <f aca="false">IF(B62="","",IF(R62="Terminado","—",IF(R62="Sin contrato registrado","Registrar el contrato en la hoja Contratos",IF(R62="Por ingresar","Tener el contrato firmado y hacer el alta en AFP, salud, seguro de cesantía y mutual",IF(R62="Renovación registrada",IF(AND(N(K62)&gt;=2,IFERROR(INDEX(C_TIPO,MATCH(B62&amp;"-P"&amp;(G62+1),C_CLAVE,0)),"")="Plazo fijo"),"⚠ El período registrado sería el 3er contrato a plazo: por ley es INDEFINIDO. Registrarlo como Paso a indefinido","Siguiente período ya registrado: verificar que el documento esté firmado"),IF(I62="Indefinido","Sin vencimiento. Cambios de sueldo, cargo o jornada se formalizan con anexo de modificación",IF(R62="Falta fecha de término","Completar la fecha de término en la hoja Contratos",IF(R62="VENCIDO","Si sigue trabajando, por ley el contrato ya es INDEFINIDO (Art. 159 N°4): firmar anexo de paso a indefinido o regularizar el término",IF(I62="Obra o faena","Al concluir la obra: finiquito por Art. 159 N°5 + indemnización de 2,5 días por mes trabajado (Ley 21.122)",IF(N(K62)&gt;=3,"Por ley ya es indefinido (2ª renovación): firmar anexo de paso a indefinido",IF(N(K62)=2,"2° contrato a plazo: NO admite otra renovación a plazo fijo. Pasar a indefinido o terminar al vencimiento (carta dentro de 3 días hábiles)","1er contrato a plazo: renovar (2° plazo fijo), pasar a indefinido o terminar al vencimiento (carta dentro de 3 días hábiles)")))))))))))</f>
        <v/>
      </c>
      <c r="T62" s="70" t="str">
        <f aca="false">IF(B62="","",IF(COUNTIFS(C_ID,B62,C_FIRMADO,"&lt;&gt;Sí")&gt;0,COUNTIFS(C_ID,B62,C_FIRMADO,"&lt;&gt;Sí")&amp;" documento(s) sin firma. ","")&amp;IF(COUNTIFS(C_ID,B62,C_TIPO,"Plazo fijo",C_DEFINE,"Sí")&gt;2,"Más de 2 contratos a plazo: revisar presunción de indefinido. ","")&amp;IF(AND(R62="VENCIDO",LEFT(E62,6)="Activo"),"Trabaja con contrato vencido. ",""))</f>
        <v/>
      </c>
      <c r="U62" s="71" t="str">
        <f aca="false">IF(B62="","",INDEX(T_SUELDO,56))</f>
        <v/>
      </c>
      <c r="V62" s="72" t="str">
        <f aca="false">IF(AND(B62&lt;&gt;"",LEFT(E62,6)="Activo",ISNUMBER(O62),R62&lt;&gt;"Renovación registrada"),O62+ROW()/100000,"")</f>
        <v/>
      </c>
    </row>
    <row r="63" customFormat="false" ht="15" hidden="false" customHeight="false" outlineLevel="0" collapsed="false">
      <c r="B63" s="70" t="str">
        <f aca="false">IFERROR(IF(INDEX(T_ID,57)="","",INDEX(T_ID,57)),"")</f>
        <v/>
      </c>
      <c r="C63" s="70" t="str">
        <f aca="false">IF(B63="","",INDEX(T_NOMBRE,57)&amp;"")</f>
        <v/>
      </c>
      <c r="D63" s="70" t="str">
        <f aca="false">IF(B63="","",INDEX(T_CARGO,57)&amp;"")</f>
        <v/>
      </c>
      <c r="E63" s="70" t="str">
        <f aca="false">IF(B63="","",INDEX(T_ESTADO,57))</f>
        <v/>
      </c>
      <c r="F63" s="75" t="str">
        <f aca="false">IF(B63="","",INDEX(T_INGRESO,57))</f>
        <v/>
      </c>
      <c r="G63" s="70" t="str">
        <f aca="false">IF(B63="","",COUNTIFS(C_ID,B63,C_DEFINE,"Sí",C_INICIO,"&lt;="&amp;FECHA_CORTE))</f>
        <v/>
      </c>
      <c r="H63" s="70" t="str">
        <f aca="false">IF(B63="","",COUNTIFS(C_ID,B63,C_DEFINE,"Sí"))</f>
        <v/>
      </c>
      <c r="I63" s="70" t="str">
        <f aca="false">IF(B63="","",IF(H63=0,"Sin contrato",IFERROR(INDEX(C_TIPO,MATCH(B63&amp;"-P"&amp;MAX(1,G63),C_CLAVE,0))&amp;"","")))</f>
        <v/>
      </c>
      <c r="J63" s="70" t="str">
        <f aca="false">IF(OR(B63="",N(H63)=0),"",IFERROR(INDEX(C_TIPODOC,MATCH(B63&amp;"-P"&amp;MAX(1,G63),C_CLAVE,0))&amp;"",""))</f>
        <v/>
      </c>
      <c r="K63" s="76" t="str">
        <f aca="false">IF(I63="Plazo fijo",IFERROR(INDEX(C_NPF,MATCH(B63&amp;"-P"&amp;MAX(1,G63),C_CLAVE,0)),""),"")</f>
        <v/>
      </c>
      <c r="L63" s="70" t="str">
        <f aca="false">IF(B63="","",COUNTIFS(C_ID,B63,C_TIPODOC,"Anexo de modificación"))</f>
        <v/>
      </c>
      <c r="M63" s="75" t="str">
        <f aca="false">IF(OR(B63="",N(H63)=0),"",IFERROR(INDEX(C_INICIO,MATCH(B63&amp;"-P"&amp;MAX(1,G63),C_CLAVE,0)),""))</f>
        <v/>
      </c>
      <c r="N63" s="75" t="str">
        <f aca="false">IF(OR(I63="Plazo fijo",I63="Obra o faena"),IFERROR(IF(N(INDEX(C_TERMINO,MATCH(B63&amp;"-P"&amp;MAX(1,G63),C_CLAVE,0)))=0,"",INDEX(C_TERMINO,MATCH(B63&amp;"-P"&amp;MAX(1,G63),C_CLAVE,0))),""),"")</f>
        <v/>
      </c>
      <c r="O63" s="77" t="str">
        <f aca="false">IF(AND(ISNUMBER(N63),E63&lt;&gt;"Desvinculado"),N63-FECHA_CORTE,"")</f>
        <v/>
      </c>
      <c r="P63" s="75" t="str">
        <f aca="false">IF(AND(ISNUMBER(N63),E63&lt;&gt;"Desvinculado"),N63-DIAS_DECISION,"")</f>
        <v/>
      </c>
      <c r="Q63" s="75" t="str">
        <f aca="false">IF(OR(B63="",N(H63)&lt;=N(G63)),"",IFERROR(INDEX(C_INICIO,MATCH(B63&amp;"-P"&amp;(G63+1),C_CLAVE,0)),""))</f>
        <v/>
      </c>
      <c r="R63" s="70" t="str">
        <f aca="false">IF(B63="","",IF(E63="Desvinculado","Terminado",IF(H63=0,"Sin contrato registrado",IF(E63="Por ingresar","Por ingresar",IF(ISNUMBER(Q63),"Renovación registrada",IF(I63="Indefinido","Indefinido",IF(NOT(ISNUMBER(O63)),"Falta fecha de término",IF(O63&lt;0,"VENCIDO",IF(O63&lt;=ALERTA_ROJA,"Vence en ≤ "&amp;ALERTA_ROJA&amp;" días",IF(O63&lt;=ALERTA_NARANJA,"Vence en ≤ "&amp;ALERTA_NARANJA&amp;" días",IF(O63&lt;=ALERTA_AMARILLA,"Vence en ≤ "&amp;ALERTA_AMARILLA&amp;" días","Vigente")))))))))))</f>
        <v/>
      </c>
      <c r="S63" s="70" t="str">
        <f aca="false">IF(B63="","",IF(R63="Terminado","—",IF(R63="Sin contrato registrado","Registrar el contrato en la hoja Contratos",IF(R63="Por ingresar","Tener el contrato firmado y hacer el alta en AFP, salud, seguro de cesantía y mutual",IF(R63="Renovación registrada",IF(AND(N(K63)&gt;=2,IFERROR(INDEX(C_TIPO,MATCH(B63&amp;"-P"&amp;(G63+1),C_CLAVE,0)),"")="Plazo fijo"),"⚠ El período registrado sería el 3er contrato a plazo: por ley es INDEFINIDO. Registrarlo como Paso a indefinido","Siguiente período ya registrado: verificar que el documento esté firmado"),IF(I63="Indefinido","Sin vencimiento. Cambios de sueldo, cargo o jornada se formalizan con anexo de modificación",IF(R63="Falta fecha de término","Completar la fecha de término en la hoja Contratos",IF(R63="VENCIDO","Si sigue trabajando, por ley el contrato ya es INDEFINIDO (Art. 159 N°4): firmar anexo de paso a indefinido o regularizar el término",IF(I63="Obra o faena","Al concluir la obra: finiquito por Art. 159 N°5 + indemnización de 2,5 días por mes trabajado (Ley 21.122)",IF(N(K63)&gt;=3,"Por ley ya es indefinido (2ª renovación): firmar anexo de paso a indefinido",IF(N(K63)=2,"2° contrato a plazo: NO admite otra renovación a plazo fijo. Pasar a indefinido o terminar al vencimiento (carta dentro de 3 días hábiles)","1er contrato a plazo: renovar (2° plazo fijo), pasar a indefinido o terminar al vencimiento (carta dentro de 3 días hábiles)")))))))))))</f>
        <v/>
      </c>
      <c r="T63" s="70" t="str">
        <f aca="false">IF(B63="","",IF(COUNTIFS(C_ID,B63,C_FIRMADO,"&lt;&gt;Sí")&gt;0,COUNTIFS(C_ID,B63,C_FIRMADO,"&lt;&gt;Sí")&amp;" documento(s) sin firma. ","")&amp;IF(COUNTIFS(C_ID,B63,C_TIPO,"Plazo fijo",C_DEFINE,"Sí")&gt;2,"Más de 2 contratos a plazo: revisar presunción de indefinido. ","")&amp;IF(AND(R63="VENCIDO",LEFT(E63,6)="Activo"),"Trabaja con contrato vencido. ",""))</f>
        <v/>
      </c>
      <c r="U63" s="71" t="str">
        <f aca="false">IF(B63="","",INDEX(T_SUELDO,57))</f>
        <v/>
      </c>
      <c r="V63" s="72" t="str">
        <f aca="false">IF(AND(B63&lt;&gt;"",LEFT(E63,6)="Activo",ISNUMBER(O63),R63&lt;&gt;"Renovación registrada"),O63+ROW()/100000,"")</f>
        <v/>
      </c>
    </row>
    <row r="64" customFormat="false" ht="15" hidden="false" customHeight="false" outlineLevel="0" collapsed="false">
      <c r="B64" s="70" t="str">
        <f aca="false">IFERROR(IF(INDEX(T_ID,58)="","",INDEX(T_ID,58)),"")</f>
        <v/>
      </c>
      <c r="C64" s="70" t="str">
        <f aca="false">IF(B64="","",INDEX(T_NOMBRE,58)&amp;"")</f>
        <v/>
      </c>
      <c r="D64" s="70" t="str">
        <f aca="false">IF(B64="","",INDEX(T_CARGO,58)&amp;"")</f>
        <v/>
      </c>
      <c r="E64" s="70" t="str">
        <f aca="false">IF(B64="","",INDEX(T_ESTADO,58))</f>
        <v/>
      </c>
      <c r="F64" s="75" t="str">
        <f aca="false">IF(B64="","",INDEX(T_INGRESO,58))</f>
        <v/>
      </c>
      <c r="G64" s="70" t="str">
        <f aca="false">IF(B64="","",COUNTIFS(C_ID,B64,C_DEFINE,"Sí",C_INICIO,"&lt;="&amp;FECHA_CORTE))</f>
        <v/>
      </c>
      <c r="H64" s="70" t="str">
        <f aca="false">IF(B64="","",COUNTIFS(C_ID,B64,C_DEFINE,"Sí"))</f>
        <v/>
      </c>
      <c r="I64" s="70" t="str">
        <f aca="false">IF(B64="","",IF(H64=0,"Sin contrato",IFERROR(INDEX(C_TIPO,MATCH(B64&amp;"-P"&amp;MAX(1,G64),C_CLAVE,0))&amp;"","")))</f>
        <v/>
      </c>
      <c r="J64" s="70" t="str">
        <f aca="false">IF(OR(B64="",N(H64)=0),"",IFERROR(INDEX(C_TIPODOC,MATCH(B64&amp;"-P"&amp;MAX(1,G64),C_CLAVE,0))&amp;"",""))</f>
        <v/>
      </c>
      <c r="K64" s="76" t="str">
        <f aca="false">IF(I64="Plazo fijo",IFERROR(INDEX(C_NPF,MATCH(B64&amp;"-P"&amp;MAX(1,G64),C_CLAVE,0)),""),"")</f>
        <v/>
      </c>
      <c r="L64" s="70" t="str">
        <f aca="false">IF(B64="","",COUNTIFS(C_ID,B64,C_TIPODOC,"Anexo de modificación"))</f>
        <v/>
      </c>
      <c r="M64" s="75" t="str">
        <f aca="false">IF(OR(B64="",N(H64)=0),"",IFERROR(INDEX(C_INICIO,MATCH(B64&amp;"-P"&amp;MAX(1,G64),C_CLAVE,0)),""))</f>
        <v/>
      </c>
      <c r="N64" s="75" t="str">
        <f aca="false">IF(OR(I64="Plazo fijo",I64="Obra o faena"),IFERROR(IF(N(INDEX(C_TERMINO,MATCH(B64&amp;"-P"&amp;MAX(1,G64),C_CLAVE,0)))=0,"",INDEX(C_TERMINO,MATCH(B64&amp;"-P"&amp;MAX(1,G64),C_CLAVE,0))),""),"")</f>
        <v/>
      </c>
      <c r="O64" s="77" t="str">
        <f aca="false">IF(AND(ISNUMBER(N64),E64&lt;&gt;"Desvinculado"),N64-FECHA_CORTE,"")</f>
        <v/>
      </c>
      <c r="P64" s="75" t="str">
        <f aca="false">IF(AND(ISNUMBER(N64),E64&lt;&gt;"Desvinculado"),N64-DIAS_DECISION,"")</f>
        <v/>
      </c>
      <c r="Q64" s="75" t="str">
        <f aca="false">IF(OR(B64="",N(H64)&lt;=N(G64)),"",IFERROR(INDEX(C_INICIO,MATCH(B64&amp;"-P"&amp;(G64+1),C_CLAVE,0)),""))</f>
        <v/>
      </c>
      <c r="R64" s="70" t="str">
        <f aca="false">IF(B64="","",IF(E64="Desvinculado","Terminado",IF(H64=0,"Sin contrato registrado",IF(E64="Por ingresar","Por ingresar",IF(ISNUMBER(Q64),"Renovación registrada",IF(I64="Indefinido","Indefinido",IF(NOT(ISNUMBER(O64)),"Falta fecha de término",IF(O64&lt;0,"VENCIDO",IF(O64&lt;=ALERTA_ROJA,"Vence en ≤ "&amp;ALERTA_ROJA&amp;" días",IF(O64&lt;=ALERTA_NARANJA,"Vence en ≤ "&amp;ALERTA_NARANJA&amp;" días",IF(O64&lt;=ALERTA_AMARILLA,"Vence en ≤ "&amp;ALERTA_AMARILLA&amp;" días","Vigente")))))))))))</f>
        <v/>
      </c>
      <c r="S64" s="70" t="str">
        <f aca="false">IF(B64="","",IF(R64="Terminado","—",IF(R64="Sin contrato registrado","Registrar el contrato en la hoja Contratos",IF(R64="Por ingresar","Tener el contrato firmado y hacer el alta en AFP, salud, seguro de cesantía y mutual",IF(R64="Renovación registrada",IF(AND(N(K64)&gt;=2,IFERROR(INDEX(C_TIPO,MATCH(B64&amp;"-P"&amp;(G64+1),C_CLAVE,0)),"")="Plazo fijo"),"⚠ El período registrado sería el 3er contrato a plazo: por ley es INDEFINIDO. Registrarlo como Paso a indefinido","Siguiente período ya registrado: verificar que el documento esté firmado"),IF(I64="Indefinido","Sin vencimiento. Cambios de sueldo, cargo o jornada se formalizan con anexo de modificación",IF(R64="Falta fecha de término","Completar la fecha de término en la hoja Contratos",IF(R64="VENCIDO","Si sigue trabajando, por ley el contrato ya es INDEFINIDO (Art. 159 N°4): firmar anexo de paso a indefinido o regularizar el término",IF(I64="Obra o faena","Al concluir la obra: finiquito por Art. 159 N°5 + indemnización de 2,5 días por mes trabajado (Ley 21.122)",IF(N(K64)&gt;=3,"Por ley ya es indefinido (2ª renovación): firmar anexo de paso a indefinido",IF(N(K64)=2,"2° contrato a plazo: NO admite otra renovación a plazo fijo. Pasar a indefinido o terminar al vencimiento (carta dentro de 3 días hábiles)","1er contrato a plazo: renovar (2° plazo fijo), pasar a indefinido o terminar al vencimiento (carta dentro de 3 días hábiles)")))))))))))</f>
        <v/>
      </c>
      <c r="T64" s="70" t="str">
        <f aca="false">IF(B64="","",IF(COUNTIFS(C_ID,B64,C_FIRMADO,"&lt;&gt;Sí")&gt;0,COUNTIFS(C_ID,B64,C_FIRMADO,"&lt;&gt;Sí")&amp;" documento(s) sin firma. ","")&amp;IF(COUNTIFS(C_ID,B64,C_TIPO,"Plazo fijo",C_DEFINE,"Sí")&gt;2,"Más de 2 contratos a plazo: revisar presunción de indefinido. ","")&amp;IF(AND(R64="VENCIDO",LEFT(E64,6)="Activo"),"Trabaja con contrato vencido. ",""))</f>
        <v/>
      </c>
      <c r="U64" s="71" t="str">
        <f aca="false">IF(B64="","",INDEX(T_SUELDO,58))</f>
        <v/>
      </c>
      <c r="V64" s="72" t="str">
        <f aca="false">IF(AND(B64&lt;&gt;"",LEFT(E64,6)="Activo",ISNUMBER(O64),R64&lt;&gt;"Renovación registrada"),O64+ROW()/100000,"")</f>
        <v/>
      </c>
    </row>
    <row r="65" customFormat="false" ht="15" hidden="false" customHeight="false" outlineLevel="0" collapsed="false">
      <c r="B65" s="70" t="str">
        <f aca="false">IFERROR(IF(INDEX(T_ID,59)="","",INDEX(T_ID,59)),"")</f>
        <v/>
      </c>
      <c r="C65" s="70" t="str">
        <f aca="false">IF(B65="","",INDEX(T_NOMBRE,59)&amp;"")</f>
        <v/>
      </c>
      <c r="D65" s="70" t="str">
        <f aca="false">IF(B65="","",INDEX(T_CARGO,59)&amp;"")</f>
        <v/>
      </c>
      <c r="E65" s="70" t="str">
        <f aca="false">IF(B65="","",INDEX(T_ESTADO,59))</f>
        <v/>
      </c>
      <c r="F65" s="75" t="str">
        <f aca="false">IF(B65="","",INDEX(T_INGRESO,59))</f>
        <v/>
      </c>
      <c r="G65" s="70" t="str">
        <f aca="false">IF(B65="","",COUNTIFS(C_ID,B65,C_DEFINE,"Sí",C_INICIO,"&lt;="&amp;FECHA_CORTE))</f>
        <v/>
      </c>
      <c r="H65" s="70" t="str">
        <f aca="false">IF(B65="","",COUNTIFS(C_ID,B65,C_DEFINE,"Sí"))</f>
        <v/>
      </c>
      <c r="I65" s="70" t="str">
        <f aca="false">IF(B65="","",IF(H65=0,"Sin contrato",IFERROR(INDEX(C_TIPO,MATCH(B65&amp;"-P"&amp;MAX(1,G65),C_CLAVE,0))&amp;"","")))</f>
        <v/>
      </c>
      <c r="J65" s="70" t="str">
        <f aca="false">IF(OR(B65="",N(H65)=0),"",IFERROR(INDEX(C_TIPODOC,MATCH(B65&amp;"-P"&amp;MAX(1,G65),C_CLAVE,0))&amp;"",""))</f>
        <v/>
      </c>
      <c r="K65" s="76" t="str">
        <f aca="false">IF(I65="Plazo fijo",IFERROR(INDEX(C_NPF,MATCH(B65&amp;"-P"&amp;MAX(1,G65),C_CLAVE,0)),""),"")</f>
        <v/>
      </c>
      <c r="L65" s="70" t="str">
        <f aca="false">IF(B65="","",COUNTIFS(C_ID,B65,C_TIPODOC,"Anexo de modificación"))</f>
        <v/>
      </c>
      <c r="M65" s="75" t="str">
        <f aca="false">IF(OR(B65="",N(H65)=0),"",IFERROR(INDEX(C_INICIO,MATCH(B65&amp;"-P"&amp;MAX(1,G65),C_CLAVE,0)),""))</f>
        <v/>
      </c>
      <c r="N65" s="75" t="str">
        <f aca="false">IF(OR(I65="Plazo fijo",I65="Obra o faena"),IFERROR(IF(N(INDEX(C_TERMINO,MATCH(B65&amp;"-P"&amp;MAX(1,G65),C_CLAVE,0)))=0,"",INDEX(C_TERMINO,MATCH(B65&amp;"-P"&amp;MAX(1,G65),C_CLAVE,0))),""),"")</f>
        <v/>
      </c>
      <c r="O65" s="77" t="str">
        <f aca="false">IF(AND(ISNUMBER(N65),E65&lt;&gt;"Desvinculado"),N65-FECHA_CORTE,"")</f>
        <v/>
      </c>
      <c r="P65" s="75" t="str">
        <f aca="false">IF(AND(ISNUMBER(N65),E65&lt;&gt;"Desvinculado"),N65-DIAS_DECISION,"")</f>
        <v/>
      </c>
      <c r="Q65" s="75" t="str">
        <f aca="false">IF(OR(B65="",N(H65)&lt;=N(G65)),"",IFERROR(INDEX(C_INICIO,MATCH(B65&amp;"-P"&amp;(G65+1),C_CLAVE,0)),""))</f>
        <v/>
      </c>
      <c r="R65" s="70" t="str">
        <f aca="false">IF(B65="","",IF(E65="Desvinculado","Terminado",IF(H65=0,"Sin contrato registrado",IF(E65="Por ingresar","Por ingresar",IF(ISNUMBER(Q65),"Renovación registrada",IF(I65="Indefinido","Indefinido",IF(NOT(ISNUMBER(O65)),"Falta fecha de término",IF(O65&lt;0,"VENCIDO",IF(O65&lt;=ALERTA_ROJA,"Vence en ≤ "&amp;ALERTA_ROJA&amp;" días",IF(O65&lt;=ALERTA_NARANJA,"Vence en ≤ "&amp;ALERTA_NARANJA&amp;" días",IF(O65&lt;=ALERTA_AMARILLA,"Vence en ≤ "&amp;ALERTA_AMARILLA&amp;" días","Vigente")))))))))))</f>
        <v/>
      </c>
      <c r="S65" s="70" t="str">
        <f aca="false">IF(B65="","",IF(R65="Terminado","—",IF(R65="Sin contrato registrado","Registrar el contrato en la hoja Contratos",IF(R65="Por ingresar","Tener el contrato firmado y hacer el alta en AFP, salud, seguro de cesantía y mutual",IF(R65="Renovación registrada",IF(AND(N(K65)&gt;=2,IFERROR(INDEX(C_TIPO,MATCH(B65&amp;"-P"&amp;(G65+1),C_CLAVE,0)),"")="Plazo fijo"),"⚠ El período registrado sería el 3er contrato a plazo: por ley es INDEFINIDO. Registrarlo como Paso a indefinido","Siguiente período ya registrado: verificar que el documento esté firmado"),IF(I65="Indefinido","Sin vencimiento. Cambios de sueldo, cargo o jornada se formalizan con anexo de modificación",IF(R65="Falta fecha de término","Completar la fecha de término en la hoja Contratos",IF(R65="VENCIDO","Si sigue trabajando, por ley el contrato ya es INDEFINIDO (Art. 159 N°4): firmar anexo de paso a indefinido o regularizar el término",IF(I65="Obra o faena","Al concluir la obra: finiquito por Art. 159 N°5 + indemnización de 2,5 días por mes trabajado (Ley 21.122)",IF(N(K65)&gt;=3,"Por ley ya es indefinido (2ª renovación): firmar anexo de paso a indefinido",IF(N(K65)=2,"2° contrato a plazo: NO admite otra renovación a plazo fijo. Pasar a indefinido o terminar al vencimiento (carta dentro de 3 días hábiles)","1er contrato a plazo: renovar (2° plazo fijo), pasar a indefinido o terminar al vencimiento (carta dentro de 3 días hábiles)")))))))))))</f>
        <v/>
      </c>
      <c r="T65" s="70" t="str">
        <f aca="false">IF(B65="","",IF(COUNTIFS(C_ID,B65,C_FIRMADO,"&lt;&gt;Sí")&gt;0,COUNTIFS(C_ID,B65,C_FIRMADO,"&lt;&gt;Sí")&amp;" documento(s) sin firma. ","")&amp;IF(COUNTIFS(C_ID,B65,C_TIPO,"Plazo fijo",C_DEFINE,"Sí")&gt;2,"Más de 2 contratos a plazo: revisar presunción de indefinido. ","")&amp;IF(AND(R65="VENCIDO",LEFT(E65,6)="Activo"),"Trabaja con contrato vencido. ",""))</f>
        <v/>
      </c>
      <c r="U65" s="71" t="str">
        <f aca="false">IF(B65="","",INDEX(T_SUELDO,59))</f>
        <v/>
      </c>
      <c r="V65" s="72" t="str">
        <f aca="false">IF(AND(B65&lt;&gt;"",LEFT(E65,6)="Activo",ISNUMBER(O65),R65&lt;&gt;"Renovación registrada"),O65+ROW()/100000,"")</f>
        <v/>
      </c>
    </row>
    <row r="66" customFormat="false" ht="15" hidden="false" customHeight="false" outlineLevel="0" collapsed="false">
      <c r="B66" s="70" t="str">
        <f aca="false">IFERROR(IF(INDEX(T_ID,60)="","",INDEX(T_ID,60)),"")</f>
        <v/>
      </c>
      <c r="C66" s="70" t="str">
        <f aca="false">IF(B66="","",INDEX(T_NOMBRE,60)&amp;"")</f>
        <v/>
      </c>
      <c r="D66" s="70" t="str">
        <f aca="false">IF(B66="","",INDEX(T_CARGO,60)&amp;"")</f>
        <v/>
      </c>
      <c r="E66" s="70" t="str">
        <f aca="false">IF(B66="","",INDEX(T_ESTADO,60))</f>
        <v/>
      </c>
      <c r="F66" s="75" t="str">
        <f aca="false">IF(B66="","",INDEX(T_INGRESO,60))</f>
        <v/>
      </c>
      <c r="G66" s="70" t="str">
        <f aca="false">IF(B66="","",COUNTIFS(C_ID,B66,C_DEFINE,"Sí",C_INICIO,"&lt;="&amp;FECHA_CORTE))</f>
        <v/>
      </c>
      <c r="H66" s="70" t="str">
        <f aca="false">IF(B66="","",COUNTIFS(C_ID,B66,C_DEFINE,"Sí"))</f>
        <v/>
      </c>
      <c r="I66" s="70" t="str">
        <f aca="false">IF(B66="","",IF(H66=0,"Sin contrato",IFERROR(INDEX(C_TIPO,MATCH(B66&amp;"-P"&amp;MAX(1,G66),C_CLAVE,0))&amp;"","")))</f>
        <v/>
      </c>
      <c r="J66" s="70" t="str">
        <f aca="false">IF(OR(B66="",N(H66)=0),"",IFERROR(INDEX(C_TIPODOC,MATCH(B66&amp;"-P"&amp;MAX(1,G66),C_CLAVE,0))&amp;"",""))</f>
        <v/>
      </c>
      <c r="K66" s="76" t="str">
        <f aca="false">IF(I66="Plazo fijo",IFERROR(INDEX(C_NPF,MATCH(B66&amp;"-P"&amp;MAX(1,G66),C_CLAVE,0)),""),"")</f>
        <v/>
      </c>
      <c r="L66" s="70" t="str">
        <f aca="false">IF(B66="","",COUNTIFS(C_ID,B66,C_TIPODOC,"Anexo de modificación"))</f>
        <v/>
      </c>
      <c r="M66" s="75" t="str">
        <f aca="false">IF(OR(B66="",N(H66)=0),"",IFERROR(INDEX(C_INICIO,MATCH(B66&amp;"-P"&amp;MAX(1,G66),C_CLAVE,0)),""))</f>
        <v/>
      </c>
      <c r="N66" s="75" t="str">
        <f aca="false">IF(OR(I66="Plazo fijo",I66="Obra o faena"),IFERROR(IF(N(INDEX(C_TERMINO,MATCH(B66&amp;"-P"&amp;MAX(1,G66),C_CLAVE,0)))=0,"",INDEX(C_TERMINO,MATCH(B66&amp;"-P"&amp;MAX(1,G66),C_CLAVE,0))),""),"")</f>
        <v/>
      </c>
      <c r="O66" s="77" t="str">
        <f aca="false">IF(AND(ISNUMBER(N66),E66&lt;&gt;"Desvinculado"),N66-FECHA_CORTE,"")</f>
        <v/>
      </c>
      <c r="P66" s="75" t="str">
        <f aca="false">IF(AND(ISNUMBER(N66),E66&lt;&gt;"Desvinculado"),N66-DIAS_DECISION,"")</f>
        <v/>
      </c>
      <c r="Q66" s="75" t="str">
        <f aca="false">IF(OR(B66="",N(H66)&lt;=N(G66)),"",IFERROR(INDEX(C_INICIO,MATCH(B66&amp;"-P"&amp;(G66+1),C_CLAVE,0)),""))</f>
        <v/>
      </c>
      <c r="R66" s="70" t="str">
        <f aca="false">IF(B66="","",IF(E66="Desvinculado","Terminado",IF(H66=0,"Sin contrato registrado",IF(E66="Por ingresar","Por ingresar",IF(ISNUMBER(Q66),"Renovación registrada",IF(I66="Indefinido","Indefinido",IF(NOT(ISNUMBER(O66)),"Falta fecha de término",IF(O66&lt;0,"VENCIDO",IF(O66&lt;=ALERTA_ROJA,"Vence en ≤ "&amp;ALERTA_ROJA&amp;" días",IF(O66&lt;=ALERTA_NARANJA,"Vence en ≤ "&amp;ALERTA_NARANJA&amp;" días",IF(O66&lt;=ALERTA_AMARILLA,"Vence en ≤ "&amp;ALERTA_AMARILLA&amp;" días","Vigente")))))))))))</f>
        <v/>
      </c>
      <c r="S66" s="70" t="str">
        <f aca="false">IF(B66="","",IF(R66="Terminado","—",IF(R66="Sin contrato registrado","Registrar el contrato en la hoja Contratos",IF(R66="Por ingresar","Tener el contrato firmado y hacer el alta en AFP, salud, seguro de cesantía y mutual",IF(R66="Renovación registrada",IF(AND(N(K66)&gt;=2,IFERROR(INDEX(C_TIPO,MATCH(B66&amp;"-P"&amp;(G66+1),C_CLAVE,0)),"")="Plazo fijo"),"⚠ El período registrado sería el 3er contrato a plazo: por ley es INDEFINIDO. Registrarlo como Paso a indefinido","Siguiente período ya registrado: verificar que el documento esté firmado"),IF(I66="Indefinido","Sin vencimiento. Cambios de sueldo, cargo o jornada se formalizan con anexo de modificación",IF(R66="Falta fecha de término","Completar la fecha de término en la hoja Contratos",IF(R66="VENCIDO","Si sigue trabajando, por ley el contrato ya es INDEFINIDO (Art. 159 N°4): firmar anexo de paso a indefinido o regularizar el término",IF(I66="Obra o faena","Al concluir la obra: finiquito por Art. 159 N°5 + indemnización de 2,5 días por mes trabajado (Ley 21.122)",IF(N(K66)&gt;=3,"Por ley ya es indefinido (2ª renovación): firmar anexo de paso a indefinido",IF(N(K66)=2,"2° contrato a plazo: NO admite otra renovación a plazo fijo. Pasar a indefinido o terminar al vencimiento (carta dentro de 3 días hábiles)","1er contrato a plazo: renovar (2° plazo fijo), pasar a indefinido o terminar al vencimiento (carta dentro de 3 días hábiles)")))))))))))</f>
        <v/>
      </c>
      <c r="T66" s="70" t="str">
        <f aca="false">IF(B66="","",IF(COUNTIFS(C_ID,B66,C_FIRMADO,"&lt;&gt;Sí")&gt;0,COUNTIFS(C_ID,B66,C_FIRMADO,"&lt;&gt;Sí")&amp;" documento(s) sin firma. ","")&amp;IF(COUNTIFS(C_ID,B66,C_TIPO,"Plazo fijo",C_DEFINE,"Sí")&gt;2,"Más de 2 contratos a plazo: revisar presunción de indefinido. ","")&amp;IF(AND(R66="VENCIDO",LEFT(E66,6)="Activo"),"Trabaja con contrato vencido. ",""))</f>
        <v/>
      </c>
      <c r="U66" s="71" t="str">
        <f aca="false">IF(B66="","",INDEX(T_SUELDO,60))</f>
        <v/>
      </c>
      <c r="V66" s="72" t="str">
        <f aca="false">IF(AND(B66&lt;&gt;"",LEFT(E66,6)="Activo",ISNUMBER(O66),R66&lt;&gt;"Renovación registrada"),O66+ROW()/100000,"")</f>
        <v/>
      </c>
    </row>
    <row r="67" customFormat="false" ht="15" hidden="false" customHeight="false" outlineLevel="0" collapsed="false">
      <c r="B67" s="70" t="str">
        <f aca="false">IFERROR(IF(INDEX(T_ID,61)="","",INDEX(T_ID,61)),"")</f>
        <v/>
      </c>
      <c r="C67" s="70" t="str">
        <f aca="false">IF(B67="","",INDEX(T_NOMBRE,61)&amp;"")</f>
        <v/>
      </c>
      <c r="D67" s="70" t="str">
        <f aca="false">IF(B67="","",INDEX(T_CARGO,61)&amp;"")</f>
        <v/>
      </c>
      <c r="E67" s="70" t="str">
        <f aca="false">IF(B67="","",INDEX(T_ESTADO,61))</f>
        <v/>
      </c>
      <c r="F67" s="75" t="str">
        <f aca="false">IF(B67="","",INDEX(T_INGRESO,61))</f>
        <v/>
      </c>
      <c r="G67" s="70" t="str">
        <f aca="false">IF(B67="","",COUNTIFS(C_ID,B67,C_DEFINE,"Sí",C_INICIO,"&lt;="&amp;FECHA_CORTE))</f>
        <v/>
      </c>
      <c r="H67" s="70" t="str">
        <f aca="false">IF(B67="","",COUNTIFS(C_ID,B67,C_DEFINE,"Sí"))</f>
        <v/>
      </c>
      <c r="I67" s="70" t="str">
        <f aca="false">IF(B67="","",IF(H67=0,"Sin contrato",IFERROR(INDEX(C_TIPO,MATCH(B67&amp;"-P"&amp;MAX(1,G67),C_CLAVE,0))&amp;"","")))</f>
        <v/>
      </c>
      <c r="J67" s="70" t="str">
        <f aca="false">IF(OR(B67="",N(H67)=0),"",IFERROR(INDEX(C_TIPODOC,MATCH(B67&amp;"-P"&amp;MAX(1,G67),C_CLAVE,0))&amp;"",""))</f>
        <v/>
      </c>
      <c r="K67" s="76" t="str">
        <f aca="false">IF(I67="Plazo fijo",IFERROR(INDEX(C_NPF,MATCH(B67&amp;"-P"&amp;MAX(1,G67),C_CLAVE,0)),""),"")</f>
        <v/>
      </c>
      <c r="L67" s="70" t="str">
        <f aca="false">IF(B67="","",COUNTIFS(C_ID,B67,C_TIPODOC,"Anexo de modificación"))</f>
        <v/>
      </c>
      <c r="M67" s="75" t="str">
        <f aca="false">IF(OR(B67="",N(H67)=0),"",IFERROR(INDEX(C_INICIO,MATCH(B67&amp;"-P"&amp;MAX(1,G67),C_CLAVE,0)),""))</f>
        <v/>
      </c>
      <c r="N67" s="75" t="str">
        <f aca="false">IF(OR(I67="Plazo fijo",I67="Obra o faena"),IFERROR(IF(N(INDEX(C_TERMINO,MATCH(B67&amp;"-P"&amp;MAX(1,G67),C_CLAVE,0)))=0,"",INDEX(C_TERMINO,MATCH(B67&amp;"-P"&amp;MAX(1,G67),C_CLAVE,0))),""),"")</f>
        <v/>
      </c>
      <c r="O67" s="77" t="str">
        <f aca="false">IF(AND(ISNUMBER(N67),E67&lt;&gt;"Desvinculado"),N67-FECHA_CORTE,"")</f>
        <v/>
      </c>
      <c r="P67" s="75" t="str">
        <f aca="false">IF(AND(ISNUMBER(N67),E67&lt;&gt;"Desvinculado"),N67-DIAS_DECISION,"")</f>
        <v/>
      </c>
      <c r="Q67" s="75" t="str">
        <f aca="false">IF(OR(B67="",N(H67)&lt;=N(G67)),"",IFERROR(INDEX(C_INICIO,MATCH(B67&amp;"-P"&amp;(G67+1),C_CLAVE,0)),""))</f>
        <v/>
      </c>
      <c r="R67" s="70" t="str">
        <f aca="false">IF(B67="","",IF(E67="Desvinculado","Terminado",IF(H67=0,"Sin contrato registrado",IF(E67="Por ingresar","Por ingresar",IF(ISNUMBER(Q67),"Renovación registrada",IF(I67="Indefinido","Indefinido",IF(NOT(ISNUMBER(O67)),"Falta fecha de término",IF(O67&lt;0,"VENCIDO",IF(O67&lt;=ALERTA_ROJA,"Vence en ≤ "&amp;ALERTA_ROJA&amp;" días",IF(O67&lt;=ALERTA_NARANJA,"Vence en ≤ "&amp;ALERTA_NARANJA&amp;" días",IF(O67&lt;=ALERTA_AMARILLA,"Vence en ≤ "&amp;ALERTA_AMARILLA&amp;" días","Vigente")))))))))))</f>
        <v/>
      </c>
      <c r="S67" s="70" t="str">
        <f aca="false">IF(B67="","",IF(R67="Terminado","—",IF(R67="Sin contrato registrado","Registrar el contrato en la hoja Contratos",IF(R67="Por ingresar","Tener el contrato firmado y hacer el alta en AFP, salud, seguro de cesantía y mutual",IF(R67="Renovación registrada",IF(AND(N(K67)&gt;=2,IFERROR(INDEX(C_TIPO,MATCH(B67&amp;"-P"&amp;(G67+1),C_CLAVE,0)),"")="Plazo fijo"),"⚠ El período registrado sería el 3er contrato a plazo: por ley es INDEFINIDO. Registrarlo como Paso a indefinido","Siguiente período ya registrado: verificar que el documento esté firmado"),IF(I67="Indefinido","Sin vencimiento. Cambios de sueldo, cargo o jornada se formalizan con anexo de modificación",IF(R67="Falta fecha de término","Completar la fecha de término en la hoja Contratos",IF(R67="VENCIDO","Si sigue trabajando, por ley el contrato ya es INDEFINIDO (Art. 159 N°4): firmar anexo de paso a indefinido o regularizar el término",IF(I67="Obra o faena","Al concluir la obra: finiquito por Art. 159 N°5 + indemnización de 2,5 días por mes trabajado (Ley 21.122)",IF(N(K67)&gt;=3,"Por ley ya es indefinido (2ª renovación): firmar anexo de paso a indefinido",IF(N(K67)=2,"2° contrato a plazo: NO admite otra renovación a plazo fijo. Pasar a indefinido o terminar al vencimiento (carta dentro de 3 días hábiles)","1er contrato a plazo: renovar (2° plazo fijo), pasar a indefinido o terminar al vencimiento (carta dentro de 3 días hábiles)")))))))))))</f>
        <v/>
      </c>
      <c r="T67" s="70" t="str">
        <f aca="false">IF(B67="","",IF(COUNTIFS(C_ID,B67,C_FIRMADO,"&lt;&gt;Sí")&gt;0,COUNTIFS(C_ID,B67,C_FIRMADO,"&lt;&gt;Sí")&amp;" documento(s) sin firma. ","")&amp;IF(COUNTIFS(C_ID,B67,C_TIPO,"Plazo fijo",C_DEFINE,"Sí")&gt;2,"Más de 2 contratos a plazo: revisar presunción de indefinido. ","")&amp;IF(AND(R67="VENCIDO",LEFT(E67,6)="Activo"),"Trabaja con contrato vencido. ",""))</f>
        <v/>
      </c>
      <c r="U67" s="71" t="str">
        <f aca="false">IF(B67="","",INDEX(T_SUELDO,61))</f>
        <v/>
      </c>
      <c r="V67" s="72" t="str">
        <f aca="false">IF(AND(B67&lt;&gt;"",LEFT(E67,6)="Activo",ISNUMBER(O67),R67&lt;&gt;"Renovación registrada"),O67+ROW()/100000,"")</f>
        <v/>
      </c>
    </row>
    <row r="68" customFormat="false" ht="15" hidden="false" customHeight="false" outlineLevel="0" collapsed="false">
      <c r="B68" s="70" t="str">
        <f aca="false">IFERROR(IF(INDEX(T_ID,62)="","",INDEX(T_ID,62)),"")</f>
        <v/>
      </c>
      <c r="C68" s="70" t="str">
        <f aca="false">IF(B68="","",INDEX(T_NOMBRE,62)&amp;"")</f>
        <v/>
      </c>
      <c r="D68" s="70" t="str">
        <f aca="false">IF(B68="","",INDEX(T_CARGO,62)&amp;"")</f>
        <v/>
      </c>
      <c r="E68" s="70" t="str">
        <f aca="false">IF(B68="","",INDEX(T_ESTADO,62))</f>
        <v/>
      </c>
      <c r="F68" s="75" t="str">
        <f aca="false">IF(B68="","",INDEX(T_INGRESO,62))</f>
        <v/>
      </c>
      <c r="G68" s="70" t="str">
        <f aca="false">IF(B68="","",COUNTIFS(C_ID,B68,C_DEFINE,"Sí",C_INICIO,"&lt;="&amp;FECHA_CORTE))</f>
        <v/>
      </c>
      <c r="H68" s="70" t="str">
        <f aca="false">IF(B68="","",COUNTIFS(C_ID,B68,C_DEFINE,"Sí"))</f>
        <v/>
      </c>
      <c r="I68" s="70" t="str">
        <f aca="false">IF(B68="","",IF(H68=0,"Sin contrato",IFERROR(INDEX(C_TIPO,MATCH(B68&amp;"-P"&amp;MAX(1,G68),C_CLAVE,0))&amp;"","")))</f>
        <v/>
      </c>
      <c r="J68" s="70" t="str">
        <f aca="false">IF(OR(B68="",N(H68)=0),"",IFERROR(INDEX(C_TIPODOC,MATCH(B68&amp;"-P"&amp;MAX(1,G68),C_CLAVE,0))&amp;"",""))</f>
        <v/>
      </c>
      <c r="K68" s="76" t="str">
        <f aca="false">IF(I68="Plazo fijo",IFERROR(INDEX(C_NPF,MATCH(B68&amp;"-P"&amp;MAX(1,G68),C_CLAVE,0)),""),"")</f>
        <v/>
      </c>
      <c r="L68" s="70" t="str">
        <f aca="false">IF(B68="","",COUNTIFS(C_ID,B68,C_TIPODOC,"Anexo de modificación"))</f>
        <v/>
      </c>
      <c r="M68" s="75" t="str">
        <f aca="false">IF(OR(B68="",N(H68)=0),"",IFERROR(INDEX(C_INICIO,MATCH(B68&amp;"-P"&amp;MAX(1,G68),C_CLAVE,0)),""))</f>
        <v/>
      </c>
      <c r="N68" s="75" t="str">
        <f aca="false">IF(OR(I68="Plazo fijo",I68="Obra o faena"),IFERROR(IF(N(INDEX(C_TERMINO,MATCH(B68&amp;"-P"&amp;MAX(1,G68),C_CLAVE,0)))=0,"",INDEX(C_TERMINO,MATCH(B68&amp;"-P"&amp;MAX(1,G68),C_CLAVE,0))),""),"")</f>
        <v/>
      </c>
      <c r="O68" s="77" t="str">
        <f aca="false">IF(AND(ISNUMBER(N68),E68&lt;&gt;"Desvinculado"),N68-FECHA_CORTE,"")</f>
        <v/>
      </c>
      <c r="P68" s="75" t="str">
        <f aca="false">IF(AND(ISNUMBER(N68),E68&lt;&gt;"Desvinculado"),N68-DIAS_DECISION,"")</f>
        <v/>
      </c>
      <c r="Q68" s="75" t="str">
        <f aca="false">IF(OR(B68="",N(H68)&lt;=N(G68)),"",IFERROR(INDEX(C_INICIO,MATCH(B68&amp;"-P"&amp;(G68+1),C_CLAVE,0)),""))</f>
        <v/>
      </c>
      <c r="R68" s="70" t="str">
        <f aca="false">IF(B68="","",IF(E68="Desvinculado","Terminado",IF(H68=0,"Sin contrato registrado",IF(E68="Por ingresar","Por ingresar",IF(ISNUMBER(Q68),"Renovación registrada",IF(I68="Indefinido","Indefinido",IF(NOT(ISNUMBER(O68)),"Falta fecha de término",IF(O68&lt;0,"VENCIDO",IF(O68&lt;=ALERTA_ROJA,"Vence en ≤ "&amp;ALERTA_ROJA&amp;" días",IF(O68&lt;=ALERTA_NARANJA,"Vence en ≤ "&amp;ALERTA_NARANJA&amp;" días",IF(O68&lt;=ALERTA_AMARILLA,"Vence en ≤ "&amp;ALERTA_AMARILLA&amp;" días","Vigente")))))))))))</f>
        <v/>
      </c>
      <c r="S68" s="70" t="str">
        <f aca="false">IF(B68="","",IF(R68="Terminado","—",IF(R68="Sin contrato registrado","Registrar el contrato en la hoja Contratos",IF(R68="Por ingresar","Tener el contrato firmado y hacer el alta en AFP, salud, seguro de cesantía y mutual",IF(R68="Renovación registrada",IF(AND(N(K68)&gt;=2,IFERROR(INDEX(C_TIPO,MATCH(B68&amp;"-P"&amp;(G68+1),C_CLAVE,0)),"")="Plazo fijo"),"⚠ El período registrado sería el 3er contrato a plazo: por ley es INDEFINIDO. Registrarlo como Paso a indefinido","Siguiente período ya registrado: verificar que el documento esté firmado"),IF(I68="Indefinido","Sin vencimiento. Cambios de sueldo, cargo o jornada se formalizan con anexo de modificación",IF(R68="Falta fecha de término","Completar la fecha de término en la hoja Contratos",IF(R68="VENCIDO","Si sigue trabajando, por ley el contrato ya es INDEFINIDO (Art. 159 N°4): firmar anexo de paso a indefinido o regularizar el término",IF(I68="Obra o faena","Al concluir la obra: finiquito por Art. 159 N°5 + indemnización de 2,5 días por mes trabajado (Ley 21.122)",IF(N(K68)&gt;=3,"Por ley ya es indefinido (2ª renovación): firmar anexo de paso a indefinido",IF(N(K68)=2,"2° contrato a plazo: NO admite otra renovación a plazo fijo. Pasar a indefinido o terminar al vencimiento (carta dentro de 3 días hábiles)","1er contrato a plazo: renovar (2° plazo fijo), pasar a indefinido o terminar al vencimiento (carta dentro de 3 días hábiles)")))))))))))</f>
        <v/>
      </c>
      <c r="T68" s="70" t="str">
        <f aca="false">IF(B68="","",IF(COUNTIFS(C_ID,B68,C_FIRMADO,"&lt;&gt;Sí")&gt;0,COUNTIFS(C_ID,B68,C_FIRMADO,"&lt;&gt;Sí")&amp;" documento(s) sin firma. ","")&amp;IF(COUNTIFS(C_ID,B68,C_TIPO,"Plazo fijo",C_DEFINE,"Sí")&gt;2,"Más de 2 contratos a plazo: revisar presunción de indefinido. ","")&amp;IF(AND(R68="VENCIDO",LEFT(E68,6)="Activo"),"Trabaja con contrato vencido. ",""))</f>
        <v/>
      </c>
      <c r="U68" s="71" t="str">
        <f aca="false">IF(B68="","",INDEX(T_SUELDO,62))</f>
        <v/>
      </c>
      <c r="V68" s="72" t="str">
        <f aca="false">IF(AND(B68&lt;&gt;"",LEFT(E68,6)="Activo",ISNUMBER(O68),R68&lt;&gt;"Renovación registrada"),O68+ROW()/100000,"")</f>
        <v/>
      </c>
    </row>
    <row r="69" customFormat="false" ht="15" hidden="false" customHeight="false" outlineLevel="0" collapsed="false">
      <c r="B69" s="70" t="str">
        <f aca="false">IFERROR(IF(INDEX(T_ID,63)="","",INDEX(T_ID,63)),"")</f>
        <v/>
      </c>
      <c r="C69" s="70" t="str">
        <f aca="false">IF(B69="","",INDEX(T_NOMBRE,63)&amp;"")</f>
        <v/>
      </c>
      <c r="D69" s="70" t="str">
        <f aca="false">IF(B69="","",INDEX(T_CARGO,63)&amp;"")</f>
        <v/>
      </c>
      <c r="E69" s="70" t="str">
        <f aca="false">IF(B69="","",INDEX(T_ESTADO,63))</f>
        <v/>
      </c>
      <c r="F69" s="75" t="str">
        <f aca="false">IF(B69="","",INDEX(T_INGRESO,63))</f>
        <v/>
      </c>
      <c r="G69" s="70" t="str">
        <f aca="false">IF(B69="","",COUNTIFS(C_ID,B69,C_DEFINE,"Sí",C_INICIO,"&lt;="&amp;FECHA_CORTE))</f>
        <v/>
      </c>
      <c r="H69" s="70" t="str">
        <f aca="false">IF(B69="","",COUNTIFS(C_ID,B69,C_DEFINE,"Sí"))</f>
        <v/>
      </c>
      <c r="I69" s="70" t="str">
        <f aca="false">IF(B69="","",IF(H69=0,"Sin contrato",IFERROR(INDEX(C_TIPO,MATCH(B69&amp;"-P"&amp;MAX(1,G69),C_CLAVE,0))&amp;"","")))</f>
        <v/>
      </c>
      <c r="J69" s="70" t="str">
        <f aca="false">IF(OR(B69="",N(H69)=0),"",IFERROR(INDEX(C_TIPODOC,MATCH(B69&amp;"-P"&amp;MAX(1,G69),C_CLAVE,0))&amp;"",""))</f>
        <v/>
      </c>
      <c r="K69" s="76" t="str">
        <f aca="false">IF(I69="Plazo fijo",IFERROR(INDEX(C_NPF,MATCH(B69&amp;"-P"&amp;MAX(1,G69),C_CLAVE,0)),""),"")</f>
        <v/>
      </c>
      <c r="L69" s="70" t="str">
        <f aca="false">IF(B69="","",COUNTIFS(C_ID,B69,C_TIPODOC,"Anexo de modificación"))</f>
        <v/>
      </c>
      <c r="M69" s="75" t="str">
        <f aca="false">IF(OR(B69="",N(H69)=0),"",IFERROR(INDEX(C_INICIO,MATCH(B69&amp;"-P"&amp;MAX(1,G69),C_CLAVE,0)),""))</f>
        <v/>
      </c>
      <c r="N69" s="75" t="str">
        <f aca="false">IF(OR(I69="Plazo fijo",I69="Obra o faena"),IFERROR(IF(N(INDEX(C_TERMINO,MATCH(B69&amp;"-P"&amp;MAX(1,G69),C_CLAVE,0)))=0,"",INDEX(C_TERMINO,MATCH(B69&amp;"-P"&amp;MAX(1,G69),C_CLAVE,0))),""),"")</f>
        <v/>
      </c>
      <c r="O69" s="77" t="str">
        <f aca="false">IF(AND(ISNUMBER(N69),E69&lt;&gt;"Desvinculado"),N69-FECHA_CORTE,"")</f>
        <v/>
      </c>
      <c r="P69" s="75" t="str">
        <f aca="false">IF(AND(ISNUMBER(N69),E69&lt;&gt;"Desvinculado"),N69-DIAS_DECISION,"")</f>
        <v/>
      </c>
      <c r="Q69" s="75" t="str">
        <f aca="false">IF(OR(B69="",N(H69)&lt;=N(G69)),"",IFERROR(INDEX(C_INICIO,MATCH(B69&amp;"-P"&amp;(G69+1),C_CLAVE,0)),""))</f>
        <v/>
      </c>
      <c r="R69" s="70" t="str">
        <f aca="false">IF(B69="","",IF(E69="Desvinculado","Terminado",IF(H69=0,"Sin contrato registrado",IF(E69="Por ingresar","Por ingresar",IF(ISNUMBER(Q69),"Renovación registrada",IF(I69="Indefinido","Indefinido",IF(NOT(ISNUMBER(O69)),"Falta fecha de término",IF(O69&lt;0,"VENCIDO",IF(O69&lt;=ALERTA_ROJA,"Vence en ≤ "&amp;ALERTA_ROJA&amp;" días",IF(O69&lt;=ALERTA_NARANJA,"Vence en ≤ "&amp;ALERTA_NARANJA&amp;" días",IF(O69&lt;=ALERTA_AMARILLA,"Vence en ≤ "&amp;ALERTA_AMARILLA&amp;" días","Vigente")))))))))))</f>
        <v/>
      </c>
      <c r="S69" s="70" t="str">
        <f aca="false">IF(B69="","",IF(R69="Terminado","—",IF(R69="Sin contrato registrado","Registrar el contrato en la hoja Contratos",IF(R69="Por ingresar","Tener el contrato firmado y hacer el alta en AFP, salud, seguro de cesantía y mutual",IF(R69="Renovación registrada",IF(AND(N(K69)&gt;=2,IFERROR(INDEX(C_TIPO,MATCH(B69&amp;"-P"&amp;(G69+1),C_CLAVE,0)),"")="Plazo fijo"),"⚠ El período registrado sería el 3er contrato a plazo: por ley es INDEFINIDO. Registrarlo como Paso a indefinido","Siguiente período ya registrado: verificar que el documento esté firmado"),IF(I69="Indefinido","Sin vencimiento. Cambios de sueldo, cargo o jornada se formalizan con anexo de modificación",IF(R69="Falta fecha de término","Completar la fecha de término en la hoja Contratos",IF(R69="VENCIDO","Si sigue trabajando, por ley el contrato ya es INDEFINIDO (Art. 159 N°4): firmar anexo de paso a indefinido o regularizar el término",IF(I69="Obra o faena","Al concluir la obra: finiquito por Art. 159 N°5 + indemnización de 2,5 días por mes trabajado (Ley 21.122)",IF(N(K69)&gt;=3,"Por ley ya es indefinido (2ª renovación): firmar anexo de paso a indefinido",IF(N(K69)=2,"2° contrato a plazo: NO admite otra renovación a plazo fijo. Pasar a indefinido o terminar al vencimiento (carta dentro de 3 días hábiles)","1er contrato a plazo: renovar (2° plazo fijo), pasar a indefinido o terminar al vencimiento (carta dentro de 3 días hábiles)")))))))))))</f>
        <v/>
      </c>
      <c r="T69" s="70" t="str">
        <f aca="false">IF(B69="","",IF(COUNTIFS(C_ID,B69,C_FIRMADO,"&lt;&gt;Sí")&gt;0,COUNTIFS(C_ID,B69,C_FIRMADO,"&lt;&gt;Sí")&amp;" documento(s) sin firma. ","")&amp;IF(COUNTIFS(C_ID,B69,C_TIPO,"Plazo fijo",C_DEFINE,"Sí")&gt;2,"Más de 2 contratos a plazo: revisar presunción de indefinido. ","")&amp;IF(AND(R69="VENCIDO",LEFT(E69,6)="Activo"),"Trabaja con contrato vencido. ",""))</f>
        <v/>
      </c>
      <c r="U69" s="71" t="str">
        <f aca="false">IF(B69="","",INDEX(T_SUELDO,63))</f>
        <v/>
      </c>
      <c r="V69" s="72" t="str">
        <f aca="false">IF(AND(B69&lt;&gt;"",LEFT(E69,6)="Activo",ISNUMBER(O69),R69&lt;&gt;"Renovación registrada"),O69+ROW()/100000,"")</f>
        <v/>
      </c>
    </row>
    <row r="70" customFormat="false" ht="15" hidden="false" customHeight="false" outlineLevel="0" collapsed="false">
      <c r="B70" s="70" t="str">
        <f aca="false">IFERROR(IF(INDEX(T_ID,64)="","",INDEX(T_ID,64)),"")</f>
        <v/>
      </c>
      <c r="C70" s="70" t="str">
        <f aca="false">IF(B70="","",INDEX(T_NOMBRE,64)&amp;"")</f>
        <v/>
      </c>
      <c r="D70" s="70" t="str">
        <f aca="false">IF(B70="","",INDEX(T_CARGO,64)&amp;"")</f>
        <v/>
      </c>
      <c r="E70" s="70" t="str">
        <f aca="false">IF(B70="","",INDEX(T_ESTADO,64))</f>
        <v/>
      </c>
      <c r="F70" s="75" t="str">
        <f aca="false">IF(B70="","",INDEX(T_INGRESO,64))</f>
        <v/>
      </c>
      <c r="G70" s="70" t="str">
        <f aca="false">IF(B70="","",COUNTIFS(C_ID,B70,C_DEFINE,"Sí",C_INICIO,"&lt;="&amp;FECHA_CORTE))</f>
        <v/>
      </c>
      <c r="H70" s="70" t="str">
        <f aca="false">IF(B70="","",COUNTIFS(C_ID,B70,C_DEFINE,"Sí"))</f>
        <v/>
      </c>
      <c r="I70" s="70" t="str">
        <f aca="false">IF(B70="","",IF(H70=0,"Sin contrato",IFERROR(INDEX(C_TIPO,MATCH(B70&amp;"-P"&amp;MAX(1,G70),C_CLAVE,0))&amp;"","")))</f>
        <v/>
      </c>
      <c r="J70" s="70" t="str">
        <f aca="false">IF(OR(B70="",N(H70)=0),"",IFERROR(INDEX(C_TIPODOC,MATCH(B70&amp;"-P"&amp;MAX(1,G70),C_CLAVE,0))&amp;"",""))</f>
        <v/>
      </c>
      <c r="K70" s="76" t="str">
        <f aca="false">IF(I70="Plazo fijo",IFERROR(INDEX(C_NPF,MATCH(B70&amp;"-P"&amp;MAX(1,G70),C_CLAVE,0)),""),"")</f>
        <v/>
      </c>
      <c r="L70" s="70" t="str">
        <f aca="false">IF(B70="","",COUNTIFS(C_ID,B70,C_TIPODOC,"Anexo de modificación"))</f>
        <v/>
      </c>
      <c r="M70" s="75" t="str">
        <f aca="false">IF(OR(B70="",N(H70)=0),"",IFERROR(INDEX(C_INICIO,MATCH(B70&amp;"-P"&amp;MAX(1,G70),C_CLAVE,0)),""))</f>
        <v/>
      </c>
      <c r="N70" s="75" t="str">
        <f aca="false">IF(OR(I70="Plazo fijo",I70="Obra o faena"),IFERROR(IF(N(INDEX(C_TERMINO,MATCH(B70&amp;"-P"&amp;MAX(1,G70),C_CLAVE,0)))=0,"",INDEX(C_TERMINO,MATCH(B70&amp;"-P"&amp;MAX(1,G70),C_CLAVE,0))),""),"")</f>
        <v/>
      </c>
      <c r="O70" s="77" t="str">
        <f aca="false">IF(AND(ISNUMBER(N70),E70&lt;&gt;"Desvinculado"),N70-FECHA_CORTE,"")</f>
        <v/>
      </c>
      <c r="P70" s="75" t="str">
        <f aca="false">IF(AND(ISNUMBER(N70),E70&lt;&gt;"Desvinculado"),N70-DIAS_DECISION,"")</f>
        <v/>
      </c>
      <c r="Q70" s="75" t="str">
        <f aca="false">IF(OR(B70="",N(H70)&lt;=N(G70)),"",IFERROR(INDEX(C_INICIO,MATCH(B70&amp;"-P"&amp;(G70+1),C_CLAVE,0)),""))</f>
        <v/>
      </c>
      <c r="R70" s="70" t="str">
        <f aca="false">IF(B70="","",IF(E70="Desvinculado","Terminado",IF(H70=0,"Sin contrato registrado",IF(E70="Por ingresar","Por ingresar",IF(ISNUMBER(Q70),"Renovación registrada",IF(I70="Indefinido","Indefinido",IF(NOT(ISNUMBER(O70)),"Falta fecha de término",IF(O70&lt;0,"VENCIDO",IF(O70&lt;=ALERTA_ROJA,"Vence en ≤ "&amp;ALERTA_ROJA&amp;" días",IF(O70&lt;=ALERTA_NARANJA,"Vence en ≤ "&amp;ALERTA_NARANJA&amp;" días",IF(O70&lt;=ALERTA_AMARILLA,"Vence en ≤ "&amp;ALERTA_AMARILLA&amp;" días","Vigente")))))))))))</f>
        <v/>
      </c>
      <c r="S70" s="70" t="str">
        <f aca="false">IF(B70="","",IF(R70="Terminado","—",IF(R70="Sin contrato registrado","Registrar el contrato en la hoja Contratos",IF(R70="Por ingresar","Tener el contrato firmado y hacer el alta en AFP, salud, seguro de cesantía y mutual",IF(R70="Renovación registrada",IF(AND(N(K70)&gt;=2,IFERROR(INDEX(C_TIPO,MATCH(B70&amp;"-P"&amp;(G70+1),C_CLAVE,0)),"")="Plazo fijo"),"⚠ El período registrado sería el 3er contrato a plazo: por ley es INDEFINIDO. Registrarlo como Paso a indefinido","Siguiente período ya registrado: verificar que el documento esté firmado"),IF(I70="Indefinido","Sin vencimiento. Cambios de sueldo, cargo o jornada se formalizan con anexo de modificación",IF(R70="Falta fecha de término","Completar la fecha de término en la hoja Contratos",IF(R70="VENCIDO","Si sigue trabajando, por ley el contrato ya es INDEFINIDO (Art. 159 N°4): firmar anexo de paso a indefinido o regularizar el término",IF(I70="Obra o faena","Al concluir la obra: finiquito por Art. 159 N°5 + indemnización de 2,5 días por mes trabajado (Ley 21.122)",IF(N(K70)&gt;=3,"Por ley ya es indefinido (2ª renovación): firmar anexo de paso a indefinido",IF(N(K70)=2,"2° contrato a plazo: NO admite otra renovación a plazo fijo. Pasar a indefinido o terminar al vencimiento (carta dentro de 3 días hábiles)","1er contrato a plazo: renovar (2° plazo fijo), pasar a indefinido o terminar al vencimiento (carta dentro de 3 días hábiles)")))))))))))</f>
        <v/>
      </c>
      <c r="T70" s="70" t="str">
        <f aca="false">IF(B70="","",IF(COUNTIFS(C_ID,B70,C_FIRMADO,"&lt;&gt;Sí")&gt;0,COUNTIFS(C_ID,B70,C_FIRMADO,"&lt;&gt;Sí")&amp;" documento(s) sin firma. ","")&amp;IF(COUNTIFS(C_ID,B70,C_TIPO,"Plazo fijo",C_DEFINE,"Sí")&gt;2,"Más de 2 contratos a plazo: revisar presunción de indefinido. ","")&amp;IF(AND(R70="VENCIDO",LEFT(E70,6)="Activo"),"Trabaja con contrato vencido. ",""))</f>
        <v/>
      </c>
      <c r="U70" s="71" t="str">
        <f aca="false">IF(B70="","",INDEX(T_SUELDO,64))</f>
        <v/>
      </c>
      <c r="V70" s="72" t="str">
        <f aca="false">IF(AND(B70&lt;&gt;"",LEFT(E70,6)="Activo",ISNUMBER(O70),R70&lt;&gt;"Renovación registrada"),O70+ROW()/100000,"")</f>
        <v/>
      </c>
    </row>
    <row r="71" customFormat="false" ht="15" hidden="false" customHeight="false" outlineLevel="0" collapsed="false">
      <c r="B71" s="70" t="str">
        <f aca="false">IFERROR(IF(INDEX(T_ID,65)="","",INDEX(T_ID,65)),"")</f>
        <v/>
      </c>
      <c r="C71" s="70" t="str">
        <f aca="false">IF(B71="","",INDEX(T_NOMBRE,65)&amp;"")</f>
        <v/>
      </c>
      <c r="D71" s="70" t="str">
        <f aca="false">IF(B71="","",INDEX(T_CARGO,65)&amp;"")</f>
        <v/>
      </c>
      <c r="E71" s="70" t="str">
        <f aca="false">IF(B71="","",INDEX(T_ESTADO,65))</f>
        <v/>
      </c>
      <c r="F71" s="75" t="str">
        <f aca="false">IF(B71="","",INDEX(T_INGRESO,65))</f>
        <v/>
      </c>
      <c r="G71" s="70" t="str">
        <f aca="false">IF(B71="","",COUNTIFS(C_ID,B71,C_DEFINE,"Sí",C_INICIO,"&lt;="&amp;FECHA_CORTE))</f>
        <v/>
      </c>
      <c r="H71" s="70" t="str">
        <f aca="false">IF(B71="","",COUNTIFS(C_ID,B71,C_DEFINE,"Sí"))</f>
        <v/>
      </c>
      <c r="I71" s="70" t="str">
        <f aca="false">IF(B71="","",IF(H71=0,"Sin contrato",IFERROR(INDEX(C_TIPO,MATCH(B71&amp;"-P"&amp;MAX(1,G71),C_CLAVE,0))&amp;"","")))</f>
        <v/>
      </c>
      <c r="J71" s="70" t="str">
        <f aca="false">IF(OR(B71="",N(H71)=0),"",IFERROR(INDEX(C_TIPODOC,MATCH(B71&amp;"-P"&amp;MAX(1,G71),C_CLAVE,0))&amp;"",""))</f>
        <v/>
      </c>
      <c r="K71" s="76" t="str">
        <f aca="false">IF(I71="Plazo fijo",IFERROR(INDEX(C_NPF,MATCH(B71&amp;"-P"&amp;MAX(1,G71),C_CLAVE,0)),""),"")</f>
        <v/>
      </c>
      <c r="L71" s="70" t="str">
        <f aca="false">IF(B71="","",COUNTIFS(C_ID,B71,C_TIPODOC,"Anexo de modificación"))</f>
        <v/>
      </c>
      <c r="M71" s="75" t="str">
        <f aca="false">IF(OR(B71="",N(H71)=0),"",IFERROR(INDEX(C_INICIO,MATCH(B71&amp;"-P"&amp;MAX(1,G71),C_CLAVE,0)),""))</f>
        <v/>
      </c>
      <c r="N71" s="75" t="str">
        <f aca="false">IF(OR(I71="Plazo fijo",I71="Obra o faena"),IFERROR(IF(N(INDEX(C_TERMINO,MATCH(B71&amp;"-P"&amp;MAX(1,G71),C_CLAVE,0)))=0,"",INDEX(C_TERMINO,MATCH(B71&amp;"-P"&amp;MAX(1,G71),C_CLAVE,0))),""),"")</f>
        <v/>
      </c>
      <c r="O71" s="77" t="str">
        <f aca="false">IF(AND(ISNUMBER(N71),E71&lt;&gt;"Desvinculado"),N71-FECHA_CORTE,"")</f>
        <v/>
      </c>
      <c r="P71" s="75" t="str">
        <f aca="false">IF(AND(ISNUMBER(N71),E71&lt;&gt;"Desvinculado"),N71-DIAS_DECISION,"")</f>
        <v/>
      </c>
      <c r="Q71" s="75" t="str">
        <f aca="false">IF(OR(B71="",N(H71)&lt;=N(G71)),"",IFERROR(INDEX(C_INICIO,MATCH(B71&amp;"-P"&amp;(G71+1),C_CLAVE,0)),""))</f>
        <v/>
      </c>
      <c r="R71" s="70" t="str">
        <f aca="false">IF(B71="","",IF(E71="Desvinculado","Terminado",IF(H71=0,"Sin contrato registrado",IF(E71="Por ingresar","Por ingresar",IF(ISNUMBER(Q71),"Renovación registrada",IF(I71="Indefinido","Indefinido",IF(NOT(ISNUMBER(O71)),"Falta fecha de término",IF(O71&lt;0,"VENCIDO",IF(O71&lt;=ALERTA_ROJA,"Vence en ≤ "&amp;ALERTA_ROJA&amp;" días",IF(O71&lt;=ALERTA_NARANJA,"Vence en ≤ "&amp;ALERTA_NARANJA&amp;" días",IF(O71&lt;=ALERTA_AMARILLA,"Vence en ≤ "&amp;ALERTA_AMARILLA&amp;" días","Vigente")))))))))))</f>
        <v/>
      </c>
      <c r="S71" s="70" t="str">
        <f aca="false">IF(B71="","",IF(R71="Terminado","—",IF(R71="Sin contrato registrado","Registrar el contrato en la hoja Contratos",IF(R71="Por ingresar","Tener el contrato firmado y hacer el alta en AFP, salud, seguro de cesantía y mutual",IF(R71="Renovación registrada",IF(AND(N(K71)&gt;=2,IFERROR(INDEX(C_TIPO,MATCH(B71&amp;"-P"&amp;(G71+1),C_CLAVE,0)),"")="Plazo fijo"),"⚠ El período registrado sería el 3er contrato a plazo: por ley es INDEFINIDO. Registrarlo como Paso a indefinido","Siguiente período ya registrado: verificar que el documento esté firmado"),IF(I71="Indefinido","Sin vencimiento. Cambios de sueldo, cargo o jornada se formalizan con anexo de modificación",IF(R71="Falta fecha de término","Completar la fecha de término en la hoja Contratos",IF(R71="VENCIDO","Si sigue trabajando, por ley el contrato ya es INDEFINIDO (Art. 159 N°4): firmar anexo de paso a indefinido o regularizar el término",IF(I71="Obra o faena","Al concluir la obra: finiquito por Art. 159 N°5 + indemnización de 2,5 días por mes trabajado (Ley 21.122)",IF(N(K71)&gt;=3,"Por ley ya es indefinido (2ª renovación): firmar anexo de paso a indefinido",IF(N(K71)=2,"2° contrato a plazo: NO admite otra renovación a plazo fijo. Pasar a indefinido o terminar al vencimiento (carta dentro de 3 días hábiles)","1er contrato a plazo: renovar (2° plazo fijo), pasar a indefinido o terminar al vencimiento (carta dentro de 3 días hábiles)")))))))))))</f>
        <v/>
      </c>
      <c r="T71" s="70" t="str">
        <f aca="false">IF(B71="","",IF(COUNTIFS(C_ID,B71,C_FIRMADO,"&lt;&gt;Sí")&gt;0,COUNTIFS(C_ID,B71,C_FIRMADO,"&lt;&gt;Sí")&amp;" documento(s) sin firma. ","")&amp;IF(COUNTIFS(C_ID,B71,C_TIPO,"Plazo fijo",C_DEFINE,"Sí")&gt;2,"Más de 2 contratos a plazo: revisar presunción de indefinido. ","")&amp;IF(AND(R71="VENCIDO",LEFT(E71,6)="Activo"),"Trabaja con contrato vencido. ",""))</f>
        <v/>
      </c>
      <c r="U71" s="71" t="str">
        <f aca="false">IF(B71="","",INDEX(T_SUELDO,65))</f>
        <v/>
      </c>
      <c r="V71" s="72" t="str">
        <f aca="false">IF(AND(B71&lt;&gt;"",LEFT(E71,6)="Activo",ISNUMBER(O71),R71&lt;&gt;"Renovación registrada"),O71+ROW()/100000,"")</f>
        <v/>
      </c>
    </row>
    <row r="72" customFormat="false" ht="15" hidden="false" customHeight="false" outlineLevel="0" collapsed="false">
      <c r="B72" s="70" t="str">
        <f aca="false">IFERROR(IF(INDEX(T_ID,66)="","",INDEX(T_ID,66)),"")</f>
        <v/>
      </c>
      <c r="C72" s="70" t="str">
        <f aca="false">IF(B72="","",INDEX(T_NOMBRE,66)&amp;"")</f>
        <v/>
      </c>
      <c r="D72" s="70" t="str">
        <f aca="false">IF(B72="","",INDEX(T_CARGO,66)&amp;"")</f>
        <v/>
      </c>
      <c r="E72" s="70" t="str">
        <f aca="false">IF(B72="","",INDEX(T_ESTADO,66))</f>
        <v/>
      </c>
      <c r="F72" s="75" t="str">
        <f aca="false">IF(B72="","",INDEX(T_INGRESO,66))</f>
        <v/>
      </c>
      <c r="G72" s="70" t="str">
        <f aca="false">IF(B72="","",COUNTIFS(C_ID,B72,C_DEFINE,"Sí",C_INICIO,"&lt;="&amp;FECHA_CORTE))</f>
        <v/>
      </c>
      <c r="H72" s="70" t="str">
        <f aca="false">IF(B72="","",COUNTIFS(C_ID,B72,C_DEFINE,"Sí"))</f>
        <v/>
      </c>
      <c r="I72" s="70" t="str">
        <f aca="false">IF(B72="","",IF(H72=0,"Sin contrato",IFERROR(INDEX(C_TIPO,MATCH(B72&amp;"-P"&amp;MAX(1,G72),C_CLAVE,0))&amp;"","")))</f>
        <v/>
      </c>
      <c r="J72" s="70" t="str">
        <f aca="false">IF(OR(B72="",N(H72)=0),"",IFERROR(INDEX(C_TIPODOC,MATCH(B72&amp;"-P"&amp;MAX(1,G72),C_CLAVE,0))&amp;"",""))</f>
        <v/>
      </c>
      <c r="K72" s="76" t="str">
        <f aca="false">IF(I72="Plazo fijo",IFERROR(INDEX(C_NPF,MATCH(B72&amp;"-P"&amp;MAX(1,G72),C_CLAVE,0)),""),"")</f>
        <v/>
      </c>
      <c r="L72" s="70" t="str">
        <f aca="false">IF(B72="","",COUNTIFS(C_ID,B72,C_TIPODOC,"Anexo de modificación"))</f>
        <v/>
      </c>
      <c r="M72" s="75" t="str">
        <f aca="false">IF(OR(B72="",N(H72)=0),"",IFERROR(INDEX(C_INICIO,MATCH(B72&amp;"-P"&amp;MAX(1,G72),C_CLAVE,0)),""))</f>
        <v/>
      </c>
      <c r="N72" s="75" t="str">
        <f aca="false">IF(OR(I72="Plazo fijo",I72="Obra o faena"),IFERROR(IF(N(INDEX(C_TERMINO,MATCH(B72&amp;"-P"&amp;MAX(1,G72),C_CLAVE,0)))=0,"",INDEX(C_TERMINO,MATCH(B72&amp;"-P"&amp;MAX(1,G72),C_CLAVE,0))),""),"")</f>
        <v/>
      </c>
      <c r="O72" s="77" t="str">
        <f aca="false">IF(AND(ISNUMBER(N72),E72&lt;&gt;"Desvinculado"),N72-FECHA_CORTE,"")</f>
        <v/>
      </c>
      <c r="P72" s="75" t="str">
        <f aca="false">IF(AND(ISNUMBER(N72),E72&lt;&gt;"Desvinculado"),N72-DIAS_DECISION,"")</f>
        <v/>
      </c>
      <c r="Q72" s="75" t="str">
        <f aca="false">IF(OR(B72="",N(H72)&lt;=N(G72)),"",IFERROR(INDEX(C_INICIO,MATCH(B72&amp;"-P"&amp;(G72+1),C_CLAVE,0)),""))</f>
        <v/>
      </c>
      <c r="R72" s="70" t="str">
        <f aca="false">IF(B72="","",IF(E72="Desvinculado","Terminado",IF(H72=0,"Sin contrato registrado",IF(E72="Por ingresar","Por ingresar",IF(ISNUMBER(Q72),"Renovación registrada",IF(I72="Indefinido","Indefinido",IF(NOT(ISNUMBER(O72)),"Falta fecha de término",IF(O72&lt;0,"VENCIDO",IF(O72&lt;=ALERTA_ROJA,"Vence en ≤ "&amp;ALERTA_ROJA&amp;" días",IF(O72&lt;=ALERTA_NARANJA,"Vence en ≤ "&amp;ALERTA_NARANJA&amp;" días",IF(O72&lt;=ALERTA_AMARILLA,"Vence en ≤ "&amp;ALERTA_AMARILLA&amp;" días","Vigente")))))))))))</f>
        <v/>
      </c>
      <c r="S72" s="70" t="str">
        <f aca="false">IF(B72="","",IF(R72="Terminado","—",IF(R72="Sin contrato registrado","Registrar el contrato en la hoja Contratos",IF(R72="Por ingresar","Tener el contrato firmado y hacer el alta en AFP, salud, seguro de cesantía y mutual",IF(R72="Renovación registrada",IF(AND(N(K72)&gt;=2,IFERROR(INDEX(C_TIPO,MATCH(B72&amp;"-P"&amp;(G72+1),C_CLAVE,0)),"")="Plazo fijo"),"⚠ El período registrado sería el 3er contrato a plazo: por ley es INDEFINIDO. Registrarlo como Paso a indefinido","Siguiente período ya registrado: verificar que el documento esté firmado"),IF(I72="Indefinido","Sin vencimiento. Cambios de sueldo, cargo o jornada se formalizan con anexo de modificación",IF(R72="Falta fecha de término","Completar la fecha de término en la hoja Contratos",IF(R72="VENCIDO","Si sigue trabajando, por ley el contrato ya es INDEFINIDO (Art. 159 N°4): firmar anexo de paso a indefinido o regularizar el término",IF(I72="Obra o faena","Al concluir la obra: finiquito por Art. 159 N°5 + indemnización de 2,5 días por mes trabajado (Ley 21.122)",IF(N(K72)&gt;=3,"Por ley ya es indefinido (2ª renovación): firmar anexo de paso a indefinido",IF(N(K72)=2,"2° contrato a plazo: NO admite otra renovación a plazo fijo. Pasar a indefinido o terminar al vencimiento (carta dentro de 3 días hábiles)","1er contrato a plazo: renovar (2° plazo fijo), pasar a indefinido o terminar al vencimiento (carta dentro de 3 días hábiles)")))))))))))</f>
        <v/>
      </c>
      <c r="T72" s="70" t="str">
        <f aca="false">IF(B72="","",IF(COUNTIFS(C_ID,B72,C_FIRMADO,"&lt;&gt;Sí")&gt;0,COUNTIFS(C_ID,B72,C_FIRMADO,"&lt;&gt;Sí")&amp;" documento(s) sin firma. ","")&amp;IF(COUNTIFS(C_ID,B72,C_TIPO,"Plazo fijo",C_DEFINE,"Sí")&gt;2,"Más de 2 contratos a plazo: revisar presunción de indefinido. ","")&amp;IF(AND(R72="VENCIDO",LEFT(E72,6)="Activo"),"Trabaja con contrato vencido. ",""))</f>
        <v/>
      </c>
      <c r="U72" s="71" t="str">
        <f aca="false">IF(B72="","",INDEX(T_SUELDO,66))</f>
        <v/>
      </c>
      <c r="V72" s="72" t="str">
        <f aca="false">IF(AND(B72&lt;&gt;"",LEFT(E72,6)="Activo",ISNUMBER(O72),R72&lt;&gt;"Renovación registrada"),O72+ROW()/100000,"")</f>
        <v/>
      </c>
    </row>
    <row r="73" customFormat="false" ht="15" hidden="false" customHeight="false" outlineLevel="0" collapsed="false">
      <c r="B73" s="70" t="str">
        <f aca="false">IFERROR(IF(INDEX(T_ID,67)="","",INDEX(T_ID,67)),"")</f>
        <v/>
      </c>
      <c r="C73" s="70" t="str">
        <f aca="false">IF(B73="","",INDEX(T_NOMBRE,67)&amp;"")</f>
        <v/>
      </c>
      <c r="D73" s="70" t="str">
        <f aca="false">IF(B73="","",INDEX(T_CARGO,67)&amp;"")</f>
        <v/>
      </c>
      <c r="E73" s="70" t="str">
        <f aca="false">IF(B73="","",INDEX(T_ESTADO,67))</f>
        <v/>
      </c>
      <c r="F73" s="75" t="str">
        <f aca="false">IF(B73="","",INDEX(T_INGRESO,67))</f>
        <v/>
      </c>
      <c r="G73" s="70" t="str">
        <f aca="false">IF(B73="","",COUNTIFS(C_ID,B73,C_DEFINE,"Sí",C_INICIO,"&lt;="&amp;FECHA_CORTE))</f>
        <v/>
      </c>
      <c r="H73" s="70" t="str">
        <f aca="false">IF(B73="","",COUNTIFS(C_ID,B73,C_DEFINE,"Sí"))</f>
        <v/>
      </c>
      <c r="I73" s="70" t="str">
        <f aca="false">IF(B73="","",IF(H73=0,"Sin contrato",IFERROR(INDEX(C_TIPO,MATCH(B73&amp;"-P"&amp;MAX(1,G73),C_CLAVE,0))&amp;"","")))</f>
        <v/>
      </c>
      <c r="J73" s="70" t="str">
        <f aca="false">IF(OR(B73="",N(H73)=0),"",IFERROR(INDEX(C_TIPODOC,MATCH(B73&amp;"-P"&amp;MAX(1,G73),C_CLAVE,0))&amp;"",""))</f>
        <v/>
      </c>
      <c r="K73" s="76" t="str">
        <f aca="false">IF(I73="Plazo fijo",IFERROR(INDEX(C_NPF,MATCH(B73&amp;"-P"&amp;MAX(1,G73),C_CLAVE,0)),""),"")</f>
        <v/>
      </c>
      <c r="L73" s="70" t="str">
        <f aca="false">IF(B73="","",COUNTIFS(C_ID,B73,C_TIPODOC,"Anexo de modificación"))</f>
        <v/>
      </c>
      <c r="M73" s="75" t="str">
        <f aca="false">IF(OR(B73="",N(H73)=0),"",IFERROR(INDEX(C_INICIO,MATCH(B73&amp;"-P"&amp;MAX(1,G73),C_CLAVE,0)),""))</f>
        <v/>
      </c>
      <c r="N73" s="75" t="str">
        <f aca="false">IF(OR(I73="Plazo fijo",I73="Obra o faena"),IFERROR(IF(N(INDEX(C_TERMINO,MATCH(B73&amp;"-P"&amp;MAX(1,G73),C_CLAVE,0)))=0,"",INDEX(C_TERMINO,MATCH(B73&amp;"-P"&amp;MAX(1,G73),C_CLAVE,0))),""),"")</f>
        <v/>
      </c>
      <c r="O73" s="77" t="str">
        <f aca="false">IF(AND(ISNUMBER(N73),E73&lt;&gt;"Desvinculado"),N73-FECHA_CORTE,"")</f>
        <v/>
      </c>
      <c r="P73" s="75" t="str">
        <f aca="false">IF(AND(ISNUMBER(N73),E73&lt;&gt;"Desvinculado"),N73-DIAS_DECISION,"")</f>
        <v/>
      </c>
      <c r="Q73" s="75" t="str">
        <f aca="false">IF(OR(B73="",N(H73)&lt;=N(G73)),"",IFERROR(INDEX(C_INICIO,MATCH(B73&amp;"-P"&amp;(G73+1),C_CLAVE,0)),""))</f>
        <v/>
      </c>
      <c r="R73" s="70" t="str">
        <f aca="false">IF(B73="","",IF(E73="Desvinculado","Terminado",IF(H73=0,"Sin contrato registrado",IF(E73="Por ingresar","Por ingresar",IF(ISNUMBER(Q73),"Renovación registrada",IF(I73="Indefinido","Indefinido",IF(NOT(ISNUMBER(O73)),"Falta fecha de término",IF(O73&lt;0,"VENCIDO",IF(O73&lt;=ALERTA_ROJA,"Vence en ≤ "&amp;ALERTA_ROJA&amp;" días",IF(O73&lt;=ALERTA_NARANJA,"Vence en ≤ "&amp;ALERTA_NARANJA&amp;" días",IF(O73&lt;=ALERTA_AMARILLA,"Vence en ≤ "&amp;ALERTA_AMARILLA&amp;" días","Vigente")))))))))))</f>
        <v/>
      </c>
      <c r="S73" s="70" t="str">
        <f aca="false">IF(B73="","",IF(R73="Terminado","—",IF(R73="Sin contrato registrado","Registrar el contrato en la hoja Contratos",IF(R73="Por ingresar","Tener el contrato firmado y hacer el alta en AFP, salud, seguro de cesantía y mutual",IF(R73="Renovación registrada",IF(AND(N(K73)&gt;=2,IFERROR(INDEX(C_TIPO,MATCH(B73&amp;"-P"&amp;(G73+1),C_CLAVE,0)),"")="Plazo fijo"),"⚠ El período registrado sería el 3er contrato a plazo: por ley es INDEFINIDO. Registrarlo como Paso a indefinido","Siguiente período ya registrado: verificar que el documento esté firmado"),IF(I73="Indefinido","Sin vencimiento. Cambios de sueldo, cargo o jornada se formalizan con anexo de modificación",IF(R73="Falta fecha de término","Completar la fecha de término en la hoja Contratos",IF(R73="VENCIDO","Si sigue trabajando, por ley el contrato ya es INDEFINIDO (Art. 159 N°4): firmar anexo de paso a indefinido o regularizar el término",IF(I73="Obra o faena","Al concluir la obra: finiquito por Art. 159 N°5 + indemnización de 2,5 días por mes trabajado (Ley 21.122)",IF(N(K73)&gt;=3,"Por ley ya es indefinido (2ª renovación): firmar anexo de paso a indefinido",IF(N(K73)=2,"2° contrato a plazo: NO admite otra renovación a plazo fijo. Pasar a indefinido o terminar al vencimiento (carta dentro de 3 días hábiles)","1er contrato a plazo: renovar (2° plazo fijo), pasar a indefinido o terminar al vencimiento (carta dentro de 3 días hábiles)")))))))))))</f>
        <v/>
      </c>
      <c r="T73" s="70" t="str">
        <f aca="false">IF(B73="","",IF(COUNTIFS(C_ID,B73,C_FIRMADO,"&lt;&gt;Sí")&gt;0,COUNTIFS(C_ID,B73,C_FIRMADO,"&lt;&gt;Sí")&amp;" documento(s) sin firma. ","")&amp;IF(COUNTIFS(C_ID,B73,C_TIPO,"Plazo fijo",C_DEFINE,"Sí")&gt;2,"Más de 2 contratos a plazo: revisar presunción de indefinido. ","")&amp;IF(AND(R73="VENCIDO",LEFT(E73,6)="Activo"),"Trabaja con contrato vencido. ",""))</f>
        <v/>
      </c>
      <c r="U73" s="71" t="str">
        <f aca="false">IF(B73="","",INDEX(T_SUELDO,67))</f>
        <v/>
      </c>
      <c r="V73" s="72" t="str">
        <f aca="false">IF(AND(B73&lt;&gt;"",LEFT(E73,6)="Activo",ISNUMBER(O73),R73&lt;&gt;"Renovación registrada"),O73+ROW()/100000,"")</f>
        <v/>
      </c>
    </row>
    <row r="74" customFormat="false" ht="15" hidden="false" customHeight="false" outlineLevel="0" collapsed="false">
      <c r="B74" s="70" t="str">
        <f aca="false">IFERROR(IF(INDEX(T_ID,68)="","",INDEX(T_ID,68)),"")</f>
        <v/>
      </c>
      <c r="C74" s="70" t="str">
        <f aca="false">IF(B74="","",INDEX(T_NOMBRE,68)&amp;"")</f>
        <v/>
      </c>
      <c r="D74" s="70" t="str">
        <f aca="false">IF(B74="","",INDEX(T_CARGO,68)&amp;"")</f>
        <v/>
      </c>
      <c r="E74" s="70" t="str">
        <f aca="false">IF(B74="","",INDEX(T_ESTADO,68))</f>
        <v/>
      </c>
      <c r="F74" s="75" t="str">
        <f aca="false">IF(B74="","",INDEX(T_INGRESO,68))</f>
        <v/>
      </c>
      <c r="G74" s="70" t="str">
        <f aca="false">IF(B74="","",COUNTIFS(C_ID,B74,C_DEFINE,"Sí",C_INICIO,"&lt;="&amp;FECHA_CORTE))</f>
        <v/>
      </c>
      <c r="H74" s="70" t="str">
        <f aca="false">IF(B74="","",COUNTIFS(C_ID,B74,C_DEFINE,"Sí"))</f>
        <v/>
      </c>
      <c r="I74" s="70" t="str">
        <f aca="false">IF(B74="","",IF(H74=0,"Sin contrato",IFERROR(INDEX(C_TIPO,MATCH(B74&amp;"-P"&amp;MAX(1,G74),C_CLAVE,0))&amp;"","")))</f>
        <v/>
      </c>
      <c r="J74" s="70" t="str">
        <f aca="false">IF(OR(B74="",N(H74)=0),"",IFERROR(INDEX(C_TIPODOC,MATCH(B74&amp;"-P"&amp;MAX(1,G74),C_CLAVE,0))&amp;"",""))</f>
        <v/>
      </c>
      <c r="K74" s="76" t="str">
        <f aca="false">IF(I74="Plazo fijo",IFERROR(INDEX(C_NPF,MATCH(B74&amp;"-P"&amp;MAX(1,G74),C_CLAVE,0)),""),"")</f>
        <v/>
      </c>
      <c r="L74" s="70" t="str">
        <f aca="false">IF(B74="","",COUNTIFS(C_ID,B74,C_TIPODOC,"Anexo de modificación"))</f>
        <v/>
      </c>
      <c r="M74" s="75" t="str">
        <f aca="false">IF(OR(B74="",N(H74)=0),"",IFERROR(INDEX(C_INICIO,MATCH(B74&amp;"-P"&amp;MAX(1,G74),C_CLAVE,0)),""))</f>
        <v/>
      </c>
      <c r="N74" s="75" t="str">
        <f aca="false">IF(OR(I74="Plazo fijo",I74="Obra o faena"),IFERROR(IF(N(INDEX(C_TERMINO,MATCH(B74&amp;"-P"&amp;MAX(1,G74),C_CLAVE,0)))=0,"",INDEX(C_TERMINO,MATCH(B74&amp;"-P"&amp;MAX(1,G74),C_CLAVE,0))),""),"")</f>
        <v/>
      </c>
      <c r="O74" s="77" t="str">
        <f aca="false">IF(AND(ISNUMBER(N74),E74&lt;&gt;"Desvinculado"),N74-FECHA_CORTE,"")</f>
        <v/>
      </c>
      <c r="P74" s="75" t="str">
        <f aca="false">IF(AND(ISNUMBER(N74),E74&lt;&gt;"Desvinculado"),N74-DIAS_DECISION,"")</f>
        <v/>
      </c>
      <c r="Q74" s="75" t="str">
        <f aca="false">IF(OR(B74="",N(H74)&lt;=N(G74)),"",IFERROR(INDEX(C_INICIO,MATCH(B74&amp;"-P"&amp;(G74+1),C_CLAVE,0)),""))</f>
        <v/>
      </c>
      <c r="R74" s="70" t="str">
        <f aca="false">IF(B74="","",IF(E74="Desvinculado","Terminado",IF(H74=0,"Sin contrato registrado",IF(E74="Por ingresar","Por ingresar",IF(ISNUMBER(Q74),"Renovación registrada",IF(I74="Indefinido","Indefinido",IF(NOT(ISNUMBER(O74)),"Falta fecha de término",IF(O74&lt;0,"VENCIDO",IF(O74&lt;=ALERTA_ROJA,"Vence en ≤ "&amp;ALERTA_ROJA&amp;" días",IF(O74&lt;=ALERTA_NARANJA,"Vence en ≤ "&amp;ALERTA_NARANJA&amp;" días",IF(O74&lt;=ALERTA_AMARILLA,"Vence en ≤ "&amp;ALERTA_AMARILLA&amp;" días","Vigente")))))))))))</f>
        <v/>
      </c>
      <c r="S74" s="70" t="str">
        <f aca="false">IF(B74="","",IF(R74="Terminado","—",IF(R74="Sin contrato registrado","Registrar el contrato en la hoja Contratos",IF(R74="Por ingresar","Tener el contrato firmado y hacer el alta en AFP, salud, seguro de cesantía y mutual",IF(R74="Renovación registrada",IF(AND(N(K74)&gt;=2,IFERROR(INDEX(C_TIPO,MATCH(B74&amp;"-P"&amp;(G74+1),C_CLAVE,0)),"")="Plazo fijo"),"⚠ El período registrado sería el 3er contrato a plazo: por ley es INDEFINIDO. Registrarlo como Paso a indefinido","Siguiente período ya registrado: verificar que el documento esté firmado"),IF(I74="Indefinido","Sin vencimiento. Cambios de sueldo, cargo o jornada se formalizan con anexo de modificación",IF(R74="Falta fecha de término","Completar la fecha de término en la hoja Contratos",IF(R74="VENCIDO","Si sigue trabajando, por ley el contrato ya es INDEFINIDO (Art. 159 N°4): firmar anexo de paso a indefinido o regularizar el término",IF(I74="Obra o faena","Al concluir la obra: finiquito por Art. 159 N°5 + indemnización de 2,5 días por mes trabajado (Ley 21.122)",IF(N(K74)&gt;=3,"Por ley ya es indefinido (2ª renovación): firmar anexo de paso a indefinido",IF(N(K74)=2,"2° contrato a plazo: NO admite otra renovación a plazo fijo. Pasar a indefinido o terminar al vencimiento (carta dentro de 3 días hábiles)","1er contrato a plazo: renovar (2° plazo fijo), pasar a indefinido o terminar al vencimiento (carta dentro de 3 días hábiles)")))))))))))</f>
        <v/>
      </c>
      <c r="T74" s="70" t="str">
        <f aca="false">IF(B74="","",IF(COUNTIFS(C_ID,B74,C_FIRMADO,"&lt;&gt;Sí")&gt;0,COUNTIFS(C_ID,B74,C_FIRMADO,"&lt;&gt;Sí")&amp;" documento(s) sin firma. ","")&amp;IF(COUNTIFS(C_ID,B74,C_TIPO,"Plazo fijo",C_DEFINE,"Sí")&gt;2,"Más de 2 contratos a plazo: revisar presunción de indefinido. ","")&amp;IF(AND(R74="VENCIDO",LEFT(E74,6)="Activo"),"Trabaja con contrato vencido. ",""))</f>
        <v/>
      </c>
      <c r="U74" s="71" t="str">
        <f aca="false">IF(B74="","",INDEX(T_SUELDO,68))</f>
        <v/>
      </c>
      <c r="V74" s="72" t="str">
        <f aca="false">IF(AND(B74&lt;&gt;"",LEFT(E74,6)="Activo",ISNUMBER(O74),R74&lt;&gt;"Renovación registrada"),O74+ROW()/100000,"")</f>
        <v/>
      </c>
    </row>
    <row r="75" customFormat="false" ht="15" hidden="false" customHeight="false" outlineLevel="0" collapsed="false">
      <c r="B75" s="70" t="str">
        <f aca="false">IFERROR(IF(INDEX(T_ID,69)="","",INDEX(T_ID,69)),"")</f>
        <v/>
      </c>
      <c r="C75" s="70" t="str">
        <f aca="false">IF(B75="","",INDEX(T_NOMBRE,69)&amp;"")</f>
        <v/>
      </c>
      <c r="D75" s="70" t="str">
        <f aca="false">IF(B75="","",INDEX(T_CARGO,69)&amp;"")</f>
        <v/>
      </c>
      <c r="E75" s="70" t="str">
        <f aca="false">IF(B75="","",INDEX(T_ESTADO,69))</f>
        <v/>
      </c>
      <c r="F75" s="75" t="str">
        <f aca="false">IF(B75="","",INDEX(T_INGRESO,69))</f>
        <v/>
      </c>
      <c r="G75" s="70" t="str">
        <f aca="false">IF(B75="","",COUNTIFS(C_ID,B75,C_DEFINE,"Sí",C_INICIO,"&lt;="&amp;FECHA_CORTE))</f>
        <v/>
      </c>
      <c r="H75" s="70" t="str">
        <f aca="false">IF(B75="","",COUNTIFS(C_ID,B75,C_DEFINE,"Sí"))</f>
        <v/>
      </c>
      <c r="I75" s="70" t="str">
        <f aca="false">IF(B75="","",IF(H75=0,"Sin contrato",IFERROR(INDEX(C_TIPO,MATCH(B75&amp;"-P"&amp;MAX(1,G75),C_CLAVE,0))&amp;"","")))</f>
        <v/>
      </c>
      <c r="J75" s="70" t="str">
        <f aca="false">IF(OR(B75="",N(H75)=0),"",IFERROR(INDEX(C_TIPODOC,MATCH(B75&amp;"-P"&amp;MAX(1,G75),C_CLAVE,0))&amp;"",""))</f>
        <v/>
      </c>
      <c r="K75" s="76" t="str">
        <f aca="false">IF(I75="Plazo fijo",IFERROR(INDEX(C_NPF,MATCH(B75&amp;"-P"&amp;MAX(1,G75),C_CLAVE,0)),""),"")</f>
        <v/>
      </c>
      <c r="L75" s="70" t="str">
        <f aca="false">IF(B75="","",COUNTIFS(C_ID,B75,C_TIPODOC,"Anexo de modificación"))</f>
        <v/>
      </c>
      <c r="M75" s="75" t="str">
        <f aca="false">IF(OR(B75="",N(H75)=0),"",IFERROR(INDEX(C_INICIO,MATCH(B75&amp;"-P"&amp;MAX(1,G75),C_CLAVE,0)),""))</f>
        <v/>
      </c>
      <c r="N75" s="75" t="str">
        <f aca="false">IF(OR(I75="Plazo fijo",I75="Obra o faena"),IFERROR(IF(N(INDEX(C_TERMINO,MATCH(B75&amp;"-P"&amp;MAX(1,G75),C_CLAVE,0)))=0,"",INDEX(C_TERMINO,MATCH(B75&amp;"-P"&amp;MAX(1,G75),C_CLAVE,0))),""),"")</f>
        <v/>
      </c>
      <c r="O75" s="77" t="str">
        <f aca="false">IF(AND(ISNUMBER(N75),E75&lt;&gt;"Desvinculado"),N75-FECHA_CORTE,"")</f>
        <v/>
      </c>
      <c r="P75" s="75" t="str">
        <f aca="false">IF(AND(ISNUMBER(N75),E75&lt;&gt;"Desvinculado"),N75-DIAS_DECISION,"")</f>
        <v/>
      </c>
      <c r="Q75" s="75" t="str">
        <f aca="false">IF(OR(B75="",N(H75)&lt;=N(G75)),"",IFERROR(INDEX(C_INICIO,MATCH(B75&amp;"-P"&amp;(G75+1),C_CLAVE,0)),""))</f>
        <v/>
      </c>
      <c r="R75" s="70" t="str">
        <f aca="false">IF(B75="","",IF(E75="Desvinculado","Terminado",IF(H75=0,"Sin contrato registrado",IF(E75="Por ingresar","Por ingresar",IF(ISNUMBER(Q75),"Renovación registrada",IF(I75="Indefinido","Indefinido",IF(NOT(ISNUMBER(O75)),"Falta fecha de término",IF(O75&lt;0,"VENCIDO",IF(O75&lt;=ALERTA_ROJA,"Vence en ≤ "&amp;ALERTA_ROJA&amp;" días",IF(O75&lt;=ALERTA_NARANJA,"Vence en ≤ "&amp;ALERTA_NARANJA&amp;" días",IF(O75&lt;=ALERTA_AMARILLA,"Vence en ≤ "&amp;ALERTA_AMARILLA&amp;" días","Vigente")))))))))))</f>
        <v/>
      </c>
      <c r="S75" s="70" t="str">
        <f aca="false">IF(B75="","",IF(R75="Terminado","—",IF(R75="Sin contrato registrado","Registrar el contrato en la hoja Contratos",IF(R75="Por ingresar","Tener el contrato firmado y hacer el alta en AFP, salud, seguro de cesantía y mutual",IF(R75="Renovación registrada",IF(AND(N(K75)&gt;=2,IFERROR(INDEX(C_TIPO,MATCH(B75&amp;"-P"&amp;(G75+1),C_CLAVE,0)),"")="Plazo fijo"),"⚠ El período registrado sería el 3er contrato a plazo: por ley es INDEFINIDO. Registrarlo como Paso a indefinido","Siguiente período ya registrado: verificar que el documento esté firmado"),IF(I75="Indefinido","Sin vencimiento. Cambios de sueldo, cargo o jornada se formalizan con anexo de modificación",IF(R75="Falta fecha de término","Completar la fecha de término en la hoja Contratos",IF(R75="VENCIDO","Si sigue trabajando, por ley el contrato ya es INDEFINIDO (Art. 159 N°4): firmar anexo de paso a indefinido o regularizar el término",IF(I75="Obra o faena","Al concluir la obra: finiquito por Art. 159 N°5 + indemnización de 2,5 días por mes trabajado (Ley 21.122)",IF(N(K75)&gt;=3,"Por ley ya es indefinido (2ª renovación): firmar anexo de paso a indefinido",IF(N(K75)=2,"2° contrato a plazo: NO admite otra renovación a plazo fijo. Pasar a indefinido o terminar al vencimiento (carta dentro de 3 días hábiles)","1er contrato a plazo: renovar (2° plazo fijo), pasar a indefinido o terminar al vencimiento (carta dentro de 3 días hábiles)")))))))))))</f>
        <v/>
      </c>
      <c r="T75" s="70" t="str">
        <f aca="false">IF(B75="","",IF(COUNTIFS(C_ID,B75,C_FIRMADO,"&lt;&gt;Sí")&gt;0,COUNTIFS(C_ID,B75,C_FIRMADO,"&lt;&gt;Sí")&amp;" documento(s) sin firma. ","")&amp;IF(COUNTIFS(C_ID,B75,C_TIPO,"Plazo fijo",C_DEFINE,"Sí")&gt;2,"Más de 2 contratos a plazo: revisar presunción de indefinido. ","")&amp;IF(AND(R75="VENCIDO",LEFT(E75,6)="Activo"),"Trabaja con contrato vencido. ",""))</f>
        <v/>
      </c>
      <c r="U75" s="71" t="str">
        <f aca="false">IF(B75="","",INDEX(T_SUELDO,69))</f>
        <v/>
      </c>
      <c r="V75" s="72" t="str">
        <f aca="false">IF(AND(B75&lt;&gt;"",LEFT(E75,6)="Activo",ISNUMBER(O75),R75&lt;&gt;"Renovación registrada"),O75+ROW()/100000,"")</f>
        <v/>
      </c>
    </row>
    <row r="76" customFormat="false" ht="15" hidden="false" customHeight="false" outlineLevel="0" collapsed="false">
      <c r="B76" s="70" t="str">
        <f aca="false">IFERROR(IF(INDEX(T_ID,70)="","",INDEX(T_ID,70)),"")</f>
        <v/>
      </c>
      <c r="C76" s="70" t="str">
        <f aca="false">IF(B76="","",INDEX(T_NOMBRE,70)&amp;"")</f>
        <v/>
      </c>
      <c r="D76" s="70" t="str">
        <f aca="false">IF(B76="","",INDEX(T_CARGO,70)&amp;"")</f>
        <v/>
      </c>
      <c r="E76" s="70" t="str">
        <f aca="false">IF(B76="","",INDEX(T_ESTADO,70))</f>
        <v/>
      </c>
      <c r="F76" s="75" t="str">
        <f aca="false">IF(B76="","",INDEX(T_INGRESO,70))</f>
        <v/>
      </c>
      <c r="G76" s="70" t="str">
        <f aca="false">IF(B76="","",COUNTIFS(C_ID,B76,C_DEFINE,"Sí",C_INICIO,"&lt;="&amp;FECHA_CORTE))</f>
        <v/>
      </c>
      <c r="H76" s="70" t="str">
        <f aca="false">IF(B76="","",COUNTIFS(C_ID,B76,C_DEFINE,"Sí"))</f>
        <v/>
      </c>
      <c r="I76" s="70" t="str">
        <f aca="false">IF(B76="","",IF(H76=0,"Sin contrato",IFERROR(INDEX(C_TIPO,MATCH(B76&amp;"-P"&amp;MAX(1,G76),C_CLAVE,0))&amp;"","")))</f>
        <v/>
      </c>
      <c r="J76" s="70" t="str">
        <f aca="false">IF(OR(B76="",N(H76)=0),"",IFERROR(INDEX(C_TIPODOC,MATCH(B76&amp;"-P"&amp;MAX(1,G76),C_CLAVE,0))&amp;"",""))</f>
        <v/>
      </c>
      <c r="K76" s="76" t="str">
        <f aca="false">IF(I76="Plazo fijo",IFERROR(INDEX(C_NPF,MATCH(B76&amp;"-P"&amp;MAX(1,G76),C_CLAVE,0)),""),"")</f>
        <v/>
      </c>
      <c r="L76" s="70" t="str">
        <f aca="false">IF(B76="","",COUNTIFS(C_ID,B76,C_TIPODOC,"Anexo de modificación"))</f>
        <v/>
      </c>
      <c r="M76" s="75" t="str">
        <f aca="false">IF(OR(B76="",N(H76)=0),"",IFERROR(INDEX(C_INICIO,MATCH(B76&amp;"-P"&amp;MAX(1,G76),C_CLAVE,0)),""))</f>
        <v/>
      </c>
      <c r="N76" s="75" t="str">
        <f aca="false">IF(OR(I76="Plazo fijo",I76="Obra o faena"),IFERROR(IF(N(INDEX(C_TERMINO,MATCH(B76&amp;"-P"&amp;MAX(1,G76),C_CLAVE,0)))=0,"",INDEX(C_TERMINO,MATCH(B76&amp;"-P"&amp;MAX(1,G76),C_CLAVE,0))),""),"")</f>
        <v/>
      </c>
      <c r="O76" s="77" t="str">
        <f aca="false">IF(AND(ISNUMBER(N76),E76&lt;&gt;"Desvinculado"),N76-FECHA_CORTE,"")</f>
        <v/>
      </c>
      <c r="P76" s="75" t="str">
        <f aca="false">IF(AND(ISNUMBER(N76),E76&lt;&gt;"Desvinculado"),N76-DIAS_DECISION,"")</f>
        <v/>
      </c>
      <c r="Q76" s="75" t="str">
        <f aca="false">IF(OR(B76="",N(H76)&lt;=N(G76)),"",IFERROR(INDEX(C_INICIO,MATCH(B76&amp;"-P"&amp;(G76+1),C_CLAVE,0)),""))</f>
        <v/>
      </c>
      <c r="R76" s="70" t="str">
        <f aca="false">IF(B76="","",IF(E76="Desvinculado","Terminado",IF(H76=0,"Sin contrato registrado",IF(E76="Por ingresar","Por ingresar",IF(ISNUMBER(Q76),"Renovación registrada",IF(I76="Indefinido","Indefinido",IF(NOT(ISNUMBER(O76)),"Falta fecha de término",IF(O76&lt;0,"VENCIDO",IF(O76&lt;=ALERTA_ROJA,"Vence en ≤ "&amp;ALERTA_ROJA&amp;" días",IF(O76&lt;=ALERTA_NARANJA,"Vence en ≤ "&amp;ALERTA_NARANJA&amp;" días",IF(O76&lt;=ALERTA_AMARILLA,"Vence en ≤ "&amp;ALERTA_AMARILLA&amp;" días","Vigente")))))))))))</f>
        <v/>
      </c>
      <c r="S76" s="70" t="str">
        <f aca="false">IF(B76="","",IF(R76="Terminado","—",IF(R76="Sin contrato registrado","Registrar el contrato en la hoja Contratos",IF(R76="Por ingresar","Tener el contrato firmado y hacer el alta en AFP, salud, seguro de cesantía y mutual",IF(R76="Renovación registrada",IF(AND(N(K76)&gt;=2,IFERROR(INDEX(C_TIPO,MATCH(B76&amp;"-P"&amp;(G76+1),C_CLAVE,0)),"")="Plazo fijo"),"⚠ El período registrado sería el 3er contrato a plazo: por ley es INDEFINIDO. Registrarlo como Paso a indefinido","Siguiente período ya registrado: verificar que el documento esté firmado"),IF(I76="Indefinido","Sin vencimiento. Cambios de sueldo, cargo o jornada se formalizan con anexo de modificación",IF(R76="Falta fecha de término","Completar la fecha de término en la hoja Contratos",IF(R76="VENCIDO","Si sigue trabajando, por ley el contrato ya es INDEFINIDO (Art. 159 N°4): firmar anexo de paso a indefinido o regularizar el término",IF(I76="Obra o faena","Al concluir la obra: finiquito por Art. 159 N°5 + indemnización de 2,5 días por mes trabajado (Ley 21.122)",IF(N(K76)&gt;=3,"Por ley ya es indefinido (2ª renovación): firmar anexo de paso a indefinido",IF(N(K76)=2,"2° contrato a plazo: NO admite otra renovación a plazo fijo. Pasar a indefinido o terminar al vencimiento (carta dentro de 3 días hábiles)","1er contrato a plazo: renovar (2° plazo fijo), pasar a indefinido o terminar al vencimiento (carta dentro de 3 días hábiles)")))))))))))</f>
        <v/>
      </c>
      <c r="T76" s="70" t="str">
        <f aca="false">IF(B76="","",IF(COUNTIFS(C_ID,B76,C_FIRMADO,"&lt;&gt;Sí")&gt;0,COUNTIFS(C_ID,B76,C_FIRMADO,"&lt;&gt;Sí")&amp;" documento(s) sin firma. ","")&amp;IF(COUNTIFS(C_ID,B76,C_TIPO,"Plazo fijo",C_DEFINE,"Sí")&gt;2,"Más de 2 contratos a plazo: revisar presunción de indefinido. ","")&amp;IF(AND(R76="VENCIDO",LEFT(E76,6)="Activo"),"Trabaja con contrato vencido. ",""))</f>
        <v/>
      </c>
      <c r="U76" s="71" t="str">
        <f aca="false">IF(B76="","",INDEX(T_SUELDO,70))</f>
        <v/>
      </c>
      <c r="V76" s="72" t="str">
        <f aca="false">IF(AND(B76&lt;&gt;"",LEFT(E76,6)="Activo",ISNUMBER(O76),R76&lt;&gt;"Renovación registrada"),O76+ROW()/100000,"")</f>
        <v/>
      </c>
    </row>
    <row r="77" customFormat="false" ht="15" hidden="false" customHeight="false" outlineLevel="0" collapsed="false">
      <c r="B77" s="70" t="str">
        <f aca="false">IFERROR(IF(INDEX(T_ID,71)="","",INDEX(T_ID,71)),"")</f>
        <v/>
      </c>
      <c r="C77" s="70" t="str">
        <f aca="false">IF(B77="","",INDEX(T_NOMBRE,71)&amp;"")</f>
        <v/>
      </c>
      <c r="D77" s="70" t="str">
        <f aca="false">IF(B77="","",INDEX(T_CARGO,71)&amp;"")</f>
        <v/>
      </c>
      <c r="E77" s="70" t="str">
        <f aca="false">IF(B77="","",INDEX(T_ESTADO,71))</f>
        <v/>
      </c>
      <c r="F77" s="75" t="str">
        <f aca="false">IF(B77="","",INDEX(T_INGRESO,71))</f>
        <v/>
      </c>
      <c r="G77" s="70" t="str">
        <f aca="false">IF(B77="","",COUNTIFS(C_ID,B77,C_DEFINE,"Sí",C_INICIO,"&lt;="&amp;FECHA_CORTE))</f>
        <v/>
      </c>
      <c r="H77" s="70" t="str">
        <f aca="false">IF(B77="","",COUNTIFS(C_ID,B77,C_DEFINE,"Sí"))</f>
        <v/>
      </c>
      <c r="I77" s="70" t="str">
        <f aca="false">IF(B77="","",IF(H77=0,"Sin contrato",IFERROR(INDEX(C_TIPO,MATCH(B77&amp;"-P"&amp;MAX(1,G77),C_CLAVE,0))&amp;"","")))</f>
        <v/>
      </c>
      <c r="J77" s="70" t="str">
        <f aca="false">IF(OR(B77="",N(H77)=0),"",IFERROR(INDEX(C_TIPODOC,MATCH(B77&amp;"-P"&amp;MAX(1,G77),C_CLAVE,0))&amp;"",""))</f>
        <v/>
      </c>
      <c r="K77" s="76" t="str">
        <f aca="false">IF(I77="Plazo fijo",IFERROR(INDEX(C_NPF,MATCH(B77&amp;"-P"&amp;MAX(1,G77),C_CLAVE,0)),""),"")</f>
        <v/>
      </c>
      <c r="L77" s="70" t="str">
        <f aca="false">IF(B77="","",COUNTIFS(C_ID,B77,C_TIPODOC,"Anexo de modificación"))</f>
        <v/>
      </c>
      <c r="M77" s="75" t="str">
        <f aca="false">IF(OR(B77="",N(H77)=0),"",IFERROR(INDEX(C_INICIO,MATCH(B77&amp;"-P"&amp;MAX(1,G77),C_CLAVE,0)),""))</f>
        <v/>
      </c>
      <c r="N77" s="75" t="str">
        <f aca="false">IF(OR(I77="Plazo fijo",I77="Obra o faena"),IFERROR(IF(N(INDEX(C_TERMINO,MATCH(B77&amp;"-P"&amp;MAX(1,G77),C_CLAVE,0)))=0,"",INDEX(C_TERMINO,MATCH(B77&amp;"-P"&amp;MAX(1,G77),C_CLAVE,0))),""),"")</f>
        <v/>
      </c>
      <c r="O77" s="77" t="str">
        <f aca="false">IF(AND(ISNUMBER(N77),E77&lt;&gt;"Desvinculado"),N77-FECHA_CORTE,"")</f>
        <v/>
      </c>
      <c r="P77" s="75" t="str">
        <f aca="false">IF(AND(ISNUMBER(N77),E77&lt;&gt;"Desvinculado"),N77-DIAS_DECISION,"")</f>
        <v/>
      </c>
      <c r="Q77" s="75" t="str">
        <f aca="false">IF(OR(B77="",N(H77)&lt;=N(G77)),"",IFERROR(INDEX(C_INICIO,MATCH(B77&amp;"-P"&amp;(G77+1),C_CLAVE,0)),""))</f>
        <v/>
      </c>
      <c r="R77" s="70" t="str">
        <f aca="false">IF(B77="","",IF(E77="Desvinculado","Terminado",IF(H77=0,"Sin contrato registrado",IF(E77="Por ingresar","Por ingresar",IF(ISNUMBER(Q77),"Renovación registrada",IF(I77="Indefinido","Indefinido",IF(NOT(ISNUMBER(O77)),"Falta fecha de término",IF(O77&lt;0,"VENCIDO",IF(O77&lt;=ALERTA_ROJA,"Vence en ≤ "&amp;ALERTA_ROJA&amp;" días",IF(O77&lt;=ALERTA_NARANJA,"Vence en ≤ "&amp;ALERTA_NARANJA&amp;" días",IF(O77&lt;=ALERTA_AMARILLA,"Vence en ≤ "&amp;ALERTA_AMARILLA&amp;" días","Vigente")))))))))))</f>
        <v/>
      </c>
      <c r="S77" s="70" t="str">
        <f aca="false">IF(B77="","",IF(R77="Terminado","—",IF(R77="Sin contrato registrado","Registrar el contrato en la hoja Contratos",IF(R77="Por ingresar","Tener el contrato firmado y hacer el alta en AFP, salud, seguro de cesantía y mutual",IF(R77="Renovación registrada",IF(AND(N(K77)&gt;=2,IFERROR(INDEX(C_TIPO,MATCH(B77&amp;"-P"&amp;(G77+1),C_CLAVE,0)),"")="Plazo fijo"),"⚠ El período registrado sería el 3er contrato a plazo: por ley es INDEFINIDO. Registrarlo como Paso a indefinido","Siguiente período ya registrado: verificar que el documento esté firmado"),IF(I77="Indefinido","Sin vencimiento. Cambios de sueldo, cargo o jornada se formalizan con anexo de modificación",IF(R77="Falta fecha de término","Completar la fecha de término en la hoja Contratos",IF(R77="VENCIDO","Si sigue trabajando, por ley el contrato ya es INDEFINIDO (Art. 159 N°4): firmar anexo de paso a indefinido o regularizar el término",IF(I77="Obra o faena","Al concluir la obra: finiquito por Art. 159 N°5 + indemnización de 2,5 días por mes trabajado (Ley 21.122)",IF(N(K77)&gt;=3,"Por ley ya es indefinido (2ª renovación): firmar anexo de paso a indefinido",IF(N(K77)=2,"2° contrato a plazo: NO admite otra renovación a plazo fijo. Pasar a indefinido o terminar al vencimiento (carta dentro de 3 días hábiles)","1er contrato a plazo: renovar (2° plazo fijo), pasar a indefinido o terminar al vencimiento (carta dentro de 3 días hábiles)")))))))))))</f>
        <v/>
      </c>
      <c r="T77" s="70" t="str">
        <f aca="false">IF(B77="","",IF(COUNTIFS(C_ID,B77,C_FIRMADO,"&lt;&gt;Sí")&gt;0,COUNTIFS(C_ID,B77,C_FIRMADO,"&lt;&gt;Sí")&amp;" documento(s) sin firma. ","")&amp;IF(COUNTIFS(C_ID,B77,C_TIPO,"Plazo fijo",C_DEFINE,"Sí")&gt;2,"Más de 2 contratos a plazo: revisar presunción de indefinido. ","")&amp;IF(AND(R77="VENCIDO",LEFT(E77,6)="Activo"),"Trabaja con contrato vencido. ",""))</f>
        <v/>
      </c>
      <c r="U77" s="71" t="str">
        <f aca="false">IF(B77="","",INDEX(T_SUELDO,71))</f>
        <v/>
      </c>
      <c r="V77" s="72" t="str">
        <f aca="false">IF(AND(B77&lt;&gt;"",LEFT(E77,6)="Activo",ISNUMBER(O77),R77&lt;&gt;"Renovación registrada"),O77+ROW()/100000,"")</f>
        <v/>
      </c>
    </row>
    <row r="78" customFormat="false" ht="15" hidden="false" customHeight="false" outlineLevel="0" collapsed="false">
      <c r="B78" s="70" t="str">
        <f aca="false">IFERROR(IF(INDEX(T_ID,72)="","",INDEX(T_ID,72)),"")</f>
        <v/>
      </c>
      <c r="C78" s="70" t="str">
        <f aca="false">IF(B78="","",INDEX(T_NOMBRE,72)&amp;"")</f>
        <v/>
      </c>
      <c r="D78" s="70" t="str">
        <f aca="false">IF(B78="","",INDEX(T_CARGO,72)&amp;"")</f>
        <v/>
      </c>
      <c r="E78" s="70" t="str">
        <f aca="false">IF(B78="","",INDEX(T_ESTADO,72))</f>
        <v/>
      </c>
      <c r="F78" s="75" t="str">
        <f aca="false">IF(B78="","",INDEX(T_INGRESO,72))</f>
        <v/>
      </c>
      <c r="G78" s="70" t="str">
        <f aca="false">IF(B78="","",COUNTIFS(C_ID,B78,C_DEFINE,"Sí",C_INICIO,"&lt;="&amp;FECHA_CORTE))</f>
        <v/>
      </c>
      <c r="H78" s="70" t="str">
        <f aca="false">IF(B78="","",COUNTIFS(C_ID,B78,C_DEFINE,"Sí"))</f>
        <v/>
      </c>
      <c r="I78" s="70" t="str">
        <f aca="false">IF(B78="","",IF(H78=0,"Sin contrato",IFERROR(INDEX(C_TIPO,MATCH(B78&amp;"-P"&amp;MAX(1,G78),C_CLAVE,0))&amp;"","")))</f>
        <v/>
      </c>
      <c r="J78" s="70" t="str">
        <f aca="false">IF(OR(B78="",N(H78)=0),"",IFERROR(INDEX(C_TIPODOC,MATCH(B78&amp;"-P"&amp;MAX(1,G78),C_CLAVE,0))&amp;"",""))</f>
        <v/>
      </c>
      <c r="K78" s="76" t="str">
        <f aca="false">IF(I78="Plazo fijo",IFERROR(INDEX(C_NPF,MATCH(B78&amp;"-P"&amp;MAX(1,G78),C_CLAVE,0)),""),"")</f>
        <v/>
      </c>
      <c r="L78" s="70" t="str">
        <f aca="false">IF(B78="","",COUNTIFS(C_ID,B78,C_TIPODOC,"Anexo de modificación"))</f>
        <v/>
      </c>
      <c r="M78" s="75" t="str">
        <f aca="false">IF(OR(B78="",N(H78)=0),"",IFERROR(INDEX(C_INICIO,MATCH(B78&amp;"-P"&amp;MAX(1,G78),C_CLAVE,0)),""))</f>
        <v/>
      </c>
      <c r="N78" s="75" t="str">
        <f aca="false">IF(OR(I78="Plazo fijo",I78="Obra o faena"),IFERROR(IF(N(INDEX(C_TERMINO,MATCH(B78&amp;"-P"&amp;MAX(1,G78),C_CLAVE,0)))=0,"",INDEX(C_TERMINO,MATCH(B78&amp;"-P"&amp;MAX(1,G78),C_CLAVE,0))),""),"")</f>
        <v/>
      </c>
      <c r="O78" s="77" t="str">
        <f aca="false">IF(AND(ISNUMBER(N78),E78&lt;&gt;"Desvinculado"),N78-FECHA_CORTE,"")</f>
        <v/>
      </c>
      <c r="P78" s="75" t="str">
        <f aca="false">IF(AND(ISNUMBER(N78),E78&lt;&gt;"Desvinculado"),N78-DIAS_DECISION,"")</f>
        <v/>
      </c>
      <c r="Q78" s="75" t="str">
        <f aca="false">IF(OR(B78="",N(H78)&lt;=N(G78)),"",IFERROR(INDEX(C_INICIO,MATCH(B78&amp;"-P"&amp;(G78+1),C_CLAVE,0)),""))</f>
        <v/>
      </c>
      <c r="R78" s="70" t="str">
        <f aca="false">IF(B78="","",IF(E78="Desvinculado","Terminado",IF(H78=0,"Sin contrato registrado",IF(E78="Por ingresar","Por ingresar",IF(ISNUMBER(Q78),"Renovación registrada",IF(I78="Indefinido","Indefinido",IF(NOT(ISNUMBER(O78)),"Falta fecha de término",IF(O78&lt;0,"VENCIDO",IF(O78&lt;=ALERTA_ROJA,"Vence en ≤ "&amp;ALERTA_ROJA&amp;" días",IF(O78&lt;=ALERTA_NARANJA,"Vence en ≤ "&amp;ALERTA_NARANJA&amp;" días",IF(O78&lt;=ALERTA_AMARILLA,"Vence en ≤ "&amp;ALERTA_AMARILLA&amp;" días","Vigente")))))))))))</f>
        <v/>
      </c>
      <c r="S78" s="70" t="str">
        <f aca="false">IF(B78="","",IF(R78="Terminado","—",IF(R78="Sin contrato registrado","Registrar el contrato en la hoja Contratos",IF(R78="Por ingresar","Tener el contrato firmado y hacer el alta en AFP, salud, seguro de cesantía y mutual",IF(R78="Renovación registrada",IF(AND(N(K78)&gt;=2,IFERROR(INDEX(C_TIPO,MATCH(B78&amp;"-P"&amp;(G78+1),C_CLAVE,0)),"")="Plazo fijo"),"⚠ El período registrado sería el 3er contrato a plazo: por ley es INDEFINIDO. Registrarlo como Paso a indefinido","Siguiente período ya registrado: verificar que el documento esté firmado"),IF(I78="Indefinido","Sin vencimiento. Cambios de sueldo, cargo o jornada se formalizan con anexo de modificación",IF(R78="Falta fecha de término","Completar la fecha de término en la hoja Contratos",IF(R78="VENCIDO","Si sigue trabajando, por ley el contrato ya es INDEFINIDO (Art. 159 N°4): firmar anexo de paso a indefinido o regularizar el término",IF(I78="Obra o faena","Al concluir la obra: finiquito por Art. 159 N°5 + indemnización de 2,5 días por mes trabajado (Ley 21.122)",IF(N(K78)&gt;=3,"Por ley ya es indefinido (2ª renovación): firmar anexo de paso a indefinido",IF(N(K78)=2,"2° contrato a plazo: NO admite otra renovación a plazo fijo. Pasar a indefinido o terminar al vencimiento (carta dentro de 3 días hábiles)","1er contrato a plazo: renovar (2° plazo fijo), pasar a indefinido o terminar al vencimiento (carta dentro de 3 días hábiles)")))))))))))</f>
        <v/>
      </c>
      <c r="T78" s="70" t="str">
        <f aca="false">IF(B78="","",IF(COUNTIFS(C_ID,B78,C_FIRMADO,"&lt;&gt;Sí")&gt;0,COUNTIFS(C_ID,B78,C_FIRMADO,"&lt;&gt;Sí")&amp;" documento(s) sin firma. ","")&amp;IF(COUNTIFS(C_ID,B78,C_TIPO,"Plazo fijo",C_DEFINE,"Sí")&gt;2,"Más de 2 contratos a plazo: revisar presunción de indefinido. ","")&amp;IF(AND(R78="VENCIDO",LEFT(E78,6)="Activo"),"Trabaja con contrato vencido. ",""))</f>
        <v/>
      </c>
      <c r="U78" s="71" t="str">
        <f aca="false">IF(B78="","",INDEX(T_SUELDO,72))</f>
        <v/>
      </c>
      <c r="V78" s="72" t="str">
        <f aca="false">IF(AND(B78&lt;&gt;"",LEFT(E78,6)="Activo",ISNUMBER(O78),R78&lt;&gt;"Renovación registrada"),O78+ROW()/100000,"")</f>
        <v/>
      </c>
    </row>
    <row r="79" customFormat="false" ht="15" hidden="false" customHeight="false" outlineLevel="0" collapsed="false">
      <c r="B79" s="70" t="str">
        <f aca="false">IFERROR(IF(INDEX(T_ID,73)="","",INDEX(T_ID,73)),"")</f>
        <v/>
      </c>
      <c r="C79" s="70" t="str">
        <f aca="false">IF(B79="","",INDEX(T_NOMBRE,73)&amp;"")</f>
        <v/>
      </c>
      <c r="D79" s="70" t="str">
        <f aca="false">IF(B79="","",INDEX(T_CARGO,73)&amp;"")</f>
        <v/>
      </c>
      <c r="E79" s="70" t="str">
        <f aca="false">IF(B79="","",INDEX(T_ESTADO,73))</f>
        <v/>
      </c>
      <c r="F79" s="75" t="str">
        <f aca="false">IF(B79="","",INDEX(T_INGRESO,73))</f>
        <v/>
      </c>
      <c r="G79" s="70" t="str">
        <f aca="false">IF(B79="","",COUNTIFS(C_ID,B79,C_DEFINE,"Sí",C_INICIO,"&lt;="&amp;FECHA_CORTE))</f>
        <v/>
      </c>
      <c r="H79" s="70" t="str">
        <f aca="false">IF(B79="","",COUNTIFS(C_ID,B79,C_DEFINE,"Sí"))</f>
        <v/>
      </c>
      <c r="I79" s="70" t="str">
        <f aca="false">IF(B79="","",IF(H79=0,"Sin contrato",IFERROR(INDEX(C_TIPO,MATCH(B79&amp;"-P"&amp;MAX(1,G79),C_CLAVE,0))&amp;"","")))</f>
        <v/>
      </c>
      <c r="J79" s="70" t="str">
        <f aca="false">IF(OR(B79="",N(H79)=0),"",IFERROR(INDEX(C_TIPODOC,MATCH(B79&amp;"-P"&amp;MAX(1,G79),C_CLAVE,0))&amp;"",""))</f>
        <v/>
      </c>
      <c r="K79" s="76" t="str">
        <f aca="false">IF(I79="Plazo fijo",IFERROR(INDEX(C_NPF,MATCH(B79&amp;"-P"&amp;MAX(1,G79),C_CLAVE,0)),""),"")</f>
        <v/>
      </c>
      <c r="L79" s="70" t="str">
        <f aca="false">IF(B79="","",COUNTIFS(C_ID,B79,C_TIPODOC,"Anexo de modificación"))</f>
        <v/>
      </c>
      <c r="M79" s="75" t="str">
        <f aca="false">IF(OR(B79="",N(H79)=0),"",IFERROR(INDEX(C_INICIO,MATCH(B79&amp;"-P"&amp;MAX(1,G79),C_CLAVE,0)),""))</f>
        <v/>
      </c>
      <c r="N79" s="75" t="str">
        <f aca="false">IF(OR(I79="Plazo fijo",I79="Obra o faena"),IFERROR(IF(N(INDEX(C_TERMINO,MATCH(B79&amp;"-P"&amp;MAX(1,G79),C_CLAVE,0)))=0,"",INDEX(C_TERMINO,MATCH(B79&amp;"-P"&amp;MAX(1,G79),C_CLAVE,0))),""),"")</f>
        <v/>
      </c>
      <c r="O79" s="77" t="str">
        <f aca="false">IF(AND(ISNUMBER(N79),E79&lt;&gt;"Desvinculado"),N79-FECHA_CORTE,"")</f>
        <v/>
      </c>
      <c r="P79" s="75" t="str">
        <f aca="false">IF(AND(ISNUMBER(N79),E79&lt;&gt;"Desvinculado"),N79-DIAS_DECISION,"")</f>
        <v/>
      </c>
      <c r="Q79" s="75" t="str">
        <f aca="false">IF(OR(B79="",N(H79)&lt;=N(G79)),"",IFERROR(INDEX(C_INICIO,MATCH(B79&amp;"-P"&amp;(G79+1),C_CLAVE,0)),""))</f>
        <v/>
      </c>
      <c r="R79" s="70" t="str">
        <f aca="false">IF(B79="","",IF(E79="Desvinculado","Terminado",IF(H79=0,"Sin contrato registrado",IF(E79="Por ingresar","Por ingresar",IF(ISNUMBER(Q79),"Renovación registrada",IF(I79="Indefinido","Indefinido",IF(NOT(ISNUMBER(O79)),"Falta fecha de término",IF(O79&lt;0,"VENCIDO",IF(O79&lt;=ALERTA_ROJA,"Vence en ≤ "&amp;ALERTA_ROJA&amp;" días",IF(O79&lt;=ALERTA_NARANJA,"Vence en ≤ "&amp;ALERTA_NARANJA&amp;" días",IF(O79&lt;=ALERTA_AMARILLA,"Vence en ≤ "&amp;ALERTA_AMARILLA&amp;" días","Vigente")))))))))))</f>
        <v/>
      </c>
      <c r="S79" s="70" t="str">
        <f aca="false">IF(B79="","",IF(R79="Terminado","—",IF(R79="Sin contrato registrado","Registrar el contrato en la hoja Contratos",IF(R79="Por ingresar","Tener el contrato firmado y hacer el alta en AFP, salud, seguro de cesantía y mutual",IF(R79="Renovación registrada",IF(AND(N(K79)&gt;=2,IFERROR(INDEX(C_TIPO,MATCH(B79&amp;"-P"&amp;(G79+1),C_CLAVE,0)),"")="Plazo fijo"),"⚠ El período registrado sería el 3er contrato a plazo: por ley es INDEFINIDO. Registrarlo como Paso a indefinido","Siguiente período ya registrado: verificar que el documento esté firmado"),IF(I79="Indefinido","Sin vencimiento. Cambios de sueldo, cargo o jornada se formalizan con anexo de modificación",IF(R79="Falta fecha de término","Completar la fecha de término en la hoja Contratos",IF(R79="VENCIDO","Si sigue trabajando, por ley el contrato ya es INDEFINIDO (Art. 159 N°4): firmar anexo de paso a indefinido o regularizar el término",IF(I79="Obra o faena","Al concluir la obra: finiquito por Art. 159 N°5 + indemnización de 2,5 días por mes trabajado (Ley 21.122)",IF(N(K79)&gt;=3,"Por ley ya es indefinido (2ª renovación): firmar anexo de paso a indefinido",IF(N(K79)=2,"2° contrato a plazo: NO admite otra renovación a plazo fijo. Pasar a indefinido o terminar al vencimiento (carta dentro de 3 días hábiles)","1er contrato a plazo: renovar (2° plazo fijo), pasar a indefinido o terminar al vencimiento (carta dentro de 3 días hábiles)")))))))))))</f>
        <v/>
      </c>
      <c r="T79" s="70" t="str">
        <f aca="false">IF(B79="","",IF(COUNTIFS(C_ID,B79,C_FIRMADO,"&lt;&gt;Sí")&gt;0,COUNTIFS(C_ID,B79,C_FIRMADO,"&lt;&gt;Sí")&amp;" documento(s) sin firma. ","")&amp;IF(COUNTIFS(C_ID,B79,C_TIPO,"Plazo fijo",C_DEFINE,"Sí")&gt;2,"Más de 2 contratos a plazo: revisar presunción de indefinido. ","")&amp;IF(AND(R79="VENCIDO",LEFT(E79,6)="Activo"),"Trabaja con contrato vencido. ",""))</f>
        <v/>
      </c>
      <c r="U79" s="71" t="str">
        <f aca="false">IF(B79="","",INDEX(T_SUELDO,73))</f>
        <v/>
      </c>
      <c r="V79" s="72" t="str">
        <f aca="false">IF(AND(B79&lt;&gt;"",LEFT(E79,6)="Activo",ISNUMBER(O79),R79&lt;&gt;"Renovación registrada"),O79+ROW()/100000,"")</f>
        <v/>
      </c>
    </row>
    <row r="80" customFormat="false" ht="15" hidden="false" customHeight="false" outlineLevel="0" collapsed="false">
      <c r="B80" s="70" t="str">
        <f aca="false">IFERROR(IF(INDEX(T_ID,74)="","",INDEX(T_ID,74)),"")</f>
        <v/>
      </c>
      <c r="C80" s="70" t="str">
        <f aca="false">IF(B80="","",INDEX(T_NOMBRE,74)&amp;"")</f>
        <v/>
      </c>
      <c r="D80" s="70" t="str">
        <f aca="false">IF(B80="","",INDEX(T_CARGO,74)&amp;"")</f>
        <v/>
      </c>
      <c r="E80" s="70" t="str">
        <f aca="false">IF(B80="","",INDEX(T_ESTADO,74))</f>
        <v/>
      </c>
      <c r="F80" s="75" t="str">
        <f aca="false">IF(B80="","",INDEX(T_INGRESO,74))</f>
        <v/>
      </c>
      <c r="G80" s="70" t="str">
        <f aca="false">IF(B80="","",COUNTIFS(C_ID,B80,C_DEFINE,"Sí",C_INICIO,"&lt;="&amp;FECHA_CORTE))</f>
        <v/>
      </c>
      <c r="H80" s="70" t="str">
        <f aca="false">IF(B80="","",COUNTIFS(C_ID,B80,C_DEFINE,"Sí"))</f>
        <v/>
      </c>
      <c r="I80" s="70" t="str">
        <f aca="false">IF(B80="","",IF(H80=0,"Sin contrato",IFERROR(INDEX(C_TIPO,MATCH(B80&amp;"-P"&amp;MAX(1,G80),C_CLAVE,0))&amp;"","")))</f>
        <v/>
      </c>
      <c r="J80" s="70" t="str">
        <f aca="false">IF(OR(B80="",N(H80)=0),"",IFERROR(INDEX(C_TIPODOC,MATCH(B80&amp;"-P"&amp;MAX(1,G80),C_CLAVE,0))&amp;"",""))</f>
        <v/>
      </c>
      <c r="K80" s="76" t="str">
        <f aca="false">IF(I80="Plazo fijo",IFERROR(INDEX(C_NPF,MATCH(B80&amp;"-P"&amp;MAX(1,G80),C_CLAVE,0)),""),"")</f>
        <v/>
      </c>
      <c r="L80" s="70" t="str">
        <f aca="false">IF(B80="","",COUNTIFS(C_ID,B80,C_TIPODOC,"Anexo de modificación"))</f>
        <v/>
      </c>
      <c r="M80" s="75" t="str">
        <f aca="false">IF(OR(B80="",N(H80)=0),"",IFERROR(INDEX(C_INICIO,MATCH(B80&amp;"-P"&amp;MAX(1,G80),C_CLAVE,0)),""))</f>
        <v/>
      </c>
      <c r="N80" s="75" t="str">
        <f aca="false">IF(OR(I80="Plazo fijo",I80="Obra o faena"),IFERROR(IF(N(INDEX(C_TERMINO,MATCH(B80&amp;"-P"&amp;MAX(1,G80),C_CLAVE,0)))=0,"",INDEX(C_TERMINO,MATCH(B80&amp;"-P"&amp;MAX(1,G80),C_CLAVE,0))),""),"")</f>
        <v/>
      </c>
      <c r="O80" s="77" t="str">
        <f aca="false">IF(AND(ISNUMBER(N80),E80&lt;&gt;"Desvinculado"),N80-FECHA_CORTE,"")</f>
        <v/>
      </c>
      <c r="P80" s="75" t="str">
        <f aca="false">IF(AND(ISNUMBER(N80),E80&lt;&gt;"Desvinculado"),N80-DIAS_DECISION,"")</f>
        <v/>
      </c>
      <c r="Q80" s="75" t="str">
        <f aca="false">IF(OR(B80="",N(H80)&lt;=N(G80)),"",IFERROR(INDEX(C_INICIO,MATCH(B80&amp;"-P"&amp;(G80+1),C_CLAVE,0)),""))</f>
        <v/>
      </c>
      <c r="R80" s="70" t="str">
        <f aca="false">IF(B80="","",IF(E80="Desvinculado","Terminado",IF(H80=0,"Sin contrato registrado",IF(E80="Por ingresar","Por ingresar",IF(ISNUMBER(Q80),"Renovación registrada",IF(I80="Indefinido","Indefinido",IF(NOT(ISNUMBER(O80)),"Falta fecha de término",IF(O80&lt;0,"VENCIDO",IF(O80&lt;=ALERTA_ROJA,"Vence en ≤ "&amp;ALERTA_ROJA&amp;" días",IF(O80&lt;=ALERTA_NARANJA,"Vence en ≤ "&amp;ALERTA_NARANJA&amp;" días",IF(O80&lt;=ALERTA_AMARILLA,"Vence en ≤ "&amp;ALERTA_AMARILLA&amp;" días","Vigente")))))))))))</f>
        <v/>
      </c>
      <c r="S80" s="70" t="str">
        <f aca="false">IF(B80="","",IF(R80="Terminado","—",IF(R80="Sin contrato registrado","Registrar el contrato en la hoja Contratos",IF(R80="Por ingresar","Tener el contrato firmado y hacer el alta en AFP, salud, seguro de cesantía y mutual",IF(R80="Renovación registrada",IF(AND(N(K80)&gt;=2,IFERROR(INDEX(C_TIPO,MATCH(B80&amp;"-P"&amp;(G80+1),C_CLAVE,0)),"")="Plazo fijo"),"⚠ El período registrado sería el 3er contrato a plazo: por ley es INDEFINIDO. Registrarlo como Paso a indefinido","Siguiente período ya registrado: verificar que el documento esté firmado"),IF(I80="Indefinido","Sin vencimiento. Cambios de sueldo, cargo o jornada se formalizan con anexo de modificación",IF(R80="Falta fecha de término","Completar la fecha de término en la hoja Contratos",IF(R80="VENCIDO","Si sigue trabajando, por ley el contrato ya es INDEFINIDO (Art. 159 N°4): firmar anexo de paso a indefinido o regularizar el término",IF(I80="Obra o faena","Al concluir la obra: finiquito por Art. 159 N°5 + indemnización de 2,5 días por mes trabajado (Ley 21.122)",IF(N(K80)&gt;=3,"Por ley ya es indefinido (2ª renovación): firmar anexo de paso a indefinido",IF(N(K80)=2,"2° contrato a plazo: NO admite otra renovación a plazo fijo. Pasar a indefinido o terminar al vencimiento (carta dentro de 3 días hábiles)","1er contrato a plazo: renovar (2° plazo fijo), pasar a indefinido o terminar al vencimiento (carta dentro de 3 días hábiles)")))))))))))</f>
        <v/>
      </c>
      <c r="T80" s="70" t="str">
        <f aca="false">IF(B80="","",IF(COUNTIFS(C_ID,B80,C_FIRMADO,"&lt;&gt;Sí")&gt;0,COUNTIFS(C_ID,B80,C_FIRMADO,"&lt;&gt;Sí")&amp;" documento(s) sin firma. ","")&amp;IF(COUNTIFS(C_ID,B80,C_TIPO,"Plazo fijo",C_DEFINE,"Sí")&gt;2,"Más de 2 contratos a plazo: revisar presunción de indefinido. ","")&amp;IF(AND(R80="VENCIDO",LEFT(E80,6)="Activo"),"Trabaja con contrato vencido. ",""))</f>
        <v/>
      </c>
      <c r="U80" s="71" t="str">
        <f aca="false">IF(B80="","",INDEX(T_SUELDO,74))</f>
        <v/>
      </c>
      <c r="V80" s="72" t="str">
        <f aca="false">IF(AND(B80&lt;&gt;"",LEFT(E80,6)="Activo",ISNUMBER(O80),R80&lt;&gt;"Renovación registrada"),O80+ROW()/100000,"")</f>
        <v/>
      </c>
    </row>
    <row r="81" customFormat="false" ht="15" hidden="false" customHeight="false" outlineLevel="0" collapsed="false">
      <c r="B81" s="70" t="str">
        <f aca="false">IFERROR(IF(INDEX(T_ID,75)="","",INDEX(T_ID,75)),"")</f>
        <v/>
      </c>
      <c r="C81" s="70" t="str">
        <f aca="false">IF(B81="","",INDEX(T_NOMBRE,75)&amp;"")</f>
        <v/>
      </c>
      <c r="D81" s="70" t="str">
        <f aca="false">IF(B81="","",INDEX(T_CARGO,75)&amp;"")</f>
        <v/>
      </c>
      <c r="E81" s="70" t="str">
        <f aca="false">IF(B81="","",INDEX(T_ESTADO,75))</f>
        <v/>
      </c>
      <c r="F81" s="75" t="str">
        <f aca="false">IF(B81="","",INDEX(T_INGRESO,75))</f>
        <v/>
      </c>
      <c r="G81" s="70" t="str">
        <f aca="false">IF(B81="","",COUNTIFS(C_ID,B81,C_DEFINE,"Sí",C_INICIO,"&lt;="&amp;FECHA_CORTE))</f>
        <v/>
      </c>
      <c r="H81" s="70" t="str">
        <f aca="false">IF(B81="","",COUNTIFS(C_ID,B81,C_DEFINE,"Sí"))</f>
        <v/>
      </c>
      <c r="I81" s="70" t="str">
        <f aca="false">IF(B81="","",IF(H81=0,"Sin contrato",IFERROR(INDEX(C_TIPO,MATCH(B81&amp;"-P"&amp;MAX(1,G81),C_CLAVE,0))&amp;"","")))</f>
        <v/>
      </c>
      <c r="J81" s="70" t="str">
        <f aca="false">IF(OR(B81="",N(H81)=0),"",IFERROR(INDEX(C_TIPODOC,MATCH(B81&amp;"-P"&amp;MAX(1,G81),C_CLAVE,0))&amp;"",""))</f>
        <v/>
      </c>
      <c r="K81" s="76" t="str">
        <f aca="false">IF(I81="Plazo fijo",IFERROR(INDEX(C_NPF,MATCH(B81&amp;"-P"&amp;MAX(1,G81),C_CLAVE,0)),""),"")</f>
        <v/>
      </c>
      <c r="L81" s="70" t="str">
        <f aca="false">IF(B81="","",COUNTIFS(C_ID,B81,C_TIPODOC,"Anexo de modificación"))</f>
        <v/>
      </c>
      <c r="M81" s="75" t="str">
        <f aca="false">IF(OR(B81="",N(H81)=0),"",IFERROR(INDEX(C_INICIO,MATCH(B81&amp;"-P"&amp;MAX(1,G81),C_CLAVE,0)),""))</f>
        <v/>
      </c>
      <c r="N81" s="75" t="str">
        <f aca="false">IF(OR(I81="Plazo fijo",I81="Obra o faena"),IFERROR(IF(N(INDEX(C_TERMINO,MATCH(B81&amp;"-P"&amp;MAX(1,G81),C_CLAVE,0)))=0,"",INDEX(C_TERMINO,MATCH(B81&amp;"-P"&amp;MAX(1,G81),C_CLAVE,0))),""),"")</f>
        <v/>
      </c>
      <c r="O81" s="77" t="str">
        <f aca="false">IF(AND(ISNUMBER(N81),E81&lt;&gt;"Desvinculado"),N81-FECHA_CORTE,"")</f>
        <v/>
      </c>
      <c r="P81" s="75" t="str">
        <f aca="false">IF(AND(ISNUMBER(N81),E81&lt;&gt;"Desvinculado"),N81-DIAS_DECISION,"")</f>
        <v/>
      </c>
      <c r="Q81" s="75" t="str">
        <f aca="false">IF(OR(B81="",N(H81)&lt;=N(G81)),"",IFERROR(INDEX(C_INICIO,MATCH(B81&amp;"-P"&amp;(G81+1),C_CLAVE,0)),""))</f>
        <v/>
      </c>
      <c r="R81" s="70" t="str">
        <f aca="false">IF(B81="","",IF(E81="Desvinculado","Terminado",IF(H81=0,"Sin contrato registrado",IF(E81="Por ingresar","Por ingresar",IF(ISNUMBER(Q81),"Renovación registrada",IF(I81="Indefinido","Indefinido",IF(NOT(ISNUMBER(O81)),"Falta fecha de término",IF(O81&lt;0,"VENCIDO",IF(O81&lt;=ALERTA_ROJA,"Vence en ≤ "&amp;ALERTA_ROJA&amp;" días",IF(O81&lt;=ALERTA_NARANJA,"Vence en ≤ "&amp;ALERTA_NARANJA&amp;" días",IF(O81&lt;=ALERTA_AMARILLA,"Vence en ≤ "&amp;ALERTA_AMARILLA&amp;" días","Vigente")))))))))))</f>
        <v/>
      </c>
      <c r="S81" s="70" t="str">
        <f aca="false">IF(B81="","",IF(R81="Terminado","—",IF(R81="Sin contrato registrado","Registrar el contrato en la hoja Contratos",IF(R81="Por ingresar","Tener el contrato firmado y hacer el alta en AFP, salud, seguro de cesantía y mutual",IF(R81="Renovación registrada",IF(AND(N(K81)&gt;=2,IFERROR(INDEX(C_TIPO,MATCH(B81&amp;"-P"&amp;(G81+1),C_CLAVE,0)),"")="Plazo fijo"),"⚠ El período registrado sería el 3er contrato a plazo: por ley es INDEFINIDO. Registrarlo como Paso a indefinido","Siguiente período ya registrado: verificar que el documento esté firmado"),IF(I81="Indefinido","Sin vencimiento. Cambios de sueldo, cargo o jornada se formalizan con anexo de modificación",IF(R81="Falta fecha de término","Completar la fecha de término en la hoja Contratos",IF(R81="VENCIDO","Si sigue trabajando, por ley el contrato ya es INDEFINIDO (Art. 159 N°4): firmar anexo de paso a indefinido o regularizar el término",IF(I81="Obra o faena","Al concluir la obra: finiquito por Art. 159 N°5 + indemnización de 2,5 días por mes trabajado (Ley 21.122)",IF(N(K81)&gt;=3,"Por ley ya es indefinido (2ª renovación): firmar anexo de paso a indefinido",IF(N(K81)=2,"2° contrato a plazo: NO admite otra renovación a plazo fijo. Pasar a indefinido o terminar al vencimiento (carta dentro de 3 días hábiles)","1er contrato a plazo: renovar (2° plazo fijo), pasar a indefinido o terminar al vencimiento (carta dentro de 3 días hábiles)")))))))))))</f>
        <v/>
      </c>
      <c r="T81" s="70" t="str">
        <f aca="false">IF(B81="","",IF(COUNTIFS(C_ID,B81,C_FIRMADO,"&lt;&gt;Sí")&gt;0,COUNTIFS(C_ID,B81,C_FIRMADO,"&lt;&gt;Sí")&amp;" documento(s) sin firma. ","")&amp;IF(COUNTIFS(C_ID,B81,C_TIPO,"Plazo fijo",C_DEFINE,"Sí")&gt;2,"Más de 2 contratos a plazo: revisar presunción de indefinido. ","")&amp;IF(AND(R81="VENCIDO",LEFT(E81,6)="Activo"),"Trabaja con contrato vencido. ",""))</f>
        <v/>
      </c>
      <c r="U81" s="71" t="str">
        <f aca="false">IF(B81="","",INDEX(T_SUELDO,75))</f>
        <v/>
      </c>
      <c r="V81" s="72" t="str">
        <f aca="false">IF(AND(B81&lt;&gt;"",LEFT(E81,6)="Activo",ISNUMBER(O81),R81&lt;&gt;"Renovación registrada"),O81+ROW()/100000,"")</f>
        <v/>
      </c>
    </row>
    <row r="82" customFormat="false" ht="15" hidden="false" customHeight="false" outlineLevel="0" collapsed="false">
      <c r="B82" s="70" t="str">
        <f aca="false">IFERROR(IF(INDEX(T_ID,76)="","",INDEX(T_ID,76)),"")</f>
        <v/>
      </c>
      <c r="C82" s="70" t="str">
        <f aca="false">IF(B82="","",INDEX(T_NOMBRE,76)&amp;"")</f>
        <v/>
      </c>
      <c r="D82" s="70" t="str">
        <f aca="false">IF(B82="","",INDEX(T_CARGO,76)&amp;"")</f>
        <v/>
      </c>
      <c r="E82" s="70" t="str">
        <f aca="false">IF(B82="","",INDEX(T_ESTADO,76))</f>
        <v/>
      </c>
      <c r="F82" s="75" t="str">
        <f aca="false">IF(B82="","",INDEX(T_INGRESO,76))</f>
        <v/>
      </c>
      <c r="G82" s="70" t="str">
        <f aca="false">IF(B82="","",COUNTIFS(C_ID,B82,C_DEFINE,"Sí",C_INICIO,"&lt;="&amp;FECHA_CORTE))</f>
        <v/>
      </c>
      <c r="H82" s="70" t="str">
        <f aca="false">IF(B82="","",COUNTIFS(C_ID,B82,C_DEFINE,"Sí"))</f>
        <v/>
      </c>
      <c r="I82" s="70" t="str">
        <f aca="false">IF(B82="","",IF(H82=0,"Sin contrato",IFERROR(INDEX(C_TIPO,MATCH(B82&amp;"-P"&amp;MAX(1,G82),C_CLAVE,0))&amp;"","")))</f>
        <v/>
      </c>
      <c r="J82" s="70" t="str">
        <f aca="false">IF(OR(B82="",N(H82)=0),"",IFERROR(INDEX(C_TIPODOC,MATCH(B82&amp;"-P"&amp;MAX(1,G82),C_CLAVE,0))&amp;"",""))</f>
        <v/>
      </c>
      <c r="K82" s="76" t="str">
        <f aca="false">IF(I82="Plazo fijo",IFERROR(INDEX(C_NPF,MATCH(B82&amp;"-P"&amp;MAX(1,G82),C_CLAVE,0)),""),"")</f>
        <v/>
      </c>
      <c r="L82" s="70" t="str">
        <f aca="false">IF(B82="","",COUNTIFS(C_ID,B82,C_TIPODOC,"Anexo de modificación"))</f>
        <v/>
      </c>
      <c r="M82" s="75" t="str">
        <f aca="false">IF(OR(B82="",N(H82)=0),"",IFERROR(INDEX(C_INICIO,MATCH(B82&amp;"-P"&amp;MAX(1,G82),C_CLAVE,0)),""))</f>
        <v/>
      </c>
      <c r="N82" s="75" t="str">
        <f aca="false">IF(OR(I82="Plazo fijo",I82="Obra o faena"),IFERROR(IF(N(INDEX(C_TERMINO,MATCH(B82&amp;"-P"&amp;MAX(1,G82),C_CLAVE,0)))=0,"",INDEX(C_TERMINO,MATCH(B82&amp;"-P"&amp;MAX(1,G82),C_CLAVE,0))),""),"")</f>
        <v/>
      </c>
      <c r="O82" s="77" t="str">
        <f aca="false">IF(AND(ISNUMBER(N82),E82&lt;&gt;"Desvinculado"),N82-FECHA_CORTE,"")</f>
        <v/>
      </c>
      <c r="P82" s="75" t="str">
        <f aca="false">IF(AND(ISNUMBER(N82),E82&lt;&gt;"Desvinculado"),N82-DIAS_DECISION,"")</f>
        <v/>
      </c>
      <c r="Q82" s="75" t="str">
        <f aca="false">IF(OR(B82="",N(H82)&lt;=N(G82)),"",IFERROR(INDEX(C_INICIO,MATCH(B82&amp;"-P"&amp;(G82+1),C_CLAVE,0)),""))</f>
        <v/>
      </c>
      <c r="R82" s="70" t="str">
        <f aca="false">IF(B82="","",IF(E82="Desvinculado","Terminado",IF(H82=0,"Sin contrato registrado",IF(E82="Por ingresar","Por ingresar",IF(ISNUMBER(Q82),"Renovación registrada",IF(I82="Indefinido","Indefinido",IF(NOT(ISNUMBER(O82)),"Falta fecha de término",IF(O82&lt;0,"VENCIDO",IF(O82&lt;=ALERTA_ROJA,"Vence en ≤ "&amp;ALERTA_ROJA&amp;" días",IF(O82&lt;=ALERTA_NARANJA,"Vence en ≤ "&amp;ALERTA_NARANJA&amp;" días",IF(O82&lt;=ALERTA_AMARILLA,"Vence en ≤ "&amp;ALERTA_AMARILLA&amp;" días","Vigente")))))))))))</f>
        <v/>
      </c>
      <c r="S82" s="70" t="str">
        <f aca="false">IF(B82="","",IF(R82="Terminado","—",IF(R82="Sin contrato registrado","Registrar el contrato en la hoja Contratos",IF(R82="Por ingresar","Tener el contrato firmado y hacer el alta en AFP, salud, seguro de cesantía y mutual",IF(R82="Renovación registrada",IF(AND(N(K82)&gt;=2,IFERROR(INDEX(C_TIPO,MATCH(B82&amp;"-P"&amp;(G82+1),C_CLAVE,0)),"")="Plazo fijo"),"⚠ El período registrado sería el 3er contrato a plazo: por ley es INDEFINIDO. Registrarlo como Paso a indefinido","Siguiente período ya registrado: verificar que el documento esté firmado"),IF(I82="Indefinido","Sin vencimiento. Cambios de sueldo, cargo o jornada se formalizan con anexo de modificación",IF(R82="Falta fecha de término","Completar la fecha de término en la hoja Contratos",IF(R82="VENCIDO","Si sigue trabajando, por ley el contrato ya es INDEFINIDO (Art. 159 N°4): firmar anexo de paso a indefinido o regularizar el término",IF(I82="Obra o faena","Al concluir la obra: finiquito por Art. 159 N°5 + indemnización de 2,5 días por mes trabajado (Ley 21.122)",IF(N(K82)&gt;=3,"Por ley ya es indefinido (2ª renovación): firmar anexo de paso a indefinido",IF(N(K82)=2,"2° contrato a plazo: NO admite otra renovación a plazo fijo. Pasar a indefinido o terminar al vencimiento (carta dentro de 3 días hábiles)","1er contrato a plazo: renovar (2° plazo fijo), pasar a indefinido o terminar al vencimiento (carta dentro de 3 días hábiles)")))))))))))</f>
        <v/>
      </c>
      <c r="T82" s="70" t="str">
        <f aca="false">IF(B82="","",IF(COUNTIFS(C_ID,B82,C_FIRMADO,"&lt;&gt;Sí")&gt;0,COUNTIFS(C_ID,B82,C_FIRMADO,"&lt;&gt;Sí")&amp;" documento(s) sin firma. ","")&amp;IF(COUNTIFS(C_ID,B82,C_TIPO,"Plazo fijo",C_DEFINE,"Sí")&gt;2,"Más de 2 contratos a plazo: revisar presunción de indefinido. ","")&amp;IF(AND(R82="VENCIDO",LEFT(E82,6)="Activo"),"Trabaja con contrato vencido. ",""))</f>
        <v/>
      </c>
      <c r="U82" s="71" t="str">
        <f aca="false">IF(B82="","",INDEX(T_SUELDO,76))</f>
        <v/>
      </c>
      <c r="V82" s="72" t="str">
        <f aca="false">IF(AND(B82&lt;&gt;"",LEFT(E82,6)="Activo",ISNUMBER(O82),R82&lt;&gt;"Renovación registrada"),O82+ROW()/100000,"")</f>
        <v/>
      </c>
    </row>
    <row r="83" customFormat="false" ht="15" hidden="false" customHeight="false" outlineLevel="0" collapsed="false">
      <c r="B83" s="70" t="str">
        <f aca="false">IFERROR(IF(INDEX(T_ID,77)="","",INDEX(T_ID,77)),"")</f>
        <v/>
      </c>
      <c r="C83" s="70" t="str">
        <f aca="false">IF(B83="","",INDEX(T_NOMBRE,77)&amp;"")</f>
        <v/>
      </c>
      <c r="D83" s="70" t="str">
        <f aca="false">IF(B83="","",INDEX(T_CARGO,77)&amp;"")</f>
        <v/>
      </c>
      <c r="E83" s="70" t="str">
        <f aca="false">IF(B83="","",INDEX(T_ESTADO,77))</f>
        <v/>
      </c>
      <c r="F83" s="75" t="str">
        <f aca="false">IF(B83="","",INDEX(T_INGRESO,77))</f>
        <v/>
      </c>
      <c r="G83" s="70" t="str">
        <f aca="false">IF(B83="","",COUNTIFS(C_ID,B83,C_DEFINE,"Sí",C_INICIO,"&lt;="&amp;FECHA_CORTE))</f>
        <v/>
      </c>
      <c r="H83" s="70" t="str">
        <f aca="false">IF(B83="","",COUNTIFS(C_ID,B83,C_DEFINE,"Sí"))</f>
        <v/>
      </c>
      <c r="I83" s="70" t="str">
        <f aca="false">IF(B83="","",IF(H83=0,"Sin contrato",IFERROR(INDEX(C_TIPO,MATCH(B83&amp;"-P"&amp;MAX(1,G83),C_CLAVE,0))&amp;"","")))</f>
        <v/>
      </c>
      <c r="J83" s="70" t="str">
        <f aca="false">IF(OR(B83="",N(H83)=0),"",IFERROR(INDEX(C_TIPODOC,MATCH(B83&amp;"-P"&amp;MAX(1,G83),C_CLAVE,0))&amp;"",""))</f>
        <v/>
      </c>
      <c r="K83" s="76" t="str">
        <f aca="false">IF(I83="Plazo fijo",IFERROR(INDEX(C_NPF,MATCH(B83&amp;"-P"&amp;MAX(1,G83),C_CLAVE,0)),""),"")</f>
        <v/>
      </c>
      <c r="L83" s="70" t="str">
        <f aca="false">IF(B83="","",COUNTIFS(C_ID,B83,C_TIPODOC,"Anexo de modificación"))</f>
        <v/>
      </c>
      <c r="M83" s="75" t="str">
        <f aca="false">IF(OR(B83="",N(H83)=0),"",IFERROR(INDEX(C_INICIO,MATCH(B83&amp;"-P"&amp;MAX(1,G83),C_CLAVE,0)),""))</f>
        <v/>
      </c>
      <c r="N83" s="75" t="str">
        <f aca="false">IF(OR(I83="Plazo fijo",I83="Obra o faena"),IFERROR(IF(N(INDEX(C_TERMINO,MATCH(B83&amp;"-P"&amp;MAX(1,G83),C_CLAVE,0)))=0,"",INDEX(C_TERMINO,MATCH(B83&amp;"-P"&amp;MAX(1,G83),C_CLAVE,0))),""),"")</f>
        <v/>
      </c>
      <c r="O83" s="77" t="str">
        <f aca="false">IF(AND(ISNUMBER(N83),E83&lt;&gt;"Desvinculado"),N83-FECHA_CORTE,"")</f>
        <v/>
      </c>
      <c r="P83" s="75" t="str">
        <f aca="false">IF(AND(ISNUMBER(N83),E83&lt;&gt;"Desvinculado"),N83-DIAS_DECISION,"")</f>
        <v/>
      </c>
      <c r="Q83" s="75" t="str">
        <f aca="false">IF(OR(B83="",N(H83)&lt;=N(G83)),"",IFERROR(INDEX(C_INICIO,MATCH(B83&amp;"-P"&amp;(G83+1),C_CLAVE,0)),""))</f>
        <v/>
      </c>
      <c r="R83" s="70" t="str">
        <f aca="false">IF(B83="","",IF(E83="Desvinculado","Terminado",IF(H83=0,"Sin contrato registrado",IF(E83="Por ingresar","Por ingresar",IF(ISNUMBER(Q83),"Renovación registrada",IF(I83="Indefinido","Indefinido",IF(NOT(ISNUMBER(O83)),"Falta fecha de término",IF(O83&lt;0,"VENCIDO",IF(O83&lt;=ALERTA_ROJA,"Vence en ≤ "&amp;ALERTA_ROJA&amp;" días",IF(O83&lt;=ALERTA_NARANJA,"Vence en ≤ "&amp;ALERTA_NARANJA&amp;" días",IF(O83&lt;=ALERTA_AMARILLA,"Vence en ≤ "&amp;ALERTA_AMARILLA&amp;" días","Vigente")))))))))))</f>
        <v/>
      </c>
      <c r="S83" s="70" t="str">
        <f aca="false">IF(B83="","",IF(R83="Terminado","—",IF(R83="Sin contrato registrado","Registrar el contrato en la hoja Contratos",IF(R83="Por ingresar","Tener el contrato firmado y hacer el alta en AFP, salud, seguro de cesantía y mutual",IF(R83="Renovación registrada",IF(AND(N(K83)&gt;=2,IFERROR(INDEX(C_TIPO,MATCH(B83&amp;"-P"&amp;(G83+1),C_CLAVE,0)),"")="Plazo fijo"),"⚠ El período registrado sería el 3er contrato a plazo: por ley es INDEFINIDO. Registrarlo como Paso a indefinido","Siguiente período ya registrado: verificar que el documento esté firmado"),IF(I83="Indefinido","Sin vencimiento. Cambios de sueldo, cargo o jornada se formalizan con anexo de modificación",IF(R83="Falta fecha de término","Completar la fecha de término en la hoja Contratos",IF(R83="VENCIDO","Si sigue trabajando, por ley el contrato ya es INDEFINIDO (Art. 159 N°4): firmar anexo de paso a indefinido o regularizar el término",IF(I83="Obra o faena","Al concluir la obra: finiquito por Art. 159 N°5 + indemnización de 2,5 días por mes trabajado (Ley 21.122)",IF(N(K83)&gt;=3,"Por ley ya es indefinido (2ª renovación): firmar anexo de paso a indefinido",IF(N(K83)=2,"2° contrato a plazo: NO admite otra renovación a plazo fijo. Pasar a indefinido o terminar al vencimiento (carta dentro de 3 días hábiles)","1er contrato a plazo: renovar (2° plazo fijo), pasar a indefinido o terminar al vencimiento (carta dentro de 3 días hábiles)")))))))))))</f>
        <v/>
      </c>
      <c r="T83" s="70" t="str">
        <f aca="false">IF(B83="","",IF(COUNTIFS(C_ID,B83,C_FIRMADO,"&lt;&gt;Sí")&gt;0,COUNTIFS(C_ID,B83,C_FIRMADO,"&lt;&gt;Sí")&amp;" documento(s) sin firma. ","")&amp;IF(COUNTIFS(C_ID,B83,C_TIPO,"Plazo fijo",C_DEFINE,"Sí")&gt;2,"Más de 2 contratos a plazo: revisar presunción de indefinido. ","")&amp;IF(AND(R83="VENCIDO",LEFT(E83,6)="Activo"),"Trabaja con contrato vencido. ",""))</f>
        <v/>
      </c>
      <c r="U83" s="71" t="str">
        <f aca="false">IF(B83="","",INDEX(T_SUELDO,77))</f>
        <v/>
      </c>
      <c r="V83" s="72" t="str">
        <f aca="false">IF(AND(B83&lt;&gt;"",LEFT(E83,6)="Activo",ISNUMBER(O83),R83&lt;&gt;"Renovación registrada"),O83+ROW()/100000,"")</f>
        <v/>
      </c>
    </row>
    <row r="84" customFormat="false" ht="15" hidden="false" customHeight="false" outlineLevel="0" collapsed="false">
      <c r="B84" s="70" t="str">
        <f aca="false">IFERROR(IF(INDEX(T_ID,78)="","",INDEX(T_ID,78)),"")</f>
        <v/>
      </c>
      <c r="C84" s="70" t="str">
        <f aca="false">IF(B84="","",INDEX(T_NOMBRE,78)&amp;"")</f>
        <v/>
      </c>
      <c r="D84" s="70" t="str">
        <f aca="false">IF(B84="","",INDEX(T_CARGO,78)&amp;"")</f>
        <v/>
      </c>
      <c r="E84" s="70" t="str">
        <f aca="false">IF(B84="","",INDEX(T_ESTADO,78))</f>
        <v/>
      </c>
      <c r="F84" s="75" t="str">
        <f aca="false">IF(B84="","",INDEX(T_INGRESO,78))</f>
        <v/>
      </c>
      <c r="G84" s="70" t="str">
        <f aca="false">IF(B84="","",COUNTIFS(C_ID,B84,C_DEFINE,"Sí",C_INICIO,"&lt;="&amp;FECHA_CORTE))</f>
        <v/>
      </c>
      <c r="H84" s="70" t="str">
        <f aca="false">IF(B84="","",COUNTIFS(C_ID,B84,C_DEFINE,"Sí"))</f>
        <v/>
      </c>
      <c r="I84" s="70" t="str">
        <f aca="false">IF(B84="","",IF(H84=0,"Sin contrato",IFERROR(INDEX(C_TIPO,MATCH(B84&amp;"-P"&amp;MAX(1,G84),C_CLAVE,0))&amp;"","")))</f>
        <v/>
      </c>
      <c r="J84" s="70" t="str">
        <f aca="false">IF(OR(B84="",N(H84)=0),"",IFERROR(INDEX(C_TIPODOC,MATCH(B84&amp;"-P"&amp;MAX(1,G84),C_CLAVE,0))&amp;"",""))</f>
        <v/>
      </c>
      <c r="K84" s="76" t="str">
        <f aca="false">IF(I84="Plazo fijo",IFERROR(INDEX(C_NPF,MATCH(B84&amp;"-P"&amp;MAX(1,G84),C_CLAVE,0)),""),"")</f>
        <v/>
      </c>
      <c r="L84" s="70" t="str">
        <f aca="false">IF(B84="","",COUNTIFS(C_ID,B84,C_TIPODOC,"Anexo de modificación"))</f>
        <v/>
      </c>
      <c r="M84" s="75" t="str">
        <f aca="false">IF(OR(B84="",N(H84)=0),"",IFERROR(INDEX(C_INICIO,MATCH(B84&amp;"-P"&amp;MAX(1,G84),C_CLAVE,0)),""))</f>
        <v/>
      </c>
      <c r="N84" s="75" t="str">
        <f aca="false">IF(OR(I84="Plazo fijo",I84="Obra o faena"),IFERROR(IF(N(INDEX(C_TERMINO,MATCH(B84&amp;"-P"&amp;MAX(1,G84),C_CLAVE,0)))=0,"",INDEX(C_TERMINO,MATCH(B84&amp;"-P"&amp;MAX(1,G84),C_CLAVE,0))),""),"")</f>
        <v/>
      </c>
      <c r="O84" s="77" t="str">
        <f aca="false">IF(AND(ISNUMBER(N84),E84&lt;&gt;"Desvinculado"),N84-FECHA_CORTE,"")</f>
        <v/>
      </c>
      <c r="P84" s="75" t="str">
        <f aca="false">IF(AND(ISNUMBER(N84),E84&lt;&gt;"Desvinculado"),N84-DIAS_DECISION,"")</f>
        <v/>
      </c>
      <c r="Q84" s="75" t="str">
        <f aca="false">IF(OR(B84="",N(H84)&lt;=N(G84)),"",IFERROR(INDEX(C_INICIO,MATCH(B84&amp;"-P"&amp;(G84+1),C_CLAVE,0)),""))</f>
        <v/>
      </c>
      <c r="R84" s="70" t="str">
        <f aca="false">IF(B84="","",IF(E84="Desvinculado","Terminado",IF(H84=0,"Sin contrato registrado",IF(E84="Por ingresar","Por ingresar",IF(ISNUMBER(Q84),"Renovación registrada",IF(I84="Indefinido","Indefinido",IF(NOT(ISNUMBER(O84)),"Falta fecha de término",IF(O84&lt;0,"VENCIDO",IF(O84&lt;=ALERTA_ROJA,"Vence en ≤ "&amp;ALERTA_ROJA&amp;" días",IF(O84&lt;=ALERTA_NARANJA,"Vence en ≤ "&amp;ALERTA_NARANJA&amp;" días",IF(O84&lt;=ALERTA_AMARILLA,"Vence en ≤ "&amp;ALERTA_AMARILLA&amp;" días","Vigente")))))))))))</f>
        <v/>
      </c>
      <c r="S84" s="70" t="str">
        <f aca="false">IF(B84="","",IF(R84="Terminado","—",IF(R84="Sin contrato registrado","Registrar el contrato en la hoja Contratos",IF(R84="Por ingresar","Tener el contrato firmado y hacer el alta en AFP, salud, seguro de cesantía y mutual",IF(R84="Renovación registrada",IF(AND(N(K84)&gt;=2,IFERROR(INDEX(C_TIPO,MATCH(B84&amp;"-P"&amp;(G84+1),C_CLAVE,0)),"")="Plazo fijo"),"⚠ El período registrado sería el 3er contrato a plazo: por ley es INDEFINIDO. Registrarlo como Paso a indefinido","Siguiente período ya registrado: verificar que el documento esté firmado"),IF(I84="Indefinido","Sin vencimiento. Cambios de sueldo, cargo o jornada se formalizan con anexo de modificación",IF(R84="Falta fecha de término","Completar la fecha de término en la hoja Contratos",IF(R84="VENCIDO","Si sigue trabajando, por ley el contrato ya es INDEFINIDO (Art. 159 N°4): firmar anexo de paso a indefinido o regularizar el término",IF(I84="Obra o faena","Al concluir la obra: finiquito por Art. 159 N°5 + indemnización de 2,5 días por mes trabajado (Ley 21.122)",IF(N(K84)&gt;=3,"Por ley ya es indefinido (2ª renovación): firmar anexo de paso a indefinido",IF(N(K84)=2,"2° contrato a plazo: NO admite otra renovación a plazo fijo. Pasar a indefinido o terminar al vencimiento (carta dentro de 3 días hábiles)","1er contrato a plazo: renovar (2° plazo fijo), pasar a indefinido o terminar al vencimiento (carta dentro de 3 días hábiles)")))))))))))</f>
        <v/>
      </c>
      <c r="T84" s="70" t="str">
        <f aca="false">IF(B84="","",IF(COUNTIFS(C_ID,B84,C_FIRMADO,"&lt;&gt;Sí")&gt;0,COUNTIFS(C_ID,B84,C_FIRMADO,"&lt;&gt;Sí")&amp;" documento(s) sin firma. ","")&amp;IF(COUNTIFS(C_ID,B84,C_TIPO,"Plazo fijo",C_DEFINE,"Sí")&gt;2,"Más de 2 contratos a plazo: revisar presunción de indefinido. ","")&amp;IF(AND(R84="VENCIDO",LEFT(E84,6)="Activo"),"Trabaja con contrato vencido. ",""))</f>
        <v/>
      </c>
      <c r="U84" s="71" t="str">
        <f aca="false">IF(B84="","",INDEX(T_SUELDO,78))</f>
        <v/>
      </c>
      <c r="V84" s="72" t="str">
        <f aca="false">IF(AND(B84&lt;&gt;"",LEFT(E84,6)="Activo",ISNUMBER(O84),R84&lt;&gt;"Renovación registrada"),O84+ROW()/100000,"")</f>
        <v/>
      </c>
    </row>
    <row r="85" customFormat="false" ht="15" hidden="false" customHeight="false" outlineLevel="0" collapsed="false">
      <c r="B85" s="70" t="str">
        <f aca="false">IFERROR(IF(INDEX(T_ID,79)="","",INDEX(T_ID,79)),"")</f>
        <v/>
      </c>
      <c r="C85" s="70" t="str">
        <f aca="false">IF(B85="","",INDEX(T_NOMBRE,79)&amp;"")</f>
        <v/>
      </c>
      <c r="D85" s="70" t="str">
        <f aca="false">IF(B85="","",INDEX(T_CARGO,79)&amp;"")</f>
        <v/>
      </c>
      <c r="E85" s="70" t="str">
        <f aca="false">IF(B85="","",INDEX(T_ESTADO,79))</f>
        <v/>
      </c>
      <c r="F85" s="75" t="str">
        <f aca="false">IF(B85="","",INDEX(T_INGRESO,79))</f>
        <v/>
      </c>
      <c r="G85" s="70" t="str">
        <f aca="false">IF(B85="","",COUNTIFS(C_ID,B85,C_DEFINE,"Sí",C_INICIO,"&lt;="&amp;FECHA_CORTE))</f>
        <v/>
      </c>
      <c r="H85" s="70" t="str">
        <f aca="false">IF(B85="","",COUNTIFS(C_ID,B85,C_DEFINE,"Sí"))</f>
        <v/>
      </c>
      <c r="I85" s="70" t="str">
        <f aca="false">IF(B85="","",IF(H85=0,"Sin contrato",IFERROR(INDEX(C_TIPO,MATCH(B85&amp;"-P"&amp;MAX(1,G85),C_CLAVE,0))&amp;"","")))</f>
        <v/>
      </c>
      <c r="J85" s="70" t="str">
        <f aca="false">IF(OR(B85="",N(H85)=0),"",IFERROR(INDEX(C_TIPODOC,MATCH(B85&amp;"-P"&amp;MAX(1,G85),C_CLAVE,0))&amp;"",""))</f>
        <v/>
      </c>
      <c r="K85" s="76" t="str">
        <f aca="false">IF(I85="Plazo fijo",IFERROR(INDEX(C_NPF,MATCH(B85&amp;"-P"&amp;MAX(1,G85),C_CLAVE,0)),""),"")</f>
        <v/>
      </c>
      <c r="L85" s="70" t="str">
        <f aca="false">IF(B85="","",COUNTIFS(C_ID,B85,C_TIPODOC,"Anexo de modificación"))</f>
        <v/>
      </c>
      <c r="M85" s="75" t="str">
        <f aca="false">IF(OR(B85="",N(H85)=0),"",IFERROR(INDEX(C_INICIO,MATCH(B85&amp;"-P"&amp;MAX(1,G85),C_CLAVE,0)),""))</f>
        <v/>
      </c>
      <c r="N85" s="75" t="str">
        <f aca="false">IF(OR(I85="Plazo fijo",I85="Obra o faena"),IFERROR(IF(N(INDEX(C_TERMINO,MATCH(B85&amp;"-P"&amp;MAX(1,G85),C_CLAVE,0)))=0,"",INDEX(C_TERMINO,MATCH(B85&amp;"-P"&amp;MAX(1,G85),C_CLAVE,0))),""),"")</f>
        <v/>
      </c>
      <c r="O85" s="77" t="str">
        <f aca="false">IF(AND(ISNUMBER(N85),E85&lt;&gt;"Desvinculado"),N85-FECHA_CORTE,"")</f>
        <v/>
      </c>
      <c r="P85" s="75" t="str">
        <f aca="false">IF(AND(ISNUMBER(N85),E85&lt;&gt;"Desvinculado"),N85-DIAS_DECISION,"")</f>
        <v/>
      </c>
      <c r="Q85" s="75" t="str">
        <f aca="false">IF(OR(B85="",N(H85)&lt;=N(G85)),"",IFERROR(INDEX(C_INICIO,MATCH(B85&amp;"-P"&amp;(G85+1),C_CLAVE,0)),""))</f>
        <v/>
      </c>
      <c r="R85" s="70" t="str">
        <f aca="false">IF(B85="","",IF(E85="Desvinculado","Terminado",IF(H85=0,"Sin contrato registrado",IF(E85="Por ingresar","Por ingresar",IF(ISNUMBER(Q85),"Renovación registrada",IF(I85="Indefinido","Indefinido",IF(NOT(ISNUMBER(O85)),"Falta fecha de término",IF(O85&lt;0,"VENCIDO",IF(O85&lt;=ALERTA_ROJA,"Vence en ≤ "&amp;ALERTA_ROJA&amp;" días",IF(O85&lt;=ALERTA_NARANJA,"Vence en ≤ "&amp;ALERTA_NARANJA&amp;" días",IF(O85&lt;=ALERTA_AMARILLA,"Vence en ≤ "&amp;ALERTA_AMARILLA&amp;" días","Vigente")))))))))))</f>
        <v/>
      </c>
      <c r="S85" s="70" t="str">
        <f aca="false">IF(B85="","",IF(R85="Terminado","—",IF(R85="Sin contrato registrado","Registrar el contrato en la hoja Contratos",IF(R85="Por ingresar","Tener el contrato firmado y hacer el alta en AFP, salud, seguro de cesantía y mutual",IF(R85="Renovación registrada",IF(AND(N(K85)&gt;=2,IFERROR(INDEX(C_TIPO,MATCH(B85&amp;"-P"&amp;(G85+1),C_CLAVE,0)),"")="Plazo fijo"),"⚠ El período registrado sería el 3er contrato a plazo: por ley es INDEFINIDO. Registrarlo como Paso a indefinido","Siguiente período ya registrado: verificar que el documento esté firmado"),IF(I85="Indefinido","Sin vencimiento. Cambios de sueldo, cargo o jornada se formalizan con anexo de modificación",IF(R85="Falta fecha de término","Completar la fecha de término en la hoja Contratos",IF(R85="VENCIDO","Si sigue trabajando, por ley el contrato ya es INDEFINIDO (Art. 159 N°4): firmar anexo de paso a indefinido o regularizar el término",IF(I85="Obra o faena","Al concluir la obra: finiquito por Art. 159 N°5 + indemnización de 2,5 días por mes trabajado (Ley 21.122)",IF(N(K85)&gt;=3,"Por ley ya es indefinido (2ª renovación): firmar anexo de paso a indefinido",IF(N(K85)=2,"2° contrato a plazo: NO admite otra renovación a plazo fijo. Pasar a indefinido o terminar al vencimiento (carta dentro de 3 días hábiles)","1er contrato a plazo: renovar (2° plazo fijo), pasar a indefinido o terminar al vencimiento (carta dentro de 3 días hábiles)")))))))))))</f>
        <v/>
      </c>
      <c r="T85" s="70" t="str">
        <f aca="false">IF(B85="","",IF(COUNTIFS(C_ID,B85,C_FIRMADO,"&lt;&gt;Sí")&gt;0,COUNTIFS(C_ID,B85,C_FIRMADO,"&lt;&gt;Sí")&amp;" documento(s) sin firma. ","")&amp;IF(COUNTIFS(C_ID,B85,C_TIPO,"Plazo fijo",C_DEFINE,"Sí")&gt;2,"Más de 2 contratos a plazo: revisar presunción de indefinido. ","")&amp;IF(AND(R85="VENCIDO",LEFT(E85,6)="Activo"),"Trabaja con contrato vencido. ",""))</f>
        <v/>
      </c>
      <c r="U85" s="71" t="str">
        <f aca="false">IF(B85="","",INDEX(T_SUELDO,79))</f>
        <v/>
      </c>
      <c r="V85" s="72" t="str">
        <f aca="false">IF(AND(B85&lt;&gt;"",LEFT(E85,6)="Activo",ISNUMBER(O85),R85&lt;&gt;"Renovación registrada"),O85+ROW()/100000,"")</f>
        <v/>
      </c>
    </row>
    <row r="86" customFormat="false" ht="15" hidden="false" customHeight="false" outlineLevel="0" collapsed="false">
      <c r="B86" s="70" t="str">
        <f aca="false">IFERROR(IF(INDEX(T_ID,80)="","",INDEX(T_ID,80)),"")</f>
        <v/>
      </c>
      <c r="C86" s="70" t="str">
        <f aca="false">IF(B86="","",INDEX(T_NOMBRE,80)&amp;"")</f>
        <v/>
      </c>
      <c r="D86" s="70" t="str">
        <f aca="false">IF(B86="","",INDEX(T_CARGO,80)&amp;"")</f>
        <v/>
      </c>
      <c r="E86" s="70" t="str">
        <f aca="false">IF(B86="","",INDEX(T_ESTADO,80))</f>
        <v/>
      </c>
      <c r="F86" s="75" t="str">
        <f aca="false">IF(B86="","",INDEX(T_INGRESO,80))</f>
        <v/>
      </c>
      <c r="G86" s="70" t="str">
        <f aca="false">IF(B86="","",COUNTIFS(C_ID,B86,C_DEFINE,"Sí",C_INICIO,"&lt;="&amp;FECHA_CORTE))</f>
        <v/>
      </c>
      <c r="H86" s="70" t="str">
        <f aca="false">IF(B86="","",COUNTIFS(C_ID,B86,C_DEFINE,"Sí"))</f>
        <v/>
      </c>
      <c r="I86" s="70" t="str">
        <f aca="false">IF(B86="","",IF(H86=0,"Sin contrato",IFERROR(INDEX(C_TIPO,MATCH(B86&amp;"-P"&amp;MAX(1,G86),C_CLAVE,0))&amp;"","")))</f>
        <v/>
      </c>
      <c r="J86" s="70" t="str">
        <f aca="false">IF(OR(B86="",N(H86)=0),"",IFERROR(INDEX(C_TIPODOC,MATCH(B86&amp;"-P"&amp;MAX(1,G86),C_CLAVE,0))&amp;"",""))</f>
        <v/>
      </c>
      <c r="K86" s="76" t="str">
        <f aca="false">IF(I86="Plazo fijo",IFERROR(INDEX(C_NPF,MATCH(B86&amp;"-P"&amp;MAX(1,G86),C_CLAVE,0)),""),"")</f>
        <v/>
      </c>
      <c r="L86" s="70" t="str">
        <f aca="false">IF(B86="","",COUNTIFS(C_ID,B86,C_TIPODOC,"Anexo de modificación"))</f>
        <v/>
      </c>
      <c r="M86" s="75" t="str">
        <f aca="false">IF(OR(B86="",N(H86)=0),"",IFERROR(INDEX(C_INICIO,MATCH(B86&amp;"-P"&amp;MAX(1,G86),C_CLAVE,0)),""))</f>
        <v/>
      </c>
      <c r="N86" s="75" t="str">
        <f aca="false">IF(OR(I86="Plazo fijo",I86="Obra o faena"),IFERROR(IF(N(INDEX(C_TERMINO,MATCH(B86&amp;"-P"&amp;MAX(1,G86),C_CLAVE,0)))=0,"",INDEX(C_TERMINO,MATCH(B86&amp;"-P"&amp;MAX(1,G86),C_CLAVE,0))),""),"")</f>
        <v/>
      </c>
      <c r="O86" s="77" t="str">
        <f aca="false">IF(AND(ISNUMBER(N86),E86&lt;&gt;"Desvinculado"),N86-FECHA_CORTE,"")</f>
        <v/>
      </c>
      <c r="P86" s="75" t="str">
        <f aca="false">IF(AND(ISNUMBER(N86),E86&lt;&gt;"Desvinculado"),N86-DIAS_DECISION,"")</f>
        <v/>
      </c>
      <c r="Q86" s="75" t="str">
        <f aca="false">IF(OR(B86="",N(H86)&lt;=N(G86)),"",IFERROR(INDEX(C_INICIO,MATCH(B86&amp;"-P"&amp;(G86+1),C_CLAVE,0)),""))</f>
        <v/>
      </c>
      <c r="R86" s="70" t="str">
        <f aca="false">IF(B86="","",IF(E86="Desvinculado","Terminado",IF(H86=0,"Sin contrato registrado",IF(E86="Por ingresar","Por ingresar",IF(ISNUMBER(Q86),"Renovación registrada",IF(I86="Indefinido","Indefinido",IF(NOT(ISNUMBER(O86)),"Falta fecha de término",IF(O86&lt;0,"VENCIDO",IF(O86&lt;=ALERTA_ROJA,"Vence en ≤ "&amp;ALERTA_ROJA&amp;" días",IF(O86&lt;=ALERTA_NARANJA,"Vence en ≤ "&amp;ALERTA_NARANJA&amp;" días",IF(O86&lt;=ALERTA_AMARILLA,"Vence en ≤ "&amp;ALERTA_AMARILLA&amp;" días","Vigente")))))))))))</f>
        <v/>
      </c>
      <c r="S86" s="70" t="str">
        <f aca="false">IF(B86="","",IF(R86="Terminado","—",IF(R86="Sin contrato registrado","Registrar el contrato en la hoja Contratos",IF(R86="Por ingresar","Tener el contrato firmado y hacer el alta en AFP, salud, seguro de cesantía y mutual",IF(R86="Renovación registrada",IF(AND(N(K86)&gt;=2,IFERROR(INDEX(C_TIPO,MATCH(B86&amp;"-P"&amp;(G86+1),C_CLAVE,0)),"")="Plazo fijo"),"⚠ El período registrado sería el 3er contrato a plazo: por ley es INDEFINIDO. Registrarlo como Paso a indefinido","Siguiente período ya registrado: verificar que el documento esté firmado"),IF(I86="Indefinido","Sin vencimiento. Cambios de sueldo, cargo o jornada se formalizan con anexo de modificación",IF(R86="Falta fecha de término","Completar la fecha de término en la hoja Contratos",IF(R86="VENCIDO","Si sigue trabajando, por ley el contrato ya es INDEFINIDO (Art. 159 N°4): firmar anexo de paso a indefinido o regularizar el término",IF(I86="Obra o faena","Al concluir la obra: finiquito por Art. 159 N°5 + indemnización de 2,5 días por mes trabajado (Ley 21.122)",IF(N(K86)&gt;=3,"Por ley ya es indefinido (2ª renovación): firmar anexo de paso a indefinido",IF(N(K86)=2,"2° contrato a plazo: NO admite otra renovación a plazo fijo. Pasar a indefinido o terminar al vencimiento (carta dentro de 3 días hábiles)","1er contrato a plazo: renovar (2° plazo fijo), pasar a indefinido o terminar al vencimiento (carta dentro de 3 días hábiles)")))))))))))</f>
        <v/>
      </c>
      <c r="T86" s="70" t="str">
        <f aca="false">IF(B86="","",IF(COUNTIFS(C_ID,B86,C_FIRMADO,"&lt;&gt;Sí")&gt;0,COUNTIFS(C_ID,B86,C_FIRMADO,"&lt;&gt;Sí")&amp;" documento(s) sin firma. ","")&amp;IF(COUNTIFS(C_ID,B86,C_TIPO,"Plazo fijo",C_DEFINE,"Sí")&gt;2,"Más de 2 contratos a plazo: revisar presunción de indefinido. ","")&amp;IF(AND(R86="VENCIDO",LEFT(E86,6)="Activo"),"Trabaja con contrato vencido. ",""))</f>
        <v/>
      </c>
      <c r="U86" s="71" t="str">
        <f aca="false">IF(B86="","",INDEX(T_SUELDO,80))</f>
        <v/>
      </c>
      <c r="V86" s="72" t="str">
        <f aca="false">IF(AND(B86&lt;&gt;"",LEFT(E86,6)="Activo",ISNUMBER(O86),R86&lt;&gt;"Renovación registrada"),O86+ROW()/100000,"")</f>
        <v/>
      </c>
    </row>
    <row r="87" customFormat="false" ht="15" hidden="false" customHeight="false" outlineLevel="0" collapsed="false">
      <c r="B87" s="70" t="str">
        <f aca="false">IFERROR(IF(INDEX(T_ID,81)="","",INDEX(T_ID,81)),"")</f>
        <v/>
      </c>
      <c r="C87" s="70" t="str">
        <f aca="false">IF(B87="","",INDEX(T_NOMBRE,81)&amp;"")</f>
        <v/>
      </c>
      <c r="D87" s="70" t="str">
        <f aca="false">IF(B87="","",INDEX(T_CARGO,81)&amp;"")</f>
        <v/>
      </c>
      <c r="E87" s="70" t="str">
        <f aca="false">IF(B87="","",INDEX(T_ESTADO,81))</f>
        <v/>
      </c>
      <c r="F87" s="75" t="str">
        <f aca="false">IF(B87="","",INDEX(T_INGRESO,81))</f>
        <v/>
      </c>
      <c r="G87" s="70" t="str">
        <f aca="false">IF(B87="","",COUNTIFS(C_ID,B87,C_DEFINE,"Sí",C_INICIO,"&lt;="&amp;FECHA_CORTE))</f>
        <v/>
      </c>
      <c r="H87" s="70" t="str">
        <f aca="false">IF(B87="","",COUNTIFS(C_ID,B87,C_DEFINE,"Sí"))</f>
        <v/>
      </c>
      <c r="I87" s="70" t="str">
        <f aca="false">IF(B87="","",IF(H87=0,"Sin contrato",IFERROR(INDEX(C_TIPO,MATCH(B87&amp;"-P"&amp;MAX(1,G87),C_CLAVE,0))&amp;"","")))</f>
        <v/>
      </c>
      <c r="J87" s="70" t="str">
        <f aca="false">IF(OR(B87="",N(H87)=0),"",IFERROR(INDEX(C_TIPODOC,MATCH(B87&amp;"-P"&amp;MAX(1,G87),C_CLAVE,0))&amp;"",""))</f>
        <v/>
      </c>
      <c r="K87" s="76" t="str">
        <f aca="false">IF(I87="Plazo fijo",IFERROR(INDEX(C_NPF,MATCH(B87&amp;"-P"&amp;MAX(1,G87),C_CLAVE,0)),""),"")</f>
        <v/>
      </c>
      <c r="L87" s="70" t="str">
        <f aca="false">IF(B87="","",COUNTIFS(C_ID,B87,C_TIPODOC,"Anexo de modificación"))</f>
        <v/>
      </c>
      <c r="M87" s="75" t="str">
        <f aca="false">IF(OR(B87="",N(H87)=0),"",IFERROR(INDEX(C_INICIO,MATCH(B87&amp;"-P"&amp;MAX(1,G87),C_CLAVE,0)),""))</f>
        <v/>
      </c>
      <c r="N87" s="75" t="str">
        <f aca="false">IF(OR(I87="Plazo fijo",I87="Obra o faena"),IFERROR(IF(N(INDEX(C_TERMINO,MATCH(B87&amp;"-P"&amp;MAX(1,G87),C_CLAVE,0)))=0,"",INDEX(C_TERMINO,MATCH(B87&amp;"-P"&amp;MAX(1,G87),C_CLAVE,0))),""),"")</f>
        <v/>
      </c>
      <c r="O87" s="77" t="str">
        <f aca="false">IF(AND(ISNUMBER(N87),E87&lt;&gt;"Desvinculado"),N87-FECHA_CORTE,"")</f>
        <v/>
      </c>
      <c r="P87" s="75" t="str">
        <f aca="false">IF(AND(ISNUMBER(N87),E87&lt;&gt;"Desvinculado"),N87-DIAS_DECISION,"")</f>
        <v/>
      </c>
      <c r="Q87" s="75" t="str">
        <f aca="false">IF(OR(B87="",N(H87)&lt;=N(G87)),"",IFERROR(INDEX(C_INICIO,MATCH(B87&amp;"-P"&amp;(G87+1),C_CLAVE,0)),""))</f>
        <v/>
      </c>
      <c r="R87" s="70" t="str">
        <f aca="false">IF(B87="","",IF(E87="Desvinculado","Terminado",IF(H87=0,"Sin contrato registrado",IF(E87="Por ingresar","Por ingresar",IF(ISNUMBER(Q87),"Renovación registrada",IF(I87="Indefinido","Indefinido",IF(NOT(ISNUMBER(O87)),"Falta fecha de término",IF(O87&lt;0,"VENCIDO",IF(O87&lt;=ALERTA_ROJA,"Vence en ≤ "&amp;ALERTA_ROJA&amp;" días",IF(O87&lt;=ALERTA_NARANJA,"Vence en ≤ "&amp;ALERTA_NARANJA&amp;" días",IF(O87&lt;=ALERTA_AMARILLA,"Vence en ≤ "&amp;ALERTA_AMARILLA&amp;" días","Vigente")))))))))))</f>
        <v/>
      </c>
      <c r="S87" s="70" t="str">
        <f aca="false">IF(B87="","",IF(R87="Terminado","—",IF(R87="Sin contrato registrado","Registrar el contrato en la hoja Contratos",IF(R87="Por ingresar","Tener el contrato firmado y hacer el alta en AFP, salud, seguro de cesantía y mutual",IF(R87="Renovación registrada",IF(AND(N(K87)&gt;=2,IFERROR(INDEX(C_TIPO,MATCH(B87&amp;"-P"&amp;(G87+1),C_CLAVE,0)),"")="Plazo fijo"),"⚠ El período registrado sería el 3er contrato a plazo: por ley es INDEFINIDO. Registrarlo como Paso a indefinido","Siguiente período ya registrado: verificar que el documento esté firmado"),IF(I87="Indefinido","Sin vencimiento. Cambios de sueldo, cargo o jornada se formalizan con anexo de modificación",IF(R87="Falta fecha de término","Completar la fecha de término en la hoja Contratos",IF(R87="VENCIDO","Si sigue trabajando, por ley el contrato ya es INDEFINIDO (Art. 159 N°4): firmar anexo de paso a indefinido o regularizar el término",IF(I87="Obra o faena","Al concluir la obra: finiquito por Art. 159 N°5 + indemnización de 2,5 días por mes trabajado (Ley 21.122)",IF(N(K87)&gt;=3,"Por ley ya es indefinido (2ª renovación): firmar anexo de paso a indefinido",IF(N(K87)=2,"2° contrato a plazo: NO admite otra renovación a plazo fijo. Pasar a indefinido o terminar al vencimiento (carta dentro de 3 días hábiles)","1er contrato a plazo: renovar (2° plazo fijo), pasar a indefinido o terminar al vencimiento (carta dentro de 3 días hábiles)")))))))))))</f>
        <v/>
      </c>
      <c r="T87" s="70" t="str">
        <f aca="false">IF(B87="","",IF(COUNTIFS(C_ID,B87,C_FIRMADO,"&lt;&gt;Sí")&gt;0,COUNTIFS(C_ID,B87,C_FIRMADO,"&lt;&gt;Sí")&amp;" documento(s) sin firma. ","")&amp;IF(COUNTIFS(C_ID,B87,C_TIPO,"Plazo fijo",C_DEFINE,"Sí")&gt;2,"Más de 2 contratos a plazo: revisar presunción de indefinido. ","")&amp;IF(AND(R87="VENCIDO",LEFT(E87,6)="Activo"),"Trabaja con contrato vencido. ",""))</f>
        <v/>
      </c>
      <c r="U87" s="71" t="str">
        <f aca="false">IF(B87="","",INDEX(T_SUELDO,81))</f>
        <v/>
      </c>
      <c r="V87" s="72" t="str">
        <f aca="false">IF(AND(B87&lt;&gt;"",LEFT(E87,6)="Activo",ISNUMBER(O87),R87&lt;&gt;"Renovación registrada"),O87+ROW()/100000,"")</f>
        <v/>
      </c>
    </row>
    <row r="88" customFormat="false" ht="15" hidden="false" customHeight="false" outlineLevel="0" collapsed="false">
      <c r="B88" s="70" t="str">
        <f aca="false">IFERROR(IF(INDEX(T_ID,82)="","",INDEX(T_ID,82)),"")</f>
        <v/>
      </c>
      <c r="C88" s="70" t="str">
        <f aca="false">IF(B88="","",INDEX(T_NOMBRE,82)&amp;"")</f>
        <v/>
      </c>
      <c r="D88" s="70" t="str">
        <f aca="false">IF(B88="","",INDEX(T_CARGO,82)&amp;"")</f>
        <v/>
      </c>
      <c r="E88" s="70" t="str">
        <f aca="false">IF(B88="","",INDEX(T_ESTADO,82))</f>
        <v/>
      </c>
      <c r="F88" s="75" t="str">
        <f aca="false">IF(B88="","",INDEX(T_INGRESO,82))</f>
        <v/>
      </c>
      <c r="G88" s="70" t="str">
        <f aca="false">IF(B88="","",COUNTIFS(C_ID,B88,C_DEFINE,"Sí",C_INICIO,"&lt;="&amp;FECHA_CORTE))</f>
        <v/>
      </c>
      <c r="H88" s="70" t="str">
        <f aca="false">IF(B88="","",COUNTIFS(C_ID,B88,C_DEFINE,"Sí"))</f>
        <v/>
      </c>
      <c r="I88" s="70" t="str">
        <f aca="false">IF(B88="","",IF(H88=0,"Sin contrato",IFERROR(INDEX(C_TIPO,MATCH(B88&amp;"-P"&amp;MAX(1,G88),C_CLAVE,0))&amp;"","")))</f>
        <v/>
      </c>
      <c r="J88" s="70" t="str">
        <f aca="false">IF(OR(B88="",N(H88)=0),"",IFERROR(INDEX(C_TIPODOC,MATCH(B88&amp;"-P"&amp;MAX(1,G88),C_CLAVE,0))&amp;"",""))</f>
        <v/>
      </c>
      <c r="K88" s="76" t="str">
        <f aca="false">IF(I88="Plazo fijo",IFERROR(INDEX(C_NPF,MATCH(B88&amp;"-P"&amp;MAX(1,G88),C_CLAVE,0)),""),"")</f>
        <v/>
      </c>
      <c r="L88" s="70" t="str">
        <f aca="false">IF(B88="","",COUNTIFS(C_ID,B88,C_TIPODOC,"Anexo de modificación"))</f>
        <v/>
      </c>
      <c r="M88" s="75" t="str">
        <f aca="false">IF(OR(B88="",N(H88)=0),"",IFERROR(INDEX(C_INICIO,MATCH(B88&amp;"-P"&amp;MAX(1,G88),C_CLAVE,0)),""))</f>
        <v/>
      </c>
      <c r="N88" s="75" t="str">
        <f aca="false">IF(OR(I88="Plazo fijo",I88="Obra o faena"),IFERROR(IF(N(INDEX(C_TERMINO,MATCH(B88&amp;"-P"&amp;MAX(1,G88),C_CLAVE,0)))=0,"",INDEX(C_TERMINO,MATCH(B88&amp;"-P"&amp;MAX(1,G88),C_CLAVE,0))),""),"")</f>
        <v/>
      </c>
      <c r="O88" s="77" t="str">
        <f aca="false">IF(AND(ISNUMBER(N88),E88&lt;&gt;"Desvinculado"),N88-FECHA_CORTE,"")</f>
        <v/>
      </c>
      <c r="P88" s="75" t="str">
        <f aca="false">IF(AND(ISNUMBER(N88),E88&lt;&gt;"Desvinculado"),N88-DIAS_DECISION,"")</f>
        <v/>
      </c>
      <c r="Q88" s="75" t="str">
        <f aca="false">IF(OR(B88="",N(H88)&lt;=N(G88)),"",IFERROR(INDEX(C_INICIO,MATCH(B88&amp;"-P"&amp;(G88+1),C_CLAVE,0)),""))</f>
        <v/>
      </c>
      <c r="R88" s="70" t="str">
        <f aca="false">IF(B88="","",IF(E88="Desvinculado","Terminado",IF(H88=0,"Sin contrato registrado",IF(E88="Por ingresar","Por ingresar",IF(ISNUMBER(Q88),"Renovación registrada",IF(I88="Indefinido","Indefinido",IF(NOT(ISNUMBER(O88)),"Falta fecha de término",IF(O88&lt;0,"VENCIDO",IF(O88&lt;=ALERTA_ROJA,"Vence en ≤ "&amp;ALERTA_ROJA&amp;" días",IF(O88&lt;=ALERTA_NARANJA,"Vence en ≤ "&amp;ALERTA_NARANJA&amp;" días",IF(O88&lt;=ALERTA_AMARILLA,"Vence en ≤ "&amp;ALERTA_AMARILLA&amp;" días","Vigente")))))))))))</f>
        <v/>
      </c>
      <c r="S88" s="70" t="str">
        <f aca="false">IF(B88="","",IF(R88="Terminado","—",IF(R88="Sin contrato registrado","Registrar el contrato en la hoja Contratos",IF(R88="Por ingresar","Tener el contrato firmado y hacer el alta en AFP, salud, seguro de cesantía y mutual",IF(R88="Renovación registrada",IF(AND(N(K88)&gt;=2,IFERROR(INDEX(C_TIPO,MATCH(B88&amp;"-P"&amp;(G88+1),C_CLAVE,0)),"")="Plazo fijo"),"⚠ El período registrado sería el 3er contrato a plazo: por ley es INDEFINIDO. Registrarlo como Paso a indefinido","Siguiente período ya registrado: verificar que el documento esté firmado"),IF(I88="Indefinido","Sin vencimiento. Cambios de sueldo, cargo o jornada se formalizan con anexo de modificación",IF(R88="Falta fecha de término","Completar la fecha de término en la hoja Contratos",IF(R88="VENCIDO","Si sigue trabajando, por ley el contrato ya es INDEFINIDO (Art. 159 N°4): firmar anexo de paso a indefinido o regularizar el término",IF(I88="Obra o faena","Al concluir la obra: finiquito por Art. 159 N°5 + indemnización de 2,5 días por mes trabajado (Ley 21.122)",IF(N(K88)&gt;=3,"Por ley ya es indefinido (2ª renovación): firmar anexo de paso a indefinido",IF(N(K88)=2,"2° contrato a plazo: NO admite otra renovación a plazo fijo. Pasar a indefinido o terminar al vencimiento (carta dentro de 3 días hábiles)","1er contrato a plazo: renovar (2° plazo fijo), pasar a indefinido o terminar al vencimiento (carta dentro de 3 días hábiles)")))))))))))</f>
        <v/>
      </c>
      <c r="T88" s="70" t="str">
        <f aca="false">IF(B88="","",IF(COUNTIFS(C_ID,B88,C_FIRMADO,"&lt;&gt;Sí")&gt;0,COUNTIFS(C_ID,B88,C_FIRMADO,"&lt;&gt;Sí")&amp;" documento(s) sin firma. ","")&amp;IF(COUNTIFS(C_ID,B88,C_TIPO,"Plazo fijo",C_DEFINE,"Sí")&gt;2,"Más de 2 contratos a plazo: revisar presunción de indefinido. ","")&amp;IF(AND(R88="VENCIDO",LEFT(E88,6)="Activo"),"Trabaja con contrato vencido. ",""))</f>
        <v/>
      </c>
      <c r="U88" s="71" t="str">
        <f aca="false">IF(B88="","",INDEX(T_SUELDO,82))</f>
        <v/>
      </c>
      <c r="V88" s="72" t="str">
        <f aca="false">IF(AND(B88&lt;&gt;"",LEFT(E88,6)="Activo",ISNUMBER(O88),R88&lt;&gt;"Renovación registrada"),O88+ROW()/100000,"")</f>
        <v/>
      </c>
    </row>
    <row r="89" customFormat="false" ht="15" hidden="false" customHeight="false" outlineLevel="0" collapsed="false">
      <c r="B89" s="70" t="str">
        <f aca="false">IFERROR(IF(INDEX(T_ID,83)="","",INDEX(T_ID,83)),"")</f>
        <v/>
      </c>
      <c r="C89" s="70" t="str">
        <f aca="false">IF(B89="","",INDEX(T_NOMBRE,83)&amp;"")</f>
        <v/>
      </c>
      <c r="D89" s="70" t="str">
        <f aca="false">IF(B89="","",INDEX(T_CARGO,83)&amp;"")</f>
        <v/>
      </c>
      <c r="E89" s="70" t="str">
        <f aca="false">IF(B89="","",INDEX(T_ESTADO,83))</f>
        <v/>
      </c>
      <c r="F89" s="75" t="str">
        <f aca="false">IF(B89="","",INDEX(T_INGRESO,83))</f>
        <v/>
      </c>
      <c r="G89" s="70" t="str">
        <f aca="false">IF(B89="","",COUNTIFS(C_ID,B89,C_DEFINE,"Sí",C_INICIO,"&lt;="&amp;FECHA_CORTE))</f>
        <v/>
      </c>
      <c r="H89" s="70" t="str">
        <f aca="false">IF(B89="","",COUNTIFS(C_ID,B89,C_DEFINE,"Sí"))</f>
        <v/>
      </c>
      <c r="I89" s="70" t="str">
        <f aca="false">IF(B89="","",IF(H89=0,"Sin contrato",IFERROR(INDEX(C_TIPO,MATCH(B89&amp;"-P"&amp;MAX(1,G89),C_CLAVE,0))&amp;"","")))</f>
        <v/>
      </c>
      <c r="J89" s="70" t="str">
        <f aca="false">IF(OR(B89="",N(H89)=0),"",IFERROR(INDEX(C_TIPODOC,MATCH(B89&amp;"-P"&amp;MAX(1,G89),C_CLAVE,0))&amp;"",""))</f>
        <v/>
      </c>
      <c r="K89" s="76" t="str">
        <f aca="false">IF(I89="Plazo fijo",IFERROR(INDEX(C_NPF,MATCH(B89&amp;"-P"&amp;MAX(1,G89),C_CLAVE,0)),""),"")</f>
        <v/>
      </c>
      <c r="L89" s="70" t="str">
        <f aca="false">IF(B89="","",COUNTIFS(C_ID,B89,C_TIPODOC,"Anexo de modificación"))</f>
        <v/>
      </c>
      <c r="M89" s="75" t="str">
        <f aca="false">IF(OR(B89="",N(H89)=0),"",IFERROR(INDEX(C_INICIO,MATCH(B89&amp;"-P"&amp;MAX(1,G89),C_CLAVE,0)),""))</f>
        <v/>
      </c>
      <c r="N89" s="75" t="str">
        <f aca="false">IF(OR(I89="Plazo fijo",I89="Obra o faena"),IFERROR(IF(N(INDEX(C_TERMINO,MATCH(B89&amp;"-P"&amp;MAX(1,G89),C_CLAVE,0)))=0,"",INDEX(C_TERMINO,MATCH(B89&amp;"-P"&amp;MAX(1,G89),C_CLAVE,0))),""),"")</f>
        <v/>
      </c>
      <c r="O89" s="77" t="str">
        <f aca="false">IF(AND(ISNUMBER(N89),E89&lt;&gt;"Desvinculado"),N89-FECHA_CORTE,"")</f>
        <v/>
      </c>
      <c r="P89" s="75" t="str">
        <f aca="false">IF(AND(ISNUMBER(N89),E89&lt;&gt;"Desvinculado"),N89-DIAS_DECISION,"")</f>
        <v/>
      </c>
      <c r="Q89" s="75" t="str">
        <f aca="false">IF(OR(B89="",N(H89)&lt;=N(G89)),"",IFERROR(INDEX(C_INICIO,MATCH(B89&amp;"-P"&amp;(G89+1),C_CLAVE,0)),""))</f>
        <v/>
      </c>
      <c r="R89" s="70" t="str">
        <f aca="false">IF(B89="","",IF(E89="Desvinculado","Terminado",IF(H89=0,"Sin contrato registrado",IF(E89="Por ingresar","Por ingresar",IF(ISNUMBER(Q89),"Renovación registrada",IF(I89="Indefinido","Indefinido",IF(NOT(ISNUMBER(O89)),"Falta fecha de término",IF(O89&lt;0,"VENCIDO",IF(O89&lt;=ALERTA_ROJA,"Vence en ≤ "&amp;ALERTA_ROJA&amp;" días",IF(O89&lt;=ALERTA_NARANJA,"Vence en ≤ "&amp;ALERTA_NARANJA&amp;" días",IF(O89&lt;=ALERTA_AMARILLA,"Vence en ≤ "&amp;ALERTA_AMARILLA&amp;" días","Vigente")))))))))))</f>
        <v/>
      </c>
      <c r="S89" s="70" t="str">
        <f aca="false">IF(B89="","",IF(R89="Terminado","—",IF(R89="Sin contrato registrado","Registrar el contrato en la hoja Contratos",IF(R89="Por ingresar","Tener el contrato firmado y hacer el alta en AFP, salud, seguro de cesantía y mutual",IF(R89="Renovación registrada",IF(AND(N(K89)&gt;=2,IFERROR(INDEX(C_TIPO,MATCH(B89&amp;"-P"&amp;(G89+1),C_CLAVE,0)),"")="Plazo fijo"),"⚠ El período registrado sería el 3er contrato a plazo: por ley es INDEFINIDO. Registrarlo como Paso a indefinido","Siguiente período ya registrado: verificar que el documento esté firmado"),IF(I89="Indefinido","Sin vencimiento. Cambios de sueldo, cargo o jornada se formalizan con anexo de modificación",IF(R89="Falta fecha de término","Completar la fecha de término en la hoja Contratos",IF(R89="VENCIDO","Si sigue trabajando, por ley el contrato ya es INDEFINIDO (Art. 159 N°4): firmar anexo de paso a indefinido o regularizar el término",IF(I89="Obra o faena","Al concluir la obra: finiquito por Art. 159 N°5 + indemnización de 2,5 días por mes trabajado (Ley 21.122)",IF(N(K89)&gt;=3,"Por ley ya es indefinido (2ª renovación): firmar anexo de paso a indefinido",IF(N(K89)=2,"2° contrato a plazo: NO admite otra renovación a plazo fijo. Pasar a indefinido o terminar al vencimiento (carta dentro de 3 días hábiles)","1er contrato a plazo: renovar (2° plazo fijo), pasar a indefinido o terminar al vencimiento (carta dentro de 3 días hábiles)")))))))))))</f>
        <v/>
      </c>
      <c r="T89" s="70" t="str">
        <f aca="false">IF(B89="","",IF(COUNTIFS(C_ID,B89,C_FIRMADO,"&lt;&gt;Sí")&gt;0,COUNTIFS(C_ID,B89,C_FIRMADO,"&lt;&gt;Sí")&amp;" documento(s) sin firma. ","")&amp;IF(COUNTIFS(C_ID,B89,C_TIPO,"Plazo fijo",C_DEFINE,"Sí")&gt;2,"Más de 2 contratos a plazo: revisar presunción de indefinido. ","")&amp;IF(AND(R89="VENCIDO",LEFT(E89,6)="Activo"),"Trabaja con contrato vencido. ",""))</f>
        <v/>
      </c>
      <c r="U89" s="71" t="str">
        <f aca="false">IF(B89="","",INDEX(T_SUELDO,83))</f>
        <v/>
      </c>
      <c r="V89" s="72" t="str">
        <f aca="false">IF(AND(B89&lt;&gt;"",LEFT(E89,6)="Activo",ISNUMBER(O89),R89&lt;&gt;"Renovación registrada"),O89+ROW()/100000,"")</f>
        <v/>
      </c>
    </row>
    <row r="90" customFormat="false" ht="15" hidden="false" customHeight="false" outlineLevel="0" collapsed="false">
      <c r="B90" s="70" t="str">
        <f aca="false">IFERROR(IF(INDEX(T_ID,84)="","",INDEX(T_ID,84)),"")</f>
        <v/>
      </c>
      <c r="C90" s="70" t="str">
        <f aca="false">IF(B90="","",INDEX(T_NOMBRE,84)&amp;"")</f>
        <v/>
      </c>
      <c r="D90" s="70" t="str">
        <f aca="false">IF(B90="","",INDEX(T_CARGO,84)&amp;"")</f>
        <v/>
      </c>
      <c r="E90" s="70" t="str">
        <f aca="false">IF(B90="","",INDEX(T_ESTADO,84))</f>
        <v/>
      </c>
      <c r="F90" s="75" t="str">
        <f aca="false">IF(B90="","",INDEX(T_INGRESO,84))</f>
        <v/>
      </c>
      <c r="G90" s="70" t="str">
        <f aca="false">IF(B90="","",COUNTIFS(C_ID,B90,C_DEFINE,"Sí",C_INICIO,"&lt;="&amp;FECHA_CORTE))</f>
        <v/>
      </c>
      <c r="H90" s="70" t="str">
        <f aca="false">IF(B90="","",COUNTIFS(C_ID,B90,C_DEFINE,"Sí"))</f>
        <v/>
      </c>
      <c r="I90" s="70" t="str">
        <f aca="false">IF(B90="","",IF(H90=0,"Sin contrato",IFERROR(INDEX(C_TIPO,MATCH(B90&amp;"-P"&amp;MAX(1,G90),C_CLAVE,0))&amp;"","")))</f>
        <v/>
      </c>
      <c r="J90" s="70" t="str">
        <f aca="false">IF(OR(B90="",N(H90)=0),"",IFERROR(INDEX(C_TIPODOC,MATCH(B90&amp;"-P"&amp;MAX(1,G90),C_CLAVE,0))&amp;"",""))</f>
        <v/>
      </c>
      <c r="K90" s="76" t="str">
        <f aca="false">IF(I90="Plazo fijo",IFERROR(INDEX(C_NPF,MATCH(B90&amp;"-P"&amp;MAX(1,G90),C_CLAVE,0)),""),"")</f>
        <v/>
      </c>
      <c r="L90" s="70" t="str">
        <f aca="false">IF(B90="","",COUNTIFS(C_ID,B90,C_TIPODOC,"Anexo de modificación"))</f>
        <v/>
      </c>
      <c r="M90" s="75" t="str">
        <f aca="false">IF(OR(B90="",N(H90)=0),"",IFERROR(INDEX(C_INICIO,MATCH(B90&amp;"-P"&amp;MAX(1,G90),C_CLAVE,0)),""))</f>
        <v/>
      </c>
      <c r="N90" s="75" t="str">
        <f aca="false">IF(OR(I90="Plazo fijo",I90="Obra o faena"),IFERROR(IF(N(INDEX(C_TERMINO,MATCH(B90&amp;"-P"&amp;MAX(1,G90),C_CLAVE,0)))=0,"",INDEX(C_TERMINO,MATCH(B90&amp;"-P"&amp;MAX(1,G90),C_CLAVE,0))),""),"")</f>
        <v/>
      </c>
      <c r="O90" s="77" t="str">
        <f aca="false">IF(AND(ISNUMBER(N90),E90&lt;&gt;"Desvinculado"),N90-FECHA_CORTE,"")</f>
        <v/>
      </c>
      <c r="P90" s="75" t="str">
        <f aca="false">IF(AND(ISNUMBER(N90),E90&lt;&gt;"Desvinculado"),N90-DIAS_DECISION,"")</f>
        <v/>
      </c>
      <c r="Q90" s="75" t="str">
        <f aca="false">IF(OR(B90="",N(H90)&lt;=N(G90)),"",IFERROR(INDEX(C_INICIO,MATCH(B90&amp;"-P"&amp;(G90+1),C_CLAVE,0)),""))</f>
        <v/>
      </c>
      <c r="R90" s="70" t="str">
        <f aca="false">IF(B90="","",IF(E90="Desvinculado","Terminado",IF(H90=0,"Sin contrato registrado",IF(E90="Por ingresar","Por ingresar",IF(ISNUMBER(Q90),"Renovación registrada",IF(I90="Indefinido","Indefinido",IF(NOT(ISNUMBER(O90)),"Falta fecha de término",IF(O90&lt;0,"VENCIDO",IF(O90&lt;=ALERTA_ROJA,"Vence en ≤ "&amp;ALERTA_ROJA&amp;" días",IF(O90&lt;=ALERTA_NARANJA,"Vence en ≤ "&amp;ALERTA_NARANJA&amp;" días",IF(O90&lt;=ALERTA_AMARILLA,"Vence en ≤ "&amp;ALERTA_AMARILLA&amp;" días","Vigente")))))))))))</f>
        <v/>
      </c>
      <c r="S90" s="70" t="str">
        <f aca="false">IF(B90="","",IF(R90="Terminado","—",IF(R90="Sin contrato registrado","Registrar el contrato en la hoja Contratos",IF(R90="Por ingresar","Tener el contrato firmado y hacer el alta en AFP, salud, seguro de cesantía y mutual",IF(R90="Renovación registrada",IF(AND(N(K90)&gt;=2,IFERROR(INDEX(C_TIPO,MATCH(B90&amp;"-P"&amp;(G90+1),C_CLAVE,0)),"")="Plazo fijo"),"⚠ El período registrado sería el 3er contrato a plazo: por ley es INDEFINIDO. Registrarlo como Paso a indefinido","Siguiente período ya registrado: verificar que el documento esté firmado"),IF(I90="Indefinido","Sin vencimiento. Cambios de sueldo, cargo o jornada se formalizan con anexo de modificación",IF(R90="Falta fecha de término","Completar la fecha de término en la hoja Contratos",IF(R90="VENCIDO","Si sigue trabajando, por ley el contrato ya es INDEFINIDO (Art. 159 N°4): firmar anexo de paso a indefinido o regularizar el término",IF(I90="Obra o faena","Al concluir la obra: finiquito por Art. 159 N°5 + indemnización de 2,5 días por mes trabajado (Ley 21.122)",IF(N(K90)&gt;=3,"Por ley ya es indefinido (2ª renovación): firmar anexo de paso a indefinido",IF(N(K90)=2,"2° contrato a plazo: NO admite otra renovación a plazo fijo. Pasar a indefinido o terminar al vencimiento (carta dentro de 3 días hábiles)","1er contrato a plazo: renovar (2° plazo fijo), pasar a indefinido o terminar al vencimiento (carta dentro de 3 días hábiles)")))))))))))</f>
        <v/>
      </c>
      <c r="T90" s="70" t="str">
        <f aca="false">IF(B90="","",IF(COUNTIFS(C_ID,B90,C_FIRMADO,"&lt;&gt;Sí")&gt;0,COUNTIFS(C_ID,B90,C_FIRMADO,"&lt;&gt;Sí")&amp;" documento(s) sin firma. ","")&amp;IF(COUNTIFS(C_ID,B90,C_TIPO,"Plazo fijo",C_DEFINE,"Sí")&gt;2,"Más de 2 contratos a plazo: revisar presunción de indefinido. ","")&amp;IF(AND(R90="VENCIDO",LEFT(E90,6)="Activo"),"Trabaja con contrato vencido. ",""))</f>
        <v/>
      </c>
      <c r="U90" s="71" t="str">
        <f aca="false">IF(B90="","",INDEX(T_SUELDO,84))</f>
        <v/>
      </c>
      <c r="V90" s="72" t="str">
        <f aca="false">IF(AND(B90&lt;&gt;"",LEFT(E90,6)="Activo",ISNUMBER(O90),R90&lt;&gt;"Renovación registrada"),O90+ROW()/100000,"")</f>
        <v/>
      </c>
    </row>
    <row r="91" customFormat="false" ht="15" hidden="false" customHeight="false" outlineLevel="0" collapsed="false">
      <c r="B91" s="70" t="str">
        <f aca="false">IFERROR(IF(INDEX(T_ID,85)="","",INDEX(T_ID,85)),"")</f>
        <v/>
      </c>
      <c r="C91" s="70" t="str">
        <f aca="false">IF(B91="","",INDEX(T_NOMBRE,85)&amp;"")</f>
        <v/>
      </c>
      <c r="D91" s="70" t="str">
        <f aca="false">IF(B91="","",INDEX(T_CARGO,85)&amp;"")</f>
        <v/>
      </c>
      <c r="E91" s="70" t="str">
        <f aca="false">IF(B91="","",INDEX(T_ESTADO,85))</f>
        <v/>
      </c>
      <c r="F91" s="75" t="str">
        <f aca="false">IF(B91="","",INDEX(T_INGRESO,85))</f>
        <v/>
      </c>
      <c r="G91" s="70" t="str">
        <f aca="false">IF(B91="","",COUNTIFS(C_ID,B91,C_DEFINE,"Sí",C_INICIO,"&lt;="&amp;FECHA_CORTE))</f>
        <v/>
      </c>
      <c r="H91" s="70" t="str">
        <f aca="false">IF(B91="","",COUNTIFS(C_ID,B91,C_DEFINE,"Sí"))</f>
        <v/>
      </c>
      <c r="I91" s="70" t="str">
        <f aca="false">IF(B91="","",IF(H91=0,"Sin contrato",IFERROR(INDEX(C_TIPO,MATCH(B91&amp;"-P"&amp;MAX(1,G91),C_CLAVE,0))&amp;"","")))</f>
        <v/>
      </c>
      <c r="J91" s="70" t="str">
        <f aca="false">IF(OR(B91="",N(H91)=0),"",IFERROR(INDEX(C_TIPODOC,MATCH(B91&amp;"-P"&amp;MAX(1,G91),C_CLAVE,0))&amp;"",""))</f>
        <v/>
      </c>
      <c r="K91" s="76" t="str">
        <f aca="false">IF(I91="Plazo fijo",IFERROR(INDEX(C_NPF,MATCH(B91&amp;"-P"&amp;MAX(1,G91),C_CLAVE,0)),""),"")</f>
        <v/>
      </c>
      <c r="L91" s="70" t="str">
        <f aca="false">IF(B91="","",COUNTIFS(C_ID,B91,C_TIPODOC,"Anexo de modificación"))</f>
        <v/>
      </c>
      <c r="M91" s="75" t="str">
        <f aca="false">IF(OR(B91="",N(H91)=0),"",IFERROR(INDEX(C_INICIO,MATCH(B91&amp;"-P"&amp;MAX(1,G91),C_CLAVE,0)),""))</f>
        <v/>
      </c>
      <c r="N91" s="75" t="str">
        <f aca="false">IF(OR(I91="Plazo fijo",I91="Obra o faena"),IFERROR(IF(N(INDEX(C_TERMINO,MATCH(B91&amp;"-P"&amp;MAX(1,G91),C_CLAVE,0)))=0,"",INDEX(C_TERMINO,MATCH(B91&amp;"-P"&amp;MAX(1,G91),C_CLAVE,0))),""),"")</f>
        <v/>
      </c>
      <c r="O91" s="77" t="str">
        <f aca="false">IF(AND(ISNUMBER(N91),E91&lt;&gt;"Desvinculado"),N91-FECHA_CORTE,"")</f>
        <v/>
      </c>
      <c r="P91" s="75" t="str">
        <f aca="false">IF(AND(ISNUMBER(N91),E91&lt;&gt;"Desvinculado"),N91-DIAS_DECISION,"")</f>
        <v/>
      </c>
      <c r="Q91" s="75" t="str">
        <f aca="false">IF(OR(B91="",N(H91)&lt;=N(G91)),"",IFERROR(INDEX(C_INICIO,MATCH(B91&amp;"-P"&amp;(G91+1),C_CLAVE,0)),""))</f>
        <v/>
      </c>
      <c r="R91" s="70" t="str">
        <f aca="false">IF(B91="","",IF(E91="Desvinculado","Terminado",IF(H91=0,"Sin contrato registrado",IF(E91="Por ingresar","Por ingresar",IF(ISNUMBER(Q91),"Renovación registrada",IF(I91="Indefinido","Indefinido",IF(NOT(ISNUMBER(O91)),"Falta fecha de término",IF(O91&lt;0,"VENCIDO",IF(O91&lt;=ALERTA_ROJA,"Vence en ≤ "&amp;ALERTA_ROJA&amp;" días",IF(O91&lt;=ALERTA_NARANJA,"Vence en ≤ "&amp;ALERTA_NARANJA&amp;" días",IF(O91&lt;=ALERTA_AMARILLA,"Vence en ≤ "&amp;ALERTA_AMARILLA&amp;" días","Vigente")))))))))))</f>
        <v/>
      </c>
      <c r="S91" s="70" t="str">
        <f aca="false">IF(B91="","",IF(R91="Terminado","—",IF(R91="Sin contrato registrado","Registrar el contrato en la hoja Contratos",IF(R91="Por ingresar","Tener el contrato firmado y hacer el alta en AFP, salud, seguro de cesantía y mutual",IF(R91="Renovación registrada",IF(AND(N(K91)&gt;=2,IFERROR(INDEX(C_TIPO,MATCH(B91&amp;"-P"&amp;(G91+1),C_CLAVE,0)),"")="Plazo fijo"),"⚠ El período registrado sería el 3er contrato a plazo: por ley es INDEFINIDO. Registrarlo como Paso a indefinido","Siguiente período ya registrado: verificar que el documento esté firmado"),IF(I91="Indefinido","Sin vencimiento. Cambios de sueldo, cargo o jornada se formalizan con anexo de modificación",IF(R91="Falta fecha de término","Completar la fecha de término en la hoja Contratos",IF(R91="VENCIDO","Si sigue trabajando, por ley el contrato ya es INDEFINIDO (Art. 159 N°4): firmar anexo de paso a indefinido o regularizar el término",IF(I91="Obra o faena","Al concluir la obra: finiquito por Art. 159 N°5 + indemnización de 2,5 días por mes trabajado (Ley 21.122)",IF(N(K91)&gt;=3,"Por ley ya es indefinido (2ª renovación): firmar anexo de paso a indefinido",IF(N(K91)=2,"2° contrato a plazo: NO admite otra renovación a plazo fijo. Pasar a indefinido o terminar al vencimiento (carta dentro de 3 días hábiles)","1er contrato a plazo: renovar (2° plazo fijo), pasar a indefinido o terminar al vencimiento (carta dentro de 3 días hábiles)")))))))))))</f>
        <v/>
      </c>
      <c r="T91" s="70" t="str">
        <f aca="false">IF(B91="","",IF(COUNTIFS(C_ID,B91,C_FIRMADO,"&lt;&gt;Sí")&gt;0,COUNTIFS(C_ID,B91,C_FIRMADO,"&lt;&gt;Sí")&amp;" documento(s) sin firma. ","")&amp;IF(COUNTIFS(C_ID,B91,C_TIPO,"Plazo fijo",C_DEFINE,"Sí")&gt;2,"Más de 2 contratos a plazo: revisar presunción de indefinido. ","")&amp;IF(AND(R91="VENCIDO",LEFT(E91,6)="Activo"),"Trabaja con contrato vencido. ",""))</f>
        <v/>
      </c>
      <c r="U91" s="71" t="str">
        <f aca="false">IF(B91="","",INDEX(T_SUELDO,85))</f>
        <v/>
      </c>
      <c r="V91" s="72" t="str">
        <f aca="false">IF(AND(B91&lt;&gt;"",LEFT(E91,6)="Activo",ISNUMBER(O91),R91&lt;&gt;"Renovación registrada"),O91+ROW()/100000,"")</f>
        <v/>
      </c>
    </row>
    <row r="92" customFormat="false" ht="15" hidden="false" customHeight="false" outlineLevel="0" collapsed="false">
      <c r="B92" s="70" t="str">
        <f aca="false">IFERROR(IF(INDEX(T_ID,86)="","",INDEX(T_ID,86)),"")</f>
        <v/>
      </c>
      <c r="C92" s="70" t="str">
        <f aca="false">IF(B92="","",INDEX(T_NOMBRE,86)&amp;"")</f>
        <v/>
      </c>
      <c r="D92" s="70" t="str">
        <f aca="false">IF(B92="","",INDEX(T_CARGO,86)&amp;"")</f>
        <v/>
      </c>
      <c r="E92" s="70" t="str">
        <f aca="false">IF(B92="","",INDEX(T_ESTADO,86))</f>
        <v/>
      </c>
      <c r="F92" s="75" t="str">
        <f aca="false">IF(B92="","",INDEX(T_INGRESO,86))</f>
        <v/>
      </c>
      <c r="G92" s="70" t="str">
        <f aca="false">IF(B92="","",COUNTIFS(C_ID,B92,C_DEFINE,"Sí",C_INICIO,"&lt;="&amp;FECHA_CORTE))</f>
        <v/>
      </c>
      <c r="H92" s="70" t="str">
        <f aca="false">IF(B92="","",COUNTIFS(C_ID,B92,C_DEFINE,"Sí"))</f>
        <v/>
      </c>
      <c r="I92" s="70" t="str">
        <f aca="false">IF(B92="","",IF(H92=0,"Sin contrato",IFERROR(INDEX(C_TIPO,MATCH(B92&amp;"-P"&amp;MAX(1,G92),C_CLAVE,0))&amp;"","")))</f>
        <v/>
      </c>
      <c r="J92" s="70" t="str">
        <f aca="false">IF(OR(B92="",N(H92)=0),"",IFERROR(INDEX(C_TIPODOC,MATCH(B92&amp;"-P"&amp;MAX(1,G92),C_CLAVE,0))&amp;"",""))</f>
        <v/>
      </c>
      <c r="K92" s="76" t="str">
        <f aca="false">IF(I92="Plazo fijo",IFERROR(INDEX(C_NPF,MATCH(B92&amp;"-P"&amp;MAX(1,G92),C_CLAVE,0)),""),"")</f>
        <v/>
      </c>
      <c r="L92" s="70" t="str">
        <f aca="false">IF(B92="","",COUNTIFS(C_ID,B92,C_TIPODOC,"Anexo de modificación"))</f>
        <v/>
      </c>
      <c r="M92" s="75" t="str">
        <f aca="false">IF(OR(B92="",N(H92)=0),"",IFERROR(INDEX(C_INICIO,MATCH(B92&amp;"-P"&amp;MAX(1,G92),C_CLAVE,0)),""))</f>
        <v/>
      </c>
      <c r="N92" s="75" t="str">
        <f aca="false">IF(OR(I92="Plazo fijo",I92="Obra o faena"),IFERROR(IF(N(INDEX(C_TERMINO,MATCH(B92&amp;"-P"&amp;MAX(1,G92),C_CLAVE,0)))=0,"",INDEX(C_TERMINO,MATCH(B92&amp;"-P"&amp;MAX(1,G92),C_CLAVE,0))),""),"")</f>
        <v/>
      </c>
      <c r="O92" s="77" t="str">
        <f aca="false">IF(AND(ISNUMBER(N92),E92&lt;&gt;"Desvinculado"),N92-FECHA_CORTE,"")</f>
        <v/>
      </c>
      <c r="P92" s="75" t="str">
        <f aca="false">IF(AND(ISNUMBER(N92),E92&lt;&gt;"Desvinculado"),N92-DIAS_DECISION,"")</f>
        <v/>
      </c>
      <c r="Q92" s="75" t="str">
        <f aca="false">IF(OR(B92="",N(H92)&lt;=N(G92)),"",IFERROR(INDEX(C_INICIO,MATCH(B92&amp;"-P"&amp;(G92+1),C_CLAVE,0)),""))</f>
        <v/>
      </c>
      <c r="R92" s="70" t="str">
        <f aca="false">IF(B92="","",IF(E92="Desvinculado","Terminado",IF(H92=0,"Sin contrato registrado",IF(E92="Por ingresar","Por ingresar",IF(ISNUMBER(Q92),"Renovación registrada",IF(I92="Indefinido","Indefinido",IF(NOT(ISNUMBER(O92)),"Falta fecha de término",IF(O92&lt;0,"VENCIDO",IF(O92&lt;=ALERTA_ROJA,"Vence en ≤ "&amp;ALERTA_ROJA&amp;" días",IF(O92&lt;=ALERTA_NARANJA,"Vence en ≤ "&amp;ALERTA_NARANJA&amp;" días",IF(O92&lt;=ALERTA_AMARILLA,"Vence en ≤ "&amp;ALERTA_AMARILLA&amp;" días","Vigente")))))))))))</f>
        <v/>
      </c>
      <c r="S92" s="70" t="str">
        <f aca="false">IF(B92="","",IF(R92="Terminado","—",IF(R92="Sin contrato registrado","Registrar el contrato en la hoja Contratos",IF(R92="Por ingresar","Tener el contrato firmado y hacer el alta en AFP, salud, seguro de cesantía y mutual",IF(R92="Renovación registrada",IF(AND(N(K92)&gt;=2,IFERROR(INDEX(C_TIPO,MATCH(B92&amp;"-P"&amp;(G92+1),C_CLAVE,0)),"")="Plazo fijo"),"⚠ El período registrado sería el 3er contrato a plazo: por ley es INDEFINIDO. Registrarlo como Paso a indefinido","Siguiente período ya registrado: verificar que el documento esté firmado"),IF(I92="Indefinido","Sin vencimiento. Cambios de sueldo, cargo o jornada se formalizan con anexo de modificación",IF(R92="Falta fecha de término","Completar la fecha de término en la hoja Contratos",IF(R92="VENCIDO","Si sigue trabajando, por ley el contrato ya es INDEFINIDO (Art. 159 N°4): firmar anexo de paso a indefinido o regularizar el término",IF(I92="Obra o faena","Al concluir la obra: finiquito por Art. 159 N°5 + indemnización de 2,5 días por mes trabajado (Ley 21.122)",IF(N(K92)&gt;=3,"Por ley ya es indefinido (2ª renovación): firmar anexo de paso a indefinido",IF(N(K92)=2,"2° contrato a plazo: NO admite otra renovación a plazo fijo. Pasar a indefinido o terminar al vencimiento (carta dentro de 3 días hábiles)","1er contrato a plazo: renovar (2° plazo fijo), pasar a indefinido o terminar al vencimiento (carta dentro de 3 días hábiles)")))))))))))</f>
        <v/>
      </c>
      <c r="T92" s="70" t="str">
        <f aca="false">IF(B92="","",IF(COUNTIFS(C_ID,B92,C_FIRMADO,"&lt;&gt;Sí")&gt;0,COUNTIFS(C_ID,B92,C_FIRMADO,"&lt;&gt;Sí")&amp;" documento(s) sin firma. ","")&amp;IF(COUNTIFS(C_ID,B92,C_TIPO,"Plazo fijo",C_DEFINE,"Sí")&gt;2,"Más de 2 contratos a plazo: revisar presunción de indefinido. ","")&amp;IF(AND(R92="VENCIDO",LEFT(E92,6)="Activo"),"Trabaja con contrato vencido. ",""))</f>
        <v/>
      </c>
      <c r="U92" s="71" t="str">
        <f aca="false">IF(B92="","",INDEX(T_SUELDO,86))</f>
        <v/>
      </c>
      <c r="V92" s="72" t="str">
        <f aca="false">IF(AND(B92&lt;&gt;"",LEFT(E92,6)="Activo",ISNUMBER(O92),R92&lt;&gt;"Renovación registrada"),O92+ROW()/100000,"")</f>
        <v/>
      </c>
    </row>
    <row r="93" customFormat="false" ht="15" hidden="false" customHeight="false" outlineLevel="0" collapsed="false">
      <c r="B93" s="70" t="str">
        <f aca="false">IFERROR(IF(INDEX(T_ID,87)="","",INDEX(T_ID,87)),"")</f>
        <v/>
      </c>
      <c r="C93" s="70" t="str">
        <f aca="false">IF(B93="","",INDEX(T_NOMBRE,87)&amp;"")</f>
        <v/>
      </c>
      <c r="D93" s="70" t="str">
        <f aca="false">IF(B93="","",INDEX(T_CARGO,87)&amp;"")</f>
        <v/>
      </c>
      <c r="E93" s="70" t="str">
        <f aca="false">IF(B93="","",INDEX(T_ESTADO,87))</f>
        <v/>
      </c>
      <c r="F93" s="75" t="str">
        <f aca="false">IF(B93="","",INDEX(T_INGRESO,87))</f>
        <v/>
      </c>
      <c r="G93" s="70" t="str">
        <f aca="false">IF(B93="","",COUNTIFS(C_ID,B93,C_DEFINE,"Sí",C_INICIO,"&lt;="&amp;FECHA_CORTE))</f>
        <v/>
      </c>
      <c r="H93" s="70" t="str">
        <f aca="false">IF(B93="","",COUNTIFS(C_ID,B93,C_DEFINE,"Sí"))</f>
        <v/>
      </c>
      <c r="I93" s="70" t="str">
        <f aca="false">IF(B93="","",IF(H93=0,"Sin contrato",IFERROR(INDEX(C_TIPO,MATCH(B93&amp;"-P"&amp;MAX(1,G93),C_CLAVE,0))&amp;"","")))</f>
        <v/>
      </c>
      <c r="J93" s="70" t="str">
        <f aca="false">IF(OR(B93="",N(H93)=0),"",IFERROR(INDEX(C_TIPODOC,MATCH(B93&amp;"-P"&amp;MAX(1,G93),C_CLAVE,0))&amp;"",""))</f>
        <v/>
      </c>
      <c r="K93" s="76" t="str">
        <f aca="false">IF(I93="Plazo fijo",IFERROR(INDEX(C_NPF,MATCH(B93&amp;"-P"&amp;MAX(1,G93),C_CLAVE,0)),""),"")</f>
        <v/>
      </c>
      <c r="L93" s="70" t="str">
        <f aca="false">IF(B93="","",COUNTIFS(C_ID,B93,C_TIPODOC,"Anexo de modificación"))</f>
        <v/>
      </c>
      <c r="M93" s="75" t="str">
        <f aca="false">IF(OR(B93="",N(H93)=0),"",IFERROR(INDEX(C_INICIO,MATCH(B93&amp;"-P"&amp;MAX(1,G93),C_CLAVE,0)),""))</f>
        <v/>
      </c>
      <c r="N93" s="75" t="str">
        <f aca="false">IF(OR(I93="Plazo fijo",I93="Obra o faena"),IFERROR(IF(N(INDEX(C_TERMINO,MATCH(B93&amp;"-P"&amp;MAX(1,G93),C_CLAVE,0)))=0,"",INDEX(C_TERMINO,MATCH(B93&amp;"-P"&amp;MAX(1,G93),C_CLAVE,0))),""),"")</f>
        <v/>
      </c>
      <c r="O93" s="77" t="str">
        <f aca="false">IF(AND(ISNUMBER(N93),E93&lt;&gt;"Desvinculado"),N93-FECHA_CORTE,"")</f>
        <v/>
      </c>
      <c r="P93" s="75" t="str">
        <f aca="false">IF(AND(ISNUMBER(N93),E93&lt;&gt;"Desvinculado"),N93-DIAS_DECISION,"")</f>
        <v/>
      </c>
      <c r="Q93" s="75" t="str">
        <f aca="false">IF(OR(B93="",N(H93)&lt;=N(G93)),"",IFERROR(INDEX(C_INICIO,MATCH(B93&amp;"-P"&amp;(G93+1),C_CLAVE,0)),""))</f>
        <v/>
      </c>
      <c r="R93" s="70" t="str">
        <f aca="false">IF(B93="","",IF(E93="Desvinculado","Terminado",IF(H93=0,"Sin contrato registrado",IF(E93="Por ingresar","Por ingresar",IF(ISNUMBER(Q93),"Renovación registrada",IF(I93="Indefinido","Indefinido",IF(NOT(ISNUMBER(O93)),"Falta fecha de término",IF(O93&lt;0,"VENCIDO",IF(O93&lt;=ALERTA_ROJA,"Vence en ≤ "&amp;ALERTA_ROJA&amp;" días",IF(O93&lt;=ALERTA_NARANJA,"Vence en ≤ "&amp;ALERTA_NARANJA&amp;" días",IF(O93&lt;=ALERTA_AMARILLA,"Vence en ≤ "&amp;ALERTA_AMARILLA&amp;" días","Vigente")))))))))))</f>
        <v/>
      </c>
      <c r="S93" s="70" t="str">
        <f aca="false">IF(B93="","",IF(R93="Terminado","—",IF(R93="Sin contrato registrado","Registrar el contrato en la hoja Contratos",IF(R93="Por ingresar","Tener el contrato firmado y hacer el alta en AFP, salud, seguro de cesantía y mutual",IF(R93="Renovación registrada",IF(AND(N(K93)&gt;=2,IFERROR(INDEX(C_TIPO,MATCH(B93&amp;"-P"&amp;(G93+1),C_CLAVE,0)),"")="Plazo fijo"),"⚠ El período registrado sería el 3er contrato a plazo: por ley es INDEFINIDO. Registrarlo como Paso a indefinido","Siguiente período ya registrado: verificar que el documento esté firmado"),IF(I93="Indefinido","Sin vencimiento. Cambios de sueldo, cargo o jornada se formalizan con anexo de modificación",IF(R93="Falta fecha de término","Completar la fecha de término en la hoja Contratos",IF(R93="VENCIDO","Si sigue trabajando, por ley el contrato ya es INDEFINIDO (Art. 159 N°4): firmar anexo de paso a indefinido o regularizar el término",IF(I93="Obra o faena","Al concluir la obra: finiquito por Art. 159 N°5 + indemnización de 2,5 días por mes trabajado (Ley 21.122)",IF(N(K93)&gt;=3,"Por ley ya es indefinido (2ª renovación): firmar anexo de paso a indefinido",IF(N(K93)=2,"2° contrato a plazo: NO admite otra renovación a plazo fijo. Pasar a indefinido o terminar al vencimiento (carta dentro de 3 días hábiles)","1er contrato a plazo: renovar (2° plazo fijo), pasar a indefinido o terminar al vencimiento (carta dentro de 3 días hábiles)")))))))))))</f>
        <v/>
      </c>
      <c r="T93" s="70" t="str">
        <f aca="false">IF(B93="","",IF(COUNTIFS(C_ID,B93,C_FIRMADO,"&lt;&gt;Sí")&gt;0,COUNTIFS(C_ID,B93,C_FIRMADO,"&lt;&gt;Sí")&amp;" documento(s) sin firma. ","")&amp;IF(COUNTIFS(C_ID,B93,C_TIPO,"Plazo fijo",C_DEFINE,"Sí")&gt;2,"Más de 2 contratos a plazo: revisar presunción de indefinido. ","")&amp;IF(AND(R93="VENCIDO",LEFT(E93,6)="Activo"),"Trabaja con contrato vencido. ",""))</f>
        <v/>
      </c>
      <c r="U93" s="71" t="str">
        <f aca="false">IF(B93="","",INDEX(T_SUELDO,87))</f>
        <v/>
      </c>
      <c r="V93" s="72" t="str">
        <f aca="false">IF(AND(B93&lt;&gt;"",LEFT(E93,6)="Activo",ISNUMBER(O93),R93&lt;&gt;"Renovación registrada"),O93+ROW()/100000,"")</f>
        <v/>
      </c>
    </row>
    <row r="94" customFormat="false" ht="15" hidden="false" customHeight="false" outlineLevel="0" collapsed="false">
      <c r="B94" s="70" t="str">
        <f aca="false">IFERROR(IF(INDEX(T_ID,88)="","",INDEX(T_ID,88)),"")</f>
        <v/>
      </c>
      <c r="C94" s="70" t="str">
        <f aca="false">IF(B94="","",INDEX(T_NOMBRE,88)&amp;"")</f>
        <v/>
      </c>
      <c r="D94" s="70" t="str">
        <f aca="false">IF(B94="","",INDEX(T_CARGO,88)&amp;"")</f>
        <v/>
      </c>
      <c r="E94" s="70" t="str">
        <f aca="false">IF(B94="","",INDEX(T_ESTADO,88))</f>
        <v/>
      </c>
      <c r="F94" s="75" t="str">
        <f aca="false">IF(B94="","",INDEX(T_INGRESO,88))</f>
        <v/>
      </c>
      <c r="G94" s="70" t="str">
        <f aca="false">IF(B94="","",COUNTIFS(C_ID,B94,C_DEFINE,"Sí",C_INICIO,"&lt;="&amp;FECHA_CORTE))</f>
        <v/>
      </c>
      <c r="H94" s="70" t="str">
        <f aca="false">IF(B94="","",COUNTIFS(C_ID,B94,C_DEFINE,"Sí"))</f>
        <v/>
      </c>
      <c r="I94" s="70" t="str">
        <f aca="false">IF(B94="","",IF(H94=0,"Sin contrato",IFERROR(INDEX(C_TIPO,MATCH(B94&amp;"-P"&amp;MAX(1,G94),C_CLAVE,0))&amp;"","")))</f>
        <v/>
      </c>
      <c r="J94" s="70" t="str">
        <f aca="false">IF(OR(B94="",N(H94)=0),"",IFERROR(INDEX(C_TIPODOC,MATCH(B94&amp;"-P"&amp;MAX(1,G94),C_CLAVE,0))&amp;"",""))</f>
        <v/>
      </c>
      <c r="K94" s="76" t="str">
        <f aca="false">IF(I94="Plazo fijo",IFERROR(INDEX(C_NPF,MATCH(B94&amp;"-P"&amp;MAX(1,G94),C_CLAVE,0)),""),"")</f>
        <v/>
      </c>
      <c r="L94" s="70" t="str">
        <f aca="false">IF(B94="","",COUNTIFS(C_ID,B94,C_TIPODOC,"Anexo de modificación"))</f>
        <v/>
      </c>
      <c r="M94" s="75" t="str">
        <f aca="false">IF(OR(B94="",N(H94)=0),"",IFERROR(INDEX(C_INICIO,MATCH(B94&amp;"-P"&amp;MAX(1,G94),C_CLAVE,0)),""))</f>
        <v/>
      </c>
      <c r="N94" s="75" t="str">
        <f aca="false">IF(OR(I94="Plazo fijo",I94="Obra o faena"),IFERROR(IF(N(INDEX(C_TERMINO,MATCH(B94&amp;"-P"&amp;MAX(1,G94),C_CLAVE,0)))=0,"",INDEX(C_TERMINO,MATCH(B94&amp;"-P"&amp;MAX(1,G94),C_CLAVE,0))),""),"")</f>
        <v/>
      </c>
      <c r="O94" s="77" t="str">
        <f aca="false">IF(AND(ISNUMBER(N94),E94&lt;&gt;"Desvinculado"),N94-FECHA_CORTE,"")</f>
        <v/>
      </c>
      <c r="P94" s="75" t="str">
        <f aca="false">IF(AND(ISNUMBER(N94),E94&lt;&gt;"Desvinculado"),N94-DIAS_DECISION,"")</f>
        <v/>
      </c>
      <c r="Q94" s="75" t="str">
        <f aca="false">IF(OR(B94="",N(H94)&lt;=N(G94)),"",IFERROR(INDEX(C_INICIO,MATCH(B94&amp;"-P"&amp;(G94+1),C_CLAVE,0)),""))</f>
        <v/>
      </c>
      <c r="R94" s="70" t="str">
        <f aca="false">IF(B94="","",IF(E94="Desvinculado","Terminado",IF(H94=0,"Sin contrato registrado",IF(E94="Por ingresar","Por ingresar",IF(ISNUMBER(Q94),"Renovación registrada",IF(I94="Indefinido","Indefinido",IF(NOT(ISNUMBER(O94)),"Falta fecha de término",IF(O94&lt;0,"VENCIDO",IF(O94&lt;=ALERTA_ROJA,"Vence en ≤ "&amp;ALERTA_ROJA&amp;" días",IF(O94&lt;=ALERTA_NARANJA,"Vence en ≤ "&amp;ALERTA_NARANJA&amp;" días",IF(O94&lt;=ALERTA_AMARILLA,"Vence en ≤ "&amp;ALERTA_AMARILLA&amp;" días","Vigente")))))))))))</f>
        <v/>
      </c>
      <c r="S94" s="70" t="str">
        <f aca="false">IF(B94="","",IF(R94="Terminado","—",IF(R94="Sin contrato registrado","Registrar el contrato en la hoja Contratos",IF(R94="Por ingresar","Tener el contrato firmado y hacer el alta en AFP, salud, seguro de cesantía y mutual",IF(R94="Renovación registrada",IF(AND(N(K94)&gt;=2,IFERROR(INDEX(C_TIPO,MATCH(B94&amp;"-P"&amp;(G94+1),C_CLAVE,0)),"")="Plazo fijo"),"⚠ El período registrado sería el 3er contrato a plazo: por ley es INDEFINIDO. Registrarlo como Paso a indefinido","Siguiente período ya registrado: verificar que el documento esté firmado"),IF(I94="Indefinido","Sin vencimiento. Cambios de sueldo, cargo o jornada se formalizan con anexo de modificación",IF(R94="Falta fecha de término","Completar la fecha de término en la hoja Contratos",IF(R94="VENCIDO","Si sigue trabajando, por ley el contrato ya es INDEFINIDO (Art. 159 N°4): firmar anexo de paso a indefinido o regularizar el término",IF(I94="Obra o faena","Al concluir la obra: finiquito por Art. 159 N°5 + indemnización de 2,5 días por mes trabajado (Ley 21.122)",IF(N(K94)&gt;=3,"Por ley ya es indefinido (2ª renovación): firmar anexo de paso a indefinido",IF(N(K94)=2,"2° contrato a plazo: NO admite otra renovación a plazo fijo. Pasar a indefinido o terminar al vencimiento (carta dentro de 3 días hábiles)","1er contrato a plazo: renovar (2° plazo fijo), pasar a indefinido o terminar al vencimiento (carta dentro de 3 días hábiles)")))))))))))</f>
        <v/>
      </c>
      <c r="T94" s="70" t="str">
        <f aca="false">IF(B94="","",IF(COUNTIFS(C_ID,B94,C_FIRMADO,"&lt;&gt;Sí")&gt;0,COUNTIFS(C_ID,B94,C_FIRMADO,"&lt;&gt;Sí")&amp;" documento(s) sin firma. ","")&amp;IF(COUNTIFS(C_ID,B94,C_TIPO,"Plazo fijo",C_DEFINE,"Sí")&gt;2,"Más de 2 contratos a plazo: revisar presunción de indefinido. ","")&amp;IF(AND(R94="VENCIDO",LEFT(E94,6)="Activo"),"Trabaja con contrato vencido. ",""))</f>
        <v/>
      </c>
      <c r="U94" s="71" t="str">
        <f aca="false">IF(B94="","",INDEX(T_SUELDO,88))</f>
        <v/>
      </c>
      <c r="V94" s="72" t="str">
        <f aca="false">IF(AND(B94&lt;&gt;"",LEFT(E94,6)="Activo",ISNUMBER(O94),R94&lt;&gt;"Renovación registrada"),O94+ROW()/100000,"")</f>
        <v/>
      </c>
    </row>
    <row r="95" customFormat="false" ht="15" hidden="false" customHeight="false" outlineLevel="0" collapsed="false">
      <c r="B95" s="70" t="str">
        <f aca="false">IFERROR(IF(INDEX(T_ID,89)="","",INDEX(T_ID,89)),"")</f>
        <v/>
      </c>
      <c r="C95" s="70" t="str">
        <f aca="false">IF(B95="","",INDEX(T_NOMBRE,89)&amp;"")</f>
        <v/>
      </c>
      <c r="D95" s="70" t="str">
        <f aca="false">IF(B95="","",INDEX(T_CARGO,89)&amp;"")</f>
        <v/>
      </c>
      <c r="E95" s="70" t="str">
        <f aca="false">IF(B95="","",INDEX(T_ESTADO,89))</f>
        <v/>
      </c>
      <c r="F95" s="75" t="str">
        <f aca="false">IF(B95="","",INDEX(T_INGRESO,89))</f>
        <v/>
      </c>
      <c r="G95" s="70" t="str">
        <f aca="false">IF(B95="","",COUNTIFS(C_ID,B95,C_DEFINE,"Sí",C_INICIO,"&lt;="&amp;FECHA_CORTE))</f>
        <v/>
      </c>
      <c r="H95" s="70" t="str">
        <f aca="false">IF(B95="","",COUNTIFS(C_ID,B95,C_DEFINE,"Sí"))</f>
        <v/>
      </c>
      <c r="I95" s="70" t="str">
        <f aca="false">IF(B95="","",IF(H95=0,"Sin contrato",IFERROR(INDEX(C_TIPO,MATCH(B95&amp;"-P"&amp;MAX(1,G95),C_CLAVE,0))&amp;"","")))</f>
        <v/>
      </c>
      <c r="J95" s="70" t="str">
        <f aca="false">IF(OR(B95="",N(H95)=0),"",IFERROR(INDEX(C_TIPODOC,MATCH(B95&amp;"-P"&amp;MAX(1,G95),C_CLAVE,0))&amp;"",""))</f>
        <v/>
      </c>
      <c r="K95" s="76" t="str">
        <f aca="false">IF(I95="Plazo fijo",IFERROR(INDEX(C_NPF,MATCH(B95&amp;"-P"&amp;MAX(1,G95),C_CLAVE,0)),""),"")</f>
        <v/>
      </c>
      <c r="L95" s="70" t="str">
        <f aca="false">IF(B95="","",COUNTIFS(C_ID,B95,C_TIPODOC,"Anexo de modificación"))</f>
        <v/>
      </c>
      <c r="M95" s="75" t="str">
        <f aca="false">IF(OR(B95="",N(H95)=0),"",IFERROR(INDEX(C_INICIO,MATCH(B95&amp;"-P"&amp;MAX(1,G95),C_CLAVE,0)),""))</f>
        <v/>
      </c>
      <c r="N95" s="75" t="str">
        <f aca="false">IF(OR(I95="Plazo fijo",I95="Obra o faena"),IFERROR(IF(N(INDEX(C_TERMINO,MATCH(B95&amp;"-P"&amp;MAX(1,G95),C_CLAVE,0)))=0,"",INDEX(C_TERMINO,MATCH(B95&amp;"-P"&amp;MAX(1,G95),C_CLAVE,0))),""),"")</f>
        <v/>
      </c>
      <c r="O95" s="77" t="str">
        <f aca="false">IF(AND(ISNUMBER(N95),E95&lt;&gt;"Desvinculado"),N95-FECHA_CORTE,"")</f>
        <v/>
      </c>
      <c r="P95" s="75" t="str">
        <f aca="false">IF(AND(ISNUMBER(N95),E95&lt;&gt;"Desvinculado"),N95-DIAS_DECISION,"")</f>
        <v/>
      </c>
      <c r="Q95" s="75" t="str">
        <f aca="false">IF(OR(B95="",N(H95)&lt;=N(G95)),"",IFERROR(INDEX(C_INICIO,MATCH(B95&amp;"-P"&amp;(G95+1),C_CLAVE,0)),""))</f>
        <v/>
      </c>
      <c r="R95" s="70" t="str">
        <f aca="false">IF(B95="","",IF(E95="Desvinculado","Terminado",IF(H95=0,"Sin contrato registrado",IF(E95="Por ingresar","Por ingresar",IF(ISNUMBER(Q95),"Renovación registrada",IF(I95="Indefinido","Indefinido",IF(NOT(ISNUMBER(O95)),"Falta fecha de término",IF(O95&lt;0,"VENCIDO",IF(O95&lt;=ALERTA_ROJA,"Vence en ≤ "&amp;ALERTA_ROJA&amp;" días",IF(O95&lt;=ALERTA_NARANJA,"Vence en ≤ "&amp;ALERTA_NARANJA&amp;" días",IF(O95&lt;=ALERTA_AMARILLA,"Vence en ≤ "&amp;ALERTA_AMARILLA&amp;" días","Vigente")))))))))))</f>
        <v/>
      </c>
      <c r="S95" s="70" t="str">
        <f aca="false">IF(B95="","",IF(R95="Terminado","—",IF(R95="Sin contrato registrado","Registrar el contrato en la hoja Contratos",IF(R95="Por ingresar","Tener el contrato firmado y hacer el alta en AFP, salud, seguro de cesantía y mutual",IF(R95="Renovación registrada",IF(AND(N(K95)&gt;=2,IFERROR(INDEX(C_TIPO,MATCH(B95&amp;"-P"&amp;(G95+1),C_CLAVE,0)),"")="Plazo fijo"),"⚠ El período registrado sería el 3er contrato a plazo: por ley es INDEFINIDO. Registrarlo como Paso a indefinido","Siguiente período ya registrado: verificar que el documento esté firmado"),IF(I95="Indefinido","Sin vencimiento. Cambios de sueldo, cargo o jornada se formalizan con anexo de modificación",IF(R95="Falta fecha de término","Completar la fecha de término en la hoja Contratos",IF(R95="VENCIDO","Si sigue trabajando, por ley el contrato ya es INDEFINIDO (Art. 159 N°4): firmar anexo de paso a indefinido o regularizar el término",IF(I95="Obra o faena","Al concluir la obra: finiquito por Art. 159 N°5 + indemnización de 2,5 días por mes trabajado (Ley 21.122)",IF(N(K95)&gt;=3,"Por ley ya es indefinido (2ª renovación): firmar anexo de paso a indefinido",IF(N(K95)=2,"2° contrato a plazo: NO admite otra renovación a plazo fijo. Pasar a indefinido o terminar al vencimiento (carta dentro de 3 días hábiles)","1er contrato a plazo: renovar (2° plazo fijo), pasar a indefinido o terminar al vencimiento (carta dentro de 3 días hábiles)")))))))))))</f>
        <v/>
      </c>
      <c r="T95" s="70" t="str">
        <f aca="false">IF(B95="","",IF(COUNTIFS(C_ID,B95,C_FIRMADO,"&lt;&gt;Sí")&gt;0,COUNTIFS(C_ID,B95,C_FIRMADO,"&lt;&gt;Sí")&amp;" documento(s) sin firma. ","")&amp;IF(COUNTIFS(C_ID,B95,C_TIPO,"Plazo fijo",C_DEFINE,"Sí")&gt;2,"Más de 2 contratos a plazo: revisar presunción de indefinido. ","")&amp;IF(AND(R95="VENCIDO",LEFT(E95,6)="Activo"),"Trabaja con contrato vencido. ",""))</f>
        <v/>
      </c>
      <c r="U95" s="71" t="str">
        <f aca="false">IF(B95="","",INDEX(T_SUELDO,89))</f>
        <v/>
      </c>
      <c r="V95" s="72" t="str">
        <f aca="false">IF(AND(B95&lt;&gt;"",LEFT(E95,6)="Activo",ISNUMBER(O95),R95&lt;&gt;"Renovación registrada"),O95+ROW()/100000,"")</f>
        <v/>
      </c>
    </row>
    <row r="96" customFormat="false" ht="15" hidden="false" customHeight="false" outlineLevel="0" collapsed="false">
      <c r="B96" s="70" t="str">
        <f aca="false">IFERROR(IF(INDEX(T_ID,90)="","",INDEX(T_ID,90)),"")</f>
        <v/>
      </c>
      <c r="C96" s="70" t="str">
        <f aca="false">IF(B96="","",INDEX(T_NOMBRE,90)&amp;"")</f>
        <v/>
      </c>
      <c r="D96" s="70" t="str">
        <f aca="false">IF(B96="","",INDEX(T_CARGO,90)&amp;"")</f>
        <v/>
      </c>
      <c r="E96" s="70" t="str">
        <f aca="false">IF(B96="","",INDEX(T_ESTADO,90))</f>
        <v/>
      </c>
      <c r="F96" s="75" t="str">
        <f aca="false">IF(B96="","",INDEX(T_INGRESO,90))</f>
        <v/>
      </c>
      <c r="G96" s="70" t="str">
        <f aca="false">IF(B96="","",COUNTIFS(C_ID,B96,C_DEFINE,"Sí",C_INICIO,"&lt;="&amp;FECHA_CORTE))</f>
        <v/>
      </c>
      <c r="H96" s="70" t="str">
        <f aca="false">IF(B96="","",COUNTIFS(C_ID,B96,C_DEFINE,"Sí"))</f>
        <v/>
      </c>
      <c r="I96" s="70" t="str">
        <f aca="false">IF(B96="","",IF(H96=0,"Sin contrato",IFERROR(INDEX(C_TIPO,MATCH(B96&amp;"-P"&amp;MAX(1,G96),C_CLAVE,0))&amp;"","")))</f>
        <v/>
      </c>
      <c r="J96" s="70" t="str">
        <f aca="false">IF(OR(B96="",N(H96)=0),"",IFERROR(INDEX(C_TIPODOC,MATCH(B96&amp;"-P"&amp;MAX(1,G96),C_CLAVE,0))&amp;"",""))</f>
        <v/>
      </c>
      <c r="K96" s="76" t="str">
        <f aca="false">IF(I96="Plazo fijo",IFERROR(INDEX(C_NPF,MATCH(B96&amp;"-P"&amp;MAX(1,G96),C_CLAVE,0)),""),"")</f>
        <v/>
      </c>
      <c r="L96" s="70" t="str">
        <f aca="false">IF(B96="","",COUNTIFS(C_ID,B96,C_TIPODOC,"Anexo de modificación"))</f>
        <v/>
      </c>
      <c r="M96" s="75" t="str">
        <f aca="false">IF(OR(B96="",N(H96)=0),"",IFERROR(INDEX(C_INICIO,MATCH(B96&amp;"-P"&amp;MAX(1,G96),C_CLAVE,0)),""))</f>
        <v/>
      </c>
      <c r="N96" s="75" t="str">
        <f aca="false">IF(OR(I96="Plazo fijo",I96="Obra o faena"),IFERROR(IF(N(INDEX(C_TERMINO,MATCH(B96&amp;"-P"&amp;MAX(1,G96),C_CLAVE,0)))=0,"",INDEX(C_TERMINO,MATCH(B96&amp;"-P"&amp;MAX(1,G96),C_CLAVE,0))),""),"")</f>
        <v/>
      </c>
      <c r="O96" s="77" t="str">
        <f aca="false">IF(AND(ISNUMBER(N96),E96&lt;&gt;"Desvinculado"),N96-FECHA_CORTE,"")</f>
        <v/>
      </c>
      <c r="P96" s="75" t="str">
        <f aca="false">IF(AND(ISNUMBER(N96),E96&lt;&gt;"Desvinculado"),N96-DIAS_DECISION,"")</f>
        <v/>
      </c>
      <c r="Q96" s="75" t="str">
        <f aca="false">IF(OR(B96="",N(H96)&lt;=N(G96)),"",IFERROR(INDEX(C_INICIO,MATCH(B96&amp;"-P"&amp;(G96+1),C_CLAVE,0)),""))</f>
        <v/>
      </c>
      <c r="R96" s="70" t="str">
        <f aca="false">IF(B96="","",IF(E96="Desvinculado","Terminado",IF(H96=0,"Sin contrato registrado",IF(E96="Por ingresar","Por ingresar",IF(ISNUMBER(Q96),"Renovación registrada",IF(I96="Indefinido","Indefinido",IF(NOT(ISNUMBER(O96)),"Falta fecha de término",IF(O96&lt;0,"VENCIDO",IF(O96&lt;=ALERTA_ROJA,"Vence en ≤ "&amp;ALERTA_ROJA&amp;" días",IF(O96&lt;=ALERTA_NARANJA,"Vence en ≤ "&amp;ALERTA_NARANJA&amp;" días",IF(O96&lt;=ALERTA_AMARILLA,"Vence en ≤ "&amp;ALERTA_AMARILLA&amp;" días","Vigente")))))))))))</f>
        <v/>
      </c>
      <c r="S96" s="70" t="str">
        <f aca="false">IF(B96="","",IF(R96="Terminado","—",IF(R96="Sin contrato registrado","Registrar el contrato en la hoja Contratos",IF(R96="Por ingresar","Tener el contrato firmado y hacer el alta en AFP, salud, seguro de cesantía y mutual",IF(R96="Renovación registrada",IF(AND(N(K96)&gt;=2,IFERROR(INDEX(C_TIPO,MATCH(B96&amp;"-P"&amp;(G96+1),C_CLAVE,0)),"")="Plazo fijo"),"⚠ El período registrado sería el 3er contrato a plazo: por ley es INDEFINIDO. Registrarlo como Paso a indefinido","Siguiente período ya registrado: verificar que el documento esté firmado"),IF(I96="Indefinido","Sin vencimiento. Cambios de sueldo, cargo o jornada se formalizan con anexo de modificación",IF(R96="Falta fecha de término","Completar la fecha de término en la hoja Contratos",IF(R96="VENCIDO","Si sigue trabajando, por ley el contrato ya es INDEFINIDO (Art. 159 N°4): firmar anexo de paso a indefinido o regularizar el término",IF(I96="Obra o faena","Al concluir la obra: finiquito por Art. 159 N°5 + indemnización de 2,5 días por mes trabajado (Ley 21.122)",IF(N(K96)&gt;=3,"Por ley ya es indefinido (2ª renovación): firmar anexo de paso a indefinido",IF(N(K96)=2,"2° contrato a plazo: NO admite otra renovación a plazo fijo. Pasar a indefinido o terminar al vencimiento (carta dentro de 3 días hábiles)","1er contrato a plazo: renovar (2° plazo fijo), pasar a indefinido o terminar al vencimiento (carta dentro de 3 días hábiles)")))))))))))</f>
        <v/>
      </c>
      <c r="T96" s="70" t="str">
        <f aca="false">IF(B96="","",IF(COUNTIFS(C_ID,B96,C_FIRMADO,"&lt;&gt;Sí")&gt;0,COUNTIFS(C_ID,B96,C_FIRMADO,"&lt;&gt;Sí")&amp;" documento(s) sin firma. ","")&amp;IF(COUNTIFS(C_ID,B96,C_TIPO,"Plazo fijo",C_DEFINE,"Sí")&gt;2,"Más de 2 contratos a plazo: revisar presunción de indefinido. ","")&amp;IF(AND(R96="VENCIDO",LEFT(E96,6)="Activo"),"Trabaja con contrato vencido. ",""))</f>
        <v/>
      </c>
      <c r="U96" s="71" t="str">
        <f aca="false">IF(B96="","",INDEX(T_SUELDO,90))</f>
        <v/>
      </c>
      <c r="V96" s="72" t="str">
        <f aca="false">IF(AND(B96&lt;&gt;"",LEFT(E96,6)="Activo",ISNUMBER(O96),R96&lt;&gt;"Renovación registrada"),O96+ROW()/100000,"")</f>
        <v/>
      </c>
    </row>
    <row r="97" customFormat="false" ht="15" hidden="false" customHeight="false" outlineLevel="0" collapsed="false">
      <c r="B97" s="70" t="str">
        <f aca="false">IFERROR(IF(INDEX(T_ID,91)="","",INDEX(T_ID,91)),"")</f>
        <v/>
      </c>
      <c r="C97" s="70" t="str">
        <f aca="false">IF(B97="","",INDEX(T_NOMBRE,91)&amp;"")</f>
        <v/>
      </c>
      <c r="D97" s="70" t="str">
        <f aca="false">IF(B97="","",INDEX(T_CARGO,91)&amp;"")</f>
        <v/>
      </c>
      <c r="E97" s="70" t="str">
        <f aca="false">IF(B97="","",INDEX(T_ESTADO,91))</f>
        <v/>
      </c>
      <c r="F97" s="75" t="str">
        <f aca="false">IF(B97="","",INDEX(T_INGRESO,91))</f>
        <v/>
      </c>
      <c r="G97" s="70" t="str">
        <f aca="false">IF(B97="","",COUNTIFS(C_ID,B97,C_DEFINE,"Sí",C_INICIO,"&lt;="&amp;FECHA_CORTE))</f>
        <v/>
      </c>
      <c r="H97" s="70" t="str">
        <f aca="false">IF(B97="","",COUNTIFS(C_ID,B97,C_DEFINE,"Sí"))</f>
        <v/>
      </c>
      <c r="I97" s="70" t="str">
        <f aca="false">IF(B97="","",IF(H97=0,"Sin contrato",IFERROR(INDEX(C_TIPO,MATCH(B97&amp;"-P"&amp;MAX(1,G97),C_CLAVE,0))&amp;"","")))</f>
        <v/>
      </c>
      <c r="J97" s="70" t="str">
        <f aca="false">IF(OR(B97="",N(H97)=0),"",IFERROR(INDEX(C_TIPODOC,MATCH(B97&amp;"-P"&amp;MAX(1,G97),C_CLAVE,0))&amp;"",""))</f>
        <v/>
      </c>
      <c r="K97" s="76" t="str">
        <f aca="false">IF(I97="Plazo fijo",IFERROR(INDEX(C_NPF,MATCH(B97&amp;"-P"&amp;MAX(1,G97),C_CLAVE,0)),""),"")</f>
        <v/>
      </c>
      <c r="L97" s="70" t="str">
        <f aca="false">IF(B97="","",COUNTIFS(C_ID,B97,C_TIPODOC,"Anexo de modificación"))</f>
        <v/>
      </c>
      <c r="M97" s="75" t="str">
        <f aca="false">IF(OR(B97="",N(H97)=0),"",IFERROR(INDEX(C_INICIO,MATCH(B97&amp;"-P"&amp;MAX(1,G97),C_CLAVE,0)),""))</f>
        <v/>
      </c>
      <c r="N97" s="75" t="str">
        <f aca="false">IF(OR(I97="Plazo fijo",I97="Obra o faena"),IFERROR(IF(N(INDEX(C_TERMINO,MATCH(B97&amp;"-P"&amp;MAX(1,G97),C_CLAVE,0)))=0,"",INDEX(C_TERMINO,MATCH(B97&amp;"-P"&amp;MAX(1,G97),C_CLAVE,0))),""),"")</f>
        <v/>
      </c>
      <c r="O97" s="77" t="str">
        <f aca="false">IF(AND(ISNUMBER(N97),E97&lt;&gt;"Desvinculado"),N97-FECHA_CORTE,"")</f>
        <v/>
      </c>
      <c r="P97" s="75" t="str">
        <f aca="false">IF(AND(ISNUMBER(N97),E97&lt;&gt;"Desvinculado"),N97-DIAS_DECISION,"")</f>
        <v/>
      </c>
      <c r="Q97" s="75" t="str">
        <f aca="false">IF(OR(B97="",N(H97)&lt;=N(G97)),"",IFERROR(INDEX(C_INICIO,MATCH(B97&amp;"-P"&amp;(G97+1),C_CLAVE,0)),""))</f>
        <v/>
      </c>
      <c r="R97" s="70" t="str">
        <f aca="false">IF(B97="","",IF(E97="Desvinculado","Terminado",IF(H97=0,"Sin contrato registrado",IF(E97="Por ingresar","Por ingresar",IF(ISNUMBER(Q97),"Renovación registrada",IF(I97="Indefinido","Indefinido",IF(NOT(ISNUMBER(O97)),"Falta fecha de término",IF(O97&lt;0,"VENCIDO",IF(O97&lt;=ALERTA_ROJA,"Vence en ≤ "&amp;ALERTA_ROJA&amp;" días",IF(O97&lt;=ALERTA_NARANJA,"Vence en ≤ "&amp;ALERTA_NARANJA&amp;" días",IF(O97&lt;=ALERTA_AMARILLA,"Vence en ≤ "&amp;ALERTA_AMARILLA&amp;" días","Vigente")))))))))))</f>
        <v/>
      </c>
      <c r="S97" s="70" t="str">
        <f aca="false">IF(B97="","",IF(R97="Terminado","—",IF(R97="Sin contrato registrado","Registrar el contrato en la hoja Contratos",IF(R97="Por ingresar","Tener el contrato firmado y hacer el alta en AFP, salud, seguro de cesantía y mutual",IF(R97="Renovación registrada",IF(AND(N(K97)&gt;=2,IFERROR(INDEX(C_TIPO,MATCH(B97&amp;"-P"&amp;(G97+1),C_CLAVE,0)),"")="Plazo fijo"),"⚠ El período registrado sería el 3er contrato a plazo: por ley es INDEFINIDO. Registrarlo como Paso a indefinido","Siguiente período ya registrado: verificar que el documento esté firmado"),IF(I97="Indefinido","Sin vencimiento. Cambios de sueldo, cargo o jornada se formalizan con anexo de modificación",IF(R97="Falta fecha de término","Completar la fecha de término en la hoja Contratos",IF(R97="VENCIDO","Si sigue trabajando, por ley el contrato ya es INDEFINIDO (Art. 159 N°4): firmar anexo de paso a indefinido o regularizar el término",IF(I97="Obra o faena","Al concluir la obra: finiquito por Art. 159 N°5 + indemnización de 2,5 días por mes trabajado (Ley 21.122)",IF(N(K97)&gt;=3,"Por ley ya es indefinido (2ª renovación): firmar anexo de paso a indefinido",IF(N(K97)=2,"2° contrato a plazo: NO admite otra renovación a plazo fijo. Pasar a indefinido o terminar al vencimiento (carta dentro de 3 días hábiles)","1er contrato a plazo: renovar (2° plazo fijo), pasar a indefinido o terminar al vencimiento (carta dentro de 3 días hábiles)")))))))))))</f>
        <v/>
      </c>
      <c r="T97" s="70" t="str">
        <f aca="false">IF(B97="","",IF(COUNTIFS(C_ID,B97,C_FIRMADO,"&lt;&gt;Sí")&gt;0,COUNTIFS(C_ID,B97,C_FIRMADO,"&lt;&gt;Sí")&amp;" documento(s) sin firma. ","")&amp;IF(COUNTIFS(C_ID,B97,C_TIPO,"Plazo fijo",C_DEFINE,"Sí")&gt;2,"Más de 2 contratos a plazo: revisar presunción de indefinido. ","")&amp;IF(AND(R97="VENCIDO",LEFT(E97,6)="Activo"),"Trabaja con contrato vencido. ",""))</f>
        <v/>
      </c>
      <c r="U97" s="71" t="str">
        <f aca="false">IF(B97="","",INDEX(T_SUELDO,91))</f>
        <v/>
      </c>
      <c r="V97" s="72" t="str">
        <f aca="false">IF(AND(B97&lt;&gt;"",LEFT(E97,6)="Activo",ISNUMBER(O97),R97&lt;&gt;"Renovación registrada"),O97+ROW()/100000,"")</f>
        <v/>
      </c>
    </row>
    <row r="98" customFormat="false" ht="15" hidden="false" customHeight="false" outlineLevel="0" collapsed="false">
      <c r="B98" s="70" t="str">
        <f aca="false">IFERROR(IF(INDEX(T_ID,92)="","",INDEX(T_ID,92)),"")</f>
        <v/>
      </c>
      <c r="C98" s="70" t="str">
        <f aca="false">IF(B98="","",INDEX(T_NOMBRE,92)&amp;"")</f>
        <v/>
      </c>
      <c r="D98" s="70" t="str">
        <f aca="false">IF(B98="","",INDEX(T_CARGO,92)&amp;"")</f>
        <v/>
      </c>
      <c r="E98" s="70" t="str">
        <f aca="false">IF(B98="","",INDEX(T_ESTADO,92))</f>
        <v/>
      </c>
      <c r="F98" s="75" t="str">
        <f aca="false">IF(B98="","",INDEX(T_INGRESO,92))</f>
        <v/>
      </c>
      <c r="G98" s="70" t="str">
        <f aca="false">IF(B98="","",COUNTIFS(C_ID,B98,C_DEFINE,"Sí",C_INICIO,"&lt;="&amp;FECHA_CORTE))</f>
        <v/>
      </c>
      <c r="H98" s="70" t="str">
        <f aca="false">IF(B98="","",COUNTIFS(C_ID,B98,C_DEFINE,"Sí"))</f>
        <v/>
      </c>
      <c r="I98" s="70" t="str">
        <f aca="false">IF(B98="","",IF(H98=0,"Sin contrato",IFERROR(INDEX(C_TIPO,MATCH(B98&amp;"-P"&amp;MAX(1,G98),C_CLAVE,0))&amp;"","")))</f>
        <v/>
      </c>
      <c r="J98" s="70" t="str">
        <f aca="false">IF(OR(B98="",N(H98)=0),"",IFERROR(INDEX(C_TIPODOC,MATCH(B98&amp;"-P"&amp;MAX(1,G98),C_CLAVE,0))&amp;"",""))</f>
        <v/>
      </c>
      <c r="K98" s="76" t="str">
        <f aca="false">IF(I98="Plazo fijo",IFERROR(INDEX(C_NPF,MATCH(B98&amp;"-P"&amp;MAX(1,G98),C_CLAVE,0)),""),"")</f>
        <v/>
      </c>
      <c r="L98" s="70" t="str">
        <f aca="false">IF(B98="","",COUNTIFS(C_ID,B98,C_TIPODOC,"Anexo de modificación"))</f>
        <v/>
      </c>
      <c r="M98" s="75" t="str">
        <f aca="false">IF(OR(B98="",N(H98)=0),"",IFERROR(INDEX(C_INICIO,MATCH(B98&amp;"-P"&amp;MAX(1,G98),C_CLAVE,0)),""))</f>
        <v/>
      </c>
      <c r="N98" s="75" t="str">
        <f aca="false">IF(OR(I98="Plazo fijo",I98="Obra o faena"),IFERROR(IF(N(INDEX(C_TERMINO,MATCH(B98&amp;"-P"&amp;MAX(1,G98),C_CLAVE,0)))=0,"",INDEX(C_TERMINO,MATCH(B98&amp;"-P"&amp;MAX(1,G98),C_CLAVE,0))),""),"")</f>
        <v/>
      </c>
      <c r="O98" s="77" t="str">
        <f aca="false">IF(AND(ISNUMBER(N98),E98&lt;&gt;"Desvinculado"),N98-FECHA_CORTE,"")</f>
        <v/>
      </c>
      <c r="P98" s="75" t="str">
        <f aca="false">IF(AND(ISNUMBER(N98),E98&lt;&gt;"Desvinculado"),N98-DIAS_DECISION,"")</f>
        <v/>
      </c>
      <c r="Q98" s="75" t="str">
        <f aca="false">IF(OR(B98="",N(H98)&lt;=N(G98)),"",IFERROR(INDEX(C_INICIO,MATCH(B98&amp;"-P"&amp;(G98+1),C_CLAVE,0)),""))</f>
        <v/>
      </c>
      <c r="R98" s="70" t="str">
        <f aca="false">IF(B98="","",IF(E98="Desvinculado","Terminado",IF(H98=0,"Sin contrato registrado",IF(E98="Por ingresar","Por ingresar",IF(ISNUMBER(Q98),"Renovación registrada",IF(I98="Indefinido","Indefinido",IF(NOT(ISNUMBER(O98)),"Falta fecha de término",IF(O98&lt;0,"VENCIDO",IF(O98&lt;=ALERTA_ROJA,"Vence en ≤ "&amp;ALERTA_ROJA&amp;" días",IF(O98&lt;=ALERTA_NARANJA,"Vence en ≤ "&amp;ALERTA_NARANJA&amp;" días",IF(O98&lt;=ALERTA_AMARILLA,"Vence en ≤ "&amp;ALERTA_AMARILLA&amp;" días","Vigente")))))))))))</f>
        <v/>
      </c>
      <c r="S98" s="70" t="str">
        <f aca="false">IF(B98="","",IF(R98="Terminado","—",IF(R98="Sin contrato registrado","Registrar el contrato en la hoja Contratos",IF(R98="Por ingresar","Tener el contrato firmado y hacer el alta en AFP, salud, seguro de cesantía y mutual",IF(R98="Renovación registrada",IF(AND(N(K98)&gt;=2,IFERROR(INDEX(C_TIPO,MATCH(B98&amp;"-P"&amp;(G98+1),C_CLAVE,0)),"")="Plazo fijo"),"⚠ El período registrado sería el 3er contrato a plazo: por ley es INDEFINIDO. Registrarlo como Paso a indefinido","Siguiente período ya registrado: verificar que el documento esté firmado"),IF(I98="Indefinido","Sin vencimiento. Cambios de sueldo, cargo o jornada se formalizan con anexo de modificación",IF(R98="Falta fecha de término","Completar la fecha de término en la hoja Contratos",IF(R98="VENCIDO","Si sigue trabajando, por ley el contrato ya es INDEFINIDO (Art. 159 N°4): firmar anexo de paso a indefinido o regularizar el término",IF(I98="Obra o faena","Al concluir la obra: finiquito por Art. 159 N°5 + indemnización de 2,5 días por mes trabajado (Ley 21.122)",IF(N(K98)&gt;=3,"Por ley ya es indefinido (2ª renovación): firmar anexo de paso a indefinido",IF(N(K98)=2,"2° contrato a plazo: NO admite otra renovación a plazo fijo. Pasar a indefinido o terminar al vencimiento (carta dentro de 3 días hábiles)","1er contrato a plazo: renovar (2° plazo fijo), pasar a indefinido o terminar al vencimiento (carta dentro de 3 días hábiles)")))))))))))</f>
        <v/>
      </c>
      <c r="T98" s="70" t="str">
        <f aca="false">IF(B98="","",IF(COUNTIFS(C_ID,B98,C_FIRMADO,"&lt;&gt;Sí")&gt;0,COUNTIFS(C_ID,B98,C_FIRMADO,"&lt;&gt;Sí")&amp;" documento(s) sin firma. ","")&amp;IF(COUNTIFS(C_ID,B98,C_TIPO,"Plazo fijo",C_DEFINE,"Sí")&gt;2,"Más de 2 contratos a plazo: revisar presunción de indefinido. ","")&amp;IF(AND(R98="VENCIDO",LEFT(E98,6)="Activo"),"Trabaja con contrato vencido. ",""))</f>
        <v/>
      </c>
      <c r="U98" s="71" t="str">
        <f aca="false">IF(B98="","",INDEX(T_SUELDO,92))</f>
        <v/>
      </c>
      <c r="V98" s="72" t="str">
        <f aca="false">IF(AND(B98&lt;&gt;"",LEFT(E98,6)="Activo",ISNUMBER(O98),R98&lt;&gt;"Renovación registrada"),O98+ROW()/100000,"")</f>
        <v/>
      </c>
    </row>
    <row r="99" customFormat="false" ht="15" hidden="false" customHeight="false" outlineLevel="0" collapsed="false">
      <c r="B99" s="70" t="str">
        <f aca="false">IFERROR(IF(INDEX(T_ID,93)="","",INDEX(T_ID,93)),"")</f>
        <v/>
      </c>
      <c r="C99" s="70" t="str">
        <f aca="false">IF(B99="","",INDEX(T_NOMBRE,93)&amp;"")</f>
        <v/>
      </c>
      <c r="D99" s="70" t="str">
        <f aca="false">IF(B99="","",INDEX(T_CARGO,93)&amp;"")</f>
        <v/>
      </c>
      <c r="E99" s="70" t="str">
        <f aca="false">IF(B99="","",INDEX(T_ESTADO,93))</f>
        <v/>
      </c>
      <c r="F99" s="75" t="str">
        <f aca="false">IF(B99="","",INDEX(T_INGRESO,93))</f>
        <v/>
      </c>
      <c r="G99" s="70" t="str">
        <f aca="false">IF(B99="","",COUNTIFS(C_ID,B99,C_DEFINE,"Sí",C_INICIO,"&lt;="&amp;FECHA_CORTE))</f>
        <v/>
      </c>
      <c r="H99" s="70" t="str">
        <f aca="false">IF(B99="","",COUNTIFS(C_ID,B99,C_DEFINE,"Sí"))</f>
        <v/>
      </c>
      <c r="I99" s="70" t="str">
        <f aca="false">IF(B99="","",IF(H99=0,"Sin contrato",IFERROR(INDEX(C_TIPO,MATCH(B99&amp;"-P"&amp;MAX(1,G99),C_CLAVE,0))&amp;"","")))</f>
        <v/>
      </c>
      <c r="J99" s="70" t="str">
        <f aca="false">IF(OR(B99="",N(H99)=0),"",IFERROR(INDEX(C_TIPODOC,MATCH(B99&amp;"-P"&amp;MAX(1,G99),C_CLAVE,0))&amp;"",""))</f>
        <v/>
      </c>
      <c r="K99" s="76" t="str">
        <f aca="false">IF(I99="Plazo fijo",IFERROR(INDEX(C_NPF,MATCH(B99&amp;"-P"&amp;MAX(1,G99),C_CLAVE,0)),""),"")</f>
        <v/>
      </c>
      <c r="L99" s="70" t="str">
        <f aca="false">IF(B99="","",COUNTIFS(C_ID,B99,C_TIPODOC,"Anexo de modificación"))</f>
        <v/>
      </c>
      <c r="M99" s="75" t="str">
        <f aca="false">IF(OR(B99="",N(H99)=0),"",IFERROR(INDEX(C_INICIO,MATCH(B99&amp;"-P"&amp;MAX(1,G99),C_CLAVE,0)),""))</f>
        <v/>
      </c>
      <c r="N99" s="75" t="str">
        <f aca="false">IF(OR(I99="Plazo fijo",I99="Obra o faena"),IFERROR(IF(N(INDEX(C_TERMINO,MATCH(B99&amp;"-P"&amp;MAX(1,G99),C_CLAVE,0)))=0,"",INDEX(C_TERMINO,MATCH(B99&amp;"-P"&amp;MAX(1,G99),C_CLAVE,0))),""),"")</f>
        <v/>
      </c>
      <c r="O99" s="77" t="str">
        <f aca="false">IF(AND(ISNUMBER(N99),E99&lt;&gt;"Desvinculado"),N99-FECHA_CORTE,"")</f>
        <v/>
      </c>
      <c r="P99" s="75" t="str">
        <f aca="false">IF(AND(ISNUMBER(N99),E99&lt;&gt;"Desvinculado"),N99-DIAS_DECISION,"")</f>
        <v/>
      </c>
      <c r="Q99" s="75" t="str">
        <f aca="false">IF(OR(B99="",N(H99)&lt;=N(G99)),"",IFERROR(INDEX(C_INICIO,MATCH(B99&amp;"-P"&amp;(G99+1),C_CLAVE,0)),""))</f>
        <v/>
      </c>
      <c r="R99" s="70" t="str">
        <f aca="false">IF(B99="","",IF(E99="Desvinculado","Terminado",IF(H99=0,"Sin contrato registrado",IF(E99="Por ingresar","Por ingresar",IF(ISNUMBER(Q99),"Renovación registrada",IF(I99="Indefinido","Indefinido",IF(NOT(ISNUMBER(O99)),"Falta fecha de término",IF(O99&lt;0,"VENCIDO",IF(O99&lt;=ALERTA_ROJA,"Vence en ≤ "&amp;ALERTA_ROJA&amp;" días",IF(O99&lt;=ALERTA_NARANJA,"Vence en ≤ "&amp;ALERTA_NARANJA&amp;" días",IF(O99&lt;=ALERTA_AMARILLA,"Vence en ≤ "&amp;ALERTA_AMARILLA&amp;" días","Vigente")))))))))))</f>
        <v/>
      </c>
      <c r="S99" s="70" t="str">
        <f aca="false">IF(B99="","",IF(R99="Terminado","—",IF(R99="Sin contrato registrado","Registrar el contrato en la hoja Contratos",IF(R99="Por ingresar","Tener el contrato firmado y hacer el alta en AFP, salud, seguro de cesantía y mutual",IF(R99="Renovación registrada",IF(AND(N(K99)&gt;=2,IFERROR(INDEX(C_TIPO,MATCH(B99&amp;"-P"&amp;(G99+1),C_CLAVE,0)),"")="Plazo fijo"),"⚠ El período registrado sería el 3er contrato a plazo: por ley es INDEFINIDO. Registrarlo como Paso a indefinido","Siguiente período ya registrado: verificar que el documento esté firmado"),IF(I99="Indefinido","Sin vencimiento. Cambios de sueldo, cargo o jornada se formalizan con anexo de modificación",IF(R99="Falta fecha de término","Completar la fecha de término en la hoja Contratos",IF(R99="VENCIDO","Si sigue trabajando, por ley el contrato ya es INDEFINIDO (Art. 159 N°4): firmar anexo de paso a indefinido o regularizar el término",IF(I99="Obra o faena","Al concluir la obra: finiquito por Art. 159 N°5 + indemnización de 2,5 días por mes trabajado (Ley 21.122)",IF(N(K99)&gt;=3,"Por ley ya es indefinido (2ª renovación): firmar anexo de paso a indefinido",IF(N(K99)=2,"2° contrato a plazo: NO admite otra renovación a plazo fijo. Pasar a indefinido o terminar al vencimiento (carta dentro de 3 días hábiles)","1er contrato a plazo: renovar (2° plazo fijo), pasar a indefinido o terminar al vencimiento (carta dentro de 3 días hábiles)")))))))))))</f>
        <v/>
      </c>
      <c r="T99" s="70" t="str">
        <f aca="false">IF(B99="","",IF(COUNTIFS(C_ID,B99,C_FIRMADO,"&lt;&gt;Sí")&gt;0,COUNTIFS(C_ID,B99,C_FIRMADO,"&lt;&gt;Sí")&amp;" documento(s) sin firma. ","")&amp;IF(COUNTIFS(C_ID,B99,C_TIPO,"Plazo fijo",C_DEFINE,"Sí")&gt;2,"Más de 2 contratos a plazo: revisar presunción de indefinido. ","")&amp;IF(AND(R99="VENCIDO",LEFT(E99,6)="Activo"),"Trabaja con contrato vencido. ",""))</f>
        <v/>
      </c>
      <c r="U99" s="71" t="str">
        <f aca="false">IF(B99="","",INDEX(T_SUELDO,93))</f>
        <v/>
      </c>
      <c r="V99" s="72" t="str">
        <f aca="false">IF(AND(B99&lt;&gt;"",LEFT(E99,6)="Activo",ISNUMBER(O99),R99&lt;&gt;"Renovación registrada"),O99+ROW()/100000,"")</f>
        <v/>
      </c>
    </row>
    <row r="100" customFormat="false" ht="15" hidden="false" customHeight="false" outlineLevel="0" collapsed="false">
      <c r="B100" s="70" t="str">
        <f aca="false">IFERROR(IF(INDEX(T_ID,94)="","",INDEX(T_ID,94)),"")</f>
        <v/>
      </c>
      <c r="C100" s="70" t="str">
        <f aca="false">IF(B100="","",INDEX(T_NOMBRE,94)&amp;"")</f>
        <v/>
      </c>
      <c r="D100" s="70" t="str">
        <f aca="false">IF(B100="","",INDEX(T_CARGO,94)&amp;"")</f>
        <v/>
      </c>
      <c r="E100" s="70" t="str">
        <f aca="false">IF(B100="","",INDEX(T_ESTADO,94))</f>
        <v/>
      </c>
      <c r="F100" s="75" t="str">
        <f aca="false">IF(B100="","",INDEX(T_INGRESO,94))</f>
        <v/>
      </c>
      <c r="G100" s="70" t="str">
        <f aca="false">IF(B100="","",COUNTIFS(C_ID,B100,C_DEFINE,"Sí",C_INICIO,"&lt;="&amp;FECHA_CORTE))</f>
        <v/>
      </c>
      <c r="H100" s="70" t="str">
        <f aca="false">IF(B100="","",COUNTIFS(C_ID,B100,C_DEFINE,"Sí"))</f>
        <v/>
      </c>
      <c r="I100" s="70" t="str">
        <f aca="false">IF(B100="","",IF(H100=0,"Sin contrato",IFERROR(INDEX(C_TIPO,MATCH(B100&amp;"-P"&amp;MAX(1,G100),C_CLAVE,0))&amp;"","")))</f>
        <v/>
      </c>
      <c r="J100" s="70" t="str">
        <f aca="false">IF(OR(B100="",N(H100)=0),"",IFERROR(INDEX(C_TIPODOC,MATCH(B100&amp;"-P"&amp;MAX(1,G100),C_CLAVE,0))&amp;"",""))</f>
        <v/>
      </c>
      <c r="K100" s="76" t="str">
        <f aca="false">IF(I100="Plazo fijo",IFERROR(INDEX(C_NPF,MATCH(B100&amp;"-P"&amp;MAX(1,G100),C_CLAVE,0)),""),"")</f>
        <v/>
      </c>
      <c r="L100" s="70" t="str">
        <f aca="false">IF(B100="","",COUNTIFS(C_ID,B100,C_TIPODOC,"Anexo de modificación"))</f>
        <v/>
      </c>
      <c r="M100" s="75" t="str">
        <f aca="false">IF(OR(B100="",N(H100)=0),"",IFERROR(INDEX(C_INICIO,MATCH(B100&amp;"-P"&amp;MAX(1,G100),C_CLAVE,0)),""))</f>
        <v/>
      </c>
      <c r="N100" s="75" t="str">
        <f aca="false">IF(OR(I100="Plazo fijo",I100="Obra o faena"),IFERROR(IF(N(INDEX(C_TERMINO,MATCH(B100&amp;"-P"&amp;MAX(1,G100),C_CLAVE,0)))=0,"",INDEX(C_TERMINO,MATCH(B100&amp;"-P"&amp;MAX(1,G100),C_CLAVE,0))),""),"")</f>
        <v/>
      </c>
      <c r="O100" s="77" t="str">
        <f aca="false">IF(AND(ISNUMBER(N100),E100&lt;&gt;"Desvinculado"),N100-FECHA_CORTE,"")</f>
        <v/>
      </c>
      <c r="P100" s="75" t="str">
        <f aca="false">IF(AND(ISNUMBER(N100),E100&lt;&gt;"Desvinculado"),N100-DIAS_DECISION,"")</f>
        <v/>
      </c>
      <c r="Q100" s="75" t="str">
        <f aca="false">IF(OR(B100="",N(H100)&lt;=N(G100)),"",IFERROR(INDEX(C_INICIO,MATCH(B100&amp;"-P"&amp;(G100+1),C_CLAVE,0)),""))</f>
        <v/>
      </c>
      <c r="R100" s="70" t="str">
        <f aca="false">IF(B100="","",IF(E100="Desvinculado","Terminado",IF(H100=0,"Sin contrato registrado",IF(E100="Por ingresar","Por ingresar",IF(ISNUMBER(Q100),"Renovación registrada",IF(I100="Indefinido","Indefinido",IF(NOT(ISNUMBER(O100)),"Falta fecha de término",IF(O100&lt;0,"VENCIDO",IF(O100&lt;=ALERTA_ROJA,"Vence en ≤ "&amp;ALERTA_ROJA&amp;" días",IF(O100&lt;=ALERTA_NARANJA,"Vence en ≤ "&amp;ALERTA_NARANJA&amp;" días",IF(O100&lt;=ALERTA_AMARILLA,"Vence en ≤ "&amp;ALERTA_AMARILLA&amp;" días","Vigente")))))))))))</f>
        <v/>
      </c>
      <c r="S100" s="70" t="str">
        <f aca="false">IF(B100="","",IF(R100="Terminado","—",IF(R100="Sin contrato registrado","Registrar el contrato en la hoja Contratos",IF(R100="Por ingresar","Tener el contrato firmado y hacer el alta en AFP, salud, seguro de cesantía y mutual",IF(R100="Renovación registrada",IF(AND(N(K100)&gt;=2,IFERROR(INDEX(C_TIPO,MATCH(B100&amp;"-P"&amp;(G100+1),C_CLAVE,0)),"")="Plazo fijo"),"⚠ El período registrado sería el 3er contrato a plazo: por ley es INDEFINIDO. Registrarlo como Paso a indefinido","Siguiente período ya registrado: verificar que el documento esté firmado"),IF(I100="Indefinido","Sin vencimiento. Cambios de sueldo, cargo o jornada se formalizan con anexo de modificación",IF(R100="Falta fecha de término","Completar la fecha de término en la hoja Contratos",IF(R100="VENCIDO","Si sigue trabajando, por ley el contrato ya es INDEFINIDO (Art. 159 N°4): firmar anexo de paso a indefinido o regularizar el término",IF(I100="Obra o faena","Al concluir la obra: finiquito por Art. 159 N°5 + indemnización de 2,5 días por mes trabajado (Ley 21.122)",IF(N(K100)&gt;=3,"Por ley ya es indefinido (2ª renovación): firmar anexo de paso a indefinido",IF(N(K100)=2,"2° contrato a plazo: NO admite otra renovación a plazo fijo. Pasar a indefinido o terminar al vencimiento (carta dentro de 3 días hábiles)","1er contrato a plazo: renovar (2° plazo fijo), pasar a indefinido o terminar al vencimiento (carta dentro de 3 días hábiles)")))))))))))</f>
        <v/>
      </c>
      <c r="T100" s="70" t="str">
        <f aca="false">IF(B100="","",IF(COUNTIFS(C_ID,B100,C_FIRMADO,"&lt;&gt;Sí")&gt;0,COUNTIFS(C_ID,B100,C_FIRMADO,"&lt;&gt;Sí")&amp;" documento(s) sin firma. ","")&amp;IF(COUNTIFS(C_ID,B100,C_TIPO,"Plazo fijo",C_DEFINE,"Sí")&gt;2,"Más de 2 contratos a plazo: revisar presunción de indefinido. ","")&amp;IF(AND(R100="VENCIDO",LEFT(E100,6)="Activo"),"Trabaja con contrato vencido. ",""))</f>
        <v/>
      </c>
      <c r="U100" s="71" t="str">
        <f aca="false">IF(B100="","",INDEX(T_SUELDO,94))</f>
        <v/>
      </c>
      <c r="V100" s="72" t="str">
        <f aca="false">IF(AND(B100&lt;&gt;"",LEFT(E100,6)="Activo",ISNUMBER(O100),R100&lt;&gt;"Renovación registrada"),O100+ROW()/100000,"")</f>
        <v/>
      </c>
    </row>
    <row r="101" customFormat="false" ht="15" hidden="false" customHeight="false" outlineLevel="0" collapsed="false">
      <c r="B101" s="70" t="str">
        <f aca="false">IFERROR(IF(INDEX(T_ID,95)="","",INDEX(T_ID,95)),"")</f>
        <v/>
      </c>
      <c r="C101" s="70" t="str">
        <f aca="false">IF(B101="","",INDEX(T_NOMBRE,95)&amp;"")</f>
        <v/>
      </c>
      <c r="D101" s="70" t="str">
        <f aca="false">IF(B101="","",INDEX(T_CARGO,95)&amp;"")</f>
        <v/>
      </c>
      <c r="E101" s="70" t="str">
        <f aca="false">IF(B101="","",INDEX(T_ESTADO,95))</f>
        <v/>
      </c>
      <c r="F101" s="75" t="str">
        <f aca="false">IF(B101="","",INDEX(T_INGRESO,95))</f>
        <v/>
      </c>
      <c r="G101" s="70" t="str">
        <f aca="false">IF(B101="","",COUNTIFS(C_ID,B101,C_DEFINE,"Sí",C_INICIO,"&lt;="&amp;FECHA_CORTE))</f>
        <v/>
      </c>
      <c r="H101" s="70" t="str">
        <f aca="false">IF(B101="","",COUNTIFS(C_ID,B101,C_DEFINE,"Sí"))</f>
        <v/>
      </c>
      <c r="I101" s="70" t="str">
        <f aca="false">IF(B101="","",IF(H101=0,"Sin contrato",IFERROR(INDEX(C_TIPO,MATCH(B101&amp;"-P"&amp;MAX(1,G101),C_CLAVE,0))&amp;"","")))</f>
        <v/>
      </c>
      <c r="J101" s="70" t="str">
        <f aca="false">IF(OR(B101="",N(H101)=0),"",IFERROR(INDEX(C_TIPODOC,MATCH(B101&amp;"-P"&amp;MAX(1,G101),C_CLAVE,0))&amp;"",""))</f>
        <v/>
      </c>
      <c r="K101" s="76" t="str">
        <f aca="false">IF(I101="Plazo fijo",IFERROR(INDEX(C_NPF,MATCH(B101&amp;"-P"&amp;MAX(1,G101),C_CLAVE,0)),""),"")</f>
        <v/>
      </c>
      <c r="L101" s="70" t="str">
        <f aca="false">IF(B101="","",COUNTIFS(C_ID,B101,C_TIPODOC,"Anexo de modificación"))</f>
        <v/>
      </c>
      <c r="M101" s="75" t="str">
        <f aca="false">IF(OR(B101="",N(H101)=0),"",IFERROR(INDEX(C_INICIO,MATCH(B101&amp;"-P"&amp;MAX(1,G101),C_CLAVE,0)),""))</f>
        <v/>
      </c>
      <c r="N101" s="75" t="str">
        <f aca="false">IF(OR(I101="Plazo fijo",I101="Obra o faena"),IFERROR(IF(N(INDEX(C_TERMINO,MATCH(B101&amp;"-P"&amp;MAX(1,G101),C_CLAVE,0)))=0,"",INDEX(C_TERMINO,MATCH(B101&amp;"-P"&amp;MAX(1,G101),C_CLAVE,0))),""),"")</f>
        <v/>
      </c>
      <c r="O101" s="77" t="str">
        <f aca="false">IF(AND(ISNUMBER(N101),E101&lt;&gt;"Desvinculado"),N101-FECHA_CORTE,"")</f>
        <v/>
      </c>
      <c r="P101" s="75" t="str">
        <f aca="false">IF(AND(ISNUMBER(N101),E101&lt;&gt;"Desvinculado"),N101-DIAS_DECISION,"")</f>
        <v/>
      </c>
      <c r="Q101" s="75" t="str">
        <f aca="false">IF(OR(B101="",N(H101)&lt;=N(G101)),"",IFERROR(INDEX(C_INICIO,MATCH(B101&amp;"-P"&amp;(G101+1),C_CLAVE,0)),""))</f>
        <v/>
      </c>
      <c r="R101" s="70" t="str">
        <f aca="false">IF(B101="","",IF(E101="Desvinculado","Terminado",IF(H101=0,"Sin contrato registrado",IF(E101="Por ingresar","Por ingresar",IF(ISNUMBER(Q101),"Renovación registrada",IF(I101="Indefinido","Indefinido",IF(NOT(ISNUMBER(O101)),"Falta fecha de término",IF(O101&lt;0,"VENCIDO",IF(O101&lt;=ALERTA_ROJA,"Vence en ≤ "&amp;ALERTA_ROJA&amp;" días",IF(O101&lt;=ALERTA_NARANJA,"Vence en ≤ "&amp;ALERTA_NARANJA&amp;" días",IF(O101&lt;=ALERTA_AMARILLA,"Vence en ≤ "&amp;ALERTA_AMARILLA&amp;" días","Vigente")))))))))))</f>
        <v/>
      </c>
      <c r="S101" s="70" t="str">
        <f aca="false">IF(B101="","",IF(R101="Terminado","—",IF(R101="Sin contrato registrado","Registrar el contrato en la hoja Contratos",IF(R101="Por ingresar","Tener el contrato firmado y hacer el alta en AFP, salud, seguro de cesantía y mutual",IF(R101="Renovación registrada",IF(AND(N(K101)&gt;=2,IFERROR(INDEX(C_TIPO,MATCH(B101&amp;"-P"&amp;(G101+1),C_CLAVE,0)),"")="Plazo fijo"),"⚠ El período registrado sería el 3er contrato a plazo: por ley es INDEFINIDO. Registrarlo como Paso a indefinido","Siguiente período ya registrado: verificar que el documento esté firmado"),IF(I101="Indefinido","Sin vencimiento. Cambios de sueldo, cargo o jornada se formalizan con anexo de modificación",IF(R101="Falta fecha de término","Completar la fecha de término en la hoja Contratos",IF(R101="VENCIDO","Si sigue trabajando, por ley el contrato ya es INDEFINIDO (Art. 159 N°4): firmar anexo de paso a indefinido o regularizar el término",IF(I101="Obra o faena","Al concluir la obra: finiquito por Art. 159 N°5 + indemnización de 2,5 días por mes trabajado (Ley 21.122)",IF(N(K101)&gt;=3,"Por ley ya es indefinido (2ª renovación): firmar anexo de paso a indefinido",IF(N(K101)=2,"2° contrato a plazo: NO admite otra renovación a plazo fijo. Pasar a indefinido o terminar al vencimiento (carta dentro de 3 días hábiles)","1er contrato a plazo: renovar (2° plazo fijo), pasar a indefinido o terminar al vencimiento (carta dentro de 3 días hábiles)")))))))))))</f>
        <v/>
      </c>
      <c r="T101" s="70" t="str">
        <f aca="false">IF(B101="","",IF(COUNTIFS(C_ID,B101,C_FIRMADO,"&lt;&gt;Sí")&gt;0,COUNTIFS(C_ID,B101,C_FIRMADO,"&lt;&gt;Sí")&amp;" documento(s) sin firma. ","")&amp;IF(COUNTIFS(C_ID,B101,C_TIPO,"Plazo fijo",C_DEFINE,"Sí")&gt;2,"Más de 2 contratos a plazo: revisar presunción de indefinido. ","")&amp;IF(AND(R101="VENCIDO",LEFT(E101,6)="Activo"),"Trabaja con contrato vencido. ",""))</f>
        <v/>
      </c>
      <c r="U101" s="71" t="str">
        <f aca="false">IF(B101="","",INDEX(T_SUELDO,95))</f>
        <v/>
      </c>
      <c r="V101" s="72" t="str">
        <f aca="false">IF(AND(B101&lt;&gt;"",LEFT(E101,6)="Activo",ISNUMBER(O101),R101&lt;&gt;"Renovación registrada"),O101+ROW()/100000,"")</f>
        <v/>
      </c>
    </row>
    <row r="102" customFormat="false" ht="15" hidden="false" customHeight="false" outlineLevel="0" collapsed="false">
      <c r="B102" s="70" t="str">
        <f aca="false">IFERROR(IF(INDEX(T_ID,96)="","",INDEX(T_ID,96)),"")</f>
        <v/>
      </c>
      <c r="C102" s="70" t="str">
        <f aca="false">IF(B102="","",INDEX(T_NOMBRE,96)&amp;"")</f>
        <v/>
      </c>
      <c r="D102" s="70" t="str">
        <f aca="false">IF(B102="","",INDEX(T_CARGO,96)&amp;"")</f>
        <v/>
      </c>
      <c r="E102" s="70" t="str">
        <f aca="false">IF(B102="","",INDEX(T_ESTADO,96))</f>
        <v/>
      </c>
      <c r="F102" s="75" t="str">
        <f aca="false">IF(B102="","",INDEX(T_INGRESO,96))</f>
        <v/>
      </c>
      <c r="G102" s="70" t="str">
        <f aca="false">IF(B102="","",COUNTIFS(C_ID,B102,C_DEFINE,"Sí",C_INICIO,"&lt;="&amp;FECHA_CORTE))</f>
        <v/>
      </c>
      <c r="H102" s="70" t="str">
        <f aca="false">IF(B102="","",COUNTIFS(C_ID,B102,C_DEFINE,"Sí"))</f>
        <v/>
      </c>
      <c r="I102" s="70" t="str">
        <f aca="false">IF(B102="","",IF(H102=0,"Sin contrato",IFERROR(INDEX(C_TIPO,MATCH(B102&amp;"-P"&amp;MAX(1,G102),C_CLAVE,0))&amp;"","")))</f>
        <v/>
      </c>
      <c r="J102" s="70" t="str">
        <f aca="false">IF(OR(B102="",N(H102)=0),"",IFERROR(INDEX(C_TIPODOC,MATCH(B102&amp;"-P"&amp;MAX(1,G102),C_CLAVE,0))&amp;"",""))</f>
        <v/>
      </c>
      <c r="K102" s="76" t="str">
        <f aca="false">IF(I102="Plazo fijo",IFERROR(INDEX(C_NPF,MATCH(B102&amp;"-P"&amp;MAX(1,G102),C_CLAVE,0)),""),"")</f>
        <v/>
      </c>
      <c r="L102" s="70" t="str">
        <f aca="false">IF(B102="","",COUNTIFS(C_ID,B102,C_TIPODOC,"Anexo de modificación"))</f>
        <v/>
      </c>
      <c r="M102" s="75" t="str">
        <f aca="false">IF(OR(B102="",N(H102)=0),"",IFERROR(INDEX(C_INICIO,MATCH(B102&amp;"-P"&amp;MAX(1,G102),C_CLAVE,0)),""))</f>
        <v/>
      </c>
      <c r="N102" s="75" t="str">
        <f aca="false">IF(OR(I102="Plazo fijo",I102="Obra o faena"),IFERROR(IF(N(INDEX(C_TERMINO,MATCH(B102&amp;"-P"&amp;MAX(1,G102),C_CLAVE,0)))=0,"",INDEX(C_TERMINO,MATCH(B102&amp;"-P"&amp;MAX(1,G102),C_CLAVE,0))),""),"")</f>
        <v/>
      </c>
      <c r="O102" s="77" t="str">
        <f aca="false">IF(AND(ISNUMBER(N102),E102&lt;&gt;"Desvinculado"),N102-FECHA_CORTE,"")</f>
        <v/>
      </c>
      <c r="P102" s="75" t="str">
        <f aca="false">IF(AND(ISNUMBER(N102),E102&lt;&gt;"Desvinculado"),N102-DIAS_DECISION,"")</f>
        <v/>
      </c>
      <c r="Q102" s="75" t="str">
        <f aca="false">IF(OR(B102="",N(H102)&lt;=N(G102)),"",IFERROR(INDEX(C_INICIO,MATCH(B102&amp;"-P"&amp;(G102+1),C_CLAVE,0)),""))</f>
        <v/>
      </c>
      <c r="R102" s="70" t="str">
        <f aca="false">IF(B102="","",IF(E102="Desvinculado","Terminado",IF(H102=0,"Sin contrato registrado",IF(E102="Por ingresar","Por ingresar",IF(ISNUMBER(Q102),"Renovación registrada",IF(I102="Indefinido","Indefinido",IF(NOT(ISNUMBER(O102)),"Falta fecha de término",IF(O102&lt;0,"VENCIDO",IF(O102&lt;=ALERTA_ROJA,"Vence en ≤ "&amp;ALERTA_ROJA&amp;" días",IF(O102&lt;=ALERTA_NARANJA,"Vence en ≤ "&amp;ALERTA_NARANJA&amp;" días",IF(O102&lt;=ALERTA_AMARILLA,"Vence en ≤ "&amp;ALERTA_AMARILLA&amp;" días","Vigente")))))))))))</f>
        <v/>
      </c>
      <c r="S102" s="70" t="str">
        <f aca="false">IF(B102="","",IF(R102="Terminado","—",IF(R102="Sin contrato registrado","Registrar el contrato en la hoja Contratos",IF(R102="Por ingresar","Tener el contrato firmado y hacer el alta en AFP, salud, seguro de cesantía y mutual",IF(R102="Renovación registrada",IF(AND(N(K102)&gt;=2,IFERROR(INDEX(C_TIPO,MATCH(B102&amp;"-P"&amp;(G102+1),C_CLAVE,0)),"")="Plazo fijo"),"⚠ El período registrado sería el 3er contrato a plazo: por ley es INDEFINIDO. Registrarlo como Paso a indefinido","Siguiente período ya registrado: verificar que el documento esté firmado"),IF(I102="Indefinido","Sin vencimiento. Cambios de sueldo, cargo o jornada se formalizan con anexo de modificación",IF(R102="Falta fecha de término","Completar la fecha de término en la hoja Contratos",IF(R102="VENCIDO","Si sigue trabajando, por ley el contrato ya es INDEFINIDO (Art. 159 N°4): firmar anexo de paso a indefinido o regularizar el término",IF(I102="Obra o faena","Al concluir la obra: finiquito por Art. 159 N°5 + indemnización de 2,5 días por mes trabajado (Ley 21.122)",IF(N(K102)&gt;=3,"Por ley ya es indefinido (2ª renovación): firmar anexo de paso a indefinido",IF(N(K102)=2,"2° contrato a plazo: NO admite otra renovación a plazo fijo. Pasar a indefinido o terminar al vencimiento (carta dentro de 3 días hábiles)","1er contrato a plazo: renovar (2° plazo fijo), pasar a indefinido o terminar al vencimiento (carta dentro de 3 días hábiles)")))))))))))</f>
        <v/>
      </c>
      <c r="T102" s="70" t="str">
        <f aca="false">IF(B102="","",IF(COUNTIFS(C_ID,B102,C_FIRMADO,"&lt;&gt;Sí")&gt;0,COUNTIFS(C_ID,B102,C_FIRMADO,"&lt;&gt;Sí")&amp;" documento(s) sin firma. ","")&amp;IF(COUNTIFS(C_ID,B102,C_TIPO,"Plazo fijo",C_DEFINE,"Sí")&gt;2,"Más de 2 contratos a plazo: revisar presunción de indefinido. ","")&amp;IF(AND(R102="VENCIDO",LEFT(E102,6)="Activo"),"Trabaja con contrato vencido. ",""))</f>
        <v/>
      </c>
      <c r="U102" s="71" t="str">
        <f aca="false">IF(B102="","",INDEX(T_SUELDO,96))</f>
        <v/>
      </c>
      <c r="V102" s="72" t="str">
        <f aca="false">IF(AND(B102&lt;&gt;"",LEFT(E102,6)="Activo",ISNUMBER(O102),R102&lt;&gt;"Renovación registrada"),O102+ROW()/100000,"")</f>
        <v/>
      </c>
    </row>
    <row r="103" customFormat="false" ht="15" hidden="false" customHeight="false" outlineLevel="0" collapsed="false">
      <c r="B103" s="70" t="str">
        <f aca="false">IFERROR(IF(INDEX(T_ID,97)="","",INDEX(T_ID,97)),"")</f>
        <v/>
      </c>
      <c r="C103" s="70" t="str">
        <f aca="false">IF(B103="","",INDEX(T_NOMBRE,97)&amp;"")</f>
        <v/>
      </c>
      <c r="D103" s="70" t="str">
        <f aca="false">IF(B103="","",INDEX(T_CARGO,97)&amp;"")</f>
        <v/>
      </c>
      <c r="E103" s="70" t="str">
        <f aca="false">IF(B103="","",INDEX(T_ESTADO,97))</f>
        <v/>
      </c>
      <c r="F103" s="75" t="str">
        <f aca="false">IF(B103="","",INDEX(T_INGRESO,97))</f>
        <v/>
      </c>
      <c r="G103" s="70" t="str">
        <f aca="false">IF(B103="","",COUNTIFS(C_ID,B103,C_DEFINE,"Sí",C_INICIO,"&lt;="&amp;FECHA_CORTE))</f>
        <v/>
      </c>
      <c r="H103" s="70" t="str">
        <f aca="false">IF(B103="","",COUNTIFS(C_ID,B103,C_DEFINE,"Sí"))</f>
        <v/>
      </c>
      <c r="I103" s="70" t="str">
        <f aca="false">IF(B103="","",IF(H103=0,"Sin contrato",IFERROR(INDEX(C_TIPO,MATCH(B103&amp;"-P"&amp;MAX(1,G103),C_CLAVE,0))&amp;"","")))</f>
        <v/>
      </c>
      <c r="J103" s="70" t="str">
        <f aca="false">IF(OR(B103="",N(H103)=0),"",IFERROR(INDEX(C_TIPODOC,MATCH(B103&amp;"-P"&amp;MAX(1,G103),C_CLAVE,0))&amp;"",""))</f>
        <v/>
      </c>
      <c r="K103" s="76" t="str">
        <f aca="false">IF(I103="Plazo fijo",IFERROR(INDEX(C_NPF,MATCH(B103&amp;"-P"&amp;MAX(1,G103),C_CLAVE,0)),""),"")</f>
        <v/>
      </c>
      <c r="L103" s="70" t="str">
        <f aca="false">IF(B103="","",COUNTIFS(C_ID,B103,C_TIPODOC,"Anexo de modificación"))</f>
        <v/>
      </c>
      <c r="M103" s="75" t="str">
        <f aca="false">IF(OR(B103="",N(H103)=0),"",IFERROR(INDEX(C_INICIO,MATCH(B103&amp;"-P"&amp;MAX(1,G103),C_CLAVE,0)),""))</f>
        <v/>
      </c>
      <c r="N103" s="75" t="str">
        <f aca="false">IF(OR(I103="Plazo fijo",I103="Obra o faena"),IFERROR(IF(N(INDEX(C_TERMINO,MATCH(B103&amp;"-P"&amp;MAX(1,G103),C_CLAVE,0)))=0,"",INDEX(C_TERMINO,MATCH(B103&amp;"-P"&amp;MAX(1,G103),C_CLAVE,0))),""),"")</f>
        <v/>
      </c>
      <c r="O103" s="77" t="str">
        <f aca="false">IF(AND(ISNUMBER(N103),E103&lt;&gt;"Desvinculado"),N103-FECHA_CORTE,"")</f>
        <v/>
      </c>
      <c r="P103" s="75" t="str">
        <f aca="false">IF(AND(ISNUMBER(N103),E103&lt;&gt;"Desvinculado"),N103-DIAS_DECISION,"")</f>
        <v/>
      </c>
      <c r="Q103" s="75" t="str">
        <f aca="false">IF(OR(B103="",N(H103)&lt;=N(G103)),"",IFERROR(INDEX(C_INICIO,MATCH(B103&amp;"-P"&amp;(G103+1),C_CLAVE,0)),""))</f>
        <v/>
      </c>
      <c r="R103" s="70" t="str">
        <f aca="false">IF(B103="","",IF(E103="Desvinculado","Terminado",IF(H103=0,"Sin contrato registrado",IF(E103="Por ingresar","Por ingresar",IF(ISNUMBER(Q103),"Renovación registrada",IF(I103="Indefinido","Indefinido",IF(NOT(ISNUMBER(O103)),"Falta fecha de término",IF(O103&lt;0,"VENCIDO",IF(O103&lt;=ALERTA_ROJA,"Vence en ≤ "&amp;ALERTA_ROJA&amp;" días",IF(O103&lt;=ALERTA_NARANJA,"Vence en ≤ "&amp;ALERTA_NARANJA&amp;" días",IF(O103&lt;=ALERTA_AMARILLA,"Vence en ≤ "&amp;ALERTA_AMARILLA&amp;" días","Vigente")))))))))))</f>
        <v/>
      </c>
      <c r="S103" s="70" t="str">
        <f aca="false">IF(B103="","",IF(R103="Terminado","—",IF(R103="Sin contrato registrado","Registrar el contrato en la hoja Contratos",IF(R103="Por ingresar","Tener el contrato firmado y hacer el alta en AFP, salud, seguro de cesantía y mutual",IF(R103="Renovación registrada",IF(AND(N(K103)&gt;=2,IFERROR(INDEX(C_TIPO,MATCH(B103&amp;"-P"&amp;(G103+1),C_CLAVE,0)),"")="Plazo fijo"),"⚠ El período registrado sería el 3er contrato a plazo: por ley es INDEFINIDO. Registrarlo como Paso a indefinido","Siguiente período ya registrado: verificar que el documento esté firmado"),IF(I103="Indefinido","Sin vencimiento. Cambios de sueldo, cargo o jornada se formalizan con anexo de modificación",IF(R103="Falta fecha de término","Completar la fecha de término en la hoja Contratos",IF(R103="VENCIDO","Si sigue trabajando, por ley el contrato ya es INDEFINIDO (Art. 159 N°4): firmar anexo de paso a indefinido o regularizar el término",IF(I103="Obra o faena","Al concluir la obra: finiquito por Art. 159 N°5 + indemnización de 2,5 días por mes trabajado (Ley 21.122)",IF(N(K103)&gt;=3,"Por ley ya es indefinido (2ª renovación): firmar anexo de paso a indefinido",IF(N(K103)=2,"2° contrato a plazo: NO admite otra renovación a plazo fijo. Pasar a indefinido o terminar al vencimiento (carta dentro de 3 días hábiles)","1er contrato a plazo: renovar (2° plazo fijo), pasar a indefinido o terminar al vencimiento (carta dentro de 3 días hábiles)")))))))))))</f>
        <v/>
      </c>
      <c r="T103" s="70" t="str">
        <f aca="false">IF(B103="","",IF(COUNTIFS(C_ID,B103,C_FIRMADO,"&lt;&gt;Sí")&gt;0,COUNTIFS(C_ID,B103,C_FIRMADO,"&lt;&gt;Sí")&amp;" documento(s) sin firma. ","")&amp;IF(COUNTIFS(C_ID,B103,C_TIPO,"Plazo fijo",C_DEFINE,"Sí")&gt;2,"Más de 2 contratos a plazo: revisar presunción de indefinido. ","")&amp;IF(AND(R103="VENCIDO",LEFT(E103,6)="Activo"),"Trabaja con contrato vencido. ",""))</f>
        <v/>
      </c>
      <c r="U103" s="71" t="str">
        <f aca="false">IF(B103="","",INDEX(T_SUELDO,97))</f>
        <v/>
      </c>
      <c r="V103" s="72" t="str">
        <f aca="false">IF(AND(B103&lt;&gt;"",LEFT(E103,6)="Activo",ISNUMBER(O103),R103&lt;&gt;"Renovación registrada"),O103+ROW()/100000,"")</f>
        <v/>
      </c>
    </row>
    <row r="104" customFormat="false" ht="15" hidden="false" customHeight="false" outlineLevel="0" collapsed="false">
      <c r="B104" s="70" t="str">
        <f aca="false">IFERROR(IF(INDEX(T_ID,98)="","",INDEX(T_ID,98)),"")</f>
        <v/>
      </c>
      <c r="C104" s="70" t="str">
        <f aca="false">IF(B104="","",INDEX(T_NOMBRE,98)&amp;"")</f>
        <v/>
      </c>
      <c r="D104" s="70" t="str">
        <f aca="false">IF(B104="","",INDEX(T_CARGO,98)&amp;"")</f>
        <v/>
      </c>
      <c r="E104" s="70" t="str">
        <f aca="false">IF(B104="","",INDEX(T_ESTADO,98))</f>
        <v/>
      </c>
      <c r="F104" s="75" t="str">
        <f aca="false">IF(B104="","",INDEX(T_INGRESO,98))</f>
        <v/>
      </c>
      <c r="G104" s="70" t="str">
        <f aca="false">IF(B104="","",COUNTIFS(C_ID,B104,C_DEFINE,"Sí",C_INICIO,"&lt;="&amp;FECHA_CORTE))</f>
        <v/>
      </c>
      <c r="H104" s="70" t="str">
        <f aca="false">IF(B104="","",COUNTIFS(C_ID,B104,C_DEFINE,"Sí"))</f>
        <v/>
      </c>
      <c r="I104" s="70" t="str">
        <f aca="false">IF(B104="","",IF(H104=0,"Sin contrato",IFERROR(INDEX(C_TIPO,MATCH(B104&amp;"-P"&amp;MAX(1,G104),C_CLAVE,0))&amp;"","")))</f>
        <v/>
      </c>
      <c r="J104" s="70" t="str">
        <f aca="false">IF(OR(B104="",N(H104)=0),"",IFERROR(INDEX(C_TIPODOC,MATCH(B104&amp;"-P"&amp;MAX(1,G104),C_CLAVE,0))&amp;"",""))</f>
        <v/>
      </c>
      <c r="K104" s="76" t="str">
        <f aca="false">IF(I104="Plazo fijo",IFERROR(INDEX(C_NPF,MATCH(B104&amp;"-P"&amp;MAX(1,G104),C_CLAVE,0)),""),"")</f>
        <v/>
      </c>
      <c r="L104" s="70" t="str">
        <f aca="false">IF(B104="","",COUNTIFS(C_ID,B104,C_TIPODOC,"Anexo de modificación"))</f>
        <v/>
      </c>
      <c r="M104" s="75" t="str">
        <f aca="false">IF(OR(B104="",N(H104)=0),"",IFERROR(INDEX(C_INICIO,MATCH(B104&amp;"-P"&amp;MAX(1,G104),C_CLAVE,0)),""))</f>
        <v/>
      </c>
      <c r="N104" s="75" t="str">
        <f aca="false">IF(OR(I104="Plazo fijo",I104="Obra o faena"),IFERROR(IF(N(INDEX(C_TERMINO,MATCH(B104&amp;"-P"&amp;MAX(1,G104),C_CLAVE,0)))=0,"",INDEX(C_TERMINO,MATCH(B104&amp;"-P"&amp;MAX(1,G104),C_CLAVE,0))),""),"")</f>
        <v/>
      </c>
      <c r="O104" s="77" t="str">
        <f aca="false">IF(AND(ISNUMBER(N104),E104&lt;&gt;"Desvinculado"),N104-FECHA_CORTE,"")</f>
        <v/>
      </c>
      <c r="P104" s="75" t="str">
        <f aca="false">IF(AND(ISNUMBER(N104),E104&lt;&gt;"Desvinculado"),N104-DIAS_DECISION,"")</f>
        <v/>
      </c>
      <c r="Q104" s="75" t="str">
        <f aca="false">IF(OR(B104="",N(H104)&lt;=N(G104)),"",IFERROR(INDEX(C_INICIO,MATCH(B104&amp;"-P"&amp;(G104+1),C_CLAVE,0)),""))</f>
        <v/>
      </c>
      <c r="R104" s="70" t="str">
        <f aca="false">IF(B104="","",IF(E104="Desvinculado","Terminado",IF(H104=0,"Sin contrato registrado",IF(E104="Por ingresar","Por ingresar",IF(ISNUMBER(Q104),"Renovación registrada",IF(I104="Indefinido","Indefinido",IF(NOT(ISNUMBER(O104)),"Falta fecha de término",IF(O104&lt;0,"VENCIDO",IF(O104&lt;=ALERTA_ROJA,"Vence en ≤ "&amp;ALERTA_ROJA&amp;" días",IF(O104&lt;=ALERTA_NARANJA,"Vence en ≤ "&amp;ALERTA_NARANJA&amp;" días",IF(O104&lt;=ALERTA_AMARILLA,"Vence en ≤ "&amp;ALERTA_AMARILLA&amp;" días","Vigente")))))))))))</f>
        <v/>
      </c>
      <c r="S104" s="70" t="str">
        <f aca="false">IF(B104="","",IF(R104="Terminado","—",IF(R104="Sin contrato registrado","Registrar el contrato en la hoja Contratos",IF(R104="Por ingresar","Tener el contrato firmado y hacer el alta en AFP, salud, seguro de cesantía y mutual",IF(R104="Renovación registrada",IF(AND(N(K104)&gt;=2,IFERROR(INDEX(C_TIPO,MATCH(B104&amp;"-P"&amp;(G104+1),C_CLAVE,0)),"")="Plazo fijo"),"⚠ El período registrado sería el 3er contrato a plazo: por ley es INDEFINIDO. Registrarlo como Paso a indefinido","Siguiente período ya registrado: verificar que el documento esté firmado"),IF(I104="Indefinido","Sin vencimiento. Cambios de sueldo, cargo o jornada se formalizan con anexo de modificación",IF(R104="Falta fecha de término","Completar la fecha de término en la hoja Contratos",IF(R104="VENCIDO","Si sigue trabajando, por ley el contrato ya es INDEFINIDO (Art. 159 N°4): firmar anexo de paso a indefinido o regularizar el término",IF(I104="Obra o faena","Al concluir la obra: finiquito por Art. 159 N°5 + indemnización de 2,5 días por mes trabajado (Ley 21.122)",IF(N(K104)&gt;=3,"Por ley ya es indefinido (2ª renovación): firmar anexo de paso a indefinido",IF(N(K104)=2,"2° contrato a plazo: NO admite otra renovación a plazo fijo. Pasar a indefinido o terminar al vencimiento (carta dentro de 3 días hábiles)","1er contrato a plazo: renovar (2° plazo fijo), pasar a indefinido o terminar al vencimiento (carta dentro de 3 días hábiles)")))))))))))</f>
        <v/>
      </c>
      <c r="T104" s="70" t="str">
        <f aca="false">IF(B104="","",IF(COUNTIFS(C_ID,B104,C_FIRMADO,"&lt;&gt;Sí")&gt;0,COUNTIFS(C_ID,B104,C_FIRMADO,"&lt;&gt;Sí")&amp;" documento(s) sin firma. ","")&amp;IF(COUNTIFS(C_ID,B104,C_TIPO,"Plazo fijo",C_DEFINE,"Sí")&gt;2,"Más de 2 contratos a plazo: revisar presunción de indefinido. ","")&amp;IF(AND(R104="VENCIDO",LEFT(E104,6)="Activo"),"Trabaja con contrato vencido. ",""))</f>
        <v/>
      </c>
      <c r="U104" s="71" t="str">
        <f aca="false">IF(B104="","",INDEX(T_SUELDO,98))</f>
        <v/>
      </c>
      <c r="V104" s="72" t="str">
        <f aca="false">IF(AND(B104&lt;&gt;"",LEFT(E104,6)="Activo",ISNUMBER(O104),R104&lt;&gt;"Renovación registrada"),O104+ROW()/100000,"")</f>
        <v/>
      </c>
    </row>
    <row r="105" customFormat="false" ht="15" hidden="false" customHeight="false" outlineLevel="0" collapsed="false">
      <c r="B105" s="70" t="str">
        <f aca="false">IFERROR(IF(INDEX(T_ID,99)="","",INDEX(T_ID,99)),"")</f>
        <v/>
      </c>
      <c r="C105" s="70" t="str">
        <f aca="false">IF(B105="","",INDEX(T_NOMBRE,99)&amp;"")</f>
        <v/>
      </c>
      <c r="D105" s="70" t="str">
        <f aca="false">IF(B105="","",INDEX(T_CARGO,99)&amp;"")</f>
        <v/>
      </c>
      <c r="E105" s="70" t="str">
        <f aca="false">IF(B105="","",INDEX(T_ESTADO,99))</f>
        <v/>
      </c>
      <c r="F105" s="75" t="str">
        <f aca="false">IF(B105="","",INDEX(T_INGRESO,99))</f>
        <v/>
      </c>
      <c r="G105" s="70" t="str">
        <f aca="false">IF(B105="","",COUNTIFS(C_ID,B105,C_DEFINE,"Sí",C_INICIO,"&lt;="&amp;FECHA_CORTE))</f>
        <v/>
      </c>
      <c r="H105" s="70" t="str">
        <f aca="false">IF(B105="","",COUNTIFS(C_ID,B105,C_DEFINE,"Sí"))</f>
        <v/>
      </c>
      <c r="I105" s="70" t="str">
        <f aca="false">IF(B105="","",IF(H105=0,"Sin contrato",IFERROR(INDEX(C_TIPO,MATCH(B105&amp;"-P"&amp;MAX(1,G105),C_CLAVE,0))&amp;"","")))</f>
        <v/>
      </c>
      <c r="J105" s="70" t="str">
        <f aca="false">IF(OR(B105="",N(H105)=0),"",IFERROR(INDEX(C_TIPODOC,MATCH(B105&amp;"-P"&amp;MAX(1,G105),C_CLAVE,0))&amp;"",""))</f>
        <v/>
      </c>
      <c r="K105" s="76" t="str">
        <f aca="false">IF(I105="Plazo fijo",IFERROR(INDEX(C_NPF,MATCH(B105&amp;"-P"&amp;MAX(1,G105),C_CLAVE,0)),""),"")</f>
        <v/>
      </c>
      <c r="L105" s="70" t="str">
        <f aca="false">IF(B105="","",COUNTIFS(C_ID,B105,C_TIPODOC,"Anexo de modificación"))</f>
        <v/>
      </c>
      <c r="M105" s="75" t="str">
        <f aca="false">IF(OR(B105="",N(H105)=0),"",IFERROR(INDEX(C_INICIO,MATCH(B105&amp;"-P"&amp;MAX(1,G105),C_CLAVE,0)),""))</f>
        <v/>
      </c>
      <c r="N105" s="75" t="str">
        <f aca="false">IF(OR(I105="Plazo fijo",I105="Obra o faena"),IFERROR(IF(N(INDEX(C_TERMINO,MATCH(B105&amp;"-P"&amp;MAX(1,G105),C_CLAVE,0)))=0,"",INDEX(C_TERMINO,MATCH(B105&amp;"-P"&amp;MAX(1,G105),C_CLAVE,0))),""),"")</f>
        <v/>
      </c>
      <c r="O105" s="77" t="str">
        <f aca="false">IF(AND(ISNUMBER(N105),E105&lt;&gt;"Desvinculado"),N105-FECHA_CORTE,"")</f>
        <v/>
      </c>
      <c r="P105" s="75" t="str">
        <f aca="false">IF(AND(ISNUMBER(N105),E105&lt;&gt;"Desvinculado"),N105-DIAS_DECISION,"")</f>
        <v/>
      </c>
      <c r="Q105" s="75" t="str">
        <f aca="false">IF(OR(B105="",N(H105)&lt;=N(G105)),"",IFERROR(INDEX(C_INICIO,MATCH(B105&amp;"-P"&amp;(G105+1),C_CLAVE,0)),""))</f>
        <v/>
      </c>
      <c r="R105" s="70" t="str">
        <f aca="false">IF(B105="","",IF(E105="Desvinculado","Terminado",IF(H105=0,"Sin contrato registrado",IF(E105="Por ingresar","Por ingresar",IF(ISNUMBER(Q105),"Renovación registrada",IF(I105="Indefinido","Indefinido",IF(NOT(ISNUMBER(O105)),"Falta fecha de término",IF(O105&lt;0,"VENCIDO",IF(O105&lt;=ALERTA_ROJA,"Vence en ≤ "&amp;ALERTA_ROJA&amp;" días",IF(O105&lt;=ALERTA_NARANJA,"Vence en ≤ "&amp;ALERTA_NARANJA&amp;" días",IF(O105&lt;=ALERTA_AMARILLA,"Vence en ≤ "&amp;ALERTA_AMARILLA&amp;" días","Vigente")))))))))))</f>
        <v/>
      </c>
      <c r="S105" s="70" t="str">
        <f aca="false">IF(B105="","",IF(R105="Terminado","—",IF(R105="Sin contrato registrado","Registrar el contrato en la hoja Contratos",IF(R105="Por ingresar","Tener el contrato firmado y hacer el alta en AFP, salud, seguro de cesantía y mutual",IF(R105="Renovación registrada",IF(AND(N(K105)&gt;=2,IFERROR(INDEX(C_TIPO,MATCH(B105&amp;"-P"&amp;(G105+1),C_CLAVE,0)),"")="Plazo fijo"),"⚠ El período registrado sería el 3er contrato a plazo: por ley es INDEFINIDO. Registrarlo como Paso a indefinido","Siguiente período ya registrado: verificar que el documento esté firmado"),IF(I105="Indefinido","Sin vencimiento. Cambios de sueldo, cargo o jornada se formalizan con anexo de modificación",IF(R105="Falta fecha de término","Completar la fecha de término en la hoja Contratos",IF(R105="VENCIDO","Si sigue trabajando, por ley el contrato ya es INDEFINIDO (Art. 159 N°4): firmar anexo de paso a indefinido o regularizar el término",IF(I105="Obra o faena","Al concluir la obra: finiquito por Art. 159 N°5 + indemnización de 2,5 días por mes trabajado (Ley 21.122)",IF(N(K105)&gt;=3,"Por ley ya es indefinido (2ª renovación): firmar anexo de paso a indefinido",IF(N(K105)=2,"2° contrato a plazo: NO admite otra renovación a plazo fijo. Pasar a indefinido o terminar al vencimiento (carta dentro de 3 días hábiles)","1er contrato a plazo: renovar (2° plazo fijo), pasar a indefinido o terminar al vencimiento (carta dentro de 3 días hábiles)")))))))))))</f>
        <v/>
      </c>
      <c r="T105" s="70" t="str">
        <f aca="false">IF(B105="","",IF(COUNTIFS(C_ID,B105,C_FIRMADO,"&lt;&gt;Sí")&gt;0,COUNTIFS(C_ID,B105,C_FIRMADO,"&lt;&gt;Sí")&amp;" documento(s) sin firma. ","")&amp;IF(COUNTIFS(C_ID,B105,C_TIPO,"Plazo fijo",C_DEFINE,"Sí")&gt;2,"Más de 2 contratos a plazo: revisar presunción de indefinido. ","")&amp;IF(AND(R105="VENCIDO",LEFT(E105,6)="Activo"),"Trabaja con contrato vencido. ",""))</f>
        <v/>
      </c>
      <c r="U105" s="71" t="str">
        <f aca="false">IF(B105="","",INDEX(T_SUELDO,99))</f>
        <v/>
      </c>
      <c r="V105" s="72" t="str">
        <f aca="false">IF(AND(B105&lt;&gt;"",LEFT(E105,6)="Activo",ISNUMBER(O105),R105&lt;&gt;"Renovación registrada"),O105+ROW()/100000,"")</f>
        <v/>
      </c>
    </row>
    <row r="106" customFormat="false" ht="15" hidden="false" customHeight="false" outlineLevel="0" collapsed="false">
      <c r="B106" s="70" t="str">
        <f aca="false">IFERROR(IF(INDEX(T_ID,100)="","",INDEX(T_ID,100)),"")</f>
        <v/>
      </c>
      <c r="C106" s="70" t="str">
        <f aca="false">IF(B106="","",INDEX(T_NOMBRE,100)&amp;"")</f>
        <v/>
      </c>
      <c r="D106" s="70" t="str">
        <f aca="false">IF(B106="","",INDEX(T_CARGO,100)&amp;"")</f>
        <v/>
      </c>
      <c r="E106" s="70" t="str">
        <f aca="false">IF(B106="","",INDEX(T_ESTADO,100))</f>
        <v/>
      </c>
      <c r="F106" s="75" t="str">
        <f aca="false">IF(B106="","",INDEX(T_INGRESO,100))</f>
        <v/>
      </c>
      <c r="G106" s="70" t="str">
        <f aca="false">IF(B106="","",COUNTIFS(C_ID,B106,C_DEFINE,"Sí",C_INICIO,"&lt;="&amp;FECHA_CORTE))</f>
        <v/>
      </c>
      <c r="H106" s="70" t="str">
        <f aca="false">IF(B106="","",COUNTIFS(C_ID,B106,C_DEFINE,"Sí"))</f>
        <v/>
      </c>
      <c r="I106" s="70" t="str">
        <f aca="false">IF(B106="","",IF(H106=0,"Sin contrato",IFERROR(INDEX(C_TIPO,MATCH(B106&amp;"-P"&amp;MAX(1,G106),C_CLAVE,0))&amp;"","")))</f>
        <v/>
      </c>
      <c r="J106" s="70" t="str">
        <f aca="false">IF(OR(B106="",N(H106)=0),"",IFERROR(INDEX(C_TIPODOC,MATCH(B106&amp;"-P"&amp;MAX(1,G106),C_CLAVE,0))&amp;"",""))</f>
        <v/>
      </c>
      <c r="K106" s="76" t="str">
        <f aca="false">IF(I106="Plazo fijo",IFERROR(INDEX(C_NPF,MATCH(B106&amp;"-P"&amp;MAX(1,G106),C_CLAVE,0)),""),"")</f>
        <v/>
      </c>
      <c r="L106" s="70" t="str">
        <f aca="false">IF(B106="","",COUNTIFS(C_ID,B106,C_TIPODOC,"Anexo de modificación"))</f>
        <v/>
      </c>
      <c r="M106" s="75" t="str">
        <f aca="false">IF(OR(B106="",N(H106)=0),"",IFERROR(INDEX(C_INICIO,MATCH(B106&amp;"-P"&amp;MAX(1,G106),C_CLAVE,0)),""))</f>
        <v/>
      </c>
      <c r="N106" s="75" t="str">
        <f aca="false">IF(OR(I106="Plazo fijo",I106="Obra o faena"),IFERROR(IF(N(INDEX(C_TERMINO,MATCH(B106&amp;"-P"&amp;MAX(1,G106),C_CLAVE,0)))=0,"",INDEX(C_TERMINO,MATCH(B106&amp;"-P"&amp;MAX(1,G106),C_CLAVE,0))),""),"")</f>
        <v/>
      </c>
      <c r="O106" s="77" t="str">
        <f aca="false">IF(AND(ISNUMBER(N106),E106&lt;&gt;"Desvinculado"),N106-FECHA_CORTE,"")</f>
        <v/>
      </c>
      <c r="P106" s="75" t="str">
        <f aca="false">IF(AND(ISNUMBER(N106),E106&lt;&gt;"Desvinculado"),N106-DIAS_DECISION,"")</f>
        <v/>
      </c>
      <c r="Q106" s="75" t="str">
        <f aca="false">IF(OR(B106="",N(H106)&lt;=N(G106)),"",IFERROR(INDEX(C_INICIO,MATCH(B106&amp;"-P"&amp;(G106+1),C_CLAVE,0)),""))</f>
        <v/>
      </c>
      <c r="R106" s="70" t="str">
        <f aca="false">IF(B106="","",IF(E106="Desvinculado","Terminado",IF(H106=0,"Sin contrato registrado",IF(E106="Por ingresar","Por ingresar",IF(ISNUMBER(Q106),"Renovación registrada",IF(I106="Indefinido","Indefinido",IF(NOT(ISNUMBER(O106)),"Falta fecha de término",IF(O106&lt;0,"VENCIDO",IF(O106&lt;=ALERTA_ROJA,"Vence en ≤ "&amp;ALERTA_ROJA&amp;" días",IF(O106&lt;=ALERTA_NARANJA,"Vence en ≤ "&amp;ALERTA_NARANJA&amp;" días",IF(O106&lt;=ALERTA_AMARILLA,"Vence en ≤ "&amp;ALERTA_AMARILLA&amp;" días","Vigente")))))))))))</f>
        <v/>
      </c>
      <c r="S106" s="70" t="str">
        <f aca="false">IF(B106="","",IF(R106="Terminado","—",IF(R106="Sin contrato registrado","Registrar el contrato en la hoja Contratos",IF(R106="Por ingresar","Tener el contrato firmado y hacer el alta en AFP, salud, seguro de cesantía y mutual",IF(R106="Renovación registrada",IF(AND(N(K106)&gt;=2,IFERROR(INDEX(C_TIPO,MATCH(B106&amp;"-P"&amp;(G106+1),C_CLAVE,0)),"")="Plazo fijo"),"⚠ El período registrado sería el 3er contrato a plazo: por ley es INDEFINIDO. Registrarlo como Paso a indefinido","Siguiente período ya registrado: verificar que el documento esté firmado"),IF(I106="Indefinido","Sin vencimiento. Cambios de sueldo, cargo o jornada se formalizan con anexo de modificación",IF(R106="Falta fecha de término","Completar la fecha de término en la hoja Contratos",IF(R106="VENCIDO","Si sigue trabajando, por ley el contrato ya es INDEFINIDO (Art. 159 N°4): firmar anexo de paso a indefinido o regularizar el término",IF(I106="Obra o faena","Al concluir la obra: finiquito por Art. 159 N°5 + indemnización de 2,5 días por mes trabajado (Ley 21.122)",IF(N(K106)&gt;=3,"Por ley ya es indefinido (2ª renovación): firmar anexo de paso a indefinido",IF(N(K106)=2,"2° contrato a plazo: NO admite otra renovación a plazo fijo. Pasar a indefinido o terminar al vencimiento (carta dentro de 3 días hábiles)","1er contrato a plazo: renovar (2° plazo fijo), pasar a indefinido o terminar al vencimiento (carta dentro de 3 días hábiles)")))))))))))</f>
        <v/>
      </c>
      <c r="T106" s="70" t="str">
        <f aca="false">IF(B106="","",IF(COUNTIFS(C_ID,B106,C_FIRMADO,"&lt;&gt;Sí")&gt;0,COUNTIFS(C_ID,B106,C_FIRMADO,"&lt;&gt;Sí")&amp;" documento(s) sin firma. ","")&amp;IF(COUNTIFS(C_ID,B106,C_TIPO,"Plazo fijo",C_DEFINE,"Sí")&gt;2,"Más de 2 contratos a plazo: revisar presunción de indefinido. ","")&amp;IF(AND(R106="VENCIDO",LEFT(E106,6)="Activo"),"Trabaja con contrato vencido. ",""))</f>
        <v/>
      </c>
      <c r="U106" s="71" t="str">
        <f aca="false">IF(B106="","",INDEX(T_SUELDO,100))</f>
        <v/>
      </c>
      <c r="V106" s="72" t="str">
        <f aca="false">IF(AND(B106&lt;&gt;"",LEFT(E106,6)="Activo",ISNUMBER(O106),R106&lt;&gt;"Renovación registrada"),O106+ROW()/100000,"")</f>
        <v/>
      </c>
    </row>
    <row r="107" customFormat="false" ht="15" hidden="false" customHeight="false" outlineLevel="0" collapsed="false">
      <c r="B107" s="70" t="str">
        <f aca="false">IFERROR(IF(INDEX(T_ID,101)="","",INDEX(T_ID,101)),"")</f>
        <v/>
      </c>
      <c r="C107" s="70" t="str">
        <f aca="false">IF(B107="","",INDEX(T_NOMBRE,101)&amp;"")</f>
        <v/>
      </c>
      <c r="D107" s="70" t="str">
        <f aca="false">IF(B107="","",INDEX(T_CARGO,101)&amp;"")</f>
        <v/>
      </c>
      <c r="E107" s="70" t="str">
        <f aca="false">IF(B107="","",INDEX(T_ESTADO,101))</f>
        <v/>
      </c>
      <c r="F107" s="75" t="str">
        <f aca="false">IF(B107="","",INDEX(T_INGRESO,101))</f>
        <v/>
      </c>
      <c r="G107" s="70" t="str">
        <f aca="false">IF(B107="","",COUNTIFS(C_ID,B107,C_DEFINE,"Sí",C_INICIO,"&lt;="&amp;FECHA_CORTE))</f>
        <v/>
      </c>
      <c r="H107" s="70" t="str">
        <f aca="false">IF(B107="","",COUNTIFS(C_ID,B107,C_DEFINE,"Sí"))</f>
        <v/>
      </c>
      <c r="I107" s="70" t="str">
        <f aca="false">IF(B107="","",IF(H107=0,"Sin contrato",IFERROR(INDEX(C_TIPO,MATCH(B107&amp;"-P"&amp;MAX(1,G107),C_CLAVE,0))&amp;"","")))</f>
        <v/>
      </c>
      <c r="J107" s="70" t="str">
        <f aca="false">IF(OR(B107="",N(H107)=0),"",IFERROR(INDEX(C_TIPODOC,MATCH(B107&amp;"-P"&amp;MAX(1,G107),C_CLAVE,0))&amp;"",""))</f>
        <v/>
      </c>
      <c r="K107" s="76" t="str">
        <f aca="false">IF(I107="Plazo fijo",IFERROR(INDEX(C_NPF,MATCH(B107&amp;"-P"&amp;MAX(1,G107),C_CLAVE,0)),""),"")</f>
        <v/>
      </c>
      <c r="L107" s="70" t="str">
        <f aca="false">IF(B107="","",COUNTIFS(C_ID,B107,C_TIPODOC,"Anexo de modificación"))</f>
        <v/>
      </c>
      <c r="M107" s="75" t="str">
        <f aca="false">IF(OR(B107="",N(H107)=0),"",IFERROR(INDEX(C_INICIO,MATCH(B107&amp;"-P"&amp;MAX(1,G107),C_CLAVE,0)),""))</f>
        <v/>
      </c>
      <c r="N107" s="75" t="str">
        <f aca="false">IF(OR(I107="Plazo fijo",I107="Obra o faena"),IFERROR(IF(N(INDEX(C_TERMINO,MATCH(B107&amp;"-P"&amp;MAX(1,G107),C_CLAVE,0)))=0,"",INDEX(C_TERMINO,MATCH(B107&amp;"-P"&amp;MAX(1,G107),C_CLAVE,0))),""),"")</f>
        <v/>
      </c>
      <c r="O107" s="77" t="str">
        <f aca="false">IF(AND(ISNUMBER(N107),E107&lt;&gt;"Desvinculado"),N107-FECHA_CORTE,"")</f>
        <v/>
      </c>
      <c r="P107" s="75" t="str">
        <f aca="false">IF(AND(ISNUMBER(N107),E107&lt;&gt;"Desvinculado"),N107-DIAS_DECISION,"")</f>
        <v/>
      </c>
      <c r="Q107" s="75" t="str">
        <f aca="false">IF(OR(B107="",N(H107)&lt;=N(G107)),"",IFERROR(INDEX(C_INICIO,MATCH(B107&amp;"-P"&amp;(G107+1),C_CLAVE,0)),""))</f>
        <v/>
      </c>
      <c r="R107" s="70" t="str">
        <f aca="false">IF(B107="","",IF(E107="Desvinculado","Terminado",IF(H107=0,"Sin contrato registrado",IF(E107="Por ingresar","Por ingresar",IF(ISNUMBER(Q107),"Renovación registrada",IF(I107="Indefinido","Indefinido",IF(NOT(ISNUMBER(O107)),"Falta fecha de término",IF(O107&lt;0,"VENCIDO",IF(O107&lt;=ALERTA_ROJA,"Vence en ≤ "&amp;ALERTA_ROJA&amp;" días",IF(O107&lt;=ALERTA_NARANJA,"Vence en ≤ "&amp;ALERTA_NARANJA&amp;" días",IF(O107&lt;=ALERTA_AMARILLA,"Vence en ≤ "&amp;ALERTA_AMARILLA&amp;" días","Vigente")))))))))))</f>
        <v/>
      </c>
      <c r="S107" s="70" t="str">
        <f aca="false">IF(B107="","",IF(R107="Terminado","—",IF(R107="Sin contrato registrado","Registrar el contrato en la hoja Contratos",IF(R107="Por ingresar","Tener el contrato firmado y hacer el alta en AFP, salud, seguro de cesantía y mutual",IF(R107="Renovación registrada",IF(AND(N(K107)&gt;=2,IFERROR(INDEX(C_TIPO,MATCH(B107&amp;"-P"&amp;(G107+1),C_CLAVE,0)),"")="Plazo fijo"),"⚠ El período registrado sería el 3er contrato a plazo: por ley es INDEFINIDO. Registrarlo como Paso a indefinido","Siguiente período ya registrado: verificar que el documento esté firmado"),IF(I107="Indefinido","Sin vencimiento. Cambios de sueldo, cargo o jornada se formalizan con anexo de modificación",IF(R107="Falta fecha de término","Completar la fecha de término en la hoja Contratos",IF(R107="VENCIDO","Si sigue trabajando, por ley el contrato ya es INDEFINIDO (Art. 159 N°4): firmar anexo de paso a indefinido o regularizar el término",IF(I107="Obra o faena","Al concluir la obra: finiquito por Art. 159 N°5 + indemnización de 2,5 días por mes trabajado (Ley 21.122)",IF(N(K107)&gt;=3,"Por ley ya es indefinido (2ª renovación): firmar anexo de paso a indefinido",IF(N(K107)=2,"2° contrato a plazo: NO admite otra renovación a plazo fijo. Pasar a indefinido o terminar al vencimiento (carta dentro de 3 días hábiles)","1er contrato a plazo: renovar (2° plazo fijo), pasar a indefinido o terminar al vencimiento (carta dentro de 3 días hábiles)")))))))))))</f>
        <v/>
      </c>
      <c r="T107" s="70" t="str">
        <f aca="false">IF(B107="","",IF(COUNTIFS(C_ID,B107,C_FIRMADO,"&lt;&gt;Sí")&gt;0,COUNTIFS(C_ID,B107,C_FIRMADO,"&lt;&gt;Sí")&amp;" documento(s) sin firma. ","")&amp;IF(COUNTIFS(C_ID,B107,C_TIPO,"Plazo fijo",C_DEFINE,"Sí")&gt;2,"Más de 2 contratos a plazo: revisar presunción de indefinido. ","")&amp;IF(AND(R107="VENCIDO",LEFT(E107,6)="Activo"),"Trabaja con contrato vencido. ",""))</f>
        <v/>
      </c>
      <c r="U107" s="71" t="str">
        <f aca="false">IF(B107="","",INDEX(T_SUELDO,101))</f>
        <v/>
      </c>
      <c r="V107" s="72" t="str">
        <f aca="false">IF(AND(B107&lt;&gt;"",LEFT(E107,6)="Activo",ISNUMBER(O107),R107&lt;&gt;"Renovación registrada"),O107+ROW()/100000,"")</f>
        <v/>
      </c>
    </row>
    <row r="108" customFormat="false" ht="15" hidden="false" customHeight="false" outlineLevel="0" collapsed="false">
      <c r="B108" s="70" t="str">
        <f aca="false">IFERROR(IF(INDEX(T_ID,102)="","",INDEX(T_ID,102)),"")</f>
        <v/>
      </c>
      <c r="C108" s="70" t="str">
        <f aca="false">IF(B108="","",INDEX(T_NOMBRE,102)&amp;"")</f>
        <v/>
      </c>
      <c r="D108" s="70" t="str">
        <f aca="false">IF(B108="","",INDEX(T_CARGO,102)&amp;"")</f>
        <v/>
      </c>
      <c r="E108" s="70" t="str">
        <f aca="false">IF(B108="","",INDEX(T_ESTADO,102))</f>
        <v/>
      </c>
      <c r="F108" s="75" t="str">
        <f aca="false">IF(B108="","",INDEX(T_INGRESO,102))</f>
        <v/>
      </c>
      <c r="G108" s="70" t="str">
        <f aca="false">IF(B108="","",COUNTIFS(C_ID,B108,C_DEFINE,"Sí",C_INICIO,"&lt;="&amp;FECHA_CORTE))</f>
        <v/>
      </c>
      <c r="H108" s="70" t="str">
        <f aca="false">IF(B108="","",COUNTIFS(C_ID,B108,C_DEFINE,"Sí"))</f>
        <v/>
      </c>
      <c r="I108" s="70" t="str">
        <f aca="false">IF(B108="","",IF(H108=0,"Sin contrato",IFERROR(INDEX(C_TIPO,MATCH(B108&amp;"-P"&amp;MAX(1,G108),C_CLAVE,0))&amp;"","")))</f>
        <v/>
      </c>
      <c r="J108" s="70" t="str">
        <f aca="false">IF(OR(B108="",N(H108)=0),"",IFERROR(INDEX(C_TIPODOC,MATCH(B108&amp;"-P"&amp;MAX(1,G108),C_CLAVE,0))&amp;"",""))</f>
        <v/>
      </c>
      <c r="K108" s="76" t="str">
        <f aca="false">IF(I108="Plazo fijo",IFERROR(INDEX(C_NPF,MATCH(B108&amp;"-P"&amp;MAX(1,G108),C_CLAVE,0)),""),"")</f>
        <v/>
      </c>
      <c r="L108" s="70" t="str">
        <f aca="false">IF(B108="","",COUNTIFS(C_ID,B108,C_TIPODOC,"Anexo de modificación"))</f>
        <v/>
      </c>
      <c r="M108" s="75" t="str">
        <f aca="false">IF(OR(B108="",N(H108)=0),"",IFERROR(INDEX(C_INICIO,MATCH(B108&amp;"-P"&amp;MAX(1,G108),C_CLAVE,0)),""))</f>
        <v/>
      </c>
      <c r="N108" s="75" t="str">
        <f aca="false">IF(OR(I108="Plazo fijo",I108="Obra o faena"),IFERROR(IF(N(INDEX(C_TERMINO,MATCH(B108&amp;"-P"&amp;MAX(1,G108),C_CLAVE,0)))=0,"",INDEX(C_TERMINO,MATCH(B108&amp;"-P"&amp;MAX(1,G108),C_CLAVE,0))),""),"")</f>
        <v/>
      </c>
      <c r="O108" s="77" t="str">
        <f aca="false">IF(AND(ISNUMBER(N108),E108&lt;&gt;"Desvinculado"),N108-FECHA_CORTE,"")</f>
        <v/>
      </c>
      <c r="P108" s="75" t="str">
        <f aca="false">IF(AND(ISNUMBER(N108),E108&lt;&gt;"Desvinculado"),N108-DIAS_DECISION,"")</f>
        <v/>
      </c>
      <c r="Q108" s="75" t="str">
        <f aca="false">IF(OR(B108="",N(H108)&lt;=N(G108)),"",IFERROR(INDEX(C_INICIO,MATCH(B108&amp;"-P"&amp;(G108+1),C_CLAVE,0)),""))</f>
        <v/>
      </c>
      <c r="R108" s="70" t="str">
        <f aca="false">IF(B108="","",IF(E108="Desvinculado","Terminado",IF(H108=0,"Sin contrato registrado",IF(E108="Por ingresar","Por ingresar",IF(ISNUMBER(Q108),"Renovación registrada",IF(I108="Indefinido","Indefinido",IF(NOT(ISNUMBER(O108)),"Falta fecha de término",IF(O108&lt;0,"VENCIDO",IF(O108&lt;=ALERTA_ROJA,"Vence en ≤ "&amp;ALERTA_ROJA&amp;" días",IF(O108&lt;=ALERTA_NARANJA,"Vence en ≤ "&amp;ALERTA_NARANJA&amp;" días",IF(O108&lt;=ALERTA_AMARILLA,"Vence en ≤ "&amp;ALERTA_AMARILLA&amp;" días","Vigente")))))))))))</f>
        <v/>
      </c>
      <c r="S108" s="70" t="str">
        <f aca="false">IF(B108="","",IF(R108="Terminado","—",IF(R108="Sin contrato registrado","Registrar el contrato en la hoja Contratos",IF(R108="Por ingresar","Tener el contrato firmado y hacer el alta en AFP, salud, seguro de cesantía y mutual",IF(R108="Renovación registrada",IF(AND(N(K108)&gt;=2,IFERROR(INDEX(C_TIPO,MATCH(B108&amp;"-P"&amp;(G108+1),C_CLAVE,0)),"")="Plazo fijo"),"⚠ El período registrado sería el 3er contrato a plazo: por ley es INDEFINIDO. Registrarlo como Paso a indefinido","Siguiente período ya registrado: verificar que el documento esté firmado"),IF(I108="Indefinido","Sin vencimiento. Cambios de sueldo, cargo o jornada se formalizan con anexo de modificación",IF(R108="Falta fecha de término","Completar la fecha de término en la hoja Contratos",IF(R108="VENCIDO","Si sigue trabajando, por ley el contrato ya es INDEFINIDO (Art. 159 N°4): firmar anexo de paso a indefinido o regularizar el término",IF(I108="Obra o faena","Al concluir la obra: finiquito por Art. 159 N°5 + indemnización de 2,5 días por mes trabajado (Ley 21.122)",IF(N(K108)&gt;=3,"Por ley ya es indefinido (2ª renovación): firmar anexo de paso a indefinido",IF(N(K108)=2,"2° contrato a plazo: NO admite otra renovación a plazo fijo. Pasar a indefinido o terminar al vencimiento (carta dentro de 3 días hábiles)","1er contrato a plazo: renovar (2° plazo fijo), pasar a indefinido o terminar al vencimiento (carta dentro de 3 días hábiles)")))))))))))</f>
        <v/>
      </c>
      <c r="T108" s="70" t="str">
        <f aca="false">IF(B108="","",IF(COUNTIFS(C_ID,B108,C_FIRMADO,"&lt;&gt;Sí")&gt;0,COUNTIFS(C_ID,B108,C_FIRMADO,"&lt;&gt;Sí")&amp;" documento(s) sin firma. ","")&amp;IF(COUNTIFS(C_ID,B108,C_TIPO,"Plazo fijo",C_DEFINE,"Sí")&gt;2,"Más de 2 contratos a plazo: revisar presunción de indefinido. ","")&amp;IF(AND(R108="VENCIDO",LEFT(E108,6)="Activo"),"Trabaja con contrato vencido. ",""))</f>
        <v/>
      </c>
      <c r="U108" s="71" t="str">
        <f aca="false">IF(B108="","",INDEX(T_SUELDO,102))</f>
        <v/>
      </c>
      <c r="V108" s="72" t="str">
        <f aca="false">IF(AND(B108&lt;&gt;"",LEFT(E108,6)="Activo",ISNUMBER(O108),R108&lt;&gt;"Renovación registrada"),O108+ROW()/100000,"")</f>
        <v/>
      </c>
    </row>
    <row r="109" customFormat="false" ht="15" hidden="false" customHeight="false" outlineLevel="0" collapsed="false">
      <c r="B109" s="70" t="str">
        <f aca="false">IFERROR(IF(INDEX(T_ID,103)="","",INDEX(T_ID,103)),"")</f>
        <v/>
      </c>
      <c r="C109" s="70" t="str">
        <f aca="false">IF(B109="","",INDEX(T_NOMBRE,103)&amp;"")</f>
        <v/>
      </c>
      <c r="D109" s="70" t="str">
        <f aca="false">IF(B109="","",INDEX(T_CARGO,103)&amp;"")</f>
        <v/>
      </c>
      <c r="E109" s="70" t="str">
        <f aca="false">IF(B109="","",INDEX(T_ESTADO,103))</f>
        <v/>
      </c>
      <c r="F109" s="75" t="str">
        <f aca="false">IF(B109="","",INDEX(T_INGRESO,103))</f>
        <v/>
      </c>
      <c r="G109" s="70" t="str">
        <f aca="false">IF(B109="","",COUNTIFS(C_ID,B109,C_DEFINE,"Sí",C_INICIO,"&lt;="&amp;FECHA_CORTE))</f>
        <v/>
      </c>
      <c r="H109" s="70" t="str">
        <f aca="false">IF(B109="","",COUNTIFS(C_ID,B109,C_DEFINE,"Sí"))</f>
        <v/>
      </c>
      <c r="I109" s="70" t="str">
        <f aca="false">IF(B109="","",IF(H109=0,"Sin contrato",IFERROR(INDEX(C_TIPO,MATCH(B109&amp;"-P"&amp;MAX(1,G109),C_CLAVE,0))&amp;"","")))</f>
        <v/>
      </c>
      <c r="J109" s="70" t="str">
        <f aca="false">IF(OR(B109="",N(H109)=0),"",IFERROR(INDEX(C_TIPODOC,MATCH(B109&amp;"-P"&amp;MAX(1,G109),C_CLAVE,0))&amp;"",""))</f>
        <v/>
      </c>
      <c r="K109" s="76" t="str">
        <f aca="false">IF(I109="Plazo fijo",IFERROR(INDEX(C_NPF,MATCH(B109&amp;"-P"&amp;MAX(1,G109),C_CLAVE,0)),""),"")</f>
        <v/>
      </c>
      <c r="L109" s="70" t="str">
        <f aca="false">IF(B109="","",COUNTIFS(C_ID,B109,C_TIPODOC,"Anexo de modificación"))</f>
        <v/>
      </c>
      <c r="M109" s="75" t="str">
        <f aca="false">IF(OR(B109="",N(H109)=0),"",IFERROR(INDEX(C_INICIO,MATCH(B109&amp;"-P"&amp;MAX(1,G109),C_CLAVE,0)),""))</f>
        <v/>
      </c>
      <c r="N109" s="75" t="str">
        <f aca="false">IF(OR(I109="Plazo fijo",I109="Obra o faena"),IFERROR(IF(N(INDEX(C_TERMINO,MATCH(B109&amp;"-P"&amp;MAX(1,G109),C_CLAVE,0)))=0,"",INDEX(C_TERMINO,MATCH(B109&amp;"-P"&amp;MAX(1,G109),C_CLAVE,0))),""),"")</f>
        <v/>
      </c>
      <c r="O109" s="77" t="str">
        <f aca="false">IF(AND(ISNUMBER(N109),E109&lt;&gt;"Desvinculado"),N109-FECHA_CORTE,"")</f>
        <v/>
      </c>
      <c r="P109" s="75" t="str">
        <f aca="false">IF(AND(ISNUMBER(N109),E109&lt;&gt;"Desvinculado"),N109-DIAS_DECISION,"")</f>
        <v/>
      </c>
      <c r="Q109" s="75" t="str">
        <f aca="false">IF(OR(B109="",N(H109)&lt;=N(G109)),"",IFERROR(INDEX(C_INICIO,MATCH(B109&amp;"-P"&amp;(G109+1),C_CLAVE,0)),""))</f>
        <v/>
      </c>
      <c r="R109" s="70" t="str">
        <f aca="false">IF(B109="","",IF(E109="Desvinculado","Terminado",IF(H109=0,"Sin contrato registrado",IF(E109="Por ingresar","Por ingresar",IF(ISNUMBER(Q109),"Renovación registrada",IF(I109="Indefinido","Indefinido",IF(NOT(ISNUMBER(O109)),"Falta fecha de término",IF(O109&lt;0,"VENCIDO",IF(O109&lt;=ALERTA_ROJA,"Vence en ≤ "&amp;ALERTA_ROJA&amp;" días",IF(O109&lt;=ALERTA_NARANJA,"Vence en ≤ "&amp;ALERTA_NARANJA&amp;" días",IF(O109&lt;=ALERTA_AMARILLA,"Vence en ≤ "&amp;ALERTA_AMARILLA&amp;" días","Vigente")))))))))))</f>
        <v/>
      </c>
      <c r="S109" s="70" t="str">
        <f aca="false">IF(B109="","",IF(R109="Terminado","—",IF(R109="Sin contrato registrado","Registrar el contrato en la hoja Contratos",IF(R109="Por ingresar","Tener el contrato firmado y hacer el alta en AFP, salud, seguro de cesantía y mutual",IF(R109="Renovación registrada",IF(AND(N(K109)&gt;=2,IFERROR(INDEX(C_TIPO,MATCH(B109&amp;"-P"&amp;(G109+1),C_CLAVE,0)),"")="Plazo fijo"),"⚠ El período registrado sería el 3er contrato a plazo: por ley es INDEFINIDO. Registrarlo como Paso a indefinido","Siguiente período ya registrado: verificar que el documento esté firmado"),IF(I109="Indefinido","Sin vencimiento. Cambios de sueldo, cargo o jornada se formalizan con anexo de modificación",IF(R109="Falta fecha de término","Completar la fecha de término en la hoja Contratos",IF(R109="VENCIDO","Si sigue trabajando, por ley el contrato ya es INDEFINIDO (Art. 159 N°4): firmar anexo de paso a indefinido o regularizar el término",IF(I109="Obra o faena","Al concluir la obra: finiquito por Art. 159 N°5 + indemnización de 2,5 días por mes trabajado (Ley 21.122)",IF(N(K109)&gt;=3,"Por ley ya es indefinido (2ª renovación): firmar anexo de paso a indefinido",IF(N(K109)=2,"2° contrato a plazo: NO admite otra renovación a plazo fijo. Pasar a indefinido o terminar al vencimiento (carta dentro de 3 días hábiles)","1er contrato a plazo: renovar (2° plazo fijo), pasar a indefinido o terminar al vencimiento (carta dentro de 3 días hábiles)")))))))))))</f>
        <v/>
      </c>
      <c r="T109" s="70" t="str">
        <f aca="false">IF(B109="","",IF(COUNTIFS(C_ID,B109,C_FIRMADO,"&lt;&gt;Sí")&gt;0,COUNTIFS(C_ID,B109,C_FIRMADO,"&lt;&gt;Sí")&amp;" documento(s) sin firma. ","")&amp;IF(COUNTIFS(C_ID,B109,C_TIPO,"Plazo fijo",C_DEFINE,"Sí")&gt;2,"Más de 2 contratos a plazo: revisar presunción de indefinido. ","")&amp;IF(AND(R109="VENCIDO",LEFT(E109,6)="Activo"),"Trabaja con contrato vencido. ",""))</f>
        <v/>
      </c>
      <c r="U109" s="71" t="str">
        <f aca="false">IF(B109="","",INDEX(T_SUELDO,103))</f>
        <v/>
      </c>
      <c r="V109" s="72" t="str">
        <f aca="false">IF(AND(B109&lt;&gt;"",LEFT(E109,6)="Activo",ISNUMBER(O109),R109&lt;&gt;"Renovación registrada"),O109+ROW()/100000,"")</f>
        <v/>
      </c>
    </row>
    <row r="110" customFormat="false" ht="15" hidden="false" customHeight="false" outlineLevel="0" collapsed="false">
      <c r="B110" s="70" t="str">
        <f aca="false">IFERROR(IF(INDEX(T_ID,104)="","",INDEX(T_ID,104)),"")</f>
        <v/>
      </c>
      <c r="C110" s="70" t="str">
        <f aca="false">IF(B110="","",INDEX(T_NOMBRE,104)&amp;"")</f>
        <v/>
      </c>
      <c r="D110" s="70" t="str">
        <f aca="false">IF(B110="","",INDEX(T_CARGO,104)&amp;"")</f>
        <v/>
      </c>
      <c r="E110" s="70" t="str">
        <f aca="false">IF(B110="","",INDEX(T_ESTADO,104))</f>
        <v/>
      </c>
      <c r="F110" s="75" t="str">
        <f aca="false">IF(B110="","",INDEX(T_INGRESO,104))</f>
        <v/>
      </c>
      <c r="G110" s="70" t="str">
        <f aca="false">IF(B110="","",COUNTIFS(C_ID,B110,C_DEFINE,"Sí",C_INICIO,"&lt;="&amp;FECHA_CORTE))</f>
        <v/>
      </c>
      <c r="H110" s="70" t="str">
        <f aca="false">IF(B110="","",COUNTIFS(C_ID,B110,C_DEFINE,"Sí"))</f>
        <v/>
      </c>
      <c r="I110" s="70" t="str">
        <f aca="false">IF(B110="","",IF(H110=0,"Sin contrato",IFERROR(INDEX(C_TIPO,MATCH(B110&amp;"-P"&amp;MAX(1,G110),C_CLAVE,0))&amp;"","")))</f>
        <v/>
      </c>
      <c r="J110" s="70" t="str">
        <f aca="false">IF(OR(B110="",N(H110)=0),"",IFERROR(INDEX(C_TIPODOC,MATCH(B110&amp;"-P"&amp;MAX(1,G110),C_CLAVE,0))&amp;"",""))</f>
        <v/>
      </c>
      <c r="K110" s="76" t="str">
        <f aca="false">IF(I110="Plazo fijo",IFERROR(INDEX(C_NPF,MATCH(B110&amp;"-P"&amp;MAX(1,G110),C_CLAVE,0)),""),"")</f>
        <v/>
      </c>
      <c r="L110" s="70" t="str">
        <f aca="false">IF(B110="","",COUNTIFS(C_ID,B110,C_TIPODOC,"Anexo de modificación"))</f>
        <v/>
      </c>
      <c r="M110" s="75" t="str">
        <f aca="false">IF(OR(B110="",N(H110)=0),"",IFERROR(INDEX(C_INICIO,MATCH(B110&amp;"-P"&amp;MAX(1,G110),C_CLAVE,0)),""))</f>
        <v/>
      </c>
      <c r="N110" s="75" t="str">
        <f aca="false">IF(OR(I110="Plazo fijo",I110="Obra o faena"),IFERROR(IF(N(INDEX(C_TERMINO,MATCH(B110&amp;"-P"&amp;MAX(1,G110),C_CLAVE,0)))=0,"",INDEX(C_TERMINO,MATCH(B110&amp;"-P"&amp;MAX(1,G110),C_CLAVE,0))),""),"")</f>
        <v/>
      </c>
      <c r="O110" s="77" t="str">
        <f aca="false">IF(AND(ISNUMBER(N110),E110&lt;&gt;"Desvinculado"),N110-FECHA_CORTE,"")</f>
        <v/>
      </c>
      <c r="P110" s="75" t="str">
        <f aca="false">IF(AND(ISNUMBER(N110),E110&lt;&gt;"Desvinculado"),N110-DIAS_DECISION,"")</f>
        <v/>
      </c>
      <c r="Q110" s="75" t="str">
        <f aca="false">IF(OR(B110="",N(H110)&lt;=N(G110)),"",IFERROR(INDEX(C_INICIO,MATCH(B110&amp;"-P"&amp;(G110+1),C_CLAVE,0)),""))</f>
        <v/>
      </c>
      <c r="R110" s="70" t="str">
        <f aca="false">IF(B110="","",IF(E110="Desvinculado","Terminado",IF(H110=0,"Sin contrato registrado",IF(E110="Por ingresar","Por ingresar",IF(ISNUMBER(Q110),"Renovación registrada",IF(I110="Indefinido","Indefinido",IF(NOT(ISNUMBER(O110)),"Falta fecha de término",IF(O110&lt;0,"VENCIDO",IF(O110&lt;=ALERTA_ROJA,"Vence en ≤ "&amp;ALERTA_ROJA&amp;" días",IF(O110&lt;=ALERTA_NARANJA,"Vence en ≤ "&amp;ALERTA_NARANJA&amp;" días",IF(O110&lt;=ALERTA_AMARILLA,"Vence en ≤ "&amp;ALERTA_AMARILLA&amp;" días","Vigente")))))))))))</f>
        <v/>
      </c>
      <c r="S110" s="70" t="str">
        <f aca="false">IF(B110="","",IF(R110="Terminado","—",IF(R110="Sin contrato registrado","Registrar el contrato en la hoja Contratos",IF(R110="Por ingresar","Tener el contrato firmado y hacer el alta en AFP, salud, seguro de cesantía y mutual",IF(R110="Renovación registrada",IF(AND(N(K110)&gt;=2,IFERROR(INDEX(C_TIPO,MATCH(B110&amp;"-P"&amp;(G110+1),C_CLAVE,0)),"")="Plazo fijo"),"⚠ El período registrado sería el 3er contrato a plazo: por ley es INDEFINIDO. Registrarlo como Paso a indefinido","Siguiente período ya registrado: verificar que el documento esté firmado"),IF(I110="Indefinido","Sin vencimiento. Cambios de sueldo, cargo o jornada se formalizan con anexo de modificación",IF(R110="Falta fecha de término","Completar la fecha de término en la hoja Contratos",IF(R110="VENCIDO","Si sigue trabajando, por ley el contrato ya es INDEFINIDO (Art. 159 N°4): firmar anexo de paso a indefinido o regularizar el término",IF(I110="Obra o faena","Al concluir la obra: finiquito por Art. 159 N°5 + indemnización de 2,5 días por mes trabajado (Ley 21.122)",IF(N(K110)&gt;=3,"Por ley ya es indefinido (2ª renovación): firmar anexo de paso a indefinido",IF(N(K110)=2,"2° contrato a plazo: NO admite otra renovación a plazo fijo. Pasar a indefinido o terminar al vencimiento (carta dentro de 3 días hábiles)","1er contrato a plazo: renovar (2° plazo fijo), pasar a indefinido o terminar al vencimiento (carta dentro de 3 días hábiles)")))))))))))</f>
        <v/>
      </c>
      <c r="T110" s="70" t="str">
        <f aca="false">IF(B110="","",IF(COUNTIFS(C_ID,B110,C_FIRMADO,"&lt;&gt;Sí")&gt;0,COUNTIFS(C_ID,B110,C_FIRMADO,"&lt;&gt;Sí")&amp;" documento(s) sin firma. ","")&amp;IF(COUNTIFS(C_ID,B110,C_TIPO,"Plazo fijo",C_DEFINE,"Sí")&gt;2,"Más de 2 contratos a plazo: revisar presunción de indefinido. ","")&amp;IF(AND(R110="VENCIDO",LEFT(E110,6)="Activo"),"Trabaja con contrato vencido. ",""))</f>
        <v/>
      </c>
      <c r="U110" s="71" t="str">
        <f aca="false">IF(B110="","",INDEX(T_SUELDO,104))</f>
        <v/>
      </c>
      <c r="V110" s="72" t="str">
        <f aca="false">IF(AND(B110&lt;&gt;"",LEFT(E110,6)="Activo",ISNUMBER(O110),R110&lt;&gt;"Renovación registrada"),O110+ROW()/100000,"")</f>
        <v/>
      </c>
    </row>
    <row r="111" customFormat="false" ht="15" hidden="false" customHeight="false" outlineLevel="0" collapsed="false">
      <c r="B111" s="70" t="str">
        <f aca="false">IFERROR(IF(INDEX(T_ID,105)="","",INDEX(T_ID,105)),"")</f>
        <v/>
      </c>
      <c r="C111" s="70" t="str">
        <f aca="false">IF(B111="","",INDEX(T_NOMBRE,105)&amp;"")</f>
        <v/>
      </c>
      <c r="D111" s="70" t="str">
        <f aca="false">IF(B111="","",INDEX(T_CARGO,105)&amp;"")</f>
        <v/>
      </c>
      <c r="E111" s="70" t="str">
        <f aca="false">IF(B111="","",INDEX(T_ESTADO,105))</f>
        <v/>
      </c>
      <c r="F111" s="75" t="str">
        <f aca="false">IF(B111="","",INDEX(T_INGRESO,105))</f>
        <v/>
      </c>
      <c r="G111" s="70" t="str">
        <f aca="false">IF(B111="","",COUNTIFS(C_ID,B111,C_DEFINE,"Sí",C_INICIO,"&lt;="&amp;FECHA_CORTE))</f>
        <v/>
      </c>
      <c r="H111" s="70" t="str">
        <f aca="false">IF(B111="","",COUNTIFS(C_ID,B111,C_DEFINE,"Sí"))</f>
        <v/>
      </c>
      <c r="I111" s="70" t="str">
        <f aca="false">IF(B111="","",IF(H111=0,"Sin contrato",IFERROR(INDEX(C_TIPO,MATCH(B111&amp;"-P"&amp;MAX(1,G111),C_CLAVE,0))&amp;"","")))</f>
        <v/>
      </c>
      <c r="J111" s="70" t="str">
        <f aca="false">IF(OR(B111="",N(H111)=0),"",IFERROR(INDEX(C_TIPODOC,MATCH(B111&amp;"-P"&amp;MAX(1,G111),C_CLAVE,0))&amp;"",""))</f>
        <v/>
      </c>
      <c r="K111" s="76" t="str">
        <f aca="false">IF(I111="Plazo fijo",IFERROR(INDEX(C_NPF,MATCH(B111&amp;"-P"&amp;MAX(1,G111),C_CLAVE,0)),""),"")</f>
        <v/>
      </c>
      <c r="L111" s="70" t="str">
        <f aca="false">IF(B111="","",COUNTIFS(C_ID,B111,C_TIPODOC,"Anexo de modificación"))</f>
        <v/>
      </c>
      <c r="M111" s="75" t="str">
        <f aca="false">IF(OR(B111="",N(H111)=0),"",IFERROR(INDEX(C_INICIO,MATCH(B111&amp;"-P"&amp;MAX(1,G111),C_CLAVE,0)),""))</f>
        <v/>
      </c>
      <c r="N111" s="75" t="str">
        <f aca="false">IF(OR(I111="Plazo fijo",I111="Obra o faena"),IFERROR(IF(N(INDEX(C_TERMINO,MATCH(B111&amp;"-P"&amp;MAX(1,G111),C_CLAVE,0)))=0,"",INDEX(C_TERMINO,MATCH(B111&amp;"-P"&amp;MAX(1,G111),C_CLAVE,0))),""),"")</f>
        <v/>
      </c>
      <c r="O111" s="77" t="str">
        <f aca="false">IF(AND(ISNUMBER(N111),E111&lt;&gt;"Desvinculado"),N111-FECHA_CORTE,"")</f>
        <v/>
      </c>
      <c r="P111" s="75" t="str">
        <f aca="false">IF(AND(ISNUMBER(N111),E111&lt;&gt;"Desvinculado"),N111-DIAS_DECISION,"")</f>
        <v/>
      </c>
      <c r="Q111" s="75" t="str">
        <f aca="false">IF(OR(B111="",N(H111)&lt;=N(G111)),"",IFERROR(INDEX(C_INICIO,MATCH(B111&amp;"-P"&amp;(G111+1),C_CLAVE,0)),""))</f>
        <v/>
      </c>
      <c r="R111" s="70" t="str">
        <f aca="false">IF(B111="","",IF(E111="Desvinculado","Terminado",IF(H111=0,"Sin contrato registrado",IF(E111="Por ingresar","Por ingresar",IF(ISNUMBER(Q111),"Renovación registrada",IF(I111="Indefinido","Indefinido",IF(NOT(ISNUMBER(O111)),"Falta fecha de término",IF(O111&lt;0,"VENCIDO",IF(O111&lt;=ALERTA_ROJA,"Vence en ≤ "&amp;ALERTA_ROJA&amp;" días",IF(O111&lt;=ALERTA_NARANJA,"Vence en ≤ "&amp;ALERTA_NARANJA&amp;" días",IF(O111&lt;=ALERTA_AMARILLA,"Vence en ≤ "&amp;ALERTA_AMARILLA&amp;" días","Vigente")))))))))))</f>
        <v/>
      </c>
      <c r="S111" s="70" t="str">
        <f aca="false">IF(B111="","",IF(R111="Terminado","—",IF(R111="Sin contrato registrado","Registrar el contrato en la hoja Contratos",IF(R111="Por ingresar","Tener el contrato firmado y hacer el alta en AFP, salud, seguro de cesantía y mutual",IF(R111="Renovación registrada",IF(AND(N(K111)&gt;=2,IFERROR(INDEX(C_TIPO,MATCH(B111&amp;"-P"&amp;(G111+1),C_CLAVE,0)),"")="Plazo fijo"),"⚠ El período registrado sería el 3er contrato a plazo: por ley es INDEFINIDO. Registrarlo como Paso a indefinido","Siguiente período ya registrado: verificar que el documento esté firmado"),IF(I111="Indefinido","Sin vencimiento. Cambios de sueldo, cargo o jornada se formalizan con anexo de modificación",IF(R111="Falta fecha de término","Completar la fecha de término en la hoja Contratos",IF(R111="VENCIDO","Si sigue trabajando, por ley el contrato ya es INDEFINIDO (Art. 159 N°4): firmar anexo de paso a indefinido o regularizar el término",IF(I111="Obra o faena","Al concluir la obra: finiquito por Art. 159 N°5 + indemnización de 2,5 días por mes trabajado (Ley 21.122)",IF(N(K111)&gt;=3,"Por ley ya es indefinido (2ª renovación): firmar anexo de paso a indefinido",IF(N(K111)=2,"2° contrato a plazo: NO admite otra renovación a plazo fijo. Pasar a indefinido o terminar al vencimiento (carta dentro de 3 días hábiles)","1er contrato a plazo: renovar (2° plazo fijo), pasar a indefinido o terminar al vencimiento (carta dentro de 3 días hábiles)")))))))))))</f>
        <v/>
      </c>
      <c r="T111" s="70" t="str">
        <f aca="false">IF(B111="","",IF(COUNTIFS(C_ID,B111,C_FIRMADO,"&lt;&gt;Sí")&gt;0,COUNTIFS(C_ID,B111,C_FIRMADO,"&lt;&gt;Sí")&amp;" documento(s) sin firma. ","")&amp;IF(COUNTIFS(C_ID,B111,C_TIPO,"Plazo fijo",C_DEFINE,"Sí")&gt;2,"Más de 2 contratos a plazo: revisar presunción de indefinido. ","")&amp;IF(AND(R111="VENCIDO",LEFT(E111,6)="Activo"),"Trabaja con contrato vencido. ",""))</f>
        <v/>
      </c>
      <c r="U111" s="71" t="str">
        <f aca="false">IF(B111="","",INDEX(T_SUELDO,105))</f>
        <v/>
      </c>
      <c r="V111" s="72" t="str">
        <f aca="false">IF(AND(B111&lt;&gt;"",LEFT(E111,6)="Activo",ISNUMBER(O111),R111&lt;&gt;"Renovación registrada"),O111+ROW()/100000,"")</f>
        <v/>
      </c>
    </row>
    <row r="112" customFormat="false" ht="15" hidden="false" customHeight="false" outlineLevel="0" collapsed="false">
      <c r="B112" s="70" t="str">
        <f aca="false">IFERROR(IF(INDEX(T_ID,106)="","",INDEX(T_ID,106)),"")</f>
        <v/>
      </c>
      <c r="C112" s="70" t="str">
        <f aca="false">IF(B112="","",INDEX(T_NOMBRE,106)&amp;"")</f>
        <v/>
      </c>
      <c r="D112" s="70" t="str">
        <f aca="false">IF(B112="","",INDEX(T_CARGO,106)&amp;"")</f>
        <v/>
      </c>
      <c r="E112" s="70" t="str">
        <f aca="false">IF(B112="","",INDEX(T_ESTADO,106))</f>
        <v/>
      </c>
      <c r="F112" s="75" t="str">
        <f aca="false">IF(B112="","",INDEX(T_INGRESO,106))</f>
        <v/>
      </c>
      <c r="G112" s="70" t="str">
        <f aca="false">IF(B112="","",COUNTIFS(C_ID,B112,C_DEFINE,"Sí",C_INICIO,"&lt;="&amp;FECHA_CORTE))</f>
        <v/>
      </c>
      <c r="H112" s="70" t="str">
        <f aca="false">IF(B112="","",COUNTIFS(C_ID,B112,C_DEFINE,"Sí"))</f>
        <v/>
      </c>
      <c r="I112" s="70" t="str">
        <f aca="false">IF(B112="","",IF(H112=0,"Sin contrato",IFERROR(INDEX(C_TIPO,MATCH(B112&amp;"-P"&amp;MAX(1,G112),C_CLAVE,0))&amp;"","")))</f>
        <v/>
      </c>
      <c r="J112" s="70" t="str">
        <f aca="false">IF(OR(B112="",N(H112)=0),"",IFERROR(INDEX(C_TIPODOC,MATCH(B112&amp;"-P"&amp;MAX(1,G112),C_CLAVE,0))&amp;"",""))</f>
        <v/>
      </c>
      <c r="K112" s="76" t="str">
        <f aca="false">IF(I112="Plazo fijo",IFERROR(INDEX(C_NPF,MATCH(B112&amp;"-P"&amp;MAX(1,G112),C_CLAVE,0)),""),"")</f>
        <v/>
      </c>
      <c r="L112" s="70" t="str">
        <f aca="false">IF(B112="","",COUNTIFS(C_ID,B112,C_TIPODOC,"Anexo de modificación"))</f>
        <v/>
      </c>
      <c r="M112" s="75" t="str">
        <f aca="false">IF(OR(B112="",N(H112)=0),"",IFERROR(INDEX(C_INICIO,MATCH(B112&amp;"-P"&amp;MAX(1,G112),C_CLAVE,0)),""))</f>
        <v/>
      </c>
      <c r="N112" s="75" t="str">
        <f aca="false">IF(OR(I112="Plazo fijo",I112="Obra o faena"),IFERROR(IF(N(INDEX(C_TERMINO,MATCH(B112&amp;"-P"&amp;MAX(1,G112),C_CLAVE,0)))=0,"",INDEX(C_TERMINO,MATCH(B112&amp;"-P"&amp;MAX(1,G112),C_CLAVE,0))),""),"")</f>
        <v/>
      </c>
      <c r="O112" s="77" t="str">
        <f aca="false">IF(AND(ISNUMBER(N112),E112&lt;&gt;"Desvinculado"),N112-FECHA_CORTE,"")</f>
        <v/>
      </c>
      <c r="P112" s="75" t="str">
        <f aca="false">IF(AND(ISNUMBER(N112),E112&lt;&gt;"Desvinculado"),N112-DIAS_DECISION,"")</f>
        <v/>
      </c>
      <c r="Q112" s="75" t="str">
        <f aca="false">IF(OR(B112="",N(H112)&lt;=N(G112)),"",IFERROR(INDEX(C_INICIO,MATCH(B112&amp;"-P"&amp;(G112+1),C_CLAVE,0)),""))</f>
        <v/>
      </c>
      <c r="R112" s="70" t="str">
        <f aca="false">IF(B112="","",IF(E112="Desvinculado","Terminado",IF(H112=0,"Sin contrato registrado",IF(E112="Por ingresar","Por ingresar",IF(ISNUMBER(Q112),"Renovación registrada",IF(I112="Indefinido","Indefinido",IF(NOT(ISNUMBER(O112)),"Falta fecha de término",IF(O112&lt;0,"VENCIDO",IF(O112&lt;=ALERTA_ROJA,"Vence en ≤ "&amp;ALERTA_ROJA&amp;" días",IF(O112&lt;=ALERTA_NARANJA,"Vence en ≤ "&amp;ALERTA_NARANJA&amp;" días",IF(O112&lt;=ALERTA_AMARILLA,"Vence en ≤ "&amp;ALERTA_AMARILLA&amp;" días","Vigente")))))))))))</f>
        <v/>
      </c>
      <c r="S112" s="70" t="str">
        <f aca="false">IF(B112="","",IF(R112="Terminado","—",IF(R112="Sin contrato registrado","Registrar el contrato en la hoja Contratos",IF(R112="Por ingresar","Tener el contrato firmado y hacer el alta en AFP, salud, seguro de cesantía y mutual",IF(R112="Renovación registrada",IF(AND(N(K112)&gt;=2,IFERROR(INDEX(C_TIPO,MATCH(B112&amp;"-P"&amp;(G112+1),C_CLAVE,0)),"")="Plazo fijo"),"⚠ El período registrado sería el 3er contrato a plazo: por ley es INDEFINIDO. Registrarlo como Paso a indefinido","Siguiente período ya registrado: verificar que el documento esté firmado"),IF(I112="Indefinido","Sin vencimiento. Cambios de sueldo, cargo o jornada se formalizan con anexo de modificación",IF(R112="Falta fecha de término","Completar la fecha de término en la hoja Contratos",IF(R112="VENCIDO","Si sigue trabajando, por ley el contrato ya es INDEFINIDO (Art. 159 N°4): firmar anexo de paso a indefinido o regularizar el término",IF(I112="Obra o faena","Al concluir la obra: finiquito por Art. 159 N°5 + indemnización de 2,5 días por mes trabajado (Ley 21.122)",IF(N(K112)&gt;=3,"Por ley ya es indefinido (2ª renovación): firmar anexo de paso a indefinido",IF(N(K112)=2,"2° contrato a plazo: NO admite otra renovación a plazo fijo. Pasar a indefinido o terminar al vencimiento (carta dentro de 3 días hábiles)","1er contrato a plazo: renovar (2° plazo fijo), pasar a indefinido o terminar al vencimiento (carta dentro de 3 días hábiles)")))))))))))</f>
        <v/>
      </c>
      <c r="T112" s="70" t="str">
        <f aca="false">IF(B112="","",IF(COUNTIFS(C_ID,B112,C_FIRMADO,"&lt;&gt;Sí")&gt;0,COUNTIFS(C_ID,B112,C_FIRMADO,"&lt;&gt;Sí")&amp;" documento(s) sin firma. ","")&amp;IF(COUNTIFS(C_ID,B112,C_TIPO,"Plazo fijo",C_DEFINE,"Sí")&gt;2,"Más de 2 contratos a plazo: revisar presunción de indefinido. ","")&amp;IF(AND(R112="VENCIDO",LEFT(E112,6)="Activo"),"Trabaja con contrato vencido. ",""))</f>
        <v/>
      </c>
      <c r="U112" s="71" t="str">
        <f aca="false">IF(B112="","",INDEX(T_SUELDO,106))</f>
        <v/>
      </c>
      <c r="V112" s="72" t="str">
        <f aca="false">IF(AND(B112&lt;&gt;"",LEFT(E112,6)="Activo",ISNUMBER(O112),R112&lt;&gt;"Renovación registrada"),O112+ROW()/100000,"")</f>
        <v/>
      </c>
    </row>
    <row r="113" customFormat="false" ht="15" hidden="false" customHeight="false" outlineLevel="0" collapsed="false">
      <c r="B113" s="70" t="str">
        <f aca="false">IFERROR(IF(INDEX(T_ID,107)="","",INDEX(T_ID,107)),"")</f>
        <v/>
      </c>
      <c r="C113" s="70" t="str">
        <f aca="false">IF(B113="","",INDEX(T_NOMBRE,107)&amp;"")</f>
        <v/>
      </c>
      <c r="D113" s="70" t="str">
        <f aca="false">IF(B113="","",INDEX(T_CARGO,107)&amp;"")</f>
        <v/>
      </c>
      <c r="E113" s="70" t="str">
        <f aca="false">IF(B113="","",INDEX(T_ESTADO,107))</f>
        <v/>
      </c>
      <c r="F113" s="75" t="str">
        <f aca="false">IF(B113="","",INDEX(T_INGRESO,107))</f>
        <v/>
      </c>
      <c r="G113" s="70" t="str">
        <f aca="false">IF(B113="","",COUNTIFS(C_ID,B113,C_DEFINE,"Sí",C_INICIO,"&lt;="&amp;FECHA_CORTE))</f>
        <v/>
      </c>
      <c r="H113" s="70" t="str">
        <f aca="false">IF(B113="","",COUNTIFS(C_ID,B113,C_DEFINE,"Sí"))</f>
        <v/>
      </c>
      <c r="I113" s="70" t="str">
        <f aca="false">IF(B113="","",IF(H113=0,"Sin contrato",IFERROR(INDEX(C_TIPO,MATCH(B113&amp;"-P"&amp;MAX(1,G113),C_CLAVE,0))&amp;"","")))</f>
        <v/>
      </c>
      <c r="J113" s="70" t="str">
        <f aca="false">IF(OR(B113="",N(H113)=0),"",IFERROR(INDEX(C_TIPODOC,MATCH(B113&amp;"-P"&amp;MAX(1,G113),C_CLAVE,0))&amp;"",""))</f>
        <v/>
      </c>
      <c r="K113" s="76" t="str">
        <f aca="false">IF(I113="Plazo fijo",IFERROR(INDEX(C_NPF,MATCH(B113&amp;"-P"&amp;MAX(1,G113),C_CLAVE,0)),""),"")</f>
        <v/>
      </c>
      <c r="L113" s="70" t="str">
        <f aca="false">IF(B113="","",COUNTIFS(C_ID,B113,C_TIPODOC,"Anexo de modificación"))</f>
        <v/>
      </c>
      <c r="M113" s="75" t="str">
        <f aca="false">IF(OR(B113="",N(H113)=0),"",IFERROR(INDEX(C_INICIO,MATCH(B113&amp;"-P"&amp;MAX(1,G113),C_CLAVE,0)),""))</f>
        <v/>
      </c>
      <c r="N113" s="75" t="str">
        <f aca="false">IF(OR(I113="Plazo fijo",I113="Obra o faena"),IFERROR(IF(N(INDEX(C_TERMINO,MATCH(B113&amp;"-P"&amp;MAX(1,G113),C_CLAVE,0)))=0,"",INDEX(C_TERMINO,MATCH(B113&amp;"-P"&amp;MAX(1,G113),C_CLAVE,0))),""),"")</f>
        <v/>
      </c>
      <c r="O113" s="77" t="str">
        <f aca="false">IF(AND(ISNUMBER(N113),E113&lt;&gt;"Desvinculado"),N113-FECHA_CORTE,"")</f>
        <v/>
      </c>
      <c r="P113" s="75" t="str">
        <f aca="false">IF(AND(ISNUMBER(N113),E113&lt;&gt;"Desvinculado"),N113-DIAS_DECISION,"")</f>
        <v/>
      </c>
      <c r="Q113" s="75" t="str">
        <f aca="false">IF(OR(B113="",N(H113)&lt;=N(G113)),"",IFERROR(INDEX(C_INICIO,MATCH(B113&amp;"-P"&amp;(G113+1),C_CLAVE,0)),""))</f>
        <v/>
      </c>
      <c r="R113" s="70" t="str">
        <f aca="false">IF(B113="","",IF(E113="Desvinculado","Terminado",IF(H113=0,"Sin contrato registrado",IF(E113="Por ingresar","Por ingresar",IF(ISNUMBER(Q113),"Renovación registrada",IF(I113="Indefinido","Indefinido",IF(NOT(ISNUMBER(O113)),"Falta fecha de término",IF(O113&lt;0,"VENCIDO",IF(O113&lt;=ALERTA_ROJA,"Vence en ≤ "&amp;ALERTA_ROJA&amp;" días",IF(O113&lt;=ALERTA_NARANJA,"Vence en ≤ "&amp;ALERTA_NARANJA&amp;" días",IF(O113&lt;=ALERTA_AMARILLA,"Vence en ≤ "&amp;ALERTA_AMARILLA&amp;" días","Vigente")))))))))))</f>
        <v/>
      </c>
      <c r="S113" s="70" t="str">
        <f aca="false">IF(B113="","",IF(R113="Terminado","—",IF(R113="Sin contrato registrado","Registrar el contrato en la hoja Contratos",IF(R113="Por ingresar","Tener el contrato firmado y hacer el alta en AFP, salud, seguro de cesantía y mutual",IF(R113="Renovación registrada",IF(AND(N(K113)&gt;=2,IFERROR(INDEX(C_TIPO,MATCH(B113&amp;"-P"&amp;(G113+1),C_CLAVE,0)),"")="Plazo fijo"),"⚠ El período registrado sería el 3er contrato a plazo: por ley es INDEFINIDO. Registrarlo como Paso a indefinido","Siguiente período ya registrado: verificar que el documento esté firmado"),IF(I113="Indefinido","Sin vencimiento. Cambios de sueldo, cargo o jornada se formalizan con anexo de modificación",IF(R113="Falta fecha de término","Completar la fecha de término en la hoja Contratos",IF(R113="VENCIDO","Si sigue trabajando, por ley el contrato ya es INDEFINIDO (Art. 159 N°4): firmar anexo de paso a indefinido o regularizar el término",IF(I113="Obra o faena","Al concluir la obra: finiquito por Art. 159 N°5 + indemnización de 2,5 días por mes trabajado (Ley 21.122)",IF(N(K113)&gt;=3,"Por ley ya es indefinido (2ª renovación): firmar anexo de paso a indefinido",IF(N(K113)=2,"2° contrato a plazo: NO admite otra renovación a plazo fijo. Pasar a indefinido o terminar al vencimiento (carta dentro de 3 días hábiles)","1er contrato a plazo: renovar (2° plazo fijo), pasar a indefinido o terminar al vencimiento (carta dentro de 3 días hábiles)")))))))))))</f>
        <v/>
      </c>
      <c r="T113" s="70" t="str">
        <f aca="false">IF(B113="","",IF(COUNTIFS(C_ID,B113,C_FIRMADO,"&lt;&gt;Sí")&gt;0,COUNTIFS(C_ID,B113,C_FIRMADO,"&lt;&gt;Sí")&amp;" documento(s) sin firma. ","")&amp;IF(COUNTIFS(C_ID,B113,C_TIPO,"Plazo fijo",C_DEFINE,"Sí")&gt;2,"Más de 2 contratos a plazo: revisar presunción de indefinido. ","")&amp;IF(AND(R113="VENCIDO",LEFT(E113,6)="Activo"),"Trabaja con contrato vencido. ",""))</f>
        <v/>
      </c>
      <c r="U113" s="71" t="str">
        <f aca="false">IF(B113="","",INDEX(T_SUELDO,107))</f>
        <v/>
      </c>
      <c r="V113" s="72" t="str">
        <f aca="false">IF(AND(B113&lt;&gt;"",LEFT(E113,6)="Activo",ISNUMBER(O113),R113&lt;&gt;"Renovación registrada"),O113+ROW()/100000,"")</f>
        <v/>
      </c>
    </row>
    <row r="114" customFormat="false" ht="15" hidden="false" customHeight="false" outlineLevel="0" collapsed="false">
      <c r="B114" s="70" t="str">
        <f aca="false">IFERROR(IF(INDEX(T_ID,108)="","",INDEX(T_ID,108)),"")</f>
        <v/>
      </c>
      <c r="C114" s="70" t="str">
        <f aca="false">IF(B114="","",INDEX(T_NOMBRE,108)&amp;"")</f>
        <v/>
      </c>
      <c r="D114" s="70" t="str">
        <f aca="false">IF(B114="","",INDEX(T_CARGO,108)&amp;"")</f>
        <v/>
      </c>
      <c r="E114" s="70" t="str">
        <f aca="false">IF(B114="","",INDEX(T_ESTADO,108))</f>
        <v/>
      </c>
      <c r="F114" s="75" t="str">
        <f aca="false">IF(B114="","",INDEX(T_INGRESO,108))</f>
        <v/>
      </c>
      <c r="G114" s="70" t="str">
        <f aca="false">IF(B114="","",COUNTIFS(C_ID,B114,C_DEFINE,"Sí",C_INICIO,"&lt;="&amp;FECHA_CORTE))</f>
        <v/>
      </c>
      <c r="H114" s="70" t="str">
        <f aca="false">IF(B114="","",COUNTIFS(C_ID,B114,C_DEFINE,"Sí"))</f>
        <v/>
      </c>
      <c r="I114" s="70" t="str">
        <f aca="false">IF(B114="","",IF(H114=0,"Sin contrato",IFERROR(INDEX(C_TIPO,MATCH(B114&amp;"-P"&amp;MAX(1,G114),C_CLAVE,0))&amp;"","")))</f>
        <v/>
      </c>
      <c r="J114" s="70" t="str">
        <f aca="false">IF(OR(B114="",N(H114)=0),"",IFERROR(INDEX(C_TIPODOC,MATCH(B114&amp;"-P"&amp;MAX(1,G114),C_CLAVE,0))&amp;"",""))</f>
        <v/>
      </c>
      <c r="K114" s="76" t="str">
        <f aca="false">IF(I114="Plazo fijo",IFERROR(INDEX(C_NPF,MATCH(B114&amp;"-P"&amp;MAX(1,G114),C_CLAVE,0)),""),"")</f>
        <v/>
      </c>
      <c r="L114" s="70" t="str">
        <f aca="false">IF(B114="","",COUNTIFS(C_ID,B114,C_TIPODOC,"Anexo de modificación"))</f>
        <v/>
      </c>
      <c r="M114" s="75" t="str">
        <f aca="false">IF(OR(B114="",N(H114)=0),"",IFERROR(INDEX(C_INICIO,MATCH(B114&amp;"-P"&amp;MAX(1,G114),C_CLAVE,0)),""))</f>
        <v/>
      </c>
      <c r="N114" s="75" t="str">
        <f aca="false">IF(OR(I114="Plazo fijo",I114="Obra o faena"),IFERROR(IF(N(INDEX(C_TERMINO,MATCH(B114&amp;"-P"&amp;MAX(1,G114),C_CLAVE,0)))=0,"",INDEX(C_TERMINO,MATCH(B114&amp;"-P"&amp;MAX(1,G114),C_CLAVE,0))),""),"")</f>
        <v/>
      </c>
      <c r="O114" s="77" t="str">
        <f aca="false">IF(AND(ISNUMBER(N114),E114&lt;&gt;"Desvinculado"),N114-FECHA_CORTE,"")</f>
        <v/>
      </c>
      <c r="P114" s="75" t="str">
        <f aca="false">IF(AND(ISNUMBER(N114),E114&lt;&gt;"Desvinculado"),N114-DIAS_DECISION,"")</f>
        <v/>
      </c>
      <c r="Q114" s="75" t="str">
        <f aca="false">IF(OR(B114="",N(H114)&lt;=N(G114)),"",IFERROR(INDEX(C_INICIO,MATCH(B114&amp;"-P"&amp;(G114+1),C_CLAVE,0)),""))</f>
        <v/>
      </c>
      <c r="R114" s="70" t="str">
        <f aca="false">IF(B114="","",IF(E114="Desvinculado","Terminado",IF(H114=0,"Sin contrato registrado",IF(E114="Por ingresar","Por ingresar",IF(ISNUMBER(Q114),"Renovación registrada",IF(I114="Indefinido","Indefinido",IF(NOT(ISNUMBER(O114)),"Falta fecha de término",IF(O114&lt;0,"VENCIDO",IF(O114&lt;=ALERTA_ROJA,"Vence en ≤ "&amp;ALERTA_ROJA&amp;" días",IF(O114&lt;=ALERTA_NARANJA,"Vence en ≤ "&amp;ALERTA_NARANJA&amp;" días",IF(O114&lt;=ALERTA_AMARILLA,"Vence en ≤ "&amp;ALERTA_AMARILLA&amp;" días","Vigente")))))))))))</f>
        <v/>
      </c>
      <c r="S114" s="70" t="str">
        <f aca="false">IF(B114="","",IF(R114="Terminado","—",IF(R114="Sin contrato registrado","Registrar el contrato en la hoja Contratos",IF(R114="Por ingresar","Tener el contrato firmado y hacer el alta en AFP, salud, seguro de cesantía y mutual",IF(R114="Renovación registrada",IF(AND(N(K114)&gt;=2,IFERROR(INDEX(C_TIPO,MATCH(B114&amp;"-P"&amp;(G114+1),C_CLAVE,0)),"")="Plazo fijo"),"⚠ El período registrado sería el 3er contrato a plazo: por ley es INDEFINIDO. Registrarlo como Paso a indefinido","Siguiente período ya registrado: verificar que el documento esté firmado"),IF(I114="Indefinido","Sin vencimiento. Cambios de sueldo, cargo o jornada se formalizan con anexo de modificación",IF(R114="Falta fecha de término","Completar la fecha de término en la hoja Contratos",IF(R114="VENCIDO","Si sigue trabajando, por ley el contrato ya es INDEFINIDO (Art. 159 N°4): firmar anexo de paso a indefinido o regularizar el término",IF(I114="Obra o faena","Al concluir la obra: finiquito por Art. 159 N°5 + indemnización de 2,5 días por mes trabajado (Ley 21.122)",IF(N(K114)&gt;=3,"Por ley ya es indefinido (2ª renovación): firmar anexo de paso a indefinido",IF(N(K114)=2,"2° contrato a plazo: NO admite otra renovación a plazo fijo. Pasar a indefinido o terminar al vencimiento (carta dentro de 3 días hábiles)","1er contrato a plazo: renovar (2° plazo fijo), pasar a indefinido o terminar al vencimiento (carta dentro de 3 días hábiles)")))))))))))</f>
        <v/>
      </c>
      <c r="T114" s="70" t="str">
        <f aca="false">IF(B114="","",IF(COUNTIFS(C_ID,B114,C_FIRMADO,"&lt;&gt;Sí")&gt;0,COUNTIFS(C_ID,B114,C_FIRMADO,"&lt;&gt;Sí")&amp;" documento(s) sin firma. ","")&amp;IF(COUNTIFS(C_ID,B114,C_TIPO,"Plazo fijo",C_DEFINE,"Sí")&gt;2,"Más de 2 contratos a plazo: revisar presunción de indefinido. ","")&amp;IF(AND(R114="VENCIDO",LEFT(E114,6)="Activo"),"Trabaja con contrato vencido. ",""))</f>
        <v/>
      </c>
      <c r="U114" s="71" t="str">
        <f aca="false">IF(B114="","",INDEX(T_SUELDO,108))</f>
        <v/>
      </c>
      <c r="V114" s="72" t="str">
        <f aca="false">IF(AND(B114&lt;&gt;"",LEFT(E114,6)="Activo",ISNUMBER(O114),R114&lt;&gt;"Renovación registrada"),O114+ROW()/100000,"")</f>
        <v/>
      </c>
    </row>
    <row r="115" customFormat="false" ht="15" hidden="false" customHeight="false" outlineLevel="0" collapsed="false">
      <c r="B115" s="70" t="str">
        <f aca="false">IFERROR(IF(INDEX(T_ID,109)="","",INDEX(T_ID,109)),"")</f>
        <v/>
      </c>
      <c r="C115" s="70" t="str">
        <f aca="false">IF(B115="","",INDEX(T_NOMBRE,109)&amp;"")</f>
        <v/>
      </c>
      <c r="D115" s="70" t="str">
        <f aca="false">IF(B115="","",INDEX(T_CARGO,109)&amp;"")</f>
        <v/>
      </c>
      <c r="E115" s="70" t="str">
        <f aca="false">IF(B115="","",INDEX(T_ESTADO,109))</f>
        <v/>
      </c>
      <c r="F115" s="75" t="str">
        <f aca="false">IF(B115="","",INDEX(T_INGRESO,109))</f>
        <v/>
      </c>
      <c r="G115" s="70" t="str">
        <f aca="false">IF(B115="","",COUNTIFS(C_ID,B115,C_DEFINE,"Sí",C_INICIO,"&lt;="&amp;FECHA_CORTE))</f>
        <v/>
      </c>
      <c r="H115" s="70" t="str">
        <f aca="false">IF(B115="","",COUNTIFS(C_ID,B115,C_DEFINE,"Sí"))</f>
        <v/>
      </c>
      <c r="I115" s="70" t="str">
        <f aca="false">IF(B115="","",IF(H115=0,"Sin contrato",IFERROR(INDEX(C_TIPO,MATCH(B115&amp;"-P"&amp;MAX(1,G115),C_CLAVE,0))&amp;"","")))</f>
        <v/>
      </c>
      <c r="J115" s="70" t="str">
        <f aca="false">IF(OR(B115="",N(H115)=0),"",IFERROR(INDEX(C_TIPODOC,MATCH(B115&amp;"-P"&amp;MAX(1,G115),C_CLAVE,0))&amp;"",""))</f>
        <v/>
      </c>
      <c r="K115" s="76" t="str">
        <f aca="false">IF(I115="Plazo fijo",IFERROR(INDEX(C_NPF,MATCH(B115&amp;"-P"&amp;MAX(1,G115),C_CLAVE,0)),""),"")</f>
        <v/>
      </c>
      <c r="L115" s="70" t="str">
        <f aca="false">IF(B115="","",COUNTIFS(C_ID,B115,C_TIPODOC,"Anexo de modificación"))</f>
        <v/>
      </c>
      <c r="M115" s="75" t="str">
        <f aca="false">IF(OR(B115="",N(H115)=0),"",IFERROR(INDEX(C_INICIO,MATCH(B115&amp;"-P"&amp;MAX(1,G115),C_CLAVE,0)),""))</f>
        <v/>
      </c>
      <c r="N115" s="75" t="str">
        <f aca="false">IF(OR(I115="Plazo fijo",I115="Obra o faena"),IFERROR(IF(N(INDEX(C_TERMINO,MATCH(B115&amp;"-P"&amp;MAX(1,G115),C_CLAVE,0)))=0,"",INDEX(C_TERMINO,MATCH(B115&amp;"-P"&amp;MAX(1,G115),C_CLAVE,0))),""),"")</f>
        <v/>
      </c>
      <c r="O115" s="77" t="str">
        <f aca="false">IF(AND(ISNUMBER(N115),E115&lt;&gt;"Desvinculado"),N115-FECHA_CORTE,"")</f>
        <v/>
      </c>
      <c r="P115" s="75" t="str">
        <f aca="false">IF(AND(ISNUMBER(N115),E115&lt;&gt;"Desvinculado"),N115-DIAS_DECISION,"")</f>
        <v/>
      </c>
      <c r="Q115" s="75" t="str">
        <f aca="false">IF(OR(B115="",N(H115)&lt;=N(G115)),"",IFERROR(INDEX(C_INICIO,MATCH(B115&amp;"-P"&amp;(G115+1),C_CLAVE,0)),""))</f>
        <v/>
      </c>
      <c r="R115" s="70" t="str">
        <f aca="false">IF(B115="","",IF(E115="Desvinculado","Terminado",IF(H115=0,"Sin contrato registrado",IF(E115="Por ingresar","Por ingresar",IF(ISNUMBER(Q115),"Renovación registrada",IF(I115="Indefinido","Indefinido",IF(NOT(ISNUMBER(O115)),"Falta fecha de término",IF(O115&lt;0,"VENCIDO",IF(O115&lt;=ALERTA_ROJA,"Vence en ≤ "&amp;ALERTA_ROJA&amp;" días",IF(O115&lt;=ALERTA_NARANJA,"Vence en ≤ "&amp;ALERTA_NARANJA&amp;" días",IF(O115&lt;=ALERTA_AMARILLA,"Vence en ≤ "&amp;ALERTA_AMARILLA&amp;" días","Vigente")))))))))))</f>
        <v/>
      </c>
      <c r="S115" s="70" t="str">
        <f aca="false">IF(B115="","",IF(R115="Terminado","—",IF(R115="Sin contrato registrado","Registrar el contrato en la hoja Contratos",IF(R115="Por ingresar","Tener el contrato firmado y hacer el alta en AFP, salud, seguro de cesantía y mutual",IF(R115="Renovación registrada",IF(AND(N(K115)&gt;=2,IFERROR(INDEX(C_TIPO,MATCH(B115&amp;"-P"&amp;(G115+1),C_CLAVE,0)),"")="Plazo fijo"),"⚠ El período registrado sería el 3er contrato a plazo: por ley es INDEFINIDO. Registrarlo como Paso a indefinido","Siguiente período ya registrado: verificar que el documento esté firmado"),IF(I115="Indefinido","Sin vencimiento. Cambios de sueldo, cargo o jornada se formalizan con anexo de modificación",IF(R115="Falta fecha de término","Completar la fecha de término en la hoja Contratos",IF(R115="VENCIDO","Si sigue trabajando, por ley el contrato ya es INDEFINIDO (Art. 159 N°4): firmar anexo de paso a indefinido o regularizar el término",IF(I115="Obra o faena","Al concluir la obra: finiquito por Art. 159 N°5 + indemnización de 2,5 días por mes trabajado (Ley 21.122)",IF(N(K115)&gt;=3,"Por ley ya es indefinido (2ª renovación): firmar anexo de paso a indefinido",IF(N(K115)=2,"2° contrato a plazo: NO admite otra renovación a plazo fijo. Pasar a indefinido o terminar al vencimiento (carta dentro de 3 días hábiles)","1er contrato a plazo: renovar (2° plazo fijo), pasar a indefinido o terminar al vencimiento (carta dentro de 3 días hábiles)")))))))))))</f>
        <v/>
      </c>
      <c r="T115" s="70" t="str">
        <f aca="false">IF(B115="","",IF(COUNTIFS(C_ID,B115,C_FIRMADO,"&lt;&gt;Sí")&gt;0,COUNTIFS(C_ID,B115,C_FIRMADO,"&lt;&gt;Sí")&amp;" documento(s) sin firma. ","")&amp;IF(COUNTIFS(C_ID,B115,C_TIPO,"Plazo fijo",C_DEFINE,"Sí")&gt;2,"Más de 2 contratos a plazo: revisar presunción de indefinido. ","")&amp;IF(AND(R115="VENCIDO",LEFT(E115,6)="Activo"),"Trabaja con contrato vencido. ",""))</f>
        <v/>
      </c>
      <c r="U115" s="71" t="str">
        <f aca="false">IF(B115="","",INDEX(T_SUELDO,109))</f>
        <v/>
      </c>
      <c r="V115" s="72" t="str">
        <f aca="false">IF(AND(B115&lt;&gt;"",LEFT(E115,6)="Activo",ISNUMBER(O115),R115&lt;&gt;"Renovación registrada"),O115+ROW()/100000,"")</f>
        <v/>
      </c>
    </row>
    <row r="116" customFormat="false" ht="15" hidden="false" customHeight="false" outlineLevel="0" collapsed="false">
      <c r="B116" s="70" t="str">
        <f aca="false">IFERROR(IF(INDEX(T_ID,110)="","",INDEX(T_ID,110)),"")</f>
        <v/>
      </c>
      <c r="C116" s="70" t="str">
        <f aca="false">IF(B116="","",INDEX(T_NOMBRE,110)&amp;"")</f>
        <v/>
      </c>
      <c r="D116" s="70" t="str">
        <f aca="false">IF(B116="","",INDEX(T_CARGO,110)&amp;"")</f>
        <v/>
      </c>
      <c r="E116" s="70" t="str">
        <f aca="false">IF(B116="","",INDEX(T_ESTADO,110))</f>
        <v/>
      </c>
      <c r="F116" s="75" t="str">
        <f aca="false">IF(B116="","",INDEX(T_INGRESO,110))</f>
        <v/>
      </c>
      <c r="G116" s="70" t="str">
        <f aca="false">IF(B116="","",COUNTIFS(C_ID,B116,C_DEFINE,"Sí",C_INICIO,"&lt;="&amp;FECHA_CORTE))</f>
        <v/>
      </c>
      <c r="H116" s="70" t="str">
        <f aca="false">IF(B116="","",COUNTIFS(C_ID,B116,C_DEFINE,"Sí"))</f>
        <v/>
      </c>
      <c r="I116" s="70" t="str">
        <f aca="false">IF(B116="","",IF(H116=0,"Sin contrato",IFERROR(INDEX(C_TIPO,MATCH(B116&amp;"-P"&amp;MAX(1,G116),C_CLAVE,0))&amp;"","")))</f>
        <v/>
      </c>
      <c r="J116" s="70" t="str">
        <f aca="false">IF(OR(B116="",N(H116)=0),"",IFERROR(INDEX(C_TIPODOC,MATCH(B116&amp;"-P"&amp;MAX(1,G116),C_CLAVE,0))&amp;"",""))</f>
        <v/>
      </c>
      <c r="K116" s="76" t="str">
        <f aca="false">IF(I116="Plazo fijo",IFERROR(INDEX(C_NPF,MATCH(B116&amp;"-P"&amp;MAX(1,G116),C_CLAVE,0)),""),"")</f>
        <v/>
      </c>
      <c r="L116" s="70" t="str">
        <f aca="false">IF(B116="","",COUNTIFS(C_ID,B116,C_TIPODOC,"Anexo de modificación"))</f>
        <v/>
      </c>
      <c r="M116" s="75" t="str">
        <f aca="false">IF(OR(B116="",N(H116)=0),"",IFERROR(INDEX(C_INICIO,MATCH(B116&amp;"-P"&amp;MAX(1,G116),C_CLAVE,0)),""))</f>
        <v/>
      </c>
      <c r="N116" s="75" t="str">
        <f aca="false">IF(OR(I116="Plazo fijo",I116="Obra o faena"),IFERROR(IF(N(INDEX(C_TERMINO,MATCH(B116&amp;"-P"&amp;MAX(1,G116),C_CLAVE,0)))=0,"",INDEX(C_TERMINO,MATCH(B116&amp;"-P"&amp;MAX(1,G116),C_CLAVE,0))),""),"")</f>
        <v/>
      </c>
      <c r="O116" s="77" t="str">
        <f aca="false">IF(AND(ISNUMBER(N116),E116&lt;&gt;"Desvinculado"),N116-FECHA_CORTE,"")</f>
        <v/>
      </c>
      <c r="P116" s="75" t="str">
        <f aca="false">IF(AND(ISNUMBER(N116),E116&lt;&gt;"Desvinculado"),N116-DIAS_DECISION,"")</f>
        <v/>
      </c>
      <c r="Q116" s="75" t="str">
        <f aca="false">IF(OR(B116="",N(H116)&lt;=N(G116)),"",IFERROR(INDEX(C_INICIO,MATCH(B116&amp;"-P"&amp;(G116+1),C_CLAVE,0)),""))</f>
        <v/>
      </c>
      <c r="R116" s="70" t="str">
        <f aca="false">IF(B116="","",IF(E116="Desvinculado","Terminado",IF(H116=0,"Sin contrato registrado",IF(E116="Por ingresar","Por ingresar",IF(ISNUMBER(Q116),"Renovación registrada",IF(I116="Indefinido","Indefinido",IF(NOT(ISNUMBER(O116)),"Falta fecha de término",IF(O116&lt;0,"VENCIDO",IF(O116&lt;=ALERTA_ROJA,"Vence en ≤ "&amp;ALERTA_ROJA&amp;" días",IF(O116&lt;=ALERTA_NARANJA,"Vence en ≤ "&amp;ALERTA_NARANJA&amp;" días",IF(O116&lt;=ALERTA_AMARILLA,"Vence en ≤ "&amp;ALERTA_AMARILLA&amp;" días","Vigente")))))))))))</f>
        <v/>
      </c>
      <c r="S116" s="70" t="str">
        <f aca="false">IF(B116="","",IF(R116="Terminado","—",IF(R116="Sin contrato registrado","Registrar el contrato en la hoja Contratos",IF(R116="Por ingresar","Tener el contrato firmado y hacer el alta en AFP, salud, seguro de cesantía y mutual",IF(R116="Renovación registrada",IF(AND(N(K116)&gt;=2,IFERROR(INDEX(C_TIPO,MATCH(B116&amp;"-P"&amp;(G116+1),C_CLAVE,0)),"")="Plazo fijo"),"⚠ El período registrado sería el 3er contrato a plazo: por ley es INDEFINIDO. Registrarlo como Paso a indefinido","Siguiente período ya registrado: verificar que el documento esté firmado"),IF(I116="Indefinido","Sin vencimiento. Cambios de sueldo, cargo o jornada se formalizan con anexo de modificación",IF(R116="Falta fecha de término","Completar la fecha de término en la hoja Contratos",IF(R116="VENCIDO","Si sigue trabajando, por ley el contrato ya es INDEFINIDO (Art. 159 N°4): firmar anexo de paso a indefinido o regularizar el término",IF(I116="Obra o faena","Al concluir la obra: finiquito por Art. 159 N°5 + indemnización de 2,5 días por mes trabajado (Ley 21.122)",IF(N(K116)&gt;=3,"Por ley ya es indefinido (2ª renovación): firmar anexo de paso a indefinido",IF(N(K116)=2,"2° contrato a plazo: NO admite otra renovación a plazo fijo. Pasar a indefinido o terminar al vencimiento (carta dentro de 3 días hábiles)","1er contrato a plazo: renovar (2° plazo fijo), pasar a indefinido o terminar al vencimiento (carta dentro de 3 días hábiles)")))))))))))</f>
        <v/>
      </c>
      <c r="T116" s="70" t="str">
        <f aca="false">IF(B116="","",IF(COUNTIFS(C_ID,B116,C_FIRMADO,"&lt;&gt;Sí")&gt;0,COUNTIFS(C_ID,B116,C_FIRMADO,"&lt;&gt;Sí")&amp;" documento(s) sin firma. ","")&amp;IF(COUNTIFS(C_ID,B116,C_TIPO,"Plazo fijo",C_DEFINE,"Sí")&gt;2,"Más de 2 contratos a plazo: revisar presunción de indefinido. ","")&amp;IF(AND(R116="VENCIDO",LEFT(E116,6)="Activo"),"Trabaja con contrato vencido. ",""))</f>
        <v/>
      </c>
      <c r="U116" s="71" t="str">
        <f aca="false">IF(B116="","",INDEX(T_SUELDO,110))</f>
        <v/>
      </c>
      <c r="V116" s="72" t="str">
        <f aca="false">IF(AND(B116&lt;&gt;"",LEFT(E116,6)="Activo",ISNUMBER(O116),R116&lt;&gt;"Renovación registrada"),O116+ROW()/100000,"")</f>
        <v/>
      </c>
    </row>
    <row r="117" customFormat="false" ht="15" hidden="false" customHeight="false" outlineLevel="0" collapsed="false">
      <c r="B117" s="70" t="str">
        <f aca="false">IFERROR(IF(INDEX(T_ID,111)="","",INDEX(T_ID,111)),"")</f>
        <v/>
      </c>
      <c r="C117" s="70" t="str">
        <f aca="false">IF(B117="","",INDEX(T_NOMBRE,111)&amp;"")</f>
        <v/>
      </c>
      <c r="D117" s="70" t="str">
        <f aca="false">IF(B117="","",INDEX(T_CARGO,111)&amp;"")</f>
        <v/>
      </c>
      <c r="E117" s="70" t="str">
        <f aca="false">IF(B117="","",INDEX(T_ESTADO,111))</f>
        <v/>
      </c>
      <c r="F117" s="75" t="str">
        <f aca="false">IF(B117="","",INDEX(T_INGRESO,111))</f>
        <v/>
      </c>
      <c r="G117" s="70" t="str">
        <f aca="false">IF(B117="","",COUNTIFS(C_ID,B117,C_DEFINE,"Sí",C_INICIO,"&lt;="&amp;FECHA_CORTE))</f>
        <v/>
      </c>
      <c r="H117" s="70" t="str">
        <f aca="false">IF(B117="","",COUNTIFS(C_ID,B117,C_DEFINE,"Sí"))</f>
        <v/>
      </c>
      <c r="I117" s="70" t="str">
        <f aca="false">IF(B117="","",IF(H117=0,"Sin contrato",IFERROR(INDEX(C_TIPO,MATCH(B117&amp;"-P"&amp;MAX(1,G117),C_CLAVE,0))&amp;"","")))</f>
        <v/>
      </c>
      <c r="J117" s="70" t="str">
        <f aca="false">IF(OR(B117="",N(H117)=0),"",IFERROR(INDEX(C_TIPODOC,MATCH(B117&amp;"-P"&amp;MAX(1,G117),C_CLAVE,0))&amp;"",""))</f>
        <v/>
      </c>
      <c r="K117" s="76" t="str">
        <f aca="false">IF(I117="Plazo fijo",IFERROR(INDEX(C_NPF,MATCH(B117&amp;"-P"&amp;MAX(1,G117),C_CLAVE,0)),""),"")</f>
        <v/>
      </c>
      <c r="L117" s="70" t="str">
        <f aca="false">IF(B117="","",COUNTIFS(C_ID,B117,C_TIPODOC,"Anexo de modificación"))</f>
        <v/>
      </c>
      <c r="M117" s="75" t="str">
        <f aca="false">IF(OR(B117="",N(H117)=0),"",IFERROR(INDEX(C_INICIO,MATCH(B117&amp;"-P"&amp;MAX(1,G117),C_CLAVE,0)),""))</f>
        <v/>
      </c>
      <c r="N117" s="75" t="str">
        <f aca="false">IF(OR(I117="Plazo fijo",I117="Obra o faena"),IFERROR(IF(N(INDEX(C_TERMINO,MATCH(B117&amp;"-P"&amp;MAX(1,G117),C_CLAVE,0)))=0,"",INDEX(C_TERMINO,MATCH(B117&amp;"-P"&amp;MAX(1,G117),C_CLAVE,0))),""),"")</f>
        <v/>
      </c>
      <c r="O117" s="77" t="str">
        <f aca="false">IF(AND(ISNUMBER(N117),E117&lt;&gt;"Desvinculado"),N117-FECHA_CORTE,"")</f>
        <v/>
      </c>
      <c r="P117" s="75" t="str">
        <f aca="false">IF(AND(ISNUMBER(N117),E117&lt;&gt;"Desvinculado"),N117-DIAS_DECISION,"")</f>
        <v/>
      </c>
      <c r="Q117" s="75" t="str">
        <f aca="false">IF(OR(B117="",N(H117)&lt;=N(G117)),"",IFERROR(INDEX(C_INICIO,MATCH(B117&amp;"-P"&amp;(G117+1),C_CLAVE,0)),""))</f>
        <v/>
      </c>
      <c r="R117" s="70" t="str">
        <f aca="false">IF(B117="","",IF(E117="Desvinculado","Terminado",IF(H117=0,"Sin contrato registrado",IF(E117="Por ingresar","Por ingresar",IF(ISNUMBER(Q117),"Renovación registrada",IF(I117="Indefinido","Indefinido",IF(NOT(ISNUMBER(O117)),"Falta fecha de término",IF(O117&lt;0,"VENCIDO",IF(O117&lt;=ALERTA_ROJA,"Vence en ≤ "&amp;ALERTA_ROJA&amp;" días",IF(O117&lt;=ALERTA_NARANJA,"Vence en ≤ "&amp;ALERTA_NARANJA&amp;" días",IF(O117&lt;=ALERTA_AMARILLA,"Vence en ≤ "&amp;ALERTA_AMARILLA&amp;" días","Vigente")))))))))))</f>
        <v/>
      </c>
      <c r="S117" s="70" t="str">
        <f aca="false">IF(B117="","",IF(R117="Terminado","—",IF(R117="Sin contrato registrado","Registrar el contrato en la hoja Contratos",IF(R117="Por ingresar","Tener el contrato firmado y hacer el alta en AFP, salud, seguro de cesantía y mutual",IF(R117="Renovación registrada",IF(AND(N(K117)&gt;=2,IFERROR(INDEX(C_TIPO,MATCH(B117&amp;"-P"&amp;(G117+1),C_CLAVE,0)),"")="Plazo fijo"),"⚠ El período registrado sería el 3er contrato a plazo: por ley es INDEFINIDO. Registrarlo como Paso a indefinido","Siguiente período ya registrado: verificar que el documento esté firmado"),IF(I117="Indefinido","Sin vencimiento. Cambios de sueldo, cargo o jornada se formalizan con anexo de modificación",IF(R117="Falta fecha de término","Completar la fecha de término en la hoja Contratos",IF(R117="VENCIDO","Si sigue trabajando, por ley el contrato ya es INDEFINIDO (Art. 159 N°4): firmar anexo de paso a indefinido o regularizar el término",IF(I117="Obra o faena","Al concluir la obra: finiquito por Art. 159 N°5 + indemnización de 2,5 días por mes trabajado (Ley 21.122)",IF(N(K117)&gt;=3,"Por ley ya es indefinido (2ª renovación): firmar anexo de paso a indefinido",IF(N(K117)=2,"2° contrato a plazo: NO admite otra renovación a plazo fijo. Pasar a indefinido o terminar al vencimiento (carta dentro de 3 días hábiles)","1er contrato a plazo: renovar (2° plazo fijo), pasar a indefinido o terminar al vencimiento (carta dentro de 3 días hábiles)")))))))))))</f>
        <v/>
      </c>
      <c r="T117" s="70" t="str">
        <f aca="false">IF(B117="","",IF(COUNTIFS(C_ID,B117,C_FIRMADO,"&lt;&gt;Sí")&gt;0,COUNTIFS(C_ID,B117,C_FIRMADO,"&lt;&gt;Sí")&amp;" documento(s) sin firma. ","")&amp;IF(COUNTIFS(C_ID,B117,C_TIPO,"Plazo fijo",C_DEFINE,"Sí")&gt;2,"Más de 2 contratos a plazo: revisar presunción de indefinido. ","")&amp;IF(AND(R117="VENCIDO",LEFT(E117,6)="Activo"),"Trabaja con contrato vencido. ",""))</f>
        <v/>
      </c>
      <c r="U117" s="71" t="str">
        <f aca="false">IF(B117="","",INDEX(T_SUELDO,111))</f>
        <v/>
      </c>
      <c r="V117" s="72" t="str">
        <f aca="false">IF(AND(B117&lt;&gt;"",LEFT(E117,6)="Activo",ISNUMBER(O117),R117&lt;&gt;"Renovación registrada"),O117+ROW()/100000,"")</f>
        <v/>
      </c>
    </row>
    <row r="118" customFormat="false" ht="15" hidden="false" customHeight="false" outlineLevel="0" collapsed="false">
      <c r="B118" s="70" t="str">
        <f aca="false">IFERROR(IF(INDEX(T_ID,112)="","",INDEX(T_ID,112)),"")</f>
        <v/>
      </c>
      <c r="C118" s="70" t="str">
        <f aca="false">IF(B118="","",INDEX(T_NOMBRE,112)&amp;"")</f>
        <v/>
      </c>
      <c r="D118" s="70" t="str">
        <f aca="false">IF(B118="","",INDEX(T_CARGO,112)&amp;"")</f>
        <v/>
      </c>
      <c r="E118" s="70" t="str">
        <f aca="false">IF(B118="","",INDEX(T_ESTADO,112))</f>
        <v/>
      </c>
      <c r="F118" s="75" t="str">
        <f aca="false">IF(B118="","",INDEX(T_INGRESO,112))</f>
        <v/>
      </c>
      <c r="G118" s="70" t="str">
        <f aca="false">IF(B118="","",COUNTIFS(C_ID,B118,C_DEFINE,"Sí",C_INICIO,"&lt;="&amp;FECHA_CORTE))</f>
        <v/>
      </c>
      <c r="H118" s="70" t="str">
        <f aca="false">IF(B118="","",COUNTIFS(C_ID,B118,C_DEFINE,"Sí"))</f>
        <v/>
      </c>
      <c r="I118" s="70" t="str">
        <f aca="false">IF(B118="","",IF(H118=0,"Sin contrato",IFERROR(INDEX(C_TIPO,MATCH(B118&amp;"-P"&amp;MAX(1,G118),C_CLAVE,0))&amp;"","")))</f>
        <v/>
      </c>
      <c r="J118" s="70" t="str">
        <f aca="false">IF(OR(B118="",N(H118)=0),"",IFERROR(INDEX(C_TIPODOC,MATCH(B118&amp;"-P"&amp;MAX(1,G118),C_CLAVE,0))&amp;"",""))</f>
        <v/>
      </c>
      <c r="K118" s="76" t="str">
        <f aca="false">IF(I118="Plazo fijo",IFERROR(INDEX(C_NPF,MATCH(B118&amp;"-P"&amp;MAX(1,G118),C_CLAVE,0)),""),"")</f>
        <v/>
      </c>
      <c r="L118" s="70" t="str">
        <f aca="false">IF(B118="","",COUNTIFS(C_ID,B118,C_TIPODOC,"Anexo de modificación"))</f>
        <v/>
      </c>
      <c r="M118" s="75" t="str">
        <f aca="false">IF(OR(B118="",N(H118)=0),"",IFERROR(INDEX(C_INICIO,MATCH(B118&amp;"-P"&amp;MAX(1,G118),C_CLAVE,0)),""))</f>
        <v/>
      </c>
      <c r="N118" s="75" t="str">
        <f aca="false">IF(OR(I118="Plazo fijo",I118="Obra o faena"),IFERROR(IF(N(INDEX(C_TERMINO,MATCH(B118&amp;"-P"&amp;MAX(1,G118),C_CLAVE,0)))=0,"",INDEX(C_TERMINO,MATCH(B118&amp;"-P"&amp;MAX(1,G118),C_CLAVE,0))),""),"")</f>
        <v/>
      </c>
      <c r="O118" s="77" t="str">
        <f aca="false">IF(AND(ISNUMBER(N118),E118&lt;&gt;"Desvinculado"),N118-FECHA_CORTE,"")</f>
        <v/>
      </c>
      <c r="P118" s="75" t="str">
        <f aca="false">IF(AND(ISNUMBER(N118),E118&lt;&gt;"Desvinculado"),N118-DIAS_DECISION,"")</f>
        <v/>
      </c>
      <c r="Q118" s="75" t="str">
        <f aca="false">IF(OR(B118="",N(H118)&lt;=N(G118)),"",IFERROR(INDEX(C_INICIO,MATCH(B118&amp;"-P"&amp;(G118+1),C_CLAVE,0)),""))</f>
        <v/>
      </c>
      <c r="R118" s="70" t="str">
        <f aca="false">IF(B118="","",IF(E118="Desvinculado","Terminado",IF(H118=0,"Sin contrato registrado",IF(E118="Por ingresar","Por ingresar",IF(ISNUMBER(Q118),"Renovación registrada",IF(I118="Indefinido","Indefinido",IF(NOT(ISNUMBER(O118)),"Falta fecha de término",IF(O118&lt;0,"VENCIDO",IF(O118&lt;=ALERTA_ROJA,"Vence en ≤ "&amp;ALERTA_ROJA&amp;" días",IF(O118&lt;=ALERTA_NARANJA,"Vence en ≤ "&amp;ALERTA_NARANJA&amp;" días",IF(O118&lt;=ALERTA_AMARILLA,"Vence en ≤ "&amp;ALERTA_AMARILLA&amp;" días","Vigente")))))))))))</f>
        <v/>
      </c>
      <c r="S118" s="70" t="str">
        <f aca="false">IF(B118="","",IF(R118="Terminado","—",IF(R118="Sin contrato registrado","Registrar el contrato en la hoja Contratos",IF(R118="Por ingresar","Tener el contrato firmado y hacer el alta en AFP, salud, seguro de cesantía y mutual",IF(R118="Renovación registrada",IF(AND(N(K118)&gt;=2,IFERROR(INDEX(C_TIPO,MATCH(B118&amp;"-P"&amp;(G118+1),C_CLAVE,0)),"")="Plazo fijo"),"⚠ El período registrado sería el 3er contrato a plazo: por ley es INDEFINIDO. Registrarlo como Paso a indefinido","Siguiente período ya registrado: verificar que el documento esté firmado"),IF(I118="Indefinido","Sin vencimiento. Cambios de sueldo, cargo o jornada se formalizan con anexo de modificación",IF(R118="Falta fecha de término","Completar la fecha de término en la hoja Contratos",IF(R118="VENCIDO","Si sigue trabajando, por ley el contrato ya es INDEFINIDO (Art. 159 N°4): firmar anexo de paso a indefinido o regularizar el término",IF(I118="Obra o faena","Al concluir la obra: finiquito por Art. 159 N°5 + indemnización de 2,5 días por mes trabajado (Ley 21.122)",IF(N(K118)&gt;=3,"Por ley ya es indefinido (2ª renovación): firmar anexo de paso a indefinido",IF(N(K118)=2,"2° contrato a plazo: NO admite otra renovación a plazo fijo. Pasar a indefinido o terminar al vencimiento (carta dentro de 3 días hábiles)","1er contrato a plazo: renovar (2° plazo fijo), pasar a indefinido o terminar al vencimiento (carta dentro de 3 días hábiles)")))))))))))</f>
        <v/>
      </c>
      <c r="T118" s="70" t="str">
        <f aca="false">IF(B118="","",IF(COUNTIFS(C_ID,B118,C_FIRMADO,"&lt;&gt;Sí")&gt;0,COUNTIFS(C_ID,B118,C_FIRMADO,"&lt;&gt;Sí")&amp;" documento(s) sin firma. ","")&amp;IF(COUNTIFS(C_ID,B118,C_TIPO,"Plazo fijo",C_DEFINE,"Sí")&gt;2,"Más de 2 contratos a plazo: revisar presunción de indefinido. ","")&amp;IF(AND(R118="VENCIDO",LEFT(E118,6)="Activo"),"Trabaja con contrato vencido. ",""))</f>
        <v/>
      </c>
      <c r="U118" s="71" t="str">
        <f aca="false">IF(B118="","",INDEX(T_SUELDO,112))</f>
        <v/>
      </c>
      <c r="V118" s="72" t="str">
        <f aca="false">IF(AND(B118&lt;&gt;"",LEFT(E118,6)="Activo",ISNUMBER(O118),R118&lt;&gt;"Renovación registrada"),O118+ROW()/100000,"")</f>
        <v/>
      </c>
    </row>
    <row r="119" customFormat="false" ht="15" hidden="false" customHeight="false" outlineLevel="0" collapsed="false">
      <c r="B119" s="70" t="str">
        <f aca="false">IFERROR(IF(INDEX(T_ID,113)="","",INDEX(T_ID,113)),"")</f>
        <v/>
      </c>
      <c r="C119" s="70" t="str">
        <f aca="false">IF(B119="","",INDEX(T_NOMBRE,113)&amp;"")</f>
        <v/>
      </c>
      <c r="D119" s="70" t="str">
        <f aca="false">IF(B119="","",INDEX(T_CARGO,113)&amp;"")</f>
        <v/>
      </c>
      <c r="E119" s="70" t="str">
        <f aca="false">IF(B119="","",INDEX(T_ESTADO,113))</f>
        <v/>
      </c>
      <c r="F119" s="75" t="str">
        <f aca="false">IF(B119="","",INDEX(T_INGRESO,113))</f>
        <v/>
      </c>
      <c r="G119" s="70" t="str">
        <f aca="false">IF(B119="","",COUNTIFS(C_ID,B119,C_DEFINE,"Sí",C_INICIO,"&lt;="&amp;FECHA_CORTE))</f>
        <v/>
      </c>
      <c r="H119" s="70" t="str">
        <f aca="false">IF(B119="","",COUNTIFS(C_ID,B119,C_DEFINE,"Sí"))</f>
        <v/>
      </c>
      <c r="I119" s="70" t="str">
        <f aca="false">IF(B119="","",IF(H119=0,"Sin contrato",IFERROR(INDEX(C_TIPO,MATCH(B119&amp;"-P"&amp;MAX(1,G119),C_CLAVE,0))&amp;"","")))</f>
        <v/>
      </c>
      <c r="J119" s="70" t="str">
        <f aca="false">IF(OR(B119="",N(H119)=0),"",IFERROR(INDEX(C_TIPODOC,MATCH(B119&amp;"-P"&amp;MAX(1,G119),C_CLAVE,0))&amp;"",""))</f>
        <v/>
      </c>
      <c r="K119" s="76" t="str">
        <f aca="false">IF(I119="Plazo fijo",IFERROR(INDEX(C_NPF,MATCH(B119&amp;"-P"&amp;MAX(1,G119),C_CLAVE,0)),""),"")</f>
        <v/>
      </c>
      <c r="L119" s="70" t="str">
        <f aca="false">IF(B119="","",COUNTIFS(C_ID,B119,C_TIPODOC,"Anexo de modificación"))</f>
        <v/>
      </c>
      <c r="M119" s="75" t="str">
        <f aca="false">IF(OR(B119="",N(H119)=0),"",IFERROR(INDEX(C_INICIO,MATCH(B119&amp;"-P"&amp;MAX(1,G119),C_CLAVE,0)),""))</f>
        <v/>
      </c>
      <c r="N119" s="75" t="str">
        <f aca="false">IF(OR(I119="Plazo fijo",I119="Obra o faena"),IFERROR(IF(N(INDEX(C_TERMINO,MATCH(B119&amp;"-P"&amp;MAX(1,G119),C_CLAVE,0)))=0,"",INDEX(C_TERMINO,MATCH(B119&amp;"-P"&amp;MAX(1,G119),C_CLAVE,0))),""),"")</f>
        <v/>
      </c>
      <c r="O119" s="77" t="str">
        <f aca="false">IF(AND(ISNUMBER(N119),E119&lt;&gt;"Desvinculado"),N119-FECHA_CORTE,"")</f>
        <v/>
      </c>
      <c r="P119" s="75" t="str">
        <f aca="false">IF(AND(ISNUMBER(N119),E119&lt;&gt;"Desvinculado"),N119-DIAS_DECISION,"")</f>
        <v/>
      </c>
      <c r="Q119" s="75" t="str">
        <f aca="false">IF(OR(B119="",N(H119)&lt;=N(G119)),"",IFERROR(INDEX(C_INICIO,MATCH(B119&amp;"-P"&amp;(G119+1),C_CLAVE,0)),""))</f>
        <v/>
      </c>
      <c r="R119" s="70" t="str">
        <f aca="false">IF(B119="","",IF(E119="Desvinculado","Terminado",IF(H119=0,"Sin contrato registrado",IF(E119="Por ingresar","Por ingresar",IF(ISNUMBER(Q119),"Renovación registrada",IF(I119="Indefinido","Indefinido",IF(NOT(ISNUMBER(O119)),"Falta fecha de término",IF(O119&lt;0,"VENCIDO",IF(O119&lt;=ALERTA_ROJA,"Vence en ≤ "&amp;ALERTA_ROJA&amp;" días",IF(O119&lt;=ALERTA_NARANJA,"Vence en ≤ "&amp;ALERTA_NARANJA&amp;" días",IF(O119&lt;=ALERTA_AMARILLA,"Vence en ≤ "&amp;ALERTA_AMARILLA&amp;" días","Vigente")))))))))))</f>
        <v/>
      </c>
      <c r="S119" s="70" t="str">
        <f aca="false">IF(B119="","",IF(R119="Terminado","—",IF(R119="Sin contrato registrado","Registrar el contrato en la hoja Contratos",IF(R119="Por ingresar","Tener el contrato firmado y hacer el alta en AFP, salud, seguro de cesantía y mutual",IF(R119="Renovación registrada",IF(AND(N(K119)&gt;=2,IFERROR(INDEX(C_TIPO,MATCH(B119&amp;"-P"&amp;(G119+1),C_CLAVE,0)),"")="Plazo fijo"),"⚠ El período registrado sería el 3er contrato a plazo: por ley es INDEFINIDO. Registrarlo como Paso a indefinido","Siguiente período ya registrado: verificar que el documento esté firmado"),IF(I119="Indefinido","Sin vencimiento. Cambios de sueldo, cargo o jornada se formalizan con anexo de modificación",IF(R119="Falta fecha de término","Completar la fecha de término en la hoja Contratos",IF(R119="VENCIDO","Si sigue trabajando, por ley el contrato ya es INDEFINIDO (Art. 159 N°4): firmar anexo de paso a indefinido o regularizar el término",IF(I119="Obra o faena","Al concluir la obra: finiquito por Art. 159 N°5 + indemnización de 2,5 días por mes trabajado (Ley 21.122)",IF(N(K119)&gt;=3,"Por ley ya es indefinido (2ª renovación): firmar anexo de paso a indefinido",IF(N(K119)=2,"2° contrato a plazo: NO admite otra renovación a plazo fijo. Pasar a indefinido o terminar al vencimiento (carta dentro de 3 días hábiles)","1er contrato a plazo: renovar (2° plazo fijo), pasar a indefinido o terminar al vencimiento (carta dentro de 3 días hábiles)")))))))))))</f>
        <v/>
      </c>
      <c r="T119" s="70" t="str">
        <f aca="false">IF(B119="","",IF(COUNTIFS(C_ID,B119,C_FIRMADO,"&lt;&gt;Sí")&gt;0,COUNTIFS(C_ID,B119,C_FIRMADO,"&lt;&gt;Sí")&amp;" documento(s) sin firma. ","")&amp;IF(COUNTIFS(C_ID,B119,C_TIPO,"Plazo fijo",C_DEFINE,"Sí")&gt;2,"Más de 2 contratos a plazo: revisar presunción de indefinido. ","")&amp;IF(AND(R119="VENCIDO",LEFT(E119,6)="Activo"),"Trabaja con contrato vencido. ",""))</f>
        <v/>
      </c>
      <c r="U119" s="71" t="str">
        <f aca="false">IF(B119="","",INDEX(T_SUELDO,113))</f>
        <v/>
      </c>
      <c r="V119" s="72" t="str">
        <f aca="false">IF(AND(B119&lt;&gt;"",LEFT(E119,6)="Activo",ISNUMBER(O119),R119&lt;&gt;"Renovación registrada"),O119+ROW()/100000,"")</f>
        <v/>
      </c>
    </row>
    <row r="120" customFormat="false" ht="15" hidden="false" customHeight="false" outlineLevel="0" collapsed="false">
      <c r="B120" s="70" t="str">
        <f aca="false">IFERROR(IF(INDEX(T_ID,114)="","",INDEX(T_ID,114)),"")</f>
        <v/>
      </c>
      <c r="C120" s="70" t="str">
        <f aca="false">IF(B120="","",INDEX(T_NOMBRE,114)&amp;"")</f>
        <v/>
      </c>
      <c r="D120" s="70" t="str">
        <f aca="false">IF(B120="","",INDEX(T_CARGO,114)&amp;"")</f>
        <v/>
      </c>
      <c r="E120" s="70" t="str">
        <f aca="false">IF(B120="","",INDEX(T_ESTADO,114))</f>
        <v/>
      </c>
      <c r="F120" s="75" t="str">
        <f aca="false">IF(B120="","",INDEX(T_INGRESO,114))</f>
        <v/>
      </c>
      <c r="G120" s="70" t="str">
        <f aca="false">IF(B120="","",COUNTIFS(C_ID,B120,C_DEFINE,"Sí",C_INICIO,"&lt;="&amp;FECHA_CORTE))</f>
        <v/>
      </c>
      <c r="H120" s="70" t="str">
        <f aca="false">IF(B120="","",COUNTIFS(C_ID,B120,C_DEFINE,"Sí"))</f>
        <v/>
      </c>
      <c r="I120" s="70" t="str">
        <f aca="false">IF(B120="","",IF(H120=0,"Sin contrato",IFERROR(INDEX(C_TIPO,MATCH(B120&amp;"-P"&amp;MAX(1,G120),C_CLAVE,0))&amp;"","")))</f>
        <v/>
      </c>
      <c r="J120" s="70" t="str">
        <f aca="false">IF(OR(B120="",N(H120)=0),"",IFERROR(INDEX(C_TIPODOC,MATCH(B120&amp;"-P"&amp;MAX(1,G120),C_CLAVE,0))&amp;"",""))</f>
        <v/>
      </c>
      <c r="K120" s="76" t="str">
        <f aca="false">IF(I120="Plazo fijo",IFERROR(INDEX(C_NPF,MATCH(B120&amp;"-P"&amp;MAX(1,G120),C_CLAVE,0)),""),"")</f>
        <v/>
      </c>
      <c r="L120" s="70" t="str">
        <f aca="false">IF(B120="","",COUNTIFS(C_ID,B120,C_TIPODOC,"Anexo de modificación"))</f>
        <v/>
      </c>
      <c r="M120" s="75" t="str">
        <f aca="false">IF(OR(B120="",N(H120)=0),"",IFERROR(INDEX(C_INICIO,MATCH(B120&amp;"-P"&amp;MAX(1,G120),C_CLAVE,0)),""))</f>
        <v/>
      </c>
      <c r="N120" s="75" t="str">
        <f aca="false">IF(OR(I120="Plazo fijo",I120="Obra o faena"),IFERROR(IF(N(INDEX(C_TERMINO,MATCH(B120&amp;"-P"&amp;MAX(1,G120),C_CLAVE,0)))=0,"",INDEX(C_TERMINO,MATCH(B120&amp;"-P"&amp;MAX(1,G120),C_CLAVE,0))),""),"")</f>
        <v/>
      </c>
      <c r="O120" s="77" t="str">
        <f aca="false">IF(AND(ISNUMBER(N120),E120&lt;&gt;"Desvinculado"),N120-FECHA_CORTE,"")</f>
        <v/>
      </c>
      <c r="P120" s="75" t="str">
        <f aca="false">IF(AND(ISNUMBER(N120),E120&lt;&gt;"Desvinculado"),N120-DIAS_DECISION,"")</f>
        <v/>
      </c>
      <c r="Q120" s="75" t="str">
        <f aca="false">IF(OR(B120="",N(H120)&lt;=N(G120)),"",IFERROR(INDEX(C_INICIO,MATCH(B120&amp;"-P"&amp;(G120+1),C_CLAVE,0)),""))</f>
        <v/>
      </c>
      <c r="R120" s="70" t="str">
        <f aca="false">IF(B120="","",IF(E120="Desvinculado","Terminado",IF(H120=0,"Sin contrato registrado",IF(E120="Por ingresar","Por ingresar",IF(ISNUMBER(Q120),"Renovación registrada",IF(I120="Indefinido","Indefinido",IF(NOT(ISNUMBER(O120)),"Falta fecha de término",IF(O120&lt;0,"VENCIDO",IF(O120&lt;=ALERTA_ROJA,"Vence en ≤ "&amp;ALERTA_ROJA&amp;" días",IF(O120&lt;=ALERTA_NARANJA,"Vence en ≤ "&amp;ALERTA_NARANJA&amp;" días",IF(O120&lt;=ALERTA_AMARILLA,"Vence en ≤ "&amp;ALERTA_AMARILLA&amp;" días","Vigente")))))))))))</f>
        <v/>
      </c>
      <c r="S120" s="70" t="str">
        <f aca="false">IF(B120="","",IF(R120="Terminado","—",IF(R120="Sin contrato registrado","Registrar el contrato en la hoja Contratos",IF(R120="Por ingresar","Tener el contrato firmado y hacer el alta en AFP, salud, seguro de cesantía y mutual",IF(R120="Renovación registrada",IF(AND(N(K120)&gt;=2,IFERROR(INDEX(C_TIPO,MATCH(B120&amp;"-P"&amp;(G120+1),C_CLAVE,0)),"")="Plazo fijo"),"⚠ El período registrado sería el 3er contrato a plazo: por ley es INDEFINIDO. Registrarlo como Paso a indefinido","Siguiente período ya registrado: verificar que el documento esté firmado"),IF(I120="Indefinido","Sin vencimiento. Cambios de sueldo, cargo o jornada se formalizan con anexo de modificación",IF(R120="Falta fecha de término","Completar la fecha de término en la hoja Contratos",IF(R120="VENCIDO","Si sigue trabajando, por ley el contrato ya es INDEFINIDO (Art. 159 N°4): firmar anexo de paso a indefinido o regularizar el término",IF(I120="Obra o faena","Al concluir la obra: finiquito por Art. 159 N°5 + indemnización de 2,5 días por mes trabajado (Ley 21.122)",IF(N(K120)&gt;=3,"Por ley ya es indefinido (2ª renovación): firmar anexo de paso a indefinido",IF(N(K120)=2,"2° contrato a plazo: NO admite otra renovación a plazo fijo. Pasar a indefinido o terminar al vencimiento (carta dentro de 3 días hábiles)","1er contrato a plazo: renovar (2° plazo fijo), pasar a indefinido o terminar al vencimiento (carta dentro de 3 días hábiles)")))))))))))</f>
        <v/>
      </c>
      <c r="T120" s="70" t="str">
        <f aca="false">IF(B120="","",IF(COUNTIFS(C_ID,B120,C_FIRMADO,"&lt;&gt;Sí")&gt;0,COUNTIFS(C_ID,B120,C_FIRMADO,"&lt;&gt;Sí")&amp;" documento(s) sin firma. ","")&amp;IF(COUNTIFS(C_ID,B120,C_TIPO,"Plazo fijo",C_DEFINE,"Sí")&gt;2,"Más de 2 contratos a plazo: revisar presunción de indefinido. ","")&amp;IF(AND(R120="VENCIDO",LEFT(E120,6)="Activo"),"Trabaja con contrato vencido. ",""))</f>
        <v/>
      </c>
      <c r="U120" s="71" t="str">
        <f aca="false">IF(B120="","",INDEX(T_SUELDO,114))</f>
        <v/>
      </c>
      <c r="V120" s="72" t="str">
        <f aca="false">IF(AND(B120&lt;&gt;"",LEFT(E120,6)="Activo",ISNUMBER(O120),R120&lt;&gt;"Renovación registrada"),O120+ROW()/100000,"")</f>
        <v/>
      </c>
    </row>
    <row r="121" customFormat="false" ht="15" hidden="false" customHeight="false" outlineLevel="0" collapsed="false">
      <c r="B121" s="70" t="str">
        <f aca="false">IFERROR(IF(INDEX(T_ID,115)="","",INDEX(T_ID,115)),"")</f>
        <v/>
      </c>
      <c r="C121" s="70" t="str">
        <f aca="false">IF(B121="","",INDEX(T_NOMBRE,115)&amp;"")</f>
        <v/>
      </c>
      <c r="D121" s="70" t="str">
        <f aca="false">IF(B121="","",INDEX(T_CARGO,115)&amp;"")</f>
        <v/>
      </c>
      <c r="E121" s="70" t="str">
        <f aca="false">IF(B121="","",INDEX(T_ESTADO,115))</f>
        <v/>
      </c>
      <c r="F121" s="75" t="str">
        <f aca="false">IF(B121="","",INDEX(T_INGRESO,115))</f>
        <v/>
      </c>
      <c r="G121" s="70" t="str">
        <f aca="false">IF(B121="","",COUNTIFS(C_ID,B121,C_DEFINE,"Sí",C_INICIO,"&lt;="&amp;FECHA_CORTE))</f>
        <v/>
      </c>
      <c r="H121" s="70" t="str">
        <f aca="false">IF(B121="","",COUNTIFS(C_ID,B121,C_DEFINE,"Sí"))</f>
        <v/>
      </c>
      <c r="I121" s="70" t="str">
        <f aca="false">IF(B121="","",IF(H121=0,"Sin contrato",IFERROR(INDEX(C_TIPO,MATCH(B121&amp;"-P"&amp;MAX(1,G121),C_CLAVE,0))&amp;"","")))</f>
        <v/>
      </c>
      <c r="J121" s="70" t="str">
        <f aca="false">IF(OR(B121="",N(H121)=0),"",IFERROR(INDEX(C_TIPODOC,MATCH(B121&amp;"-P"&amp;MAX(1,G121),C_CLAVE,0))&amp;"",""))</f>
        <v/>
      </c>
      <c r="K121" s="76" t="str">
        <f aca="false">IF(I121="Plazo fijo",IFERROR(INDEX(C_NPF,MATCH(B121&amp;"-P"&amp;MAX(1,G121),C_CLAVE,0)),""),"")</f>
        <v/>
      </c>
      <c r="L121" s="70" t="str">
        <f aca="false">IF(B121="","",COUNTIFS(C_ID,B121,C_TIPODOC,"Anexo de modificación"))</f>
        <v/>
      </c>
      <c r="M121" s="75" t="str">
        <f aca="false">IF(OR(B121="",N(H121)=0),"",IFERROR(INDEX(C_INICIO,MATCH(B121&amp;"-P"&amp;MAX(1,G121),C_CLAVE,0)),""))</f>
        <v/>
      </c>
      <c r="N121" s="75" t="str">
        <f aca="false">IF(OR(I121="Plazo fijo",I121="Obra o faena"),IFERROR(IF(N(INDEX(C_TERMINO,MATCH(B121&amp;"-P"&amp;MAX(1,G121),C_CLAVE,0)))=0,"",INDEX(C_TERMINO,MATCH(B121&amp;"-P"&amp;MAX(1,G121),C_CLAVE,0))),""),"")</f>
        <v/>
      </c>
      <c r="O121" s="77" t="str">
        <f aca="false">IF(AND(ISNUMBER(N121),E121&lt;&gt;"Desvinculado"),N121-FECHA_CORTE,"")</f>
        <v/>
      </c>
      <c r="P121" s="75" t="str">
        <f aca="false">IF(AND(ISNUMBER(N121),E121&lt;&gt;"Desvinculado"),N121-DIAS_DECISION,"")</f>
        <v/>
      </c>
      <c r="Q121" s="75" t="str">
        <f aca="false">IF(OR(B121="",N(H121)&lt;=N(G121)),"",IFERROR(INDEX(C_INICIO,MATCH(B121&amp;"-P"&amp;(G121+1),C_CLAVE,0)),""))</f>
        <v/>
      </c>
      <c r="R121" s="70" t="str">
        <f aca="false">IF(B121="","",IF(E121="Desvinculado","Terminado",IF(H121=0,"Sin contrato registrado",IF(E121="Por ingresar","Por ingresar",IF(ISNUMBER(Q121),"Renovación registrada",IF(I121="Indefinido","Indefinido",IF(NOT(ISNUMBER(O121)),"Falta fecha de término",IF(O121&lt;0,"VENCIDO",IF(O121&lt;=ALERTA_ROJA,"Vence en ≤ "&amp;ALERTA_ROJA&amp;" días",IF(O121&lt;=ALERTA_NARANJA,"Vence en ≤ "&amp;ALERTA_NARANJA&amp;" días",IF(O121&lt;=ALERTA_AMARILLA,"Vence en ≤ "&amp;ALERTA_AMARILLA&amp;" días","Vigente")))))))))))</f>
        <v/>
      </c>
      <c r="S121" s="70" t="str">
        <f aca="false">IF(B121="","",IF(R121="Terminado","—",IF(R121="Sin contrato registrado","Registrar el contrato en la hoja Contratos",IF(R121="Por ingresar","Tener el contrato firmado y hacer el alta en AFP, salud, seguro de cesantía y mutual",IF(R121="Renovación registrada",IF(AND(N(K121)&gt;=2,IFERROR(INDEX(C_TIPO,MATCH(B121&amp;"-P"&amp;(G121+1),C_CLAVE,0)),"")="Plazo fijo"),"⚠ El período registrado sería el 3er contrato a plazo: por ley es INDEFINIDO. Registrarlo como Paso a indefinido","Siguiente período ya registrado: verificar que el documento esté firmado"),IF(I121="Indefinido","Sin vencimiento. Cambios de sueldo, cargo o jornada se formalizan con anexo de modificación",IF(R121="Falta fecha de término","Completar la fecha de término en la hoja Contratos",IF(R121="VENCIDO","Si sigue trabajando, por ley el contrato ya es INDEFINIDO (Art. 159 N°4): firmar anexo de paso a indefinido o regularizar el término",IF(I121="Obra o faena","Al concluir la obra: finiquito por Art. 159 N°5 + indemnización de 2,5 días por mes trabajado (Ley 21.122)",IF(N(K121)&gt;=3,"Por ley ya es indefinido (2ª renovación): firmar anexo de paso a indefinido",IF(N(K121)=2,"2° contrato a plazo: NO admite otra renovación a plazo fijo. Pasar a indefinido o terminar al vencimiento (carta dentro de 3 días hábiles)","1er contrato a plazo: renovar (2° plazo fijo), pasar a indefinido o terminar al vencimiento (carta dentro de 3 días hábiles)")))))))))))</f>
        <v/>
      </c>
      <c r="T121" s="70" t="str">
        <f aca="false">IF(B121="","",IF(COUNTIFS(C_ID,B121,C_FIRMADO,"&lt;&gt;Sí")&gt;0,COUNTIFS(C_ID,B121,C_FIRMADO,"&lt;&gt;Sí")&amp;" documento(s) sin firma. ","")&amp;IF(COUNTIFS(C_ID,B121,C_TIPO,"Plazo fijo",C_DEFINE,"Sí")&gt;2,"Más de 2 contratos a plazo: revisar presunción de indefinido. ","")&amp;IF(AND(R121="VENCIDO",LEFT(E121,6)="Activo"),"Trabaja con contrato vencido. ",""))</f>
        <v/>
      </c>
      <c r="U121" s="71" t="str">
        <f aca="false">IF(B121="","",INDEX(T_SUELDO,115))</f>
        <v/>
      </c>
      <c r="V121" s="72" t="str">
        <f aca="false">IF(AND(B121&lt;&gt;"",LEFT(E121,6)="Activo",ISNUMBER(O121),R121&lt;&gt;"Renovación registrada"),O121+ROW()/100000,"")</f>
        <v/>
      </c>
    </row>
    <row r="122" customFormat="false" ht="15" hidden="false" customHeight="false" outlineLevel="0" collapsed="false">
      <c r="B122" s="70" t="str">
        <f aca="false">IFERROR(IF(INDEX(T_ID,116)="","",INDEX(T_ID,116)),"")</f>
        <v/>
      </c>
      <c r="C122" s="70" t="str">
        <f aca="false">IF(B122="","",INDEX(T_NOMBRE,116)&amp;"")</f>
        <v/>
      </c>
      <c r="D122" s="70" t="str">
        <f aca="false">IF(B122="","",INDEX(T_CARGO,116)&amp;"")</f>
        <v/>
      </c>
      <c r="E122" s="70" t="str">
        <f aca="false">IF(B122="","",INDEX(T_ESTADO,116))</f>
        <v/>
      </c>
      <c r="F122" s="75" t="str">
        <f aca="false">IF(B122="","",INDEX(T_INGRESO,116))</f>
        <v/>
      </c>
      <c r="G122" s="70" t="str">
        <f aca="false">IF(B122="","",COUNTIFS(C_ID,B122,C_DEFINE,"Sí",C_INICIO,"&lt;="&amp;FECHA_CORTE))</f>
        <v/>
      </c>
      <c r="H122" s="70" t="str">
        <f aca="false">IF(B122="","",COUNTIFS(C_ID,B122,C_DEFINE,"Sí"))</f>
        <v/>
      </c>
      <c r="I122" s="70" t="str">
        <f aca="false">IF(B122="","",IF(H122=0,"Sin contrato",IFERROR(INDEX(C_TIPO,MATCH(B122&amp;"-P"&amp;MAX(1,G122),C_CLAVE,0))&amp;"","")))</f>
        <v/>
      </c>
      <c r="J122" s="70" t="str">
        <f aca="false">IF(OR(B122="",N(H122)=0),"",IFERROR(INDEX(C_TIPODOC,MATCH(B122&amp;"-P"&amp;MAX(1,G122),C_CLAVE,0))&amp;"",""))</f>
        <v/>
      </c>
      <c r="K122" s="76" t="str">
        <f aca="false">IF(I122="Plazo fijo",IFERROR(INDEX(C_NPF,MATCH(B122&amp;"-P"&amp;MAX(1,G122),C_CLAVE,0)),""),"")</f>
        <v/>
      </c>
      <c r="L122" s="70" t="str">
        <f aca="false">IF(B122="","",COUNTIFS(C_ID,B122,C_TIPODOC,"Anexo de modificación"))</f>
        <v/>
      </c>
      <c r="M122" s="75" t="str">
        <f aca="false">IF(OR(B122="",N(H122)=0),"",IFERROR(INDEX(C_INICIO,MATCH(B122&amp;"-P"&amp;MAX(1,G122),C_CLAVE,0)),""))</f>
        <v/>
      </c>
      <c r="N122" s="75" t="str">
        <f aca="false">IF(OR(I122="Plazo fijo",I122="Obra o faena"),IFERROR(IF(N(INDEX(C_TERMINO,MATCH(B122&amp;"-P"&amp;MAX(1,G122),C_CLAVE,0)))=0,"",INDEX(C_TERMINO,MATCH(B122&amp;"-P"&amp;MAX(1,G122),C_CLAVE,0))),""),"")</f>
        <v/>
      </c>
      <c r="O122" s="77" t="str">
        <f aca="false">IF(AND(ISNUMBER(N122),E122&lt;&gt;"Desvinculado"),N122-FECHA_CORTE,"")</f>
        <v/>
      </c>
      <c r="P122" s="75" t="str">
        <f aca="false">IF(AND(ISNUMBER(N122),E122&lt;&gt;"Desvinculado"),N122-DIAS_DECISION,"")</f>
        <v/>
      </c>
      <c r="Q122" s="75" t="str">
        <f aca="false">IF(OR(B122="",N(H122)&lt;=N(G122)),"",IFERROR(INDEX(C_INICIO,MATCH(B122&amp;"-P"&amp;(G122+1),C_CLAVE,0)),""))</f>
        <v/>
      </c>
      <c r="R122" s="70" t="str">
        <f aca="false">IF(B122="","",IF(E122="Desvinculado","Terminado",IF(H122=0,"Sin contrato registrado",IF(E122="Por ingresar","Por ingresar",IF(ISNUMBER(Q122),"Renovación registrada",IF(I122="Indefinido","Indefinido",IF(NOT(ISNUMBER(O122)),"Falta fecha de término",IF(O122&lt;0,"VENCIDO",IF(O122&lt;=ALERTA_ROJA,"Vence en ≤ "&amp;ALERTA_ROJA&amp;" días",IF(O122&lt;=ALERTA_NARANJA,"Vence en ≤ "&amp;ALERTA_NARANJA&amp;" días",IF(O122&lt;=ALERTA_AMARILLA,"Vence en ≤ "&amp;ALERTA_AMARILLA&amp;" días","Vigente")))))))))))</f>
        <v/>
      </c>
      <c r="S122" s="70" t="str">
        <f aca="false">IF(B122="","",IF(R122="Terminado","—",IF(R122="Sin contrato registrado","Registrar el contrato en la hoja Contratos",IF(R122="Por ingresar","Tener el contrato firmado y hacer el alta en AFP, salud, seguro de cesantía y mutual",IF(R122="Renovación registrada",IF(AND(N(K122)&gt;=2,IFERROR(INDEX(C_TIPO,MATCH(B122&amp;"-P"&amp;(G122+1),C_CLAVE,0)),"")="Plazo fijo"),"⚠ El período registrado sería el 3er contrato a plazo: por ley es INDEFINIDO. Registrarlo como Paso a indefinido","Siguiente período ya registrado: verificar que el documento esté firmado"),IF(I122="Indefinido","Sin vencimiento. Cambios de sueldo, cargo o jornada se formalizan con anexo de modificación",IF(R122="Falta fecha de término","Completar la fecha de término en la hoja Contratos",IF(R122="VENCIDO","Si sigue trabajando, por ley el contrato ya es INDEFINIDO (Art. 159 N°4): firmar anexo de paso a indefinido o regularizar el término",IF(I122="Obra o faena","Al concluir la obra: finiquito por Art. 159 N°5 + indemnización de 2,5 días por mes trabajado (Ley 21.122)",IF(N(K122)&gt;=3,"Por ley ya es indefinido (2ª renovación): firmar anexo de paso a indefinido",IF(N(K122)=2,"2° contrato a plazo: NO admite otra renovación a plazo fijo. Pasar a indefinido o terminar al vencimiento (carta dentro de 3 días hábiles)","1er contrato a plazo: renovar (2° plazo fijo), pasar a indefinido o terminar al vencimiento (carta dentro de 3 días hábiles)")))))))))))</f>
        <v/>
      </c>
      <c r="T122" s="70" t="str">
        <f aca="false">IF(B122="","",IF(COUNTIFS(C_ID,B122,C_FIRMADO,"&lt;&gt;Sí")&gt;0,COUNTIFS(C_ID,B122,C_FIRMADO,"&lt;&gt;Sí")&amp;" documento(s) sin firma. ","")&amp;IF(COUNTIFS(C_ID,B122,C_TIPO,"Plazo fijo",C_DEFINE,"Sí")&gt;2,"Más de 2 contratos a plazo: revisar presunción de indefinido. ","")&amp;IF(AND(R122="VENCIDO",LEFT(E122,6)="Activo"),"Trabaja con contrato vencido. ",""))</f>
        <v/>
      </c>
      <c r="U122" s="71" t="str">
        <f aca="false">IF(B122="","",INDEX(T_SUELDO,116))</f>
        <v/>
      </c>
      <c r="V122" s="72" t="str">
        <f aca="false">IF(AND(B122&lt;&gt;"",LEFT(E122,6)="Activo",ISNUMBER(O122),R122&lt;&gt;"Renovación registrada"),O122+ROW()/100000,"")</f>
        <v/>
      </c>
    </row>
    <row r="123" customFormat="false" ht="15" hidden="false" customHeight="false" outlineLevel="0" collapsed="false">
      <c r="B123" s="70" t="str">
        <f aca="false">IFERROR(IF(INDEX(T_ID,117)="","",INDEX(T_ID,117)),"")</f>
        <v/>
      </c>
      <c r="C123" s="70" t="str">
        <f aca="false">IF(B123="","",INDEX(T_NOMBRE,117)&amp;"")</f>
        <v/>
      </c>
      <c r="D123" s="70" t="str">
        <f aca="false">IF(B123="","",INDEX(T_CARGO,117)&amp;"")</f>
        <v/>
      </c>
      <c r="E123" s="70" t="str">
        <f aca="false">IF(B123="","",INDEX(T_ESTADO,117))</f>
        <v/>
      </c>
      <c r="F123" s="75" t="str">
        <f aca="false">IF(B123="","",INDEX(T_INGRESO,117))</f>
        <v/>
      </c>
      <c r="G123" s="70" t="str">
        <f aca="false">IF(B123="","",COUNTIFS(C_ID,B123,C_DEFINE,"Sí",C_INICIO,"&lt;="&amp;FECHA_CORTE))</f>
        <v/>
      </c>
      <c r="H123" s="70" t="str">
        <f aca="false">IF(B123="","",COUNTIFS(C_ID,B123,C_DEFINE,"Sí"))</f>
        <v/>
      </c>
      <c r="I123" s="70" t="str">
        <f aca="false">IF(B123="","",IF(H123=0,"Sin contrato",IFERROR(INDEX(C_TIPO,MATCH(B123&amp;"-P"&amp;MAX(1,G123),C_CLAVE,0))&amp;"","")))</f>
        <v/>
      </c>
      <c r="J123" s="70" t="str">
        <f aca="false">IF(OR(B123="",N(H123)=0),"",IFERROR(INDEX(C_TIPODOC,MATCH(B123&amp;"-P"&amp;MAX(1,G123),C_CLAVE,0))&amp;"",""))</f>
        <v/>
      </c>
      <c r="K123" s="76" t="str">
        <f aca="false">IF(I123="Plazo fijo",IFERROR(INDEX(C_NPF,MATCH(B123&amp;"-P"&amp;MAX(1,G123),C_CLAVE,0)),""),"")</f>
        <v/>
      </c>
      <c r="L123" s="70" t="str">
        <f aca="false">IF(B123="","",COUNTIFS(C_ID,B123,C_TIPODOC,"Anexo de modificación"))</f>
        <v/>
      </c>
      <c r="M123" s="75" t="str">
        <f aca="false">IF(OR(B123="",N(H123)=0),"",IFERROR(INDEX(C_INICIO,MATCH(B123&amp;"-P"&amp;MAX(1,G123),C_CLAVE,0)),""))</f>
        <v/>
      </c>
      <c r="N123" s="75" t="str">
        <f aca="false">IF(OR(I123="Plazo fijo",I123="Obra o faena"),IFERROR(IF(N(INDEX(C_TERMINO,MATCH(B123&amp;"-P"&amp;MAX(1,G123),C_CLAVE,0)))=0,"",INDEX(C_TERMINO,MATCH(B123&amp;"-P"&amp;MAX(1,G123),C_CLAVE,0))),""),"")</f>
        <v/>
      </c>
      <c r="O123" s="77" t="str">
        <f aca="false">IF(AND(ISNUMBER(N123),E123&lt;&gt;"Desvinculado"),N123-FECHA_CORTE,"")</f>
        <v/>
      </c>
      <c r="P123" s="75" t="str">
        <f aca="false">IF(AND(ISNUMBER(N123),E123&lt;&gt;"Desvinculado"),N123-DIAS_DECISION,"")</f>
        <v/>
      </c>
      <c r="Q123" s="75" t="str">
        <f aca="false">IF(OR(B123="",N(H123)&lt;=N(G123)),"",IFERROR(INDEX(C_INICIO,MATCH(B123&amp;"-P"&amp;(G123+1),C_CLAVE,0)),""))</f>
        <v/>
      </c>
      <c r="R123" s="70" t="str">
        <f aca="false">IF(B123="","",IF(E123="Desvinculado","Terminado",IF(H123=0,"Sin contrato registrado",IF(E123="Por ingresar","Por ingresar",IF(ISNUMBER(Q123),"Renovación registrada",IF(I123="Indefinido","Indefinido",IF(NOT(ISNUMBER(O123)),"Falta fecha de término",IF(O123&lt;0,"VENCIDO",IF(O123&lt;=ALERTA_ROJA,"Vence en ≤ "&amp;ALERTA_ROJA&amp;" días",IF(O123&lt;=ALERTA_NARANJA,"Vence en ≤ "&amp;ALERTA_NARANJA&amp;" días",IF(O123&lt;=ALERTA_AMARILLA,"Vence en ≤ "&amp;ALERTA_AMARILLA&amp;" días","Vigente")))))))))))</f>
        <v/>
      </c>
      <c r="S123" s="70" t="str">
        <f aca="false">IF(B123="","",IF(R123="Terminado","—",IF(R123="Sin contrato registrado","Registrar el contrato en la hoja Contratos",IF(R123="Por ingresar","Tener el contrato firmado y hacer el alta en AFP, salud, seguro de cesantía y mutual",IF(R123="Renovación registrada",IF(AND(N(K123)&gt;=2,IFERROR(INDEX(C_TIPO,MATCH(B123&amp;"-P"&amp;(G123+1),C_CLAVE,0)),"")="Plazo fijo"),"⚠ El período registrado sería el 3er contrato a plazo: por ley es INDEFINIDO. Registrarlo como Paso a indefinido","Siguiente período ya registrado: verificar que el documento esté firmado"),IF(I123="Indefinido","Sin vencimiento. Cambios de sueldo, cargo o jornada se formalizan con anexo de modificación",IF(R123="Falta fecha de término","Completar la fecha de término en la hoja Contratos",IF(R123="VENCIDO","Si sigue trabajando, por ley el contrato ya es INDEFINIDO (Art. 159 N°4): firmar anexo de paso a indefinido o regularizar el término",IF(I123="Obra o faena","Al concluir la obra: finiquito por Art. 159 N°5 + indemnización de 2,5 días por mes trabajado (Ley 21.122)",IF(N(K123)&gt;=3,"Por ley ya es indefinido (2ª renovación): firmar anexo de paso a indefinido",IF(N(K123)=2,"2° contrato a plazo: NO admite otra renovación a plazo fijo. Pasar a indefinido o terminar al vencimiento (carta dentro de 3 días hábiles)","1er contrato a plazo: renovar (2° plazo fijo), pasar a indefinido o terminar al vencimiento (carta dentro de 3 días hábiles)")))))))))))</f>
        <v/>
      </c>
      <c r="T123" s="70" t="str">
        <f aca="false">IF(B123="","",IF(COUNTIFS(C_ID,B123,C_FIRMADO,"&lt;&gt;Sí")&gt;0,COUNTIFS(C_ID,B123,C_FIRMADO,"&lt;&gt;Sí")&amp;" documento(s) sin firma. ","")&amp;IF(COUNTIFS(C_ID,B123,C_TIPO,"Plazo fijo",C_DEFINE,"Sí")&gt;2,"Más de 2 contratos a plazo: revisar presunción de indefinido. ","")&amp;IF(AND(R123="VENCIDO",LEFT(E123,6)="Activo"),"Trabaja con contrato vencido. ",""))</f>
        <v/>
      </c>
      <c r="U123" s="71" t="str">
        <f aca="false">IF(B123="","",INDEX(T_SUELDO,117))</f>
        <v/>
      </c>
      <c r="V123" s="72" t="str">
        <f aca="false">IF(AND(B123&lt;&gt;"",LEFT(E123,6)="Activo",ISNUMBER(O123),R123&lt;&gt;"Renovación registrada"),O123+ROW()/100000,"")</f>
        <v/>
      </c>
    </row>
    <row r="124" customFormat="false" ht="15" hidden="false" customHeight="false" outlineLevel="0" collapsed="false">
      <c r="B124" s="70" t="str">
        <f aca="false">IFERROR(IF(INDEX(T_ID,118)="","",INDEX(T_ID,118)),"")</f>
        <v/>
      </c>
      <c r="C124" s="70" t="str">
        <f aca="false">IF(B124="","",INDEX(T_NOMBRE,118)&amp;"")</f>
        <v/>
      </c>
      <c r="D124" s="70" t="str">
        <f aca="false">IF(B124="","",INDEX(T_CARGO,118)&amp;"")</f>
        <v/>
      </c>
      <c r="E124" s="70" t="str">
        <f aca="false">IF(B124="","",INDEX(T_ESTADO,118))</f>
        <v/>
      </c>
      <c r="F124" s="75" t="str">
        <f aca="false">IF(B124="","",INDEX(T_INGRESO,118))</f>
        <v/>
      </c>
      <c r="G124" s="70" t="str">
        <f aca="false">IF(B124="","",COUNTIFS(C_ID,B124,C_DEFINE,"Sí",C_INICIO,"&lt;="&amp;FECHA_CORTE))</f>
        <v/>
      </c>
      <c r="H124" s="70" t="str">
        <f aca="false">IF(B124="","",COUNTIFS(C_ID,B124,C_DEFINE,"Sí"))</f>
        <v/>
      </c>
      <c r="I124" s="70" t="str">
        <f aca="false">IF(B124="","",IF(H124=0,"Sin contrato",IFERROR(INDEX(C_TIPO,MATCH(B124&amp;"-P"&amp;MAX(1,G124),C_CLAVE,0))&amp;"","")))</f>
        <v/>
      </c>
      <c r="J124" s="70" t="str">
        <f aca="false">IF(OR(B124="",N(H124)=0),"",IFERROR(INDEX(C_TIPODOC,MATCH(B124&amp;"-P"&amp;MAX(1,G124),C_CLAVE,0))&amp;"",""))</f>
        <v/>
      </c>
      <c r="K124" s="76" t="str">
        <f aca="false">IF(I124="Plazo fijo",IFERROR(INDEX(C_NPF,MATCH(B124&amp;"-P"&amp;MAX(1,G124),C_CLAVE,0)),""),"")</f>
        <v/>
      </c>
      <c r="L124" s="70" t="str">
        <f aca="false">IF(B124="","",COUNTIFS(C_ID,B124,C_TIPODOC,"Anexo de modificación"))</f>
        <v/>
      </c>
      <c r="M124" s="75" t="str">
        <f aca="false">IF(OR(B124="",N(H124)=0),"",IFERROR(INDEX(C_INICIO,MATCH(B124&amp;"-P"&amp;MAX(1,G124),C_CLAVE,0)),""))</f>
        <v/>
      </c>
      <c r="N124" s="75" t="str">
        <f aca="false">IF(OR(I124="Plazo fijo",I124="Obra o faena"),IFERROR(IF(N(INDEX(C_TERMINO,MATCH(B124&amp;"-P"&amp;MAX(1,G124),C_CLAVE,0)))=0,"",INDEX(C_TERMINO,MATCH(B124&amp;"-P"&amp;MAX(1,G124),C_CLAVE,0))),""),"")</f>
        <v/>
      </c>
      <c r="O124" s="77" t="str">
        <f aca="false">IF(AND(ISNUMBER(N124),E124&lt;&gt;"Desvinculado"),N124-FECHA_CORTE,"")</f>
        <v/>
      </c>
      <c r="P124" s="75" t="str">
        <f aca="false">IF(AND(ISNUMBER(N124),E124&lt;&gt;"Desvinculado"),N124-DIAS_DECISION,"")</f>
        <v/>
      </c>
      <c r="Q124" s="75" t="str">
        <f aca="false">IF(OR(B124="",N(H124)&lt;=N(G124)),"",IFERROR(INDEX(C_INICIO,MATCH(B124&amp;"-P"&amp;(G124+1),C_CLAVE,0)),""))</f>
        <v/>
      </c>
      <c r="R124" s="70" t="str">
        <f aca="false">IF(B124="","",IF(E124="Desvinculado","Terminado",IF(H124=0,"Sin contrato registrado",IF(E124="Por ingresar","Por ingresar",IF(ISNUMBER(Q124),"Renovación registrada",IF(I124="Indefinido","Indefinido",IF(NOT(ISNUMBER(O124)),"Falta fecha de término",IF(O124&lt;0,"VENCIDO",IF(O124&lt;=ALERTA_ROJA,"Vence en ≤ "&amp;ALERTA_ROJA&amp;" días",IF(O124&lt;=ALERTA_NARANJA,"Vence en ≤ "&amp;ALERTA_NARANJA&amp;" días",IF(O124&lt;=ALERTA_AMARILLA,"Vence en ≤ "&amp;ALERTA_AMARILLA&amp;" días","Vigente")))))))))))</f>
        <v/>
      </c>
      <c r="S124" s="70" t="str">
        <f aca="false">IF(B124="","",IF(R124="Terminado","—",IF(R124="Sin contrato registrado","Registrar el contrato en la hoja Contratos",IF(R124="Por ingresar","Tener el contrato firmado y hacer el alta en AFP, salud, seguro de cesantía y mutual",IF(R124="Renovación registrada",IF(AND(N(K124)&gt;=2,IFERROR(INDEX(C_TIPO,MATCH(B124&amp;"-P"&amp;(G124+1),C_CLAVE,0)),"")="Plazo fijo"),"⚠ El período registrado sería el 3er contrato a plazo: por ley es INDEFINIDO. Registrarlo como Paso a indefinido","Siguiente período ya registrado: verificar que el documento esté firmado"),IF(I124="Indefinido","Sin vencimiento. Cambios de sueldo, cargo o jornada se formalizan con anexo de modificación",IF(R124="Falta fecha de término","Completar la fecha de término en la hoja Contratos",IF(R124="VENCIDO","Si sigue trabajando, por ley el contrato ya es INDEFINIDO (Art. 159 N°4): firmar anexo de paso a indefinido o regularizar el término",IF(I124="Obra o faena","Al concluir la obra: finiquito por Art. 159 N°5 + indemnización de 2,5 días por mes trabajado (Ley 21.122)",IF(N(K124)&gt;=3,"Por ley ya es indefinido (2ª renovación): firmar anexo de paso a indefinido",IF(N(K124)=2,"2° contrato a plazo: NO admite otra renovación a plazo fijo. Pasar a indefinido o terminar al vencimiento (carta dentro de 3 días hábiles)","1er contrato a plazo: renovar (2° plazo fijo), pasar a indefinido o terminar al vencimiento (carta dentro de 3 días hábiles)")))))))))))</f>
        <v/>
      </c>
      <c r="T124" s="70" t="str">
        <f aca="false">IF(B124="","",IF(COUNTIFS(C_ID,B124,C_FIRMADO,"&lt;&gt;Sí")&gt;0,COUNTIFS(C_ID,B124,C_FIRMADO,"&lt;&gt;Sí")&amp;" documento(s) sin firma. ","")&amp;IF(COUNTIFS(C_ID,B124,C_TIPO,"Plazo fijo",C_DEFINE,"Sí")&gt;2,"Más de 2 contratos a plazo: revisar presunción de indefinido. ","")&amp;IF(AND(R124="VENCIDO",LEFT(E124,6)="Activo"),"Trabaja con contrato vencido. ",""))</f>
        <v/>
      </c>
      <c r="U124" s="71" t="str">
        <f aca="false">IF(B124="","",INDEX(T_SUELDO,118))</f>
        <v/>
      </c>
      <c r="V124" s="72" t="str">
        <f aca="false">IF(AND(B124&lt;&gt;"",LEFT(E124,6)="Activo",ISNUMBER(O124),R124&lt;&gt;"Renovación registrada"),O124+ROW()/100000,"")</f>
        <v/>
      </c>
    </row>
    <row r="125" customFormat="false" ht="15" hidden="false" customHeight="false" outlineLevel="0" collapsed="false">
      <c r="B125" s="70" t="str">
        <f aca="false">IFERROR(IF(INDEX(T_ID,119)="","",INDEX(T_ID,119)),"")</f>
        <v/>
      </c>
      <c r="C125" s="70" t="str">
        <f aca="false">IF(B125="","",INDEX(T_NOMBRE,119)&amp;"")</f>
        <v/>
      </c>
      <c r="D125" s="70" t="str">
        <f aca="false">IF(B125="","",INDEX(T_CARGO,119)&amp;"")</f>
        <v/>
      </c>
      <c r="E125" s="70" t="str">
        <f aca="false">IF(B125="","",INDEX(T_ESTADO,119))</f>
        <v/>
      </c>
      <c r="F125" s="75" t="str">
        <f aca="false">IF(B125="","",INDEX(T_INGRESO,119))</f>
        <v/>
      </c>
      <c r="G125" s="70" t="str">
        <f aca="false">IF(B125="","",COUNTIFS(C_ID,B125,C_DEFINE,"Sí",C_INICIO,"&lt;="&amp;FECHA_CORTE))</f>
        <v/>
      </c>
      <c r="H125" s="70" t="str">
        <f aca="false">IF(B125="","",COUNTIFS(C_ID,B125,C_DEFINE,"Sí"))</f>
        <v/>
      </c>
      <c r="I125" s="70" t="str">
        <f aca="false">IF(B125="","",IF(H125=0,"Sin contrato",IFERROR(INDEX(C_TIPO,MATCH(B125&amp;"-P"&amp;MAX(1,G125),C_CLAVE,0))&amp;"","")))</f>
        <v/>
      </c>
      <c r="J125" s="70" t="str">
        <f aca="false">IF(OR(B125="",N(H125)=0),"",IFERROR(INDEX(C_TIPODOC,MATCH(B125&amp;"-P"&amp;MAX(1,G125),C_CLAVE,0))&amp;"",""))</f>
        <v/>
      </c>
      <c r="K125" s="76" t="str">
        <f aca="false">IF(I125="Plazo fijo",IFERROR(INDEX(C_NPF,MATCH(B125&amp;"-P"&amp;MAX(1,G125),C_CLAVE,0)),""),"")</f>
        <v/>
      </c>
      <c r="L125" s="70" t="str">
        <f aca="false">IF(B125="","",COUNTIFS(C_ID,B125,C_TIPODOC,"Anexo de modificación"))</f>
        <v/>
      </c>
      <c r="M125" s="75" t="str">
        <f aca="false">IF(OR(B125="",N(H125)=0),"",IFERROR(INDEX(C_INICIO,MATCH(B125&amp;"-P"&amp;MAX(1,G125),C_CLAVE,0)),""))</f>
        <v/>
      </c>
      <c r="N125" s="75" t="str">
        <f aca="false">IF(OR(I125="Plazo fijo",I125="Obra o faena"),IFERROR(IF(N(INDEX(C_TERMINO,MATCH(B125&amp;"-P"&amp;MAX(1,G125),C_CLAVE,0)))=0,"",INDEX(C_TERMINO,MATCH(B125&amp;"-P"&amp;MAX(1,G125),C_CLAVE,0))),""),"")</f>
        <v/>
      </c>
      <c r="O125" s="77" t="str">
        <f aca="false">IF(AND(ISNUMBER(N125),E125&lt;&gt;"Desvinculado"),N125-FECHA_CORTE,"")</f>
        <v/>
      </c>
      <c r="P125" s="75" t="str">
        <f aca="false">IF(AND(ISNUMBER(N125),E125&lt;&gt;"Desvinculado"),N125-DIAS_DECISION,"")</f>
        <v/>
      </c>
      <c r="Q125" s="75" t="str">
        <f aca="false">IF(OR(B125="",N(H125)&lt;=N(G125)),"",IFERROR(INDEX(C_INICIO,MATCH(B125&amp;"-P"&amp;(G125+1),C_CLAVE,0)),""))</f>
        <v/>
      </c>
      <c r="R125" s="70" t="str">
        <f aca="false">IF(B125="","",IF(E125="Desvinculado","Terminado",IF(H125=0,"Sin contrato registrado",IF(E125="Por ingresar","Por ingresar",IF(ISNUMBER(Q125),"Renovación registrada",IF(I125="Indefinido","Indefinido",IF(NOT(ISNUMBER(O125)),"Falta fecha de término",IF(O125&lt;0,"VENCIDO",IF(O125&lt;=ALERTA_ROJA,"Vence en ≤ "&amp;ALERTA_ROJA&amp;" días",IF(O125&lt;=ALERTA_NARANJA,"Vence en ≤ "&amp;ALERTA_NARANJA&amp;" días",IF(O125&lt;=ALERTA_AMARILLA,"Vence en ≤ "&amp;ALERTA_AMARILLA&amp;" días","Vigente")))))))))))</f>
        <v/>
      </c>
      <c r="S125" s="70" t="str">
        <f aca="false">IF(B125="","",IF(R125="Terminado","—",IF(R125="Sin contrato registrado","Registrar el contrato en la hoja Contratos",IF(R125="Por ingresar","Tener el contrato firmado y hacer el alta en AFP, salud, seguro de cesantía y mutual",IF(R125="Renovación registrada",IF(AND(N(K125)&gt;=2,IFERROR(INDEX(C_TIPO,MATCH(B125&amp;"-P"&amp;(G125+1),C_CLAVE,0)),"")="Plazo fijo"),"⚠ El período registrado sería el 3er contrato a plazo: por ley es INDEFINIDO. Registrarlo como Paso a indefinido","Siguiente período ya registrado: verificar que el documento esté firmado"),IF(I125="Indefinido","Sin vencimiento. Cambios de sueldo, cargo o jornada se formalizan con anexo de modificación",IF(R125="Falta fecha de término","Completar la fecha de término en la hoja Contratos",IF(R125="VENCIDO","Si sigue trabajando, por ley el contrato ya es INDEFINIDO (Art. 159 N°4): firmar anexo de paso a indefinido o regularizar el término",IF(I125="Obra o faena","Al concluir la obra: finiquito por Art. 159 N°5 + indemnización de 2,5 días por mes trabajado (Ley 21.122)",IF(N(K125)&gt;=3,"Por ley ya es indefinido (2ª renovación): firmar anexo de paso a indefinido",IF(N(K125)=2,"2° contrato a plazo: NO admite otra renovación a plazo fijo. Pasar a indefinido o terminar al vencimiento (carta dentro de 3 días hábiles)","1er contrato a plazo: renovar (2° plazo fijo), pasar a indefinido o terminar al vencimiento (carta dentro de 3 días hábiles)")))))))))))</f>
        <v/>
      </c>
      <c r="T125" s="70" t="str">
        <f aca="false">IF(B125="","",IF(COUNTIFS(C_ID,B125,C_FIRMADO,"&lt;&gt;Sí")&gt;0,COUNTIFS(C_ID,B125,C_FIRMADO,"&lt;&gt;Sí")&amp;" documento(s) sin firma. ","")&amp;IF(COUNTIFS(C_ID,B125,C_TIPO,"Plazo fijo",C_DEFINE,"Sí")&gt;2,"Más de 2 contratos a plazo: revisar presunción de indefinido. ","")&amp;IF(AND(R125="VENCIDO",LEFT(E125,6)="Activo"),"Trabaja con contrato vencido. ",""))</f>
        <v/>
      </c>
      <c r="U125" s="71" t="str">
        <f aca="false">IF(B125="","",INDEX(T_SUELDO,119))</f>
        <v/>
      </c>
      <c r="V125" s="72" t="str">
        <f aca="false">IF(AND(B125&lt;&gt;"",LEFT(E125,6)="Activo",ISNUMBER(O125),R125&lt;&gt;"Renovación registrada"),O125+ROW()/100000,"")</f>
        <v/>
      </c>
    </row>
    <row r="126" customFormat="false" ht="15" hidden="false" customHeight="false" outlineLevel="0" collapsed="false">
      <c r="B126" s="70" t="str">
        <f aca="false">IFERROR(IF(INDEX(T_ID,120)="","",INDEX(T_ID,120)),"")</f>
        <v/>
      </c>
      <c r="C126" s="70" t="str">
        <f aca="false">IF(B126="","",INDEX(T_NOMBRE,120)&amp;"")</f>
        <v/>
      </c>
      <c r="D126" s="70" t="str">
        <f aca="false">IF(B126="","",INDEX(T_CARGO,120)&amp;"")</f>
        <v/>
      </c>
      <c r="E126" s="70" t="str">
        <f aca="false">IF(B126="","",INDEX(T_ESTADO,120))</f>
        <v/>
      </c>
      <c r="F126" s="75" t="str">
        <f aca="false">IF(B126="","",INDEX(T_INGRESO,120))</f>
        <v/>
      </c>
      <c r="G126" s="70" t="str">
        <f aca="false">IF(B126="","",COUNTIFS(C_ID,B126,C_DEFINE,"Sí",C_INICIO,"&lt;="&amp;FECHA_CORTE))</f>
        <v/>
      </c>
      <c r="H126" s="70" t="str">
        <f aca="false">IF(B126="","",COUNTIFS(C_ID,B126,C_DEFINE,"Sí"))</f>
        <v/>
      </c>
      <c r="I126" s="70" t="str">
        <f aca="false">IF(B126="","",IF(H126=0,"Sin contrato",IFERROR(INDEX(C_TIPO,MATCH(B126&amp;"-P"&amp;MAX(1,G126),C_CLAVE,0))&amp;"","")))</f>
        <v/>
      </c>
      <c r="J126" s="70" t="str">
        <f aca="false">IF(OR(B126="",N(H126)=0),"",IFERROR(INDEX(C_TIPODOC,MATCH(B126&amp;"-P"&amp;MAX(1,G126),C_CLAVE,0))&amp;"",""))</f>
        <v/>
      </c>
      <c r="K126" s="76" t="str">
        <f aca="false">IF(I126="Plazo fijo",IFERROR(INDEX(C_NPF,MATCH(B126&amp;"-P"&amp;MAX(1,G126),C_CLAVE,0)),""),"")</f>
        <v/>
      </c>
      <c r="L126" s="70" t="str">
        <f aca="false">IF(B126="","",COUNTIFS(C_ID,B126,C_TIPODOC,"Anexo de modificación"))</f>
        <v/>
      </c>
      <c r="M126" s="75" t="str">
        <f aca="false">IF(OR(B126="",N(H126)=0),"",IFERROR(INDEX(C_INICIO,MATCH(B126&amp;"-P"&amp;MAX(1,G126),C_CLAVE,0)),""))</f>
        <v/>
      </c>
      <c r="N126" s="75" t="str">
        <f aca="false">IF(OR(I126="Plazo fijo",I126="Obra o faena"),IFERROR(IF(N(INDEX(C_TERMINO,MATCH(B126&amp;"-P"&amp;MAX(1,G126),C_CLAVE,0)))=0,"",INDEX(C_TERMINO,MATCH(B126&amp;"-P"&amp;MAX(1,G126),C_CLAVE,0))),""),"")</f>
        <v/>
      </c>
      <c r="O126" s="77" t="str">
        <f aca="false">IF(AND(ISNUMBER(N126),E126&lt;&gt;"Desvinculado"),N126-FECHA_CORTE,"")</f>
        <v/>
      </c>
      <c r="P126" s="75" t="str">
        <f aca="false">IF(AND(ISNUMBER(N126),E126&lt;&gt;"Desvinculado"),N126-DIAS_DECISION,"")</f>
        <v/>
      </c>
      <c r="Q126" s="75" t="str">
        <f aca="false">IF(OR(B126="",N(H126)&lt;=N(G126)),"",IFERROR(INDEX(C_INICIO,MATCH(B126&amp;"-P"&amp;(G126+1),C_CLAVE,0)),""))</f>
        <v/>
      </c>
      <c r="R126" s="70" t="str">
        <f aca="false">IF(B126="","",IF(E126="Desvinculado","Terminado",IF(H126=0,"Sin contrato registrado",IF(E126="Por ingresar","Por ingresar",IF(ISNUMBER(Q126),"Renovación registrada",IF(I126="Indefinido","Indefinido",IF(NOT(ISNUMBER(O126)),"Falta fecha de término",IF(O126&lt;0,"VENCIDO",IF(O126&lt;=ALERTA_ROJA,"Vence en ≤ "&amp;ALERTA_ROJA&amp;" días",IF(O126&lt;=ALERTA_NARANJA,"Vence en ≤ "&amp;ALERTA_NARANJA&amp;" días",IF(O126&lt;=ALERTA_AMARILLA,"Vence en ≤ "&amp;ALERTA_AMARILLA&amp;" días","Vigente")))))))))))</f>
        <v/>
      </c>
      <c r="S126" s="70" t="str">
        <f aca="false">IF(B126="","",IF(R126="Terminado","—",IF(R126="Sin contrato registrado","Registrar el contrato en la hoja Contratos",IF(R126="Por ingresar","Tener el contrato firmado y hacer el alta en AFP, salud, seguro de cesantía y mutual",IF(R126="Renovación registrada",IF(AND(N(K126)&gt;=2,IFERROR(INDEX(C_TIPO,MATCH(B126&amp;"-P"&amp;(G126+1),C_CLAVE,0)),"")="Plazo fijo"),"⚠ El período registrado sería el 3er contrato a plazo: por ley es INDEFINIDO. Registrarlo como Paso a indefinido","Siguiente período ya registrado: verificar que el documento esté firmado"),IF(I126="Indefinido","Sin vencimiento. Cambios de sueldo, cargo o jornada se formalizan con anexo de modificación",IF(R126="Falta fecha de término","Completar la fecha de término en la hoja Contratos",IF(R126="VENCIDO","Si sigue trabajando, por ley el contrato ya es INDEFINIDO (Art. 159 N°4): firmar anexo de paso a indefinido o regularizar el término",IF(I126="Obra o faena","Al concluir la obra: finiquito por Art. 159 N°5 + indemnización de 2,5 días por mes trabajado (Ley 21.122)",IF(N(K126)&gt;=3,"Por ley ya es indefinido (2ª renovación): firmar anexo de paso a indefinido",IF(N(K126)=2,"2° contrato a plazo: NO admite otra renovación a plazo fijo. Pasar a indefinido o terminar al vencimiento (carta dentro de 3 días hábiles)","1er contrato a plazo: renovar (2° plazo fijo), pasar a indefinido o terminar al vencimiento (carta dentro de 3 días hábiles)")))))))))))</f>
        <v/>
      </c>
      <c r="T126" s="70" t="str">
        <f aca="false">IF(B126="","",IF(COUNTIFS(C_ID,B126,C_FIRMADO,"&lt;&gt;Sí")&gt;0,COUNTIFS(C_ID,B126,C_FIRMADO,"&lt;&gt;Sí")&amp;" documento(s) sin firma. ","")&amp;IF(COUNTIFS(C_ID,B126,C_TIPO,"Plazo fijo",C_DEFINE,"Sí")&gt;2,"Más de 2 contratos a plazo: revisar presunción de indefinido. ","")&amp;IF(AND(R126="VENCIDO",LEFT(E126,6)="Activo"),"Trabaja con contrato vencido. ",""))</f>
        <v/>
      </c>
      <c r="U126" s="71" t="str">
        <f aca="false">IF(B126="","",INDEX(T_SUELDO,120))</f>
        <v/>
      </c>
      <c r="V126" s="72" t="str">
        <f aca="false">IF(AND(B126&lt;&gt;"",LEFT(E126,6)="Activo",ISNUMBER(O126),R126&lt;&gt;"Renovación registrada"),O126+ROW()/100000,"")</f>
        <v/>
      </c>
    </row>
    <row r="127" customFormat="false" ht="15" hidden="false" customHeight="false" outlineLevel="0" collapsed="false">
      <c r="B127" s="70" t="str">
        <f aca="false">IFERROR(IF(INDEX(T_ID,121)="","",INDEX(T_ID,121)),"")</f>
        <v/>
      </c>
      <c r="C127" s="70" t="str">
        <f aca="false">IF(B127="","",INDEX(T_NOMBRE,121)&amp;"")</f>
        <v/>
      </c>
      <c r="D127" s="70" t="str">
        <f aca="false">IF(B127="","",INDEX(T_CARGO,121)&amp;"")</f>
        <v/>
      </c>
      <c r="E127" s="70" t="str">
        <f aca="false">IF(B127="","",INDEX(T_ESTADO,121))</f>
        <v/>
      </c>
      <c r="F127" s="75" t="str">
        <f aca="false">IF(B127="","",INDEX(T_INGRESO,121))</f>
        <v/>
      </c>
      <c r="G127" s="70" t="str">
        <f aca="false">IF(B127="","",COUNTIFS(C_ID,B127,C_DEFINE,"Sí",C_INICIO,"&lt;="&amp;FECHA_CORTE))</f>
        <v/>
      </c>
      <c r="H127" s="70" t="str">
        <f aca="false">IF(B127="","",COUNTIFS(C_ID,B127,C_DEFINE,"Sí"))</f>
        <v/>
      </c>
      <c r="I127" s="70" t="str">
        <f aca="false">IF(B127="","",IF(H127=0,"Sin contrato",IFERROR(INDEX(C_TIPO,MATCH(B127&amp;"-P"&amp;MAX(1,G127),C_CLAVE,0))&amp;"","")))</f>
        <v/>
      </c>
      <c r="J127" s="70" t="str">
        <f aca="false">IF(OR(B127="",N(H127)=0),"",IFERROR(INDEX(C_TIPODOC,MATCH(B127&amp;"-P"&amp;MAX(1,G127),C_CLAVE,0))&amp;"",""))</f>
        <v/>
      </c>
      <c r="K127" s="76" t="str">
        <f aca="false">IF(I127="Plazo fijo",IFERROR(INDEX(C_NPF,MATCH(B127&amp;"-P"&amp;MAX(1,G127),C_CLAVE,0)),""),"")</f>
        <v/>
      </c>
      <c r="L127" s="70" t="str">
        <f aca="false">IF(B127="","",COUNTIFS(C_ID,B127,C_TIPODOC,"Anexo de modificación"))</f>
        <v/>
      </c>
      <c r="M127" s="75" t="str">
        <f aca="false">IF(OR(B127="",N(H127)=0),"",IFERROR(INDEX(C_INICIO,MATCH(B127&amp;"-P"&amp;MAX(1,G127),C_CLAVE,0)),""))</f>
        <v/>
      </c>
      <c r="N127" s="75" t="str">
        <f aca="false">IF(OR(I127="Plazo fijo",I127="Obra o faena"),IFERROR(IF(N(INDEX(C_TERMINO,MATCH(B127&amp;"-P"&amp;MAX(1,G127),C_CLAVE,0)))=0,"",INDEX(C_TERMINO,MATCH(B127&amp;"-P"&amp;MAX(1,G127),C_CLAVE,0))),""),"")</f>
        <v/>
      </c>
      <c r="O127" s="77" t="str">
        <f aca="false">IF(AND(ISNUMBER(N127),E127&lt;&gt;"Desvinculado"),N127-FECHA_CORTE,"")</f>
        <v/>
      </c>
      <c r="P127" s="75" t="str">
        <f aca="false">IF(AND(ISNUMBER(N127),E127&lt;&gt;"Desvinculado"),N127-DIAS_DECISION,"")</f>
        <v/>
      </c>
      <c r="Q127" s="75" t="str">
        <f aca="false">IF(OR(B127="",N(H127)&lt;=N(G127)),"",IFERROR(INDEX(C_INICIO,MATCH(B127&amp;"-P"&amp;(G127+1),C_CLAVE,0)),""))</f>
        <v/>
      </c>
      <c r="R127" s="70" t="str">
        <f aca="false">IF(B127="","",IF(E127="Desvinculado","Terminado",IF(H127=0,"Sin contrato registrado",IF(E127="Por ingresar","Por ingresar",IF(ISNUMBER(Q127),"Renovación registrada",IF(I127="Indefinido","Indefinido",IF(NOT(ISNUMBER(O127)),"Falta fecha de término",IF(O127&lt;0,"VENCIDO",IF(O127&lt;=ALERTA_ROJA,"Vence en ≤ "&amp;ALERTA_ROJA&amp;" días",IF(O127&lt;=ALERTA_NARANJA,"Vence en ≤ "&amp;ALERTA_NARANJA&amp;" días",IF(O127&lt;=ALERTA_AMARILLA,"Vence en ≤ "&amp;ALERTA_AMARILLA&amp;" días","Vigente")))))))))))</f>
        <v/>
      </c>
      <c r="S127" s="70" t="str">
        <f aca="false">IF(B127="","",IF(R127="Terminado","—",IF(R127="Sin contrato registrado","Registrar el contrato en la hoja Contratos",IF(R127="Por ingresar","Tener el contrato firmado y hacer el alta en AFP, salud, seguro de cesantía y mutual",IF(R127="Renovación registrada",IF(AND(N(K127)&gt;=2,IFERROR(INDEX(C_TIPO,MATCH(B127&amp;"-P"&amp;(G127+1),C_CLAVE,0)),"")="Plazo fijo"),"⚠ El período registrado sería el 3er contrato a plazo: por ley es INDEFINIDO. Registrarlo como Paso a indefinido","Siguiente período ya registrado: verificar que el documento esté firmado"),IF(I127="Indefinido","Sin vencimiento. Cambios de sueldo, cargo o jornada se formalizan con anexo de modificación",IF(R127="Falta fecha de término","Completar la fecha de término en la hoja Contratos",IF(R127="VENCIDO","Si sigue trabajando, por ley el contrato ya es INDEFINIDO (Art. 159 N°4): firmar anexo de paso a indefinido o regularizar el término",IF(I127="Obra o faena","Al concluir la obra: finiquito por Art. 159 N°5 + indemnización de 2,5 días por mes trabajado (Ley 21.122)",IF(N(K127)&gt;=3,"Por ley ya es indefinido (2ª renovación): firmar anexo de paso a indefinido",IF(N(K127)=2,"2° contrato a plazo: NO admite otra renovación a plazo fijo. Pasar a indefinido o terminar al vencimiento (carta dentro de 3 días hábiles)","1er contrato a plazo: renovar (2° plazo fijo), pasar a indefinido o terminar al vencimiento (carta dentro de 3 días hábiles)")))))))))))</f>
        <v/>
      </c>
      <c r="T127" s="70" t="str">
        <f aca="false">IF(B127="","",IF(COUNTIFS(C_ID,B127,C_FIRMADO,"&lt;&gt;Sí")&gt;0,COUNTIFS(C_ID,B127,C_FIRMADO,"&lt;&gt;Sí")&amp;" documento(s) sin firma. ","")&amp;IF(COUNTIFS(C_ID,B127,C_TIPO,"Plazo fijo",C_DEFINE,"Sí")&gt;2,"Más de 2 contratos a plazo: revisar presunción de indefinido. ","")&amp;IF(AND(R127="VENCIDO",LEFT(E127,6)="Activo"),"Trabaja con contrato vencido. ",""))</f>
        <v/>
      </c>
      <c r="U127" s="71" t="str">
        <f aca="false">IF(B127="","",INDEX(T_SUELDO,121))</f>
        <v/>
      </c>
      <c r="V127" s="72" t="str">
        <f aca="false">IF(AND(B127&lt;&gt;"",LEFT(E127,6)="Activo",ISNUMBER(O127),R127&lt;&gt;"Renovación registrada"),O127+ROW()/100000,"")</f>
        <v/>
      </c>
    </row>
    <row r="128" customFormat="false" ht="15" hidden="false" customHeight="false" outlineLevel="0" collapsed="false">
      <c r="B128" s="70" t="str">
        <f aca="false">IFERROR(IF(INDEX(T_ID,122)="","",INDEX(T_ID,122)),"")</f>
        <v/>
      </c>
      <c r="C128" s="70" t="str">
        <f aca="false">IF(B128="","",INDEX(T_NOMBRE,122)&amp;"")</f>
        <v/>
      </c>
      <c r="D128" s="70" t="str">
        <f aca="false">IF(B128="","",INDEX(T_CARGO,122)&amp;"")</f>
        <v/>
      </c>
      <c r="E128" s="70" t="str">
        <f aca="false">IF(B128="","",INDEX(T_ESTADO,122))</f>
        <v/>
      </c>
      <c r="F128" s="75" t="str">
        <f aca="false">IF(B128="","",INDEX(T_INGRESO,122))</f>
        <v/>
      </c>
      <c r="G128" s="70" t="str">
        <f aca="false">IF(B128="","",COUNTIFS(C_ID,B128,C_DEFINE,"Sí",C_INICIO,"&lt;="&amp;FECHA_CORTE))</f>
        <v/>
      </c>
      <c r="H128" s="70" t="str">
        <f aca="false">IF(B128="","",COUNTIFS(C_ID,B128,C_DEFINE,"Sí"))</f>
        <v/>
      </c>
      <c r="I128" s="70" t="str">
        <f aca="false">IF(B128="","",IF(H128=0,"Sin contrato",IFERROR(INDEX(C_TIPO,MATCH(B128&amp;"-P"&amp;MAX(1,G128),C_CLAVE,0))&amp;"","")))</f>
        <v/>
      </c>
      <c r="J128" s="70" t="str">
        <f aca="false">IF(OR(B128="",N(H128)=0),"",IFERROR(INDEX(C_TIPODOC,MATCH(B128&amp;"-P"&amp;MAX(1,G128),C_CLAVE,0))&amp;"",""))</f>
        <v/>
      </c>
      <c r="K128" s="76" t="str">
        <f aca="false">IF(I128="Plazo fijo",IFERROR(INDEX(C_NPF,MATCH(B128&amp;"-P"&amp;MAX(1,G128),C_CLAVE,0)),""),"")</f>
        <v/>
      </c>
      <c r="L128" s="70" t="str">
        <f aca="false">IF(B128="","",COUNTIFS(C_ID,B128,C_TIPODOC,"Anexo de modificación"))</f>
        <v/>
      </c>
      <c r="M128" s="75" t="str">
        <f aca="false">IF(OR(B128="",N(H128)=0),"",IFERROR(INDEX(C_INICIO,MATCH(B128&amp;"-P"&amp;MAX(1,G128),C_CLAVE,0)),""))</f>
        <v/>
      </c>
      <c r="N128" s="75" t="str">
        <f aca="false">IF(OR(I128="Plazo fijo",I128="Obra o faena"),IFERROR(IF(N(INDEX(C_TERMINO,MATCH(B128&amp;"-P"&amp;MAX(1,G128),C_CLAVE,0)))=0,"",INDEX(C_TERMINO,MATCH(B128&amp;"-P"&amp;MAX(1,G128),C_CLAVE,0))),""),"")</f>
        <v/>
      </c>
      <c r="O128" s="77" t="str">
        <f aca="false">IF(AND(ISNUMBER(N128),E128&lt;&gt;"Desvinculado"),N128-FECHA_CORTE,"")</f>
        <v/>
      </c>
      <c r="P128" s="75" t="str">
        <f aca="false">IF(AND(ISNUMBER(N128),E128&lt;&gt;"Desvinculado"),N128-DIAS_DECISION,"")</f>
        <v/>
      </c>
      <c r="Q128" s="75" t="str">
        <f aca="false">IF(OR(B128="",N(H128)&lt;=N(G128)),"",IFERROR(INDEX(C_INICIO,MATCH(B128&amp;"-P"&amp;(G128+1),C_CLAVE,0)),""))</f>
        <v/>
      </c>
      <c r="R128" s="70" t="str">
        <f aca="false">IF(B128="","",IF(E128="Desvinculado","Terminado",IF(H128=0,"Sin contrato registrado",IF(E128="Por ingresar","Por ingresar",IF(ISNUMBER(Q128),"Renovación registrada",IF(I128="Indefinido","Indefinido",IF(NOT(ISNUMBER(O128)),"Falta fecha de término",IF(O128&lt;0,"VENCIDO",IF(O128&lt;=ALERTA_ROJA,"Vence en ≤ "&amp;ALERTA_ROJA&amp;" días",IF(O128&lt;=ALERTA_NARANJA,"Vence en ≤ "&amp;ALERTA_NARANJA&amp;" días",IF(O128&lt;=ALERTA_AMARILLA,"Vence en ≤ "&amp;ALERTA_AMARILLA&amp;" días","Vigente")))))))))))</f>
        <v/>
      </c>
      <c r="S128" s="70" t="str">
        <f aca="false">IF(B128="","",IF(R128="Terminado","—",IF(R128="Sin contrato registrado","Registrar el contrato en la hoja Contratos",IF(R128="Por ingresar","Tener el contrato firmado y hacer el alta en AFP, salud, seguro de cesantía y mutual",IF(R128="Renovación registrada",IF(AND(N(K128)&gt;=2,IFERROR(INDEX(C_TIPO,MATCH(B128&amp;"-P"&amp;(G128+1),C_CLAVE,0)),"")="Plazo fijo"),"⚠ El período registrado sería el 3er contrato a plazo: por ley es INDEFINIDO. Registrarlo como Paso a indefinido","Siguiente período ya registrado: verificar que el documento esté firmado"),IF(I128="Indefinido","Sin vencimiento. Cambios de sueldo, cargo o jornada se formalizan con anexo de modificación",IF(R128="Falta fecha de término","Completar la fecha de término en la hoja Contratos",IF(R128="VENCIDO","Si sigue trabajando, por ley el contrato ya es INDEFINIDO (Art. 159 N°4): firmar anexo de paso a indefinido o regularizar el término",IF(I128="Obra o faena","Al concluir la obra: finiquito por Art. 159 N°5 + indemnización de 2,5 días por mes trabajado (Ley 21.122)",IF(N(K128)&gt;=3,"Por ley ya es indefinido (2ª renovación): firmar anexo de paso a indefinido",IF(N(K128)=2,"2° contrato a plazo: NO admite otra renovación a plazo fijo. Pasar a indefinido o terminar al vencimiento (carta dentro de 3 días hábiles)","1er contrato a plazo: renovar (2° plazo fijo), pasar a indefinido o terminar al vencimiento (carta dentro de 3 días hábiles)")))))))))))</f>
        <v/>
      </c>
      <c r="T128" s="70" t="str">
        <f aca="false">IF(B128="","",IF(COUNTIFS(C_ID,B128,C_FIRMADO,"&lt;&gt;Sí")&gt;0,COUNTIFS(C_ID,B128,C_FIRMADO,"&lt;&gt;Sí")&amp;" documento(s) sin firma. ","")&amp;IF(COUNTIFS(C_ID,B128,C_TIPO,"Plazo fijo",C_DEFINE,"Sí")&gt;2,"Más de 2 contratos a plazo: revisar presunción de indefinido. ","")&amp;IF(AND(R128="VENCIDO",LEFT(E128,6)="Activo"),"Trabaja con contrato vencido. ",""))</f>
        <v/>
      </c>
      <c r="U128" s="71" t="str">
        <f aca="false">IF(B128="","",INDEX(T_SUELDO,122))</f>
        <v/>
      </c>
      <c r="V128" s="72" t="str">
        <f aca="false">IF(AND(B128&lt;&gt;"",LEFT(E128,6)="Activo",ISNUMBER(O128),R128&lt;&gt;"Renovación registrada"),O128+ROW()/100000,"")</f>
        <v/>
      </c>
    </row>
    <row r="129" customFormat="false" ht="15" hidden="false" customHeight="false" outlineLevel="0" collapsed="false">
      <c r="B129" s="70" t="str">
        <f aca="false">IFERROR(IF(INDEX(T_ID,123)="","",INDEX(T_ID,123)),"")</f>
        <v/>
      </c>
      <c r="C129" s="70" t="str">
        <f aca="false">IF(B129="","",INDEX(T_NOMBRE,123)&amp;"")</f>
        <v/>
      </c>
      <c r="D129" s="70" t="str">
        <f aca="false">IF(B129="","",INDEX(T_CARGO,123)&amp;"")</f>
        <v/>
      </c>
      <c r="E129" s="70" t="str">
        <f aca="false">IF(B129="","",INDEX(T_ESTADO,123))</f>
        <v/>
      </c>
      <c r="F129" s="75" t="str">
        <f aca="false">IF(B129="","",INDEX(T_INGRESO,123))</f>
        <v/>
      </c>
      <c r="G129" s="70" t="str">
        <f aca="false">IF(B129="","",COUNTIFS(C_ID,B129,C_DEFINE,"Sí",C_INICIO,"&lt;="&amp;FECHA_CORTE))</f>
        <v/>
      </c>
      <c r="H129" s="70" t="str">
        <f aca="false">IF(B129="","",COUNTIFS(C_ID,B129,C_DEFINE,"Sí"))</f>
        <v/>
      </c>
      <c r="I129" s="70" t="str">
        <f aca="false">IF(B129="","",IF(H129=0,"Sin contrato",IFERROR(INDEX(C_TIPO,MATCH(B129&amp;"-P"&amp;MAX(1,G129),C_CLAVE,0))&amp;"","")))</f>
        <v/>
      </c>
      <c r="J129" s="70" t="str">
        <f aca="false">IF(OR(B129="",N(H129)=0),"",IFERROR(INDEX(C_TIPODOC,MATCH(B129&amp;"-P"&amp;MAX(1,G129),C_CLAVE,0))&amp;"",""))</f>
        <v/>
      </c>
      <c r="K129" s="76" t="str">
        <f aca="false">IF(I129="Plazo fijo",IFERROR(INDEX(C_NPF,MATCH(B129&amp;"-P"&amp;MAX(1,G129),C_CLAVE,0)),""),"")</f>
        <v/>
      </c>
      <c r="L129" s="70" t="str">
        <f aca="false">IF(B129="","",COUNTIFS(C_ID,B129,C_TIPODOC,"Anexo de modificación"))</f>
        <v/>
      </c>
      <c r="M129" s="75" t="str">
        <f aca="false">IF(OR(B129="",N(H129)=0),"",IFERROR(INDEX(C_INICIO,MATCH(B129&amp;"-P"&amp;MAX(1,G129),C_CLAVE,0)),""))</f>
        <v/>
      </c>
      <c r="N129" s="75" t="str">
        <f aca="false">IF(OR(I129="Plazo fijo",I129="Obra o faena"),IFERROR(IF(N(INDEX(C_TERMINO,MATCH(B129&amp;"-P"&amp;MAX(1,G129),C_CLAVE,0)))=0,"",INDEX(C_TERMINO,MATCH(B129&amp;"-P"&amp;MAX(1,G129),C_CLAVE,0))),""),"")</f>
        <v/>
      </c>
      <c r="O129" s="77" t="str">
        <f aca="false">IF(AND(ISNUMBER(N129),E129&lt;&gt;"Desvinculado"),N129-FECHA_CORTE,"")</f>
        <v/>
      </c>
      <c r="P129" s="75" t="str">
        <f aca="false">IF(AND(ISNUMBER(N129),E129&lt;&gt;"Desvinculado"),N129-DIAS_DECISION,"")</f>
        <v/>
      </c>
      <c r="Q129" s="75" t="str">
        <f aca="false">IF(OR(B129="",N(H129)&lt;=N(G129)),"",IFERROR(INDEX(C_INICIO,MATCH(B129&amp;"-P"&amp;(G129+1),C_CLAVE,0)),""))</f>
        <v/>
      </c>
      <c r="R129" s="70" t="str">
        <f aca="false">IF(B129="","",IF(E129="Desvinculado","Terminado",IF(H129=0,"Sin contrato registrado",IF(E129="Por ingresar","Por ingresar",IF(ISNUMBER(Q129),"Renovación registrada",IF(I129="Indefinido","Indefinido",IF(NOT(ISNUMBER(O129)),"Falta fecha de término",IF(O129&lt;0,"VENCIDO",IF(O129&lt;=ALERTA_ROJA,"Vence en ≤ "&amp;ALERTA_ROJA&amp;" días",IF(O129&lt;=ALERTA_NARANJA,"Vence en ≤ "&amp;ALERTA_NARANJA&amp;" días",IF(O129&lt;=ALERTA_AMARILLA,"Vence en ≤ "&amp;ALERTA_AMARILLA&amp;" días","Vigente")))))))))))</f>
        <v/>
      </c>
      <c r="S129" s="70" t="str">
        <f aca="false">IF(B129="","",IF(R129="Terminado","—",IF(R129="Sin contrato registrado","Registrar el contrato en la hoja Contratos",IF(R129="Por ingresar","Tener el contrato firmado y hacer el alta en AFP, salud, seguro de cesantía y mutual",IF(R129="Renovación registrada",IF(AND(N(K129)&gt;=2,IFERROR(INDEX(C_TIPO,MATCH(B129&amp;"-P"&amp;(G129+1),C_CLAVE,0)),"")="Plazo fijo"),"⚠ El período registrado sería el 3er contrato a plazo: por ley es INDEFINIDO. Registrarlo como Paso a indefinido","Siguiente período ya registrado: verificar que el documento esté firmado"),IF(I129="Indefinido","Sin vencimiento. Cambios de sueldo, cargo o jornada se formalizan con anexo de modificación",IF(R129="Falta fecha de término","Completar la fecha de término en la hoja Contratos",IF(R129="VENCIDO","Si sigue trabajando, por ley el contrato ya es INDEFINIDO (Art. 159 N°4): firmar anexo de paso a indefinido o regularizar el término",IF(I129="Obra o faena","Al concluir la obra: finiquito por Art. 159 N°5 + indemnización de 2,5 días por mes trabajado (Ley 21.122)",IF(N(K129)&gt;=3,"Por ley ya es indefinido (2ª renovación): firmar anexo de paso a indefinido",IF(N(K129)=2,"2° contrato a plazo: NO admite otra renovación a plazo fijo. Pasar a indefinido o terminar al vencimiento (carta dentro de 3 días hábiles)","1er contrato a plazo: renovar (2° plazo fijo), pasar a indefinido o terminar al vencimiento (carta dentro de 3 días hábiles)")))))))))))</f>
        <v/>
      </c>
      <c r="T129" s="70" t="str">
        <f aca="false">IF(B129="","",IF(COUNTIFS(C_ID,B129,C_FIRMADO,"&lt;&gt;Sí")&gt;0,COUNTIFS(C_ID,B129,C_FIRMADO,"&lt;&gt;Sí")&amp;" documento(s) sin firma. ","")&amp;IF(COUNTIFS(C_ID,B129,C_TIPO,"Plazo fijo",C_DEFINE,"Sí")&gt;2,"Más de 2 contratos a plazo: revisar presunción de indefinido. ","")&amp;IF(AND(R129="VENCIDO",LEFT(E129,6)="Activo"),"Trabaja con contrato vencido. ",""))</f>
        <v/>
      </c>
      <c r="U129" s="71" t="str">
        <f aca="false">IF(B129="","",INDEX(T_SUELDO,123))</f>
        <v/>
      </c>
      <c r="V129" s="72" t="str">
        <f aca="false">IF(AND(B129&lt;&gt;"",LEFT(E129,6)="Activo",ISNUMBER(O129),R129&lt;&gt;"Renovación registrada"),O129+ROW()/100000,"")</f>
        <v/>
      </c>
    </row>
    <row r="130" customFormat="false" ht="15" hidden="false" customHeight="false" outlineLevel="0" collapsed="false">
      <c r="B130" s="70" t="str">
        <f aca="false">IFERROR(IF(INDEX(T_ID,124)="","",INDEX(T_ID,124)),"")</f>
        <v/>
      </c>
      <c r="C130" s="70" t="str">
        <f aca="false">IF(B130="","",INDEX(T_NOMBRE,124)&amp;"")</f>
        <v/>
      </c>
      <c r="D130" s="70" t="str">
        <f aca="false">IF(B130="","",INDEX(T_CARGO,124)&amp;"")</f>
        <v/>
      </c>
      <c r="E130" s="70" t="str">
        <f aca="false">IF(B130="","",INDEX(T_ESTADO,124))</f>
        <v/>
      </c>
      <c r="F130" s="75" t="str">
        <f aca="false">IF(B130="","",INDEX(T_INGRESO,124))</f>
        <v/>
      </c>
      <c r="G130" s="70" t="str">
        <f aca="false">IF(B130="","",COUNTIFS(C_ID,B130,C_DEFINE,"Sí",C_INICIO,"&lt;="&amp;FECHA_CORTE))</f>
        <v/>
      </c>
      <c r="H130" s="70" t="str">
        <f aca="false">IF(B130="","",COUNTIFS(C_ID,B130,C_DEFINE,"Sí"))</f>
        <v/>
      </c>
      <c r="I130" s="70" t="str">
        <f aca="false">IF(B130="","",IF(H130=0,"Sin contrato",IFERROR(INDEX(C_TIPO,MATCH(B130&amp;"-P"&amp;MAX(1,G130),C_CLAVE,0))&amp;"","")))</f>
        <v/>
      </c>
      <c r="J130" s="70" t="str">
        <f aca="false">IF(OR(B130="",N(H130)=0),"",IFERROR(INDEX(C_TIPODOC,MATCH(B130&amp;"-P"&amp;MAX(1,G130),C_CLAVE,0))&amp;"",""))</f>
        <v/>
      </c>
      <c r="K130" s="76" t="str">
        <f aca="false">IF(I130="Plazo fijo",IFERROR(INDEX(C_NPF,MATCH(B130&amp;"-P"&amp;MAX(1,G130),C_CLAVE,0)),""),"")</f>
        <v/>
      </c>
      <c r="L130" s="70" t="str">
        <f aca="false">IF(B130="","",COUNTIFS(C_ID,B130,C_TIPODOC,"Anexo de modificación"))</f>
        <v/>
      </c>
      <c r="M130" s="75" t="str">
        <f aca="false">IF(OR(B130="",N(H130)=0),"",IFERROR(INDEX(C_INICIO,MATCH(B130&amp;"-P"&amp;MAX(1,G130),C_CLAVE,0)),""))</f>
        <v/>
      </c>
      <c r="N130" s="75" t="str">
        <f aca="false">IF(OR(I130="Plazo fijo",I130="Obra o faena"),IFERROR(IF(N(INDEX(C_TERMINO,MATCH(B130&amp;"-P"&amp;MAX(1,G130),C_CLAVE,0)))=0,"",INDEX(C_TERMINO,MATCH(B130&amp;"-P"&amp;MAX(1,G130),C_CLAVE,0))),""),"")</f>
        <v/>
      </c>
      <c r="O130" s="77" t="str">
        <f aca="false">IF(AND(ISNUMBER(N130),E130&lt;&gt;"Desvinculado"),N130-FECHA_CORTE,"")</f>
        <v/>
      </c>
      <c r="P130" s="75" t="str">
        <f aca="false">IF(AND(ISNUMBER(N130),E130&lt;&gt;"Desvinculado"),N130-DIAS_DECISION,"")</f>
        <v/>
      </c>
      <c r="Q130" s="75" t="str">
        <f aca="false">IF(OR(B130="",N(H130)&lt;=N(G130)),"",IFERROR(INDEX(C_INICIO,MATCH(B130&amp;"-P"&amp;(G130+1),C_CLAVE,0)),""))</f>
        <v/>
      </c>
      <c r="R130" s="70" t="str">
        <f aca="false">IF(B130="","",IF(E130="Desvinculado","Terminado",IF(H130=0,"Sin contrato registrado",IF(E130="Por ingresar","Por ingresar",IF(ISNUMBER(Q130),"Renovación registrada",IF(I130="Indefinido","Indefinido",IF(NOT(ISNUMBER(O130)),"Falta fecha de término",IF(O130&lt;0,"VENCIDO",IF(O130&lt;=ALERTA_ROJA,"Vence en ≤ "&amp;ALERTA_ROJA&amp;" días",IF(O130&lt;=ALERTA_NARANJA,"Vence en ≤ "&amp;ALERTA_NARANJA&amp;" días",IF(O130&lt;=ALERTA_AMARILLA,"Vence en ≤ "&amp;ALERTA_AMARILLA&amp;" días","Vigente")))))))))))</f>
        <v/>
      </c>
      <c r="S130" s="70" t="str">
        <f aca="false">IF(B130="","",IF(R130="Terminado","—",IF(R130="Sin contrato registrado","Registrar el contrato en la hoja Contratos",IF(R130="Por ingresar","Tener el contrato firmado y hacer el alta en AFP, salud, seguro de cesantía y mutual",IF(R130="Renovación registrada",IF(AND(N(K130)&gt;=2,IFERROR(INDEX(C_TIPO,MATCH(B130&amp;"-P"&amp;(G130+1),C_CLAVE,0)),"")="Plazo fijo"),"⚠ El período registrado sería el 3er contrato a plazo: por ley es INDEFINIDO. Registrarlo como Paso a indefinido","Siguiente período ya registrado: verificar que el documento esté firmado"),IF(I130="Indefinido","Sin vencimiento. Cambios de sueldo, cargo o jornada se formalizan con anexo de modificación",IF(R130="Falta fecha de término","Completar la fecha de término en la hoja Contratos",IF(R130="VENCIDO","Si sigue trabajando, por ley el contrato ya es INDEFINIDO (Art. 159 N°4): firmar anexo de paso a indefinido o regularizar el término",IF(I130="Obra o faena","Al concluir la obra: finiquito por Art. 159 N°5 + indemnización de 2,5 días por mes trabajado (Ley 21.122)",IF(N(K130)&gt;=3,"Por ley ya es indefinido (2ª renovación): firmar anexo de paso a indefinido",IF(N(K130)=2,"2° contrato a plazo: NO admite otra renovación a plazo fijo. Pasar a indefinido o terminar al vencimiento (carta dentro de 3 días hábiles)","1er contrato a plazo: renovar (2° plazo fijo), pasar a indefinido o terminar al vencimiento (carta dentro de 3 días hábiles)")))))))))))</f>
        <v/>
      </c>
      <c r="T130" s="70" t="str">
        <f aca="false">IF(B130="","",IF(COUNTIFS(C_ID,B130,C_FIRMADO,"&lt;&gt;Sí")&gt;0,COUNTIFS(C_ID,B130,C_FIRMADO,"&lt;&gt;Sí")&amp;" documento(s) sin firma. ","")&amp;IF(COUNTIFS(C_ID,B130,C_TIPO,"Plazo fijo",C_DEFINE,"Sí")&gt;2,"Más de 2 contratos a plazo: revisar presunción de indefinido. ","")&amp;IF(AND(R130="VENCIDO",LEFT(E130,6)="Activo"),"Trabaja con contrato vencido. ",""))</f>
        <v/>
      </c>
      <c r="U130" s="71" t="str">
        <f aca="false">IF(B130="","",INDEX(T_SUELDO,124))</f>
        <v/>
      </c>
      <c r="V130" s="72" t="str">
        <f aca="false">IF(AND(B130&lt;&gt;"",LEFT(E130,6)="Activo",ISNUMBER(O130),R130&lt;&gt;"Renovación registrada"),O130+ROW()/100000,"")</f>
        <v/>
      </c>
    </row>
    <row r="131" customFormat="false" ht="15" hidden="false" customHeight="false" outlineLevel="0" collapsed="false">
      <c r="B131" s="70" t="str">
        <f aca="false">IFERROR(IF(INDEX(T_ID,125)="","",INDEX(T_ID,125)),"")</f>
        <v/>
      </c>
      <c r="C131" s="70" t="str">
        <f aca="false">IF(B131="","",INDEX(T_NOMBRE,125)&amp;"")</f>
        <v/>
      </c>
      <c r="D131" s="70" t="str">
        <f aca="false">IF(B131="","",INDEX(T_CARGO,125)&amp;"")</f>
        <v/>
      </c>
      <c r="E131" s="70" t="str">
        <f aca="false">IF(B131="","",INDEX(T_ESTADO,125))</f>
        <v/>
      </c>
      <c r="F131" s="75" t="str">
        <f aca="false">IF(B131="","",INDEX(T_INGRESO,125))</f>
        <v/>
      </c>
      <c r="G131" s="70" t="str">
        <f aca="false">IF(B131="","",COUNTIFS(C_ID,B131,C_DEFINE,"Sí",C_INICIO,"&lt;="&amp;FECHA_CORTE))</f>
        <v/>
      </c>
      <c r="H131" s="70" t="str">
        <f aca="false">IF(B131="","",COUNTIFS(C_ID,B131,C_DEFINE,"Sí"))</f>
        <v/>
      </c>
      <c r="I131" s="70" t="str">
        <f aca="false">IF(B131="","",IF(H131=0,"Sin contrato",IFERROR(INDEX(C_TIPO,MATCH(B131&amp;"-P"&amp;MAX(1,G131),C_CLAVE,0))&amp;"","")))</f>
        <v/>
      </c>
      <c r="J131" s="70" t="str">
        <f aca="false">IF(OR(B131="",N(H131)=0),"",IFERROR(INDEX(C_TIPODOC,MATCH(B131&amp;"-P"&amp;MAX(1,G131),C_CLAVE,0))&amp;"",""))</f>
        <v/>
      </c>
      <c r="K131" s="76" t="str">
        <f aca="false">IF(I131="Plazo fijo",IFERROR(INDEX(C_NPF,MATCH(B131&amp;"-P"&amp;MAX(1,G131),C_CLAVE,0)),""),"")</f>
        <v/>
      </c>
      <c r="L131" s="70" t="str">
        <f aca="false">IF(B131="","",COUNTIFS(C_ID,B131,C_TIPODOC,"Anexo de modificación"))</f>
        <v/>
      </c>
      <c r="M131" s="75" t="str">
        <f aca="false">IF(OR(B131="",N(H131)=0),"",IFERROR(INDEX(C_INICIO,MATCH(B131&amp;"-P"&amp;MAX(1,G131),C_CLAVE,0)),""))</f>
        <v/>
      </c>
      <c r="N131" s="75" t="str">
        <f aca="false">IF(OR(I131="Plazo fijo",I131="Obra o faena"),IFERROR(IF(N(INDEX(C_TERMINO,MATCH(B131&amp;"-P"&amp;MAX(1,G131),C_CLAVE,0)))=0,"",INDEX(C_TERMINO,MATCH(B131&amp;"-P"&amp;MAX(1,G131),C_CLAVE,0))),""),"")</f>
        <v/>
      </c>
      <c r="O131" s="77" t="str">
        <f aca="false">IF(AND(ISNUMBER(N131),E131&lt;&gt;"Desvinculado"),N131-FECHA_CORTE,"")</f>
        <v/>
      </c>
      <c r="P131" s="75" t="str">
        <f aca="false">IF(AND(ISNUMBER(N131),E131&lt;&gt;"Desvinculado"),N131-DIAS_DECISION,"")</f>
        <v/>
      </c>
      <c r="Q131" s="75" t="str">
        <f aca="false">IF(OR(B131="",N(H131)&lt;=N(G131)),"",IFERROR(INDEX(C_INICIO,MATCH(B131&amp;"-P"&amp;(G131+1),C_CLAVE,0)),""))</f>
        <v/>
      </c>
      <c r="R131" s="70" t="str">
        <f aca="false">IF(B131="","",IF(E131="Desvinculado","Terminado",IF(H131=0,"Sin contrato registrado",IF(E131="Por ingresar","Por ingresar",IF(ISNUMBER(Q131),"Renovación registrada",IF(I131="Indefinido","Indefinido",IF(NOT(ISNUMBER(O131)),"Falta fecha de término",IF(O131&lt;0,"VENCIDO",IF(O131&lt;=ALERTA_ROJA,"Vence en ≤ "&amp;ALERTA_ROJA&amp;" días",IF(O131&lt;=ALERTA_NARANJA,"Vence en ≤ "&amp;ALERTA_NARANJA&amp;" días",IF(O131&lt;=ALERTA_AMARILLA,"Vence en ≤ "&amp;ALERTA_AMARILLA&amp;" días","Vigente")))))))))))</f>
        <v/>
      </c>
      <c r="S131" s="70" t="str">
        <f aca="false">IF(B131="","",IF(R131="Terminado","—",IF(R131="Sin contrato registrado","Registrar el contrato en la hoja Contratos",IF(R131="Por ingresar","Tener el contrato firmado y hacer el alta en AFP, salud, seguro de cesantía y mutual",IF(R131="Renovación registrada",IF(AND(N(K131)&gt;=2,IFERROR(INDEX(C_TIPO,MATCH(B131&amp;"-P"&amp;(G131+1),C_CLAVE,0)),"")="Plazo fijo"),"⚠ El período registrado sería el 3er contrato a plazo: por ley es INDEFINIDO. Registrarlo como Paso a indefinido","Siguiente período ya registrado: verificar que el documento esté firmado"),IF(I131="Indefinido","Sin vencimiento. Cambios de sueldo, cargo o jornada se formalizan con anexo de modificación",IF(R131="Falta fecha de término","Completar la fecha de término en la hoja Contratos",IF(R131="VENCIDO","Si sigue trabajando, por ley el contrato ya es INDEFINIDO (Art. 159 N°4): firmar anexo de paso a indefinido o regularizar el término",IF(I131="Obra o faena","Al concluir la obra: finiquito por Art. 159 N°5 + indemnización de 2,5 días por mes trabajado (Ley 21.122)",IF(N(K131)&gt;=3,"Por ley ya es indefinido (2ª renovación): firmar anexo de paso a indefinido",IF(N(K131)=2,"2° contrato a plazo: NO admite otra renovación a plazo fijo. Pasar a indefinido o terminar al vencimiento (carta dentro de 3 días hábiles)","1er contrato a plazo: renovar (2° plazo fijo), pasar a indefinido o terminar al vencimiento (carta dentro de 3 días hábiles)")))))))))))</f>
        <v/>
      </c>
      <c r="T131" s="70" t="str">
        <f aca="false">IF(B131="","",IF(COUNTIFS(C_ID,B131,C_FIRMADO,"&lt;&gt;Sí")&gt;0,COUNTIFS(C_ID,B131,C_FIRMADO,"&lt;&gt;Sí")&amp;" documento(s) sin firma. ","")&amp;IF(COUNTIFS(C_ID,B131,C_TIPO,"Plazo fijo",C_DEFINE,"Sí")&gt;2,"Más de 2 contratos a plazo: revisar presunción de indefinido. ","")&amp;IF(AND(R131="VENCIDO",LEFT(E131,6)="Activo"),"Trabaja con contrato vencido. ",""))</f>
        <v/>
      </c>
      <c r="U131" s="71" t="str">
        <f aca="false">IF(B131="","",INDEX(T_SUELDO,125))</f>
        <v/>
      </c>
      <c r="V131" s="72" t="str">
        <f aca="false">IF(AND(B131&lt;&gt;"",LEFT(E131,6)="Activo",ISNUMBER(O131),R131&lt;&gt;"Renovación registrada"),O131+ROW()/100000,"")</f>
        <v/>
      </c>
    </row>
    <row r="132" customFormat="false" ht="15" hidden="false" customHeight="false" outlineLevel="0" collapsed="false">
      <c r="B132" s="70" t="str">
        <f aca="false">IFERROR(IF(INDEX(T_ID,126)="","",INDEX(T_ID,126)),"")</f>
        <v/>
      </c>
      <c r="C132" s="70" t="str">
        <f aca="false">IF(B132="","",INDEX(T_NOMBRE,126)&amp;"")</f>
        <v/>
      </c>
      <c r="D132" s="70" t="str">
        <f aca="false">IF(B132="","",INDEX(T_CARGO,126)&amp;"")</f>
        <v/>
      </c>
      <c r="E132" s="70" t="str">
        <f aca="false">IF(B132="","",INDEX(T_ESTADO,126))</f>
        <v/>
      </c>
      <c r="F132" s="75" t="str">
        <f aca="false">IF(B132="","",INDEX(T_INGRESO,126))</f>
        <v/>
      </c>
      <c r="G132" s="70" t="str">
        <f aca="false">IF(B132="","",COUNTIFS(C_ID,B132,C_DEFINE,"Sí",C_INICIO,"&lt;="&amp;FECHA_CORTE))</f>
        <v/>
      </c>
      <c r="H132" s="70" t="str">
        <f aca="false">IF(B132="","",COUNTIFS(C_ID,B132,C_DEFINE,"Sí"))</f>
        <v/>
      </c>
      <c r="I132" s="70" t="str">
        <f aca="false">IF(B132="","",IF(H132=0,"Sin contrato",IFERROR(INDEX(C_TIPO,MATCH(B132&amp;"-P"&amp;MAX(1,G132),C_CLAVE,0))&amp;"","")))</f>
        <v/>
      </c>
      <c r="J132" s="70" t="str">
        <f aca="false">IF(OR(B132="",N(H132)=0),"",IFERROR(INDEX(C_TIPODOC,MATCH(B132&amp;"-P"&amp;MAX(1,G132),C_CLAVE,0))&amp;"",""))</f>
        <v/>
      </c>
      <c r="K132" s="76" t="str">
        <f aca="false">IF(I132="Plazo fijo",IFERROR(INDEX(C_NPF,MATCH(B132&amp;"-P"&amp;MAX(1,G132),C_CLAVE,0)),""),"")</f>
        <v/>
      </c>
      <c r="L132" s="70" t="str">
        <f aca="false">IF(B132="","",COUNTIFS(C_ID,B132,C_TIPODOC,"Anexo de modificación"))</f>
        <v/>
      </c>
      <c r="M132" s="75" t="str">
        <f aca="false">IF(OR(B132="",N(H132)=0),"",IFERROR(INDEX(C_INICIO,MATCH(B132&amp;"-P"&amp;MAX(1,G132),C_CLAVE,0)),""))</f>
        <v/>
      </c>
      <c r="N132" s="75" t="str">
        <f aca="false">IF(OR(I132="Plazo fijo",I132="Obra o faena"),IFERROR(IF(N(INDEX(C_TERMINO,MATCH(B132&amp;"-P"&amp;MAX(1,G132),C_CLAVE,0)))=0,"",INDEX(C_TERMINO,MATCH(B132&amp;"-P"&amp;MAX(1,G132),C_CLAVE,0))),""),"")</f>
        <v/>
      </c>
      <c r="O132" s="77" t="str">
        <f aca="false">IF(AND(ISNUMBER(N132),E132&lt;&gt;"Desvinculado"),N132-FECHA_CORTE,"")</f>
        <v/>
      </c>
      <c r="P132" s="75" t="str">
        <f aca="false">IF(AND(ISNUMBER(N132),E132&lt;&gt;"Desvinculado"),N132-DIAS_DECISION,"")</f>
        <v/>
      </c>
      <c r="Q132" s="75" t="str">
        <f aca="false">IF(OR(B132="",N(H132)&lt;=N(G132)),"",IFERROR(INDEX(C_INICIO,MATCH(B132&amp;"-P"&amp;(G132+1),C_CLAVE,0)),""))</f>
        <v/>
      </c>
      <c r="R132" s="70" t="str">
        <f aca="false">IF(B132="","",IF(E132="Desvinculado","Terminado",IF(H132=0,"Sin contrato registrado",IF(E132="Por ingresar","Por ingresar",IF(ISNUMBER(Q132),"Renovación registrada",IF(I132="Indefinido","Indefinido",IF(NOT(ISNUMBER(O132)),"Falta fecha de término",IF(O132&lt;0,"VENCIDO",IF(O132&lt;=ALERTA_ROJA,"Vence en ≤ "&amp;ALERTA_ROJA&amp;" días",IF(O132&lt;=ALERTA_NARANJA,"Vence en ≤ "&amp;ALERTA_NARANJA&amp;" días",IF(O132&lt;=ALERTA_AMARILLA,"Vence en ≤ "&amp;ALERTA_AMARILLA&amp;" días","Vigente")))))))))))</f>
        <v/>
      </c>
      <c r="S132" s="70" t="str">
        <f aca="false">IF(B132="","",IF(R132="Terminado","—",IF(R132="Sin contrato registrado","Registrar el contrato en la hoja Contratos",IF(R132="Por ingresar","Tener el contrato firmado y hacer el alta en AFP, salud, seguro de cesantía y mutual",IF(R132="Renovación registrada",IF(AND(N(K132)&gt;=2,IFERROR(INDEX(C_TIPO,MATCH(B132&amp;"-P"&amp;(G132+1),C_CLAVE,0)),"")="Plazo fijo"),"⚠ El período registrado sería el 3er contrato a plazo: por ley es INDEFINIDO. Registrarlo como Paso a indefinido","Siguiente período ya registrado: verificar que el documento esté firmado"),IF(I132="Indefinido","Sin vencimiento. Cambios de sueldo, cargo o jornada se formalizan con anexo de modificación",IF(R132="Falta fecha de término","Completar la fecha de término en la hoja Contratos",IF(R132="VENCIDO","Si sigue trabajando, por ley el contrato ya es INDEFINIDO (Art. 159 N°4): firmar anexo de paso a indefinido o regularizar el término",IF(I132="Obra o faena","Al concluir la obra: finiquito por Art. 159 N°5 + indemnización de 2,5 días por mes trabajado (Ley 21.122)",IF(N(K132)&gt;=3,"Por ley ya es indefinido (2ª renovación): firmar anexo de paso a indefinido",IF(N(K132)=2,"2° contrato a plazo: NO admite otra renovación a plazo fijo. Pasar a indefinido o terminar al vencimiento (carta dentro de 3 días hábiles)","1er contrato a plazo: renovar (2° plazo fijo), pasar a indefinido o terminar al vencimiento (carta dentro de 3 días hábiles)")))))))))))</f>
        <v/>
      </c>
      <c r="T132" s="70" t="str">
        <f aca="false">IF(B132="","",IF(COUNTIFS(C_ID,B132,C_FIRMADO,"&lt;&gt;Sí")&gt;0,COUNTIFS(C_ID,B132,C_FIRMADO,"&lt;&gt;Sí")&amp;" documento(s) sin firma. ","")&amp;IF(COUNTIFS(C_ID,B132,C_TIPO,"Plazo fijo",C_DEFINE,"Sí")&gt;2,"Más de 2 contratos a plazo: revisar presunción de indefinido. ","")&amp;IF(AND(R132="VENCIDO",LEFT(E132,6)="Activo"),"Trabaja con contrato vencido. ",""))</f>
        <v/>
      </c>
      <c r="U132" s="71" t="str">
        <f aca="false">IF(B132="","",INDEX(T_SUELDO,126))</f>
        <v/>
      </c>
      <c r="V132" s="72" t="str">
        <f aca="false">IF(AND(B132&lt;&gt;"",LEFT(E132,6)="Activo",ISNUMBER(O132),R132&lt;&gt;"Renovación registrada"),O132+ROW()/100000,"")</f>
        <v/>
      </c>
    </row>
    <row r="133" customFormat="false" ht="15" hidden="false" customHeight="false" outlineLevel="0" collapsed="false">
      <c r="B133" s="70" t="str">
        <f aca="false">IFERROR(IF(INDEX(T_ID,127)="","",INDEX(T_ID,127)),"")</f>
        <v/>
      </c>
      <c r="C133" s="70" t="str">
        <f aca="false">IF(B133="","",INDEX(T_NOMBRE,127)&amp;"")</f>
        <v/>
      </c>
      <c r="D133" s="70" t="str">
        <f aca="false">IF(B133="","",INDEX(T_CARGO,127)&amp;"")</f>
        <v/>
      </c>
      <c r="E133" s="70" t="str">
        <f aca="false">IF(B133="","",INDEX(T_ESTADO,127))</f>
        <v/>
      </c>
      <c r="F133" s="75" t="str">
        <f aca="false">IF(B133="","",INDEX(T_INGRESO,127))</f>
        <v/>
      </c>
      <c r="G133" s="70" t="str">
        <f aca="false">IF(B133="","",COUNTIFS(C_ID,B133,C_DEFINE,"Sí",C_INICIO,"&lt;="&amp;FECHA_CORTE))</f>
        <v/>
      </c>
      <c r="H133" s="70" t="str">
        <f aca="false">IF(B133="","",COUNTIFS(C_ID,B133,C_DEFINE,"Sí"))</f>
        <v/>
      </c>
      <c r="I133" s="70" t="str">
        <f aca="false">IF(B133="","",IF(H133=0,"Sin contrato",IFERROR(INDEX(C_TIPO,MATCH(B133&amp;"-P"&amp;MAX(1,G133),C_CLAVE,0))&amp;"","")))</f>
        <v/>
      </c>
      <c r="J133" s="70" t="str">
        <f aca="false">IF(OR(B133="",N(H133)=0),"",IFERROR(INDEX(C_TIPODOC,MATCH(B133&amp;"-P"&amp;MAX(1,G133),C_CLAVE,0))&amp;"",""))</f>
        <v/>
      </c>
      <c r="K133" s="76" t="str">
        <f aca="false">IF(I133="Plazo fijo",IFERROR(INDEX(C_NPF,MATCH(B133&amp;"-P"&amp;MAX(1,G133),C_CLAVE,0)),""),"")</f>
        <v/>
      </c>
      <c r="L133" s="70" t="str">
        <f aca="false">IF(B133="","",COUNTIFS(C_ID,B133,C_TIPODOC,"Anexo de modificación"))</f>
        <v/>
      </c>
      <c r="M133" s="75" t="str">
        <f aca="false">IF(OR(B133="",N(H133)=0),"",IFERROR(INDEX(C_INICIO,MATCH(B133&amp;"-P"&amp;MAX(1,G133),C_CLAVE,0)),""))</f>
        <v/>
      </c>
      <c r="N133" s="75" t="str">
        <f aca="false">IF(OR(I133="Plazo fijo",I133="Obra o faena"),IFERROR(IF(N(INDEX(C_TERMINO,MATCH(B133&amp;"-P"&amp;MAX(1,G133),C_CLAVE,0)))=0,"",INDEX(C_TERMINO,MATCH(B133&amp;"-P"&amp;MAX(1,G133),C_CLAVE,0))),""),"")</f>
        <v/>
      </c>
      <c r="O133" s="77" t="str">
        <f aca="false">IF(AND(ISNUMBER(N133),E133&lt;&gt;"Desvinculado"),N133-FECHA_CORTE,"")</f>
        <v/>
      </c>
      <c r="P133" s="75" t="str">
        <f aca="false">IF(AND(ISNUMBER(N133),E133&lt;&gt;"Desvinculado"),N133-DIAS_DECISION,"")</f>
        <v/>
      </c>
      <c r="Q133" s="75" t="str">
        <f aca="false">IF(OR(B133="",N(H133)&lt;=N(G133)),"",IFERROR(INDEX(C_INICIO,MATCH(B133&amp;"-P"&amp;(G133+1),C_CLAVE,0)),""))</f>
        <v/>
      </c>
      <c r="R133" s="70" t="str">
        <f aca="false">IF(B133="","",IF(E133="Desvinculado","Terminado",IF(H133=0,"Sin contrato registrado",IF(E133="Por ingresar","Por ingresar",IF(ISNUMBER(Q133),"Renovación registrada",IF(I133="Indefinido","Indefinido",IF(NOT(ISNUMBER(O133)),"Falta fecha de término",IF(O133&lt;0,"VENCIDO",IF(O133&lt;=ALERTA_ROJA,"Vence en ≤ "&amp;ALERTA_ROJA&amp;" días",IF(O133&lt;=ALERTA_NARANJA,"Vence en ≤ "&amp;ALERTA_NARANJA&amp;" días",IF(O133&lt;=ALERTA_AMARILLA,"Vence en ≤ "&amp;ALERTA_AMARILLA&amp;" días","Vigente")))))))))))</f>
        <v/>
      </c>
      <c r="S133" s="70" t="str">
        <f aca="false">IF(B133="","",IF(R133="Terminado","—",IF(R133="Sin contrato registrado","Registrar el contrato en la hoja Contratos",IF(R133="Por ingresar","Tener el contrato firmado y hacer el alta en AFP, salud, seguro de cesantía y mutual",IF(R133="Renovación registrada",IF(AND(N(K133)&gt;=2,IFERROR(INDEX(C_TIPO,MATCH(B133&amp;"-P"&amp;(G133+1),C_CLAVE,0)),"")="Plazo fijo"),"⚠ El período registrado sería el 3er contrato a plazo: por ley es INDEFINIDO. Registrarlo como Paso a indefinido","Siguiente período ya registrado: verificar que el documento esté firmado"),IF(I133="Indefinido","Sin vencimiento. Cambios de sueldo, cargo o jornada se formalizan con anexo de modificación",IF(R133="Falta fecha de término","Completar la fecha de término en la hoja Contratos",IF(R133="VENCIDO","Si sigue trabajando, por ley el contrato ya es INDEFINIDO (Art. 159 N°4): firmar anexo de paso a indefinido o regularizar el término",IF(I133="Obra o faena","Al concluir la obra: finiquito por Art. 159 N°5 + indemnización de 2,5 días por mes trabajado (Ley 21.122)",IF(N(K133)&gt;=3,"Por ley ya es indefinido (2ª renovación): firmar anexo de paso a indefinido",IF(N(K133)=2,"2° contrato a plazo: NO admite otra renovación a plazo fijo. Pasar a indefinido o terminar al vencimiento (carta dentro de 3 días hábiles)","1er contrato a plazo: renovar (2° plazo fijo), pasar a indefinido o terminar al vencimiento (carta dentro de 3 días hábiles)")))))))))))</f>
        <v/>
      </c>
      <c r="T133" s="70" t="str">
        <f aca="false">IF(B133="","",IF(COUNTIFS(C_ID,B133,C_FIRMADO,"&lt;&gt;Sí")&gt;0,COUNTIFS(C_ID,B133,C_FIRMADO,"&lt;&gt;Sí")&amp;" documento(s) sin firma. ","")&amp;IF(COUNTIFS(C_ID,B133,C_TIPO,"Plazo fijo",C_DEFINE,"Sí")&gt;2,"Más de 2 contratos a plazo: revisar presunción de indefinido. ","")&amp;IF(AND(R133="VENCIDO",LEFT(E133,6)="Activo"),"Trabaja con contrato vencido. ",""))</f>
        <v/>
      </c>
      <c r="U133" s="71" t="str">
        <f aca="false">IF(B133="","",INDEX(T_SUELDO,127))</f>
        <v/>
      </c>
      <c r="V133" s="72" t="str">
        <f aca="false">IF(AND(B133&lt;&gt;"",LEFT(E133,6)="Activo",ISNUMBER(O133),R133&lt;&gt;"Renovación registrada"),O133+ROW()/100000,"")</f>
        <v/>
      </c>
    </row>
    <row r="134" customFormat="false" ht="15" hidden="false" customHeight="false" outlineLevel="0" collapsed="false">
      <c r="B134" s="70" t="str">
        <f aca="false">IFERROR(IF(INDEX(T_ID,128)="","",INDEX(T_ID,128)),"")</f>
        <v/>
      </c>
      <c r="C134" s="70" t="str">
        <f aca="false">IF(B134="","",INDEX(T_NOMBRE,128)&amp;"")</f>
        <v/>
      </c>
      <c r="D134" s="70" t="str">
        <f aca="false">IF(B134="","",INDEX(T_CARGO,128)&amp;"")</f>
        <v/>
      </c>
      <c r="E134" s="70" t="str">
        <f aca="false">IF(B134="","",INDEX(T_ESTADO,128))</f>
        <v/>
      </c>
      <c r="F134" s="75" t="str">
        <f aca="false">IF(B134="","",INDEX(T_INGRESO,128))</f>
        <v/>
      </c>
      <c r="G134" s="70" t="str">
        <f aca="false">IF(B134="","",COUNTIFS(C_ID,B134,C_DEFINE,"Sí",C_INICIO,"&lt;="&amp;FECHA_CORTE))</f>
        <v/>
      </c>
      <c r="H134" s="70" t="str">
        <f aca="false">IF(B134="","",COUNTIFS(C_ID,B134,C_DEFINE,"Sí"))</f>
        <v/>
      </c>
      <c r="I134" s="70" t="str">
        <f aca="false">IF(B134="","",IF(H134=0,"Sin contrato",IFERROR(INDEX(C_TIPO,MATCH(B134&amp;"-P"&amp;MAX(1,G134),C_CLAVE,0))&amp;"","")))</f>
        <v/>
      </c>
      <c r="J134" s="70" t="str">
        <f aca="false">IF(OR(B134="",N(H134)=0),"",IFERROR(INDEX(C_TIPODOC,MATCH(B134&amp;"-P"&amp;MAX(1,G134),C_CLAVE,0))&amp;"",""))</f>
        <v/>
      </c>
      <c r="K134" s="76" t="str">
        <f aca="false">IF(I134="Plazo fijo",IFERROR(INDEX(C_NPF,MATCH(B134&amp;"-P"&amp;MAX(1,G134),C_CLAVE,0)),""),"")</f>
        <v/>
      </c>
      <c r="L134" s="70" t="str">
        <f aca="false">IF(B134="","",COUNTIFS(C_ID,B134,C_TIPODOC,"Anexo de modificación"))</f>
        <v/>
      </c>
      <c r="M134" s="75" t="str">
        <f aca="false">IF(OR(B134="",N(H134)=0),"",IFERROR(INDEX(C_INICIO,MATCH(B134&amp;"-P"&amp;MAX(1,G134),C_CLAVE,0)),""))</f>
        <v/>
      </c>
      <c r="N134" s="75" t="str">
        <f aca="false">IF(OR(I134="Plazo fijo",I134="Obra o faena"),IFERROR(IF(N(INDEX(C_TERMINO,MATCH(B134&amp;"-P"&amp;MAX(1,G134),C_CLAVE,0)))=0,"",INDEX(C_TERMINO,MATCH(B134&amp;"-P"&amp;MAX(1,G134),C_CLAVE,0))),""),"")</f>
        <v/>
      </c>
      <c r="O134" s="77" t="str">
        <f aca="false">IF(AND(ISNUMBER(N134),E134&lt;&gt;"Desvinculado"),N134-FECHA_CORTE,"")</f>
        <v/>
      </c>
      <c r="P134" s="75" t="str">
        <f aca="false">IF(AND(ISNUMBER(N134),E134&lt;&gt;"Desvinculado"),N134-DIAS_DECISION,"")</f>
        <v/>
      </c>
      <c r="Q134" s="75" t="str">
        <f aca="false">IF(OR(B134="",N(H134)&lt;=N(G134)),"",IFERROR(INDEX(C_INICIO,MATCH(B134&amp;"-P"&amp;(G134+1),C_CLAVE,0)),""))</f>
        <v/>
      </c>
      <c r="R134" s="70" t="str">
        <f aca="false">IF(B134="","",IF(E134="Desvinculado","Terminado",IF(H134=0,"Sin contrato registrado",IF(E134="Por ingresar","Por ingresar",IF(ISNUMBER(Q134),"Renovación registrada",IF(I134="Indefinido","Indefinido",IF(NOT(ISNUMBER(O134)),"Falta fecha de término",IF(O134&lt;0,"VENCIDO",IF(O134&lt;=ALERTA_ROJA,"Vence en ≤ "&amp;ALERTA_ROJA&amp;" días",IF(O134&lt;=ALERTA_NARANJA,"Vence en ≤ "&amp;ALERTA_NARANJA&amp;" días",IF(O134&lt;=ALERTA_AMARILLA,"Vence en ≤ "&amp;ALERTA_AMARILLA&amp;" días","Vigente")))))))))))</f>
        <v/>
      </c>
      <c r="S134" s="70" t="str">
        <f aca="false">IF(B134="","",IF(R134="Terminado","—",IF(R134="Sin contrato registrado","Registrar el contrato en la hoja Contratos",IF(R134="Por ingresar","Tener el contrato firmado y hacer el alta en AFP, salud, seguro de cesantía y mutual",IF(R134="Renovación registrada",IF(AND(N(K134)&gt;=2,IFERROR(INDEX(C_TIPO,MATCH(B134&amp;"-P"&amp;(G134+1),C_CLAVE,0)),"")="Plazo fijo"),"⚠ El período registrado sería el 3er contrato a plazo: por ley es INDEFINIDO. Registrarlo como Paso a indefinido","Siguiente período ya registrado: verificar que el documento esté firmado"),IF(I134="Indefinido","Sin vencimiento. Cambios de sueldo, cargo o jornada se formalizan con anexo de modificación",IF(R134="Falta fecha de término","Completar la fecha de término en la hoja Contratos",IF(R134="VENCIDO","Si sigue trabajando, por ley el contrato ya es INDEFINIDO (Art. 159 N°4): firmar anexo de paso a indefinido o regularizar el término",IF(I134="Obra o faena","Al concluir la obra: finiquito por Art. 159 N°5 + indemnización de 2,5 días por mes trabajado (Ley 21.122)",IF(N(K134)&gt;=3,"Por ley ya es indefinido (2ª renovación): firmar anexo de paso a indefinido",IF(N(K134)=2,"2° contrato a plazo: NO admite otra renovación a plazo fijo. Pasar a indefinido o terminar al vencimiento (carta dentro de 3 días hábiles)","1er contrato a plazo: renovar (2° plazo fijo), pasar a indefinido o terminar al vencimiento (carta dentro de 3 días hábiles)")))))))))))</f>
        <v/>
      </c>
      <c r="T134" s="70" t="str">
        <f aca="false">IF(B134="","",IF(COUNTIFS(C_ID,B134,C_FIRMADO,"&lt;&gt;Sí")&gt;0,COUNTIFS(C_ID,B134,C_FIRMADO,"&lt;&gt;Sí")&amp;" documento(s) sin firma. ","")&amp;IF(COUNTIFS(C_ID,B134,C_TIPO,"Plazo fijo",C_DEFINE,"Sí")&gt;2,"Más de 2 contratos a plazo: revisar presunción de indefinido. ","")&amp;IF(AND(R134="VENCIDO",LEFT(E134,6)="Activo"),"Trabaja con contrato vencido. ",""))</f>
        <v/>
      </c>
      <c r="U134" s="71" t="str">
        <f aca="false">IF(B134="","",INDEX(T_SUELDO,128))</f>
        <v/>
      </c>
      <c r="V134" s="72" t="str">
        <f aca="false">IF(AND(B134&lt;&gt;"",LEFT(E134,6)="Activo",ISNUMBER(O134),R134&lt;&gt;"Renovación registrada"),O134+ROW()/100000,"")</f>
        <v/>
      </c>
    </row>
    <row r="135" customFormat="false" ht="15" hidden="false" customHeight="false" outlineLevel="0" collapsed="false">
      <c r="B135" s="70" t="str">
        <f aca="false">IFERROR(IF(INDEX(T_ID,129)="","",INDEX(T_ID,129)),"")</f>
        <v/>
      </c>
      <c r="C135" s="70" t="str">
        <f aca="false">IF(B135="","",INDEX(T_NOMBRE,129)&amp;"")</f>
        <v/>
      </c>
      <c r="D135" s="70" t="str">
        <f aca="false">IF(B135="","",INDEX(T_CARGO,129)&amp;"")</f>
        <v/>
      </c>
      <c r="E135" s="70" t="str">
        <f aca="false">IF(B135="","",INDEX(T_ESTADO,129))</f>
        <v/>
      </c>
      <c r="F135" s="75" t="str">
        <f aca="false">IF(B135="","",INDEX(T_INGRESO,129))</f>
        <v/>
      </c>
      <c r="G135" s="70" t="str">
        <f aca="false">IF(B135="","",COUNTIFS(C_ID,B135,C_DEFINE,"Sí",C_INICIO,"&lt;="&amp;FECHA_CORTE))</f>
        <v/>
      </c>
      <c r="H135" s="70" t="str">
        <f aca="false">IF(B135="","",COUNTIFS(C_ID,B135,C_DEFINE,"Sí"))</f>
        <v/>
      </c>
      <c r="I135" s="70" t="str">
        <f aca="false">IF(B135="","",IF(H135=0,"Sin contrato",IFERROR(INDEX(C_TIPO,MATCH(B135&amp;"-P"&amp;MAX(1,G135),C_CLAVE,0))&amp;"","")))</f>
        <v/>
      </c>
      <c r="J135" s="70" t="str">
        <f aca="false">IF(OR(B135="",N(H135)=0),"",IFERROR(INDEX(C_TIPODOC,MATCH(B135&amp;"-P"&amp;MAX(1,G135),C_CLAVE,0))&amp;"",""))</f>
        <v/>
      </c>
      <c r="K135" s="76" t="str">
        <f aca="false">IF(I135="Plazo fijo",IFERROR(INDEX(C_NPF,MATCH(B135&amp;"-P"&amp;MAX(1,G135),C_CLAVE,0)),""),"")</f>
        <v/>
      </c>
      <c r="L135" s="70" t="str">
        <f aca="false">IF(B135="","",COUNTIFS(C_ID,B135,C_TIPODOC,"Anexo de modificación"))</f>
        <v/>
      </c>
      <c r="M135" s="75" t="str">
        <f aca="false">IF(OR(B135="",N(H135)=0),"",IFERROR(INDEX(C_INICIO,MATCH(B135&amp;"-P"&amp;MAX(1,G135),C_CLAVE,0)),""))</f>
        <v/>
      </c>
      <c r="N135" s="75" t="str">
        <f aca="false">IF(OR(I135="Plazo fijo",I135="Obra o faena"),IFERROR(IF(N(INDEX(C_TERMINO,MATCH(B135&amp;"-P"&amp;MAX(1,G135),C_CLAVE,0)))=0,"",INDEX(C_TERMINO,MATCH(B135&amp;"-P"&amp;MAX(1,G135),C_CLAVE,0))),""),"")</f>
        <v/>
      </c>
      <c r="O135" s="77" t="str">
        <f aca="false">IF(AND(ISNUMBER(N135),E135&lt;&gt;"Desvinculado"),N135-FECHA_CORTE,"")</f>
        <v/>
      </c>
      <c r="P135" s="75" t="str">
        <f aca="false">IF(AND(ISNUMBER(N135),E135&lt;&gt;"Desvinculado"),N135-DIAS_DECISION,"")</f>
        <v/>
      </c>
      <c r="Q135" s="75" t="str">
        <f aca="false">IF(OR(B135="",N(H135)&lt;=N(G135)),"",IFERROR(INDEX(C_INICIO,MATCH(B135&amp;"-P"&amp;(G135+1),C_CLAVE,0)),""))</f>
        <v/>
      </c>
      <c r="R135" s="70" t="str">
        <f aca="false">IF(B135="","",IF(E135="Desvinculado","Terminado",IF(H135=0,"Sin contrato registrado",IF(E135="Por ingresar","Por ingresar",IF(ISNUMBER(Q135),"Renovación registrada",IF(I135="Indefinido","Indefinido",IF(NOT(ISNUMBER(O135)),"Falta fecha de término",IF(O135&lt;0,"VENCIDO",IF(O135&lt;=ALERTA_ROJA,"Vence en ≤ "&amp;ALERTA_ROJA&amp;" días",IF(O135&lt;=ALERTA_NARANJA,"Vence en ≤ "&amp;ALERTA_NARANJA&amp;" días",IF(O135&lt;=ALERTA_AMARILLA,"Vence en ≤ "&amp;ALERTA_AMARILLA&amp;" días","Vigente")))))))))))</f>
        <v/>
      </c>
      <c r="S135" s="70" t="str">
        <f aca="false">IF(B135="","",IF(R135="Terminado","—",IF(R135="Sin contrato registrado","Registrar el contrato en la hoja Contratos",IF(R135="Por ingresar","Tener el contrato firmado y hacer el alta en AFP, salud, seguro de cesantía y mutual",IF(R135="Renovación registrada",IF(AND(N(K135)&gt;=2,IFERROR(INDEX(C_TIPO,MATCH(B135&amp;"-P"&amp;(G135+1),C_CLAVE,0)),"")="Plazo fijo"),"⚠ El período registrado sería el 3er contrato a plazo: por ley es INDEFINIDO. Registrarlo como Paso a indefinido","Siguiente período ya registrado: verificar que el documento esté firmado"),IF(I135="Indefinido","Sin vencimiento. Cambios de sueldo, cargo o jornada se formalizan con anexo de modificación",IF(R135="Falta fecha de término","Completar la fecha de término en la hoja Contratos",IF(R135="VENCIDO","Si sigue trabajando, por ley el contrato ya es INDEFINIDO (Art. 159 N°4): firmar anexo de paso a indefinido o regularizar el término",IF(I135="Obra o faena","Al concluir la obra: finiquito por Art. 159 N°5 + indemnización de 2,5 días por mes trabajado (Ley 21.122)",IF(N(K135)&gt;=3,"Por ley ya es indefinido (2ª renovación): firmar anexo de paso a indefinido",IF(N(K135)=2,"2° contrato a plazo: NO admite otra renovación a plazo fijo. Pasar a indefinido o terminar al vencimiento (carta dentro de 3 días hábiles)","1er contrato a plazo: renovar (2° plazo fijo), pasar a indefinido o terminar al vencimiento (carta dentro de 3 días hábiles)")))))))))))</f>
        <v/>
      </c>
      <c r="T135" s="70" t="str">
        <f aca="false">IF(B135="","",IF(COUNTIFS(C_ID,B135,C_FIRMADO,"&lt;&gt;Sí")&gt;0,COUNTIFS(C_ID,B135,C_FIRMADO,"&lt;&gt;Sí")&amp;" documento(s) sin firma. ","")&amp;IF(COUNTIFS(C_ID,B135,C_TIPO,"Plazo fijo",C_DEFINE,"Sí")&gt;2,"Más de 2 contratos a plazo: revisar presunción de indefinido. ","")&amp;IF(AND(R135="VENCIDO",LEFT(E135,6)="Activo"),"Trabaja con contrato vencido. ",""))</f>
        <v/>
      </c>
      <c r="U135" s="71" t="str">
        <f aca="false">IF(B135="","",INDEX(T_SUELDO,129))</f>
        <v/>
      </c>
      <c r="V135" s="72" t="str">
        <f aca="false">IF(AND(B135&lt;&gt;"",LEFT(E135,6)="Activo",ISNUMBER(O135),R135&lt;&gt;"Renovación registrada"),O135+ROW()/100000,"")</f>
        <v/>
      </c>
    </row>
    <row r="136" customFormat="false" ht="15" hidden="false" customHeight="false" outlineLevel="0" collapsed="false">
      <c r="B136" s="70" t="str">
        <f aca="false">IFERROR(IF(INDEX(T_ID,130)="","",INDEX(T_ID,130)),"")</f>
        <v/>
      </c>
      <c r="C136" s="70" t="str">
        <f aca="false">IF(B136="","",INDEX(T_NOMBRE,130)&amp;"")</f>
        <v/>
      </c>
      <c r="D136" s="70" t="str">
        <f aca="false">IF(B136="","",INDEX(T_CARGO,130)&amp;"")</f>
        <v/>
      </c>
      <c r="E136" s="70" t="str">
        <f aca="false">IF(B136="","",INDEX(T_ESTADO,130))</f>
        <v/>
      </c>
      <c r="F136" s="75" t="str">
        <f aca="false">IF(B136="","",INDEX(T_INGRESO,130))</f>
        <v/>
      </c>
      <c r="G136" s="70" t="str">
        <f aca="false">IF(B136="","",COUNTIFS(C_ID,B136,C_DEFINE,"Sí",C_INICIO,"&lt;="&amp;FECHA_CORTE))</f>
        <v/>
      </c>
      <c r="H136" s="70" t="str">
        <f aca="false">IF(B136="","",COUNTIFS(C_ID,B136,C_DEFINE,"Sí"))</f>
        <v/>
      </c>
      <c r="I136" s="70" t="str">
        <f aca="false">IF(B136="","",IF(H136=0,"Sin contrato",IFERROR(INDEX(C_TIPO,MATCH(B136&amp;"-P"&amp;MAX(1,G136),C_CLAVE,0))&amp;"","")))</f>
        <v/>
      </c>
      <c r="J136" s="70" t="str">
        <f aca="false">IF(OR(B136="",N(H136)=0),"",IFERROR(INDEX(C_TIPODOC,MATCH(B136&amp;"-P"&amp;MAX(1,G136),C_CLAVE,0))&amp;"",""))</f>
        <v/>
      </c>
      <c r="K136" s="76" t="str">
        <f aca="false">IF(I136="Plazo fijo",IFERROR(INDEX(C_NPF,MATCH(B136&amp;"-P"&amp;MAX(1,G136),C_CLAVE,0)),""),"")</f>
        <v/>
      </c>
      <c r="L136" s="70" t="str">
        <f aca="false">IF(B136="","",COUNTIFS(C_ID,B136,C_TIPODOC,"Anexo de modificación"))</f>
        <v/>
      </c>
      <c r="M136" s="75" t="str">
        <f aca="false">IF(OR(B136="",N(H136)=0),"",IFERROR(INDEX(C_INICIO,MATCH(B136&amp;"-P"&amp;MAX(1,G136),C_CLAVE,0)),""))</f>
        <v/>
      </c>
      <c r="N136" s="75" t="str">
        <f aca="false">IF(OR(I136="Plazo fijo",I136="Obra o faena"),IFERROR(IF(N(INDEX(C_TERMINO,MATCH(B136&amp;"-P"&amp;MAX(1,G136),C_CLAVE,0)))=0,"",INDEX(C_TERMINO,MATCH(B136&amp;"-P"&amp;MAX(1,G136),C_CLAVE,0))),""),"")</f>
        <v/>
      </c>
      <c r="O136" s="77" t="str">
        <f aca="false">IF(AND(ISNUMBER(N136),E136&lt;&gt;"Desvinculado"),N136-FECHA_CORTE,"")</f>
        <v/>
      </c>
      <c r="P136" s="75" t="str">
        <f aca="false">IF(AND(ISNUMBER(N136),E136&lt;&gt;"Desvinculado"),N136-DIAS_DECISION,"")</f>
        <v/>
      </c>
      <c r="Q136" s="75" t="str">
        <f aca="false">IF(OR(B136="",N(H136)&lt;=N(G136)),"",IFERROR(INDEX(C_INICIO,MATCH(B136&amp;"-P"&amp;(G136+1),C_CLAVE,0)),""))</f>
        <v/>
      </c>
      <c r="R136" s="70" t="str">
        <f aca="false">IF(B136="","",IF(E136="Desvinculado","Terminado",IF(H136=0,"Sin contrato registrado",IF(E136="Por ingresar","Por ingresar",IF(ISNUMBER(Q136),"Renovación registrada",IF(I136="Indefinido","Indefinido",IF(NOT(ISNUMBER(O136)),"Falta fecha de término",IF(O136&lt;0,"VENCIDO",IF(O136&lt;=ALERTA_ROJA,"Vence en ≤ "&amp;ALERTA_ROJA&amp;" días",IF(O136&lt;=ALERTA_NARANJA,"Vence en ≤ "&amp;ALERTA_NARANJA&amp;" días",IF(O136&lt;=ALERTA_AMARILLA,"Vence en ≤ "&amp;ALERTA_AMARILLA&amp;" días","Vigente")))))))))))</f>
        <v/>
      </c>
      <c r="S136" s="70" t="str">
        <f aca="false">IF(B136="","",IF(R136="Terminado","—",IF(R136="Sin contrato registrado","Registrar el contrato en la hoja Contratos",IF(R136="Por ingresar","Tener el contrato firmado y hacer el alta en AFP, salud, seguro de cesantía y mutual",IF(R136="Renovación registrada",IF(AND(N(K136)&gt;=2,IFERROR(INDEX(C_TIPO,MATCH(B136&amp;"-P"&amp;(G136+1),C_CLAVE,0)),"")="Plazo fijo"),"⚠ El período registrado sería el 3er contrato a plazo: por ley es INDEFINIDO. Registrarlo como Paso a indefinido","Siguiente período ya registrado: verificar que el documento esté firmado"),IF(I136="Indefinido","Sin vencimiento. Cambios de sueldo, cargo o jornada se formalizan con anexo de modificación",IF(R136="Falta fecha de término","Completar la fecha de término en la hoja Contratos",IF(R136="VENCIDO","Si sigue trabajando, por ley el contrato ya es INDEFINIDO (Art. 159 N°4): firmar anexo de paso a indefinido o regularizar el término",IF(I136="Obra o faena","Al concluir la obra: finiquito por Art. 159 N°5 + indemnización de 2,5 días por mes trabajado (Ley 21.122)",IF(N(K136)&gt;=3,"Por ley ya es indefinido (2ª renovación): firmar anexo de paso a indefinido",IF(N(K136)=2,"2° contrato a plazo: NO admite otra renovación a plazo fijo. Pasar a indefinido o terminar al vencimiento (carta dentro de 3 días hábiles)","1er contrato a plazo: renovar (2° plazo fijo), pasar a indefinido o terminar al vencimiento (carta dentro de 3 días hábiles)")))))))))))</f>
        <v/>
      </c>
      <c r="T136" s="70" t="str">
        <f aca="false">IF(B136="","",IF(COUNTIFS(C_ID,B136,C_FIRMADO,"&lt;&gt;Sí")&gt;0,COUNTIFS(C_ID,B136,C_FIRMADO,"&lt;&gt;Sí")&amp;" documento(s) sin firma. ","")&amp;IF(COUNTIFS(C_ID,B136,C_TIPO,"Plazo fijo",C_DEFINE,"Sí")&gt;2,"Más de 2 contratos a plazo: revisar presunción de indefinido. ","")&amp;IF(AND(R136="VENCIDO",LEFT(E136,6)="Activo"),"Trabaja con contrato vencido. ",""))</f>
        <v/>
      </c>
      <c r="U136" s="71" t="str">
        <f aca="false">IF(B136="","",INDEX(T_SUELDO,130))</f>
        <v/>
      </c>
      <c r="V136" s="72" t="str">
        <f aca="false">IF(AND(B136&lt;&gt;"",LEFT(E136,6)="Activo",ISNUMBER(O136),R136&lt;&gt;"Renovación registrada"),O136+ROW()/100000,"")</f>
        <v/>
      </c>
    </row>
    <row r="137" customFormat="false" ht="15" hidden="false" customHeight="false" outlineLevel="0" collapsed="false">
      <c r="B137" s="70" t="str">
        <f aca="false">IFERROR(IF(INDEX(T_ID,131)="","",INDEX(T_ID,131)),"")</f>
        <v/>
      </c>
      <c r="C137" s="70" t="str">
        <f aca="false">IF(B137="","",INDEX(T_NOMBRE,131)&amp;"")</f>
        <v/>
      </c>
      <c r="D137" s="70" t="str">
        <f aca="false">IF(B137="","",INDEX(T_CARGO,131)&amp;"")</f>
        <v/>
      </c>
      <c r="E137" s="70" t="str">
        <f aca="false">IF(B137="","",INDEX(T_ESTADO,131))</f>
        <v/>
      </c>
      <c r="F137" s="75" t="str">
        <f aca="false">IF(B137="","",INDEX(T_INGRESO,131))</f>
        <v/>
      </c>
      <c r="G137" s="70" t="str">
        <f aca="false">IF(B137="","",COUNTIFS(C_ID,B137,C_DEFINE,"Sí",C_INICIO,"&lt;="&amp;FECHA_CORTE))</f>
        <v/>
      </c>
      <c r="H137" s="70" t="str">
        <f aca="false">IF(B137="","",COUNTIFS(C_ID,B137,C_DEFINE,"Sí"))</f>
        <v/>
      </c>
      <c r="I137" s="70" t="str">
        <f aca="false">IF(B137="","",IF(H137=0,"Sin contrato",IFERROR(INDEX(C_TIPO,MATCH(B137&amp;"-P"&amp;MAX(1,G137),C_CLAVE,0))&amp;"","")))</f>
        <v/>
      </c>
      <c r="J137" s="70" t="str">
        <f aca="false">IF(OR(B137="",N(H137)=0),"",IFERROR(INDEX(C_TIPODOC,MATCH(B137&amp;"-P"&amp;MAX(1,G137),C_CLAVE,0))&amp;"",""))</f>
        <v/>
      </c>
      <c r="K137" s="76" t="str">
        <f aca="false">IF(I137="Plazo fijo",IFERROR(INDEX(C_NPF,MATCH(B137&amp;"-P"&amp;MAX(1,G137),C_CLAVE,0)),""),"")</f>
        <v/>
      </c>
      <c r="L137" s="70" t="str">
        <f aca="false">IF(B137="","",COUNTIFS(C_ID,B137,C_TIPODOC,"Anexo de modificación"))</f>
        <v/>
      </c>
      <c r="M137" s="75" t="str">
        <f aca="false">IF(OR(B137="",N(H137)=0),"",IFERROR(INDEX(C_INICIO,MATCH(B137&amp;"-P"&amp;MAX(1,G137),C_CLAVE,0)),""))</f>
        <v/>
      </c>
      <c r="N137" s="75" t="str">
        <f aca="false">IF(OR(I137="Plazo fijo",I137="Obra o faena"),IFERROR(IF(N(INDEX(C_TERMINO,MATCH(B137&amp;"-P"&amp;MAX(1,G137),C_CLAVE,0)))=0,"",INDEX(C_TERMINO,MATCH(B137&amp;"-P"&amp;MAX(1,G137),C_CLAVE,0))),""),"")</f>
        <v/>
      </c>
      <c r="O137" s="77" t="str">
        <f aca="false">IF(AND(ISNUMBER(N137),E137&lt;&gt;"Desvinculado"),N137-FECHA_CORTE,"")</f>
        <v/>
      </c>
      <c r="P137" s="75" t="str">
        <f aca="false">IF(AND(ISNUMBER(N137),E137&lt;&gt;"Desvinculado"),N137-DIAS_DECISION,"")</f>
        <v/>
      </c>
      <c r="Q137" s="75" t="str">
        <f aca="false">IF(OR(B137="",N(H137)&lt;=N(G137)),"",IFERROR(INDEX(C_INICIO,MATCH(B137&amp;"-P"&amp;(G137+1),C_CLAVE,0)),""))</f>
        <v/>
      </c>
      <c r="R137" s="70" t="str">
        <f aca="false">IF(B137="","",IF(E137="Desvinculado","Terminado",IF(H137=0,"Sin contrato registrado",IF(E137="Por ingresar","Por ingresar",IF(ISNUMBER(Q137),"Renovación registrada",IF(I137="Indefinido","Indefinido",IF(NOT(ISNUMBER(O137)),"Falta fecha de término",IF(O137&lt;0,"VENCIDO",IF(O137&lt;=ALERTA_ROJA,"Vence en ≤ "&amp;ALERTA_ROJA&amp;" días",IF(O137&lt;=ALERTA_NARANJA,"Vence en ≤ "&amp;ALERTA_NARANJA&amp;" días",IF(O137&lt;=ALERTA_AMARILLA,"Vence en ≤ "&amp;ALERTA_AMARILLA&amp;" días","Vigente")))))))))))</f>
        <v/>
      </c>
      <c r="S137" s="70" t="str">
        <f aca="false">IF(B137="","",IF(R137="Terminado","—",IF(R137="Sin contrato registrado","Registrar el contrato en la hoja Contratos",IF(R137="Por ingresar","Tener el contrato firmado y hacer el alta en AFP, salud, seguro de cesantía y mutual",IF(R137="Renovación registrada",IF(AND(N(K137)&gt;=2,IFERROR(INDEX(C_TIPO,MATCH(B137&amp;"-P"&amp;(G137+1),C_CLAVE,0)),"")="Plazo fijo"),"⚠ El período registrado sería el 3er contrato a plazo: por ley es INDEFINIDO. Registrarlo como Paso a indefinido","Siguiente período ya registrado: verificar que el documento esté firmado"),IF(I137="Indefinido","Sin vencimiento. Cambios de sueldo, cargo o jornada se formalizan con anexo de modificación",IF(R137="Falta fecha de término","Completar la fecha de término en la hoja Contratos",IF(R137="VENCIDO","Si sigue trabajando, por ley el contrato ya es INDEFINIDO (Art. 159 N°4): firmar anexo de paso a indefinido o regularizar el término",IF(I137="Obra o faena","Al concluir la obra: finiquito por Art. 159 N°5 + indemnización de 2,5 días por mes trabajado (Ley 21.122)",IF(N(K137)&gt;=3,"Por ley ya es indefinido (2ª renovación): firmar anexo de paso a indefinido",IF(N(K137)=2,"2° contrato a plazo: NO admite otra renovación a plazo fijo. Pasar a indefinido o terminar al vencimiento (carta dentro de 3 días hábiles)","1er contrato a plazo: renovar (2° plazo fijo), pasar a indefinido o terminar al vencimiento (carta dentro de 3 días hábiles)")))))))))))</f>
        <v/>
      </c>
      <c r="T137" s="70" t="str">
        <f aca="false">IF(B137="","",IF(COUNTIFS(C_ID,B137,C_FIRMADO,"&lt;&gt;Sí")&gt;0,COUNTIFS(C_ID,B137,C_FIRMADO,"&lt;&gt;Sí")&amp;" documento(s) sin firma. ","")&amp;IF(COUNTIFS(C_ID,B137,C_TIPO,"Plazo fijo",C_DEFINE,"Sí")&gt;2,"Más de 2 contratos a plazo: revisar presunción de indefinido. ","")&amp;IF(AND(R137="VENCIDO",LEFT(E137,6)="Activo"),"Trabaja con contrato vencido. ",""))</f>
        <v/>
      </c>
      <c r="U137" s="71" t="str">
        <f aca="false">IF(B137="","",INDEX(T_SUELDO,131))</f>
        <v/>
      </c>
      <c r="V137" s="72" t="str">
        <f aca="false">IF(AND(B137&lt;&gt;"",LEFT(E137,6)="Activo",ISNUMBER(O137),R137&lt;&gt;"Renovación registrada"),O137+ROW()/100000,"")</f>
        <v/>
      </c>
    </row>
    <row r="138" customFormat="false" ht="15" hidden="false" customHeight="false" outlineLevel="0" collapsed="false">
      <c r="B138" s="70" t="str">
        <f aca="false">IFERROR(IF(INDEX(T_ID,132)="","",INDEX(T_ID,132)),"")</f>
        <v/>
      </c>
      <c r="C138" s="70" t="str">
        <f aca="false">IF(B138="","",INDEX(T_NOMBRE,132)&amp;"")</f>
        <v/>
      </c>
      <c r="D138" s="70" t="str">
        <f aca="false">IF(B138="","",INDEX(T_CARGO,132)&amp;"")</f>
        <v/>
      </c>
      <c r="E138" s="70" t="str">
        <f aca="false">IF(B138="","",INDEX(T_ESTADO,132))</f>
        <v/>
      </c>
      <c r="F138" s="75" t="str">
        <f aca="false">IF(B138="","",INDEX(T_INGRESO,132))</f>
        <v/>
      </c>
      <c r="G138" s="70" t="str">
        <f aca="false">IF(B138="","",COUNTIFS(C_ID,B138,C_DEFINE,"Sí",C_INICIO,"&lt;="&amp;FECHA_CORTE))</f>
        <v/>
      </c>
      <c r="H138" s="70" t="str">
        <f aca="false">IF(B138="","",COUNTIFS(C_ID,B138,C_DEFINE,"Sí"))</f>
        <v/>
      </c>
      <c r="I138" s="70" t="str">
        <f aca="false">IF(B138="","",IF(H138=0,"Sin contrato",IFERROR(INDEX(C_TIPO,MATCH(B138&amp;"-P"&amp;MAX(1,G138),C_CLAVE,0))&amp;"","")))</f>
        <v/>
      </c>
      <c r="J138" s="70" t="str">
        <f aca="false">IF(OR(B138="",N(H138)=0),"",IFERROR(INDEX(C_TIPODOC,MATCH(B138&amp;"-P"&amp;MAX(1,G138),C_CLAVE,0))&amp;"",""))</f>
        <v/>
      </c>
      <c r="K138" s="76" t="str">
        <f aca="false">IF(I138="Plazo fijo",IFERROR(INDEX(C_NPF,MATCH(B138&amp;"-P"&amp;MAX(1,G138),C_CLAVE,0)),""),"")</f>
        <v/>
      </c>
      <c r="L138" s="70" t="str">
        <f aca="false">IF(B138="","",COUNTIFS(C_ID,B138,C_TIPODOC,"Anexo de modificación"))</f>
        <v/>
      </c>
      <c r="M138" s="75" t="str">
        <f aca="false">IF(OR(B138="",N(H138)=0),"",IFERROR(INDEX(C_INICIO,MATCH(B138&amp;"-P"&amp;MAX(1,G138),C_CLAVE,0)),""))</f>
        <v/>
      </c>
      <c r="N138" s="75" t="str">
        <f aca="false">IF(OR(I138="Plazo fijo",I138="Obra o faena"),IFERROR(IF(N(INDEX(C_TERMINO,MATCH(B138&amp;"-P"&amp;MAX(1,G138),C_CLAVE,0)))=0,"",INDEX(C_TERMINO,MATCH(B138&amp;"-P"&amp;MAX(1,G138),C_CLAVE,0))),""),"")</f>
        <v/>
      </c>
      <c r="O138" s="77" t="str">
        <f aca="false">IF(AND(ISNUMBER(N138),E138&lt;&gt;"Desvinculado"),N138-FECHA_CORTE,"")</f>
        <v/>
      </c>
      <c r="P138" s="75" t="str">
        <f aca="false">IF(AND(ISNUMBER(N138),E138&lt;&gt;"Desvinculado"),N138-DIAS_DECISION,"")</f>
        <v/>
      </c>
      <c r="Q138" s="75" t="str">
        <f aca="false">IF(OR(B138="",N(H138)&lt;=N(G138)),"",IFERROR(INDEX(C_INICIO,MATCH(B138&amp;"-P"&amp;(G138+1),C_CLAVE,0)),""))</f>
        <v/>
      </c>
      <c r="R138" s="70" t="str">
        <f aca="false">IF(B138="","",IF(E138="Desvinculado","Terminado",IF(H138=0,"Sin contrato registrado",IF(E138="Por ingresar","Por ingresar",IF(ISNUMBER(Q138),"Renovación registrada",IF(I138="Indefinido","Indefinido",IF(NOT(ISNUMBER(O138)),"Falta fecha de término",IF(O138&lt;0,"VENCIDO",IF(O138&lt;=ALERTA_ROJA,"Vence en ≤ "&amp;ALERTA_ROJA&amp;" días",IF(O138&lt;=ALERTA_NARANJA,"Vence en ≤ "&amp;ALERTA_NARANJA&amp;" días",IF(O138&lt;=ALERTA_AMARILLA,"Vence en ≤ "&amp;ALERTA_AMARILLA&amp;" días","Vigente")))))))))))</f>
        <v/>
      </c>
      <c r="S138" s="70" t="str">
        <f aca="false">IF(B138="","",IF(R138="Terminado","—",IF(R138="Sin contrato registrado","Registrar el contrato en la hoja Contratos",IF(R138="Por ingresar","Tener el contrato firmado y hacer el alta en AFP, salud, seguro de cesantía y mutual",IF(R138="Renovación registrada",IF(AND(N(K138)&gt;=2,IFERROR(INDEX(C_TIPO,MATCH(B138&amp;"-P"&amp;(G138+1),C_CLAVE,0)),"")="Plazo fijo"),"⚠ El período registrado sería el 3er contrato a plazo: por ley es INDEFINIDO. Registrarlo como Paso a indefinido","Siguiente período ya registrado: verificar que el documento esté firmado"),IF(I138="Indefinido","Sin vencimiento. Cambios de sueldo, cargo o jornada se formalizan con anexo de modificación",IF(R138="Falta fecha de término","Completar la fecha de término en la hoja Contratos",IF(R138="VENCIDO","Si sigue trabajando, por ley el contrato ya es INDEFINIDO (Art. 159 N°4): firmar anexo de paso a indefinido o regularizar el término",IF(I138="Obra o faena","Al concluir la obra: finiquito por Art. 159 N°5 + indemnización de 2,5 días por mes trabajado (Ley 21.122)",IF(N(K138)&gt;=3,"Por ley ya es indefinido (2ª renovación): firmar anexo de paso a indefinido",IF(N(K138)=2,"2° contrato a plazo: NO admite otra renovación a plazo fijo. Pasar a indefinido o terminar al vencimiento (carta dentro de 3 días hábiles)","1er contrato a plazo: renovar (2° plazo fijo), pasar a indefinido o terminar al vencimiento (carta dentro de 3 días hábiles)")))))))))))</f>
        <v/>
      </c>
      <c r="T138" s="70" t="str">
        <f aca="false">IF(B138="","",IF(COUNTIFS(C_ID,B138,C_FIRMADO,"&lt;&gt;Sí")&gt;0,COUNTIFS(C_ID,B138,C_FIRMADO,"&lt;&gt;Sí")&amp;" documento(s) sin firma. ","")&amp;IF(COUNTIFS(C_ID,B138,C_TIPO,"Plazo fijo",C_DEFINE,"Sí")&gt;2,"Más de 2 contratos a plazo: revisar presunción de indefinido. ","")&amp;IF(AND(R138="VENCIDO",LEFT(E138,6)="Activo"),"Trabaja con contrato vencido. ",""))</f>
        <v/>
      </c>
      <c r="U138" s="71" t="str">
        <f aca="false">IF(B138="","",INDEX(T_SUELDO,132))</f>
        <v/>
      </c>
      <c r="V138" s="72" t="str">
        <f aca="false">IF(AND(B138&lt;&gt;"",LEFT(E138,6)="Activo",ISNUMBER(O138),R138&lt;&gt;"Renovación registrada"),O138+ROW()/100000,"")</f>
        <v/>
      </c>
    </row>
    <row r="139" customFormat="false" ht="15" hidden="false" customHeight="false" outlineLevel="0" collapsed="false">
      <c r="B139" s="70" t="str">
        <f aca="false">IFERROR(IF(INDEX(T_ID,133)="","",INDEX(T_ID,133)),"")</f>
        <v/>
      </c>
      <c r="C139" s="70" t="str">
        <f aca="false">IF(B139="","",INDEX(T_NOMBRE,133)&amp;"")</f>
        <v/>
      </c>
      <c r="D139" s="70" t="str">
        <f aca="false">IF(B139="","",INDEX(T_CARGO,133)&amp;"")</f>
        <v/>
      </c>
      <c r="E139" s="70" t="str">
        <f aca="false">IF(B139="","",INDEX(T_ESTADO,133))</f>
        <v/>
      </c>
      <c r="F139" s="75" t="str">
        <f aca="false">IF(B139="","",INDEX(T_INGRESO,133))</f>
        <v/>
      </c>
      <c r="G139" s="70" t="str">
        <f aca="false">IF(B139="","",COUNTIFS(C_ID,B139,C_DEFINE,"Sí",C_INICIO,"&lt;="&amp;FECHA_CORTE))</f>
        <v/>
      </c>
      <c r="H139" s="70" t="str">
        <f aca="false">IF(B139="","",COUNTIFS(C_ID,B139,C_DEFINE,"Sí"))</f>
        <v/>
      </c>
      <c r="I139" s="70" t="str">
        <f aca="false">IF(B139="","",IF(H139=0,"Sin contrato",IFERROR(INDEX(C_TIPO,MATCH(B139&amp;"-P"&amp;MAX(1,G139),C_CLAVE,0))&amp;"","")))</f>
        <v/>
      </c>
      <c r="J139" s="70" t="str">
        <f aca="false">IF(OR(B139="",N(H139)=0),"",IFERROR(INDEX(C_TIPODOC,MATCH(B139&amp;"-P"&amp;MAX(1,G139),C_CLAVE,0))&amp;"",""))</f>
        <v/>
      </c>
      <c r="K139" s="76" t="str">
        <f aca="false">IF(I139="Plazo fijo",IFERROR(INDEX(C_NPF,MATCH(B139&amp;"-P"&amp;MAX(1,G139),C_CLAVE,0)),""),"")</f>
        <v/>
      </c>
      <c r="L139" s="70" t="str">
        <f aca="false">IF(B139="","",COUNTIFS(C_ID,B139,C_TIPODOC,"Anexo de modificación"))</f>
        <v/>
      </c>
      <c r="M139" s="75" t="str">
        <f aca="false">IF(OR(B139="",N(H139)=0),"",IFERROR(INDEX(C_INICIO,MATCH(B139&amp;"-P"&amp;MAX(1,G139),C_CLAVE,0)),""))</f>
        <v/>
      </c>
      <c r="N139" s="75" t="str">
        <f aca="false">IF(OR(I139="Plazo fijo",I139="Obra o faena"),IFERROR(IF(N(INDEX(C_TERMINO,MATCH(B139&amp;"-P"&amp;MAX(1,G139),C_CLAVE,0)))=0,"",INDEX(C_TERMINO,MATCH(B139&amp;"-P"&amp;MAX(1,G139),C_CLAVE,0))),""),"")</f>
        <v/>
      </c>
      <c r="O139" s="77" t="str">
        <f aca="false">IF(AND(ISNUMBER(N139),E139&lt;&gt;"Desvinculado"),N139-FECHA_CORTE,"")</f>
        <v/>
      </c>
      <c r="P139" s="75" t="str">
        <f aca="false">IF(AND(ISNUMBER(N139),E139&lt;&gt;"Desvinculado"),N139-DIAS_DECISION,"")</f>
        <v/>
      </c>
      <c r="Q139" s="75" t="str">
        <f aca="false">IF(OR(B139="",N(H139)&lt;=N(G139)),"",IFERROR(INDEX(C_INICIO,MATCH(B139&amp;"-P"&amp;(G139+1),C_CLAVE,0)),""))</f>
        <v/>
      </c>
      <c r="R139" s="70" t="str">
        <f aca="false">IF(B139="","",IF(E139="Desvinculado","Terminado",IF(H139=0,"Sin contrato registrado",IF(E139="Por ingresar","Por ingresar",IF(ISNUMBER(Q139),"Renovación registrada",IF(I139="Indefinido","Indefinido",IF(NOT(ISNUMBER(O139)),"Falta fecha de término",IF(O139&lt;0,"VENCIDO",IF(O139&lt;=ALERTA_ROJA,"Vence en ≤ "&amp;ALERTA_ROJA&amp;" días",IF(O139&lt;=ALERTA_NARANJA,"Vence en ≤ "&amp;ALERTA_NARANJA&amp;" días",IF(O139&lt;=ALERTA_AMARILLA,"Vence en ≤ "&amp;ALERTA_AMARILLA&amp;" días","Vigente")))))))))))</f>
        <v/>
      </c>
      <c r="S139" s="70" t="str">
        <f aca="false">IF(B139="","",IF(R139="Terminado","—",IF(R139="Sin contrato registrado","Registrar el contrato en la hoja Contratos",IF(R139="Por ingresar","Tener el contrato firmado y hacer el alta en AFP, salud, seguro de cesantía y mutual",IF(R139="Renovación registrada",IF(AND(N(K139)&gt;=2,IFERROR(INDEX(C_TIPO,MATCH(B139&amp;"-P"&amp;(G139+1),C_CLAVE,0)),"")="Plazo fijo"),"⚠ El período registrado sería el 3er contrato a plazo: por ley es INDEFINIDO. Registrarlo como Paso a indefinido","Siguiente período ya registrado: verificar que el documento esté firmado"),IF(I139="Indefinido","Sin vencimiento. Cambios de sueldo, cargo o jornada se formalizan con anexo de modificación",IF(R139="Falta fecha de término","Completar la fecha de término en la hoja Contratos",IF(R139="VENCIDO","Si sigue trabajando, por ley el contrato ya es INDEFINIDO (Art. 159 N°4): firmar anexo de paso a indefinido o regularizar el término",IF(I139="Obra o faena","Al concluir la obra: finiquito por Art. 159 N°5 + indemnización de 2,5 días por mes trabajado (Ley 21.122)",IF(N(K139)&gt;=3,"Por ley ya es indefinido (2ª renovación): firmar anexo de paso a indefinido",IF(N(K139)=2,"2° contrato a plazo: NO admite otra renovación a plazo fijo. Pasar a indefinido o terminar al vencimiento (carta dentro de 3 días hábiles)","1er contrato a plazo: renovar (2° plazo fijo), pasar a indefinido o terminar al vencimiento (carta dentro de 3 días hábiles)")))))))))))</f>
        <v/>
      </c>
      <c r="T139" s="70" t="str">
        <f aca="false">IF(B139="","",IF(COUNTIFS(C_ID,B139,C_FIRMADO,"&lt;&gt;Sí")&gt;0,COUNTIFS(C_ID,B139,C_FIRMADO,"&lt;&gt;Sí")&amp;" documento(s) sin firma. ","")&amp;IF(COUNTIFS(C_ID,B139,C_TIPO,"Plazo fijo",C_DEFINE,"Sí")&gt;2,"Más de 2 contratos a plazo: revisar presunción de indefinido. ","")&amp;IF(AND(R139="VENCIDO",LEFT(E139,6)="Activo"),"Trabaja con contrato vencido. ",""))</f>
        <v/>
      </c>
      <c r="U139" s="71" t="str">
        <f aca="false">IF(B139="","",INDEX(T_SUELDO,133))</f>
        <v/>
      </c>
      <c r="V139" s="72" t="str">
        <f aca="false">IF(AND(B139&lt;&gt;"",LEFT(E139,6)="Activo",ISNUMBER(O139),R139&lt;&gt;"Renovación registrada"),O139+ROW()/100000,"")</f>
        <v/>
      </c>
    </row>
    <row r="140" customFormat="false" ht="15" hidden="false" customHeight="false" outlineLevel="0" collapsed="false">
      <c r="B140" s="70" t="str">
        <f aca="false">IFERROR(IF(INDEX(T_ID,134)="","",INDEX(T_ID,134)),"")</f>
        <v/>
      </c>
      <c r="C140" s="70" t="str">
        <f aca="false">IF(B140="","",INDEX(T_NOMBRE,134)&amp;"")</f>
        <v/>
      </c>
      <c r="D140" s="70" t="str">
        <f aca="false">IF(B140="","",INDEX(T_CARGO,134)&amp;"")</f>
        <v/>
      </c>
      <c r="E140" s="70" t="str">
        <f aca="false">IF(B140="","",INDEX(T_ESTADO,134))</f>
        <v/>
      </c>
      <c r="F140" s="75" t="str">
        <f aca="false">IF(B140="","",INDEX(T_INGRESO,134))</f>
        <v/>
      </c>
      <c r="G140" s="70" t="str">
        <f aca="false">IF(B140="","",COUNTIFS(C_ID,B140,C_DEFINE,"Sí",C_INICIO,"&lt;="&amp;FECHA_CORTE))</f>
        <v/>
      </c>
      <c r="H140" s="70" t="str">
        <f aca="false">IF(B140="","",COUNTIFS(C_ID,B140,C_DEFINE,"Sí"))</f>
        <v/>
      </c>
      <c r="I140" s="70" t="str">
        <f aca="false">IF(B140="","",IF(H140=0,"Sin contrato",IFERROR(INDEX(C_TIPO,MATCH(B140&amp;"-P"&amp;MAX(1,G140),C_CLAVE,0))&amp;"","")))</f>
        <v/>
      </c>
      <c r="J140" s="70" t="str">
        <f aca="false">IF(OR(B140="",N(H140)=0),"",IFERROR(INDEX(C_TIPODOC,MATCH(B140&amp;"-P"&amp;MAX(1,G140),C_CLAVE,0))&amp;"",""))</f>
        <v/>
      </c>
      <c r="K140" s="76" t="str">
        <f aca="false">IF(I140="Plazo fijo",IFERROR(INDEX(C_NPF,MATCH(B140&amp;"-P"&amp;MAX(1,G140),C_CLAVE,0)),""),"")</f>
        <v/>
      </c>
      <c r="L140" s="70" t="str">
        <f aca="false">IF(B140="","",COUNTIFS(C_ID,B140,C_TIPODOC,"Anexo de modificación"))</f>
        <v/>
      </c>
      <c r="M140" s="75" t="str">
        <f aca="false">IF(OR(B140="",N(H140)=0),"",IFERROR(INDEX(C_INICIO,MATCH(B140&amp;"-P"&amp;MAX(1,G140),C_CLAVE,0)),""))</f>
        <v/>
      </c>
      <c r="N140" s="75" t="str">
        <f aca="false">IF(OR(I140="Plazo fijo",I140="Obra o faena"),IFERROR(IF(N(INDEX(C_TERMINO,MATCH(B140&amp;"-P"&amp;MAX(1,G140),C_CLAVE,0)))=0,"",INDEX(C_TERMINO,MATCH(B140&amp;"-P"&amp;MAX(1,G140),C_CLAVE,0))),""),"")</f>
        <v/>
      </c>
      <c r="O140" s="77" t="str">
        <f aca="false">IF(AND(ISNUMBER(N140),E140&lt;&gt;"Desvinculado"),N140-FECHA_CORTE,"")</f>
        <v/>
      </c>
      <c r="P140" s="75" t="str">
        <f aca="false">IF(AND(ISNUMBER(N140),E140&lt;&gt;"Desvinculado"),N140-DIAS_DECISION,"")</f>
        <v/>
      </c>
      <c r="Q140" s="75" t="str">
        <f aca="false">IF(OR(B140="",N(H140)&lt;=N(G140)),"",IFERROR(INDEX(C_INICIO,MATCH(B140&amp;"-P"&amp;(G140+1),C_CLAVE,0)),""))</f>
        <v/>
      </c>
      <c r="R140" s="70" t="str">
        <f aca="false">IF(B140="","",IF(E140="Desvinculado","Terminado",IF(H140=0,"Sin contrato registrado",IF(E140="Por ingresar","Por ingresar",IF(ISNUMBER(Q140),"Renovación registrada",IF(I140="Indefinido","Indefinido",IF(NOT(ISNUMBER(O140)),"Falta fecha de término",IF(O140&lt;0,"VENCIDO",IF(O140&lt;=ALERTA_ROJA,"Vence en ≤ "&amp;ALERTA_ROJA&amp;" días",IF(O140&lt;=ALERTA_NARANJA,"Vence en ≤ "&amp;ALERTA_NARANJA&amp;" días",IF(O140&lt;=ALERTA_AMARILLA,"Vence en ≤ "&amp;ALERTA_AMARILLA&amp;" días","Vigente")))))))))))</f>
        <v/>
      </c>
      <c r="S140" s="70" t="str">
        <f aca="false">IF(B140="","",IF(R140="Terminado","—",IF(R140="Sin contrato registrado","Registrar el contrato en la hoja Contratos",IF(R140="Por ingresar","Tener el contrato firmado y hacer el alta en AFP, salud, seguro de cesantía y mutual",IF(R140="Renovación registrada",IF(AND(N(K140)&gt;=2,IFERROR(INDEX(C_TIPO,MATCH(B140&amp;"-P"&amp;(G140+1),C_CLAVE,0)),"")="Plazo fijo"),"⚠ El período registrado sería el 3er contrato a plazo: por ley es INDEFINIDO. Registrarlo como Paso a indefinido","Siguiente período ya registrado: verificar que el documento esté firmado"),IF(I140="Indefinido","Sin vencimiento. Cambios de sueldo, cargo o jornada se formalizan con anexo de modificación",IF(R140="Falta fecha de término","Completar la fecha de término en la hoja Contratos",IF(R140="VENCIDO","Si sigue trabajando, por ley el contrato ya es INDEFINIDO (Art. 159 N°4): firmar anexo de paso a indefinido o regularizar el término",IF(I140="Obra o faena","Al concluir la obra: finiquito por Art. 159 N°5 + indemnización de 2,5 días por mes trabajado (Ley 21.122)",IF(N(K140)&gt;=3,"Por ley ya es indefinido (2ª renovación): firmar anexo de paso a indefinido",IF(N(K140)=2,"2° contrato a plazo: NO admite otra renovación a plazo fijo. Pasar a indefinido o terminar al vencimiento (carta dentro de 3 días hábiles)","1er contrato a plazo: renovar (2° plazo fijo), pasar a indefinido o terminar al vencimiento (carta dentro de 3 días hábiles)")))))))))))</f>
        <v/>
      </c>
      <c r="T140" s="70" t="str">
        <f aca="false">IF(B140="","",IF(COUNTIFS(C_ID,B140,C_FIRMADO,"&lt;&gt;Sí")&gt;0,COUNTIFS(C_ID,B140,C_FIRMADO,"&lt;&gt;Sí")&amp;" documento(s) sin firma. ","")&amp;IF(COUNTIFS(C_ID,B140,C_TIPO,"Plazo fijo",C_DEFINE,"Sí")&gt;2,"Más de 2 contratos a plazo: revisar presunción de indefinido. ","")&amp;IF(AND(R140="VENCIDO",LEFT(E140,6)="Activo"),"Trabaja con contrato vencido. ",""))</f>
        <v/>
      </c>
      <c r="U140" s="71" t="str">
        <f aca="false">IF(B140="","",INDEX(T_SUELDO,134))</f>
        <v/>
      </c>
      <c r="V140" s="72" t="str">
        <f aca="false">IF(AND(B140&lt;&gt;"",LEFT(E140,6)="Activo",ISNUMBER(O140),R140&lt;&gt;"Renovación registrada"),O140+ROW()/100000,"")</f>
        <v/>
      </c>
    </row>
    <row r="141" customFormat="false" ht="15" hidden="false" customHeight="false" outlineLevel="0" collapsed="false">
      <c r="B141" s="70" t="str">
        <f aca="false">IFERROR(IF(INDEX(T_ID,135)="","",INDEX(T_ID,135)),"")</f>
        <v/>
      </c>
      <c r="C141" s="70" t="str">
        <f aca="false">IF(B141="","",INDEX(T_NOMBRE,135)&amp;"")</f>
        <v/>
      </c>
      <c r="D141" s="70" t="str">
        <f aca="false">IF(B141="","",INDEX(T_CARGO,135)&amp;"")</f>
        <v/>
      </c>
      <c r="E141" s="70" t="str">
        <f aca="false">IF(B141="","",INDEX(T_ESTADO,135))</f>
        <v/>
      </c>
      <c r="F141" s="75" t="str">
        <f aca="false">IF(B141="","",INDEX(T_INGRESO,135))</f>
        <v/>
      </c>
      <c r="G141" s="70" t="str">
        <f aca="false">IF(B141="","",COUNTIFS(C_ID,B141,C_DEFINE,"Sí",C_INICIO,"&lt;="&amp;FECHA_CORTE))</f>
        <v/>
      </c>
      <c r="H141" s="70" t="str">
        <f aca="false">IF(B141="","",COUNTIFS(C_ID,B141,C_DEFINE,"Sí"))</f>
        <v/>
      </c>
      <c r="I141" s="70" t="str">
        <f aca="false">IF(B141="","",IF(H141=0,"Sin contrato",IFERROR(INDEX(C_TIPO,MATCH(B141&amp;"-P"&amp;MAX(1,G141),C_CLAVE,0))&amp;"","")))</f>
        <v/>
      </c>
      <c r="J141" s="70" t="str">
        <f aca="false">IF(OR(B141="",N(H141)=0),"",IFERROR(INDEX(C_TIPODOC,MATCH(B141&amp;"-P"&amp;MAX(1,G141),C_CLAVE,0))&amp;"",""))</f>
        <v/>
      </c>
      <c r="K141" s="76" t="str">
        <f aca="false">IF(I141="Plazo fijo",IFERROR(INDEX(C_NPF,MATCH(B141&amp;"-P"&amp;MAX(1,G141),C_CLAVE,0)),""),"")</f>
        <v/>
      </c>
      <c r="L141" s="70" t="str">
        <f aca="false">IF(B141="","",COUNTIFS(C_ID,B141,C_TIPODOC,"Anexo de modificación"))</f>
        <v/>
      </c>
      <c r="M141" s="75" t="str">
        <f aca="false">IF(OR(B141="",N(H141)=0),"",IFERROR(INDEX(C_INICIO,MATCH(B141&amp;"-P"&amp;MAX(1,G141),C_CLAVE,0)),""))</f>
        <v/>
      </c>
      <c r="N141" s="75" t="str">
        <f aca="false">IF(OR(I141="Plazo fijo",I141="Obra o faena"),IFERROR(IF(N(INDEX(C_TERMINO,MATCH(B141&amp;"-P"&amp;MAX(1,G141),C_CLAVE,0)))=0,"",INDEX(C_TERMINO,MATCH(B141&amp;"-P"&amp;MAX(1,G141),C_CLAVE,0))),""),"")</f>
        <v/>
      </c>
      <c r="O141" s="77" t="str">
        <f aca="false">IF(AND(ISNUMBER(N141),E141&lt;&gt;"Desvinculado"),N141-FECHA_CORTE,"")</f>
        <v/>
      </c>
      <c r="P141" s="75" t="str">
        <f aca="false">IF(AND(ISNUMBER(N141),E141&lt;&gt;"Desvinculado"),N141-DIAS_DECISION,"")</f>
        <v/>
      </c>
      <c r="Q141" s="75" t="str">
        <f aca="false">IF(OR(B141="",N(H141)&lt;=N(G141)),"",IFERROR(INDEX(C_INICIO,MATCH(B141&amp;"-P"&amp;(G141+1),C_CLAVE,0)),""))</f>
        <v/>
      </c>
      <c r="R141" s="70" t="str">
        <f aca="false">IF(B141="","",IF(E141="Desvinculado","Terminado",IF(H141=0,"Sin contrato registrado",IF(E141="Por ingresar","Por ingresar",IF(ISNUMBER(Q141),"Renovación registrada",IF(I141="Indefinido","Indefinido",IF(NOT(ISNUMBER(O141)),"Falta fecha de término",IF(O141&lt;0,"VENCIDO",IF(O141&lt;=ALERTA_ROJA,"Vence en ≤ "&amp;ALERTA_ROJA&amp;" días",IF(O141&lt;=ALERTA_NARANJA,"Vence en ≤ "&amp;ALERTA_NARANJA&amp;" días",IF(O141&lt;=ALERTA_AMARILLA,"Vence en ≤ "&amp;ALERTA_AMARILLA&amp;" días","Vigente")))))))))))</f>
        <v/>
      </c>
      <c r="S141" s="70" t="str">
        <f aca="false">IF(B141="","",IF(R141="Terminado","—",IF(R141="Sin contrato registrado","Registrar el contrato en la hoja Contratos",IF(R141="Por ingresar","Tener el contrato firmado y hacer el alta en AFP, salud, seguro de cesantía y mutual",IF(R141="Renovación registrada",IF(AND(N(K141)&gt;=2,IFERROR(INDEX(C_TIPO,MATCH(B141&amp;"-P"&amp;(G141+1),C_CLAVE,0)),"")="Plazo fijo"),"⚠ El período registrado sería el 3er contrato a plazo: por ley es INDEFINIDO. Registrarlo como Paso a indefinido","Siguiente período ya registrado: verificar que el documento esté firmado"),IF(I141="Indefinido","Sin vencimiento. Cambios de sueldo, cargo o jornada se formalizan con anexo de modificación",IF(R141="Falta fecha de término","Completar la fecha de término en la hoja Contratos",IF(R141="VENCIDO","Si sigue trabajando, por ley el contrato ya es INDEFINIDO (Art. 159 N°4): firmar anexo de paso a indefinido o regularizar el término",IF(I141="Obra o faena","Al concluir la obra: finiquito por Art. 159 N°5 + indemnización de 2,5 días por mes trabajado (Ley 21.122)",IF(N(K141)&gt;=3,"Por ley ya es indefinido (2ª renovación): firmar anexo de paso a indefinido",IF(N(K141)=2,"2° contrato a plazo: NO admite otra renovación a plazo fijo. Pasar a indefinido o terminar al vencimiento (carta dentro de 3 días hábiles)","1er contrato a plazo: renovar (2° plazo fijo), pasar a indefinido o terminar al vencimiento (carta dentro de 3 días hábiles)")))))))))))</f>
        <v/>
      </c>
      <c r="T141" s="70" t="str">
        <f aca="false">IF(B141="","",IF(COUNTIFS(C_ID,B141,C_FIRMADO,"&lt;&gt;Sí")&gt;0,COUNTIFS(C_ID,B141,C_FIRMADO,"&lt;&gt;Sí")&amp;" documento(s) sin firma. ","")&amp;IF(COUNTIFS(C_ID,B141,C_TIPO,"Plazo fijo",C_DEFINE,"Sí")&gt;2,"Más de 2 contratos a plazo: revisar presunción de indefinido. ","")&amp;IF(AND(R141="VENCIDO",LEFT(E141,6)="Activo"),"Trabaja con contrato vencido. ",""))</f>
        <v/>
      </c>
      <c r="U141" s="71" t="str">
        <f aca="false">IF(B141="","",INDEX(T_SUELDO,135))</f>
        <v/>
      </c>
      <c r="V141" s="72" t="str">
        <f aca="false">IF(AND(B141&lt;&gt;"",LEFT(E141,6)="Activo",ISNUMBER(O141),R141&lt;&gt;"Renovación registrada"),O141+ROW()/100000,"")</f>
        <v/>
      </c>
    </row>
    <row r="142" customFormat="false" ht="15" hidden="false" customHeight="false" outlineLevel="0" collapsed="false">
      <c r="B142" s="70" t="str">
        <f aca="false">IFERROR(IF(INDEX(T_ID,136)="","",INDEX(T_ID,136)),"")</f>
        <v/>
      </c>
      <c r="C142" s="70" t="str">
        <f aca="false">IF(B142="","",INDEX(T_NOMBRE,136)&amp;"")</f>
        <v/>
      </c>
      <c r="D142" s="70" t="str">
        <f aca="false">IF(B142="","",INDEX(T_CARGO,136)&amp;"")</f>
        <v/>
      </c>
      <c r="E142" s="70" t="str">
        <f aca="false">IF(B142="","",INDEX(T_ESTADO,136))</f>
        <v/>
      </c>
      <c r="F142" s="75" t="str">
        <f aca="false">IF(B142="","",INDEX(T_INGRESO,136))</f>
        <v/>
      </c>
      <c r="G142" s="70" t="str">
        <f aca="false">IF(B142="","",COUNTIFS(C_ID,B142,C_DEFINE,"Sí",C_INICIO,"&lt;="&amp;FECHA_CORTE))</f>
        <v/>
      </c>
      <c r="H142" s="70" t="str">
        <f aca="false">IF(B142="","",COUNTIFS(C_ID,B142,C_DEFINE,"Sí"))</f>
        <v/>
      </c>
      <c r="I142" s="70" t="str">
        <f aca="false">IF(B142="","",IF(H142=0,"Sin contrato",IFERROR(INDEX(C_TIPO,MATCH(B142&amp;"-P"&amp;MAX(1,G142),C_CLAVE,0))&amp;"","")))</f>
        <v/>
      </c>
      <c r="J142" s="70" t="str">
        <f aca="false">IF(OR(B142="",N(H142)=0),"",IFERROR(INDEX(C_TIPODOC,MATCH(B142&amp;"-P"&amp;MAX(1,G142),C_CLAVE,0))&amp;"",""))</f>
        <v/>
      </c>
      <c r="K142" s="76" t="str">
        <f aca="false">IF(I142="Plazo fijo",IFERROR(INDEX(C_NPF,MATCH(B142&amp;"-P"&amp;MAX(1,G142),C_CLAVE,0)),""),"")</f>
        <v/>
      </c>
      <c r="L142" s="70" t="str">
        <f aca="false">IF(B142="","",COUNTIFS(C_ID,B142,C_TIPODOC,"Anexo de modificación"))</f>
        <v/>
      </c>
      <c r="M142" s="75" t="str">
        <f aca="false">IF(OR(B142="",N(H142)=0),"",IFERROR(INDEX(C_INICIO,MATCH(B142&amp;"-P"&amp;MAX(1,G142),C_CLAVE,0)),""))</f>
        <v/>
      </c>
      <c r="N142" s="75" t="str">
        <f aca="false">IF(OR(I142="Plazo fijo",I142="Obra o faena"),IFERROR(IF(N(INDEX(C_TERMINO,MATCH(B142&amp;"-P"&amp;MAX(1,G142),C_CLAVE,0)))=0,"",INDEX(C_TERMINO,MATCH(B142&amp;"-P"&amp;MAX(1,G142),C_CLAVE,0))),""),"")</f>
        <v/>
      </c>
      <c r="O142" s="77" t="str">
        <f aca="false">IF(AND(ISNUMBER(N142),E142&lt;&gt;"Desvinculado"),N142-FECHA_CORTE,"")</f>
        <v/>
      </c>
      <c r="P142" s="75" t="str">
        <f aca="false">IF(AND(ISNUMBER(N142),E142&lt;&gt;"Desvinculado"),N142-DIAS_DECISION,"")</f>
        <v/>
      </c>
      <c r="Q142" s="75" t="str">
        <f aca="false">IF(OR(B142="",N(H142)&lt;=N(G142)),"",IFERROR(INDEX(C_INICIO,MATCH(B142&amp;"-P"&amp;(G142+1),C_CLAVE,0)),""))</f>
        <v/>
      </c>
      <c r="R142" s="70" t="str">
        <f aca="false">IF(B142="","",IF(E142="Desvinculado","Terminado",IF(H142=0,"Sin contrato registrado",IF(E142="Por ingresar","Por ingresar",IF(ISNUMBER(Q142),"Renovación registrada",IF(I142="Indefinido","Indefinido",IF(NOT(ISNUMBER(O142)),"Falta fecha de término",IF(O142&lt;0,"VENCIDO",IF(O142&lt;=ALERTA_ROJA,"Vence en ≤ "&amp;ALERTA_ROJA&amp;" días",IF(O142&lt;=ALERTA_NARANJA,"Vence en ≤ "&amp;ALERTA_NARANJA&amp;" días",IF(O142&lt;=ALERTA_AMARILLA,"Vence en ≤ "&amp;ALERTA_AMARILLA&amp;" días","Vigente")))))))))))</f>
        <v/>
      </c>
      <c r="S142" s="70" t="str">
        <f aca="false">IF(B142="","",IF(R142="Terminado","—",IF(R142="Sin contrato registrado","Registrar el contrato en la hoja Contratos",IF(R142="Por ingresar","Tener el contrato firmado y hacer el alta en AFP, salud, seguro de cesantía y mutual",IF(R142="Renovación registrada",IF(AND(N(K142)&gt;=2,IFERROR(INDEX(C_TIPO,MATCH(B142&amp;"-P"&amp;(G142+1),C_CLAVE,0)),"")="Plazo fijo"),"⚠ El período registrado sería el 3er contrato a plazo: por ley es INDEFINIDO. Registrarlo como Paso a indefinido","Siguiente período ya registrado: verificar que el documento esté firmado"),IF(I142="Indefinido","Sin vencimiento. Cambios de sueldo, cargo o jornada se formalizan con anexo de modificación",IF(R142="Falta fecha de término","Completar la fecha de término en la hoja Contratos",IF(R142="VENCIDO","Si sigue trabajando, por ley el contrato ya es INDEFINIDO (Art. 159 N°4): firmar anexo de paso a indefinido o regularizar el término",IF(I142="Obra o faena","Al concluir la obra: finiquito por Art. 159 N°5 + indemnización de 2,5 días por mes trabajado (Ley 21.122)",IF(N(K142)&gt;=3,"Por ley ya es indefinido (2ª renovación): firmar anexo de paso a indefinido",IF(N(K142)=2,"2° contrato a plazo: NO admite otra renovación a plazo fijo. Pasar a indefinido o terminar al vencimiento (carta dentro de 3 días hábiles)","1er contrato a plazo: renovar (2° plazo fijo), pasar a indefinido o terminar al vencimiento (carta dentro de 3 días hábiles)")))))))))))</f>
        <v/>
      </c>
      <c r="T142" s="70" t="str">
        <f aca="false">IF(B142="","",IF(COUNTIFS(C_ID,B142,C_FIRMADO,"&lt;&gt;Sí")&gt;0,COUNTIFS(C_ID,B142,C_FIRMADO,"&lt;&gt;Sí")&amp;" documento(s) sin firma. ","")&amp;IF(COUNTIFS(C_ID,B142,C_TIPO,"Plazo fijo",C_DEFINE,"Sí")&gt;2,"Más de 2 contratos a plazo: revisar presunción de indefinido. ","")&amp;IF(AND(R142="VENCIDO",LEFT(E142,6)="Activo"),"Trabaja con contrato vencido. ",""))</f>
        <v/>
      </c>
      <c r="U142" s="71" t="str">
        <f aca="false">IF(B142="","",INDEX(T_SUELDO,136))</f>
        <v/>
      </c>
      <c r="V142" s="72" t="str">
        <f aca="false">IF(AND(B142&lt;&gt;"",LEFT(E142,6)="Activo",ISNUMBER(O142),R142&lt;&gt;"Renovación registrada"),O142+ROW()/100000,"")</f>
        <v/>
      </c>
    </row>
    <row r="143" customFormat="false" ht="15" hidden="false" customHeight="false" outlineLevel="0" collapsed="false">
      <c r="B143" s="70" t="str">
        <f aca="false">IFERROR(IF(INDEX(T_ID,137)="","",INDEX(T_ID,137)),"")</f>
        <v/>
      </c>
      <c r="C143" s="70" t="str">
        <f aca="false">IF(B143="","",INDEX(T_NOMBRE,137)&amp;"")</f>
        <v/>
      </c>
      <c r="D143" s="70" t="str">
        <f aca="false">IF(B143="","",INDEX(T_CARGO,137)&amp;"")</f>
        <v/>
      </c>
      <c r="E143" s="70" t="str">
        <f aca="false">IF(B143="","",INDEX(T_ESTADO,137))</f>
        <v/>
      </c>
      <c r="F143" s="75" t="str">
        <f aca="false">IF(B143="","",INDEX(T_INGRESO,137))</f>
        <v/>
      </c>
      <c r="G143" s="70" t="str">
        <f aca="false">IF(B143="","",COUNTIFS(C_ID,B143,C_DEFINE,"Sí",C_INICIO,"&lt;="&amp;FECHA_CORTE))</f>
        <v/>
      </c>
      <c r="H143" s="70" t="str">
        <f aca="false">IF(B143="","",COUNTIFS(C_ID,B143,C_DEFINE,"Sí"))</f>
        <v/>
      </c>
      <c r="I143" s="70" t="str">
        <f aca="false">IF(B143="","",IF(H143=0,"Sin contrato",IFERROR(INDEX(C_TIPO,MATCH(B143&amp;"-P"&amp;MAX(1,G143),C_CLAVE,0))&amp;"","")))</f>
        <v/>
      </c>
      <c r="J143" s="70" t="str">
        <f aca="false">IF(OR(B143="",N(H143)=0),"",IFERROR(INDEX(C_TIPODOC,MATCH(B143&amp;"-P"&amp;MAX(1,G143),C_CLAVE,0))&amp;"",""))</f>
        <v/>
      </c>
      <c r="K143" s="76" t="str">
        <f aca="false">IF(I143="Plazo fijo",IFERROR(INDEX(C_NPF,MATCH(B143&amp;"-P"&amp;MAX(1,G143),C_CLAVE,0)),""),"")</f>
        <v/>
      </c>
      <c r="L143" s="70" t="str">
        <f aca="false">IF(B143="","",COUNTIFS(C_ID,B143,C_TIPODOC,"Anexo de modificación"))</f>
        <v/>
      </c>
      <c r="M143" s="75" t="str">
        <f aca="false">IF(OR(B143="",N(H143)=0),"",IFERROR(INDEX(C_INICIO,MATCH(B143&amp;"-P"&amp;MAX(1,G143),C_CLAVE,0)),""))</f>
        <v/>
      </c>
      <c r="N143" s="75" t="str">
        <f aca="false">IF(OR(I143="Plazo fijo",I143="Obra o faena"),IFERROR(IF(N(INDEX(C_TERMINO,MATCH(B143&amp;"-P"&amp;MAX(1,G143),C_CLAVE,0)))=0,"",INDEX(C_TERMINO,MATCH(B143&amp;"-P"&amp;MAX(1,G143),C_CLAVE,0))),""),"")</f>
        <v/>
      </c>
      <c r="O143" s="77" t="str">
        <f aca="false">IF(AND(ISNUMBER(N143),E143&lt;&gt;"Desvinculado"),N143-FECHA_CORTE,"")</f>
        <v/>
      </c>
      <c r="P143" s="75" t="str">
        <f aca="false">IF(AND(ISNUMBER(N143),E143&lt;&gt;"Desvinculado"),N143-DIAS_DECISION,"")</f>
        <v/>
      </c>
      <c r="Q143" s="75" t="str">
        <f aca="false">IF(OR(B143="",N(H143)&lt;=N(G143)),"",IFERROR(INDEX(C_INICIO,MATCH(B143&amp;"-P"&amp;(G143+1),C_CLAVE,0)),""))</f>
        <v/>
      </c>
      <c r="R143" s="70" t="str">
        <f aca="false">IF(B143="","",IF(E143="Desvinculado","Terminado",IF(H143=0,"Sin contrato registrado",IF(E143="Por ingresar","Por ingresar",IF(ISNUMBER(Q143),"Renovación registrada",IF(I143="Indefinido","Indefinido",IF(NOT(ISNUMBER(O143)),"Falta fecha de término",IF(O143&lt;0,"VENCIDO",IF(O143&lt;=ALERTA_ROJA,"Vence en ≤ "&amp;ALERTA_ROJA&amp;" días",IF(O143&lt;=ALERTA_NARANJA,"Vence en ≤ "&amp;ALERTA_NARANJA&amp;" días",IF(O143&lt;=ALERTA_AMARILLA,"Vence en ≤ "&amp;ALERTA_AMARILLA&amp;" días","Vigente")))))))))))</f>
        <v/>
      </c>
      <c r="S143" s="70" t="str">
        <f aca="false">IF(B143="","",IF(R143="Terminado","—",IF(R143="Sin contrato registrado","Registrar el contrato en la hoja Contratos",IF(R143="Por ingresar","Tener el contrato firmado y hacer el alta en AFP, salud, seguro de cesantía y mutual",IF(R143="Renovación registrada",IF(AND(N(K143)&gt;=2,IFERROR(INDEX(C_TIPO,MATCH(B143&amp;"-P"&amp;(G143+1),C_CLAVE,0)),"")="Plazo fijo"),"⚠ El período registrado sería el 3er contrato a plazo: por ley es INDEFINIDO. Registrarlo como Paso a indefinido","Siguiente período ya registrado: verificar que el documento esté firmado"),IF(I143="Indefinido","Sin vencimiento. Cambios de sueldo, cargo o jornada se formalizan con anexo de modificación",IF(R143="Falta fecha de término","Completar la fecha de término en la hoja Contratos",IF(R143="VENCIDO","Si sigue trabajando, por ley el contrato ya es INDEFINIDO (Art. 159 N°4): firmar anexo de paso a indefinido o regularizar el término",IF(I143="Obra o faena","Al concluir la obra: finiquito por Art. 159 N°5 + indemnización de 2,5 días por mes trabajado (Ley 21.122)",IF(N(K143)&gt;=3,"Por ley ya es indefinido (2ª renovación): firmar anexo de paso a indefinido",IF(N(K143)=2,"2° contrato a plazo: NO admite otra renovación a plazo fijo. Pasar a indefinido o terminar al vencimiento (carta dentro de 3 días hábiles)","1er contrato a plazo: renovar (2° plazo fijo), pasar a indefinido o terminar al vencimiento (carta dentro de 3 días hábiles)")))))))))))</f>
        <v/>
      </c>
      <c r="T143" s="70" t="str">
        <f aca="false">IF(B143="","",IF(COUNTIFS(C_ID,B143,C_FIRMADO,"&lt;&gt;Sí")&gt;0,COUNTIFS(C_ID,B143,C_FIRMADO,"&lt;&gt;Sí")&amp;" documento(s) sin firma. ","")&amp;IF(COUNTIFS(C_ID,B143,C_TIPO,"Plazo fijo",C_DEFINE,"Sí")&gt;2,"Más de 2 contratos a plazo: revisar presunción de indefinido. ","")&amp;IF(AND(R143="VENCIDO",LEFT(E143,6)="Activo"),"Trabaja con contrato vencido. ",""))</f>
        <v/>
      </c>
      <c r="U143" s="71" t="str">
        <f aca="false">IF(B143="","",INDEX(T_SUELDO,137))</f>
        <v/>
      </c>
      <c r="V143" s="72" t="str">
        <f aca="false">IF(AND(B143&lt;&gt;"",LEFT(E143,6)="Activo",ISNUMBER(O143),R143&lt;&gt;"Renovación registrada"),O143+ROW()/100000,"")</f>
        <v/>
      </c>
    </row>
    <row r="144" customFormat="false" ht="15" hidden="false" customHeight="false" outlineLevel="0" collapsed="false">
      <c r="B144" s="70" t="str">
        <f aca="false">IFERROR(IF(INDEX(T_ID,138)="","",INDEX(T_ID,138)),"")</f>
        <v/>
      </c>
      <c r="C144" s="70" t="str">
        <f aca="false">IF(B144="","",INDEX(T_NOMBRE,138)&amp;"")</f>
        <v/>
      </c>
      <c r="D144" s="70" t="str">
        <f aca="false">IF(B144="","",INDEX(T_CARGO,138)&amp;"")</f>
        <v/>
      </c>
      <c r="E144" s="70" t="str">
        <f aca="false">IF(B144="","",INDEX(T_ESTADO,138))</f>
        <v/>
      </c>
      <c r="F144" s="75" t="str">
        <f aca="false">IF(B144="","",INDEX(T_INGRESO,138))</f>
        <v/>
      </c>
      <c r="G144" s="70" t="str">
        <f aca="false">IF(B144="","",COUNTIFS(C_ID,B144,C_DEFINE,"Sí",C_INICIO,"&lt;="&amp;FECHA_CORTE))</f>
        <v/>
      </c>
      <c r="H144" s="70" t="str">
        <f aca="false">IF(B144="","",COUNTIFS(C_ID,B144,C_DEFINE,"Sí"))</f>
        <v/>
      </c>
      <c r="I144" s="70" t="str">
        <f aca="false">IF(B144="","",IF(H144=0,"Sin contrato",IFERROR(INDEX(C_TIPO,MATCH(B144&amp;"-P"&amp;MAX(1,G144),C_CLAVE,0))&amp;"","")))</f>
        <v/>
      </c>
      <c r="J144" s="70" t="str">
        <f aca="false">IF(OR(B144="",N(H144)=0),"",IFERROR(INDEX(C_TIPODOC,MATCH(B144&amp;"-P"&amp;MAX(1,G144),C_CLAVE,0))&amp;"",""))</f>
        <v/>
      </c>
      <c r="K144" s="76" t="str">
        <f aca="false">IF(I144="Plazo fijo",IFERROR(INDEX(C_NPF,MATCH(B144&amp;"-P"&amp;MAX(1,G144),C_CLAVE,0)),""),"")</f>
        <v/>
      </c>
      <c r="L144" s="70" t="str">
        <f aca="false">IF(B144="","",COUNTIFS(C_ID,B144,C_TIPODOC,"Anexo de modificación"))</f>
        <v/>
      </c>
      <c r="M144" s="75" t="str">
        <f aca="false">IF(OR(B144="",N(H144)=0),"",IFERROR(INDEX(C_INICIO,MATCH(B144&amp;"-P"&amp;MAX(1,G144),C_CLAVE,0)),""))</f>
        <v/>
      </c>
      <c r="N144" s="75" t="str">
        <f aca="false">IF(OR(I144="Plazo fijo",I144="Obra o faena"),IFERROR(IF(N(INDEX(C_TERMINO,MATCH(B144&amp;"-P"&amp;MAX(1,G144),C_CLAVE,0)))=0,"",INDEX(C_TERMINO,MATCH(B144&amp;"-P"&amp;MAX(1,G144),C_CLAVE,0))),""),"")</f>
        <v/>
      </c>
      <c r="O144" s="77" t="str">
        <f aca="false">IF(AND(ISNUMBER(N144),E144&lt;&gt;"Desvinculado"),N144-FECHA_CORTE,"")</f>
        <v/>
      </c>
      <c r="P144" s="75" t="str">
        <f aca="false">IF(AND(ISNUMBER(N144),E144&lt;&gt;"Desvinculado"),N144-DIAS_DECISION,"")</f>
        <v/>
      </c>
      <c r="Q144" s="75" t="str">
        <f aca="false">IF(OR(B144="",N(H144)&lt;=N(G144)),"",IFERROR(INDEX(C_INICIO,MATCH(B144&amp;"-P"&amp;(G144+1),C_CLAVE,0)),""))</f>
        <v/>
      </c>
      <c r="R144" s="70" t="str">
        <f aca="false">IF(B144="","",IF(E144="Desvinculado","Terminado",IF(H144=0,"Sin contrato registrado",IF(E144="Por ingresar","Por ingresar",IF(ISNUMBER(Q144),"Renovación registrada",IF(I144="Indefinido","Indefinido",IF(NOT(ISNUMBER(O144)),"Falta fecha de término",IF(O144&lt;0,"VENCIDO",IF(O144&lt;=ALERTA_ROJA,"Vence en ≤ "&amp;ALERTA_ROJA&amp;" días",IF(O144&lt;=ALERTA_NARANJA,"Vence en ≤ "&amp;ALERTA_NARANJA&amp;" días",IF(O144&lt;=ALERTA_AMARILLA,"Vence en ≤ "&amp;ALERTA_AMARILLA&amp;" días","Vigente")))))))))))</f>
        <v/>
      </c>
      <c r="S144" s="70" t="str">
        <f aca="false">IF(B144="","",IF(R144="Terminado","—",IF(R144="Sin contrato registrado","Registrar el contrato en la hoja Contratos",IF(R144="Por ingresar","Tener el contrato firmado y hacer el alta en AFP, salud, seguro de cesantía y mutual",IF(R144="Renovación registrada",IF(AND(N(K144)&gt;=2,IFERROR(INDEX(C_TIPO,MATCH(B144&amp;"-P"&amp;(G144+1),C_CLAVE,0)),"")="Plazo fijo"),"⚠ El período registrado sería el 3er contrato a plazo: por ley es INDEFINIDO. Registrarlo como Paso a indefinido","Siguiente período ya registrado: verificar que el documento esté firmado"),IF(I144="Indefinido","Sin vencimiento. Cambios de sueldo, cargo o jornada se formalizan con anexo de modificación",IF(R144="Falta fecha de término","Completar la fecha de término en la hoja Contratos",IF(R144="VENCIDO","Si sigue trabajando, por ley el contrato ya es INDEFINIDO (Art. 159 N°4): firmar anexo de paso a indefinido o regularizar el término",IF(I144="Obra o faena","Al concluir la obra: finiquito por Art. 159 N°5 + indemnización de 2,5 días por mes trabajado (Ley 21.122)",IF(N(K144)&gt;=3,"Por ley ya es indefinido (2ª renovación): firmar anexo de paso a indefinido",IF(N(K144)=2,"2° contrato a plazo: NO admite otra renovación a plazo fijo. Pasar a indefinido o terminar al vencimiento (carta dentro de 3 días hábiles)","1er contrato a plazo: renovar (2° plazo fijo), pasar a indefinido o terminar al vencimiento (carta dentro de 3 días hábiles)")))))))))))</f>
        <v/>
      </c>
      <c r="T144" s="70" t="str">
        <f aca="false">IF(B144="","",IF(COUNTIFS(C_ID,B144,C_FIRMADO,"&lt;&gt;Sí")&gt;0,COUNTIFS(C_ID,B144,C_FIRMADO,"&lt;&gt;Sí")&amp;" documento(s) sin firma. ","")&amp;IF(COUNTIFS(C_ID,B144,C_TIPO,"Plazo fijo",C_DEFINE,"Sí")&gt;2,"Más de 2 contratos a plazo: revisar presunción de indefinido. ","")&amp;IF(AND(R144="VENCIDO",LEFT(E144,6)="Activo"),"Trabaja con contrato vencido. ",""))</f>
        <v/>
      </c>
      <c r="U144" s="71" t="str">
        <f aca="false">IF(B144="","",INDEX(T_SUELDO,138))</f>
        <v/>
      </c>
      <c r="V144" s="72" t="str">
        <f aca="false">IF(AND(B144&lt;&gt;"",LEFT(E144,6)="Activo",ISNUMBER(O144),R144&lt;&gt;"Renovación registrada"),O144+ROW()/100000,"")</f>
        <v/>
      </c>
    </row>
    <row r="145" customFormat="false" ht="15" hidden="false" customHeight="false" outlineLevel="0" collapsed="false">
      <c r="B145" s="70" t="str">
        <f aca="false">IFERROR(IF(INDEX(T_ID,139)="","",INDEX(T_ID,139)),"")</f>
        <v/>
      </c>
      <c r="C145" s="70" t="str">
        <f aca="false">IF(B145="","",INDEX(T_NOMBRE,139)&amp;"")</f>
        <v/>
      </c>
      <c r="D145" s="70" t="str">
        <f aca="false">IF(B145="","",INDEX(T_CARGO,139)&amp;"")</f>
        <v/>
      </c>
      <c r="E145" s="70" t="str">
        <f aca="false">IF(B145="","",INDEX(T_ESTADO,139))</f>
        <v/>
      </c>
      <c r="F145" s="75" t="str">
        <f aca="false">IF(B145="","",INDEX(T_INGRESO,139))</f>
        <v/>
      </c>
      <c r="G145" s="70" t="str">
        <f aca="false">IF(B145="","",COUNTIFS(C_ID,B145,C_DEFINE,"Sí",C_INICIO,"&lt;="&amp;FECHA_CORTE))</f>
        <v/>
      </c>
      <c r="H145" s="70" t="str">
        <f aca="false">IF(B145="","",COUNTIFS(C_ID,B145,C_DEFINE,"Sí"))</f>
        <v/>
      </c>
      <c r="I145" s="70" t="str">
        <f aca="false">IF(B145="","",IF(H145=0,"Sin contrato",IFERROR(INDEX(C_TIPO,MATCH(B145&amp;"-P"&amp;MAX(1,G145),C_CLAVE,0))&amp;"","")))</f>
        <v/>
      </c>
      <c r="J145" s="70" t="str">
        <f aca="false">IF(OR(B145="",N(H145)=0),"",IFERROR(INDEX(C_TIPODOC,MATCH(B145&amp;"-P"&amp;MAX(1,G145),C_CLAVE,0))&amp;"",""))</f>
        <v/>
      </c>
      <c r="K145" s="76" t="str">
        <f aca="false">IF(I145="Plazo fijo",IFERROR(INDEX(C_NPF,MATCH(B145&amp;"-P"&amp;MAX(1,G145),C_CLAVE,0)),""),"")</f>
        <v/>
      </c>
      <c r="L145" s="70" t="str">
        <f aca="false">IF(B145="","",COUNTIFS(C_ID,B145,C_TIPODOC,"Anexo de modificación"))</f>
        <v/>
      </c>
      <c r="M145" s="75" t="str">
        <f aca="false">IF(OR(B145="",N(H145)=0),"",IFERROR(INDEX(C_INICIO,MATCH(B145&amp;"-P"&amp;MAX(1,G145),C_CLAVE,0)),""))</f>
        <v/>
      </c>
      <c r="N145" s="75" t="str">
        <f aca="false">IF(OR(I145="Plazo fijo",I145="Obra o faena"),IFERROR(IF(N(INDEX(C_TERMINO,MATCH(B145&amp;"-P"&amp;MAX(1,G145),C_CLAVE,0)))=0,"",INDEX(C_TERMINO,MATCH(B145&amp;"-P"&amp;MAX(1,G145),C_CLAVE,0))),""),"")</f>
        <v/>
      </c>
      <c r="O145" s="77" t="str">
        <f aca="false">IF(AND(ISNUMBER(N145),E145&lt;&gt;"Desvinculado"),N145-FECHA_CORTE,"")</f>
        <v/>
      </c>
      <c r="P145" s="75" t="str">
        <f aca="false">IF(AND(ISNUMBER(N145),E145&lt;&gt;"Desvinculado"),N145-DIAS_DECISION,"")</f>
        <v/>
      </c>
      <c r="Q145" s="75" t="str">
        <f aca="false">IF(OR(B145="",N(H145)&lt;=N(G145)),"",IFERROR(INDEX(C_INICIO,MATCH(B145&amp;"-P"&amp;(G145+1),C_CLAVE,0)),""))</f>
        <v/>
      </c>
      <c r="R145" s="70" t="str">
        <f aca="false">IF(B145="","",IF(E145="Desvinculado","Terminado",IF(H145=0,"Sin contrato registrado",IF(E145="Por ingresar","Por ingresar",IF(ISNUMBER(Q145),"Renovación registrada",IF(I145="Indefinido","Indefinido",IF(NOT(ISNUMBER(O145)),"Falta fecha de término",IF(O145&lt;0,"VENCIDO",IF(O145&lt;=ALERTA_ROJA,"Vence en ≤ "&amp;ALERTA_ROJA&amp;" días",IF(O145&lt;=ALERTA_NARANJA,"Vence en ≤ "&amp;ALERTA_NARANJA&amp;" días",IF(O145&lt;=ALERTA_AMARILLA,"Vence en ≤ "&amp;ALERTA_AMARILLA&amp;" días","Vigente")))))))))))</f>
        <v/>
      </c>
      <c r="S145" s="70" t="str">
        <f aca="false">IF(B145="","",IF(R145="Terminado","—",IF(R145="Sin contrato registrado","Registrar el contrato en la hoja Contratos",IF(R145="Por ingresar","Tener el contrato firmado y hacer el alta en AFP, salud, seguro de cesantía y mutual",IF(R145="Renovación registrada",IF(AND(N(K145)&gt;=2,IFERROR(INDEX(C_TIPO,MATCH(B145&amp;"-P"&amp;(G145+1),C_CLAVE,0)),"")="Plazo fijo"),"⚠ El período registrado sería el 3er contrato a plazo: por ley es INDEFINIDO. Registrarlo como Paso a indefinido","Siguiente período ya registrado: verificar que el documento esté firmado"),IF(I145="Indefinido","Sin vencimiento. Cambios de sueldo, cargo o jornada se formalizan con anexo de modificación",IF(R145="Falta fecha de término","Completar la fecha de término en la hoja Contratos",IF(R145="VENCIDO","Si sigue trabajando, por ley el contrato ya es INDEFINIDO (Art. 159 N°4): firmar anexo de paso a indefinido o regularizar el término",IF(I145="Obra o faena","Al concluir la obra: finiquito por Art. 159 N°5 + indemnización de 2,5 días por mes trabajado (Ley 21.122)",IF(N(K145)&gt;=3,"Por ley ya es indefinido (2ª renovación): firmar anexo de paso a indefinido",IF(N(K145)=2,"2° contrato a plazo: NO admite otra renovación a plazo fijo. Pasar a indefinido o terminar al vencimiento (carta dentro de 3 días hábiles)","1er contrato a plazo: renovar (2° plazo fijo), pasar a indefinido o terminar al vencimiento (carta dentro de 3 días hábiles)")))))))))))</f>
        <v/>
      </c>
      <c r="T145" s="70" t="str">
        <f aca="false">IF(B145="","",IF(COUNTIFS(C_ID,B145,C_FIRMADO,"&lt;&gt;Sí")&gt;0,COUNTIFS(C_ID,B145,C_FIRMADO,"&lt;&gt;Sí")&amp;" documento(s) sin firma. ","")&amp;IF(COUNTIFS(C_ID,B145,C_TIPO,"Plazo fijo",C_DEFINE,"Sí")&gt;2,"Más de 2 contratos a plazo: revisar presunción de indefinido. ","")&amp;IF(AND(R145="VENCIDO",LEFT(E145,6)="Activo"),"Trabaja con contrato vencido. ",""))</f>
        <v/>
      </c>
      <c r="U145" s="71" t="str">
        <f aca="false">IF(B145="","",INDEX(T_SUELDO,139))</f>
        <v/>
      </c>
      <c r="V145" s="72" t="str">
        <f aca="false">IF(AND(B145&lt;&gt;"",LEFT(E145,6)="Activo",ISNUMBER(O145),R145&lt;&gt;"Renovación registrada"),O145+ROW()/100000,"")</f>
        <v/>
      </c>
    </row>
    <row r="146" customFormat="false" ht="15" hidden="false" customHeight="false" outlineLevel="0" collapsed="false">
      <c r="B146" s="70" t="str">
        <f aca="false">IFERROR(IF(INDEX(T_ID,140)="","",INDEX(T_ID,140)),"")</f>
        <v/>
      </c>
      <c r="C146" s="70" t="str">
        <f aca="false">IF(B146="","",INDEX(T_NOMBRE,140)&amp;"")</f>
        <v/>
      </c>
      <c r="D146" s="70" t="str">
        <f aca="false">IF(B146="","",INDEX(T_CARGO,140)&amp;"")</f>
        <v/>
      </c>
      <c r="E146" s="70" t="str">
        <f aca="false">IF(B146="","",INDEX(T_ESTADO,140))</f>
        <v/>
      </c>
      <c r="F146" s="75" t="str">
        <f aca="false">IF(B146="","",INDEX(T_INGRESO,140))</f>
        <v/>
      </c>
      <c r="G146" s="70" t="str">
        <f aca="false">IF(B146="","",COUNTIFS(C_ID,B146,C_DEFINE,"Sí",C_INICIO,"&lt;="&amp;FECHA_CORTE))</f>
        <v/>
      </c>
      <c r="H146" s="70" t="str">
        <f aca="false">IF(B146="","",COUNTIFS(C_ID,B146,C_DEFINE,"Sí"))</f>
        <v/>
      </c>
      <c r="I146" s="70" t="str">
        <f aca="false">IF(B146="","",IF(H146=0,"Sin contrato",IFERROR(INDEX(C_TIPO,MATCH(B146&amp;"-P"&amp;MAX(1,G146),C_CLAVE,0))&amp;"","")))</f>
        <v/>
      </c>
      <c r="J146" s="70" t="str">
        <f aca="false">IF(OR(B146="",N(H146)=0),"",IFERROR(INDEX(C_TIPODOC,MATCH(B146&amp;"-P"&amp;MAX(1,G146),C_CLAVE,0))&amp;"",""))</f>
        <v/>
      </c>
      <c r="K146" s="76" t="str">
        <f aca="false">IF(I146="Plazo fijo",IFERROR(INDEX(C_NPF,MATCH(B146&amp;"-P"&amp;MAX(1,G146),C_CLAVE,0)),""),"")</f>
        <v/>
      </c>
      <c r="L146" s="70" t="str">
        <f aca="false">IF(B146="","",COUNTIFS(C_ID,B146,C_TIPODOC,"Anexo de modificación"))</f>
        <v/>
      </c>
      <c r="M146" s="75" t="str">
        <f aca="false">IF(OR(B146="",N(H146)=0),"",IFERROR(INDEX(C_INICIO,MATCH(B146&amp;"-P"&amp;MAX(1,G146),C_CLAVE,0)),""))</f>
        <v/>
      </c>
      <c r="N146" s="75" t="str">
        <f aca="false">IF(OR(I146="Plazo fijo",I146="Obra o faena"),IFERROR(IF(N(INDEX(C_TERMINO,MATCH(B146&amp;"-P"&amp;MAX(1,G146),C_CLAVE,0)))=0,"",INDEX(C_TERMINO,MATCH(B146&amp;"-P"&amp;MAX(1,G146),C_CLAVE,0))),""),"")</f>
        <v/>
      </c>
      <c r="O146" s="77" t="str">
        <f aca="false">IF(AND(ISNUMBER(N146),E146&lt;&gt;"Desvinculado"),N146-FECHA_CORTE,"")</f>
        <v/>
      </c>
      <c r="P146" s="75" t="str">
        <f aca="false">IF(AND(ISNUMBER(N146),E146&lt;&gt;"Desvinculado"),N146-DIAS_DECISION,"")</f>
        <v/>
      </c>
      <c r="Q146" s="75" t="str">
        <f aca="false">IF(OR(B146="",N(H146)&lt;=N(G146)),"",IFERROR(INDEX(C_INICIO,MATCH(B146&amp;"-P"&amp;(G146+1),C_CLAVE,0)),""))</f>
        <v/>
      </c>
      <c r="R146" s="70" t="str">
        <f aca="false">IF(B146="","",IF(E146="Desvinculado","Terminado",IF(H146=0,"Sin contrato registrado",IF(E146="Por ingresar","Por ingresar",IF(ISNUMBER(Q146),"Renovación registrada",IF(I146="Indefinido","Indefinido",IF(NOT(ISNUMBER(O146)),"Falta fecha de término",IF(O146&lt;0,"VENCIDO",IF(O146&lt;=ALERTA_ROJA,"Vence en ≤ "&amp;ALERTA_ROJA&amp;" días",IF(O146&lt;=ALERTA_NARANJA,"Vence en ≤ "&amp;ALERTA_NARANJA&amp;" días",IF(O146&lt;=ALERTA_AMARILLA,"Vence en ≤ "&amp;ALERTA_AMARILLA&amp;" días","Vigente")))))))))))</f>
        <v/>
      </c>
      <c r="S146" s="70" t="str">
        <f aca="false">IF(B146="","",IF(R146="Terminado","—",IF(R146="Sin contrato registrado","Registrar el contrato en la hoja Contratos",IF(R146="Por ingresar","Tener el contrato firmado y hacer el alta en AFP, salud, seguro de cesantía y mutual",IF(R146="Renovación registrada",IF(AND(N(K146)&gt;=2,IFERROR(INDEX(C_TIPO,MATCH(B146&amp;"-P"&amp;(G146+1),C_CLAVE,0)),"")="Plazo fijo"),"⚠ El período registrado sería el 3er contrato a plazo: por ley es INDEFINIDO. Registrarlo como Paso a indefinido","Siguiente período ya registrado: verificar que el documento esté firmado"),IF(I146="Indefinido","Sin vencimiento. Cambios de sueldo, cargo o jornada se formalizan con anexo de modificación",IF(R146="Falta fecha de término","Completar la fecha de término en la hoja Contratos",IF(R146="VENCIDO","Si sigue trabajando, por ley el contrato ya es INDEFINIDO (Art. 159 N°4): firmar anexo de paso a indefinido o regularizar el término",IF(I146="Obra o faena","Al concluir la obra: finiquito por Art. 159 N°5 + indemnización de 2,5 días por mes trabajado (Ley 21.122)",IF(N(K146)&gt;=3,"Por ley ya es indefinido (2ª renovación): firmar anexo de paso a indefinido",IF(N(K146)=2,"2° contrato a plazo: NO admite otra renovación a plazo fijo. Pasar a indefinido o terminar al vencimiento (carta dentro de 3 días hábiles)","1er contrato a plazo: renovar (2° plazo fijo), pasar a indefinido o terminar al vencimiento (carta dentro de 3 días hábiles)")))))))))))</f>
        <v/>
      </c>
      <c r="T146" s="70" t="str">
        <f aca="false">IF(B146="","",IF(COUNTIFS(C_ID,B146,C_FIRMADO,"&lt;&gt;Sí")&gt;0,COUNTIFS(C_ID,B146,C_FIRMADO,"&lt;&gt;Sí")&amp;" documento(s) sin firma. ","")&amp;IF(COUNTIFS(C_ID,B146,C_TIPO,"Plazo fijo",C_DEFINE,"Sí")&gt;2,"Más de 2 contratos a plazo: revisar presunción de indefinido. ","")&amp;IF(AND(R146="VENCIDO",LEFT(E146,6)="Activo"),"Trabaja con contrato vencido. ",""))</f>
        <v/>
      </c>
      <c r="U146" s="71" t="str">
        <f aca="false">IF(B146="","",INDEX(T_SUELDO,140))</f>
        <v/>
      </c>
      <c r="V146" s="72" t="str">
        <f aca="false">IF(AND(B146&lt;&gt;"",LEFT(E146,6)="Activo",ISNUMBER(O146),R146&lt;&gt;"Renovación registrada"),O146+ROW()/100000,"")</f>
        <v/>
      </c>
    </row>
    <row r="147" customFormat="false" ht="15" hidden="false" customHeight="false" outlineLevel="0" collapsed="false">
      <c r="B147" s="70" t="str">
        <f aca="false">IFERROR(IF(INDEX(T_ID,141)="","",INDEX(T_ID,141)),"")</f>
        <v/>
      </c>
      <c r="C147" s="70" t="str">
        <f aca="false">IF(B147="","",INDEX(T_NOMBRE,141)&amp;"")</f>
        <v/>
      </c>
      <c r="D147" s="70" t="str">
        <f aca="false">IF(B147="","",INDEX(T_CARGO,141)&amp;"")</f>
        <v/>
      </c>
      <c r="E147" s="70" t="str">
        <f aca="false">IF(B147="","",INDEX(T_ESTADO,141))</f>
        <v/>
      </c>
      <c r="F147" s="75" t="str">
        <f aca="false">IF(B147="","",INDEX(T_INGRESO,141))</f>
        <v/>
      </c>
      <c r="G147" s="70" t="str">
        <f aca="false">IF(B147="","",COUNTIFS(C_ID,B147,C_DEFINE,"Sí",C_INICIO,"&lt;="&amp;FECHA_CORTE))</f>
        <v/>
      </c>
      <c r="H147" s="70" t="str">
        <f aca="false">IF(B147="","",COUNTIFS(C_ID,B147,C_DEFINE,"Sí"))</f>
        <v/>
      </c>
      <c r="I147" s="70" t="str">
        <f aca="false">IF(B147="","",IF(H147=0,"Sin contrato",IFERROR(INDEX(C_TIPO,MATCH(B147&amp;"-P"&amp;MAX(1,G147),C_CLAVE,0))&amp;"","")))</f>
        <v/>
      </c>
      <c r="J147" s="70" t="str">
        <f aca="false">IF(OR(B147="",N(H147)=0),"",IFERROR(INDEX(C_TIPODOC,MATCH(B147&amp;"-P"&amp;MAX(1,G147),C_CLAVE,0))&amp;"",""))</f>
        <v/>
      </c>
      <c r="K147" s="76" t="str">
        <f aca="false">IF(I147="Plazo fijo",IFERROR(INDEX(C_NPF,MATCH(B147&amp;"-P"&amp;MAX(1,G147),C_CLAVE,0)),""),"")</f>
        <v/>
      </c>
      <c r="L147" s="70" t="str">
        <f aca="false">IF(B147="","",COUNTIFS(C_ID,B147,C_TIPODOC,"Anexo de modificación"))</f>
        <v/>
      </c>
      <c r="M147" s="75" t="str">
        <f aca="false">IF(OR(B147="",N(H147)=0),"",IFERROR(INDEX(C_INICIO,MATCH(B147&amp;"-P"&amp;MAX(1,G147),C_CLAVE,0)),""))</f>
        <v/>
      </c>
      <c r="N147" s="75" t="str">
        <f aca="false">IF(OR(I147="Plazo fijo",I147="Obra o faena"),IFERROR(IF(N(INDEX(C_TERMINO,MATCH(B147&amp;"-P"&amp;MAX(1,G147),C_CLAVE,0)))=0,"",INDEX(C_TERMINO,MATCH(B147&amp;"-P"&amp;MAX(1,G147),C_CLAVE,0))),""),"")</f>
        <v/>
      </c>
      <c r="O147" s="77" t="str">
        <f aca="false">IF(AND(ISNUMBER(N147),E147&lt;&gt;"Desvinculado"),N147-FECHA_CORTE,"")</f>
        <v/>
      </c>
      <c r="P147" s="75" t="str">
        <f aca="false">IF(AND(ISNUMBER(N147),E147&lt;&gt;"Desvinculado"),N147-DIAS_DECISION,"")</f>
        <v/>
      </c>
      <c r="Q147" s="75" t="str">
        <f aca="false">IF(OR(B147="",N(H147)&lt;=N(G147)),"",IFERROR(INDEX(C_INICIO,MATCH(B147&amp;"-P"&amp;(G147+1),C_CLAVE,0)),""))</f>
        <v/>
      </c>
      <c r="R147" s="70" t="str">
        <f aca="false">IF(B147="","",IF(E147="Desvinculado","Terminado",IF(H147=0,"Sin contrato registrado",IF(E147="Por ingresar","Por ingresar",IF(ISNUMBER(Q147),"Renovación registrada",IF(I147="Indefinido","Indefinido",IF(NOT(ISNUMBER(O147)),"Falta fecha de término",IF(O147&lt;0,"VENCIDO",IF(O147&lt;=ALERTA_ROJA,"Vence en ≤ "&amp;ALERTA_ROJA&amp;" días",IF(O147&lt;=ALERTA_NARANJA,"Vence en ≤ "&amp;ALERTA_NARANJA&amp;" días",IF(O147&lt;=ALERTA_AMARILLA,"Vence en ≤ "&amp;ALERTA_AMARILLA&amp;" días","Vigente")))))))))))</f>
        <v/>
      </c>
      <c r="S147" s="70" t="str">
        <f aca="false">IF(B147="","",IF(R147="Terminado","—",IF(R147="Sin contrato registrado","Registrar el contrato en la hoja Contratos",IF(R147="Por ingresar","Tener el contrato firmado y hacer el alta en AFP, salud, seguro de cesantía y mutual",IF(R147="Renovación registrada",IF(AND(N(K147)&gt;=2,IFERROR(INDEX(C_TIPO,MATCH(B147&amp;"-P"&amp;(G147+1),C_CLAVE,0)),"")="Plazo fijo"),"⚠ El período registrado sería el 3er contrato a plazo: por ley es INDEFINIDO. Registrarlo como Paso a indefinido","Siguiente período ya registrado: verificar que el documento esté firmado"),IF(I147="Indefinido","Sin vencimiento. Cambios de sueldo, cargo o jornada se formalizan con anexo de modificación",IF(R147="Falta fecha de término","Completar la fecha de término en la hoja Contratos",IF(R147="VENCIDO","Si sigue trabajando, por ley el contrato ya es INDEFINIDO (Art. 159 N°4): firmar anexo de paso a indefinido o regularizar el término",IF(I147="Obra o faena","Al concluir la obra: finiquito por Art. 159 N°5 + indemnización de 2,5 días por mes trabajado (Ley 21.122)",IF(N(K147)&gt;=3,"Por ley ya es indefinido (2ª renovación): firmar anexo de paso a indefinido",IF(N(K147)=2,"2° contrato a plazo: NO admite otra renovación a plazo fijo. Pasar a indefinido o terminar al vencimiento (carta dentro de 3 días hábiles)","1er contrato a plazo: renovar (2° plazo fijo), pasar a indefinido o terminar al vencimiento (carta dentro de 3 días hábiles)")))))))))))</f>
        <v/>
      </c>
      <c r="T147" s="70" t="str">
        <f aca="false">IF(B147="","",IF(COUNTIFS(C_ID,B147,C_FIRMADO,"&lt;&gt;Sí")&gt;0,COUNTIFS(C_ID,B147,C_FIRMADO,"&lt;&gt;Sí")&amp;" documento(s) sin firma. ","")&amp;IF(COUNTIFS(C_ID,B147,C_TIPO,"Plazo fijo",C_DEFINE,"Sí")&gt;2,"Más de 2 contratos a plazo: revisar presunción de indefinido. ","")&amp;IF(AND(R147="VENCIDO",LEFT(E147,6)="Activo"),"Trabaja con contrato vencido. ",""))</f>
        <v/>
      </c>
      <c r="U147" s="71" t="str">
        <f aca="false">IF(B147="","",INDEX(T_SUELDO,141))</f>
        <v/>
      </c>
      <c r="V147" s="72" t="str">
        <f aca="false">IF(AND(B147&lt;&gt;"",LEFT(E147,6)="Activo",ISNUMBER(O147),R147&lt;&gt;"Renovación registrada"),O147+ROW()/100000,"")</f>
        <v/>
      </c>
    </row>
    <row r="148" customFormat="false" ht="15" hidden="false" customHeight="false" outlineLevel="0" collapsed="false">
      <c r="B148" s="70" t="str">
        <f aca="false">IFERROR(IF(INDEX(T_ID,142)="","",INDEX(T_ID,142)),"")</f>
        <v/>
      </c>
      <c r="C148" s="70" t="str">
        <f aca="false">IF(B148="","",INDEX(T_NOMBRE,142)&amp;"")</f>
        <v/>
      </c>
      <c r="D148" s="70" t="str">
        <f aca="false">IF(B148="","",INDEX(T_CARGO,142)&amp;"")</f>
        <v/>
      </c>
      <c r="E148" s="70" t="str">
        <f aca="false">IF(B148="","",INDEX(T_ESTADO,142))</f>
        <v/>
      </c>
      <c r="F148" s="75" t="str">
        <f aca="false">IF(B148="","",INDEX(T_INGRESO,142))</f>
        <v/>
      </c>
      <c r="G148" s="70" t="str">
        <f aca="false">IF(B148="","",COUNTIFS(C_ID,B148,C_DEFINE,"Sí",C_INICIO,"&lt;="&amp;FECHA_CORTE))</f>
        <v/>
      </c>
      <c r="H148" s="70" t="str">
        <f aca="false">IF(B148="","",COUNTIFS(C_ID,B148,C_DEFINE,"Sí"))</f>
        <v/>
      </c>
      <c r="I148" s="70" t="str">
        <f aca="false">IF(B148="","",IF(H148=0,"Sin contrato",IFERROR(INDEX(C_TIPO,MATCH(B148&amp;"-P"&amp;MAX(1,G148),C_CLAVE,0))&amp;"","")))</f>
        <v/>
      </c>
      <c r="J148" s="70" t="str">
        <f aca="false">IF(OR(B148="",N(H148)=0),"",IFERROR(INDEX(C_TIPODOC,MATCH(B148&amp;"-P"&amp;MAX(1,G148),C_CLAVE,0))&amp;"",""))</f>
        <v/>
      </c>
      <c r="K148" s="76" t="str">
        <f aca="false">IF(I148="Plazo fijo",IFERROR(INDEX(C_NPF,MATCH(B148&amp;"-P"&amp;MAX(1,G148),C_CLAVE,0)),""),"")</f>
        <v/>
      </c>
      <c r="L148" s="70" t="str">
        <f aca="false">IF(B148="","",COUNTIFS(C_ID,B148,C_TIPODOC,"Anexo de modificación"))</f>
        <v/>
      </c>
      <c r="M148" s="75" t="str">
        <f aca="false">IF(OR(B148="",N(H148)=0),"",IFERROR(INDEX(C_INICIO,MATCH(B148&amp;"-P"&amp;MAX(1,G148),C_CLAVE,0)),""))</f>
        <v/>
      </c>
      <c r="N148" s="75" t="str">
        <f aca="false">IF(OR(I148="Plazo fijo",I148="Obra o faena"),IFERROR(IF(N(INDEX(C_TERMINO,MATCH(B148&amp;"-P"&amp;MAX(1,G148),C_CLAVE,0)))=0,"",INDEX(C_TERMINO,MATCH(B148&amp;"-P"&amp;MAX(1,G148),C_CLAVE,0))),""),"")</f>
        <v/>
      </c>
      <c r="O148" s="77" t="str">
        <f aca="false">IF(AND(ISNUMBER(N148),E148&lt;&gt;"Desvinculado"),N148-FECHA_CORTE,"")</f>
        <v/>
      </c>
      <c r="P148" s="75" t="str">
        <f aca="false">IF(AND(ISNUMBER(N148),E148&lt;&gt;"Desvinculado"),N148-DIAS_DECISION,"")</f>
        <v/>
      </c>
      <c r="Q148" s="75" t="str">
        <f aca="false">IF(OR(B148="",N(H148)&lt;=N(G148)),"",IFERROR(INDEX(C_INICIO,MATCH(B148&amp;"-P"&amp;(G148+1),C_CLAVE,0)),""))</f>
        <v/>
      </c>
      <c r="R148" s="70" t="str">
        <f aca="false">IF(B148="","",IF(E148="Desvinculado","Terminado",IF(H148=0,"Sin contrato registrado",IF(E148="Por ingresar","Por ingresar",IF(ISNUMBER(Q148),"Renovación registrada",IF(I148="Indefinido","Indefinido",IF(NOT(ISNUMBER(O148)),"Falta fecha de término",IF(O148&lt;0,"VENCIDO",IF(O148&lt;=ALERTA_ROJA,"Vence en ≤ "&amp;ALERTA_ROJA&amp;" días",IF(O148&lt;=ALERTA_NARANJA,"Vence en ≤ "&amp;ALERTA_NARANJA&amp;" días",IF(O148&lt;=ALERTA_AMARILLA,"Vence en ≤ "&amp;ALERTA_AMARILLA&amp;" días","Vigente")))))))))))</f>
        <v/>
      </c>
      <c r="S148" s="70" t="str">
        <f aca="false">IF(B148="","",IF(R148="Terminado","—",IF(R148="Sin contrato registrado","Registrar el contrato en la hoja Contratos",IF(R148="Por ingresar","Tener el contrato firmado y hacer el alta en AFP, salud, seguro de cesantía y mutual",IF(R148="Renovación registrada",IF(AND(N(K148)&gt;=2,IFERROR(INDEX(C_TIPO,MATCH(B148&amp;"-P"&amp;(G148+1),C_CLAVE,0)),"")="Plazo fijo"),"⚠ El período registrado sería el 3er contrato a plazo: por ley es INDEFINIDO. Registrarlo como Paso a indefinido","Siguiente período ya registrado: verificar que el documento esté firmado"),IF(I148="Indefinido","Sin vencimiento. Cambios de sueldo, cargo o jornada se formalizan con anexo de modificación",IF(R148="Falta fecha de término","Completar la fecha de término en la hoja Contratos",IF(R148="VENCIDO","Si sigue trabajando, por ley el contrato ya es INDEFINIDO (Art. 159 N°4): firmar anexo de paso a indefinido o regularizar el término",IF(I148="Obra o faena","Al concluir la obra: finiquito por Art. 159 N°5 + indemnización de 2,5 días por mes trabajado (Ley 21.122)",IF(N(K148)&gt;=3,"Por ley ya es indefinido (2ª renovación): firmar anexo de paso a indefinido",IF(N(K148)=2,"2° contrato a plazo: NO admite otra renovación a plazo fijo. Pasar a indefinido o terminar al vencimiento (carta dentro de 3 días hábiles)","1er contrato a plazo: renovar (2° plazo fijo), pasar a indefinido o terminar al vencimiento (carta dentro de 3 días hábiles)")))))))))))</f>
        <v/>
      </c>
      <c r="T148" s="70" t="str">
        <f aca="false">IF(B148="","",IF(COUNTIFS(C_ID,B148,C_FIRMADO,"&lt;&gt;Sí")&gt;0,COUNTIFS(C_ID,B148,C_FIRMADO,"&lt;&gt;Sí")&amp;" documento(s) sin firma. ","")&amp;IF(COUNTIFS(C_ID,B148,C_TIPO,"Plazo fijo",C_DEFINE,"Sí")&gt;2,"Más de 2 contratos a plazo: revisar presunción de indefinido. ","")&amp;IF(AND(R148="VENCIDO",LEFT(E148,6)="Activo"),"Trabaja con contrato vencido. ",""))</f>
        <v/>
      </c>
      <c r="U148" s="71" t="str">
        <f aca="false">IF(B148="","",INDEX(T_SUELDO,142))</f>
        <v/>
      </c>
      <c r="V148" s="72" t="str">
        <f aca="false">IF(AND(B148&lt;&gt;"",LEFT(E148,6)="Activo",ISNUMBER(O148),R148&lt;&gt;"Renovación registrada"),O148+ROW()/100000,"")</f>
        <v/>
      </c>
    </row>
    <row r="149" customFormat="false" ht="15" hidden="false" customHeight="false" outlineLevel="0" collapsed="false">
      <c r="B149" s="70" t="str">
        <f aca="false">IFERROR(IF(INDEX(T_ID,143)="","",INDEX(T_ID,143)),"")</f>
        <v/>
      </c>
      <c r="C149" s="70" t="str">
        <f aca="false">IF(B149="","",INDEX(T_NOMBRE,143)&amp;"")</f>
        <v/>
      </c>
      <c r="D149" s="70" t="str">
        <f aca="false">IF(B149="","",INDEX(T_CARGO,143)&amp;"")</f>
        <v/>
      </c>
      <c r="E149" s="70" t="str">
        <f aca="false">IF(B149="","",INDEX(T_ESTADO,143))</f>
        <v/>
      </c>
      <c r="F149" s="75" t="str">
        <f aca="false">IF(B149="","",INDEX(T_INGRESO,143))</f>
        <v/>
      </c>
      <c r="G149" s="70" t="str">
        <f aca="false">IF(B149="","",COUNTIFS(C_ID,B149,C_DEFINE,"Sí",C_INICIO,"&lt;="&amp;FECHA_CORTE))</f>
        <v/>
      </c>
      <c r="H149" s="70" t="str">
        <f aca="false">IF(B149="","",COUNTIFS(C_ID,B149,C_DEFINE,"Sí"))</f>
        <v/>
      </c>
      <c r="I149" s="70" t="str">
        <f aca="false">IF(B149="","",IF(H149=0,"Sin contrato",IFERROR(INDEX(C_TIPO,MATCH(B149&amp;"-P"&amp;MAX(1,G149),C_CLAVE,0))&amp;"","")))</f>
        <v/>
      </c>
      <c r="J149" s="70" t="str">
        <f aca="false">IF(OR(B149="",N(H149)=0),"",IFERROR(INDEX(C_TIPODOC,MATCH(B149&amp;"-P"&amp;MAX(1,G149),C_CLAVE,0))&amp;"",""))</f>
        <v/>
      </c>
      <c r="K149" s="76" t="str">
        <f aca="false">IF(I149="Plazo fijo",IFERROR(INDEX(C_NPF,MATCH(B149&amp;"-P"&amp;MAX(1,G149),C_CLAVE,0)),""),"")</f>
        <v/>
      </c>
      <c r="L149" s="70" t="str">
        <f aca="false">IF(B149="","",COUNTIFS(C_ID,B149,C_TIPODOC,"Anexo de modificación"))</f>
        <v/>
      </c>
      <c r="M149" s="75" t="str">
        <f aca="false">IF(OR(B149="",N(H149)=0),"",IFERROR(INDEX(C_INICIO,MATCH(B149&amp;"-P"&amp;MAX(1,G149),C_CLAVE,0)),""))</f>
        <v/>
      </c>
      <c r="N149" s="75" t="str">
        <f aca="false">IF(OR(I149="Plazo fijo",I149="Obra o faena"),IFERROR(IF(N(INDEX(C_TERMINO,MATCH(B149&amp;"-P"&amp;MAX(1,G149),C_CLAVE,0)))=0,"",INDEX(C_TERMINO,MATCH(B149&amp;"-P"&amp;MAX(1,G149),C_CLAVE,0))),""),"")</f>
        <v/>
      </c>
      <c r="O149" s="77" t="str">
        <f aca="false">IF(AND(ISNUMBER(N149),E149&lt;&gt;"Desvinculado"),N149-FECHA_CORTE,"")</f>
        <v/>
      </c>
      <c r="P149" s="75" t="str">
        <f aca="false">IF(AND(ISNUMBER(N149),E149&lt;&gt;"Desvinculado"),N149-DIAS_DECISION,"")</f>
        <v/>
      </c>
      <c r="Q149" s="75" t="str">
        <f aca="false">IF(OR(B149="",N(H149)&lt;=N(G149)),"",IFERROR(INDEX(C_INICIO,MATCH(B149&amp;"-P"&amp;(G149+1),C_CLAVE,0)),""))</f>
        <v/>
      </c>
      <c r="R149" s="70" t="str">
        <f aca="false">IF(B149="","",IF(E149="Desvinculado","Terminado",IF(H149=0,"Sin contrato registrado",IF(E149="Por ingresar","Por ingresar",IF(ISNUMBER(Q149),"Renovación registrada",IF(I149="Indefinido","Indefinido",IF(NOT(ISNUMBER(O149)),"Falta fecha de término",IF(O149&lt;0,"VENCIDO",IF(O149&lt;=ALERTA_ROJA,"Vence en ≤ "&amp;ALERTA_ROJA&amp;" días",IF(O149&lt;=ALERTA_NARANJA,"Vence en ≤ "&amp;ALERTA_NARANJA&amp;" días",IF(O149&lt;=ALERTA_AMARILLA,"Vence en ≤ "&amp;ALERTA_AMARILLA&amp;" días","Vigente")))))))))))</f>
        <v/>
      </c>
      <c r="S149" s="70" t="str">
        <f aca="false">IF(B149="","",IF(R149="Terminado","—",IF(R149="Sin contrato registrado","Registrar el contrato en la hoja Contratos",IF(R149="Por ingresar","Tener el contrato firmado y hacer el alta en AFP, salud, seguro de cesantía y mutual",IF(R149="Renovación registrada",IF(AND(N(K149)&gt;=2,IFERROR(INDEX(C_TIPO,MATCH(B149&amp;"-P"&amp;(G149+1),C_CLAVE,0)),"")="Plazo fijo"),"⚠ El período registrado sería el 3er contrato a plazo: por ley es INDEFINIDO. Registrarlo como Paso a indefinido","Siguiente período ya registrado: verificar que el documento esté firmado"),IF(I149="Indefinido","Sin vencimiento. Cambios de sueldo, cargo o jornada se formalizan con anexo de modificación",IF(R149="Falta fecha de término","Completar la fecha de término en la hoja Contratos",IF(R149="VENCIDO","Si sigue trabajando, por ley el contrato ya es INDEFINIDO (Art. 159 N°4): firmar anexo de paso a indefinido o regularizar el término",IF(I149="Obra o faena","Al concluir la obra: finiquito por Art. 159 N°5 + indemnización de 2,5 días por mes trabajado (Ley 21.122)",IF(N(K149)&gt;=3,"Por ley ya es indefinido (2ª renovación): firmar anexo de paso a indefinido",IF(N(K149)=2,"2° contrato a plazo: NO admite otra renovación a plazo fijo. Pasar a indefinido o terminar al vencimiento (carta dentro de 3 días hábiles)","1er contrato a plazo: renovar (2° plazo fijo), pasar a indefinido o terminar al vencimiento (carta dentro de 3 días hábiles)")))))))))))</f>
        <v/>
      </c>
      <c r="T149" s="70" t="str">
        <f aca="false">IF(B149="","",IF(COUNTIFS(C_ID,B149,C_FIRMADO,"&lt;&gt;Sí")&gt;0,COUNTIFS(C_ID,B149,C_FIRMADO,"&lt;&gt;Sí")&amp;" documento(s) sin firma. ","")&amp;IF(COUNTIFS(C_ID,B149,C_TIPO,"Plazo fijo",C_DEFINE,"Sí")&gt;2,"Más de 2 contratos a plazo: revisar presunción de indefinido. ","")&amp;IF(AND(R149="VENCIDO",LEFT(E149,6)="Activo"),"Trabaja con contrato vencido. ",""))</f>
        <v/>
      </c>
      <c r="U149" s="71" t="str">
        <f aca="false">IF(B149="","",INDEX(T_SUELDO,143))</f>
        <v/>
      </c>
      <c r="V149" s="72" t="str">
        <f aca="false">IF(AND(B149&lt;&gt;"",LEFT(E149,6)="Activo",ISNUMBER(O149),R149&lt;&gt;"Renovación registrada"),O149+ROW()/100000,"")</f>
        <v/>
      </c>
    </row>
    <row r="150" customFormat="false" ht="15" hidden="false" customHeight="false" outlineLevel="0" collapsed="false">
      <c r="B150" s="70" t="str">
        <f aca="false">IFERROR(IF(INDEX(T_ID,144)="","",INDEX(T_ID,144)),"")</f>
        <v/>
      </c>
      <c r="C150" s="70" t="str">
        <f aca="false">IF(B150="","",INDEX(T_NOMBRE,144)&amp;"")</f>
        <v/>
      </c>
      <c r="D150" s="70" t="str">
        <f aca="false">IF(B150="","",INDEX(T_CARGO,144)&amp;"")</f>
        <v/>
      </c>
      <c r="E150" s="70" t="str">
        <f aca="false">IF(B150="","",INDEX(T_ESTADO,144))</f>
        <v/>
      </c>
      <c r="F150" s="75" t="str">
        <f aca="false">IF(B150="","",INDEX(T_INGRESO,144))</f>
        <v/>
      </c>
      <c r="G150" s="70" t="str">
        <f aca="false">IF(B150="","",COUNTIFS(C_ID,B150,C_DEFINE,"Sí",C_INICIO,"&lt;="&amp;FECHA_CORTE))</f>
        <v/>
      </c>
      <c r="H150" s="70" t="str">
        <f aca="false">IF(B150="","",COUNTIFS(C_ID,B150,C_DEFINE,"Sí"))</f>
        <v/>
      </c>
      <c r="I150" s="70" t="str">
        <f aca="false">IF(B150="","",IF(H150=0,"Sin contrato",IFERROR(INDEX(C_TIPO,MATCH(B150&amp;"-P"&amp;MAX(1,G150),C_CLAVE,0))&amp;"","")))</f>
        <v/>
      </c>
      <c r="J150" s="70" t="str">
        <f aca="false">IF(OR(B150="",N(H150)=0),"",IFERROR(INDEX(C_TIPODOC,MATCH(B150&amp;"-P"&amp;MAX(1,G150),C_CLAVE,0))&amp;"",""))</f>
        <v/>
      </c>
      <c r="K150" s="76" t="str">
        <f aca="false">IF(I150="Plazo fijo",IFERROR(INDEX(C_NPF,MATCH(B150&amp;"-P"&amp;MAX(1,G150),C_CLAVE,0)),""),"")</f>
        <v/>
      </c>
      <c r="L150" s="70" t="str">
        <f aca="false">IF(B150="","",COUNTIFS(C_ID,B150,C_TIPODOC,"Anexo de modificación"))</f>
        <v/>
      </c>
      <c r="M150" s="75" t="str">
        <f aca="false">IF(OR(B150="",N(H150)=0),"",IFERROR(INDEX(C_INICIO,MATCH(B150&amp;"-P"&amp;MAX(1,G150),C_CLAVE,0)),""))</f>
        <v/>
      </c>
      <c r="N150" s="75" t="str">
        <f aca="false">IF(OR(I150="Plazo fijo",I150="Obra o faena"),IFERROR(IF(N(INDEX(C_TERMINO,MATCH(B150&amp;"-P"&amp;MAX(1,G150),C_CLAVE,0)))=0,"",INDEX(C_TERMINO,MATCH(B150&amp;"-P"&amp;MAX(1,G150),C_CLAVE,0))),""),"")</f>
        <v/>
      </c>
      <c r="O150" s="77" t="str">
        <f aca="false">IF(AND(ISNUMBER(N150),E150&lt;&gt;"Desvinculado"),N150-FECHA_CORTE,"")</f>
        <v/>
      </c>
      <c r="P150" s="75" t="str">
        <f aca="false">IF(AND(ISNUMBER(N150),E150&lt;&gt;"Desvinculado"),N150-DIAS_DECISION,"")</f>
        <v/>
      </c>
      <c r="Q150" s="75" t="str">
        <f aca="false">IF(OR(B150="",N(H150)&lt;=N(G150)),"",IFERROR(INDEX(C_INICIO,MATCH(B150&amp;"-P"&amp;(G150+1),C_CLAVE,0)),""))</f>
        <v/>
      </c>
      <c r="R150" s="70" t="str">
        <f aca="false">IF(B150="","",IF(E150="Desvinculado","Terminado",IF(H150=0,"Sin contrato registrado",IF(E150="Por ingresar","Por ingresar",IF(ISNUMBER(Q150),"Renovación registrada",IF(I150="Indefinido","Indefinido",IF(NOT(ISNUMBER(O150)),"Falta fecha de término",IF(O150&lt;0,"VENCIDO",IF(O150&lt;=ALERTA_ROJA,"Vence en ≤ "&amp;ALERTA_ROJA&amp;" días",IF(O150&lt;=ALERTA_NARANJA,"Vence en ≤ "&amp;ALERTA_NARANJA&amp;" días",IF(O150&lt;=ALERTA_AMARILLA,"Vence en ≤ "&amp;ALERTA_AMARILLA&amp;" días","Vigente")))))))))))</f>
        <v/>
      </c>
      <c r="S150" s="70" t="str">
        <f aca="false">IF(B150="","",IF(R150="Terminado","—",IF(R150="Sin contrato registrado","Registrar el contrato en la hoja Contratos",IF(R150="Por ingresar","Tener el contrato firmado y hacer el alta en AFP, salud, seguro de cesantía y mutual",IF(R150="Renovación registrada",IF(AND(N(K150)&gt;=2,IFERROR(INDEX(C_TIPO,MATCH(B150&amp;"-P"&amp;(G150+1),C_CLAVE,0)),"")="Plazo fijo"),"⚠ El período registrado sería el 3er contrato a plazo: por ley es INDEFINIDO. Registrarlo como Paso a indefinido","Siguiente período ya registrado: verificar que el documento esté firmado"),IF(I150="Indefinido","Sin vencimiento. Cambios de sueldo, cargo o jornada se formalizan con anexo de modificación",IF(R150="Falta fecha de término","Completar la fecha de término en la hoja Contratos",IF(R150="VENCIDO","Si sigue trabajando, por ley el contrato ya es INDEFINIDO (Art. 159 N°4): firmar anexo de paso a indefinido o regularizar el término",IF(I150="Obra o faena","Al concluir la obra: finiquito por Art. 159 N°5 + indemnización de 2,5 días por mes trabajado (Ley 21.122)",IF(N(K150)&gt;=3,"Por ley ya es indefinido (2ª renovación): firmar anexo de paso a indefinido",IF(N(K150)=2,"2° contrato a plazo: NO admite otra renovación a plazo fijo. Pasar a indefinido o terminar al vencimiento (carta dentro de 3 días hábiles)","1er contrato a plazo: renovar (2° plazo fijo), pasar a indefinido o terminar al vencimiento (carta dentro de 3 días hábiles)")))))))))))</f>
        <v/>
      </c>
      <c r="T150" s="70" t="str">
        <f aca="false">IF(B150="","",IF(COUNTIFS(C_ID,B150,C_FIRMADO,"&lt;&gt;Sí")&gt;0,COUNTIFS(C_ID,B150,C_FIRMADO,"&lt;&gt;Sí")&amp;" documento(s) sin firma. ","")&amp;IF(COUNTIFS(C_ID,B150,C_TIPO,"Plazo fijo",C_DEFINE,"Sí")&gt;2,"Más de 2 contratos a plazo: revisar presunción de indefinido. ","")&amp;IF(AND(R150="VENCIDO",LEFT(E150,6)="Activo"),"Trabaja con contrato vencido. ",""))</f>
        <v/>
      </c>
      <c r="U150" s="71" t="str">
        <f aca="false">IF(B150="","",INDEX(T_SUELDO,144))</f>
        <v/>
      </c>
      <c r="V150" s="72" t="str">
        <f aca="false">IF(AND(B150&lt;&gt;"",LEFT(E150,6)="Activo",ISNUMBER(O150),R150&lt;&gt;"Renovación registrada"),O150+ROW()/100000,"")</f>
        <v/>
      </c>
    </row>
    <row r="151" customFormat="false" ht="15" hidden="false" customHeight="false" outlineLevel="0" collapsed="false">
      <c r="B151" s="70" t="str">
        <f aca="false">IFERROR(IF(INDEX(T_ID,145)="","",INDEX(T_ID,145)),"")</f>
        <v/>
      </c>
      <c r="C151" s="70" t="str">
        <f aca="false">IF(B151="","",INDEX(T_NOMBRE,145)&amp;"")</f>
        <v/>
      </c>
      <c r="D151" s="70" t="str">
        <f aca="false">IF(B151="","",INDEX(T_CARGO,145)&amp;"")</f>
        <v/>
      </c>
      <c r="E151" s="70" t="str">
        <f aca="false">IF(B151="","",INDEX(T_ESTADO,145))</f>
        <v/>
      </c>
      <c r="F151" s="75" t="str">
        <f aca="false">IF(B151="","",INDEX(T_INGRESO,145))</f>
        <v/>
      </c>
      <c r="G151" s="70" t="str">
        <f aca="false">IF(B151="","",COUNTIFS(C_ID,B151,C_DEFINE,"Sí",C_INICIO,"&lt;="&amp;FECHA_CORTE))</f>
        <v/>
      </c>
      <c r="H151" s="70" t="str">
        <f aca="false">IF(B151="","",COUNTIFS(C_ID,B151,C_DEFINE,"Sí"))</f>
        <v/>
      </c>
      <c r="I151" s="70" t="str">
        <f aca="false">IF(B151="","",IF(H151=0,"Sin contrato",IFERROR(INDEX(C_TIPO,MATCH(B151&amp;"-P"&amp;MAX(1,G151),C_CLAVE,0))&amp;"","")))</f>
        <v/>
      </c>
      <c r="J151" s="70" t="str">
        <f aca="false">IF(OR(B151="",N(H151)=0),"",IFERROR(INDEX(C_TIPODOC,MATCH(B151&amp;"-P"&amp;MAX(1,G151),C_CLAVE,0))&amp;"",""))</f>
        <v/>
      </c>
      <c r="K151" s="76" t="str">
        <f aca="false">IF(I151="Plazo fijo",IFERROR(INDEX(C_NPF,MATCH(B151&amp;"-P"&amp;MAX(1,G151),C_CLAVE,0)),""),"")</f>
        <v/>
      </c>
      <c r="L151" s="70" t="str">
        <f aca="false">IF(B151="","",COUNTIFS(C_ID,B151,C_TIPODOC,"Anexo de modificación"))</f>
        <v/>
      </c>
      <c r="M151" s="75" t="str">
        <f aca="false">IF(OR(B151="",N(H151)=0),"",IFERROR(INDEX(C_INICIO,MATCH(B151&amp;"-P"&amp;MAX(1,G151),C_CLAVE,0)),""))</f>
        <v/>
      </c>
      <c r="N151" s="75" t="str">
        <f aca="false">IF(OR(I151="Plazo fijo",I151="Obra o faena"),IFERROR(IF(N(INDEX(C_TERMINO,MATCH(B151&amp;"-P"&amp;MAX(1,G151),C_CLAVE,0)))=0,"",INDEX(C_TERMINO,MATCH(B151&amp;"-P"&amp;MAX(1,G151),C_CLAVE,0))),""),"")</f>
        <v/>
      </c>
      <c r="O151" s="77" t="str">
        <f aca="false">IF(AND(ISNUMBER(N151),E151&lt;&gt;"Desvinculado"),N151-FECHA_CORTE,"")</f>
        <v/>
      </c>
      <c r="P151" s="75" t="str">
        <f aca="false">IF(AND(ISNUMBER(N151),E151&lt;&gt;"Desvinculado"),N151-DIAS_DECISION,"")</f>
        <v/>
      </c>
      <c r="Q151" s="75" t="str">
        <f aca="false">IF(OR(B151="",N(H151)&lt;=N(G151)),"",IFERROR(INDEX(C_INICIO,MATCH(B151&amp;"-P"&amp;(G151+1),C_CLAVE,0)),""))</f>
        <v/>
      </c>
      <c r="R151" s="70" t="str">
        <f aca="false">IF(B151="","",IF(E151="Desvinculado","Terminado",IF(H151=0,"Sin contrato registrado",IF(E151="Por ingresar","Por ingresar",IF(ISNUMBER(Q151),"Renovación registrada",IF(I151="Indefinido","Indefinido",IF(NOT(ISNUMBER(O151)),"Falta fecha de término",IF(O151&lt;0,"VENCIDO",IF(O151&lt;=ALERTA_ROJA,"Vence en ≤ "&amp;ALERTA_ROJA&amp;" días",IF(O151&lt;=ALERTA_NARANJA,"Vence en ≤ "&amp;ALERTA_NARANJA&amp;" días",IF(O151&lt;=ALERTA_AMARILLA,"Vence en ≤ "&amp;ALERTA_AMARILLA&amp;" días","Vigente")))))))))))</f>
        <v/>
      </c>
      <c r="S151" s="70" t="str">
        <f aca="false">IF(B151="","",IF(R151="Terminado","—",IF(R151="Sin contrato registrado","Registrar el contrato en la hoja Contratos",IF(R151="Por ingresar","Tener el contrato firmado y hacer el alta en AFP, salud, seguro de cesantía y mutual",IF(R151="Renovación registrada",IF(AND(N(K151)&gt;=2,IFERROR(INDEX(C_TIPO,MATCH(B151&amp;"-P"&amp;(G151+1),C_CLAVE,0)),"")="Plazo fijo"),"⚠ El período registrado sería el 3er contrato a plazo: por ley es INDEFINIDO. Registrarlo como Paso a indefinido","Siguiente período ya registrado: verificar que el documento esté firmado"),IF(I151="Indefinido","Sin vencimiento. Cambios de sueldo, cargo o jornada se formalizan con anexo de modificación",IF(R151="Falta fecha de término","Completar la fecha de término en la hoja Contratos",IF(R151="VENCIDO","Si sigue trabajando, por ley el contrato ya es INDEFINIDO (Art. 159 N°4): firmar anexo de paso a indefinido o regularizar el término",IF(I151="Obra o faena","Al concluir la obra: finiquito por Art. 159 N°5 + indemnización de 2,5 días por mes trabajado (Ley 21.122)",IF(N(K151)&gt;=3,"Por ley ya es indefinido (2ª renovación): firmar anexo de paso a indefinido",IF(N(K151)=2,"2° contrato a plazo: NO admite otra renovación a plazo fijo. Pasar a indefinido o terminar al vencimiento (carta dentro de 3 días hábiles)","1er contrato a plazo: renovar (2° plazo fijo), pasar a indefinido o terminar al vencimiento (carta dentro de 3 días hábiles)")))))))))))</f>
        <v/>
      </c>
      <c r="T151" s="70" t="str">
        <f aca="false">IF(B151="","",IF(COUNTIFS(C_ID,B151,C_FIRMADO,"&lt;&gt;Sí")&gt;0,COUNTIFS(C_ID,B151,C_FIRMADO,"&lt;&gt;Sí")&amp;" documento(s) sin firma. ","")&amp;IF(COUNTIFS(C_ID,B151,C_TIPO,"Plazo fijo",C_DEFINE,"Sí")&gt;2,"Más de 2 contratos a plazo: revisar presunción de indefinido. ","")&amp;IF(AND(R151="VENCIDO",LEFT(E151,6)="Activo"),"Trabaja con contrato vencido. ",""))</f>
        <v/>
      </c>
      <c r="U151" s="71" t="str">
        <f aca="false">IF(B151="","",INDEX(T_SUELDO,145))</f>
        <v/>
      </c>
      <c r="V151" s="72" t="str">
        <f aca="false">IF(AND(B151&lt;&gt;"",LEFT(E151,6)="Activo",ISNUMBER(O151),R151&lt;&gt;"Renovación registrada"),O151+ROW()/100000,"")</f>
        <v/>
      </c>
    </row>
    <row r="152" customFormat="false" ht="15" hidden="false" customHeight="false" outlineLevel="0" collapsed="false">
      <c r="B152" s="70" t="str">
        <f aca="false">IFERROR(IF(INDEX(T_ID,146)="","",INDEX(T_ID,146)),"")</f>
        <v/>
      </c>
      <c r="C152" s="70" t="str">
        <f aca="false">IF(B152="","",INDEX(T_NOMBRE,146)&amp;"")</f>
        <v/>
      </c>
      <c r="D152" s="70" t="str">
        <f aca="false">IF(B152="","",INDEX(T_CARGO,146)&amp;"")</f>
        <v/>
      </c>
      <c r="E152" s="70" t="str">
        <f aca="false">IF(B152="","",INDEX(T_ESTADO,146))</f>
        <v/>
      </c>
      <c r="F152" s="75" t="str">
        <f aca="false">IF(B152="","",INDEX(T_INGRESO,146))</f>
        <v/>
      </c>
      <c r="G152" s="70" t="str">
        <f aca="false">IF(B152="","",COUNTIFS(C_ID,B152,C_DEFINE,"Sí",C_INICIO,"&lt;="&amp;FECHA_CORTE))</f>
        <v/>
      </c>
      <c r="H152" s="70" t="str">
        <f aca="false">IF(B152="","",COUNTIFS(C_ID,B152,C_DEFINE,"Sí"))</f>
        <v/>
      </c>
      <c r="I152" s="70" t="str">
        <f aca="false">IF(B152="","",IF(H152=0,"Sin contrato",IFERROR(INDEX(C_TIPO,MATCH(B152&amp;"-P"&amp;MAX(1,G152),C_CLAVE,0))&amp;"","")))</f>
        <v/>
      </c>
      <c r="J152" s="70" t="str">
        <f aca="false">IF(OR(B152="",N(H152)=0),"",IFERROR(INDEX(C_TIPODOC,MATCH(B152&amp;"-P"&amp;MAX(1,G152),C_CLAVE,0))&amp;"",""))</f>
        <v/>
      </c>
      <c r="K152" s="76" t="str">
        <f aca="false">IF(I152="Plazo fijo",IFERROR(INDEX(C_NPF,MATCH(B152&amp;"-P"&amp;MAX(1,G152),C_CLAVE,0)),""),"")</f>
        <v/>
      </c>
      <c r="L152" s="70" t="str">
        <f aca="false">IF(B152="","",COUNTIFS(C_ID,B152,C_TIPODOC,"Anexo de modificación"))</f>
        <v/>
      </c>
      <c r="M152" s="75" t="str">
        <f aca="false">IF(OR(B152="",N(H152)=0),"",IFERROR(INDEX(C_INICIO,MATCH(B152&amp;"-P"&amp;MAX(1,G152),C_CLAVE,0)),""))</f>
        <v/>
      </c>
      <c r="N152" s="75" t="str">
        <f aca="false">IF(OR(I152="Plazo fijo",I152="Obra o faena"),IFERROR(IF(N(INDEX(C_TERMINO,MATCH(B152&amp;"-P"&amp;MAX(1,G152),C_CLAVE,0)))=0,"",INDEX(C_TERMINO,MATCH(B152&amp;"-P"&amp;MAX(1,G152),C_CLAVE,0))),""),"")</f>
        <v/>
      </c>
      <c r="O152" s="77" t="str">
        <f aca="false">IF(AND(ISNUMBER(N152),E152&lt;&gt;"Desvinculado"),N152-FECHA_CORTE,"")</f>
        <v/>
      </c>
      <c r="P152" s="75" t="str">
        <f aca="false">IF(AND(ISNUMBER(N152),E152&lt;&gt;"Desvinculado"),N152-DIAS_DECISION,"")</f>
        <v/>
      </c>
      <c r="Q152" s="75" t="str">
        <f aca="false">IF(OR(B152="",N(H152)&lt;=N(G152)),"",IFERROR(INDEX(C_INICIO,MATCH(B152&amp;"-P"&amp;(G152+1),C_CLAVE,0)),""))</f>
        <v/>
      </c>
      <c r="R152" s="70" t="str">
        <f aca="false">IF(B152="","",IF(E152="Desvinculado","Terminado",IF(H152=0,"Sin contrato registrado",IF(E152="Por ingresar","Por ingresar",IF(ISNUMBER(Q152),"Renovación registrada",IF(I152="Indefinido","Indefinido",IF(NOT(ISNUMBER(O152)),"Falta fecha de término",IF(O152&lt;0,"VENCIDO",IF(O152&lt;=ALERTA_ROJA,"Vence en ≤ "&amp;ALERTA_ROJA&amp;" días",IF(O152&lt;=ALERTA_NARANJA,"Vence en ≤ "&amp;ALERTA_NARANJA&amp;" días",IF(O152&lt;=ALERTA_AMARILLA,"Vence en ≤ "&amp;ALERTA_AMARILLA&amp;" días","Vigente")))))))))))</f>
        <v/>
      </c>
      <c r="S152" s="70" t="str">
        <f aca="false">IF(B152="","",IF(R152="Terminado","—",IF(R152="Sin contrato registrado","Registrar el contrato en la hoja Contratos",IF(R152="Por ingresar","Tener el contrato firmado y hacer el alta en AFP, salud, seguro de cesantía y mutual",IF(R152="Renovación registrada",IF(AND(N(K152)&gt;=2,IFERROR(INDEX(C_TIPO,MATCH(B152&amp;"-P"&amp;(G152+1),C_CLAVE,0)),"")="Plazo fijo"),"⚠ El período registrado sería el 3er contrato a plazo: por ley es INDEFINIDO. Registrarlo como Paso a indefinido","Siguiente período ya registrado: verificar que el documento esté firmado"),IF(I152="Indefinido","Sin vencimiento. Cambios de sueldo, cargo o jornada se formalizan con anexo de modificación",IF(R152="Falta fecha de término","Completar la fecha de término en la hoja Contratos",IF(R152="VENCIDO","Si sigue trabajando, por ley el contrato ya es INDEFINIDO (Art. 159 N°4): firmar anexo de paso a indefinido o regularizar el término",IF(I152="Obra o faena","Al concluir la obra: finiquito por Art. 159 N°5 + indemnización de 2,5 días por mes trabajado (Ley 21.122)",IF(N(K152)&gt;=3,"Por ley ya es indefinido (2ª renovación): firmar anexo de paso a indefinido",IF(N(K152)=2,"2° contrato a plazo: NO admite otra renovación a plazo fijo. Pasar a indefinido o terminar al vencimiento (carta dentro de 3 días hábiles)","1er contrato a plazo: renovar (2° plazo fijo), pasar a indefinido o terminar al vencimiento (carta dentro de 3 días hábiles)")))))))))))</f>
        <v/>
      </c>
      <c r="T152" s="70" t="str">
        <f aca="false">IF(B152="","",IF(COUNTIFS(C_ID,B152,C_FIRMADO,"&lt;&gt;Sí")&gt;0,COUNTIFS(C_ID,B152,C_FIRMADO,"&lt;&gt;Sí")&amp;" documento(s) sin firma. ","")&amp;IF(COUNTIFS(C_ID,B152,C_TIPO,"Plazo fijo",C_DEFINE,"Sí")&gt;2,"Más de 2 contratos a plazo: revisar presunción de indefinido. ","")&amp;IF(AND(R152="VENCIDO",LEFT(E152,6)="Activo"),"Trabaja con contrato vencido. ",""))</f>
        <v/>
      </c>
      <c r="U152" s="71" t="str">
        <f aca="false">IF(B152="","",INDEX(T_SUELDO,146))</f>
        <v/>
      </c>
      <c r="V152" s="72" t="str">
        <f aca="false">IF(AND(B152&lt;&gt;"",LEFT(E152,6)="Activo",ISNUMBER(O152),R152&lt;&gt;"Renovación registrada"),O152+ROW()/100000,"")</f>
        <v/>
      </c>
    </row>
    <row r="153" customFormat="false" ht="15" hidden="false" customHeight="false" outlineLevel="0" collapsed="false">
      <c r="B153" s="70" t="str">
        <f aca="false">IFERROR(IF(INDEX(T_ID,147)="","",INDEX(T_ID,147)),"")</f>
        <v/>
      </c>
      <c r="C153" s="70" t="str">
        <f aca="false">IF(B153="","",INDEX(T_NOMBRE,147)&amp;"")</f>
        <v/>
      </c>
      <c r="D153" s="70" t="str">
        <f aca="false">IF(B153="","",INDEX(T_CARGO,147)&amp;"")</f>
        <v/>
      </c>
      <c r="E153" s="70" t="str">
        <f aca="false">IF(B153="","",INDEX(T_ESTADO,147))</f>
        <v/>
      </c>
      <c r="F153" s="75" t="str">
        <f aca="false">IF(B153="","",INDEX(T_INGRESO,147))</f>
        <v/>
      </c>
      <c r="G153" s="70" t="str">
        <f aca="false">IF(B153="","",COUNTIFS(C_ID,B153,C_DEFINE,"Sí",C_INICIO,"&lt;="&amp;FECHA_CORTE))</f>
        <v/>
      </c>
      <c r="H153" s="70" t="str">
        <f aca="false">IF(B153="","",COUNTIFS(C_ID,B153,C_DEFINE,"Sí"))</f>
        <v/>
      </c>
      <c r="I153" s="70" t="str">
        <f aca="false">IF(B153="","",IF(H153=0,"Sin contrato",IFERROR(INDEX(C_TIPO,MATCH(B153&amp;"-P"&amp;MAX(1,G153),C_CLAVE,0))&amp;"","")))</f>
        <v/>
      </c>
      <c r="J153" s="70" t="str">
        <f aca="false">IF(OR(B153="",N(H153)=0),"",IFERROR(INDEX(C_TIPODOC,MATCH(B153&amp;"-P"&amp;MAX(1,G153),C_CLAVE,0))&amp;"",""))</f>
        <v/>
      </c>
      <c r="K153" s="76" t="str">
        <f aca="false">IF(I153="Plazo fijo",IFERROR(INDEX(C_NPF,MATCH(B153&amp;"-P"&amp;MAX(1,G153),C_CLAVE,0)),""),"")</f>
        <v/>
      </c>
      <c r="L153" s="70" t="str">
        <f aca="false">IF(B153="","",COUNTIFS(C_ID,B153,C_TIPODOC,"Anexo de modificación"))</f>
        <v/>
      </c>
      <c r="M153" s="75" t="str">
        <f aca="false">IF(OR(B153="",N(H153)=0),"",IFERROR(INDEX(C_INICIO,MATCH(B153&amp;"-P"&amp;MAX(1,G153),C_CLAVE,0)),""))</f>
        <v/>
      </c>
      <c r="N153" s="75" t="str">
        <f aca="false">IF(OR(I153="Plazo fijo",I153="Obra o faena"),IFERROR(IF(N(INDEX(C_TERMINO,MATCH(B153&amp;"-P"&amp;MAX(1,G153),C_CLAVE,0)))=0,"",INDEX(C_TERMINO,MATCH(B153&amp;"-P"&amp;MAX(1,G153),C_CLAVE,0))),""),"")</f>
        <v/>
      </c>
      <c r="O153" s="77" t="str">
        <f aca="false">IF(AND(ISNUMBER(N153),E153&lt;&gt;"Desvinculado"),N153-FECHA_CORTE,"")</f>
        <v/>
      </c>
      <c r="P153" s="75" t="str">
        <f aca="false">IF(AND(ISNUMBER(N153),E153&lt;&gt;"Desvinculado"),N153-DIAS_DECISION,"")</f>
        <v/>
      </c>
      <c r="Q153" s="75" t="str">
        <f aca="false">IF(OR(B153="",N(H153)&lt;=N(G153)),"",IFERROR(INDEX(C_INICIO,MATCH(B153&amp;"-P"&amp;(G153+1),C_CLAVE,0)),""))</f>
        <v/>
      </c>
      <c r="R153" s="70" t="str">
        <f aca="false">IF(B153="","",IF(E153="Desvinculado","Terminado",IF(H153=0,"Sin contrato registrado",IF(E153="Por ingresar","Por ingresar",IF(ISNUMBER(Q153),"Renovación registrada",IF(I153="Indefinido","Indefinido",IF(NOT(ISNUMBER(O153)),"Falta fecha de término",IF(O153&lt;0,"VENCIDO",IF(O153&lt;=ALERTA_ROJA,"Vence en ≤ "&amp;ALERTA_ROJA&amp;" días",IF(O153&lt;=ALERTA_NARANJA,"Vence en ≤ "&amp;ALERTA_NARANJA&amp;" días",IF(O153&lt;=ALERTA_AMARILLA,"Vence en ≤ "&amp;ALERTA_AMARILLA&amp;" días","Vigente")))))))))))</f>
        <v/>
      </c>
      <c r="S153" s="70" t="str">
        <f aca="false">IF(B153="","",IF(R153="Terminado","—",IF(R153="Sin contrato registrado","Registrar el contrato en la hoja Contratos",IF(R153="Por ingresar","Tener el contrato firmado y hacer el alta en AFP, salud, seguro de cesantía y mutual",IF(R153="Renovación registrada",IF(AND(N(K153)&gt;=2,IFERROR(INDEX(C_TIPO,MATCH(B153&amp;"-P"&amp;(G153+1),C_CLAVE,0)),"")="Plazo fijo"),"⚠ El período registrado sería el 3er contrato a plazo: por ley es INDEFINIDO. Registrarlo como Paso a indefinido","Siguiente período ya registrado: verificar que el documento esté firmado"),IF(I153="Indefinido","Sin vencimiento. Cambios de sueldo, cargo o jornada se formalizan con anexo de modificación",IF(R153="Falta fecha de término","Completar la fecha de término en la hoja Contratos",IF(R153="VENCIDO","Si sigue trabajando, por ley el contrato ya es INDEFINIDO (Art. 159 N°4): firmar anexo de paso a indefinido o regularizar el término",IF(I153="Obra o faena","Al concluir la obra: finiquito por Art. 159 N°5 + indemnización de 2,5 días por mes trabajado (Ley 21.122)",IF(N(K153)&gt;=3,"Por ley ya es indefinido (2ª renovación): firmar anexo de paso a indefinido",IF(N(K153)=2,"2° contrato a plazo: NO admite otra renovación a plazo fijo. Pasar a indefinido o terminar al vencimiento (carta dentro de 3 días hábiles)","1er contrato a plazo: renovar (2° plazo fijo), pasar a indefinido o terminar al vencimiento (carta dentro de 3 días hábiles)")))))))))))</f>
        <v/>
      </c>
      <c r="T153" s="70" t="str">
        <f aca="false">IF(B153="","",IF(COUNTIFS(C_ID,B153,C_FIRMADO,"&lt;&gt;Sí")&gt;0,COUNTIFS(C_ID,B153,C_FIRMADO,"&lt;&gt;Sí")&amp;" documento(s) sin firma. ","")&amp;IF(COUNTIFS(C_ID,B153,C_TIPO,"Plazo fijo",C_DEFINE,"Sí")&gt;2,"Más de 2 contratos a plazo: revisar presunción de indefinido. ","")&amp;IF(AND(R153="VENCIDO",LEFT(E153,6)="Activo"),"Trabaja con contrato vencido. ",""))</f>
        <v/>
      </c>
      <c r="U153" s="71" t="str">
        <f aca="false">IF(B153="","",INDEX(T_SUELDO,147))</f>
        <v/>
      </c>
      <c r="V153" s="72" t="str">
        <f aca="false">IF(AND(B153&lt;&gt;"",LEFT(E153,6)="Activo",ISNUMBER(O153),R153&lt;&gt;"Renovación registrada"),O153+ROW()/100000,"")</f>
        <v/>
      </c>
    </row>
    <row r="154" customFormat="false" ht="15" hidden="false" customHeight="false" outlineLevel="0" collapsed="false">
      <c r="B154" s="70" t="str">
        <f aca="false">IFERROR(IF(INDEX(T_ID,148)="","",INDEX(T_ID,148)),"")</f>
        <v/>
      </c>
      <c r="C154" s="70" t="str">
        <f aca="false">IF(B154="","",INDEX(T_NOMBRE,148)&amp;"")</f>
        <v/>
      </c>
      <c r="D154" s="70" t="str">
        <f aca="false">IF(B154="","",INDEX(T_CARGO,148)&amp;"")</f>
        <v/>
      </c>
      <c r="E154" s="70" t="str">
        <f aca="false">IF(B154="","",INDEX(T_ESTADO,148))</f>
        <v/>
      </c>
      <c r="F154" s="75" t="str">
        <f aca="false">IF(B154="","",INDEX(T_INGRESO,148))</f>
        <v/>
      </c>
      <c r="G154" s="70" t="str">
        <f aca="false">IF(B154="","",COUNTIFS(C_ID,B154,C_DEFINE,"Sí",C_INICIO,"&lt;="&amp;FECHA_CORTE))</f>
        <v/>
      </c>
      <c r="H154" s="70" t="str">
        <f aca="false">IF(B154="","",COUNTIFS(C_ID,B154,C_DEFINE,"Sí"))</f>
        <v/>
      </c>
      <c r="I154" s="70" t="str">
        <f aca="false">IF(B154="","",IF(H154=0,"Sin contrato",IFERROR(INDEX(C_TIPO,MATCH(B154&amp;"-P"&amp;MAX(1,G154),C_CLAVE,0))&amp;"","")))</f>
        <v/>
      </c>
      <c r="J154" s="70" t="str">
        <f aca="false">IF(OR(B154="",N(H154)=0),"",IFERROR(INDEX(C_TIPODOC,MATCH(B154&amp;"-P"&amp;MAX(1,G154),C_CLAVE,0))&amp;"",""))</f>
        <v/>
      </c>
      <c r="K154" s="76" t="str">
        <f aca="false">IF(I154="Plazo fijo",IFERROR(INDEX(C_NPF,MATCH(B154&amp;"-P"&amp;MAX(1,G154),C_CLAVE,0)),""),"")</f>
        <v/>
      </c>
      <c r="L154" s="70" t="str">
        <f aca="false">IF(B154="","",COUNTIFS(C_ID,B154,C_TIPODOC,"Anexo de modificación"))</f>
        <v/>
      </c>
      <c r="M154" s="75" t="str">
        <f aca="false">IF(OR(B154="",N(H154)=0),"",IFERROR(INDEX(C_INICIO,MATCH(B154&amp;"-P"&amp;MAX(1,G154),C_CLAVE,0)),""))</f>
        <v/>
      </c>
      <c r="N154" s="75" t="str">
        <f aca="false">IF(OR(I154="Plazo fijo",I154="Obra o faena"),IFERROR(IF(N(INDEX(C_TERMINO,MATCH(B154&amp;"-P"&amp;MAX(1,G154),C_CLAVE,0)))=0,"",INDEX(C_TERMINO,MATCH(B154&amp;"-P"&amp;MAX(1,G154),C_CLAVE,0))),""),"")</f>
        <v/>
      </c>
      <c r="O154" s="77" t="str">
        <f aca="false">IF(AND(ISNUMBER(N154),E154&lt;&gt;"Desvinculado"),N154-FECHA_CORTE,"")</f>
        <v/>
      </c>
      <c r="P154" s="75" t="str">
        <f aca="false">IF(AND(ISNUMBER(N154),E154&lt;&gt;"Desvinculado"),N154-DIAS_DECISION,"")</f>
        <v/>
      </c>
      <c r="Q154" s="75" t="str">
        <f aca="false">IF(OR(B154="",N(H154)&lt;=N(G154)),"",IFERROR(INDEX(C_INICIO,MATCH(B154&amp;"-P"&amp;(G154+1),C_CLAVE,0)),""))</f>
        <v/>
      </c>
      <c r="R154" s="70" t="str">
        <f aca="false">IF(B154="","",IF(E154="Desvinculado","Terminado",IF(H154=0,"Sin contrato registrado",IF(E154="Por ingresar","Por ingresar",IF(ISNUMBER(Q154),"Renovación registrada",IF(I154="Indefinido","Indefinido",IF(NOT(ISNUMBER(O154)),"Falta fecha de término",IF(O154&lt;0,"VENCIDO",IF(O154&lt;=ALERTA_ROJA,"Vence en ≤ "&amp;ALERTA_ROJA&amp;" días",IF(O154&lt;=ALERTA_NARANJA,"Vence en ≤ "&amp;ALERTA_NARANJA&amp;" días",IF(O154&lt;=ALERTA_AMARILLA,"Vence en ≤ "&amp;ALERTA_AMARILLA&amp;" días","Vigente")))))))))))</f>
        <v/>
      </c>
      <c r="S154" s="70" t="str">
        <f aca="false">IF(B154="","",IF(R154="Terminado","—",IF(R154="Sin contrato registrado","Registrar el contrato en la hoja Contratos",IF(R154="Por ingresar","Tener el contrato firmado y hacer el alta en AFP, salud, seguro de cesantía y mutual",IF(R154="Renovación registrada",IF(AND(N(K154)&gt;=2,IFERROR(INDEX(C_TIPO,MATCH(B154&amp;"-P"&amp;(G154+1),C_CLAVE,0)),"")="Plazo fijo"),"⚠ El período registrado sería el 3er contrato a plazo: por ley es INDEFINIDO. Registrarlo como Paso a indefinido","Siguiente período ya registrado: verificar que el documento esté firmado"),IF(I154="Indefinido","Sin vencimiento. Cambios de sueldo, cargo o jornada se formalizan con anexo de modificación",IF(R154="Falta fecha de término","Completar la fecha de término en la hoja Contratos",IF(R154="VENCIDO","Si sigue trabajando, por ley el contrato ya es INDEFINIDO (Art. 159 N°4): firmar anexo de paso a indefinido o regularizar el término",IF(I154="Obra o faena","Al concluir la obra: finiquito por Art. 159 N°5 + indemnización de 2,5 días por mes trabajado (Ley 21.122)",IF(N(K154)&gt;=3,"Por ley ya es indefinido (2ª renovación): firmar anexo de paso a indefinido",IF(N(K154)=2,"2° contrato a plazo: NO admite otra renovación a plazo fijo. Pasar a indefinido o terminar al vencimiento (carta dentro de 3 días hábiles)","1er contrato a plazo: renovar (2° plazo fijo), pasar a indefinido o terminar al vencimiento (carta dentro de 3 días hábiles)")))))))))))</f>
        <v/>
      </c>
      <c r="T154" s="70" t="str">
        <f aca="false">IF(B154="","",IF(COUNTIFS(C_ID,B154,C_FIRMADO,"&lt;&gt;Sí")&gt;0,COUNTIFS(C_ID,B154,C_FIRMADO,"&lt;&gt;Sí")&amp;" documento(s) sin firma. ","")&amp;IF(COUNTIFS(C_ID,B154,C_TIPO,"Plazo fijo",C_DEFINE,"Sí")&gt;2,"Más de 2 contratos a plazo: revisar presunción de indefinido. ","")&amp;IF(AND(R154="VENCIDO",LEFT(E154,6)="Activo"),"Trabaja con contrato vencido. ",""))</f>
        <v/>
      </c>
      <c r="U154" s="71" t="str">
        <f aca="false">IF(B154="","",INDEX(T_SUELDO,148))</f>
        <v/>
      </c>
      <c r="V154" s="72" t="str">
        <f aca="false">IF(AND(B154&lt;&gt;"",LEFT(E154,6)="Activo",ISNUMBER(O154),R154&lt;&gt;"Renovación registrada"),O154+ROW()/100000,"")</f>
        <v/>
      </c>
    </row>
    <row r="155" customFormat="false" ht="15" hidden="false" customHeight="false" outlineLevel="0" collapsed="false">
      <c r="B155" s="70" t="str">
        <f aca="false">IFERROR(IF(INDEX(T_ID,149)="","",INDEX(T_ID,149)),"")</f>
        <v/>
      </c>
      <c r="C155" s="70" t="str">
        <f aca="false">IF(B155="","",INDEX(T_NOMBRE,149)&amp;"")</f>
        <v/>
      </c>
      <c r="D155" s="70" t="str">
        <f aca="false">IF(B155="","",INDEX(T_CARGO,149)&amp;"")</f>
        <v/>
      </c>
      <c r="E155" s="70" t="str">
        <f aca="false">IF(B155="","",INDEX(T_ESTADO,149))</f>
        <v/>
      </c>
      <c r="F155" s="75" t="str">
        <f aca="false">IF(B155="","",INDEX(T_INGRESO,149))</f>
        <v/>
      </c>
      <c r="G155" s="70" t="str">
        <f aca="false">IF(B155="","",COUNTIFS(C_ID,B155,C_DEFINE,"Sí",C_INICIO,"&lt;="&amp;FECHA_CORTE))</f>
        <v/>
      </c>
      <c r="H155" s="70" t="str">
        <f aca="false">IF(B155="","",COUNTIFS(C_ID,B155,C_DEFINE,"Sí"))</f>
        <v/>
      </c>
      <c r="I155" s="70" t="str">
        <f aca="false">IF(B155="","",IF(H155=0,"Sin contrato",IFERROR(INDEX(C_TIPO,MATCH(B155&amp;"-P"&amp;MAX(1,G155),C_CLAVE,0))&amp;"","")))</f>
        <v/>
      </c>
      <c r="J155" s="70" t="str">
        <f aca="false">IF(OR(B155="",N(H155)=0),"",IFERROR(INDEX(C_TIPODOC,MATCH(B155&amp;"-P"&amp;MAX(1,G155),C_CLAVE,0))&amp;"",""))</f>
        <v/>
      </c>
      <c r="K155" s="76" t="str">
        <f aca="false">IF(I155="Plazo fijo",IFERROR(INDEX(C_NPF,MATCH(B155&amp;"-P"&amp;MAX(1,G155),C_CLAVE,0)),""),"")</f>
        <v/>
      </c>
      <c r="L155" s="70" t="str">
        <f aca="false">IF(B155="","",COUNTIFS(C_ID,B155,C_TIPODOC,"Anexo de modificación"))</f>
        <v/>
      </c>
      <c r="M155" s="75" t="str">
        <f aca="false">IF(OR(B155="",N(H155)=0),"",IFERROR(INDEX(C_INICIO,MATCH(B155&amp;"-P"&amp;MAX(1,G155),C_CLAVE,0)),""))</f>
        <v/>
      </c>
      <c r="N155" s="75" t="str">
        <f aca="false">IF(OR(I155="Plazo fijo",I155="Obra o faena"),IFERROR(IF(N(INDEX(C_TERMINO,MATCH(B155&amp;"-P"&amp;MAX(1,G155),C_CLAVE,0)))=0,"",INDEX(C_TERMINO,MATCH(B155&amp;"-P"&amp;MAX(1,G155),C_CLAVE,0))),""),"")</f>
        <v/>
      </c>
      <c r="O155" s="77" t="str">
        <f aca="false">IF(AND(ISNUMBER(N155),E155&lt;&gt;"Desvinculado"),N155-FECHA_CORTE,"")</f>
        <v/>
      </c>
      <c r="P155" s="75" t="str">
        <f aca="false">IF(AND(ISNUMBER(N155),E155&lt;&gt;"Desvinculado"),N155-DIAS_DECISION,"")</f>
        <v/>
      </c>
      <c r="Q155" s="75" t="str">
        <f aca="false">IF(OR(B155="",N(H155)&lt;=N(G155)),"",IFERROR(INDEX(C_INICIO,MATCH(B155&amp;"-P"&amp;(G155+1),C_CLAVE,0)),""))</f>
        <v/>
      </c>
      <c r="R155" s="70" t="str">
        <f aca="false">IF(B155="","",IF(E155="Desvinculado","Terminado",IF(H155=0,"Sin contrato registrado",IF(E155="Por ingresar","Por ingresar",IF(ISNUMBER(Q155),"Renovación registrada",IF(I155="Indefinido","Indefinido",IF(NOT(ISNUMBER(O155)),"Falta fecha de término",IF(O155&lt;0,"VENCIDO",IF(O155&lt;=ALERTA_ROJA,"Vence en ≤ "&amp;ALERTA_ROJA&amp;" días",IF(O155&lt;=ALERTA_NARANJA,"Vence en ≤ "&amp;ALERTA_NARANJA&amp;" días",IF(O155&lt;=ALERTA_AMARILLA,"Vence en ≤ "&amp;ALERTA_AMARILLA&amp;" días","Vigente")))))))))))</f>
        <v/>
      </c>
      <c r="S155" s="70" t="str">
        <f aca="false">IF(B155="","",IF(R155="Terminado","—",IF(R155="Sin contrato registrado","Registrar el contrato en la hoja Contratos",IF(R155="Por ingresar","Tener el contrato firmado y hacer el alta en AFP, salud, seguro de cesantía y mutual",IF(R155="Renovación registrada",IF(AND(N(K155)&gt;=2,IFERROR(INDEX(C_TIPO,MATCH(B155&amp;"-P"&amp;(G155+1),C_CLAVE,0)),"")="Plazo fijo"),"⚠ El período registrado sería el 3er contrato a plazo: por ley es INDEFINIDO. Registrarlo como Paso a indefinido","Siguiente período ya registrado: verificar que el documento esté firmado"),IF(I155="Indefinido","Sin vencimiento. Cambios de sueldo, cargo o jornada se formalizan con anexo de modificación",IF(R155="Falta fecha de término","Completar la fecha de término en la hoja Contratos",IF(R155="VENCIDO","Si sigue trabajando, por ley el contrato ya es INDEFINIDO (Art. 159 N°4): firmar anexo de paso a indefinido o regularizar el término",IF(I155="Obra o faena","Al concluir la obra: finiquito por Art. 159 N°5 + indemnización de 2,5 días por mes trabajado (Ley 21.122)",IF(N(K155)&gt;=3,"Por ley ya es indefinido (2ª renovación): firmar anexo de paso a indefinido",IF(N(K155)=2,"2° contrato a plazo: NO admite otra renovación a plazo fijo. Pasar a indefinido o terminar al vencimiento (carta dentro de 3 días hábiles)","1er contrato a plazo: renovar (2° plazo fijo), pasar a indefinido o terminar al vencimiento (carta dentro de 3 días hábiles)")))))))))))</f>
        <v/>
      </c>
      <c r="T155" s="70" t="str">
        <f aca="false">IF(B155="","",IF(COUNTIFS(C_ID,B155,C_FIRMADO,"&lt;&gt;Sí")&gt;0,COUNTIFS(C_ID,B155,C_FIRMADO,"&lt;&gt;Sí")&amp;" documento(s) sin firma. ","")&amp;IF(COUNTIFS(C_ID,B155,C_TIPO,"Plazo fijo",C_DEFINE,"Sí")&gt;2,"Más de 2 contratos a plazo: revisar presunción de indefinido. ","")&amp;IF(AND(R155="VENCIDO",LEFT(E155,6)="Activo"),"Trabaja con contrato vencido. ",""))</f>
        <v/>
      </c>
      <c r="U155" s="71" t="str">
        <f aca="false">IF(B155="","",INDEX(T_SUELDO,149))</f>
        <v/>
      </c>
      <c r="V155" s="72" t="str">
        <f aca="false">IF(AND(B155&lt;&gt;"",LEFT(E155,6)="Activo",ISNUMBER(O155),R155&lt;&gt;"Renovación registrada"),O155+ROW()/100000,"")</f>
        <v/>
      </c>
    </row>
    <row r="156" customFormat="false" ht="15" hidden="false" customHeight="false" outlineLevel="0" collapsed="false">
      <c r="B156" s="70" t="str">
        <f aca="false">IFERROR(IF(INDEX(T_ID,150)="","",INDEX(T_ID,150)),"")</f>
        <v/>
      </c>
      <c r="C156" s="70" t="str">
        <f aca="false">IF(B156="","",INDEX(T_NOMBRE,150)&amp;"")</f>
        <v/>
      </c>
      <c r="D156" s="70" t="str">
        <f aca="false">IF(B156="","",INDEX(T_CARGO,150)&amp;"")</f>
        <v/>
      </c>
      <c r="E156" s="70" t="str">
        <f aca="false">IF(B156="","",INDEX(T_ESTADO,150))</f>
        <v/>
      </c>
      <c r="F156" s="75" t="str">
        <f aca="false">IF(B156="","",INDEX(T_INGRESO,150))</f>
        <v/>
      </c>
      <c r="G156" s="70" t="str">
        <f aca="false">IF(B156="","",COUNTIFS(C_ID,B156,C_DEFINE,"Sí",C_INICIO,"&lt;="&amp;FECHA_CORTE))</f>
        <v/>
      </c>
      <c r="H156" s="70" t="str">
        <f aca="false">IF(B156="","",COUNTIFS(C_ID,B156,C_DEFINE,"Sí"))</f>
        <v/>
      </c>
      <c r="I156" s="70" t="str">
        <f aca="false">IF(B156="","",IF(H156=0,"Sin contrato",IFERROR(INDEX(C_TIPO,MATCH(B156&amp;"-P"&amp;MAX(1,G156),C_CLAVE,0))&amp;"","")))</f>
        <v/>
      </c>
      <c r="J156" s="70" t="str">
        <f aca="false">IF(OR(B156="",N(H156)=0),"",IFERROR(INDEX(C_TIPODOC,MATCH(B156&amp;"-P"&amp;MAX(1,G156),C_CLAVE,0))&amp;"",""))</f>
        <v/>
      </c>
      <c r="K156" s="76" t="str">
        <f aca="false">IF(I156="Plazo fijo",IFERROR(INDEX(C_NPF,MATCH(B156&amp;"-P"&amp;MAX(1,G156),C_CLAVE,0)),""),"")</f>
        <v/>
      </c>
      <c r="L156" s="70" t="str">
        <f aca="false">IF(B156="","",COUNTIFS(C_ID,B156,C_TIPODOC,"Anexo de modificación"))</f>
        <v/>
      </c>
      <c r="M156" s="75" t="str">
        <f aca="false">IF(OR(B156="",N(H156)=0),"",IFERROR(INDEX(C_INICIO,MATCH(B156&amp;"-P"&amp;MAX(1,G156),C_CLAVE,0)),""))</f>
        <v/>
      </c>
      <c r="N156" s="75" t="str">
        <f aca="false">IF(OR(I156="Plazo fijo",I156="Obra o faena"),IFERROR(IF(N(INDEX(C_TERMINO,MATCH(B156&amp;"-P"&amp;MAX(1,G156),C_CLAVE,0)))=0,"",INDEX(C_TERMINO,MATCH(B156&amp;"-P"&amp;MAX(1,G156),C_CLAVE,0))),""),"")</f>
        <v/>
      </c>
      <c r="O156" s="77" t="str">
        <f aca="false">IF(AND(ISNUMBER(N156),E156&lt;&gt;"Desvinculado"),N156-FECHA_CORTE,"")</f>
        <v/>
      </c>
      <c r="P156" s="75" t="str">
        <f aca="false">IF(AND(ISNUMBER(N156),E156&lt;&gt;"Desvinculado"),N156-DIAS_DECISION,"")</f>
        <v/>
      </c>
      <c r="Q156" s="75" t="str">
        <f aca="false">IF(OR(B156="",N(H156)&lt;=N(G156)),"",IFERROR(INDEX(C_INICIO,MATCH(B156&amp;"-P"&amp;(G156+1),C_CLAVE,0)),""))</f>
        <v/>
      </c>
      <c r="R156" s="70" t="str">
        <f aca="false">IF(B156="","",IF(E156="Desvinculado","Terminado",IF(H156=0,"Sin contrato registrado",IF(E156="Por ingresar","Por ingresar",IF(ISNUMBER(Q156),"Renovación registrada",IF(I156="Indefinido","Indefinido",IF(NOT(ISNUMBER(O156)),"Falta fecha de término",IF(O156&lt;0,"VENCIDO",IF(O156&lt;=ALERTA_ROJA,"Vence en ≤ "&amp;ALERTA_ROJA&amp;" días",IF(O156&lt;=ALERTA_NARANJA,"Vence en ≤ "&amp;ALERTA_NARANJA&amp;" días",IF(O156&lt;=ALERTA_AMARILLA,"Vence en ≤ "&amp;ALERTA_AMARILLA&amp;" días","Vigente")))))))))))</f>
        <v/>
      </c>
      <c r="S156" s="70" t="str">
        <f aca="false">IF(B156="","",IF(R156="Terminado","—",IF(R156="Sin contrato registrado","Registrar el contrato en la hoja Contratos",IF(R156="Por ingresar","Tener el contrato firmado y hacer el alta en AFP, salud, seguro de cesantía y mutual",IF(R156="Renovación registrada",IF(AND(N(K156)&gt;=2,IFERROR(INDEX(C_TIPO,MATCH(B156&amp;"-P"&amp;(G156+1),C_CLAVE,0)),"")="Plazo fijo"),"⚠ El período registrado sería el 3er contrato a plazo: por ley es INDEFINIDO. Registrarlo como Paso a indefinido","Siguiente período ya registrado: verificar que el documento esté firmado"),IF(I156="Indefinido","Sin vencimiento. Cambios de sueldo, cargo o jornada se formalizan con anexo de modificación",IF(R156="Falta fecha de término","Completar la fecha de término en la hoja Contratos",IF(R156="VENCIDO","Si sigue trabajando, por ley el contrato ya es INDEFINIDO (Art. 159 N°4): firmar anexo de paso a indefinido o regularizar el término",IF(I156="Obra o faena","Al concluir la obra: finiquito por Art. 159 N°5 + indemnización de 2,5 días por mes trabajado (Ley 21.122)",IF(N(K156)&gt;=3,"Por ley ya es indefinido (2ª renovación): firmar anexo de paso a indefinido",IF(N(K156)=2,"2° contrato a plazo: NO admite otra renovación a plazo fijo. Pasar a indefinido o terminar al vencimiento (carta dentro de 3 días hábiles)","1er contrato a plazo: renovar (2° plazo fijo), pasar a indefinido o terminar al vencimiento (carta dentro de 3 días hábiles)")))))))))))</f>
        <v/>
      </c>
      <c r="T156" s="70" t="str">
        <f aca="false">IF(B156="","",IF(COUNTIFS(C_ID,B156,C_FIRMADO,"&lt;&gt;Sí")&gt;0,COUNTIFS(C_ID,B156,C_FIRMADO,"&lt;&gt;Sí")&amp;" documento(s) sin firma. ","")&amp;IF(COUNTIFS(C_ID,B156,C_TIPO,"Plazo fijo",C_DEFINE,"Sí")&gt;2,"Más de 2 contratos a plazo: revisar presunción de indefinido. ","")&amp;IF(AND(R156="VENCIDO",LEFT(E156,6)="Activo"),"Trabaja con contrato vencido. ",""))</f>
        <v/>
      </c>
      <c r="U156" s="71" t="str">
        <f aca="false">IF(B156="","",INDEX(T_SUELDO,150))</f>
        <v/>
      </c>
      <c r="V156" s="72" t="str">
        <f aca="false">IF(AND(B156&lt;&gt;"",LEFT(E156,6)="Activo",ISNUMBER(O156),R156&lt;&gt;"Renovación registrada"),O156+ROW()/100000,"")</f>
        <v/>
      </c>
    </row>
  </sheetData>
  <autoFilter ref="B6:U156"/>
  <conditionalFormatting sqref="B7:U156">
    <cfRule type="expression" priority="2" aboveAverage="0" equalAverage="0" bottom="0" percent="0" rank="0" text="" dxfId="14">
      <formula>$R7="Terminado"</formula>
    </cfRule>
  </conditionalFormatting>
  <conditionalFormatting sqref="R7:R156">
    <cfRule type="expression" priority="3" aboveAverage="0" equalAverage="0" bottom="0" percent="0" rank="0" text="" dxfId="0">
      <formula>$R7="VENCIDO"</formula>
    </cfRule>
    <cfRule type="expression" priority="4" aboveAverage="0" equalAverage="0" bottom="0" percent="0" rank="0" text="" dxfId="1">
      <formula>AND(ISNUMBER($O7),$O7&lt;=ALERTA_ROJA,$R7&lt;&gt;"Renovación registrada",$R7&lt;&gt;"Terminado")</formula>
    </cfRule>
    <cfRule type="expression" priority="5" aboveAverage="0" equalAverage="0" bottom="0" percent="0" rank="0" text="" dxfId="19">
      <formula>AND(ISNUMBER($O7),$O7&lt;=ALERTA_NARANJA,$R7&lt;&gt;"Renovación registrada",$R7&lt;&gt;"Terminado")</formula>
    </cfRule>
    <cfRule type="expression" priority="6" aboveAverage="0" equalAverage="0" bottom="0" percent="0" rank="0" text="" dxfId="25">
      <formula>AND(ISNUMBER($O7),$O7&lt;=ALERTA_AMARILLA,$R7&lt;&gt;"Renovación registrada",$R7&lt;&gt;"Terminado")</formula>
    </cfRule>
    <cfRule type="expression" priority="7" aboveAverage="0" equalAverage="0" bottom="0" percent="0" rank="0" text="" dxfId="4">
      <formula>OR($R7="Indefinido",$R7="Vigente",$R7="Renovación registrada")</formula>
    </cfRule>
  </conditionalFormatting>
  <conditionalFormatting sqref="O7:O156">
    <cfRule type="expression" priority="8" aboveAverage="0" equalAverage="0" bottom="0" percent="0" rank="0" text="" dxfId="0">
      <formula>$R7="VENCIDO"</formula>
    </cfRule>
    <cfRule type="expression" priority="9" aboveAverage="0" equalAverage="0" bottom="0" percent="0" rank="0" text="" dxfId="1">
      <formula>AND(ISNUMBER($O7),$O7&lt;=ALERTA_ROJA,$R7&lt;&gt;"Renovación registrada",$R7&lt;&gt;"Terminado")</formula>
    </cfRule>
    <cfRule type="expression" priority="10" aboveAverage="0" equalAverage="0" bottom="0" percent="0" rank="0" text="" dxfId="19">
      <formula>AND(ISNUMBER($O7),$O7&lt;=ALERTA_NARANJA,$R7&lt;&gt;"Renovación registrada",$R7&lt;&gt;"Terminado")</formula>
    </cfRule>
    <cfRule type="expression" priority="11" aboveAverage="0" equalAverage="0" bottom="0" percent="0" rank="0" text="" dxfId="25">
      <formula>AND(ISNUMBER($O7),$O7&lt;=ALERTA_AMARILLA,$R7&lt;&gt;"Renovación registrada",$R7&lt;&gt;"Terminado")</formula>
    </cfRule>
    <cfRule type="expression" priority="12" aboveAverage="0" equalAverage="0" bottom="0" percent="0" rank="0" text="" dxfId="4">
      <formula>OR($R7="Indefinido",$R7="Vigente",$R7="Renovación registrada")</formula>
    </cfRule>
  </conditionalFormatting>
  <conditionalFormatting sqref="N7:N156">
    <cfRule type="expression" priority="13" aboveAverage="0" equalAverage="0" bottom="0" percent="0" rank="0" text="" dxfId="0">
      <formula>$R7="VENCIDO"</formula>
    </cfRule>
    <cfRule type="expression" priority="14" aboveAverage="0" equalAverage="0" bottom="0" percent="0" rank="0" text="" dxfId="1">
      <formula>AND(ISNUMBER($O7),$O7&lt;=ALERTA_ROJA,$R7&lt;&gt;"Renovación registrada",$R7&lt;&gt;"Terminado")</formula>
    </cfRule>
    <cfRule type="expression" priority="15" aboveAverage="0" equalAverage="0" bottom="0" percent="0" rank="0" text="" dxfId="19">
      <formula>AND(ISNUMBER($O7),$O7&lt;=ALERTA_NARANJA,$R7&lt;&gt;"Renovación registrada",$R7&lt;&gt;"Terminado")</formula>
    </cfRule>
    <cfRule type="expression" priority="16" aboveAverage="0" equalAverage="0" bottom="0" percent="0" rank="0" text="" dxfId="25">
      <formula>AND(ISNUMBER($O7),$O7&lt;=ALERTA_AMARILLA,$R7&lt;&gt;"Renovación registrada",$R7&lt;&gt;"Terminado")</formula>
    </cfRule>
    <cfRule type="expression" priority="17" aboveAverage="0" equalAverage="0" bottom="0" percent="0" rank="0" text="" dxfId="4">
      <formula>OR($R7="Indefinido",$R7="Vigente",$R7="Renovación registrada")</formula>
    </cfRule>
  </conditionalFormatting>
  <conditionalFormatting sqref="K7:K156">
    <cfRule type="expression" priority="18" aboveAverage="0" equalAverage="0" bottom="0" percent="0" rank="0" text="" dxfId="2">
      <formula>N($K7)&gt;=2</formula>
    </cfRule>
  </conditionalFormatting>
  <conditionalFormatting sqref="T7:T156">
    <cfRule type="expression" priority="19" aboveAverage="0" equalAverage="0" bottom="0" percent="0" rank="0" text="" dxfId="26">
      <formula>LEN($T7)&gt;0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U2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9"/>
    <col collapsed="false" customWidth="true" hidden="false" outlineLevel="0" max="4" min="4" style="0" width="24"/>
    <col collapsed="false" customWidth="true" hidden="false" outlineLevel="0" max="8" min="5" style="0" width="10"/>
    <col collapsed="false" customWidth="true" hidden="false" outlineLevel="0" max="10" min="9" style="0" width="9"/>
    <col collapsed="false" customWidth="true" hidden="false" outlineLevel="0" max="11" min="11" style="0" width="11"/>
    <col collapsed="false" customWidth="true" hidden="false" outlineLevel="0" max="12" min="12" style="0" width="13"/>
    <col collapsed="false" customWidth="true" hidden="false" outlineLevel="0" max="14" min="13" style="0" width="12"/>
    <col collapsed="false" customWidth="true" hidden="false" outlineLevel="0" max="15" min="15" style="0" width="34"/>
    <col collapsed="false" customWidth="true" hidden="false" outlineLevel="0" max="16" min="16" style="0" width="11"/>
    <col collapsed="false" customWidth="true" hidden="false" outlineLevel="0" max="17" min="17" style="0" width="10"/>
    <col collapsed="false" customWidth="true" hidden="false" outlineLevel="0" max="18" min="18" style="0" width="9"/>
    <col collapsed="false" customWidth="true" hidden="true" outlineLevel="0" max="20" min="19" style="0" width="10"/>
    <col collapsed="false" customWidth="true" hidden="true" outlineLevel="0" max="21" min="21" style="0" width="8"/>
  </cols>
  <sheetData>
    <row r="2" customFormat="false" ht="24" hidden="false" customHeight="true" outlineLevel="0" collapsed="false">
      <c r="B2" s="1" t="s">
        <v>295</v>
      </c>
      <c r="C2" s="2"/>
      <c r="D2" s="2"/>
      <c r="E2" s="2"/>
      <c r="F2" s="2"/>
      <c r="G2" s="2"/>
      <c r="H2" s="2"/>
      <c r="I2" s="2"/>
      <c r="J2" s="2"/>
      <c r="K2" s="2"/>
      <c r="L2" s="2"/>
      <c r="M2" s="2"/>
      <c r="N2" s="2"/>
      <c r="O2" s="2"/>
      <c r="P2" s="2"/>
      <c r="Q2" s="2"/>
      <c r="R2" s="2"/>
      <c r="S2" s="2"/>
      <c r="T2" s="2"/>
      <c r="U2" s="2"/>
    </row>
    <row r="3" customFormat="false" ht="15.75" hidden="false" customHeight="true" outlineLevel="0" collapsed="false">
      <c r="B3" s="3" t="s">
        <v>296</v>
      </c>
      <c r="C3" s="2"/>
      <c r="D3" s="2"/>
      <c r="E3" s="2"/>
      <c r="F3" s="2"/>
      <c r="G3" s="2"/>
      <c r="H3" s="2"/>
      <c r="I3" s="2"/>
      <c r="J3" s="2"/>
      <c r="K3" s="2"/>
      <c r="L3" s="2"/>
      <c r="M3" s="2"/>
      <c r="N3" s="2"/>
      <c r="O3" s="2"/>
      <c r="P3" s="2"/>
      <c r="Q3" s="2"/>
      <c r="R3" s="2"/>
      <c r="S3" s="2"/>
      <c r="T3" s="2"/>
      <c r="U3" s="2"/>
    </row>
    <row r="4" customFormat="false" ht="15" hidden="false" customHeight="false" outlineLevel="0" collapsed="false">
      <c r="B4" s="63" t="s">
        <v>220</v>
      </c>
    </row>
    <row r="6" customFormat="false" ht="48" hidden="false" customHeight="true" outlineLevel="0" collapsed="false">
      <c r="B6" s="42" t="s">
        <v>297</v>
      </c>
      <c r="C6" s="42" t="s">
        <v>221</v>
      </c>
      <c r="D6" s="53" t="s">
        <v>222</v>
      </c>
      <c r="E6" s="42" t="s">
        <v>298</v>
      </c>
      <c r="F6" s="42" t="s">
        <v>299</v>
      </c>
      <c r="G6" s="42" t="s">
        <v>300</v>
      </c>
      <c r="H6" s="42" t="s">
        <v>301</v>
      </c>
      <c r="I6" s="42" t="s">
        <v>302</v>
      </c>
      <c r="J6" s="42" t="s">
        <v>303</v>
      </c>
      <c r="K6" s="42" t="s">
        <v>304</v>
      </c>
      <c r="L6" s="42" t="s">
        <v>305</v>
      </c>
      <c r="M6" s="42" t="s">
        <v>306</v>
      </c>
      <c r="N6" s="42" t="s">
        <v>307</v>
      </c>
      <c r="O6" s="42" t="s">
        <v>308</v>
      </c>
      <c r="P6" s="53" t="s">
        <v>309</v>
      </c>
      <c r="Q6" s="53" t="s">
        <v>310</v>
      </c>
      <c r="R6" s="53" t="s">
        <v>311</v>
      </c>
      <c r="S6" s="53" t="s">
        <v>312</v>
      </c>
      <c r="T6" s="53" t="s">
        <v>313</v>
      </c>
      <c r="U6" s="53" t="s">
        <v>314</v>
      </c>
    </row>
    <row r="7" customFormat="false" ht="15" hidden="false" customHeight="false" outlineLevel="0" collapsed="false">
      <c r="B7" s="78" t="n">
        <v>46266</v>
      </c>
      <c r="C7" s="64" t="s">
        <v>177</v>
      </c>
      <c r="D7" s="70" t="str">
        <f aca="false">IF(C7="","",IFERROR(INDEX(T_NOMBRE,MATCH(C7,T_ID,0)),"⚠ ID no existe"))</f>
        <v>María Soto (EJEMPLO)</v>
      </c>
      <c r="E7" s="69" t="n">
        <v>0</v>
      </c>
      <c r="F7" s="69" t="n">
        <v>0</v>
      </c>
      <c r="G7" s="69" t="n">
        <v>0</v>
      </c>
      <c r="H7" s="69" t="n">
        <v>0</v>
      </c>
      <c r="I7" s="66" t="n">
        <v>0</v>
      </c>
      <c r="J7" s="69" t="n">
        <v>4</v>
      </c>
      <c r="K7" s="67" t="n">
        <v>200000</v>
      </c>
      <c r="L7" s="67" t="n">
        <v>0</v>
      </c>
      <c r="M7" s="67" t="n">
        <v>0</v>
      </c>
      <c r="N7" s="67" t="n">
        <v>0</v>
      </c>
      <c r="O7" s="64"/>
      <c r="P7" s="72" t="str">
        <f aca="false">IF(OR(B7="",C7=""),"",C7&amp;"|"&amp;(YEAR(B7)*100+MONTH(B7)))</f>
        <v>T001|202609</v>
      </c>
      <c r="Q7" s="70" t="str">
        <f aca="false">IF(P7="","",IF(COUNTIF(N_CLAVE,P7)&gt;1,"⚠ Duplicado","OK"))</f>
        <v>OK</v>
      </c>
      <c r="R7" s="74" t="n">
        <f aca="false">IF(OR(P7="",U7=""),"",MAX(0,U7-N(E7)-N(F7)-N(H7)))</f>
        <v>30</v>
      </c>
      <c r="S7" s="75" t="n">
        <f aca="false">IF(P7="","",IFERROR(INDEX(T_INGRESO,MATCH(C7,T_ID,0)),""))</f>
        <v>44256</v>
      </c>
      <c r="T7" s="75" t="n">
        <f aca="false">IF(P7="","",IFERROR(N(INDEX(T_EGRESO,MATCH(C7,T_ID,0))),0))</f>
        <v>0</v>
      </c>
      <c r="U7" s="73" t="n">
        <f aca="false">IF(OR(P7="",NOT(ISNUMBER(S7))),"",IF(OR(S7&gt;EOMONTH(B7,0),AND(T7&gt;0,T7&lt;B7)),0,IF(AND(S7&lt;=B7,OR(T7=0,T7&gt;=EOMONTH(B7,0))),30,MIN(30,IF(T7=0,EOMONTH(B7,0),MIN(T7,EOMONTH(B7,0)))-MAX(B7,S7)+1))))</f>
        <v>30</v>
      </c>
    </row>
    <row r="8" customFormat="false" ht="15" hidden="false" customHeight="false" outlineLevel="0" collapsed="false">
      <c r="B8" s="78" t="n">
        <v>46266</v>
      </c>
      <c r="C8" s="64" t="s">
        <v>186</v>
      </c>
      <c r="D8" s="70" t="str">
        <f aca="false">IF(C8="","",IFERROR(INDEX(T_NOMBRE,MATCH(C8,T_ID,0)),"⚠ ID no existe"))</f>
        <v>Juan Pérez (EJEMPLO)</v>
      </c>
      <c r="E8" s="69" t="n">
        <v>1</v>
      </c>
      <c r="F8" s="69" t="n">
        <v>0</v>
      </c>
      <c r="G8" s="69" t="n">
        <v>0</v>
      </c>
      <c r="H8" s="69" t="n">
        <v>0</v>
      </c>
      <c r="I8" s="66" t="n">
        <v>45</v>
      </c>
      <c r="J8" s="69" t="n">
        <v>6</v>
      </c>
      <c r="K8" s="67" t="n">
        <v>100000</v>
      </c>
      <c r="L8" s="67" t="n">
        <v>0</v>
      </c>
      <c r="M8" s="67" t="n">
        <v>0</v>
      </c>
      <c r="N8" s="67" t="n">
        <v>0</v>
      </c>
      <c r="O8" s="64" t="s">
        <v>315</v>
      </c>
      <c r="P8" s="72" t="str">
        <f aca="false">IF(OR(B8="",C8=""),"",C8&amp;"|"&amp;(YEAR(B8)*100+MONTH(B8)))</f>
        <v>T002|202609</v>
      </c>
      <c r="Q8" s="70" t="str">
        <f aca="false">IF(P8="","",IF(COUNTIF(N_CLAVE,P8)&gt;1,"⚠ Duplicado","OK"))</f>
        <v>OK</v>
      </c>
      <c r="R8" s="74" t="n">
        <f aca="false">IF(OR(P8="",U8=""),"",MAX(0,U8-N(E8)-N(F8)-N(H8)))</f>
        <v>29</v>
      </c>
      <c r="S8" s="75" t="n">
        <f aca="false">IF(P8="","",IFERROR(INDEX(T_INGRESO,MATCH(C8,T_ID,0)),""))</f>
        <v>46237</v>
      </c>
      <c r="T8" s="75" t="n">
        <f aca="false">IF(P8="","",IFERROR(N(INDEX(T_EGRESO,MATCH(C8,T_ID,0))),0))</f>
        <v>0</v>
      </c>
      <c r="U8" s="73" t="n">
        <f aca="false">IF(OR(P8="",NOT(ISNUMBER(S8))),"",IF(OR(S8&gt;EOMONTH(B8,0),AND(T8&gt;0,T8&lt;B8)),0,IF(AND(S8&lt;=B8,OR(T8=0,T8&gt;=EOMONTH(B8,0))),30,MIN(30,IF(T8=0,EOMONTH(B8,0),MIN(T8,EOMONTH(B8,0)))-MAX(B8,S8)+1))))</f>
        <v>30</v>
      </c>
    </row>
    <row r="9" customFormat="false" ht="15" hidden="false" customHeight="false" outlineLevel="0" collapsed="false">
      <c r="B9" s="78" t="n">
        <v>46266</v>
      </c>
      <c r="C9" s="64" t="s">
        <v>193</v>
      </c>
      <c r="D9" s="70" t="str">
        <f aca="false">IF(C9="","",IFERROR(INDEX(T_NOMBRE,MATCH(C9,T_ID,0)),"⚠ ID no existe"))</f>
        <v>Camila Rojas (EJEMPLO)</v>
      </c>
      <c r="E9" s="69" t="n">
        <v>0</v>
      </c>
      <c r="F9" s="69" t="n">
        <v>0</v>
      </c>
      <c r="G9" s="69" t="n">
        <v>1</v>
      </c>
      <c r="H9" s="69" t="n">
        <v>0</v>
      </c>
      <c r="I9" s="66" t="n">
        <v>10</v>
      </c>
      <c r="J9" s="69" t="n">
        <v>0</v>
      </c>
      <c r="K9" s="67" t="n">
        <v>0</v>
      </c>
      <c r="L9" s="67" t="n">
        <v>0</v>
      </c>
      <c r="M9" s="67" t="n">
        <v>0</v>
      </c>
      <c r="N9" s="67" t="n">
        <v>0</v>
      </c>
      <c r="O9" s="64" t="s">
        <v>316</v>
      </c>
      <c r="P9" s="72" t="str">
        <f aca="false">IF(OR(B9="",C9=""),"",C9&amp;"|"&amp;(YEAR(B9)*100+MONTH(B9)))</f>
        <v>T003|202609</v>
      </c>
      <c r="Q9" s="70" t="str">
        <f aca="false">IF(P9="","",IF(COUNTIF(N_CLAVE,P9)&gt;1,"⚠ Duplicado","OK"))</f>
        <v>OK</v>
      </c>
      <c r="R9" s="74" t="n">
        <f aca="false">IF(OR(P9="",U9=""),"",MAX(0,U9-N(E9)-N(F9)-N(H9)))</f>
        <v>30</v>
      </c>
      <c r="S9" s="75" t="n">
        <f aca="false">IF(P9="","",IFERROR(INDEX(T_INGRESO,MATCH(C9,T_ID,0)),""))</f>
        <v>46097</v>
      </c>
      <c r="T9" s="75" t="n">
        <f aca="false">IF(P9="","",IFERROR(N(INDEX(T_EGRESO,MATCH(C9,T_ID,0))),0))</f>
        <v>0</v>
      </c>
      <c r="U9" s="73" t="n">
        <f aca="false">IF(OR(P9="",NOT(ISNUMBER(S9))),"",IF(OR(S9&gt;EOMONTH(B9,0),AND(T9&gt;0,T9&lt;B9)),0,IF(AND(S9&lt;=B9,OR(T9=0,T9&gt;=EOMONTH(B9,0))),30,MIN(30,IF(T9=0,EOMONTH(B9,0),MIN(T9,EOMONTH(B9,0)))-MAX(B9,S9)+1))))</f>
        <v>30</v>
      </c>
    </row>
    <row r="10" customFormat="false" ht="15" hidden="false" customHeight="false" outlineLevel="0" collapsed="false">
      <c r="B10" s="78" t="n">
        <v>46266</v>
      </c>
      <c r="C10" s="64" t="s">
        <v>199</v>
      </c>
      <c r="D10" s="70" t="str">
        <f aca="false">IF(C10="","",IFERROR(INDEX(T_NOMBRE,MATCH(C10,T_ID,0)),"⚠ ID no existe"))</f>
        <v>Pedro Muñoz (EJEMPLO)</v>
      </c>
      <c r="E10" s="69" t="n">
        <v>0</v>
      </c>
      <c r="F10" s="69" t="n">
        <v>3</v>
      </c>
      <c r="G10" s="69" t="n">
        <v>0</v>
      </c>
      <c r="H10" s="69" t="n">
        <v>0</v>
      </c>
      <c r="I10" s="66" t="n">
        <v>0</v>
      </c>
      <c r="J10" s="69" t="n">
        <v>2</v>
      </c>
      <c r="K10" s="67" t="n">
        <v>150000</v>
      </c>
      <c r="L10" s="67" t="n">
        <v>0</v>
      </c>
      <c r="M10" s="67" t="n">
        <v>0</v>
      </c>
      <c r="N10" s="67" t="n">
        <v>50000</v>
      </c>
      <c r="O10" s="64" t="s">
        <v>317</v>
      </c>
      <c r="P10" s="72" t="str">
        <f aca="false">IF(OR(B10="",C10=""),"",C10&amp;"|"&amp;(YEAR(B10)*100+MONTH(B10)))</f>
        <v>T004|202609</v>
      </c>
      <c r="Q10" s="70" t="str">
        <f aca="false">IF(P10="","",IF(COUNTIF(N_CLAVE,P10)&gt;1,"⚠ Duplicado","OK"))</f>
        <v>OK</v>
      </c>
      <c r="R10" s="74" t="n">
        <f aca="false">IF(OR(P10="",U10=""),"",MAX(0,U10-N(E10)-N(F10)-N(H10)))</f>
        <v>27</v>
      </c>
      <c r="S10" s="75" t="n">
        <f aca="false">IF(P10="","",IFERROR(INDEX(T_INGRESO,MATCH(C10,T_ID,0)),""))</f>
        <v>45110</v>
      </c>
      <c r="T10" s="75" t="n">
        <f aca="false">IF(P10="","",IFERROR(N(INDEX(T_EGRESO,MATCH(C10,T_ID,0))),0))</f>
        <v>0</v>
      </c>
      <c r="U10" s="73" t="n">
        <f aca="false">IF(OR(P10="",NOT(ISNUMBER(S10))),"",IF(OR(S10&gt;EOMONTH(B10,0),AND(T10&gt;0,T10&lt;B10)),0,IF(AND(S10&lt;=B10,OR(T10=0,T10&gt;=EOMONTH(B10,0))),30,MIN(30,IF(T10=0,EOMONTH(B10,0),MIN(T10,EOMONTH(B10,0)))-MAX(B10,S10)+1))))</f>
        <v>30</v>
      </c>
    </row>
    <row r="11" customFormat="false" ht="15" hidden="false" customHeight="false" outlineLevel="0" collapsed="false">
      <c r="B11" s="78" t="n">
        <v>46266</v>
      </c>
      <c r="C11" s="64" t="s">
        <v>205</v>
      </c>
      <c r="D11" s="70" t="str">
        <f aca="false">IF(C11="","",IFERROR(INDEX(T_NOMBRE,MATCH(C11,T_ID,0)),"⚠ ID no existe"))</f>
        <v>Ana Díaz (EJEMPLO)</v>
      </c>
      <c r="E11" s="69" t="n">
        <v>0</v>
      </c>
      <c r="F11" s="69" t="n">
        <v>0</v>
      </c>
      <c r="G11" s="69" t="n">
        <v>0</v>
      </c>
      <c r="H11" s="69" t="n">
        <v>0</v>
      </c>
      <c r="I11" s="66" t="n">
        <v>0</v>
      </c>
      <c r="J11" s="69" t="n">
        <v>0</v>
      </c>
      <c r="K11" s="67" t="n">
        <v>0</v>
      </c>
      <c r="L11" s="67" t="n">
        <v>0</v>
      </c>
      <c r="M11" s="67" t="n">
        <v>0</v>
      </c>
      <c r="N11" s="67" t="n">
        <v>0</v>
      </c>
      <c r="O11" s="64" t="s">
        <v>318</v>
      </c>
      <c r="P11" s="72" t="str">
        <f aca="false">IF(OR(B11="",C11=""),"",C11&amp;"|"&amp;(YEAR(B11)*100+MONTH(B11)))</f>
        <v>T005|202609</v>
      </c>
      <c r="Q11" s="70" t="str">
        <f aca="false">IF(P11="","",IF(COUNTIF(N_CLAVE,P11)&gt;1,"⚠ Duplicado","OK"))</f>
        <v>OK</v>
      </c>
      <c r="R11" s="74" t="n">
        <f aca="false">IF(OR(P11="",U11=""),"",MAX(0,U11-N(E11)-N(F11)-N(H11)))</f>
        <v>30</v>
      </c>
      <c r="S11" s="75" t="n">
        <f aca="false">IF(P11="","",IFERROR(INDEX(T_INGRESO,MATCH(C11,T_ID,0)),""))</f>
        <v>46266</v>
      </c>
      <c r="T11" s="75" t="n">
        <f aca="false">IF(P11="","",IFERROR(N(INDEX(T_EGRESO,MATCH(C11,T_ID,0))),0))</f>
        <v>0</v>
      </c>
      <c r="U11" s="73" t="n">
        <f aca="false">IF(OR(P11="",NOT(ISNUMBER(S11))),"",IF(OR(S11&gt;EOMONTH(B11,0),AND(T11&gt;0,T11&lt;B11)),0,IF(AND(S11&lt;=B11,OR(T11=0,T11&gt;=EOMONTH(B11,0))),30,MIN(30,IF(T11=0,EOMONTH(B11,0),MIN(T11,EOMONTH(B11,0)))-MAX(B11,S11)+1))))</f>
        <v>30</v>
      </c>
    </row>
    <row r="12" customFormat="false" ht="15" hidden="false" customHeight="false" outlineLevel="0" collapsed="false">
      <c r="B12" s="78" t="n">
        <v>46296</v>
      </c>
      <c r="C12" s="64" t="s">
        <v>177</v>
      </c>
      <c r="D12" s="70" t="str">
        <f aca="false">IF(C12="","",IFERROR(INDEX(T_NOMBRE,MATCH(C12,T_ID,0)),"⚠ ID no existe"))</f>
        <v>María Soto (EJEMPLO)</v>
      </c>
      <c r="E12" s="69" t="n">
        <v>0</v>
      </c>
      <c r="F12" s="69" t="n">
        <v>0</v>
      </c>
      <c r="G12" s="69" t="n">
        <v>0</v>
      </c>
      <c r="H12" s="69" t="n">
        <v>0</v>
      </c>
      <c r="I12" s="66" t="n">
        <v>0</v>
      </c>
      <c r="J12" s="69" t="n">
        <v>0</v>
      </c>
      <c r="K12" s="67" t="n">
        <v>200000</v>
      </c>
      <c r="L12" s="67" t="n">
        <v>0</v>
      </c>
      <c r="M12" s="67" t="n">
        <v>0</v>
      </c>
      <c r="N12" s="67" t="n">
        <v>0</v>
      </c>
      <c r="O12" s="64" t="s">
        <v>319</v>
      </c>
      <c r="P12" s="72" t="str">
        <f aca="false">IF(OR(B12="",C12=""),"",C12&amp;"|"&amp;(YEAR(B12)*100+MONTH(B12)))</f>
        <v>T001|202610</v>
      </c>
      <c r="Q12" s="70" t="str">
        <f aca="false">IF(P12="","",IF(COUNTIF(N_CLAVE,P12)&gt;1,"⚠ Duplicado","OK"))</f>
        <v>OK</v>
      </c>
      <c r="R12" s="74" t="n">
        <f aca="false">IF(OR(P12="",U12=""),"",MAX(0,U12-N(E12)-N(F12)-N(H12)))</f>
        <v>30</v>
      </c>
      <c r="S12" s="75" t="n">
        <f aca="false">IF(P12="","",IFERROR(INDEX(T_INGRESO,MATCH(C12,T_ID,0)),""))</f>
        <v>44256</v>
      </c>
      <c r="T12" s="75" t="n">
        <f aca="false">IF(P12="","",IFERROR(N(INDEX(T_EGRESO,MATCH(C12,T_ID,0))),0))</f>
        <v>0</v>
      </c>
      <c r="U12" s="73" t="n">
        <f aca="false">IF(OR(P12="",NOT(ISNUMBER(S12))),"",IF(OR(S12&gt;EOMONTH(B12,0),AND(T12&gt;0,T12&lt;B12)),0,IF(AND(S12&lt;=B12,OR(T12=0,T12&gt;=EOMONTH(B12,0))),30,MIN(30,IF(T12=0,EOMONTH(B12,0),MIN(T12,EOMONTH(B12,0)))-MAX(B12,S12)+1))))</f>
        <v>30</v>
      </c>
    </row>
    <row r="13" customFormat="false" ht="15" hidden="false" customHeight="false" outlineLevel="0" collapsed="false">
      <c r="B13" s="78" t="n">
        <v>46296</v>
      </c>
      <c r="C13" s="64" t="s">
        <v>186</v>
      </c>
      <c r="D13" s="70" t="str">
        <f aca="false">IF(C13="","",IFERROR(INDEX(T_NOMBRE,MATCH(C13,T_ID,0)),"⚠ ID no existe"))</f>
        <v>Juan Pérez (EJEMPLO)</v>
      </c>
      <c r="E13" s="69" t="n">
        <v>0</v>
      </c>
      <c r="F13" s="69" t="n">
        <v>0</v>
      </c>
      <c r="G13" s="69" t="n">
        <v>0</v>
      </c>
      <c r="H13" s="69" t="n">
        <v>0</v>
      </c>
      <c r="I13" s="66" t="n">
        <v>20</v>
      </c>
      <c r="J13" s="69" t="n">
        <v>3</v>
      </c>
      <c r="K13" s="67" t="n">
        <v>100000</v>
      </c>
      <c r="L13" s="67" t="n">
        <v>0</v>
      </c>
      <c r="M13" s="67" t="n">
        <v>0</v>
      </c>
      <c r="N13" s="67" t="n">
        <v>0</v>
      </c>
      <c r="O13" s="64" t="s">
        <v>319</v>
      </c>
      <c r="P13" s="72" t="str">
        <f aca="false">IF(OR(B13="",C13=""),"",C13&amp;"|"&amp;(YEAR(B13)*100+MONTH(B13)))</f>
        <v>T002|202610</v>
      </c>
      <c r="Q13" s="70" t="str">
        <f aca="false">IF(P13="","",IF(COUNTIF(N_CLAVE,P13)&gt;1,"⚠ Duplicado","OK"))</f>
        <v>OK</v>
      </c>
      <c r="R13" s="74" t="n">
        <f aca="false">IF(OR(P13="",U13=""),"",MAX(0,U13-N(E13)-N(F13)-N(H13)))</f>
        <v>30</v>
      </c>
      <c r="S13" s="75" t="n">
        <f aca="false">IF(P13="","",IFERROR(INDEX(T_INGRESO,MATCH(C13,T_ID,0)),""))</f>
        <v>46237</v>
      </c>
      <c r="T13" s="75" t="n">
        <f aca="false">IF(P13="","",IFERROR(N(INDEX(T_EGRESO,MATCH(C13,T_ID,0))),0))</f>
        <v>0</v>
      </c>
      <c r="U13" s="73" t="n">
        <f aca="false">IF(OR(P13="",NOT(ISNUMBER(S13))),"",IF(OR(S13&gt;EOMONTH(B13,0),AND(T13&gt;0,T13&lt;B13)),0,IF(AND(S13&lt;=B13,OR(T13=0,T13&gt;=EOMONTH(B13,0))),30,MIN(30,IF(T13=0,EOMONTH(B13,0),MIN(T13,EOMONTH(B13,0)))-MAX(B13,S13)+1))))</f>
        <v>30</v>
      </c>
    </row>
    <row r="14" customFormat="false" ht="15" hidden="false" customHeight="false" outlineLevel="0" collapsed="false">
      <c r="B14" s="78" t="n">
        <v>46296</v>
      </c>
      <c r="C14" s="64" t="s">
        <v>199</v>
      </c>
      <c r="D14" s="70" t="str">
        <f aca="false">IF(C14="","",IFERROR(INDEX(T_NOMBRE,MATCH(C14,T_ID,0)),"⚠ ID no existe"))</f>
        <v>Pedro Muñoz (EJEMPLO)</v>
      </c>
      <c r="E14" s="69" t="n">
        <v>0</v>
      </c>
      <c r="F14" s="69" t="n">
        <v>0</v>
      </c>
      <c r="G14" s="69" t="n">
        <v>0</v>
      </c>
      <c r="H14" s="69" t="n">
        <v>0</v>
      </c>
      <c r="I14" s="66" t="n">
        <v>0</v>
      </c>
      <c r="J14" s="69" t="n">
        <v>0</v>
      </c>
      <c r="K14" s="67" t="n">
        <v>150000</v>
      </c>
      <c r="L14" s="67" t="n">
        <v>0</v>
      </c>
      <c r="M14" s="67" t="n">
        <v>0</v>
      </c>
      <c r="N14" s="67" t="n">
        <v>50000</v>
      </c>
      <c r="O14" s="64" t="s">
        <v>320</v>
      </c>
      <c r="P14" s="72" t="str">
        <f aca="false">IF(OR(B14="",C14=""),"",C14&amp;"|"&amp;(YEAR(B14)*100+MONTH(B14)))</f>
        <v>T004|202610</v>
      </c>
      <c r="Q14" s="70" t="str">
        <f aca="false">IF(P14="","",IF(COUNTIF(N_CLAVE,P14)&gt;1,"⚠ Duplicado","OK"))</f>
        <v>OK</v>
      </c>
      <c r="R14" s="74" t="n">
        <f aca="false">IF(OR(P14="",U14=""),"",MAX(0,U14-N(E14)-N(F14)-N(H14)))</f>
        <v>30</v>
      </c>
      <c r="S14" s="75" t="n">
        <f aca="false">IF(P14="","",IFERROR(INDEX(T_INGRESO,MATCH(C14,T_ID,0)),""))</f>
        <v>45110</v>
      </c>
      <c r="T14" s="75" t="n">
        <f aca="false">IF(P14="","",IFERROR(N(INDEX(T_EGRESO,MATCH(C14,T_ID,0))),0))</f>
        <v>0</v>
      </c>
      <c r="U14" s="73" t="n">
        <f aca="false">IF(OR(P14="",NOT(ISNUMBER(S14))),"",IF(OR(S14&gt;EOMONTH(B14,0),AND(T14&gt;0,T14&lt;B14)),0,IF(AND(S14&lt;=B14,OR(T14=0,T14&gt;=EOMONTH(B14,0))),30,MIN(30,IF(T14=0,EOMONTH(B14,0),MIN(T14,EOMONTH(B14,0)))-MAX(B14,S14)+1))))</f>
        <v>30</v>
      </c>
    </row>
    <row r="15" customFormat="false" ht="15" hidden="false" customHeight="false" outlineLevel="0" collapsed="false">
      <c r="B15" s="78"/>
      <c r="C15" s="64"/>
      <c r="D15" s="70" t="str">
        <f aca="false">IF(C15="","",IFERROR(INDEX(T_NOMBRE,MATCH(C15,T_ID,0)),"⚠ ID no existe"))</f>
        <v/>
      </c>
      <c r="E15" s="69"/>
      <c r="F15" s="69"/>
      <c r="G15" s="69"/>
      <c r="H15" s="69"/>
      <c r="I15" s="66"/>
      <c r="J15" s="69"/>
      <c r="K15" s="67"/>
      <c r="L15" s="67"/>
      <c r="M15" s="67"/>
      <c r="N15" s="67"/>
      <c r="O15" s="64"/>
      <c r="P15" s="72" t="str">
        <f aca="false">IF(OR(B15="",C15=""),"",C15&amp;"|"&amp;(YEAR(B15)*100+MONTH(B15)))</f>
        <v/>
      </c>
      <c r="Q15" s="70" t="str">
        <f aca="false">IF(P15="","",IF(COUNTIF(N_CLAVE,P15)&gt;1,"⚠ Duplicado","OK"))</f>
        <v/>
      </c>
      <c r="R15" s="74" t="str">
        <f aca="false">IF(OR(P15="",U15=""),"",MAX(0,U15-N(E15)-N(F15)-N(H15)))</f>
        <v/>
      </c>
      <c r="S15" s="75" t="str">
        <f aca="false">IF(P15="","",IFERROR(INDEX(T_INGRESO,MATCH(C15,T_ID,0)),""))</f>
        <v/>
      </c>
      <c r="T15" s="75" t="str">
        <f aca="false">IF(P15="","",IFERROR(N(INDEX(T_EGRESO,MATCH(C15,T_ID,0))),0))</f>
        <v/>
      </c>
      <c r="U15" s="73" t="str">
        <f aca="false">IF(OR(P15="",NOT(ISNUMBER(S15))),"",IF(OR(S15&gt;EOMONTH(B15,0),AND(T15&gt;0,T15&lt;B15)),0,IF(AND(S15&lt;=B15,OR(T15=0,T15&gt;=EOMONTH(B15,0))),30,MIN(30,IF(T15=0,EOMONTH(B15,0),MIN(T15,EOMONTH(B15,0)))-MAX(B15,S15)+1))))</f>
        <v/>
      </c>
    </row>
    <row r="16" customFormat="false" ht="15" hidden="false" customHeight="false" outlineLevel="0" collapsed="false">
      <c r="B16" s="78"/>
      <c r="C16" s="64"/>
      <c r="D16" s="70" t="str">
        <f aca="false">IF(C16="","",IFERROR(INDEX(T_NOMBRE,MATCH(C16,T_ID,0)),"⚠ ID no existe"))</f>
        <v/>
      </c>
      <c r="E16" s="69"/>
      <c r="F16" s="69"/>
      <c r="G16" s="69"/>
      <c r="H16" s="69"/>
      <c r="I16" s="66"/>
      <c r="J16" s="69"/>
      <c r="K16" s="67"/>
      <c r="L16" s="67"/>
      <c r="M16" s="67"/>
      <c r="N16" s="67"/>
      <c r="O16" s="64"/>
      <c r="P16" s="72" t="str">
        <f aca="false">IF(OR(B16="",C16=""),"",C16&amp;"|"&amp;(YEAR(B16)*100+MONTH(B16)))</f>
        <v/>
      </c>
      <c r="Q16" s="70" t="str">
        <f aca="false">IF(P16="","",IF(COUNTIF(N_CLAVE,P16)&gt;1,"⚠ Duplicado","OK"))</f>
        <v/>
      </c>
      <c r="R16" s="74" t="str">
        <f aca="false">IF(OR(P16="",U16=""),"",MAX(0,U16-N(E16)-N(F16)-N(H16)))</f>
        <v/>
      </c>
      <c r="S16" s="75" t="str">
        <f aca="false">IF(P16="","",IFERROR(INDEX(T_INGRESO,MATCH(C16,T_ID,0)),""))</f>
        <v/>
      </c>
      <c r="T16" s="75" t="str">
        <f aca="false">IF(P16="","",IFERROR(N(INDEX(T_EGRESO,MATCH(C16,T_ID,0))),0))</f>
        <v/>
      </c>
      <c r="U16" s="73" t="str">
        <f aca="false">IF(OR(P16="",NOT(ISNUMBER(S16))),"",IF(OR(S16&gt;EOMONTH(B16,0),AND(T16&gt;0,T16&lt;B16)),0,IF(AND(S16&lt;=B16,OR(T16=0,T16&gt;=EOMONTH(B16,0))),30,MIN(30,IF(T16=0,EOMONTH(B16,0),MIN(T16,EOMONTH(B16,0)))-MAX(B16,S16)+1))))</f>
        <v/>
      </c>
    </row>
    <row r="17" customFormat="false" ht="15" hidden="false" customHeight="false" outlineLevel="0" collapsed="false">
      <c r="B17" s="78"/>
      <c r="C17" s="64"/>
      <c r="D17" s="70" t="str">
        <f aca="false">IF(C17="","",IFERROR(INDEX(T_NOMBRE,MATCH(C17,T_ID,0)),"⚠ ID no existe"))</f>
        <v/>
      </c>
      <c r="E17" s="69"/>
      <c r="F17" s="69"/>
      <c r="G17" s="69"/>
      <c r="H17" s="69"/>
      <c r="I17" s="66"/>
      <c r="J17" s="69"/>
      <c r="K17" s="67"/>
      <c r="L17" s="67"/>
      <c r="M17" s="67"/>
      <c r="N17" s="67"/>
      <c r="O17" s="64"/>
      <c r="P17" s="72" t="str">
        <f aca="false">IF(OR(B17="",C17=""),"",C17&amp;"|"&amp;(YEAR(B17)*100+MONTH(B17)))</f>
        <v/>
      </c>
      <c r="Q17" s="70" t="str">
        <f aca="false">IF(P17="","",IF(COUNTIF(N_CLAVE,P17)&gt;1,"⚠ Duplicado","OK"))</f>
        <v/>
      </c>
      <c r="R17" s="74" t="str">
        <f aca="false">IF(OR(P17="",U17=""),"",MAX(0,U17-N(E17)-N(F17)-N(H17)))</f>
        <v/>
      </c>
      <c r="S17" s="75" t="str">
        <f aca="false">IF(P17="","",IFERROR(INDEX(T_INGRESO,MATCH(C17,T_ID,0)),""))</f>
        <v/>
      </c>
      <c r="T17" s="75" t="str">
        <f aca="false">IF(P17="","",IFERROR(N(INDEX(T_EGRESO,MATCH(C17,T_ID,0))),0))</f>
        <v/>
      </c>
      <c r="U17" s="73" t="str">
        <f aca="false">IF(OR(P17="",NOT(ISNUMBER(S17))),"",IF(OR(S17&gt;EOMONTH(B17,0),AND(T17&gt;0,T17&lt;B17)),0,IF(AND(S17&lt;=B17,OR(T17=0,T17&gt;=EOMONTH(B17,0))),30,MIN(30,IF(T17=0,EOMONTH(B17,0),MIN(T17,EOMONTH(B17,0)))-MAX(B17,S17)+1))))</f>
        <v/>
      </c>
    </row>
    <row r="18" customFormat="false" ht="15" hidden="false" customHeight="false" outlineLevel="0" collapsed="false">
      <c r="B18" s="78"/>
      <c r="C18" s="64"/>
      <c r="D18" s="70" t="str">
        <f aca="false">IF(C18="","",IFERROR(INDEX(T_NOMBRE,MATCH(C18,T_ID,0)),"⚠ ID no existe"))</f>
        <v/>
      </c>
      <c r="E18" s="69"/>
      <c r="F18" s="69"/>
      <c r="G18" s="69"/>
      <c r="H18" s="69"/>
      <c r="I18" s="66"/>
      <c r="J18" s="69"/>
      <c r="K18" s="67"/>
      <c r="L18" s="67"/>
      <c r="M18" s="67"/>
      <c r="N18" s="67"/>
      <c r="O18" s="64"/>
      <c r="P18" s="72" t="str">
        <f aca="false">IF(OR(B18="",C18=""),"",C18&amp;"|"&amp;(YEAR(B18)*100+MONTH(B18)))</f>
        <v/>
      </c>
      <c r="Q18" s="70" t="str">
        <f aca="false">IF(P18="","",IF(COUNTIF(N_CLAVE,P18)&gt;1,"⚠ Duplicado","OK"))</f>
        <v/>
      </c>
      <c r="R18" s="74" t="str">
        <f aca="false">IF(OR(P18="",U18=""),"",MAX(0,U18-N(E18)-N(F18)-N(H18)))</f>
        <v/>
      </c>
      <c r="S18" s="75" t="str">
        <f aca="false">IF(P18="","",IFERROR(INDEX(T_INGRESO,MATCH(C18,T_ID,0)),""))</f>
        <v/>
      </c>
      <c r="T18" s="75" t="str">
        <f aca="false">IF(P18="","",IFERROR(N(INDEX(T_EGRESO,MATCH(C18,T_ID,0))),0))</f>
        <v/>
      </c>
      <c r="U18" s="73" t="str">
        <f aca="false">IF(OR(P18="",NOT(ISNUMBER(S18))),"",IF(OR(S18&gt;EOMONTH(B18,0),AND(T18&gt;0,T18&lt;B18)),0,IF(AND(S18&lt;=B18,OR(T18=0,T18&gt;=EOMONTH(B18,0))),30,MIN(30,IF(T18=0,EOMONTH(B18,0),MIN(T18,EOMONTH(B18,0)))-MAX(B18,S18)+1))))</f>
        <v/>
      </c>
    </row>
    <row r="19" customFormat="false" ht="15" hidden="false" customHeight="false" outlineLevel="0" collapsed="false">
      <c r="B19" s="78"/>
      <c r="C19" s="64"/>
      <c r="D19" s="70" t="str">
        <f aca="false">IF(C19="","",IFERROR(INDEX(T_NOMBRE,MATCH(C19,T_ID,0)),"⚠ ID no existe"))</f>
        <v/>
      </c>
      <c r="E19" s="69"/>
      <c r="F19" s="69"/>
      <c r="G19" s="69"/>
      <c r="H19" s="69"/>
      <c r="I19" s="66"/>
      <c r="J19" s="69"/>
      <c r="K19" s="67"/>
      <c r="L19" s="67"/>
      <c r="M19" s="67"/>
      <c r="N19" s="67"/>
      <c r="O19" s="64"/>
      <c r="P19" s="72" t="str">
        <f aca="false">IF(OR(B19="",C19=""),"",C19&amp;"|"&amp;(YEAR(B19)*100+MONTH(B19)))</f>
        <v/>
      </c>
      <c r="Q19" s="70" t="str">
        <f aca="false">IF(P19="","",IF(COUNTIF(N_CLAVE,P19)&gt;1,"⚠ Duplicado","OK"))</f>
        <v/>
      </c>
      <c r="R19" s="74" t="str">
        <f aca="false">IF(OR(P19="",U19=""),"",MAX(0,U19-N(E19)-N(F19)-N(H19)))</f>
        <v/>
      </c>
      <c r="S19" s="75" t="str">
        <f aca="false">IF(P19="","",IFERROR(INDEX(T_INGRESO,MATCH(C19,T_ID,0)),""))</f>
        <v/>
      </c>
      <c r="T19" s="75" t="str">
        <f aca="false">IF(P19="","",IFERROR(N(INDEX(T_EGRESO,MATCH(C19,T_ID,0))),0))</f>
        <v/>
      </c>
      <c r="U19" s="73" t="str">
        <f aca="false">IF(OR(P19="",NOT(ISNUMBER(S19))),"",IF(OR(S19&gt;EOMONTH(B19,0),AND(T19&gt;0,T19&lt;B19)),0,IF(AND(S19&lt;=B19,OR(T19=0,T19&gt;=EOMONTH(B19,0))),30,MIN(30,IF(T19=0,EOMONTH(B19,0),MIN(T19,EOMONTH(B19,0)))-MAX(B19,S19)+1))))</f>
        <v/>
      </c>
    </row>
    <row r="20" customFormat="false" ht="15" hidden="false" customHeight="false" outlineLevel="0" collapsed="false">
      <c r="B20" s="78"/>
      <c r="C20" s="64"/>
      <c r="D20" s="70" t="str">
        <f aca="false">IF(C20="","",IFERROR(INDEX(T_NOMBRE,MATCH(C20,T_ID,0)),"⚠ ID no existe"))</f>
        <v/>
      </c>
      <c r="E20" s="69"/>
      <c r="F20" s="69"/>
      <c r="G20" s="69"/>
      <c r="H20" s="69"/>
      <c r="I20" s="66"/>
      <c r="J20" s="69"/>
      <c r="K20" s="67"/>
      <c r="L20" s="67"/>
      <c r="M20" s="67"/>
      <c r="N20" s="67"/>
      <c r="O20" s="64"/>
      <c r="P20" s="72" t="str">
        <f aca="false">IF(OR(B20="",C20=""),"",C20&amp;"|"&amp;(YEAR(B20)*100+MONTH(B20)))</f>
        <v/>
      </c>
      <c r="Q20" s="70" t="str">
        <f aca="false">IF(P20="","",IF(COUNTIF(N_CLAVE,P20)&gt;1,"⚠ Duplicado","OK"))</f>
        <v/>
      </c>
      <c r="R20" s="74" t="str">
        <f aca="false">IF(OR(P20="",U20=""),"",MAX(0,U20-N(E20)-N(F20)-N(H20)))</f>
        <v/>
      </c>
      <c r="S20" s="75" t="str">
        <f aca="false">IF(P20="","",IFERROR(INDEX(T_INGRESO,MATCH(C20,T_ID,0)),""))</f>
        <v/>
      </c>
      <c r="T20" s="75" t="str">
        <f aca="false">IF(P20="","",IFERROR(N(INDEX(T_EGRESO,MATCH(C20,T_ID,0))),0))</f>
        <v/>
      </c>
      <c r="U20" s="73" t="str">
        <f aca="false">IF(OR(P20="",NOT(ISNUMBER(S20))),"",IF(OR(S20&gt;EOMONTH(B20,0),AND(T20&gt;0,T20&lt;B20)),0,IF(AND(S20&lt;=B20,OR(T20=0,T20&gt;=EOMONTH(B20,0))),30,MIN(30,IF(T20=0,EOMONTH(B20,0),MIN(T20,EOMONTH(B20,0)))-MAX(B20,S20)+1))))</f>
        <v/>
      </c>
    </row>
    <row r="21" customFormat="false" ht="15" hidden="false" customHeight="false" outlineLevel="0" collapsed="false">
      <c r="B21" s="78"/>
      <c r="C21" s="64"/>
      <c r="D21" s="70" t="str">
        <f aca="false">IF(C21="","",IFERROR(INDEX(T_NOMBRE,MATCH(C21,T_ID,0)),"⚠ ID no existe"))</f>
        <v/>
      </c>
      <c r="E21" s="69"/>
      <c r="F21" s="69"/>
      <c r="G21" s="69"/>
      <c r="H21" s="69"/>
      <c r="I21" s="66"/>
      <c r="J21" s="69"/>
      <c r="K21" s="67"/>
      <c r="L21" s="67"/>
      <c r="M21" s="67"/>
      <c r="N21" s="67"/>
      <c r="O21" s="64"/>
      <c r="P21" s="72" t="str">
        <f aca="false">IF(OR(B21="",C21=""),"",C21&amp;"|"&amp;(YEAR(B21)*100+MONTH(B21)))</f>
        <v/>
      </c>
      <c r="Q21" s="70" t="str">
        <f aca="false">IF(P21="","",IF(COUNTIF(N_CLAVE,P21)&gt;1,"⚠ Duplicado","OK"))</f>
        <v/>
      </c>
      <c r="R21" s="74" t="str">
        <f aca="false">IF(OR(P21="",U21=""),"",MAX(0,U21-N(E21)-N(F21)-N(H21)))</f>
        <v/>
      </c>
      <c r="S21" s="75" t="str">
        <f aca="false">IF(P21="","",IFERROR(INDEX(T_INGRESO,MATCH(C21,T_ID,0)),""))</f>
        <v/>
      </c>
      <c r="T21" s="75" t="str">
        <f aca="false">IF(P21="","",IFERROR(N(INDEX(T_EGRESO,MATCH(C21,T_ID,0))),0))</f>
        <v/>
      </c>
      <c r="U21" s="73" t="str">
        <f aca="false">IF(OR(P21="",NOT(ISNUMBER(S21))),"",IF(OR(S21&gt;EOMONTH(B21,0),AND(T21&gt;0,T21&lt;B21)),0,IF(AND(S21&lt;=B21,OR(T21=0,T21&gt;=EOMONTH(B21,0))),30,MIN(30,IF(T21=0,EOMONTH(B21,0),MIN(T21,EOMONTH(B21,0)))-MAX(B21,S21)+1))))</f>
        <v/>
      </c>
    </row>
    <row r="22" customFormat="false" ht="15" hidden="false" customHeight="false" outlineLevel="0" collapsed="false">
      <c r="B22" s="78"/>
      <c r="C22" s="64"/>
      <c r="D22" s="70" t="str">
        <f aca="false">IF(C22="","",IFERROR(INDEX(T_NOMBRE,MATCH(C22,T_ID,0)),"⚠ ID no existe"))</f>
        <v/>
      </c>
      <c r="E22" s="69"/>
      <c r="F22" s="69"/>
      <c r="G22" s="69"/>
      <c r="H22" s="69"/>
      <c r="I22" s="66"/>
      <c r="J22" s="69"/>
      <c r="K22" s="67"/>
      <c r="L22" s="67"/>
      <c r="M22" s="67"/>
      <c r="N22" s="67"/>
      <c r="O22" s="64"/>
      <c r="P22" s="72" t="str">
        <f aca="false">IF(OR(B22="",C22=""),"",C22&amp;"|"&amp;(YEAR(B22)*100+MONTH(B22)))</f>
        <v/>
      </c>
      <c r="Q22" s="70" t="str">
        <f aca="false">IF(P22="","",IF(COUNTIF(N_CLAVE,P22)&gt;1,"⚠ Duplicado","OK"))</f>
        <v/>
      </c>
      <c r="R22" s="74" t="str">
        <f aca="false">IF(OR(P22="",U22=""),"",MAX(0,U22-N(E22)-N(F22)-N(H22)))</f>
        <v/>
      </c>
      <c r="S22" s="75" t="str">
        <f aca="false">IF(P22="","",IFERROR(INDEX(T_INGRESO,MATCH(C22,T_ID,0)),""))</f>
        <v/>
      </c>
      <c r="T22" s="75" t="str">
        <f aca="false">IF(P22="","",IFERROR(N(INDEX(T_EGRESO,MATCH(C22,T_ID,0))),0))</f>
        <v/>
      </c>
      <c r="U22" s="73" t="str">
        <f aca="false">IF(OR(P22="",NOT(ISNUMBER(S22))),"",IF(OR(S22&gt;EOMONTH(B22,0),AND(T22&gt;0,T22&lt;B22)),0,IF(AND(S22&lt;=B22,OR(T22=0,T22&gt;=EOMONTH(B22,0))),30,MIN(30,IF(T22=0,EOMONTH(B22,0),MIN(T22,EOMONTH(B22,0)))-MAX(B22,S22)+1))))</f>
        <v/>
      </c>
    </row>
    <row r="23" customFormat="false" ht="15" hidden="false" customHeight="false" outlineLevel="0" collapsed="false">
      <c r="B23" s="78"/>
      <c r="C23" s="64"/>
      <c r="D23" s="70" t="str">
        <f aca="false">IF(C23="","",IFERROR(INDEX(T_NOMBRE,MATCH(C23,T_ID,0)),"⚠ ID no existe"))</f>
        <v/>
      </c>
      <c r="E23" s="69"/>
      <c r="F23" s="69"/>
      <c r="G23" s="69"/>
      <c r="H23" s="69"/>
      <c r="I23" s="66"/>
      <c r="J23" s="69"/>
      <c r="K23" s="67"/>
      <c r="L23" s="67"/>
      <c r="M23" s="67"/>
      <c r="N23" s="67"/>
      <c r="O23" s="64"/>
      <c r="P23" s="72" t="str">
        <f aca="false">IF(OR(B23="",C23=""),"",C23&amp;"|"&amp;(YEAR(B23)*100+MONTH(B23)))</f>
        <v/>
      </c>
      <c r="Q23" s="70" t="str">
        <f aca="false">IF(P23="","",IF(COUNTIF(N_CLAVE,P23)&gt;1,"⚠ Duplicado","OK"))</f>
        <v/>
      </c>
      <c r="R23" s="74" t="str">
        <f aca="false">IF(OR(P23="",U23=""),"",MAX(0,U23-N(E23)-N(F23)-N(H23)))</f>
        <v/>
      </c>
      <c r="S23" s="75" t="str">
        <f aca="false">IF(P23="","",IFERROR(INDEX(T_INGRESO,MATCH(C23,T_ID,0)),""))</f>
        <v/>
      </c>
      <c r="T23" s="75" t="str">
        <f aca="false">IF(P23="","",IFERROR(N(INDEX(T_EGRESO,MATCH(C23,T_ID,0))),0))</f>
        <v/>
      </c>
      <c r="U23" s="73" t="str">
        <f aca="false">IF(OR(P23="",NOT(ISNUMBER(S23))),"",IF(OR(S23&gt;EOMONTH(B23,0),AND(T23&gt;0,T23&lt;B23)),0,IF(AND(S23&lt;=B23,OR(T23=0,T23&gt;=EOMONTH(B23,0))),30,MIN(30,IF(T23=0,EOMONTH(B23,0),MIN(T23,EOMONTH(B23,0)))-MAX(B23,S23)+1))))</f>
        <v/>
      </c>
    </row>
    <row r="24" customFormat="false" ht="15" hidden="false" customHeight="false" outlineLevel="0" collapsed="false">
      <c r="B24" s="78"/>
      <c r="C24" s="64"/>
      <c r="D24" s="70" t="str">
        <f aca="false">IF(C24="","",IFERROR(INDEX(T_NOMBRE,MATCH(C24,T_ID,0)),"⚠ ID no existe"))</f>
        <v/>
      </c>
      <c r="E24" s="69"/>
      <c r="F24" s="69"/>
      <c r="G24" s="69"/>
      <c r="H24" s="69"/>
      <c r="I24" s="66"/>
      <c r="J24" s="69"/>
      <c r="K24" s="67"/>
      <c r="L24" s="67"/>
      <c r="M24" s="67"/>
      <c r="N24" s="67"/>
      <c r="O24" s="64"/>
      <c r="P24" s="72" t="str">
        <f aca="false">IF(OR(B24="",C24=""),"",C24&amp;"|"&amp;(YEAR(B24)*100+MONTH(B24)))</f>
        <v/>
      </c>
      <c r="Q24" s="70" t="str">
        <f aca="false">IF(P24="","",IF(COUNTIF(N_CLAVE,P24)&gt;1,"⚠ Duplicado","OK"))</f>
        <v/>
      </c>
      <c r="R24" s="74" t="str">
        <f aca="false">IF(OR(P24="",U24=""),"",MAX(0,U24-N(E24)-N(F24)-N(H24)))</f>
        <v/>
      </c>
      <c r="S24" s="75" t="str">
        <f aca="false">IF(P24="","",IFERROR(INDEX(T_INGRESO,MATCH(C24,T_ID,0)),""))</f>
        <v/>
      </c>
      <c r="T24" s="75" t="str">
        <f aca="false">IF(P24="","",IFERROR(N(INDEX(T_EGRESO,MATCH(C24,T_ID,0))),0))</f>
        <v/>
      </c>
      <c r="U24" s="73" t="str">
        <f aca="false">IF(OR(P24="",NOT(ISNUMBER(S24))),"",IF(OR(S24&gt;EOMONTH(B24,0),AND(T24&gt;0,T24&lt;B24)),0,IF(AND(S24&lt;=B24,OR(T24=0,T24&gt;=EOMONTH(B24,0))),30,MIN(30,IF(T24=0,EOMONTH(B24,0),MIN(T24,EOMONTH(B24,0)))-MAX(B24,S24)+1))))</f>
        <v/>
      </c>
    </row>
    <row r="25" customFormat="false" ht="15" hidden="false" customHeight="false" outlineLevel="0" collapsed="false">
      <c r="B25" s="78"/>
      <c r="C25" s="64"/>
      <c r="D25" s="70" t="str">
        <f aca="false">IF(C25="","",IFERROR(INDEX(T_NOMBRE,MATCH(C25,T_ID,0)),"⚠ ID no existe"))</f>
        <v/>
      </c>
      <c r="E25" s="69"/>
      <c r="F25" s="69"/>
      <c r="G25" s="69"/>
      <c r="H25" s="69"/>
      <c r="I25" s="66"/>
      <c r="J25" s="69"/>
      <c r="K25" s="67"/>
      <c r="L25" s="67"/>
      <c r="M25" s="67"/>
      <c r="N25" s="67"/>
      <c r="O25" s="64"/>
      <c r="P25" s="72" t="str">
        <f aca="false">IF(OR(B25="",C25=""),"",C25&amp;"|"&amp;(YEAR(B25)*100+MONTH(B25)))</f>
        <v/>
      </c>
      <c r="Q25" s="70" t="str">
        <f aca="false">IF(P25="","",IF(COUNTIF(N_CLAVE,P25)&gt;1,"⚠ Duplicado","OK"))</f>
        <v/>
      </c>
      <c r="R25" s="74" t="str">
        <f aca="false">IF(OR(P25="",U25=""),"",MAX(0,U25-N(E25)-N(F25)-N(H25)))</f>
        <v/>
      </c>
      <c r="S25" s="75" t="str">
        <f aca="false">IF(P25="","",IFERROR(INDEX(T_INGRESO,MATCH(C25,T_ID,0)),""))</f>
        <v/>
      </c>
      <c r="T25" s="75" t="str">
        <f aca="false">IF(P25="","",IFERROR(N(INDEX(T_EGRESO,MATCH(C25,T_ID,0))),0))</f>
        <v/>
      </c>
      <c r="U25" s="73" t="str">
        <f aca="false">IF(OR(P25="",NOT(ISNUMBER(S25))),"",IF(OR(S25&gt;EOMONTH(B25,0),AND(T25&gt;0,T25&lt;B25)),0,IF(AND(S25&lt;=B25,OR(T25=0,T25&gt;=EOMONTH(B25,0))),30,MIN(30,IF(T25=0,EOMONTH(B25,0),MIN(T25,EOMONTH(B25,0)))-MAX(B25,S25)+1))))</f>
        <v/>
      </c>
    </row>
    <row r="26" customFormat="false" ht="15" hidden="false" customHeight="false" outlineLevel="0" collapsed="false">
      <c r="B26" s="78"/>
      <c r="C26" s="64"/>
      <c r="D26" s="70" t="str">
        <f aca="false">IF(C26="","",IFERROR(INDEX(T_NOMBRE,MATCH(C26,T_ID,0)),"⚠ ID no existe"))</f>
        <v/>
      </c>
      <c r="E26" s="69"/>
      <c r="F26" s="69"/>
      <c r="G26" s="69"/>
      <c r="H26" s="69"/>
      <c r="I26" s="66"/>
      <c r="J26" s="69"/>
      <c r="K26" s="67"/>
      <c r="L26" s="67"/>
      <c r="M26" s="67"/>
      <c r="N26" s="67"/>
      <c r="O26" s="64"/>
      <c r="P26" s="72" t="str">
        <f aca="false">IF(OR(B26="",C26=""),"",C26&amp;"|"&amp;(YEAR(B26)*100+MONTH(B26)))</f>
        <v/>
      </c>
      <c r="Q26" s="70" t="str">
        <f aca="false">IF(P26="","",IF(COUNTIF(N_CLAVE,P26)&gt;1,"⚠ Duplicado","OK"))</f>
        <v/>
      </c>
      <c r="R26" s="74" t="str">
        <f aca="false">IF(OR(P26="",U26=""),"",MAX(0,U26-N(E26)-N(F26)-N(H26)))</f>
        <v/>
      </c>
      <c r="S26" s="75" t="str">
        <f aca="false">IF(P26="","",IFERROR(INDEX(T_INGRESO,MATCH(C26,T_ID,0)),""))</f>
        <v/>
      </c>
      <c r="T26" s="75" t="str">
        <f aca="false">IF(P26="","",IFERROR(N(INDEX(T_EGRESO,MATCH(C26,T_ID,0))),0))</f>
        <v/>
      </c>
      <c r="U26" s="73" t="str">
        <f aca="false">IF(OR(P26="",NOT(ISNUMBER(S26))),"",IF(OR(S26&gt;EOMONTH(B26,0),AND(T26&gt;0,T26&lt;B26)),0,IF(AND(S26&lt;=B26,OR(T26=0,T26&gt;=EOMONTH(B26,0))),30,MIN(30,IF(T26=0,EOMONTH(B26,0),MIN(T26,EOMONTH(B26,0)))-MAX(B26,S26)+1))))</f>
        <v/>
      </c>
    </row>
    <row r="27" customFormat="false" ht="15" hidden="false" customHeight="false" outlineLevel="0" collapsed="false">
      <c r="B27" s="78"/>
      <c r="C27" s="64"/>
      <c r="D27" s="70" t="str">
        <f aca="false">IF(C27="","",IFERROR(INDEX(T_NOMBRE,MATCH(C27,T_ID,0)),"⚠ ID no existe"))</f>
        <v/>
      </c>
      <c r="E27" s="69"/>
      <c r="F27" s="69"/>
      <c r="G27" s="69"/>
      <c r="H27" s="69"/>
      <c r="I27" s="66"/>
      <c r="J27" s="69"/>
      <c r="K27" s="67"/>
      <c r="L27" s="67"/>
      <c r="M27" s="67"/>
      <c r="N27" s="67"/>
      <c r="O27" s="64"/>
      <c r="P27" s="72" t="str">
        <f aca="false">IF(OR(B27="",C27=""),"",C27&amp;"|"&amp;(YEAR(B27)*100+MONTH(B27)))</f>
        <v/>
      </c>
      <c r="Q27" s="70" t="str">
        <f aca="false">IF(P27="","",IF(COUNTIF(N_CLAVE,P27)&gt;1,"⚠ Duplicado","OK"))</f>
        <v/>
      </c>
      <c r="R27" s="74" t="str">
        <f aca="false">IF(OR(P27="",U27=""),"",MAX(0,U27-N(E27)-N(F27)-N(H27)))</f>
        <v/>
      </c>
      <c r="S27" s="75" t="str">
        <f aca="false">IF(P27="","",IFERROR(INDEX(T_INGRESO,MATCH(C27,T_ID,0)),""))</f>
        <v/>
      </c>
      <c r="T27" s="75" t="str">
        <f aca="false">IF(P27="","",IFERROR(N(INDEX(T_EGRESO,MATCH(C27,T_ID,0))),0))</f>
        <v/>
      </c>
      <c r="U27" s="73" t="str">
        <f aca="false">IF(OR(P27="",NOT(ISNUMBER(S27))),"",IF(OR(S27&gt;EOMONTH(B27,0),AND(T27&gt;0,T27&lt;B27)),0,IF(AND(S27&lt;=B27,OR(T27=0,T27&gt;=EOMONTH(B27,0))),30,MIN(30,IF(T27=0,EOMONTH(B27,0),MIN(T27,EOMONTH(B27,0)))-MAX(B27,S27)+1))))</f>
        <v/>
      </c>
    </row>
    <row r="28" customFormat="false" ht="15" hidden="false" customHeight="false" outlineLevel="0" collapsed="false">
      <c r="B28" s="78"/>
      <c r="C28" s="64"/>
      <c r="D28" s="70" t="str">
        <f aca="false">IF(C28="","",IFERROR(INDEX(T_NOMBRE,MATCH(C28,T_ID,0)),"⚠ ID no existe"))</f>
        <v/>
      </c>
      <c r="E28" s="69"/>
      <c r="F28" s="69"/>
      <c r="G28" s="69"/>
      <c r="H28" s="69"/>
      <c r="I28" s="66"/>
      <c r="J28" s="69"/>
      <c r="K28" s="67"/>
      <c r="L28" s="67"/>
      <c r="M28" s="67"/>
      <c r="N28" s="67"/>
      <c r="O28" s="64"/>
      <c r="P28" s="72" t="str">
        <f aca="false">IF(OR(B28="",C28=""),"",C28&amp;"|"&amp;(YEAR(B28)*100+MONTH(B28)))</f>
        <v/>
      </c>
      <c r="Q28" s="70" t="str">
        <f aca="false">IF(P28="","",IF(COUNTIF(N_CLAVE,P28)&gt;1,"⚠ Duplicado","OK"))</f>
        <v/>
      </c>
      <c r="R28" s="74" t="str">
        <f aca="false">IF(OR(P28="",U28=""),"",MAX(0,U28-N(E28)-N(F28)-N(H28)))</f>
        <v/>
      </c>
      <c r="S28" s="75" t="str">
        <f aca="false">IF(P28="","",IFERROR(INDEX(T_INGRESO,MATCH(C28,T_ID,0)),""))</f>
        <v/>
      </c>
      <c r="T28" s="75" t="str">
        <f aca="false">IF(P28="","",IFERROR(N(INDEX(T_EGRESO,MATCH(C28,T_ID,0))),0))</f>
        <v/>
      </c>
      <c r="U28" s="73" t="str">
        <f aca="false">IF(OR(P28="",NOT(ISNUMBER(S28))),"",IF(OR(S28&gt;EOMONTH(B28,0),AND(T28&gt;0,T28&lt;B28)),0,IF(AND(S28&lt;=B28,OR(T28=0,T28&gt;=EOMONTH(B28,0))),30,MIN(30,IF(T28=0,EOMONTH(B28,0),MIN(T28,EOMONTH(B28,0)))-MAX(B28,S28)+1))))</f>
        <v/>
      </c>
    </row>
    <row r="29" customFormat="false" ht="15" hidden="false" customHeight="false" outlineLevel="0" collapsed="false">
      <c r="B29" s="78"/>
      <c r="C29" s="64"/>
      <c r="D29" s="70" t="str">
        <f aca="false">IF(C29="","",IFERROR(INDEX(T_NOMBRE,MATCH(C29,T_ID,0)),"⚠ ID no existe"))</f>
        <v/>
      </c>
      <c r="E29" s="69"/>
      <c r="F29" s="69"/>
      <c r="G29" s="69"/>
      <c r="H29" s="69"/>
      <c r="I29" s="66"/>
      <c r="J29" s="69"/>
      <c r="K29" s="67"/>
      <c r="L29" s="67"/>
      <c r="M29" s="67"/>
      <c r="N29" s="67"/>
      <c r="O29" s="64"/>
      <c r="P29" s="72" t="str">
        <f aca="false">IF(OR(B29="",C29=""),"",C29&amp;"|"&amp;(YEAR(B29)*100+MONTH(B29)))</f>
        <v/>
      </c>
      <c r="Q29" s="70" t="str">
        <f aca="false">IF(P29="","",IF(COUNTIF(N_CLAVE,P29)&gt;1,"⚠ Duplicado","OK"))</f>
        <v/>
      </c>
      <c r="R29" s="74" t="str">
        <f aca="false">IF(OR(P29="",U29=""),"",MAX(0,U29-N(E29)-N(F29)-N(H29)))</f>
        <v/>
      </c>
      <c r="S29" s="75" t="str">
        <f aca="false">IF(P29="","",IFERROR(INDEX(T_INGRESO,MATCH(C29,T_ID,0)),""))</f>
        <v/>
      </c>
      <c r="T29" s="75" t="str">
        <f aca="false">IF(P29="","",IFERROR(N(INDEX(T_EGRESO,MATCH(C29,T_ID,0))),0))</f>
        <v/>
      </c>
      <c r="U29" s="73" t="str">
        <f aca="false">IF(OR(P29="",NOT(ISNUMBER(S29))),"",IF(OR(S29&gt;EOMONTH(B29,0),AND(T29&gt;0,T29&lt;B29)),0,IF(AND(S29&lt;=B29,OR(T29=0,T29&gt;=EOMONTH(B29,0))),30,MIN(30,IF(T29=0,EOMONTH(B29,0),MIN(T29,EOMONTH(B29,0)))-MAX(B29,S29)+1))))</f>
        <v/>
      </c>
    </row>
    <row r="30" customFormat="false" ht="15" hidden="false" customHeight="false" outlineLevel="0" collapsed="false">
      <c r="B30" s="78"/>
      <c r="C30" s="64"/>
      <c r="D30" s="70" t="str">
        <f aca="false">IF(C30="","",IFERROR(INDEX(T_NOMBRE,MATCH(C30,T_ID,0)),"⚠ ID no existe"))</f>
        <v/>
      </c>
      <c r="E30" s="69"/>
      <c r="F30" s="69"/>
      <c r="G30" s="69"/>
      <c r="H30" s="69"/>
      <c r="I30" s="66"/>
      <c r="J30" s="69"/>
      <c r="K30" s="67"/>
      <c r="L30" s="67"/>
      <c r="M30" s="67"/>
      <c r="N30" s="67"/>
      <c r="O30" s="64"/>
      <c r="P30" s="72" t="str">
        <f aca="false">IF(OR(B30="",C30=""),"",C30&amp;"|"&amp;(YEAR(B30)*100+MONTH(B30)))</f>
        <v/>
      </c>
      <c r="Q30" s="70" t="str">
        <f aca="false">IF(P30="","",IF(COUNTIF(N_CLAVE,P30)&gt;1,"⚠ Duplicado","OK"))</f>
        <v/>
      </c>
      <c r="R30" s="74" t="str">
        <f aca="false">IF(OR(P30="",U30=""),"",MAX(0,U30-N(E30)-N(F30)-N(H30)))</f>
        <v/>
      </c>
      <c r="S30" s="75" t="str">
        <f aca="false">IF(P30="","",IFERROR(INDEX(T_INGRESO,MATCH(C30,T_ID,0)),""))</f>
        <v/>
      </c>
      <c r="T30" s="75" t="str">
        <f aca="false">IF(P30="","",IFERROR(N(INDEX(T_EGRESO,MATCH(C30,T_ID,0))),0))</f>
        <v/>
      </c>
      <c r="U30" s="73" t="str">
        <f aca="false">IF(OR(P30="",NOT(ISNUMBER(S30))),"",IF(OR(S30&gt;EOMONTH(B30,0),AND(T30&gt;0,T30&lt;B30)),0,IF(AND(S30&lt;=B30,OR(T30=0,T30&gt;=EOMONTH(B30,0))),30,MIN(30,IF(T30=0,EOMONTH(B30,0),MIN(T30,EOMONTH(B30,0)))-MAX(B30,S30)+1))))</f>
        <v/>
      </c>
    </row>
    <row r="31" customFormat="false" ht="15" hidden="false" customHeight="false" outlineLevel="0" collapsed="false">
      <c r="B31" s="78"/>
      <c r="C31" s="64"/>
      <c r="D31" s="70" t="str">
        <f aca="false">IF(C31="","",IFERROR(INDEX(T_NOMBRE,MATCH(C31,T_ID,0)),"⚠ ID no existe"))</f>
        <v/>
      </c>
      <c r="E31" s="69"/>
      <c r="F31" s="69"/>
      <c r="G31" s="69"/>
      <c r="H31" s="69"/>
      <c r="I31" s="66"/>
      <c r="J31" s="69"/>
      <c r="K31" s="67"/>
      <c r="L31" s="67"/>
      <c r="M31" s="67"/>
      <c r="N31" s="67"/>
      <c r="O31" s="64"/>
      <c r="P31" s="72" t="str">
        <f aca="false">IF(OR(B31="",C31=""),"",C31&amp;"|"&amp;(YEAR(B31)*100+MONTH(B31)))</f>
        <v/>
      </c>
      <c r="Q31" s="70" t="str">
        <f aca="false">IF(P31="","",IF(COUNTIF(N_CLAVE,P31)&gt;1,"⚠ Duplicado","OK"))</f>
        <v/>
      </c>
      <c r="R31" s="74" t="str">
        <f aca="false">IF(OR(P31="",U31=""),"",MAX(0,U31-N(E31)-N(F31)-N(H31)))</f>
        <v/>
      </c>
      <c r="S31" s="75" t="str">
        <f aca="false">IF(P31="","",IFERROR(INDEX(T_INGRESO,MATCH(C31,T_ID,0)),""))</f>
        <v/>
      </c>
      <c r="T31" s="75" t="str">
        <f aca="false">IF(P31="","",IFERROR(N(INDEX(T_EGRESO,MATCH(C31,T_ID,0))),0))</f>
        <v/>
      </c>
      <c r="U31" s="73" t="str">
        <f aca="false">IF(OR(P31="",NOT(ISNUMBER(S31))),"",IF(OR(S31&gt;EOMONTH(B31,0),AND(T31&gt;0,T31&lt;B31)),0,IF(AND(S31&lt;=B31,OR(T31=0,T31&gt;=EOMONTH(B31,0))),30,MIN(30,IF(T31=0,EOMONTH(B31,0),MIN(T31,EOMONTH(B31,0)))-MAX(B31,S31)+1))))</f>
        <v/>
      </c>
    </row>
    <row r="32" customFormat="false" ht="15" hidden="false" customHeight="false" outlineLevel="0" collapsed="false">
      <c r="B32" s="78"/>
      <c r="C32" s="64"/>
      <c r="D32" s="70" t="str">
        <f aca="false">IF(C32="","",IFERROR(INDEX(T_NOMBRE,MATCH(C32,T_ID,0)),"⚠ ID no existe"))</f>
        <v/>
      </c>
      <c r="E32" s="69"/>
      <c r="F32" s="69"/>
      <c r="G32" s="69"/>
      <c r="H32" s="69"/>
      <c r="I32" s="66"/>
      <c r="J32" s="69"/>
      <c r="K32" s="67"/>
      <c r="L32" s="67"/>
      <c r="M32" s="67"/>
      <c r="N32" s="67"/>
      <c r="O32" s="64"/>
      <c r="P32" s="72" t="str">
        <f aca="false">IF(OR(B32="",C32=""),"",C32&amp;"|"&amp;(YEAR(B32)*100+MONTH(B32)))</f>
        <v/>
      </c>
      <c r="Q32" s="70" t="str">
        <f aca="false">IF(P32="","",IF(COUNTIF(N_CLAVE,P32)&gt;1,"⚠ Duplicado","OK"))</f>
        <v/>
      </c>
      <c r="R32" s="74" t="str">
        <f aca="false">IF(OR(P32="",U32=""),"",MAX(0,U32-N(E32)-N(F32)-N(H32)))</f>
        <v/>
      </c>
      <c r="S32" s="75" t="str">
        <f aca="false">IF(P32="","",IFERROR(INDEX(T_INGRESO,MATCH(C32,T_ID,0)),""))</f>
        <v/>
      </c>
      <c r="T32" s="75" t="str">
        <f aca="false">IF(P32="","",IFERROR(N(INDEX(T_EGRESO,MATCH(C32,T_ID,0))),0))</f>
        <v/>
      </c>
      <c r="U32" s="73" t="str">
        <f aca="false">IF(OR(P32="",NOT(ISNUMBER(S32))),"",IF(OR(S32&gt;EOMONTH(B32,0),AND(T32&gt;0,T32&lt;B32)),0,IF(AND(S32&lt;=B32,OR(T32=0,T32&gt;=EOMONTH(B32,0))),30,MIN(30,IF(T32=0,EOMONTH(B32,0),MIN(T32,EOMONTH(B32,0)))-MAX(B32,S32)+1))))</f>
        <v/>
      </c>
    </row>
    <row r="33" customFormat="false" ht="15" hidden="false" customHeight="false" outlineLevel="0" collapsed="false">
      <c r="B33" s="78"/>
      <c r="C33" s="64"/>
      <c r="D33" s="70" t="str">
        <f aca="false">IF(C33="","",IFERROR(INDEX(T_NOMBRE,MATCH(C33,T_ID,0)),"⚠ ID no existe"))</f>
        <v/>
      </c>
      <c r="E33" s="69"/>
      <c r="F33" s="69"/>
      <c r="G33" s="69"/>
      <c r="H33" s="69"/>
      <c r="I33" s="66"/>
      <c r="J33" s="69"/>
      <c r="K33" s="67"/>
      <c r="L33" s="67"/>
      <c r="M33" s="67"/>
      <c r="N33" s="67"/>
      <c r="O33" s="64"/>
      <c r="P33" s="72" t="str">
        <f aca="false">IF(OR(B33="",C33=""),"",C33&amp;"|"&amp;(YEAR(B33)*100+MONTH(B33)))</f>
        <v/>
      </c>
      <c r="Q33" s="70" t="str">
        <f aca="false">IF(P33="","",IF(COUNTIF(N_CLAVE,P33)&gt;1,"⚠ Duplicado","OK"))</f>
        <v/>
      </c>
      <c r="R33" s="74" t="str">
        <f aca="false">IF(OR(P33="",U33=""),"",MAX(0,U33-N(E33)-N(F33)-N(H33)))</f>
        <v/>
      </c>
      <c r="S33" s="75" t="str">
        <f aca="false">IF(P33="","",IFERROR(INDEX(T_INGRESO,MATCH(C33,T_ID,0)),""))</f>
        <v/>
      </c>
      <c r="T33" s="75" t="str">
        <f aca="false">IF(P33="","",IFERROR(N(INDEX(T_EGRESO,MATCH(C33,T_ID,0))),0))</f>
        <v/>
      </c>
      <c r="U33" s="73" t="str">
        <f aca="false">IF(OR(P33="",NOT(ISNUMBER(S33))),"",IF(OR(S33&gt;EOMONTH(B33,0),AND(T33&gt;0,T33&lt;B33)),0,IF(AND(S33&lt;=B33,OR(T33=0,T33&gt;=EOMONTH(B33,0))),30,MIN(30,IF(T33=0,EOMONTH(B33,0),MIN(T33,EOMONTH(B33,0)))-MAX(B33,S33)+1))))</f>
        <v/>
      </c>
    </row>
    <row r="34" customFormat="false" ht="15" hidden="false" customHeight="false" outlineLevel="0" collapsed="false">
      <c r="B34" s="78"/>
      <c r="C34" s="64"/>
      <c r="D34" s="70" t="str">
        <f aca="false">IF(C34="","",IFERROR(INDEX(T_NOMBRE,MATCH(C34,T_ID,0)),"⚠ ID no existe"))</f>
        <v/>
      </c>
      <c r="E34" s="69"/>
      <c r="F34" s="69"/>
      <c r="G34" s="69"/>
      <c r="H34" s="69"/>
      <c r="I34" s="66"/>
      <c r="J34" s="69"/>
      <c r="K34" s="67"/>
      <c r="L34" s="67"/>
      <c r="M34" s="67"/>
      <c r="N34" s="67"/>
      <c r="O34" s="64"/>
      <c r="P34" s="72" t="str">
        <f aca="false">IF(OR(B34="",C34=""),"",C34&amp;"|"&amp;(YEAR(B34)*100+MONTH(B34)))</f>
        <v/>
      </c>
      <c r="Q34" s="70" t="str">
        <f aca="false">IF(P34="","",IF(COUNTIF(N_CLAVE,P34)&gt;1,"⚠ Duplicado","OK"))</f>
        <v/>
      </c>
      <c r="R34" s="74" t="str">
        <f aca="false">IF(OR(P34="",U34=""),"",MAX(0,U34-N(E34)-N(F34)-N(H34)))</f>
        <v/>
      </c>
      <c r="S34" s="75" t="str">
        <f aca="false">IF(P34="","",IFERROR(INDEX(T_INGRESO,MATCH(C34,T_ID,0)),""))</f>
        <v/>
      </c>
      <c r="T34" s="75" t="str">
        <f aca="false">IF(P34="","",IFERROR(N(INDEX(T_EGRESO,MATCH(C34,T_ID,0))),0))</f>
        <v/>
      </c>
      <c r="U34" s="73" t="str">
        <f aca="false">IF(OR(P34="",NOT(ISNUMBER(S34))),"",IF(OR(S34&gt;EOMONTH(B34,0),AND(T34&gt;0,T34&lt;B34)),0,IF(AND(S34&lt;=B34,OR(T34=0,T34&gt;=EOMONTH(B34,0))),30,MIN(30,IF(T34=0,EOMONTH(B34,0),MIN(T34,EOMONTH(B34,0)))-MAX(B34,S34)+1))))</f>
        <v/>
      </c>
    </row>
    <row r="35" customFormat="false" ht="15" hidden="false" customHeight="false" outlineLevel="0" collapsed="false">
      <c r="B35" s="78"/>
      <c r="C35" s="64"/>
      <c r="D35" s="70" t="str">
        <f aca="false">IF(C35="","",IFERROR(INDEX(T_NOMBRE,MATCH(C35,T_ID,0)),"⚠ ID no existe"))</f>
        <v/>
      </c>
      <c r="E35" s="69"/>
      <c r="F35" s="69"/>
      <c r="G35" s="69"/>
      <c r="H35" s="69"/>
      <c r="I35" s="66"/>
      <c r="J35" s="69"/>
      <c r="K35" s="67"/>
      <c r="L35" s="67"/>
      <c r="M35" s="67"/>
      <c r="N35" s="67"/>
      <c r="O35" s="64"/>
      <c r="P35" s="72" t="str">
        <f aca="false">IF(OR(B35="",C35=""),"",C35&amp;"|"&amp;(YEAR(B35)*100+MONTH(B35)))</f>
        <v/>
      </c>
      <c r="Q35" s="70" t="str">
        <f aca="false">IF(P35="","",IF(COUNTIF(N_CLAVE,P35)&gt;1,"⚠ Duplicado","OK"))</f>
        <v/>
      </c>
      <c r="R35" s="74" t="str">
        <f aca="false">IF(OR(P35="",U35=""),"",MAX(0,U35-N(E35)-N(F35)-N(H35)))</f>
        <v/>
      </c>
      <c r="S35" s="75" t="str">
        <f aca="false">IF(P35="","",IFERROR(INDEX(T_INGRESO,MATCH(C35,T_ID,0)),""))</f>
        <v/>
      </c>
      <c r="T35" s="75" t="str">
        <f aca="false">IF(P35="","",IFERROR(N(INDEX(T_EGRESO,MATCH(C35,T_ID,0))),0))</f>
        <v/>
      </c>
      <c r="U35" s="73" t="str">
        <f aca="false">IF(OR(P35="",NOT(ISNUMBER(S35))),"",IF(OR(S35&gt;EOMONTH(B35,0),AND(T35&gt;0,T35&lt;B35)),0,IF(AND(S35&lt;=B35,OR(T35=0,T35&gt;=EOMONTH(B35,0))),30,MIN(30,IF(T35=0,EOMONTH(B35,0),MIN(T35,EOMONTH(B35,0)))-MAX(B35,S35)+1))))</f>
        <v/>
      </c>
    </row>
    <row r="36" customFormat="false" ht="15" hidden="false" customHeight="false" outlineLevel="0" collapsed="false">
      <c r="B36" s="78"/>
      <c r="C36" s="64"/>
      <c r="D36" s="70" t="str">
        <f aca="false">IF(C36="","",IFERROR(INDEX(T_NOMBRE,MATCH(C36,T_ID,0)),"⚠ ID no existe"))</f>
        <v/>
      </c>
      <c r="E36" s="69"/>
      <c r="F36" s="69"/>
      <c r="G36" s="69"/>
      <c r="H36" s="69"/>
      <c r="I36" s="66"/>
      <c r="J36" s="69"/>
      <c r="K36" s="67"/>
      <c r="L36" s="67"/>
      <c r="M36" s="67"/>
      <c r="N36" s="67"/>
      <c r="O36" s="64"/>
      <c r="P36" s="72" t="str">
        <f aca="false">IF(OR(B36="",C36=""),"",C36&amp;"|"&amp;(YEAR(B36)*100+MONTH(B36)))</f>
        <v/>
      </c>
      <c r="Q36" s="70" t="str">
        <f aca="false">IF(P36="","",IF(COUNTIF(N_CLAVE,P36)&gt;1,"⚠ Duplicado","OK"))</f>
        <v/>
      </c>
      <c r="R36" s="74" t="str">
        <f aca="false">IF(OR(P36="",U36=""),"",MAX(0,U36-N(E36)-N(F36)-N(H36)))</f>
        <v/>
      </c>
      <c r="S36" s="75" t="str">
        <f aca="false">IF(P36="","",IFERROR(INDEX(T_INGRESO,MATCH(C36,T_ID,0)),""))</f>
        <v/>
      </c>
      <c r="T36" s="75" t="str">
        <f aca="false">IF(P36="","",IFERROR(N(INDEX(T_EGRESO,MATCH(C36,T_ID,0))),0))</f>
        <v/>
      </c>
      <c r="U36" s="73" t="str">
        <f aca="false">IF(OR(P36="",NOT(ISNUMBER(S36))),"",IF(OR(S36&gt;EOMONTH(B36,0),AND(T36&gt;0,T36&lt;B36)),0,IF(AND(S36&lt;=B36,OR(T36=0,T36&gt;=EOMONTH(B36,0))),30,MIN(30,IF(T36=0,EOMONTH(B36,0),MIN(T36,EOMONTH(B36,0)))-MAX(B36,S36)+1))))</f>
        <v/>
      </c>
    </row>
    <row r="37" customFormat="false" ht="15" hidden="false" customHeight="false" outlineLevel="0" collapsed="false">
      <c r="B37" s="78"/>
      <c r="C37" s="64"/>
      <c r="D37" s="70" t="str">
        <f aca="false">IF(C37="","",IFERROR(INDEX(T_NOMBRE,MATCH(C37,T_ID,0)),"⚠ ID no existe"))</f>
        <v/>
      </c>
      <c r="E37" s="69"/>
      <c r="F37" s="69"/>
      <c r="G37" s="69"/>
      <c r="H37" s="69"/>
      <c r="I37" s="66"/>
      <c r="J37" s="69"/>
      <c r="K37" s="67"/>
      <c r="L37" s="67"/>
      <c r="M37" s="67"/>
      <c r="N37" s="67"/>
      <c r="O37" s="64"/>
      <c r="P37" s="72" t="str">
        <f aca="false">IF(OR(B37="",C37=""),"",C37&amp;"|"&amp;(YEAR(B37)*100+MONTH(B37)))</f>
        <v/>
      </c>
      <c r="Q37" s="70" t="str">
        <f aca="false">IF(P37="","",IF(COUNTIF(N_CLAVE,P37)&gt;1,"⚠ Duplicado","OK"))</f>
        <v/>
      </c>
      <c r="R37" s="74" t="str">
        <f aca="false">IF(OR(P37="",U37=""),"",MAX(0,U37-N(E37)-N(F37)-N(H37)))</f>
        <v/>
      </c>
      <c r="S37" s="75" t="str">
        <f aca="false">IF(P37="","",IFERROR(INDEX(T_INGRESO,MATCH(C37,T_ID,0)),""))</f>
        <v/>
      </c>
      <c r="T37" s="75" t="str">
        <f aca="false">IF(P37="","",IFERROR(N(INDEX(T_EGRESO,MATCH(C37,T_ID,0))),0))</f>
        <v/>
      </c>
      <c r="U37" s="73" t="str">
        <f aca="false">IF(OR(P37="",NOT(ISNUMBER(S37))),"",IF(OR(S37&gt;EOMONTH(B37,0),AND(T37&gt;0,T37&lt;B37)),0,IF(AND(S37&lt;=B37,OR(T37=0,T37&gt;=EOMONTH(B37,0))),30,MIN(30,IF(T37=0,EOMONTH(B37,0),MIN(T37,EOMONTH(B37,0)))-MAX(B37,S37)+1))))</f>
        <v/>
      </c>
    </row>
    <row r="38" customFormat="false" ht="15" hidden="false" customHeight="false" outlineLevel="0" collapsed="false">
      <c r="B38" s="78"/>
      <c r="C38" s="64"/>
      <c r="D38" s="70" t="str">
        <f aca="false">IF(C38="","",IFERROR(INDEX(T_NOMBRE,MATCH(C38,T_ID,0)),"⚠ ID no existe"))</f>
        <v/>
      </c>
      <c r="E38" s="69"/>
      <c r="F38" s="69"/>
      <c r="G38" s="69"/>
      <c r="H38" s="69"/>
      <c r="I38" s="66"/>
      <c r="J38" s="69"/>
      <c r="K38" s="67"/>
      <c r="L38" s="67"/>
      <c r="M38" s="67"/>
      <c r="N38" s="67"/>
      <c r="O38" s="64"/>
      <c r="P38" s="72" t="str">
        <f aca="false">IF(OR(B38="",C38=""),"",C38&amp;"|"&amp;(YEAR(B38)*100+MONTH(B38)))</f>
        <v/>
      </c>
      <c r="Q38" s="70" t="str">
        <f aca="false">IF(P38="","",IF(COUNTIF(N_CLAVE,P38)&gt;1,"⚠ Duplicado","OK"))</f>
        <v/>
      </c>
      <c r="R38" s="74" t="str">
        <f aca="false">IF(OR(P38="",U38=""),"",MAX(0,U38-N(E38)-N(F38)-N(H38)))</f>
        <v/>
      </c>
      <c r="S38" s="75" t="str">
        <f aca="false">IF(P38="","",IFERROR(INDEX(T_INGRESO,MATCH(C38,T_ID,0)),""))</f>
        <v/>
      </c>
      <c r="T38" s="75" t="str">
        <f aca="false">IF(P38="","",IFERROR(N(INDEX(T_EGRESO,MATCH(C38,T_ID,0))),0))</f>
        <v/>
      </c>
      <c r="U38" s="73" t="str">
        <f aca="false">IF(OR(P38="",NOT(ISNUMBER(S38))),"",IF(OR(S38&gt;EOMONTH(B38,0),AND(T38&gt;0,T38&lt;B38)),0,IF(AND(S38&lt;=B38,OR(T38=0,T38&gt;=EOMONTH(B38,0))),30,MIN(30,IF(T38=0,EOMONTH(B38,0),MIN(T38,EOMONTH(B38,0)))-MAX(B38,S38)+1))))</f>
        <v/>
      </c>
    </row>
    <row r="39" customFormat="false" ht="15" hidden="false" customHeight="false" outlineLevel="0" collapsed="false">
      <c r="B39" s="78"/>
      <c r="C39" s="64"/>
      <c r="D39" s="70" t="str">
        <f aca="false">IF(C39="","",IFERROR(INDEX(T_NOMBRE,MATCH(C39,T_ID,0)),"⚠ ID no existe"))</f>
        <v/>
      </c>
      <c r="E39" s="69"/>
      <c r="F39" s="69"/>
      <c r="G39" s="69"/>
      <c r="H39" s="69"/>
      <c r="I39" s="66"/>
      <c r="J39" s="69"/>
      <c r="K39" s="67"/>
      <c r="L39" s="67"/>
      <c r="M39" s="67"/>
      <c r="N39" s="67"/>
      <c r="O39" s="64"/>
      <c r="P39" s="72" t="str">
        <f aca="false">IF(OR(B39="",C39=""),"",C39&amp;"|"&amp;(YEAR(B39)*100+MONTH(B39)))</f>
        <v/>
      </c>
      <c r="Q39" s="70" t="str">
        <f aca="false">IF(P39="","",IF(COUNTIF(N_CLAVE,P39)&gt;1,"⚠ Duplicado","OK"))</f>
        <v/>
      </c>
      <c r="R39" s="74" t="str">
        <f aca="false">IF(OR(P39="",U39=""),"",MAX(0,U39-N(E39)-N(F39)-N(H39)))</f>
        <v/>
      </c>
      <c r="S39" s="75" t="str">
        <f aca="false">IF(P39="","",IFERROR(INDEX(T_INGRESO,MATCH(C39,T_ID,0)),""))</f>
        <v/>
      </c>
      <c r="T39" s="75" t="str">
        <f aca="false">IF(P39="","",IFERROR(N(INDEX(T_EGRESO,MATCH(C39,T_ID,0))),0))</f>
        <v/>
      </c>
      <c r="U39" s="73" t="str">
        <f aca="false">IF(OR(P39="",NOT(ISNUMBER(S39))),"",IF(OR(S39&gt;EOMONTH(B39,0),AND(T39&gt;0,T39&lt;B39)),0,IF(AND(S39&lt;=B39,OR(T39=0,T39&gt;=EOMONTH(B39,0))),30,MIN(30,IF(T39=0,EOMONTH(B39,0),MIN(T39,EOMONTH(B39,0)))-MAX(B39,S39)+1))))</f>
        <v/>
      </c>
    </row>
    <row r="40" customFormat="false" ht="15" hidden="false" customHeight="false" outlineLevel="0" collapsed="false">
      <c r="B40" s="78"/>
      <c r="C40" s="64"/>
      <c r="D40" s="70" t="str">
        <f aca="false">IF(C40="","",IFERROR(INDEX(T_NOMBRE,MATCH(C40,T_ID,0)),"⚠ ID no existe"))</f>
        <v/>
      </c>
      <c r="E40" s="69"/>
      <c r="F40" s="69"/>
      <c r="G40" s="69"/>
      <c r="H40" s="69"/>
      <c r="I40" s="66"/>
      <c r="J40" s="69"/>
      <c r="K40" s="67"/>
      <c r="L40" s="67"/>
      <c r="M40" s="67"/>
      <c r="N40" s="67"/>
      <c r="O40" s="64"/>
      <c r="P40" s="72" t="str">
        <f aca="false">IF(OR(B40="",C40=""),"",C40&amp;"|"&amp;(YEAR(B40)*100+MONTH(B40)))</f>
        <v/>
      </c>
      <c r="Q40" s="70" t="str">
        <f aca="false">IF(P40="","",IF(COUNTIF(N_CLAVE,P40)&gt;1,"⚠ Duplicado","OK"))</f>
        <v/>
      </c>
      <c r="R40" s="74" t="str">
        <f aca="false">IF(OR(P40="",U40=""),"",MAX(0,U40-N(E40)-N(F40)-N(H40)))</f>
        <v/>
      </c>
      <c r="S40" s="75" t="str">
        <f aca="false">IF(P40="","",IFERROR(INDEX(T_INGRESO,MATCH(C40,T_ID,0)),""))</f>
        <v/>
      </c>
      <c r="T40" s="75" t="str">
        <f aca="false">IF(P40="","",IFERROR(N(INDEX(T_EGRESO,MATCH(C40,T_ID,0))),0))</f>
        <v/>
      </c>
      <c r="U40" s="73" t="str">
        <f aca="false">IF(OR(P40="",NOT(ISNUMBER(S40))),"",IF(OR(S40&gt;EOMONTH(B40,0),AND(T40&gt;0,T40&lt;B40)),0,IF(AND(S40&lt;=B40,OR(T40=0,T40&gt;=EOMONTH(B40,0))),30,MIN(30,IF(T40=0,EOMONTH(B40,0),MIN(T40,EOMONTH(B40,0)))-MAX(B40,S40)+1))))</f>
        <v/>
      </c>
    </row>
    <row r="41" customFormat="false" ht="15" hidden="false" customHeight="false" outlineLevel="0" collapsed="false">
      <c r="B41" s="78"/>
      <c r="C41" s="64"/>
      <c r="D41" s="70" t="str">
        <f aca="false">IF(C41="","",IFERROR(INDEX(T_NOMBRE,MATCH(C41,T_ID,0)),"⚠ ID no existe"))</f>
        <v/>
      </c>
      <c r="E41" s="69"/>
      <c r="F41" s="69"/>
      <c r="G41" s="69"/>
      <c r="H41" s="69"/>
      <c r="I41" s="66"/>
      <c r="J41" s="69"/>
      <c r="K41" s="67"/>
      <c r="L41" s="67"/>
      <c r="M41" s="67"/>
      <c r="N41" s="67"/>
      <c r="O41" s="64"/>
      <c r="P41" s="72" t="str">
        <f aca="false">IF(OR(B41="",C41=""),"",C41&amp;"|"&amp;(YEAR(B41)*100+MONTH(B41)))</f>
        <v/>
      </c>
      <c r="Q41" s="70" t="str">
        <f aca="false">IF(P41="","",IF(COUNTIF(N_CLAVE,P41)&gt;1,"⚠ Duplicado","OK"))</f>
        <v/>
      </c>
      <c r="R41" s="74" t="str">
        <f aca="false">IF(OR(P41="",U41=""),"",MAX(0,U41-N(E41)-N(F41)-N(H41)))</f>
        <v/>
      </c>
      <c r="S41" s="75" t="str">
        <f aca="false">IF(P41="","",IFERROR(INDEX(T_INGRESO,MATCH(C41,T_ID,0)),""))</f>
        <v/>
      </c>
      <c r="T41" s="75" t="str">
        <f aca="false">IF(P41="","",IFERROR(N(INDEX(T_EGRESO,MATCH(C41,T_ID,0))),0))</f>
        <v/>
      </c>
      <c r="U41" s="73" t="str">
        <f aca="false">IF(OR(P41="",NOT(ISNUMBER(S41))),"",IF(OR(S41&gt;EOMONTH(B41,0),AND(T41&gt;0,T41&lt;B41)),0,IF(AND(S41&lt;=B41,OR(T41=0,T41&gt;=EOMONTH(B41,0))),30,MIN(30,IF(T41=0,EOMONTH(B41,0),MIN(T41,EOMONTH(B41,0)))-MAX(B41,S41)+1))))</f>
        <v/>
      </c>
    </row>
    <row r="42" customFormat="false" ht="15" hidden="false" customHeight="false" outlineLevel="0" collapsed="false">
      <c r="B42" s="78"/>
      <c r="C42" s="64"/>
      <c r="D42" s="70" t="str">
        <f aca="false">IF(C42="","",IFERROR(INDEX(T_NOMBRE,MATCH(C42,T_ID,0)),"⚠ ID no existe"))</f>
        <v/>
      </c>
      <c r="E42" s="69"/>
      <c r="F42" s="69"/>
      <c r="G42" s="69"/>
      <c r="H42" s="69"/>
      <c r="I42" s="66"/>
      <c r="J42" s="69"/>
      <c r="K42" s="67"/>
      <c r="L42" s="67"/>
      <c r="M42" s="67"/>
      <c r="N42" s="67"/>
      <c r="O42" s="64"/>
      <c r="P42" s="72" t="str">
        <f aca="false">IF(OR(B42="",C42=""),"",C42&amp;"|"&amp;(YEAR(B42)*100+MONTH(B42)))</f>
        <v/>
      </c>
      <c r="Q42" s="70" t="str">
        <f aca="false">IF(P42="","",IF(COUNTIF(N_CLAVE,P42)&gt;1,"⚠ Duplicado","OK"))</f>
        <v/>
      </c>
      <c r="R42" s="74" t="str">
        <f aca="false">IF(OR(P42="",U42=""),"",MAX(0,U42-N(E42)-N(F42)-N(H42)))</f>
        <v/>
      </c>
      <c r="S42" s="75" t="str">
        <f aca="false">IF(P42="","",IFERROR(INDEX(T_INGRESO,MATCH(C42,T_ID,0)),""))</f>
        <v/>
      </c>
      <c r="T42" s="75" t="str">
        <f aca="false">IF(P42="","",IFERROR(N(INDEX(T_EGRESO,MATCH(C42,T_ID,0))),0))</f>
        <v/>
      </c>
      <c r="U42" s="73" t="str">
        <f aca="false">IF(OR(P42="",NOT(ISNUMBER(S42))),"",IF(OR(S42&gt;EOMONTH(B42,0),AND(T42&gt;0,T42&lt;B42)),0,IF(AND(S42&lt;=B42,OR(T42=0,T42&gt;=EOMONTH(B42,0))),30,MIN(30,IF(T42=0,EOMONTH(B42,0),MIN(T42,EOMONTH(B42,0)))-MAX(B42,S42)+1))))</f>
        <v/>
      </c>
    </row>
    <row r="43" customFormat="false" ht="15" hidden="false" customHeight="false" outlineLevel="0" collapsed="false">
      <c r="B43" s="78"/>
      <c r="C43" s="64"/>
      <c r="D43" s="70" t="str">
        <f aca="false">IF(C43="","",IFERROR(INDEX(T_NOMBRE,MATCH(C43,T_ID,0)),"⚠ ID no existe"))</f>
        <v/>
      </c>
      <c r="E43" s="69"/>
      <c r="F43" s="69"/>
      <c r="G43" s="69"/>
      <c r="H43" s="69"/>
      <c r="I43" s="66"/>
      <c r="J43" s="69"/>
      <c r="K43" s="67"/>
      <c r="L43" s="67"/>
      <c r="M43" s="67"/>
      <c r="N43" s="67"/>
      <c r="O43" s="64"/>
      <c r="P43" s="72" t="str">
        <f aca="false">IF(OR(B43="",C43=""),"",C43&amp;"|"&amp;(YEAR(B43)*100+MONTH(B43)))</f>
        <v/>
      </c>
      <c r="Q43" s="70" t="str">
        <f aca="false">IF(P43="","",IF(COUNTIF(N_CLAVE,P43)&gt;1,"⚠ Duplicado","OK"))</f>
        <v/>
      </c>
      <c r="R43" s="74" t="str">
        <f aca="false">IF(OR(P43="",U43=""),"",MAX(0,U43-N(E43)-N(F43)-N(H43)))</f>
        <v/>
      </c>
      <c r="S43" s="75" t="str">
        <f aca="false">IF(P43="","",IFERROR(INDEX(T_INGRESO,MATCH(C43,T_ID,0)),""))</f>
        <v/>
      </c>
      <c r="T43" s="75" t="str">
        <f aca="false">IF(P43="","",IFERROR(N(INDEX(T_EGRESO,MATCH(C43,T_ID,0))),0))</f>
        <v/>
      </c>
      <c r="U43" s="73" t="str">
        <f aca="false">IF(OR(P43="",NOT(ISNUMBER(S43))),"",IF(OR(S43&gt;EOMONTH(B43,0),AND(T43&gt;0,T43&lt;B43)),0,IF(AND(S43&lt;=B43,OR(T43=0,T43&gt;=EOMONTH(B43,0))),30,MIN(30,IF(T43=0,EOMONTH(B43,0),MIN(T43,EOMONTH(B43,0)))-MAX(B43,S43)+1))))</f>
        <v/>
      </c>
    </row>
    <row r="44" customFormat="false" ht="15" hidden="false" customHeight="false" outlineLevel="0" collapsed="false">
      <c r="B44" s="78"/>
      <c r="C44" s="64"/>
      <c r="D44" s="70" t="str">
        <f aca="false">IF(C44="","",IFERROR(INDEX(T_NOMBRE,MATCH(C44,T_ID,0)),"⚠ ID no existe"))</f>
        <v/>
      </c>
      <c r="E44" s="69"/>
      <c r="F44" s="69"/>
      <c r="G44" s="69"/>
      <c r="H44" s="69"/>
      <c r="I44" s="66"/>
      <c r="J44" s="69"/>
      <c r="K44" s="67"/>
      <c r="L44" s="67"/>
      <c r="M44" s="67"/>
      <c r="N44" s="67"/>
      <c r="O44" s="64"/>
      <c r="P44" s="72" t="str">
        <f aca="false">IF(OR(B44="",C44=""),"",C44&amp;"|"&amp;(YEAR(B44)*100+MONTH(B44)))</f>
        <v/>
      </c>
      <c r="Q44" s="70" t="str">
        <f aca="false">IF(P44="","",IF(COUNTIF(N_CLAVE,P44)&gt;1,"⚠ Duplicado","OK"))</f>
        <v/>
      </c>
      <c r="R44" s="74" t="str">
        <f aca="false">IF(OR(P44="",U44=""),"",MAX(0,U44-N(E44)-N(F44)-N(H44)))</f>
        <v/>
      </c>
      <c r="S44" s="75" t="str">
        <f aca="false">IF(P44="","",IFERROR(INDEX(T_INGRESO,MATCH(C44,T_ID,0)),""))</f>
        <v/>
      </c>
      <c r="T44" s="75" t="str">
        <f aca="false">IF(P44="","",IFERROR(N(INDEX(T_EGRESO,MATCH(C44,T_ID,0))),0))</f>
        <v/>
      </c>
      <c r="U44" s="73" t="str">
        <f aca="false">IF(OR(P44="",NOT(ISNUMBER(S44))),"",IF(OR(S44&gt;EOMONTH(B44,0),AND(T44&gt;0,T44&lt;B44)),0,IF(AND(S44&lt;=B44,OR(T44=0,T44&gt;=EOMONTH(B44,0))),30,MIN(30,IF(T44=0,EOMONTH(B44,0),MIN(T44,EOMONTH(B44,0)))-MAX(B44,S44)+1))))</f>
        <v/>
      </c>
    </row>
    <row r="45" customFormat="false" ht="15" hidden="false" customHeight="false" outlineLevel="0" collapsed="false">
      <c r="B45" s="78"/>
      <c r="C45" s="64"/>
      <c r="D45" s="70" t="str">
        <f aca="false">IF(C45="","",IFERROR(INDEX(T_NOMBRE,MATCH(C45,T_ID,0)),"⚠ ID no existe"))</f>
        <v/>
      </c>
      <c r="E45" s="69"/>
      <c r="F45" s="69"/>
      <c r="G45" s="69"/>
      <c r="H45" s="69"/>
      <c r="I45" s="66"/>
      <c r="J45" s="69"/>
      <c r="K45" s="67"/>
      <c r="L45" s="67"/>
      <c r="M45" s="67"/>
      <c r="N45" s="67"/>
      <c r="O45" s="64"/>
      <c r="P45" s="72" t="str">
        <f aca="false">IF(OR(B45="",C45=""),"",C45&amp;"|"&amp;(YEAR(B45)*100+MONTH(B45)))</f>
        <v/>
      </c>
      <c r="Q45" s="70" t="str">
        <f aca="false">IF(P45="","",IF(COUNTIF(N_CLAVE,P45)&gt;1,"⚠ Duplicado","OK"))</f>
        <v/>
      </c>
      <c r="R45" s="74" t="str">
        <f aca="false">IF(OR(P45="",U45=""),"",MAX(0,U45-N(E45)-N(F45)-N(H45)))</f>
        <v/>
      </c>
      <c r="S45" s="75" t="str">
        <f aca="false">IF(P45="","",IFERROR(INDEX(T_INGRESO,MATCH(C45,T_ID,0)),""))</f>
        <v/>
      </c>
      <c r="T45" s="75" t="str">
        <f aca="false">IF(P45="","",IFERROR(N(INDEX(T_EGRESO,MATCH(C45,T_ID,0))),0))</f>
        <v/>
      </c>
      <c r="U45" s="73" t="str">
        <f aca="false">IF(OR(P45="",NOT(ISNUMBER(S45))),"",IF(OR(S45&gt;EOMONTH(B45,0),AND(T45&gt;0,T45&lt;B45)),0,IF(AND(S45&lt;=B45,OR(T45=0,T45&gt;=EOMONTH(B45,0))),30,MIN(30,IF(T45=0,EOMONTH(B45,0),MIN(T45,EOMONTH(B45,0)))-MAX(B45,S45)+1))))</f>
        <v/>
      </c>
    </row>
    <row r="46" customFormat="false" ht="15" hidden="false" customHeight="false" outlineLevel="0" collapsed="false">
      <c r="B46" s="78"/>
      <c r="C46" s="64"/>
      <c r="D46" s="70" t="str">
        <f aca="false">IF(C46="","",IFERROR(INDEX(T_NOMBRE,MATCH(C46,T_ID,0)),"⚠ ID no existe"))</f>
        <v/>
      </c>
      <c r="E46" s="69"/>
      <c r="F46" s="69"/>
      <c r="G46" s="69"/>
      <c r="H46" s="69"/>
      <c r="I46" s="66"/>
      <c r="J46" s="69"/>
      <c r="K46" s="67"/>
      <c r="L46" s="67"/>
      <c r="M46" s="67"/>
      <c r="N46" s="67"/>
      <c r="O46" s="64"/>
      <c r="P46" s="72" t="str">
        <f aca="false">IF(OR(B46="",C46=""),"",C46&amp;"|"&amp;(YEAR(B46)*100+MONTH(B46)))</f>
        <v/>
      </c>
      <c r="Q46" s="70" t="str">
        <f aca="false">IF(P46="","",IF(COUNTIF(N_CLAVE,P46)&gt;1,"⚠ Duplicado","OK"))</f>
        <v/>
      </c>
      <c r="R46" s="74" t="str">
        <f aca="false">IF(OR(P46="",U46=""),"",MAX(0,U46-N(E46)-N(F46)-N(H46)))</f>
        <v/>
      </c>
      <c r="S46" s="75" t="str">
        <f aca="false">IF(P46="","",IFERROR(INDEX(T_INGRESO,MATCH(C46,T_ID,0)),""))</f>
        <v/>
      </c>
      <c r="T46" s="75" t="str">
        <f aca="false">IF(P46="","",IFERROR(N(INDEX(T_EGRESO,MATCH(C46,T_ID,0))),0))</f>
        <v/>
      </c>
      <c r="U46" s="73" t="str">
        <f aca="false">IF(OR(P46="",NOT(ISNUMBER(S46))),"",IF(OR(S46&gt;EOMONTH(B46,0),AND(T46&gt;0,T46&lt;B46)),0,IF(AND(S46&lt;=B46,OR(T46=0,T46&gt;=EOMONTH(B46,0))),30,MIN(30,IF(T46=0,EOMONTH(B46,0),MIN(T46,EOMONTH(B46,0)))-MAX(B46,S46)+1))))</f>
        <v/>
      </c>
    </row>
    <row r="47" customFormat="false" ht="15" hidden="false" customHeight="false" outlineLevel="0" collapsed="false">
      <c r="B47" s="78"/>
      <c r="C47" s="64"/>
      <c r="D47" s="70" t="str">
        <f aca="false">IF(C47="","",IFERROR(INDEX(T_NOMBRE,MATCH(C47,T_ID,0)),"⚠ ID no existe"))</f>
        <v/>
      </c>
      <c r="E47" s="69"/>
      <c r="F47" s="69"/>
      <c r="G47" s="69"/>
      <c r="H47" s="69"/>
      <c r="I47" s="66"/>
      <c r="J47" s="69"/>
      <c r="K47" s="67"/>
      <c r="L47" s="67"/>
      <c r="M47" s="67"/>
      <c r="N47" s="67"/>
      <c r="O47" s="64"/>
      <c r="P47" s="72" t="str">
        <f aca="false">IF(OR(B47="",C47=""),"",C47&amp;"|"&amp;(YEAR(B47)*100+MONTH(B47)))</f>
        <v/>
      </c>
      <c r="Q47" s="70" t="str">
        <f aca="false">IF(P47="","",IF(COUNTIF(N_CLAVE,P47)&gt;1,"⚠ Duplicado","OK"))</f>
        <v/>
      </c>
      <c r="R47" s="74" t="str">
        <f aca="false">IF(OR(P47="",U47=""),"",MAX(0,U47-N(E47)-N(F47)-N(H47)))</f>
        <v/>
      </c>
      <c r="S47" s="75" t="str">
        <f aca="false">IF(P47="","",IFERROR(INDEX(T_INGRESO,MATCH(C47,T_ID,0)),""))</f>
        <v/>
      </c>
      <c r="T47" s="75" t="str">
        <f aca="false">IF(P47="","",IFERROR(N(INDEX(T_EGRESO,MATCH(C47,T_ID,0))),0))</f>
        <v/>
      </c>
      <c r="U47" s="73" t="str">
        <f aca="false">IF(OR(P47="",NOT(ISNUMBER(S47))),"",IF(OR(S47&gt;EOMONTH(B47,0),AND(T47&gt;0,T47&lt;B47)),0,IF(AND(S47&lt;=B47,OR(T47=0,T47&gt;=EOMONTH(B47,0))),30,MIN(30,IF(T47=0,EOMONTH(B47,0),MIN(T47,EOMONTH(B47,0)))-MAX(B47,S47)+1))))</f>
        <v/>
      </c>
    </row>
    <row r="48" customFormat="false" ht="15" hidden="false" customHeight="false" outlineLevel="0" collapsed="false">
      <c r="B48" s="78"/>
      <c r="C48" s="64"/>
      <c r="D48" s="70" t="str">
        <f aca="false">IF(C48="","",IFERROR(INDEX(T_NOMBRE,MATCH(C48,T_ID,0)),"⚠ ID no existe"))</f>
        <v/>
      </c>
      <c r="E48" s="69"/>
      <c r="F48" s="69"/>
      <c r="G48" s="69"/>
      <c r="H48" s="69"/>
      <c r="I48" s="66"/>
      <c r="J48" s="69"/>
      <c r="K48" s="67"/>
      <c r="L48" s="67"/>
      <c r="M48" s="67"/>
      <c r="N48" s="67"/>
      <c r="O48" s="64"/>
      <c r="P48" s="72" t="str">
        <f aca="false">IF(OR(B48="",C48=""),"",C48&amp;"|"&amp;(YEAR(B48)*100+MONTH(B48)))</f>
        <v/>
      </c>
      <c r="Q48" s="70" t="str">
        <f aca="false">IF(P48="","",IF(COUNTIF(N_CLAVE,P48)&gt;1,"⚠ Duplicado","OK"))</f>
        <v/>
      </c>
      <c r="R48" s="74" t="str">
        <f aca="false">IF(OR(P48="",U48=""),"",MAX(0,U48-N(E48)-N(F48)-N(H48)))</f>
        <v/>
      </c>
      <c r="S48" s="75" t="str">
        <f aca="false">IF(P48="","",IFERROR(INDEX(T_INGRESO,MATCH(C48,T_ID,0)),""))</f>
        <v/>
      </c>
      <c r="T48" s="75" t="str">
        <f aca="false">IF(P48="","",IFERROR(N(INDEX(T_EGRESO,MATCH(C48,T_ID,0))),0))</f>
        <v/>
      </c>
      <c r="U48" s="73" t="str">
        <f aca="false">IF(OR(P48="",NOT(ISNUMBER(S48))),"",IF(OR(S48&gt;EOMONTH(B48,0),AND(T48&gt;0,T48&lt;B48)),0,IF(AND(S48&lt;=B48,OR(T48=0,T48&gt;=EOMONTH(B48,0))),30,MIN(30,IF(T48=0,EOMONTH(B48,0),MIN(T48,EOMONTH(B48,0)))-MAX(B48,S48)+1))))</f>
        <v/>
      </c>
    </row>
    <row r="49" customFormat="false" ht="15" hidden="false" customHeight="false" outlineLevel="0" collapsed="false">
      <c r="B49" s="78"/>
      <c r="C49" s="64"/>
      <c r="D49" s="70" t="str">
        <f aca="false">IF(C49="","",IFERROR(INDEX(T_NOMBRE,MATCH(C49,T_ID,0)),"⚠ ID no existe"))</f>
        <v/>
      </c>
      <c r="E49" s="69"/>
      <c r="F49" s="69"/>
      <c r="G49" s="69"/>
      <c r="H49" s="69"/>
      <c r="I49" s="66"/>
      <c r="J49" s="69"/>
      <c r="K49" s="67"/>
      <c r="L49" s="67"/>
      <c r="M49" s="67"/>
      <c r="N49" s="67"/>
      <c r="O49" s="64"/>
      <c r="P49" s="72" t="str">
        <f aca="false">IF(OR(B49="",C49=""),"",C49&amp;"|"&amp;(YEAR(B49)*100+MONTH(B49)))</f>
        <v/>
      </c>
      <c r="Q49" s="70" t="str">
        <f aca="false">IF(P49="","",IF(COUNTIF(N_CLAVE,P49)&gt;1,"⚠ Duplicado","OK"))</f>
        <v/>
      </c>
      <c r="R49" s="74" t="str">
        <f aca="false">IF(OR(P49="",U49=""),"",MAX(0,U49-N(E49)-N(F49)-N(H49)))</f>
        <v/>
      </c>
      <c r="S49" s="75" t="str">
        <f aca="false">IF(P49="","",IFERROR(INDEX(T_INGRESO,MATCH(C49,T_ID,0)),""))</f>
        <v/>
      </c>
      <c r="T49" s="75" t="str">
        <f aca="false">IF(P49="","",IFERROR(N(INDEX(T_EGRESO,MATCH(C49,T_ID,0))),0))</f>
        <v/>
      </c>
      <c r="U49" s="73" t="str">
        <f aca="false">IF(OR(P49="",NOT(ISNUMBER(S49))),"",IF(OR(S49&gt;EOMONTH(B49,0),AND(T49&gt;0,T49&lt;B49)),0,IF(AND(S49&lt;=B49,OR(T49=0,T49&gt;=EOMONTH(B49,0))),30,MIN(30,IF(T49=0,EOMONTH(B49,0),MIN(T49,EOMONTH(B49,0)))-MAX(B49,S49)+1))))</f>
        <v/>
      </c>
    </row>
    <row r="50" customFormat="false" ht="15" hidden="false" customHeight="false" outlineLevel="0" collapsed="false">
      <c r="B50" s="78"/>
      <c r="C50" s="64"/>
      <c r="D50" s="70" t="str">
        <f aca="false">IF(C50="","",IFERROR(INDEX(T_NOMBRE,MATCH(C50,T_ID,0)),"⚠ ID no existe"))</f>
        <v/>
      </c>
      <c r="E50" s="69"/>
      <c r="F50" s="69"/>
      <c r="G50" s="69"/>
      <c r="H50" s="69"/>
      <c r="I50" s="66"/>
      <c r="J50" s="69"/>
      <c r="K50" s="67"/>
      <c r="L50" s="67"/>
      <c r="M50" s="67"/>
      <c r="N50" s="67"/>
      <c r="O50" s="64"/>
      <c r="P50" s="72" t="str">
        <f aca="false">IF(OR(B50="",C50=""),"",C50&amp;"|"&amp;(YEAR(B50)*100+MONTH(B50)))</f>
        <v/>
      </c>
      <c r="Q50" s="70" t="str">
        <f aca="false">IF(P50="","",IF(COUNTIF(N_CLAVE,P50)&gt;1,"⚠ Duplicado","OK"))</f>
        <v/>
      </c>
      <c r="R50" s="74" t="str">
        <f aca="false">IF(OR(P50="",U50=""),"",MAX(0,U50-N(E50)-N(F50)-N(H50)))</f>
        <v/>
      </c>
      <c r="S50" s="75" t="str">
        <f aca="false">IF(P50="","",IFERROR(INDEX(T_INGRESO,MATCH(C50,T_ID,0)),""))</f>
        <v/>
      </c>
      <c r="T50" s="75" t="str">
        <f aca="false">IF(P50="","",IFERROR(N(INDEX(T_EGRESO,MATCH(C50,T_ID,0))),0))</f>
        <v/>
      </c>
      <c r="U50" s="73" t="str">
        <f aca="false">IF(OR(P50="",NOT(ISNUMBER(S50))),"",IF(OR(S50&gt;EOMONTH(B50,0),AND(T50&gt;0,T50&lt;B50)),0,IF(AND(S50&lt;=B50,OR(T50=0,T50&gt;=EOMONTH(B50,0))),30,MIN(30,IF(T50=0,EOMONTH(B50,0),MIN(T50,EOMONTH(B50,0)))-MAX(B50,S50)+1))))</f>
        <v/>
      </c>
    </row>
    <row r="51" customFormat="false" ht="15" hidden="false" customHeight="false" outlineLevel="0" collapsed="false">
      <c r="B51" s="78"/>
      <c r="C51" s="64"/>
      <c r="D51" s="70" t="str">
        <f aca="false">IF(C51="","",IFERROR(INDEX(T_NOMBRE,MATCH(C51,T_ID,0)),"⚠ ID no existe"))</f>
        <v/>
      </c>
      <c r="E51" s="69"/>
      <c r="F51" s="69"/>
      <c r="G51" s="69"/>
      <c r="H51" s="69"/>
      <c r="I51" s="66"/>
      <c r="J51" s="69"/>
      <c r="K51" s="67"/>
      <c r="L51" s="67"/>
      <c r="M51" s="67"/>
      <c r="N51" s="67"/>
      <c r="O51" s="64"/>
      <c r="P51" s="72" t="str">
        <f aca="false">IF(OR(B51="",C51=""),"",C51&amp;"|"&amp;(YEAR(B51)*100+MONTH(B51)))</f>
        <v/>
      </c>
      <c r="Q51" s="70" t="str">
        <f aca="false">IF(P51="","",IF(COUNTIF(N_CLAVE,P51)&gt;1,"⚠ Duplicado","OK"))</f>
        <v/>
      </c>
      <c r="R51" s="74" t="str">
        <f aca="false">IF(OR(P51="",U51=""),"",MAX(0,U51-N(E51)-N(F51)-N(H51)))</f>
        <v/>
      </c>
      <c r="S51" s="75" t="str">
        <f aca="false">IF(P51="","",IFERROR(INDEX(T_INGRESO,MATCH(C51,T_ID,0)),""))</f>
        <v/>
      </c>
      <c r="T51" s="75" t="str">
        <f aca="false">IF(P51="","",IFERROR(N(INDEX(T_EGRESO,MATCH(C51,T_ID,0))),0))</f>
        <v/>
      </c>
      <c r="U51" s="73" t="str">
        <f aca="false">IF(OR(P51="",NOT(ISNUMBER(S51))),"",IF(OR(S51&gt;EOMONTH(B51,0),AND(T51&gt;0,T51&lt;B51)),0,IF(AND(S51&lt;=B51,OR(T51=0,T51&gt;=EOMONTH(B51,0))),30,MIN(30,IF(T51=0,EOMONTH(B51,0),MIN(T51,EOMONTH(B51,0)))-MAX(B51,S51)+1))))</f>
        <v/>
      </c>
    </row>
    <row r="52" customFormat="false" ht="15" hidden="false" customHeight="false" outlineLevel="0" collapsed="false">
      <c r="B52" s="78"/>
      <c r="C52" s="64"/>
      <c r="D52" s="70" t="str">
        <f aca="false">IF(C52="","",IFERROR(INDEX(T_NOMBRE,MATCH(C52,T_ID,0)),"⚠ ID no existe"))</f>
        <v/>
      </c>
      <c r="E52" s="69"/>
      <c r="F52" s="69"/>
      <c r="G52" s="69"/>
      <c r="H52" s="69"/>
      <c r="I52" s="66"/>
      <c r="J52" s="69"/>
      <c r="K52" s="67"/>
      <c r="L52" s="67"/>
      <c r="M52" s="67"/>
      <c r="N52" s="67"/>
      <c r="O52" s="64"/>
      <c r="P52" s="72" t="str">
        <f aca="false">IF(OR(B52="",C52=""),"",C52&amp;"|"&amp;(YEAR(B52)*100+MONTH(B52)))</f>
        <v/>
      </c>
      <c r="Q52" s="70" t="str">
        <f aca="false">IF(P52="","",IF(COUNTIF(N_CLAVE,P52)&gt;1,"⚠ Duplicado","OK"))</f>
        <v/>
      </c>
      <c r="R52" s="74" t="str">
        <f aca="false">IF(OR(P52="",U52=""),"",MAX(0,U52-N(E52)-N(F52)-N(H52)))</f>
        <v/>
      </c>
      <c r="S52" s="75" t="str">
        <f aca="false">IF(P52="","",IFERROR(INDEX(T_INGRESO,MATCH(C52,T_ID,0)),""))</f>
        <v/>
      </c>
      <c r="T52" s="75" t="str">
        <f aca="false">IF(P52="","",IFERROR(N(INDEX(T_EGRESO,MATCH(C52,T_ID,0))),0))</f>
        <v/>
      </c>
      <c r="U52" s="73" t="str">
        <f aca="false">IF(OR(P52="",NOT(ISNUMBER(S52))),"",IF(OR(S52&gt;EOMONTH(B52,0),AND(T52&gt;0,T52&lt;B52)),0,IF(AND(S52&lt;=B52,OR(T52=0,T52&gt;=EOMONTH(B52,0))),30,MIN(30,IF(T52=0,EOMONTH(B52,0),MIN(T52,EOMONTH(B52,0)))-MAX(B52,S52)+1))))</f>
        <v/>
      </c>
    </row>
    <row r="53" customFormat="false" ht="15" hidden="false" customHeight="false" outlineLevel="0" collapsed="false">
      <c r="B53" s="78"/>
      <c r="C53" s="64"/>
      <c r="D53" s="70" t="str">
        <f aca="false">IF(C53="","",IFERROR(INDEX(T_NOMBRE,MATCH(C53,T_ID,0)),"⚠ ID no existe"))</f>
        <v/>
      </c>
      <c r="E53" s="69"/>
      <c r="F53" s="69"/>
      <c r="G53" s="69"/>
      <c r="H53" s="69"/>
      <c r="I53" s="66"/>
      <c r="J53" s="69"/>
      <c r="K53" s="67"/>
      <c r="L53" s="67"/>
      <c r="M53" s="67"/>
      <c r="N53" s="67"/>
      <c r="O53" s="64"/>
      <c r="P53" s="72" t="str">
        <f aca="false">IF(OR(B53="",C53=""),"",C53&amp;"|"&amp;(YEAR(B53)*100+MONTH(B53)))</f>
        <v/>
      </c>
      <c r="Q53" s="70" t="str">
        <f aca="false">IF(P53="","",IF(COUNTIF(N_CLAVE,P53)&gt;1,"⚠ Duplicado","OK"))</f>
        <v/>
      </c>
      <c r="R53" s="74" t="str">
        <f aca="false">IF(OR(P53="",U53=""),"",MAX(0,U53-N(E53)-N(F53)-N(H53)))</f>
        <v/>
      </c>
      <c r="S53" s="75" t="str">
        <f aca="false">IF(P53="","",IFERROR(INDEX(T_INGRESO,MATCH(C53,T_ID,0)),""))</f>
        <v/>
      </c>
      <c r="T53" s="75" t="str">
        <f aca="false">IF(P53="","",IFERROR(N(INDEX(T_EGRESO,MATCH(C53,T_ID,0))),0))</f>
        <v/>
      </c>
      <c r="U53" s="73" t="str">
        <f aca="false">IF(OR(P53="",NOT(ISNUMBER(S53))),"",IF(OR(S53&gt;EOMONTH(B53,0),AND(T53&gt;0,T53&lt;B53)),0,IF(AND(S53&lt;=B53,OR(T53=0,T53&gt;=EOMONTH(B53,0))),30,MIN(30,IF(T53=0,EOMONTH(B53,0),MIN(T53,EOMONTH(B53,0)))-MAX(B53,S53)+1))))</f>
        <v/>
      </c>
    </row>
    <row r="54" customFormat="false" ht="15" hidden="false" customHeight="false" outlineLevel="0" collapsed="false">
      <c r="B54" s="78"/>
      <c r="C54" s="64"/>
      <c r="D54" s="70" t="str">
        <f aca="false">IF(C54="","",IFERROR(INDEX(T_NOMBRE,MATCH(C54,T_ID,0)),"⚠ ID no existe"))</f>
        <v/>
      </c>
      <c r="E54" s="69"/>
      <c r="F54" s="69"/>
      <c r="G54" s="69"/>
      <c r="H54" s="69"/>
      <c r="I54" s="66"/>
      <c r="J54" s="69"/>
      <c r="K54" s="67"/>
      <c r="L54" s="67"/>
      <c r="M54" s="67"/>
      <c r="N54" s="67"/>
      <c r="O54" s="64"/>
      <c r="P54" s="72" t="str">
        <f aca="false">IF(OR(B54="",C54=""),"",C54&amp;"|"&amp;(YEAR(B54)*100+MONTH(B54)))</f>
        <v/>
      </c>
      <c r="Q54" s="70" t="str">
        <f aca="false">IF(P54="","",IF(COUNTIF(N_CLAVE,P54)&gt;1,"⚠ Duplicado","OK"))</f>
        <v/>
      </c>
      <c r="R54" s="74" t="str">
        <f aca="false">IF(OR(P54="",U54=""),"",MAX(0,U54-N(E54)-N(F54)-N(H54)))</f>
        <v/>
      </c>
      <c r="S54" s="75" t="str">
        <f aca="false">IF(P54="","",IFERROR(INDEX(T_INGRESO,MATCH(C54,T_ID,0)),""))</f>
        <v/>
      </c>
      <c r="T54" s="75" t="str">
        <f aca="false">IF(P54="","",IFERROR(N(INDEX(T_EGRESO,MATCH(C54,T_ID,0))),0))</f>
        <v/>
      </c>
      <c r="U54" s="73" t="str">
        <f aca="false">IF(OR(P54="",NOT(ISNUMBER(S54))),"",IF(OR(S54&gt;EOMONTH(B54,0),AND(T54&gt;0,T54&lt;B54)),0,IF(AND(S54&lt;=B54,OR(T54=0,T54&gt;=EOMONTH(B54,0))),30,MIN(30,IF(T54=0,EOMONTH(B54,0),MIN(T54,EOMONTH(B54,0)))-MAX(B54,S54)+1))))</f>
        <v/>
      </c>
    </row>
    <row r="55" customFormat="false" ht="15" hidden="false" customHeight="false" outlineLevel="0" collapsed="false">
      <c r="B55" s="78"/>
      <c r="C55" s="64"/>
      <c r="D55" s="70" t="str">
        <f aca="false">IF(C55="","",IFERROR(INDEX(T_NOMBRE,MATCH(C55,T_ID,0)),"⚠ ID no existe"))</f>
        <v/>
      </c>
      <c r="E55" s="69"/>
      <c r="F55" s="69"/>
      <c r="G55" s="69"/>
      <c r="H55" s="69"/>
      <c r="I55" s="66"/>
      <c r="J55" s="69"/>
      <c r="K55" s="67"/>
      <c r="L55" s="67"/>
      <c r="M55" s="67"/>
      <c r="N55" s="67"/>
      <c r="O55" s="64"/>
      <c r="P55" s="72" t="str">
        <f aca="false">IF(OR(B55="",C55=""),"",C55&amp;"|"&amp;(YEAR(B55)*100+MONTH(B55)))</f>
        <v/>
      </c>
      <c r="Q55" s="70" t="str">
        <f aca="false">IF(P55="","",IF(COUNTIF(N_CLAVE,P55)&gt;1,"⚠ Duplicado","OK"))</f>
        <v/>
      </c>
      <c r="R55" s="74" t="str">
        <f aca="false">IF(OR(P55="",U55=""),"",MAX(0,U55-N(E55)-N(F55)-N(H55)))</f>
        <v/>
      </c>
      <c r="S55" s="75" t="str">
        <f aca="false">IF(P55="","",IFERROR(INDEX(T_INGRESO,MATCH(C55,T_ID,0)),""))</f>
        <v/>
      </c>
      <c r="T55" s="75" t="str">
        <f aca="false">IF(P55="","",IFERROR(N(INDEX(T_EGRESO,MATCH(C55,T_ID,0))),0))</f>
        <v/>
      </c>
      <c r="U55" s="73" t="str">
        <f aca="false">IF(OR(P55="",NOT(ISNUMBER(S55))),"",IF(OR(S55&gt;EOMONTH(B55,0),AND(T55&gt;0,T55&lt;B55)),0,IF(AND(S55&lt;=B55,OR(T55=0,T55&gt;=EOMONTH(B55,0))),30,MIN(30,IF(T55=0,EOMONTH(B55,0),MIN(T55,EOMONTH(B55,0)))-MAX(B55,S55)+1))))</f>
        <v/>
      </c>
    </row>
    <row r="56" customFormat="false" ht="15" hidden="false" customHeight="false" outlineLevel="0" collapsed="false">
      <c r="B56" s="78"/>
      <c r="C56" s="64"/>
      <c r="D56" s="70" t="str">
        <f aca="false">IF(C56="","",IFERROR(INDEX(T_NOMBRE,MATCH(C56,T_ID,0)),"⚠ ID no existe"))</f>
        <v/>
      </c>
      <c r="E56" s="69"/>
      <c r="F56" s="69"/>
      <c r="G56" s="69"/>
      <c r="H56" s="69"/>
      <c r="I56" s="66"/>
      <c r="J56" s="69"/>
      <c r="K56" s="67"/>
      <c r="L56" s="67"/>
      <c r="M56" s="67"/>
      <c r="N56" s="67"/>
      <c r="O56" s="64"/>
      <c r="P56" s="72" t="str">
        <f aca="false">IF(OR(B56="",C56=""),"",C56&amp;"|"&amp;(YEAR(B56)*100+MONTH(B56)))</f>
        <v/>
      </c>
      <c r="Q56" s="70" t="str">
        <f aca="false">IF(P56="","",IF(COUNTIF(N_CLAVE,P56)&gt;1,"⚠ Duplicado","OK"))</f>
        <v/>
      </c>
      <c r="R56" s="74" t="str">
        <f aca="false">IF(OR(P56="",U56=""),"",MAX(0,U56-N(E56)-N(F56)-N(H56)))</f>
        <v/>
      </c>
      <c r="S56" s="75" t="str">
        <f aca="false">IF(P56="","",IFERROR(INDEX(T_INGRESO,MATCH(C56,T_ID,0)),""))</f>
        <v/>
      </c>
      <c r="T56" s="75" t="str">
        <f aca="false">IF(P56="","",IFERROR(N(INDEX(T_EGRESO,MATCH(C56,T_ID,0))),0))</f>
        <v/>
      </c>
      <c r="U56" s="73" t="str">
        <f aca="false">IF(OR(P56="",NOT(ISNUMBER(S56))),"",IF(OR(S56&gt;EOMONTH(B56,0),AND(T56&gt;0,T56&lt;B56)),0,IF(AND(S56&lt;=B56,OR(T56=0,T56&gt;=EOMONTH(B56,0))),30,MIN(30,IF(T56=0,EOMONTH(B56,0),MIN(T56,EOMONTH(B56,0)))-MAX(B56,S56)+1))))</f>
        <v/>
      </c>
    </row>
    <row r="57" customFormat="false" ht="15" hidden="false" customHeight="false" outlineLevel="0" collapsed="false">
      <c r="B57" s="78"/>
      <c r="C57" s="64"/>
      <c r="D57" s="70" t="str">
        <f aca="false">IF(C57="","",IFERROR(INDEX(T_NOMBRE,MATCH(C57,T_ID,0)),"⚠ ID no existe"))</f>
        <v/>
      </c>
      <c r="E57" s="69"/>
      <c r="F57" s="69"/>
      <c r="G57" s="69"/>
      <c r="H57" s="69"/>
      <c r="I57" s="66"/>
      <c r="J57" s="69"/>
      <c r="K57" s="67"/>
      <c r="L57" s="67"/>
      <c r="M57" s="67"/>
      <c r="N57" s="67"/>
      <c r="O57" s="64"/>
      <c r="P57" s="72" t="str">
        <f aca="false">IF(OR(B57="",C57=""),"",C57&amp;"|"&amp;(YEAR(B57)*100+MONTH(B57)))</f>
        <v/>
      </c>
      <c r="Q57" s="70" t="str">
        <f aca="false">IF(P57="","",IF(COUNTIF(N_CLAVE,P57)&gt;1,"⚠ Duplicado","OK"))</f>
        <v/>
      </c>
      <c r="R57" s="74" t="str">
        <f aca="false">IF(OR(P57="",U57=""),"",MAX(0,U57-N(E57)-N(F57)-N(H57)))</f>
        <v/>
      </c>
      <c r="S57" s="75" t="str">
        <f aca="false">IF(P57="","",IFERROR(INDEX(T_INGRESO,MATCH(C57,T_ID,0)),""))</f>
        <v/>
      </c>
      <c r="T57" s="75" t="str">
        <f aca="false">IF(P57="","",IFERROR(N(INDEX(T_EGRESO,MATCH(C57,T_ID,0))),0))</f>
        <v/>
      </c>
      <c r="U57" s="73" t="str">
        <f aca="false">IF(OR(P57="",NOT(ISNUMBER(S57))),"",IF(OR(S57&gt;EOMONTH(B57,0),AND(T57&gt;0,T57&lt;B57)),0,IF(AND(S57&lt;=B57,OR(T57=0,T57&gt;=EOMONTH(B57,0))),30,MIN(30,IF(T57=0,EOMONTH(B57,0),MIN(T57,EOMONTH(B57,0)))-MAX(B57,S57)+1))))</f>
        <v/>
      </c>
    </row>
    <row r="58" customFormat="false" ht="15" hidden="false" customHeight="false" outlineLevel="0" collapsed="false">
      <c r="B58" s="78"/>
      <c r="C58" s="64"/>
      <c r="D58" s="70" t="str">
        <f aca="false">IF(C58="","",IFERROR(INDEX(T_NOMBRE,MATCH(C58,T_ID,0)),"⚠ ID no existe"))</f>
        <v/>
      </c>
      <c r="E58" s="69"/>
      <c r="F58" s="69"/>
      <c r="G58" s="69"/>
      <c r="H58" s="69"/>
      <c r="I58" s="66"/>
      <c r="J58" s="69"/>
      <c r="K58" s="67"/>
      <c r="L58" s="67"/>
      <c r="M58" s="67"/>
      <c r="N58" s="67"/>
      <c r="O58" s="64"/>
      <c r="P58" s="72" t="str">
        <f aca="false">IF(OR(B58="",C58=""),"",C58&amp;"|"&amp;(YEAR(B58)*100+MONTH(B58)))</f>
        <v/>
      </c>
      <c r="Q58" s="70" t="str">
        <f aca="false">IF(P58="","",IF(COUNTIF(N_CLAVE,P58)&gt;1,"⚠ Duplicado","OK"))</f>
        <v/>
      </c>
      <c r="R58" s="74" t="str">
        <f aca="false">IF(OR(P58="",U58=""),"",MAX(0,U58-N(E58)-N(F58)-N(H58)))</f>
        <v/>
      </c>
      <c r="S58" s="75" t="str">
        <f aca="false">IF(P58="","",IFERROR(INDEX(T_INGRESO,MATCH(C58,T_ID,0)),""))</f>
        <v/>
      </c>
      <c r="T58" s="75" t="str">
        <f aca="false">IF(P58="","",IFERROR(N(INDEX(T_EGRESO,MATCH(C58,T_ID,0))),0))</f>
        <v/>
      </c>
      <c r="U58" s="73" t="str">
        <f aca="false">IF(OR(P58="",NOT(ISNUMBER(S58))),"",IF(OR(S58&gt;EOMONTH(B58,0),AND(T58&gt;0,T58&lt;B58)),0,IF(AND(S58&lt;=B58,OR(T58=0,T58&gt;=EOMONTH(B58,0))),30,MIN(30,IF(T58=0,EOMONTH(B58,0),MIN(T58,EOMONTH(B58,0)))-MAX(B58,S58)+1))))</f>
        <v/>
      </c>
    </row>
    <row r="59" customFormat="false" ht="15" hidden="false" customHeight="false" outlineLevel="0" collapsed="false">
      <c r="B59" s="78"/>
      <c r="C59" s="64"/>
      <c r="D59" s="70" t="str">
        <f aca="false">IF(C59="","",IFERROR(INDEX(T_NOMBRE,MATCH(C59,T_ID,0)),"⚠ ID no existe"))</f>
        <v/>
      </c>
      <c r="E59" s="69"/>
      <c r="F59" s="69"/>
      <c r="G59" s="69"/>
      <c r="H59" s="69"/>
      <c r="I59" s="66"/>
      <c r="J59" s="69"/>
      <c r="K59" s="67"/>
      <c r="L59" s="67"/>
      <c r="M59" s="67"/>
      <c r="N59" s="67"/>
      <c r="O59" s="64"/>
      <c r="P59" s="72" t="str">
        <f aca="false">IF(OR(B59="",C59=""),"",C59&amp;"|"&amp;(YEAR(B59)*100+MONTH(B59)))</f>
        <v/>
      </c>
      <c r="Q59" s="70" t="str">
        <f aca="false">IF(P59="","",IF(COUNTIF(N_CLAVE,P59)&gt;1,"⚠ Duplicado","OK"))</f>
        <v/>
      </c>
      <c r="R59" s="74" t="str">
        <f aca="false">IF(OR(P59="",U59=""),"",MAX(0,U59-N(E59)-N(F59)-N(H59)))</f>
        <v/>
      </c>
      <c r="S59" s="75" t="str">
        <f aca="false">IF(P59="","",IFERROR(INDEX(T_INGRESO,MATCH(C59,T_ID,0)),""))</f>
        <v/>
      </c>
      <c r="T59" s="75" t="str">
        <f aca="false">IF(P59="","",IFERROR(N(INDEX(T_EGRESO,MATCH(C59,T_ID,0))),0))</f>
        <v/>
      </c>
      <c r="U59" s="73" t="str">
        <f aca="false">IF(OR(P59="",NOT(ISNUMBER(S59))),"",IF(OR(S59&gt;EOMONTH(B59,0),AND(T59&gt;0,T59&lt;B59)),0,IF(AND(S59&lt;=B59,OR(T59=0,T59&gt;=EOMONTH(B59,0))),30,MIN(30,IF(T59=0,EOMONTH(B59,0),MIN(T59,EOMONTH(B59,0)))-MAX(B59,S59)+1))))</f>
        <v/>
      </c>
    </row>
    <row r="60" customFormat="false" ht="15" hidden="false" customHeight="false" outlineLevel="0" collapsed="false">
      <c r="B60" s="78"/>
      <c r="C60" s="64"/>
      <c r="D60" s="70" t="str">
        <f aca="false">IF(C60="","",IFERROR(INDEX(T_NOMBRE,MATCH(C60,T_ID,0)),"⚠ ID no existe"))</f>
        <v/>
      </c>
      <c r="E60" s="69"/>
      <c r="F60" s="69"/>
      <c r="G60" s="69"/>
      <c r="H60" s="69"/>
      <c r="I60" s="66"/>
      <c r="J60" s="69"/>
      <c r="K60" s="67"/>
      <c r="L60" s="67"/>
      <c r="M60" s="67"/>
      <c r="N60" s="67"/>
      <c r="O60" s="64"/>
      <c r="P60" s="72" t="str">
        <f aca="false">IF(OR(B60="",C60=""),"",C60&amp;"|"&amp;(YEAR(B60)*100+MONTH(B60)))</f>
        <v/>
      </c>
      <c r="Q60" s="70" t="str">
        <f aca="false">IF(P60="","",IF(COUNTIF(N_CLAVE,P60)&gt;1,"⚠ Duplicado","OK"))</f>
        <v/>
      </c>
      <c r="R60" s="74" t="str">
        <f aca="false">IF(OR(P60="",U60=""),"",MAX(0,U60-N(E60)-N(F60)-N(H60)))</f>
        <v/>
      </c>
      <c r="S60" s="75" t="str">
        <f aca="false">IF(P60="","",IFERROR(INDEX(T_INGRESO,MATCH(C60,T_ID,0)),""))</f>
        <v/>
      </c>
      <c r="T60" s="75" t="str">
        <f aca="false">IF(P60="","",IFERROR(N(INDEX(T_EGRESO,MATCH(C60,T_ID,0))),0))</f>
        <v/>
      </c>
      <c r="U60" s="73" t="str">
        <f aca="false">IF(OR(P60="",NOT(ISNUMBER(S60))),"",IF(OR(S60&gt;EOMONTH(B60,0),AND(T60&gt;0,T60&lt;B60)),0,IF(AND(S60&lt;=B60,OR(T60=0,T60&gt;=EOMONTH(B60,0))),30,MIN(30,IF(T60=0,EOMONTH(B60,0),MIN(T60,EOMONTH(B60,0)))-MAX(B60,S60)+1))))</f>
        <v/>
      </c>
    </row>
    <row r="61" customFormat="false" ht="15" hidden="false" customHeight="false" outlineLevel="0" collapsed="false">
      <c r="B61" s="78"/>
      <c r="C61" s="64"/>
      <c r="D61" s="70" t="str">
        <f aca="false">IF(C61="","",IFERROR(INDEX(T_NOMBRE,MATCH(C61,T_ID,0)),"⚠ ID no existe"))</f>
        <v/>
      </c>
      <c r="E61" s="69"/>
      <c r="F61" s="69"/>
      <c r="G61" s="69"/>
      <c r="H61" s="69"/>
      <c r="I61" s="66"/>
      <c r="J61" s="69"/>
      <c r="K61" s="67"/>
      <c r="L61" s="67"/>
      <c r="M61" s="67"/>
      <c r="N61" s="67"/>
      <c r="O61" s="64"/>
      <c r="P61" s="72" t="str">
        <f aca="false">IF(OR(B61="",C61=""),"",C61&amp;"|"&amp;(YEAR(B61)*100+MONTH(B61)))</f>
        <v/>
      </c>
      <c r="Q61" s="70" t="str">
        <f aca="false">IF(P61="","",IF(COUNTIF(N_CLAVE,P61)&gt;1,"⚠ Duplicado","OK"))</f>
        <v/>
      </c>
      <c r="R61" s="74" t="str">
        <f aca="false">IF(OR(P61="",U61=""),"",MAX(0,U61-N(E61)-N(F61)-N(H61)))</f>
        <v/>
      </c>
      <c r="S61" s="75" t="str">
        <f aca="false">IF(P61="","",IFERROR(INDEX(T_INGRESO,MATCH(C61,T_ID,0)),""))</f>
        <v/>
      </c>
      <c r="T61" s="75" t="str">
        <f aca="false">IF(P61="","",IFERROR(N(INDEX(T_EGRESO,MATCH(C61,T_ID,0))),0))</f>
        <v/>
      </c>
      <c r="U61" s="73" t="str">
        <f aca="false">IF(OR(P61="",NOT(ISNUMBER(S61))),"",IF(OR(S61&gt;EOMONTH(B61,0),AND(T61&gt;0,T61&lt;B61)),0,IF(AND(S61&lt;=B61,OR(T61=0,T61&gt;=EOMONTH(B61,0))),30,MIN(30,IF(T61=0,EOMONTH(B61,0),MIN(T61,EOMONTH(B61,0)))-MAX(B61,S61)+1))))</f>
        <v/>
      </c>
    </row>
    <row r="62" customFormat="false" ht="15" hidden="false" customHeight="false" outlineLevel="0" collapsed="false">
      <c r="B62" s="78"/>
      <c r="C62" s="64"/>
      <c r="D62" s="70" t="str">
        <f aca="false">IF(C62="","",IFERROR(INDEX(T_NOMBRE,MATCH(C62,T_ID,0)),"⚠ ID no existe"))</f>
        <v/>
      </c>
      <c r="E62" s="69"/>
      <c r="F62" s="69"/>
      <c r="G62" s="69"/>
      <c r="H62" s="69"/>
      <c r="I62" s="66"/>
      <c r="J62" s="69"/>
      <c r="K62" s="67"/>
      <c r="L62" s="67"/>
      <c r="M62" s="67"/>
      <c r="N62" s="67"/>
      <c r="O62" s="64"/>
      <c r="P62" s="72" t="str">
        <f aca="false">IF(OR(B62="",C62=""),"",C62&amp;"|"&amp;(YEAR(B62)*100+MONTH(B62)))</f>
        <v/>
      </c>
      <c r="Q62" s="70" t="str">
        <f aca="false">IF(P62="","",IF(COUNTIF(N_CLAVE,P62)&gt;1,"⚠ Duplicado","OK"))</f>
        <v/>
      </c>
      <c r="R62" s="74" t="str">
        <f aca="false">IF(OR(P62="",U62=""),"",MAX(0,U62-N(E62)-N(F62)-N(H62)))</f>
        <v/>
      </c>
      <c r="S62" s="75" t="str">
        <f aca="false">IF(P62="","",IFERROR(INDEX(T_INGRESO,MATCH(C62,T_ID,0)),""))</f>
        <v/>
      </c>
      <c r="T62" s="75" t="str">
        <f aca="false">IF(P62="","",IFERROR(N(INDEX(T_EGRESO,MATCH(C62,T_ID,0))),0))</f>
        <v/>
      </c>
      <c r="U62" s="73" t="str">
        <f aca="false">IF(OR(P62="",NOT(ISNUMBER(S62))),"",IF(OR(S62&gt;EOMONTH(B62,0),AND(T62&gt;0,T62&lt;B62)),0,IF(AND(S62&lt;=B62,OR(T62=0,T62&gt;=EOMONTH(B62,0))),30,MIN(30,IF(T62=0,EOMONTH(B62,0),MIN(T62,EOMONTH(B62,0)))-MAX(B62,S62)+1))))</f>
        <v/>
      </c>
    </row>
    <row r="63" customFormat="false" ht="15" hidden="false" customHeight="false" outlineLevel="0" collapsed="false">
      <c r="B63" s="78"/>
      <c r="C63" s="64"/>
      <c r="D63" s="70" t="str">
        <f aca="false">IF(C63="","",IFERROR(INDEX(T_NOMBRE,MATCH(C63,T_ID,0)),"⚠ ID no existe"))</f>
        <v/>
      </c>
      <c r="E63" s="69"/>
      <c r="F63" s="69"/>
      <c r="G63" s="69"/>
      <c r="H63" s="69"/>
      <c r="I63" s="66"/>
      <c r="J63" s="69"/>
      <c r="K63" s="67"/>
      <c r="L63" s="67"/>
      <c r="M63" s="67"/>
      <c r="N63" s="67"/>
      <c r="O63" s="64"/>
      <c r="P63" s="72" t="str">
        <f aca="false">IF(OR(B63="",C63=""),"",C63&amp;"|"&amp;(YEAR(B63)*100+MONTH(B63)))</f>
        <v/>
      </c>
      <c r="Q63" s="70" t="str">
        <f aca="false">IF(P63="","",IF(COUNTIF(N_CLAVE,P63)&gt;1,"⚠ Duplicado","OK"))</f>
        <v/>
      </c>
      <c r="R63" s="74" t="str">
        <f aca="false">IF(OR(P63="",U63=""),"",MAX(0,U63-N(E63)-N(F63)-N(H63)))</f>
        <v/>
      </c>
      <c r="S63" s="75" t="str">
        <f aca="false">IF(P63="","",IFERROR(INDEX(T_INGRESO,MATCH(C63,T_ID,0)),""))</f>
        <v/>
      </c>
      <c r="T63" s="75" t="str">
        <f aca="false">IF(P63="","",IFERROR(N(INDEX(T_EGRESO,MATCH(C63,T_ID,0))),0))</f>
        <v/>
      </c>
      <c r="U63" s="73" t="str">
        <f aca="false">IF(OR(P63="",NOT(ISNUMBER(S63))),"",IF(OR(S63&gt;EOMONTH(B63,0),AND(T63&gt;0,T63&lt;B63)),0,IF(AND(S63&lt;=B63,OR(T63=0,T63&gt;=EOMONTH(B63,0))),30,MIN(30,IF(T63=0,EOMONTH(B63,0),MIN(T63,EOMONTH(B63,0)))-MAX(B63,S63)+1))))</f>
        <v/>
      </c>
    </row>
    <row r="64" customFormat="false" ht="15" hidden="false" customHeight="false" outlineLevel="0" collapsed="false">
      <c r="B64" s="78"/>
      <c r="C64" s="64"/>
      <c r="D64" s="70" t="str">
        <f aca="false">IF(C64="","",IFERROR(INDEX(T_NOMBRE,MATCH(C64,T_ID,0)),"⚠ ID no existe"))</f>
        <v/>
      </c>
      <c r="E64" s="69"/>
      <c r="F64" s="69"/>
      <c r="G64" s="69"/>
      <c r="H64" s="69"/>
      <c r="I64" s="66"/>
      <c r="J64" s="69"/>
      <c r="K64" s="67"/>
      <c r="L64" s="67"/>
      <c r="M64" s="67"/>
      <c r="N64" s="67"/>
      <c r="O64" s="64"/>
      <c r="P64" s="72" t="str">
        <f aca="false">IF(OR(B64="",C64=""),"",C64&amp;"|"&amp;(YEAR(B64)*100+MONTH(B64)))</f>
        <v/>
      </c>
      <c r="Q64" s="70" t="str">
        <f aca="false">IF(P64="","",IF(COUNTIF(N_CLAVE,P64)&gt;1,"⚠ Duplicado","OK"))</f>
        <v/>
      </c>
      <c r="R64" s="74" t="str">
        <f aca="false">IF(OR(P64="",U64=""),"",MAX(0,U64-N(E64)-N(F64)-N(H64)))</f>
        <v/>
      </c>
      <c r="S64" s="75" t="str">
        <f aca="false">IF(P64="","",IFERROR(INDEX(T_INGRESO,MATCH(C64,T_ID,0)),""))</f>
        <v/>
      </c>
      <c r="T64" s="75" t="str">
        <f aca="false">IF(P64="","",IFERROR(N(INDEX(T_EGRESO,MATCH(C64,T_ID,0))),0))</f>
        <v/>
      </c>
      <c r="U64" s="73" t="str">
        <f aca="false">IF(OR(P64="",NOT(ISNUMBER(S64))),"",IF(OR(S64&gt;EOMONTH(B64,0),AND(T64&gt;0,T64&lt;B64)),0,IF(AND(S64&lt;=B64,OR(T64=0,T64&gt;=EOMONTH(B64,0))),30,MIN(30,IF(T64=0,EOMONTH(B64,0),MIN(T64,EOMONTH(B64,0)))-MAX(B64,S64)+1))))</f>
        <v/>
      </c>
    </row>
    <row r="65" customFormat="false" ht="15" hidden="false" customHeight="false" outlineLevel="0" collapsed="false">
      <c r="B65" s="78"/>
      <c r="C65" s="64"/>
      <c r="D65" s="70" t="str">
        <f aca="false">IF(C65="","",IFERROR(INDEX(T_NOMBRE,MATCH(C65,T_ID,0)),"⚠ ID no existe"))</f>
        <v/>
      </c>
      <c r="E65" s="69"/>
      <c r="F65" s="69"/>
      <c r="G65" s="69"/>
      <c r="H65" s="69"/>
      <c r="I65" s="66"/>
      <c r="J65" s="69"/>
      <c r="K65" s="67"/>
      <c r="L65" s="67"/>
      <c r="M65" s="67"/>
      <c r="N65" s="67"/>
      <c r="O65" s="64"/>
      <c r="P65" s="72" t="str">
        <f aca="false">IF(OR(B65="",C65=""),"",C65&amp;"|"&amp;(YEAR(B65)*100+MONTH(B65)))</f>
        <v/>
      </c>
      <c r="Q65" s="70" t="str">
        <f aca="false">IF(P65="","",IF(COUNTIF(N_CLAVE,P65)&gt;1,"⚠ Duplicado","OK"))</f>
        <v/>
      </c>
      <c r="R65" s="74" t="str">
        <f aca="false">IF(OR(P65="",U65=""),"",MAX(0,U65-N(E65)-N(F65)-N(H65)))</f>
        <v/>
      </c>
      <c r="S65" s="75" t="str">
        <f aca="false">IF(P65="","",IFERROR(INDEX(T_INGRESO,MATCH(C65,T_ID,0)),""))</f>
        <v/>
      </c>
      <c r="T65" s="75" t="str">
        <f aca="false">IF(P65="","",IFERROR(N(INDEX(T_EGRESO,MATCH(C65,T_ID,0))),0))</f>
        <v/>
      </c>
      <c r="U65" s="73" t="str">
        <f aca="false">IF(OR(P65="",NOT(ISNUMBER(S65))),"",IF(OR(S65&gt;EOMONTH(B65,0),AND(T65&gt;0,T65&lt;B65)),0,IF(AND(S65&lt;=B65,OR(T65=0,T65&gt;=EOMONTH(B65,0))),30,MIN(30,IF(T65=0,EOMONTH(B65,0),MIN(T65,EOMONTH(B65,0)))-MAX(B65,S65)+1))))</f>
        <v/>
      </c>
    </row>
    <row r="66" customFormat="false" ht="15" hidden="false" customHeight="false" outlineLevel="0" collapsed="false">
      <c r="B66" s="78"/>
      <c r="C66" s="64"/>
      <c r="D66" s="70" t="str">
        <f aca="false">IF(C66="","",IFERROR(INDEX(T_NOMBRE,MATCH(C66,T_ID,0)),"⚠ ID no existe"))</f>
        <v/>
      </c>
      <c r="E66" s="69"/>
      <c r="F66" s="69"/>
      <c r="G66" s="69"/>
      <c r="H66" s="69"/>
      <c r="I66" s="66"/>
      <c r="J66" s="69"/>
      <c r="K66" s="67"/>
      <c r="L66" s="67"/>
      <c r="M66" s="67"/>
      <c r="N66" s="67"/>
      <c r="O66" s="64"/>
      <c r="P66" s="72" t="str">
        <f aca="false">IF(OR(B66="",C66=""),"",C66&amp;"|"&amp;(YEAR(B66)*100+MONTH(B66)))</f>
        <v/>
      </c>
      <c r="Q66" s="70" t="str">
        <f aca="false">IF(P66="","",IF(COUNTIF(N_CLAVE,P66)&gt;1,"⚠ Duplicado","OK"))</f>
        <v/>
      </c>
      <c r="R66" s="74" t="str">
        <f aca="false">IF(OR(P66="",U66=""),"",MAX(0,U66-N(E66)-N(F66)-N(H66)))</f>
        <v/>
      </c>
      <c r="S66" s="75" t="str">
        <f aca="false">IF(P66="","",IFERROR(INDEX(T_INGRESO,MATCH(C66,T_ID,0)),""))</f>
        <v/>
      </c>
      <c r="T66" s="75" t="str">
        <f aca="false">IF(P66="","",IFERROR(N(INDEX(T_EGRESO,MATCH(C66,T_ID,0))),0))</f>
        <v/>
      </c>
      <c r="U66" s="73" t="str">
        <f aca="false">IF(OR(P66="",NOT(ISNUMBER(S66))),"",IF(OR(S66&gt;EOMONTH(B66,0),AND(T66&gt;0,T66&lt;B66)),0,IF(AND(S66&lt;=B66,OR(T66=0,T66&gt;=EOMONTH(B66,0))),30,MIN(30,IF(T66=0,EOMONTH(B66,0),MIN(T66,EOMONTH(B66,0)))-MAX(B66,S66)+1))))</f>
        <v/>
      </c>
    </row>
    <row r="67" customFormat="false" ht="15" hidden="false" customHeight="false" outlineLevel="0" collapsed="false">
      <c r="B67" s="78"/>
      <c r="C67" s="64"/>
      <c r="D67" s="70" t="str">
        <f aca="false">IF(C67="","",IFERROR(INDEX(T_NOMBRE,MATCH(C67,T_ID,0)),"⚠ ID no existe"))</f>
        <v/>
      </c>
      <c r="E67" s="69"/>
      <c r="F67" s="69"/>
      <c r="G67" s="69"/>
      <c r="H67" s="69"/>
      <c r="I67" s="66"/>
      <c r="J67" s="69"/>
      <c r="K67" s="67"/>
      <c r="L67" s="67"/>
      <c r="M67" s="67"/>
      <c r="N67" s="67"/>
      <c r="O67" s="64"/>
      <c r="P67" s="72" t="str">
        <f aca="false">IF(OR(B67="",C67=""),"",C67&amp;"|"&amp;(YEAR(B67)*100+MONTH(B67)))</f>
        <v/>
      </c>
      <c r="Q67" s="70" t="str">
        <f aca="false">IF(P67="","",IF(COUNTIF(N_CLAVE,P67)&gt;1,"⚠ Duplicado","OK"))</f>
        <v/>
      </c>
      <c r="R67" s="74" t="str">
        <f aca="false">IF(OR(P67="",U67=""),"",MAX(0,U67-N(E67)-N(F67)-N(H67)))</f>
        <v/>
      </c>
      <c r="S67" s="75" t="str">
        <f aca="false">IF(P67="","",IFERROR(INDEX(T_INGRESO,MATCH(C67,T_ID,0)),""))</f>
        <v/>
      </c>
      <c r="T67" s="75" t="str">
        <f aca="false">IF(P67="","",IFERROR(N(INDEX(T_EGRESO,MATCH(C67,T_ID,0))),0))</f>
        <v/>
      </c>
      <c r="U67" s="73" t="str">
        <f aca="false">IF(OR(P67="",NOT(ISNUMBER(S67))),"",IF(OR(S67&gt;EOMONTH(B67,0),AND(T67&gt;0,T67&lt;B67)),0,IF(AND(S67&lt;=B67,OR(T67=0,T67&gt;=EOMONTH(B67,0))),30,MIN(30,IF(T67=0,EOMONTH(B67,0),MIN(T67,EOMONTH(B67,0)))-MAX(B67,S67)+1))))</f>
        <v/>
      </c>
    </row>
    <row r="68" customFormat="false" ht="15" hidden="false" customHeight="false" outlineLevel="0" collapsed="false">
      <c r="B68" s="78"/>
      <c r="C68" s="64"/>
      <c r="D68" s="70" t="str">
        <f aca="false">IF(C68="","",IFERROR(INDEX(T_NOMBRE,MATCH(C68,T_ID,0)),"⚠ ID no existe"))</f>
        <v/>
      </c>
      <c r="E68" s="69"/>
      <c r="F68" s="69"/>
      <c r="G68" s="69"/>
      <c r="H68" s="69"/>
      <c r="I68" s="66"/>
      <c r="J68" s="69"/>
      <c r="K68" s="67"/>
      <c r="L68" s="67"/>
      <c r="M68" s="67"/>
      <c r="N68" s="67"/>
      <c r="O68" s="64"/>
      <c r="P68" s="72" t="str">
        <f aca="false">IF(OR(B68="",C68=""),"",C68&amp;"|"&amp;(YEAR(B68)*100+MONTH(B68)))</f>
        <v/>
      </c>
      <c r="Q68" s="70" t="str">
        <f aca="false">IF(P68="","",IF(COUNTIF(N_CLAVE,P68)&gt;1,"⚠ Duplicado","OK"))</f>
        <v/>
      </c>
      <c r="R68" s="74" t="str">
        <f aca="false">IF(OR(P68="",U68=""),"",MAX(0,U68-N(E68)-N(F68)-N(H68)))</f>
        <v/>
      </c>
      <c r="S68" s="75" t="str">
        <f aca="false">IF(P68="","",IFERROR(INDEX(T_INGRESO,MATCH(C68,T_ID,0)),""))</f>
        <v/>
      </c>
      <c r="T68" s="75" t="str">
        <f aca="false">IF(P68="","",IFERROR(N(INDEX(T_EGRESO,MATCH(C68,T_ID,0))),0))</f>
        <v/>
      </c>
      <c r="U68" s="73" t="str">
        <f aca="false">IF(OR(P68="",NOT(ISNUMBER(S68))),"",IF(OR(S68&gt;EOMONTH(B68,0),AND(T68&gt;0,T68&lt;B68)),0,IF(AND(S68&lt;=B68,OR(T68=0,T68&gt;=EOMONTH(B68,0))),30,MIN(30,IF(T68=0,EOMONTH(B68,0),MIN(T68,EOMONTH(B68,0)))-MAX(B68,S68)+1))))</f>
        <v/>
      </c>
    </row>
    <row r="69" customFormat="false" ht="15" hidden="false" customHeight="false" outlineLevel="0" collapsed="false">
      <c r="B69" s="78"/>
      <c r="C69" s="64"/>
      <c r="D69" s="70" t="str">
        <f aca="false">IF(C69="","",IFERROR(INDEX(T_NOMBRE,MATCH(C69,T_ID,0)),"⚠ ID no existe"))</f>
        <v/>
      </c>
      <c r="E69" s="69"/>
      <c r="F69" s="69"/>
      <c r="G69" s="69"/>
      <c r="H69" s="69"/>
      <c r="I69" s="66"/>
      <c r="J69" s="69"/>
      <c r="K69" s="67"/>
      <c r="L69" s="67"/>
      <c r="M69" s="67"/>
      <c r="N69" s="67"/>
      <c r="O69" s="64"/>
      <c r="P69" s="72" t="str">
        <f aca="false">IF(OR(B69="",C69=""),"",C69&amp;"|"&amp;(YEAR(B69)*100+MONTH(B69)))</f>
        <v/>
      </c>
      <c r="Q69" s="70" t="str">
        <f aca="false">IF(P69="","",IF(COUNTIF(N_CLAVE,P69)&gt;1,"⚠ Duplicado","OK"))</f>
        <v/>
      </c>
      <c r="R69" s="74" t="str">
        <f aca="false">IF(OR(P69="",U69=""),"",MAX(0,U69-N(E69)-N(F69)-N(H69)))</f>
        <v/>
      </c>
      <c r="S69" s="75" t="str">
        <f aca="false">IF(P69="","",IFERROR(INDEX(T_INGRESO,MATCH(C69,T_ID,0)),""))</f>
        <v/>
      </c>
      <c r="T69" s="75" t="str">
        <f aca="false">IF(P69="","",IFERROR(N(INDEX(T_EGRESO,MATCH(C69,T_ID,0))),0))</f>
        <v/>
      </c>
      <c r="U69" s="73" t="str">
        <f aca="false">IF(OR(P69="",NOT(ISNUMBER(S69))),"",IF(OR(S69&gt;EOMONTH(B69,0),AND(T69&gt;0,T69&lt;B69)),0,IF(AND(S69&lt;=B69,OR(T69=0,T69&gt;=EOMONTH(B69,0))),30,MIN(30,IF(T69=0,EOMONTH(B69,0),MIN(T69,EOMONTH(B69,0)))-MAX(B69,S69)+1))))</f>
        <v/>
      </c>
    </row>
    <row r="70" customFormat="false" ht="15" hidden="false" customHeight="false" outlineLevel="0" collapsed="false">
      <c r="B70" s="78"/>
      <c r="C70" s="64"/>
      <c r="D70" s="70" t="str">
        <f aca="false">IF(C70="","",IFERROR(INDEX(T_NOMBRE,MATCH(C70,T_ID,0)),"⚠ ID no existe"))</f>
        <v/>
      </c>
      <c r="E70" s="69"/>
      <c r="F70" s="69"/>
      <c r="G70" s="69"/>
      <c r="H70" s="69"/>
      <c r="I70" s="66"/>
      <c r="J70" s="69"/>
      <c r="K70" s="67"/>
      <c r="L70" s="67"/>
      <c r="M70" s="67"/>
      <c r="N70" s="67"/>
      <c r="O70" s="64"/>
      <c r="P70" s="72" t="str">
        <f aca="false">IF(OR(B70="",C70=""),"",C70&amp;"|"&amp;(YEAR(B70)*100+MONTH(B70)))</f>
        <v/>
      </c>
      <c r="Q70" s="70" t="str">
        <f aca="false">IF(P70="","",IF(COUNTIF(N_CLAVE,P70)&gt;1,"⚠ Duplicado","OK"))</f>
        <v/>
      </c>
      <c r="R70" s="74" t="str">
        <f aca="false">IF(OR(P70="",U70=""),"",MAX(0,U70-N(E70)-N(F70)-N(H70)))</f>
        <v/>
      </c>
      <c r="S70" s="75" t="str">
        <f aca="false">IF(P70="","",IFERROR(INDEX(T_INGRESO,MATCH(C70,T_ID,0)),""))</f>
        <v/>
      </c>
      <c r="T70" s="75" t="str">
        <f aca="false">IF(P70="","",IFERROR(N(INDEX(T_EGRESO,MATCH(C70,T_ID,0))),0))</f>
        <v/>
      </c>
      <c r="U70" s="73" t="str">
        <f aca="false">IF(OR(P70="",NOT(ISNUMBER(S70))),"",IF(OR(S70&gt;EOMONTH(B70,0),AND(T70&gt;0,T70&lt;B70)),0,IF(AND(S70&lt;=B70,OR(T70=0,T70&gt;=EOMONTH(B70,0))),30,MIN(30,IF(T70=0,EOMONTH(B70,0),MIN(T70,EOMONTH(B70,0)))-MAX(B70,S70)+1))))</f>
        <v/>
      </c>
    </row>
    <row r="71" customFormat="false" ht="15" hidden="false" customHeight="false" outlineLevel="0" collapsed="false">
      <c r="B71" s="78"/>
      <c r="C71" s="64"/>
      <c r="D71" s="70" t="str">
        <f aca="false">IF(C71="","",IFERROR(INDEX(T_NOMBRE,MATCH(C71,T_ID,0)),"⚠ ID no existe"))</f>
        <v/>
      </c>
      <c r="E71" s="69"/>
      <c r="F71" s="69"/>
      <c r="G71" s="69"/>
      <c r="H71" s="69"/>
      <c r="I71" s="66"/>
      <c r="J71" s="69"/>
      <c r="K71" s="67"/>
      <c r="L71" s="67"/>
      <c r="M71" s="67"/>
      <c r="N71" s="67"/>
      <c r="O71" s="64"/>
      <c r="P71" s="72" t="str">
        <f aca="false">IF(OR(B71="",C71=""),"",C71&amp;"|"&amp;(YEAR(B71)*100+MONTH(B71)))</f>
        <v/>
      </c>
      <c r="Q71" s="70" t="str">
        <f aca="false">IF(P71="","",IF(COUNTIF(N_CLAVE,P71)&gt;1,"⚠ Duplicado","OK"))</f>
        <v/>
      </c>
      <c r="R71" s="74" t="str">
        <f aca="false">IF(OR(P71="",U71=""),"",MAX(0,U71-N(E71)-N(F71)-N(H71)))</f>
        <v/>
      </c>
      <c r="S71" s="75" t="str">
        <f aca="false">IF(P71="","",IFERROR(INDEX(T_INGRESO,MATCH(C71,T_ID,0)),""))</f>
        <v/>
      </c>
      <c r="T71" s="75" t="str">
        <f aca="false">IF(P71="","",IFERROR(N(INDEX(T_EGRESO,MATCH(C71,T_ID,0))),0))</f>
        <v/>
      </c>
      <c r="U71" s="73" t="str">
        <f aca="false">IF(OR(P71="",NOT(ISNUMBER(S71))),"",IF(OR(S71&gt;EOMONTH(B71,0),AND(T71&gt;0,T71&lt;B71)),0,IF(AND(S71&lt;=B71,OR(T71=0,T71&gt;=EOMONTH(B71,0))),30,MIN(30,IF(T71=0,EOMONTH(B71,0),MIN(T71,EOMONTH(B71,0)))-MAX(B71,S71)+1))))</f>
        <v/>
      </c>
    </row>
    <row r="72" customFormat="false" ht="15" hidden="false" customHeight="false" outlineLevel="0" collapsed="false">
      <c r="B72" s="78"/>
      <c r="C72" s="64"/>
      <c r="D72" s="70" t="str">
        <f aca="false">IF(C72="","",IFERROR(INDEX(T_NOMBRE,MATCH(C72,T_ID,0)),"⚠ ID no existe"))</f>
        <v/>
      </c>
      <c r="E72" s="69"/>
      <c r="F72" s="69"/>
      <c r="G72" s="69"/>
      <c r="H72" s="69"/>
      <c r="I72" s="66"/>
      <c r="J72" s="69"/>
      <c r="K72" s="67"/>
      <c r="L72" s="67"/>
      <c r="M72" s="67"/>
      <c r="N72" s="67"/>
      <c r="O72" s="64"/>
      <c r="P72" s="72" t="str">
        <f aca="false">IF(OR(B72="",C72=""),"",C72&amp;"|"&amp;(YEAR(B72)*100+MONTH(B72)))</f>
        <v/>
      </c>
      <c r="Q72" s="70" t="str">
        <f aca="false">IF(P72="","",IF(COUNTIF(N_CLAVE,P72)&gt;1,"⚠ Duplicado","OK"))</f>
        <v/>
      </c>
      <c r="R72" s="74" t="str">
        <f aca="false">IF(OR(P72="",U72=""),"",MAX(0,U72-N(E72)-N(F72)-N(H72)))</f>
        <v/>
      </c>
      <c r="S72" s="75" t="str">
        <f aca="false">IF(P72="","",IFERROR(INDEX(T_INGRESO,MATCH(C72,T_ID,0)),""))</f>
        <v/>
      </c>
      <c r="T72" s="75" t="str">
        <f aca="false">IF(P72="","",IFERROR(N(INDEX(T_EGRESO,MATCH(C72,T_ID,0))),0))</f>
        <v/>
      </c>
      <c r="U72" s="73" t="str">
        <f aca="false">IF(OR(P72="",NOT(ISNUMBER(S72))),"",IF(OR(S72&gt;EOMONTH(B72,0),AND(T72&gt;0,T72&lt;B72)),0,IF(AND(S72&lt;=B72,OR(T72=0,T72&gt;=EOMONTH(B72,0))),30,MIN(30,IF(T72=0,EOMONTH(B72,0),MIN(T72,EOMONTH(B72,0)))-MAX(B72,S72)+1))))</f>
        <v/>
      </c>
    </row>
    <row r="73" customFormat="false" ht="15" hidden="false" customHeight="false" outlineLevel="0" collapsed="false">
      <c r="B73" s="78"/>
      <c r="C73" s="64"/>
      <c r="D73" s="70" t="str">
        <f aca="false">IF(C73="","",IFERROR(INDEX(T_NOMBRE,MATCH(C73,T_ID,0)),"⚠ ID no existe"))</f>
        <v/>
      </c>
      <c r="E73" s="69"/>
      <c r="F73" s="69"/>
      <c r="G73" s="69"/>
      <c r="H73" s="69"/>
      <c r="I73" s="66"/>
      <c r="J73" s="69"/>
      <c r="K73" s="67"/>
      <c r="L73" s="67"/>
      <c r="M73" s="67"/>
      <c r="N73" s="67"/>
      <c r="O73" s="64"/>
      <c r="P73" s="72" t="str">
        <f aca="false">IF(OR(B73="",C73=""),"",C73&amp;"|"&amp;(YEAR(B73)*100+MONTH(B73)))</f>
        <v/>
      </c>
      <c r="Q73" s="70" t="str">
        <f aca="false">IF(P73="","",IF(COUNTIF(N_CLAVE,P73)&gt;1,"⚠ Duplicado","OK"))</f>
        <v/>
      </c>
      <c r="R73" s="74" t="str">
        <f aca="false">IF(OR(P73="",U73=""),"",MAX(0,U73-N(E73)-N(F73)-N(H73)))</f>
        <v/>
      </c>
      <c r="S73" s="75" t="str">
        <f aca="false">IF(P73="","",IFERROR(INDEX(T_INGRESO,MATCH(C73,T_ID,0)),""))</f>
        <v/>
      </c>
      <c r="T73" s="75" t="str">
        <f aca="false">IF(P73="","",IFERROR(N(INDEX(T_EGRESO,MATCH(C73,T_ID,0))),0))</f>
        <v/>
      </c>
      <c r="U73" s="73" t="str">
        <f aca="false">IF(OR(P73="",NOT(ISNUMBER(S73))),"",IF(OR(S73&gt;EOMONTH(B73,0),AND(T73&gt;0,T73&lt;B73)),0,IF(AND(S73&lt;=B73,OR(T73=0,T73&gt;=EOMONTH(B73,0))),30,MIN(30,IF(T73=0,EOMONTH(B73,0),MIN(T73,EOMONTH(B73,0)))-MAX(B73,S73)+1))))</f>
        <v/>
      </c>
    </row>
    <row r="74" customFormat="false" ht="15" hidden="false" customHeight="false" outlineLevel="0" collapsed="false">
      <c r="B74" s="78"/>
      <c r="C74" s="64"/>
      <c r="D74" s="70" t="str">
        <f aca="false">IF(C74="","",IFERROR(INDEX(T_NOMBRE,MATCH(C74,T_ID,0)),"⚠ ID no existe"))</f>
        <v/>
      </c>
      <c r="E74" s="69"/>
      <c r="F74" s="69"/>
      <c r="G74" s="69"/>
      <c r="H74" s="69"/>
      <c r="I74" s="66"/>
      <c r="J74" s="69"/>
      <c r="K74" s="67"/>
      <c r="L74" s="67"/>
      <c r="M74" s="67"/>
      <c r="N74" s="67"/>
      <c r="O74" s="64"/>
      <c r="P74" s="72" t="str">
        <f aca="false">IF(OR(B74="",C74=""),"",C74&amp;"|"&amp;(YEAR(B74)*100+MONTH(B74)))</f>
        <v/>
      </c>
      <c r="Q74" s="70" t="str">
        <f aca="false">IF(P74="","",IF(COUNTIF(N_CLAVE,P74)&gt;1,"⚠ Duplicado","OK"))</f>
        <v/>
      </c>
      <c r="R74" s="74" t="str">
        <f aca="false">IF(OR(P74="",U74=""),"",MAX(0,U74-N(E74)-N(F74)-N(H74)))</f>
        <v/>
      </c>
      <c r="S74" s="75" t="str">
        <f aca="false">IF(P74="","",IFERROR(INDEX(T_INGRESO,MATCH(C74,T_ID,0)),""))</f>
        <v/>
      </c>
      <c r="T74" s="75" t="str">
        <f aca="false">IF(P74="","",IFERROR(N(INDEX(T_EGRESO,MATCH(C74,T_ID,0))),0))</f>
        <v/>
      </c>
      <c r="U74" s="73" t="str">
        <f aca="false">IF(OR(P74="",NOT(ISNUMBER(S74))),"",IF(OR(S74&gt;EOMONTH(B74,0),AND(T74&gt;0,T74&lt;B74)),0,IF(AND(S74&lt;=B74,OR(T74=0,T74&gt;=EOMONTH(B74,0))),30,MIN(30,IF(T74=0,EOMONTH(B74,0),MIN(T74,EOMONTH(B74,0)))-MAX(B74,S74)+1))))</f>
        <v/>
      </c>
    </row>
    <row r="75" customFormat="false" ht="15" hidden="false" customHeight="false" outlineLevel="0" collapsed="false">
      <c r="B75" s="78"/>
      <c r="C75" s="64"/>
      <c r="D75" s="70" t="str">
        <f aca="false">IF(C75="","",IFERROR(INDEX(T_NOMBRE,MATCH(C75,T_ID,0)),"⚠ ID no existe"))</f>
        <v/>
      </c>
      <c r="E75" s="69"/>
      <c r="F75" s="69"/>
      <c r="G75" s="69"/>
      <c r="H75" s="69"/>
      <c r="I75" s="66"/>
      <c r="J75" s="69"/>
      <c r="K75" s="67"/>
      <c r="L75" s="67"/>
      <c r="M75" s="67"/>
      <c r="N75" s="67"/>
      <c r="O75" s="64"/>
      <c r="P75" s="72" t="str">
        <f aca="false">IF(OR(B75="",C75=""),"",C75&amp;"|"&amp;(YEAR(B75)*100+MONTH(B75)))</f>
        <v/>
      </c>
      <c r="Q75" s="70" t="str">
        <f aca="false">IF(P75="","",IF(COUNTIF(N_CLAVE,P75)&gt;1,"⚠ Duplicado","OK"))</f>
        <v/>
      </c>
      <c r="R75" s="74" t="str">
        <f aca="false">IF(OR(P75="",U75=""),"",MAX(0,U75-N(E75)-N(F75)-N(H75)))</f>
        <v/>
      </c>
      <c r="S75" s="75" t="str">
        <f aca="false">IF(P75="","",IFERROR(INDEX(T_INGRESO,MATCH(C75,T_ID,0)),""))</f>
        <v/>
      </c>
      <c r="T75" s="75" t="str">
        <f aca="false">IF(P75="","",IFERROR(N(INDEX(T_EGRESO,MATCH(C75,T_ID,0))),0))</f>
        <v/>
      </c>
      <c r="U75" s="73" t="str">
        <f aca="false">IF(OR(P75="",NOT(ISNUMBER(S75))),"",IF(OR(S75&gt;EOMONTH(B75,0),AND(T75&gt;0,T75&lt;B75)),0,IF(AND(S75&lt;=B75,OR(T75=0,T75&gt;=EOMONTH(B75,0))),30,MIN(30,IF(T75=0,EOMONTH(B75,0),MIN(T75,EOMONTH(B75,0)))-MAX(B75,S75)+1))))</f>
        <v/>
      </c>
    </row>
    <row r="76" customFormat="false" ht="15" hidden="false" customHeight="false" outlineLevel="0" collapsed="false">
      <c r="B76" s="78"/>
      <c r="C76" s="64"/>
      <c r="D76" s="70" t="str">
        <f aca="false">IF(C76="","",IFERROR(INDEX(T_NOMBRE,MATCH(C76,T_ID,0)),"⚠ ID no existe"))</f>
        <v/>
      </c>
      <c r="E76" s="69"/>
      <c r="F76" s="69"/>
      <c r="G76" s="69"/>
      <c r="H76" s="69"/>
      <c r="I76" s="66"/>
      <c r="J76" s="69"/>
      <c r="K76" s="67"/>
      <c r="L76" s="67"/>
      <c r="M76" s="67"/>
      <c r="N76" s="67"/>
      <c r="O76" s="64"/>
      <c r="P76" s="72" t="str">
        <f aca="false">IF(OR(B76="",C76=""),"",C76&amp;"|"&amp;(YEAR(B76)*100+MONTH(B76)))</f>
        <v/>
      </c>
      <c r="Q76" s="70" t="str">
        <f aca="false">IF(P76="","",IF(COUNTIF(N_CLAVE,P76)&gt;1,"⚠ Duplicado","OK"))</f>
        <v/>
      </c>
      <c r="R76" s="74" t="str">
        <f aca="false">IF(OR(P76="",U76=""),"",MAX(0,U76-N(E76)-N(F76)-N(H76)))</f>
        <v/>
      </c>
      <c r="S76" s="75" t="str">
        <f aca="false">IF(P76="","",IFERROR(INDEX(T_INGRESO,MATCH(C76,T_ID,0)),""))</f>
        <v/>
      </c>
      <c r="T76" s="75" t="str">
        <f aca="false">IF(P76="","",IFERROR(N(INDEX(T_EGRESO,MATCH(C76,T_ID,0))),0))</f>
        <v/>
      </c>
      <c r="U76" s="73" t="str">
        <f aca="false">IF(OR(P76="",NOT(ISNUMBER(S76))),"",IF(OR(S76&gt;EOMONTH(B76,0),AND(T76&gt;0,T76&lt;B76)),0,IF(AND(S76&lt;=B76,OR(T76=0,T76&gt;=EOMONTH(B76,0))),30,MIN(30,IF(T76=0,EOMONTH(B76,0),MIN(T76,EOMONTH(B76,0)))-MAX(B76,S76)+1))))</f>
        <v/>
      </c>
    </row>
    <row r="77" customFormat="false" ht="15" hidden="false" customHeight="false" outlineLevel="0" collapsed="false">
      <c r="B77" s="78"/>
      <c r="C77" s="64"/>
      <c r="D77" s="70" t="str">
        <f aca="false">IF(C77="","",IFERROR(INDEX(T_NOMBRE,MATCH(C77,T_ID,0)),"⚠ ID no existe"))</f>
        <v/>
      </c>
      <c r="E77" s="69"/>
      <c r="F77" s="69"/>
      <c r="G77" s="69"/>
      <c r="H77" s="69"/>
      <c r="I77" s="66"/>
      <c r="J77" s="69"/>
      <c r="K77" s="67"/>
      <c r="L77" s="67"/>
      <c r="M77" s="67"/>
      <c r="N77" s="67"/>
      <c r="O77" s="64"/>
      <c r="P77" s="72" t="str">
        <f aca="false">IF(OR(B77="",C77=""),"",C77&amp;"|"&amp;(YEAR(B77)*100+MONTH(B77)))</f>
        <v/>
      </c>
      <c r="Q77" s="70" t="str">
        <f aca="false">IF(P77="","",IF(COUNTIF(N_CLAVE,P77)&gt;1,"⚠ Duplicado","OK"))</f>
        <v/>
      </c>
      <c r="R77" s="74" t="str">
        <f aca="false">IF(OR(P77="",U77=""),"",MAX(0,U77-N(E77)-N(F77)-N(H77)))</f>
        <v/>
      </c>
      <c r="S77" s="75" t="str">
        <f aca="false">IF(P77="","",IFERROR(INDEX(T_INGRESO,MATCH(C77,T_ID,0)),""))</f>
        <v/>
      </c>
      <c r="T77" s="75" t="str">
        <f aca="false">IF(P77="","",IFERROR(N(INDEX(T_EGRESO,MATCH(C77,T_ID,0))),0))</f>
        <v/>
      </c>
      <c r="U77" s="73" t="str">
        <f aca="false">IF(OR(P77="",NOT(ISNUMBER(S77))),"",IF(OR(S77&gt;EOMONTH(B77,0),AND(T77&gt;0,T77&lt;B77)),0,IF(AND(S77&lt;=B77,OR(T77=0,T77&gt;=EOMONTH(B77,0))),30,MIN(30,IF(T77=0,EOMONTH(B77,0),MIN(T77,EOMONTH(B77,0)))-MAX(B77,S77)+1))))</f>
        <v/>
      </c>
    </row>
    <row r="78" customFormat="false" ht="15" hidden="false" customHeight="false" outlineLevel="0" collapsed="false">
      <c r="B78" s="78"/>
      <c r="C78" s="64"/>
      <c r="D78" s="70" t="str">
        <f aca="false">IF(C78="","",IFERROR(INDEX(T_NOMBRE,MATCH(C78,T_ID,0)),"⚠ ID no existe"))</f>
        <v/>
      </c>
      <c r="E78" s="69"/>
      <c r="F78" s="69"/>
      <c r="G78" s="69"/>
      <c r="H78" s="69"/>
      <c r="I78" s="66"/>
      <c r="J78" s="69"/>
      <c r="K78" s="67"/>
      <c r="L78" s="67"/>
      <c r="M78" s="67"/>
      <c r="N78" s="67"/>
      <c r="O78" s="64"/>
      <c r="P78" s="72" t="str">
        <f aca="false">IF(OR(B78="",C78=""),"",C78&amp;"|"&amp;(YEAR(B78)*100+MONTH(B78)))</f>
        <v/>
      </c>
      <c r="Q78" s="70" t="str">
        <f aca="false">IF(P78="","",IF(COUNTIF(N_CLAVE,P78)&gt;1,"⚠ Duplicado","OK"))</f>
        <v/>
      </c>
      <c r="R78" s="74" t="str">
        <f aca="false">IF(OR(P78="",U78=""),"",MAX(0,U78-N(E78)-N(F78)-N(H78)))</f>
        <v/>
      </c>
      <c r="S78" s="75" t="str">
        <f aca="false">IF(P78="","",IFERROR(INDEX(T_INGRESO,MATCH(C78,T_ID,0)),""))</f>
        <v/>
      </c>
      <c r="T78" s="75" t="str">
        <f aca="false">IF(P78="","",IFERROR(N(INDEX(T_EGRESO,MATCH(C78,T_ID,0))),0))</f>
        <v/>
      </c>
      <c r="U78" s="73" t="str">
        <f aca="false">IF(OR(P78="",NOT(ISNUMBER(S78))),"",IF(OR(S78&gt;EOMONTH(B78,0),AND(T78&gt;0,T78&lt;B78)),0,IF(AND(S78&lt;=B78,OR(T78=0,T78&gt;=EOMONTH(B78,0))),30,MIN(30,IF(T78=0,EOMONTH(B78,0),MIN(T78,EOMONTH(B78,0)))-MAX(B78,S78)+1))))</f>
        <v/>
      </c>
    </row>
    <row r="79" customFormat="false" ht="15" hidden="false" customHeight="false" outlineLevel="0" collapsed="false">
      <c r="B79" s="78"/>
      <c r="C79" s="64"/>
      <c r="D79" s="70" t="str">
        <f aca="false">IF(C79="","",IFERROR(INDEX(T_NOMBRE,MATCH(C79,T_ID,0)),"⚠ ID no existe"))</f>
        <v/>
      </c>
      <c r="E79" s="69"/>
      <c r="F79" s="69"/>
      <c r="G79" s="69"/>
      <c r="H79" s="69"/>
      <c r="I79" s="66"/>
      <c r="J79" s="69"/>
      <c r="K79" s="67"/>
      <c r="L79" s="67"/>
      <c r="M79" s="67"/>
      <c r="N79" s="67"/>
      <c r="O79" s="64"/>
      <c r="P79" s="72" t="str">
        <f aca="false">IF(OR(B79="",C79=""),"",C79&amp;"|"&amp;(YEAR(B79)*100+MONTH(B79)))</f>
        <v/>
      </c>
      <c r="Q79" s="70" t="str">
        <f aca="false">IF(P79="","",IF(COUNTIF(N_CLAVE,P79)&gt;1,"⚠ Duplicado","OK"))</f>
        <v/>
      </c>
      <c r="R79" s="74" t="str">
        <f aca="false">IF(OR(P79="",U79=""),"",MAX(0,U79-N(E79)-N(F79)-N(H79)))</f>
        <v/>
      </c>
      <c r="S79" s="75" t="str">
        <f aca="false">IF(P79="","",IFERROR(INDEX(T_INGRESO,MATCH(C79,T_ID,0)),""))</f>
        <v/>
      </c>
      <c r="T79" s="75" t="str">
        <f aca="false">IF(P79="","",IFERROR(N(INDEX(T_EGRESO,MATCH(C79,T_ID,0))),0))</f>
        <v/>
      </c>
      <c r="U79" s="73" t="str">
        <f aca="false">IF(OR(P79="",NOT(ISNUMBER(S79))),"",IF(OR(S79&gt;EOMONTH(B79,0),AND(T79&gt;0,T79&lt;B79)),0,IF(AND(S79&lt;=B79,OR(T79=0,T79&gt;=EOMONTH(B79,0))),30,MIN(30,IF(T79=0,EOMONTH(B79,0),MIN(T79,EOMONTH(B79,0)))-MAX(B79,S79)+1))))</f>
        <v/>
      </c>
    </row>
    <row r="80" customFormat="false" ht="15" hidden="false" customHeight="false" outlineLevel="0" collapsed="false">
      <c r="B80" s="78"/>
      <c r="C80" s="64"/>
      <c r="D80" s="70" t="str">
        <f aca="false">IF(C80="","",IFERROR(INDEX(T_NOMBRE,MATCH(C80,T_ID,0)),"⚠ ID no existe"))</f>
        <v/>
      </c>
      <c r="E80" s="69"/>
      <c r="F80" s="69"/>
      <c r="G80" s="69"/>
      <c r="H80" s="69"/>
      <c r="I80" s="66"/>
      <c r="J80" s="69"/>
      <c r="K80" s="67"/>
      <c r="L80" s="67"/>
      <c r="M80" s="67"/>
      <c r="N80" s="67"/>
      <c r="O80" s="64"/>
      <c r="P80" s="72" t="str">
        <f aca="false">IF(OR(B80="",C80=""),"",C80&amp;"|"&amp;(YEAR(B80)*100+MONTH(B80)))</f>
        <v/>
      </c>
      <c r="Q80" s="70" t="str">
        <f aca="false">IF(P80="","",IF(COUNTIF(N_CLAVE,P80)&gt;1,"⚠ Duplicado","OK"))</f>
        <v/>
      </c>
      <c r="R80" s="74" t="str">
        <f aca="false">IF(OR(P80="",U80=""),"",MAX(0,U80-N(E80)-N(F80)-N(H80)))</f>
        <v/>
      </c>
      <c r="S80" s="75" t="str">
        <f aca="false">IF(P80="","",IFERROR(INDEX(T_INGRESO,MATCH(C80,T_ID,0)),""))</f>
        <v/>
      </c>
      <c r="T80" s="75" t="str">
        <f aca="false">IF(P80="","",IFERROR(N(INDEX(T_EGRESO,MATCH(C80,T_ID,0))),0))</f>
        <v/>
      </c>
      <c r="U80" s="73" t="str">
        <f aca="false">IF(OR(P80="",NOT(ISNUMBER(S80))),"",IF(OR(S80&gt;EOMONTH(B80,0),AND(T80&gt;0,T80&lt;B80)),0,IF(AND(S80&lt;=B80,OR(T80=0,T80&gt;=EOMONTH(B80,0))),30,MIN(30,IF(T80=0,EOMONTH(B80,0),MIN(T80,EOMONTH(B80,0)))-MAX(B80,S80)+1))))</f>
        <v/>
      </c>
    </row>
    <row r="81" customFormat="false" ht="15" hidden="false" customHeight="false" outlineLevel="0" collapsed="false">
      <c r="B81" s="78"/>
      <c r="C81" s="64"/>
      <c r="D81" s="70" t="str">
        <f aca="false">IF(C81="","",IFERROR(INDEX(T_NOMBRE,MATCH(C81,T_ID,0)),"⚠ ID no existe"))</f>
        <v/>
      </c>
      <c r="E81" s="69"/>
      <c r="F81" s="69"/>
      <c r="G81" s="69"/>
      <c r="H81" s="69"/>
      <c r="I81" s="66"/>
      <c r="J81" s="69"/>
      <c r="K81" s="67"/>
      <c r="L81" s="67"/>
      <c r="M81" s="67"/>
      <c r="N81" s="67"/>
      <c r="O81" s="64"/>
      <c r="P81" s="72" t="str">
        <f aca="false">IF(OR(B81="",C81=""),"",C81&amp;"|"&amp;(YEAR(B81)*100+MONTH(B81)))</f>
        <v/>
      </c>
      <c r="Q81" s="70" t="str">
        <f aca="false">IF(P81="","",IF(COUNTIF(N_CLAVE,P81)&gt;1,"⚠ Duplicado","OK"))</f>
        <v/>
      </c>
      <c r="R81" s="74" t="str">
        <f aca="false">IF(OR(P81="",U81=""),"",MAX(0,U81-N(E81)-N(F81)-N(H81)))</f>
        <v/>
      </c>
      <c r="S81" s="75" t="str">
        <f aca="false">IF(P81="","",IFERROR(INDEX(T_INGRESO,MATCH(C81,T_ID,0)),""))</f>
        <v/>
      </c>
      <c r="T81" s="75" t="str">
        <f aca="false">IF(P81="","",IFERROR(N(INDEX(T_EGRESO,MATCH(C81,T_ID,0))),0))</f>
        <v/>
      </c>
      <c r="U81" s="73" t="str">
        <f aca="false">IF(OR(P81="",NOT(ISNUMBER(S81))),"",IF(OR(S81&gt;EOMONTH(B81,0),AND(T81&gt;0,T81&lt;B81)),0,IF(AND(S81&lt;=B81,OR(T81=0,T81&gt;=EOMONTH(B81,0))),30,MIN(30,IF(T81=0,EOMONTH(B81,0),MIN(T81,EOMONTH(B81,0)))-MAX(B81,S81)+1))))</f>
        <v/>
      </c>
    </row>
    <row r="82" customFormat="false" ht="15" hidden="false" customHeight="false" outlineLevel="0" collapsed="false">
      <c r="B82" s="78"/>
      <c r="C82" s="64"/>
      <c r="D82" s="70" t="str">
        <f aca="false">IF(C82="","",IFERROR(INDEX(T_NOMBRE,MATCH(C82,T_ID,0)),"⚠ ID no existe"))</f>
        <v/>
      </c>
      <c r="E82" s="69"/>
      <c r="F82" s="69"/>
      <c r="G82" s="69"/>
      <c r="H82" s="69"/>
      <c r="I82" s="66"/>
      <c r="J82" s="69"/>
      <c r="K82" s="67"/>
      <c r="L82" s="67"/>
      <c r="M82" s="67"/>
      <c r="N82" s="67"/>
      <c r="O82" s="64"/>
      <c r="P82" s="72" t="str">
        <f aca="false">IF(OR(B82="",C82=""),"",C82&amp;"|"&amp;(YEAR(B82)*100+MONTH(B82)))</f>
        <v/>
      </c>
      <c r="Q82" s="70" t="str">
        <f aca="false">IF(P82="","",IF(COUNTIF(N_CLAVE,P82)&gt;1,"⚠ Duplicado","OK"))</f>
        <v/>
      </c>
      <c r="R82" s="74" t="str">
        <f aca="false">IF(OR(P82="",U82=""),"",MAX(0,U82-N(E82)-N(F82)-N(H82)))</f>
        <v/>
      </c>
      <c r="S82" s="75" t="str">
        <f aca="false">IF(P82="","",IFERROR(INDEX(T_INGRESO,MATCH(C82,T_ID,0)),""))</f>
        <v/>
      </c>
      <c r="T82" s="75" t="str">
        <f aca="false">IF(P82="","",IFERROR(N(INDEX(T_EGRESO,MATCH(C82,T_ID,0))),0))</f>
        <v/>
      </c>
      <c r="U82" s="73" t="str">
        <f aca="false">IF(OR(P82="",NOT(ISNUMBER(S82))),"",IF(OR(S82&gt;EOMONTH(B82,0),AND(T82&gt;0,T82&lt;B82)),0,IF(AND(S82&lt;=B82,OR(T82=0,T82&gt;=EOMONTH(B82,0))),30,MIN(30,IF(T82=0,EOMONTH(B82,0),MIN(T82,EOMONTH(B82,0)))-MAX(B82,S82)+1))))</f>
        <v/>
      </c>
    </row>
    <row r="83" customFormat="false" ht="15" hidden="false" customHeight="false" outlineLevel="0" collapsed="false">
      <c r="B83" s="78"/>
      <c r="C83" s="64"/>
      <c r="D83" s="70" t="str">
        <f aca="false">IF(C83="","",IFERROR(INDEX(T_NOMBRE,MATCH(C83,T_ID,0)),"⚠ ID no existe"))</f>
        <v/>
      </c>
      <c r="E83" s="69"/>
      <c r="F83" s="69"/>
      <c r="G83" s="69"/>
      <c r="H83" s="69"/>
      <c r="I83" s="66"/>
      <c r="J83" s="69"/>
      <c r="K83" s="67"/>
      <c r="L83" s="67"/>
      <c r="M83" s="67"/>
      <c r="N83" s="67"/>
      <c r="O83" s="64"/>
      <c r="P83" s="72" t="str">
        <f aca="false">IF(OR(B83="",C83=""),"",C83&amp;"|"&amp;(YEAR(B83)*100+MONTH(B83)))</f>
        <v/>
      </c>
      <c r="Q83" s="70" t="str">
        <f aca="false">IF(P83="","",IF(COUNTIF(N_CLAVE,P83)&gt;1,"⚠ Duplicado","OK"))</f>
        <v/>
      </c>
      <c r="R83" s="74" t="str">
        <f aca="false">IF(OR(P83="",U83=""),"",MAX(0,U83-N(E83)-N(F83)-N(H83)))</f>
        <v/>
      </c>
      <c r="S83" s="75" t="str">
        <f aca="false">IF(P83="","",IFERROR(INDEX(T_INGRESO,MATCH(C83,T_ID,0)),""))</f>
        <v/>
      </c>
      <c r="T83" s="75" t="str">
        <f aca="false">IF(P83="","",IFERROR(N(INDEX(T_EGRESO,MATCH(C83,T_ID,0))),0))</f>
        <v/>
      </c>
      <c r="U83" s="73" t="str">
        <f aca="false">IF(OR(P83="",NOT(ISNUMBER(S83))),"",IF(OR(S83&gt;EOMONTH(B83,0),AND(T83&gt;0,T83&lt;B83)),0,IF(AND(S83&lt;=B83,OR(T83=0,T83&gt;=EOMONTH(B83,0))),30,MIN(30,IF(T83=0,EOMONTH(B83,0),MIN(T83,EOMONTH(B83,0)))-MAX(B83,S83)+1))))</f>
        <v/>
      </c>
    </row>
    <row r="84" customFormat="false" ht="15" hidden="false" customHeight="false" outlineLevel="0" collapsed="false">
      <c r="B84" s="78"/>
      <c r="C84" s="64"/>
      <c r="D84" s="70" t="str">
        <f aca="false">IF(C84="","",IFERROR(INDEX(T_NOMBRE,MATCH(C84,T_ID,0)),"⚠ ID no existe"))</f>
        <v/>
      </c>
      <c r="E84" s="69"/>
      <c r="F84" s="69"/>
      <c r="G84" s="69"/>
      <c r="H84" s="69"/>
      <c r="I84" s="66"/>
      <c r="J84" s="69"/>
      <c r="K84" s="67"/>
      <c r="L84" s="67"/>
      <c r="M84" s="67"/>
      <c r="N84" s="67"/>
      <c r="O84" s="64"/>
      <c r="P84" s="72" t="str">
        <f aca="false">IF(OR(B84="",C84=""),"",C84&amp;"|"&amp;(YEAR(B84)*100+MONTH(B84)))</f>
        <v/>
      </c>
      <c r="Q84" s="70" t="str">
        <f aca="false">IF(P84="","",IF(COUNTIF(N_CLAVE,P84)&gt;1,"⚠ Duplicado","OK"))</f>
        <v/>
      </c>
      <c r="R84" s="74" t="str">
        <f aca="false">IF(OR(P84="",U84=""),"",MAX(0,U84-N(E84)-N(F84)-N(H84)))</f>
        <v/>
      </c>
      <c r="S84" s="75" t="str">
        <f aca="false">IF(P84="","",IFERROR(INDEX(T_INGRESO,MATCH(C84,T_ID,0)),""))</f>
        <v/>
      </c>
      <c r="T84" s="75" t="str">
        <f aca="false">IF(P84="","",IFERROR(N(INDEX(T_EGRESO,MATCH(C84,T_ID,0))),0))</f>
        <v/>
      </c>
      <c r="U84" s="73" t="str">
        <f aca="false">IF(OR(P84="",NOT(ISNUMBER(S84))),"",IF(OR(S84&gt;EOMONTH(B84,0),AND(T84&gt;0,T84&lt;B84)),0,IF(AND(S84&lt;=B84,OR(T84=0,T84&gt;=EOMONTH(B84,0))),30,MIN(30,IF(T84=0,EOMONTH(B84,0),MIN(T84,EOMONTH(B84,0)))-MAX(B84,S84)+1))))</f>
        <v/>
      </c>
    </row>
    <row r="85" customFormat="false" ht="15" hidden="false" customHeight="false" outlineLevel="0" collapsed="false">
      <c r="B85" s="78"/>
      <c r="C85" s="64"/>
      <c r="D85" s="70" t="str">
        <f aca="false">IF(C85="","",IFERROR(INDEX(T_NOMBRE,MATCH(C85,T_ID,0)),"⚠ ID no existe"))</f>
        <v/>
      </c>
      <c r="E85" s="69"/>
      <c r="F85" s="69"/>
      <c r="G85" s="69"/>
      <c r="H85" s="69"/>
      <c r="I85" s="66"/>
      <c r="J85" s="69"/>
      <c r="K85" s="67"/>
      <c r="L85" s="67"/>
      <c r="M85" s="67"/>
      <c r="N85" s="67"/>
      <c r="O85" s="64"/>
      <c r="P85" s="72" t="str">
        <f aca="false">IF(OR(B85="",C85=""),"",C85&amp;"|"&amp;(YEAR(B85)*100+MONTH(B85)))</f>
        <v/>
      </c>
      <c r="Q85" s="70" t="str">
        <f aca="false">IF(P85="","",IF(COUNTIF(N_CLAVE,P85)&gt;1,"⚠ Duplicado","OK"))</f>
        <v/>
      </c>
      <c r="R85" s="74" t="str">
        <f aca="false">IF(OR(P85="",U85=""),"",MAX(0,U85-N(E85)-N(F85)-N(H85)))</f>
        <v/>
      </c>
      <c r="S85" s="75" t="str">
        <f aca="false">IF(P85="","",IFERROR(INDEX(T_INGRESO,MATCH(C85,T_ID,0)),""))</f>
        <v/>
      </c>
      <c r="T85" s="75" t="str">
        <f aca="false">IF(P85="","",IFERROR(N(INDEX(T_EGRESO,MATCH(C85,T_ID,0))),0))</f>
        <v/>
      </c>
      <c r="U85" s="73" t="str">
        <f aca="false">IF(OR(P85="",NOT(ISNUMBER(S85))),"",IF(OR(S85&gt;EOMONTH(B85,0),AND(T85&gt;0,T85&lt;B85)),0,IF(AND(S85&lt;=B85,OR(T85=0,T85&gt;=EOMONTH(B85,0))),30,MIN(30,IF(T85=0,EOMONTH(B85,0),MIN(T85,EOMONTH(B85,0)))-MAX(B85,S85)+1))))</f>
        <v/>
      </c>
    </row>
    <row r="86" customFormat="false" ht="15" hidden="false" customHeight="false" outlineLevel="0" collapsed="false">
      <c r="B86" s="78"/>
      <c r="C86" s="64"/>
      <c r="D86" s="70" t="str">
        <f aca="false">IF(C86="","",IFERROR(INDEX(T_NOMBRE,MATCH(C86,T_ID,0)),"⚠ ID no existe"))</f>
        <v/>
      </c>
      <c r="E86" s="69"/>
      <c r="F86" s="69"/>
      <c r="G86" s="69"/>
      <c r="H86" s="69"/>
      <c r="I86" s="66"/>
      <c r="J86" s="69"/>
      <c r="K86" s="67"/>
      <c r="L86" s="67"/>
      <c r="M86" s="67"/>
      <c r="N86" s="67"/>
      <c r="O86" s="64"/>
      <c r="P86" s="72" t="str">
        <f aca="false">IF(OR(B86="",C86=""),"",C86&amp;"|"&amp;(YEAR(B86)*100+MONTH(B86)))</f>
        <v/>
      </c>
      <c r="Q86" s="70" t="str">
        <f aca="false">IF(P86="","",IF(COUNTIF(N_CLAVE,P86)&gt;1,"⚠ Duplicado","OK"))</f>
        <v/>
      </c>
      <c r="R86" s="74" t="str">
        <f aca="false">IF(OR(P86="",U86=""),"",MAX(0,U86-N(E86)-N(F86)-N(H86)))</f>
        <v/>
      </c>
      <c r="S86" s="75" t="str">
        <f aca="false">IF(P86="","",IFERROR(INDEX(T_INGRESO,MATCH(C86,T_ID,0)),""))</f>
        <v/>
      </c>
      <c r="T86" s="75" t="str">
        <f aca="false">IF(P86="","",IFERROR(N(INDEX(T_EGRESO,MATCH(C86,T_ID,0))),0))</f>
        <v/>
      </c>
      <c r="U86" s="73" t="str">
        <f aca="false">IF(OR(P86="",NOT(ISNUMBER(S86))),"",IF(OR(S86&gt;EOMONTH(B86,0),AND(T86&gt;0,T86&lt;B86)),0,IF(AND(S86&lt;=B86,OR(T86=0,T86&gt;=EOMONTH(B86,0))),30,MIN(30,IF(T86=0,EOMONTH(B86,0),MIN(T86,EOMONTH(B86,0)))-MAX(B86,S86)+1))))</f>
        <v/>
      </c>
    </row>
    <row r="87" customFormat="false" ht="15" hidden="false" customHeight="false" outlineLevel="0" collapsed="false">
      <c r="B87" s="78"/>
      <c r="C87" s="64"/>
      <c r="D87" s="70" t="str">
        <f aca="false">IF(C87="","",IFERROR(INDEX(T_NOMBRE,MATCH(C87,T_ID,0)),"⚠ ID no existe"))</f>
        <v/>
      </c>
      <c r="E87" s="69"/>
      <c r="F87" s="69"/>
      <c r="G87" s="69"/>
      <c r="H87" s="69"/>
      <c r="I87" s="66"/>
      <c r="J87" s="69"/>
      <c r="K87" s="67"/>
      <c r="L87" s="67"/>
      <c r="M87" s="67"/>
      <c r="N87" s="67"/>
      <c r="O87" s="64"/>
      <c r="P87" s="72" t="str">
        <f aca="false">IF(OR(B87="",C87=""),"",C87&amp;"|"&amp;(YEAR(B87)*100+MONTH(B87)))</f>
        <v/>
      </c>
      <c r="Q87" s="70" t="str">
        <f aca="false">IF(P87="","",IF(COUNTIF(N_CLAVE,P87)&gt;1,"⚠ Duplicado","OK"))</f>
        <v/>
      </c>
      <c r="R87" s="74" t="str">
        <f aca="false">IF(OR(P87="",U87=""),"",MAX(0,U87-N(E87)-N(F87)-N(H87)))</f>
        <v/>
      </c>
      <c r="S87" s="75" t="str">
        <f aca="false">IF(P87="","",IFERROR(INDEX(T_INGRESO,MATCH(C87,T_ID,0)),""))</f>
        <v/>
      </c>
      <c r="T87" s="75" t="str">
        <f aca="false">IF(P87="","",IFERROR(N(INDEX(T_EGRESO,MATCH(C87,T_ID,0))),0))</f>
        <v/>
      </c>
      <c r="U87" s="73" t="str">
        <f aca="false">IF(OR(P87="",NOT(ISNUMBER(S87))),"",IF(OR(S87&gt;EOMONTH(B87,0),AND(T87&gt;0,T87&lt;B87)),0,IF(AND(S87&lt;=B87,OR(T87=0,T87&gt;=EOMONTH(B87,0))),30,MIN(30,IF(T87=0,EOMONTH(B87,0),MIN(T87,EOMONTH(B87,0)))-MAX(B87,S87)+1))))</f>
        <v/>
      </c>
    </row>
    <row r="88" customFormat="false" ht="15" hidden="false" customHeight="false" outlineLevel="0" collapsed="false">
      <c r="B88" s="78"/>
      <c r="C88" s="64"/>
      <c r="D88" s="70" t="str">
        <f aca="false">IF(C88="","",IFERROR(INDEX(T_NOMBRE,MATCH(C88,T_ID,0)),"⚠ ID no existe"))</f>
        <v/>
      </c>
      <c r="E88" s="69"/>
      <c r="F88" s="69"/>
      <c r="G88" s="69"/>
      <c r="H88" s="69"/>
      <c r="I88" s="66"/>
      <c r="J88" s="69"/>
      <c r="K88" s="67"/>
      <c r="L88" s="67"/>
      <c r="M88" s="67"/>
      <c r="N88" s="67"/>
      <c r="O88" s="64"/>
      <c r="P88" s="72" t="str">
        <f aca="false">IF(OR(B88="",C88=""),"",C88&amp;"|"&amp;(YEAR(B88)*100+MONTH(B88)))</f>
        <v/>
      </c>
      <c r="Q88" s="70" t="str">
        <f aca="false">IF(P88="","",IF(COUNTIF(N_CLAVE,P88)&gt;1,"⚠ Duplicado","OK"))</f>
        <v/>
      </c>
      <c r="R88" s="74" t="str">
        <f aca="false">IF(OR(P88="",U88=""),"",MAX(0,U88-N(E88)-N(F88)-N(H88)))</f>
        <v/>
      </c>
      <c r="S88" s="75" t="str">
        <f aca="false">IF(P88="","",IFERROR(INDEX(T_INGRESO,MATCH(C88,T_ID,0)),""))</f>
        <v/>
      </c>
      <c r="T88" s="75" t="str">
        <f aca="false">IF(P88="","",IFERROR(N(INDEX(T_EGRESO,MATCH(C88,T_ID,0))),0))</f>
        <v/>
      </c>
      <c r="U88" s="73" t="str">
        <f aca="false">IF(OR(P88="",NOT(ISNUMBER(S88))),"",IF(OR(S88&gt;EOMONTH(B88,0),AND(T88&gt;0,T88&lt;B88)),0,IF(AND(S88&lt;=B88,OR(T88=0,T88&gt;=EOMONTH(B88,0))),30,MIN(30,IF(T88=0,EOMONTH(B88,0),MIN(T88,EOMONTH(B88,0)))-MAX(B88,S88)+1))))</f>
        <v/>
      </c>
    </row>
    <row r="89" customFormat="false" ht="15" hidden="false" customHeight="false" outlineLevel="0" collapsed="false">
      <c r="B89" s="78"/>
      <c r="C89" s="64"/>
      <c r="D89" s="70" t="str">
        <f aca="false">IF(C89="","",IFERROR(INDEX(T_NOMBRE,MATCH(C89,T_ID,0)),"⚠ ID no existe"))</f>
        <v/>
      </c>
      <c r="E89" s="69"/>
      <c r="F89" s="69"/>
      <c r="G89" s="69"/>
      <c r="H89" s="69"/>
      <c r="I89" s="66"/>
      <c r="J89" s="69"/>
      <c r="K89" s="67"/>
      <c r="L89" s="67"/>
      <c r="M89" s="67"/>
      <c r="N89" s="67"/>
      <c r="O89" s="64"/>
      <c r="P89" s="72" t="str">
        <f aca="false">IF(OR(B89="",C89=""),"",C89&amp;"|"&amp;(YEAR(B89)*100+MONTH(B89)))</f>
        <v/>
      </c>
      <c r="Q89" s="70" t="str">
        <f aca="false">IF(P89="","",IF(COUNTIF(N_CLAVE,P89)&gt;1,"⚠ Duplicado","OK"))</f>
        <v/>
      </c>
      <c r="R89" s="74" t="str">
        <f aca="false">IF(OR(P89="",U89=""),"",MAX(0,U89-N(E89)-N(F89)-N(H89)))</f>
        <v/>
      </c>
      <c r="S89" s="75" t="str">
        <f aca="false">IF(P89="","",IFERROR(INDEX(T_INGRESO,MATCH(C89,T_ID,0)),""))</f>
        <v/>
      </c>
      <c r="T89" s="75" t="str">
        <f aca="false">IF(P89="","",IFERROR(N(INDEX(T_EGRESO,MATCH(C89,T_ID,0))),0))</f>
        <v/>
      </c>
      <c r="U89" s="73" t="str">
        <f aca="false">IF(OR(P89="",NOT(ISNUMBER(S89))),"",IF(OR(S89&gt;EOMONTH(B89,0),AND(T89&gt;0,T89&lt;B89)),0,IF(AND(S89&lt;=B89,OR(T89=0,T89&gt;=EOMONTH(B89,0))),30,MIN(30,IF(T89=0,EOMONTH(B89,0),MIN(T89,EOMONTH(B89,0)))-MAX(B89,S89)+1))))</f>
        <v/>
      </c>
    </row>
    <row r="90" customFormat="false" ht="15" hidden="false" customHeight="false" outlineLevel="0" collapsed="false">
      <c r="B90" s="78"/>
      <c r="C90" s="64"/>
      <c r="D90" s="70" t="str">
        <f aca="false">IF(C90="","",IFERROR(INDEX(T_NOMBRE,MATCH(C90,T_ID,0)),"⚠ ID no existe"))</f>
        <v/>
      </c>
      <c r="E90" s="69"/>
      <c r="F90" s="69"/>
      <c r="G90" s="69"/>
      <c r="H90" s="69"/>
      <c r="I90" s="66"/>
      <c r="J90" s="69"/>
      <c r="K90" s="67"/>
      <c r="L90" s="67"/>
      <c r="M90" s="67"/>
      <c r="N90" s="67"/>
      <c r="O90" s="64"/>
      <c r="P90" s="72" t="str">
        <f aca="false">IF(OR(B90="",C90=""),"",C90&amp;"|"&amp;(YEAR(B90)*100+MONTH(B90)))</f>
        <v/>
      </c>
      <c r="Q90" s="70" t="str">
        <f aca="false">IF(P90="","",IF(COUNTIF(N_CLAVE,P90)&gt;1,"⚠ Duplicado","OK"))</f>
        <v/>
      </c>
      <c r="R90" s="74" t="str">
        <f aca="false">IF(OR(P90="",U90=""),"",MAX(0,U90-N(E90)-N(F90)-N(H90)))</f>
        <v/>
      </c>
      <c r="S90" s="75" t="str">
        <f aca="false">IF(P90="","",IFERROR(INDEX(T_INGRESO,MATCH(C90,T_ID,0)),""))</f>
        <v/>
      </c>
      <c r="T90" s="75" t="str">
        <f aca="false">IF(P90="","",IFERROR(N(INDEX(T_EGRESO,MATCH(C90,T_ID,0))),0))</f>
        <v/>
      </c>
      <c r="U90" s="73" t="str">
        <f aca="false">IF(OR(P90="",NOT(ISNUMBER(S90))),"",IF(OR(S90&gt;EOMONTH(B90,0),AND(T90&gt;0,T90&lt;B90)),0,IF(AND(S90&lt;=B90,OR(T90=0,T90&gt;=EOMONTH(B90,0))),30,MIN(30,IF(T90=0,EOMONTH(B90,0),MIN(T90,EOMONTH(B90,0)))-MAX(B90,S90)+1))))</f>
        <v/>
      </c>
    </row>
    <row r="91" customFormat="false" ht="15" hidden="false" customHeight="false" outlineLevel="0" collapsed="false">
      <c r="B91" s="78"/>
      <c r="C91" s="64"/>
      <c r="D91" s="70" t="str">
        <f aca="false">IF(C91="","",IFERROR(INDEX(T_NOMBRE,MATCH(C91,T_ID,0)),"⚠ ID no existe"))</f>
        <v/>
      </c>
      <c r="E91" s="69"/>
      <c r="F91" s="69"/>
      <c r="G91" s="69"/>
      <c r="H91" s="69"/>
      <c r="I91" s="66"/>
      <c r="J91" s="69"/>
      <c r="K91" s="67"/>
      <c r="L91" s="67"/>
      <c r="M91" s="67"/>
      <c r="N91" s="67"/>
      <c r="O91" s="64"/>
      <c r="P91" s="72" t="str">
        <f aca="false">IF(OR(B91="",C91=""),"",C91&amp;"|"&amp;(YEAR(B91)*100+MONTH(B91)))</f>
        <v/>
      </c>
      <c r="Q91" s="70" t="str">
        <f aca="false">IF(P91="","",IF(COUNTIF(N_CLAVE,P91)&gt;1,"⚠ Duplicado","OK"))</f>
        <v/>
      </c>
      <c r="R91" s="74" t="str">
        <f aca="false">IF(OR(P91="",U91=""),"",MAX(0,U91-N(E91)-N(F91)-N(H91)))</f>
        <v/>
      </c>
      <c r="S91" s="75" t="str">
        <f aca="false">IF(P91="","",IFERROR(INDEX(T_INGRESO,MATCH(C91,T_ID,0)),""))</f>
        <v/>
      </c>
      <c r="T91" s="75" t="str">
        <f aca="false">IF(P91="","",IFERROR(N(INDEX(T_EGRESO,MATCH(C91,T_ID,0))),0))</f>
        <v/>
      </c>
      <c r="U91" s="73" t="str">
        <f aca="false">IF(OR(P91="",NOT(ISNUMBER(S91))),"",IF(OR(S91&gt;EOMONTH(B91,0),AND(T91&gt;0,T91&lt;B91)),0,IF(AND(S91&lt;=B91,OR(T91=0,T91&gt;=EOMONTH(B91,0))),30,MIN(30,IF(T91=0,EOMONTH(B91,0),MIN(T91,EOMONTH(B91,0)))-MAX(B91,S91)+1))))</f>
        <v/>
      </c>
    </row>
    <row r="92" customFormat="false" ht="15" hidden="false" customHeight="false" outlineLevel="0" collapsed="false">
      <c r="B92" s="78"/>
      <c r="C92" s="64"/>
      <c r="D92" s="70" t="str">
        <f aca="false">IF(C92="","",IFERROR(INDEX(T_NOMBRE,MATCH(C92,T_ID,0)),"⚠ ID no existe"))</f>
        <v/>
      </c>
      <c r="E92" s="69"/>
      <c r="F92" s="69"/>
      <c r="G92" s="69"/>
      <c r="H92" s="69"/>
      <c r="I92" s="66"/>
      <c r="J92" s="69"/>
      <c r="K92" s="67"/>
      <c r="L92" s="67"/>
      <c r="M92" s="67"/>
      <c r="N92" s="67"/>
      <c r="O92" s="64"/>
      <c r="P92" s="72" t="str">
        <f aca="false">IF(OR(B92="",C92=""),"",C92&amp;"|"&amp;(YEAR(B92)*100+MONTH(B92)))</f>
        <v/>
      </c>
      <c r="Q92" s="70" t="str">
        <f aca="false">IF(P92="","",IF(COUNTIF(N_CLAVE,P92)&gt;1,"⚠ Duplicado","OK"))</f>
        <v/>
      </c>
      <c r="R92" s="74" t="str">
        <f aca="false">IF(OR(P92="",U92=""),"",MAX(0,U92-N(E92)-N(F92)-N(H92)))</f>
        <v/>
      </c>
      <c r="S92" s="75" t="str">
        <f aca="false">IF(P92="","",IFERROR(INDEX(T_INGRESO,MATCH(C92,T_ID,0)),""))</f>
        <v/>
      </c>
      <c r="T92" s="75" t="str">
        <f aca="false">IF(P92="","",IFERROR(N(INDEX(T_EGRESO,MATCH(C92,T_ID,0))),0))</f>
        <v/>
      </c>
      <c r="U92" s="73" t="str">
        <f aca="false">IF(OR(P92="",NOT(ISNUMBER(S92))),"",IF(OR(S92&gt;EOMONTH(B92,0),AND(T92&gt;0,T92&lt;B92)),0,IF(AND(S92&lt;=B92,OR(T92=0,T92&gt;=EOMONTH(B92,0))),30,MIN(30,IF(T92=0,EOMONTH(B92,0),MIN(T92,EOMONTH(B92,0)))-MAX(B92,S92)+1))))</f>
        <v/>
      </c>
    </row>
    <row r="93" customFormat="false" ht="15" hidden="false" customHeight="false" outlineLevel="0" collapsed="false">
      <c r="B93" s="78"/>
      <c r="C93" s="64"/>
      <c r="D93" s="70" t="str">
        <f aca="false">IF(C93="","",IFERROR(INDEX(T_NOMBRE,MATCH(C93,T_ID,0)),"⚠ ID no existe"))</f>
        <v/>
      </c>
      <c r="E93" s="69"/>
      <c r="F93" s="69"/>
      <c r="G93" s="69"/>
      <c r="H93" s="69"/>
      <c r="I93" s="66"/>
      <c r="J93" s="69"/>
      <c r="K93" s="67"/>
      <c r="L93" s="67"/>
      <c r="M93" s="67"/>
      <c r="N93" s="67"/>
      <c r="O93" s="64"/>
      <c r="P93" s="72" t="str">
        <f aca="false">IF(OR(B93="",C93=""),"",C93&amp;"|"&amp;(YEAR(B93)*100+MONTH(B93)))</f>
        <v/>
      </c>
      <c r="Q93" s="70" t="str">
        <f aca="false">IF(P93="","",IF(COUNTIF(N_CLAVE,P93)&gt;1,"⚠ Duplicado","OK"))</f>
        <v/>
      </c>
      <c r="R93" s="74" t="str">
        <f aca="false">IF(OR(P93="",U93=""),"",MAX(0,U93-N(E93)-N(F93)-N(H93)))</f>
        <v/>
      </c>
      <c r="S93" s="75" t="str">
        <f aca="false">IF(P93="","",IFERROR(INDEX(T_INGRESO,MATCH(C93,T_ID,0)),""))</f>
        <v/>
      </c>
      <c r="T93" s="75" t="str">
        <f aca="false">IF(P93="","",IFERROR(N(INDEX(T_EGRESO,MATCH(C93,T_ID,0))),0))</f>
        <v/>
      </c>
      <c r="U93" s="73" t="str">
        <f aca="false">IF(OR(P93="",NOT(ISNUMBER(S93))),"",IF(OR(S93&gt;EOMONTH(B93,0),AND(T93&gt;0,T93&lt;B93)),0,IF(AND(S93&lt;=B93,OR(T93=0,T93&gt;=EOMONTH(B93,0))),30,MIN(30,IF(T93=0,EOMONTH(B93,0),MIN(T93,EOMONTH(B93,0)))-MAX(B93,S93)+1))))</f>
        <v/>
      </c>
    </row>
    <row r="94" customFormat="false" ht="15" hidden="false" customHeight="false" outlineLevel="0" collapsed="false">
      <c r="B94" s="78"/>
      <c r="C94" s="64"/>
      <c r="D94" s="70" t="str">
        <f aca="false">IF(C94="","",IFERROR(INDEX(T_NOMBRE,MATCH(C94,T_ID,0)),"⚠ ID no existe"))</f>
        <v/>
      </c>
      <c r="E94" s="69"/>
      <c r="F94" s="69"/>
      <c r="G94" s="69"/>
      <c r="H94" s="69"/>
      <c r="I94" s="66"/>
      <c r="J94" s="69"/>
      <c r="K94" s="67"/>
      <c r="L94" s="67"/>
      <c r="M94" s="67"/>
      <c r="N94" s="67"/>
      <c r="O94" s="64"/>
      <c r="P94" s="72" t="str">
        <f aca="false">IF(OR(B94="",C94=""),"",C94&amp;"|"&amp;(YEAR(B94)*100+MONTH(B94)))</f>
        <v/>
      </c>
      <c r="Q94" s="70" t="str">
        <f aca="false">IF(P94="","",IF(COUNTIF(N_CLAVE,P94)&gt;1,"⚠ Duplicado","OK"))</f>
        <v/>
      </c>
      <c r="R94" s="74" t="str">
        <f aca="false">IF(OR(P94="",U94=""),"",MAX(0,U94-N(E94)-N(F94)-N(H94)))</f>
        <v/>
      </c>
      <c r="S94" s="75" t="str">
        <f aca="false">IF(P94="","",IFERROR(INDEX(T_INGRESO,MATCH(C94,T_ID,0)),""))</f>
        <v/>
      </c>
      <c r="T94" s="75" t="str">
        <f aca="false">IF(P94="","",IFERROR(N(INDEX(T_EGRESO,MATCH(C94,T_ID,0))),0))</f>
        <v/>
      </c>
      <c r="U94" s="73" t="str">
        <f aca="false">IF(OR(P94="",NOT(ISNUMBER(S94))),"",IF(OR(S94&gt;EOMONTH(B94,0),AND(T94&gt;0,T94&lt;B94)),0,IF(AND(S94&lt;=B94,OR(T94=0,T94&gt;=EOMONTH(B94,0))),30,MIN(30,IF(T94=0,EOMONTH(B94,0),MIN(T94,EOMONTH(B94,0)))-MAX(B94,S94)+1))))</f>
        <v/>
      </c>
    </row>
    <row r="95" customFormat="false" ht="15" hidden="false" customHeight="false" outlineLevel="0" collapsed="false">
      <c r="B95" s="78"/>
      <c r="C95" s="64"/>
      <c r="D95" s="70" t="str">
        <f aca="false">IF(C95="","",IFERROR(INDEX(T_NOMBRE,MATCH(C95,T_ID,0)),"⚠ ID no existe"))</f>
        <v/>
      </c>
      <c r="E95" s="69"/>
      <c r="F95" s="69"/>
      <c r="G95" s="69"/>
      <c r="H95" s="69"/>
      <c r="I95" s="66"/>
      <c r="J95" s="69"/>
      <c r="K95" s="67"/>
      <c r="L95" s="67"/>
      <c r="M95" s="67"/>
      <c r="N95" s="67"/>
      <c r="O95" s="64"/>
      <c r="P95" s="72" t="str">
        <f aca="false">IF(OR(B95="",C95=""),"",C95&amp;"|"&amp;(YEAR(B95)*100+MONTH(B95)))</f>
        <v/>
      </c>
      <c r="Q95" s="70" t="str">
        <f aca="false">IF(P95="","",IF(COUNTIF(N_CLAVE,P95)&gt;1,"⚠ Duplicado","OK"))</f>
        <v/>
      </c>
      <c r="R95" s="74" t="str">
        <f aca="false">IF(OR(P95="",U95=""),"",MAX(0,U95-N(E95)-N(F95)-N(H95)))</f>
        <v/>
      </c>
      <c r="S95" s="75" t="str">
        <f aca="false">IF(P95="","",IFERROR(INDEX(T_INGRESO,MATCH(C95,T_ID,0)),""))</f>
        <v/>
      </c>
      <c r="T95" s="75" t="str">
        <f aca="false">IF(P95="","",IFERROR(N(INDEX(T_EGRESO,MATCH(C95,T_ID,0))),0))</f>
        <v/>
      </c>
      <c r="U95" s="73" t="str">
        <f aca="false">IF(OR(P95="",NOT(ISNUMBER(S95))),"",IF(OR(S95&gt;EOMONTH(B95,0),AND(T95&gt;0,T95&lt;B95)),0,IF(AND(S95&lt;=B95,OR(T95=0,T95&gt;=EOMONTH(B95,0))),30,MIN(30,IF(T95=0,EOMONTH(B95,0),MIN(T95,EOMONTH(B95,0)))-MAX(B95,S95)+1))))</f>
        <v/>
      </c>
    </row>
    <row r="96" customFormat="false" ht="15" hidden="false" customHeight="false" outlineLevel="0" collapsed="false">
      <c r="B96" s="78"/>
      <c r="C96" s="64"/>
      <c r="D96" s="70" t="str">
        <f aca="false">IF(C96="","",IFERROR(INDEX(T_NOMBRE,MATCH(C96,T_ID,0)),"⚠ ID no existe"))</f>
        <v/>
      </c>
      <c r="E96" s="69"/>
      <c r="F96" s="69"/>
      <c r="G96" s="69"/>
      <c r="H96" s="69"/>
      <c r="I96" s="66"/>
      <c r="J96" s="69"/>
      <c r="K96" s="67"/>
      <c r="L96" s="67"/>
      <c r="M96" s="67"/>
      <c r="N96" s="67"/>
      <c r="O96" s="64"/>
      <c r="P96" s="72" t="str">
        <f aca="false">IF(OR(B96="",C96=""),"",C96&amp;"|"&amp;(YEAR(B96)*100+MONTH(B96)))</f>
        <v/>
      </c>
      <c r="Q96" s="70" t="str">
        <f aca="false">IF(P96="","",IF(COUNTIF(N_CLAVE,P96)&gt;1,"⚠ Duplicado","OK"))</f>
        <v/>
      </c>
      <c r="R96" s="74" t="str">
        <f aca="false">IF(OR(P96="",U96=""),"",MAX(0,U96-N(E96)-N(F96)-N(H96)))</f>
        <v/>
      </c>
      <c r="S96" s="75" t="str">
        <f aca="false">IF(P96="","",IFERROR(INDEX(T_INGRESO,MATCH(C96,T_ID,0)),""))</f>
        <v/>
      </c>
      <c r="T96" s="75" t="str">
        <f aca="false">IF(P96="","",IFERROR(N(INDEX(T_EGRESO,MATCH(C96,T_ID,0))),0))</f>
        <v/>
      </c>
      <c r="U96" s="73" t="str">
        <f aca="false">IF(OR(P96="",NOT(ISNUMBER(S96))),"",IF(OR(S96&gt;EOMONTH(B96,0),AND(T96&gt;0,T96&lt;B96)),0,IF(AND(S96&lt;=B96,OR(T96=0,T96&gt;=EOMONTH(B96,0))),30,MIN(30,IF(T96=0,EOMONTH(B96,0),MIN(T96,EOMONTH(B96,0)))-MAX(B96,S96)+1))))</f>
        <v/>
      </c>
    </row>
    <row r="97" customFormat="false" ht="15" hidden="false" customHeight="false" outlineLevel="0" collapsed="false">
      <c r="B97" s="78"/>
      <c r="C97" s="64"/>
      <c r="D97" s="70" t="str">
        <f aca="false">IF(C97="","",IFERROR(INDEX(T_NOMBRE,MATCH(C97,T_ID,0)),"⚠ ID no existe"))</f>
        <v/>
      </c>
      <c r="E97" s="69"/>
      <c r="F97" s="69"/>
      <c r="G97" s="69"/>
      <c r="H97" s="69"/>
      <c r="I97" s="66"/>
      <c r="J97" s="69"/>
      <c r="K97" s="67"/>
      <c r="L97" s="67"/>
      <c r="M97" s="67"/>
      <c r="N97" s="67"/>
      <c r="O97" s="64"/>
      <c r="P97" s="72" t="str">
        <f aca="false">IF(OR(B97="",C97=""),"",C97&amp;"|"&amp;(YEAR(B97)*100+MONTH(B97)))</f>
        <v/>
      </c>
      <c r="Q97" s="70" t="str">
        <f aca="false">IF(P97="","",IF(COUNTIF(N_CLAVE,P97)&gt;1,"⚠ Duplicado","OK"))</f>
        <v/>
      </c>
      <c r="R97" s="74" t="str">
        <f aca="false">IF(OR(P97="",U97=""),"",MAX(0,U97-N(E97)-N(F97)-N(H97)))</f>
        <v/>
      </c>
      <c r="S97" s="75" t="str">
        <f aca="false">IF(P97="","",IFERROR(INDEX(T_INGRESO,MATCH(C97,T_ID,0)),""))</f>
        <v/>
      </c>
      <c r="T97" s="75" t="str">
        <f aca="false">IF(P97="","",IFERROR(N(INDEX(T_EGRESO,MATCH(C97,T_ID,0))),0))</f>
        <v/>
      </c>
      <c r="U97" s="73" t="str">
        <f aca="false">IF(OR(P97="",NOT(ISNUMBER(S97))),"",IF(OR(S97&gt;EOMONTH(B97,0),AND(T97&gt;0,T97&lt;B97)),0,IF(AND(S97&lt;=B97,OR(T97=0,T97&gt;=EOMONTH(B97,0))),30,MIN(30,IF(T97=0,EOMONTH(B97,0),MIN(T97,EOMONTH(B97,0)))-MAX(B97,S97)+1))))</f>
        <v/>
      </c>
    </row>
    <row r="98" customFormat="false" ht="15" hidden="false" customHeight="false" outlineLevel="0" collapsed="false">
      <c r="B98" s="78"/>
      <c r="C98" s="64"/>
      <c r="D98" s="70" t="str">
        <f aca="false">IF(C98="","",IFERROR(INDEX(T_NOMBRE,MATCH(C98,T_ID,0)),"⚠ ID no existe"))</f>
        <v/>
      </c>
      <c r="E98" s="69"/>
      <c r="F98" s="69"/>
      <c r="G98" s="69"/>
      <c r="H98" s="69"/>
      <c r="I98" s="66"/>
      <c r="J98" s="69"/>
      <c r="K98" s="67"/>
      <c r="L98" s="67"/>
      <c r="M98" s="67"/>
      <c r="N98" s="67"/>
      <c r="O98" s="64"/>
      <c r="P98" s="72" t="str">
        <f aca="false">IF(OR(B98="",C98=""),"",C98&amp;"|"&amp;(YEAR(B98)*100+MONTH(B98)))</f>
        <v/>
      </c>
      <c r="Q98" s="70" t="str">
        <f aca="false">IF(P98="","",IF(COUNTIF(N_CLAVE,P98)&gt;1,"⚠ Duplicado","OK"))</f>
        <v/>
      </c>
      <c r="R98" s="74" t="str">
        <f aca="false">IF(OR(P98="",U98=""),"",MAX(0,U98-N(E98)-N(F98)-N(H98)))</f>
        <v/>
      </c>
      <c r="S98" s="75" t="str">
        <f aca="false">IF(P98="","",IFERROR(INDEX(T_INGRESO,MATCH(C98,T_ID,0)),""))</f>
        <v/>
      </c>
      <c r="T98" s="75" t="str">
        <f aca="false">IF(P98="","",IFERROR(N(INDEX(T_EGRESO,MATCH(C98,T_ID,0))),0))</f>
        <v/>
      </c>
      <c r="U98" s="73" t="str">
        <f aca="false">IF(OR(P98="",NOT(ISNUMBER(S98))),"",IF(OR(S98&gt;EOMONTH(B98,0),AND(T98&gt;0,T98&lt;B98)),0,IF(AND(S98&lt;=B98,OR(T98=0,T98&gt;=EOMONTH(B98,0))),30,MIN(30,IF(T98=0,EOMONTH(B98,0),MIN(T98,EOMONTH(B98,0)))-MAX(B98,S98)+1))))</f>
        <v/>
      </c>
    </row>
    <row r="99" customFormat="false" ht="15" hidden="false" customHeight="false" outlineLevel="0" collapsed="false">
      <c r="B99" s="78"/>
      <c r="C99" s="64"/>
      <c r="D99" s="70" t="str">
        <f aca="false">IF(C99="","",IFERROR(INDEX(T_NOMBRE,MATCH(C99,T_ID,0)),"⚠ ID no existe"))</f>
        <v/>
      </c>
      <c r="E99" s="69"/>
      <c r="F99" s="69"/>
      <c r="G99" s="69"/>
      <c r="H99" s="69"/>
      <c r="I99" s="66"/>
      <c r="J99" s="69"/>
      <c r="K99" s="67"/>
      <c r="L99" s="67"/>
      <c r="M99" s="67"/>
      <c r="N99" s="67"/>
      <c r="O99" s="64"/>
      <c r="P99" s="72" t="str">
        <f aca="false">IF(OR(B99="",C99=""),"",C99&amp;"|"&amp;(YEAR(B99)*100+MONTH(B99)))</f>
        <v/>
      </c>
      <c r="Q99" s="70" t="str">
        <f aca="false">IF(P99="","",IF(COUNTIF(N_CLAVE,P99)&gt;1,"⚠ Duplicado","OK"))</f>
        <v/>
      </c>
      <c r="R99" s="74" t="str">
        <f aca="false">IF(OR(P99="",U99=""),"",MAX(0,U99-N(E99)-N(F99)-N(H99)))</f>
        <v/>
      </c>
      <c r="S99" s="75" t="str">
        <f aca="false">IF(P99="","",IFERROR(INDEX(T_INGRESO,MATCH(C99,T_ID,0)),""))</f>
        <v/>
      </c>
      <c r="T99" s="75" t="str">
        <f aca="false">IF(P99="","",IFERROR(N(INDEX(T_EGRESO,MATCH(C99,T_ID,0))),0))</f>
        <v/>
      </c>
      <c r="U99" s="73" t="str">
        <f aca="false">IF(OR(P99="",NOT(ISNUMBER(S99))),"",IF(OR(S99&gt;EOMONTH(B99,0),AND(T99&gt;0,T99&lt;B99)),0,IF(AND(S99&lt;=B99,OR(T99=0,T99&gt;=EOMONTH(B99,0))),30,MIN(30,IF(T99=0,EOMONTH(B99,0),MIN(T99,EOMONTH(B99,0)))-MAX(B99,S99)+1))))</f>
        <v/>
      </c>
    </row>
    <row r="100" customFormat="false" ht="15" hidden="false" customHeight="false" outlineLevel="0" collapsed="false">
      <c r="B100" s="78"/>
      <c r="C100" s="64"/>
      <c r="D100" s="70" t="str">
        <f aca="false">IF(C100="","",IFERROR(INDEX(T_NOMBRE,MATCH(C100,T_ID,0)),"⚠ ID no existe"))</f>
        <v/>
      </c>
      <c r="E100" s="69"/>
      <c r="F100" s="69"/>
      <c r="G100" s="69"/>
      <c r="H100" s="69"/>
      <c r="I100" s="66"/>
      <c r="J100" s="69"/>
      <c r="K100" s="67"/>
      <c r="L100" s="67"/>
      <c r="M100" s="67"/>
      <c r="N100" s="67"/>
      <c r="O100" s="64"/>
      <c r="P100" s="72" t="str">
        <f aca="false">IF(OR(B100="",C100=""),"",C100&amp;"|"&amp;(YEAR(B100)*100+MONTH(B100)))</f>
        <v/>
      </c>
      <c r="Q100" s="70" t="str">
        <f aca="false">IF(P100="","",IF(COUNTIF(N_CLAVE,P100)&gt;1,"⚠ Duplicado","OK"))</f>
        <v/>
      </c>
      <c r="R100" s="74" t="str">
        <f aca="false">IF(OR(P100="",U100=""),"",MAX(0,U100-N(E100)-N(F100)-N(H100)))</f>
        <v/>
      </c>
      <c r="S100" s="75" t="str">
        <f aca="false">IF(P100="","",IFERROR(INDEX(T_INGRESO,MATCH(C100,T_ID,0)),""))</f>
        <v/>
      </c>
      <c r="T100" s="75" t="str">
        <f aca="false">IF(P100="","",IFERROR(N(INDEX(T_EGRESO,MATCH(C100,T_ID,0))),0))</f>
        <v/>
      </c>
      <c r="U100" s="73" t="str">
        <f aca="false">IF(OR(P100="",NOT(ISNUMBER(S100))),"",IF(OR(S100&gt;EOMONTH(B100,0),AND(T100&gt;0,T100&lt;B100)),0,IF(AND(S100&lt;=B100,OR(T100=0,T100&gt;=EOMONTH(B100,0))),30,MIN(30,IF(T100=0,EOMONTH(B100,0),MIN(T100,EOMONTH(B100,0)))-MAX(B100,S100)+1))))</f>
        <v/>
      </c>
    </row>
    <row r="101" customFormat="false" ht="15" hidden="false" customHeight="false" outlineLevel="0" collapsed="false">
      <c r="B101" s="78"/>
      <c r="C101" s="64"/>
      <c r="D101" s="70" t="str">
        <f aca="false">IF(C101="","",IFERROR(INDEX(T_NOMBRE,MATCH(C101,T_ID,0)),"⚠ ID no existe"))</f>
        <v/>
      </c>
      <c r="E101" s="69"/>
      <c r="F101" s="69"/>
      <c r="G101" s="69"/>
      <c r="H101" s="69"/>
      <c r="I101" s="66"/>
      <c r="J101" s="69"/>
      <c r="K101" s="67"/>
      <c r="L101" s="67"/>
      <c r="M101" s="67"/>
      <c r="N101" s="67"/>
      <c r="O101" s="64"/>
      <c r="P101" s="72" t="str">
        <f aca="false">IF(OR(B101="",C101=""),"",C101&amp;"|"&amp;(YEAR(B101)*100+MONTH(B101)))</f>
        <v/>
      </c>
      <c r="Q101" s="70" t="str">
        <f aca="false">IF(P101="","",IF(COUNTIF(N_CLAVE,P101)&gt;1,"⚠ Duplicado","OK"))</f>
        <v/>
      </c>
      <c r="R101" s="74" t="str">
        <f aca="false">IF(OR(P101="",U101=""),"",MAX(0,U101-N(E101)-N(F101)-N(H101)))</f>
        <v/>
      </c>
      <c r="S101" s="75" t="str">
        <f aca="false">IF(P101="","",IFERROR(INDEX(T_INGRESO,MATCH(C101,T_ID,0)),""))</f>
        <v/>
      </c>
      <c r="T101" s="75" t="str">
        <f aca="false">IF(P101="","",IFERROR(N(INDEX(T_EGRESO,MATCH(C101,T_ID,0))),0))</f>
        <v/>
      </c>
      <c r="U101" s="73" t="str">
        <f aca="false">IF(OR(P101="",NOT(ISNUMBER(S101))),"",IF(OR(S101&gt;EOMONTH(B101,0),AND(T101&gt;0,T101&lt;B101)),0,IF(AND(S101&lt;=B101,OR(T101=0,T101&gt;=EOMONTH(B101,0))),30,MIN(30,IF(T101=0,EOMONTH(B101,0),MIN(T101,EOMONTH(B101,0)))-MAX(B101,S101)+1))))</f>
        <v/>
      </c>
    </row>
    <row r="102" customFormat="false" ht="15" hidden="false" customHeight="false" outlineLevel="0" collapsed="false">
      <c r="B102" s="78"/>
      <c r="C102" s="64"/>
      <c r="D102" s="70" t="str">
        <f aca="false">IF(C102="","",IFERROR(INDEX(T_NOMBRE,MATCH(C102,T_ID,0)),"⚠ ID no existe"))</f>
        <v/>
      </c>
      <c r="E102" s="69"/>
      <c r="F102" s="69"/>
      <c r="G102" s="69"/>
      <c r="H102" s="69"/>
      <c r="I102" s="66"/>
      <c r="J102" s="69"/>
      <c r="K102" s="67"/>
      <c r="L102" s="67"/>
      <c r="M102" s="67"/>
      <c r="N102" s="67"/>
      <c r="O102" s="64"/>
      <c r="P102" s="72" t="str">
        <f aca="false">IF(OR(B102="",C102=""),"",C102&amp;"|"&amp;(YEAR(B102)*100+MONTH(B102)))</f>
        <v/>
      </c>
      <c r="Q102" s="70" t="str">
        <f aca="false">IF(P102="","",IF(COUNTIF(N_CLAVE,P102)&gt;1,"⚠ Duplicado","OK"))</f>
        <v/>
      </c>
      <c r="R102" s="74" t="str">
        <f aca="false">IF(OR(P102="",U102=""),"",MAX(0,U102-N(E102)-N(F102)-N(H102)))</f>
        <v/>
      </c>
      <c r="S102" s="75" t="str">
        <f aca="false">IF(P102="","",IFERROR(INDEX(T_INGRESO,MATCH(C102,T_ID,0)),""))</f>
        <v/>
      </c>
      <c r="T102" s="75" t="str">
        <f aca="false">IF(P102="","",IFERROR(N(INDEX(T_EGRESO,MATCH(C102,T_ID,0))),0))</f>
        <v/>
      </c>
      <c r="U102" s="73" t="str">
        <f aca="false">IF(OR(P102="",NOT(ISNUMBER(S102))),"",IF(OR(S102&gt;EOMONTH(B102,0),AND(T102&gt;0,T102&lt;B102)),0,IF(AND(S102&lt;=B102,OR(T102=0,T102&gt;=EOMONTH(B102,0))),30,MIN(30,IF(T102=0,EOMONTH(B102,0),MIN(T102,EOMONTH(B102,0)))-MAX(B102,S102)+1))))</f>
        <v/>
      </c>
    </row>
    <row r="103" customFormat="false" ht="15" hidden="false" customHeight="false" outlineLevel="0" collapsed="false">
      <c r="B103" s="78"/>
      <c r="C103" s="64"/>
      <c r="D103" s="70" t="str">
        <f aca="false">IF(C103="","",IFERROR(INDEX(T_NOMBRE,MATCH(C103,T_ID,0)),"⚠ ID no existe"))</f>
        <v/>
      </c>
      <c r="E103" s="69"/>
      <c r="F103" s="69"/>
      <c r="G103" s="69"/>
      <c r="H103" s="69"/>
      <c r="I103" s="66"/>
      <c r="J103" s="69"/>
      <c r="K103" s="67"/>
      <c r="L103" s="67"/>
      <c r="M103" s="67"/>
      <c r="N103" s="67"/>
      <c r="O103" s="64"/>
      <c r="P103" s="72" t="str">
        <f aca="false">IF(OR(B103="",C103=""),"",C103&amp;"|"&amp;(YEAR(B103)*100+MONTH(B103)))</f>
        <v/>
      </c>
      <c r="Q103" s="70" t="str">
        <f aca="false">IF(P103="","",IF(COUNTIF(N_CLAVE,P103)&gt;1,"⚠ Duplicado","OK"))</f>
        <v/>
      </c>
      <c r="R103" s="74" t="str">
        <f aca="false">IF(OR(P103="",U103=""),"",MAX(0,U103-N(E103)-N(F103)-N(H103)))</f>
        <v/>
      </c>
      <c r="S103" s="75" t="str">
        <f aca="false">IF(P103="","",IFERROR(INDEX(T_INGRESO,MATCH(C103,T_ID,0)),""))</f>
        <v/>
      </c>
      <c r="T103" s="75" t="str">
        <f aca="false">IF(P103="","",IFERROR(N(INDEX(T_EGRESO,MATCH(C103,T_ID,0))),0))</f>
        <v/>
      </c>
      <c r="U103" s="73" t="str">
        <f aca="false">IF(OR(P103="",NOT(ISNUMBER(S103))),"",IF(OR(S103&gt;EOMONTH(B103,0),AND(T103&gt;0,T103&lt;B103)),0,IF(AND(S103&lt;=B103,OR(T103=0,T103&gt;=EOMONTH(B103,0))),30,MIN(30,IF(T103=0,EOMONTH(B103,0),MIN(T103,EOMONTH(B103,0)))-MAX(B103,S103)+1))))</f>
        <v/>
      </c>
    </row>
    <row r="104" customFormat="false" ht="15" hidden="false" customHeight="false" outlineLevel="0" collapsed="false">
      <c r="B104" s="78"/>
      <c r="C104" s="64"/>
      <c r="D104" s="70" t="str">
        <f aca="false">IF(C104="","",IFERROR(INDEX(T_NOMBRE,MATCH(C104,T_ID,0)),"⚠ ID no existe"))</f>
        <v/>
      </c>
      <c r="E104" s="69"/>
      <c r="F104" s="69"/>
      <c r="G104" s="69"/>
      <c r="H104" s="69"/>
      <c r="I104" s="66"/>
      <c r="J104" s="69"/>
      <c r="K104" s="67"/>
      <c r="L104" s="67"/>
      <c r="M104" s="67"/>
      <c r="N104" s="67"/>
      <c r="O104" s="64"/>
      <c r="P104" s="72" t="str">
        <f aca="false">IF(OR(B104="",C104=""),"",C104&amp;"|"&amp;(YEAR(B104)*100+MONTH(B104)))</f>
        <v/>
      </c>
      <c r="Q104" s="70" t="str">
        <f aca="false">IF(P104="","",IF(COUNTIF(N_CLAVE,P104)&gt;1,"⚠ Duplicado","OK"))</f>
        <v/>
      </c>
      <c r="R104" s="74" t="str">
        <f aca="false">IF(OR(P104="",U104=""),"",MAX(0,U104-N(E104)-N(F104)-N(H104)))</f>
        <v/>
      </c>
      <c r="S104" s="75" t="str">
        <f aca="false">IF(P104="","",IFERROR(INDEX(T_INGRESO,MATCH(C104,T_ID,0)),""))</f>
        <v/>
      </c>
      <c r="T104" s="75" t="str">
        <f aca="false">IF(P104="","",IFERROR(N(INDEX(T_EGRESO,MATCH(C104,T_ID,0))),0))</f>
        <v/>
      </c>
      <c r="U104" s="73" t="str">
        <f aca="false">IF(OR(P104="",NOT(ISNUMBER(S104))),"",IF(OR(S104&gt;EOMONTH(B104,0),AND(T104&gt;0,T104&lt;B104)),0,IF(AND(S104&lt;=B104,OR(T104=0,T104&gt;=EOMONTH(B104,0))),30,MIN(30,IF(T104=0,EOMONTH(B104,0),MIN(T104,EOMONTH(B104,0)))-MAX(B104,S104)+1))))</f>
        <v/>
      </c>
    </row>
    <row r="105" customFormat="false" ht="15" hidden="false" customHeight="false" outlineLevel="0" collapsed="false">
      <c r="B105" s="78"/>
      <c r="C105" s="64"/>
      <c r="D105" s="70" t="str">
        <f aca="false">IF(C105="","",IFERROR(INDEX(T_NOMBRE,MATCH(C105,T_ID,0)),"⚠ ID no existe"))</f>
        <v/>
      </c>
      <c r="E105" s="69"/>
      <c r="F105" s="69"/>
      <c r="G105" s="69"/>
      <c r="H105" s="69"/>
      <c r="I105" s="66"/>
      <c r="J105" s="69"/>
      <c r="K105" s="67"/>
      <c r="L105" s="67"/>
      <c r="M105" s="67"/>
      <c r="N105" s="67"/>
      <c r="O105" s="64"/>
      <c r="P105" s="72" t="str">
        <f aca="false">IF(OR(B105="",C105=""),"",C105&amp;"|"&amp;(YEAR(B105)*100+MONTH(B105)))</f>
        <v/>
      </c>
      <c r="Q105" s="70" t="str">
        <f aca="false">IF(P105="","",IF(COUNTIF(N_CLAVE,P105)&gt;1,"⚠ Duplicado","OK"))</f>
        <v/>
      </c>
      <c r="R105" s="74" t="str">
        <f aca="false">IF(OR(P105="",U105=""),"",MAX(0,U105-N(E105)-N(F105)-N(H105)))</f>
        <v/>
      </c>
      <c r="S105" s="75" t="str">
        <f aca="false">IF(P105="","",IFERROR(INDEX(T_INGRESO,MATCH(C105,T_ID,0)),""))</f>
        <v/>
      </c>
      <c r="T105" s="75" t="str">
        <f aca="false">IF(P105="","",IFERROR(N(INDEX(T_EGRESO,MATCH(C105,T_ID,0))),0))</f>
        <v/>
      </c>
      <c r="U105" s="73" t="str">
        <f aca="false">IF(OR(P105="",NOT(ISNUMBER(S105))),"",IF(OR(S105&gt;EOMONTH(B105,0),AND(T105&gt;0,T105&lt;B105)),0,IF(AND(S105&lt;=B105,OR(T105=0,T105&gt;=EOMONTH(B105,0))),30,MIN(30,IF(T105=0,EOMONTH(B105,0),MIN(T105,EOMONTH(B105,0)))-MAX(B105,S105)+1))))</f>
        <v/>
      </c>
    </row>
    <row r="106" customFormat="false" ht="15" hidden="false" customHeight="false" outlineLevel="0" collapsed="false">
      <c r="B106" s="78"/>
      <c r="C106" s="64"/>
      <c r="D106" s="70" t="str">
        <f aca="false">IF(C106="","",IFERROR(INDEX(T_NOMBRE,MATCH(C106,T_ID,0)),"⚠ ID no existe"))</f>
        <v/>
      </c>
      <c r="E106" s="69"/>
      <c r="F106" s="69"/>
      <c r="G106" s="69"/>
      <c r="H106" s="69"/>
      <c r="I106" s="66"/>
      <c r="J106" s="69"/>
      <c r="K106" s="67"/>
      <c r="L106" s="67"/>
      <c r="M106" s="67"/>
      <c r="N106" s="67"/>
      <c r="O106" s="64"/>
      <c r="P106" s="72" t="str">
        <f aca="false">IF(OR(B106="",C106=""),"",C106&amp;"|"&amp;(YEAR(B106)*100+MONTH(B106)))</f>
        <v/>
      </c>
      <c r="Q106" s="70" t="str">
        <f aca="false">IF(P106="","",IF(COUNTIF(N_CLAVE,P106)&gt;1,"⚠ Duplicado","OK"))</f>
        <v/>
      </c>
      <c r="R106" s="74" t="str">
        <f aca="false">IF(OR(P106="",U106=""),"",MAX(0,U106-N(E106)-N(F106)-N(H106)))</f>
        <v/>
      </c>
      <c r="S106" s="75" t="str">
        <f aca="false">IF(P106="","",IFERROR(INDEX(T_INGRESO,MATCH(C106,T_ID,0)),""))</f>
        <v/>
      </c>
      <c r="T106" s="75" t="str">
        <f aca="false">IF(P106="","",IFERROR(N(INDEX(T_EGRESO,MATCH(C106,T_ID,0))),0))</f>
        <v/>
      </c>
      <c r="U106" s="73" t="str">
        <f aca="false">IF(OR(P106="",NOT(ISNUMBER(S106))),"",IF(OR(S106&gt;EOMONTH(B106,0),AND(T106&gt;0,T106&lt;B106)),0,IF(AND(S106&lt;=B106,OR(T106=0,T106&gt;=EOMONTH(B106,0))),30,MIN(30,IF(T106=0,EOMONTH(B106,0),MIN(T106,EOMONTH(B106,0)))-MAX(B106,S106)+1))))</f>
        <v/>
      </c>
    </row>
    <row r="107" customFormat="false" ht="15" hidden="false" customHeight="false" outlineLevel="0" collapsed="false">
      <c r="B107" s="78"/>
      <c r="C107" s="64"/>
      <c r="D107" s="70" t="str">
        <f aca="false">IF(C107="","",IFERROR(INDEX(T_NOMBRE,MATCH(C107,T_ID,0)),"⚠ ID no existe"))</f>
        <v/>
      </c>
      <c r="E107" s="69"/>
      <c r="F107" s="69"/>
      <c r="G107" s="69"/>
      <c r="H107" s="69"/>
      <c r="I107" s="66"/>
      <c r="J107" s="69"/>
      <c r="K107" s="67"/>
      <c r="L107" s="67"/>
      <c r="M107" s="67"/>
      <c r="N107" s="67"/>
      <c r="O107" s="64"/>
      <c r="P107" s="72" t="str">
        <f aca="false">IF(OR(B107="",C107=""),"",C107&amp;"|"&amp;(YEAR(B107)*100+MONTH(B107)))</f>
        <v/>
      </c>
      <c r="Q107" s="70" t="str">
        <f aca="false">IF(P107="","",IF(COUNTIF(N_CLAVE,P107)&gt;1,"⚠ Duplicado","OK"))</f>
        <v/>
      </c>
      <c r="R107" s="74" t="str">
        <f aca="false">IF(OR(P107="",U107=""),"",MAX(0,U107-N(E107)-N(F107)-N(H107)))</f>
        <v/>
      </c>
      <c r="S107" s="75" t="str">
        <f aca="false">IF(P107="","",IFERROR(INDEX(T_INGRESO,MATCH(C107,T_ID,0)),""))</f>
        <v/>
      </c>
      <c r="T107" s="75" t="str">
        <f aca="false">IF(P107="","",IFERROR(N(INDEX(T_EGRESO,MATCH(C107,T_ID,0))),0))</f>
        <v/>
      </c>
      <c r="U107" s="73" t="str">
        <f aca="false">IF(OR(P107="",NOT(ISNUMBER(S107))),"",IF(OR(S107&gt;EOMONTH(B107,0),AND(T107&gt;0,T107&lt;B107)),0,IF(AND(S107&lt;=B107,OR(T107=0,T107&gt;=EOMONTH(B107,0))),30,MIN(30,IF(T107=0,EOMONTH(B107,0),MIN(T107,EOMONTH(B107,0)))-MAX(B107,S107)+1))))</f>
        <v/>
      </c>
    </row>
    <row r="108" customFormat="false" ht="15" hidden="false" customHeight="false" outlineLevel="0" collapsed="false">
      <c r="B108" s="78"/>
      <c r="C108" s="64"/>
      <c r="D108" s="70" t="str">
        <f aca="false">IF(C108="","",IFERROR(INDEX(T_NOMBRE,MATCH(C108,T_ID,0)),"⚠ ID no existe"))</f>
        <v/>
      </c>
      <c r="E108" s="69"/>
      <c r="F108" s="69"/>
      <c r="G108" s="69"/>
      <c r="H108" s="69"/>
      <c r="I108" s="66"/>
      <c r="J108" s="69"/>
      <c r="K108" s="67"/>
      <c r="L108" s="67"/>
      <c r="M108" s="67"/>
      <c r="N108" s="67"/>
      <c r="O108" s="64"/>
      <c r="P108" s="72" t="str">
        <f aca="false">IF(OR(B108="",C108=""),"",C108&amp;"|"&amp;(YEAR(B108)*100+MONTH(B108)))</f>
        <v/>
      </c>
      <c r="Q108" s="70" t="str">
        <f aca="false">IF(P108="","",IF(COUNTIF(N_CLAVE,P108)&gt;1,"⚠ Duplicado","OK"))</f>
        <v/>
      </c>
      <c r="R108" s="74" t="str">
        <f aca="false">IF(OR(P108="",U108=""),"",MAX(0,U108-N(E108)-N(F108)-N(H108)))</f>
        <v/>
      </c>
      <c r="S108" s="75" t="str">
        <f aca="false">IF(P108="","",IFERROR(INDEX(T_INGRESO,MATCH(C108,T_ID,0)),""))</f>
        <v/>
      </c>
      <c r="T108" s="75" t="str">
        <f aca="false">IF(P108="","",IFERROR(N(INDEX(T_EGRESO,MATCH(C108,T_ID,0))),0))</f>
        <v/>
      </c>
      <c r="U108" s="73" t="str">
        <f aca="false">IF(OR(P108="",NOT(ISNUMBER(S108))),"",IF(OR(S108&gt;EOMONTH(B108,0),AND(T108&gt;0,T108&lt;B108)),0,IF(AND(S108&lt;=B108,OR(T108=0,T108&gt;=EOMONTH(B108,0))),30,MIN(30,IF(T108=0,EOMONTH(B108,0),MIN(T108,EOMONTH(B108,0)))-MAX(B108,S108)+1))))</f>
        <v/>
      </c>
    </row>
    <row r="109" customFormat="false" ht="15" hidden="false" customHeight="false" outlineLevel="0" collapsed="false">
      <c r="B109" s="78"/>
      <c r="C109" s="64"/>
      <c r="D109" s="70" t="str">
        <f aca="false">IF(C109="","",IFERROR(INDEX(T_NOMBRE,MATCH(C109,T_ID,0)),"⚠ ID no existe"))</f>
        <v/>
      </c>
      <c r="E109" s="69"/>
      <c r="F109" s="69"/>
      <c r="G109" s="69"/>
      <c r="H109" s="69"/>
      <c r="I109" s="66"/>
      <c r="J109" s="69"/>
      <c r="K109" s="67"/>
      <c r="L109" s="67"/>
      <c r="M109" s="67"/>
      <c r="N109" s="67"/>
      <c r="O109" s="64"/>
      <c r="P109" s="72" t="str">
        <f aca="false">IF(OR(B109="",C109=""),"",C109&amp;"|"&amp;(YEAR(B109)*100+MONTH(B109)))</f>
        <v/>
      </c>
      <c r="Q109" s="70" t="str">
        <f aca="false">IF(P109="","",IF(COUNTIF(N_CLAVE,P109)&gt;1,"⚠ Duplicado","OK"))</f>
        <v/>
      </c>
      <c r="R109" s="74" t="str">
        <f aca="false">IF(OR(P109="",U109=""),"",MAX(0,U109-N(E109)-N(F109)-N(H109)))</f>
        <v/>
      </c>
      <c r="S109" s="75" t="str">
        <f aca="false">IF(P109="","",IFERROR(INDEX(T_INGRESO,MATCH(C109,T_ID,0)),""))</f>
        <v/>
      </c>
      <c r="T109" s="75" t="str">
        <f aca="false">IF(P109="","",IFERROR(N(INDEX(T_EGRESO,MATCH(C109,T_ID,0))),0))</f>
        <v/>
      </c>
      <c r="U109" s="73" t="str">
        <f aca="false">IF(OR(P109="",NOT(ISNUMBER(S109))),"",IF(OR(S109&gt;EOMONTH(B109,0),AND(T109&gt;0,T109&lt;B109)),0,IF(AND(S109&lt;=B109,OR(T109=0,T109&gt;=EOMONTH(B109,0))),30,MIN(30,IF(T109=0,EOMONTH(B109,0),MIN(T109,EOMONTH(B109,0)))-MAX(B109,S109)+1))))</f>
        <v/>
      </c>
    </row>
    <row r="110" customFormat="false" ht="15" hidden="false" customHeight="false" outlineLevel="0" collapsed="false">
      <c r="B110" s="78"/>
      <c r="C110" s="64"/>
      <c r="D110" s="70" t="str">
        <f aca="false">IF(C110="","",IFERROR(INDEX(T_NOMBRE,MATCH(C110,T_ID,0)),"⚠ ID no existe"))</f>
        <v/>
      </c>
      <c r="E110" s="69"/>
      <c r="F110" s="69"/>
      <c r="G110" s="69"/>
      <c r="H110" s="69"/>
      <c r="I110" s="66"/>
      <c r="J110" s="69"/>
      <c r="K110" s="67"/>
      <c r="L110" s="67"/>
      <c r="M110" s="67"/>
      <c r="N110" s="67"/>
      <c r="O110" s="64"/>
      <c r="P110" s="72" t="str">
        <f aca="false">IF(OR(B110="",C110=""),"",C110&amp;"|"&amp;(YEAR(B110)*100+MONTH(B110)))</f>
        <v/>
      </c>
      <c r="Q110" s="70" t="str">
        <f aca="false">IF(P110="","",IF(COUNTIF(N_CLAVE,P110)&gt;1,"⚠ Duplicado","OK"))</f>
        <v/>
      </c>
      <c r="R110" s="74" t="str">
        <f aca="false">IF(OR(P110="",U110=""),"",MAX(0,U110-N(E110)-N(F110)-N(H110)))</f>
        <v/>
      </c>
      <c r="S110" s="75" t="str">
        <f aca="false">IF(P110="","",IFERROR(INDEX(T_INGRESO,MATCH(C110,T_ID,0)),""))</f>
        <v/>
      </c>
      <c r="T110" s="75" t="str">
        <f aca="false">IF(P110="","",IFERROR(N(INDEX(T_EGRESO,MATCH(C110,T_ID,0))),0))</f>
        <v/>
      </c>
      <c r="U110" s="73" t="str">
        <f aca="false">IF(OR(P110="",NOT(ISNUMBER(S110))),"",IF(OR(S110&gt;EOMONTH(B110,0),AND(T110&gt;0,T110&lt;B110)),0,IF(AND(S110&lt;=B110,OR(T110=0,T110&gt;=EOMONTH(B110,0))),30,MIN(30,IF(T110=0,EOMONTH(B110,0),MIN(T110,EOMONTH(B110,0)))-MAX(B110,S110)+1))))</f>
        <v/>
      </c>
    </row>
    <row r="111" customFormat="false" ht="15" hidden="false" customHeight="false" outlineLevel="0" collapsed="false">
      <c r="B111" s="78"/>
      <c r="C111" s="64"/>
      <c r="D111" s="70" t="str">
        <f aca="false">IF(C111="","",IFERROR(INDEX(T_NOMBRE,MATCH(C111,T_ID,0)),"⚠ ID no existe"))</f>
        <v/>
      </c>
      <c r="E111" s="69"/>
      <c r="F111" s="69"/>
      <c r="G111" s="69"/>
      <c r="H111" s="69"/>
      <c r="I111" s="66"/>
      <c r="J111" s="69"/>
      <c r="K111" s="67"/>
      <c r="L111" s="67"/>
      <c r="M111" s="67"/>
      <c r="N111" s="67"/>
      <c r="O111" s="64"/>
      <c r="P111" s="72" t="str">
        <f aca="false">IF(OR(B111="",C111=""),"",C111&amp;"|"&amp;(YEAR(B111)*100+MONTH(B111)))</f>
        <v/>
      </c>
      <c r="Q111" s="70" t="str">
        <f aca="false">IF(P111="","",IF(COUNTIF(N_CLAVE,P111)&gt;1,"⚠ Duplicado","OK"))</f>
        <v/>
      </c>
      <c r="R111" s="74" t="str">
        <f aca="false">IF(OR(P111="",U111=""),"",MAX(0,U111-N(E111)-N(F111)-N(H111)))</f>
        <v/>
      </c>
      <c r="S111" s="75" t="str">
        <f aca="false">IF(P111="","",IFERROR(INDEX(T_INGRESO,MATCH(C111,T_ID,0)),""))</f>
        <v/>
      </c>
      <c r="T111" s="75" t="str">
        <f aca="false">IF(P111="","",IFERROR(N(INDEX(T_EGRESO,MATCH(C111,T_ID,0))),0))</f>
        <v/>
      </c>
      <c r="U111" s="73" t="str">
        <f aca="false">IF(OR(P111="",NOT(ISNUMBER(S111))),"",IF(OR(S111&gt;EOMONTH(B111,0),AND(T111&gt;0,T111&lt;B111)),0,IF(AND(S111&lt;=B111,OR(T111=0,T111&gt;=EOMONTH(B111,0))),30,MIN(30,IF(T111=0,EOMONTH(B111,0),MIN(T111,EOMONTH(B111,0)))-MAX(B111,S111)+1))))</f>
        <v/>
      </c>
    </row>
    <row r="112" customFormat="false" ht="15" hidden="false" customHeight="false" outlineLevel="0" collapsed="false">
      <c r="B112" s="78"/>
      <c r="C112" s="64"/>
      <c r="D112" s="70" t="str">
        <f aca="false">IF(C112="","",IFERROR(INDEX(T_NOMBRE,MATCH(C112,T_ID,0)),"⚠ ID no existe"))</f>
        <v/>
      </c>
      <c r="E112" s="69"/>
      <c r="F112" s="69"/>
      <c r="G112" s="69"/>
      <c r="H112" s="69"/>
      <c r="I112" s="66"/>
      <c r="J112" s="69"/>
      <c r="K112" s="67"/>
      <c r="L112" s="67"/>
      <c r="M112" s="67"/>
      <c r="N112" s="67"/>
      <c r="O112" s="64"/>
      <c r="P112" s="72" t="str">
        <f aca="false">IF(OR(B112="",C112=""),"",C112&amp;"|"&amp;(YEAR(B112)*100+MONTH(B112)))</f>
        <v/>
      </c>
      <c r="Q112" s="70" t="str">
        <f aca="false">IF(P112="","",IF(COUNTIF(N_CLAVE,P112)&gt;1,"⚠ Duplicado","OK"))</f>
        <v/>
      </c>
      <c r="R112" s="74" t="str">
        <f aca="false">IF(OR(P112="",U112=""),"",MAX(0,U112-N(E112)-N(F112)-N(H112)))</f>
        <v/>
      </c>
      <c r="S112" s="75" t="str">
        <f aca="false">IF(P112="","",IFERROR(INDEX(T_INGRESO,MATCH(C112,T_ID,0)),""))</f>
        <v/>
      </c>
      <c r="T112" s="75" t="str">
        <f aca="false">IF(P112="","",IFERROR(N(INDEX(T_EGRESO,MATCH(C112,T_ID,0))),0))</f>
        <v/>
      </c>
      <c r="U112" s="73" t="str">
        <f aca="false">IF(OR(P112="",NOT(ISNUMBER(S112))),"",IF(OR(S112&gt;EOMONTH(B112,0),AND(T112&gt;0,T112&lt;B112)),0,IF(AND(S112&lt;=B112,OR(T112=0,T112&gt;=EOMONTH(B112,0))),30,MIN(30,IF(T112=0,EOMONTH(B112,0),MIN(T112,EOMONTH(B112,0)))-MAX(B112,S112)+1))))</f>
        <v/>
      </c>
    </row>
    <row r="113" customFormat="false" ht="15" hidden="false" customHeight="false" outlineLevel="0" collapsed="false">
      <c r="B113" s="78"/>
      <c r="C113" s="64"/>
      <c r="D113" s="70" t="str">
        <f aca="false">IF(C113="","",IFERROR(INDEX(T_NOMBRE,MATCH(C113,T_ID,0)),"⚠ ID no existe"))</f>
        <v/>
      </c>
      <c r="E113" s="69"/>
      <c r="F113" s="69"/>
      <c r="G113" s="69"/>
      <c r="H113" s="69"/>
      <c r="I113" s="66"/>
      <c r="J113" s="69"/>
      <c r="K113" s="67"/>
      <c r="L113" s="67"/>
      <c r="M113" s="67"/>
      <c r="N113" s="67"/>
      <c r="O113" s="64"/>
      <c r="P113" s="72" t="str">
        <f aca="false">IF(OR(B113="",C113=""),"",C113&amp;"|"&amp;(YEAR(B113)*100+MONTH(B113)))</f>
        <v/>
      </c>
      <c r="Q113" s="70" t="str">
        <f aca="false">IF(P113="","",IF(COUNTIF(N_CLAVE,P113)&gt;1,"⚠ Duplicado","OK"))</f>
        <v/>
      </c>
      <c r="R113" s="74" t="str">
        <f aca="false">IF(OR(P113="",U113=""),"",MAX(0,U113-N(E113)-N(F113)-N(H113)))</f>
        <v/>
      </c>
      <c r="S113" s="75" t="str">
        <f aca="false">IF(P113="","",IFERROR(INDEX(T_INGRESO,MATCH(C113,T_ID,0)),""))</f>
        <v/>
      </c>
      <c r="T113" s="75" t="str">
        <f aca="false">IF(P113="","",IFERROR(N(INDEX(T_EGRESO,MATCH(C113,T_ID,0))),0))</f>
        <v/>
      </c>
      <c r="U113" s="73" t="str">
        <f aca="false">IF(OR(P113="",NOT(ISNUMBER(S113))),"",IF(OR(S113&gt;EOMONTH(B113,0),AND(T113&gt;0,T113&lt;B113)),0,IF(AND(S113&lt;=B113,OR(T113=0,T113&gt;=EOMONTH(B113,0))),30,MIN(30,IF(T113=0,EOMONTH(B113,0),MIN(T113,EOMONTH(B113,0)))-MAX(B113,S113)+1))))</f>
        <v/>
      </c>
    </row>
    <row r="114" customFormat="false" ht="15" hidden="false" customHeight="false" outlineLevel="0" collapsed="false">
      <c r="B114" s="78"/>
      <c r="C114" s="64"/>
      <c r="D114" s="70" t="str">
        <f aca="false">IF(C114="","",IFERROR(INDEX(T_NOMBRE,MATCH(C114,T_ID,0)),"⚠ ID no existe"))</f>
        <v/>
      </c>
      <c r="E114" s="69"/>
      <c r="F114" s="69"/>
      <c r="G114" s="69"/>
      <c r="H114" s="69"/>
      <c r="I114" s="66"/>
      <c r="J114" s="69"/>
      <c r="K114" s="67"/>
      <c r="L114" s="67"/>
      <c r="M114" s="67"/>
      <c r="N114" s="67"/>
      <c r="O114" s="64"/>
      <c r="P114" s="72" t="str">
        <f aca="false">IF(OR(B114="",C114=""),"",C114&amp;"|"&amp;(YEAR(B114)*100+MONTH(B114)))</f>
        <v/>
      </c>
      <c r="Q114" s="70" t="str">
        <f aca="false">IF(P114="","",IF(COUNTIF(N_CLAVE,P114)&gt;1,"⚠ Duplicado","OK"))</f>
        <v/>
      </c>
      <c r="R114" s="74" t="str">
        <f aca="false">IF(OR(P114="",U114=""),"",MAX(0,U114-N(E114)-N(F114)-N(H114)))</f>
        <v/>
      </c>
      <c r="S114" s="75" t="str">
        <f aca="false">IF(P114="","",IFERROR(INDEX(T_INGRESO,MATCH(C114,T_ID,0)),""))</f>
        <v/>
      </c>
      <c r="T114" s="75" t="str">
        <f aca="false">IF(P114="","",IFERROR(N(INDEX(T_EGRESO,MATCH(C114,T_ID,0))),0))</f>
        <v/>
      </c>
      <c r="U114" s="73" t="str">
        <f aca="false">IF(OR(P114="",NOT(ISNUMBER(S114))),"",IF(OR(S114&gt;EOMONTH(B114,0),AND(T114&gt;0,T114&lt;B114)),0,IF(AND(S114&lt;=B114,OR(T114=0,T114&gt;=EOMONTH(B114,0))),30,MIN(30,IF(T114=0,EOMONTH(B114,0),MIN(T114,EOMONTH(B114,0)))-MAX(B114,S114)+1))))</f>
        <v/>
      </c>
    </row>
    <row r="115" customFormat="false" ht="15" hidden="false" customHeight="false" outlineLevel="0" collapsed="false">
      <c r="B115" s="78"/>
      <c r="C115" s="64"/>
      <c r="D115" s="70" t="str">
        <f aca="false">IF(C115="","",IFERROR(INDEX(T_NOMBRE,MATCH(C115,T_ID,0)),"⚠ ID no existe"))</f>
        <v/>
      </c>
      <c r="E115" s="69"/>
      <c r="F115" s="69"/>
      <c r="G115" s="69"/>
      <c r="H115" s="69"/>
      <c r="I115" s="66"/>
      <c r="J115" s="69"/>
      <c r="K115" s="67"/>
      <c r="L115" s="67"/>
      <c r="M115" s="67"/>
      <c r="N115" s="67"/>
      <c r="O115" s="64"/>
      <c r="P115" s="72" t="str">
        <f aca="false">IF(OR(B115="",C115=""),"",C115&amp;"|"&amp;(YEAR(B115)*100+MONTH(B115)))</f>
        <v/>
      </c>
      <c r="Q115" s="70" t="str">
        <f aca="false">IF(P115="","",IF(COUNTIF(N_CLAVE,P115)&gt;1,"⚠ Duplicado","OK"))</f>
        <v/>
      </c>
      <c r="R115" s="74" t="str">
        <f aca="false">IF(OR(P115="",U115=""),"",MAX(0,U115-N(E115)-N(F115)-N(H115)))</f>
        <v/>
      </c>
      <c r="S115" s="75" t="str">
        <f aca="false">IF(P115="","",IFERROR(INDEX(T_INGRESO,MATCH(C115,T_ID,0)),""))</f>
        <v/>
      </c>
      <c r="T115" s="75" t="str">
        <f aca="false">IF(P115="","",IFERROR(N(INDEX(T_EGRESO,MATCH(C115,T_ID,0))),0))</f>
        <v/>
      </c>
      <c r="U115" s="73" t="str">
        <f aca="false">IF(OR(P115="",NOT(ISNUMBER(S115))),"",IF(OR(S115&gt;EOMONTH(B115,0),AND(T115&gt;0,T115&lt;B115)),0,IF(AND(S115&lt;=B115,OR(T115=0,T115&gt;=EOMONTH(B115,0))),30,MIN(30,IF(T115=0,EOMONTH(B115,0),MIN(T115,EOMONTH(B115,0)))-MAX(B115,S115)+1))))</f>
        <v/>
      </c>
    </row>
    <row r="116" customFormat="false" ht="15" hidden="false" customHeight="false" outlineLevel="0" collapsed="false">
      <c r="B116" s="78"/>
      <c r="C116" s="64"/>
      <c r="D116" s="70" t="str">
        <f aca="false">IF(C116="","",IFERROR(INDEX(T_NOMBRE,MATCH(C116,T_ID,0)),"⚠ ID no existe"))</f>
        <v/>
      </c>
      <c r="E116" s="69"/>
      <c r="F116" s="69"/>
      <c r="G116" s="69"/>
      <c r="H116" s="69"/>
      <c r="I116" s="66"/>
      <c r="J116" s="69"/>
      <c r="K116" s="67"/>
      <c r="L116" s="67"/>
      <c r="M116" s="67"/>
      <c r="N116" s="67"/>
      <c r="O116" s="64"/>
      <c r="P116" s="72" t="str">
        <f aca="false">IF(OR(B116="",C116=""),"",C116&amp;"|"&amp;(YEAR(B116)*100+MONTH(B116)))</f>
        <v/>
      </c>
      <c r="Q116" s="70" t="str">
        <f aca="false">IF(P116="","",IF(COUNTIF(N_CLAVE,P116)&gt;1,"⚠ Duplicado","OK"))</f>
        <v/>
      </c>
      <c r="R116" s="74" t="str">
        <f aca="false">IF(OR(P116="",U116=""),"",MAX(0,U116-N(E116)-N(F116)-N(H116)))</f>
        <v/>
      </c>
      <c r="S116" s="75" t="str">
        <f aca="false">IF(P116="","",IFERROR(INDEX(T_INGRESO,MATCH(C116,T_ID,0)),""))</f>
        <v/>
      </c>
      <c r="T116" s="75" t="str">
        <f aca="false">IF(P116="","",IFERROR(N(INDEX(T_EGRESO,MATCH(C116,T_ID,0))),0))</f>
        <v/>
      </c>
      <c r="U116" s="73" t="str">
        <f aca="false">IF(OR(P116="",NOT(ISNUMBER(S116))),"",IF(OR(S116&gt;EOMONTH(B116,0),AND(T116&gt;0,T116&lt;B116)),0,IF(AND(S116&lt;=B116,OR(T116=0,T116&gt;=EOMONTH(B116,0))),30,MIN(30,IF(T116=0,EOMONTH(B116,0),MIN(T116,EOMONTH(B116,0)))-MAX(B116,S116)+1))))</f>
        <v/>
      </c>
    </row>
    <row r="117" customFormat="false" ht="15" hidden="false" customHeight="false" outlineLevel="0" collapsed="false">
      <c r="B117" s="78"/>
      <c r="C117" s="64"/>
      <c r="D117" s="70" t="str">
        <f aca="false">IF(C117="","",IFERROR(INDEX(T_NOMBRE,MATCH(C117,T_ID,0)),"⚠ ID no existe"))</f>
        <v/>
      </c>
      <c r="E117" s="69"/>
      <c r="F117" s="69"/>
      <c r="G117" s="69"/>
      <c r="H117" s="69"/>
      <c r="I117" s="66"/>
      <c r="J117" s="69"/>
      <c r="K117" s="67"/>
      <c r="L117" s="67"/>
      <c r="M117" s="67"/>
      <c r="N117" s="67"/>
      <c r="O117" s="64"/>
      <c r="P117" s="72" t="str">
        <f aca="false">IF(OR(B117="",C117=""),"",C117&amp;"|"&amp;(YEAR(B117)*100+MONTH(B117)))</f>
        <v/>
      </c>
      <c r="Q117" s="70" t="str">
        <f aca="false">IF(P117="","",IF(COUNTIF(N_CLAVE,P117)&gt;1,"⚠ Duplicado","OK"))</f>
        <v/>
      </c>
      <c r="R117" s="74" t="str">
        <f aca="false">IF(OR(P117="",U117=""),"",MAX(0,U117-N(E117)-N(F117)-N(H117)))</f>
        <v/>
      </c>
      <c r="S117" s="75" t="str">
        <f aca="false">IF(P117="","",IFERROR(INDEX(T_INGRESO,MATCH(C117,T_ID,0)),""))</f>
        <v/>
      </c>
      <c r="T117" s="75" t="str">
        <f aca="false">IF(P117="","",IFERROR(N(INDEX(T_EGRESO,MATCH(C117,T_ID,0))),0))</f>
        <v/>
      </c>
      <c r="U117" s="73" t="str">
        <f aca="false">IF(OR(P117="",NOT(ISNUMBER(S117))),"",IF(OR(S117&gt;EOMONTH(B117,0),AND(T117&gt;0,T117&lt;B117)),0,IF(AND(S117&lt;=B117,OR(T117=0,T117&gt;=EOMONTH(B117,0))),30,MIN(30,IF(T117=0,EOMONTH(B117,0),MIN(T117,EOMONTH(B117,0)))-MAX(B117,S117)+1))))</f>
        <v/>
      </c>
    </row>
    <row r="118" customFormat="false" ht="15" hidden="false" customHeight="false" outlineLevel="0" collapsed="false">
      <c r="B118" s="78"/>
      <c r="C118" s="64"/>
      <c r="D118" s="70" t="str">
        <f aca="false">IF(C118="","",IFERROR(INDEX(T_NOMBRE,MATCH(C118,T_ID,0)),"⚠ ID no existe"))</f>
        <v/>
      </c>
      <c r="E118" s="69"/>
      <c r="F118" s="69"/>
      <c r="G118" s="69"/>
      <c r="H118" s="69"/>
      <c r="I118" s="66"/>
      <c r="J118" s="69"/>
      <c r="K118" s="67"/>
      <c r="L118" s="67"/>
      <c r="M118" s="67"/>
      <c r="N118" s="67"/>
      <c r="O118" s="64"/>
      <c r="P118" s="72" t="str">
        <f aca="false">IF(OR(B118="",C118=""),"",C118&amp;"|"&amp;(YEAR(B118)*100+MONTH(B118)))</f>
        <v/>
      </c>
      <c r="Q118" s="70" t="str">
        <f aca="false">IF(P118="","",IF(COUNTIF(N_CLAVE,P118)&gt;1,"⚠ Duplicado","OK"))</f>
        <v/>
      </c>
      <c r="R118" s="74" t="str">
        <f aca="false">IF(OR(P118="",U118=""),"",MAX(0,U118-N(E118)-N(F118)-N(H118)))</f>
        <v/>
      </c>
      <c r="S118" s="75" t="str">
        <f aca="false">IF(P118="","",IFERROR(INDEX(T_INGRESO,MATCH(C118,T_ID,0)),""))</f>
        <v/>
      </c>
      <c r="T118" s="75" t="str">
        <f aca="false">IF(P118="","",IFERROR(N(INDEX(T_EGRESO,MATCH(C118,T_ID,0))),0))</f>
        <v/>
      </c>
      <c r="U118" s="73" t="str">
        <f aca="false">IF(OR(P118="",NOT(ISNUMBER(S118))),"",IF(OR(S118&gt;EOMONTH(B118,0),AND(T118&gt;0,T118&lt;B118)),0,IF(AND(S118&lt;=B118,OR(T118=0,T118&gt;=EOMONTH(B118,0))),30,MIN(30,IF(T118=0,EOMONTH(B118,0),MIN(T118,EOMONTH(B118,0)))-MAX(B118,S118)+1))))</f>
        <v/>
      </c>
    </row>
    <row r="119" customFormat="false" ht="15" hidden="false" customHeight="false" outlineLevel="0" collapsed="false">
      <c r="B119" s="78"/>
      <c r="C119" s="64"/>
      <c r="D119" s="70" t="str">
        <f aca="false">IF(C119="","",IFERROR(INDEX(T_NOMBRE,MATCH(C119,T_ID,0)),"⚠ ID no existe"))</f>
        <v/>
      </c>
      <c r="E119" s="69"/>
      <c r="F119" s="69"/>
      <c r="G119" s="69"/>
      <c r="H119" s="69"/>
      <c r="I119" s="66"/>
      <c r="J119" s="69"/>
      <c r="K119" s="67"/>
      <c r="L119" s="67"/>
      <c r="M119" s="67"/>
      <c r="N119" s="67"/>
      <c r="O119" s="64"/>
      <c r="P119" s="72" t="str">
        <f aca="false">IF(OR(B119="",C119=""),"",C119&amp;"|"&amp;(YEAR(B119)*100+MONTH(B119)))</f>
        <v/>
      </c>
      <c r="Q119" s="70" t="str">
        <f aca="false">IF(P119="","",IF(COUNTIF(N_CLAVE,P119)&gt;1,"⚠ Duplicado","OK"))</f>
        <v/>
      </c>
      <c r="R119" s="74" t="str">
        <f aca="false">IF(OR(P119="",U119=""),"",MAX(0,U119-N(E119)-N(F119)-N(H119)))</f>
        <v/>
      </c>
      <c r="S119" s="75" t="str">
        <f aca="false">IF(P119="","",IFERROR(INDEX(T_INGRESO,MATCH(C119,T_ID,0)),""))</f>
        <v/>
      </c>
      <c r="T119" s="75" t="str">
        <f aca="false">IF(P119="","",IFERROR(N(INDEX(T_EGRESO,MATCH(C119,T_ID,0))),0))</f>
        <v/>
      </c>
      <c r="U119" s="73" t="str">
        <f aca="false">IF(OR(P119="",NOT(ISNUMBER(S119))),"",IF(OR(S119&gt;EOMONTH(B119,0),AND(T119&gt;0,T119&lt;B119)),0,IF(AND(S119&lt;=B119,OR(T119=0,T119&gt;=EOMONTH(B119,0))),30,MIN(30,IF(T119=0,EOMONTH(B119,0),MIN(T119,EOMONTH(B119,0)))-MAX(B119,S119)+1))))</f>
        <v/>
      </c>
    </row>
    <row r="120" customFormat="false" ht="15" hidden="false" customHeight="false" outlineLevel="0" collapsed="false">
      <c r="B120" s="78"/>
      <c r="C120" s="64"/>
      <c r="D120" s="70" t="str">
        <f aca="false">IF(C120="","",IFERROR(INDEX(T_NOMBRE,MATCH(C120,T_ID,0)),"⚠ ID no existe"))</f>
        <v/>
      </c>
      <c r="E120" s="69"/>
      <c r="F120" s="69"/>
      <c r="G120" s="69"/>
      <c r="H120" s="69"/>
      <c r="I120" s="66"/>
      <c r="J120" s="69"/>
      <c r="K120" s="67"/>
      <c r="L120" s="67"/>
      <c r="M120" s="67"/>
      <c r="N120" s="67"/>
      <c r="O120" s="64"/>
      <c r="P120" s="72" t="str">
        <f aca="false">IF(OR(B120="",C120=""),"",C120&amp;"|"&amp;(YEAR(B120)*100+MONTH(B120)))</f>
        <v/>
      </c>
      <c r="Q120" s="70" t="str">
        <f aca="false">IF(P120="","",IF(COUNTIF(N_CLAVE,P120)&gt;1,"⚠ Duplicado","OK"))</f>
        <v/>
      </c>
      <c r="R120" s="74" t="str">
        <f aca="false">IF(OR(P120="",U120=""),"",MAX(0,U120-N(E120)-N(F120)-N(H120)))</f>
        <v/>
      </c>
      <c r="S120" s="75" t="str">
        <f aca="false">IF(P120="","",IFERROR(INDEX(T_INGRESO,MATCH(C120,T_ID,0)),""))</f>
        <v/>
      </c>
      <c r="T120" s="75" t="str">
        <f aca="false">IF(P120="","",IFERROR(N(INDEX(T_EGRESO,MATCH(C120,T_ID,0))),0))</f>
        <v/>
      </c>
      <c r="U120" s="73" t="str">
        <f aca="false">IF(OR(P120="",NOT(ISNUMBER(S120))),"",IF(OR(S120&gt;EOMONTH(B120,0),AND(T120&gt;0,T120&lt;B120)),0,IF(AND(S120&lt;=B120,OR(T120=0,T120&gt;=EOMONTH(B120,0))),30,MIN(30,IF(T120=0,EOMONTH(B120,0),MIN(T120,EOMONTH(B120,0)))-MAX(B120,S120)+1))))</f>
        <v/>
      </c>
    </row>
    <row r="121" customFormat="false" ht="15" hidden="false" customHeight="false" outlineLevel="0" collapsed="false">
      <c r="B121" s="78"/>
      <c r="C121" s="64"/>
      <c r="D121" s="70" t="str">
        <f aca="false">IF(C121="","",IFERROR(INDEX(T_NOMBRE,MATCH(C121,T_ID,0)),"⚠ ID no existe"))</f>
        <v/>
      </c>
      <c r="E121" s="69"/>
      <c r="F121" s="69"/>
      <c r="G121" s="69"/>
      <c r="H121" s="69"/>
      <c r="I121" s="66"/>
      <c r="J121" s="69"/>
      <c r="K121" s="67"/>
      <c r="L121" s="67"/>
      <c r="M121" s="67"/>
      <c r="N121" s="67"/>
      <c r="O121" s="64"/>
      <c r="P121" s="72" t="str">
        <f aca="false">IF(OR(B121="",C121=""),"",C121&amp;"|"&amp;(YEAR(B121)*100+MONTH(B121)))</f>
        <v/>
      </c>
      <c r="Q121" s="70" t="str">
        <f aca="false">IF(P121="","",IF(COUNTIF(N_CLAVE,P121)&gt;1,"⚠ Duplicado","OK"))</f>
        <v/>
      </c>
      <c r="R121" s="74" t="str">
        <f aca="false">IF(OR(P121="",U121=""),"",MAX(0,U121-N(E121)-N(F121)-N(H121)))</f>
        <v/>
      </c>
      <c r="S121" s="75" t="str">
        <f aca="false">IF(P121="","",IFERROR(INDEX(T_INGRESO,MATCH(C121,T_ID,0)),""))</f>
        <v/>
      </c>
      <c r="T121" s="75" t="str">
        <f aca="false">IF(P121="","",IFERROR(N(INDEX(T_EGRESO,MATCH(C121,T_ID,0))),0))</f>
        <v/>
      </c>
      <c r="U121" s="73" t="str">
        <f aca="false">IF(OR(P121="",NOT(ISNUMBER(S121))),"",IF(OR(S121&gt;EOMONTH(B121,0),AND(T121&gt;0,T121&lt;B121)),0,IF(AND(S121&lt;=B121,OR(T121=0,T121&gt;=EOMONTH(B121,0))),30,MIN(30,IF(T121=0,EOMONTH(B121,0),MIN(T121,EOMONTH(B121,0)))-MAX(B121,S121)+1))))</f>
        <v/>
      </c>
    </row>
    <row r="122" customFormat="false" ht="15" hidden="false" customHeight="false" outlineLevel="0" collapsed="false">
      <c r="B122" s="78"/>
      <c r="C122" s="64"/>
      <c r="D122" s="70" t="str">
        <f aca="false">IF(C122="","",IFERROR(INDEX(T_NOMBRE,MATCH(C122,T_ID,0)),"⚠ ID no existe"))</f>
        <v/>
      </c>
      <c r="E122" s="69"/>
      <c r="F122" s="69"/>
      <c r="G122" s="69"/>
      <c r="H122" s="69"/>
      <c r="I122" s="66"/>
      <c r="J122" s="69"/>
      <c r="K122" s="67"/>
      <c r="L122" s="67"/>
      <c r="M122" s="67"/>
      <c r="N122" s="67"/>
      <c r="O122" s="64"/>
      <c r="P122" s="72" t="str">
        <f aca="false">IF(OR(B122="",C122=""),"",C122&amp;"|"&amp;(YEAR(B122)*100+MONTH(B122)))</f>
        <v/>
      </c>
      <c r="Q122" s="70" t="str">
        <f aca="false">IF(P122="","",IF(COUNTIF(N_CLAVE,P122)&gt;1,"⚠ Duplicado","OK"))</f>
        <v/>
      </c>
      <c r="R122" s="74" t="str">
        <f aca="false">IF(OR(P122="",U122=""),"",MAX(0,U122-N(E122)-N(F122)-N(H122)))</f>
        <v/>
      </c>
      <c r="S122" s="75" t="str">
        <f aca="false">IF(P122="","",IFERROR(INDEX(T_INGRESO,MATCH(C122,T_ID,0)),""))</f>
        <v/>
      </c>
      <c r="T122" s="75" t="str">
        <f aca="false">IF(P122="","",IFERROR(N(INDEX(T_EGRESO,MATCH(C122,T_ID,0))),0))</f>
        <v/>
      </c>
      <c r="U122" s="73" t="str">
        <f aca="false">IF(OR(P122="",NOT(ISNUMBER(S122))),"",IF(OR(S122&gt;EOMONTH(B122,0),AND(T122&gt;0,T122&lt;B122)),0,IF(AND(S122&lt;=B122,OR(T122=0,T122&gt;=EOMONTH(B122,0))),30,MIN(30,IF(T122=0,EOMONTH(B122,0),MIN(T122,EOMONTH(B122,0)))-MAX(B122,S122)+1))))</f>
        <v/>
      </c>
    </row>
    <row r="123" customFormat="false" ht="15" hidden="false" customHeight="false" outlineLevel="0" collapsed="false">
      <c r="B123" s="78"/>
      <c r="C123" s="64"/>
      <c r="D123" s="70" t="str">
        <f aca="false">IF(C123="","",IFERROR(INDEX(T_NOMBRE,MATCH(C123,T_ID,0)),"⚠ ID no existe"))</f>
        <v/>
      </c>
      <c r="E123" s="69"/>
      <c r="F123" s="69"/>
      <c r="G123" s="69"/>
      <c r="H123" s="69"/>
      <c r="I123" s="66"/>
      <c r="J123" s="69"/>
      <c r="K123" s="67"/>
      <c r="L123" s="67"/>
      <c r="M123" s="67"/>
      <c r="N123" s="67"/>
      <c r="O123" s="64"/>
      <c r="P123" s="72" t="str">
        <f aca="false">IF(OR(B123="",C123=""),"",C123&amp;"|"&amp;(YEAR(B123)*100+MONTH(B123)))</f>
        <v/>
      </c>
      <c r="Q123" s="70" t="str">
        <f aca="false">IF(P123="","",IF(COUNTIF(N_CLAVE,P123)&gt;1,"⚠ Duplicado","OK"))</f>
        <v/>
      </c>
      <c r="R123" s="74" t="str">
        <f aca="false">IF(OR(P123="",U123=""),"",MAX(0,U123-N(E123)-N(F123)-N(H123)))</f>
        <v/>
      </c>
      <c r="S123" s="75" t="str">
        <f aca="false">IF(P123="","",IFERROR(INDEX(T_INGRESO,MATCH(C123,T_ID,0)),""))</f>
        <v/>
      </c>
      <c r="T123" s="75" t="str">
        <f aca="false">IF(P123="","",IFERROR(N(INDEX(T_EGRESO,MATCH(C123,T_ID,0))),0))</f>
        <v/>
      </c>
      <c r="U123" s="73" t="str">
        <f aca="false">IF(OR(P123="",NOT(ISNUMBER(S123))),"",IF(OR(S123&gt;EOMONTH(B123,0),AND(T123&gt;0,T123&lt;B123)),0,IF(AND(S123&lt;=B123,OR(T123=0,T123&gt;=EOMONTH(B123,0))),30,MIN(30,IF(T123=0,EOMONTH(B123,0),MIN(T123,EOMONTH(B123,0)))-MAX(B123,S123)+1))))</f>
        <v/>
      </c>
    </row>
    <row r="124" customFormat="false" ht="15" hidden="false" customHeight="false" outlineLevel="0" collapsed="false">
      <c r="B124" s="78"/>
      <c r="C124" s="64"/>
      <c r="D124" s="70" t="str">
        <f aca="false">IF(C124="","",IFERROR(INDEX(T_NOMBRE,MATCH(C124,T_ID,0)),"⚠ ID no existe"))</f>
        <v/>
      </c>
      <c r="E124" s="69"/>
      <c r="F124" s="69"/>
      <c r="G124" s="69"/>
      <c r="H124" s="69"/>
      <c r="I124" s="66"/>
      <c r="J124" s="69"/>
      <c r="K124" s="67"/>
      <c r="L124" s="67"/>
      <c r="M124" s="67"/>
      <c r="N124" s="67"/>
      <c r="O124" s="64"/>
      <c r="P124" s="72" t="str">
        <f aca="false">IF(OR(B124="",C124=""),"",C124&amp;"|"&amp;(YEAR(B124)*100+MONTH(B124)))</f>
        <v/>
      </c>
      <c r="Q124" s="70" t="str">
        <f aca="false">IF(P124="","",IF(COUNTIF(N_CLAVE,P124)&gt;1,"⚠ Duplicado","OK"))</f>
        <v/>
      </c>
      <c r="R124" s="74" t="str">
        <f aca="false">IF(OR(P124="",U124=""),"",MAX(0,U124-N(E124)-N(F124)-N(H124)))</f>
        <v/>
      </c>
      <c r="S124" s="75" t="str">
        <f aca="false">IF(P124="","",IFERROR(INDEX(T_INGRESO,MATCH(C124,T_ID,0)),""))</f>
        <v/>
      </c>
      <c r="T124" s="75" t="str">
        <f aca="false">IF(P124="","",IFERROR(N(INDEX(T_EGRESO,MATCH(C124,T_ID,0))),0))</f>
        <v/>
      </c>
      <c r="U124" s="73" t="str">
        <f aca="false">IF(OR(P124="",NOT(ISNUMBER(S124))),"",IF(OR(S124&gt;EOMONTH(B124,0),AND(T124&gt;0,T124&lt;B124)),0,IF(AND(S124&lt;=B124,OR(T124=0,T124&gt;=EOMONTH(B124,0))),30,MIN(30,IF(T124=0,EOMONTH(B124,0),MIN(T124,EOMONTH(B124,0)))-MAX(B124,S124)+1))))</f>
        <v/>
      </c>
    </row>
    <row r="125" customFormat="false" ht="15" hidden="false" customHeight="false" outlineLevel="0" collapsed="false">
      <c r="B125" s="78"/>
      <c r="C125" s="64"/>
      <c r="D125" s="70" t="str">
        <f aca="false">IF(C125="","",IFERROR(INDEX(T_NOMBRE,MATCH(C125,T_ID,0)),"⚠ ID no existe"))</f>
        <v/>
      </c>
      <c r="E125" s="69"/>
      <c r="F125" s="69"/>
      <c r="G125" s="69"/>
      <c r="H125" s="69"/>
      <c r="I125" s="66"/>
      <c r="J125" s="69"/>
      <c r="K125" s="67"/>
      <c r="L125" s="67"/>
      <c r="M125" s="67"/>
      <c r="N125" s="67"/>
      <c r="O125" s="64"/>
      <c r="P125" s="72" t="str">
        <f aca="false">IF(OR(B125="",C125=""),"",C125&amp;"|"&amp;(YEAR(B125)*100+MONTH(B125)))</f>
        <v/>
      </c>
      <c r="Q125" s="70" t="str">
        <f aca="false">IF(P125="","",IF(COUNTIF(N_CLAVE,P125)&gt;1,"⚠ Duplicado","OK"))</f>
        <v/>
      </c>
      <c r="R125" s="74" t="str">
        <f aca="false">IF(OR(P125="",U125=""),"",MAX(0,U125-N(E125)-N(F125)-N(H125)))</f>
        <v/>
      </c>
      <c r="S125" s="75" t="str">
        <f aca="false">IF(P125="","",IFERROR(INDEX(T_INGRESO,MATCH(C125,T_ID,0)),""))</f>
        <v/>
      </c>
      <c r="T125" s="75" t="str">
        <f aca="false">IF(P125="","",IFERROR(N(INDEX(T_EGRESO,MATCH(C125,T_ID,0))),0))</f>
        <v/>
      </c>
      <c r="U125" s="73" t="str">
        <f aca="false">IF(OR(P125="",NOT(ISNUMBER(S125))),"",IF(OR(S125&gt;EOMONTH(B125,0),AND(T125&gt;0,T125&lt;B125)),0,IF(AND(S125&lt;=B125,OR(T125=0,T125&gt;=EOMONTH(B125,0))),30,MIN(30,IF(T125=0,EOMONTH(B125,0),MIN(T125,EOMONTH(B125,0)))-MAX(B125,S125)+1))))</f>
        <v/>
      </c>
    </row>
    <row r="126" customFormat="false" ht="15" hidden="false" customHeight="false" outlineLevel="0" collapsed="false">
      <c r="B126" s="78"/>
      <c r="C126" s="64"/>
      <c r="D126" s="70" t="str">
        <f aca="false">IF(C126="","",IFERROR(INDEX(T_NOMBRE,MATCH(C126,T_ID,0)),"⚠ ID no existe"))</f>
        <v/>
      </c>
      <c r="E126" s="69"/>
      <c r="F126" s="69"/>
      <c r="G126" s="69"/>
      <c r="H126" s="69"/>
      <c r="I126" s="66"/>
      <c r="J126" s="69"/>
      <c r="K126" s="67"/>
      <c r="L126" s="67"/>
      <c r="M126" s="67"/>
      <c r="N126" s="67"/>
      <c r="O126" s="64"/>
      <c r="P126" s="72" t="str">
        <f aca="false">IF(OR(B126="",C126=""),"",C126&amp;"|"&amp;(YEAR(B126)*100+MONTH(B126)))</f>
        <v/>
      </c>
      <c r="Q126" s="70" t="str">
        <f aca="false">IF(P126="","",IF(COUNTIF(N_CLAVE,P126)&gt;1,"⚠ Duplicado","OK"))</f>
        <v/>
      </c>
      <c r="R126" s="74" t="str">
        <f aca="false">IF(OR(P126="",U126=""),"",MAX(0,U126-N(E126)-N(F126)-N(H126)))</f>
        <v/>
      </c>
      <c r="S126" s="75" t="str">
        <f aca="false">IF(P126="","",IFERROR(INDEX(T_INGRESO,MATCH(C126,T_ID,0)),""))</f>
        <v/>
      </c>
      <c r="T126" s="75" t="str">
        <f aca="false">IF(P126="","",IFERROR(N(INDEX(T_EGRESO,MATCH(C126,T_ID,0))),0))</f>
        <v/>
      </c>
      <c r="U126" s="73" t="str">
        <f aca="false">IF(OR(P126="",NOT(ISNUMBER(S126))),"",IF(OR(S126&gt;EOMONTH(B126,0),AND(T126&gt;0,T126&lt;B126)),0,IF(AND(S126&lt;=B126,OR(T126=0,T126&gt;=EOMONTH(B126,0))),30,MIN(30,IF(T126=0,EOMONTH(B126,0),MIN(T126,EOMONTH(B126,0)))-MAX(B126,S126)+1))))</f>
        <v/>
      </c>
    </row>
    <row r="127" customFormat="false" ht="15" hidden="false" customHeight="false" outlineLevel="0" collapsed="false">
      <c r="B127" s="78"/>
      <c r="C127" s="64"/>
      <c r="D127" s="70" t="str">
        <f aca="false">IF(C127="","",IFERROR(INDEX(T_NOMBRE,MATCH(C127,T_ID,0)),"⚠ ID no existe"))</f>
        <v/>
      </c>
      <c r="E127" s="69"/>
      <c r="F127" s="69"/>
      <c r="G127" s="69"/>
      <c r="H127" s="69"/>
      <c r="I127" s="66"/>
      <c r="J127" s="69"/>
      <c r="K127" s="67"/>
      <c r="L127" s="67"/>
      <c r="M127" s="67"/>
      <c r="N127" s="67"/>
      <c r="O127" s="64"/>
      <c r="P127" s="72" t="str">
        <f aca="false">IF(OR(B127="",C127=""),"",C127&amp;"|"&amp;(YEAR(B127)*100+MONTH(B127)))</f>
        <v/>
      </c>
      <c r="Q127" s="70" t="str">
        <f aca="false">IF(P127="","",IF(COUNTIF(N_CLAVE,P127)&gt;1,"⚠ Duplicado","OK"))</f>
        <v/>
      </c>
      <c r="R127" s="74" t="str">
        <f aca="false">IF(OR(P127="",U127=""),"",MAX(0,U127-N(E127)-N(F127)-N(H127)))</f>
        <v/>
      </c>
      <c r="S127" s="75" t="str">
        <f aca="false">IF(P127="","",IFERROR(INDEX(T_INGRESO,MATCH(C127,T_ID,0)),""))</f>
        <v/>
      </c>
      <c r="T127" s="75" t="str">
        <f aca="false">IF(P127="","",IFERROR(N(INDEX(T_EGRESO,MATCH(C127,T_ID,0))),0))</f>
        <v/>
      </c>
      <c r="U127" s="73" t="str">
        <f aca="false">IF(OR(P127="",NOT(ISNUMBER(S127))),"",IF(OR(S127&gt;EOMONTH(B127,0),AND(T127&gt;0,T127&lt;B127)),0,IF(AND(S127&lt;=B127,OR(T127=0,T127&gt;=EOMONTH(B127,0))),30,MIN(30,IF(T127=0,EOMONTH(B127,0),MIN(T127,EOMONTH(B127,0)))-MAX(B127,S127)+1))))</f>
        <v/>
      </c>
    </row>
    <row r="128" customFormat="false" ht="15" hidden="false" customHeight="false" outlineLevel="0" collapsed="false">
      <c r="B128" s="78"/>
      <c r="C128" s="64"/>
      <c r="D128" s="70" t="str">
        <f aca="false">IF(C128="","",IFERROR(INDEX(T_NOMBRE,MATCH(C128,T_ID,0)),"⚠ ID no existe"))</f>
        <v/>
      </c>
      <c r="E128" s="69"/>
      <c r="F128" s="69"/>
      <c r="G128" s="69"/>
      <c r="H128" s="69"/>
      <c r="I128" s="66"/>
      <c r="J128" s="69"/>
      <c r="K128" s="67"/>
      <c r="L128" s="67"/>
      <c r="M128" s="67"/>
      <c r="N128" s="67"/>
      <c r="O128" s="64"/>
      <c r="P128" s="72" t="str">
        <f aca="false">IF(OR(B128="",C128=""),"",C128&amp;"|"&amp;(YEAR(B128)*100+MONTH(B128)))</f>
        <v/>
      </c>
      <c r="Q128" s="70" t="str">
        <f aca="false">IF(P128="","",IF(COUNTIF(N_CLAVE,P128)&gt;1,"⚠ Duplicado","OK"))</f>
        <v/>
      </c>
      <c r="R128" s="74" t="str">
        <f aca="false">IF(OR(P128="",U128=""),"",MAX(0,U128-N(E128)-N(F128)-N(H128)))</f>
        <v/>
      </c>
      <c r="S128" s="75" t="str">
        <f aca="false">IF(P128="","",IFERROR(INDEX(T_INGRESO,MATCH(C128,T_ID,0)),""))</f>
        <v/>
      </c>
      <c r="T128" s="75" t="str">
        <f aca="false">IF(P128="","",IFERROR(N(INDEX(T_EGRESO,MATCH(C128,T_ID,0))),0))</f>
        <v/>
      </c>
      <c r="U128" s="73" t="str">
        <f aca="false">IF(OR(P128="",NOT(ISNUMBER(S128))),"",IF(OR(S128&gt;EOMONTH(B128,0),AND(T128&gt;0,T128&lt;B128)),0,IF(AND(S128&lt;=B128,OR(T128=0,T128&gt;=EOMONTH(B128,0))),30,MIN(30,IF(T128=0,EOMONTH(B128,0),MIN(T128,EOMONTH(B128,0)))-MAX(B128,S128)+1))))</f>
        <v/>
      </c>
    </row>
    <row r="129" customFormat="false" ht="15" hidden="false" customHeight="false" outlineLevel="0" collapsed="false">
      <c r="B129" s="78"/>
      <c r="C129" s="64"/>
      <c r="D129" s="70" t="str">
        <f aca="false">IF(C129="","",IFERROR(INDEX(T_NOMBRE,MATCH(C129,T_ID,0)),"⚠ ID no existe"))</f>
        <v/>
      </c>
      <c r="E129" s="69"/>
      <c r="F129" s="69"/>
      <c r="G129" s="69"/>
      <c r="H129" s="69"/>
      <c r="I129" s="66"/>
      <c r="J129" s="69"/>
      <c r="K129" s="67"/>
      <c r="L129" s="67"/>
      <c r="M129" s="67"/>
      <c r="N129" s="67"/>
      <c r="O129" s="64"/>
      <c r="P129" s="72" t="str">
        <f aca="false">IF(OR(B129="",C129=""),"",C129&amp;"|"&amp;(YEAR(B129)*100+MONTH(B129)))</f>
        <v/>
      </c>
      <c r="Q129" s="70" t="str">
        <f aca="false">IF(P129="","",IF(COUNTIF(N_CLAVE,P129)&gt;1,"⚠ Duplicado","OK"))</f>
        <v/>
      </c>
      <c r="R129" s="74" t="str">
        <f aca="false">IF(OR(P129="",U129=""),"",MAX(0,U129-N(E129)-N(F129)-N(H129)))</f>
        <v/>
      </c>
      <c r="S129" s="75" t="str">
        <f aca="false">IF(P129="","",IFERROR(INDEX(T_INGRESO,MATCH(C129,T_ID,0)),""))</f>
        <v/>
      </c>
      <c r="T129" s="75" t="str">
        <f aca="false">IF(P129="","",IFERROR(N(INDEX(T_EGRESO,MATCH(C129,T_ID,0))),0))</f>
        <v/>
      </c>
      <c r="U129" s="73" t="str">
        <f aca="false">IF(OR(P129="",NOT(ISNUMBER(S129))),"",IF(OR(S129&gt;EOMONTH(B129,0),AND(T129&gt;0,T129&lt;B129)),0,IF(AND(S129&lt;=B129,OR(T129=0,T129&gt;=EOMONTH(B129,0))),30,MIN(30,IF(T129=0,EOMONTH(B129,0),MIN(T129,EOMONTH(B129,0)))-MAX(B129,S129)+1))))</f>
        <v/>
      </c>
    </row>
    <row r="130" customFormat="false" ht="15" hidden="false" customHeight="false" outlineLevel="0" collapsed="false">
      <c r="B130" s="78"/>
      <c r="C130" s="64"/>
      <c r="D130" s="70" t="str">
        <f aca="false">IF(C130="","",IFERROR(INDEX(T_NOMBRE,MATCH(C130,T_ID,0)),"⚠ ID no existe"))</f>
        <v/>
      </c>
      <c r="E130" s="69"/>
      <c r="F130" s="69"/>
      <c r="G130" s="69"/>
      <c r="H130" s="69"/>
      <c r="I130" s="66"/>
      <c r="J130" s="69"/>
      <c r="K130" s="67"/>
      <c r="L130" s="67"/>
      <c r="M130" s="67"/>
      <c r="N130" s="67"/>
      <c r="O130" s="64"/>
      <c r="P130" s="72" t="str">
        <f aca="false">IF(OR(B130="",C130=""),"",C130&amp;"|"&amp;(YEAR(B130)*100+MONTH(B130)))</f>
        <v/>
      </c>
      <c r="Q130" s="70" t="str">
        <f aca="false">IF(P130="","",IF(COUNTIF(N_CLAVE,P130)&gt;1,"⚠ Duplicado","OK"))</f>
        <v/>
      </c>
      <c r="R130" s="74" t="str">
        <f aca="false">IF(OR(P130="",U130=""),"",MAX(0,U130-N(E130)-N(F130)-N(H130)))</f>
        <v/>
      </c>
      <c r="S130" s="75" t="str">
        <f aca="false">IF(P130="","",IFERROR(INDEX(T_INGRESO,MATCH(C130,T_ID,0)),""))</f>
        <v/>
      </c>
      <c r="T130" s="75" t="str">
        <f aca="false">IF(P130="","",IFERROR(N(INDEX(T_EGRESO,MATCH(C130,T_ID,0))),0))</f>
        <v/>
      </c>
      <c r="U130" s="73" t="str">
        <f aca="false">IF(OR(P130="",NOT(ISNUMBER(S130))),"",IF(OR(S130&gt;EOMONTH(B130,0),AND(T130&gt;0,T130&lt;B130)),0,IF(AND(S130&lt;=B130,OR(T130=0,T130&gt;=EOMONTH(B130,0))),30,MIN(30,IF(T130=0,EOMONTH(B130,0),MIN(T130,EOMONTH(B130,0)))-MAX(B130,S130)+1))))</f>
        <v/>
      </c>
    </row>
    <row r="131" customFormat="false" ht="15" hidden="false" customHeight="false" outlineLevel="0" collapsed="false">
      <c r="B131" s="78"/>
      <c r="C131" s="64"/>
      <c r="D131" s="70" t="str">
        <f aca="false">IF(C131="","",IFERROR(INDEX(T_NOMBRE,MATCH(C131,T_ID,0)),"⚠ ID no existe"))</f>
        <v/>
      </c>
      <c r="E131" s="69"/>
      <c r="F131" s="69"/>
      <c r="G131" s="69"/>
      <c r="H131" s="69"/>
      <c r="I131" s="66"/>
      <c r="J131" s="69"/>
      <c r="K131" s="67"/>
      <c r="L131" s="67"/>
      <c r="M131" s="67"/>
      <c r="N131" s="67"/>
      <c r="O131" s="64"/>
      <c r="P131" s="72" t="str">
        <f aca="false">IF(OR(B131="",C131=""),"",C131&amp;"|"&amp;(YEAR(B131)*100+MONTH(B131)))</f>
        <v/>
      </c>
      <c r="Q131" s="70" t="str">
        <f aca="false">IF(P131="","",IF(COUNTIF(N_CLAVE,P131)&gt;1,"⚠ Duplicado","OK"))</f>
        <v/>
      </c>
      <c r="R131" s="74" t="str">
        <f aca="false">IF(OR(P131="",U131=""),"",MAX(0,U131-N(E131)-N(F131)-N(H131)))</f>
        <v/>
      </c>
      <c r="S131" s="75" t="str">
        <f aca="false">IF(P131="","",IFERROR(INDEX(T_INGRESO,MATCH(C131,T_ID,0)),""))</f>
        <v/>
      </c>
      <c r="T131" s="75" t="str">
        <f aca="false">IF(P131="","",IFERROR(N(INDEX(T_EGRESO,MATCH(C131,T_ID,0))),0))</f>
        <v/>
      </c>
      <c r="U131" s="73" t="str">
        <f aca="false">IF(OR(P131="",NOT(ISNUMBER(S131))),"",IF(OR(S131&gt;EOMONTH(B131,0),AND(T131&gt;0,T131&lt;B131)),0,IF(AND(S131&lt;=B131,OR(T131=0,T131&gt;=EOMONTH(B131,0))),30,MIN(30,IF(T131=0,EOMONTH(B131,0),MIN(T131,EOMONTH(B131,0)))-MAX(B131,S131)+1))))</f>
        <v/>
      </c>
    </row>
    <row r="132" customFormat="false" ht="15" hidden="false" customHeight="false" outlineLevel="0" collapsed="false">
      <c r="B132" s="78"/>
      <c r="C132" s="64"/>
      <c r="D132" s="70" t="str">
        <f aca="false">IF(C132="","",IFERROR(INDEX(T_NOMBRE,MATCH(C132,T_ID,0)),"⚠ ID no existe"))</f>
        <v/>
      </c>
      <c r="E132" s="69"/>
      <c r="F132" s="69"/>
      <c r="G132" s="69"/>
      <c r="H132" s="69"/>
      <c r="I132" s="66"/>
      <c r="J132" s="69"/>
      <c r="K132" s="67"/>
      <c r="L132" s="67"/>
      <c r="M132" s="67"/>
      <c r="N132" s="67"/>
      <c r="O132" s="64"/>
      <c r="P132" s="72" t="str">
        <f aca="false">IF(OR(B132="",C132=""),"",C132&amp;"|"&amp;(YEAR(B132)*100+MONTH(B132)))</f>
        <v/>
      </c>
      <c r="Q132" s="70" t="str">
        <f aca="false">IF(P132="","",IF(COUNTIF(N_CLAVE,P132)&gt;1,"⚠ Duplicado","OK"))</f>
        <v/>
      </c>
      <c r="R132" s="74" t="str">
        <f aca="false">IF(OR(P132="",U132=""),"",MAX(0,U132-N(E132)-N(F132)-N(H132)))</f>
        <v/>
      </c>
      <c r="S132" s="75" t="str">
        <f aca="false">IF(P132="","",IFERROR(INDEX(T_INGRESO,MATCH(C132,T_ID,0)),""))</f>
        <v/>
      </c>
      <c r="T132" s="75" t="str">
        <f aca="false">IF(P132="","",IFERROR(N(INDEX(T_EGRESO,MATCH(C132,T_ID,0))),0))</f>
        <v/>
      </c>
      <c r="U132" s="73" t="str">
        <f aca="false">IF(OR(P132="",NOT(ISNUMBER(S132))),"",IF(OR(S132&gt;EOMONTH(B132,0),AND(T132&gt;0,T132&lt;B132)),0,IF(AND(S132&lt;=B132,OR(T132=0,T132&gt;=EOMONTH(B132,0))),30,MIN(30,IF(T132=0,EOMONTH(B132,0),MIN(T132,EOMONTH(B132,0)))-MAX(B132,S132)+1))))</f>
        <v/>
      </c>
    </row>
    <row r="133" customFormat="false" ht="15" hidden="false" customHeight="false" outlineLevel="0" collapsed="false">
      <c r="B133" s="78"/>
      <c r="C133" s="64"/>
      <c r="D133" s="70" t="str">
        <f aca="false">IF(C133="","",IFERROR(INDEX(T_NOMBRE,MATCH(C133,T_ID,0)),"⚠ ID no existe"))</f>
        <v/>
      </c>
      <c r="E133" s="69"/>
      <c r="F133" s="69"/>
      <c r="G133" s="69"/>
      <c r="H133" s="69"/>
      <c r="I133" s="66"/>
      <c r="J133" s="69"/>
      <c r="K133" s="67"/>
      <c r="L133" s="67"/>
      <c r="M133" s="67"/>
      <c r="N133" s="67"/>
      <c r="O133" s="64"/>
      <c r="P133" s="72" t="str">
        <f aca="false">IF(OR(B133="",C133=""),"",C133&amp;"|"&amp;(YEAR(B133)*100+MONTH(B133)))</f>
        <v/>
      </c>
      <c r="Q133" s="70" t="str">
        <f aca="false">IF(P133="","",IF(COUNTIF(N_CLAVE,P133)&gt;1,"⚠ Duplicado","OK"))</f>
        <v/>
      </c>
      <c r="R133" s="74" t="str">
        <f aca="false">IF(OR(P133="",U133=""),"",MAX(0,U133-N(E133)-N(F133)-N(H133)))</f>
        <v/>
      </c>
      <c r="S133" s="75" t="str">
        <f aca="false">IF(P133="","",IFERROR(INDEX(T_INGRESO,MATCH(C133,T_ID,0)),""))</f>
        <v/>
      </c>
      <c r="T133" s="75" t="str">
        <f aca="false">IF(P133="","",IFERROR(N(INDEX(T_EGRESO,MATCH(C133,T_ID,0))),0))</f>
        <v/>
      </c>
      <c r="U133" s="73" t="str">
        <f aca="false">IF(OR(P133="",NOT(ISNUMBER(S133))),"",IF(OR(S133&gt;EOMONTH(B133,0),AND(T133&gt;0,T133&lt;B133)),0,IF(AND(S133&lt;=B133,OR(T133=0,T133&gt;=EOMONTH(B133,0))),30,MIN(30,IF(T133=0,EOMONTH(B133,0),MIN(T133,EOMONTH(B133,0)))-MAX(B133,S133)+1))))</f>
        <v/>
      </c>
    </row>
    <row r="134" customFormat="false" ht="15" hidden="false" customHeight="false" outlineLevel="0" collapsed="false">
      <c r="B134" s="78"/>
      <c r="C134" s="64"/>
      <c r="D134" s="70" t="str">
        <f aca="false">IF(C134="","",IFERROR(INDEX(T_NOMBRE,MATCH(C134,T_ID,0)),"⚠ ID no existe"))</f>
        <v/>
      </c>
      <c r="E134" s="69"/>
      <c r="F134" s="69"/>
      <c r="G134" s="69"/>
      <c r="H134" s="69"/>
      <c r="I134" s="66"/>
      <c r="J134" s="69"/>
      <c r="K134" s="67"/>
      <c r="L134" s="67"/>
      <c r="M134" s="67"/>
      <c r="N134" s="67"/>
      <c r="O134" s="64"/>
      <c r="P134" s="72" t="str">
        <f aca="false">IF(OR(B134="",C134=""),"",C134&amp;"|"&amp;(YEAR(B134)*100+MONTH(B134)))</f>
        <v/>
      </c>
      <c r="Q134" s="70" t="str">
        <f aca="false">IF(P134="","",IF(COUNTIF(N_CLAVE,P134)&gt;1,"⚠ Duplicado","OK"))</f>
        <v/>
      </c>
      <c r="R134" s="74" t="str">
        <f aca="false">IF(OR(P134="",U134=""),"",MAX(0,U134-N(E134)-N(F134)-N(H134)))</f>
        <v/>
      </c>
      <c r="S134" s="75" t="str">
        <f aca="false">IF(P134="","",IFERROR(INDEX(T_INGRESO,MATCH(C134,T_ID,0)),""))</f>
        <v/>
      </c>
      <c r="T134" s="75" t="str">
        <f aca="false">IF(P134="","",IFERROR(N(INDEX(T_EGRESO,MATCH(C134,T_ID,0))),0))</f>
        <v/>
      </c>
      <c r="U134" s="73" t="str">
        <f aca="false">IF(OR(P134="",NOT(ISNUMBER(S134))),"",IF(OR(S134&gt;EOMONTH(B134,0),AND(T134&gt;0,T134&lt;B134)),0,IF(AND(S134&lt;=B134,OR(T134=0,T134&gt;=EOMONTH(B134,0))),30,MIN(30,IF(T134=0,EOMONTH(B134,0),MIN(T134,EOMONTH(B134,0)))-MAX(B134,S134)+1))))</f>
        <v/>
      </c>
    </row>
    <row r="135" customFormat="false" ht="15" hidden="false" customHeight="false" outlineLevel="0" collapsed="false">
      <c r="B135" s="78"/>
      <c r="C135" s="64"/>
      <c r="D135" s="70" t="str">
        <f aca="false">IF(C135="","",IFERROR(INDEX(T_NOMBRE,MATCH(C135,T_ID,0)),"⚠ ID no existe"))</f>
        <v/>
      </c>
      <c r="E135" s="69"/>
      <c r="F135" s="69"/>
      <c r="G135" s="69"/>
      <c r="H135" s="69"/>
      <c r="I135" s="66"/>
      <c r="J135" s="69"/>
      <c r="K135" s="67"/>
      <c r="L135" s="67"/>
      <c r="M135" s="67"/>
      <c r="N135" s="67"/>
      <c r="O135" s="64"/>
      <c r="P135" s="72" t="str">
        <f aca="false">IF(OR(B135="",C135=""),"",C135&amp;"|"&amp;(YEAR(B135)*100+MONTH(B135)))</f>
        <v/>
      </c>
      <c r="Q135" s="70" t="str">
        <f aca="false">IF(P135="","",IF(COUNTIF(N_CLAVE,P135)&gt;1,"⚠ Duplicado","OK"))</f>
        <v/>
      </c>
      <c r="R135" s="74" t="str">
        <f aca="false">IF(OR(P135="",U135=""),"",MAX(0,U135-N(E135)-N(F135)-N(H135)))</f>
        <v/>
      </c>
      <c r="S135" s="75" t="str">
        <f aca="false">IF(P135="","",IFERROR(INDEX(T_INGRESO,MATCH(C135,T_ID,0)),""))</f>
        <v/>
      </c>
      <c r="T135" s="75" t="str">
        <f aca="false">IF(P135="","",IFERROR(N(INDEX(T_EGRESO,MATCH(C135,T_ID,0))),0))</f>
        <v/>
      </c>
      <c r="U135" s="73" t="str">
        <f aca="false">IF(OR(P135="",NOT(ISNUMBER(S135))),"",IF(OR(S135&gt;EOMONTH(B135,0),AND(T135&gt;0,T135&lt;B135)),0,IF(AND(S135&lt;=B135,OR(T135=0,T135&gt;=EOMONTH(B135,0))),30,MIN(30,IF(T135=0,EOMONTH(B135,0),MIN(T135,EOMONTH(B135,0)))-MAX(B135,S135)+1))))</f>
        <v/>
      </c>
    </row>
    <row r="136" customFormat="false" ht="15" hidden="false" customHeight="false" outlineLevel="0" collapsed="false">
      <c r="B136" s="78"/>
      <c r="C136" s="64"/>
      <c r="D136" s="70" t="str">
        <f aca="false">IF(C136="","",IFERROR(INDEX(T_NOMBRE,MATCH(C136,T_ID,0)),"⚠ ID no existe"))</f>
        <v/>
      </c>
      <c r="E136" s="69"/>
      <c r="F136" s="69"/>
      <c r="G136" s="69"/>
      <c r="H136" s="69"/>
      <c r="I136" s="66"/>
      <c r="J136" s="69"/>
      <c r="K136" s="67"/>
      <c r="L136" s="67"/>
      <c r="M136" s="67"/>
      <c r="N136" s="67"/>
      <c r="O136" s="64"/>
      <c r="P136" s="72" t="str">
        <f aca="false">IF(OR(B136="",C136=""),"",C136&amp;"|"&amp;(YEAR(B136)*100+MONTH(B136)))</f>
        <v/>
      </c>
      <c r="Q136" s="70" t="str">
        <f aca="false">IF(P136="","",IF(COUNTIF(N_CLAVE,P136)&gt;1,"⚠ Duplicado","OK"))</f>
        <v/>
      </c>
      <c r="R136" s="74" t="str">
        <f aca="false">IF(OR(P136="",U136=""),"",MAX(0,U136-N(E136)-N(F136)-N(H136)))</f>
        <v/>
      </c>
      <c r="S136" s="75" t="str">
        <f aca="false">IF(P136="","",IFERROR(INDEX(T_INGRESO,MATCH(C136,T_ID,0)),""))</f>
        <v/>
      </c>
      <c r="T136" s="75" t="str">
        <f aca="false">IF(P136="","",IFERROR(N(INDEX(T_EGRESO,MATCH(C136,T_ID,0))),0))</f>
        <v/>
      </c>
      <c r="U136" s="73" t="str">
        <f aca="false">IF(OR(P136="",NOT(ISNUMBER(S136))),"",IF(OR(S136&gt;EOMONTH(B136,0),AND(T136&gt;0,T136&lt;B136)),0,IF(AND(S136&lt;=B136,OR(T136=0,T136&gt;=EOMONTH(B136,0))),30,MIN(30,IF(T136=0,EOMONTH(B136,0),MIN(T136,EOMONTH(B136,0)))-MAX(B136,S136)+1))))</f>
        <v/>
      </c>
    </row>
    <row r="137" customFormat="false" ht="15" hidden="false" customHeight="false" outlineLevel="0" collapsed="false">
      <c r="B137" s="78"/>
      <c r="C137" s="64"/>
      <c r="D137" s="70" t="str">
        <f aca="false">IF(C137="","",IFERROR(INDEX(T_NOMBRE,MATCH(C137,T_ID,0)),"⚠ ID no existe"))</f>
        <v/>
      </c>
      <c r="E137" s="69"/>
      <c r="F137" s="69"/>
      <c r="G137" s="69"/>
      <c r="H137" s="69"/>
      <c r="I137" s="66"/>
      <c r="J137" s="69"/>
      <c r="K137" s="67"/>
      <c r="L137" s="67"/>
      <c r="M137" s="67"/>
      <c r="N137" s="67"/>
      <c r="O137" s="64"/>
      <c r="P137" s="72" t="str">
        <f aca="false">IF(OR(B137="",C137=""),"",C137&amp;"|"&amp;(YEAR(B137)*100+MONTH(B137)))</f>
        <v/>
      </c>
      <c r="Q137" s="70" t="str">
        <f aca="false">IF(P137="","",IF(COUNTIF(N_CLAVE,P137)&gt;1,"⚠ Duplicado","OK"))</f>
        <v/>
      </c>
      <c r="R137" s="74" t="str">
        <f aca="false">IF(OR(P137="",U137=""),"",MAX(0,U137-N(E137)-N(F137)-N(H137)))</f>
        <v/>
      </c>
      <c r="S137" s="75" t="str">
        <f aca="false">IF(P137="","",IFERROR(INDEX(T_INGRESO,MATCH(C137,T_ID,0)),""))</f>
        <v/>
      </c>
      <c r="T137" s="75" t="str">
        <f aca="false">IF(P137="","",IFERROR(N(INDEX(T_EGRESO,MATCH(C137,T_ID,0))),0))</f>
        <v/>
      </c>
      <c r="U137" s="73" t="str">
        <f aca="false">IF(OR(P137="",NOT(ISNUMBER(S137))),"",IF(OR(S137&gt;EOMONTH(B137,0),AND(T137&gt;0,T137&lt;B137)),0,IF(AND(S137&lt;=B137,OR(T137=0,T137&gt;=EOMONTH(B137,0))),30,MIN(30,IF(T137=0,EOMONTH(B137,0),MIN(T137,EOMONTH(B137,0)))-MAX(B137,S137)+1))))</f>
        <v/>
      </c>
    </row>
    <row r="138" customFormat="false" ht="15" hidden="false" customHeight="false" outlineLevel="0" collapsed="false">
      <c r="B138" s="78"/>
      <c r="C138" s="64"/>
      <c r="D138" s="70" t="str">
        <f aca="false">IF(C138="","",IFERROR(INDEX(T_NOMBRE,MATCH(C138,T_ID,0)),"⚠ ID no existe"))</f>
        <v/>
      </c>
      <c r="E138" s="69"/>
      <c r="F138" s="69"/>
      <c r="G138" s="69"/>
      <c r="H138" s="69"/>
      <c r="I138" s="66"/>
      <c r="J138" s="69"/>
      <c r="K138" s="67"/>
      <c r="L138" s="67"/>
      <c r="M138" s="67"/>
      <c r="N138" s="67"/>
      <c r="O138" s="64"/>
      <c r="P138" s="72" t="str">
        <f aca="false">IF(OR(B138="",C138=""),"",C138&amp;"|"&amp;(YEAR(B138)*100+MONTH(B138)))</f>
        <v/>
      </c>
      <c r="Q138" s="70" t="str">
        <f aca="false">IF(P138="","",IF(COUNTIF(N_CLAVE,P138)&gt;1,"⚠ Duplicado","OK"))</f>
        <v/>
      </c>
      <c r="R138" s="74" t="str">
        <f aca="false">IF(OR(P138="",U138=""),"",MAX(0,U138-N(E138)-N(F138)-N(H138)))</f>
        <v/>
      </c>
      <c r="S138" s="75" t="str">
        <f aca="false">IF(P138="","",IFERROR(INDEX(T_INGRESO,MATCH(C138,T_ID,0)),""))</f>
        <v/>
      </c>
      <c r="T138" s="75" t="str">
        <f aca="false">IF(P138="","",IFERROR(N(INDEX(T_EGRESO,MATCH(C138,T_ID,0))),0))</f>
        <v/>
      </c>
      <c r="U138" s="73" t="str">
        <f aca="false">IF(OR(P138="",NOT(ISNUMBER(S138))),"",IF(OR(S138&gt;EOMONTH(B138,0),AND(T138&gt;0,T138&lt;B138)),0,IF(AND(S138&lt;=B138,OR(T138=0,T138&gt;=EOMONTH(B138,0))),30,MIN(30,IF(T138=0,EOMONTH(B138,0),MIN(T138,EOMONTH(B138,0)))-MAX(B138,S138)+1))))</f>
        <v/>
      </c>
    </row>
    <row r="139" customFormat="false" ht="15" hidden="false" customHeight="false" outlineLevel="0" collapsed="false">
      <c r="B139" s="78"/>
      <c r="C139" s="64"/>
      <c r="D139" s="70" t="str">
        <f aca="false">IF(C139="","",IFERROR(INDEX(T_NOMBRE,MATCH(C139,T_ID,0)),"⚠ ID no existe"))</f>
        <v/>
      </c>
      <c r="E139" s="69"/>
      <c r="F139" s="69"/>
      <c r="G139" s="69"/>
      <c r="H139" s="69"/>
      <c r="I139" s="66"/>
      <c r="J139" s="69"/>
      <c r="K139" s="67"/>
      <c r="L139" s="67"/>
      <c r="M139" s="67"/>
      <c r="N139" s="67"/>
      <c r="O139" s="64"/>
      <c r="P139" s="72" t="str">
        <f aca="false">IF(OR(B139="",C139=""),"",C139&amp;"|"&amp;(YEAR(B139)*100+MONTH(B139)))</f>
        <v/>
      </c>
      <c r="Q139" s="70" t="str">
        <f aca="false">IF(P139="","",IF(COUNTIF(N_CLAVE,P139)&gt;1,"⚠ Duplicado","OK"))</f>
        <v/>
      </c>
      <c r="R139" s="74" t="str">
        <f aca="false">IF(OR(P139="",U139=""),"",MAX(0,U139-N(E139)-N(F139)-N(H139)))</f>
        <v/>
      </c>
      <c r="S139" s="75" t="str">
        <f aca="false">IF(P139="","",IFERROR(INDEX(T_INGRESO,MATCH(C139,T_ID,0)),""))</f>
        <v/>
      </c>
      <c r="T139" s="75" t="str">
        <f aca="false">IF(P139="","",IFERROR(N(INDEX(T_EGRESO,MATCH(C139,T_ID,0))),0))</f>
        <v/>
      </c>
      <c r="U139" s="73" t="str">
        <f aca="false">IF(OR(P139="",NOT(ISNUMBER(S139))),"",IF(OR(S139&gt;EOMONTH(B139,0),AND(T139&gt;0,T139&lt;B139)),0,IF(AND(S139&lt;=B139,OR(T139=0,T139&gt;=EOMONTH(B139,0))),30,MIN(30,IF(T139=0,EOMONTH(B139,0),MIN(T139,EOMONTH(B139,0)))-MAX(B139,S139)+1))))</f>
        <v/>
      </c>
    </row>
    <row r="140" customFormat="false" ht="15" hidden="false" customHeight="false" outlineLevel="0" collapsed="false">
      <c r="B140" s="78"/>
      <c r="C140" s="64"/>
      <c r="D140" s="70" t="str">
        <f aca="false">IF(C140="","",IFERROR(INDEX(T_NOMBRE,MATCH(C140,T_ID,0)),"⚠ ID no existe"))</f>
        <v/>
      </c>
      <c r="E140" s="69"/>
      <c r="F140" s="69"/>
      <c r="G140" s="69"/>
      <c r="H140" s="69"/>
      <c r="I140" s="66"/>
      <c r="J140" s="69"/>
      <c r="K140" s="67"/>
      <c r="L140" s="67"/>
      <c r="M140" s="67"/>
      <c r="N140" s="67"/>
      <c r="O140" s="64"/>
      <c r="P140" s="72" t="str">
        <f aca="false">IF(OR(B140="",C140=""),"",C140&amp;"|"&amp;(YEAR(B140)*100+MONTH(B140)))</f>
        <v/>
      </c>
      <c r="Q140" s="70" t="str">
        <f aca="false">IF(P140="","",IF(COUNTIF(N_CLAVE,P140)&gt;1,"⚠ Duplicado","OK"))</f>
        <v/>
      </c>
      <c r="R140" s="74" t="str">
        <f aca="false">IF(OR(P140="",U140=""),"",MAX(0,U140-N(E140)-N(F140)-N(H140)))</f>
        <v/>
      </c>
      <c r="S140" s="75" t="str">
        <f aca="false">IF(P140="","",IFERROR(INDEX(T_INGRESO,MATCH(C140,T_ID,0)),""))</f>
        <v/>
      </c>
      <c r="T140" s="75" t="str">
        <f aca="false">IF(P140="","",IFERROR(N(INDEX(T_EGRESO,MATCH(C140,T_ID,0))),0))</f>
        <v/>
      </c>
      <c r="U140" s="73" t="str">
        <f aca="false">IF(OR(P140="",NOT(ISNUMBER(S140))),"",IF(OR(S140&gt;EOMONTH(B140,0),AND(T140&gt;0,T140&lt;B140)),0,IF(AND(S140&lt;=B140,OR(T140=0,T140&gt;=EOMONTH(B140,0))),30,MIN(30,IF(T140=0,EOMONTH(B140,0),MIN(T140,EOMONTH(B140,0)))-MAX(B140,S140)+1))))</f>
        <v/>
      </c>
    </row>
    <row r="141" customFormat="false" ht="15" hidden="false" customHeight="false" outlineLevel="0" collapsed="false">
      <c r="B141" s="78"/>
      <c r="C141" s="64"/>
      <c r="D141" s="70" t="str">
        <f aca="false">IF(C141="","",IFERROR(INDEX(T_NOMBRE,MATCH(C141,T_ID,0)),"⚠ ID no existe"))</f>
        <v/>
      </c>
      <c r="E141" s="69"/>
      <c r="F141" s="69"/>
      <c r="G141" s="69"/>
      <c r="H141" s="69"/>
      <c r="I141" s="66"/>
      <c r="J141" s="69"/>
      <c r="K141" s="67"/>
      <c r="L141" s="67"/>
      <c r="M141" s="67"/>
      <c r="N141" s="67"/>
      <c r="O141" s="64"/>
      <c r="P141" s="72" t="str">
        <f aca="false">IF(OR(B141="",C141=""),"",C141&amp;"|"&amp;(YEAR(B141)*100+MONTH(B141)))</f>
        <v/>
      </c>
      <c r="Q141" s="70" t="str">
        <f aca="false">IF(P141="","",IF(COUNTIF(N_CLAVE,P141)&gt;1,"⚠ Duplicado","OK"))</f>
        <v/>
      </c>
      <c r="R141" s="74" t="str">
        <f aca="false">IF(OR(P141="",U141=""),"",MAX(0,U141-N(E141)-N(F141)-N(H141)))</f>
        <v/>
      </c>
      <c r="S141" s="75" t="str">
        <f aca="false">IF(P141="","",IFERROR(INDEX(T_INGRESO,MATCH(C141,T_ID,0)),""))</f>
        <v/>
      </c>
      <c r="T141" s="75" t="str">
        <f aca="false">IF(P141="","",IFERROR(N(INDEX(T_EGRESO,MATCH(C141,T_ID,0))),0))</f>
        <v/>
      </c>
      <c r="U141" s="73" t="str">
        <f aca="false">IF(OR(P141="",NOT(ISNUMBER(S141))),"",IF(OR(S141&gt;EOMONTH(B141,0),AND(T141&gt;0,T141&lt;B141)),0,IF(AND(S141&lt;=B141,OR(T141=0,T141&gt;=EOMONTH(B141,0))),30,MIN(30,IF(T141=0,EOMONTH(B141,0),MIN(T141,EOMONTH(B141,0)))-MAX(B141,S141)+1))))</f>
        <v/>
      </c>
    </row>
    <row r="142" customFormat="false" ht="15" hidden="false" customHeight="false" outlineLevel="0" collapsed="false">
      <c r="B142" s="78"/>
      <c r="C142" s="64"/>
      <c r="D142" s="70" t="str">
        <f aca="false">IF(C142="","",IFERROR(INDEX(T_NOMBRE,MATCH(C142,T_ID,0)),"⚠ ID no existe"))</f>
        <v/>
      </c>
      <c r="E142" s="69"/>
      <c r="F142" s="69"/>
      <c r="G142" s="69"/>
      <c r="H142" s="69"/>
      <c r="I142" s="66"/>
      <c r="J142" s="69"/>
      <c r="K142" s="67"/>
      <c r="L142" s="67"/>
      <c r="M142" s="67"/>
      <c r="N142" s="67"/>
      <c r="O142" s="64"/>
      <c r="P142" s="72" t="str">
        <f aca="false">IF(OR(B142="",C142=""),"",C142&amp;"|"&amp;(YEAR(B142)*100+MONTH(B142)))</f>
        <v/>
      </c>
      <c r="Q142" s="70" t="str">
        <f aca="false">IF(P142="","",IF(COUNTIF(N_CLAVE,P142)&gt;1,"⚠ Duplicado","OK"))</f>
        <v/>
      </c>
      <c r="R142" s="74" t="str">
        <f aca="false">IF(OR(P142="",U142=""),"",MAX(0,U142-N(E142)-N(F142)-N(H142)))</f>
        <v/>
      </c>
      <c r="S142" s="75" t="str">
        <f aca="false">IF(P142="","",IFERROR(INDEX(T_INGRESO,MATCH(C142,T_ID,0)),""))</f>
        <v/>
      </c>
      <c r="T142" s="75" t="str">
        <f aca="false">IF(P142="","",IFERROR(N(INDEX(T_EGRESO,MATCH(C142,T_ID,0))),0))</f>
        <v/>
      </c>
      <c r="U142" s="73" t="str">
        <f aca="false">IF(OR(P142="",NOT(ISNUMBER(S142))),"",IF(OR(S142&gt;EOMONTH(B142,0),AND(T142&gt;0,T142&lt;B142)),0,IF(AND(S142&lt;=B142,OR(T142=0,T142&gt;=EOMONTH(B142,0))),30,MIN(30,IF(T142=0,EOMONTH(B142,0),MIN(T142,EOMONTH(B142,0)))-MAX(B142,S142)+1))))</f>
        <v/>
      </c>
    </row>
    <row r="143" customFormat="false" ht="15" hidden="false" customHeight="false" outlineLevel="0" collapsed="false">
      <c r="B143" s="78"/>
      <c r="C143" s="64"/>
      <c r="D143" s="70" t="str">
        <f aca="false">IF(C143="","",IFERROR(INDEX(T_NOMBRE,MATCH(C143,T_ID,0)),"⚠ ID no existe"))</f>
        <v/>
      </c>
      <c r="E143" s="69"/>
      <c r="F143" s="69"/>
      <c r="G143" s="69"/>
      <c r="H143" s="69"/>
      <c r="I143" s="66"/>
      <c r="J143" s="69"/>
      <c r="K143" s="67"/>
      <c r="L143" s="67"/>
      <c r="M143" s="67"/>
      <c r="N143" s="67"/>
      <c r="O143" s="64"/>
      <c r="P143" s="72" t="str">
        <f aca="false">IF(OR(B143="",C143=""),"",C143&amp;"|"&amp;(YEAR(B143)*100+MONTH(B143)))</f>
        <v/>
      </c>
      <c r="Q143" s="70" t="str">
        <f aca="false">IF(P143="","",IF(COUNTIF(N_CLAVE,P143)&gt;1,"⚠ Duplicado","OK"))</f>
        <v/>
      </c>
      <c r="R143" s="74" t="str">
        <f aca="false">IF(OR(P143="",U143=""),"",MAX(0,U143-N(E143)-N(F143)-N(H143)))</f>
        <v/>
      </c>
      <c r="S143" s="75" t="str">
        <f aca="false">IF(P143="","",IFERROR(INDEX(T_INGRESO,MATCH(C143,T_ID,0)),""))</f>
        <v/>
      </c>
      <c r="T143" s="75" t="str">
        <f aca="false">IF(P143="","",IFERROR(N(INDEX(T_EGRESO,MATCH(C143,T_ID,0))),0))</f>
        <v/>
      </c>
      <c r="U143" s="73" t="str">
        <f aca="false">IF(OR(P143="",NOT(ISNUMBER(S143))),"",IF(OR(S143&gt;EOMONTH(B143,0),AND(T143&gt;0,T143&lt;B143)),0,IF(AND(S143&lt;=B143,OR(T143=0,T143&gt;=EOMONTH(B143,0))),30,MIN(30,IF(T143=0,EOMONTH(B143,0),MIN(T143,EOMONTH(B143,0)))-MAX(B143,S143)+1))))</f>
        <v/>
      </c>
    </row>
    <row r="144" customFormat="false" ht="15" hidden="false" customHeight="false" outlineLevel="0" collapsed="false">
      <c r="B144" s="78"/>
      <c r="C144" s="64"/>
      <c r="D144" s="70" t="str">
        <f aca="false">IF(C144="","",IFERROR(INDEX(T_NOMBRE,MATCH(C144,T_ID,0)),"⚠ ID no existe"))</f>
        <v/>
      </c>
      <c r="E144" s="69"/>
      <c r="F144" s="69"/>
      <c r="G144" s="69"/>
      <c r="H144" s="69"/>
      <c r="I144" s="66"/>
      <c r="J144" s="69"/>
      <c r="K144" s="67"/>
      <c r="L144" s="67"/>
      <c r="M144" s="67"/>
      <c r="N144" s="67"/>
      <c r="O144" s="64"/>
      <c r="P144" s="72" t="str">
        <f aca="false">IF(OR(B144="",C144=""),"",C144&amp;"|"&amp;(YEAR(B144)*100+MONTH(B144)))</f>
        <v/>
      </c>
      <c r="Q144" s="70" t="str">
        <f aca="false">IF(P144="","",IF(COUNTIF(N_CLAVE,P144)&gt;1,"⚠ Duplicado","OK"))</f>
        <v/>
      </c>
      <c r="R144" s="74" t="str">
        <f aca="false">IF(OR(P144="",U144=""),"",MAX(0,U144-N(E144)-N(F144)-N(H144)))</f>
        <v/>
      </c>
      <c r="S144" s="75" t="str">
        <f aca="false">IF(P144="","",IFERROR(INDEX(T_INGRESO,MATCH(C144,T_ID,0)),""))</f>
        <v/>
      </c>
      <c r="T144" s="75" t="str">
        <f aca="false">IF(P144="","",IFERROR(N(INDEX(T_EGRESO,MATCH(C144,T_ID,0))),0))</f>
        <v/>
      </c>
      <c r="U144" s="73" t="str">
        <f aca="false">IF(OR(P144="",NOT(ISNUMBER(S144))),"",IF(OR(S144&gt;EOMONTH(B144,0),AND(T144&gt;0,T144&lt;B144)),0,IF(AND(S144&lt;=B144,OR(T144=0,T144&gt;=EOMONTH(B144,0))),30,MIN(30,IF(T144=0,EOMONTH(B144,0),MIN(T144,EOMONTH(B144,0)))-MAX(B144,S144)+1))))</f>
        <v/>
      </c>
    </row>
    <row r="145" customFormat="false" ht="15" hidden="false" customHeight="false" outlineLevel="0" collapsed="false">
      <c r="B145" s="78"/>
      <c r="C145" s="64"/>
      <c r="D145" s="70" t="str">
        <f aca="false">IF(C145="","",IFERROR(INDEX(T_NOMBRE,MATCH(C145,T_ID,0)),"⚠ ID no existe"))</f>
        <v/>
      </c>
      <c r="E145" s="69"/>
      <c r="F145" s="69"/>
      <c r="G145" s="69"/>
      <c r="H145" s="69"/>
      <c r="I145" s="66"/>
      <c r="J145" s="69"/>
      <c r="K145" s="67"/>
      <c r="L145" s="67"/>
      <c r="M145" s="67"/>
      <c r="N145" s="67"/>
      <c r="O145" s="64"/>
      <c r="P145" s="72" t="str">
        <f aca="false">IF(OR(B145="",C145=""),"",C145&amp;"|"&amp;(YEAR(B145)*100+MONTH(B145)))</f>
        <v/>
      </c>
      <c r="Q145" s="70" t="str">
        <f aca="false">IF(P145="","",IF(COUNTIF(N_CLAVE,P145)&gt;1,"⚠ Duplicado","OK"))</f>
        <v/>
      </c>
      <c r="R145" s="74" t="str">
        <f aca="false">IF(OR(P145="",U145=""),"",MAX(0,U145-N(E145)-N(F145)-N(H145)))</f>
        <v/>
      </c>
      <c r="S145" s="75" t="str">
        <f aca="false">IF(P145="","",IFERROR(INDEX(T_INGRESO,MATCH(C145,T_ID,0)),""))</f>
        <v/>
      </c>
      <c r="T145" s="75" t="str">
        <f aca="false">IF(P145="","",IFERROR(N(INDEX(T_EGRESO,MATCH(C145,T_ID,0))),0))</f>
        <v/>
      </c>
      <c r="U145" s="73" t="str">
        <f aca="false">IF(OR(P145="",NOT(ISNUMBER(S145))),"",IF(OR(S145&gt;EOMONTH(B145,0),AND(T145&gt;0,T145&lt;B145)),0,IF(AND(S145&lt;=B145,OR(T145=0,T145&gt;=EOMONTH(B145,0))),30,MIN(30,IF(T145=0,EOMONTH(B145,0),MIN(T145,EOMONTH(B145,0)))-MAX(B145,S145)+1))))</f>
        <v/>
      </c>
    </row>
    <row r="146" customFormat="false" ht="15" hidden="false" customHeight="false" outlineLevel="0" collapsed="false">
      <c r="B146" s="78"/>
      <c r="C146" s="64"/>
      <c r="D146" s="70" t="str">
        <f aca="false">IF(C146="","",IFERROR(INDEX(T_NOMBRE,MATCH(C146,T_ID,0)),"⚠ ID no existe"))</f>
        <v/>
      </c>
      <c r="E146" s="69"/>
      <c r="F146" s="69"/>
      <c r="G146" s="69"/>
      <c r="H146" s="69"/>
      <c r="I146" s="66"/>
      <c r="J146" s="69"/>
      <c r="K146" s="67"/>
      <c r="L146" s="67"/>
      <c r="M146" s="67"/>
      <c r="N146" s="67"/>
      <c r="O146" s="64"/>
      <c r="P146" s="72" t="str">
        <f aca="false">IF(OR(B146="",C146=""),"",C146&amp;"|"&amp;(YEAR(B146)*100+MONTH(B146)))</f>
        <v/>
      </c>
      <c r="Q146" s="70" t="str">
        <f aca="false">IF(P146="","",IF(COUNTIF(N_CLAVE,P146)&gt;1,"⚠ Duplicado","OK"))</f>
        <v/>
      </c>
      <c r="R146" s="74" t="str">
        <f aca="false">IF(OR(P146="",U146=""),"",MAX(0,U146-N(E146)-N(F146)-N(H146)))</f>
        <v/>
      </c>
      <c r="S146" s="75" t="str">
        <f aca="false">IF(P146="","",IFERROR(INDEX(T_INGRESO,MATCH(C146,T_ID,0)),""))</f>
        <v/>
      </c>
      <c r="T146" s="75" t="str">
        <f aca="false">IF(P146="","",IFERROR(N(INDEX(T_EGRESO,MATCH(C146,T_ID,0))),0))</f>
        <v/>
      </c>
      <c r="U146" s="73" t="str">
        <f aca="false">IF(OR(P146="",NOT(ISNUMBER(S146))),"",IF(OR(S146&gt;EOMONTH(B146,0),AND(T146&gt;0,T146&lt;B146)),0,IF(AND(S146&lt;=B146,OR(T146=0,T146&gt;=EOMONTH(B146,0))),30,MIN(30,IF(T146=0,EOMONTH(B146,0),MIN(T146,EOMONTH(B146,0)))-MAX(B146,S146)+1))))</f>
        <v/>
      </c>
    </row>
    <row r="147" customFormat="false" ht="15" hidden="false" customHeight="false" outlineLevel="0" collapsed="false">
      <c r="B147" s="78"/>
      <c r="C147" s="64"/>
      <c r="D147" s="70" t="str">
        <f aca="false">IF(C147="","",IFERROR(INDEX(T_NOMBRE,MATCH(C147,T_ID,0)),"⚠ ID no existe"))</f>
        <v/>
      </c>
      <c r="E147" s="69"/>
      <c r="F147" s="69"/>
      <c r="G147" s="69"/>
      <c r="H147" s="69"/>
      <c r="I147" s="66"/>
      <c r="J147" s="69"/>
      <c r="K147" s="67"/>
      <c r="L147" s="67"/>
      <c r="M147" s="67"/>
      <c r="N147" s="67"/>
      <c r="O147" s="64"/>
      <c r="P147" s="72" t="str">
        <f aca="false">IF(OR(B147="",C147=""),"",C147&amp;"|"&amp;(YEAR(B147)*100+MONTH(B147)))</f>
        <v/>
      </c>
      <c r="Q147" s="70" t="str">
        <f aca="false">IF(P147="","",IF(COUNTIF(N_CLAVE,P147)&gt;1,"⚠ Duplicado","OK"))</f>
        <v/>
      </c>
      <c r="R147" s="74" t="str">
        <f aca="false">IF(OR(P147="",U147=""),"",MAX(0,U147-N(E147)-N(F147)-N(H147)))</f>
        <v/>
      </c>
      <c r="S147" s="75" t="str">
        <f aca="false">IF(P147="","",IFERROR(INDEX(T_INGRESO,MATCH(C147,T_ID,0)),""))</f>
        <v/>
      </c>
      <c r="T147" s="75" t="str">
        <f aca="false">IF(P147="","",IFERROR(N(INDEX(T_EGRESO,MATCH(C147,T_ID,0))),0))</f>
        <v/>
      </c>
      <c r="U147" s="73" t="str">
        <f aca="false">IF(OR(P147="",NOT(ISNUMBER(S147))),"",IF(OR(S147&gt;EOMONTH(B147,0),AND(T147&gt;0,T147&lt;B147)),0,IF(AND(S147&lt;=B147,OR(T147=0,T147&gt;=EOMONTH(B147,0))),30,MIN(30,IF(T147=0,EOMONTH(B147,0),MIN(T147,EOMONTH(B147,0)))-MAX(B147,S147)+1))))</f>
        <v/>
      </c>
    </row>
    <row r="148" customFormat="false" ht="15" hidden="false" customHeight="false" outlineLevel="0" collapsed="false">
      <c r="B148" s="78"/>
      <c r="C148" s="64"/>
      <c r="D148" s="70" t="str">
        <f aca="false">IF(C148="","",IFERROR(INDEX(T_NOMBRE,MATCH(C148,T_ID,0)),"⚠ ID no existe"))</f>
        <v/>
      </c>
      <c r="E148" s="69"/>
      <c r="F148" s="69"/>
      <c r="G148" s="69"/>
      <c r="H148" s="69"/>
      <c r="I148" s="66"/>
      <c r="J148" s="69"/>
      <c r="K148" s="67"/>
      <c r="L148" s="67"/>
      <c r="M148" s="67"/>
      <c r="N148" s="67"/>
      <c r="O148" s="64"/>
      <c r="P148" s="72" t="str">
        <f aca="false">IF(OR(B148="",C148=""),"",C148&amp;"|"&amp;(YEAR(B148)*100+MONTH(B148)))</f>
        <v/>
      </c>
      <c r="Q148" s="70" t="str">
        <f aca="false">IF(P148="","",IF(COUNTIF(N_CLAVE,P148)&gt;1,"⚠ Duplicado","OK"))</f>
        <v/>
      </c>
      <c r="R148" s="74" t="str">
        <f aca="false">IF(OR(P148="",U148=""),"",MAX(0,U148-N(E148)-N(F148)-N(H148)))</f>
        <v/>
      </c>
      <c r="S148" s="75" t="str">
        <f aca="false">IF(P148="","",IFERROR(INDEX(T_INGRESO,MATCH(C148,T_ID,0)),""))</f>
        <v/>
      </c>
      <c r="T148" s="75" t="str">
        <f aca="false">IF(P148="","",IFERROR(N(INDEX(T_EGRESO,MATCH(C148,T_ID,0))),0))</f>
        <v/>
      </c>
      <c r="U148" s="73" t="str">
        <f aca="false">IF(OR(P148="",NOT(ISNUMBER(S148))),"",IF(OR(S148&gt;EOMONTH(B148,0),AND(T148&gt;0,T148&lt;B148)),0,IF(AND(S148&lt;=B148,OR(T148=0,T148&gt;=EOMONTH(B148,0))),30,MIN(30,IF(T148=0,EOMONTH(B148,0),MIN(T148,EOMONTH(B148,0)))-MAX(B148,S148)+1))))</f>
        <v/>
      </c>
    </row>
    <row r="149" customFormat="false" ht="15" hidden="false" customHeight="false" outlineLevel="0" collapsed="false">
      <c r="B149" s="78"/>
      <c r="C149" s="64"/>
      <c r="D149" s="70" t="str">
        <f aca="false">IF(C149="","",IFERROR(INDEX(T_NOMBRE,MATCH(C149,T_ID,0)),"⚠ ID no existe"))</f>
        <v/>
      </c>
      <c r="E149" s="69"/>
      <c r="F149" s="69"/>
      <c r="G149" s="69"/>
      <c r="H149" s="69"/>
      <c r="I149" s="66"/>
      <c r="J149" s="69"/>
      <c r="K149" s="67"/>
      <c r="L149" s="67"/>
      <c r="M149" s="67"/>
      <c r="N149" s="67"/>
      <c r="O149" s="64"/>
      <c r="P149" s="72" t="str">
        <f aca="false">IF(OR(B149="",C149=""),"",C149&amp;"|"&amp;(YEAR(B149)*100+MONTH(B149)))</f>
        <v/>
      </c>
      <c r="Q149" s="70" t="str">
        <f aca="false">IF(P149="","",IF(COUNTIF(N_CLAVE,P149)&gt;1,"⚠ Duplicado","OK"))</f>
        <v/>
      </c>
      <c r="R149" s="74" t="str">
        <f aca="false">IF(OR(P149="",U149=""),"",MAX(0,U149-N(E149)-N(F149)-N(H149)))</f>
        <v/>
      </c>
      <c r="S149" s="75" t="str">
        <f aca="false">IF(P149="","",IFERROR(INDEX(T_INGRESO,MATCH(C149,T_ID,0)),""))</f>
        <v/>
      </c>
      <c r="T149" s="75" t="str">
        <f aca="false">IF(P149="","",IFERROR(N(INDEX(T_EGRESO,MATCH(C149,T_ID,0))),0))</f>
        <v/>
      </c>
      <c r="U149" s="73" t="str">
        <f aca="false">IF(OR(P149="",NOT(ISNUMBER(S149))),"",IF(OR(S149&gt;EOMONTH(B149,0),AND(T149&gt;0,T149&lt;B149)),0,IF(AND(S149&lt;=B149,OR(T149=0,T149&gt;=EOMONTH(B149,0))),30,MIN(30,IF(T149=0,EOMONTH(B149,0),MIN(T149,EOMONTH(B149,0)))-MAX(B149,S149)+1))))</f>
        <v/>
      </c>
    </row>
    <row r="150" customFormat="false" ht="15" hidden="false" customHeight="false" outlineLevel="0" collapsed="false">
      <c r="B150" s="78"/>
      <c r="C150" s="64"/>
      <c r="D150" s="70" t="str">
        <f aca="false">IF(C150="","",IFERROR(INDEX(T_NOMBRE,MATCH(C150,T_ID,0)),"⚠ ID no existe"))</f>
        <v/>
      </c>
      <c r="E150" s="69"/>
      <c r="F150" s="69"/>
      <c r="G150" s="69"/>
      <c r="H150" s="69"/>
      <c r="I150" s="66"/>
      <c r="J150" s="69"/>
      <c r="K150" s="67"/>
      <c r="L150" s="67"/>
      <c r="M150" s="67"/>
      <c r="N150" s="67"/>
      <c r="O150" s="64"/>
      <c r="P150" s="72" t="str">
        <f aca="false">IF(OR(B150="",C150=""),"",C150&amp;"|"&amp;(YEAR(B150)*100+MONTH(B150)))</f>
        <v/>
      </c>
      <c r="Q150" s="70" t="str">
        <f aca="false">IF(P150="","",IF(COUNTIF(N_CLAVE,P150)&gt;1,"⚠ Duplicado","OK"))</f>
        <v/>
      </c>
      <c r="R150" s="74" t="str">
        <f aca="false">IF(OR(P150="",U150=""),"",MAX(0,U150-N(E150)-N(F150)-N(H150)))</f>
        <v/>
      </c>
      <c r="S150" s="75" t="str">
        <f aca="false">IF(P150="","",IFERROR(INDEX(T_INGRESO,MATCH(C150,T_ID,0)),""))</f>
        <v/>
      </c>
      <c r="T150" s="75" t="str">
        <f aca="false">IF(P150="","",IFERROR(N(INDEX(T_EGRESO,MATCH(C150,T_ID,0))),0))</f>
        <v/>
      </c>
      <c r="U150" s="73" t="str">
        <f aca="false">IF(OR(P150="",NOT(ISNUMBER(S150))),"",IF(OR(S150&gt;EOMONTH(B150,0),AND(T150&gt;0,T150&lt;B150)),0,IF(AND(S150&lt;=B150,OR(T150=0,T150&gt;=EOMONTH(B150,0))),30,MIN(30,IF(T150=0,EOMONTH(B150,0),MIN(T150,EOMONTH(B150,0)))-MAX(B150,S150)+1))))</f>
        <v/>
      </c>
    </row>
    <row r="151" customFormat="false" ht="15" hidden="false" customHeight="false" outlineLevel="0" collapsed="false">
      <c r="B151" s="78"/>
      <c r="C151" s="64"/>
      <c r="D151" s="70" t="str">
        <f aca="false">IF(C151="","",IFERROR(INDEX(T_NOMBRE,MATCH(C151,T_ID,0)),"⚠ ID no existe"))</f>
        <v/>
      </c>
      <c r="E151" s="69"/>
      <c r="F151" s="69"/>
      <c r="G151" s="69"/>
      <c r="H151" s="69"/>
      <c r="I151" s="66"/>
      <c r="J151" s="69"/>
      <c r="K151" s="67"/>
      <c r="L151" s="67"/>
      <c r="M151" s="67"/>
      <c r="N151" s="67"/>
      <c r="O151" s="64"/>
      <c r="P151" s="72" t="str">
        <f aca="false">IF(OR(B151="",C151=""),"",C151&amp;"|"&amp;(YEAR(B151)*100+MONTH(B151)))</f>
        <v/>
      </c>
      <c r="Q151" s="70" t="str">
        <f aca="false">IF(P151="","",IF(COUNTIF(N_CLAVE,P151)&gt;1,"⚠ Duplicado","OK"))</f>
        <v/>
      </c>
      <c r="R151" s="74" t="str">
        <f aca="false">IF(OR(P151="",U151=""),"",MAX(0,U151-N(E151)-N(F151)-N(H151)))</f>
        <v/>
      </c>
      <c r="S151" s="75" t="str">
        <f aca="false">IF(P151="","",IFERROR(INDEX(T_INGRESO,MATCH(C151,T_ID,0)),""))</f>
        <v/>
      </c>
      <c r="T151" s="75" t="str">
        <f aca="false">IF(P151="","",IFERROR(N(INDEX(T_EGRESO,MATCH(C151,T_ID,0))),0))</f>
        <v/>
      </c>
      <c r="U151" s="73" t="str">
        <f aca="false">IF(OR(P151="",NOT(ISNUMBER(S151))),"",IF(OR(S151&gt;EOMONTH(B151,0),AND(T151&gt;0,T151&lt;B151)),0,IF(AND(S151&lt;=B151,OR(T151=0,T151&gt;=EOMONTH(B151,0))),30,MIN(30,IF(T151=0,EOMONTH(B151,0),MIN(T151,EOMONTH(B151,0)))-MAX(B151,S151)+1))))</f>
        <v/>
      </c>
    </row>
    <row r="152" customFormat="false" ht="15" hidden="false" customHeight="false" outlineLevel="0" collapsed="false">
      <c r="B152" s="78"/>
      <c r="C152" s="64"/>
      <c r="D152" s="70" t="str">
        <f aca="false">IF(C152="","",IFERROR(INDEX(T_NOMBRE,MATCH(C152,T_ID,0)),"⚠ ID no existe"))</f>
        <v/>
      </c>
      <c r="E152" s="69"/>
      <c r="F152" s="69"/>
      <c r="G152" s="69"/>
      <c r="H152" s="69"/>
      <c r="I152" s="66"/>
      <c r="J152" s="69"/>
      <c r="K152" s="67"/>
      <c r="L152" s="67"/>
      <c r="M152" s="67"/>
      <c r="N152" s="67"/>
      <c r="O152" s="64"/>
      <c r="P152" s="72" t="str">
        <f aca="false">IF(OR(B152="",C152=""),"",C152&amp;"|"&amp;(YEAR(B152)*100+MONTH(B152)))</f>
        <v/>
      </c>
      <c r="Q152" s="70" t="str">
        <f aca="false">IF(P152="","",IF(COUNTIF(N_CLAVE,P152)&gt;1,"⚠ Duplicado","OK"))</f>
        <v/>
      </c>
      <c r="R152" s="74" t="str">
        <f aca="false">IF(OR(P152="",U152=""),"",MAX(0,U152-N(E152)-N(F152)-N(H152)))</f>
        <v/>
      </c>
      <c r="S152" s="75" t="str">
        <f aca="false">IF(P152="","",IFERROR(INDEX(T_INGRESO,MATCH(C152,T_ID,0)),""))</f>
        <v/>
      </c>
      <c r="T152" s="75" t="str">
        <f aca="false">IF(P152="","",IFERROR(N(INDEX(T_EGRESO,MATCH(C152,T_ID,0))),0))</f>
        <v/>
      </c>
      <c r="U152" s="73" t="str">
        <f aca="false">IF(OR(P152="",NOT(ISNUMBER(S152))),"",IF(OR(S152&gt;EOMONTH(B152,0),AND(T152&gt;0,T152&lt;B152)),0,IF(AND(S152&lt;=B152,OR(T152=0,T152&gt;=EOMONTH(B152,0))),30,MIN(30,IF(T152=0,EOMONTH(B152,0),MIN(T152,EOMONTH(B152,0)))-MAX(B152,S152)+1))))</f>
        <v/>
      </c>
    </row>
    <row r="153" customFormat="false" ht="15" hidden="false" customHeight="false" outlineLevel="0" collapsed="false">
      <c r="B153" s="78"/>
      <c r="C153" s="64"/>
      <c r="D153" s="70" t="str">
        <f aca="false">IF(C153="","",IFERROR(INDEX(T_NOMBRE,MATCH(C153,T_ID,0)),"⚠ ID no existe"))</f>
        <v/>
      </c>
      <c r="E153" s="69"/>
      <c r="F153" s="69"/>
      <c r="G153" s="69"/>
      <c r="H153" s="69"/>
      <c r="I153" s="66"/>
      <c r="J153" s="69"/>
      <c r="K153" s="67"/>
      <c r="L153" s="67"/>
      <c r="M153" s="67"/>
      <c r="N153" s="67"/>
      <c r="O153" s="64"/>
      <c r="P153" s="72" t="str">
        <f aca="false">IF(OR(B153="",C153=""),"",C153&amp;"|"&amp;(YEAR(B153)*100+MONTH(B153)))</f>
        <v/>
      </c>
      <c r="Q153" s="70" t="str">
        <f aca="false">IF(P153="","",IF(COUNTIF(N_CLAVE,P153)&gt;1,"⚠ Duplicado","OK"))</f>
        <v/>
      </c>
      <c r="R153" s="74" t="str">
        <f aca="false">IF(OR(P153="",U153=""),"",MAX(0,U153-N(E153)-N(F153)-N(H153)))</f>
        <v/>
      </c>
      <c r="S153" s="75" t="str">
        <f aca="false">IF(P153="","",IFERROR(INDEX(T_INGRESO,MATCH(C153,T_ID,0)),""))</f>
        <v/>
      </c>
      <c r="T153" s="75" t="str">
        <f aca="false">IF(P153="","",IFERROR(N(INDEX(T_EGRESO,MATCH(C153,T_ID,0))),0))</f>
        <v/>
      </c>
      <c r="U153" s="73" t="str">
        <f aca="false">IF(OR(P153="",NOT(ISNUMBER(S153))),"",IF(OR(S153&gt;EOMONTH(B153,0),AND(T153&gt;0,T153&lt;B153)),0,IF(AND(S153&lt;=B153,OR(T153=0,T153&gt;=EOMONTH(B153,0))),30,MIN(30,IF(T153=0,EOMONTH(B153,0),MIN(T153,EOMONTH(B153,0)))-MAX(B153,S153)+1))))</f>
        <v/>
      </c>
    </row>
    <row r="154" customFormat="false" ht="15" hidden="false" customHeight="false" outlineLevel="0" collapsed="false">
      <c r="B154" s="78"/>
      <c r="C154" s="64"/>
      <c r="D154" s="70" t="str">
        <f aca="false">IF(C154="","",IFERROR(INDEX(T_NOMBRE,MATCH(C154,T_ID,0)),"⚠ ID no existe"))</f>
        <v/>
      </c>
      <c r="E154" s="69"/>
      <c r="F154" s="69"/>
      <c r="G154" s="69"/>
      <c r="H154" s="69"/>
      <c r="I154" s="66"/>
      <c r="J154" s="69"/>
      <c r="K154" s="67"/>
      <c r="L154" s="67"/>
      <c r="M154" s="67"/>
      <c r="N154" s="67"/>
      <c r="O154" s="64"/>
      <c r="P154" s="72" t="str">
        <f aca="false">IF(OR(B154="",C154=""),"",C154&amp;"|"&amp;(YEAR(B154)*100+MONTH(B154)))</f>
        <v/>
      </c>
      <c r="Q154" s="70" t="str">
        <f aca="false">IF(P154="","",IF(COUNTIF(N_CLAVE,P154)&gt;1,"⚠ Duplicado","OK"))</f>
        <v/>
      </c>
      <c r="R154" s="74" t="str">
        <f aca="false">IF(OR(P154="",U154=""),"",MAX(0,U154-N(E154)-N(F154)-N(H154)))</f>
        <v/>
      </c>
      <c r="S154" s="75" t="str">
        <f aca="false">IF(P154="","",IFERROR(INDEX(T_INGRESO,MATCH(C154,T_ID,0)),""))</f>
        <v/>
      </c>
      <c r="T154" s="75" t="str">
        <f aca="false">IF(P154="","",IFERROR(N(INDEX(T_EGRESO,MATCH(C154,T_ID,0))),0))</f>
        <v/>
      </c>
      <c r="U154" s="73" t="str">
        <f aca="false">IF(OR(P154="",NOT(ISNUMBER(S154))),"",IF(OR(S154&gt;EOMONTH(B154,0),AND(T154&gt;0,T154&lt;B154)),0,IF(AND(S154&lt;=B154,OR(T154=0,T154&gt;=EOMONTH(B154,0))),30,MIN(30,IF(T154=0,EOMONTH(B154,0),MIN(T154,EOMONTH(B154,0)))-MAX(B154,S154)+1))))</f>
        <v/>
      </c>
    </row>
    <row r="155" customFormat="false" ht="15" hidden="false" customHeight="false" outlineLevel="0" collapsed="false">
      <c r="B155" s="78"/>
      <c r="C155" s="64"/>
      <c r="D155" s="70" t="str">
        <f aca="false">IF(C155="","",IFERROR(INDEX(T_NOMBRE,MATCH(C155,T_ID,0)),"⚠ ID no existe"))</f>
        <v/>
      </c>
      <c r="E155" s="69"/>
      <c r="F155" s="69"/>
      <c r="G155" s="69"/>
      <c r="H155" s="69"/>
      <c r="I155" s="66"/>
      <c r="J155" s="69"/>
      <c r="K155" s="67"/>
      <c r="L155" s="67"/>
      <c r="M155" s="67"/>
      <c r="N155" s="67"/>
      <c r="O155" s="64"/>
      <c r="P155" s="72" t="str">
        <f aca="false">IF(OR(B155="",C155=""),"",C155&amp;"|"&amp;(YEAR(B155)*100+MONTH(B155)))</f>
        <v/>
      </c>
      <c r="Q155" s="70" t="str">
        <f aca="false">IF(P155="","",IF(COUNTIF(N_CLAVE,P155)&gt;1,"⚠ Duplicado","OK"))</f>
        <v/>
      </c>
      <c r="R155" s="74" t="str">
        <f aca="false">IF(OR(P155="",U155=""),"",MAX(0,U155-N(E155)-N(F155)-N(H155)))</f>
        <v/>
      </c>
      <c r="S155" s="75" t="str">
        <f aca="false">IF(P155="","",IFERROR(INDEX(T_INGRESO,MATCH(C155,T_ID,0)),""))</f>
        <v/>
      </c>
      <c r="T155" s="75" t="str">
        <f aca="false">IF(P155="","",IFERROR(N(INDEX(T_EGRESO,MATCH(C155,T_ID,0))),0))</f>
        <v/>
      </c>
      <c r="U155" s="73" t="str">
        <f aca="false">IF(OR(P155="",NOT(ISNUMBER(S155))),"",IF(OR(S155&gt;EOMONTH(B155,0),AND(T155&gt;0,T155&lt;B155)),0,IF(AND(S155&lt;=B155,OR(T155=0,T155&gt;=EOMONTH(B155,0))),30,MIN(30,IF(T155=0,EOMONTH(B155,0),MIN(T155,EOMONTH(B155,0)))-MAX(B155,S155)+1))))</f>
        <v/>
      </c>
    </row>
    <row r="156" customFormat="false" ht="15" hidden="false" customHeight="false" outlineLevel="0" collapsed="false">
      <c r="B156" s="78"/>
      <c r="C156" s="64"/>
      <c r="D156" s="70" t="str">
        <f aca="false">IF(C156="","",IFERROR(INDEX(T_NOMBRE,MATCH(C156,T_ID,0)),"⚠ ID no existe"))</f>
        <v/>
      </c>
      <c r="E156" s="69"/>
      <c r="F156" s="69"/>
      <c r="G156" s="69"/>
      <c r="H156" s="69"/>
      <c r="I156" s="66"/>
      <c r="J156" s="69"/>
      <c r="K156" s="67"/>
      <c r="L156" s="67"/>
      <c r="M156" s="67"/>
      <c r="N156" s="67"/>
      <c r="O156" s="64"/>
      <c r="P156" s="72" t="str">
        <f aca="false">IF(OR(B156="",C156=""),"",C156&amp;"|"&amp;(YEAR(B156)*100+MONTH(B156)))</f>
        <v/>
      </c>
      <c r="Q156" s="70" t="str">
        <f aca="false">IF(P156="","",IF(COUNTIF(N_CLAVE,P156)&gt;1,"⚠ Duplicado","OK"))</f>
        <v/>
      </c>
      <c r="R156" s="74" t="str">
        <f aca="false">IF(OR(P156="",U156=""),"",MAX(0,U156-N(E156)-N(F156)-N(H156)))</f>
        <v/>
      </c>
      <c r="S156" s="75" t="str">
        <f aca="false">IF(P156="","",IFERROR(INDEX(T_INGRESO,MATCH(C156,T_ID,0)),""))</f>
        <v/>
      </c>
      <c r="T156" s="75" t="str">
        <f aca="false">IF(P156="","",IFERROR(N(INDEX(T_EGRESO,MATCH(C156,T_ID,0))),0))</f>
        <v/>
      </c>
      <c r="U156" s="73" t="str">
        <f aca="false">IF(OR(P156="",NOT(ISNUMBER(S156))),"",IF(OR(S156&gt;EOMONTH(B156,0),AND(T156&gt;0,T156&lt;B156)),0,IF(AND(S156&lt;=B156,OR(T156=0,T156&gt;=EOMONTH(B156,0))),30,MIN(30,IF(T156=0,EOMONTH(B156,0),MIN(T156,EOMONTH(B156,0)))-MAX(B156,S156)+1))))</f>
        <v/>
      </c>
    </row>
    <row r="157" customFormat="false" ht="15" hidden="false" customHeight="false" outlineLevel="0" collapsed="false">
      <c r="B157" s="78"/>
      <c r="C157" s="64"/>
      <c r="D157" s="70" t="str">
        <f aca="false">IF(C157="","",IFERROR(INDEX(T_NOMBRE,MATCH(C157,T_ID,0)),"⚠ ID no existe"))</f>
        <v/>
      </c>
      <c r="E157" s="69"/>
      <c r="F157" s="69"/>
      <c r="G157" s="69"/>
      <c r="H157" s="69"/>
      <c r="I157" s="66"/>
      <c r="J157" s="69"/>
      <c r="K157" s="67"/>
      <c r="L157" s="67"/>
      <c r="M157" s="67"/>
      <c r="N157" s="67"/>
      <c r="O157" s="64"/>
      <c r="P157" s="72" t="str">
        <f aca="false">IF(OR(B157="",C157=""),"",C157&amp;"|"&amp;(YEAR(B157)*100+MONTH(B157)))</f>
        <v/>
      </c>
      <c r="Q157" s="70" t="str">
        <f aca="false">IF(P157="","",IF(COUNTIF(N_CLAVE,P157)&gt;1,"⚠ Duplicado","OK"))</f>
        <v/>
      </c>
      <c r="R157" s="74" t="str">
        <f aca="false">IF(OR(P157="",U157=""),"",MAX(0,U157-N(E157)-N(F157)-N(H157)))</f>
        <v/>
      </c>
      <c r="S157" s="75" t="str">
        <f aca="false">IF(P157="","",IFERROR(INDEX(T_INGRESO,MATCH(C157,T_ID,0)),""))</f>
        <v/>
      </c>
      <c r="T157" s="75" t="str">
        <f aca="false">IF(P157="","",IFERROR(N(INDEX(T_EGRESO,MATCH(C157,T_ID,0))),0))</f>
        <v/>
      </c>
      <c r="U157" s="73" t="str">
        <f aca="false">IF(OR(P157="",NOT(ISNUMBER(S157))),"",IF(OR(S157&gt;EOMONTH(B157,0),AND(T157&gt;0,T157&lt;B157)),0,IF(AND(S157&lt;=B157,OR(T157=0,T157&gt;=EOMONTH(B157,0))),30,MIN(30,IF(T157=0,EOMONTH(B157,0),MIN(T157,EOMONTH(B157,0)))-MAX(B157,S157)+1))))</f>
        <v/>
      </c>
    </row>
    <row r="158" customFormat="false" ht="15" hidden="false" customHeight="false" outlineLevel="0" collapsed="false">
      <c r="B158" s="78"/>
      <c r="C158" s="64"/>
      <c r="D158" s="70" t="str">
        <f aca="false">IF(C158="","",IFERROR(INDEX(T_NOMBRE,MATCH(C158,T_ID,0)),"⚠ ID no existe"))</f>
        <v/>
      </c>
      <c r="E158" s="69"/>
      <c r="F158" s="69"/>
      <c r="G158" s="69"/>
      <c r="H158" s="69"/>
      <c r="I158" s="66"/>
      <c r="J158" s="69"/>
      <c r="K158" s="67"/>
      <c r="L158" s="67"/>
      <c r="M158" s="67"/>
      <c r="N158" s="67"/>
      <c r="O158" s="64"/>
      <c r="P158" s="72" t="str">
        <f aca="false">IF(OR(B158="",C158=""),"",C158&amp;"|"&amp;(YEAR(B158)*100+MONTH(B158)))</f>
        <v/>
      </c>
      <c r="Q158" s="70" t="str">
        <f aca="false">IF(P158="","",IF(COUNTIF(N_CLAVE,P158)&gt;1,"⚠ Duplicado","OK"))</f>
        <v/>
      </c>
      <c r="R158" s="74" t="str">
        <f aca="false">IF(OR(P158="",U158=""),"",MAX(0,U158-N(E158)-N(F158)-N(H158)))</f>
        <v/>
      </c>
      <c r="S158" s="75" t="str">
        <f aca="false">IF(P158="","",IFERROR(INDEX(T_INGRESO,MATCH(C158,T_ID,0)),""))</f>
        <v/>
      </c>
      <c r="T158" s="75" t="str">
        <f aca="false">IF(P158="","",IFERROR(N(INDEX(T_EGRESO,MATCH(C158,T_ID,0))),0))</f>
        <v/>
      </c>
      <c r="U158" s="73" t="str">
        <f aca="false">IF(OR(P158="",NOT(ISNUMBER(S158))),"",IF(OR(S158&gt;EOMONTH(B158,0),AND(T158&gt;0,T158&lt;B158)),0,IF(AND(S158&lt;=B158,OR(T158=0,T158&gt;=EOMONTH(B158,0))),30,MIN(30,IF(T158=0,EOMONTH(B158,0),MIN(T158,EOMONTH(B158,0)))-MAX(B158,S158)+1))))</f>
        <v/>
      </c>
    </row>
    <row r="159" customFormat="false" ht="15" hidden="false" customHeight="false" outlineLevel="0" collapsed="false">
      <c r="B159" s="78"/>
      <c r="C159" s="64"/>
      <c r="D159" s="70" t="str">
        <f aca="false">IF(C159="","",IFERROR(INDEX(T_NOMBRE,MATCH(C159,T_ID,0)),"⚠ ID no existe"))</f>
        <v/>
      </c>
      <c r="E159" s="69"/>
      <c r="F159" s="69"/>
      <c r="G159" s="69"/>
      <c r="H159" s="69"/>
      <c r="I159" s="66"/>
      <c r="J159" s="69"/>
      <c r="K159" s="67"/>
      <c r="L159" s="67"/>
      <c r="M159" s="67"/>
      <c r="N159" s="67"/>
      <c r="O159" s="64"/>
      <c r="P159" s="72" t="str">
        <f aca="false">IF(OR(B159="",C159=""),"",C159&amp;"|"&amp;(YEAR(B159)*100+MONTH(B159)))</f>
        <v/>
      </c>
      <c r="Q159" s="70" t="str">
        <f aca="false">IF(P159="","",IF(COUNTIF(N_CLAVE,P159)&gt;1,"⚠ Duplicado","OK"))</f>
        <v/>
      </c>
      <c r="R159" s="74" t="str">
        <f aca="false">IF(OR(P159="",U159=""),"",MAX(0,U159-N(E159)-N(F159)-N(H159)))</f>
        <v/>
      </c>
      <c r="S159" s="75" t="str">
        <f aca="false">IF(P159="","",IFERROR(INDEX(T_INGRESO,MATCH(C159,T_ID,0)),""))</f>
        <v/>
      </c>
      <c r="T159" s="75" t="str">
        <f aca="false">IF(P159="","",IFERROR(N(INDEX(T_EGRESO,MATCH(C159,T_ID,0))),0))</f>
        <v/>
      </c>
      <c r="U159" s="73" t="str">
        <f aca="false">IF(OR(P159="",NOT(ISNUMBER(S159))),"",IF(OR(S159&gt;EOMONTH(B159,0),AND(T159&gt;0,T159&lt;B159)),0,IF(AND(S159&lt;=B159,OR(T159=0,T159&gt;=EOMONTH(B159,0))),30,MIN(30,IF(T159=0,EOMONTH(B159,0),MIN(T159,EOMONTH(B159,0)))-MAX(B159,S159)+1))))</f>
        <v/>
      </c>
    </row>
    <row r="160" customFormat="false" ht="15" hidden="false" customHeight="false" outlineLevel="0" collapsed="false">
      <c r="B160" s="78"/>
      <c r="C160" s="64"/>
      <c r="D160" s="70" t="str">
        <f aca="false">IF(C160="","",IFERROR(INDEX(T_NOMBRE,MATCH(C160,T_ID,0)),"⚠ ID no existe"))</f>
        <v/>
      </c>
      <c r="E160" s="69"/>
      <c r="F160" s="69"/>
      <c r="G160" s="69"/>
      <c r="H160" s="69"/>
      <c r="I160" s="66"/>
      <c r="J160" s="69"/>
      <c r="K160" s="67"/>
      <c r="L160" s="67"/>
      <c r="M160" s="67"/>
      <c r="N160" s="67"/>
      <c r="O160" s="64"/>
      <c r="P160" s="72" t="str">
        <f aca="false">IF(OR(B160="",C160=""),"",C160&amp;"|"&amp;(YEAR(B160)*100+MONTH(B160)))</f>
        <v/>
      </c>
      <c r="Q160" s="70" t="str">
        <f aca="false">IF(P160="","",IF(COUNTIF(N_CLAVE,P160)&gt;1,"⚠ Duplicado","OK"))</f>
        <v/>
      </c>
      <c r="R160" s="74" t="str">
        <f aca="false">IF(OR(P160="",U160=""),"",MAX(0,U160-N(E160)-N(F160)-N(H160)))</f>
        <v/>
      </c>
      <c r="S160" s="75" t="str">
        <f aca="false">IF(P160="","",IFERROR(INDEX(T_INGRESO,MATCH(C160,T_ID,0)),""))</f>
        <v/>
      </c>
      <c r="T160" s="75" t="str">
        <f aca="false">IF(P160="","",IFERROR(N(INDEX(T_EGRESO,MATCH(C160,T_ID,0))),0))</f>
        <v/>
      </c>
      <c r="U160" s="73" t="str">
        <f aca="false">IF(OR(P160="",NOT(ISNUMBER(S160))),"",IF(OR(S160&gt;EOMONTH(B160,0),AND(T160&gt;0,T160&lt;B160)),0,IF(AND(S160&lt;=B160,OR(T160=0,T160&gt;=EOMONTH(B160,0))),30,MIN(30,IF(T160=0,EOMONTH(B160,0),MIN(T160,EOMONTH(B160,0)))-MAX(B160,S160)+1))))</f>
        <v/>
      </c>
    </row>
    <row r="161" customFormat="false" ht="15" hidden="false" customHeight="false" outlineLevel="0" collapsed="false">
      <c r="B161" s="78"/>
      <c r="C161" s="64"/>
      <c r="D161" s="70" t="str">
        <f aca="false">IF(C161="","",IFERROR(INDEX(T_NOMBRE,MATCH(C161,T_ID,0)),"⚠ ID no existe"))</f>
        <v/>
      </c>
      <c r="E161" s="69"/>
      <c r="F161" s="69"/>
      <c r="G161" s="69"/>
      <c r="H161" s="69"/>
      <c r="I161" s="66"/>
      <c r="J161" s="69"/>
      <c r="K161" s="67"/>
      <c r="L161" s="67"/>
      <c r="M161" s="67"/>
      <c r="N161" s="67"/>
      <c r="O161" s="64"/>
      <c r="P161" s="72" t="str">
        <f aca="false">IF(OR(B161="",C161=""),"",C161&amp;"|"&amp;(YEAR(B161)*100+MONTH(B161)))</f>
        <v/>
      </c>
      <c r="Q161" s="70" t="str">
        <f aca="false">IF(P161="","",IF(COUNTIF(N_CLAVE,P161)&gt;1,"⚠ Duplicado","OK"))</f>
        <v/>
      </c>
      <c r="R161" s="74" t="str">
        <f aca="false">IF(OR(P161="",U161=""),"",MAX(0,U161-N(E161)-N(F161)-N(H161)))</f>
        <v/>
      </c>
      <c r="S161" s="75" t="str">
        <f aca="false">IF(P161="","",IFERROR(INDEX(T_INGRESO,MATCH(C161,T_ID,0)),""))</f>
        <v/>
      </c>
      <c r="T161" s="75" t="str">
        <f aca="false">IF(P161="","",IFERROR(N(INDEX(T_EGRESO,MATCH(C161,T_ID,0))),0))</f>
        <v/>
      </c>
      <c r="U161" s="73" t="str">
        <f aca="false">IF(OR(P161="",NOT(ISNUMBER(S161))),"",IF(OR(S161&gt;EOMONTH(B161,0),AND(T161&gt;0,T161&lt;B161)),0,IF(AND(S161&lt;=B161,OR(T161=0,T161&gt;=EOMONTH(B161,0))),30,MIN(30,IF(T161=0,EOMONTH(B161,0),MIN(T161,EOMONTH(B161,0)))-MAX(B161,S161)+1))))</f>
        <v/>
      </c>
    </row>
    <row r="162" customFormat="false" ht="15" hidden="false" customHeight="false" outlineLevel="0" collapsed="false">
      <c r="B162" s="78"/>
      <c r="C162" s="64"/>
      <c r="D162" s="70" t="str">
        <f aca="false">IF(C162="","",IFERROR(INDEX(T_NOMBRE,MATCH(C162,T_ID,0)),"⚠ ID no existe"))</f>
        <v/>
      </c>
      <c r="E162" s="69"/>
      <c r="F162" s="69"/>
      <c r="G162" s="69"/>
      <c r="H162" s="69"/>
      <c r="I162" s="66"/>
      <c r="J162" s="69"/>
      <c r="K162" s="67"/>
      <c r="L162" s="67"/>
      <c r="M162" s="67"/>
      <c r="N162" s="67"/>
      <c r="O162" s="64"/>
      <c r="P162" s="72" t="str">
        <f aca="false">IF(OR(B162="",C162=""),"",C162&amp;"|"&amp;(YEAR(B162)*100+MONTH(B162)))</f>
        <v/>
      </c>
      <c r="Q162" s="70" t="str">
        <f aca="false">IF(P162="","",IF(COUNTIF(N_CLAVE,P162)&gt;1,"⚠ Duplicado","OK"))</f>
        <v/>
      </c>
      <c r="R162" s="74" t="str">
        <f aca="false">IF(OR(P162="",U162=""),"",MAX(0,U162-N(E162)-N(F162)-N(H162)))</f>
        <v/>
      </c>
      <c r="S162" s="75" t="str">
        <f aca="false">IF(P162="","",IFERROR(INDEX(T_INGRESO,MATCH(C162,T_ID,0)),""))</f>
        <v/>
      </c>
      <c r="T162" s="75" t="str">
        <f aca="false">IF(P162="","",IFERROR(N(INDEX(T_EGRESO,MATCH(C162,T_ID,0))),0))</f>
        <v/>
      </c>
      <c r="U162" s="73" t="str">
        <f aca="false">IF(OR(P162="",NOT(ISNUMBER(S162))),"",IF(OR(S162&gt;EOMONTH(B162,0),AND(T162&gt;0,T162&lt;B162)),0,IF(AND(S162&lt;=B162,OR(T162=0,T162&gt;=EOMONTH(B162,0))),30,MIN(30,IF(T162=0,EOMONTH(B162,0),MIN(T162,EOMONTH(B162,0)))-MAX(B162,S162)+1))))</f>
        <v/>
      </c>
    </row>
    <row r="163" customFormat="false" ht="15" hidden="false" customHeight="false" outlineLevel="0" collapsed="false">
      <c r="B163" s="78"/>
      <c r="C163" s="64"/>
      <c r="D163" s="70" t="str">
        <f aca="false">IF(C163="","",IFERROR(INDEX(T_NOMBRE,MATCH(C163,T_ID,0)),"⚠ ID no existe"))</f>
        <v/>
      </c>
      <c r="E163" s="69"/>
      <c r="F163" s="69"/>
      <c r="G163" s="69"/>
      <c r="H163" s="69"/>
      <c r="I163" s="66"/>
      <c r="J163" s="69"/>
      <c r="K163" s="67"/>
      <c r="L163" s="67"/>
      <c r="M163" s="67"/>
      <c r="N163" s="67"/>
      <c r="O163" s="64"/>
      <c r="P163" s="72" t="str">
        <f aca="false">IF(OR(B163="",C163=""),"",C163&amp;"|"&amp;(YEAR(B163)*100+MONTH(B163)))</f>
        <v/>
      </c>
      <c r="Q163" s="70" t="str">
        <f aca="false">IF(P163="","",IF(COUNTIF(N_CLAVE,P163)&gt;1,"⚠ Duplicado","OK"))</f>
        <v/>
      </c>
      <c r="R163" s="74" t="str">
        <f aca="false">IF(OR(P163="",U163=""),"",MAX(0,U163-N(E163)-N(F163)-N(H163)))</f>
        <v/>
      </c>
      <c r="S163" s="75" t="str">
        <f aca="false">IF(P163="","",IFERROR(INDEX(T_INGRESO,MATCH(C163,T_ID,0)),""))</f>
        <v/>
      </c>
      <c r="T163" s="75" t="str">
        <f aca="false">IF(P163="","",IFERROR(N(INDEX(T_EGRESO,MATCH(C163,T_ID,0))),0))</f>
        <v/>
      </c>
      <c r="U163" s="73" t="str">
        <f aca="false">IF(OR(P163="",NOT(ISNUMBER(S163))),"",IF(OR(S163&gt;EOMONTH(B163,0),AND(T163&gt;0,T163&lt;B163)),0,IF(AND(S163&lt;=B163,OR(T163=0,T163&gt;=EOMONTH(B163,0))),30,MIN(30,IF(T163=0,EOMONTH(B163,0),MIN(T163,EOMONTH(B163,0)))-MAX(B163,S163)+1))))</f>
        <v/>
      </c>
    </row>
    <row r="164" customFormat="false" ht="15" hidden="false" customHeight="false" outlineLevel="0" collapsed="false">
      <c r="B164" s="78"/>
      <c r="C164" s="64"/>
      <c r="D164" s="70" t="str">
        <f aca="false">IF(C164="","",IFERROR(INDEX(T_NOMBRE,MATCH(C164,T_ID,0)),"⚠ ID no existe"))</f>
        <v/>
      </c>
      <c r="E164" s="69"/>
      <c r="F164" s="69"/>
      <c r="G164" s="69"/>
      <c r="H164" s="69"/>
      <c r="I164" s="66"/>
      <c r="J164" s="69"/>
      <c r="K164" s="67"/>
      <c r="L164" s="67"/>
      <c r="M164" s="67"/>
      <c r="N164" s="67"/>
      <c r="O164" s="64"/>
      <c r="P164" s="72" t="str">
        <f aca="false">IF(OR(B164="",C164=""),"",C164&amp;"|"&amp;(YEAR(B164)*100+MONTH(B164)))</f>
        <v/>
      </c>
      <c r="Q164" s="70" t="str">
        <f aca="false">IF(P164="","",IF(COUNTIF(N_CLAVE,P164)&gt;1,"⚠ Duplicado","OK"))</f>
        <v/>
      </c>
      <c r="R164" s="74" t="str">
        <f aca="false">IF(OR(P164="",U164=""),"",MAX(0,U164-N(E164)-N(F164)-N(H164)))</f>
        <v/>
      </c>
      <c r="S164" s="75" t="str">
        <f aca="false">IF(P164="","",IFERROR(INDEX(T_INGRESO,MATCH(C164,T_ID,0)),""))</f>
        <v/>
      </c>
      <c r="T164" s="75" t="str">
        <f aca="false">IF(P164="","",IFERROR(N(INDEX(T_EGRESO,MATCH(C164,T_ID,0))),0))</f>
        <v/>
      </c>
      <c r="U164" s="73" t="str">
        <f aca="false">IF(OR(P164="",NOT(ISNUMBER(S164))),"",IF(OR(S164&gt;EOMONTH(B164,0),AND(T164&gt;0,T164&lt;B164)),0,IF(AND(S164&lt;=B164,OR(T164=0,T164&gt;=EOMONTH(B164,0))),30,MIN(30,IF(T164=0,EOMONTH(B164,0),MIN(T164,EOMONTH(B164,0)))-MAX(B164,S164)+1))))</f>
        <v/>
      </c>
    </row>
    <row r="165" customFormat="false" ht="15" hidden="false" customHeight="false" outlineLevel="0" collapsed="false">
      <c r="B165" s="78"/>
      <c r="C165" s="64"/>
      <c r="D165" s="70" t="str">
        <f aca="false">IF(C165="","",IFERROR(INDEX(T_NOMBRE,MATCH(C165,T_ID,0)),"⚠ ID no existe"))</f>
        <v/>
      </c>
      <c r="E165" s="69"/>
      <c r="F165" s="69"/>
      <c r="G165" s="69"/>
      <c r="H165" s="69"/>
      <c r="I165" s="66"/>
      <c r="J165" s="69"/>
      <c r="K165" s="67"/>
      <c r="L165" s="67"/>
      <c r="M165" s="67"/>
      <c r="N165" s="67"/>
      <c r="O165" s="64"/>
      <c r="P165" s="72" t="str">
        <f aca="false">IF(OR(B165="",C165=""),"",C165&amp;"|"&amp;(YEAR(B165)*100+MONTH(B165)))</f>
        <v/>
      </c>
      <c r="Q165" s="70" t="str">
        <f aca="false">IF(P165="","",IF(COUNTIF(N_CLAVE,P165)&gt;1,"⚠ Duplicado","OK"))</f>
        <v/>
      </c>
      <c r="R165" s="74" t="str">
        <f aca="false">IF(OR(P165="",U165=""),"",MAX(0,U165-N(E165)-N(F165)-N(H165)))</f>
        <v/>
      </c>
      <c r="S165" s="75" t="str">
        <f aca="false">IF(P165="","",IFERROR(INDEX(T_INGRESO,MATCH(C165,T_ID,0)),""))</f>
        <v/>
      </c>
      <c r="T165" s="75" t="str">
        <f aca="false">IF(P165="","",IFERROR(N(INDEX(T_EGRESO,MATCH(C165,T_ID,0))),0))</f>
        <v/>
      </c>
      <c r="U165" s="73" t="str">
        <f aca="false">IF(OR(P165="",NOT(ISNUMBER(S165))),"",IF(OR(S165&gt;EOMONTH(B165,0),AND(T165&gt;0,T165&lt;B165)),0,IF(AND(S165&lt;=B165,OR(T165=0,T165&gt;=EOMONTH(B165,0))),30,MIN(30,IF(T165=0,EOMONTH(B165,0),MIN(T165,EOMONTH(B165,0)))-MAX(B165,S165)+1))))</f>
        <v/>
      </c>
    </row>
    <row r="166" customFormat="false" ht="15" hidden="false" customHeight="false" outlineLevel="0" collapsed="false">
      <c r="B166" s="78"/>
      <c r="C166" s="64"/>
      <c r="D166" s="70" t="str">
        <f aca="false">IF(C166="","",IFERROR(INDEX(T_NOMBRE,MATCH(C166,T_ID,0)),"⚠ ID no existe"))</f>
        <v/>
      </c>
      <c r="E166" s="69"/>
      <c r="F166" s="69"/>
      <c r="G166" s="69"/>
      <c r="H166" s="69"/>
      <c r="I166" s="66"/>
      <c r="J166" s="69"/>
      <c r="K166" s="67"/>
      <c r="L166" s="67"/>
      <c r="M166" s="67"/>
      <c r="N166" s="67"/>
      <c r="O166" s="64"/>
      <c r="P166" s="72" t="str">
        <f aca="false">IF(OR(B166="",C166=""),"",C166&amp;"|"&amp;(YEAR(B166)*100+MONTH(B166)))</f>
        <v/>
      </c>
      <c r="Q166" s="70" t="str">
        <f aca="false">IF(P166="","",IF(COUNTIF(N_CLAVE,P166)&gt;1,"⚠ Duplicado","OK"))</f>
        <v/>
      </c>
      <c r="R166" s="74" t="str">
        <f aca="false">IF(OR(P166="",U166=""),"",MAX(0,U166-N(E166)-N(F166)-N(H166)))</f>
        <v/>
      </c>
      <c r="S166" s="75" t="str">
        <f aca="false">IF(P166="","",IFERROR(INDEX(T_INGRESO,MATCH(C166,T_ID,0)),""))</f>
        <v/>
      </c>
      <c r="T166" s="75" t="str">
        <f aca="false">IF(P166="","",IFERROR(N(INDEX(T_EGRESO,MATCH(C166,T_ID,0))),0))</f>
        <v/>
      </c>
      <c r="U166" s="73" t="str">
        <f aca="false">IF(OR(P166="",NOT(ISNUMBER(S166))),"",IF(OR(S166&gt;EOMONTH(B166,0),AND(T166&gt;0,T166&lt;B166)),0,IF(AND(S166&lt;=B166,OR(T166=0,T166&gt;=EOMONTH(B166,0))),30,MIN(30,IF(T166=0,EOMONTH(B166,0),MIN(T166,EOMONTH(B166,0)))-MAX(B166,S166)+1))))</f>
        <v/>
      </c>
    </row>
    <row r="167" customFormat="false" ht="15" hidden="false" customHeight="false" outlineLevel="0" collapsed="false">
      <c r="B167" s="78"/>
      <c r="C167" s="64"/>
      <c r="D167" s="70" t="str">
        <f aca="false">IF(C167="","",IFERROR(INDEX(T_NOMBRE,MATCH(C167,T_ID,0)),"⚠ ID no existe"))</f>
        <v/>
      </c>
      <c r="E167" s="69"/>
      <c r="F167" s="69"/>
      <c r="G167" s="69"/>
      <c r="H167" s="69"/>
      <c r="I167" s="66"/>
      <c r="J167" s="69"/>
      <c r="K167" s="67"/>
      <c r="L167" s="67"/>
      <c r="M167" s="67"/>
      <c r="N167" s="67"/>
      <c r="O167" s="64"/>
      <c r="P167" s="72" t="str">
        <f aca="false">IF(OR(B167="",C167=""),"",C167&amp;"|"&amp;(YEAR(B167)*100+MONTH(B167)))</f>
        <v/>
      </c>
      <c r="Q167" s="70" t="str">
        <f aca="false">IF(P167="","",IF(COUNTIF(N_CLAVE,P167)&gt;1,"⚠ Duplicado","OK"))</f>
        <v/>
      </c>
      <c r="R167" s="74" t="str">
        <f aca="false">IF(OR(P167="",U167=""),"",MAX(0,U167-N(E167)-N(F167)-N(H167)))</f>
        <v/>
      </c>
      <c r="S167" s="75" t="str">
        <f aca="false">IF(P167="","",IFERROR(INDEX(T_INGRESO,MATCH(C167,T_ID,0)),""))</f>
        <v/>
      </c>
      <c r="T167" s="75" t="str">
        <f aca="false">IF(P167="","",IFERROR(N(INDEX(T_EGRESO,MATCH(C167,T_ID,0))),0))</f>
        <v/>
      </c>
      <c r="U167" s="73" t="str">
        <f aca="false">IF(OR(P167="",NOT(ISNUMBER(S167))),"",IF(OR(S167&gt;EOMONTH(B167,0),AND(T167&gt;0,T167&lt;B167)),0,IF(AND(S167&lt;=B167,OR(T167=0,T167&gt;=EOMONTH(B167,0))),30,MIN(30,IF(T167=0,EOMONTH(B167,0),MIN(T167,EOMONTH(B167,0)))-MAX(B167,S167)+1))))</f>
        <v/>
      </c>
    </row>
    <row r="168" customFormat="false" ht="15" hidden="false" customHeight="false" outlineLevel="0" collapsed="false">
      <c r="B168" s="78"/>
      <c r="C168" s="64"/>
      <c r="D168" s="70" t="str">
        <f aca="false">IF(C168="","",IFERROR(INDEX(T_NOMBRE,MATCH(C168,T_ID,0)),"⚠ ID no existe"))</f>
        <v/>
      </c>
      <c r="E168" s="69"/>
      <c r="F168" s="69"/>
      <c r="G168" s="69"/>
      <c r="H168" s="69"/>
      <c r="I168" s="66"/>
      <c r="J168" s="69"/>
      <c r="K168" s="67"/>
      <c r="L168" s="67"/>
      <c r="M168" s="67"/>
      <c r="N168" s="67"/>
      <c r="O168" s="64"/>
      <c r="P168" s="72" t="str">
        <f aca="false">IF(OR(B168="",C168=""),"",C168&amp;"|"&amp;(YEAR(B168)*100+MONTH(B168)))</f>
        <v/>
      </c>
      <c r="Q168" s="70" t="str">
        <f aca="false">IF(P168="","",IF(COUNTIF(N_CLAVE,P168)&gt;1,"⚠ Duplicado","OK"))</f>
        <v/>
      </c>
      <c r="R168" s="74" t="str">
        <f aca="false">IF(OR(P168="",U168=""),"",MAX(0,U168-N(E168)-N(F168)-N(H168)))</f>
        <v/>
      </c>
      <c r="S168" s="75" t="str">
        <f aca="false">IF(P168="","",IFERROR(INDEX(T_INGRESO,MATCH(C168,T_ID,0)),""))</f>
        <v/>
      </c>
      <c r="T168" s="75" t="str">
        <f aca="false">IF(P168="","",IFERROR(N(INDEX(T_EGRESO,MATCH(C168,T_ID,0))),0))</f>
        <v/>
      </c>
      <c r="U168" s="73" t="str">
        <f aca="false">IF(OR(P168="",NOT(ISNUMBER(S168))),"",IF(OR(S168&gt;EOMONTH(B168,0),AND(T168&gt;0,T168&lt;B168)),0,IF(AND(S168&lt;=B168,OR(T168=0,T168&gt;=EOMONTH(B168,0))),30,MIN(30,IF(T168=0,EOMONTH(B168,0),MIN(T168,EOMONTH(B168,0)))-MAX(B168,S168)+1))))</f>
        <v/>
      </c>
    </row>
    <row r="169" customFormat="false" ht="15" hidden="false" customHeight="false" outlineLevel="0" collapsed="false">
      <c r="B169" s="78"/>
      <c r="C169" s="64"/>
      <c r="D169" s="70" t="str">
        <f aca="false">IF(C169="","",IFERROR(INDEX(T_NOMBRE,MATCH(C169,T_ID,0)),"⚠ ID no existe"))</f>
        <v/>
      </c>
      <c r="E169" s="69"/>
      <c r="F169" s="69"/>
      <c r="G169" s="69"/>
      <c r="H169" s="69"/>
      <c r="I169" s="66"/>
      <c r="J169" s="69"/>
      <c r="K169" s="67"/>
      <c r="L169" s="67"/>
      <c r="M169" s="67"/>
      <c r="N169" s="67"/>
      <c r="O169" s="64"/>
      <c r="P169" s="72" t="str">
        <f aca="false">IF(OR(B169="",C169=""),"",C169&amp;"|"&amp;(YEAR(B169)*100+MONTH(B169)))</f>
        <v/>
      </c>
      <c r="Q169" s="70" t="str">
        <f aca="false">IF(P169="","",IF(COUNTIF(N_CLAVE,P169)&gt;1,"⚠ Duplicado","OK"))</f>
        <v/>
      </c>
      <c r="R169" s="74" t="str">
        <f aca="false">IF(OR(P169="",U169=""),"",MAX(0,U169-N(E169)-N(F169)-N(H169)))</f>
        <v/>
      </c>
      <c r="S169" s="75" t="str">
        <f aca="false">IF(P169="","",IFERROR(INDEX(T_INGRESO,MATCH(C169,T_ID,0)),""))</f>
        <v/>
      </c>
      <c r="T169" s="75" t="str">
        <f aca="false">IF(P169="","",IFERROR(N(INDEX(T_EGRESO,MATCH(C169,T_ID,0))),0))</f>
        <v/>
      </c>
      <c r="U169" s="73" t="str">
        <f aca="false">IF(OR(P169="",NOT(ISNUMBER(S169))),"",IF(OR(S169&gt;EOMONTH(B169,0),AND(T169&gt;0,T169&lt;B169)),0,IF(AND(S169&lt;=B169,OR(T169=0,T169&gt;=EOMONTH(B169,0))),30,MIN(30,IF(T169=0,EOMONTH(B169,0),MIN(T169,EOMONTH(B169,0)))-MAX(B169,S169)+1))))</f>
        <v/>
      </c>
    </row>
    <row r="170" customFormat="false" ht="15" hidden="false" customHeight="false" outlineLevel="0" collapsed="false">
      <c r="B170" s="78"/>
      <c r="C170" s="64"/>
      <c r="D170" s="70" t="str">
        <f aca="false">IF(C170="","",IFERROR(INDEX(T_NOMBRE,MATCH(C170,T_ID,0)),"⚠ ID no existe"))</f>
        <v/>
      </c>
      <c r="E170" s="69"/>
      <c r="F170" s="69"/>
      <c r="G170" s="69"/>
      <c r="H170" s="69"/>
      <c r="I170" s="66"/>
      <c r="J170" s="69"/>
      <c r="K170" s="67"/>
      <c r="L170" s="67"/>
      <c r="M170" s="67"/>
      <c r="N170" s="67"/>
      <c r="O170" s="64"/>
      <c r="P170" s="72" t="str">
        <f aca="false">IF(OR(B170="",C170=""),"",C170&amp;"|"&amp;(YEAR(B170)*100+MONTH(B170)))</f>
        <v/>
      </c>
      <c r="Q170" s="70" t="str">
        <f aca="false">IF(P170="","",IF(COUNTIF(N_CLAVE,P170)&gt;1,"⚠ Duplicado","OK"))</f>
        <v/>
      </c>
      <c r="R170" s="74" t="str">
        <f aca="false">IF(OR(P170="",U170=""),"",MAX(0,U170-N(E170)-N(F170)-N(H170)))</f>
        <v/>
      </c>
      <c r="S170" s="75" t="str">
        <f aca="false">IF(P170="","",IFERROR(INDEX(T_INGRESO,MATCH(C170,T_ID,0)),""))</f>
        <v/>
      </c>
      <c r="T170" s="75" t="str">
        <f aca="false">IF(P170="","",IFERROR(N(INDEX(T_EGRESO,MATCH(C170,T_ID,0))),0))</f>
        <v/>
      </c>
      <c r="U170" s="73" t="str">
        <f aca="false">IF(OR(P170="",NOT(ISNUMBER(S170))),"",IF(OR(S170&gt;EOMONTH(B170,0),AND(T170&gt;0,T170&lt;B170)),0,IF(AND(S170&lt;=B170,OR(T170=0,T170&gt;=EOMONTH(B170,0))),30,MIN(30,IF(T170=0,EOMONTH(B170,0),MIN(T170,EOMONTH(B170,0)))-MAX(B170,S170)+1))))</f>
        <v/>
      </c>
    </row>
    <row r="171" customFormat="false" ht="15" hidden="false" customHeight="false" outlineLevel="0" collapsed="false">
      <c r="B171" s="78"/>
      <c r="C171" s="64"/>
      <c r="D171" s="70" t="str">
        <f aca="false">IF(C171="","",IFERROR(INDEX(T_NOMBRE,MATCH(C171,T_ID,0)),"⚠ ID no existe"))</f>
        <v/>
      </c>
      <c r="E171" s="69"/>
      <c r="F171" s="69"/>
      <c r="G171" s="69"/>
      <c r="H171" s="69"/>
      <c r="I171" s="66"/>
      <c r="J171" s="69"/>
      <c r="K171" s="67"/>
      <c r="L171" s="67"/>
      <c r="M171" s="67"/>
      <c r="N171" s="67"/>
      <c r="O171" s="64"/>
      <c r="P171" s="72" t="str">
        <f aca="false">IF(OR(B171="",C171=""),"",C171&amp;"|"&amp;(YEAR(B171)*100+MONTH(B171)))</f>
        <v/>
      </c>
      <c r="Q171" s="70" t="str">
        <f aca="false">IF(P171="","",IF(COUNTIF(N_CLAVE,P171)&gt;1,"⚠ Duplicado","OK"))</f>
        <v/>
      </c>
      <c r="R171" s="74" t="str">
        <f aca="false">IF(OR(P171="",U171=""),"",MAX(0,U171-N(E171)-N(F171)-N(H171)))</f>
        <v/>
      </c>
      <c r="S171" s="75" t="str">
        <f aca="false">IF(P171="","",IFERROR(INDEX(T_INGRESO,MATCH(C171,T_ID,0)),""))</f>
        <v/>
      </c>
      <c r="T171" s="75" t="str">
        <f aca="false">IF(P171="","",IFERROR(N(INDEX(T_EGRESO,MATCH(C171,T_ID,0))),0))</f>
        <v/>
      </c>
      <c r="U171" s="73" t="str">
        <f aca="false">IF(OR(P171="",NOT(ISNUMBER(S171))),"",IF(OR(S171&gt;EOMONTH(B171,0),AND(T171&gt;0,T171&lt;B171)),0,IF(AND(S171&lt;=B171,OR(T171=0,T171&gt;=EOMONTH(B171,0))),30,MIN(30,IF(T171=0,EOMONTH(B171,0),MIN(T171,EOMONTH(B171,0)))-MAX(B171,S171)+1))))</f>
        <v/>
      </c>
    </row>
    <row r="172" customFormat="false" ht="15" hidden="false" customHeight="false" outlineLevel="0" collapsed="false">
      <c r="B172" s="78"/>
      <c r="C172" s="64"/>
      <c r="D172" s="70" t="str">
        <f aca="false">IF(C172="","",IFERROR(INDEX(T_NOMBRE,MATCH(C172,T_ID,0)),"⚠ ID no existe"))</f>
        <v/>
      </c>
      <c r="E172" s="69"/>
      <c r="F172" s="69"/>
      <c r="G172" s="69"/>
      <c r="H172" s="69"/>
      <c r="I172" s="66"/>
      <c r="J172" s="69"/>
      <c r="K172" s="67"/>
      <c r="L172" s="67"/>
      <c r="M172" s="67"/>
      <c r="N172" s="67"/>
      <c r="O172" s="64"/>
      <c r="P172" s="72" t="str">
        <f aca="false">IF(OR(B172="",C172=""),"",C172&amp;"|"&amp;(YEAR(B172)*100+MONTH(B172)))</f>
        <v/>
      </c>
      <c r="Q172" s="70" t="str">
        <f aca="false">IF(P172="","",IF(COUNTIF(N_CLAVE,P172)&gt;1,"⚠ Duplicado","OK"))</f>
        <v/>
      </c>
      <c r="R172" s="74" t="str">
        <f aca="false">IF(OR(P172="",U172=""),"",MAX(0,U172-N(E172)-N(F172)-N(H172)))</f>
        <v/>
      </c>
      <c r="S172" s="75" t="str">
        <f aca="false">IF(P172="","",IFERROR(INDEX(T_INGRESO,MATCH(C172,T_ID,0)),""))</f>
        <v/>
      </c>
      <c r="T172" s="75" t="str">
        <f aca="false">IF(P172="","",IFERROR(N(INDEX(T_EGRESO,MATCH(C172,T_ID,0))),0))</f>
        <v/>
      </c>
      <c r="U172" s="73" t="str">
        <f aca="false">IF(OR(P172="",NOT(ISNUMBER(S172))),"",IF(OR(S172&gt;EOMONTH(B172,0),AND(T172&gt;0,T172&lt;B172)),0,IF(AND(S172&lt;=B172,OR(T172=0,T172&gt;=EOMONTH(B172,0))),30,MIN(30,IF(T172=0,EOMONTH(B172,0),MIN(T172,EOMONTH(B172,0)))-MAX(B172,S172)+1))))</f>
        <v/>
      </c>
    </row>
    <row r="173" customFormat="false" ht="15" hidden="false" customHeight="false" outlineLevel="0" collapsed="false">
      <c r="B173" s="78"/>
      <c r="C173" s="64"/>
      <c r="D173" s="70" t="str">
        <f aca="false">IF(C173="","",IFERROR(INDEX(T_NOMBRE,MATCH(C173,T_ID,0)),"⚠ ID no existe"))</f>
        <v/>
      </c>
      <c r="E173" s="69"/>
      <c r="F173" s="69"/>
      <c r="G173" s="69"/>
      <c r="H173" s="69"/>
      <c r="I173" s="66"/>
      <c r="J173" s="69"/>
      <c r="K173" s="67"/>
      <c r="L173" s="67"/>
      <c r="M173" s="67"/>
      <c r="N173" s="67"/>
      <c r="O173" s="64"/>
      <c r="P173" s="72" t="str">
        <f aca="false">IF(OR(B173="",C173=""),"",C173&amp;"|"&amp;(YEAR(B173)*100+MONTH(B173)))</f>
        <v/>
      </c>
      <c r="Q173" s="70" t="str">
        <f aca="false">IF(P173="","",IF(COUNTIF(N_CLAVE,P173)&gt;1,"⚠ Duplicado","OK"))</f>
        <v/>
      </c>
      <c r="R173" s="74" t="str">
        <f aca="false">IF(OR(P173="",U173=""),"",MAX(0,U173-N(E173)-N(F173)-N(H173)))</f>
        <v/>
      </c>
      <c r="S173" s="75" t="str">
        <f aca="false">IF(P173="","",IFERROR(INDEX(T_INGRESO,MATCH(C173,T_ID,0)),""))</f>
        <v/>
      </c>
      <c r="T173" s="75" t="str">
        <f aca="false">IF(P173="","",IFERROR(N(INDEX(T_EGRESO,MATCH(C173,T_ID,0))),0))</f>
        <v/>
      </c>
      <c r="U173" s="73" t="str">
        <f aca="false">IF(OR(P173="",NOT(ISNUMBER(S173))),"",IF(OR(S173&gt;EOMONTH(B173,0),AND(T173&gt;0,T173&lt;B173)),0,IF(AND(S173&lt;=B173,OR(T173=0,T173&gt;=EOMONTH(B173,0))),30,MIN(30,IF(T173=0,EOMONTH(B173,0),MIN(T173,EOMONTH(B173,0)))-MAX(B173,S173)+1))))</f>
        <v/>
      </c>
    </row>
    <row r="174" customFormat="false" ht="15" hidden="false" customHeight="false" outlineLevel="0" collapsed="false">
      <c r="B174" s="78"/>
      <c r="C174" s="64"/>
      <c r="D174" s="70" t="str">
        <f aca="false">IF(C174="","",IFERROR(INDEX(T_NOMBRE,MATCH(C174,T_ID,0)),"⚠ ID no existe"))</f>
        <v/>
      </c>
      <c r="E174" s="69"/>
      <c r="F174" s="69"/>
      <c r="G174" s="69"/>
      <c r="H174" s="69"/>
      <c r="I174" s="66"/>
      <c r="J174" s="69"/>
      <c r="K174" s="67"/>
      <c r="L174" s="67"/>
      <c r="M174" s="67"/>
      <c r="N174" s="67"/>
      <c r="O174" s="64"/>
      <c r="P174" s="72" t="str">
        <f aca="false">IF(OR(B174="",C174=""),"",C174&amp;"|"&amp;(YEAR(B174)*100+MONTH(B174)))</f>
        <v/>
      </c>
      <c r="Q174" s="70" t="str">
        <f aca="false">IF(P174="","",IF(COUNTIF(N_CLAVE,P174)&gt;1,"⚠ Duplicado","OK"))</f>
        <v/>
      </c>
      <c r="R174" s="74" t="str">
        <f aca="false">IF(OR(P174="",U174=""),"",MAX(0,U174-N(E174)-N(F174)-N(H174)))</f>
        <v/>
      </c>
      <c r="S174" s="75" t="str">
        <f aca="false">IF(P174="","",IFERROR(INDEX(T_INGRESO,MATCH(C174,T_ID,0)),""))</f>
        <v/>
      </c>
      <c r="T174" s="75" t="str">
        <f aca="false">IF(P174="","",IFERROR(N(INDEX(T_EGRESO,MATCH(C174,T_ID,0))),0))</f>
        <v/>
      </c>
      <c r="U174" s="73" t="str">
        <f aca="false">IF(OR(P174="",NOT(ISNUMBER(S174))),"",IF(OR(S174&gt;EOMONTH(B174,0),AND(T174&gt;0,T174&lt;B174)),0,IF(AND(S174&lt;=B174,OR(T174=0,T174&gt;=EOMONTH(B174,0))),30,MIN(30,IF(T174=0,EOMONTH(B174,0),MIN(T174,EOMONTH(B174,0)))-MAX(B174,S174)+1))))</f>
        <v/>
      </c>
    </row>
    <row r="175" customFormat="false" ht="15" hidden="false" customHeight="false" outlineLevel="0" collapsed="false">
      <c r="B175" s="78"/>
      <c r="C175" s="64"/>
      <c r="D175" s="70" t="str">
        <f aca="false">IF(C175="","",IFERROR(INDEX(T_NOMBRE,MATCH(C175,T_ID,0)),"⚠ ID no existe"))</f>
        <v/>
      </c>
      <c r="E175" s="69"/>
      <c r="F175" s="69"/>
      <c r="G175" s="69"/>
      <c r="H175" s="69"/>
      <c r="I175" s="66"/>
      <c r="J175" s="69"/>
      <c r="K175" s="67"/>
      <c r="L175" s="67"/>
      <c r="M175" s="67"/>
      <c r="N175" s="67"/>
      <c r="O175" s="64"/>
      <c r="P175" s="72" t="str">
        <f aca="false">IF(OR(B175="",C175=""),"",C175&amp;"|"&amp;(YEAR(B175)*100+MONTH(B175)))</f>
        <v/>
      </c>
      <c r="Q175" s="70" t="str">
        <f aca="false">IF(P175="","",IF(COUNTIF(N_CLAVE,P175)&gt;1,"⚠ Duplicado","OK"))</f>
        <v/>
      </c>
      <c r="R175" s="74" t="str">
        <f aca="false">IF(OR(P175="",U175=""),"",MAX(0,U175-N(E175)-N(F175)-N(H175)))</f>
        <v/>
      </c>
      <c r="S175" s="75" t="str">
        <f aca="false">IF(P175="","",IFERROR(INDEX(T_INGRESO,MATCH(C175,T_ID,0)),""))</f>
        <v/>
      </c>
      <c r="T175" s="75" t="str">
        <f aca="false">IF(P175="","",IFERROR(N(INDEX(T_EGRESO,MATCH(C175,T_ID,0))),0))</f>
        <v/>
      </c>
      <c r="U175" s="73" t="str">
        <f aca="false">IF(OR(P175="",NOT(ISNUMBER(S175))),"",IF(OR(S175&gt;EOMONTH(B175,0),AND(T175&gt;0,T175&lt;B175)),0,IF(AND(S175&lt;=B175,OR(T175=0,T175&gt;=EOMONTH(B175,0))),30,MIN(30,IF(T175=0,EOMONTH(B175,0),MIN(T175,EOMONTH(B175,0)))-MAX(B175,S175)+1))))</f>
        <v/>
      </c>
    </row>
    <row r="176" customFormat="false" ht="15" hidden="false" customHeight="false" outlineLevel="0" collapsed="false">
      <c r="B176" s="78"/>
      <c r="C176" s="64"/>
      <c r="D176" s="70" t="str">
        <f aca="false">IF(C176="","",IFERROR(INDEX(T_NOMBRE,MATCH(C176,T_ID,0)),"⚠ ID no existe"))</f>
        <v/>
      </c>
      <c r="E176" s="69"/>
      <c r="F176" s="69"/>
      <c r="G176" s="69"/>
      <c r="H176" s="69"/>
      <c r="I176" s="66"/>
      <c r="J176" s="69"/>
      <c r="K176" s="67"/>
      <c r="L176" s="67"/>
      <c r="M176" s="67"/>
      <c r="N176" s="67"/>
      <c r="O176" s="64"/>
      <c r="P176" s="72" t="str">
        <f aca="false">IF(OR(B176="",C176=""),"",C176&amp;"|"&amp;(YEAR(B176)*100+MONTH(B176)))</f>
        <v/>
      </c>
      <c r="Q176" s="70" t="str">
        <f aca="false">IF(P176="","",IF(COUNTIF(N_CLAVE,P176)&gt;1,"⚠ Duplicado","OK"))</f>
        <v/>
      </c>
      <c r="R176" s="74" t="str">
        <f aca="false">IF(OR(P176="",U176=""),"",MAX(0,U176-N(E176)-N(F176)-N(H176)))</f>
        <v/>
      </c>
      <c r="S176" s="75" t="str">
        <f aca="false">IF(P176="","",IFERROR(INDEX(T_INGRESO,MATCH(C176,T_ID,0)),""))</f>
        <v/>
      </c>
      <c r="T176" s="75" t="str">
        <f aca="false">IF(P176="","",IFERROR(N(INDEX(T_EGRESO,MATCH(C176,T_ID,0))),0))</f>
        <v/>
      </c>
      <c r="U176" s="73" t="str">
        <f aca="false">IF(OR(P176="",NOT(ISNUMBER(S176))),"",IF(OR(S176&gt;EOMONTH(B176,0),AND(T176&gt;0,T176&lt;B176)),0,IF(AND(S176&lt;=B176,OR(T176=0,T176&gt;=EOMONTH(B176,0))),30,MIN(30,IF(T176=0,EOMONTH(B176,0),MIN(T176,EOMONTH(B176,0)))-MAX(B176,S176)+1))))</f>
        <v/>
      </c>
    </row>
    <row r="177" customFormat="false" ht="15" hidden="false" customHeight="false" outlineLevel="0" collapsed="false">
      <c r="B177" s="78"/>
      <c r="C177" s="64"/>
      <c r="D177" s="70" t="str">
        <f aca="false">IF(C177="","",IFERROR(INDEX(T_NOMBRE,MATCH(C177,T_ID,0)),"⚠ ID no existe"))</f>
        <v/>
      </c>
      <c r="E177" s="69"/>
      <c r="F177" s="69"/>
      <c r="G177" s="69"/>
      <c r="H177" s="69"/>
      <c r="I177" s="66"/>
      <c r="J177" s="69"/>
      <c r="K177" s="67"/>
      <c r="L177" s="67"/>
      <c r="M177" s="67"/>
      <c r="N177" s="67"/>
      <c r="O177" s="64"/>
      <c r="P177" s="72" t="str">
        <f aca="false">IF(OR(B177="",C177=""),"",C177&amp;"|"&amp;(YEAR(B177)*100+MONTH(B177)))</f>
        <v/>
      </c>
      <c r="Q177" s="70" t="str">
        <f aca="false">IF(P177="","",IF(COUNTIF(N_CLAVE,P177)&gt;1,"⚠ Duplicado","OK"))</f>
        <v/>
      </c>
      <c r="R177" s="74" t="str">
        <f aca="false">IF(OR(P177="",U177=""),"",MAX(0,U177-N(E177)-N(F177)-N(H177)))</f>
        <v/>
      </c>
      <c r="S177" s="75" t="str">
        <f aca="false">IF(P177="","",IFERROR(INDEX(T_INGRESO,MATCH(C177,T_ID,0)),""))</f>
        <v/>
      </c>
      <c r="T177" s="75" t="str">
        <f aca="false">IF(P177="","",IFERROR(N(INDEX(T_EGRESO,MATCH(C177,T_ID,0))),0))</f>
        <v/>
      </c>
      <c r="U177" s="73" t="str">
        <f aca="false">IF(OR(P177="",NOT(ISNUMBER(S177))),"",IF(OR(S177&gt;EOMONTH(B177,0),AND(T177&gt;0,T177&lt;B177)),0,IF(AND(S177&lt;=B177,OR(T177=0,T177&gt;=EOMONTH(B177,0))),30,MIN(30,IF(T177=0,EOMONTH(B177,0),MIN(T177,EOMONTH(B177,0)))-MAX(B177,S177)+1))))</f>
        <v/>
      </c>
    </row>
    <row r="178" customFormat="false" ht="15" hidden="false" customHeight="false" outlineLevel="0" collapsed="false">
      <c r="B178" s="78"/>
      <c r="C178" s="64"/>
      <c r="D178" s="70" t="str">
        <f aca="false">IF(C178="","",IFERROR(INDEX(T_NOMBRE,MATCH(C178,T_ID,0)),"⚠ ID no existe"))</f>
        <v/>
      </c>
      <c r="E178" s="69"/>
      <c r="F178" s="69"/>
      <c r="G178" s="69"/>
      <c r="H178" s="69"/>
      <c r="I178" s="66"/>
      <c r="J178" s="69"/>
      <c r="K178" s="67"/>
      <c r="L178" s="67"/>
      <c r="M178" s="67"/>
      <c r="N178" s="67"/>
      <c r="O178" s="64"/>
      <c r="P178" s="72" t="str">
        <f aca="false">IF(OR(B178="",C178=""),"",C178&amp;"|"&amp;(YEAR(B178)*100+MONTH(B178)))</f>
        <v/>
      </c>
      <c r="Q178" s="70" t="str">
        <f aca="false">IF(P178="","",IF(COUNTIF(N_CLAVE,P178)&gt;1,"⚠ Duplicado","OK"))</f>
        <v/>
      </c>
      <c r="R178" s="74" t="str">
        <f aca="false">IF(OR(P178="",U178=""),"",MAX(0,U178-N(E178)-N(F178)-N(H178)))</f>
        <v/>
      </c>
      <c r="S178" s="75" t="str">
        <f aca="false">IF(P178="","",IFERROR(INDEX(T_INGRESO,MATCH(C178,T_ID,0)),""))</f>
        <v/>
      </c>
      <c r="T178" s="75" t="str">
        <f aca="false">IF(P178="","",IFERROR(N(INDEX(T_EGRESO,MATCH(C178,T_ID,0))),0))</f>
        <v/>
      </c>
      <c r="U178" s="73" t="str">
        <f aca="false">IF(OR(P178="",NOT(ISNUMBER(S178))),"",IF(OR(S178&gt;EOMONTH(B178,0),AND(T178&gt;0,T178&lt;B178)),0,IF(AND(S178&lt;=B178,OR(T178=0,T178&gt;=EOMONTH(B178,0))),30,MIN(30,IF(T178=0,EOMONTH(B178,0),MIN(T178,EOMONTH(B178,0)))-MAX(B178,S178)+1))))</f>
        <v/>
      </c>
    </row>
    <row r="179" customFormat="false" ht="15" hidden="false" customHeight="false" outlineLevel="0" collapsed="false">
      <c r="B179" s="78"/>
      <c r="C179" s="64"/>
      <c r="D179" s="70" t="str">
        <f aca="false">IF(C179="","",IFERROR(INDEX(T_NOMBRE,MATCH(C179,T_ID,0)),"⚠ ID no existe"))</f>
        <v/>
      </c>
      <c r="E179" s="69"/>
      <c r="F179" s="69"/>
      <c r="G179" s="69"/>
      <c r="H179" s="69"/>
      <c r="I179" s="66"/>
      <c r="J179" s="69"/>
      <c r="K179" s="67"/>
      <c r="L179" s="67"/>
      <c r="M179" s="67"/>
      <c r="N179" s="67"/>
      <c r="O179" s="64"/>
      <c r="P179" s="72" t="str">
        <f aca="false">IF(OR(B179="",C179=""),"",C179&amp;"|"&amp;(YEAR(B179)*100+MONTH(B179)))</f>
        <v/>
      </c>
      <c r="Q179" s="70" t="str">
        <f aca="false">IF(P179="","",IF(COUNTIF(N_CLAVE,P179)&gt;1,"⚠ Duplicado","OK"))</f>
        <v/>
      </c>
      <c r="R179" s="74" t="str">
        <f aca="false">IF(OR(P179="",U179=""),"",MAX(0,U179-N(E179)-N(F179)-N(H179)))</f>
        <v/>
      </c>
      <c r="S179" s="75" t="str">
        <f aca="false">IF(P179="","",IFERROR(INDEX(T_INGRESO,MATCH(C179,T_ID,0)),""))</f>
        <v/>
      </c>
      <c r="T179" s="75" t="str">
        <f aca="false">IF(P179="","",IFERROR(N(INDEX(T_EGRESO,MATCH(C179,T_ID,0))),0))</f>
        <v/>
      </c>
      <c r="U179" s="73" t="str">
        <f aca="false">IF(OR(P179="",NOT(ISNUMBER(S179))),"",IF(OR(S179&gt;EOMONTH(B179,0),AND(T179&gt;0,T179&lt;B179)),0,IF(AND(S179&lt;=B179,OR(T179=0,T179&gt;=EOMONTH(B179,0))),30,MIN(30,IF(T179=0,EOMONTH(B179,0),MIN(T179,EOMONTH(B179,0)))-MAX(B179,S179)+1))))</f>
        <v/>
      </c>
    </row>
    <row r="180" customFormat="false" ht="15" hidden="false" customHeight="false" outlineLevel="0" collapsed="false">
      <c r="B180" s="78"/>
      <c r="C180" s="64"/>
      <c r="D180" s="70" t="str">
        <f aca="false">IF(C180="","",IFERROR(INDEX(T_NOMBRE,MATCH(C180,T_ID,0)),"⚠ ID no existe"))</f>
        <v/>
      </c>
      <c r="E180" s="69"/>
      <c r="F180" s="69"/>
      <c r="G180" s="69"/>
      <c r="H180" s="69"/>
      <c r="I180" s="66"/>
      <c r="J180" s="69"/>
      <c r="K180" s="67"/>
      <c r="L180" s="67"/>
      <c r="M180" s="67"/>
      <c r="N180" s="67"/>
      <c r="O180" s="64"/>
      <c r="P180" s="72" t="str">
        <f aca="false">IF(OR(B180="",C180=""),"",C180&amp;"|"&amp;(YEAR(B180)*100+MONTH(B180)))</f>
        <v/>
      </c>
      <c r="Q180" s="70" t="str">
        <f aca="false">IF(P180="","",IF(COUNTIF(N_CLAVE,P180)&gt;1,"⚠ Duplicado","OK"))</f>
        <v/>
      </c>
      <c r="R180" s="74" t="str">
        <f aca="false">IF(OR(P180="",U180=""),"",MAX(0,U180-N(E180)-N(F180)-N(H180)))</f>
        <v/>
      </c>
      <c r="S180" s="75" t="str">
        <f aca="false">IF(P180="","",IFERROR(INDEX(T_INGRESO,MATCH(C180,T_ID,0)),""))</f>
        <v/>
      </c>
      <c r="T180" s="75" t="str">
        <f aca="false">IF(P180="","",IFERROR(N(INDEX(T_EGRESO,MATCH(C180,T_ID,0))),0))</f>
        <v/>
      </c>
      <c r="U180" s="73" t="str">
        <f aca="false">IF(OR(P180="",NOT(ISNUMBER(S180))),"",IF(OR(S180&gt;EOMONTH(B180,0),AND(T180&gt;0,T180&lt;B180)),0,IF(AND(S180&lt;=B180,OR(T180=0,T180&gt;=EOMONTH(B180,0))),30,MIN(30,IF(T180=0,EOMONTH(B180,0),MIN(T180,EOMONTH(B180,0)))-MAX(B180,S180)+1))))</f>
        <v/>
      </c>
    </row>
    <row r="181" customFormat="false" ht="15" hidden="false" customHeight="false" outlineLevel="0" collapsed="false">
      <c r="B181" s="78"/>
      <c r="C181" s="64"/>
      <c r="D181" s="70" t="str">
        <f aca="false">IF(C181="","",IFERROR(INDEX(T_NOMBRE,MATCH(C181,T_ID,0)),"⚠ ID no existe"))</f>
        <v/>
      </c>
      <c r="E181" s="69"/>
      <c r="F181" s="69"/>
      <c r="G181" s="69"/>
      <c r="H181" s="69"/>
      <c r="I181" s="66"/>
      <c r="J181" s="69"/>
      <c r="K181" s="67"/>
      <c r="L181" s="67"/>
      <c r="M181" s="67"/>
      <c r="N181" s="67"/>
      <c r="O181" s="64"/>
      <c r="P181" s="72" t="str">
        <f aca="false">IF(OR(B181="",C181=""),"",C181&amp;"|"&amp;(YEAR(B181)*100+MONTH(B181)))</f>
        <v/>
      </c>
      <c r="Q181" s="70" t="str">
        <f aca="false">IF(P181="","",IF(COUNTIF(N_CLAVE,P181)&gt;1,"⚠ Duplicado","OK"))</f>
        <v/>
      </c>
      <c r="R181" s="74" t="str">
        <f aca="false">IF(OR(P181="",U181=""),"",MAX(0,U181-N(E181)-N(F181)-N(H181)))</f>
        <v/>
      </c>
      <c r="S181" s="75" t="str">
        <f aca="false">IF(P181="","",IFERROR(INDEX(T_INGRESO,MATCH(C181,T_ID,0)),""))</f>
        <v/>
      </c>
      <c r="T181" s="75" t="str">
        <f aca="false">IF(P181="","",IFERROR(N(INDEX(T_EGRESO,MATCH(C181,T_ID,0))),0))</f>
        <v/>
      </c>
      <c r="U181" s="73" t="str">
        <f aca="false">IF(OR(P181="",NOT(ISNUMBER(S181))),"",IF(OR(S181&gt;EOMONTH(B181,0),AND(T181&gt;0,T181&lt;B181)),0,IF(AND(S181&lt;=B181,OR(T181=0,T181&gt;=EOMONTH(B181,0))),30,MIN(30,IF(T181=0,EOMONTH(B181,0),MIN(T181,EOMONTH(B181,0)))-MAX(B181,S181)+1))))</f>
        <v/>
      </c>
    </row>
    <row r="182" customFormat="false" ht="15" hidden="false" customHeight="false" outlineLevel="0" collapsed="false">
      <c r="B182" s="78"/>
      <c r="C182" s="64"/>
      <c r="D182" s="70" t="str">
        <f aca="false">IF(C182="","",IFERROR(INDEX(T_NOMBRE,MATCH(C182,T_ID,0)),"⚠ ID no existe"))</f>
        <v/>
      </c>
      <c r="E182" s="69"/>
      <c r="F182" s="69"/>
      <c r="G182" s="69"/>
      <c r="H182" s="69"/>
      <c r="I182" s="66"/>
      <c r="J182" s="69"/>
      <c r="K182" s="67"/>
      <c r="L182" s="67"/>
      <c r="M182" s="67"/>
      <c r="N182" s="67"/>
      <c r="O182" s="64"/>
      <c r="P182" s="72" t="str">
        <f aca="false">IF(OR(B182="",C182=""),"",C182&amp;"|"&amp;(YEAR(B182)*100+MONTH(B182)))</f>
        <v/>
      </c>
      <c r="Q182" s="70" t="str">
        <f aca="false">IF(P182="","",IF(COUNTIF(N_CLAVE,P182)&gt;1,"⚠ Duplicado","OK"))</f>
        <v/>
      </c>
      <c r="R182" s="74" t="str">
        <f aca="false">IF(OR(P182="",U182=""),"",MAX(0,U182-N(E182)-N(F182)-N(H182)))</f>
        <v/>
      </c>
      <c r="S182" s="75" t="str">
        <f aca="false">IF(P182="","",IFERROR(INDEX(T_INGRESO,MATCH(C182,T_ID,0)),""))</f>
        <v/>
      </c>
      <c r="T182" s="75" t="str">
        <f aca="false">IF(P182="","",IFERROR(N(INDEX(T_EGRESO,MATCH(C182,T_ID,0))),0))</f>
        <v/>
      </c>
      <c r="U182" s="73" t="str">
        <f aca="false">IF(OR(P182="",NOT(ISNUMBER(S182))),"",IF(OR(S182&gt;EOMONTH(B182,0),AND(T182&gt;0,T182&lt;B182)),0,IF(AND(S182&lt;=B182,OR(T182=0,T182&gt;=EOMONTH(B182,0))),30,MIN(30,IF(T182=0,EOMONTH(B182,0),MIN(T182,EOMONTH(B182,0)))-MAX(B182,S182)+1))))</f>
        <v/>
      </c>
    </row>
    <row r="183" customFormat="false" ht="15" hidden="false" customHeight="false" outlineLevel="0" collapsed="false">
      <c r="B183" s="78"/>
      <c r="C183" s="64"/>
      <c r="D183" s="70" t="str">
        <f aca="false">IF(C183="","",IFERROR(INDEX(T_NOMBRE,MATCH(C183,T_ID,0)),"⚠ ID no existe"))</f>
        <v/>
      </c>
      <c r="E183" s="69"/>
      <c r="F183" s="69"/>
      <c r="G183" s="69"/>
      <c r="H183" s="69"/>
      <c r="I183" s="66"/>
      <c r="J183" s="69"/>
      <c r="K183" s="67"/>
      <c r="L183" s="67"/>
      <c r="M183" s="67"/>
      <c r="N183" s="67"/>
      <c r="O183" s="64"/>
      <c r="P183" s="72" t="str">
        <f aca="false">IF(OR(B183="",C183=""),"",C183&amp;"|"&amp;(YEAR(B183)*100+MONTH(B183)))</f>
        <v/>
      </c>
      <c r="Q183" s="70" t="str">
        <f aca="false">IF(P183="","",IF(COUNTIF(N_CLAVE,P183)&gt;1,"⚠ Duplicado","OK"))</f>
        <v/>
      </c>
      <c r="R183" s="74" t="str">
        <f aca="false">IF(OR(P183="",U183=""),"",MAX(0,U183-N(E183)-N(F183)-N(H183)))</f>
        <v/>
      </c>
      <c r="S183" s="75" t="str">
        <f aca="false">IF(P183="","",IFERROR(INDEX(T_INGRESO,MATCH(C183,T_ID,0)),""))</f>
        <v/>
      </c>
      <c r="T183" s="75" t="str">
        <f aca="false">IF(P183="","",IFERROR(N(INDEX(T_EGRESO,MATCH(C183,T_ID,0))),0))</f>
        <v/>
      </c>
      <c r="U183" s="73" t="str">
        <f aca="false">IF(OR(P183="",NOT(ISNUMBER(S183))),"",IF(OR(S183&gt;EOMONTH(B183,0),AND(T183&gt;0,T183&lt;B183)),0,IF(AND(S183&lt;=B183,OR(T183=0,T183&gt;=EOMONTH(B183,0))),30,MIN(30,IF(T183=0,EOMONTH(B183,0),MIN(T183,EOMONTH(B183,0)))-MAX(B183,S183)+1))))</f>
        <v/>
      </c>
    </row>
    <row r="184" customFormat="false" ht="15" hidden="false" customHeight="false" outlineLevel="0" collapsed="false">
      <c r="B184" s="78"/>
      <c r="C184" s="64"/>
      <c r="D184" s="70" t="str">
        <f aca="false">IF(C184="","",IFERROR(INDEX(T_NOMBRE,MATCH(C184,T_ID,0)),"⚠ ID no existe"))</f>
        <v/>
      </c>
      <c r="E184" s="69"/>
      <c r="F184" s="69"/>
      <c r="G184" s="69"/>
      <c r="H184" s="69"/>
      <c r="I184" s="66"/>
      <c r="J184" s="69"/>
      <c r="K184" s="67"/>
      <c r="L184" s="67"/>
      <c r="M184" s="67"/>
      <c r="N184" s="67"/>
      <c r="O184" s="64"/>
      <c r="P184" s="72" t="str">
        <f aca="false">IF(OR(B184="",C184=""),"",C184&amp;"|"&amp;(YEAR(B184)*100+MONTH(B184)))</f>
        <v/>
      </c>
      <c r="Q184" s="70" t="str">
        <f aca="false">IF(P184="","",IF(COUNTIF(N_CLAVE,P184)&gt;1,"⚠ Duplicado","OK"))</f>
        <v/>
      </c>
      <c r="R184" s="74" t="str">
        <f aca="false">IF(OR(P184="",U184=""),"",MAX(0,U184-N(E184)-N(F184)-N(H184)))</f>
        <v/>
      </c>
      <c r="S184" s="75" t="str">
        <f aca="false">IF(P184="","",IFERROR(INDEX(T_INGRESO,MATCH(C184,T_ID,0)),""))</f>
        <v/>
      </c>
      <c r="T184" s="75" t="str">
        <f aca="false">IF(P184="","",IFERROR(N(INDEX(T_EGRESO,MATCH(C184,T_ID,0))),0))</f>
        <v/>
      </c>
      <c r="U184" s="73" t="str">
        <f aca="false">IF(OR(P184="",NOT(ISNUMBER(S184))),"",IF(OR(S184&gt;EOMONTH(B184,0),AND(T184&gt;0,T184&lt;B184)),0,IF(AND(S184&lt;=B184,OR(T184=0,T184&gt;=EOMONTH(B184,0))),30,MIN(30,IF(T184=0,EOMONTH(B184,0),MIN(T184,EOMONTH(B184,0)))-MAX(B184,S184)+1))))</f>
        <v/>
      </c>
    </row>
    <row r="185" customFormat="false" ht="15" hidden="false" customHeight="false" outlineLevel="0" collapsed="false">
      <c r="B185" s="78"/>
      <c r="C185" s="64"/>
      <c r="D185" s="70" t="str">
        <f aca="false">IF(C185="","",IFERROR(INDEX(T_NOMBRE,MATCH(C185,T_ID,0)),"⚠ ID no existe"))</f>
        <v/>
      </c>
      <c r="E185" s="69"/>
      <c r="F185" s="69"/>
      <c r="G185" s="69"/>
      <c r="H185" s="69"/>
      <c r="I185" s="66"/>
      <c r="J185" s="69"/>
      <c r="K185" s="67"/>
      <c r="L185" s="67"/>
      <c r="M185" s="67"/>
      <c r="N185" s="67"/>
      <c r="O185" s="64"/>
      <c r="P185" s="72" t="str">
        <f aca="false">IF(OR(B185="",C185=""),"",C185&amp;"|"&amp;(YEAR(B185)*100+MONTH(B185)))</f>
        <v/>
      </c>
      <c r="Q185" s="70" t="str">
        <f aca="false">IF(P185="","",IF(COUNTIF(N_CLAVE,P185)&gt;1,"⚠ Duplicado","OK"))</f>
        <v/>
      </c>
      <c r="R185" s="74" t="str">
        <f aca="false">IF(OR(P185="",U185=""),"",MAX(0,U185-N(E185)-N(F185)-N(H185)))</f>
        <v/>
      </c>
      <c r="S185" s="75" t="str">
        <f aca="false">IF(P185="","",IFERROR(INDEX(T_INGRESO,MATCH(C185,T_ID,0)),""))</f>
        <v/>
      </c>
      <c r="T185" s="75" t="str">
        <f aca="false">IF(P185="","",IFERROR(N(INDEX(T_EGRESO,MATCH(C185,T_ID,0))),0))</f>
        <v/>
      </c>
      <c r="U185" s="73" t="str">
        <f aca="false">IF(OR(P185="",NOT(ISNUMBER(S185))),"",IF(OR(S185&gt;EOMONTH(B185,0),AND(T185&gt;0,T185&lt;B185)),0,IF(AND(S185&lt;=B185,OR(T185=0,T185&gt;=EOMONTH(B185,0))),30,MIN(30,IF(T185=0,EOMONTH(B185,0),MIN(T185,EOMONTH(B185,0)))-MAX(B185,S185)+1))))</f>
        <v/>
      </c>
    </row>
    <row r="186" customFormat="false" ht="15" hidden="false" customHeight="false" outlineLevel="0" collapsed="false">
      <c r="B186" s="78"/>
      <c r="C186" s="64"/>
      <c r="D186" s="70" t="str">
        <f aca="false">IF(C186="","",IFERROR(INDEX(T_NOMBRE,MATCH(C186,T_ID,0)),"⚠ ID no existe"))</f>
        <v/>
      </c>
      <c r="E186" s="69"/>
      <c r="F186" s="69"/>
      <c r="G186" s="69"/>
      <c r="H186" s="69"/>
      <c r="I186" s="66"/>
      <c r="J186" s="69"/>
      <c r="K186" s="67"/>
      <c r="L186" s="67"/>
      <c r="M186" s="67"/>
      <c r="N186" s="67"/>
      <c r="O186" s="64"/>
      <c r="P186" s="72" t="str">
        <f aca="false">IF(OR(B186="",C186=""),"",C186&amp;"|"&amp;(YEAR(B186)*100+MONTH(B186)))</f>
        <v/>
      </c>
      <c r="Q186" s="70" t="str">
        <f aca="false">IF(P186="","",IF(COUNTIF(N_CLAVE,P186)&gt;1,"⚠ Duplicado","OK"))</f>
        <v/>
      </c>
      <c r="R186" s="74" t="str">
        <f aca="false">IF(OR(P186="",U186=""),"",MAX(0,U186-N(E186)-N(F186)-N(H186)))</f>
        <v/>
      </c>
      <c r="S186" s="75" t="str">
        <f aca="false">IF(P186="","",IFERROR(INDEX(T_INGRESO,MATCH(C186,T_ID,0)),""))</f>
        <v/>
      </c>
      <c r="T186" s="75" t="str">
        <f aca="false">IF(P186="","",IFERROR(N(INDEX(T_EGRESO,MATCH(C186,T_ID,0))),0))</f>
        <v/>
      </c>
      <c r="U186" s="73" t="str">
        <f aca="false">IF(OR(P186="",NOT(ISNUMBER(S186))),"",IF(OR(S186&gt;EOMONTH(B186,0),AND(T186&gt;0,T186&lt;B186)),0,IF(AND(S186&lt;=B186,OR(T186=0,T186&gt;=EOMONTH(B186,0))),30,MIN(30,IF(T186=0,EOMONTH(B186,0),MIN(T186,EOMONTH(B186,0)))-MAX(B186,S186)+1))))</f>
        <v/>
      </c>
    </row>
    <row r="187" customFormat="false" ht="15" hidden="false" customHeight="false" outlineLevel="0" collapsed="false">
      <c r="B187" s="78"/>
      <c r="C187" s="64"/>
      <c r="D187" s="70" t="str">
        <f aca="false">IF(C187="","",IFERROR(INDEX(T_NOMBRE,MATCH(C187,T_ID,0)),"⚠ ID no existe"))</f>
        <v/>
      </c>
      <c r="E187" s="69"/>
      <c r="F187" s="69"/>
      <c r="G187" s="69"/>
      <c r="H187" s="69"/>
      <c r="I187" s="66"/>
      <c r="J187" s="69"/>
      <c r="K187" s="67"/>
      <c r="L187" s="67"/>
      <c r="M187" s="67"/>
      <c r="N187" s="67"/>
      <c r="O187" s="64"/>
      <c r="P187" s="72" t="str">
        <f aca="false">IF(OR(B187="",C187=""),"",C187&amp;"|"&amp;(YEAR(B187)*100+MONTH(B187)))</f>
        <v/>
      </c>
      <c r="Q187" s="70" t="str">
        <f aca="false">IF(P187="","",IF(COUNTIF(N_CLAVE,P187)&gt;1,"⚠ Duplicado","OK"))</f>
        <v/>
      </c>
      <c r="R187" s="74" t="str">
        <f aca="false">IF(OR(P187="",U187=""),"",MAX(0,U187-N(E187)-N(F187)-N(H187)))</f>
        <v/>
      </c>
      <c r="S187" s="75" t="str">
        <f aca="false">IF(P187="","",IFERROR(INDEX(T_INGRESO,MATCH(C187,T_ID,0)),""))</f>
        <v/>
      </c>
      <c r="T187" s="75" t="str">
        <f aca="false">IF(P187="","",IFERROR(N(INDEX(T_EGRESO,MATCH(C187,T_ID,0))),0))</f>
        <v/>
      </c>
      <c r="U187" s="73" t="str">
        <f aca="false">IF(OR(P187="",NOT(ISNUMBER(S187))),"",IF(OR(S187&gt;EOMONTH(B187,0),AND(T187&gt;0,T187&lt;B187)),0,IF(AND(S187&lt;=B187,OR(T187=0,T187&gt;=EOMONTH(B187,0))),30,MIN(30,IF(T187=0,EOMONTH(B187,0),MIN(T187,EOMONTH(B187,0)))-MAX(B187,S187)+1))))</f>
        <v/>
      </c>
    </row>
    <row r="188" customFormat="false" ht="15" hidden="false" customHeight="false" outlineLevel="0" collapsed="false">
      <c r="B188" s="78"/>
      <c r="C188" s="64"/>
      <c r="D188" s="70" t="str">
        <f aca="false">IF(C188="","",IFERROR(INDEX(T_NOMBRE,MATCH(C188,T_ID,0)),"⚠ ID no existe"))</f>
        <v/>
      </c>
      <c r="E188" s="69"/>
      <c r="F188" s="69"/>
      <c r="G188" s="69"/>
      <c r="H188" s="69"/>
      <c r="I188" s="66"/>
      <c r="J188" s="69"/>
      <c r="K188" s="67"/>
      <c r="L188" s="67"/>
      <c r="M188" s="67"/>
      <c r="N188" s="67"/>
      <c r="O188" s="64"/>
      <c r="P188" s="72" t="str">
        <f aca="false">IF(OR(B188="",C188=""),"",C188&amp;"|"&amp;(YEAR(B188)*100+MONTH(B188)))</f>
        <v/>
      </c>
      <c r="Q188" s="70" t="str">
        <f aca="false">IF(P188="","",IF(COUNTIF(N_CLAVE,P188)&gt;1,"⚠ Duplicado","OK"))</f>
        <v/>
      </c>
      <c r="R188" s="74" t="str">
        <f aca="false">IF(OR(P188="",U188=""),"",MAX(0,U188-N(E188)-N(F188)-N(H188)))</f>
        <v/>
      </c>
      <c r="S188" s="75" t="str">
        <f aca="false">IF(P188="","",IFERROR(INDEX(T_INGRESO,MATCH(C188,T_ID,0)),""))</f>
        <v/>
      </c>
      <c r="T188" s="75" t="str">
        <f aca="false">IF(P188="","",IFERROR(N(INDEX(T_EGRESO,MATCH(C188,T_ID,0))),0))</f>
        <v/>
      </c>
      <c r="U188" s="73" t="str">
        <f aca="false">IF(OR(P188="",NOT(ISNUMBER(S188))),"",IF(OR(S188&gt;EOMONTH(B188,0),AND(T188&gt;0,T188&lt;B188)),0,IF(AND(S188&lt;=B188,OR(T188=0,T188&gt;=EOMONTH(B188,0))),30,MIN(30,IF(T188=0,EOMONTH(B188,0),MIN(T188,EOMONTH(B188,0)))-MAX(B188,S188)+1))))</f>
        <v/>
      </c>
    </row>
    <row r="189" customFormat="false" ht="15" hidden="false" customHeight="false" outlineLevel="0" collapsed="false">
      <c r="B189" s="78"/>
      <c r="C189" s="64"/>
      <c r="D189" s="70" t="str">
        <f aca="false">IF(C189="","",IFERROR(INDEX(T_NOMBRE,MATCH(C189,T_ID,0)),"⚠ ID no existe"))</f>
        <v/>
      </c>
      <c r="E189" s="69"/>
      <c r="F189" s="69"/>
      <c r="G189" s="69"/>
      <c r="H189" s="69"/>
      <c r="I189" s="66"/>
      <c r="J189" s="69"/>
      <c r="K189" s="67"/>
      <c r="L189" s="67"/>
      <c r="M189" s="67"/>
      <c r="N189" s="67"/>
      <c r="O189" s="64"/>
      <c r="P189" s="72" t="str">
        <f aca="false">IF(OR(B189="",C189=""),"",C189&amp;"|"&amp;(YEAR(B189)*100+MONTH(B189)))</f>
        <v/>
      </c>
      <c r="Q189" s="70" t="str">
        <f aca="false">IF(P189="","",IF(COUNTIF(N_CLAVE,P189)&gt;1,"⚠ Duplicado","OK"))</f>
        <v/>
      </c>
      <c r="R189" s="74" t="str">
        <f aca="false">IF(OR(P189="",U189=""),"",MAX(0,U189-N(E189)-N(F189)-N(H189)))</f>
        <v/>
      </c>
      <c r="S189" s="75" t="str">
        <f aca="false">IF(P189="","",IFERROR(INDEX(T_INGRESO,MATCH(C189,T_ID,0)),""))</f>
        <v/>
      </c>
      <c r="T189" s="75" t="str">
        <f aca="false">IF(P189="","",IFERROR(N(INDEX(T_EGRESO,MATCH(C189,T_ID,0))),0))</f>
        <v/>
      </c>
      <c r="U189" s="73" t="str">
        <f aca="false">IF(OR(P189="",NOT(ISNUMBER(S189))),"",IF(OR(S189&gt;EOMONTH(B189,0),AND(T189&gt;0,T189&lt;B189)),0,IF(AND(S189&lt;=B189,OR(T189=0,T189&gt;=EOMONTH(B189,0))),30,MIN(30,IF(T189=0,EOMONTH(B189,0),MIN(T189,EOMONTH(B189,0)))-MAX(B189,S189)+1))))</f>
        <v/>
      </c>
    </row>
    <row r="190" customFormat="false" ht="15" hidden="false" customHeight="false" outlineLevel="0" collapsed="false">
      <c r="B190" s="78"/>
      <c r="C190" s="64"/>
      <c r="D190" s="70" t="str">
        <f aca="false">IF(C190="","",IFERROR(INDEX(T_NOMBRE,MATCH(C190,T_ID,0)),"⚠ ID no existe"))</f>
        <v/>
      </c>
      <c r="E190" s="69"/>
      <c r="F190" s="69"/>
      <c r="G190" s="69"/>
      <c r="H190" s="69"/>
      <c r="I190" s="66"/>
      <c r="J190" s="69"/>
      <c r="K190" s="67"/>
      <c r="L190" s="67"/>
      <c r="M190" s="67"/>
      <c r="N190" s="67"/>
      <c r="O190" s="64"/>
      <c r="P190" s="72" t="str">
        <f aca="false">IF(OR(B190="",C190=""),"",C190&amp;"|"&amp;(YEAR(B190)*100+MONTH(B190)))</f>
        <v/>
      </c>
      <c r="Q190" s="70" t="str">
        <f aca="false">IF(P190="","",IF(COUNTIF(N_CLAVE,P190)&gt;1,"⚠ Duplicado","OK"))</f>
        <v/>
      </c>
      <c r="R190" s="74" t="str">
        <f aca="false">IF(OR(P190="",U190=""),"",MAX(0,U190-N(E190)-N(F190)-N(H190)))</f>
        <v/>
      </c>
      <c r="S190" s="75" t="str">
        <f aca="false">IF(P190="","",IFERROR(INDEX(T_INGRESO,MATCH(C190,T_ID,0)),""))</f>
        <v/>
      </c>
      <c r="T190" s="75" t="str">
        <f aca="false">IF(P190="","",IFERROR(N(INDEX(T_EGRESO,MATCH(C190,T_ID,0))),0))</f>
        <v/>
      </c>
      <c r="U190" s="73" t="str">
        <f aca="false">IF(OR(P190="",NOT(ISNUMBER(S190))),"",IF(OR(S190&gt;EOMONTH(B190,0),AND(T190&gt;0,T190&lt;B190)),0,IF(AND(S190&lt;=B190,OR(T190=0,T190&gt;=EOMONTH(B190,0))),30,MIN(30,IF(T190=0,EOMONTH(B190,0),MIN(T190,EOMONTH(B190,0)))-MAX(B190,S190)+1))))</f>
        <v/>
      </c>
    </row>
    <row r="191" customFormat="false" ht="15" hidden="false" customHeight="false" outlineLevel="0" collapsed="false">
      <c r="B191" s="78"/>
      <c r="C191" s="64"/>
      <c r="D191" s="70" t="str">
        <f aca="false">IF(C191="","",IFERROR(INDEX(T_NOMBRE,MATCH(C191,T_ID,0)),"⚠ ID no existe"))</f>
        <v/>
      </c>
      <c r="E191" s="69"/>
      <c r="F191" s="69"/>
      <c r="G191" s="69"/>
      <c r="H191" s="69"/>
      <c r="I191" s="66"/>
      <c r="J191" s="69"/>
      <c r="K191" s="67"/>
      <c r="L191" s="67"/>
      <c r="M191" s="67"/>
      <c r="N191" s="67"/>
      <c r="O191" s="64"/>
      <c r="P191" s="72" t="str">
        <f aca="false">IF(OR(B191="",C191=""),"",C191&amp;"|"&amp;(YEAR(B191)*100+MONTH(B191)))</f>
        <v/>
      </c>
      <c r="Q191" s="70" t="str">
        <f aca="false">IF(P191="","",IF(COUNTIF(N_CLAVE,P191)&gt;1,"⚠ Duplicado","OK"))</f>
        <v/>
      </c>
      <c r="R191" s="74" t="str">
        <f aca="false">IF(OR(P191="",U191=""),"",MAX(0,U191-N(E191)-N(F191)-N(H191)))</f>
        <v/>
      </c>
      <c r="S191" s="75" t="str">
        <f aca="false">IF(P191="","",IFERROR(INDEX(T_INGRESO,MATCH(C191,T_ID,0)),""))</f>
        <v/>
      </c>
      <c r="T191" s="75" t="str">
        <f aca="false">IF(P191="","",IFERROR(N(INDEX(T_EGRESO,MATCH(C191,T_ID,0))),0))</f>
        <v/>
      </c>
      <c r="U191" s="73" t="str">
        <f aca="false">IF(OR(P191="",NOT(ISNUMBER(S191))),"",IF(OR(S191&gt;EOMONTH(B191,0),AND(T191&gt;0,T191&lt;B191)),0,IF(AND(S191&lt;=B191,OR(T191=0,T191&gt;=EOMONTH(B191,0))),30,MIN(30,IF(T191=0,EOMONTH(B191,0),MIN(T191,EOMONTH(B191,0)))-MAX(B191,S191)+1))))</f>
        <v/>
      </c>
    </row>
    <row r="192" customFormat="false" ht="15" hidden="false" customHeight="false" outlineLevel="0" collapsed="false">
      <c r="B192" s="78"/>
      <c r="C192" s="64"/>
      <c r="D192" s="70" t="str">
        <f aca="false">IF(C192="","",IFERROR(INDEX(T_NOMBRE,MATCH(C192,T_ID,0)),"⚠ ID no existe"))</f>
        <v/>
      </c>
      <c r="E192" s="69"/>
      <c r="F192" s="69"/>
      <c r="G192" s="69"/>
      <c r="H192" s="69"/>
      <c r="I192" s="66"/>
      <c r="J192" s="69"/>
      <c r="K192" s="67"/>
      <c r="L192" s="67"/>
      <c r="M192" s="67"/>
      <c r="N192" s="67"/>
      <c r="O192" s="64"/>
      <c r="P192" s="72" t="str">
        <f aca="false">IF(OR(B192="",C192=""),"",C192&amp;"|"&amp;(YEAR(B192)*100+MONTH(B192)))</f>
        <v/>
      </c>
      <c r="Q192" s="70" t="str">
        <f aca="false">IF(P192="","",IF(COUNTIF(N_CLAVE,P192)&gt;1,"⚠ Duplicado","OK"))</f>
        <v/>
      </c>
      <c r="R192" s="74" t="str">
        <f aca="false">IF(OR(P192="",U192=""),"",MAX(0,U192-N(E192)-N(F192)-N(H192)))</f>
        <v/>
      </c>
      <c r="S192" s="75" t="str">
        <f aca="false">IF(P192="","",IFERROR(INDEX(T_INGRESO,MATCH(C192,T_ID,0)),""))</f>
        <v/>
      </c>
      <c r="T192" s="75" t="str">
        <f aca="false">IF(P192="","",IFERROR(N(INDEX(T_EGRESO,MATCH(C192,T_ID,0))),0))</f>
        <v/>
      </c>
      <c r="U192" s="73" t="str">
        <f aca="false">IF(OR(P192="",NOT(ISNUMBER(S192))),"",IF(OR(S192&gt;EOMONTH(B192,0),AND(T192&gt;0,T192&lt;B192)),0,IF(AND(S192&lt;=B192,OR(T192=0,T192&gt;=EOMONTH(B192,0))),30,MIN(30,IF(T192=0,EOMONTH(B192,0),MIN(T192,EOMONTH(B192,0)))-MAX(B192,S192)+1))))</f>
        <v/>
      </c>
    </row>
    <row r="193" customFormat="false" ht="15" hidden="false" customHeight="false" outlineLevel="0" collapsed="false">
      <c r="B193" s="78"/>
      <c r="C193" s="64"/>
      <c r="D193" s="70" t="str">
        <f aca="false">IF(C193="","",IFERROR(INDEX(T_NOMBRE,MATCH(C193,T_ID,0)),"⚠ ID no existe"))</f>
        <v/>
      </c>
      <c r="E193" s="69"/>
      <c r="F193" s="69"/>
      <c r="G193" s="69"/>
      <c r="H193" s="69"/>
      <c r="I193" s="66"/>
      <c r="J193" s="69"/>
      <c r="K193" s="67"/>
      <c r="L193" s="67"/>
      <c r="M193" s="67"/>
      <c r="N193" s="67"/>
      <c r="O193" s="64"/>
      <c r="P193" s="72" t="str">
        <f aca="false">IF(OR(B193="",C193=""),"",C193&amp;"|"&amp;(YEAR(B193)*100+MONTH(B193)))</f>
        <v/>
      </c>
      <c r="Q193" s="70" t="str">
        <f aca="false">IF(P193="","",IF(COUNTIF(N_CLAVE,P193)&gt;1,"⚠ Duplicado","OK"))</f>
        <v/>
      </c>
      <c r="R193" s="74" t="str">
        <f aca="false">IF(OR(P193="",U193=""),"",MAX(0,U193-N(E193)-N(F193)-N(H193)))</f>
        <v/>
      </c>
      <c r="S193" s="75" t="str">
        <f aca="false">IF(P193="","",IFERROR(INDEX(T_INGRESO,MATCH(C193,T_ID,0)),""))</f>
        <v/>
      </c>
      <c r="T193" s="75" t="str">
        <f aca="false">IF(P193="","",IFERROR(N(INDEX(T_EGRESO,MATCH(C193,T_ID,0))),0))</f>
        <v/>
      </c>
      <c r="U193" s="73" t="str">
        <f aca="false">IF(OR(P193="",NOT(ISNUMBER(S193))),"",IF(OR(S193&gt;EOMONTH(B193,0),AND(T193&gt;0,T193&lt;B193)),0,IF(AND(S193&lt;=B193,OR(T193=0,T193&gt;=EOMONTH(B193,0))),30,MIN(30,IF(T193=0,EOMONTH(B193,0),MIN(T193,EOMONTH(B193,0)))-MAX(B193,S193)+1))))</f>
        <v/>
      </c>
    </row>
    <row r="194" customFormat="false" ht="15" hidden="false" customHeight="false" outlineLevel="0" collapsed="false">
      <c r="B194" s="78"/>
      <c r="C194" s="64"/>
      <c r="D194" s="70" t="str">
        <f aca="false">IF(C194="","",IFERROR(INDEX(T_NOMBRE,MATCH(C194,T_ID,0)),"⚠ ID no existe"))</f>
        <v/>
      </c>
      <c r="E194" s="69"/>
      <c r="F194" s="69"/>
      <c r="G194" s="69"/>
      <c r="H194" s="69"/>
      <c r="I194" s="66"/>
      <c r="J194" s="69"/>
      <c r="K194" s="67"/>
      <c r="L194" s="67"/>
      <c r="M194" s="67"/>
      <c r="N194" s="67"/>
      <c r="O194" s="64"/>
      <c r="P194" s="72" t="str">
        <f aca="false">IF(OR(B194="",C194=""),"",C194&amp;"|"&amp;(YEAR(B194)*100+MONTH(B194)))</f>
        <v/>
      </c>
      <c r="Q194" s="70" t="str">
        <f aca="false">IF(P194="","",IF(COUNTIF(N_CLAVE,P194)&gt;1,"⚠ Duplicado","OK"))</f>
        <v/>
      </c>
      <c r="R194" s="74" t="str">
        <f aca="false">IF(OR(P194="",U194=""),"",MAX(0,U194-N(E194)-N(F194)-N(H194)))</f>
        <v/>
      </c>
      <c r="S194" s="75" t="str">
        <f aca="false">IF(P194="","",IFERROR(INDEX(T_INGRESO,MATCH(C194,T_ID,0)),""))</f>
        <v/>
      </c>
      <c r="T194" s="75" t="str">
        <f aca="false">IF(P194="","",IFERROR(N(INDEX(T_EGRESO,MATCH(C194,T_ID,0))),0))</f>
        <v/>
      </c>
      <c r="U194" s="73" t="str">
        <f aca="false">IF(OR(P194="",NOT(ISNUMBER(S194))),"",IF(OR(S194&gt;EOMONTH(B194,0),AND(T194&gt;0,T194&lt;B194)),0,IF(AND(S194&lt;=B194,OR(T194=0,T194&gt;=EOMONTH(B194,0))),30,MIN(30,IF(T194=0,EOMONTH(B194,0),MIN(T194,EOMONTH(B194,0)))-MAX(B194,S194)+1))))</f>
        <v/>
      </c>
    </row>
    <row r="195" customFormat="false" ht="15" hidden="false" customHeight="false" outlineLevel="0" collapsed="false">
      <c r="B195" s="78"/>
      <c r="C195" s="64"/>
      <c r="D195" s="70" t="str">
        <f aca="false">IF(C195="","",IFERROR(INDEX(T_NOMBRE,MATCH(C195,T_ID,0)),"⚠ ID no existe"))</f>
        <v/>
      </c>
      <c r="E195" s="69"/>
      <c r="F195" s="69"/>
      <c r="G195" s="69"/>
      <c r="H195" s="69"/>
      <c r="I195" s="66"/>
      <c r="J195" s="69"/>
      <c r="K195" s="67"/>
      <c r="L195" s="67"/>
      <c r="M195" s="67"/>
      <c r="N195" s="67"/>
      <c r="O195" s="64"/>
      <c r="P195" s="72" t="str">
        <f aca="false">IF(OR(B195="",C195=""),"",C195&amp;"|"&amp;(YEAR(B195)*100+MONTH(B195)))</f>
        <v/>
      </c>
      <c r="Q195" s="70" t="str">
        <f aca="false">IF(P195="","",IF(COUNTIF(N_CLAVE,P195)&gt;1,"⚠ Duplicado","OK"))</f>
        <v/>
      </c>
      <c r="R195" s="74" t="str">
        <f aca="false">IF(OR(P195="",U195=""),"",MAX(0,U195-N(E195)-N(F195)-N(H195)))</f>
        <v/>
      </c>
      <c r="S195" s="75" t="str">
        <f aca="false">IF(P195="","",IFERROR(INDEX(T_INGRESO,MATCH(C195,T_ID,0)),""))</f>
        <v/>
      </c>
      <c r="T195" s="75" t="str">
        <f aca="false">IF(P195="","",IFERROR(N(INDEX(T_EGRESO,MATCH(C195,T_ID,0))),0))</f>
        <v/>
      </c>
      <c r="U195" s="73" t="str">
        <f aca="false">IF(OR(P195="",NOT(ISNUMBER(S195))),"",IF(OR(S195&gt;EOMONTH(B195,0),AND(T195&gt;0,T195&lt;B195)),0,IF(AND(S195&lt;=B195,OR(T195=0,T195&gt;=EOMONTH(B195,0))),30,MIN(30,IF(T195=0,EOMONTH(B195,0),MIN(T195,EOMONTH(B195,0)))-MAX(B195,S195)+1))))</f>
        <v/>
      </c>
    </row>
    <row r="196" customFormat="false" ht="15" hidden="false" customHeight="false" outlineLevel="0" collapsed="false">
      <c r="B196" s="78"/>
      <c r="C196" s="64"/>
      <c r="D196" s="70" t="str">
        <f aca="false">IF(C196="","",IFERROR(INDEX(T_NOMBRE,MATCH(C196,T_ID,0)),"⚠ ID no existe"))</f>
        <v/>
      </c>
      <c r="E196" s="69"/>
      <c r="F196" s="69"/>
      <c r="G196" s="69"/>
      <c r="H196" s="69"/>
      <c r="I196" s="66"/>
      <c r="J196" s="69"/>
      <c r="K196" s="67"/>
      <c r="L196" s="67"/>
      <c r="M196" s="67"/>
      <c r="N196" s="67"/>
      <c r="O196" s="64"/>
      <c r="P196" s="72" t="str">
        <f aca="false">IF(OR(B196="",C196=""),"",C196&amp;"|"&amp;(YEAR(B196)*100+MONTH(B196)))</f>
        <v/>
      </c>
      <c r="Q196" s="70" t="str">
        <f aca="false">IF(P196="","",IF(COUNTIF(N_CLAVE,P196)&gt;1,"⚠ Duplicado","OK"))</f>
        <v/>
      </c>
      <c r="R196" s="74" t="str">
        <f aca="false">IF(OR(P196="",U196=""),"",MAX(0,U196-N(E196)-N(F196)-N(H196)))</f>
        <v/>
      </c>
      <c r="S196" s="75" t="str">
        <f aca="false">IF(P196="","",IFERROR(INDEX(T_INGRESO,MATCH(C196,T_ID,0)),""))</f>
        <v/>
      </c>
      <c r="T196" s="75" t="str">
        <f aca="false">IF(P196="","",IFERROR(N(INDEX(T_EGRESO,MATCH(C196,T_ID,0))),0))</f>
        <v/>
      </c>
      <c r="U196" s="73" t="str">
        <f aca="false">IF(OR(P196="",NOT(ISNUMBER(S196))),"",IF(OR(S196&gt;EOMONTH(B196,0),AND(T196&gt;0,T196&lt;B196)),0,IF(AND(S196&lt;=B196,OR(T196=0,T196&gt;=EOMONTH(B196,0))),30,MIN(30,IF(T196=0,EOMONTH(B196,0),MIN(T196,EOMONTH(B196,0)))-MAX(B196,S196)+1))))</f>
        <v/>
      </c>
    </row>
    <row r="197" customFormat="false" ht="15" hidden="false" customHeight="false" outlineLevel="0" collapsed="false">
      <c r="B197" s="78"/>
      <c r="C197" s="64"/>
      <c r="D197" s="70" t="str">
        <f aca="false">IF(C197="","",IFERROR(INDEX(T_NOMBRE,MATCH(C197,T_ID,0)),"⚠ ID no existe"))</f>
        <v/>
      </c>
      <c r="E197" s="69"/>
      <c r="F197" s="69"/>
      <c r="G197" s="69"/>
      <c r="H197" s="69"/>
      <c r="I197" s="66"/>
      <c r="J197" s="69"/>
      <c r="K197" s="67"/>
      <c r="L197" s="67"/>
      <c r="M197" s="67"/>
      <c r="N197" s="67"/>
      <c r="O197" s="64"/>
      <c r="P197" s="72" t="str">
        <f aca="false">IF(OR(B197="",C197=""),"",C197&amp;"|"&amp;(YEAR(B197)*100+MONTH(B197)))</f>
        <v/>
      </c>
      <c r="Q197" s="70" t="str">
        <f aca="false">IF(P197="","",IF(COUNTIF(N_CLAVE,P197)&gt;1,"⚠ Duplicado","OK"))</f>
        <v/>
      </c>
      <c r="R197" s="74" t="str">
        <f aca="false">IF(OR(P197="",U197=""),"",MAX(0,U197-N(E197)-N(F197)-N(H197)))</f>
        <v/>
      </c>
      <c r="S197" s="75" t="str">
        <f aca="false">IF(P197="","",IFERROR(INDEX(T_INGRESO,MATCH(C197,T_ID,0)),""))</f>
        <v/>
      </c>
      <c r="T197" s="75" t="str">
        <f aca="false">IF(P197="","",IFERROR(N(INDEX(T_EGRESO,MATCH(C197,T_ID,0))),0))</f>
        <v/>
      </c>
      <c r="U197" s="73" t="str">
        <f aca="false">IF(OR(P197="",NOT(ISNUMBER(S197))),"",IF(OR(S197&gt;EOMONTH(B197,0),AND(T197&gt;0,T197&lt;B197)),0,IF(AND(S197&lt;=B197,OR(T197=0,T197&gt;=EOMONTH(B197,0))),30,MIN(30,IF(T197=0,EOMONTH(B197,0),MIN(T197,EOMONTH(B197,0)))-MAX(B197,S197)+1))))</f>
        <v/>
      </c>
    </row>
    <row r="198" customFormat="false" ht="15" hidden="false" customHeight="false" outlineLevel="0" collapsed="false">
      <c r="B198" s="78"/>
      <c r="C198" s="64"/>
      <c r="D198" s="70" t="str">
        <f aca="false">IF(C198="","",IFERROR(INDEX(T_NOMBRE,MATCH(C198,T_ID,0)),"⚠ ID no existe"))</f>
        <v/>
      </c>
      <c r="E198" s="69"/>
      <c r="F198" s="69"/>
      <c r="G198" s="69"/>
      <c r="H198" s="69"/>
      <c r="I198" s="66"/>
      <c r="J198" s="69"/>
      <c r="K198" s="67"/>
      <c r="L198" s="67"/>
      <c r="M198" s="67"/>
      <c r="N198" s="67"/>
      <c r="O198" s="64"/>
      <c r="P198" s="72" t="str">
        <f aca="false">IF(OR(B198="",C198=""),"",C198&amp;"|"&amp;(YEAR(B198)*100+MONTH(B198)))</f>
        <v/>
      </c>
      <c r="Q198" s="70" t="str">
        <f aca="false">IF(P198="","",IF(COUNTIF(N_CLAVE,P198)&gt;1,"⚠ Duplicado","OK"))</f>
        <v/>
      </c>
      <c r="R198" s="74" t="str">
        <f aca="false">IF(OR(P198="",U198=""),"",MAX(0,U198-N(E198)-N(F198)-N(H198)))</f>
        <v/>
      </c>
      <c r="S198" s="75" t="str">
        <f aca="false">IF(P198="","",IFERROR(INDEX(T_INGRESO,MATCH(C198,T_ID,0)),""))</f>
        <v/>
      </c>
      <c r="T198" s="75" t="str">
        <f aca="false">IF(P198="","",IFERROR(N(INDEX(T_EGRESO,MATCH(C198,T_ID,0))),0))</f>
        <v/>
      </c>
      <c r="U198" s="73" t="str">
        <f aca="false">IF(OR(P198="",NOT(ISNUMBER(S198))),"",IF(OR(S198&gt;EOMONTH(B198,0),AND(T198&gt;0,T198&lt;B198)),0,IF(AND(S198&lt;=B198,OR(T198=0,T198&gt;=EOMONTH(B198,0))),30,MIN(30,IF(T198=0,EOMONTH(B198,0),MIN(T198,EOMONTH(B198,0)))-MAX(B198,S198)+1))))</f>
        <v/>
      </c>
    </row>
    <row r="199" customFormat="false" ht="15" hidden="false" customHeight="false" outlineLevel="0" collapsed="false">
      <c r="B199" s="78"/>
      <c r="C199" s="64"/>
      <c r="D199" s="70" t="str">
        <f aca="false">IF(C199="","",IFERROR(INDEX(T_NOMBRE,MATCH(C199,T_ID,0)),"⚠ ID no existe"))</f>
        <v/>
      </c>
      <c r="E199" s="69"/>
      <c r="F199" s="69"/>
      <c r="G199" s="69"/>
      <c r="H199" s="69"/>
      <c r="I199" s="66"/>
      <c r="J199" s="69"/>
      <c r="K199" s="67"/>
      <c r="L199" s="67"/>
      <c r="M199" s="67"/>
      <c r="N199" s="67"/>
      <c r="O199" s="64"/>
      <c r="P199" s="72" t="str">
        <f aca="false">IF(OR(B199="",C199=""),"",C199&amp;"|"&amp;(YEAR(B199)*100+MONTH(B199)))</f>
        <v/>
      </c>
      <c r="Q199" s="70" t="str">
        <f aca="false">IF(P199="","",IF(COUNTIF(N_CLAVE,P199)&gt;1,"⚠ Duplicado","OK"))</f>
        <v/>
      </c>
      <c r="R199" s="74" t="str">
        <f aca="false">IF(OR(P199="",U199=""),"",MAX(0,U199-N(E199)-N(F199)-N(H199)))</f>
        <v/>
      </c>
      <c r="S199" s="75" t="str">
        <f aca="false">IF(P199="","",IFERROR(INDEX(T_INGRESO,MATCH(C199,T_ID,0)),""))</f>
        <v/>
      </c>
      <c r="T199" s="75" t="str">
        <f aca="false">IF(P199="","",IFERROR(N(INDEX(T_EGRESO,MATCH(C199,T_ID,0))),0))</f>
        <v/>
      </c>
      <c r="U199" s="73" t="str">
        <f aca="false">IF(OR(P199="",NOT(ISNUMBER(S199))),"",IF(OR(S199&gt;EOMONTH(B199,0),AND(T199&gt;0,T199&lt;B199)),0,IF(AND(S199&lt;=B199,OR(T199=0,T199&gt;=EOMONTH(B199,0))),30,MIN(30,IF(T199=0,EOMONTH(B199,0),MIN(T199,EOMONTH(B199,0)))-MAX(B199,S199)+1))))</f>
        <v/>
      </c>
    </row>
    <row r="200" customFormat="false" ht="15" hidden="false" customHeight="false" outlineLevel="0" collapsed="false">
      <c r="B200" s="78"/>
      <c r="C200" s="64"/>
      <c r="D200" s="70" t="str">
        <f aca="false">IF(C200="","",IFERROR(INDEX(T_NOMBRE,MATCH(C200,T_ID,0)),"⚠ ID no existe"))</f>
        <v/>
      </c>
      <c r="E200" s="69"/>
      <c r="F200" s="69"/>
      <c r="G200" s="69"/>
      <c r="H200" s="69"/>
      <c r="I200" s="66"/>
      <c r="J200" s="69"/>
      <c r="K200" s="67"/>
      <c r="L200" s="67"/>
      <c r="M200" s="67"/>
      <c r="N200" s="67"/>
      <c r="O200" s="64"/>
      <c r="P200" s="72" t="str">
        <f aca="false">IF(OR(B200="",C200=""),"",C200&amp;"|"&amp;(YEAR(B200)*100+MONTH(B200)))</f>
        <v/>
      </c>
      <c r="Q200" s="70" t="str">
        <f aca="false">IF(P200="","",IF(COUNTIF(N_CLAVE,P200)&gt;1,"⚠ Duplicado","OK"))</f>
        <v/>
      </c>
      <c r="R200" s="74" t="str">
        <f aca="false">IF(OR(P200="",U200=""),"",MAX(0,U200-N(E200)-N(F200)-N(H200)))</f>
        <v/>
      </c>
      <c r="S200" s="75" t="str">
        <f aca="false">IF(P200="","",IFERROR(INDEX(T_INGRESO,MATCH(C200,T_ID,0)),""))</f>
        <v/>
      </c>
      <c r="T200" s="75" t="str">
        <f aca="false">IF(P200="","",IFERROR(N(INDEX(T_EGRESO,MATCH(C200,T_ID,0))),0))</f>
        <v/>
      </c>
      <c r="U200" s="73" t="str">
        <f aca="false">IF(OR(P200="",NOT(ISNUMBER(S200))),"",IF(OR(S200&gt;EOMONTH(B200,0),AND(T200&gt;0,T200&lt;B200)),0,IF(AND(S200&lt;=B200,OR(T200=0,T200&gt;=EOMONTH(B200,0))),30,MIN(30,IF(T200=0,EOMONTH(B200,0),MIN(T200,EOMONTH(B200,0)))-MAX(B200,S200)+1))))</f>
        <v/>
      </c>
    </row>
    <row r="201" customFormat="false" ht="15" hidden="false" customHeight="false" outlineLevel="0" collapsed="false">
      <c r="B201" s="78"/>
      <c r="C201" s="64"/>
      <c r="D201" s="70" t="str">
        <f aca="false">IF(C201="","",IFERROR(INDEX(T_NOMBRE,MATCH(C201,T_ID,0)),"⚠ ID no existe"))</f>
        <v/>
      </c>
      <c r="E201" s="69"/>
      <c r="F201" s="69"/>
      <c r="G201" s="69"/>
      <c r="H201" s="69"/>
      <c r="I201" s="66"/>
      <c r="J201" s="69"/>
      <c r="K201" s="67"/>
      <c r="L201" s="67"/>
      <c r="M201" s="67"/>
      <c r="N201" s="67"/>
      <c r="O201" s="64"/>
      <c r="P201" s="72" t="str">
        <f aca="false">IF(OR(B201="",C201=""),"",C201&amp;"|"&amp;(YEAR(B201)*100+MONTH(B201)))</f>
        <v/>
      </c>
      <c r="Q201" s="70" t="str">
        <f aca="false">IF(P201="","",IF(COUNTIF(N_CLAVE,P201)&gt;1,"⚠ Duplicado","OK"))</f>
        <v/>
      </c>
      <c r="R201" s="74" t="str">
        <f aca="false">IF(OR(P201="",U201=""),"",MAX(0,U201-N(E201)-N(F201)-N(H201)))</f>
        <v/>
      </c>
      <c r="S201" s="75" t="str">
        <f aca="false">IF(P201="","",IFERROR(INDEX(T_INGRESO,MATCH(C201,T_ID,0)),""))</f>
        <v/>
      </c>
      <c r="T201" s="75" t="str">
        <f aca="false">IF(P201="","",IFERROR(N(INDEX(T_EGRESO,MATCH(C201,T_ID,0))),0))</f>
        <v/>
      </c>
      <c r="U201" s="73" t="str">
        <f aca="false">IF(OR(P201="",NOT(ISNUMBER(S201))),"",IF(OR(S201&gt;EOMONTH(B201,0),AND(T201&gt;0,T201&lt;B201)),0,IF(AND(S201&lt;=B201,OR(T201=0,T201&gt;=EOMONTH(B201,0))),30,MIN(30,IF(T201=0,EOMONTH(B201,0),MIN(T201,EOMONTH(B201,0)))-MAX(B201,S201)+1))))</f>
        <v/>
      </c>
    </row>
    <row r="202" customFormat="false" ht="15" hidden="false" customHeight="false" outlineLevel="0" collapsed="false">
      <c r="B202" s="78"/>
      <c r="C202" s="64"/>
      <c r="D202" s="70" t="str">
        <f aca="false">IF(C202="","",IFERROR(INDEX(T_NOMBRE,MATCH(C202,T_ID,0)),"⚠ ID no existe"))</f>
        <v/>
      </c>
      <c r="E202" s="69"/>
      <c r="F202" s="69"/>
      <c r="G202" s="69"/>
      <c r="H202" s="69"/>
      <c r="I202" s="66"/>
      <c r="J202" s="69"/>
      <c r="K202" s="67"/>
      <c r="L202" s="67"/>
      <c r="M202" s="67"/>
      <c r="N202" s="67"/>
      <c r="O202" s="64"/>
      <c r="P202" s="72" t="str">
        <f aca="false">IF(OR(B202="",C202=""),"",C202&amp;"|"&amp;(YEAR(B202)*100+MONTH(B202)))</f>
        <v/>
      </c>
      <c r="Q202" s="70" t="str">
        <f aca="false">IF(P202="","",IF(COUNTIF(N_CLAVE,P202)&gt;1,"⚠ Duplicado","OK"))</f>
        <v/>
      </c>
      <c r="R202" s="74" t="str">
        <f aca="false">IF(OR(P202="",U202=""),"",MAX(0,U202-N(E202)-N(F202)-N(H202)))</f>
        <v/>
      </c>
      <c r="S202" s="75" t="str">
        <f aca="false">IF(P202="","",IFERROR(INDEX(T_INGRESO,MATCH(C202,T_ID,0)),""))</f>
        <v/>
      </c>
      <c r="T202" s="75" t="str">
        <f aca="false">IF(P202="","",IFERROR(N(INDEX(T_EGRESO,MATCH(C202,T_ID,0))),0))</f>
        <v/>
      </c>
      <c r="U202" s="73" t="str">
        <f aca="false">IF(OR(P202="",NOT(ISNUMBER(S202))),"",IF(OR(S202&gt;EOMONTH(B202,0),AND(T202&gt;0,T202&lt;B202)),0,IF(AND(S202&lt;=B202,OR(T202=0,T202&gt;=EOMONTH(B202,0))),30,MIN(30,IF(T202=0,EOMONTH(B202,0),MIN(T202,EOMONTH(B202,0)))-MAX(B202,S202)+1))))</f>
        <v/>
      </c>
    </row>
    <row r="203" customFormat="false" ht="15" hidden="false" customHeight="false" outlineLevel="0" collapsed="false">
      <c r="B203" s="78"/>
      <c r="C203" s="64"/>
      <c r="D203" s="70" t="str">
        <f aca="false">IF(C203="","",IFERROR(INDEX(T_NOMBRE,MATCH(C203,T_ID,0)),"⚠ ID no existe"))</f>
        <v/>
      </c>
      <c r="E203" s="69"/>
      <c r="F203" s="69"/>
      <c r="G203" s="69"/>
      <c r="H203" s="69"/>
      <c r="I203" s="66"/>
      <c r="J203" s="69"/>
      <c r="K203" s="67"/>
      <c r="L203" s="67"/>
      <c r="M203" s="67"/>
      <c r="N203" s="67"/>
      <c r="O203" s="64"/>
      <c r="P203" s="72" t="str">
        <f aca="false">IF(OR(B203="",C203=""),"",C203&amp;"|"&amp;(YEAR(B203)*100+MONTH(B203)))</f>
        <v/>
      </c>
      <c r="Q203" s="70" t="str">
        <f aca="false">IF(P203="","",IF(COUNTIF(N_CLAVE,P203)&gt;1,"⚠ Duplicado","OK"))</f>
        <v/>
      </c>
      <c r="R203" s="74" t="str">
        <f aca="false">IF(OR(P203="",U203=""),"",MAX(0,U203-N(E203)-N(F203)-N(H203)))</f>
        <v/>
      </c>
      <c r="S203" s="75" t="str">
        <f aca="false">IF(P203="","",IFERROR(INDEX(T_INGRESO,MATCH(C203,T_ID,0)),""))</f>
        <v/>
      </c>
      <c r="T203" s="75" t="str">
        <f aca="false">IF(P203="","",IFERROR(N(INDEX(T_EGRESO,MATCH(C203,T_ID,0))),0))</f>
        <v/>
      </c>
      <c r="U203" s="73" t="str">
        <f aca="false">IF(OR(P203="",NOT(ISNUMBER(S203))),"",IF(OR(S203&gt;EOMONTH(B203,0),AND(T203&gt;0,T203&lt;B203)),0,IF(AND(S203&lt;=B203,OR(T203=0,T203&gt;=EOMONTH(B203,0))),30,MIN(30,IF(T203=0,EOMONTH(B203,0),MIN(T203,EOMONTH(B203,0)))-MAX(B203,S203)+1))))</f>
        <v/>
      </c>
    </row>
    <row r="204" customFormat="false" ht="15" hidden="false" customHeight="false" outlineLevel="0" collapsed="false">
      <c r="B204" s="78"/>
      <c r="C204" s="64"/>
      <c r="D204" s="70" t="str">
        <f aca="false">IF(C204="","",IFERROR(INDEX(T_NOMBRE,MATCH(C204,T_ID,0)),"⚠ ID no existe"))</f>
        <v/>
      </c>
      <c r="E204" s="69"/>
      <c r="F204" s="69"/>
      <c r="G204" s="69"/>
      <c r="H204" s="69"/>
      <c r="I204" s="66"/>
      <c r="J204" s="69"/>
      <c r="K204" s="67"/>
      <c r="L204" s="67"/>
      <c r="M204" s="67"/>
      <c r="N204" s="67"/>
      <c r="O204" s="64"/>
      <c r="P204" s="72" t="str">
        <f aca="false">IF(OR(B204="",C204=""),"",C204&amp;"|"&amp;(YEAR(B204)*100+MONTH(B204)))</f>
        <v/>
      </c>
      <c r="Q204" s="70" t="str">
        <f aca="false">IF(P204="","",IF(COUNTIF(N_CLAVE,P204)&gt;1,"⚠ Duplicado","OK"))</f>
        <v/>
      </c>
      <c r="R204" s="74" t="str">
        <f aca="false">IF(OR(P204="",U204=""),"",MAX(0,U204-N(E204)-N(F204)-N(H204)))</f>
        <v/>
      </c>
      <c r="S204" s="75" t="str">
        <f aca="false">IF(P204="","",IFERROR(INDEX(T_INGRESO,MATCH(C204,T_ID,0)),""))</f>
        <v/>
      </c>
      <c r="T204" s="75" t="str">
        <f aca="false">IF(P204="","",IFERROR(N(INDEX(T_EGRESO,MATCH(C204,T_ID,0))),0))</f>
        <v/>
      </c>
      <c r="U204" s="73" t="str">
        <f aca="false">IF(OR(P204="",NOT(ISNUMBER(S204))),"",IF(OR(S204&gt;EOMONTH(B204,0),AND(T204&gt;0,T204&lt;B204)),0,IF(AND(S204&lt;=B204,OR(T204=0,T204&gt;=EOMONTH(B204,0))),30,MIN(30,IF(T204=0,EOMONTH(B204,0),MIN(T204,EOMONTH(B204,0)))-MAX(B204,S204)+1))))</f>
        <v/>
      </c>
    </row>
    <row r="205" customFormat="false" ht="15" hidden="false" customHeight="false" outlineLevel="0" collapsed="false">
      <c r="B205" s="78"/>
      <c r="C205" s="64"/>
      <c r="D205" s="70" t="str">
        <f aca="false">IF(C205="","",IFERROR(INDEX(T_NOMBRE,MATCH(C205,T_ID,0)),"⚠ ID no existe"))</f>
        <v/>
      </c>
      <c r="E205" s="69"/>
      <c r="F205" s="69"/>
      <c r="G205" s="69"/>
      <c r="H205" s="69"/>
      <c r="I205" s="66"/>
      <c r="J205" s="69"/>
      <c r="K205" s="67"/>
      <c r="L205" s="67"/>
      <c r="M205" s="67"/>
      <c r="N205" s="67"/>
      <c r="O205" s="64"/>
      <c r="P205" s="72" t="str">
        <f aca="false">IF(OR(B205="",C205=""),"",C205&amp;"|"&amp;(YEAR(B205)*100+MONTH(B205)))</f>
        <v/>
      </c>
      <c r="Q205" s="70" t="str">
        <f aca="false">IF(P205="","",IF(COUNTIF(N_CLAVE,P205)&gt;1,"⚠ Duplicado","OK"))</f>
        <v/>
      </c>
      <c r="R205" s="74" t="str">
        <f aca="false">IF(OR(P205="",U205=""),"",MAX(0,U205-N(E205)-N(F205)-N(H205)))</f>
        <v/>
      </c>
      <c r="S205" s="75" t="str">
        <f aca="false">IF(P205="","",IFERROR(INDEX(T_INGRESO,MATCH(C205,T_ID,0)),""))</f>
        <v/>
      </c>
      <c r="T205" s="75" t="str">
        <f aca="false">IF(P205="","",IFERROR(N(INDEX(T_EGRESO,MATCH(C205,T_ID,0))),0))</f>
        <v/>
      </c>
      <c r="U205" s="73" t="str">
        <f aca="false">IF(OR(P205="",NOT(ISNUMBER(S205))),"",IF(OR(S205&gt;EOMONTH(B205,0),AND(T205&gt;0,T205&lt;B205)),0,IF(AND(S205&lt;=B205,OR(T205=0,T205&gt;=EOMONTH(B205,0))),30,MIN(30,IF(T205=0,EOMONTH(B205,0),MIN(T205,EOMONTH(B205,0)))-MAX(B205,S205)+1))))</f>
        <v/>
      </c>
    </row>
    <row r="206" customFormat="false" ht="15" hidden="false" customHeight="false" outlineLevel="0" collapsed="false">
      <c r="B206" s="78"/>
      <c r="C206" s="64"/>
      <c r="D206" s="70" t="str">
        <f aca="false">IF(C206="","",IFERROR(INDEX(T_NOMBRE,MATCH(C206,T_ID,0)),"⚠ ID no existe"))</f>
        <v/>
      </c>
      <c r="E206" s="69"/>
      <c r="F206" s="69"/>
      <c r="G206" s="69"/>
      <c r="H206" s="69"/>
      <c r="I206" s="66"/>
      <c r="J206" s="69"/>
      <c r="K206" s="67"/>
      <c r="L206" s="67"/>
      <c r="M206" s="67"/>
      <c r="N206" s="67"/>
      <c r="O206" s="64"/>
      <c r="P206" s="72" t="str">
        <f aca="false">IF(OR(B206="",C206=""),"",C206&amp;"|"&amp;(YEAR(B206)*100+MONTH(B206)))</f>
        <v/>
      </c>
      <c r="Q206" s="70" t="str">
        <f aca="false">IF(P206="","",IF(COUNTIF(N_CLAVE,P206)&gt;1,"⚠ Duplicado","OK"))</f>
        <v/>
      </c>
      <c r="R206" s="74" t="str">
        <f aca="false">IF(OR(P206="",U206=""),"",MAX(0,U206-N(E206)-N(F206)-N(H206)))</f>
        <v/>
      </c>
      <c r="S206" s="75" t="str">
        <f aca="false">IF(P206="","",IFERROR(INDEX(T_INGRESO,MATCH(C206,T_ID,0)),""))</f>
        <v/>
      </c>
      <c r="T206" s="75" t="str">
        <f aca="false">IF(P206="","",IFERROR(N(INDEX(T_EGRESO,MATCH(C206,T_ID,0))),0))</f>
        <v/>
      </c>
      <c r="U206" s="73" t="str">
        <f aca="false">IF(OR(P206="",NOT(ISNUMBER(S206))),"",IF(OR(S206&gt;EOMONTH(B206,0),AND(T206&gt;0,T206&lt;B206)),0,IF(AND(S206&lt;=B206,OR(T206=0,T206&gt;=EOMONTH(B206,0))),30,MIN(30,IF(T206=0,EOMONTH(B206,0),MIN(T206,EOMONTH(B206,0)))-MAX(B206,S206)+1))))</f>
        <v/>
      </c>
    </row>
    <row r="207" customFormat="false" ht="15" hidden="false" customHeight="false" outlineLevel="0" collapsed="false">
      <c r="B207" s="78"/>
      <c r="C207" s="64"/>
      <c r="D207" s="70" t="str">
        <f aca="false">IF(C207="","",IFERROR(INDEX(T_NOMBRE,MATCH(C207,T_ID,0)),"⚠ ID no existe"))</f>
        <v/>
      </c>
      <c r="E207" s="69"/>
      <c r="F207" s="69"/>
      <c r="G207" s="69"/>
      <c r="H207" s="69"/>
      <c r="I207" s="66"/>
      <c r="J207" s="69"/>
      <c r="K207" s="67"/>
      <c r="L207" s="67"/>
      <c r="M207" s="67"/>
      <c r="N207" s="67"/>
      <c r="O207" s="64"/>
      <c r="P207" s="72" t="str">
        <f aca="false">IF(OR(B207="",C207=""),"",C207&amp;"|"&amp;(YEAR(B207)*100+MONTH(B207)))</f>
        <v/>
      </c>
      <c r="Q207" s="70" t="str">
        <f aca="false">IF(P207="","",IF(COUNTIF(N_CLAVE,P207)&gt;1,"⚠ Duplicado","OK"))</f>
        <v/>
      </c>
      <c r="R207" s="74" t="str">
        <f aca="false">IF(OR(P207="",U207=""),"",MAX(0,U207-N(E207)-N(F207)-N(H207)))</f>
        <v/>
      </c>
      <c r="S207" s="75" t="str">
        <f aca="false">IF(P207="","",IFERROR(INDEX(T_INGRESO,MATCH(C207,T_ID,0)),""))</f>
        <v/>
      </c>
      <c r="T207" s="75" t="str">
        <f aca="false">IF(P207="","",IFERROR(N(INDEX(T_EGRESO,MATCH(C207,T_ID,0))),0))</f>
        <v/>
      </c>
      <c r="U207" s="73" t="str">
        <f aca="false">IF(OR(P207="",NOT(ISNUMBER(S207))),"",IF(OR(S207&gt;EOMONTH(B207,0),AND(T207&gt;0,T207&lt;B207)),0,IF(AND(S207&lt;=B207,OR(T207=0,T207&gt;=EOMONTH(B207,0))),30,MIN(30,IF(T207=0,EOMONTH(B207,0),MIN(T207,EOMONTH(B207,0)))-MAX(B207,S207)+1))))</f>
        <v/>
      </c>
    </row>
    <row r="208" customFormat="false" ht="15" hidden="false" customHeight="false" outlineLevel="0" collapsed="false">
      <c r="B208" s="78"/>
      <c r="C208" s="64"/>
      <c r="D208" s="70" t="str">
        <f aca="false">IF(C208="","",IFERROR(INDEX(T_NOMBRE,MATCH(C208,T_ID,0)),"⚠ ID no existe"))</f>
        <v/>
      </c>
      <c r="E208" s="69"/>
      <c r="F208" s="69"/>
      <c r="G208" s="69"/>
      <c r="H208" s="69"/>
      <c r="I208" s="66"/>
      <c r="J208" s="69"/>
      <c r="K208" s="67"/>
      <c r="L208" s="67"/>
      <c r="M208" s="67"/>
      <c r="N208" s="67"/>
      <c r="O208" s="64"/>
      <c r="P208" s="72" t="str">
        <f aca="false">IF(OR(B208="",C208=""),"",C208&amp;"|"&amp;(YEAR(B208)*100+MONTH(B208)))</f>
        <v/>
      </c>
      <c r="Q208" s="70" t="str">
        <f aca="false">IF(P208="","",IF(COUNTIF(N_CLAVE,P208)&gt;1,"⚠ Duplicado","OK"))</f>
        <v/>
      </c>
      <c r="R208" s="74" t="str">
        <f aca="false">IF(OR(P208="",U208=""),"",MAX(0,U208-N(E208)-N(F208)-N(H208)))</f>
        <v/>
      </c>
      <c r="S208" s="75" t="str">
        <f aca="false">IF(P208="","",IFERROR(INDEX(T_INGRESO,MATCH(C208,T_ID,0)),""))</f>
        <v/>
      </c>
      <c r="T208" s="75" t="str">
        <f aca="false">IF(P208="","",IFERROR(N(INDEX(T_EGRESO,MATCH(C208,T_ID,0))),0))</f>
        <v/>
      </c>
      <c r="U208" s="73" t="str">
        <f aca="false">IF(OR(P208="",NOT(ISNUMBER(S208))),"",IF(OR(S208&gt;EOMONTH(B208,0),AND(T208&gt;0,T208&lt;B208)),0,IF(AND(S208&lt;=B208,OR(T208=0,T208&gt;=EOMONTH(B208,0))),30,MIN(30,IF(T208=0,EOMONTH(B208,0),MIN(T208,EOMONTH(B208,0)))-MAX(B208,S208)+1))))</f>
        <v/>
      </c>
    </row>
    <row r="209" customFormat="false" ht="15" hidden="false" customHeight="false" outlineLevel="0" collapsed="false">
      <c r="B209" s="78"/>
      <c r="C209" s="64"/>
      <c r="D209" s="70" t="str">
        <f aca="false">IF(C209="","",IFERROR(INDEX(T_NOMBRE,MATCH(C209,T_ID,0)),"⚠ ID no existe"))</f>
        <v/>
      </c>
      <c r="E209" s="69"/>
      <c r="F209" s="69"/>
      <c r="G209" s="69"/>
      <c r="H209" s="69"/>
      <c r="I209" s="66"/>
      <c r="J209" s="69"/>
      <c r="K209" s="67"/>
      <c r="L209" s="67"/>
      <c r="M209" s="67"/>
      <c r="N209" s="67"/>
      <c r="O209" s="64"/>
      <c r="P209" s="72" t="str">
        <f aca="false">IF(OR(B209="",C209=""),"",C209&amp;"|"&amp;(YEAR(B209)*100+MONTH(B209)))</f>
        <v/>
      </c>
      <c r="Q209" s="70" t="str">
        <f aca="false">IF(P209="","",IF(COUNTIF(N_CLAVE,P209)&gt;1,"⚠ Duplicado","OK"))</f>
        <v/>
      </c>
      <c r="R209" s="74" t="str">
        <f aca="false">IF(OR(P209="",U209=""),"",MAX(0,U209-N(E209)-N(F209)-N(H209)))</f>
        <v/>
      </c>
      <c r="S209" s="75" t="str">
        <f aca="false">IF(P209="","",IFERROR(INDEX(T_INGRESO,MATCH(C209,T_ID,0)),""))</f>
        <v/>
      </c>
      <c r="T209" s="75" t="str">
        <f aca="false">IF(P209="","",IFERROR(N(INDEX(T_EGRESO,MATCH(C209,T_ID,0))),0))</f>
        <v/>
      </c>
      <c r="U209" s="73" t="str">
        <f aca="false">IF(OR(P209="",NOT(ISNUMBER(S209))),"",IF(OR(S209&gt;EOMONTH(B209,0),AND(T209&gt;0,T209&lt;B209)),0,IF(AND(S209&lt;=B209,OR(T209=0,T209&gt;=EOMONTH(B209,0))),30,MIN(30,IF(T209=0,EOMONTH(B209,0),MIN(T209,EOMONTH(B209,0)))-MAX(B209,S209)+1))))</f>
        <v/>
      </c>
    </row>
    <row r="210" customFormat="false" ht="15" hidden="false" customHeight="false" outlineLevel="0" collapsed="false">
      <c r="B210" s="78"/>
      <c r="C210" s="64"/>
      <c r="D210" s="70" t="str">
        <f aca="false">IF(C210="","",IFERROR(INDEX(T_NOMBRE,MATCH(C210,T_ID,0)),"⚠ ID no existe"))</f>
        <v/>
      </c>
      <c r="E210" s="69"/>
      <c r="F210" s="69"/>
      <c r="G210" s="69"/>
      <c r="H210" s="69"/>
      <c r="I210" s="66"/>
      <c r="J210" s="69"/>
      <c r="K210" s="67"/>
      <c r="L210" s="67"/>
      <c r="M210" s="67"/>
      <c r="N210" s="67"/>
      <c r="O210" s="64"/>
      <c r="P210" s="72" t="str">
        <f aca="false">IF(OR(B210="",C210=""),"",C210&amp;"|"&amp;(YEAR(B210)*100+MONTH(B210)))</f>
        <v/>
      </c>
      <c r="Q210" s="70" t="str">
        <f aca="false">IF(P210="","",IF(COUNTIF(N_CLAVE,P210)&gt;1,"⚠ Duplicado","OK"))</f>
        <v/>
      </c>
      <c r="R210" s="74" t="str">
        <f aca="false">IF(OR(P210="",U210=""),"",MAX(0,U210-N(E210)-N(F210)-N(H210)))</f>
        <v/>
      </c>
      <c r="S210" s="75" t="str">
        <f aca="false">IF(P210="","",IFERROR(INDEX(T_INGRESO,MATCH(C210,T_ID,0)),""))</f>
        <v/>
      </c>
      <c r="T210" s="75" t="str">
        <f aca="false">IF(P210="","",IFERROR(N(INDEX(T_EGRESO,MATCH(C210,T_ID,0))),0))</f>
        <v/>
      </c>
      <c r="U210" s="73" t="str">
        <f aca="false">IF(OR(P210="",NOT(ISNUMBER(S210))),"",IF(OR(S210&gt;EOMONTH(B210,0),AND(T210&gt;0,T210&lt;B210)),0,IF(AND(S210&lt;=B210,OR(T210=0,T210&gt;=EOMONTH(B210,0))),30,MIN(30,IF(T210=0,EOMONTH(B210,0),MIN(T210,EOMONTH(B210,0)))-MAX(B210,S210)+1))))</f>
        <v/>
      </c>
    </row>
    <row r="211" customFormat="false" ht="15" hidden="false" customHeight="false" outlineLevel="0" collapsed="false">
      <c r="B211" s="78"/>
      <c r="C211" s="64"/>
      <c r="D211" s="70" t="str">
        <f aca="false">IF(C211="","",IFERROR(INDEX(T_NOMBRE,MATCH(C211,T_ID,0)),"⚠ ID no existe"))</f>
        <v/>
      </c>
      <c r="E211" s="69"/>
      <c r="F211" s="69"/>
      <c r="G211" s="69"/>
      <c r="H211" s="69"/>
      <c r="I211" s="66"/>
      <c r="J211" s="69"/>
      <c r="K211" s="67"/>
      <c r="L211" s="67"/>
      <c r="M211" s="67"/>
      <c r="N211" s="67"/>
      <c r="O211" s="64"/>
      <c r="P211" s="72" t="str">
        <f aca="false">IF(OR(B211="",C211=""),"",C211&amp;"|"&amp;(YEAR(B211)*100+MONTH(B211)))</f>
        <v/>
      </c>
      <c r="Q211" s="70" t="str">
        <f aca="false">IF(P211="","",IF(COUNTIF(N_CLAVE,P211)&gt;1,"⚠ Duplicado","OK"))</f>
        <v/>
      </c>
      <c r="R211" s="74" t="str">
        <f aca="false">IF(OR(P211="",U211=""),"",MAX(0,U211-N(E211)-N(F211)-N(H211)))</f>
        <v/>
      </c>
      <c r="S211" s="75" t="str">
        <f aca="false">IF(P211="","",IFERROR(INDEX(T_INGRESO,MATCH(C211,T_ID,0)),""))</f>
        <v/>
      </c>
      <c r="T211" s="75" t="str">
        <f aca="false">IF(P211="","",IFERROR(N(INDEX(T_EGRESO,MATCH(C211,T_ID,0))),0))</f>
        <v/>
      </c>
      <c r="U211" s="73" t="str">
        <f aca="false">IF(OR(P211="",NOT(ISNUMBER(S211))),"",IF(OR(S211&gt;EOMONTH(B211,0),AND(T211&gt;0,T211&lt;B211)),0,IF(AND(S211&lt;=B211,OR(T211=0,T211&gt;=EOMONTH(B211,0))),30,MIN(30,IF(T211=0,EOMONTH(B211,0),MIN(T211,EOMONTH(B211,0)))-MAX(B211,S211)+1))))</f>
        <v/>
      </c>
    </row>
    <row r="212" customFormat="false" ht="15" hidden="false" customHeight="false" outlineLevel="0" collapsed="false">
      <c r="B212" s="78"/>
      <c r="C212" s="64"/>
      <c r="D212" s="70" t="str">
        <f aca="false">IF(C212="","",IFERROR(INDEX(T_NOMBRE,MATCH(C212,T_ID,0)),"⚠ ID no existe"))</f>
        <v/>
      </c>
      <c r="E212" s="69"/>
      <c r="F212" s="69"/>
      <c r="G212" s="69"/>
      <c r="H212" s="69"/>
      <c r="I212" s="66"/>
      <c r="J212" s="69"/>
      <c r="K212" s="67"/>
      <c r="L212" s="67"/>
      <c r="M212" s="67"/>
      <c r="N212" s="67"/>
      <c r="O212" s="64"/>
      <c r="P212" s="72" t="str">
        <f aca="false">IF(OR(B212="",C212=""),"",C212&amp;"|"&amp;(YEAR(B212)*100+MONTH(B212)))</f>
        <v/>
      </c>
      <c r="Q212" s="70" t="str">
        <f aca="false">IF(P212="","",IF(COUNTIF(N_CLAVE,P212)&gt;1,"⚠ Duplicado","OK"))</f>
        <v/>
      </c>
      <c r="R212" s="74" t="str">
        <f aca="false">IF(OR(P212="",U212=""),"",MAX(0,U212-N(E212)-N(F212)-N(H212)))</f>
        <v/>
      </c>
      <c r="S212" s="75" t="str">
        <f aca="false">IF(P212="","",IFERROR(INDEX(T_INGRESO,MATCH(C212,T_ID,0)),""))</f>
        <v/>
      </c>
      <c r="T212" s="75" t="str">
        <f aca="false">IF(P212="","",IFERROR(N(INDEX(T_EGRESO,MATCH(C212,T_ID,0))),0))</f>
        <v/>
      </c>
      <c r="U212" s="73" t="str">
        <f aca="false">IF(OR(P212="",NOT(ISNUMBER(S212))),"",IF(OR(S212&gt;EOMONTH(B212,0),AND(T212&gt;0,T212&lt;B212)),0,IF(AND(S212&lt;=B212,OR(T212=0,T212&gt;=EOMONTH(B212,0))),30,MIN(30,IF(T212=0,EOMONTH(B212,0),MIN(T212,EOMONTH(B212,0)))-MAX(B212,S212)+1))))</f>
        <v/>
      </c>
    </row>
    <row r="213" customFormat="false" ht="15" hidden="false" customHeight="false" outlineLevel="0" collapsed="false">
      <c r="B213" s="78"/>
      <c r="C213" s="64"/>
      <c r="D213" s="70" t="str">
        <f aca="false">IF(C213="","",IFERROR(INDEX(T_NOMBRE,MATCH(C213,T_ID,0)),"⚠ ID no existe"))</f>
        <v/>
      </c>
      <c r="E213" s="69"/>
      <c r="F213" s="69"/>
      <c r="G213" s="69"/>
      <c r="H213" s="69"/>
      <c r="I213" s="66"/>
      <c r="J213" s="69"/>
      <c r="K213" s="67"/>
      <c r="L213" s="67"/>
      <c r="M213" s="67"/>
      <c r="N213" s="67"/>
      <c r="O213" s="64"/>
      <c r="P213" s="72" t="str">
        <f aca="false">IF(OR(B213="",C213=""),"",C213&amp;"|"&amp;(YEAR(B213)*100+MONTH(B213)))</f>
        <v/>
      </c>
      <c r="Q213" s="70" t="str">
        <f aca="false">IF(P213="","",IF(COUNTIF(N_CLAVE,P213)&gt;1,"⚠ Duplicado","OK"))</f>
        <v/>
      </c>
      <c r="R213" s="74" t="str">
        <f aca="false">IF(OR(P213="",U213=""),"",MAX(0,U213-N(E213)-N(F213)-N(H213)))</f>
        <v/>
      </c>
      <c r="S213" s="75" t="str">
        <f aca="false">IF(P213="","",IFERROR(INDEX(T_INGRESO,MATCH(C213,T_ID,0)),""))</f>
        <v/>
      </c>
      <c r="T213" s="75" t="str">
        <f aca="false">IF(P213="","",IFERROR(N(INDEX(T_EGRESO,MATCH(C213,T_ID,0))),0))</f>
        <v/>
      </c>
      <c r="U213" s="73" t="str">
        <f aca="false">IF(OR(P213="",NOT(ISNUMBER(S213))),"",IF(OR(S213&gt;EOMONTH(B213,0),AND(T213&gt;0,T213&lt;B213)),0,IF(AND(S213&lt;=B213,OR(T213=0,T213&gt;=EOMONTH(B213,0))),30,MIN(30,IF(T213=0,EOMONTH(B213,0),MIN(T213,EOMONTH(B213,0)))-MAX(B213,S213)+1))))</f>
        <v/>
      </c>
    </row>
    <row r="214" customFormat="false" ht="15" hidden="false" customHeight="false" outlineLevel="0" collapsed="false">
      <c r="B214" s="78"/>
      <c r="C214" s="64"/>
      <c r="D214" s="70" t="str">
        <f aca="false">IF(C214="","",IFERROR(INDEX(T_NOMBRE,MATCH(C214,T_ID,0)),"⚠ ID no existe"))</f>
        <v/>
      </c>
      <c r="E214" s="69"/>
      <c r="F214" s="69"/>
      <c r="G214" s="69"/>
      <c r="H214" s="69"/>
      <c r="I214" s="66"/>
      <c r="J214" s="69"/>
      <c r="K214" s="67"/>
      <c r="L214" s="67"/>
      <c r="M214" s="67"/>
      <c r="N214" s="67"/>
      <c r="O214" s="64"/>
      <c r="P214" s="72" t="str">
        <f aca="false">IF(OR(B214="",C214=""),"",C214&amp;"|"&amp;(YEAR(B214)*100+MONTH(B214)))</f>
        <v/>
      </c>
      <c r="Q214" s="70" t="str">
        <f aca="false">IF(P214="","",IF(COUNTIF(N_CLAVE,P214)&gt;1,"⚠ Duplicado","OK"))</f>
        <v/>
      </c>
      <c r="R214" s="74" t="str">
        <f aca="false">IF(OR(P214="",U214=""),"",MAX(0,U214-N(E214)-N(F214)-N(H214)))</f>
        <v/>
      </c>
      <c r="S214" s="75" t="str">
        <f aca="false">IF(P214="","",IFERROR(INDEX(T_INGRESO,MATCH(C214,T_ID,0)),""))</f>
        <v/>
      </c>
      <c r="T214" s="75" t="str">
        <f aca="false">IF(P214="","",IFERROR(N(INDEX(T_EGRESO,MATCH(C214,T_ID,0))),0))</f>
        <v/>
      </c>
      <c r="U214" s="73" t="str">
        <f aca="false">IF(OR(P214="",NOT(ISNUMBER(S214))),"",IF(OR(S214&gt;EOMONTH(B214,0),AND(T214&gt;0,T214&lt;B214)),0,IF(AND(S214&lt;=B214,OR(T214=0,T214&gt;=EOMONTH(B214,0))),30,MIN(30,IF(T214=0,EOMONTH(B214,0),MIN(T214,EOMONTH(B214,0)))-MAX(B214,S214)+1))))</f>
        <v/>
      </c>
    </row>
    <row r="215" customFormat="false" ht="15" hidden="false" customHeight="false" outlineLevel="0" collapsed="false">
      <c r="B215" s="78"/>
      <c r="C215" s="64"/>
      <c r="D215" s="70" t="str">
        <f aca="false">IF(C215="","",IFERROR(INDEX(T_NOMBRE,MATCH(C215,T_ID,0)),"⚠ ID no existe"))</f>
        <v/>
      </c>
      <c r="E215" s="69"/>
      <c r="F215" s="69"/>
      <c r="G215" s="69"/>
      <c r="H215" s="69"/>
      <c r="I215" s="66"/>
      <c r="J215" s="69"/>
      <c r="K215" s="67"/>
      <c r="L215" s="67"/>
      <c r="M215" s="67"/>
      <c r="N215" s="67"/>
      <c r="O215" s="64"/>
      <c r="P215" s="72" t="str">
        <f aca="false">IF(OR(B215="",C215=""),"",C215&amp;"|"&amp;(YEAR(B215)*100+MONTH(B215)))</f>
        <v/>
      </c>
      <c r="Q215" s="70" t="str">
        <f aca="false">IF(P215="","",IF(COUNTIF(N_CLAVE,P215)&gt;1,"⚠ Duplicado","OK"))</f>
        <v/>
      </c>
      <c r="R215" s="74" t="str">
        <f aca="false">IF(OR(P215="",U215=""),"",MAX(0,U215-N(E215)-N(F215)-N(H215)))</f>
        <v/>
      </c>
      <c r="S215" s="75" t="str">
        <f aca="false">IF(P215="","",IFERROR(INDEX(T_INGRESO,MATCH(C215,T_ID,0)),""))</f>
        <v/>
      </c>
      <c r="T215" s="75" t="str">
        <f aca="false">IF(P215="","",IFERROR(N(INDEX(T_EGRESO,MATCH(C215,T_ID,0))),0))</f>
        <v/>
      </c>
      <c r="U215" s="73" t="str">
        <f aca="false">IF(OR(P215="",NOT(ISNUMBER(S215))),"",IF(OR(S215&gt;EOMONTH(B215,0),AND(T215&gt;0,T215&lt;B215)),0,IF(AND(S215&lt;=B215,OR(T215=0,T215&gt;=EOMONTH(B215,0))),30,MIN(30,IF(T215=0,EOMONTH(B215,0),MIN(T215,EOMONTH(B215,0)))-MAX(B215,S215)+1))))</f>
        <v/>
      </c>
    </row>
    <row r="216" customFormat="false" ht="15" hidden="false" customHeight="false" outlineLevel="0" collapsed="false">
      <c r="B216" s="78"/>
      <c r="C216" s="64"/>
      <c r="D216" s="70" t="str">
        <f aca="false">IF(C216="","",IFERROR(INDEX(T_NOMBRE,MATCH(C216,T_ID,0)),"⚠ ID no existe"))</f>
        <v/>
      </c>
      <c r="E216" s="69"/>
      <c r="F216" s="69"/>
      <c r="G216" s="69"/>
      <c r="H216" s="69"/>
      <c r="I216" s="66"/>
      <c r="J216" s="69"/>
      <c r="K216" s="67"/>
      <c r="L216" s="67"/>
      <c r="M216" s="67"/>
      <c r="N216" s="67"/>
      <c r="O216" s="64"/>
      <c r="P216" s="72" t="str">
        <f aca="false">IF(OR(B216="",C216=""),"",C216&amp;"|"&amp;(YEAR(B216)*100+MONTH(B216)))</f>
        <v/>
      </c>
      <c r="Q216" s="70" t="str">
        <f aca="false">IF(P216="","",IF(COUNTIF(N_CLAVE,P216)&gt;1,"⚠ Duplicado","OK"))</f>
        <v/>
      </c>
      <c r="R216" s="74" t="str">
        <f aca="false">IF(OR(P216="",U216=""),"",MAX(0,U216-N(E216)-N(F216)-N(H216)))</f>
        <v/>
      </c>
      <c r="S216" s="75" t="str">
        <f aca="false">IF(P216="","",IFERROR(INDEX(T_INGRESO,MATCH(C216,T_ID,0)),""))</f>
        <v/>
      </c>
      <c r="T216" s="75" t="str">
        <f aca="false">IF(P216="","",IFERROR(N(INDEX(T_EGRESO,MATCH(C216,T_ID,0))),0))</f>
        <v/>
      </c>
      <c r="U216" s="73" t="str">
        <f aca="false">IF(OR(P216="",NOT(ISNUMBER(S216))),"",IF(OR(S216&gt;EOMONTH(B216,0),AND(T216&gt;0,T216&lt;B216)),0,IF(AND(S216&lt;=B216,OR(T216=0,T216&gt;=EOMONTH(B216,0))),30,MIN(30,IF(T216=0,EOMONTH(B216,0),MIN(T216,EOMONTH(B216,0)))-MAX(B216,S216)+1))))</f>
        <v/>
      </c>
    </row>
    <row r="217" customFormat="false" ht="15" hidden="false" customHeight="false" outlineLevel="0" collapsed="false">
      <c r="B217" s="78"/>
      <c r="C217" s="64"/>
      <c r="D217" s="70" t="str">
        <f aca="false">IF(C217="","",IFERROR(INDEX(T_NOMBRE,MATCH(C217,T_ID,0)),"⚠ ID no existe"))</f>
        <v/>
      </c>
      <c r="E217" s="69"/>
      <c r="F217" s="69"/>
      <c r="G217" s="69"/>
      <c r="H217" s="69"/>
      <c r="I217" s="66"/>
      <c r="J217" s="69"/>
      <c r="K217" s="67"/>
      <c r="L217" s="67"/>
      <c r="M217" s="67"/>
      <c r="N217" s="67"/>
      <c r="O217" s="64"/>
      <c r="P217" s="72" t="str">
        <f aca="false">IF(OR(B217="",C217=""),"",C217&amp;"|"&amp;(YEAR(B217)*100+MONTH(B217)))</f>
        <v/>
      </c>
      <c r="Q217" s="70" t="str">
        <f aca="false">IF(P217="","",IF(COUNTIF(N_CLAVE,P217)&gt;1,"⚠ Duplicado","OK"))</f>
        <v/>
      </c>
      <c r="R217" s="74" t="str">
        <f aca="false">IF(OR(P217="",U217=""),"",MAX(0,U217-N(E217)-N(F217)-N(H217)))</f>
        <v/>
      </c>
      <c r="S217" s="75" t="str">
        <f aca="false">IF(P217="","",IFERROR(INDEX(T_INGRESO,MATCH(C217,T_ID,0)),""))</f>
        <v/>
      </c>
      <c r="T217" s="75" t="str">
        <f aca="false">IF(P217="","",IFERROR(N(INDEX(T_EGRESO,MATCH(C217,T_ID,0))),0))</f>
        <v/>
      </c>
      <c r="U217" s="73" t="str">
        <f aca="false">IF(OR(P217="",NOT(ISNUMBER(S217))),"",IF(OR(S217&gt;EOMONTH(B217,0),AND(T217&gt;0,T217&lt;B217)),0,IF(AND(S217&lt;=B217,OR(T217=0,T217&gt;=EOMONTH(B217,0))),30,MIN(30,IF(T217=0,EOMONTH(B217,0),MIN(T217,EOMONTH(B217,0)))-MAX(B217,S217)+1))))</f>
        <v/>
      </c>
    </row>
    <row r="218" customFormat="false" ht="15" hidden="false" customHeight="false" outlineLevel="0" collapsed="false">
      <c r="B218" s="78"/>
      <c r="C218" s="64"/>
      <c r="D218" s="70" t="str">
        <f aca="false">IF(C218="","",IFERROR(INDEX(T_NOMBRE,MATCH(C218,T_ID,0)),"⚠ ID no existe"))</f>
        <v/>
      </c>
      <c r="E218" s="69"/>
      <c r="F218" s="69"/>
      <c r="G218" s="69"/>
      <c r="H218" s="69"/>
      <c r="I218" s="66"/>
      <c r="J218" s="69"/>
      <c r="K218" s="67"/>
      <c r="L218" s="67"/>
      <c r="M218" s="67"/>
      <c r="N218" s="67"/>
      <c r="O218" s="64"/>
      <c r="P218" s="72" t="str">
        <f aca="false">IF(OR(B218="",C218=""),"",C218&amp;"|"&amp;(YEAR(B218)*100+MONTH(B218)))</f>
        <v/>
      </c>
      <c r="Q218" s="70" t="str">
        <f aca="false">IF(P218="","",IF(COUNTIF(N_CLAVE,P218)&gt;1,"⚠ Duplicado","OK"))</f>
        <v/>
      </c>
      <c r="R218" s="74" t="str">
        <f aca="false">IF(OR(P218="",U218=""),"",MAX(0,U218-N(E218)-N(F218)-N(H218)))</f>
        <v/>
      </c>
      <c r="S218" s="75" t="str">
        <f aca="false">IF(P218="","",IFERROR(INDEX(T_INGRESO,MATCH(C218,T_ID,0)),""))</f>
        <v/>
      </c>
      <c r="T218" s="75" t="str">
        <f aca="false">IF(P218="","",IFERROR(N(INDEX(T_EGRESO,MATCH(C218,T_ID,0))),0))</f>
        <v/>
      </c>
      <c r="U218" s="73" t="str">
        <f aca="false">IF(OR(P218="",NOT(ISNUMBER(S218))),"",IF(OR(S218&gt;EOMONTH(B218,0),AND(T218&gt;0,T218&lt;B218)),0,IF(AND(S218&lt;=B218,OR(T218=0,T218&gt;=EOMONTH(B218,0))),30,MIN(30,IF(T218=0,EOMONTH(B218,0),MIN(T218,EOMONTH(B218,0)))-MAX(B218,S218)+1))))</f>
        <v/>
      </c>
    </row>
    <row r="219" customFormat="false" ht="15" hidden="false" customHeight="false" outlineLevel="0" collapsed="false">
      <c r="B219" s="78"/>
      <c r="C219" s="64"/>
      <c r="D219" s="70" t="str">
        <f aca="false">IF(C219="","",IFERROR(INDEX(T_NOMBRE,MATCH(C219,T_ID,0)),"⚠ ID no existe"))</f>
        <v/>
      </c>
      <c r="E219" s="69"/>
      <c r="F219" s="69"/>
      <c r="G219" s="69"/>
      <c r="H219" s="69"/>
      <c r="I219" s="66"/>
      <c r="J219" s="69"/>
      <c r="K219" s="67"/>
      <c r="L219" s="67"/>
      <c r="M219" s="67"/>
      <c r="N219" s="67"/>
      <c r="O219" s="64"/>
      <c r="P219" s="72" t="str">
        <f aca="false">IF(OR(B219="",C219=""),"",C219&amp;"|"&amp;(YEAR(B219)*100+MONTH(B219)))</f>
        <v/>
      </c>
      <c r="Q219" s="70" t="str">
        <f aca="false">IF(P219="","",IF(COUNTIF(N_CLAVE,P219)&gt;1,"⚠ Duplicado","OK"))</f>
        <v/>
      </c>
      <c r="R219" s="74" t="str">
        <f aca="false">IF(OR(P219="",U219=""),"",MAX(0,U219-N(E219)-N(F219)-N(H219)))</f>
        <v/>
      </c>
      <c r="S219" s="75" t="str">
        <f aca="false">IF(P219="","",IFERROR(INDEX(T_INGRESO,MATCH(C219,T_ID,0)),""))</f>
        <v/>
      </c>
      <c r="T219" s="75" t="str">
        <f aca="false">IF(P219="","",IFERROR(N(INDEX(T_EGRESO,MATCH(C219,T_ID,0))),0))</f>
        <v/>
      </c>
      <c r="U219" s="73" t="str">
        <f aca="false">IF(OR(P219="",NOT(ISNUMBER(S219))),"",IF(OR(S219&gt;EOMONTH(B219,0),AND(T219&gt;0,T219&lt;B219)),0,IF(AND(S219&lt;=B219,OR(T219=0,T219&gt;=EOMONTH(B219,0))),30,MIN(30,IF(T219=0,EOMONTH(B219,0),MIN(T219,EOMONTH(B219,0)))-MAX(B219,S219)+1))))</f>
        <v/>
      </c>
    </row>
    <row r="220" customFormat="false" ht="15" hidden="false" customHeight="false" outlineLevel="0" collapsed="false">
      <c r="B220" s="78"/>
      <c r="C220" s="64"/>
      <c r="D220" s="70" t="str">
        <f aca="false">IF(C220="","",IFERROR(INDEX(T_NOMBRE,MATCH(C220,T_ID,0)),"⚠ ID no existe"))</f>
        <v/>
      </c>
      <c r="E220" s="69"/>
      <c r="F220" s="69"/>
      <c r="G220" s="69"/>
      <c r="H220" s="69"/>
      <c r="I220" s="66"/>
      <c r="J220" s="69"/>
      <c r="K220" s="67"/>
      <c r="L220" s="67"/>
      <c r="M220" s="67"/>
      <c r="N220" s="67"/>
      <c r="O220" s="64"/>
      <c r="P220" s="72" t="str">
        <f aca="false">IF(OR(B220="",C220=""),"",C220&amp;"|"&amp;(YEAR(B220)*100+MONTH(B220)))</f>
        <v/>
      </c>
      <c r="Q220" s="70" t="str">
        <f aca="false">IF(P220="","",IF(COUNTIF(N_CLAVE,P220)&gt;1,"⚠ Duplicado","OK"))</f>
        <v/>
      </c>
      <c r="R220" s="74" t="str">
        <f aca="false">IF(OR(P220="",U220=""),"",MAX(0,U220-N(E220)-N(F220)-N(H220)))</f>
        <v/>
      </c>
      <c r="S220" s="75" t="str">
        <f aca="false">IF(P220="","",IFERROR(INDEX(T_INGRESO,MATCH(C220,T_ID,0)),""))</f>
        <v/>
      </c>
      <c r="T220" s="75" t="str">
        <f aca="false">IF(P220="","",IFERROR(N(INDEX(T_EGRESO,MATCH(C220,T_ID,0))),0))</f>
        <v/>
      </c>
      <c r="U220" s="73" t="str">
        <f aca="false">IF(OR(P220="",NOT(ISNUMBER(S220))),"",IF(OR(S220&gt;EOMONTH(B220,0),AND(T220&gt;0,T220&lt;B220)),0,IF(AND(S220&lt;=B220,OR(T220=0,T220&gt;=EOMONTH(B220,0))),30,MIN(30,IF(T220=0,EOMONTH(B220,0),MIN(T220,EOMONTH(B220,0)))-MAX(B220,S220)+1))))</f>
        <v/>
      </c>
    </row>
    <row r="221" customFormat="false" ht="15" hidden="false" customHeight="false" outlineLevel="0" collapsed="false">
      <c r="B221" s="78"/>
      <c r="C221" s="64"/>
      <c r="D221" s="70" t="str">
        <f aca="false">IF(C221="","",IFERROR(INDEX(T_NOMBRE,MATCH(C221,T_ID,0)),"⚠ ID no existe"))</f>
        <v/>
      </c>
      <c r="E221" s="69"/>
      <c r="F221" s="69"/>
      <c r="G221" s="69"/>
      <c r="H221" s="69"/>
      <c r="I221" s="66"/>
      <c r="J221" s="69"/>
      <c r="K221" s="67"/>
      <c r="L221" s="67"/>
      <c r="M221" s="67"/>
      <c r="N221" s="67"/>
      <c r="O221" s="64"/>
      <c r="P221" s="72" t="str">
        <f aca="false">IF(OR(B221="",C221=""),"",C221&amp;"|"&amp;(YEAR(B221)*100+MONTH(B221)))</f>
        <v/>
      </c>
      <c r="Q221" s="70" t="str">
        <f aca="false">IF(P221="","",IF(COUNTIF(N_CLAVE,P221)&gt;1,"⚠ Duplicado","OK"))</f>
        <v/>
      </c>
      <c r="R221" s="74" t="str">
        <f aca="false">IF(OR(P221="",U221=""),"",MAX(0,U221-N(E221)-N(F221)-N(H221)))</f>
        <v/>
      </c>
      <c r="S221" s="75" t="str">
        <f aca="false">IF(P221="","",IFERROR(INDEX(T_INGRESO,MATCH(C221,T_ID,0)),""))</f>
        <v/>
      </c>
      <c r="T221" s="75" t="str">
        <f aca="false">IF(P221="","",IFERROR(N(INDEX(T_EGRESO,MATCH(C221,T_ID,0))),0))</f>
        <v/>
      </c>
      <c r="U221" s="73" t="str">
        <f aca="false">IF(OR(P221="",NOT(ISNUMBER(S221))),"",IF(OR(S221&gt;EOMONTH(B221,0),AND(T221&gt;0,T221&lt;B221)),0,IF(AND(S221&lt;=B221,OR(T221=0,T221&gt;=EOMONTH(B221,0))),30,MIN(30,IF(T221=0,EOMONTH(B221,0),MIN(T221,EOMONTH(B221,0)))-MAX(B221,S221)+1))))</f>
        <v/>
      </c>
    </row>
    <row r="222" customFormat="false" ht="15" hidden="false" customHeight="false" outlineLevel="0" collapsed="false">
      <c r="B222" s="78"/>
      <c r="C222" s="64"/>
      <c r="D222" s="70" t="str">
        <f aca="false">IF(C222="","",IFERROR(INDEX(T_NOMBRE,MATCH(C222,T_ID,0)),"⚠ ID no existe"))</f>
        <v/>
      </c>
      <c r="E222" s="69"/>
      <c r="F222" s="69"/>
      <c r="G222" s="69"/>
      <c r="H222" s="69"/>
      <c r="I222" s="66"/>
      <c r="J222" s="69"/>
      <c r="K222" s="67"/>
      <c r="L222" s="67"/>
      <c r="M222" s="67"/>
      <c r="N222" s="67"/>
      <c r="O222" s="64"/>
      <c r="P222" s="72" t="str">
        <f aca="false">IF(OR(B222="",C222=""),"",C222&amp;"|"&amp;(YEAR(B222)*100+MONTH(B222)))</f>
        <v/>
      </c>
      <c r="Q222" s="70" t="str">
        <f aca="false">IF(P222="","",IF(COUNTIF(N_CLAVE,P222)&gt;1,"⚠ Duplicado","OK"))</f>
        <v/>
      </c>
      <c r="R222" s="74" t="str">
        <f aca="false">IF(OR(P222="",U222=""),"",MAX(0,U222-N(E222)-N(F222)-N(H222)))</f>
        <v/>
      </c>
      <c r="S222" s="75" t="str">
        <f aca="false">IF(P222="","",IFERROR(INDEX(T_INGRESO,MATCH(C222,T_ID,0)),""))</f>
        <v/>
      </c>
      <c r="T222" s="75" t="str">
        <f aca="false">IF(P222="","",IFERROR(N(INDEX(T_EGRESO,MATCH(C222,T_ID,0))),0))</f>
        <v/>
      </c>
      <c r="U222" s="73" t="str">
        <f aca="false">IF(OR(P222="",NOT(ISNUMBER(S222))),"",IF(OR(S222&gt;EOMONTH(B222,0),AND(T222&gt;0,T222&lt;B222)),0,IF(AND(S222&lt;=B222,OR(T222=0,T222&gt;=EOMONTH(B222,0))),30,MIN(30,IF(T222=0,EOMONTH(B222,0),MIN(T222,EOMONTH(B222,0)))-MAX(B222,S222)+1))))</f>
        <v/>
      </c>
    </row>
    <row r="223" customFormat="false" ht="15" hidden="false" customHeight="false" outlineLevel="0" collapsed="false">
      <c r="B223" s="78"/>
      <c r="C223" s="64"/>
      <c r="D223" s="70" t="str">
        <f aca="false">IF(C223="","",IFERROR(INDEX(T_NOMBRE,MATCH(C223,T_ID,0)),"⚠ ID no existe"))</f>
        <v/>
      </c>
      <c r="E223" s="69"/>
      <c r="F223" s="69"/>
      <c r="G223" s="69"/>
      <c r="H223" s="69"/>
      <c r="I223" s="66"/>
      <c r="J223" s="69"/>
      <c r="K223" s="67"/>
      <c r="L223" s="67"/>
      <c r="M223" s="67"/>
      <c r="N223" s="67"/>
      <c r="O223" s="64"/>
      <c r="P223" s="72" t="str">
        <f aca="false">IF(OR(B223="",C223=""),"",C223&amp;"|"&amp;(YEAR(B223)*100+MONTH(B223)))</f>
        <v/>
      </c>
      <c r="Q223" s="70" t="str">
        <f aca="false">IF(P223="","",IF(COUNTIF(N_CLAVE,P223)&gt;1,"⚠ Duplicado","OK"))</f>
        <v/>
      </c>
      <c r="R223" s="74" t="str">
        <f aca="false">IF(OR(P223="",U223=""),"",MAX(0,U223-N(E223)-N(F223)-N(H223)))</f>
        <v/>
      </c>
      <c r="S223" s="75" t="str">
        <f aca="false">IF(P223="","",IFERROR(INDEX(T_INGRESO,MATCH(C223,T_ID,0)),""))</f>
        <v/>
      </c>
      <c r="T223" s="75" t="str">
        <f aca="false">IF(P223="","",IFERROR(N(INDEX(T_EGRESO,MATCH(C223,T_ID,0))),0))</f>
        <v/>
      </c>
      <c r="U223" s="73" t="str">
        <f aca="false">IF(OR(P223="",NOT(ISNUMBER(S223))),"",IF(OR(S223&gt;EOMONTH(B223,0),AND(T223&gt;0,T223&lt;B223)),0,IF(AND(S223&lt;=B223,OR(T223=0,T223&gt;=EOMONTH(B223,0))),30,MIN(30,IF(T223=0,EOMONTH(B223,0),MIN(T223,EOMONTH(B223,0)))-MAX(B223,S223)+1))))</f>
        <v/>
      </c>
    </row>
    <row r="224" customFormat="false" ht="15" hidden="false" customHeight="false" outlineLevel="0" collapsed="false">
      <c r="B224" s="78"/>
      <c r="C224" s="64"/>
      <c r="D224" s="70" t="str">
        <f aca="false">IF(C224="","",IFERROR(INDEX(T_NOMBRE,MATCH(C224,T_ID,0)),"⚠ ID no existe"))</f>
        <v/>
      </c>
      <c r="E224" s="69"/>
      <c r="F224" s="69"/>
      <c r="G224" s="69"/>
      <c r="H224" s="69"/>
      <c r="I224" s="66"/>
      <c r="J224" s="69"/>
      <c r="K224" s="67"/>
      <c r="L224" s="67"/>
      <c r="M224" s="67"/>
      <c r="N224" s="67"/>
      <c r="O224" s="64"/>
      <c r="P224" s="72" t="str">
        <f aca="false">IF(OR(B224="",C224=""),"",C224&amp;"|"&amp;(YEAR(B224)*100+MONTH(B224)))</f>
        <v/>
      </c>
      <c r="Q224" s="70" t="str">
        <f aca="false">IF(P224="","",IF(COUNTIF(N_CLAVE,P224)&gt;1,"⚠ Duplicado","OK"))</f>
        <v/>
      </c>
      <c r="R224" s="74" t="str">
        <f aca="false">IF(OR(P224="",U224=""),"",MAX(0,U224-N(E224)-N(F224)-N(H224)))</f>
        <v/>
      </c>
      <c r="S224" s="75" t="str">
        <f aca="false">IF(P224="","",IFERROR(INDEX(T_INGRESO,MATCH(C224,T_ID,0)),""))</f>
        <v/>
      </c>
      <c r="T224" s="75" t="str">
        <f aca="false">IF(P224="","",IFERROR(N(INDEX(T_EGRESO,MATCH(C224,T_ID,0))),0))</f>
        <v/>
      </c>
      <c r="U224" s="73" t="str">
        <f aca="false">IF(OR(P224="",NOT(ISNUMBER(S224))),"",IF(OR(S224&gt;EOMONTH(B224,0),AND(T224&gt;0,T224&lt;B224)),0,IF(AND(S224&lt;=B224,OR(T224=0,T224&gt;=EOMONTH(B224,0))),30,MIN(30,IF(T224=0,EOMONTH(B224,0),MIN(T224,EOMONTH(B224,0)))-MAX(B224,S224)+1))))</f>
        <v/>
      </c>
    </row>
    <row r="225" customFormat="false" ht="15" hidden="false" customHeight="false" outlineLevel="0" collapsed="false">
      <c r="B225" s="78"/>
      <c r="C225" s="64"/>
      <c r="D225" s="70" t="str">
        <f aca="false">IF(C225="","",IFERROR(INDEX(T_NOMBRE,MATCH(C225,T_ID,0)),"⚠ ID no existe"))</f>
        <v/>
      </c>
      <c r="E225" s="69"/>
      <c r="F225" s="69"/>
      <c r="G225" s="69"/>
      <c r="H225" s="69"/>
      <c r="I225" s="66"/>
      <c r="J225" s="69"/>
      <c r="K225" s="67"/>
      <c r="L225" s="67"/>
      <c r="M225" s="67"/>
      <c r="N225" s="67"/>
      <c r="O225" s="64"/>
      <c r="P225" s="72" t="str">
        <f aca="false">IF(OR(B225="",C225=""),"",C225&amp;"|"&amp;(YEAR(B225)*100+MONTH(B225)))</f>
        <v/>
      </c>
      <c r="Q225" s="70" t="str">
        <f aca="false">IF(P225="","",IF(COUNTIF(N_CLAVE,P225)&gt;1,"⚠ Duplicado","OK"))</f>
        <v/>
      </c>
      <c r="R225" s="74" t="str">
        <f aca="false">IF(OR(P225="",U225=""),"",MAX(0,U225-N(E225)-N(F225)-N(H225)))</f>
        <v/>
      </c>
      <c r="S225" s="75" t="str">
        <f aca="false">IF(P225="","",IFERROR(INDEX(T_INGRESO,MATCH(C225,T_ID,0)),""))</f>
        <v/>
      </c>
      <c r="T225" s="75" t="str">
        <f aca="false">IF(P225="","",IFERROR(N(INDEX(T_EGRESO,MATCH(C225,T_ID,0))),0))</f>
        <v/>
      </c>
      <c r="U225" s="73" t="str">
        <f aca="false">IF(OR(P225="",NOT(ISNUMBER(S225))),"",IF(OR(S225&gt;EOMONTH(B225,0),AND(T225&gt;0,T225&lt;B225)),0,IF(AND(S225&lt;=B225,OR(T225=0,T225&gt;=EOMONTH(B225,0))),30,MIN(30,IF(T225=0,EOMONTH(B225,0),MIN(T225,EOMONTH(B225,0)))-MAX(B225,S225)+1))))</f>
        <v/>
      </c>
    </row>
    <row r="226" customFormat="false" ht="15" hidden="false" customHeight="false" outlineLevel="0" collapsed="false">
      <c r="B226" s="78"/>
      <c r="C226" s="64"/>
      <c r="D226" s="70" t="str">
        <f aca="false">IF(C226="","",IFERROR(INDEX(T_NOMBRE,MATCH(C226,T_ID,0)),"⚠ ID no existe"))</f>
        <v/>
      </c>
      <c r="E226" s="69"/>
      <c r="F226" s="69"/>
      <c r="G226" s="69"/>
      <c r="H226" s="69"/>
      <c r="I226" s="66"/>
      <c r="J226" s="69"/>
      <c r="K226" s="67"/>
      <c r="L226" s="67"/>
      <c r="M226" s="67"/>
      <c r="N226" s="67"/>
      <c r="O226" s="64"/>
      <c r="P226" s="72" t="str">
        <f aca="false">IF(OR(B226="",C226=""),"",C226&amp;"|"&amp;(YEAR(B226)*100+MONTH(B226)))</f>
        <v/>
      </c>
      <c r="Q226" s="70" t="str">
        <f aca="false">IF(P226="","",IF(COUNTIF(N_CLAVE,P226)&gt;1,"⚠ Duplicado","OK"))</f>
        <v/>
      </c>
      <c r="R226" s="74" t="str">
        <f aca="false">IF(OR(P226="",U226=""),"",MAX(0,U226-N(E226)-N(F226)-N(H226)))</f>
        <v/>
      </c>
      <c r="S226" s="75" t="str">
        <f aca="false">IF(P226="","",IFERROR(INDEX(T_INGRESO,MATCH(C226,T_ID,0)),""))</f>
        <v/>
      </c>
      <c r="T226" s="75" t="str">
        <f aca="false">IF(P226="","",IFERROR(N(INDEX(T_EGRESO,MATCH(C226,T_ID,0))),0))</f>
        <v/>
      </c>
      <c r="U226" s="73" t="str">
        <f aca="false">IF(OR(P226="",NOT(ISNUMBER(S226))),"",IF(OR(S226&gt;EOMONTH(B226,0),AND(T226&gt;0,T226&lt;B226)),0,IF(AND(S226&lt;=B226,OR(T226=0,T226&gt;=EOMONTH(B226,0))),30,MIN(30,IF(T226=0,EOMONTH(B226,0),MIN(T226,EOMONTH(B226,0)))-MAX(B226,S226)+1))))</f>
        <v/>
      </c>
    </row>
    <row r="227" customFormat="false" ht="15" hidden="false" customHeight="false" outlineLevel="0" collapsed="false">
      <c r="B227" s="78"/>
      <c r="C227" s="64"/>
      <c r="D227" s="70" t="str">
        <f aca="false">IF(C227="","",IFERROR(INDEX(T_NOMBRE,MATCH(C227,T_ID,0)),"⚠ ID no existe"))</f>
        <v/>
      </c>
      <c r="E227" s="69"/>
      <c r="F227" s="69"/>
      <c r="G227" s="69"/>
      <c r="H227" s="69"/>
      <c r="I227" s="66"/>
      <c r="J227" s="69"/>
      <c r="K227" s="67"/>
      <c r="L227" s="67"/>
      <c r="M227" s="67"/>
      <c r="N227" s="67"/>
      <c r="O227" s="64"/>
      <c r="P227" s="72" t="str">
        <f aca="false">IF(OR(B227="",C227=""),"",C227&amp;"|"&amp;(YEAR(B227)*100+MONTH(B227)))</f>
        <v/>
      </c>
      <c r="Q227" s="70" t="str">
        <f aca="false">IF(P227="","",IF(COUNTIF(N_CLAVE,P227)&gt;1,"⚠ Duplicado","OK"))</f>
        <v/>
      </c>
      <c r="R227" s="74" t="str">
        <f aca="false">IF(OR(P227="",U227=""),"",MAX(0,U227-N(E227)-N(F227)-N(H227)))</f>
        <v/>
      </c>
      <c r="S227" s="75" t="str">
        <f aca="false">IF(P227="","",IFERROR(INDEX(T_INGRESO,MATCH(C227,T_ID,0)),""))</f>
        <v/>
      </c>
      <c r="T227" s="75" t="str">
        <f aca="false">IF(P227="","",IFERROR(N(INDEX(T_EGRESO,MATCH(C227,T_ID,0))),0))</f>
        <v/>
      </c>
      <c r="U227" s="73" t="str">
        <f aca="false">IF(OR(P227="",NOT(ISNUMBER(S227))),"",IF(OR(S227&gt;EOMONTH(B227,0),AND(T227&gt;0,T227&lt;B227)),0,IF(AND(S227&lt;=B227,OR(T227=0,T227&gt;=EOMONTH(B227,0))),30,MIN(30,IF(T227=0,EOMONTH(B227,0),MIN(T227,EOMONTH(B227,0)))-MAX(B227,S227)+1))))</f>
        <v/>
      </c>
    </row>
    <row r="228" customFormat="false" ht="15" hidden="false" customHeight="false" outlineLevel="0" collapsed="false">
      <c r="B228" s="78"/>
      <c r="C228" s="64"/>
      <c r="D228" s="70" t="str">
        <f aca="false">IF(C228="","",IFERROR(INDEX(T_NOMBRE,MATCH(C228,T_ID,0)),"⚠ ID no existe"))</f>
        <v/>
      </c>
      <c r="E228" s="69"/>
      <c r="F228" s="69"/>
      <c r="G228" s="69"/>
      <c r="H228" s="69"/>
      <c r="I228" s="66"/>
      <c r="J228" s="69"/>
      <c r="K228" s="67"/>
      <c r="L228" s="67"/>
      <c r="M228" s="67"/>
      <c r="N228" s="67"/>
      <c r="O228" s="64"/>
      <c r="P228" s="72" t="str">
        <f aca="false">IF(OR(B228="",C228=""),"",C228&amp;"|"&amp;(YEAR(B228)*100+MONTH(B228)))</f>
        <v/>
      </c>
      <c r="Q228" s="70" t="str">
        <f aca="false">IF(P228="","",IF(COUNTIF(N_CLAVE,P228)&gt;1,"⚠ Duplicado","OK"))</f>
        <v/>
      </c>
      <c r="R228" s="74" t="str">
        <f aca="false">IF(OR(P228="",U228=""),"",MAX(0,U228-N(E228)-N(F228)-N(H228)))</f>
        <v/>
      </c>
      <c r="S228" s="75" t="str">
        <f aca="false">IF(P228="","",IFERROR(INDEX(T_INGRESO,MATCH(C228,T_ID,0)),""))</f>
        <v/>
      </c>
      <c r="T228" s="75" t="str">
        <f aca="false">IF(P228="","",IFERROR(N(INDEX(T_EGRESO,MATCH(C228,T_ID,0))),0))</f>
        <v/>
      </c>
      <c r="U228" s="73" t="str">
        <f aca="false">IF(OR(P228="",NOT(ISNUMBER(S228))),"",IF(OR(S228&gt;EOMONTH(B228,0),AND(T228&gt;0,T228&lt;B228)),0,IF(AND(S228&lt;=B228,OR(T228=0,T228&gt;=EOMONTH(B228,0))),30,MIN(30,IF(T228=0,EOMONTH(B228,0),MIN(T228,EOMONTH(B228,0)))-MAX(B228,S228)+1))))</f>
        <v/>
      </c>
    </row>
    <row r="229" customFormat="false" ht="15" hidden="false" customHeight="false" outlineLevel="0" collapsed="false">
      <c r="B229" s="78"/>
      <c r="C229" s="64"/>
      <c r="D229" s="70" t="str">
        <f aca="false">IF(C229="","",IFERROR(INDEX(T_NOMBRE,MATCH(C229,T_ID,0)),"⚠ ID no existe"))</f>
        <v/>
      </c>
      <c r="E229" s="69"/>
      <c r="F229" s="69"/>
      <c r="G229" s="69"/>
      <c r="H229" s="69"/>
      <c r="I229" s="66"/>
      <c r="J229" s="69"/>
      <c r="K229" s="67"/>
      <c r="L229" s="67"/>
      <c r="M229" s="67"/>
      <c r="N229" s="67"/>
      <c r="O229" s="64"/>
      <c r="P229" s="72" t="str">
        <f aca="false">IF(OR(B229="",C229=""),"",C229&amp;"|"&amp;(YEAR(B229)*100+MONTH(B229)))</f>
        <v/>
      </c>
      <c r="Q229" s="70" t="str">
        <f aca="false">IF(P229="","",IF(COUNTIF(N_CLAVE,P229)&gt;1,"⚠ Duplicado","OK"))</f>
        <v/>
      </c>
      <c r="R229" s="74" t="str">
        <f aca="false">IF(OR(P229="",U229=""),"",MAX(0,U229-N(E229)-N(F229)-N(H229)))</f>
        <v/>
      </c>
      <c r="S229" s="75" t="str">
        <f aca="false">IF(P229="","",IFERROR(INDEX(T_INGRESO,MATCH(C229,T_ID,0)),""))</f>
        <v/>
      </c>
      <c r="T229" s="75" t="str">
        <f aca="false">IF(P229="","",IFERROR(N(INDEX(T_EGRESO,MATCH(C229,T_ID,0))),0))</f>
        <v/>
      </c>
      <c r="U229" s="73" t="str">
        <f aca="false">IF(OR(P229="",NOT(ISNUMBER(S229))),"",IF(OR(S229&gt;EOMONTH(B229,0),AND(T229&gt;0,T229&lt;B229)),0,IF(AND(S229&lt;=B229,OR(T229=0,T229&gt;=EOMONTH(B229,0))),30,MIN(30,IF(T229=0,EOMONTH(B229,0),MIN(T229,EOMONTH(B229,0)))-MAX(B229,S229)+1))))</f>
        <v/>
      </c>
    </row>
    <row r="230" customFormat="false" ht="15" hidden="false" customHeight="false" outlineLevel="0" collapsed="false">
      <c r="B230" s="78"/>
      <c r="C230" s="64"/>
      <c r="D230" s="70" t="str">
        <f aca="false">IF(C230="","",IFERROR(INDEX(T_NOMBRE,MATCH(C230,T_ID,0)),"⚠ ID no existe"))</f>
        <v/>
      </c>
      <c r="E230" s="69"/>
      <c r="F230" s="69"/>
      <c r="G230" s="69"/>
      <c r="H230" s="69"/>
      <c r="I230" s="66"/>
      <c r="J230" s="69"/>
      <c r="K230" s="67"/>
      <c r="L230" s="67"/>
      <c r="M230" s="67"/>
      <c r="N230" s="67"/>
      <c r="O230" s="64"/>
      <c r="P230" s="72" t="str">
        <f aca="false">IF(OR(B230="",C230=""),"",C230&amp;"|"&amp;(YEAR(B230)*100+MONTH(B230)))</f>
        <v/>
      </c>
      <c r="Q230" s="70" t="str">
        <f aca="false">IF(P230="","",IF(COUNTIF(N_CLAVE,P230)&gt;1,"⚠ Duplicado","OK"))</f>
        <v/>
      </c>
      <c r="R230" s="74" t="str">
        <f aca="false">IF(OR(P230="",U230=""),"",MAX(0,U230-N(E230)-N(F230)-N(H230)))</f>
        <v/>
      </c>
      <c r="S230" s="75" t="str">
        <f aca="false">IF(P230="","",IFERROR(INDEX(T_INGRESO,MATCH(C230,T_ID,0)),""))</f>
        <v/>
      </c>
      <c r="T230" s="75" t="str">
        <f aca="false">IF(P230="","",IFERROR(N(INDEX(T_EGRESO,MATCH(C230,T_ID,0))),0))</f>
        <v/>
      </c>
      <c r="U230" s="73" t="str">
        <f aca="false">IF(OR(P230="",NOT(ISNUMBER(S230))),"",IF(OR(S230&gt;EOMONTH(B230,0),AND(T230&gt;0,T230&lt;B230)),0,IF(AND(S230&lt;=B230,OR(T230=0,T230&gt;=EOMONTH(B230,0))),30,MIN(30,IF(T230=0,EOMONTH(B230,0),MIN(T230,EOMONTH(B230,0)))-MAX(B230,S230)+1))))</f>
        <v/>
      </c>
    </row>
    <row r="231" customFormat="false" ht="15" hidden="false" customHeight="false" outlineLevel="0" collapsed="false">
      <c r="B231" s="78"/>
      <c r="C231" s="64"/>
      <c r="D231" s="70" t="str">
        <f aca="false">IF(C231="","",IFERROR(INDEX(T_NOMBRE,MATCH(C231,T_ID,0)),"⚠ ID no existe"))</f>
        <v/>
      </c>
      <c r="E231" s="69"/>
      <c r="F231" s="69"/>
      <c r="G231" s="69"/>
      <c r="H231" s="69"/>
      <c r="I231" s="66"/>
      <c r="J231" s="69"/>
      <c r="K231" s="67"/>
      <c r="L231" s="67"/>
      <c r="M231" s="67"/>
      <c r="N231" s="67"/>
      <c r="O231" s="64"/>
      <c r="P231" s="72" t="str">
        <f aca="false">IF(OR(B231="",C231=""),"",C231&amp;"|"&amp;(YEAR(B231)*100+MONTH(B231)))</f>
        <v/>
      </c>
      <c r="Q231" s="70" t="str">
        <f aca="false">IF(P231="","",IF(COUNTIF(N_CLAVE,P231)&gt;1,"⚠ Duplicado","OK"))</f>
        <v/>
      </c>
      <c r="R231" s="74" t="str">
        <f aca="false">IF(OR(P231="",U231=""),"",MAX(0,U231-N(E231)-N(F231)-N(H231)))</f>
        <v/>
      </c>
      <c r="S231" s="75" t="str">
        <f aca="false">IF(P231="","",IFERROR(INDEX(T_INGRESO,MATCH(C231,T_ID,0)),""))</f>
        <v/>
      </c>
      <c r="T231" s="75" t="str">
        <f aca="false">IF(P231="","",IFERROR(N(INDEX(T_EGRESO,MATCH(C231,T_ID,0))),0))</f>
        <v/>
      </c>
      <c r="U231" s="73" t="str">
        <f aca="false">IF(OR(P231="",NOT(ISNUMBER(S231))),"",IF(OR(S231&gt;EOMONTH(B231,0),AND(T231&gt;0,T231&lt;B231)),0,IF(AND(S231&lt;=B231,OR(T231=0,T231&gt;=EOMONTH(B231,0))),30,MIN(30,IF(T231=0,EOMONTH(B231,0),MIN(T231,EOMONTH(B231,0)))-MAX(B231,S231)+1))))</f>
        <v/>
      </c>
    </row>
    <row r="232" customFormat="false" ht="15" hidden="false" customHeight="false" outlineLevel="0" collapsed="false">
      <c r="B232" s="78"/>
      <c r="C232" s="64"/>
      <c r="D232" s="70" t="str">
        <f aca="false">IF(C232="","",IFERROR(INDEX(T_NOMBRE,MATCH(C232,T_ID,0)),"⚠ ID no existe"))</f>
        <v/>
      </c>
      <c r="E232" s="69"/>
      <c r="F232" s="69"/>
      <c r="G232" s="69"/>
      <c r="H232" s="69"/>
      <c r="I232" s="66"/>
      <c r="J232" s="69"/>
      <c r="K232" s="67"/>
      <c r="L232" s="67"/>
      <c r="M232" s="67"/>
      <c r="N232" s="67"/>
      <c r="O232" s="64"/>
      <c r="P232" s="72" t="str">
        <f aca="false">IF(OR(B232="",C232=""),"",C232&amp;"|"&amp;(YEAR(B232)*100+MONTH(B232)))</f>
        <v/>
      </c>
      <c r="Q232" s="70" t="str">
        <f aca="false">IF(P232="","",IF(COUNTIF(N_CLAVE,P232)&gt;1,"⚠ Duplicado","OK"))</f>
        <v/>
      </c>
      <c r="R232" s="74" t="str">
        <f aca="false">IF(OR(P232="",U232=""),"",MAX(0,U232-N(E232)-N(F232)-N(H232)))</f>
        <v/>
      </c>
      <c r="S232" s="75" t="str">
        <f aca="false">IF(P232="","",IFERROR(INDEX(T_INGRESO,MATCH(C232,T_ID,0)),""))</f>
        <v/>
      </c>
      <c r="T232" s="75" t="str">
        <f aca="false">IF(P232="","",IFERROR(N(INDEX(T_EGRESO,MATCH(C232,T_ID,0))),0))</f>
        <v/>
      </c>
      <c r="U232" s="73" t="str">
        <f aca="false">IF(OR(P232="",NOT(ISNUMBER(S232))),"",IF(OR(S232&gt;EOMONTH(B232,0),AND(T232&gt;0,T232&lt;B232)),0,IF(AND(S232&lt;=B232,OR(T232=0,T232&gt;=EOMONTH(B232,0))),30,MIN(30,IF(T232=0,EOMONTH(B232,0),MIN(T232,EOMONTH(B232,0)))-MAX(B232,S232)+1))))</f>
        <v/>
      </c>
    </row>
    <row r="233" customFormat="false" ht="15" hidden="false" customHeight="false" outlineLevel="0" collapsed="false">
      <c r="B233" s="78"/>
      <c r="C233" s="64"/>
      <c r="D233" s="70" t="str">
        <f aca="false">IF(C233="","",IFERROR(INDEX(T_NOMBRE,MATCH(C233,T_ID,0)),"⚠ ID no existe"))</f>
        <v/>
      </c>
      <c r="E233" s="69"/>
      <c r="F233" s="69"/>
      <c r="G233" s="69"/>
      <c r="H233" s="69"/>
      <c r="I233" s="66"/>
      <c r="J233" s="69"/>
      <c r="K233" s="67"/>
      <c r="L233" s="67"/>
      <c r="M233" s="67"/>
      <c r="N233" s="67"/>
      <c r="O233" s="64"/>
      <c r="P233" s="72" t="str">
        <f aca="false">IF(OR(B233="",C233=""),"",C233&amp;"|"&amp;(YEAR(B233)*100+MONTH(B233)))</f>
        <v/>
      </c>
      <c r="Q233" s="70" t="str">
        <f aca="false">IF(P233="","",IF(COUNTIF(N_CLAVE,P233)&gt;1,"⚠ Duplicado","OK"))</f>
        <v/>
      </c>
      <c r="R233" s="74" t="str">
        <f aca="false">IF(OR(P233="",U233=""),"",MAX(0,U233-N(E233)-N(F233)-N(H233)))</f>
        <v/>
      </c>
      <c r="S233" s="75" t="str">
        <f aca="false">IF(P233="","",IFERROR(INDEX(T_INGRESO,MATCH(C233,T_ID,0)),""))</f>
        <v/>
      </c>
      <c r="T233" s="75" t="str">
        <f aca="false">IF(P233="","",IFERROR(N(INDEX(T_EGRESO,MATCH(C233,T_ID,0))),0))</f>
        <v/>
      </c>
      <c r="U233" s="73" t="str">
        <f aca="false">IF(OR(P233="",NOT(ISNUMBER(S233))),"",IF(OR(S233&gt;EOMONTH(B233,0),AND(T233&gt;0,T233&lt;B233)),0,IF(AND(S233&lt;=B233,OR(T233=0,T233&gt;=EOMONTH(B233,0))),30,MIN(30,IF(T233=0,EOMONTH(B233,0),MIN(T233,EOMONTH(B233,0)))-MAX(B233,S233)+1))))</f>
        <v/>
      </c>
    </row>
    <row r="234" customFormat="false" ht="15" hidden="false" customHeight="false" outlineLevel="0" collapsed="false">
      <c r="B234" s="78"/>
      <c r="C234" s="64"/>
      <c r="D234" s="70" t="str">
        <f aca="false">IF(C234="","",IFERROR(INDEX(T_NOMBRE,MATCH(C234,T_ID,0)),"⚠ ID no existe"))</f>
        <v/>
      </c>
      <c r="E234" s="69"/>
      <c r="F234" s="69"/>
      <c r="G234" s="69"/>
      <c r="H234" s="69"/>
      <c r="I234" s="66"/>
      <c r="J234" s="69"/>
      <c r="K234" s="67"/>
      <c r="L234" s="67"/>
      <c r="M234" s="67"/>
      <c r="N234" s="67"/>
      <c r="O234" s="64"/>
      <c r="P234" s="72" t="str">
        <f aca="false">IF(OR(B234="",C234=""),"",C234&amp;"|"&amp;(YEAR(B234)*100+MONTH(B234)))</f>
        <v/>
      </c>
      <c r="Q234" s="70" t="str">
        <f aca="false">IF(P234="","",IF(COUNTIF(N_CLAVE,P234)&gt;1,"⚠ Duplicado","OK"))</f>
        <v/>
      </c>
      <c r="R234" s="74" t="str">
        <f aca="false">IF(OR(P234="",U234=""),"",MAX(0,U234-N(E234)-N(F234)-N(H234)))</f>
        <v/>
      </c>
      <c r="S234" s="75" t="str">
        <f aca="false">IF(P234="","",IFERROR(INDEX(T_INGRESO,MATCH(C234,T_ID,0)),""))</f>
        <v/>
      </c>
      <c r="T234" s="75" t="str">
        <f aca="false">IF(P234="","",IFERROR(N(INDEX(T_EGRESO,MATCH(C234,T_ID,0))),0))</f>
        <v/>
      </c>
      <c r="U234" s="73" t="str">
        <f aca="false">IF(OR(P234="",NOT(ISNUMBER(S234))),"",IF(OR(S234&gt;EOMONTH(B234,0),AND(T234&gt;0,T234&lt;B234)),0,IF(AND(S234&lt;=B234,OR(T234=0,T234&gt;=EOMONTH(B234,0))),30,MIN(30,IF(T234=0,EOMONTH(B234,0),MIN(T234,EOMONTH(B234,0)))-MAX(B234,S234)+1))))</f>
        <v/>
      </c>
    </row>
    <row r="235" customFormat="false" ht="15" hidden="false" customHeight="false" outlineLevel="0" collapsed="false">
      <c r="B235" s="78"/>
      <c r="C235" s="64"/>
      <c r="D235" s="70" t="str">
        <f aca="false">IF(C235="","",IFERROR(INDEX(T_NOMBRE,MATCH(C235,T_ID,0)),"⚠ ID no existe"))</f>
        <v/>
      </c>
      <c r="E235" s="69"/>
      <c r="F235" s="69"/>
      <c r="G235" s="69"/>
      <c r="H235" s="69"/>
      <c r="I235" s="66"/>
      <c r="J235" s="69"/>
      <c r="K235" s="67"/>
      <c r="L235" s="67"/>
      <c r="M235" s="67"/>
      <c r="N235" s="67"/>
      <c r="O235" s="64"/>
      <c r="P235" s="72" t="str">
        <f aca="false">IF(OR(B235="",C235=""),"",C235&amp;"|"&amp;(YEAR(B235)*100+MONTH(B235)))</f>
        <v/>
      </c>
      <c r="Q235" s="70" t="str">
        <f aca="false">IF(P235="","",IF(COUNTIF(N_CLAVE,P235)&gt;1,"⚠ Duplicado","OK"))</f>
        <v/>
      </c>
      <c r="R235" s="74" t="str">
        <f aca="false">IF(OR(P235="",U235=""),"",MAX(0,U235-N(E235)-N(F235)-N(H235)))</f>
        <v/>
      </c>
      <c r="S235" s="75" t="str">
        <f aca="false">IF(P235="","",IFERROR(INDEX(T_INGRESO,MATCH(C235,T_ID,0)),""))</f>
        <v/>
      </c>
      <c r="T235" s="75" t="str">
        <f aca="false">IF(P235="","",IFERROR(N(INDEX(T_EGRESO,MATCH(C235,T_ID,0))),0))</f>
        <v/>
      </c>
      <c r="U235" s="73" t="str">
        <f aca="false">IF(OR(P235="",NOT(ISNUMBER(S235))),"",IF(OR(S235&gt;EOMONTH(B235,0),AND(T235&gt;0,T235&lt;B235)),0,IF(AND(S235&lt;=B235,OR(T235=0,T235&gt;=EOMONTH(B235,0))),30,MIN(30,IF(T235=0,EOMONTH(B235,0),MIN(T235,EOMONTH(B235,0)))-MAX(B235,S235)+1))))</f>
        <v/>
      </c>
    </row>
    <row r="236" customFormat="false" ht="15" hidden="false" customHeight="false" outlineLevel="0" collapsed="false">
      <c r="B236" s="78"/>
      <c r="C236" s="64"/>
      <c r="D236" s="70" t="str">
        <f aca="false">IF(C236="","",IFERROR(INDEX(T_NOMBRE,MATCH(C236,T_ID,0)),"⚠ ID no existe"))</f>
        <v/>
      </c>
      <c r="E236" s="69"/>
      <c r="F236" s="69"/>
      <c r="G236" s="69"/>
      <c r="H236" s="69"/>
      <c r="I236" s="66"/>
      <c r="J236" s="69"/>
      <c r="K236" s="67"/>
      <c r="L236" s="67"/>
      <c r="M236" s="67"/>
      <c r="N236" s="67"/>
      <c r="O236" s="64"/>
      <c r="P236" s="72" t="str">
        <f aca="false">IF(OR(B236="",C236=""),"",C236&amp;"|"&amp;(YEAR(B236)*100+MONTH(B236)))</f>
        <v/>
      </c>
      <c r="Q236" s="70" t="str">
        <f aca="false">IF(P236="","",IF(COUNTIF(N_CLAVE,P236)&gt;1,"⚠ Duplicado","OK"))</f>
        <v/>
      </c>
      <c r="R236" s="74" t="str">
        <f aca="false">IF(OR(P236="",U236=""),"",MAX(0,U236-N(E236)-N(F236)-N(H236)))</f>
        <v/>
      </c>
      <c r="S236" s="75" t="str">
        <f aca="false">IF(P236="","",IFERROR(INDEX(T_INGRESO,MATCH(C236,T_ID,0)),""))</f>
        <v/>
      </c>
      <c r="T236" s="75" t="str">
        <f aca="false">IF(P236="","",IFERROR(N(INDEX(T_EGRESO,MATCH(C236,T_ID,0))),0))</f>
        <v/>
      </c>
      <c r="U236" s="73" t="str">
        <f aca="false">IF(OR(P236="",NOT(ISNUMBER(S236))),"",IF(OR(S236&gt;EOMONTH(B236,0),AND(T236&gt;0,T236&lt;B236)),0,IF(AND(S236&lt;=B236,OR(T236=0,T236&gt;=EOMONTH(B236,0))),30,MIN(30,IF(T236=0,EOMONTH(B236,0),MIN(T236,EOMONTH(B236,0)))-MAX(B236,S236)+1))))</f>
        <v/>
      </c>
    </row>
    <row r="237" customFormat="false" ht="15" hidden="false" customHeight="false" outlineLevel="0" collapsed="false">
      <c r="B237" s="78"/>
      <c r="C237" s="64"/>
      <c r="D237" s="70" t="str">
        <f aca="false">IF(C237="","",IFERROR(INDEX(T_NOMBRE,MATCH(C237,T_ID,0)),"⚠ ID no existe"))</f>
        <v/>
      </c>
      <c r="E237" s="69"/>
      <c r="F237" s="69"/>
      <c r="G237" s="69"/>
      <c r="H237" s="69"/>
      <c r="I237" s="66"/>
      <c r="J237" s="69"/>
      <c r="K237" s="67"/>
      <c r="L237" s="67"/>
      <c r="M237" s="67"/>
      <c r="N237" s="67"/>
      <c r="O237" s="64"/>
      <c r="P237" s="72" t="str">
        <f aca="false">IF(OR(B237="",C237=""),"",C237&amp;"|"&amp;(YEAR(B237)*100+MONTH(B237)))</f>
        <v/>
      </c>
      <c r="Q237" s="70" t="str">
        <f aca="false">IF(P237="","",IF(COUNTIF(N_CLAVE,P237)&gt;1,"⚠ Duplicado","OK"))</f>
        <v/>
      </c>
      <c r="R237" s="74" t="str">
        <f aca="false">IF(OR(P237="",U237=""),"",MAX(0,U237-N(E237)-N(F237)-N(H237)))</f>
        <v/>
      </c>
      <c r="S237" s="75" t="str">
        <f aca="false">IF(P237="","",IFERROR(INDEX(T_INGRESO,MATCH(C237,T_ID,0)),""))</f>
        <v/>
      </c>
      <c r="T237" s="75" t="str">
        <f aca="false">IF(P237="","",IFERROR(N(INDEX(T_EGRESO,MATCH(C237,T_ID,0))),0))</f>
        <v/>
      </c>
      <c r="U237" s="73" t="str">
        <f aca="false">IF(OR(P237="",NOT(ISNUMBER(S237))),"",IF(OR(S237&gt;EOMONTH(B237,0),AND(T237&gt;0,T237&lt;B237)),0,IF(AND(S237&lt;=B237,OR(T237=0,T237&gt;=EOMONTH(B237,0))),30,MIN(30,IF(T237=0,EOMONTH(B237,0),MIN(T237,EOMONTH(B237,0)))-MAX(B237,S237)+1))))</f>
        <v/>
      </c>
    </row>
    <row r="238" customFormat="false" ht="15" hidden="false" customHeight="false" outlineLevel="0" collapsed="false">
      <c r="B238" s="78"/>
      <c r="C238" s="64"/>
      <c r="D238" s="70" t="str">
        <f aca="false">IF(C238="","",IFERROR(INDEX(T_NOMBRE,MATCH(C238,T_ID,0)),"⚠ ID no existe"))</f>
        <v/>
      </c>
      <c r="E238" s="69"/>
      <c r="F238" s="69"/>
      <c r="G238" s="69"/>
      <c r="H238" s="69"/>
      <c r="I238" s="66"/>
      <c r="J238" s="69"/>
      <c r="K238" s="67"/>
      <c r="L238" s="67"/>
      <c r="M238" s="67"/>
      <c r="N238" s="67"/>
      <c r="O238" s="64"/>
      <c r="P238" s="72" t="str">
        <f aca="false">IF(OR(B238="",C238=""),"",C238&amp;"|"&amp;(YEAR(B238)*100+MONTH(B238)))</f>
        <v/>
      </c>
      <c r="Q238" s="70" t="str">
        <f aca="false">IF(P238="","",IF(COUNTIF(N_CLAVE,P238)&gt;1,"⚠ Duplicado","OK"))</f>
        <v/>
      </c>
      <c r="R238" s="74" t="str">
        <f aca="false">IF(OR(P238="",U238=""),"",MAX(0,U238-N(E238)-N(F238)-N(H238)))</f>
        <v/>
      </c>
      <c r="S238" s="75" t="str">
        <f aca="false">IF(P238="","",IFERROR(INDEX(T_INGRESO,MATCH(C238,T_ID,0)),""))</f>
        <v/>
      </c>
      <c r="T238" s="75" t="str">
        <f aca="false">IF(P238="","",IFERROR(N(INDEX(T_EGRESO,MATCH(C238,T_ID,0))),0))</f>
        <v/>
      </c>
      <c r="U238" s="73" t="str">
        <f aca="false">IF(OR(P238="",NOT(ISNUMBER(S238))),"",IF(OR(S238&gt;EOMONTH(B238,0),AND(T238&gt;0,T238&lt;B238)),0,IF(AND(S238&lt;=B238,OR(T238=0,T238&gt;=EOMONTH(B238,0))),30,MIN(30,IF(T238=0,EOMONTH(B238,0),MIN(T238,EOMONTH(B238,0)))-MAX(B238,S238)+1))))</f>
        <v/>
      </c>
    </row>
    <row r="239" customFormat="false" ht="15" hidden="false" customHeight="false" outlineLevel="0" collapsed="false">
      <c r="B239" s="78"/>
      <c r="C239" s="64"/>
      <c r="D239" s="70" t="str">
        <f aca="false">IF(C239="","",IFERROR(INDEX(T_NOMBRE,MATCH(C239,T_ID,0)),"⚠ ID no existe"))</f>
        <v/>
      </c>
      <c r="E239" s="69"/>
      <c r="F239" s="69"/>
      <c r="G239" s="69"/>
      <c r="H239" s="69"/>
      <c r="I239" s="66"/>
      <c r="J239" s="69"/>
      <c r="K239" s="67"/>
      <c r="L239" s="67"/>
      <c r="M239" s="67"/>
      <c r="N239" s="67"/>
      <c r="O239" s="64"/>
      <c r="P239" s="72" t="str">
        <f aca="false">IF(OR(B239="",C239=""),"",C239&amp;"|"&amp;(YEAR(B239)*100+MONTH(B239)))</f>
        <v/>
      </c>
      <c r="Q239" s="70" t="str">
        <f aca="false">IF(P239="","",IF(COUNTIF(N_CLAVE,P239)&gt;1,"⚠ Duplicado","OK"))</f>
        <v/>
      </c>
      <c r="R239" s="74" t="str">
        <f aca="false">IF(OR(P239="",U239=""),"",MAX(0,U239-N(E239)-N(F239)-N(H239)))</f>
        <v/>
      </c>
      <c r="S239" s="75" t="str">
        <f aca="false">IF(P239="","",IFERROR(INDEX(T_INGRESO,MATCH(C239,T_ID,0)),""))</f>
        <v/>
      </c>
      <c r="T239" s="75" t="str">
        <f aca="false">IF(P239="","",IFERROR(N(INDEX(T_EGRESO,MATCH(C239,T_ID,0))),0))</f>
        <v/>
      </c>
      <c r="U239" s="73" t="str">
        <f aca="false">IF(OR(P239="",NOT(ISNUMBER(S239))),"",IF(OR(S239&gt;EOMONTH(B239,0),AND(T239&gt;0,T239&lt;B239)),0,IF(AND(S239&lt;=B239,OR(T239=0,T239&gt;=EOMONTH(B239,0))),30,MIN(30,IF(T239=0,EOMONTH(B239,0),MIN(T239,EOMONTH(B239,0)))-MAX(B239,S239)+1))))</f>
        <v/>
      </c>
    </row>
    <row r="240" customFormat="false" ht="15" hidden="false" customHeight="false" outlineLevel="0" collapsed="false">
      <c r="B240" s="78"/>
      <c r="C240" s="64"/>
      <c r="D240" s="70" t="str">
        <f aca="false">IF(C240="","",IFERROR(INDEX(T_NOMBRE,MATCH(C240,T_ID,0)),"⚠ ID no existe"))</f>
        <v/>
      </c>
      <c r="E240" s="69"/>
      <c r="F240" s="69"/>
      <c r="G240" s="69"/>
      <c r="H240" s="69"/>
      <c r="I240" s="66"/>
      <c r="J240" s="69"/>
      <c r="K240" s="67"/>
      <c r="L240" s="67"/>
      <c r="M240" s="67"/>
      <c r="N240" s="67"/>
      <c r="O240" s="64"/>
      <c r="P240" s="72" t="str">
        <f aca="false">IF(OR(B240="",C240=""),"",C240&amp;"|"&amp;(YEAR(B240)*100+MONTH(B240)))</f>
        <v/>
      </c>
      <c r="Q240" s="70" t="str">
        <f aca="false">IF(P240="","",IF(COUNTIF(N_CLAVE,P240)&gt;1,"⚠ Duplicado","OK"))</f>
        <v/>
      </c>
      <c r="R240" s="74" t="str">
        <f aca="false">IF(OR(P240="",U240=""),"",MAX(0,U240-N(E240)-N(F240)-N(H240)))</f>
        <v/>
      </c>
      <c r="S240" s="75" t="str">
        <f aca="false">IF(P240="","",IFERROR(INDEX(T_INGRESO,MATCH(C240,T_ID,0)),""))</f>
        <v/>
      </c>
      <c r="T240" s="75" t="str">
        <f aca="false">IF(P240="","",IFERROR(N(INDEX(T_EGRESO,MATCH(C240,T_ID,0))),0))</f>
        <v/>
      </c>
      <c r="U240" s="73" t="str">
        <f aca="false">IF(OR(P240="",NOT(ISNUMBER(S240))),"",IF(OR(S240&gt;EOMONTH(B240,0),AND(T240&gt;0,T240&lt;B240)),0,IF(AND(S240&lt;=B240,OR(T240=0,T240&gt;=EOMONTH(B240,0))),30,MIN(30,IF(T240=0,EOMONTH(B240,0),MIN(T240,EOMONTH(B240,0)))-MAX(B240,S240)+1))))</f>
        <v/>
      </c>
    </row>
    <row r="241" customFormat="false" ht="15" hidden="false" customHeight="false" outlineLevel="0" collapsed="false">
      <c r="B241" s="78"/>
      <c r="C241" s="64"/>
      <c r="D241" s="70" t="str">
        <f aca="false">IF(C241="","",IFERROR(INDEX(T_NOMBRE,MATCH(C241,T_ID,0)),"⚠ ID no existe"))</f>
        <v/>
      </c>
      <c r="E241" s="69"/>
      <c r="F241" s="69"/>
      <c r="G241" s="69"/>
      <c r="H241" s="69"/>
      <c r="I241" s="66"/>
      <c r="J241" s="69"/>
      <c r="K241" s="67"/>
      <c r="L241" s="67"/>
      <c r="M241" s="67"/>
      <c r="N241" s="67"/>
      <c r="O241" s="64"/>
      <c r="P241" s="72" t="str">
        <f aca="false">IF(OR(B241="",C241=""),"",C241&amp;"|"&amp;(YEAR(B241)*100+MONTH(B241)))</f>
        <v/>
      </c>
      <c r="Q241" s="70" t="str">
        <f aca="false">IF(P241="","",IF(COUNTIF(N_CLAVE,P241)&gt;1,"⚠ Duplicado","OK"))</f>
        <v/>
      </c>
      <c r="R241" s="74" t="str">
        <f aca="false">IF(OR(P241="",U241=""),"",MAX(0,U241-N(E241)-N(F241)-N(H241)))</f>
        <v/>
      </c>
      <c r="S241" s="75" t="str">
        <f aca="false">IF(P241="","",IFERROR(INDEX(T_INGRESO,MATCH(C241,T_ID,0)),""))</f>
        <v/>
      </c>
      <c r="T241" s="75" t="str">
        <f aca="false">IF(P241="","",IFERROR(N(INDEX(T_EGRESO,MATCH(C241,T_ID,0))),0))</f>
        <v/>
      </c>
      <c r="U241" s="73" t="str">
        <f aca="false">IF(OR(P241="",NOT(ISNUMBER(S241))),"",IF(OR(S241&gt;EOMONTH(B241,0),AND(T241&gt;0,T241&lt;B241)),0,IF(AND(S241&lt;=B241,OR(T241=0,T241&gt;=EOMONTH(B241,0))),30,MIN(30,IF(T241=0,EOMONTH(B241,0),MIN(T241,EOMONTH(B241,0)))-MAX(B241,S241)+1))))</f>
        <v/>
      </c>
    </row>
    <row r="242" customFormat="false" ht="15" hidden="false" customHeight="false" outlineLevel="0" collapsed="false">
      <c r="B242" s="78"/>
      <c r="C242" s="64"/>
      <c r="D242" s="70" t="str">
        <f aca="false">IF(C242="","",IFERROR(INDEX(T_NOMBRE,MATCH(C242,T_ID,0)),"⚠ ID no existe"))</f>
        <v/>
      </c>
      <c r="E242" s="69"/>
      <c r="F242" s="69"/>
      <c r="G242" s="69"/>
      <c r="H242" s="69"/>
      <c r="I242" s="66"/>
      <c r="J242" s="69"/>
      <c r="K242" s="67"/>
      <c r="L242" s="67"/>
      <c r="M242" s="67"/>
      <c r="N242" s="67"/>
      <c r="O242" s="64"/>
      <c r="P242" s="72" t="str">
        <f aca="false">IF(OR(B242="",C242=""),"",C242&amp;"|"&amp;(YEAR(B242)*100+MONTH(B242)))</f>
        <v/>
      </c>
      <c r="Q242" s="70" t="str">
        <f aca="false">IF(P242="","",IF(COUNTIF(N_CLAVE,P242)&gt;1,"⚠ Duplicado","OK"))</f>
        <v/>
      </c>
      <c r="R242" s="74" t="str">
        <f aca="false">IF(OR(P242="",U242=""),"",MAX(0,U242-N(E242)-N(F242)-N(H242)))</f>
        <v/>
      </c>
      <c r="S242" s="75" t="str">
        <f aca="false">IF(P242="","",IFERROR(INDEX(T_INGRESO,MATCH(C242,T_ID,0)),""))</f>
        <v/>
      </c>
      <c r="T242" s="75" t="str">
        <f aca="false">IF(P242="","",IFERROR(N(INDEX(T_EGRESO,MATCH(C242,T_ID,0))),0))</f>
        <v/>
      </c>
      <c r="U242" s="73" t="str">
        <f aca="false">IF(OR(P242="",NOT(ISNUMBER(S242))),"",IF(OR(S242&gt;EOMONTH(B242,0),AND(T242&gt;0,T242&lt;B242)),0,IF(AND(S242&lt;=B242,OR(T242=0,T242&gt;=EOMONTH(B242,0))),30,MIN(30,IF(T242=0,EOMONTH(B242,0),MIN(T242,EOMONTH(B242,0)))-MAX(B242,S242)+1))))</f>
        <v/>
      </c>
    </row>
    <row r="243" customFormat="false" ht="15" hidden="false" customHeight="false" outlineLevel="0" collapsed="false">
      <c r="B243" s="78"/>
      <c r="C243" s="64"/>
      <c r="D243" s="70" t="str">
        <f aca="false">IF(C243="","",IFERROR(INDEX(T_NOMBRE,MATCH(C243,T_ID,0)),"⚠ ID no existe"))</f>
        <v/>
      </c>
      <c r="E243" s="69"/>
      <c r="F243" s="69"/>
      <c r="G243" s="69"/>
      <c r="H243" s="69"/>
      <c r="I243" s="66"/>
      <c r="J243" s="69"/>
      <c r="K243" s="67"/>
      <c r="L243" s="67"/>
      <c r="M243" s="67"/>
      <c r="N243" s="67"/>
      <c r="O243" s="64"/>
      <c r="P243" s="72" t="str">
        <f aca="false">IF(OR(B243="",C243=""),"",C243&amp;"|"&amp;(YEAR(B243)*100+MONTH(B243)))</f>
        <v/>
      </c>
      <c r="Q243" s="70" t="str">
        <f aca="false">IF(P243="","",IF(COUNTIF(N_CLAVE,P243)&gt;1,"⚠ Duplicado","OK"))</f>
        <v/>
      </c>
      <c r="R243" s="74" t="str">
        <f aca="false">IF(OR(P243="",U243=""),"",MAX(0,U243-N(E243)-N(F243)-N(H243)))</f>
        <v/>
      </c>
      <c r="S243" s="75" t="str">
        <f aca="false">IF(P243="","",IFERROR(INDEX(T_INGRESO,MATCH(C243,T_ID,0)),""))</f>
        <v/>
      </c>
      <c r="T243" s="75" t="str">
        <f aca="false">IF(P243="","",IFERROR(N(INDEX(T_EGRESO,MATCH(C243,T_ID,0))),0))</f>
        <v/>
      </c>
      <c r="U243" s="73" t="str">
        <f aca="false">IF(OR(P243="",NOT(ISNUMBER(S243))),"",IF(OR(S243&gt;EOMONTH(B243,0),AND(T243&gt;0,T243&lt;B243)),0,IF(AND(S243&lt;=B243,OR(T243=0,T243&gt;=EOMONTH(B243,0))),30,MIN(30,IF(T243=0,EOMONTH(B243,0),MIN(T243,EOMONTH(B243,0)))-MAX(B243,S243)+1))))</f>
        <v/>
      </c>
    </row>
    <row r="244" customFormat="false" ht="15" hidden="false" customHeight="false" outlineLevel="0" collapsed="false">
      <c r="B244" s="78"/>
      <c r="C244" s="64"/>
      <c r="D244" s="70" t="str">
        <f aca="false">IF(C244="","",IFERROR(INDEX(T_NOMBRE,MATCH(C244,T_ID,0)),"⚠ ID no existe"))</f>
        <v/>
      </c>
      <c r="E244" s="69"/>
      <c r="F244" s="69"/>
      <c r="G244" s="69"/>
      <c r="H244" s="69"/>
      <c r="I244" s="66"/>
      <c r="J244" s="69"/>
      <c r="K244" s="67"/>
      <c r="L244" s="67"/>
      <c r="M244" s="67"/>
      <c r="N244" s="67"/>
      <c r="O244" s="64"/>
      <c r="P244" s="72" t="str">
        <f aca="false">IF(OR(B244="",C244=""),"",C244&amp;"|"&amp;(YEAR(B244)*100+MONTH(B244)))</f>
        <v/>
      </c>
      <c r="Q244" s="70" t="str">
        <f aca="false">IF(P244="","",IF(COUNTIF(N_CLAVE,P244)&gt;1,"⚠ Duplicado","OK"))</f>
        <v/>
      </c>
      <c r="R244" s="74" t="str">
        <f aca="false">IF(OR(P244="",U244=""),"",MAX(0,U244-N(E244)-N(F244)-N(H244)))</f>
        <v/>
      </c>
      <c r="S244" s="75" t="str">
        <f aca="false">IF(P244="","",IFERROR(INDEX(T_INGRESO,MATCH(C244,T_ID,0)),""))</f>
        <v/>
      </c>
      <c r="T244" s="75" t="str">
        <f aca="false">IF(P244="","",IFERROR(N(INDEX(T_EGRESO,MATCH(C244,T_ID,0))),0))</f>
        <v/>
      </c>
      <c r="U244" s="73" t="str">
        <f aca="false">IF(OR(P244="",NOT(ISNUMBER(S244))),"",IF(OR(S244&gt;EOMONTH(B244,0),AND(T244&gt;0,T244&lt;B244)),0,IF(AND(S244&lt;=B244,OR(T244=0,T244&gt;=EOMONTH(B244,0))),30,MIN(30,IF(T244=0,EOMONTH(B244,0),MIN(T244,EOMONTH(B244,0)))-MAX(B244,S244)+1))))</f>
        <v/>
      </c>
    </row>
    <row r="245" customFormat="false" ht="15" hidden="false" customHeight="false" outlineLevel="0" collapsed="false">
      <c r="B245" s="78"/>
      <c r="C245" s="64"/>
      <c r="D245" s="70" t="str">
        <f aca="false">IF(C245="","",IFERROR(INDEX(T_NOMBRE,MATCH(C245,T_ID,0)),"⚠ ID no existe"))</f>
        <v/>
      </c>
      <c r="E245" s="69"/>
      <c r="F245" s="69"/>
      <c r="G245" s="69"/>
      <c r="H245" s="69"/>
      <c r="I245" s="66"/>
      <c r="J245" s="69"/>
      <c r="K245" s="67"/>
      <c r="L245" s="67"/>
      <c r="M245" s="67"/>
      <c r="N245" s="67"/>
      <c r="O245" s="64"/>
      <c r="P245" s="72" t="str">
        <f aca="false">IF(OR(B245="",C245=""),"",C245&amp;"|"&amp;(YEAR(B245)*100+MONTH(B245)))</f>
        <v/>
      </c>
      <c r="Q245" s="70" t="str">
        <f aca="false">IF(P245="","",IF(COUNTIF(N_CLAVE,P245)&gt;1,"⚠ Duplicado","OK"))</f>
        <v/>
      </c>
      <c r="R245" s="74" t="str">
        <f aca="false">IF(OR(P245="",U245=""),"",MAX(0,U245-N(E245)-N(F245)-N(H245)))</f>
        <v/>
      </c>
      <c r="S245" s="75" t="str">
        <f aca="false">IF(P245="","",IFERROR(INDEX(T_INGRESO,MATCH(C245,T_ID,0)),""))</f>
        <v/>
      </c>
      <c r="T245" s="75" t="str">
        <f aca="false">IF(P245="","",IFERROR(N(INDEX(T_EGRESO,MATCH(C245,T_ID,0))),0))</f>
        <v/>
      </c>
      <c r="U245" s="73" t="str">
        <f aca="false">IF(OR(P245="",NOT(ISNUMBER(S245))),"",IF(OR(S245&gt;EOMONTH(B245,0),AND(T245&gt;0,T245&lt;B245)),0,IF(AND(S245&lt;=B245,OR(T245=0,T245&gt;=EOMONTH(B245,0))),30,MIN(30,IF(T245=0,EOMONTH(B245,0),MIN(T245,EOMONTH(B245,0)))-MAX(B245,S245)+1))))</f>
        <v/>
      </c>
    </row>
    <row r="246" customFormat="false" ht="15" hidden="false" customHeight="false" outlineLevel="0" collapsed="false">
      <c r="B246" s="78"/>
      <c r="C246" s="64"/>
      <c r="D246" s="70" t="str">
        <f aca="false">IF(C246="","",IFERROR(INDEX(T_NOMBRE,MATCH(C246,T_ID,0)),"⚠ ID no existe"))</f>
        <v/>
      </c>
      <c r="E246" s="69"/>
      <c r="F246" s="69"/>
      <c r="G246" s="69"/>
      <c r="H246" s="69"/>
      <c r="I246" s="66"/>
      <c r="J246" s="69"/>
      <c r="K246" s="67"/>
      <c r="L246" s="67"/>
      <c r="M246" s="67"/>
      <c r="N246" s="67"/>
      <c r="O246" s="64"/>
      <c r="P246" s="72" t="str">
        <f aca="false">IF(OR(B246="",C246=""),"",C246&amp;"|"&amp;(YEAR(B246)*100+MONTH(B246)))</f>
        <v/>
      </c>
      <c r="Q246" s="70" t="str">
        <f aca="false">IF(P246="","",IF(COUNTIF(N_CLAVE,P246)&gt;1,"⚠ Duplicado","OK"))</f>
        <v/>
      </c>
      <c r="R246" s="74" t="str">
        <f aca="false">IF(OR(P246="",U246=""),"",MAX(0,U246-N(E246)-N(F246)-N(H246)))</f>
        <v/>
      </c>
      <c r="S246" s="75" t="str">
        <f aca="false">IF(P246="","",IFERROR(INDEX(T_INGRESO,MATCH(C246,T_ID,0)),""))</f>
        <v/>
      </c>
      <c r="T246" s="75" t="str">
        <f aca="false">IF(P246="","",IFERROR(N(INDEX(T_EGRESO,MATCH(C246,T_ID,0))),0))</f>
        <v/>
      </c>
      <c r="U246" s="73" t="str">
        <f aca="false">IF(OR(P246="",NOT(ISNUMBER(S246))),"",IF(OR(S246&gt;EOMONTH(B246,0),AND(T246&gt;0,T246&lt;B246)),0,IF(AND(S246&lt;=B246,OR(T246=0,T246&gt;=EOMONTH(B246,0))),30,MIN(30,IF(T246=0,EOMONTH(B246,0),MIN(T246,EOMONTH(B246,0)))-MAX(B246,S246)+1))))</f>
        <v/>
      </c>
    </row>
    <row r="247" customFormat="false" ht="15" hidden="false" customHeight="false" outlineLevel="0" collapsed="false">
      <c r="B247" s="78"/>
      <c r="C247" s="64"/>
      <c r="D247" s="70" t="str">
        <f aca="false">IF(C247="","",IFERROR(INDEX(T_NOMBRE,MATCH(C247,T_ID,0)),"⚠ ID no existe"))</f>
        <v/>
      </c>
      <c r="E247" s="69"/>
      <c r="F247" s="69"/>
      <c r="G247" s="69"/>
      <c r="H247" s="69"/>
      <c r="I247" s="66"/>
      <c r="J247" s="69"/>
      <c r="K247" s="67"/>
      <c r="L247" s="67"/>
      <c r="M247" s="67"/>
      <c r="N247" s="67"/>
      <c r="O247" s="64"/>
      <c r="P247" s="72" t="str">
        <f aca="false">IF(OR(B247="",C247=""),"",C247&amp;"|"&amp;(YEAR(B247)*100+MONTH(B247)))</f>
        <v/>
      </c>
      <c r="Q247" s="70" t="str">
        <f aca="false">IF(P247="","",IF(COUNTIF(N_CLAVE,P247)&gt;1,"⚠ Duplicado","OK"))</f>
        <v/>
      </c>
      <c r="R247" s="74" t="str">
        <f aca="false">IF(OR(P247="",U247=""),"",MAX(0,U247-N(E247)-N(F247)-N(H247)))</f>
        <v/>
      </c>
      <c r="S247" s="75" t="str">
        <f aca="false">IF(P247="","",IFERROR(INDEX(T_INGRESO,MATCH(C247,T_ID,0)),""))</f>
        <v/>
      </c>
      <c r="T247" s="75" t="str">
        <f aca="false">IF(P247="","",IFERROR(N(INDEX(T_EGRESO,MATCH(C247,T_ID,0))),0))</f>
        <v/>
      </c>
      <c r="U247" s="73" t="str">
        <f aca="false">IF(OR(P247="",NOT(ISNUMBER(S247))),"",IF(OR(S247&gt;EOMONTH(B247,0),AND(T247&gt;0,T247&lt;B247)),0,IF(AND(S247&lt;=B247,OR(T247=0,T247&gt;=EOMONTH(B247,0))),30,MIN(30,IF(T247=0,EOMONTH(B247,0),MIN(T247,EOMONTH(B247,0)))-MAX(B247,S247)+1))))</f>
        <v/>
      </c>
    </row>
    <row r="248" customFormat="false" ht="15" hidden="false" customHeight="false" outlineLevel="0" collapsed="false">
      <c r="B248" s="78"/>
      <c r="C248" s="64"/>
      <c r="D248" s="70" t="str">
        <f aca="false">IF(C248="","",IFERROR(INDEX(T_NOMBRE,MATCH(C248,T_ID,0)),"⚠ ID no existe"))</f>
        <v/>
      </c>
      <c r="E248" s="69"/>
      <c r="F248" s="69"/>
      <c r="G248" s="69"/>
      <c r="H248" s="69"/>
      <c r="I248" s="66"/>
      <c r="J248" s="69"/>
      <c r="K248" s="67"/>
      <c r="L248" s="67"/>
      <c r="M248" s="67"/>
      <c r="N248" s="67"/>
      <c r="O248" s="64"/>
      <c r="P248" s="72" t="str">
        <f aca="false">IF(OR(B248="",C248=""),"",C248&amp;"|"&amp;(YEAR(B248)*100+MONTH(B248)))</f>
        <v/>
      </c>
      <c r="Q248" s="70" t="str">
        <f aca="false">IF(P248="","",IF(COUNTIF(N_CLAVE,P248)&gt;1,"⚠ Duplicado","OK"))</f>
        <v/>
      </c>
      <c r="R248" s="74" t="str">
        <f aca="false">IF(OR(P248="",U248=""),"",MAX(0,U248-N(E248)-N(F248)-N(H248)))</f>
        <v/>
      </c>
      <c r="S248" s="75" t="str">
        <f aca="false">IF(P248="","",IFERROR(INDEX(T_INGRESO,MATCH(C248,T_ID,0)),""))</f>
        <v/>
      </c>
      <c r="T248" s="75" t="str">
        <f aca="false">IF(P248="","",IFERROR(N(INDEX(T_EGRESO,MATCH(C248,T_ID,0))),0))</f>
        <v/>
      </c>
      <c r="U248" s="73" t="str">
        <f aca="false">IF(OR(P248="",NOT(ISNUMBER(S248))),"",IF(OR(S248&gt;EOMONTH(B248,0),AND(T248&gt;0,T248&lt;B248)),0,IF(AND(S248&lt;=B248,OR(T248=0,T248&gt;=EOMONTH(B248,0))),30,MIN(30,IF(T248=0,EOMONTH(B248,0),MIN(T248,EOMONTH(B248,0)))-MAX(B248,S248)+1))))</f>
        <v/>
      </c>
    </row>
    <row r="249" customFormat="false" ht="15" hidden="false" customHeight="false" outlineLevel="0" collapsed="false">
      <c r="B249" s="78"/>
      <c r="C249" s="64"/>
      <c r="D249" s="70" t="str">
        <f aca="false">IF(C249="","",IFERROR(INDEX(T_NOMBRE,MATCH(C249,T_ID,0)),"⚠ ID no existe"))</f>
        <v/>
      </c>
      <c r="E249" s="69"/>
      <c r="F249" s="69"/>
      <c r="G249" s="69"/>
      <c r="H249" s="69"/>
      <c r="I249" s="66"/>
      <c r="J249" s="69"/>
      <c r="K249" s="67"/>
      <c r="L249" s="67"/>
      <c r="M249" s="67"/>
      <c r="N249" s="67"/>
      <c r="O249" s="64"/>
      <c r="P249" s="72" t="str">
        <f aca="false">IF(OR(B249="",C249=""),"",C249&amp;"|"&amp;(YEAR(B249)*100+MONTH(B249)))</f>
        <v/>
      </c>
      <c r="Q249" s="70" t="str">
        <f aca="false">IF(P249="","",IF(COUNTIF(N_CLAVE,P249)&gt;1,"⚠ Duplicado","OK"))</f>
        <v/>
      </c>
      <c r="R249" s="74" t="str">
        <f aca="false">IF(OR(P249="",U249=""),"",MAX(0,U249-N(E249)-N(F249)-N(H249)))</f>
        <v/>
      </c>
      <c r="S249" s="75" t="str">
        <f aca="false">IF(P249="","",IFERROR(INDEX(T_INGRESO,MATCH(C249,T_ID,0)),""))</f>
        <v/>
      </c>
      <c r="T249" s="75" t="str">
        <f aca="false">IF(P249="","",IFERROR(N(INDEX(T_EGRESO,MATCH(C249,T_ID,0))),0))</f>
        <v/>
      </c>
      <c r="U249" s="73" t="str">
        <f aca="false">IF(OR(P249="",NOT(ISNUMBER(S249))),"",IF(OR(S249&gt;EOMONTH(B249,0),AND(T249&gt;0,T249&lt;B249)),0,IF(AND(S249&lt;=B249,OR(T249=0,T249&gt;=EOMONTH(B249,0))),30,MIN(30,IF(T249=0,EOMONTH(B249,0),MIN(T249,EOMONTH(B249,0)))-MAX(B249,S249)+1))))</f>
        <v/>
      </c>
    </row>
    <row r="250" customFormat="false" ht="15" hidden="false" customHeight="false" outlineLevel="0" collapsed="false">
      <c r="B250" s="78"/>
      <c r="C250" s="64"/>
      <c r="D250" s="70" t="str">
        <f aca="false">IF(C250="","",IFERROR(INDEX(T_NOMBRE,MATCH(C250,T_ID,0)),"⚠ ID no existe"))</f>
        <v/>
      </c>
      <c r="E250" s="69"/>
      <c r="F250" s="69"/>
      <c r="G250" s="69"/>
      <c r="H250" s="69"/>
      <c r="I250" s="66"/>
      <c r="J250" s="69"/>
      <c r="K250" s="67"/>
      <c r="L250" s="67"/>
      <c r="M250" s="67"/>
      <c r="N250" s="67"/>
      <c r="O250" s="64"/>
      <c r="P250" s="72" t="str">
        <f aca="false">IF(OR(B250="",C250=""),"",C250&amp;"|"&amp;(YEAR(B250)*100+MONTH(B250)))</f>
        <v/>
      </c>
      <c r="Q250" s="70" t="str">
        <f aca="false">IF(P250="","",IF(COUNTIF(N_CLAVE,P250)&gt;1,"⚠ Duplicado","OK"))</f>
        <v/>
      </c>
      <c r="R250" s="74" t="str">
        <f aca="false">IF(OR(P250="",U250=""),"",MAX(0,U250-N(E250)-N(F250)-N(H250)))</f>
        <v/>
      </c>
      <c r="S250" s="75" t="str">
        <f aca="false">IF(P250="","",IFERROR(INDEX(T_INGRESO,MATCH(C250,T_ID,0)),""))</f>
        <v/>
      </c>
      <c r="T250" s="75" t="str">
        <f aca="false">IF(P250="","",IFERROR(N(INDEX(T_EGRESO,MATCH(C250,T_ID,0))),0))</f>
        <v/>
      </c>
      <c r="U250" s="73" t="str">
        <f aca="false">IF(OR(P250="",NOT(ISNUMBER(S250))),"",IF(OR(S250&gt;EOMONTH(B250,0),AND(T250&gt;0,T250&lt;B250)),0,IF(AND(S250&lt;=B250,OR(T250=0,T250&gt;=EOMONTH(B250,0))),30,MIN(30,IF(T250=0,EOMONTH(B250,0),MIN(T250,EOMONTH(B250,0)))-MAX(B250,S250)+1))))</f>
        <v/>
      </c>
    </row>
    <row r="251" customFormat="false" ht="15" hidden="false" customHeight="false" outlineLevel="0" collapsed="false">
      <c r="B251" s="78"/>
      <c r="C251" s="64"/>
      <c r="D251" s="70" t="str">
        <f aca="false">IF(C251="","",IFERROR(INDEX(T_NOMBRE,MATCH(C251,T_ID,0)),"⚠ ID no existe"))</f>
        <v/>
      </c>
      <c r="E251" s="69"/>
      <c r="F251" s="69"/>
      <c r="G251" s="69"/>
      <c r="H251" s="69"/>
      <c r="I251" s="66"/>
      <c r="J251" s="69"/>
      <c r="K251" s="67"/>
      <c r="L251" s="67"/>
      <c r="M251" s="67"/>
      <c r="N251" s="67"/>
      <c r="O251" s="64"/>
      <c r="P251" s="72" t="str">
        <f aca="false">IF(OR(B251="",C251=""),"",C251&amp;"|"&amp;(YEAR(B251)*100+MONTH(B251)))</f>
        <v/>
      </c>
      <c r="Q251" s="70" t="str">
        <f aca="false">IF(P251="","",IF(COUNTIF(N_CLAVE,P251)&gt;1,"⚠ Duplicado","OK"))</f>
        <v/>
      </c>
      <c r="R251" s="74" t="str">
        <f aca="false">IF(OR(P251="",U251=""),"",MAX(0,U251-N(E251)-N(F251)-N(H251)))</f>
        <v/>
      </c>
      <c r="S251" s="75" t="str">
        <f aca="false">IF(P251="","",IFERROR(INDEX(T_INGRESO,MATCH(C251,T_ID,0)),""))</f>
        <v/>
      </c>
      <c r="T251" s="75" t="str">
        <f aca="false">IF(P251="","",IFERROR(N(INDEX(T_EGRESO,MATCH(C251,T_ID,0))),0))</f>
        <v/>
      </c>
      <c r="U251" s="73" t="str">
        <f aca="false">IF(OR(P251="",NOT(ISNUMBER(S251))),"",IF(OR(S251&gt;EOMONTH(B251,0),AND(T251&gt;0,T251&lt;B251)),0,IF(AND(S251&lt;=B251,OR(T251=0,T251&gt;=EOMONTH(B251,0))),30,MIN(30,IF(T251=0,EOMONTH(B251,0),MIN(T251,EOMONTH(B251,0)))-MAX(B251,S251)+1))))</f>
        <v/>
      </c>
    </row>
    <row r="252" customFormat="false" ht="15" hidden="false" customHeight="false" outlineLevel="0" collapsed="false">
      <c r="B252" s="78"/>
      <c r="C252" s="64"/>
      <c r="D252" s="70" t="str">
        <f aca="false">IF(C252="","",IFERROR(INDEX(T_NOMBRE,MATCH(C252,T_ID,0)),"⚠ ID no existe"))</f>
        <v/>
      </c>
      <c r="E252" s="69"/>
      <c r="F252" s="69"/>
      <c r="G252" s="69"/>
      <c r="H252" s="69"/>
      <c r="I252" s="66"/>
      <c r="J252" s="69"/>
      <c r="K252" s="67"/>
      <c r="L252" s="67"/>
      <c r="M252" s="67"/>
      <c r="N252" s="67"/>
      <c r="O252" s="64"/>
      <c r="P252" s="72" t="str">
        <f aca="false">IF(OR(B252="",C252=""),"",C252&amp;"|"&amp;(YEAR(B252)*100+MONTH(B252)))</f>
        <v/>
      </c>
      <c r="Q252" s="70" t="str">
        <f aca="false">IF(P252="","",IF(COUNTIF(N_CLAVE,P252)&gt;1,"⚠ Duplicado","OK"))</f>
        <v/>
      </c>
      <c r="R252" s="74" t="str">
        <f aca="false">IF(OR(P252="",U252=""),"",MAX(0,U252-N(E252)-N(F252)-N(H252)))</f>
        <v/>
      </c>
      <c r="S252" s="75" t="str">
        <f aca="false">IF(P252="","",IFERROR(INDEX(T_INGRESO,MATCH(C252,T_ID,0)),""))</f>
        <v/>
      </c>
      <c r="T252" s="75" t="str">
        <f aca="false">IF(P252="","",IFERROR(N(INDEX(T_EGRESO,MATCH(C252,T_ID,0))),0))</f>
        <v/>
      </c>
      <c r="U252" s="73" t="str">
        <f aca="false">IF(OR(P252="",NOT(ISNUMBER(S252))),"",IF(OR(S252&gt;EOMONTH(B252,0),AND(T252&gt;0,T252&lt;B252)),0,IF(AND(S252&lt;=B252,OR(T252=0,T252&gt;=EOMONTH(B252,0))),30,MIN(30,IF(T252=0,EOMONTH(B252,0),MIN(T252,EOMONTH(B252,0)))-MAX(B252,S252)+1))))</f>
        <v/>
      </c>
    </row>
    <row r="253" customFormat="false" ht="15" hidden="false" customHeight="false" outlineLevel="0" collapsed="false">
      <c r="B253" s="78"/>
      <c r="C253" s="64"/>
      <c r="D253" s="70" t="str">
        <f aca="false">IF(C253="","",IFERROR(INDEX(T_NOMBRE,MATCH(C253,T_ID,0)),"⚠ ID no existe"))</f>
        <v/>
      </c>
      <c r="E253" s="69"/>
      <c r="F253" s="69"/>
      <c r="G253" s="69"/>
      <c r="H253" s="69"/>
      <c r="I253" s="66"/>
      <c r="J253" s="69"/>
      <c r="K253" s="67"/>
      <c r="L253" s="67"/>
      <c r="M253" s="67"/>
      <c r="N253" s="67"/>
      <c r="O253" s="64"/>
      <c r="P253" s="72" t="str">
        <f aca="false">IF(OR(B253="",C253=""),"",C253&amp;"|"&amp;(YEAR(B253)*100+MONTH(B253)))</f>
        <v/>
      </c>
      <c r="Q253" s="70" t="str">
        <f aca="false">IF(P253="","",IF(COUNTIF(N_CLAVE,P253)&gt;1,"⚠ Duplicado","OK"))</f>
        <v/>
      </c>
      <c r="R253" s="74" t="str">
        <f aca="false">IF(OR(P253="",U253=""),"",MAX(0,U253-N(E253)-N(F253)-N(H253)))</f>
        <v/>
      </c>
      <c r="S253" s="75" t="str">
        <f aca="false">IF(P253="","",IFERROR(INDEX(T_INGRESO,MATCH(C253,T_ID,0)),""))</f>
        <v/>
      </c>
      <c r="T253" s="75" t="str">
        <f aca="false">IF(P253="","",IFERROR(N(INDEX(T_EGRESO,MATCH(C253,T_ID,0))),0))</f>
        <v/>
      </c>
      <c r="U253" s="73" t="str">
        <f aca="false">IF(OR(P253="",NOT(ISNUMBER(S253))),"",IF(OR(S253&gt;EOMONTH(B253,0),AND(T253&gt;0,T253&lt;B253)),0,IF(AND(S253&lt;=B253,OR(T253=0,T253&gt;=EOMONTH(B253,0))),30,MIN(30,IF(T253=0,EOMONTH(B253,0),MIN(T253,EOMONTH(B253,0)))-MAX(B253,S253)+1))))</f>
        <v/>
      </c>
    </row>
    <row r="254" customFormat="false" ht="15" hidden="false" customHeight="false" outlineLevel="0" collapsed="false">
      <c r="B254" s="78"/>
      <c r="C254" s="64"/>
      <c r="D254" s="70" t="str">
        <f aca="false">IF(C254="","",IFERROR(INDEX(T_NOMBRE,MATCH(C254,T_ID,0)),"⚠ ID no existe"))</f>
        <v/>
      </c>
      <c r="E254" s="69"/>
      <c r="F254" s="69"/>
      <c r="G254" s="69"/>
      <c r="H254" s="69"/>
      <c r="I254" s="66"/>
      <c r="J254" s="69"/>
      <c r="K254" s="67"/>
      <c r="L254" s="67"/>
      <c r="M254" s="67"/>
      <c r="N254" s="67"/>
      <c r="O254" s="64"/>
      <c r="P254" s="72" t="str">
        <f aca="false">IF(OR(B254="",C254=""),"",C254&amp;"|"&amp;(YEAR(B254)*100+MONTH(B254)))</f>
        <v/>
      </c>
      <c r="Q254" s="70" t="str">
        <f aca="false">IF(P254="","",IF(COUNTIF(N_CLAVE,P254)&gt;1,"⚠ Duplicado","OK"))</f>
        <v/>
      </c>
      <c r="R254" s="74" t="str">
        <f aca="false">IF(OR(P254="",U254=""),"",MAX(0,U254-N(E254)-N(F254)-N(H254)))</f>
        <v/>
      </c>
      <c r="S254" s="75" t="str">
        <f aca="false">IF(P254="","",IFERROR(INDEX(T_INGRESO,MATCH(C254,T_ID,0)),""))</f>
        <v/>
      </c>
      <c r="T254" s="75" t="str">
        <f aca="false">IF(P254="","",IFERROR(N(INDEX(T_EGRESO,MATCH(C254,T_ID,0))),0))</f>
        <v/>
      </c>
      <c r="U254" s="73" t="str">
        <f aca="false">IF(OR(P254="",NOT(ISNUMBER(S254))),"",IF(OR(S254&gt;EOMONTH(B254,0),AND(T254&gt;0,T254&lt;B254)),0,IF(AND(S254&lt;=B254,OR(T254=0,T254&gt;=EOMONTH(B254,0))),30,MIN(30,IF(T254=0,EOMONTH(B254,0),MIN(T254,EOMONTH(B254,0)))-MAX(B254,S254)+1))))</f>
        <v/>
      </c>
    </row>
    <row r="255" customFormat="false" ht="15" hidden="false" customHeight="false" outlineLevel="0" collapsed="false">
      <c r="B255" s="78"/>
      <c r="C255" s="64"/>
      <c r="D255" s="70" t="str">
        <f aca="false">IF(C255="","",IFERROR(INDEX(T_NOMBRE,MATCH(C255,T_ID,0)),"⚠ ID no existe"))</f>
        <v/>
      </c>
      <c r="E255" s="69"/>
      <c r="F255" s="69"/>
      <c r="G255" s="69"/>
      <c r="H255" s="69"/>
      <c r="I255" s="66"/>
      <c r="J255" s="69"/>
      <c r="K255" s="67"/>
      <c r="L255" s="67"/>
      <c r="M255" s="67"/>
      <c r="N255" s="67"/>
      <c r="O255" s="64"/>
      <c r="P255" s="72" t="str">
        <f aca="false">IF(OR(B255="",C255=""),"",C255&amp;"|"&amp;(YEAR(B255)*100+MONTH(B255)))</f>
        <v/>
      </c>
      <c r="Q255" s="70" t="str">
        <f aca="false">IF(P255="","",IF(COUNTIF(N_CLAVE,P255)&gt;1,"⚠ Duplicado","OK"))</f>
        <v/>
      </c>
      <c r="R255" s="74" t="str">
        <f aca="false">IF(OR(P255="",U255=""),"",MAX(0,U255-N(E255)-N(F255)-N(H255)))</f>
        <v/>
      </c>
      <c r="S255" s="75" t="str">
        <f aca="false">IF(P255="","",IFERROR(INDEX(T_INGRESO,MATCH(C255,T_ID,0)),""))</f>
        <v/>
      </c>
      <c r="T255" s="75" t="str">
        <f aca="false">IF(P255="","",IFERROR(N(INDEX(T_EGRESO,MATCH(C255,T_ID,0))),0))</f>
        <v/>
      </c>
      <c r="U255" s="73" t="str">
        <f aca="false">IF(OR(P255="",NOT(ISNUMBER(S255))),"",IF(OR(S255&gt;EOMONTH(B255,0),AND(T255&gt;0,T255&lt;B255)),0,IF(AND(S255&lt;=B255,OR(T255=0,T255&gt;=EOMONTH(B255,0))),30,MIN(30,IF(T255=0,EOMONTH(B255,0),MIN(T255,EOMONTH(B255,0)))-MAX(B255,S255)+1))))</f>
        <v/>
      </c>
    </row>
    <row r="256" customFormat="false" ht="15" hidden="false" customHeight="false" outlineLevel="0" collapsed="false">
      <c r="B256" s="78"/>
      <c r="C256" s="64"/>
      <c r="D256" s="70" t="str">
        <f aca="false">IF(C256="","",IFERROR(INDEX(T_NOMBRE,MATCH(C256,T_ID,0)),"⚠ ID no existe"))</f>
        <v/>
      </c>
      <c r="E256" s="69"/>
      <c r="F256" s="69"/>
      <c r="G256" s="69"/>
      <c r="H256" s="69"/>
      <c r="I256" s="66"/>
      <c r="J256" s="69"/>
      <c r="K256" s="67"/>
      <c r="L256" s="67"/>
      <c r="M256" s="67"/>
      <c r="N256" s="67"/>
      <c r="O256" s="64"/>
      <c r="P256" s="72" t="str">
        <f aca="false">IF(OR(B256="",C256=""),"",C256&amp;"|"&amp;(YEAR(B256)*100+MONTH(B256)))</f>
        <v/>
      </c>
      <c r="Q256" s="70" t="str">
        <f aca="false">IF(P256="","",IF(COUNTIF(N_CLAVE,P256)&gt;1,"⚠ Duplicado","OK"))</f>
        <v/>
      </c>
      <c r="R256" s="74" t="str">
        <f aca="false">IF(OR(P256="",U256=""),"",MAX(0,U256-N(E256)-N(F256)-N(H256)))</f>
        <v/>
      </c>
      <c r="S256" s="75" t="str">
        <f aca="false">IF(P256="","",IFERROR(INDEX(T_INGRESO,MATCH(C256,T_ID,0)),""))</f>
        <v/>
      </c>
      <c r="T256" s="75" t="str">
        <f aca="false">IF(P256="","",IFERROR(N(INDEX(T_EGRESO,MATCH(C256,T_ID,0))),0))</f>
        <v/>
      </c>
      <c r="U256" s="73" t="str">
        <f aca="false">IF(OR(P256="",NOT(ISNUMBER(S256))),"",IF(OR(S256&gt;EOMONTH(B256,0),AND(T256&gt;0,T256&lt;B256)),0,IF(AND(S256&lt;=B256,OR(T256=0,T256&gt;=EOMONTH(B256,0))),30,MIN(30,IF(T256=0,EOMONTH(B256,0),MIN(T256,EOMONTH(B256,0)))-MAX(B256,S256)+1))))</f>
        <v/>
      </c>
    </row>
    <row r="257" customFormat="false" ht="15" hidden="false" customHeight="false" outlineLevel="0" collapsed="false">
      <c r="B257" s="78"/>
      <c r="C257" s="64"/>
      <c r="D257" s="70" t="str">
        <f aca="false">IF(C257="","",IFERROR(INDEX(T_NOMBRE,MATCH(C257,T_ID,0)),"⚠ ID no existe"))</f>
        <v/>
      </c>
      <c r="E257" s="69"/>
      <c r="F257" s="69"/>
      <c r="G257" s="69"/>
      <c r="H257" s="69"/>
      <c r="I257" s="66"/>
      <c r="J257" s="69"/>
      <c r="K257" s="67"/>
      <c r="L257" s="67"/>
      <c r="M257" s="67"/>
      <c r="N257" s="67"/>
      <c r="O257" s="64"/>
      <c r="P257" s="72" t="str">
        <f aca="false">IF(OR(B257="",C257=""),"",C257&amp;"|"&amp;(YEAR(B257)*100+MONTH(B257)))</f>
        <v/>
      </c>
      <c r="Q257" s="70" t="str">
        <f aca="false">IF(P257="","",IF(COUNTIF(N_CLAVE,P257)&gt;1,"⚠ Duplicado","OK"))</f>
        <v/>
      </c>
      <c r="R257" s="74" t="str">
        <f aca="false">IF(OR(P257="",U257=""),"",MAX(0,U257-N(E257)-N(F257)-N(H257)))</f>
        <v/>
      </c>
      <c r="S257" s="75" t="str">
        <f aca="false">IF(P257="","",IFERROR(INDEX(T_INGRESO,MATCH(C257,T_ID,0)),""))</f>
        <v/>
      </c>
      <c r="T257" s="75" t="str">
        <f aca="false">IF(P257="","",IFERROR(N(INDEX(T_EGRESO,MATCH(C257,T_ID,0))),0))</f>
        <v/>
      </c>
      <c r="U257" s="73" t="str">
        <f aca="false">IF(OR(P257="",NOT(ISNUMBER(S257))),"",IF(OR(S257&gt;EOMONTH(B257,0),AND(T257&gt;0,T257&lt;B257)),0,IF(AND(S257&lt;=B257,OR(T257=0,T257&gt;=EOMONTH(B257,0))),30,MIN(30,IF(T257=0,EOMONTH(B257,0),MIN(T257,EOMONTH(B257,0)))-MAX(B257,S257)+1))))</f>
        <v/>
      </c>
    </row>
    <row r="258" customFormat="false" ht="15" hidden="false" customHeight="false" outlineLevel="0" collapsed="false">
      <c r="B258" s="78"/>
      <c r="C258" s="64"/>
      <c r="D258" s="70" t="str">
        <f aca="false">IF(C258="","",IFERROR(INDEX(T_NOMBRE,MATCH(C258,T_ID,0)),"⚠ ID no existe"))</f>
        <v/>
      </c>
      <c r="E258" s="69"/>
      <c r="F258" s="69"/>
      <c r="G258" s="69"/>
      <c r="H258" s="69"/>
      <c r="I258" s="66"/>
      <c r="J258" s="69"/>
      <c r="K258" s="67"/>
      <c r="L258" s="67"/>
      <c r="M258" s="67"/>
      <c r="N258" s="67"/>
      <c r="O258" s="64"/>
      <c r="P258" s="72" t="str">
        <f aca="false">IF(OR(B258="",C258=""),"",C258&amp;"|"&amp;(YEAR(B258)*100+MONTH(B258)))</f>
        <v/>
      </c>
      <c r="Q258" s="70" t="str">
        <f aca="false">IF(P258="","",IF(COUNTIF(N_CLAVE,P258)&gt;1,"⚠ Duplicado","OK"))</f>
        <v/>
      </c>
      <c r="R258" s="74" t="str">
        <f aca="false">IF(OR(P258="",U258=""),"",MAX(0,U258-N(E258)-N(F258)-N(H258)))</f>
        <v/>
      </c>
      <c r="S258" s="75" t="str">
        <f aca="false">IF(P258="","",IFERROR(INDEX(T_INGRESO,MATCH(C258,T_ID,0)),""))</f>
        <v/>
      </c>
      <c r="T258" s="75" t="str">
        <f aca="false">IF(P258="","",IFERROR(N(INDEX(T_EGRESO,MATCH(C258,T_ID,0))),0))</f>
        <v/>
      </c>
      <c r="U258" s="73" t="str">
        <f aca="false">IF(OR(P258="",NOT(ISNUMBER(S258))),"",IF(OR(S258&gt;EOMONTH(B258,0),AND(T258&gt;0,T258&lt;B258)),0,IF(AND(S258&lt;=B258,OR(T258=0,T258&gt;=EOMONTH(B258,0))),30,MIN(30,IF(T258=0,EOMONTH(B258,0),MIN(T258,EOMONTH(B258,0)))-MAX(B258,S258)+1))))</f>
        <v/>
      </c>
    </row>
    <row r="259" customFormat="false" ht="15" hidden="false" customHeight="false" outlineLevel="0" collapsed="false">
      <c r="B259" s="78"/>
      <c r="C259" s="64"/>
      <c r="D259" s="70" t="str">
        <f aca="false">IF(C259="","",IFERROR(INDEX(T_NOMBRE,MATCH(C259,T_ID,0)),"⚠ ID no existe"))</f>
        <v/>
      </c>
      <c r="E259" s="69"/>
      <c r="F259" s="69"/>
      <c r="G259" s="69"/>
      <c r="H259" s="69"/>
      <c r="I259" s="66"/>
      <c r="J259" s="69"/>
      <c r="K259" s="67"/>
      <c r="L259" s="67"/>
      <c r="M259" s="67"/>
      <c r="N259" s="67"/>
      <c r="O259" s="64"/>
      <c r="P259" s="72" t="str">
        <f aca="false">IF(OR(B259="",C259=""),"",C259&amp;"|"&amp;(YEAR(B259)*100+MONTH(B259)))</f>
        <v/>
      </c>
      <c r="Q259" s="70" t="str">
        <f aca="false">IF(P259="","",IF(COUNTIF(N_CLAVE,P259)&gt;1,"⚠ Duplicado","OK"))</f>
        <v/>
      </c>
      <c r="R259" s="74" t="str">
        <f aca="false">IF(OR(P259="",U259=""),"",MAX(0,U259-N(E259)-N(F259)-N(H259)))</f>
        <v/>
      </c>
      <c r="S259" s="75" t="str">
        <f aca="false">IF(P259="","",IFERROR(INDEX(T_INGRESO,MATCH(C259,T_ID,0)),""))</f>
        <v/>
      </c>
      <c r="T259" s="75" t="str">
        <f aca="false">IF(P259="","",IFERROR(N(INDEX(T_EGRESO,MATCH(C259,T_ID,0))),0))</f>
        <v/>
      </c>
      <c r="U259" s="73" t="str">
        <f aca="false">IF(OR(P259="",NOT(ISNUMBER(S259))),"",IF(OR(S259&gt;EOMONTH(B259,0),AND(T259&gt;0,T259&lt;B259)),0,IF(AND(S259&lt;=B259,OR(T259=0,T259&gt;=EOMONTH(B259,0))),30,MIN(30,IF(T259=0,EOMONTH(B259,0),MIN(T259,EOMONTH(B259,0)))-MAX(B259,S259)+1))))</f>
        <v/>
      </c>
    </row>
    <row r="260" customFormat="false" ht="15" hidden="false" customHeight="false" outlineLevel="0" collapsed="false">
      <c r="B260" s="78"/>
      <c r="C260" s="64"/>
      <c r="D260" s="70" t="str">
        <f aca="false">IF(C260="","",IFERROR(INDEX(T_NOMBRE,MATCH(C260,T_ID,0)),"⚠ ID no existe"))</f>
        <v/>
      </c>
      <c r="E260" s="69"/>
      <c r="F260" s="69"/>
      <c r="G260" s="69"/>
      <c r="H260" s="69"/>
      <c r="I260" s="66"/>
      <c r="J260" s="69"/>
      <c r="K260" s="67"/>
      <c r="L260" s="67"/>
      <c r="M260" s="67"/>
      <c r="N260" s="67"/>
      <c r="O260" s="64"/>
      <c r="P260" s="72" t="str">
        <f aca="false">IF(OR(B260="",C260=""),"",C260&amp;"|"&amp;(YEAR(B260)*100+MONTH(B260)))</f>
        <v/>
      </c>
      <c r="Q260" s="70" t="str">
        <f aca="false">IF(P260="","",IF(COUNTIF(N_CLAVE,P260)&gt;1,"⚠ Duplicado","OK"))</f>
        <v/>
      </c>
      <c r="R260" s="74" t="str">
        <f aca="false">IF(OR(P260="",U260=""),"",MAX(0,U260-N(E260)-N(F260)-N(H260)))</f>
        <v/>
      </c>
      <c r="S260" s="75" t="str">
        <f aca="false">IF(P260="","",IFERROR(INDEX(T_INGRESO,MATCH(C260,T_ID,0)),""))</f>
        <v/>
      </c>
      <c r="T260" s="75" t="str">
        <f aca="false">IF(P260="","",IFERROR(N(INDEX(T_EGRESO,MATCH(C260,T_ID,0))),0))</f>
        <v/>
      </c>
      <c r="U260" s="73" t="str">
        <f aca="false">IF(OR(P260="",NOT(ISNUMBER(S260))),"",IF(OR(S260&gt;EOMONTH(B260,0),AND(T260&gt;0,T260&lt;B260)),0,IF(AND(S260&lt;=B260,OR(T260=0,T260&gt;=EOMONTH(B260,0))),30,MIN(30,IF(T260=0,EOMONTH(B260,0),MIN(T260,EOMONTH(B260,0)))-MAX(B260,S260)+1))))</f>
        <v/>
      </c>
    </row>
    <row r="261" customFormat="false" ht="15" hidden="false" customHeight="false" outlineLevel="0" collapsed="false">
      <c r="B261" s="78"/>
      <c r="C261" s="64"/>
      <c r="D261" s="70" t="str">
        <f aca="false">IF(C261="","",IFERROR(INDEX(T_NOMBRE,MATCH(C261,T_ID,0)),"⚠ ID no existe"))</f>
        <v/>
      </c>
      <c r="E261" s="69"/>
      <c r="F261" s="69"/>
      <c r="G261" s="69"/>
      <c r="H261" s="69"/>
      <c r="I261" s="66"/>
      <c r="J261" s="69"/>
      <c r="K261" s="67"/>
      <c r="L261" s="67"/>
      <c r="M261" s="67"/>
      <c r="N261" s="67"/>
      <c r="O261" s="64"/>
      <c r="P261" s="72" t="str">
        <f aca="false">IF(OR(B261="",C261=""),"",C261&amp;"|"&amp;(YEAR(B261)*100+MONTH(B261)))</f>
        <v/>
      </c>
      <c r="Q261" s="70" t="str">
        <f aca="false">IF(P261="","",IF(COUNTIF(N_CLAVE,P261)&gt;1,"⚠ Duplicado","OK"))</f>
        <v/>
      </c>
      <c r="R261" s="74" t="str">
        <f aca="false">IF(OR(P261="",U261=""),"",MAX(0,U261-N(E261)-N(F261)-N(H261)))</f>
        <v/>
      </c>
      <c r="S261" s="75" t="str">
        <f aca="false">IF(P261="","",IFERROR(INDEX(T_INGRESO,MATCH(C261,T_ID,0)),""))</f>
        <v/>
      </c>
      <c r="T261" s="75" t="str">
        <f aca="false">IF(P261="","",IFERROR(N(INDEX(T_EGRESO,MATCH(C261,T_ID,0))),0))</f>
        <v/>
      </c>
      <c r="U261" s="73" t="str">
        <f aca="false">IF(OR(P261="",NOT(ISNUMBER(S261))),"",IF(OR(S261&gt;EOMONTH(B261,0),AND(T261&gt;0,T261&lt;B261)),0,IF(AND(S261&lt;=B261,OR(T261=0,T261&gt;=EOMONTH(B261,0))),30,MIN(30,IF(T261=0,EOMONTH(B261,0),MIN(T261,EOMONTH(B261,0)))-MAX(B261,S261)+1))))</f>
        <v/>
      </c>
    </row>
    <row r="262" customFormat="false" ht="15" hidden="false" customHeight="false" outlineLevel="0" collapsed="false">
      <c r="B262" s="78"/>
      <c r="C262" s="64"/>
      <c r="D262" s="70" t="str">
        <f aca="false">IF(C262="","",IFERROR(INDEX(T_NOMBRE,MATCH(C262,T_ID,0)),"⚠ ID no existe"))</f>
        <v/>
      </c>
      <c r="E262" s="69"/>
      <c r="F262" s="69"/>
      <c r="G262" s="69"/>
      <c r="H262" s="69"/>
      <c r="I262" s="66"/>
      <c r="J262" s="69"/>
      <c r="K262" s="67"/>
      <c r="L262" s="67"/>
      <c r="M262" s="67"/>
      <c r="N262" s="67"/>
      <c r="O262" s="64"/>
      <c r="P262" s="72" t="str">
        <f aca="false">IF(OR(B262="",C262=""),"",C262&amp;"|"&amp;(YEAR(B262)*100+MONTH(B262)))</f>
        <v/>
      </c>
      <c r="Q262" s="70" t="str">
        <f aca="false">IF(P262="","",IF(COUNTIF(N_CLAVE,P262)&gt;1,"⚠ Duplicado","OK"))</f>
        <v/>
      </c>
      <c r="R262" s="74" t="str">
        <f aca="false">IF(OR(P262="",U262=""),"",MAX(0,U262-N(E262)-N(F262)-N(H262)))</f>
        <v/>
      </c>
      <c r="S262" s="75" t="str">
        <f aca="false">IF(P262="","",IFERROR(INDEX(T_INGRESO,MATCH(C262,T_ID,0)),""))</f>
        <v/>
      </c>
      <c r="T262" s="75" t="str">
        <f aca="false">IF(P262="","",IFERROR(N(INDEX(T_EGRESO,MATCH(C262,T_ID,0))),0))</f>
        <v/>
      </c>
      <c r="U262" s="73" t="str">
        <f aca="false">IF(OR(P262="",NOT(ISNUMBER(S262))),"",IF(OR(S262&gt;EOMONTH(B262,0),AND(T262&gt;0,T262&lt;B262)),0,IF(AND(S262&lt;=B262,OR(T262=0,T262&gt;=EOMONTH(B262,0))),30,MIN(30,IF(T262=0,EOMONTH(B262,0),MIN(T262,EOMONTH(B262,0)))-MAX(B262,S262)+1))))</f>
        <v/>
      </c>
    </row>
    <row r="263" customFormat="false" ht="15" hidden="false" customHeight="false" outlineLevel="0" collapsed="false">
      <c r="B263" s="78"/>
      <c r="C263" s="64"/>
      <c r="D263" s="70" t="str">
        <f aca="false">IF(C263="","",IFERROR(INDEX(T_NOMBRE,MATCH(C263,T_ID,0)),"⚠ ID no existe"))</f>
        <v/>
      </c>
      <c r="E263" s="69"/>
      <c r="F263" s="69"/>
      <c r="G263" s="69"/>
      <c r="H263" s="69"/>
      <c r="I263" s="66"/>
      <c r="J263" s="69"/>
      <c r="K263" s="67"/>
      <c r="L263" s="67"/>
      <c r="M263" s="67"/>
      <c r="N263" s="67"/>
      <c r="O263" s="64"/>
      <c r="P263" s="72" t="str">
        <f aca="false">IF(OR(B263="",C263=""),"",C263&amp;"|"&amp;(YEAR(B263)*100+MONTH(B263)))</f>
        <v/>
      </c>
      <c r="Q263" s="70" t="str">
        <f aca="false">IF(P263="","",IF(COUNTIF(N_CLAVE,P263)&gt;1,"⚠ Duplicado","OK"))</f>
        <v/>
      </c>
      <c r="R263" s="74" t="str">
        <f aca="false">IF(OR(P263="",U263=""),"",MAX(0,U263-N(E263)-N(F263)-N(H263)))</f>
        <v/>
      </c>
      <c r="S263" s="75" t="str">
        <f aca="false">IF(P263="","",IFERROR(INDEX(T_INGRESO,MATCH(C263,T_ID,0)),""))</f>
        <v/>
      </c>
      <c r="T263" s="75" t="str">
        <f aca="false">IF(P263="","",IFERROR(N(INDEX(T_EGRESO,MATCH(C263,T_ID,0))),0))</f>
        <v/>
      </c>
      <c r="U263" s="73" t="str">
        <f aca="false">IF(OR(P263="",NOT(ISNUMBER(S263))),"",IF(OR(S263&gt;EOMONTH(B263,0),AND(T263&gt;0,T263&lt;B263)),0,IF(AND(S263&lt;=B263,OR(T263=0,T263&gt;=EOMONTH(B263,0))),30,MIN(30,IF(T263=0,EOMONTH(B263,0),MIN(T263,EOMONTH(B263,0)))-MAX(B263,S263)+1))))</f>
        <v/>
      </c>
    </row>
    <row r="264" customFormat="false" ht="15" hidden="false" customHeight="false" outlineLevel="0" collapsed="false">
      <c r="B264" s="78"/>
      <c r="C264" s="64"/>
      <c r="D264" s="70" t="str">
        <f aca="false">IF(C264="","",IFERROR(INDEX(T_NOMBRE,MATCH(C264,T_ID,0)),"⚠ ID no existe"))</f>
        <v/>
      </c>
      <c r="E264" s="69"/>
      <c r="F264" s="69"/>
      <c r="G264" s="69"/>
      <c r="H264" s="69"/>
      <c r="I264" s="66"/>
      <c r="J264" s="69"/>
      <c r="K264" s="67"/>
      <c r="L264" s="67"/>
      <c r="M264" s="67"/>
      <c r="N264" s="67"/>
      <c r="O264" s="64"/>
      <c r="P264" s="72" t="str">
        <f aca="false">IF(OR(B264="",C264=""),"",C264&amp;"|"&amp;(YEAR(B264)*100+MONTH(B264)))</f>
        <v/>
      </c>
      <c r="Q264" s="70" t="str">
        <f aca="false">IF(P264="","",IF(COUNTIF(N_CLAVE,P264)&gt;1,"⚠ Duplicado","OK"))</f>
        <v/>
      </c>
      <c r="R264" s="74" t="str">
        <f aca="false">IF(OR(P264="",U264=""),"",MAX(0,U264-N(E264)-N(F264)-N(H264)))</f>
        <v/>
      </c>
      <c r="S264" s="75" t="str">
        <f aca="false">IF(P264="","",IFERROR(INDEX(T_INGRESO,MATCH(C264,T_ID,0)),""))</f>
        <v/>
      </c>
      <c r="T264" s="75" t="str">
        <f aca="false">IF(P264="","",IFERROR(N(INDEX(T_EGRESO,MATCH(C264,T_ID,0))),0))</f>
        <v/>
      </c>
      <c r="U264" s="73" t="str">
        <f aca="false">IF(OR(P264="",NOT(ISNUMBER(S264))),"",IF(OR(S264&gt;EOMONTH(B264,0),AND(T264&gt;0,T264&lt;B264)),0,IF(AND(S264&lt;=B264,OR(T264=0,T264&gt;=EOMONTH(B264,0))),30,MIN(30,IF(T264=0,EOMONTH(B264,0),MIN(T264,EOMONTH(B264,0)))-MAX(B264,S264)+1))))</f>
        <v/>
      </c>
    </row>
    <row r="265" customFormat="false" ht="15" hidden="false" customHeight="false" outlineLevel="0" collapsed="false">
      <c r="B265" s="78"/>
      <c r="C265" s="64"/>
      <c r="D265" s="70" t="str">
        <f aca="false">IF(C265="","",IFERROR(INDEX(T_NOMBRE,MATCH(C265,T_ID,0)),"⚠ ID no existe"))</f>
        <v/>
      </c>
      <c r="E265" s="69"/>
      <c r="F265" s="69"/>
      <c r="G265" s="69"/>
      <c r="H265" s="69"/>
      <c r="I265" s="66"/>
      <c r="J265" s="69"/>
      <c r="K265" s="67"/>
      <c r="L265" s="67"/>
      <c r="M265" s="67"/>
      <c r="N265" s="67"/>
      <c r="O265" s="64"/>
      <c r="P265" s="72" t="str">
        <f aca="false">IF(OR(B265="",C265=""),"",C265&amp;"|"&amp;(YEAR(B265)*100+MONTH(B265)))</f>
        <v/>
      </c>
      <c r="Q265" s="70" t="str">
        <f aca="false">IF(P265="","",IF(COUNTIF(N_CLAVE,P265)&gt;1,"⚠ Duplicado","OK"))</f>
        <v/>
      </c>
      <c r="R265" s="74" t="str">
        <f aca="false">IF(OR(P265="",U265=""),"",MAX(0,U265-N(E265)-N(F265)-N(H265)))</f>
        <v/>
      </c>
      <c r="S265" s="75" t="str">
        <f aca="false">IF(P265="","",IFERROR(INDEX(T_INGRESO,MATCH(C265,T_ID,0)),""))</f>
        <v/>
      </c>
      <c r="T265" s="75" t="str">
        <f aca="false">IF(P265="","",IFERROR(N(INDEX(T_EGRESO,MATCH(C265,T_ID,0))),0))</f>
        <v/>
      </c>
      <c r="U265" s="73" t="str">
        <f aca="false">IF(OR(P265="",NOT(ISNUMBER(S265))),"",IF(OR(S265&gt;EOMONTH(B265,0),AND(T265&gt;0,T265&lt;B265)),0,IF(AND(S265&lt;=B265,OR(T265=0,T265&gt;=EOMONTH(B265,0))),30,MIN(30,IF(T265=0,EOMONTH(B265,0),MIN(T265,EOMONTH(B265,0)))-MAX(B265,S265)+1))))</f>
        <v/>
      </c>
    </row>
    <row r="266" customFormat="false" ht="15" hidden="false" customHeight="false" outlineLevel="0" collapsed="false">
      <c r="B266" s="78"/>
      <c r="C266" s="64"/>
      <c r="D266" s="70" t="str">
        <f aca="false">IF(C266="","",IFERROR(INDEX(T_NOMBRE,MATCH(C266,T_ID,0)),"⚠ ID no existe"))</f>
        <v/>
      </c>
      <c r="E266" s="69"/>
      <c r="F266" s="69"/>
      <c r="G266" s="69"/>
      <c r="H266" s="69"/>
      <c r="I266" s="66"/>
      <c r="J266" s="69"/>
      <c r="K266" s="67"/>
      <c r="L266" s="67"/>
      <c r="M266" s="67"/>
      <c r="N266" s="67"/>
      <c r="O266" s="64"/>
      <c r="P266" s="72" t="str">
        <f aca="false">IF(OR(B266="",C266=""),"",C266&amp;"|"&amp;(YEAR(B266)*100+MONTH(B266)))</f>
        <v/>
      </c>
      <c r="Q266" s="70" t="str">
        <f aca="false">IF(P266="","",IF(COUNTIF(N_CLAVE,P266)&gt;1,"⚠ Duplicado","OK"))</f>
        <v/>
      </c>
      <c r="R266" s="74" t="str">
        <f aca="false">IF(OR(P266="",U266=""),"",MAX(0,U266-N(E266)-N(F266)-N(H266)))</f>
        <v/>
      </c>
      <c r="S266" s="75" t="str">
        <f aca="false">IF(P266="","",IFERROR(INDEX(T_INGRESO,MATCH(C266,T_ID,0)),""))</f>
        <v/>
      </c>
      <c r="T266" s="75" t="str">
        <f aca="false">IF(P266="","",IFERROR(N(INDEX(T_EGRESO,MATCH(C266,T_ID,0))),0))</f>
        <v/>
      </c>
      <c r="U266" s="73" t="str">
        <f aca="false">IF(OR(P266="",NOT(ISNUMBER(S266))),"",IF(OR(S266&gt;EOMONTH(B266,0),AND(T266&gt;0,T266&lt;B266)),0,IF(AND(S266&lt;=B266,OR(T266=0,T266&gt;=EOMONTH(B266,0))),30,MIN(30,IF(T266=0,EOMONTH(B266,0),MIN(T266,EOMONTH(B266,0)))-MAX(B266,S266)+1))))</f>
        <v/>
      </c>
    </row>
    <row r="267" customFormat="false" ht="15" hidden="false" customHeight="false" outlineLevel="0" collapsed="false">
      <c r="B267" s="78"/>
      <c r="C267" s="64"/>
      <c r="D267" s="70" t="str">
        <f aca="false">IF(C267="","",IFERROR(INDEX(T_NOMBRE,MATCH(C267,T_ID,0)),"⚠ ID no existe"))</f>
        <v/>
      </c>
      <c r="E267" s="69"/>
      <c r="F267" s="69"/>
      <c r="G267" s="69"/>
      <c r="H267" s="69"/>
      <c r="I267" s="66"/>
      <c r="J267" s="69"/>
      <c r="K267" s="67"/>
      <c r="L267" s="67"/>
      <c r="M267" s="67"/>
      <c r="N267" s="67"/>
      <c r="O267" s="64"/>
      <c r="P267" s="72" t="str">
        <f aca="false">IF(OR(B267="",C267=""),"",C267&amp;"|"&amp;(YEAR(B267)*100+MONTH(B267)))</f>
        <v/>
      </c>
      <c r="Q267" s="70" t="str">
        <f aca="false">IF(P267="","",IF(COUNTIF(N_CLAVE,P267)&gt;1,"⚠ Duplicado","OK"))</f>
        <v/>
      </c>
      <c r="R267" s="74" t="str">
        <f aca="false">IF(OR(P267="",U267=""),"",MAX(0,U267-N(E267)-N(F267)-N(H267)))</f>
        <v/>
      </c>
      <c r="S267" s="75" t="str">
        <f aca="false">IF(P267="","",IFERROR(INDEX(T_INGRESO,MATCH(C267,T_ID,0)),""))</f>
        <v/>
      </c>
      <c r="T267" s="75" t="str">
        <f aca="false">IF(P267="","",IFERROR(N(INDEX(T_EGRESO,MATCH(C267,T_ID,0))),0))</f>
        <v/>
      </c>
      <c r="U267" s="73" t="str">
        <f aca="false">IF(OR(P267="",NOT(ISNUMBER(S267))),"",IF(OR(S267&gt;EOMONTH(B267,0),AND(T267&gt;0,T267&lt;B267)),0,IF(AND(S267&lt;=B267,OR(T267=0,T267&gt;=EOMONTH(B267,0))),30,MIN(30,IF(T267=0,EOMONTH(B267,0),MIN(T267,EOMONTH(B267,0)))-MAX(B267,S267)+1))))</f>
        <v/>
      </c>
    </row>
    <row r="268" customFormat="false" ht="15" hidden="false" customHeight="false" outlineLevel="0" collapsed="false">
      <c r="B268" s="78"/>
      <c r="C268" s="64"/>
      <c r="D268" s="70" t="str">
        <f aca="false">IF(C268="","",IFERROR(INDEX(T_NOMBRE,MATCH(C268,T_ID,0)),"⚠ ID no existe"))</f>
        <v/>
      </c>
      <c r="E268" s="69"/>
      <c r="F268" s="69"/>
      <c r="G268" s="69"/>
      <c r="H268" s="69"/>
      <c r="I268" s="66"/>
      <c r="J268" s="69"/>
      <c r="K268" s="67"/>
      <c r="L268" s="67"/>
      <c r="M268" s="67"/>
      <c r="N268" s="67"/>
      <c r="O268" s="64"/>
      <c r="P268" s="72" t="str">
        <f aca="false">IF(OR(B268="",C268=""),"",C268&amp;"|"&amp;(YEAR(B268)*100+MONTH(B268)))</f>
        <v/>
      </c>
      <c r="Q268" s="70" t="str">
        <f aca="false">IF(P268="","",IF(COUNTIF(N_CLAVE,P268)&gt;1,"⚠ Duplicado","OK"))</f>
        <v/>
      </c>
      <c r="R268" s="74" t="str">
        <f aca="false">IF(OR(P268="",U268=""),"",MAX(0,U268-N(E268)-N(F268)-N(H268)))</f>
        <v/>
      </c>
      <c r="S268" s="75" t="str">
        <f aca="false">IF(P268="","",IFERROR(INDEX(T_INGRESO,MATCH(C268,T_ID,0)),""))</f>
        <v/>
      </c>
      <c r="T268" s="75" t="str">
        <f aca="false">IF(P268="","",IFERROR(N(INDEX(T_EGRESO,MATCH(C268,T_ID,0))),0))</f>
        <v/>
      </c>
      <c r="U268" s="73" t="str">
        <f aca="false">IF(OR(P268="",NOT(ISNUMBER(S268))),"",IF(OR(S268&gt;EOMONTH(B268,0),AND(T268&gt;0,T268&lt;B268)),0,IF(AND(S268&lt;=B268,OR(T268=0,T268&gt;=EOMONTH(B268,0))),30,MIN(30,IF(T268=0,EOMONTH(B268,0),MIN(T268,EOMONTH(B268,0)))-MAX(B268,S268)+1))))</f>
        <v/>
      </c>
    </row>
    <row r="269" customFormat="false" ht="15" hidden="false" customHeight="false" outlineLevel="0" collapsed="false">
      <c r="B269" s="78"/>
      <c r="C269" s="64"/>
      <c r="D269" s="70" t="str">
        <f aca="false">IF(C269="","",IFERROR(INDEX(T_NOMBRE,MATCH(C269,T_ID,0)),"⚠ ID no existe"))</f>
        <v/>
      </c>
      <c r="E269" s="69"/>
      <c r="F269" s="69"/>
      <c r="G269" s="69"/>
      <c r="H269" s="69"/>
      <c r="I269" s="66"/>
      <c r="J269" s="69"/>
      <c r="K269" s="67"/>
      <c r="L269" s="67"/>
      <c r="M269" s="67"/>
      <c r="N269" s="67"/>
      <c r="O269" s="64"/>
      <c r="P269" s="72" t="str">
        <f aca="false">IF(OR(B269="",C269=""),"",C269&amp;"|"&amp;(YEAR(B269)*100+MONTH(B269)))</f>
        <v/>
      </c>
      <c r="Q269" s="70" t="str">
        <f aca="false">IF(P269="","",IF(COUNTIF(N_CLAVE,P269)&gt;1,"⚠ Duplicado","OK"))</f>
        <v/>
      </c>
      <c r="R269" s="74" t="str">
        <f aca="false">IF(OR(P269="",U269=""),"",MAX(0,U269-N(E269)-N(F269)-N(H269)))</f>
        <v/>
      </c>
      <c r="S269" s="75" t="str">
        <f aca="false">IF(P269="","",IFERROR(INDEX(T_INGRESO,MATCH(C269,T_ID,0)),""))</f>
        <v/>
      </c>
      <c r="T269" s="75" t="str">
        <f aca="false">IF(P269="","",IFERROR(N(INDEX(T_EGRESO,MATCH(C269,T_ID,0))),0))</f>
        <v/>
      </c>
      <c r="U269" s="73" t="str">
        <f aca="false">IF(OR(P269="",NOT(ISNUMBER(S269))),"",IF(OR(S269&gt;EOMONTH(B269,0),AND(T269&gt;0,T269&lt;B269)),0,IF(AND(S269&lt;=B269,OR(T269=0,T269&gt;=EOMONTH(B269,0))),30,MIN(30,IF(T269=0,EOMONTH(B269,0),MIN(T269,EOMONTH(B269,0)))-MAX(B269,S269)+1))))</f>
        <v/>
      </c>
    </row>
    <row r="270" customFormat="false" ht="15" hidden="false" customHeight="false" outlineLevel="0" collapsed="false">
      <c r="B270" s="78"/>
      <c r="C270" s="64"/>
      <c r="D270" s="70" t="str">
        <f aca="false">IF(C270="","",IFERROR(INDEX(T_NOMBRE,MATCH(C270,T_ID,0)),"⚠ ID no existe"))</f>
        <v/>
      </c>
      <c r="E270" s="69"/>
      <c r="F270" s="69"/>
      <c r="G270" s="69"/>
      <c r="H270" s="69"/>
      <c r="I270" s="66"/>
      <c r="J270" s="69"/>
      <c r="K270" s="67"/>
      <c r="L270" s="67"/>
      <c r="M270" s="67"/>
      <c r="N270" s="67"/>
      <c r="O270" s="64"/>
      <c r="P270" s="72" t="str">
        <f aca="false">IF(OR(B270="",C270=""),"",C270&amp;"|"&amp;(YEAR(B270)*100+MONTH(B270)))</f>
        <v/>
      </c>
      <c r="Q270" s="70" t="str">
        <f aca="false">IF(P270="","",IF(COUNTIF(N_CLAVE,P270)&gt;1,"⚠ Duplicado","OK"))</f>
        <v/>
      </c>
      <c r="R270" s="74" t="str">
        <f aca="false">IF(OR(P270="",U270=""),"",MAX(0,U270-N(E270)-N(F270)-N(H270)))</f>
        <v/>
      </c>
      <c r="S270" s="75" t="str">
        <f aca="false">IF(P270="","",IFERROR(INDEX(T_INGRESO,MATCH(C270,T_ID,0)),""))</f>
        <v/>
      </c>
      <c r="T270" s="75" t="str">
        <f aca="false">IF(P270="","",IFERROR(N(INDEX(T_EGRESO,MATCH(C270,T_ID,0))),0))</f>
        <v/>
      </c>
      <c r="U270" s="73" t="str">
        <f aca="false">IF(OR(P270="",NOT(ISNUMBER(S270))),"",IF(OR(S270&gt;EOMONTH(B270,0),AND(T270&gt;0,T270&lt;B270)),0,IF(AND(S270&lt;=B270,OR(T270=0,T270&gt;=EOMONTH(B270,0))),30,MIN(30,IF(T270=0,EOMONTH(B270,0),MIN(T270,EOMONTH(B270,0)))-MAX(B270,S270)+1))))</f>
        <v/>
      </c>
    </row>
    <row r="271" customFormat="false" ht="15" hidden="false" customHeight="false" outlineLevel="0" collapsed="false">
      <c r="B271" s="78"/>
      <c r="C271" s="64"/>
      <c r="D271" s="70" t="str">
        <f aca="false">IF(C271="","",IFERROR(INDEX(T_NOMBRE,MATCH(C271,T_ID,0)),"⚠ ID no existe"))</f>
        <v/>
      </c>
      <c r="E271" s="69"/>
      <c r="F271" s="69"/>
      <c r="G271" s="69"/>
      <c r="H271" s="69"/>
      <c r="I271" s="66"/>
      <c r="J271" s="69"/>
      <c r="K271" s="67"/>
      <c r="L271" s="67"/>
      <c r="M271" s="67"/>
      <c r="N271" s="67"/>
      <c r="O271" s="64"/>
      <c r="P271" s="72" t="str">
        <f aca="false">IF(OR(B271="",C271=""),"",C271&amp;"|"&amp;(YEAR(B271)*100+MONTH(B271)))</f>
        <v/>
      </c>
      <c r="Q271" s="70" t="str">
        <f aca="false">IF(P271="","",IF(COUNTIF(N_CLAVE,P271)&gt;1,"⚠ Duplicado","OK"))</f>
        <v/>
      </c>
      <c r="R271" s="74" t="str">
        <f aca="false">IF(OR(P271="",U271=""),"",MAX(0,U271-N(E271)-N(F271)-N(H271)))</f>
        <v/>
      </c>
      <c r="S271" s="75" t="str">
        <f aca="false">IF(P271="","",IFERROR(INDEX(T_INGRESO,MATCH(C271,T_ID,0)),""))</f>
        <v/>
      </c>
      <c r="T271" s="75" t="str">
        <f aca="false">IF(P271="","",IFERROR(N(INDEX(T_EGRESO,MATCH(C271,T_ID,0))),0))</f>
        <v/>
      </c>
      <c r="U271" s="73" t="str">
        <f aca="false">IF(OR(P271="",NOT(ISNUMBER(S271))),"",IF(OR(S271&gt;EOMONTH(B271,0),AND(T271&gt;0,T271&lt;B271)),0,IF(AND(S271&lt;=B271,OR(T271=0,T271&gt;=EOMONTH(B271,0))),30,MIN(30,IF(T271=0,EOMONTH(B271,0),MIN(T271,EOMONTH(B271,0)))-MAX(B271,S271)+1))))</f>
        <v/>
      </c>
    </row>
    <row r="272" customFormat="false" ht="15" hidden="false" customHeight="false" outlineLevel="0" collapsed="false">
      <c r="B272" s="78"/>
      <c r="C272" s="64"/>
      <c r="D272" s="70" t="str">
        <f aca="false">IF(C272="","",IFERROR(INDEX(T_NOMBRE,MATCH(C272,T_ID,0)),"⚠ ID no existe"))</f>
        <v/>
      </c>
      <c r="E272" s="69"/>
      <c r="F272" s="69"/>
      <c r="G272" s="69"/>
      <c r="H272" s="69"/>
      <c r="I272" s="66"/>
      <c r="J272" s="69"/>
      <c r="K272" s="67"/>
      <c r="L272" s="67"/>
      <c r="M272" s="67"/>
      <c r="N272" s="67"/>
      <c r="O272" s="64"/>
      <c r="P272" s="72" t="str">
        <f aca="false">IF(OR(B272="",C272=""),"",C272&amp;"|"&amp;(YEAR(B272)*100+MONTH(B272)))</f>
        <v/>
      </c>
      <c r="Q272" s="70" t="str">
        <f aca="false">IF(P272="","",IF(COUNTIF(N_CLAVE,P272)&gt;1,"⚠ Duplicado","OK"))</f>
        <v/>
      </c>
      <c r="R272" s="74" t="str">
        <f aca="false">IF(OR(P272="",U272=""),"",MAX(0,U272-N(E272)-N(F272)-N(H272)))</f>
        <v/>
      </c>
      <c r="S272" s="75" t="str">
        <f aca="false">IF(P272="","",IFERROR(INDEX(T_INGRESO,MATCH(C272,T_ID,0)),""))</f>
        <v/>
      </c>
      <c r="T272" s="75" t="str">
        <f aca="false">IF(P272="","",IFERROR(N(INDEX(T_EGRESO,MATCH(C272,T_ID,0))),0))</f>
        <v/>
      </c>
      <c r="U272" s="73" t="str">
        <f aca="false">IF(OR(P272="",NOT(ISNUMBER(S272))),"",IF(OR(S272&gt;EOMONTH(B272,0),AND(T272&gt;0,T272&lt;B272)),0,IF(AND(S272&lt;=B272,OR(T272=0,T272&gt;=EOMONTH(B272,0))),30,MIN(30,IF(T272=0,EOMONTH(B272,0),MIN(T272,EOMONTH(B272,0)))-MAX(B272,S272)+1))))</f>
        <v/>
      </c>
    </row>
    <row r="273" customFormat="false" ht="15" hidden="false" customHeight="false" outlineLevel="0" collapsed="false">
      <c r="B273" s="78"/>
      <c r="C273" s="64"/>
      <c r="D273" s="70" t="str">
        <f aca="false">IF(C273="","",IFERROR(INDEX(T_NOMBRE,MATCH(C273,T_ID,0)),"⚠ ID no existe"))</f>
        <v/>
      </c>
      <c r="E273" s="69"/>
      <c r="F273" s="69"/>
      <c r="G273" s="69"/>
      <c r="H273" s="69"/>
      <c r="I273" s="66"/>
      <c r="J273" s="69"/>
      <c r="K273" s="67"/>
      <c r="L273" s="67"/>
      <c r="M273" s="67"/>
      <c r="N273" s="67"/>
      <c r="O273" s="64"/>
      <c r="P273" s="72" t="str">
        <f aca="false">IF(OR(B273="",C273=""),"",C273&amp;"|"&amp;(YEAR(B273)*100+MONTH(B273)))</f>
        <v/>
      </c>
      <c r="Q273" s="70" t="str">
        <f aca="false">IF(P273="","",IF(COUNTIF(N_CLAVE,P273)&gt;1,"⚠ Duplicado","OK"))</f>
        <v/>
      </c>
      <c r="R273" s="74" t="str">
        <f aca="false">IF(OR(P273="",U273=""),"",MAX(0,U273-N(E273)-N(F273)-N(H273)))</f>
        <v/>
      </c>
      <c r="S273" s="75" t="str">
        <f aca="false">IF(P273="","",IFERROR(INDEX(T_INGRESO,MATCH(C273,T_ID,0)),""))</f>
        <v/>
      </c>
      <c r="T273" s="75" t="str">
        <f aca="false">IF(P273="","",IFERROR(N(INDEX(T_EGRESO,MATCH(C273,T_ID,0))),0))</f>
        <v/>
      </c>
      <c r="U273" s="73" t="str">
        <f aca="false">IF(OR(P273="",NOT(ISNUMBER(S273))),"",IF(OR(S273&gt;EOMONTH(B273,0),AND(T273&gt;0,T273&lt;B273)),0,IF(AND(S273&lt;=B273,OR(T273=0,T273&gt;=EOMONTH(B273,0))),30,MIN(30,IF(T273=0,EOMONTH(B273,0),MIN(T273,EOMONTH(B273,0)))-MAX(B273,S273)+1))))</f>
        <v/>
      </c>
    </row>
    <row r="274" customFormat="false" ht="15" hidden="false" customHeight="false" outlineLevel="0" collapsed="false">
      <c r="B274" s="78"/>
      <c r="C274" s="64"/>
      <c r="D274" s="70" t="str">
        <f aca="false">IF(C274="","",IFERROR(INDEX(T_NOMBRE,MATCH(C274,T_ID,0)),"⚠ ID no existe"))</f>
        <v/>
      </c>
      <c r="E274" s="69"/>
      <c r="F274" s="69"/>
      <c r="G274" s="69"/>
      <c r="H274" s="69"/>
      <c r="I274" s="66"/>
      <c r="J274" s="69"/>
      <c r="K274" s="67"/>
      <c r="L274" s="67"/>
      <c r="M274" s="67"/>
      <c r="N274" s="67"/>
      <c r="O274" s="64"/>
      <c r="P274" s="72" t="str">
        <f aca="false">IF(OR(B274="",C274=""),"",C274&amp;"|"&amp;(YEAR(B274)*100+MONTH(B274)))</f>
        <v/>
      </c>
      <c r="Q274" s="70" t="str">
        <f aca="false">IF(P274="","",IF(COUNTIF(N_CLAVE,P274)&gt;1,"⚠ Duplicado","OK"))</f>
        <v/>
      </c>
      <c r="R274" s="74" t="str">
        <f aca="false">IF(OR(P274="",U274=""),"",MAX(0,U274-N(E274)-N(F274)-N(H274)))</f>
        <v/>
      </c>
      <c r="S274" s="75" t="str">
        <f aca="false">IF(P274="","",IFERROR(INDEX(T_INGRESO,MATCH(C274,T_ID,0)),""))</f>
        <v/>
      </c>
      <c r="T274" s="75" t="str">
        <f aca="false">IF(P274="","",IFERROR(N(INDEX(T_EGRESO,MATCH(C274,T_ID,0))),0))</f>
        <v/>
      </c>
      <c r="U274" s="73" t="str">
        <f aca="false">IF(OR(P274="",NOT(ISNUMBER(S274))),"",IF(OR(S274&gt;EOMONTH(B274,0),AND(T274&gt;0,T274&lt;B274)),0,IF(AND(S274&lt;=B274,OR(T274=0,T274&gt;=EOMONTH(B274,0))),30,MIN(30,IF(T274=0,EOMONTH(B274,0),MIN(T274,EOMONTH(B274,0)))-MAX(B274,S274)+1))))</f>
        <v/>
      </c>
    </row>
    <row r="275" customFormat="false" ht="15" hidden="false" customHeight="false" outlineLevel="0" collapsed="false">
      <c r="B275" s="78"/>
      <c r="C275" s="64"/>
      <c r="D275" s="70" t="str">
        <f aca="false">IF(C275="","",IFERROR(INDEX(T_NOMBRE,MATCH(C275,T_ID,0)),"⚠ ID no existe"))</f>
        <v/>
      </c>
      <c r="E275" s="69"/>
      <c r="F275" s="69"/>
      <c r="G275" s="69"/>
      <c r="H275" s="69"/>
      <c r="I275" s="66"/>
      <c r="J275" s="69"/>
      <c r="K275" s="67"/>
      <c r="L275" s="67"/>
      <c r="M275" s="67"/>
      <c r="N275" s="67"/>
      <c r="O275" s="64"/>
      <c r="P275" s="72" t="str">
        <f aca="false">IF(OR(B275="",C275=""),"",C275&amp;"|"&amp;(YEAR(B275)*100+MONTH(B275)))</f>
        <v/>
      </c>
      <c r="Q275" s="70" t="str">
        <f aca="false">IF(P275="","",IF(COUNTIF(N_CLAVE,P275)&gt;1,"⚠ Duplicado","OK"))</f>
        <v/>
      </c>
      <c r="R275" s="74" t="str">
        <f aca="false">IF(OR(P275="",U275=""),"",MAX(0,U275-N(E275)-N(F275)-N(H275)))</f>
        <v/>
      </c>
      <c r="S275" s="75" t="str">
        <f aca="false">IF(P275="","",IFERROR(INDEX(T_INGRESO,MATCH(C275,T_ID,0)),""))</f>
        <v/>
      </c>
      <c r="T275" s="75" t="str">
        <f aca="false">IF(P275="","",IFERROR(N(INDEX(T_EGRESO,MATCH(C275,T_ID,0))),0))</f>
        <v/>
      </c>
      <c r="U275" s="73" t="str">
        <f aca="false">IF(OR(P275="",NOT(ISNUMBER(S275))),"",IF(OR(S275&gt;EOMONTH(B275,0),AND(T275&gt;0,T275&lt;B275)),0,IF(AND(S275&lt;=B275,OR(T275=0,T275&gt;=EOMONTH(B275,0))),30,MIN(30,IF(T275=0,EOMONTH(B275,0),MIN(T275,EOMONTH(B275,0)))-MAX(B275,S275)+1))))</f>
        <v/>
      </c>
    </row>
    <row r="276" customFormat="false" ht="15" hidden="false" customHeight="false" outlineLevel="0" collapsed="false">
      <c r="B276" s="78"/>
      <c r="C276" s="64"/>
      <c r="D276" s="70" t="str">
        <f aca="false">IF(C276="","",IFERROR(INDEX(T_NOMBRE,MATCH(C276,T_ID,0)),"⚠ ID no existe"))</f>
        <v/>
      </c>
      <c r="E276" s="69"/>
      <c r="F276" s="69"/>
      <c r="G276" s="69"/>
      <c r="H276" s="69"/>
      <c r="I276" s="66"/>
      <c r="J276" s="69"/>
      <c r="K276" s="67"/>
      <c r="L276" s="67"/>
      <c r="M276" s="67"/>
      <c r="N276" s="67"/>
      <c r="O276" s="64"/>
      <c r="P276" s="72" t="str">
        <f aca="false">IF(OR(B276="",C276=""),"",C276&amp;"|"&amp;(YEAR(B276)*100+MONTH(B276)))</f>
        <v/>
      </c>
      <c r="Q276" s="70" t="str">
        <f aca="false">IF(P276="","",IF(COUNTIF(N_CLAVE,P276)&gt;1,"⚠ Duplicado","OK"))</f>
        <v/>
      </c>
      <c r="R276" s="74" t="str">
        <f aca="false">IF(OR(P276="",U276=""),"",MAX(0,U276-N(E276)-N(F276)-N(H276)))</f>
        <v/>
      </c>
      <c r="S276" s="75" t="str">
        <f aca="false">IF(P276="","",IFERROR(INDEX(T_INGRESO,MATCH(C276,T_ID,0)),""))</f>
        <v/>
      </c>
      <c r="T276" s="75" t="str">
        <f aca="false">IF(P276="","",IFERROR(N(INDEX(T_EGRESO,MATCH(C276,T_ID,0))),0))</f>
        <v/>
      </c>
      <c r="U276" s="73" t="str">
        <f aca="false">IF(OR(P276="",NOT(ISNUMBER(S276))),"",IF(OR(S276&gt;EOMONTH(B276,0),AND(T276&gt;0,T276&lt;B276)),0,IF(AND(S276&lt;=B276,OR(T276=0,T276&gt;=EOMONTH(B276,0))),30,MIN(30,IF(T276=0,EOMONTH(B276,0),MIN(T276,EOMONTH(B276,0)))-MAX(B276,S276)+1))))</f>
        <v/>
      </c>
    </row>
    <row r="277" customFormat="false" ht="15" hidden="false" customHeight="false" outlineLevel="0" collapsed="false">
      <c r="B277" s="78"/>
      <c r="C277" s="64"/>
      <c r="D277" s="70" t="str">
        <f aca="false">IF(C277="","",IFERROR(INDEX(T_NOMBRE,MATCH(C277,T_ID,0)),"⚠ ID no existe"))</f>
        <v/>
      </c>
      <c r="E277" s="69"/>
      <c r="F277" s="69"/>
      <c r="G277" s="69"/>
      <c r="H277" s="69"/>
      <c r="I277" s="66"/>
      <c r="J277" s="69"/>
      <c r="K277" s="67"/>
      <c r="L277" s="67"/>
      <c r="M277" s="67"/>
      <c r="N277" s="67"/>
      <c r="O277" s="64"/>
      <c r="P277" s="72" t="str">
        <f aca="false">IF(OR(B277="",C277=""),"",C277&amp;"|"&amp;(YEAR(B277)*100+MONTH(B277)))</f>
        <v/>
      </c>
      <c r="Q277" s="70" t="str">
        <f aca="false">IF(P277="","",IF(COUNTIF(N_CLAVE,P277)&gt;1,"⚠ Duplicado","OK"))</f>
        <v/>
      </c>
      <c r="R277" s="74" t="str">
        <f aca="false">IF(OR(P277="",U277=""),"",MAX(0,U277-N(E277)-N(F277)-N(H277)))</f>
        <v/>
      </c>
      <c r="S277" s="75" t="str">
        <f aca="false">IF(P277="","",IFERROR(INDEX(T_INGRESO,MATCH(C277,T_ID,0)),""))</f>
        <v/>
      </c>
      <c r="T277" s="75" t="str">
        <f aca="false">IF(P277="","",IFERROR(N(INDEX(T_EGRESO,MATCH(C277,T_ID,0))),0))</f>
        <v/>
      </c>
      <c r="U277" s="73" t="str">
        <f aca="false">IF(OR(P277="",NOT(ISNUMBER(S277))),"",IF(OR(S277&gt;EOMONTH(B277,0),AND(T277&gt;0,T277&lt;B277)),0,IF(AND(S277&lt;=B277,OR(T277=0,T277&gt;=EOMONTH(B277,0))),30,MIN(30,IF(T277=0,EOMONTH(B277,0),MIN(T277,EOMONTH(B277,0)))-MAX(B277,S277)+1))))</f>
        <v/>
      </c>
    </row>
    <row r="278" customFormat="false" ht="15" hidden="false" customHeight="false" outlineLevel="0" collapsed="false">
      <c r="B278" s="78"/>
      <c r="C278" s="64"/>
      <c r="D278" s="70" t="str">
        <f aca="false">IF(C278="","",IFERROR(INDEX(T_NOMBRE,MATCH(C278,T_ID,0)),"⚠ ID no existe"))</f>
        <v/>
      </c>
      <c r="E278" s="69"/>
      <c r="F278" s="69"/>
      <c r="G278" s="69"/>
      <c r="H278" s="69"/>
      <c r="I278" s="66"/>
      <c r="J278" s="69"/>
      <c r="K278" s="67"/>
      <c r="L278" s="67"/>
      <c r="M278" s="67"/>
      <c r="N278" s="67"/>
      <c r="O278" s="64"/>
      <c r="P278" s="72" t="str">
        <f aca="false">IF(OR(B278="",C278=""),"",C278&amp;"|"&amp;(YEAR(B278)*100+MONTH(B278)))</f>
        <v/>
      </c>
      <c r="Q278" s="70" t="str">
        <f aca="false">IF(P278="","",IF(COUNTIF(N_CLAVE,P278)&gt;1,"⚠ Duplicado","OK"))</f>
        <v/>
      </c>
      <c r="R278" s="74" t="str">
        <f aca="false">IF(OR(P278="",U278=""),"",MAX(0,U278-N(E278)-N(F278)-N(H278)))</f>
        <v/>
      </c>
      <c r="S278" s="75" t="str">
        <f aca="false">IF(P278="","",IFERROR(INDEX(T_INGRESO,MATCH(C278,T_ID,0)),""))</f>
        <v/>
      </c>
      <c r="T278" s="75" t="str">
        <f aca="false">IF(P278="","",IFERROR(N(INDEX(T_EGRESO,MATCH(C278,T_ID,0))),0))</f>
        <v/>
      </c>
      <c r="U278" s="73" t="str">
        <f aca="false">IF(OR(P278="",NOT(ISNUMBER(S278))),"",IF(OR(S278&gt;EOMONTH(B278,0),AND(T278&gt;0,T278&lt;B278)),0,IF(AND(S278&lt;=B278,OR(T278=0,T278&gt;=EOMONTH(B278,0))),30,MIN(30,IF(T278=0,EOMONTH(B278,0),MIN(T278,EOMONTH(B278,0)))-MAX(B278,S278)+1))))</f>
        <v/>
      </c>
    </row>
    <row r="279" customFormat="false" ht="15" hidden="false" customHeight="false" outlineLevel="0" collapsed="false">
      <c r="B279" s="78"/>
      <c r="C279" s="64"/>
      <c r="D279" s="70" t="str">
        <f aca="false">IF(C279="","",IFERROR(INDEX(T_NOMBRE,MATCH(C279,T_ID,0)),"⚠ ID no existe"))</f>
        <v/>
      </c>
      <c r="E279" s="69"/>
      <c r="F279" s="69"/>
      <c r="G279" s="69"/>
      <c r="H279" s="69"/>
      <c r="I279" s="66"/>
      <c r="J279" s="69"/>
      <c r="K279" s="67"/>
      <c r="L279" s="67"/>
      <c r="M279" s="67"/>
      <c r="N279" s="67"/>
      <c r="O279" s="64"/>
      <c r="P279" s="72" t="str">
        <f aca="false">IF(OR(B279="",C279=""),"",C279&amp;"|"&amp;(YEAR(B279)*100+MONTH(B279)))</f>
        <v/>
      </c>
      <c r="Q279" s="70" t="str">
        <f aca="false">IF(P279="","",IF(COUNTIF(N_CLAVE,P279)&gt;1,"⚠ Duplicado","OK"))</f>
        <v/>
      </c>
      <c r="R279" s="74" t="str">
        <f aca="false">IF(OR(P279="",U279=""),"",MAX(0,U279-N(E279)-N(F279)-N(H279)))</f>
        <v/>
      </c>
      <c r="S279" s="75" t="str">
        <f aca="false">IF(P279="","",IFERROR(INDEX(T_INGRESO,MATCH(C279,T_ID,0)),""))</f>
        <v/>
      </c>
      <c r="T279" s="75" t="str">
        <f aca="false">IF(P279="","",IFERROR(N(INDEX(T_EGRESO,MATCH(C279,T_ID,0))),0))</f>
        <v/>
      </c>
      <c r="U279" s="73" t="str">
        <f aca="false">IF(OR(P279="",NOT(ISNUMBER(S279))),"",IF(OR(S279&gt;EOMONTH(B279,0),AND(T279&gt;0,T279&lt;B279)),0,IF(AND(S279&lt;=B279,OR(T279=0,T279&gt;=EOMONTH(B279,0))),30,MIN(30,IF(T279=0,EOMONTH(B279,0),MIN(T279,EOMONTH(B279,0)))-MAX(B279,S279)+1))))</f>
        <v/>
      </c>
    </row>
    <row r="280" customFormat="false" ht="15" hidden="false" customHeight="false" outlineLevel="0" collapsed="false">
      <c r="B280" s="78"/>
      <c r="C280" s="64"/>
      <c r="D280" s="70" t="str">
        <f aca="false">IF(C280="","",IFERROR(INDEX(T_NOMBRE,MATCH(C280,T_ID,0)),"⚠ ID no existe"))</f>
        <v/>
      </c>
      <c r="E280" s="69"/>
      <c r="F280" s="69"/>
      <c r="G280" s="69"/>
      <c r="H280" s="69"/>
      <c r="I280" s="66"/>
      <c r="J280" s="69"/>
      <c r="K280" s="67"/>
      <c r="L280" s="67"/>
      <c r="M280" s="67"/>
      <c r="N280" s="67"/>
      <c r="O280" s="64"/>
      <c r="P280" s="72" t="str">
        <f aca="false">IF(OR(B280="",C280=""),"",C280&amp;"|"&amp;(YEAR(B280)*100+MONTH(B280)))</f>
        <v/>
      </c>
      <c r="Q280" s="70" t="str">
        <f aca="false">IF(P280="","",IF(COUNTIF(N_CLAVE,P280)&gt;1,"⚠ Duplicado","OK"))</f>
        <v/>
      </c>
      <c r="R280" s="74" t="str">
        <f aca="false">IF(OR(P280="",U280=""),"",MAX(0,U280-N(E280)-N(F280)-N(H280)))</f>
        <v/>
      </c>
      <c r="S280" s="75" t="str">
        <f aca="false">IF(P280="","",IFERROR(INDEX(T_INGRESO,MATCH(C280,T_ID,0)),""))</f>
        <v/>
      </c>
      <c r="T280" s="75" t="str">
        <f aca="false">IF(P280="","",IFERROR(N(INDEX(T_EGRESO,MATCH(C280,T_ID,0))),0))</f>
        <v/>
      </c>
      <c r="U280" s="73" t="str">
        <f aca="false">IF(OR(P280="",NOT(ISNUMBER(S280))),"",IF(OR(S280&gt;EOMONTH(B280,0),AND(T280&gt;0,T280&lt;B280)),0,IF(AND(S280&lt;=B280,OR(T280=0,T280&gt;=EOMONTH(B280,0))),30,MIN(30,IF(T280=0,EOMONTH(B280,0),MIN(T280,EOMONTH(B280,0)))-MAX(B280,S280)+1))))</f>
        <v/>
      </c>
    </row>
    <row r="281" customFormat="false" ht="15" hidden="false" customHeight="false" outlineLevel="0" collapsed="false">
      <c r="B281" s="78"/>
      <c r="C281" s="64"/>
      <c r="D281" s="70" t="str">
        <f aca="false">IF(C281="","",IFERROR(INDEX(T_NOMBRE,MATCH(C281,T_ID,0)),"⚠ ID no existe"))</f>
        <v/>
      </c>
      <c r="E281" s="69"/>
      <c r="F281" s="69"/>
      <c r="G281" s="69"/>
      <c r="H281" s="69"/>
      <c r="I281" s="66"/>
      <c r="J281" s="69"/>
      <c r="K281" s="67"/>
      <c r="L281" s="67"/>
      <c r="M281" s="67"/>
      <c r="N281" s="67"/>
      <c r="O281" s="64"/>
      <c r="P281" s="72" t="str">
        <f aca="false">IF(OR(B281="",C281=""),"",C281&amp;"|"&amp;(YEAR(B281)*100+MONTH(B281)))</f>
        <v/>
      </c>
      <c r="Q281" s="70" t="str">
        <f aca="false">IF(P281="","",IF(COUNTIF(N_CLAVE,P281)&gt;1,"⚠ Duplicado","OK"))</f>
        <v/>
      </c>
      <c r="R281" s="74" t="str">
        <f aca="false">IF(OR(P281="",U281=""),"",MAX(0,U281-N(E281)-N(F281)-N(H281)))</f>
        <v/>
      </c>
      <c r="S281" s="75" t="str">
        <f aca="false">IF(P281="","",IFERROR(INDEX(T_INGRESO,MATCH(C281,T_ID,0)),""))</f>
        <v/>
      </c>
      <c r="T281" s="75" t="str">
        <f aca="false">IF(P281="","",IFERROR(N(INDEX(T_EGRESO,MATCH(C281,T_ID,0))),0))</f>
        <v/>
      </c>
      <c r="U281" s="73" t="str">
        <f aca="false">IF(OR(P281="",NOT(ISNUMBER(S281))),"",IF(OR(S281&gt;EOMONTH(B281,0),AND(T281&gt;0,T281&lt;B281)),0,IF(AND(S281&lt;=B281,OR(T281=0,T281&gt;=EOMONTH(B281,0))),30,MIN(30,IF(T281=0,EOMONTH(B281,0),MIN(T281,EOMONTH(B281,0)))-MAX(B281,S281)+1))))</f>
        <v/>
      </c>
    </row>
    <row r="282" customFormat="false" ht="15" hidden="false" customHeight="false" outlineLevel="0" collapsed="false">
      <c r="B282" s="78"/>
      <c r="C282" s="64"/>
      <c r="D282" s="70" t="str">
        <f aca="false">IF(C282="","",IFERROR(INDEX(T_NOMBRE,MATCH(C282,T_ID,0)),"⚠ ID no existe"))</f>
        <v/>
      </c>
      <c r="E282" s="69"/>
      <c r="F282" s="69"/>
      <c r="G282" s="69"/>
      <c r="H282" s="69"/>
      <c r="I282" s="66"/>
      <c r="J282" s="69"/>
      <c r="K282" s="67"/>
      <c r="L282" s="67"/>
      <c r="M282" s="67"/>
      <c r="N282" s="67"/>
      <c r="O282" s="64"/>
      <c r="P282" s="72" t="str">
        <f aca="false">IF(OR(B282="",C282=""),"",C282&amp;"|"&amp;(YEAR(B282)*100+MONTH(B282)))</f>
        <v/>
      </c>
      <c r="Q282" s="70" t="str">
        <f aca="false">IF(P282="","",IF(COUNTIF(N_CLAVE,P282)&gt;1,"⚠ Duplicado","OK"))</f>
        <v/>
      </c>
      <c r="R282" s="74" t="str">
        <f aca="false">IF(OR(P282="",U282=""),"",MAX(0,U282-N(E282)-N(F282)-N(H282)))</f>
        <v/>
      </c>
      <c r="S282" s="75" t="str">
        <f aca="false">IF(P282="","",IFERROR(INDEX(T_INGRESO,MATCH(C282,T_ID,0)),""))</f>
        <v/>
      </c>
      <c r="T282" s="75" t="str">
        <f aca="false">IF(P282="","",IFERROR(N(INDEX(T_EGRESO,MATCH(C282,T_ID,0))),0))</f>
        <v/>
      </c>
      <c r="U282" s="73" t="str">
        <f aca="false">IF(OR(P282="",NOT(ISNUMBER(S282))),"",IF(OR(S282&gt;EOMONTH(B282,0),AND(T282&gt;0,T282&lt;B282)),0,IF(AND(S282&lt;=B282,OR(T282=0,T282&gt;=EOMONTH(B282,0))),30,MIN(30,IF(T282=0,EOMONTH(B282,0),MIN(T282,EOMONTH(B282,0)))-MAX(B282,S282)+1))))</f>
        <v/>
      </c>
    </row>
    <row r="283" customFormat="false" ht="15" hidden="false" customHeight="false" outlineLevel="0" collapsed="false">
      <c r="B283" s="78"/>
      <c r="C283" s="64"/>
      <c r="D283" s="70" t="str">
        <f aca="false">IF(C283="","",IFERROR(INDEX(T_NOMBRE,MATCH(C283,T_ID,0)),"⚠ ID no existe"))</f>
        <v/>
      </c>
      <c r="E283" s="69"/>
      <c r="F283" s="69"/>
      <c r="G283" s="69"/>
      <c r="H283" s="69"/>
      <c r="I283" s="66"/>
      <c r="J283" s="69"/>
      <c r="K283" s="67"/>
      <c r="L283" s="67"/>
      <c r="M283" s="67"/>
      <c r="N283" s="67"/>
      <c r="O283" s="64"/>
      <c r="P283" s="72" t="str">
        <f aca="false">IF(OR(B283="",C283=""),"",C283&amp;"|"&amp;(YEAR(B283)*100+MONTH(B283)))</f>
        <v/>
      </c>
      <c r="Q283" s="70" t="str">
        <f aca="false">IF(P283="","",IF(COUNTIF(N_CLAVE,P283)&gt;1,"⚠ Duplicado","OK"))</f>
        <v/>
      </c>
      <c r="R283" s="74" t="str">
        <f aca="false">IF(OR(P283="",U283=""),"",MAX(0,U283-N(E283)-N(F283)-N(H283)))</f>
        <v/>
      </c>
      <c r="S283" s="75" t="str">
        <f aca="false">IF(P283="","",IFERROR(INDEX(T_INGRESO,MATCH(C283,T_ID,0)),""))</f>
        <v/>
      </c>
      <c r="T283" s="75" t="str">
        <f aca="false">IF(P283="","",IFERROR(N(INDEX(T_EGRESO,MATCH(C283,T_ID,0))),0))</f>
        <v/>
      </c>
      <c r="U283" s="73" t="str">
        <f aca="false">IF(OR(P283="",NOT(ISNUMBER(S283))),"",IF(OR(S283&gt;EOMONTH(B283,0),AND(T283&gt;0,T283&lt;B283)),0,IF(AND(S283&lt;=B283,OR(T283=0,T283&gt;=EOMONTH(B283,0))),30,MIN(30,IF(T283=0,EOMONTH(B283,0),MIN(T283,EOMONTH(B283,0)))-MAX(B283,S283)+1))))</f>
        <v/>
      </c>
    </row>
    <row r="284" customFormat="false" ht="15" hidden="false" customHeight="false" outlineLevel="0" collapsed="false">
      <c r="B284" s="78"/>
      <c r="C284" s="64"/>
      <c r="D284" s="70" t="str">
        <f aca="false">IF(C284="","",IFERROR(INDEX(T_NOMBRE,MATCH(C284,T_ID,0)),"⚠ ID no existe"))</f>
        <v/>
      </c>
      <c r="E284" s="69"/>
      <c r="F284" s="69"/>
      <c r="G284" s="69"/>
      <c r="H284" s="69"/>
      <c r="I284" s="66"/>
      <c r="J284" s="69"/>
      <c r="K284" s="67"/>
      <c r="L284" s="67"/>
      <c r="M284" s="67"/>
      <c r="N284" s="67"/>
      <c r="O284" s="64"/>
      <c r="P284" s="72" t="str">
        <f aca="false">IF(OR(B284="",C284=""),"",C284&amp;"|"&amp;(YEAR(B284)*100+MONTH(B284)))</f>
        <v/>
      </c>
      <c r="Q284" s="70" t="str">
        <f aca="false">IF(P284="","",IF(COUNTIF(N_CLAVE,P284)&gt;1,"⚠ Duplicado","OK"))</f>
        <v/>
      </c>
      <c r="R284" s="74" t="str">
        <f aca="false">IF(OR(P284="",U284=""),"",MAX(0,U284-N(E284)-N(F284)-N(H284)))</f>
        <v/>
      </c>
      <c r="S284" s="75" t="str">
        <f aca="false">IF(P284="","",IFERROR(INDEX(T_INGRESO,MATCH(C284,T_ID,0)),""))</f>
        <v/>
      </c>
      <c r="T284" s="75" t="str">
        <f aca="false">IF(P284="","",IFERROR(N(INDEX(T_EGRESO,MATCH(C284,T_ID,0))),0))</f>
        <v/>
      </c>
      <c r="U284" s="73" t="str">
        <f aca="false">IF(OR(P284="",NOT(ISNUMBER(S284))),"",IF(OR(S284&gt;EOMONTH(B284,0),AND(T284&gt;0,T284&lt;B284)),0,IF(AND(S284&lt;=B284,OR(T284=0,T284&gt;=EOMONTH(B284,0))),30,MIN(30,IF(T284=0,EOMONTH(B284,0),MIN(T284,EOMONTH(B284,0)))-MAX(B284,S284)+1))))</f>
        <v/>
      </c>
    </row>
    <row r="285" customFormat="false" ht="15" hidden="false" customHeight="false" outlineLevel="0" collapsed="false">
      <c r="B285" s="78"/>
      <c r="C285" s="64"/>
      <c r="D285" s="70" t="str">
        <f aca="false">IF(C285="","",IFERROR(INDEX(T_NOMBRE,MATCH(C285,T_ID,0)),"⚠ ID no existe"))</f>
        <v/>
      </c>
      <c r="E285" s="69"/>
      <c r="F285" s="69"/>
      <c r="G285" s="69"/>
      <c r="H285" s="69"/>
      <c r="I285" s="66"/>
      <c r="J285" s="69"/>
      <c r="K285" s="67"/>
      <c r="L285" s="67"/>
      <c r="M285" s="67"/>
      <c r="N285" s="67"/>
      <c r="O285" s="64"/>
      <c r="P285" s="72" t="str">
        <f aca="false">IF(OR(B285="",C285=""),"",C285&amp;"|"&amp;(YEAR(B285)*100+MONTH(B285)))</f>
        <v/>
      </c>
      <c r="Q285" s="70" t="str">
        <f aca="false">IF(P285="","",IF(COUNTIF(N_CLAVE,P285)&gt;1,"⚠ Duplicado","OK"))</f>
        <v/>
      </c>
      <c r="R285" s="74" t="str">
        <f aca="false">IF(OR(P285="",U285=""),"",MAX(0,U285-N(E285)-N(F285)-N(H285)))</f>
        <v/>
      </c>
      <c r="S285" s="75" t="str">
        <f aca="false">IF(P285="","",IFERROR(INDEX(T_INGRESO,MATCH(C285,T_ID,0)),""))</f>
        <v/>
      </c>
      <c r="T285" s="75" t="str">
        <f aca="false">IF(P285="","",IFERROR(N(INDEX(T_EGRESO,MATCH(C285,T_ID,0))),0))</f>
        <v/>
      </c>
      <c r="U285" s="73" t="str">
        <f aca="false">IF(OR(P285="",NOT(ISNUMBER(S285))),"",IF(OR(S285&gt;EOMONTH(B285,0),AND(T285&gt;0,T285&lt;B285)),0,IF(AND(S285&lt;=B285,OR(T285=0,T285&gt;=EOMONTH(B285,0))),30,MIN(30,IF(T285=0,EOMONTH(B285,0),MIN(T285,EOMONTH(B285,0)))-MAX(B285,S285)+1))))</f>
        <v/>
      </c>
    </row>
    <row r="286" customFormat="false" ht="15" hidden="false" customHeight="false" outlineLevel="0" collapsed="false">
      <c r="B286" s="78"/>
      <c r="C286" s="64"/>
      <c r="D286" s="70" t="str">
        <f aca="false">IF(C286="","",IFERROR(INDEX(T_NOMBRE,MATCH(C286,T_ID,0)),"⚠ ID no existe"))</f>
        <v/>
      </c>
      <c r="E286" s="69"/>
      <c r="F286" s="69"/>
      <c r="G286" s="69"/>
      <c r="H286" s="69"/>
      <c r="I286" s="66"/>
      <c r="J286" s="69"/>
      <c r="K286" s="67"/>
      <c r="L286" s="67"/>
      <c r="M286" s="67"/>
      <c r="N286" s="67"/>
      <c r="O286" s="64"/>
      <c r="P286" s="72" t="str">
        <f aca="false">IF(OR(B286="",C286=""),"",C286&amp;"|"&amp;(YEAR(B286)*100+MONTH(B286)))</f>
        <v/>
      </c>
      <c r="Q286" s="70" t="str">
        <f aca="false">IF(P286="","",IF(COUNTIF(N_CLAVE,P286)&gt;1,"⚠ Duplicado","OK"))</f>
        <v/>
      </c>
      <c r="R286" s="74" t="str">
        <f aca="false">IF(OR(P286="",U286=""),"",MAX(0,U286-N(E286)-N(F286)-N(H286)))</f>
        <v/>
      </c>
      <c r="S286" s="75" t="str">
        <f aca="false">IF(P286="","",IFERROR(INDEX(T_INGRESO,MATCH(C286,T_ID,0)),""))</f>
        <v/>
      </c>
      <c r="T286" s="75" t="str">
        <f aca="false">IF(P286="","",IFERROR(N(INDEX(T_EGRESO,MATCH(C286,T_ID,0))),0))</f>
        <v/>
      </c>
      <c r="U286" s="73" t="str">
        <f aca="false">IF(OR(P286="",NOT(ISNUMBER(S286))),"",IF(OR(S286&gt;EOMONTH(B286,0),AND(T286&gt;0,T286&lt;B286)),0,IF(AND(S286&lt;=B286,OR(T286=0,T286&gt;=EOMONTH(B286,0))),30,MIN(30,IF(T286=0,EOMONTH(B286,0),MIN(T286,EOMONTH(B286,0)))-MAX(B286,S286)+1))))</f>
        <v/>
      </c>
    </row>
    <row r="287" customFormat="false" ht="15" hidden="false" customHeight="false" outlineLevel="0" collapsed="false">
      <c r="B287" s="78"/>
      <c r="C287" s="64"/>
      <c r="D287" s="70" t="str">
        <f aca="false">IF(C287="","",IFERROR(INDEX(T_NOMBRE,MATCH(C287,T_ID,0)),"⚠ ID no existe"))</f>
        <v/>
      </c>
      <c r="E287" s="69"/>
      <c r="F287" s="69"/>
      <c r="G287" s="69"/>
      <c r="H287" s="69"/>
      <c r="I287" s="66"/>
      <c r="J287" s="69"/>
      <c r="K287" s="67"/>
      <c r="L287" s="67"/>
      <c r="M287" s="67"/>
      <c r="N287" s="67"/>
      <c r="O287" s="64"/>
      <c r="P287" s="72" t="str">
        <f aca="false">IF(OR(B287="",C287=""),"",C287&amp;"|"&amp;(YEAR(B287)*100+MONTH(B287)))</f>
        <v/>
      </c>
      <c r="Q287" s="70" t="str">
        <f aca="false">IF(P287="","",IF(COUNTIF(N_CLAVE,P287)&gt;1,"⚠ Duplicado","OK"))</f>
        <v/>
      </c>
      <c r="R287" s="74" t="str">
        <f aca="false">IF(OR(P287="",U287=""),"",MAX(0,U287-N(E287)-N(F287)-N(H287)))</f>
        <v/>
      </c>
      <c r="S287" s="75" t="str">
        <f aca="false">IF(P287="","",IFERROR(INDEX(T_INGRESO,MATCH(C287,T_ID,0)),""))</f>
        <v/>
      </c>
      <c r="T287" s="75" t="str">
        <f aca="false">IF(P287="","",IFERROR(N(INDEX(T_EGRESO,MATCH(C287,T_ID,0))),0))</f>
        <v/>
      </c>
      <c r="U287" s="73" t="str">
        <f aca="false">IF(OR(P287="",NOT(ISNUMBER(S287))),"",IF(OR(S287&gt;EOMONTH(B287,0),AND(T287&gt;0,T287&lt;B287)),0,IF(AND(S287&lt;=B287,OR(T287=0,T287&gt;=EOMONTH(B287,0))),30,MIN(30,IF(T287=0,EOMONTH(B287,0),MIN(T287,EOMONTH(B287,0)))-MAX(B287,S287)+1))))</f>
        <v/>
      </c>
    </row>
    <row r="288" customFormat="false" ht="15" hidden="false" customHeight="false" outlineLevel="0" collapsed="false">
      <c r="B288" s="78"/>
      <c r="C288" s="64"/>
      <c r="D288" s="70" t="str">
        <f aca="false">IF(C288="","",IFERROR(INDEX(T_NOMBRE,MATCH(C288,T_ID,0)),"⚠ ID no existe"))</f>
        <v/>
      </c>
      <c r="E288" s="69"/>
      <c r="F288" s="69"/>
      <c r="G288" s="69"/>
      <c r="H288" s="69"/>
      <c r="I288" s="66"/>
      <c r="J288" s="69"/>
      <c r="K288" s="67"/>
      <c r="L288" s="67"/>
      <c r="M288" s="67"/>
      <c r="N288" s="67"/>
      <c r="O288" s="64"/>
      <c r="P288" s="72" t="str">
        <f aca="false">IF(OR(B288="",C288=""),"",C288&amp;"|"&amp;(YEAR(B288)*100+MONTH(B288)))</f>
        <v/>
      </c>
      <c r="Q288" s="70" t="str">
        <f aca="false">IF(P288="","",IF(COUNTIF(N_CLAVE,P288)&gt;1,"⚠ Duplicado","OK"))</f>
        <v/>
      </c>
      <c r="R288" s="74" t="str">
        <f aca="false">IF(OR(P288="",U288=""),"",MAX(0,U288-N(E288)-N(F288)-N(H288)))</f>
        <v/>
      </c>
      <c r="S288" s="75" t="str">
        <f aca="false">IF(P288="","",IFERROR(INDEX(T_INGRESO,MATCH(C288,T_ID,0)),""))</f>
        <v/>
      </c>
      <c r="T288" s="75" t="str">
        <f aca="false">IF(P288="","",IFERROR(N(INDEX(T_EGRESO,MATCH(C288,T_ID,0))),0))</f>
        <v/>
      </c>
      <c r="U288" s="73" t="str">
        <f aca="false">IF(OR(P288="",NOT(ISNUMBER(S288))),"",IF(OR(S288&gt;EOMONTH(B288,0),AND(T288&gt;0,T288&lt;B288)),0,IF(AND(S288&lt;=B288,OR(T288=0,T288&gt;=EOMONTH(B288,0))),30,MIN(30,IF(T288=0,EOMONTH(B288,0),MIN(T288,EOMONTH(B288,0)))-MAX(B288,S288)+1))))</f>
        <v/>
      </c>
    </row>
    <row r="289" customFormat="false" ht="15" hidden="false" customHeight="false" outlineLevel="0" collapsed="false">
      <c r="B289" s="78"/>
      <c r="C289" s="64"/>
      <c r="D289" s="70" t="str">
        <f aca="false">IF(C289="","",IFERROR(INDEX(T_NOMBRE,MATCH(C289,T_ID,0)),"⚠ ID no existe"))</f>
        <v/>
      </c>
      <c r="E289" s="69"/>
      <c r="F289" s="69"/>
      <c r="G289" s="69"/>
      <c r="H289" s="69"/>
      <c r="I289" s="66"/>
      <c r="J289" s="69"/>
      <c r="K289" s="67"/>
      <c r="L289" s="67"/>
      <c r="M289" s="67"/>
      <c r="N289" s="67"/>
      <c r="O289" s="64"/>
      <c r="P289" s="72" t="str">
        <f aca="false">IF(OR(B289="",C289=""),"",C289&amp;"|"&amp;(YEAR(B289)*100+MONTH(B289)))</f>
        <v/>
      </c>
      <c r="Q289" s="70" t="str">
        <f aca="false">IF(P289="","",IF(COUNTIF(N_CLAVE,P289)&gt;1,"⚠ Duplicado","OK"))</f>
        <v/>
      </c>
      <c r="R289" s="74" t="str">
        <f aca="false">IF(OR(P289="",U289=""),"",MAX(0,U289-N(E289)-N(F289)-N(H289)))</f>
        <v/>
      </c>
      <c r="S289" s="75" t="str">
        <f aca="false">IF(P289="","",IFERROR(INDEX(T_INGRESO,MATCH(C289,T_ID,0)),""))</f>
        <v/>
      </c>
      <c r="T289" s="75" t="str">
        <f aca="false">IF(P289="","",IFERROR(N(INDEX(T_EGRESO,MATCH(C289,T_ID,0))),0))</f>
        <v/>
      </c>
      <c r="U289" s="73" t="str">
        <f aca="false">IF(OR(P289="",NOT(ISNUMBER(S289))),"",IF(OR(S289&gt;EOMONTH(B289,0),AND(T289&gt;0,T289&lt;B289)),0,IF(AND(S289&lt;=B289,OR(T289=0,T289&gt;=EOMONTH(B289,0))),30,MIN(30,IF(T289=0,EOMONTH(B289,0),MIN(T289,EOMONTH(B289,0)))-MAX(B289,S289)+1))))</f>
        <v/>
      </c>
    </row>
    <row r="290" customFormat="false" ht="15" hidden="false" customHeight="false" outlineLevel="0" collapsed="false">
      <c r="B290" s="78"/>
      <c r="C290" s="64"/>
      <c r="D290" s="70" t="str">
        <f aca="false">IF(C290="","",IFERROR(INDEX(T_NOMBRE,MATCH(C290,T_ID,0)),"⚠ ID no existe"))</f>
        <v/>
      </c>
      <c r="E290" s="69"/>
      <c r="F290" s="69"/>
      <c r="G290" s="69"/>
      <c r="H290" s="69"/>
      <c r="I290" s="66"/>
      <c r="J290" s="69"/>
      <c r="K290" s="67"/>
      <c r="L290" s="67"/>
      <c r="M290" s="67"/>
      <c r="N290" s="67"/>
      <c r="O290" s="64"/>
      <c r="P290" s="72" t="str">
        <f aca="false">IF(OR(B290="",C290=""),"",C290&amp;"|"&amp;(YEAR(B290)*100+MONTH(B290)))</f>
        <v/>
      </c>
      <c r="Q290" s="70" t="str">
        <f aca="false">IF(P290="","",IF(COUNTIF(N_CLAVE,P290)&gt;1,"⚠ Duplicado","OK"))</f>
        <v/>
      </c>
      <c r="R290" s="74" t="str">
        <f aca="false">IF(OR(P290="",U290=""),"",MAX(0,U290-N(E290)-N(F290)-N(H290)))</f>
        <v/>
      </c>
      <c r="S290" s="75" t="str">
        <f aca="false">IF(P290="","",IFERROR(INDEX(T_INGRESO,MATCH(C290,T_ID,0)),""))</f>
        <v/>
      </c>
      <c r="T290" s="75" t="str">
        <f aca="false">IF(P290="","",IFERROR(N(INDEX(T_EGRESO,MATCH(C290,T_ID,0))),0))</f>
        <v/>
      </c>
      <c r="U290" s="73" t="str">
        <f aca="false">IF(OR(P290="",NOT(ISNUMBER(S290))),"",IF(OR(S290&gt;EOMONTH(B290,0),AND(T290&gt;0,T290&lt;B290)),0,IF(AND(S290&lt;=B290,OR(T290=0,T290&gt;=EOMONTH(B290,0))),30,MIN(30,IF(T290=0,EOMONTH(B290,0),MIN(T290,EOMONTH(B290,0)))-MAX(B290,S290)+1))))</f>
        <v/>
      </c>
    </row>
    <row r="291" customFormat="false" ht="15" hidden="false" customHeight="false" outlineLevel="0" collapsed="false">
      <c r="B291" s="78"/>
      <c r="C291" s="64"/>
      <c r="D291" s="70" t="str">
        <f aca="false">IF(C291="","",IFERROR(INDEX(T_NOMBRE,MATCH(C291,T_ID,0)),"⚠ ID no existe"))</f>
        <v/>
      </c>
      <c r="E291" s="69"/>
      <c r="F291" s="69"/>
      <c r="G291" s="69"/>
      <c r="H291" s="69"/>
      <c r="I291" s="66"/>
      <c r="J291" s="69"/>
      <c r="K291" s="67"/>
      <c r="L291" s="67"/>
      <c r="M291" s="67"/>
      <c r="N291" s="67"/>
      <c r="O291" s="64"/>
      <c r="P291" s="72" t="str">
        <f aca="false">IF(OR(B291="",C291=""),"",C291&amp;"|"&amp;(YEAR(B291)*100+MONTH(B291)))</f>
        <v/>
      </c>
      <c r="Q291" s="70" t="str">
        <f aca="false">IF(P291="","",IF(COUNTIF(N_CLAVE,P291)&gt;1,"⚠ Duplicado","OK"))</f>
        <v/>
      </c>
      <c r="R291" s="74" t="str">
        <f aca="false">IF(OR(P291="",U291=""),"",MAX(0,U291-N(E291)-N(F291)-N(H291)))</f>
        <v/>
      </c>
      <c r="S291" s="75" t="str">
        <f aca="false">IF(P291="","",IFERROR(INDEX(T_INGRESO,MATCH(C291,T_ID,0)),""))</f>
        <v/>
      </c>
      <c r="T291" s="75" t="str">
        <f aca="false">IF(P291="","",IFERROR(N(INDEX(T_EGRESO,MATCH(C291,T_ID,0))),0))</f>
        <v/>
      </c>
      <c r="U291" s="73" t="str">
        <f aca="false">IF(OR(P291="",NOT(ISNUMBER(S291))),"",IF(OR(S291&gt;EOMONTH(B291,0),AND(T291&gt;0,T291&lt;B291)),0,IF(AND(S291&lt;=B291,OR(T291=0,T291&gt;=EOMONTH(B291,0))),30,MIN(30,IF(T291=0,EOMONTH(B291,0),MIN(T291,EOMONTH(B291,0)))-MAX(B291,S291)+1))))</f>
        <v/>
      </c>
    </row>
    <row r="292" customFormat="false" ht="15" hidden="false" customHeight="false" outlineLevel="0" collapsed="false">
      <c r="B292" s="78"/>
      <c r="C292" s="64"/>
      <c r="D292" s="70" t="str">
        <f aca="false">IF(C292="","",IFERROR(INDEX(T_NOMBRE,MATCH(C292,T_ID,0)),"⚠ ID no existe"))</f>
        <v/>
      </c>
      <c r="E292" s="69"/>
      <c r="F292" s="69"/>
      <c r="G292" s="69"/>
      <c r="H292" s="69"/>
      <c r="I292" s="66"/>
      <c r="J292" s="69"/>
      <c r="K292" s="67"/>
      <c r="L292" s="67"/>
      <c r="M292" s="67"/>
      <c r="N292" s="67"/>
      <c r="O292" s="64"/>
      <c r="P292" s="72" t="str">
        <f aca="false">IF(OR(B292="",C292=""),"",C292&amp;"|"&amp;(YEAR(B292)*100+MONTH(B292)))</f>
        <v/>
      </c>
      <c r="Q292" s="70" t="str">
        <f aca="false">IF(P292="","",IF(COUNTIF(N_CLAVE,P292)&gt;1,"⚠ Duplicado","OK"))</f>
        <v/>
      </c>
      <c r="R292" s="74" t="str">
        <f aca="false">IF(OR(P292="",U292=""),"",MAX(0,U292-N(E292)-N(F292)-N(H292)))</f>
        <v/>
      </c>
      <c r="S292" s="75" t="str">
        <f aca="false">IF(P292="","",IFERROR(INDEX(T_INGRESO,MATCH(C292,T_ID,0)),""))</f>
        <v/>
      </c>
      <c r="T292" s="75" t="str">
        <f aca="false">IF(P292="","",IFERROR(N(INDEX(T_EGRESO,MATCH(C292,T_ID,0))),0))</f>
        <v/>
      </c>
      <c r="U292" s="73" t="str">
        <f aca="false">IF(OR(P292="",NOT(ISNUMBER(S292))),"",IF(OR(S292&gt;EOMONTH(B292,0),AND(T292&gt;0,T292&lt;B292)),0,IF(AND(S292&lt;=B292,OR(T292=0,T292&gt;=EOMONTH(B292,0))),30,MIN(30,IF(T292=0,EOMONTH(B292,0),MIN(T292,EOMONTH(B292,0)))-MAX(B292,S292)+1))))</f>
        <v/>
      </c>
    </row>
    <row r="293" customFormat="false" ht="15" hidden="false" customHeight="false" outlineLevel="0" collapsed="false">
      <c r="B293" s="78"/>
      <c r="C293" s="64"/>
      <c r="D293" s="70" t="str">
        <f aca="false">IF(C293="","",IFERROR(INDEX(T_NOMBRE,MATCH(C293,T_ID,0)),"⚠ ID no existe"))</f>
        <v/>
      </c>
      <c r="E293" s="69"/>
      <c r="F293" s="69"/>
      <c r="G293" s="69"/>
      <c r="H293" s="69"/>
      <c r="I293" s="66"/>
      <c r="J293" s="69"/>
      <c r="K293" s="67"/>
      <c r="L293" s="67"/>
      <c r="M293" s="67"/>
      <c r="N293" s="67"/>
      <c r="O293" s="64"/>
      <c r="P293" s="72" t="str">
        <f aca="false">IF(OR(B293="",C293=""),"",C293&amp;"|"&amp;(YEAR(B293)*100+MONTH(B293)))</f>
        <v/>
      </c>
      <c r="Q293" s="70" t="str">
        <f aca="false">IF(P293="","",IF(COUNTIF(N_CLAVE,P293)&gt;1,"⚠ Duplicado","OK"))</f>
        <v/>
      </c>
      <c r="R293" s="74" t="str">
        <f aca="false">IF(OR(P293="",U293=""),"",MAX(0,U293-N(E293)-N(F293)-N(H293)))</f>
        <v/>
      </c>
      <c r="S293" s="75" t="str">
        <f aca="false">IF(P293="","",IFERROR(INDEX(T_INGRESO,MATCH(C293,T_ID,0)),""))</f>
        <v/>
      </c>
      <c r="T293" s="75" t="str">
        <f aca="false">IF(P293="","",IFERROR(N(INDEX(T_EGRESO,MATCH(C293,T_ID,0))),0))</f>
        <v/>
      </c>
      <c r="U293" s="73" t="str">
        <f aca="false">IF(OR(P293="",NOT(ISNUMBER(S293))),"",IF(OR(S293&gt;EOMONTH(B293,0),AND(T293&gt;0,T293&lt;B293)),0,IF(AND(S293&lt;=B293,OR(T293=0,T293&gt;=EOMONTH(B293,0))),30,MIN(30,IF(T293=0,EOMONTH(B293,0),MIN(T293,EOMONTH(B293,0)))-MAX(B293,S293)+1))))</f>
        <v/>
      </c>
    </row>
    <row r="294" customFormat="false" ht="15" hidden="false" customHeight="false" outlineLevel="0" collapsed="false">
      <c r="B294" s="78"/>
      <c r="C294" s="64"/>
      <c r="D294" s="70" t="str">
        <f aca="false">IF(C294="","",IFERROR(INDEX(T_NOMBRE,MATCH(C294,T_ID,0)),"⚠ ID no existe"))</f>
        <v/>
      </c>
      <c r="E294" s="69"/>
      <c r="F294" s="69"/>
      <c r="G294" s="69"/>
      <c r="H294" s="69"/>
      <c r="I294" s="66"/>
      <c r="J294" s="69"/>
      <c r="K294" s="67"/>
      <c r="L294" s="67"/>
      <c r="M294" s="67"/>
      <c r="N294" s="67"/>
      <c r="O294" s="64"/>
      <c r="P294" s="72" t="str">
        <f aca="false">IF(OR(B294="",C294=""),"",C294&amp;"|"&amp;(YEAR(B294)*100+MONTH(B294)))</f>
        <v/>
      </c>
      <c r="Q294" s="70" t="str">
        <f aca="false">IF(P294="","",IF(COUNTIF(N_CLAVE,P294)&gt;1,"⚠ Duplicado","OK"))</f>
        <v/>
      </c>
      <c r="R294" s="74" t="str">
        <f aca="false">IF(OR(P294="",U294=""),"",MAX(0,U294-N(E294)-N(F294)-N(H294)))</f>
        <v/>
      </c>
      <c r="S294" s="75" t="str">
        <f aca="false">IF(P294="","",IFERROR(INDEX(T_INGRESO,MATCH(C294,T_ID,0)),""))</f>
        <v/>
      </c>
      <c r="T294" s="75" t="str">
        <f aca="false">IF(P294="","",IFERROR(N(INDEX(T_EGRESO,MATCH(C294,T_ID,0))),0))</f>
        <v/>
      </c>
      <c r="U294" s="73" t="str">
        <f aca="false">IF(OR(P294="",NOT(ISNUMBER(S294))),"",IF(OR(S294&gt;EOMONTH(B294,0),AND(T294&gt;0,T294&lt;B294)),0,IF(AND(S294&lt;=B294,OR(T294=0,T294&gt;=EOMONTH(B294,0))),30,MIN(30,IF(T294=0,EOMONTH(B294,0),MIN(T294,EOMONTH(B294,0)))-MAX(B294,S294)+1))))</f>
        <v/>
      </c>
    </row>
    <row r="295" customFormat="false" ht="15" hidden="false" customHeight="false" outlineLevel="0" collapsed="false">
      <c r="B295" s="78"/>
      <c r="C295" s="64"/>
      <c r="D295" s="70" t="str">
        <f aca="false">IF(C295="","",IFERROR(INDEX(T_NOMBRE,MATCH(C295,T_ID,0)),"⚠ ID no existe"))</f>
        <v/>
      </c>
      <c r="E295" s="69"/>
      <c r="F295" s="69"/>
      <c r="G295" s="69"/>
      <c r="H295" s="69"/>
      <c r="I295" s="66"/>
      <c r="J295" s="69"/>
      <c r="K295" s="67"/>
      <c r="L295" s="67"/>
      <c r="M295" s="67"/>
      <c r="N295" s="67"/>
      <c r="O295" s="64"/>
      <c r="P295" s="72" t="str">
        <f aca="false">IF(OR(B295="",C295=""),"",C295&amp;"|"&amp;(YEAR(B295)*100+MONTH(B295)))</f>
        <v/>
      </c>
      <c r="Q295" s="70" t="str">
        <f aca="false">IF(P295="","",IF(COUNTIF(N_CLAVE,P295)&gt;1,"⚠ Duplicado","OK"))</f>
        <v/>
      </c>
      <c r="R295" s="74" t="str">
        <f aca="false">IF(OR(P295="",U295=""),"",MAX(0,U295-N(E295)-N(F295)-N(H295)))</f>
        <v/>
      </c>
      <c r="S295" s="75" t="str">
        <f aca="false">IF(P295="","",IFERROR(INDEX(T_INGRESO,MATCH(C295,T_ID,0)),""))</f>
        <v/>
      </c>
      <c r="T295" s="75" t="str">
        <f aca="false">IF(P295="","",IFERROR(N(INDEX(T_EGRESO,MATCH(C295,T_ID,0))),0))</f>
        <v/>
      </c>
      <c r="U295" s="73" t="str">
        <f aca="false">IF(OR(P295="",NOT(ISNUMBER(S295))),"",IF(OR(S295&gt;EOMONTH(B295,0),AND(T295&gt;0,T295&lt;B295)),0,IF(AND(S295&lt;=B295,OR(T295=0,T295&gt;=EOMONTH(B295,0))),30,MIN(30,IF(T295=0,EOMONTH(B295,0),MIN(T295,EOMONTH(B295,0)))-MAX(B295,S295)+1))))</f>
        <v/>
      </c>
    </row>
    <row r="296" customFormat="false" ht="15" hidden="false" customHeight="false" outlineLevel="0" collapsed="false">
      <c r="B296" s="78"/>
      <c r="C296" s="64"/>
      <c r="D296" s="70" t="str">
        <f aca="false">IF(C296="","",IFERROR(INDEX(T_NOMBRE,MATCH(C296,T_ID,0)),"⚠ ID no existe"))</f>
        <v/>
      </c>
      <c r="E296" s="69"/>
      <c r="F296" s="69"/>
      <c r="G296" s="69"/>
      <c r="H296" s="69"/>
      <c r="I296" s="66"/>
      <c r="J296" s="69"/>
      <c r="K296" s="67"/>
      <c r="L296" s="67"/>
      <c r="M296" s="67"/>
      <c r="N296" s="67"/>
      <c r="O296" s="64"/>
      <c r="P296" s="72" t="str">
        <f aca="false">IF(OR(B296="",C296=""),"",C296&amp;"|"&amp;(YEAR(B296)*100+MONTH(B296)))</f>
        <v/>
      </c>
      <c r="Q296" s="70" t="str">
        <f aca="false">IF(P296="","",IF(COUNTIF(N_CLAVE,P296)&gt;1,"⚠ Duplicado","OK"))</f>
        <v/>
      </c>
      <c r="R296" s="74" t="str">
        <f aca="false">IF(OR(P296="",U296=""),"",MAX(0,U296-N(E296)-N(F296)-N(H296)))</f>
        <v/>
      </c>
      <c r="S296" s="75" t="str">
        <f aca="false">IF(P296="","",IFERROR(INDEX(T_INGRESO,MATCH(C296,T_ID,0)),""))</f>
        <v/>
      </c>
      <c r="T296" s="75" t="str">
        <f aca="false">IF(P296="","",IFERROR(N(INDEX(T_EGRESO,MATCH(C296,T_ID,0))),0))</f>
        <v/>
      </c>
      <c r="U296" s="73" t="str">
        <f aca="false">IF(OR(P296="",NOT(ISNUMBER(S296))),"",IF(OR(S296&gt;EOMONTH(B296,0),AND(T296&gt;0,T296&lt;B296)),0,IF(AND(S296&lt;=B296,OR(T296=0,T296&gt;=EOMONTH(B296,0))),30,MIN(30,IF(T296=0,EOMONTH(B296,0),MIN(T296,EOMONTH(B296,0)))-MAX(B296,S296)+1))))</f>
        <v/>
      </c>
    </row>
    <row r="297" customFormat="false" ht="15" hidden="false" customHeight="false" outlineLevel="0" collapsed="false">
      <c r="B297" s="78"/>
      <c r="C297" s="64"/>
      <c r="D297" s="70" t="str">
        <f aca="false">IF(C297="","",IFERROR(INDEX(T_NOMBRE,MATCH(C297,T_ID,0)),"⚠ ID no existe"))</f>
        <v/>
      </c>
      <c r="E297" s="69"/>
      <c r="F297" s="69"/>
      <c r="G297" s="69"/>
      <c r="H297" s="69"/>
      <c r="I297" s="66"/>
      <c r="J297" s="69"/>
      <c r="K297" s="67"/>
      <c r="L297" s="67"/>
      <c r="M297" s="67"/>
      <c r="N297" s="67"/>
      <c r="O297" s="64"/>
      <c r="P297" s="72" t="str">
        <f aca="false">IF(OR(B297="",C297=""),"",C297&amp;"|"&amp;(YEAR(B297)*100+MONTH(B297)))</f>
        <v/>
      </c>
      <c r="Q297" s="70" t="str">
        <f aca="false">IF(P297="","",IF(COUNTIF(N_CLAVE,P297)&gt;1,"⚠ Duplicado","OK"))</f>
        <v/>
      </c>
      <c r="R297" s="74" t="str">
        <f aca="false">IF(OR(P297="",U297=""),"",MAX(0,U297-N(E297)-N(F297)-N(H297)))</f>
        <v/>
      </c>
      <c r="S297" s="75" t="str">
        <f aca="false">IF(P297="","",IFERROR(INDEX(T_INGRESO,MATCH(C297,T_ID,0)),""))</f>
        <v/>
      </c>
      <c r="T297" s="75" t="str">
        <f aca="false">IF(P297="","",IFERROR(N(INDEX(T_EGRESO,MATCH(C297,T_ID,0))),0))</f>
        <v/>
      </c>
      <c r="U297" s="73" t="str">
        <f aca="false">IF(OR(P297="",NOT(ISNUMBER(S297))),"",IF(OR(S297&gt;EOMONTH(B297,0),AND(T297&gt;0,T297&lt;B297)),0,IF(AND(S297&lt;=B297,OR(T297=0,T297&gt;=EOMONTH(B297,0))),30,MIN(30,IF(T297=0,EOMONTH(B297,0),MIN(T297,EOMONTH(B297,0)))-MAX(B297,S297)+1))))</f>
        <v/>
      </c>
    </row>
    <row r="298" customFormat="false" ht="15" hidden="false" customHeight="false" outlineLevel="0" collapsed="false">
      <c r="B298" s="78"/>
      <c r="C298" s="64"/>
      <c r="D298" s="70" t="str">
        <f aca="false">IF(C298="","",IFERROR(INDEX(T_NOMBRE,MATCH(C298,T_ID,0)),"⚠ ID no existe"))</f>
        <v/>
      </c>
      <c r="E298" s="69"/>
      <c r="F298" s="69"/>
      <c r="G298" s="69"/>
      <c r="H298" s="69"/>
      <c r="I298" s="66"/>
      <c r="J298" s="69"/>
      <c r="K298" s="67"/>
      <c r="L298" s="67"/>
      <c r="M298" s="67"/>
      <c r="N298" s="67"/>
      <c r="O298" s="64"/>
      <c r="P298" s="72" t="str">
        <f aca="false">IF(OR(B298="",C298=""),"",C298&amp;"|"&amp;(YEAR(B298)*100+MONTH(B298)))</f>
        <v/>
      </c>
      <c r="Q298" s="70" t="str">
        <f aca="false">IF(P298="","",IF(COUNTIF(N_CLAVE,P298)&gt;1,"⚠ Duplicado","OK"))</f>
        <v/>
      </c>
      <c r="R298" s="74" t="str">
        <f aca="false">IF(OR(P298="",U298=""),"",MAX(0,U298-N(E298)-N(F298)-N(H298)))</f>
        <v/>
      </c>
      <c r="S298" s="75" t="str">
        <f aca="false">IF(P298="","",IFERROR(INDEX(T_INGRESO,MATCH(C298,T_ID,0)),""))</f>
        <v/>
      </c>
      <c r="T298" s="75" t="str">
        <f aca="false">IF(P298="","",IFERROR(N(INDEX(T_EGRESO,MATCH(C298,T_ID,0))),0))</f>
        <v/>
      </c>
      <c r="U298" s="73" t="str">
        <f aca="false">IF(OR(P298="",NOT(ISNUMBER(S298))),"",IF(OR(S298&gt;EOMONTH(B298,0),AND(T298&gt;0,T298&lt;B298)),0,IF(AND(S298&lt;=B298,OR(T298=0,T298&gt;=EOMONTH(B298,0))),30,MIN(30,IF(T298=0,EOMONTH(B298,0),MIN(T298,EOMONTH(B298,0)))-MAX(B298,S298)+1))))</f>
        <v/>
      </c>
    </row>
    <row r="299" customFormat="false" ht="15" hidden="false" customHeight="false" outlineLevel="0" collapsed="false">
      <c r="B299" s="78"/>
      <c r="C299" s="64"/>
      <c r="D299" s="70" t="str">
        <f aca="false">IF(C299="","",IFERROR(INDEX(T_NOMBRE,MATCH(C299,T_ID,0)),"⚠ ID no existe"))</f>
        <v/>
      </c>
      <c r="E299" s="69"/>
      <c r="F299" s="69"/>
      <c r="G299" s="69"/>
      <c r="H299" s="69"/>
      <c r="I299" s="66"/>
      <c r="J299" s="69"/>
      <c r="K299" s="67"/>
      <c r="L299" s="67"/>
      <c r="M299" s="67"/>
      <c r="N299" s="67"/>
      <c r="O299" s="64"/>
      <c r="P299" s="72" t="str">
        <f aca="false">IF(OR(B299="",C299=""),"",C299&amp;"|"&amp;(YEAR(B299)*100+MONTH(B299)))</f>
        <v/>
      </c>
      <c r="Q299" s="70" t="str">
        <f aca="false">IF(P299="","",IF(COUNTIF(N_CLAVE,P299)&gt;1,"⚠ Duplicado","OK"))</f>
        <v/>
      </c>
      <c r="R299" s="74" t="str">
        <f aca="false">IF(OR(P299="",U299=""),"",MAX(0,U299-N(E299)-N(F299)-N(H299)))</f>
        <v/>
      </c>
      <c r="S299" s="75" t="str">
        <f aca="false">IF(P299="","",IFERROR(INDEX(T_INGRESO,MATCH(C299,T_ID,0)),""))</f>
        <v/>
      </c>
      <c r="T299" s="75" t="str">
        <f aca="false">IF(P299="","",IFERROR(N(INDEX(T_EGRESO,MATCH(C299,T_ID,0))),0))</f>
        <v/>
      </c>
      <c r="U299" s="73" t="str">
        <f aca="false">IF(OR(P299="",NOT(ISNUMBER(S299))),"",IF(OR(S299&gt;EOMONTH(B299,0),AND(T299&gt;0,T299&lt;B299)),0,IF(AND(S299&lt;=B299,OR(T299=0,T299&gt;=EOMONTH(B299,0))),30,MIN(30,IF(T299=0,EOMONTH(B299,0),MIN(T299,EOMONTH(B299,0)))-MAX(B299,S299)+1))))</f>
        <v/>
      </c>
    </row>
    <row r="300" customFormat="false" ht="15" hidden="false" customHeight="false" outlineLevel="0" collapsed="false">
      <c r="B300" s="78"/>
      <c r="C300" s="64"/>
      <c r="D300" s="70" t="str">
        <f aca="false">IF(C300="","",IFERROR(INDEX(T_NOMBRE,MATCH(C300,T_ID,0)),"⚠ ID no existe"))</f>
        <v/>
      </c>
      <c r="E300" s="69"/>
      <c r="F300" s="69"/>
      <c r="G300" s="69"/>
      <c r="H300" s="69"/>
      <c r="I300" s="66"/>
      <c r="J300" s="69"/>
      <c r="K300" s="67"/>
      <c r="L300" s="67"/>
      <c r="M300" s="67"/>
      <c r="N300" s="67"/>
      <c r="O300" s="64"/>
      <c r="P300" s="72" t="str">
        <f aca="false">IF(OR(B300="",C300=""),"",C300&amp;"|"&amp;(YEAR(B300)*100+MONTH(B300)))</f>
        <v/>
      </c>
      <c r="Q300" s="70" t="str">
        <f aca="false">IF(P300="","",IF(COUNTIF(N_CLAVE,P300)&gt;1,"⚠ Duplicado","OK"))</f>
        <v/>
      </c>
      <c r="R300" s="74" t="str">
        <f aca="false">IF(OR(P300="",U300=""),"",MAX(0,U300-N(E300)-N(F300)-N(H300)))</f>
        <v/>
      </c>
      <c r="S300" s="75" t="str">
        <f aca="false">IF(P300="","",IFERROR(INDEX(T_INGRESO,MATCH(C300,T_ID,0)),""))</f>
        <v/>
      </c>
      <c r="T300" s="75" t="str">
        <f aca="false">IF(P300="","",IFERROR(N(INDEX(T_EGRESO,MATCH(C300,T_ID,0))),0))</f>
        <v/>
      </c>
      <c r="U300" s="73" t="str">
        <f aca="false">IF(OR(P300="",NOT(ISNUMBER(S300))),"",IF(OR(S300&gt;EOMONTH(B300,0),AND(T300&gt;0,T300&lt;B300)),0,IF(AND(S300&lt;=B300,OR(T300=0,T300&gt;=EOMONTH(B300,0))),30,MIN(30,IF(T300=0,EOMONTH(B300,0),MIN(T300,EOMONTH(B300,0)))-MAX(B300,S300)+1))))</f>
        <v/>
      </c>
    </row>
    <row r="301" customFormat="false" ht="15" hidden="false" customHeight="false" outlineLevel="0" collapsed="false">
      <c r="B301" s="78"/>
      <c r="C301" s="64"/>
      <c r="D301" s="70" t="str">
        <f aca="false">IF(C301="","",IFERROR(INDEX(T_NOMBRE,MATCH(C301,T_ID,0)),"⚠ ID no existe"))</f>
        <v/>
      </c>
      <c r="E301" s="69"/>
      <c r="F301" s="69"/>
      <c r="G301" s="69"/>
      <c r="H301" s="69"/>
      <c r="I301" s="66"/>
      <c r="J301" s="69"/>
      <c r="K301" s="67"/>
      <c r="L301" s="67"/>
      <c r="M301" s="67"/>
      <c r="N301" s="67"/>
      <c r="O301" s="64"/>
      <c r="P301" s="72" t="str">
        <f aca="false">IF(OR(B301="",C301=""),"",C301&amp;"|"&amp;(YEAR(B301)*100+MONTH(B301)))</f>
        <v/>
      </c>
      <c r="Q301" s="70" t="str">
        <f aca="false">IF(P301="","",IF(COUNTIF(N_CLAVE,P301)&gt;1,"⚠ Duplicado","OK"))</f>
        <v/>
      </c>
      <c r="R301" s="74" t="str">
        <f aca="false">IF(OR(P301="",U301=""),"",MAX(0,U301-N(E301)-N(F301)-N(H301)))</f>
        <v/>
      </c>
      <c r="S301" s="75" t="str">
        <f aca="false">IF(P301="","",IFERROR(INDEX(T_INGRESO,MATCH(C301,T_ID,0)),""))</f>
        <v/>
      </c>
      <c r="T301" s="75" t="str">
        <f aca="false">IF(P301="","",IFERROR(N(INDEX(T_EGRESO,MATCH(C301,T_ID,0))),0))</f>
        <v/>
      </c>
      <c r="U301" s="73" t="str">
        <f aca="false">IF(OR(P301="",NOT(ISNUMBER(S301))),"",IF(OR(S301&gt;EOMONTH(B301,0),AND(T301&gt;0,T301&lt;B301)),0,IF(AND(S301&lt;=B301,OR(T301=0,T301&gt;=EOMONTH(B301,0))),30,MIN(30,IF(T301=0,EOMONTH(B301,0),MIN(T301,EOMONTH(B301,0)))-MAX(B301,S301)+1))))</f>
        <v/>
      </c>
    </row>
    <row r="302" customFormat="false" ht="15" hidden="false" customHeight="false" outlineLevel="0" collapsed="false">
      <c r="B302" s="78"/>
      <c r="C302" s="64"/>
      <c r="D302" s="70" t="str">
        <f aca="false">IF(C302="","",IFERROR(INDEX(T_NOMBRE,MATCH(C302,T_ID,0)),"⚠ ID no existe"))</f>
        <v/>
      </c>
      <c r="E302" s="69"/>
      <c r="F302" s="69"/>
      <c r="G302" s="69"/>
      <c r="H302" s="69"/>
      <c r="I302" s="66"/>
      <c r="J302" s="69"/>
      <c r="K302" s="67"/>
      <c r="L302" s="67"/>
      <c r="M302" s="67"/>
      <c r="N302" s="67"/>
      <c r="O302" s="64"/>
      <c r="P302" s="72" t="str">
        <f aca="false">IF(OR(B302="",C302=""),"",C302&amp;"|"&amp;(YEAR(B302)*100+MONTH(B302)))</f>
        <v/>
      </c>
      <c r="Q302" s="70" t="str">
        <f aca="false">IF(P302="","",IF(COUNTIF(N_CLAVE,P302)&gt;1,"⚠ Duplicado","OK"))</f>
        <v/>
      </c>
      <c r="R302" s="74" t="str">
        <f aca="false">IF(OR(P302="",U302=""),"",MAX(0,U302-N(E302)-N(F302)-N(H302)))</f>
        <v/>
      </c>
      <c r="S302" s="75" t="str">
        <f aca="false">IF(P302="","",IFERROR(INDEX(T_INGRESO,MATCH(C302,T_ID,0)),""))</f>
        <v/>
      </c>
      <c r="T302" s="75" t="str">
        <f aca="false">IF(P302="","",IFERROR(N(INDEX(T_EGRESO,MATCH(C302,T_ID,0))),0))</f>
        <v/>
      </c>
      <c r="U302" s="73" t="str">
        <f aca="false">IF(OR(P302="",NOT(ISNUMBER(S302))),"",IF(OR(S302&gt;EOMONTH(B302,0),AND(T302&gt;0,T302&lt;B302)),0,IF(AND(S302&lt;=B302,OR(T302=0,T302&gt;=EOMONTH(B302,0))),30,MIN(30,IF(T302=0,EOMONTH(B302,0),MIN(T302,EOMONTH(B302,0)))-MAX(B302,S302)+1))))</f>
        <v/>
      </c>
    </row>
    <row r="303" customFormat="false" ht="15" hidden="false" customHeight="false" outlineLevel="0" collapsed="false">
      <c r="B303" s="78"/>
      <c r="C303" s="64"/>
      <c r="D303" s="70" t="str">
        <f aca="false">IF(C303="","",IFERROR(INDEX(T_NOMBRE,MATCH(C303,T_ID,0)),"⚠ ID no existe"))</f>
        <v/>
      </c>
      <c r="E303" s="69"/>
      <c r="F303" s="69"/>
      <c r="G303" s="69"/>
      <c r="H303" s="69"/>
      <c r="I303" s="66"/>
      <c r="J303" s="69"/>
      <c r="K303" s="67"/>
      <c r="L303" s="67"/>
      <c r="M303" s="67"/>
      <c r="N303" s="67"/>
      <c r="O303" s="64"/>
      <c r="P303" s="72" t="str">
        <f aca="false">IF(OR(B303="",C303=""),"",C303&amp;"|"&amp;(YEAR(B303)*100+MONTH(B303)))</f>
        <v/>
      </c>
      <c r="Q303" s="70" t="str">
        <f aca="false">IF(P303="","",IF(COUNTIF(N_CLAVE,P303)&gt;1,"⚠ Duplicado","OK"))</f>
        <v/>
      </c>
      <c r="R303" s="74" t="str">
        <f aca="false">IF(OR(P303="",U303=""),"",MAX(0,U303-N(E303)-N(F303)-N(H303)))</f>
        <v/>
      </c>
      <c r="S303" s="75" t="str">
        <f aca="false">IF(P303="","",IFERROR(INDEX(T_INGRESO,MATCH(C303,T_ID,0)),""))</f>
        <v/>
      </c>
      <c r="T303" s="75" t="str">
        <f aca="false">IF(P303="","",IFERROR(N(INDEX(T_EGRESO,MATCH(C303,T_ID,0))),0))</f>
        <v/>
      </c>
      <c r="U303" s="73" t="str">
        <f aca="false">IF(OR(P303="",NOT(ISNUMBER(S303))),"",IF(OR(S303&gt;EOMONTH(B303,0),AND(T303&gt;0,T303&lt;B303)),0,IF(AND(S303&lt;=B303,OR(T303=0,T303&gt;=EOMONTH(B303,0))),30,MIN(30,IF(T303=0,EOMONTH(B303,0),MIN(T303,EOMONTH(B303,0)))-MAX(B303,S303)+1))))</f>
        <v/>
      </c>
    </row>
    <row r="304" customFormat="false" ht="15" hidden="false" customHeight="false" outlineLevel="0" collapsed="false">
      <c r="B304" s="78"/>
      <c r="C304" s="64"/>
      <c r="D304" s="70" t="str">
        <f aca="false">IF(C304="","",IFERROR(INDEX(T_NOMBRE,MATCH(C304,T_ID,0)),"⚠ ID no existe"))</f>
        <v/>
      </c>
      <c r="E304" s="69"/>
      <c r="F304" s="69"/>
      <c r="G304" s="69"/>
      <c r="H304" s="69"/>
      <c r="I304" s="66"/>
      <c r="J304" s="69"/>
      <c r="K304" s="67"/>
      <c r="L304" s="67"/>
      <c r="M304" s="67"/>
      <c r="N304" s="67"/>
      <c r="O304" s="64"/>
      <c r="P304" s="72" t="str">
        <f aca="false">IF(OR(B304="",C304=""),"",C304&amp;"|"&amp;(YEAR(B304)*100+MONTH(B304)))</f>
        <v/>
      </c>
      <c r="Q304" s="70" t="str">
        <f aca="false">IF(P304="","",IF(COUNTIF(N_CLAVE,P304)&gt;1,"⚠ Duplicado","OK"))</f>
        <v/>
      </c>
      <c r="R304" s="74" t="str">
        <f aca="false">IF(OR(P304="",U304=""),"",MAX(0,U304-N(E304)-N(F304)-N(H304)))</f>
        <v/>
      </c>
      <c r="S304" s="75" t="str">
        <f aca="false">IF(P304="","",IFERROR(INDEX(T_INGRESO,MATCH(C304,T_ID,0)),""))</f>
        <v/>
      </c>
      <c r="T304" s="75" t="str">
        <f aca="false">IF(P304="","",IFERROR(N(INDEX(T_EGRESO,MATCH(C304,T_ID,0))),0))</f>
        <v/>
      </c>
      <c r="U304" s="73" t="str">
        <f aca="false">IF(OR(P304="",NOT(ISNUMBER(S304))),"",IF(OR(S304&gt;EOMONTH(B304,0),AND(T304&gt;0,T304&lt;B304)),0,IF(AND(S304&lt;=B304,OR(T304=0,T304&gt;=EOMONTH(B304,0))),30,MIN(30,IF(T304=0,EOMONTH(B304,0),MIN(T304,EOMONTH(B304,0)))-MAX(B304,S304)+1))))</f>
        <v/>
      </c>
    </row>
    <row r="305" customFormat="false" ht="15" hidden="false" customHeight="false" outlineLevel="0" collapsed="false">
      <c r="B305" s="78"/>
      <c r="C305" s="64"/>
      <c r="D305" s="70" t="str">
        <f aca="false">IF(C305="","",IFERROR(INDEX(T_NOMBRE,MATCH(C305,T_ID,0)),"⚠ ID no existe"))</f>
        <v/>
      </c>
      <c r="E305" s="69"/>
      <c r="F305" s="69"/>
      <c r="G305" s="69"/>
      <c r="H305" s="69"/>
      <c r="I305" s="66"/>
      <c r="J305" s="69"/>
      <c r="K305" s="67"/>
      <c r="L305" s="67"/>
      <c r="M305" s="67"/>
      <c r="N305" s="67"/>
      <c r="O305" s="64"/>
      <c r="P305" s="72" t="str">
        <f aca="false">IF(OR(B305="",C305=""),"",C305&amp;"|"&amp;(YEAR(B305)*100+MONTH(B305)))</f>
        <v/>
      </c>
      <c r="Q305" s="70" t="str">
        <f aca="false">IF(P305="","",IF(COUNTIF(N_CLAVE,P305)&gt;1,"⚠ Duplicado","OK"))</f>
        <v/>
      </c>
      <c r="R305" s="74" t="str">
        <f aca="false">IF(OR(P305="",U305=""),"",MAX(0,U305-N(E305)-N(F305)-N(H305)))</f>
        <v/>
      </c>
      <c r="S305" s="75" t="str">
        <f aca="false">IF(P305="","",IFERROR(INDEX(T_INGRESO,MATCH(C305,T_ID,0)),""))</f>
        <v/>
      </c>
      <c r="T305" s="75" t="str">
        <f aca="false">IF(P305="","",IFERROR(N(INDEX(T_EGRESO,MATCH(C305,T_ID,0))),0))</f>
        <v/>
      </c>
      <c r="U305" s="73" t="str">
        <f aca="false">IF(OR(P305="",NOT(ISNUMBER(S305))),"",IF(OR(S305&gt;EOMONTH(B305,0),AND(T305&gt;0,T305&lt;B305)),0,IF(AND(S305&lt;=B305,OR(T305=0,T305&gt;=EOMONTH(B305,0))),30,MIN(30,IF(T305=0,EOMONTH(B305,0),MIN(T305,EOMONTH(B305,0)))-MAX(B305,S305)+1))))</f>
        <v/>
      </c>
    </row>
    <row r="306" customFormat="false" ht="15" hidden="false" customHeight="false" outlineLevel="0" collapsed="false">
      <c r="B306" s="78"/>
      <c r="C306" s="64"/>
      <c r="D306" s="70" t="str">
        <f aca="false">IF(C306="","",IFERROR(INDEX(T_NOMBRE,MATCH(C306,T_ID,0)),"⚠ ID no existe"))</f>
        <v/>
      </c>
      <c r="E306" s="69"/>
      <c r="F306" s="69"/>
      <c r="G306" s="69"/>
      <c r="H306" s="69"/>
      <c r="I306" s="66"/>
      <c r="J306" s="69"/>
      <c r="K306" s="67"/>
      <c r="L306" s="67"/>
      <c r="M306" s="67"/>
      <c r="N306" s="67"/>
      <c r="O306" s="64"/>
      <c r="P306" s="72" t="str">
        <f aca="false">IF(OR(B306="",C306=""),"",C306&amp;"|"&amp;(YEAR(B306)*100+MONTH(B306)))</f>
        <v/>
      </c>
      <c r="Q306" s="70" t="str">
        <f aca="false">IF(P306="","",IF(COUNTIF(N_CLAVE,P306)&gt;1,"⚠ Duplicado","OK"))</f>
        <v/>
      </c>
      <c r="R306" s="74" t="str">
        <f aca="false">IF(OR(P306="",U306=""),"",MAX(0,U306-N(E306)-N(F306)-N(H306)))</f>
        <v/>
      </c>
      <c r="S306" s="75" t="str">
        <f aca="false">IF(P306="","",IFERROR(INDEX(T_INGRESO,MATCH(C306,T_ID,0)),""))</f>
        <v/>
      </c>
      <c r="T306" s="75" t="str">
        <f aca="false">IF(P306="","",IFERROR(N(INDEX(T_EGRESO,MATCH(C306,T_ID,0))),0))</f>
        <v/>
      </c>
      <c r="U306" s="73" t="str">
        <f aca="false">IF(OR(P306="",NOT(ISNUMBER(S306))),"",IF(OR(S306&gt;EOMONTH(B306,0),AND(T306&gt;0,T306&lt;B306)),0,IF(AND(S306&lt;=B306,OR(T306=0,T306&gt;=EOMONTH(B306,0))),30,MIN(30,IF(T306=0,EOMONTH(B306,0),MIN(T306,EOMONTH(B306,0)))-MAX(B306,S306)+1))))</f>
        <v/>
      </c>
    </row>
    <row r="307" customFormat="false" ht="15" hidden="false" customHeight="false" outlineLevel="0" collapsed="false">
      <c r="B307" s="78"/>
      <c r="C307" s="64"/>
      <c r="D307" s="70" t="str">
        <f aca="false">IF(C307="","",IFERROR(INDEX(T_NOMBRE,MATCH(C307,T_ID,0)),"⚠ ID no existe"))</f>
        <v/>
      </c>
      <c r="E307" s="69"/>
      <c r="F307" s="69"/>
      <c r="G307" s="69"/>
      <c r="H307" s="69"/>
      <c r="I307" s="66"/>
      <c r="J307" s="69"/>
      <c r="K307" s="67"/>
      <c r="L307" s="67"/>
      <c r="M307" s="67"/>
      <c r="N307" s="67"/>
      <c r="O307" s="64"/>
      <c r="P307" s="72" t="str">
        <f aca="false">IF(OR(B307="",C307=""),"",C307&amp;"|"&amp;(YEAR(B307)*100+MONTH(B307)))</f>
        <v/>
      </c>
      <c r="Q307" s="70" t="str">
        <f aca="false">IF(P307="","",IF(COUNTIF(N_CLAVE,P307)&gt;1,"⚠ Duplicado","OK"))</f>
        <v/>
      </c>
      <c r="R307" s="74" t="str">
        <f aca="false">IF(OR(P307="",U307=""),"",MAX(0,U307-N(E307)-N(F307)-N(H307)))</f>
        <v/>
      </c>
      <c r="S307" s="75" t="str">
        <f aca="false">IF(P307="","",IFERROR(INDEX(T_INGRESO,MATCH(C307,T_ID,0)),""))</f>
        <v/>
      </c>
      <c r="T307" s="75" t="str">
        <f aca="false">IF(P307="","",IFERROR(N(INDEX(T_EGRESO,MATCH(C307,T_ID,0))),0))</f>
        <v/>
      </c>
      <c r="U307" s="73" t="str">
        <f aca="false">IF(OR(P307="",NOT(ISNUMBER(S307))),"",IF(OR(S307&gt;EOMONTH(B307,0),AND(T307&gt;0,T307&lt;B307)),0,IF(AND(S307&lt;=B307,OR(T307=0,T307&gt;=EOMONTH(B307,0))),30,MIN(30,IF(T307=0,EOMONTH(B307,0),MIN(T307,EOMONTH(B307,0)))-MAX(B307,S307)+1))))</f>
        <v/>
      </c>
    </row>
    <row r="308" customFormat="false" ht="15" hidden="false" customHeight="false" outlineLevel="0" collapsed="false">
      <c r="B308" s="78"/>
      <c r="C308" s="64"/>
      <c r="D308" s="70" t="str">
        <f aca="false">IF(C308="","",IFERROR(INDEX(T_NOMBRE,MATCH(C308,T_ID,0)),"⚠ ID no existe"))</f>
        <v/>
      </c>
      <c r="E308" s="69"/>
      <c r="F308" s="69"/>
      <c r="G308" s="69"/>
      <c r="H308" s="69"/>
      <c r="I308" s="66"/>
      <c r="J308" s="69"/>
      <c r="K308" s="67"/>
      <c r="L308" s="67"/>
      <c r="M308" s="67"/>
      <c r="N308" s="67"/>
      <c r="O308" s="64"/>
      <c r="P308" s="72" t="str">
        <f aca="false">IF(OR(B308="",C308=""),"",C308&amp;"|"&amp;(YEAR(B308)*100+MONTH(B308)))</f>
        <v/>
      </c>
      <c r="Q308" s="70" t="str">
        <f aca="false">IF(P308="","",IF(COUNTIF(N_CLAVE,P308)&gt;1,"⚠ Duplicado","OK"))</f>
        <v/>
      </c>
      <c r="R308" s="74" t="str">
        <f aca="false">IF(OR(P308="",U308=""),"",MAX(0,U308-N(E308)-N(F308)-N(H308)))</f>
        <v/>
      </c>
      <c r="S308" s="75" t="str">
        <f aca="false">IF(P308="","",IFERROR(INDEX(T_INGRESO,MATCH(C308,T_ID,0)),""))</f>
        <v/>
      </c>
      <c r="T308" s="75" t="str">
        <f aca="false">IF(P308="","",IFERROR(N(INDEX(T_EGRESO,MATCH(C308,T_ID,0))),0))</f>
        <v/>
      </c>
      <c r="U308" s="73" t="str">
        <f aca="false">IF(OR(P308="",NOT(ISNUMBER(S308))),"",IF(OR(S308&gt;EOMONTH(B308,0),AND(T308&gt;0,T308&lt;B308)),0,IF(AND(S308&lt;=B308,OR(T308=0,T308&gt;=EOMONTH(B308,0))),30,MIN(30,IF(T308=0,EOMONTH(B308,0),MIN(T308,EOMONTH(B308,0)))-MAX(B308,S308)+1))))</f>
        <v/>
      </c>
    </row>
    <row r="309" customFormat="false" ht="15" hidden="false" customHeight="false" outlineLevel="0" collapsed="false">
      <c r="B309" s="78"/>
      <c r="C309" s="64"/>
      <c r="D309" s="70" t="str">
        <f aca="false">IF(C309="","",IFERROR(INDEX(T_NOMBRE,MATCH(C309,T_ID,0)),"⚠ ID no existe"))</f>
        <v/>
      </c>
      <c r="E309" s="69"/>
      <c r="F309" s="69"/>
      <c r="G309" s="69"/>
      <c r="H309" s="69"/>
      <c r="I309" s="66"/>
      <c r="J309" s="69"/>
      <c r="K309" s="67"/>
      <c r="L309" s="67"/>
      <c r="M309" s="67"/>
      <c r="N309" s="67"/>
      <c r="O309" s="64"/>
      <c r="P309" s="72" t="str">
        <f aca="false">IF(OR(B309="",C309=""),"",C309&amp;"|"&amp;(YEAR(B309)*100+MONTH(B309)))</f>
        <v/>
      </c>
      <c r="Q309" s="70" t="str">
        <f aca="false">IF(P309="","",IF(COUNTIF(N_CLAVE,P309)&gt;1,"⚠ Duplicado","OK"))</f>
        <v/>
      </c>
      <c r="R309" s="74" t="str">
        <f aca="false">IF(OR(P309="",U309=""),"",MAX(0,U309-N(E309)-N(F309)-N(H309)))</f>
        <v/>
      </c>
      <c r="S309" s="75" t="str">
        <f aca="false">IF(P309="","",IFERROR(INDEX(T_INGRESO,MATCH(C309,T_ID,0)),""))</f>
        <v/>
      </c>
      <c r="T309" s="75" t="str">
        <f aca="false">IF(P309="","",IFERROR(N(INDEX(T_EGRESO,MATCH(C309,T_ID,0))),0))</f>
        <v/>
      </c>
      <c r="U309" s="73" t="str">
        <f aca="false">IF(OR(P309="",NOT(ISNUMBER(S309))),"",IF(OR(S309&gt;EOMONTH(B309,0),AND(T309&gt;0,T309&lt;B309)),0,IF(AND(S309&lt;=B309,OR(T309=0,T309&gt;=EOMONTH(B309,0))),30,MIN(30,IF(T309=0,EOMONTH(B309,0),MIN(T309,EOMONTH(B309,0)))-MAX(B309,S309)+1))))</f>
        <v/>
      </c>
    </row>
    <row r="310" customFormat="false" ht="15" hidden="false" customHeight="false" outlineLevel="0" collapsed="false">
      <c r="B310" s="78"/>
      <c r="C310" s="64"/>
      <c r="D310" s="70" t="str">
        <f aca="false">IF(C310="","",IFERROR(INDEX(T_NOMBRE,MATCH(C310,T_ID,0)),"⚠ ID no existe"))</f>
        <v/>
      </c>
      <c r="E310" s="69"/>
      <c r="F310" s="69"/>
      <c r="G310" s="69"/>
      <c r="H310" s="69"/>
      <c r="I310" s="66"/>
      <c r="J310" s="69"/>
      <c r="K310" s="67"/>
      <c r="L310" s="67"/>
      <c r="M310" s="67"/>
      <c r="N310" s="67"/>
      <c r="O310" s="64"/>
      <c r="P310" s="72" t="str">
        <f aca="false">IF(OR(B310="",C310=""),"",C310&amp;"|"&amp;(YEAR(B310)*100+MONTH(B310)))</f>
        <v/>
      </c>
      <c r="Q310" s="70" t="str">
        <f aca="false">IF(P310="","",IF(COUNTIF(N_CLAVE,P310)&gt;1,"⚠ Duplicado","OK"))</f>
        <v/>
      </c>
      <c r="R310" s="74" t="str">
        <f aca="false">IF(OR(P310="",U310=""),"",MAX(0,U310-N(E310)-N(F310)-N(H310)))</f>
        <v/>
      </c>
      <c r="S310" s="75" t="str">
        <f aca="false">IF(P310="","",IFERROR(INDEX(T_INGRESO,MATCH(C310,T_ID,0)),""))</f>
        <v/>
      </c>
      <c r="T310" s="75" t="str">
        <f aca="false">IF(P310="","",IFERROR(N(INDEX(T_EGRESO,MATCH(C310,T_ID,0))),0))</f>
        <v/>
      </c>
      <c r="U310" s="73" t="str">
        <f aca="false">IF(OR(P310="",NOT(ISNUMBER(S310))),"",IF(OR(S310&gt;EOMONTH(B310,0),AND(T310&gt;0,T310&lt;B310)),0,IF(AND(S310&lt;=B310,OR(T310=0,T310&gt;=EOMONTH(B310,0))),30,MIN(30,IF(T310=0,EOMONTH(B310,0),MIN(T310,EOMONTH(B310,0)))-MAX(B310,S310)+1))))</f>
        <v/>
      </c>
    </row>
    <row r="311" customFormat="false" ht="15" hidden="false" customHeight="false" outlineLevel="0" collapsed="false">
      <c r="B311" s="78"/>
      <c r="C311" s="64"/>
      <c r="D311" s="70" t="str">
        <f aca="false">IF(C311="","",IFERROR(INDEX(T_NOMBRE,MATCH(C311,T_ID,0)),"⚠ ID no existe"))</f>
        <v/>
      </c>
      <c r="E311" s="69"/>
      <c r="F311" s="69"/>
      <c r="G311" s="69"/>
      <c r="H311" s="69"/>
      <c r="I311" s="66"/>
      <c r="J311" s="69"/>
      <c r="K311" s="67"/>
      <c r="L311" s="67"/>
      <c r="M311" s="67"/>
      <c r="N311" s="67"/>
      <c r="O311" s="64"/>
      <c r="P311" s="72" t="str">
        <f aca="false">IF(OR(B311="",C311=""),"",C311&amp;"|"&amp;(YEAR(B311)*100+MONTH(B311)))</f>
        <v/>
      </c>
      <c r="Q311" s="70" t="str">
        <f aca="false">IF(P311="","",IF(COUNTIF(N_CLAVE,P311)&gt;1,"⚠ Duplicado","OK"))</f>
        <v/>
      </c>
      <c r="R311" s="74" t="str">
        <f aca="false">IF(OR(P311="",U311=""),"",MAX(0,U311-N(E311)-N(F311)-N(H311)))</f>
        <v/>
      </c>
      <c r="S311" s="75" t="str">
        <f aca="false">IF(P311="","",IFERROR(INDEX(T_INGRESO,MATCH(C311,T_ID,0)),""))</f>
        <v/>
      </c>
      <c r="T311" s="75" t="str">
        <f aca="false">IF(P311="","",IFERROR(N(INDEX(T_EGRESO,MATCH(C311,T_ID,0))),0))</f>
        <v/>
      </c>
      <c r="U311" s="73" t="str">
        <f aca="false">IF(OR(P311="",NOT(ISNUMBER(S311))),"",IF(OR(S311&gt;EOMONTH(B311,0),AND(T311&gt;0,T311&lt;B311)),0,IF(AND(S311&lt;=B311,OR(T311=0,T311&gt;=EOMONTH(B311,0))),30,MIN(30,IF(T311=0,EOMONTH(B311,0),MIN(T311,EOMONTH(B311,0)))-MAX(B311,S311)+1))))</f>
        <v/>
      </c>
    </row>
    <row r="312" customFormat="false" ht="15" hidden="false" customHeight="false" outlineLevel="0" collapsed="false">
      <c r="B312" s="78"/>
      <c r="C312" s="64"/>
      <c r="D312" s="70" t="str">
        <f aca="false">IF(C312="","",IFERROR(INDEX(T_NOMBRE,MATCH(C312,T_ID,0)),"⚠ ID no existe"))</f>
        <v/>
      </c>
      <c r="E312" s="69"/>
      <c r="F312" s="69"/>
      <c r="G312" s="69"/>
      <c r="H312" s="69"/>
      <c r="I312" s="66"/>
      <c r="J312" s="69"/>
      <c r="K312" s="67"/>
      <c r="L312" s="67"/>
      <c r="M312" s="67"/>
      <c r="N312" s="67"/>
      <c r="O312" s="64"/>
      <c r="P312" s="72" t="str">
        <f aca="false">IF(OR(B312="",C312=""),"",C312&amp;"|"&amp;(YEAR(B312)*100+MONTH(B312)))</f>
        <v/>
      </c>
      <c r="Q312" s="70" t="str">
        <f aca="false">IF(P312="","",IF(COUNTIF(N_CLAVE,P312)&gt;1,"⚠ Duplicado","OK"))</f>
        <v/>
      </c>
      <c r="R312" s="74" t="str">
        <f aca="false">IF(OR(P312="",U312=""),"",MAX(0,U312-N(E312)-N(F312)-N(H312)))</f>
        <v/>
      </c>
      <c r="S312" s="75" t="str">
        <f aca="false">IF(P312="","",IFERROR(INDEX(T_INGRESO,MATCH(C312,T_ID,0)),""))</f>
        <v/>
      </c>
      <c r="T312" s="75" t="str">
        <f aca="false">IF(P312="","",IFERROR(N(INDEX(T_EGRESO,MATCH(C312,T_ID,0))),0))</f>
        <v/>
      </c>
      <c r="U312" s="73" t="str">
        <f aca="false">IF(OR(P312="",NOT(ISNUMBER(S312))),"",IF(OR(S312&gt;EOMONTH(B312,0),AND(T312&gt;0,T312&lt;B312)),0,IF(AND(S312&lt;=B312,OR(T312=0,T312&gt;=EOMONTH(B312,0))),30,MIN(30,IF(T312=0,EOMONTH(B312,0),MIN(T312,EOMONTH(B312,0)))-MAX(B312,S312)+1))))</f>
        <v/>
      </c>
    </row>
    <row r="313" customFormat="false" ht="15" hidden="false" customHeight="false" outlineLevel="0" collapsed="false">
      <c r="B313" s="78"/>
      <c r="C313" s="64"/>
      <c r="D313" s="70" t="str">
        <f aca="false">IF(C313="","",IFERROR(INDEX(T_NOMBRE,MATCH(C313,T_ID,0)),"⚠ ID no existe"))</f>
        <v/>
      </c>
      <c r="E313" s="69"/>
      <c r="F313" s="69"/>
      <c r="G313" s="69"/>
      <c r="H313" s="69"/>
      <c r="I313" s="66"/>
      <c r="J313" s="69"/>
      <c r="K313" s="67"/>
      <c r="L313" s="67"/>
      <c r="M313" s="67"/>
      <c r="N313" s="67"/>
      <c r="O313" s="64"/>
      <c r="P313" s="72" t="str">
        <f aca="false">IF(OR(B313="",C313=""),"",C313&amp;"|"&amp;(YEAR(B313)*100+MONTH(B313)))</f>
        <v/>
      </c>
      <c r="Q313" s="70" t="str">
        <f aca="false">IF(P313="","",IF(COUNTIF(N_CLAVE,P313)&gt;1,"⚠ Duplicado","OK"))</f>
        <v/>
      </c>
      <c r="R313" s="74" t="str">
        <f aca="false">IF(OR(P313="",U313=""),"",MAX(0,U313-N(E313)-N(F313)-N(H313)))</f>
        <v/>
      </c>
      <c r="S313" s="75" t="str">
        <f aca="false">IF(P313="","",IFERROR(INDEX(T_INGRESO,MATCH(C313,T_ID,0)),""))</f>
        <v/>
      </c>
      <c r="T313" s="75" t="str">
        <f aca="false">IF(P313="","",IFERROR(N(INDEX(T_EGRESO,MATCH(C313,T_ID,0))),0))</f>
        <v/>
      </c>
      <c r="U313" s="73" t="str">
        <f aca="false">IF(OR(P313="",NOT(ISNUMBER(S313))),"",IF(OR(S313&gt;EOMONTH(B313,0),AND(T313&gt;0,T313&lt;B313)),0,IF(AND(S313&lt;=B313,OR(T313=0,T313&gt;=EOMONTH(B313,0))),30,MIN(30,IF(T313=0,EOMONTH(B313,0),MIN(T313,EOMONTH(B313,0)))-MAX(B313,S313)+1))))</f>
        <v/>
      </c>
    </row>
    <row r="314" customFormat="false" ht="15" hidden="false" customHeight="false" outlineLevel="0" collapsed="false">
      <c r="B314" s="78"/>
      <c r="C314" s="64"/>
      <c r="D314" s="70" t="str">
        <f aca="false">IF(C314="","",IFERROR(INDEX(T_NOMBRE,MATCH(C314,T_ID,0)),"⚠ ID no existe"))</f>
        <v/>
      </c>
      <c r="E314" s="69"/>
      <c r="F314" s="69"/>
      <c r="G314" s="69"/>
      <c r="H314" s="69"/>
      <c r="I314" s="66"/>
      <c r="J314" s="69"/>
      <c r="K314" s="67"/>
      <c r="L314" s="67"/>
      <c r="M314" s="67"/>
      <c r="N314" s="67"/>
      <c r="O314" s="64"/>
      <c r="P314" s="72" t="str">
        <f aca="false">IF(OR(B314="",C314=""),"",C314&amp;"|"&amp;(YEAR(B314)*100+MONTH(B314)))</f>
        <v/>
      </c>
      <c r="Q314" s="70" t="str">
        <f aca="false">IF(P314="","",IF(COUNTIF(N_CLAVE,P314)&gt;1,"⚠ Duplicado","OK"))</f>
        <v/>
      </c>
      <c r="R314" s="74" t="str">
        <f aca="false">IF(OR(P314="",U314=""),"",MAX(0,U314-N(E314)-N(F314)-N(H314)))</f>
        <v/>
      </c>
      <c r="S314" s="75" t="str">
        <f aca="false">IF(P314="","",IFERROR(INDEX(T_INGRESO,MATCH(C314,T_ID,0)),""))</f>
        <v/>
      </c>
      <c r="T314" s="75" t="str">
        <f aca="false">IF(P314="","",IFERROR(N(INDEX(T_EGRESO,MATCH(C314,T_ID,0))),0))</f>
        <v/>
      </c>
      <c r="U314" s="73" t="str">
        <f aca="false">IF(OR(P314="",NOT(ISNUMBER(S314))),"",IF(OR(S314&gt;EOMONTH(B314,0),AND(T314&gt;0,T314&lt;B314)),0,IF(AND(S314&lt;=B314,OR(T314=0,T314&gt;=EOMONTH(B314,0))),30,MIN(30,IF(T314=0,EOMONTH(B314,0),MIN(T314,EOMONTH(B314,0)))-MAX(B314,S314)+1))))</f>
        <v/>
      </c>
    </row>
    <row r="315" customFormat="false" ht="15" hidden="false" customHeight="false" outlineLevel="0" collapsed="false">
      <c r="B315" s="78"/>
      <c r="C315" s="64"/>
      <c r="D315" s="70" t="str">
        <f aca="false">IF(C315="","",IFERROR(INDEX(T_NOMBRE,MATCH(C315,T_ID,0)),"⚠ ID no existe"))</f>
        <v/>
      </c>
      <c r="E315" s="69"/>
      <c r="F315" s="69"/>
      <c r="G315" s="69"/>
      <c r="H315" s="69"/>
      <c r="I315" s="66"/>
      <c r="J315" s="69"/>
      <c r="K315" s="67"/>
      <c r="L315" s="67"/>
      <c r="M315" s="67"/>
      <c r="N315" s="67"/>
      <c r="O315" s="64"/>
      <c r="P315" s="72" t="str">
        <f aca="false">IF(OR(B315="",C315=""),"",C315&amp;"|"&amp;(YEAR(B315)*100+MONTH(B315)))</f>
        <v/>
      </c>
      <c r="Q315" s="70" t="str">
        <f aca="false">IF(P315="","",IF(COUNTIF(N_CLAVE,P315)&gt;1,"⚠ Duplicado","OK"))</f>
        <v/>
      </c>
      <c r="R315" s="74" t="str">
        <f aca="false">IF(OR(P315="",U315=""),"",MAX(0,U315-N(E315)-N(F315)-N(H315)))</f>
        <v/>
      </c>
      <c r="S315" s="75" t="str">
        <f aca="false">IF(P315="","",IFERROR(INDEX(T_INGRESO,MATCH(C315,T_ID,0)),""))</f>
        <v/>
      </c>
      <c r="T315" s="75" t="str">
        <f aca="false">IF(P315="","",IFERROR(N(INDEX(T_EGRESO,MATCH(C315,T_ID,0))),0))</f>
        <v/>
      </c>
      <c r="U315" s="73" t="str">
        <f aca="false">IF(OR(P315="",NOT(ISNUMBER(S315))),"",IF(OR(S315&gt;EOMONTH(B315,0),AND(T315&gt;0,T315&lt;B315)),0,IF(AND(S315&lt;=B315,OR(T315=0,T315&gt;=EOMONTH(B315,0))),30,MIN(30,IF(T315=0,EOMONTH(B315,0),MIN(T315,EOMONTH(B315,0)))-MAX(B315,S315)+1))))</f>
        <v/>
      </c>
    </row>
    <row r="316" customFormat="false" ht="15" hidden="false" customHeight="false" outlineLevel="0" collapsed="false">
      <c r="B316" s="78"/>
      <c r="C316" s="64"/>
      <c r="D316" s="70" t="str">
        <f aca="false">IF(C316="","",IFERROR(INDEX(T_NOMBRE,MATCH(C316,T_ID,0)),"⚠ ID no existe"))</f>
        <v/>
      </c>
      <c r="E316" s="69"/>
      <c r="F316" s="69"/>
      <c r="G316" s="69"/>
      <c r="H316" s="69"/>
      <c r="I316" s="66"/>
      <c r="J316" s="69"/>
      <c r="K316" s="67"/>
      <c r="L316" s="67"/>
      <c r="M316" s="67"/>
      <c r="N316" s="67"/>
      <c r="O316" s="64"/>
      <c r="P316" s="72" t="str">
        <f aca="false">IF(OR(B316="",C316=""),"",C316&amp;"|"&amp;(YEAR(B316)*100+MONTH(B316)))</f>
        <v/>
      </c>
      <c r="Q316" s="70" t="str">
        <f aca="false">IF(P316="","",IF(COUNTIF(N_CLAVE,P316)&gt;1,"⚠ Duplicado","OK"))</f>
        <v/>
      </c>
      <c r="R316" s="74" t="str">
        <f aca="false">IF(OR(P316="",U316=""),"",MAX(0,U316-N(E316)-N(F316)-N(H316)))</f>
        <v/>
      </c>
      <c r="S316" s="75" t="str">
        <f aca="false">IF(P316="","",IFERROR(INDEX(T_INGRESO,MATCH(C316,T_ID,0)),""))</f>
        <v/>
      </c>
      <c r="T316" s="75" t="str">
        <f aca="false">IF(P316="","",IFERROR(N(INDEX(T_EGRESO,MATCH(C316,T_ID,0))),0))</f>
        <v/>
      </c>
      <c r="U316" s="73" t="str">
        <f aca="false">IF(OR(P316="",NOT(ISNUMBER(S316))),"",IF(OR(S316&gt;EOMONTH(B316,0),AND(T316&gt;0,T316&lt;B316)),0,IF(AND(S316&lt;=B316,OR(T316=0,T316&gt;=EOMONTH(B316,0))),30,MIN(30,IF(T316=0,EOMONTH(B316,0),MIN(T316,EOMONTH(B316,0)))-MAX(B316,S316)+1))))</f>
        <v/>
      </c>
    </row>
    <row r="317" customFormat="false" ht="15" hidden="false" customHeight="false" outlineLevel="0" collapsed="false">
      <c r="B317" s="78"/>
      <c r="C317" s="64"/>
      <c r="D317" s="70" t="str">
        <f aca="false">IF(C317="","",IFERROR(INDEX(T_NOMBRE,MATCH(C317,T_ID,0)),"⚠ ID no existe"))</f>
        <v/>
      </c>
      <c r="E317" s="69"/>
      <c r="F317" s="69"/>
      <c r="G317" s="69"/>
      <c r="H317" s="69"/>
      <c r="I317" s="66"/>
      <c r="J317" s="69"/>
      <c r="K317" s="67"/>
      <c r="L317" s="67"/>
      <c r="M317" s="67"/>
      <c r="N317" s="67"/>
      <c r="O317" s="64"/>
      <c r="P317" s="72" t="str">
        <f aca="false">IF(OR(B317="",C317=""),"",C317&amp;"|"&amp;(YEAR(B317)*100+MONTH(B317)))</f>
        <v/>
      </c>
      <c r="Q317" s="70" t="str">
        <f aca="false">IF(P317="","",IF(COUNTIF(N_CLAVE,P317)&gt;1,"⚠ Duplicado","OK"))</f>
        <v/>
      </c>
      <c r="R317" s="74" t="str">
        <f aca="false">IF(OR(P317="",U317=""),"",MAX(0,U317-N(E317)-N(F317)-N(H317)))</f>
        <v/>
      </c>
      <c r="S317" s="75" t="str">
        <f aca="false">IF(P317="","",IFERROR(INDEX(T_INGRESO,MATCH(C317,T_ID,0)),""))</f>
        <v/>
      </c>
      <c r="T317" s="75" t="str">
        <f aca="false">IF(P317="","",IFERROR(N(INDEX(T_EGRESO,MATCH(C317,T_ID,0))),0))</f>
        <v/>
      </c>
      <c r="U317" s="73" t="str">
        <f aca="false">IF(OR(P317="",NOT(ISNUMBER(S317))),"",IF(OR(S317&gt;EOMONTH(B317,0),AND(T317&gt;0,T317&lt;B317)),0,IF(AND(S317&lt;=B317,OR(T317=0,T317&gt;=EOMONTH(B317,0))),30,MIN(30,IF(T317=0,EOMONTH(B317,0),MIN(T317,EOMONTH(B317,0)))-MAX(B317,S317)+1))))</f>
        <v/>
      </c>
    </row>
    <row r="318" customFormat="false" ht="15" hidden="false" customHeight="false" outlineLevel="0" collapsed="false">
      <c r="B318" s="78"/>
      <c r="C318" s="64"/>
      <c r="D318" s="70" t="str">
        <f aca="false">IF(C318="","",IFERROR(INDEX(T_NOMBRE,MATCH(C318,T_ID,0)),"⚠ ID no existe"))</f>
        <v/>
      </c>
      <c r="E318" s="69"/>
      <c r="F318" s="69"/>
      <c r="G318" s="69"/>
      <c r="H318" s="69"/>
      <c r="I318" s="66"/>
      <c r="J318" s="69"/>
      <c r="K318" s="67"/>
      <c r="L318" s="67"/>
      <c r="M318" s="67"/>
      <c r="N318" s="67"/>
      <c r="O318" s="64"/>
      <c r="P318" s="72" t="str">
        <f aca="false">IF(OR(B318="",C318=""),"",C318&amp;"|"&amp;(YEAR(B318)*100+MONTH(B318)))</f>
        <v/>
      </c>
      <c r="Q318" s="70" t="str">
        <f aca="false">IF(P318="","",IF(COUNTIF(N_CLAVE,P318)&gt;1,"⚠ Duplicado","OK"))</f>
        <v/>
      </c>
      <c r="R318" s="74" t="str">
        <f aca="false">IF(OR(P318="",U318=""),"",MAX(0,U318-N(E318)-N(F318)-N(H318)))</f>
        <v/>
      </c>
      <c r="S318" s="75" t="str">
        <f aca="false">IF(P318="","",IFERROR(INDEX(T_INGRESO,MATCH(C318,T_ID,0)),""))</f>
        <v/>
      </c>
      <c r="T318" s="75" t="str">
        <f aca="false">IF(P318="","",IFERROR(N(INDEX(T_EGRESO,MATCH(C318,T_ID,0))),0))</f>
        <v/>
      </c>
      <c r="U318" s="73" t="str">
        <f aca="false">IF(OR(P318="",NOT(ISNUMBER(S318))),"",IF(OR(S318&gt;EOMONTH(B318,0),AND(T318&gt;0,T318&lt;B318)),0,IF(AND(S318&lt;=B318,OR(T318=0,T318&gt;=EOMONTH(B318,0))),30,MIN(30,IF(T318=0,EOMONTH(B318,0),MIN(T318,EOMONTH(B318,0)))-MAX(B318,S318)+1))))</f>
        <v/>
      </c>
    </row>
    <row r="319" customFormat="false" ht="15" hidden="false" customHeight="false" outlineLevel="0" collapsed="false">
      <c r="B319" s="78"/>
      <c r="C319" s="64"/>
      <c r="D319" s="70" t="str">
        <f aca="false">IF(C319="","",IFERROR(INDEX(T_NOMBRE,MATCH(C319,T_ID,0)),"⚠ ID no existe"))</f>
        <v/>
      </c>
      <c r="E319" s="69"/>
      <c r="F319" s="69"/>
      <c r="G319" s="69"/>
      <c r="H319" s="69"/>
      <c r="I319" s="66"/>
      <c r="J319" s="69"/>
      <c r="K319" s="67"/>
      <c r="L319" s="67"/>
      <c r="M319" s="67"/>
      <c r="N319" s="67"/>
      <c r="O319" s="64"/>
      <c r="P319" s="72" t="str">
        <f aca="false">IF(OR(B319="",C319=""),"",C319&amp;"|"&amp;(YEAR(B319)*100+MONTH(B319)))</f>
        <v/>
      </c>
      <c r="Q319" s="70" t="str">
        <f aca="false">IF(P319="","",IF(COUNTIF(N_CLAVE,P319)&gt;1,"⚠ Duplicado","OK"))</f>
        <v/>
      </c>
      <c r="R319" s="74" t="str">
        <f aca="false">IF(OR(P319="",U319=""),"",MAX(0,U319-N(E319)-N(F319)-N(H319)))</f>
        <v/>
      </c>
      <c r="S319" s="75" t="str">
        <f aca="false">IF(P319="","",IFERROR(INDEX(T_INGRESO,MATCH(C319,T_ID,0)),""))</f>
        <v/>
      </c>
      <c r="T319" s="75" t="str">
        <f aca="false">IF(P319="","",IFERROR(N(INDEX(T_EGRESO,MATCH(C319,T_ID,0))),0))</f>
        <v/>
      </c>
      <c r="U319" s="73" t="str">
        <f aca="false">IF(OR(P319="",NOT(ISNUMBER(S319))),"",IF(OR(S319&gt;EOMONTH(B319,0),AND(T319&gt;0,T319&lt;B319)),0,IF(AND(S319&lt;=B319,OR(T319=0,T319&gt;=EOMONTH(B319,0))),30,MIN(30,IF(T319=0,EOMONTH(B319,0),MIN(T319,EOMONTH(B319,0)))-MAX(B319,S319)+1))))</f>
        <v/>
      </c>
    </row>
    <row r="320" customFormat="false" ht="15" hidden="false" customHeight="false" outlineLevel="0" collapsed="false">
      <c r="B320" s="78"/>
      <c r="C320" s="64"/>
      <c r="D320" s="70" t="str">
        <f aca="false">IF(C320="","",IFERROR(INDEX(T_NOMBRE,MATCH(C320,T_ID,0)),"⚠ ID no existe"))</f>
        <v/>
      </c>
      <c r="E320" s="69"/>
      <c r="F320" s="69"/>
      <c r="G320" s="69"/>
      <c r="H320" s="69"/>
      <c r="I320" s="66"/>
      <c r="J320" s="69"/>
      <c r="K320" s="67"/>
      <c r="L320" s="67"/>
      <c r="M320" s="67"/>
      <c r="N320" s="67"/>
      <c r="O320" s="64"/>
      <c r="P320" s="72" t="str">
        <f aca="false">IF(OR(B320="",C320=""),"",C320&amp;"|"&amp;(YEAR(B320)*100+MONTH(B320)))</f>
        <v/>
      </c>
      <c r="Q320" s="70" t="str">
        <f aca="false">IF(P320="","",IF(COUNTIF(N_CLAVE,P320)&gt;1,"⚠ Duplicado","OK"))</f>
        <v/>
      </c>
      <c r="R320" s="74" t="str">
        <f aca="false">IF(OR(P320="",U320=""),"",MAX(0,U320-N(E320)-N(F320)-N(H320)))</f>
        <v/>
      </c>
      <c r="S320" s="75" t="str">
        <f aca="false">IF(P320="","",IFERROR(INDEX(T_INGRESO,MATCH(C320,T_ID,0)),""))</f>
        <v/>
      </c>
      <c r="T320" s="75" t="str">
        <f aca="false">IF(P320="","",IFERROR(N(INDEX(T_EGRESO,MATCH(C320,T_ID,0))),0))</f>
        <v/>
      </c>
      <c r="U320" s="73" t="str">
        <f aca="false">IF(OR(P320="",NOT(ISNUMBER(S320))),"",IF(OR(S320&gt;EOMONTH(B320,0),AND(T320&gt;0,T320&lt;B320)),0,IF(AND(S320&lt;=B320,OR(T320=0,T320&gt;=EOMONTH(B320,0))),30,MIN(30,IF(T320=0,EOMONTH(B320,0),MIN(T320,EOMONTH(B320,0)))-MAX(B320,S320)+1))))</f>
        <v/>
      </c>
    </row>
    <row r="321" customFormat="false" ht="15" hidden="false" customHeight="false" outlineLevel="0" collapsed="false">
      <c r="B321" s="78"/>
      <c r="C321" s="64"/>
      <c r="D321" s="70" t="str">
        <f aca="false">IF(C321="","",IFERROR(INDEX(T_NOMBRE,MATCH(C321,T_ID,0)),"⚠ ID no existe"))</f>
        <v/>
      </c>
      <c r="E321" s="69"/>
      <c r="F321" s="69"/>
      <c r="G321" s="69"/>
      <c r="H321" s="69"/>
      <c r="I321" s="66"/>
      <c r="J321" s="69"/>
      <c r="K321" s="67"/>
      <c r="L321" s="67"/>
      <c r="M321" s="67"/>
      <c r="N321" s="67"/>
      <c r="O321" s="64"/>
      <c r="P321" s="72" t="str">
        <f aca="false">IF(OR(B321="",C321=""),"",C321&amp;"|"&amp;(YEAR(B321)*100+MONTH(B321)))</f>
        <v/>
      </c>
      <c r="Q321" s="70" t="str">
        <f aca="false">IF(P321="","",IF(COUNTIF(N_CLAVE,P321)&gt;1,"⚠ Duplicado","OK"))</f>
        <v/>
      </c>
      <c r="R321" s="74" t="str">
        <f aca="false">IF(OR(P321="",U321=""),"",MAX(0,U321-N(E321)-N(F321)-N(H321)))</f>
        <v/>
      </c>
      <c r="S321" s="75" t="str">
        <f aca="false">IF(P321="","",IFERROR(INDEX(T_INGRESO,MATCH(C321,T_ID,0)),""))</f>
        <v/>
      </c>
      <c r="T321" s="75" t="str">
        <f aca="false">IF(P321="","",IFERROR(N(INDEX(T_EGRESO,MATCH(C321,T_ID,0))),0))</f>
        <v/>
      </c>
      <c r="U321" s="73" t="str">
        <f aca="false">IF(OR(P321="",NOT(ISNUMBER(S321))),"",IF(OR(S321&gt;EOMONTH(B321,0),AND(T321&gt;0,T321&lt;B321)),0,IF(AND(S321&lt;=B321,OR(T321=0,T321&gt;=EOMONTH(B321,0))),30,MIN(30,IF(T321=0,EOMONTH(B321,0),MIN(T321,EOMONTH(B321,0)))-MAX(B321,S321)+1))))</f>
        <v/>
      </c>
    </row>
    <row r="322" customFormat="false" ht="15" hidden="false" customHeight="false" outlineLevel="0" collapsed="false">
      <c r="B322" s="78"/>
      <c r="C322" s="64"/>
      <c r="D322" s="70" t="str">
        <f aca="false">IF(C322="","",IFERROR(INDEX(T_NOMBRE,MATCH(C322,T_ID,0)),"⚠ ID no existe"))</f>
        <v/>
      </c>
      <c r="E322" s="69"/>
      <c r="F322" s="69"/>
      <c r="G322" s="69"/>
      <c r="H322" s="69"/>
      <c r="I322" s="66"/>
      <c r="J322" s="69"/>
      <c r="K322" s="67"/>
      <c r="L322" s="67"/>
      <c r="M322" s="67"/>
      <c r="N322" s="67"/>
      <c r="O322" s="64"/>
      <c r="P322" s="72" t="str">
        <f aca="false">IF(OR(B322="",C322=""),"",C322&amp;"|"&amp;(YEAR(B322)*100+MONTH(B322)))</f>
        <v/>
      </c>
      <c r="Q322" s="70" t="str">
        <f aca="false">IF(P322="","",IF(COUNTIF(N_CLAVE,P322)&gt;1,"⚠ Duplicado","OK"))</f>
        <v/>
      </c>
      <c r="R322" s="74" t="str">
        <f aca="false">IF(OR(P322="",U322=""),"",MAX(0,U322-N(E322)-N(F322)-N(H322)))</f>
        <v/>
      </c>
      <c r="S322" s="75" t="str">
        <f aca="false">IF(P322="","",IFERROR(INDEX(T_INGRESO,MATCH(C322,T_ID,0)),""))</f>
        <v/>
      </c>
      <c r="T322" s="75" t="str">
        <f aca="false">IF(P322="","",IFERROR(N(INDEX(T_EGRESO,MATCH(C322,T_ID,0))),0))</f>
        <v/>
      </c>
      <c r="U322" s="73" t="str">
        <f aca="false">IF(OR(P322="",NOT(ISNUMBER(S322))),"",IF(OR(S322&gt;EOMONTH(B322,0),AND(T322&gt;0,T322&lt;B322)),0,IF(AND(S322&lt;=B322,OR(T322=0,T322&gt;=EOMONTH(B322,0))),30,MIN(30,IF(T322=0,EOMONTH(B322,0),MIN(T322,EOMONTH(B322,0)))-MAX(B322,S322)+1))))</f>
        <v/>
      </c>
    </row>
    <row r="323" customFormat="false" ht="15" hidden="false" customHeight="false" outlineLevel="0" collapsed="false">
      <c r="B323" s="78"/>
      <c r="C323" s="64"/>
      <c r="D323" s="70" t="str">
        <f aca="false">IF(C323="","",IFERROR(INDEX(T_NOMBRE,MATCH(C323,T_ID,0)),"⚠ ID no existe"))</f>
        <v/>
      </c>
      <c r="E323" s="69"/>
      <c r="F323" s="69"/>
      <c r="G323" s="69"/>
      <c r="H323" s="69"/>
      <c r="I323" s="66"/>
      <c r="J323" s="69"/>
      <c r="K323" s="67"/>
      <c r="L323" s="67"/>
      <c r="M323" s="67"/>
      <c r="N323" s="67"/>
      <c r="O323" s="64"/>
      <c r="P323" s="72" t="str">
        <f aca="false">IF(OR(B323="",C323=""),"",C323&amp;"|"&amp;(YEAR(B323)*100+MONTH(B323)))</f>
        <v/>
      </c>
      <c r="Q323" s="70" t="str">
        <f aca="false">IF(P323="","",IF(COUNTIF(N_CLAVE,P323)&gt;1,"⚠ Duplicado","OK"))</f>
        <v/>
      </c>
      <c r="R323" s="74" t="str">
        <f aca="false">IF(OR(P323="",U323=""),"",MAX(0,U323-N(E323)-N(F323)-N(H323)))</f>
        <v/>
      </c>
      <c r="S323" s="75" t="str">
        <f aca="false">IF(P323="","",IFERROR(INDEX(T_INGRESO,MATCH(C323,T_ID,0)),""))</f>
        <v/>
      </c>
      <c r="T323" s="75" t="str">
        <f aca="false">IF(P323="","",IFERROR(N(INDEX(T_EGRESO,MATCH(C323,T_ID,0))),0))</f>
        <v/>
      </c>
      <c r="U323" s="73" t="str">
        <f aca="false">IF(OR(P323="",NOT(ISNUMBER(S323))),"",IF(OR(S323&gt;EOMONTH(B323,0),AND(T323&gt;0,T323&lt;B323)),0,IF(AND(S323&lt;=B323,OR(T323=0,T323&gt;=EOMONTH(B323,0))),30,MIN(30,IF(T323=0,EOMONTH(B323,0),MIN(T323,EOMONTH(B323,0)))-MAX(B323,S323)+1))))</f>
        <v/>
      </c>
    </row>
    <row r="324" customFormat="false" ht="15" hidden="false" customHeight="false" outlineLevel="0" collapsed="false">
      <c r="B324" s="78"/>
      <c r="C324" s="64"/>
      <c r="D324" s="70" t="str">
        <f aca="false">IF(C324="","",IFERROR(INDEX(T_NOMBRE,MATCH(C324,T_ID,0)),"⚠ ID no existe"))</f>
        <v/>
      </c>
      <c r="E324" s="69"/>
      <c r="F324" s="69"/>
      <c r="G324" s="69"/>
      <c r="H324" s="69"/>
      <c r="I324" s="66"/>
      <c r="J324" s="69"/>
      <c r="K324" s="67"/>
      <c r="L324" s="67"/>
      <c r="M324" s="67"/>
      <c r="N324" s="67"/>
      <c r="O324" s="64"/>
      <c r="P324" s="72" t="str">
        <f aca="false">IF(OR(B324="",C324=""),"",C324&amp;"|"&amp;(YEAR(B324)*100+MONTH(B324)))</f>
        <v/>
      </c>
      <c r="Q324" s="70" t="str">
        <f aca="false">IF(P324="","",IF(COUNTIF(N_CLAVE,P324)&gt;1,"⚠ Duplicado","OK"))</f>
        <v/>
      </c>
      <c r="R324" s="74" t="str">
        <f aca="false">IF(OR(P324="",U324=""),"",MAX(0,U324-N(E324)-N(F324)-N(H324)))</f>
        <v/>
      </c>
      <c r="S324" s="75" t="str">
        <f aca="false">IF(P324="","",IFERROR(INDEX(T_INGRESO,MATCH(C324,T_ID,0)),""))</f>
        <v/>
      </c>
      <c r="T324" s="75" t="str">
        <f aca="false">IF(P324="","",IFERROR(N(INDEX(T_EGRESO,MATCH(C324,T_ID,0))),0))</f>
        <v/>
      </c>
      <c r="U324" s="73" t="str">
        <f aca="false">IF(OR(P324="",NOT(ISNUMBER(S324))),"",IF(OR(S324&gt;EOMONTH(B324,0),AND(T324&gt;0,T324&lt;B324)),0,IF(AND(S324&lt;=B324,OR(T324=0,T324&gt;=EOMONTH(B324,0))),30,MIN(30,IF(T324=0,EOMONTH(B324,0),MIN(T324,EOMONTH(B324,0)))-MAX(B324,S324)+1))))</f>
        <v/>
      </c>
    </row>
    <row r="325" customFormat="false" ht="15" hidden="false" customHeight="false" outlineLevel="0" collapsed="false">
      <c r="B325" s="78"/>
      <c r="C325" s="64"/>
      <c r="D325" s="70" t="str">
        <f aca="false">IF(C325="","",IFERROR(INDEX(T_NOMBRE,MATCH(C325,T_ID,0)),"⚠ ID no existe"))</f>
        <v/>
      </c>
      <c r="E325" s="69"/>
      <c r="F325" s="69"/>
      <c r="G325" s="69"/>
      <c r="H325" s="69"/>
      <c r="I325" s="66"/>
      <c r="J325" s="69"/>
      <c r="K325" s="67"/>
      <c r="L325" s="67"/>
      <c r="M325" s="67"/>
      <c r="N325" s="67"/>
      <c r="O325" s="64"/>
      <c r="P325" s="72" t="str">
        <f aca="false">IF(OR(B325="",C325=""),"",C325&amp;"|"&amp;(YEAR(B325)*100+MONTH(B325)))</f>
        <v/>
      </c>
      <c r="Q325" s="70" t="str">
        <f aca="false">IF(P325="","",IF(COUNTIF(N_CLAVE,P325)&gt;1,"⚠ Duplicado","OK"))</f>
        <v/>
      </c>
      <c r="R325" s="74" t="str">
        <f aca="false">IF(OR(P325="",U325=""),"",MAX(0,U325-N(E325)-N(F325)-N(H325)))</f>
        <v/>
      </c>
      <c r="S325" s="75" t="str">
        <f aca="false">IF(P325="","",IFERROR(INDEX(T_INGRESO,MATCH(C325,T_ID,0)),""))</f>
        <v/>
      </c>
      <c r="T325" s="75" t="str">
        <f aca="false">IF(P325="","",IFERROR(N(INDEX(T_EGRESO,MATCH(C325,T_ID,0))),0))</f>
        <v/>
      </c>
      <c r="U325" s="73" t="str">
        <f aca="false">IF(OR(P325="",NOT(ISNUMBER(S325))),"",IF(OR(S325&gt;EOMONTH(B325,0),AND(T325&gt;0,T325&lt;B325)),0,IF(AND(S325&lt;=B325,OR(T325=0,T325&gt;=EOMONTH(B325,0))),30,MIN(30,IF(T325=0,EOMONTH(B325,0),MIN(T325,EOMONTH(B325,0)))-MAX(B325,S325)+1))))</f>
        <v/>
      </c>
    </row>
    <row r="326" customFormat="false" ht="15" hidden="false" customHeight="false" outlineLevel="0" collapsed="false">
      <c r="B326" s="78"/>
      <c r="C326" s="64"/>
      <c r="D326" s="70" t="str">
        <f aca="false">IF(C326="","",IFERROR(INDEX(T_NOMBRE,MATCH(C326,T_ID,0)),"⚠ ID no existe"))</f>
        <v/>
      </c>
      <c r="E326" s="69"/>
      <c r="F326" s="69"/>
      <c r="G326" s="69"/>
      <c r="H326" s="69"/>
      <c r="I326" s="66"/>
      <c r="J326" s="69"/>
      <c r="K326" s="67"/>
      <c r="L326" s="67"/>
      <c r="M326" s="67"/>
      <c r="N326" s="67"/>
      <c r="O326" s="64"/>
      <c r="P326" s="72" t="str">
        <f aca="false">IF(OR(B326="",C326=""),"",C326&amp;"|"&amp;(YEAR(B326)*100+MONTH(B326)))</f>
        <v/>
      </c>
      <c r="Q326" s="70" t="str">
        <f aca="false">IF(P326="","",IF(COUNTIF(N_CLAVE,P326)&gt;1,"⚠ Duplicado","OK"))</f>
        <v/>
      </c>
      <c r="R326" s="74" t="str">
        <f aca="false">IF(OR(P326="",U326=""),"",MAX(0,U326-N(E326)-N(F326)-N(H326)))</f>
        <v/>
      </c>
      <c r="S326" s="75" t="str">
        <f aca="false">IF(P326="","",IFERROR(INDEX(T_INGRESO,MATCH(C326,T_ID,0)),""))</f>
        <v/>
      </c>
      <c r="T326" s="75" t="str">
        <f aca="false">IF(P326="","",IFERROR(N(INDEX(T_EGRESO,MATCH(C326,T_ID,0))),0))</f>
        <v/>
      </c>
      <c r="U326" s="73" t="str">
        <f aca="false">IF(OR(P326="",NOT(ISNUMBER(S326))),"",IF(OR(S326&gt;EOMONTH(B326,0),AND(T326&gt;0,T326&lt;B326)),0,IF(AND(S326&lt;=B326,OR(T326=0,T326&gt;=EOMONTH(B326,0))),30,MIN(30,IF(T326=0,EOMONTH(B326,0),MIN(T326,EOMONTH(B326,0)))-MAX(B326,S326)+1))))</f>
        <v/>
      </c>
    </row>
    <row r="327" customFormat="false" ht="15" hidden="false" customHeight="false" outlineLevel="0" collapsed="false">
      <c r="B327" s="78"/>
      <c r="C327" s="64"/>
      <c r="D327" s="70" t="str">
        <f aca="false">IF(C327="","",IFERROR(INDEX(T_NOMBRE,MATCH(C327,T_ID,0)),"⚠ ID no existe"))</f>
        <v/>
      </c>
      <c r="E327" s="69"/>
      <c r="F327" s="69"/>
      <c r="G327" s="69"/>
      <c r="H327" s="69"/>
      <c r="I327" s="66"/>
      <c r="J327" s="69"/>
      <c r="K327" s="67"/>
      <c r="L327" s="67"/>
      <c r="M327" s="67"/>
      <c r="N327" s="67"/>
      <c r="O327" s="64"/>
      <c r="P327" s="72" t="str">
        <f aca="false">IF(OR(B327="",C327=""),"",C327&amp;"|"&amp;(YEAR(B327)*100+MONTH(B327)))</f>
        <v/>
      </c>
      <c r="Q327" s="70" t="str">
        <f aca="false">IF(P327="","",IF(COUNTIF(N_CLAVE,P327)&gt;1,"⚠ Duplicado","OK"))</f>
        <v/>
      </c>
      <c r="R327" s="74" t="str">
        <f aca="false">IF(OR(P327="",U327=""),"",MAX(0,U327-N(E327)-N(F327)-N(H327)))</f>
        <v/>
      </c>
      <c r="S327" s="75" t="str">
        <f aca="false">IF(P327="","",IFERROR(INDEX(T_INGRESO,MATCH(C327,T_ID,0)),""))</f>
        <v/>
      </c>
      <c r="T327" s="75" t="str">
        <f aca="false">IF(P327="","",IFERROR(N(INDEX(T_EGRESO,MATCH(C327,T_ID,0))),0))</f>
        <v/>
      </c>
      <c r="U327" s="73" t="str">
        <f aca="false">IF(OR(P327="",NOT(ISNUMBER(S327))),"",IF(OR(S327&gt;EOMONTH(B327,0),AND(T327&gt;0,T327&lt;B327)),0,IF(AND(S327&lt;=B327,OR(T327=0,T327&gt;=EOMONTH(B327,0))),30,MIN(30,IF(T327=0,EOMONTH(B327,0),MIN(T327,EOMONTH(B327,0)))-MAX(B327,S327)+1))))</f>
        <v/>
      </c>
    </row>
    <row r="328" customFormat="false" ht="15" hidden="false" customHeight="false" outlineLevel="0" collapsed="false">
      <c r="B328" s="78"/>
      <c r="C328" s="64"/>
      <c r="D328" s="70" t="str">
        <f aca="false">IF(C328="","",IFERROR(INDEX(T_NOMBRE,MATCH(C328,T_ID,0)),"⚠ ID no existe"))</f>
        <v/>
      </c>
      <c r="E328" s="69"/>
      <c r="F328" s="69"/>
      <c r="G328" s="69"/>
      <c r="H328" s="69"/>
      <c r="I328" s="66"/>
      <c r="J328" s="69"/>
      <c r="K328" s="67"/>
      <c r="L328" s="67"/>
      <c r="M328" s="67"/>
      <c r="N328" s="67"/>
      <c r="O328" s="64"/>
      <c r="P328" s="72" t="str">
        <f aca="false">IF(OR(B328="",C328=""),"",C328&amp;"|"&amp;(YEAR(B328)*100+MONTH(B328)))</f>
        <v/>
      </c>
      <c r="Q328" s="70" t="str">
        <f aca="false">IF(P328="","",IF(COUNTIF(N_CLAVE,P328)&gt;1,"⚠ Duplicado","OK"))</f>
        <v/>
      </c>
      <c r="R328" s="74" t="str">
        <f aca="false">IF(OR(P328="",U328=""),"",MAX(0,U328-N(E328)-N(F328)-N(H328)))</f>
        <v/>
      </c>
      <c r="S328" s="75" t="str">
        <f aca="false">IF(P328="","",IFERROR(INDEX(T_INGRESO,MATCH(C328,T_ID,0)),""))</f>
        <v/>
      </c>
      <c r="T328" s="75" t="str">
        <f aca="false">IF(P328="","",IFERROR(N(INDEX(T_EGRESO,MATCH(C328,T_ID,0))),0))</f>
        <v/>
      </c>
      <c r="U328" s="73" t="str">
        <f aca="false">IF(OR(P328="",NOT(ISNUMBER(S328))),"",IF(OR(S328&gt;EOMONTH(B328,0),AND(T328&gt;0,T328&lt;B328)),0,IF(AND(S328&lt;=B328,OR(T328=0,T328&gt;=EOMONTH(B328,0))),30,MIN(30,IF(T328=0,EOMONTH(B328,0),MIN(T328,EOMONTH(B328,0)))-MAX(B328,S328)+1))))</f>
        <v/>
      </c>
    </row>
    <row r="329" customFormat="false" ht="15" hidden="false" customHeight="false" outlineLevel="0" collapsed="false">
      <c r="B329" s="78"/>
      <c r="C329" s="64"/>
      <c r="D329" s="70" t="str">
        <f aca="false">IF(C329="","",IFERROR(INDEX(T_NOMBRE,MATCH(C329,T_ID,0)),"⚠ ID no existe"))</f>
        <v/>
      </c>
      <c r="E329" s="69"/>
      <c r="F329" s="69"/>
      <c r="G329" s="69"/>
      <c r="H329" s="69"/>
      <c r="I329" s="66"/>
      <c r="J329" s="69"/>
      <c r="K329" s="67"/>
      <c r="L329" s="67"/>
      <c r="M329" s="67"/>
      <c r="N329" s="67"/>
      <c r="O329" s="64"/>
      <c r="P329" s="72" t="str">
        <f aca="false">IF(OR(B329="",C329=""),"",C329&amp;"|"&amp;(YEAR(B329)*100+MONTH(B329)))</f>
        <v/>
      </c>
      <c r="Q329" s="70" t="str">
        <f aca="false">IF(P329="","",IF(COUNTIF(N_CLAVE,P329)&gt;1,"⚠ Duplicado","OK"))</f>
        <v/>
      </c>
      <c r="R329" s="74" t="str">
        <f aca="false">IF(OR(P329="",U329=""),"",MAX(0,U329-N(E329)-N(F329)-N(H329)))</f>
        <v/>
      </c>
      <c r="S329" s="75" t="str">
        <f aca="false">IF(P329="","",IFERROR(INDEX(T_INGRESO,MATCH(C329,T_ID,0)),""))</f>
        <v/>
      </c>
      <c r="T329" s="75" t="str">
        <f aca="false">IF(P329="","",IFERROR(N(INDEX(T_EGRESO,MATCH(C329,T_ID,0))),0))</f>
        <v/>
      </c>
      <c r="U329" s="73" t="str">
        <f aca="false">IF(OR(P329="",NOT(ISNUMBER(S329))),"",IF(OR(S329&gt;EOMONTH(B329,0),AND(T329&gt;0,T329&lt;B329)),0,IF(AND(S329&lt;=B329,OR(T329=0,T329&gt;=EOMONTH(B329,0))),30,MIN(30,IF(T329=0,EOMONTH(B329,0),MIN(T329,EOMONTH(B329,0)))-MAX(B329,S329)+1))))</f>
        <v/>
      </c>
    </row>
    <row r="330" customFormat="false" ht="15" hidden="false" customHeight="false" outlineLevel="0" collapsed="false">
      <c r="B330" s="78"/>
      <c r="C330" s="64"/>
      <c r="D330" s="70" t="str">
        <f aca="false">IF(C330="","",IFERROR(INDEX(T_NOMBRE,MATCH(C330,T_ID,0)),"⚠ ID no existe"))</f>
        <v/>
      </c>
      <c r="E330" s="69"/>
      <c r="F330" s="69"/>
      <c r="G330" s="69"/>
      <c r="H330" s="69"/>
      <c r="I330" s="66"/>
      <c r="J330" s="69"/>
      <c r="K330" s="67"/>
      <c r="L330" s="67"/>
      <c r="M330" s="67"/>
      <c r="N330" s="67"/>
      <c r="O330" s="64"/>
      <c r="P330" s="72" t="str">
        <f aca="false">IF(OR(B330="",C330=""),"",C330&amp;"|"&amp;(YEAR(B330)*100+MONTH(B330)))</f>
        <v/>
      </c>
      <c r="Q330" s="70" t="str">
        <f aca="false">IF(P330="","",IF(COUNTIF(N_CLAVE,P330)&gt;1,"⚠ Duplicado","OK"))</f>
        <v/>
      </c>
      <c r="R330" s="74" t="str">
        <f aca="false">IF(OR(P330="",U330=""),"",MAX(0,U330-N(E330)-N(F330)-N(H330)))</f>
        <v/>
      </c>
      <c r="S330" s="75" t="str">
        <f aca="false">IF(P330="","",IFERROR(INDEX(T_INGRESO,MATCH(C330,T_ID,0)),""))</f>
        <v/>
      </c>
      <c r="T330" s="75" t="str">
        <f aca="false">IF(P330="","",IFERROR(N(INDEX(T_EGRESO,MATCH(C330,T_ID,0))),0))</f>
        <v/>
      </c>
      <c r="U330" s="73" t="str">
        <f aca="false">IF(OR(P330="",NOT(ISNUMBER(S330))),"",IF(OR(S330&gt;EOMONTH(B330,0),AND(T330&gt;0,T330&lt;B330)),0,IF(AND(S330&lt;=B330,OR(T330=0,T330&gt;=EOMONTH(B330,0))),30,MIN(30,IF(T330=0,EOMONTH(B330,0),MIN(T330,EOMONTH(B330,0)))-MAX(B330,S330)+1))))</f>
        <v/>
      </c>
    </row>
    <row r="331" customFormat="false" ht="15" hidden="false" customHeight="false" outlineLevel="0" collapsed="false">
      <c r="B331" s="78"/>
      <c r="C331" s="64"/>
      <c r="D331" s="70" t="str">
        <f aca="false">IF(C331="","",IFERROR(INDEX(T_NOMBRE,MATCH(C331,T_ID,0)),"⚠ ID no existe"))</f>
        <v/>
      </c>
      <c r="E331" s="69"/>
      <c r="F331" s="69"/>
      <c r="G331" s="69"/>
      <c r="H331" s="69"/>
      <c r="I331" s="66"/>
      <c r="J331" s="69"/>
      <c r="K331" s="67"/>
      <c r="L331" s="67"/>
      <c r="M331" s="67"/>
      <c r="N331" s="67"/>
      <c r="O331" s="64"/>
      <c r="P331" s="72" t="str">
        <f aca="false">IF(OR(B331="",C331=""),"",C331&amp;"|"&amp;(YEAR(B331)*100+MONTH(B331)))</f>
        <v/>
      </c>
      <c r="Q331" s="70" t="str">
        <f aca="false">IF(P331="","",IF(COUNTIF(N_CLAVE,P331)&gt;1,"⚠ Duplicado","OK"))</f>
        <v/>
      </c>
      <c r="R331" s="74" t="str">
        <f aca="false">IF(OR(P331="",U331=""),"",MAX(0,U331-N(E331)-N(F331)-N(H331)))</f>
        <v/>
      </c>
      <c r="S331" s="75" t="str">
        <f aca="false">IF(P331="","",IFERROR(INDEX(T_INGRESO,MATCH(C331,T_ID,0)),""))</f>
        <v/>
      </c>
      <c r="T331" s="75" t="str">
        <f aca="false">IF(P331="","",IFERROR(N(INDEX(T_EGRESO,MATCH(C331,T_ID,0))),0))</f>
        <v/>
      </c>
      <c r="U331" s="73" t="str">
        <f aca="false">IF(OR(P331="",NOT(ISNUMBER(S331))),"",IF(OR(S331&gt;EOMONTH(B331,0),AND(T331&gt;0,T331&lt;B331)),0,IF(AND(S331&lt;=B331,OR(T331=0,T331&gt;=EOMONTH(B331,0))),30,MIN(30,IF(T331=0,EOMONTH(B331,0),MIN(T331,EOMONTH(B331,0)))-MAX(B331,S331)+1))))</f>
        <v/>
      </c>
    </row>
    <row r="332" customFormat="false" ht="15" hidden="false" customHeight="false" outlineLevel="0" collapsed="false">
      <c r="B332" s="78"/>
      <c r="C332" s="64"/>
      <c r="D332" s="70" t="str">
        <f aca="false">IF(C332="","",IFERROR(INDEX(T_NOMBRE,MATCH(C332,T_ID,0)),"⚠ ID no existe"))</f>
        <v/>
      </c>
      <c r="E332" s="69"/>
      <c r="F332" s="69"/>
      <c r="G332" s="69"/>
      <c r="H332" s="69"/>
      <c r="I332" s="66"/>
      <c r="J332" s="69"/>
      <c r="K332" s="67"/>
      <c r="L332" s="67"/>
      <c r="M332" s="67"/>
      <c r="N332" s="67"/>
      <c r="O332" s="64"/>
      <c r="P332" s="72" t="str">
        <f aca="false">IF(OR(B332="",C332=""),"",C332&amp;"|"&amp;(YEAR(B332)*100+MONTH(B332)))</f>
        <v/>
      </c>
      <c r="Q332" s="70" t="str">
        <f aca="false">IF(P332="","",IF(COUNTIF(N_CLAVE,P332)&gt;1,"⚠ Duplicado","OK"))</f>
        <v/>
      </c>
      <c r="R332" s="74" t="str">
        <f aca="false">IF(OR(P332="",U332=""),"",MAX(0,U332-N(E332)-N(F332)-N(H332)))</f>
        <v/>
      </c>
      <c r="S332" s="75" t="str">
        <f aca="false">IF(P332="","",IFERROR(INDEX(T_INGRESO,MATCH(C332,T_ID,0)),""))</f>
        <v/>
      </c>
      <c r="T332" s="75" t="str">
        <f aca="false">IF(P332="","",IFERROR(N(INDEX(T_EGRESO,MATCH(C332,T_ID,0))),0))</f>
        <v/>
      </c>
      <c r="U332" s="73" t="str">
        <f aca="false">IF(OR(P332="",NOT(ISNUMBER(S332))),"",IF(OR(S332&gt;EOMONTH(B332,0),AND(T332&gt;0,T332&lt;B332)),0,IF(AND(S332&lt;=B332,OR(T332=0,T332&gt;=EOMONTH(B332,0))),30,MIN(30,IF(T332=0,EOMONTH(B332,0),MIN(T332,EOMONTH(B332,0)))-MAX(B332,S332)+1))))</f>
        <v/>
      </c>
    </row>
    <row r="333" customFormat="false" ht="15" hidden="false" customHeight="false" outlineLevel="0" collapsed="false">
      <c r="B333" s="78"/>
      <c r="C333" s="64"/>
      <c r="D333" s="70" t="str">
        <f aca="false">IF(C333="","",IFERROR(INDEX(T_NOMBRE,MATCH(C333,T_ID,0)),"⚠ ID no existe"))</f>
        <v/>
      </c>
      <c r="E333" s="69"/>
      <c r="F333" s="69"/>
      <c r="G333" s="69"/>
      <c r="H333" s="69"/>
      <c r="I333" s="66"/>
      <c r="J333" s="69"/>
      <c r="K333" s="67"/>
      <c r="L333" s="67"/>
      <c r="M333" s="67"/>
      <c r="N333" s="67"/>
      <c r="O333" s="64"/>
      <c r="P333" s="72" t="str">
        <f aca="false">IF(OR(B333="",C333=""),"",C333&amp;"|"&amp;(YEAR(B333)*100+MONTH(B333)))</f>
        <v/>
      </c>
      <c r="Q333" s="70" t="str">
        <f aca="false">IF(P333="","",IF(COUNTIF(N_CLAVE,P333)&gt;1,"⚠ Duplicado","OK"))</f>
        <v/>
      </c>
      <c r="R333" s="74" t="str">
        <f aca="false">IF(OR(P333="",U333=""),"",MAX(0,U333-N(E333)-N(F333)-N(H333)))</f>
        <v/>
      </c>
      <c r="S333" s="75" t="str">
        <f aca="false">IF(P333="","",IFERROR(INDEX(T_INGRESO,MATCH(C333,T_ID,0)),""))</f>
        <v/>
      </c>
      <c r="T333" s="75" t="str">
        <f aca="false">IF(P333="","",IFERROR(N(INDEX(T_EGRESO,MATCH(C333,T_ID,0))),0))</f>
        <v/>
      </c>
      <c r="U333" s="73" t="str">
        <f aca="false">IF(OR(P333="",NOT(ISNUMBER(S333))),"",IF(OR(S333&gt;EOMONTH(B333,0),AND(T333&gt;0,T333&lt;B333)),0,IF(AND(S333&lt;=B333,OR(T333=0,T333&gt;=EOMONTH(B333,0))),30,MIN(30,IF(T333=0,EOMONTH(B333,0),MIN(T333,EOMONTH(B333,0)))-MAX(B333,S333)+1))))</f>
        <v/>
      </c>
    </row>
    <row r="334" customFormat="false" ht="15" hidden="false" customHeight="false" outlineLevel="0" collapsed="false">
      <c r="B334" s="78"/>
      <c r="C334" s="64"/>
      <c r="D334" s="70" t="str">
        <f aca="false">IF(C334="","",IFERROR(INDEX(T_NOMBRE,MATCH(C334,T_ID,0)),"⚠ ID no existe"))</f>
        <v/>
      </c>
      <c r="E334" s="69"/>
      <c r="F334" s="69"/>
      <c r="G334" s="69"/>
      <c r="H334" s="69"/>
      <c r="I334" s="66"/>
      <c r="J334" s="69"/>
      <c r="K334" s="67"/>
      <c r="L334" s="67"/>
      <c r="M334" s="67"/>
      <c r="N334" s="67"/>
      <c r="O334" s="64"/>
      <c r="P334" s="72" t="str">
        <f aca="false">IF(OR(B334="",C334=""),"",C334&amp;"|"&amp;(YEAR(B334)*100+MONTH(B334)))</f>
        <v/>
      </c>
      <c r="Q334" s="70" t="str">
        <f aca="false">IF(P334="","",IF(COUNTIF(N_CLAVE,P334)&gt;1,"⚠ Duplicado","OK"))</f>
        <v/>
      </c>
      <c r="R334" s="74" t="str">
        <f aca="false">IF(OR(P334="",U334=""),"",MAX(0,U334-N(E334)-N(F334)-N(H334)))</f>
        <v/>
      </c>
      <c r="S334" s="75" t="str">
        <f aca="false">IF(P334="","",IFERROR(INDEX(T_INGRESO,MATCH(C334,T_ID,0)),""))</f>
        <v/>
      </c>
      <c r="T334" s="75" t="str">
        <f aca="false">IF(P334="","",IFERROR(N(INDEX(T_EGRESO,MATCH(C334,T_ID,0))),0))</f>
        <v/>
      </c>
      <c r="U334" s="73" t="str">
        <f aca="false">IF(OR(P334="",NOT(ISNUMBER(S334))),"",IF(OR(S334&gt;EOMONTH(B334,0),AND(T334&gt;0,T334&lt;B334)),0,IF(AND(S334&lt;=B334,OR(T334=0,T334&gt;=EOMONTH(B334,0))),30,MIN(30,IF(T334=0,EOMONTH(B334,0),MIN(T334,EOMONTH(B334,0)))-MAX(B334,S334)+1))))</f>
        <v/>
      </c>
    </row>
    <row r="335" customFormat="false" ht="15" hidden="false" customHeight="false" outlineLevel="0" collapsed="false">
      <c r="B335" s="78"/>
      <c r="C335" s="64"/>
      <c r="D335" s="70" t="str">
        <f aca="false">IF(C335="","",IFERROR(INDEX(T_NOMBRE,MATCH(C335,T_ID,0)),"⚠ ID no existe"))</f>
        <v/>
      </c>
      <c r="E335" s="69"/>
      <c r="F335" s="69"/>
      <c r="G335" s="69"/>
      <c r="H335" s="69"/>
      <c r="I335" s="66"/>
      <c r="J335" s="69"/>
      <c r="K335" s="67"/>
      <c r="L335" s="67"/>
      <c r="M335" s="67"/>
      <c r="N335" s="67"/>
      <c r="O335" s="64"/>
      <c r="P335" s="72" t="str">
        <f aca="false">IF(OR(B335="",C335=""),"",C335&amp;"|"&amp;(YEAR(B335)*100+MONTH(B335)))</f>
        <v/>
      </c>
      <c r="Q335" s="70" t="str">
        <f aca="false">IF(P335="","",IF(COUNTIF(N_CLAVE,P335)&gt;1,"⚠ Duplicado","OK"))</f>
        <v/>
      </c>
      <c r="R335" s="74" t="str">
        <f aca="false">IF(OR(P335="",U335=""),"",MAX(0,U335-N(E335)-N(F335)-N(H335)))</f>
        <v/>
      </c>
      <c r="S335" s="75" t="str">
        <f aca="false">IF(P335="","",IFERROR(INDEX(T_INGRESO,MATCH(C335,T_ID,0)),""))</f>
        <v/>
      </c>
      <c r="T335" s="75" t="str">
        <f aca="false">IF(P335="","",IFERROR(N(INDEX(T_EGRESO,MATCH(C335,T_ID,0))),0))</f>
        <v/>
      </c>
      <c r="U335" s="73" t="str">
        <f aca="false">IF(OR(P335="",NOT(ISNUMBER(S335))),"",IF(OR(S335&gt;EOMONTH(B335,0),AND(T335&gt;0,T335&lt;B335)),0,IF(AND(S335&lt;=B335,OR(T335=0,T335&gt;=EOMONTH(B335,0))),30,MIN(30,IF(T335=0,EOMONTH(B335,0),MIN(T335,EOMONTH(B335,0)))-MAX(B335,S335)+1))))</f>
        <v/>
      </c>
    </row>
    <row r="336" customFormat="false" ht="15" hidden="false" customHeight="false" outlineLevel="0" collapsed="false">
      <c r="B336" s="78"/>
      <c r="C336" s="64"/>
      <c r="D336" s="70" t="str">
        <f aca="false">IF(C336="","",IFERROR(INDEX(T_NOMBRE,MATCH(C336,T_ID,0)),"⚠ ID no existe"))</f>
        <v/>
      </c>
      <c r="E336" s="69"/>
      <c r="F336" s="69"/>
      <c r="G336" s="69"/>
      <c r="H336" s="69"/>
      <c r="I336" s="66"/>
      <c r="J336" s="69"/>
      <c r="K336" s="67"/>
      <c r="L336" s="67"/>
      <c r="M336" s="67"/>
      <c r="N336" s="67"/>
      <c r="O336" s="64"/>
      <c r="P336" s="72" t="str">
        <f aca="false">IF(OR(B336="",C336=""),"",C336&amp;"|"&amp;(YEAR(B336)*100+MONTH(B336)))</f>
        <v/>
      </c>
      <c r="Q336" s="70" t="str">
        <f aca="false">IF(P336="","",IF(COUNTIF(N_CLAVE,P336)&gt;1,"⚠ Duplicado","OK"))</f>
        <v/>
      </c>
      <c r="R336" s="74" t="str">
        <f aca="false">IF(OR(P336="",U336=""),"",MAX(0,U336-N(E336)-N(F336)-N(H336)))</f>
        <v/>
      </c>
      <c r="S336" s="75" t="str">
        <f aca="false">IF(P336="","",IFERROR(INDEX(T_INGRESO,MATCH(C336,T_ID,0)),""))</f>
        <v/>
      </c>
      <c r="T336" s="75" t="str">
        <f aca="false">IF(P336="","",IFERROR(N(INDEX(T_EGRESO,MATCH(C336,T_ID,0))),0))</f>
        <v/>
      </c>
      <c r="U336" s="73" t="str">
        <f aca="false">IF(OR(P336="",NOT(ISNUMBER(S336))),"",IF(OR(S336&gt;EOMONTH(B336,0),AND(T336&gt;0,T336&lt;B336)),0,IF(AND(S336&lt;=B336,OR(T336=0,T336&gt;=EOMONTH(B336,0))),30,MIN(30,IF(T336=0,EOMONTH(B336,0),MIN(T336,EOMONTH(B336,0)))-MAX(B336,S336)+1))))</f>
        <v/>
      </c>
    </row>
    <row r="337" customFormat="false" ht="15" hidden="false" customHeight="false" outlineLevel="0" collapsed="false">
      <c r="B337" s="78"/>
      <c r="C337" s="64"/>
      <c r="D337" s="70" t="str">
        <f aca="false">IF(C337="","",IFERROR(INDEX(T_NOMBRE,MATCH(C337,T_ID,0)),"⚠ ID no existe"))</f>
        <v/>
      </c>
      <c r="E337" s="69"/>
      <c r="F337" s="69"/>
      <c r="G337" s="69"/>
      <c r="H337" s="69"/>
      <c r="I337" s="66"/>
      <c r="J337" s="69"/>
      <c r="K337" s="67"/>
      <c r="L337" s="67"/>
      <c r="M337" s="67"/>
      <c r="N337" s="67"/>
      <c r="O337" s="64"/>
      <c r="P337" s="72" t="str">
        <f aca="false">IF(OR(B337="",C337=""),"",C337&amp;"|"&amp;(YEAR(B337)*100+MONTH(B337)))</f>
        <v/>
      </c>
      <c r="Q337" s="70" t="str">
        <f aca="false">IF(P337="","",IF(COUNTIF(N_CLAVE,P337)&gt;1,"⚠ Duplicado","OK"))</f>
        <v/>
      </c>
      <c r="R337" s="74" t="str">
        <f aca="false">IF(OR(P337="",U337=""),"",MAX(0,U337-N(E337)-N(F337)-N(H337)))</f>
        <v/>
      </c>
      <c r="S337" s="75" t="str">
        <f aca="false">IF(P337="","",IFERROR(INDEX(T_INGRESO,MATCH(C337,T_ID,0)),""))</f>
        <v/>
      </c>
      <c r="T337" s="75" t="str">
        <f aca="false">IF(P337="","",IFERROR(N(INDEX(T_EGRESO,MATCH(C337,T_ID,0))),0))</f>
        <v/>
      </c>
      <c r="U337" s="73" t="str">
        <f aca="false">IF(OR(P337="",NOT(ISNUMBER(S337))),"",IF(OR(S337&gt;EOMONTH(B337,0),AND(T337&gt;0,T337&lt;B337)),0,IF(AND(S337&lt;=B337,OR(T337=0,T337&gt;=EOMONTH(B337,0))),30,MIN(30,IF(T337=0,EOMONTH(B337,0),MIN(T337,EOMONTH(B337,0)))-MAX(B337,S337)+1))))</f>
        <v/>
      </c>
    </row>
    <row r="338" customFormat="false" ht="15" hidden="false" customHeight="false" outlineLevel="0" collapsed="false">
      <c r="B338" s="78"/>
      <c r="C338" s="64"/>
      <c r="D338" s="70" t="str">
        <f aca="false">IF(C338="","",IFERROR(INDEX(T_NOMBRE,MATCH(C338,T_ID,0)),"⚠ ID no existe"))</f>
        <v/>
      </c>
      <c r="E338" s="69"/>
      <c r="F338" s="69"/>
      <c r="G338" s="69"/>
      <c r="H338" s="69"/>
      <c r="I338" s="66"/>
      <c r="J338" s="69"/>
      <c r="K338" s="67"/>
      <c r="L338" s="67"/>
      <c r="M338" s="67"/>
      <c r="N338" s="67"/>
      <c r="O338" s="64"/>
      <c r="P338" s="72" t="str">
        <f aca="false">IF(OR(B338="",C338=""),"",C338&amp;"|"&amp;(YEAR(B338)*100+MONTH(B338)))</f>
        <v/>
      </c>
      <c r="Q338" s="70" t="str">
        <f aca="false">IF(P338="","",IF(COUNTIF(N_CLAVE,P338)&gt;1,"⚠ Duplicado","OK"))</f>
        <v/>
      </c>
      <c r="R338" s="74" t="str">
        <f aca="false">IF(OR(P338="",U338=""),"",MAX(0,U338-N(E338)-N(F338)-N(H338)))</f>
        <v/>
      </c>
      <c r="S338" s="75" t="str">
        <f aca="false">IF(P338="","",IFERROR(INDEX(T_INGRESO,MATCH(C338,T_ID,0)),""))</f>
        <v/>
      </c>
      <c r="T338" s="75" t="str">
        <f aca="false">IF(P338="","",IFERROR(N(INDEX(T_EGRESO,MATCH(C338,T_ID,0))),0))</f>
        <v/>
      </c>
      <c r="U338" s="73" t="str">
        <f aca="false">IF(OR(P338="",NOT(ISNUMBER(S338))),"",IF(OR(S338&gt;EOMONTH(B338,0),AND(T338&gt;0,T338&lt;B338)),0,IF(AND(S338&lt;=B338,OR(T338=0,T338&gt;=EOMONTH(B338,0))),30,MIN(30,IF(T338=0,EOMONTH(B338,0),MIN(T338,EOMONTH(B338,0)))-MAX(B338,S338)+1))))</f>
        <v/>
      </c>
    </row>
    <row r="339" customFormat="false" ht="15" hidden="false" customHeight="false" outlineLevel="0" collapsed="false">
      <c r="B339" s="78"/>
      <c r="C339" s="64"/>
      <c r="D339" s="70" t="str">
        <f aca="false">IF(C339="","",IFERROR(INDEX(T_NOMBRE,MATCH(C339,T_ID,0)),"⚠ ID no existe"))</f>
        <v/>
      </c>
      <c r="E339" s="69"/>
      <c r="F339" s="69"/>
      <c r="G339" s="69"/>
      <c r="H339" s="69"/>
      <c r="I339" s="66"/>
      <c r="J339" s="69"/>
      <c r="K339" s="67"/>
      <c r="L339" s="67"/>
      <c r="M339" s="67"/>
      <c r="N339" s="67"/>
      <c r="O339" s="64"/>
      <c r="P339" s="72" t="str">
        <f aca="false">IF(OR(B339="",C339=""),"",C339&amp;"|"&amp;(YEAR(B339)*100+MONTH(B339)))</f>
        <v/>
      </c>
      <c r="Q339" s="70" t="str">
        <f aca="false">IF(P339="","",IF(COUNTIF(N_CLAVE,P339)&gt;1,"⚠ Duplicado","OK"))</f>
        <v/>
      </c>
      <c r="R339" s="74" t="str">
        <f aca="false">IF(OR(P339="",U339=""),"",MAX(0,U339-N(E339)-N(F339)-N(H339)))</f>
        <v/>
      </c>
      <c r="S339" s="75" t="str">
        <f aca="false">IF(P339="","",IFERROR(INDEX(T_INGRESO,MATCH(C339,T_ID,0)),""))</f>
        <v/>
      </c>
      <c r="T339" s="75" t="str">
        <f aca="false">IF(P339="","",IFERROR(N(INDEX(T_EGRESO,MATCH(C339,T_ID,0))),0))</f>
        <v/>
      </c>
      <c r="U339" s="73" t="str">
        <f aca="false">IF(OR(P339="",NOT(ISNUMBER(S339))),"",IF(OR(S339&gt;EOMONTH(B339,0),AND(T339&gt;0,T339&lt;B339)),0,IF(AND(S339&lt;=B339,OR(T339=0,T339&gt;=EOMONTH(B339,0))),30,MIN(30,IF(T339=0,EOMONTH(B339,0),MIN(T339,EOMONTH(B339,0)))-MAX(B339,S339)+1))))</f>
        <v/>
      </c>
    </row>
    <row r="340" customFormat="false" ht="15" hidden="false" customHeight="false" outlineLevel="0" collapsed="false">
      <c r="B340" s="78"/>
      <c r="C340" s="64"/>
      <c r="D340" s="70" t="str">
        <f aca="false">IF(C340="","",IFERROR(INDEX(T_NOMBRE,MATCH(C340,T_ID,0)),"⚠ ID no existe"))</f>
        <v/>
      </c>
      <c r="E340" s="69"/>
      <c r="F340" s="69"/>
      <c r="G340" s="69"/>
      <c r="H340" s="69"/>
      <c r="I340" s="66"/>
      <c r="J340" s="69"/>
      <c r="K340" s="67"/>
      <c r="L340" s="67"/>
      <c r="M340" s="67"/>
      <c r="N340" s="67"/>
      <c r="O340" s="64"/>
      <c r="P340" s="72" t="str">
        <f aca="false">IF(OR(B340="",C340=""),"",C340&amp;"|"&amp;(YEAR(B340)*100+MONTH(B340)))</f>
        <v/>
      </c>
      <c r="Q340" s="70" t="str">
        <f aca="false">IF(P340="","",IF(COUNTIF(N_CLAVE,P340)&gt;1,"⚠ Duplicado","OK"))</f>
        <v/>
      </c>
      <c r="R340" s="74" t="str">
        <f aca="false">IF(OR(P340="",U340=""),"",MAX(0,U340-N(E340)-N(F340)-N(H340)))</f>
        <v/>
      </c>
      <c r="S340" s="75" t="str">
        <f aca="false">IF(P340="","",IFERROR(INDEX(T_INGRESO,MATCH(C340,T_ID,0)),""))</f>
        <v/>
      </c>
      <c r="T340" s="75" t="str">
        <f aca="false">IF(P340="","",IFERROR(N(INDEX(T_EGRESO,MATCH(C340,T_ID,0))),0))</f>
        <v/>
      </c>
      <c r="U340" s="73" t="str">
        <f aca="false">IF(OR(P340="",NOT(ISNUMBER(S340))),"",IF(OR(S340&gt;EOMONTH(B340,0),AND(T340&gt;0,T340&lt;B340)),0,IF(AND(S340&lt;=B340,OR(T340=0,T340&gt;=EOMONTH(B340,0))),30,MIN(30,IF(T340=0,EOMONTH(B340,0),MIN(T340,EOMONTH(B340,0)))-MAX(B340,S340)+1))))</f>
        <v/>
      </c>
    </row>
    <row r="341" customFormat="false" ht="15" hidden="false" customHeight="false" outlineLevel="0" collapsed="false">
      <c r="B341" s="78"/>
      <c r="C341" s="64"/>
      <c r="D341" s="70" t="str">
        <f aca="false">IF(C341="","",IFERROR(INDEX(T_NOMBRE,MATCH(C341,T_ID,0)),"⚠ ID no existe"))</f>
        <v/>
      </c>
      <c r="E341" s="69"/>
      <c r="F341" s="69"/>
      <c r="G341" s="69"/>
      <c r="H341" s="69"/>
      <c r="I341" s="66"/>
      <c r="J341" s="69"/>
      <c r="K341" s="67"/>
      <c r="L341" s="67"/>
      <c r="M341" s="67"/>
      <c r="N341" s="67"/>
      <c r="O341" s="64"/>
      <c r="P341" s="72" t="str">
        <f aca="false">IF(OR(B341="",C341=""),"",C341&amp;"|"&amp;(YEAR(B341)*100+MONTH(B341)))</f>
        <v/>
      </c>
      <c r="Q341" s="70" t="str">
        <f aca="false">IF(P341="","",IF(COUNTIF(N_CLAVE,P341)&gt;1,"⚠ Duplicado","OK"))</f>
        <v/>
      </c>
      <c r="R341" s="74" t="str">
        <f aca="false">IF(OR(P341="",U341=""),"",MAX(0,U341-N(E341)-N(F341)-N(H341)))</f>
        <v/>
      </c>
      <c r="S341" s="75" t="str">
        <f aca="false">IF(P341="","",IFERROR(INDEX(T_INGRESO,MATCH(C341,T_ID,0)),""))</f>
        <v/>
      </c>
      <c r="T341" s="75" t="str">
        <f aca="false">IF(P341="","",IFERROR(N(INDEX(T_EGRESO,MATCH(C341,T_ID,0))),0))</f>
        <v/>
      </c>
      <c r="U341" s="73" t="str">
        <f aca="false">IF(OR(P341="",NOT(ISNUMBER(S341))),"",IF(OR(S341&gt;EOMONTH(B341,0),AND(T341&gt;0,T341&lt;B341)),0,IF(AND(S341&lt;=B341,OR(T341=0,T341&gt;=EOMONTH(B341,0))),30,MIN(30,IF(T341=0,EOMONTH(B341,0),MIN(T341,EOMONTH(B341,0)))-MAX(B341,S341)+1))))</f>
        <v/>
      </c>
    </row>
    <row r="342" customFormat="false" ht="15" hidden="false" customHeight="false" outlineLevel="0" collapsed="false">
      <c r="B342" s="78"/>
      <c r="C342" s="64"/>
      <c r="D342" s="70" t="str">
        <f aca="false">IF(C342="","",IFERROR(INDEX(T_NOMBRE,MATCH(C342,T_ID,0)),"⚠ ID no existe"))</f>
        <v/>
      </c>
      <c r="E342" s="69"/>
      <c r="F342" s="69"/>
      <c r="G342" s="69"/>
      <c r="H342" s="69"/>
      <c r="I342" s="66"/>
      <c r="J342" s="69"/>
      <c r="K342" s="67"/>
      <c r="L342" s="67"/>
      <c r="M342" s="67"/>
      <c r="N342" s="67"/>
      <c r="O342" s="64"/>
      <c r="P342" s="72" t="str">
        <f aca="false">IF(OR(B342="",C342=""),"",C342&amp;"|"&amp;(YEAR(B342)*100+MONTH(B342)))</f>
        <v/>
      </c>
      <c r="Q342" s="70" t="str">
        <f aca="false">IF(P342="","",IF(COUNTIF(N_CLAVE,P342)&gt;1,"⚠ Duplicado","OK"))</f>
        <v/>
      </c>
      <c r="R342" s="74" t="str">
        <f aca="false">IF(OR(P342="",U342=""),"",MAX(0,U342-N(E342)-N(F342)-N(H342)))</f>
        <v/>
      </c>
      <c r="S342" s="75" t="str">
        <f aca="false">IF(P342="","",IFERROR(INDEX(T_INGRESO,MATCH(C342,T_ID,0)),""))</f>
        <v/>
      </c>
      <c r="T342" s="75" t="str">
        <f aca="false">IF(P342="","",IFERROR(N(INDEX(T_EGRESO,MATCH(C342,T_ID,0))),0))</f>
        <v/>
      </c>
      <c r="U342" s="73" t="str">
        <f aca="false">IF(OR(P342="",NOT(ISNUMBER(S342))),"",IF(OR(S342&gt;EOMONTH(B342,0),AND(T342&gt;0,T342&lt;B342)),0,IF(AND(S342&lt;=B342,OR(T342=0,T342&gt;=EOMONTH(B342,0))),30,MIN(30,IF(T342=0,EOMONTH(B342,0),MIN(T342,EOMONTH(B342,0)))-MAX(B342,S342)+1))))</f>
        <v/>
      </c>
    </row>
    <row r="343" customFormat="false" ht="15" hidden="false" customHeight="false" outlineLevel="0" collapsed="false">
      <c r="B343" s="78"/>
      <c r="C343" s="64"/>
      <c r="D343" s="70" t="str">
        <f aca="false">IF(C343="","",IFERROR(INDEX(T_NOMBRE,MATCH(C343,T_ID,0)),"⚠ ID no existe"))</f>
        <v/>
      </c>
      <c r="E343" s="69"/>
      <c r="F343" s="69"/>
      <c r="G343" s="69"/>
      <c r="H343" s="69"/>
      <c r="I343" s="66"/>
      <c r="J343" s="69"/>
      <c r="K343" s="67"/>
      <c r="L343" s="67"/>
      <c r="M343" s="67"/>
      <c r="N343" s="67"/>
      <c r="O343" s="64"/>
      <c r="P343" s="72" t="str">
        <f aca="false">IF(OR(B343="",C343=""),"",C343&amp;"|"&amp;(YEAR(B343)*100+MONTH(B343)))</f>
        <v/>
      </c>
      <c r="Q343" s="70" t="str">
        <f aca="false">IF(P343="","",IF(COUNTIF(N_CLAVE,P343)&gt;1,"⚠ Duplicado","OK"))</f>
        <v/>
      </c>
      <c r="R343" s="74" t="str">
        <f aca="false">IF(OR(P343="",U343=""),"",MAX(0,U343-N(E343)-N(F343)-N(H343)))</f>
        <v/>
      </c>
      <c r="S343" s="75" t="str">
        <f aca="false">IF(P343="","",IFERROR(INDEX(T_INGRESO,MATCH(C343,T_ID,0)),""))</f>
        <v/>
      </c>
      <c r="T343" s="75" t="str">
        <f aca="false">IF(P343="","",IFERROR(N(INDEX(T_EGRESO,MATCH(C343,T_ID,0))),0))</f>
        <v/>
      </c>
      <c r="U343" s="73" t="str">
        <f aca="false">IF(OR(P343="",NOT(ISNUMBER(S343))),"",IF(OR(S343&gt;EOMONTH(B343,0),AND(T343&gt;0,T343&lt;B343)),0,IF(AND(S343&lt;=B343,OR(T343=0,T343&gt;=EOMONTH(B343,0))),30,MIN(30,IF(T343=0,EOMONTH(B343,0),MIN(T343,EOMONTH(B343,0)))-MAX(B343,S343)+1))))</f>
        <v/>
      </c>
    </row>
    <row r="344" customFormat="false" ht="15" hidden="false" customHeight="false" outlineLevel="0" collapsed="false">
      <c r="B344" s="78"/>
      <c r="C344" s="64"/>
      <c r="D344" s="70" t="str">
        <f aca="false">IF(C344="","",IFERROR(INDEX(T_NOMBRE,MATCH(C344,T_ID,0)),"⚠ ID no existe"))</f>
        <v/>
      </c>
      <c r="E344" s="69"/>
      <c r="F344" s="69"/>
      <c r="G344" s="69"/>
      <c r="H344" s="69"/>
      <c r="I344" s="66"/>
      <c r="J344" s="69"/>
      <c r="K344" s="67"/>
      <c r="L344" s="67"/>
      <c r="M344" s="67"/>
      <c r="N344" s="67"/>
      <c r="O344" s="64"/>
      <c r="P344" s="72" t="str">
        <f aca="false">IF(OR(B344="",C344=""),"",C344&amp;"|"&amp;(YEAR(B344)*100+MONTH(B344)))</f>
        <v/>
      </c>
      <c r="Q344" s="70" t="str">
        <f aca="false">IF(P344="","",IF(COUNTIF(N_CLAVE,P344)&gt;1,"⚠ Duplicado","OK"))</f>
        <v/>
      </c>
      <c r="R344" s="74" t="str">
        <f aca="false">IF(OR(P344="",U344=""),"",MAX(0,U344-N(E344)-N(F344)-N(H344)))</f>
        <v/>
      </c>
      <c r="S344" s="75" t="str">
        <f aca="false">IF(P344="","",IFERROR(INDEX(T_INGRESO,MATCH(C344,T_ID,0)),""))</f>
        <v/>
      </c>
      <c r="T344" s="75" t="str">
        <f aca="false">IF(P344="","",IFERROR(N(INDEX(T_EGRESO,MATCH(C344,T_ID,0))),0))</f>
        <v/>
      </c>
      <c r="U344" s="73" t="str">
        <f aca="false">IF(OR(P344="",NOT(ISNUMBER(S344))),"",IF(OR(S344&gt;EOMONTH(B344,0),AND(T344&gt;0,T344&lt;B344)),0,IF(AND(S344&lt;=B344,OR(T344=0,T344&gt;=EOMONTH(B344,0))),30,MIN(30,IF(T344=0,EOMONTH(B344,0),MIN(T344,EOMONTH(B344,0)))-MAX(B344,S344)+1))))</f>
        <v/>
      </c>
    </row>
    <row r="345" customFormat="false" ht="15" hidden="false" customHeight="false" outlineLevel="0" collapsed="false">
      <c r="B345" s="78"/>
      <c r="C345" s="64"/>
      <c r="D345" s="70" t="str">
        <f aca="false">IF(C345="","",IFERROR(INDEX(T_NOMBRE,MATCH(C345,T_ID,0)),"⚠ ID no existe"))</f>
        <v/>
      </c>
      <c r="E345" s="69"/>
      <c r="F345" s="69"/>
      <c r="G345" s="69"/>
      <c r="H345" s="69"/>
      <c r="I345" s="66"/>
      <c r="J345" s="69"/>
      <c r="K345" s="67"/>
      <c r="L345" s="67"/>
      <c r="M345" s="67"/>
      <c r="N345" s="67"/>
      <c r="O345" s="64"/>
      <c r="P345" s="72" t="str">
        <f aca="false">IF(OR(B345="",C345=""),"",C345&amp;"|"&amp;(YEAR(B345)*100+MONTH(B345)))</f>
        <v/>
      </c>
      <c r="Q345" s="70" t="str">
        <f aca="false">IF(P345="","",IF(COUNTIF(N_CLAVE,P345)&gt;1,"⚠ Duplicado","OK"))</f>
        <v/>
      </c>
      <c r="R345" s="74" t="str">
        <f aca="false">IF(OR(P345="",U345=""),"",MAX(0,U345-N(E345)-N(F345)-N(H345)))</f>
        <v/>
      </c>
      <c r="S345" s="75" t="str">
        <f aca="false">IF(P345="","",IFERROR(INDEX(T_INGRESO,MATCH(C345,T_ID,0)),""))</f>
        <v/>
      </c>
      <c r="T345" s="75" t="str">
        <f aca="false">IF(P345="","",IFERROR(N(INDEX(T_EGRESO,MATCH(C345,T_ID,0))),0))</f>
        <v/>
      </c>
      <c r="U345" s="73" t="str">
        <f aca="false">IF(OR(P345="",NOT(ISNUMBER(S345))),"",IF(OR(S345&gt;EOMONTH(B345,0),AND(T345&gt;0,T345&lt;B345)),0,IF(AND(S345&lt;=B345,OR(T345=0,T345&gt;=EOMONTH(B345,0))),30,MIN(30,IF(T345=0,EOMONTH(B345,0),MIN(T345,EOMONTH(B345,0)))-MAX(B345,S345)+1))))</f>
        <v/>
      </c>
    </row>
    <row r="346" customFormat="false" ht="15" hidden="false" customHeight="false" outlineLevel="0" collapsed="false">
      <c r="B346" s="78"/>
      <c r="C346" s="64"/>
      <c r="D346" s="70" t="str">
        <f aca="false">IF(C346="","",IFERROR(INDEX(T_NOMBRE,MATCH(C346,T_ID,0)),"⚠ ID no existe"))</f>
        <v/>
      </c>
      <c r="E346" s="69"/>
      <c r="F346" s="69"/>
      <c r="G346" s="69"/>
      <c r="H346" s="69"/>
      <c r="I346" s="66"/>
      <c r="J346" s="69"/>
      <c r="K346" s="67"/>
      <c r="L346" s="67"/>
      <c r="M346" s="67"/>
      <c r="N346" s="67"/>
      <c r="O346" s="64"/>
      <c r="P346" s="72" t="str">
        <f aca="false">IF(OR(B346="",C346=""),"",C346&amp;"|"&amp;(YEAR(B346)*100+MONTH(B346)))</f>
        <v/>
      </c>
      <c r="Q346" s="70" t="str">
        <f aca="false">IF(P346="","",IF(COUNTIF(N_CLAVE,P346)&gt;1,"⚠ Duplicado","OK"))</f>
        <v/>
      </c>
      <c r="R346" s="74" t="str">
        <f aca="false">IF(OR(P346="",U346=""),"",MAX(0,U346-N(E346)-N(F346)-N(H346)))</f>
        <v/>
      </c>
      <c r="S346" s="75" t="str">
        <f aca="false">IF(P346="","",IFERROR(INDEX(T_INGRESO,MATCH(C346,T_ID,0)),""))</f>
        <v/>
      </c>
      <c r="T346" s="75" t="str">
        <f aca="false">IF(P346="","",IFERROR(N(INDEX(T_EGRESO,MATCH(C346,T_ID,0))),0))</f>
        <v/>
      </c>
      <c r="U346" s="73" t="str">
        <f aca="false">IF(OR(P346="",NOT(ISNUMBER(S346))),"",IF(OR(S346&gt;EOMONTH(B346,0),AND(T346&gt;0,T346&lt;B346)),0,IF(AND(S346&lt;=B346,OR(T346=0,T346&gt;=EOMONTH(B346,0))),30,MIN(30,IF(T346=0,EOMONTH(B346,0),MIN(T346,EOMONTH(B346,0)))-MAX(B346,S346)+1))))</f>
        <v/>
      </c>
    </row>
    <row r="347" customFormat="false" ht="15" hidden="false" customHeight="false" outlineLevel="0" collapsed="false">
      <c r="B347" s="78"/>
      <c r="C347" s="64"/>
      <c r="D347" s="70" t="str">
        <f aca="false">IF(C347="","",IFERROR(INDEX(T_NOMBRE,MATCH(C347,T_ID,0)),"⚠ ID no existe"))</f>
        <v/>
      </c>
      <c r="E347" s="69"/>
      <c r="F347" s="69"/>
      <c r="G347" s="69"/>
      <c r="H347" s="69"/>
      <c r="I347" s="66"/>
      <c r="J347" s="69"/>
      <c r="K347" s="67"/>
      <c r="L347" s="67"/>
      <c r="M347" s="67"/>
      <c r="N347" s="67"/>
      <c r="O347" s="64"/>
      <c r="P347" s="72" t="str">
        <f aca="false">IF(OR(B347="",C347=""),"",C347&amp;"|"&amp;(YEAR(B347)*100+MONTH(B347)))</f>
        <v/>
      </c>
      <c r="Q347" s="70" t="str">
        <f aca="false">IF(P347="","",IF(COUNTIF(N_CLAVE,P347)&gt;1,"⚠ Duplicado","OK"))</f>
        <v/>
      </c>
      <c r="R347" s="74" t="str">
        <f aca="false">IF(OR(P347="",U347=""),"",MAX(0,U347-N(E347)-N(F347)-N(H347)))</f>
        <v/>
      </c>
      <c r="S347" s="75" t="str">
        <f aca="false">IF(P347="","",IFERROR(INDEX(T_INGRESO,MATCH(C347,T_ID,0)),""))</f>
        <v/>
      </c>
      <c r="T347" s="75" t="str">
        <f aca="false">IF(P347="","",IFERROR(N(INDEX(T_EGRESO,MATCH(C347,T_ID,0))),0))</f>
        <v/>
      </c>
      <c r="U347" s="73" t="str">
        <f aca="false">IF(OR(P347="",NOT(ISNUMBER(S347))),"",IF(OR(S347&gt;EOMONTH(B347,0),AND(T347&gt;0,T347&lt;B347)),0,IF(AND(S347&lt;=B347,OR(T347=0,T347&gt;=EOMONTH(B347,0))),30,MIN(30,IF(T347=0,EOMONTH(B347,0),MIN(T347,EOMONTH(B347,0)))-MAX(B347,S347)+1))))</f>
        <v/>
      </c>
    </row>
    <row r="348" customFormat="false" ht="15" hidden="false" customHeight="false" outlineLevel="0" collapsed="false">
      <c r="B348" s="78"/>
      <c r="C348" s="64"/>
      <c r="D348" s="70" t="str">
        <f aca="false">IF(C348="","",IFERROR(INDEX(T_NOMBRE,MATCH(C348,T_ID,0)),"⚠ ID no existe"))</f>
        <v/>
      </c>
      <c r="E348" s="69"/>
      <c r="F348" s="69"/>
      <c r="G348" s="69"/>
      <c r="H348" s="69"/>
      <c r="I348" s="66"/>
      <c r="J348" s="69"/>
      <c r="K348" s="67"/>
      <c r="L348" s="67"/>
      <c r="M348" s="67"/>
      <c r="N348" s="67"/>
      <c r="O348" s="64"/>
      <c r="P348" s="72" t="str">
        <f aca="false">IF(OR(B348="",C348=""),"",C348&amp;"|"&amp;(YEAR(B348)*100+MONTH(B348)))</f>
        <v/>
      </c>
      <c r="Q348" s="70" t="str">
        <f aca="false">IF(P348="","",IF(COUNTIF(N_CLAVE,P348)&gt;1,"⚠ Duplicado","OK"))</f>
        <v/>
      </c>
      <c r="R348" s="74" t="str">
        <f aca="false">IF(OR(P348="",U348=""),"",MAX(0,U348-N(E348)-N(F348)-N(H348)))</f>
        <v/>
      </c>
      <c r="S348" s="75" t="str">
        <f aca="false">IF(P348="","",IFERROR(INDEX(T_INGRESO,MATCH(C348,T_ID,0)),""))</f>
        <v/>
      </c>
      <c r="T348" s="75" t="str">
        <f aca="false">IF(P348="","",IFERROR(N(INDEX(T_EGRESO,MATCH(C348,T_ID,0))),0))</f>
        <v/>
      </c>
      <c r="U348" s="73" t="str">
        <f aca="false">IF(OR(P348="",NOT(ISNUMBER(S348))),"",IF(OR(S348&gt;EOMONTH(B348,0),AND(T348&gt;0,T348&lt;B348)),0,IF(AND(S348&lt;=B348,OR(T348=0,T348&gt;=EOMONTH(B348,0))),30,MIN(30,IF(T348=0,EOMONTH(B348,0),MIN(T348,EOMONTH(B348,0)))-MAX(B348,S348)+1))))</f>
        <v/>
      </c>
    </row>
    <row r="349" customFormat="false" ht="15" hidden="false" customHeight="false" outlineLevel="0" collapsed="false">
      <c r="B349" s="78"/>
      <c r="C349" s="64"/>
      <c r="D349" s="70" t="str">
        <f aca="false">IF(C349="","",IFERROR(INDEX(T_NOMBRE,MATCH(C349,T_ID,0)),"⚠ ID no existe"))</f>
        <v/>
      </c>
      <c r="E349" s="69"/>
      <c r="F349" s="69"/>
      <c r="G349" s="69"/>
      <c r="H349" s="69"/>
      <c r="I349" s="66"/>
      <c r="J349" s="69"/>
      <c r="K349" s="67"/>
      <c r="L349" s="67"/>
      <c r="M349" s="67"/>
      <c r="N349" s="67"/>
      <c r="O349" s="64"/>
      <c r="P349" s="72" t="str">
        <f aca="false">IF(OR(B349="",C349=""),"",C349&amp;"|"&amp;(YEAR(B349)*100+MONTH(B349)))</f>
        <v/>
      </c>
      <c r="Q349" s="70" t="str">
        <f aca="false">IF(P349="","",IF(COUNTIF(N_CLAVE,P349)&gt;1,"⚠ Duplicado","OK"))</f>
        <v/>
      </c>
      <c r="R349" s="74" t="str">
        <f aca="false">IF(OR(P349="",U349=""),"",MAX(0,U349-N(E349)-N(F349)-N(H349)))</f>
        <v/>
      </c>
      <c r="S349" s="75" t="str">
        <f aca="false">IF(P349="","",IFERROR(INDEX(T_INGRESO,MATCH(C349,T_ID,0)),""))</f>
        <v/>
      </c>
      <c r="T349" s="75" t="str">
        <f aca="false">IF(P349="","",IFERROR(N(INDEX(T_EGRESO,MATCH(C349,T_ID,0))),0))</f>
        <v/>
      </c>
      <c r="U349" s="73" t="str">
        <f aca="false">IF(OR(P349="",NOT(ISNUMBER(S349))),"",IF(OR(S349&gt;EOMONTH(B349,0),AND(T349&gt;0,T349&lt;B349)),0,IF(AND(S349&lt;=B349,OR(T349=0,T349&gt;=EOMONTH(B349,0))),30,MIN(30,IF(T349=0,EOMONTH(B349,0),MIN(T349,EOMONTH(B349,0)))-MAX(B349,S349)+1))))</f>
        <v/>
      </c>
    </row>
    <row r="350" customFormat="false" ht="15" hidden="false" customHeight="false" outlineLevel="0" collapsed="false">
      <c r="B350" s="78"/>
      <c r="C350" s="64"/>
      <c r="D350" s="70" t="str">
        <f aca="false">IF(C350="","",IFERROR(INDEX(T_NOMBRE,MATCH(C350,T_ID,0)),"⚠ ID no existe"))</f>
        <v/>
      </c>
      <c r="E350" s="69"/>
      <c r="F350" s="69"/>
      <c r="G350" s="69"/>
      <c r="H350" s="69"/>
      <c r="I350" s="66"/>
      <c r="J350" s="69"/>
      <c r="K350" s="67"/>
      <c r="L350" s="67"/>
      <c r="M350" s="67"/>
      <c r="N350" s="67"/>
      <c r="O350" s="64"/>
      <c r="P350" s="72" t="str">
        <f aca="false">IF(OR(B350="",C350=""),"",C350&amp;"|"&amp;(YEAR(B350)*100+MONTH(B350)))</f>
        <v/>
      </c>
      <c r="Q350" s="70" t="str">
        <f aca="false">IF(P350="","",IF(COUNTIF(N_CLAVE,P350)&gt;1,"⚠ Duplicado","OK"))</f>
        <v/>
      </c>
      <c r="R350" s="74" t="str">
        <f aca="false">IF(OR(P350="",U350=""),"",MAX(0,U350-N(E350)-N(F350)-N(H350)))</f>
        <v/>
      </c>
      <c r="S350" s="75" t="str">
        <f aca="false">IF(P350="","",IFERROR(INDEX(T_INGRESO,MATCH(C350,T_ID,0)),""))</f>
        <v/>
      </c>
      <c r="T350" s="75" t="str">
        <f aca="false">IF(P350="","",IFERROR(N(INDEX(T_EGRESO,MATCH(C350,T_ID,0))),0))</f>
        <v/>
      </c>
      <c r="U350" s="73" t="str">
        <f aca="false">IF(OR(P350="",NOT(ISNUMBER(S350))),"",IF(OR(S350&gt;EOMONTH(B350,0),AND(T350&gt;0,T350&lt;B350)),0,IF(AND(S350&lt;=B350,OR(T350=0,T350&gt;=EOMONTH(B350,0))),30,MIN(30,IF(T350=0,EOMONTH(B350,0),MIN(T350,EOMONTH(B350,0)))-MAX(B350,S350)+1))))</f>
        <v/>
      </c>
    </row>
    <row r="351" customFormat="false" ht="15" hidden="false" customHeight="false" outlineLevel="0" collapsed="false">
      <c r="B351" s="78"/>
      <c r="C351" s="64"/>
      <c r="D351" s="70" t="str">
        <f aca="false">IF(C351="","",IFERROR(INDEX(T_NOMBRE,MATCH(C351,T_ID,0)),"⚠ ID no existe"))</f>
        <v/>
      </c>
      <c r="E351" s="69"/>
      <c r="F351" s="69"/>
      <c r="G351" s="69"/>
      <c r="H351" s="69"/>
      <c r="I351" s="66"/>
      <c r="J351" s="69"/>
      <c r="K351" s="67"/>
      <c r="L351" s="67"/>
      <c r="M351" s="67"/>
      <c r="N351" s="67"/>
      <c r="O351" s="64"/>
      <c r="P351" s="72" t="str">
        <f aca="false">IF(OR(B351="",C351=""),"",C351&amp;"|"&amp;(YEAR(B351)*100+MONTH(B351)))</f>
        <v/>
      </c>
      <c r="Q351" s="70" t="str">
        <f aca="false">IF(P351="","",IF(COUNTIF(N_CLAVE,P351)&gt;1,"⚠ Duplicado","OK"))</f>
        <v/>
      </c>
      <c r="R351" s="74" t="str">
        <f aca="false">IF(OR(P351="",U351=""),"",MAX(0,U351-N(E351)-N(F351)-N(H351)))</f>
        <v/>
      </c>
      <c r="S351" s="75" t="str">
        <f aca="false">IF(P351="","",IFERROR(INDEX(T_INGRESO,MATCH(C351,T_ID,0)),""))</f>
        <v/>
      </c>
      <c r="T351" s="75" t="str">
        <f aca="false">IF(P351="","",IFERROR(N(INDEX(T_EGRESO,MATCH(C351,T_ID,0))),0))</f>
        <v/>
      </c>
      <c r="U351" s="73" t="str">
        <f aca="false">IF(OR(P351="",NOT(ISNUMBER(S351))),"",IF(OR(S351&gt;EOMONTH(B351,0),AND(T351&gt;0,T351&lt;B351)),0,IF(AND(S351&lt;=B351,OR(T351=0,T351&gt;=EOMONTH(B351,0))),30,MIN(30,IF(T351=0,EOMONTH(B351,0),MIN(T351,EOMONTH(B351,0)))-MAX(B351,S351)+1))))</f>
        <v/>
      </c>
    </row>
    <row r="352" customFormat="false" ht="15" hidden="false" customHeight="false" outlineLevel="0" collapsed="false">
      <c r="B352" s="78"/>
      <c r="C352" s="64"/>
      <c r="D352" s="70" t="str">
        <f aca="false">IF(C352="","",IFERROR(INDEX(T_NOMBRE,MATCH(C352,T_ID,0)),"⚠ ID no existe"))</f>
        <v/>
      </c>
      <c r="E352" s="69"/>
      <c r="F352" s="69"/>
      <c r="G352" s="69"/>
      <c r="H352" s="69"/>
      <c r="I352" s="66"/>
      <c r="J352" s="69"/>
      <c r="K352" s="67"/>
      <c r="L352" s="67"/>
      <c r="M352" s="67"/>
      <c r="N352" s="67"/>
      <c r="O352" s="64"/>
      <c r="P352" s="72" t="str">
        <f aca="false">IF(OR(B352="",C352=""),"",C352&amp;"|"&amp;(YEAR(B352)*100+MONTH(B352)))</f>
        <v/>
      </c>
      <c r="Q352" s="70" t="str">
        <f aca="false">IF(P352="","",IF(COUNTIF(N_CLAVE,P352)&gt;1,"⚠ Duplicado","OK"))</f>
        <v/>
      </c>
      <c r="R352" s="74" t="str">
        <f aca="false">IF(OR(P352="",U352=""),"",MAX(0,U352-N(E352)-N(F352)-N(H352)))</f>
        <v/>
      </c>
      <c r="S352" s="75" t="str">
        <f aca="false">IF(P352="","",IFERROR(INDEX(T_INGRESO,MATCH(C352,T_ID,0)),""))</f>
        <v/>
      </c>
      <c r="T352" s="75" t="str">
        <f aca="false">IF(P352="","",IFERROR(N(INDEX(T_EGRESO,MATCH(C352,T_ID,0))),0))</f>
        <v/>
      </c>
      <c r="U352" s="73" t="str">
        <f aca="false">IF(OR(P352="",NOT(ISNUMBER(S352))),"",IF(OR(S352&gt;EOMONTH(B352,0),AND(T352&gt;0,T352&lt;B352)),0,IF(AND(S352&lt;=B352,OR(T352=0,T352&gt;=EOMONTH(B352,0))),30,MIN(30,IF(T352=0,EOMONTH(B352,0),MIN(T352,EOMONTH(B352,0)))-MAX(B352,S352)+1))))</f>
        <v/>
      </c>
    </row>
    <row r="353" customFormat="false" ht="15" hidden="false" customHeight="false" outlineLevel="0" collapsed="false">
      <c r="B353" s="78"/>
      <c r="C353" s="64"/>
      <c r="D353" s="70" t="str">
        <f aca="false">IF(C353="","",IFERROR(INDEX(T_NOMBRE,MATCH(C353,T_ID,0)),"⚠ ID no existe"))</f>
        <v/>
      </c>
      <c r="E353" s="69"/>
      <c r="F353" s="69"/>
      <c r="G353" s="69"/>
      <c r="H353" s="69"/>
      <c r="I353" s="66"/>
      <c r="J353" s="69"/>
      <c r="K353" s="67"/>
      <c r="L353" s="67"/>
      <c r="M353" s="67"/>
      <c r="N353" s="67"/>
      <c r="O353" s="64"/>
      <c r="P353" s="72" t="str">
        <f aca="false">IF(OR(B353="",C353=""),"",C353&amp;"|"&amp;(YEAR(B353)*100+MONTH(B353)))</f>
        <v/>
      </c>
      <c r="Q353" s="70" t="str">
        <f aca="false">IF(P353="","",IF(COUNTIF(N_CLAVE,P353)&gt;1,"⚠ Duplicado","OK"))</f>
        <v/>
      </c>
      <c r="R353" s="74" t="str">
        <f aca="false">IF(OR(P353="",U353=""),"",MAX(0,U353-N(E353)-N(F353)-N(H353)))</f>
        <v/>
      </c>
      <c r="S353" s="75" t="str">
        <f aca="false">IF(P353="","",IFERROR(INDEX(T_INGRESO,MATCH(C353,T_ID,0)),""))</f>
        <v/>
      </c>
      <c r="T353" s="75" t="str">
        <f aca="false">IF(P353="","",IFERROR(N(INDEX(T_EGRESO,MATCH(C353,T_ID,0))),0))</f>
        <v/>
      </c>
      <c r="U353" s="73" t="str">
        <f aca="false">IF(OR(P353="",NOT(ISNUMBER(S353))),"",IF(OR(S353&gt;EOMONTH(B353,0),AND(T353&gt;0,T353&lt;B353)),0,IF(AND(S353&lt;=B353,OR(T353=0,T353&gt;=EOMONTH(B353,0))),30,MIN(30,IF(T353=0,EOMONTH(B353,0),MIN(T353,EOMONTH(B353,0)))-MAX(B353,S353)+1))))</f>
        <v/>
      </c>
    </row>
    <row r="354" customFormat="false" ht="15" hidden="false" customHeight="false" outlineLevel="0" collapsed="false">
      <c r="B354" s="78"/>
      <c r="C354" s="64"/>
      <c r="D354" s="70" t="str">
        <f aca="false">IF(C354="","",IFERROR(INDEX(T_NOMBRE,MATCH(C354,T_ID,0)),"⚠ ID no existe"))</f>
        <v/>
      </c>
      <c r="E354" s="69"/>
      <c r="F354" s="69"/>
      <c r="G354" s="69"/>
      <c r="H354" s="69"/>
      <c r="I354" s="66"/>
      <c r="J354" s="69"/>
      <c r="K354" s="67"/>
      <c r="L354" s="67"/>
      <c r="M354" s="67"/>
      <c r="N354" s="67"/>
      <c r="O354" s="64"/>
      <c r="P354" s="72" t="str">
        <f aca="false">IF(OR(B354="",C354=""),"",C354&amp;"|"&amp;(YEAR(B354)*100+MONTH(B354)))</f>
        <v/>
      </c>
      <c r="Q354" s="70" t="str">
        <f aca="false">IF(P354="","",IF(COUNTIF(N_CLAVE,P354)&gt;1,"⚠ Duplicado","OK"))</f>
        <v/>
      </c>
      <c r="R354" s="74" t="str">
        <f aca="false">IF(OR(P354="",U354=""),"",MAX(0,U354-N(E354)-N(F354)-N(H354)))</f>
        <v/>
      </c>
      <c r="S354" s="75" t="str">
        <f aca="false">IF(P354="","",IFERROR(INDEX(T_INGRESO,MATCH(C354,T_ID,0)),""))</f>
        <v/>
      </c>
      <c r="T354" s="75" t="str">
        <f aca="false">IF(P354="","",IFERROR(N(INDEX(T_EGRESO,MATCH(C354,T_ID,0))),0))</f>
        <v/>
      </c>
      <c r="U354" s="73" t="str">
        <f aca="false">IF(OR(P354="",NOT(ISNUMBER(S354))),"",IF(OR(S354&gt;EOMONTH(B354,0),AND(T354&gt;0,T354&lt;B354)),0,IF(AND(S354&lt;=B354,OR(T354=0,T354&gt;=EOMONTH(B354,0))),30,MIN(30,IF(T354=0,EOMONTH(B354,0),MIN(T354,EOMONTH(B354,0)))-MAX(B354,S354)+1))))</f>
        <v/>
      </c>
    </row>
    <row r="355" customFormat="false" ht="15" hidden="false" customHeight="false" outlineLevel="0" collapsed="false">
      <c r="B355" s="78"/>
      <c r="C355" s="64"/>
      <c r="D355" s="70" t="str">
        <f aca="false">IF(C355="","",IFERROR(INDEX(T_NOMBRE,MATCH(C355,T_ID,0)),"⚠ ID no existe"))</f>
        <v/>
      </c>
      <c r="E355" s="69"/>
      <c r="F355" s="69"/>
      <c r="G355" s="69"/>
      <c r="H355" s="69"/>
      <c r="I355" s="66"/>
      <c r="J355" s="69"/>
      <c r="K355" s="67"/>
      <c r="L355" s="67"/>
      <c r="M355" s="67"/>
      <c r="N355" s="67"/>
      <c r="O355" s="64"/>
      <c r="P355" s="72" t="str">
        <f aca="false">IF(OR(B355="",C355=""),"",C355&amp;"|"&amp;(YEAR(B355)*100+MONTH(B355)))</f>
        <v/>
      </c>
      <c r="Q355" s="70" t="str">
        <f aca="false">IF(P355="","",IF(COUNTIF(N_CLAVE,P355)&gt;1,"⚠ Duplicado","OK"))</f>
        <v/>
      </c>
      <c r="R355" s="74" t="str">
        <f aca="false">IF(OR(P355="",U355=""),"",MAX(0,U355-N(E355)-N(F355)-N(H355)))</f>
        <v/>
      </c>
      <c r="S355" s="75" t="str">
        <f aca="false">IF(P355="","",IFERROR(INDEX(T_INGRESO,MATCH(C355,T_ID,0)),""))</f>
        <v/>
      </c>
      <c r="T355" s="75" t="str">
        <f aca="false">IF(P355="","",IFERROR(N(INDEX(T_EGRESO,MATCH(C355,T_ID,0))),0))</f>
        <v/>
      </c>
      <c r="U355" s="73" t="str">
        <f aca="false">IF(OR(P355="",NOT(ISNUMBER(S355))),"",IF(OR(S355&gt;EOMONTH(B355,0),AND(T355&gt;0,T355&lt;B355)),0,IF(AND(S355&lt;=B355,OR(T355=0,T355&gt;=EOMONTH(B355,0))),30,MIN(30,IF(T355=0,EOMONTH(B355,0),MIN(T355,EOMONTH(B355,0)))-MAX(B355,S355)+1))))</f>
        <v/>
      </c>
    </row>
    <row r="356" customFormat="false" ht="15" hidden="false" customHeight="false" outlineLevel="0" collapsed="false">
      <c r="B356" s="78"/>
      <c r="C356" s="64"/>
      <c r="D356" s="70" t="str">
        <f aca="false">IF(C356="","",IFERROR(INDEX(T_NOMBRE,MATCH(C356,T_ID,0)),"⚠ ID no existe"))</f>
        <v/>
      </c>
      <c r="E356" s="69"/>
      <c r="F356" s="69"/>
      <c r="G356" s="69"/>
      <c r="H356" s="69"/>
      <c r="I356" s="66"/>
      <c r="J356" s="69"/>
      <c r="K356" s="67"/>
      <c r="L356" s="67"/>
      <c r="M356" s="67"/>
      <c r="N356" s="67"/>
      <c r="O356" s="64"/>
      <c r="P356" s="72" t="str">
        <f aca="false">IF(OR(B356="",C356=""),"",C356&amp;"|"&amp;(YEAR(B356)*100+MONTH(B356)))</f>
        <v/>
      </c>
      <c r="Q356" s="70" t="str">
        <f aca="false">IF(P356="","",IF(COUNTIF(N_CLAVE,P356)&gt;1,"⚠ Duplicado","OK"))</f>
        <v/>
      </c>
      <c r="R356" s="74" t="str">
        <f aca="false">IF(OR(P356="",U356=""),"",MAX(0,U356-N(E356)-N(F356)-N(H356)))</f>
        <v/>
      </c>
      <c r="S356" s="75" t="str">
        <f aca="false">IF(P356="","",IFERROR(INDEX(T_INGRESO,MATCH(C356,T_ID,0)),""))</f>
        <v/>
      </c>
      <c r="T356" s="75" t="str">
        <f aca="false">IF(P356="","",IFERROR(N(INDEX(T_EGRESO,MATCH(C356,T_ID,0))),0))</f>
        <v/>
      </c>
      <c r="U356" s="73" t="str">
        <f aca="false">IF(OR(P356="",NOT(ISNUMBER(S356))),"",IF(OR(S356&gt;EOMONTH(B356,0),AND(T356&gt;0,T356&lt;B356)),0,IF(AND(S356&lt;=B356,OR(T356=0,T356&gt;=EOMONTH(B356,0))),30,MIN(30,IF(T356=0,EOMONTH(B356,0),MIN(T356,EOMONTH(B356,0)))-MAX(B356,S356)+1))))</f>
        <v/>
      </c>
    </row>
    <row r="357" customFormat="false" ht="15" hidden="false" customHeight="false" outlineLevel="0" collapsed="false">
      <c r="B357" s="78"/>
      <c r="C357" s="64"/>
      <c r="D357" s="70" t="str">
        <f aca="false">IF(C357="","",IFERROR(INDEX(T_NOMBRE,MATCH(C357,T_ID,0)),"⚠ ID no existe"))</f>
        <v/>
      </c>
      <c r="E357" s="69"/>
      <c r="F357" s="69"/>
      <c r="G357" s="69"/>
      <c r="H357" s="69"/>
      <c r="I357" s="66"/>
      <c r="J357" s="69"/>
      <c r="K357" s="67"/>
      <c r="L357" s="67"/>
      <c r="M357" s="67"/>
      <c r="N357" s="67"/>
      <c r="O357" s="64"/>
      <c r="P357" s="72" t="str">
        <f aca="false">IF(OR(B357="",C357=""),"",C357&amp;"|"&amp;(YEAR(B357)*100+MONTH(B357)))</f>
        <v/>
      </c>
      <c r="Q357" s="70" t="str">
        <f aca="false">IF(P357="","",IF(COUNTIF(N_CLAVE,P357)&gt;1,"⚠ Duplicado","OK"))</f>
        <v/>
      </c>
      <c r="R357" s="74" t="str">
        <f aca="false">IF(OR(P357="",U357=""),"",MAX(0,U357-N(E357)-N(F357)-N(H357)))</f>
        <v/>
      </c>
      <c r="S357" s="75" t="str">
        <f aca="false">IF(P357="","",IFERROR(INDEX(T_INGRESO,MATCH(C357,T_ID,0)),""))</f>
        <v/>
      </c>
      <c r="T357" s="75" t="str">
        <f aca="false">IF(P357="","",IFERROR(N(INDEX(T_EGRESO,MATCH(C357,T_ID,0))),0))</f>
        <v/>
      </c>
      <c r="U357" s="73" t="str">
        <f aca="false">IF(OR(P357="",NOT(ISNUMBER(S357))),"",IF(OR(S357&gt;EOMONTH(B357,0),AND(T357&gt;0,T357&lt;B357)),0,IF(AND(S357&lt;=B357,OR(T357=0,T357&gt;=EOMONTH(B357,0))),30,MIN(30,IF(T357=0,EOMONTH(B357,0),MIN(T357,EOMONTH(B357,0)))-MAX(B357,S357)+1))))</f>
        <v/>
      </c>
    </row>
    <row r="358" customFormat="false" ht="15" hidden="false" customHeight="false" outlineLevel="0" collapsed="false">
      <c r="B358" s="78"/>
      <c r="C358" s="64"/>
      <c r="D358" s="70" t="str">
        <f aca="false">IF(C358="","",IFERROR(INDEX(T_NOMBRE,MATCH(C358,T_ID,0)),"⚠ ID no existe"))</f>
        <v/>
      </c>
      <c r="E358" s="69"/>
      <c r="F358" s="69"/>
      <c r="G358" s="69"/>
      <c r="H358" s="69"/>
      <c r="I358" s="66"/>
      <c r="J358" s="69"/>
      <c r="K358" s="67"/>
      <c r="L358" s="67"/>
      <c r="M358" s="67"/>
      <c r="N358" s="67"/>
      <c r="O358" s="64"/>
      <c r="P358" s="72" t="str">
        <f aca="false">IF(OR(B358="",C358=""),"",C358&amp;"|"&amp;(YEAR(B358)*100+MONTH(B358)))</f>
        <v/>
      </c>
      <c r="Q358" s="70" t="str">
        <f aca="false">IF(P358="","",IF(COUNTIF(N_CLAVE,P358)&gt;1,"⚠ Duplicado","OK"))</f>
        <v/>
      </c>
      <c r="R358" s="74" t="str">
        <f aca="false">IF(OR(P358="",U358=""),"",MAX(0,U358-N(E358)-N(F358)-N(H358)))</f>
        <v/>
      </c>
      <c r="S358" s="75" t="str">
        <f aca="false">IF(P358="","",IFERROR(INDEX(T_INGRESO,MATCH(C358,T_ID,0)),""))</f>
        <v/>
      </c>
      <c r="T358" s="75" t="str">
        <f aca="false">IF(P358="","",IFERROR(N(INDEX(T_EGRESO,MATCH(C358,T_ID,0))),0))</f>
        <v/>
      </c>
      <c r="U358" s="73" t="str">
        <f aca="false">IF(OR(P358="",NOT(ISNUMBER(S358))),"",IF(OR(S358&gt;EOMONTH(B358,0),AND(T358&gt;0,T358&lt;B358)),0,IF(AND(S358&lt;=B358,OR(T358=0,T358&gt;=EOMONTH(B358,0))),30,MIN(30,IF(T358=0,EOMONTH(B358,0),MIN(T358,EOMONTH(B358,0)))-MAX(B358,S358)+1))))</f>
        <v/>
      </c>
    </row>
    <row r="359" customFormat="false" ht="15" hidden="false" customHeight="false" outlineLevel="0" collapsed="false">
      <c r="B359" s="78"/>
      <c r="C359" s="64"/>
      <c r="D359" s="70" t="str">
        <f aca="false">IF(C359="","",IFERROR(INDEX(T_NOMBRE,MATCH(C359,T_ID,0)),"⚠ ID no existe"))</f>
        <v/>
      </c>
      <c r="E359" s="69"/>
      <c r="F359" s="69"/>
      <c r="G359" s="69"/>
      <c r="H359" s="69"/>
      <c r="I359" s="66"/>
      <c r="J359" s="69"/>
      <c r="K359" s="67"/>
      <c r="L359" s="67"/>
      <c r="M359" s="67"/>
      <c r="N359" s="67"/>
      <c r="O359" s="64"/>
      <c r="P359" s="72" t="str">
        <f aca="false">IF(OR(B359="",C359=""),"",C359&amp;"|"&amp;(YEAR(B359)*100+MONTH(B359)))</f>
        <v/>
      </c>
      <c r="Q359" s="70" t="str">
        <f aca="false">IF(P359="","",IF(COUNTIF(N_CLAVE,P359)&gt;1,"⚠ Duplicado","OK"))</f>
        <v/>
      </c>
      <c r="R359" s="74" t="str">
        <f aca="false">IF(OR(P359="",U359=""),"",MAX(0,U359-N(E359)-N(F359)-N(H359)))</f>
        <v/>
      </c>
      <c r="S359" s="75" t="str">
        <f aca="false">IF(P359="","",IFERROR(INDEX(T_INGRESO,MATCH(C359,T_ID,0)),""))</f>
        <v/>
      </c>
      <c r="T359" s="75" t="str">
        <f aca="false">IF(P359="","",IFERROR(N(INDEX(T_EGRESO,MATCH(C359,T_ID,0))),0))</f>
        <v/>
      </c>
      <c r="U359" s="73" t="str">
        <f aca="false">IF(OR(P359="",NOT(ISNUMBER(S359))),"",IF(OR(S359&gt;EOMONTH(B359,0),AND(T359&gt;0,T359&lt;B359)),0,IF(AND(S359&lt;=B359,OR(T359=0,T359&gt;=EOMONTH(B359,0))),30,MIN(30,IF(T359=0,EOMONTH(B359,0),MIN(T359,EOMONTH(B359,0)))-MAX(B359,S359)+1))))</f>
        <v/>
      </c>
    </row>
    <row r="360" customFormat="false" ht="15" hidden="false" customHeight="false" outlineLevel="0" collapsed="false">
      <c r="B360" s="78"/>
      <c r="C360" s="64"/>
      <c r="D360" s="70" t="str">
        <f aca="false">IF(C360="","",IFERROR(INDEX(T_NOMBRE,MATCH(C360,T_ID,0)),"⚠ ID no existe"))</f>
        <v/>
      </c>
      <c r="E360" s="69"/>
      <c r="F360" s="69"/>
      <c r="G360" s="69"/>
      <c r="H360" s="69"/>
      <c r="I360" s="66"/>
      <c r="J360" s="69"/>
      <c r="K360" s="67"/>
      <c r="L360" s="67"/>
      <c r="M360" s="67"/>
      <c r="N360" s="67"/>
      <c r="O360" s="64"/>
      <c r="P360" s="72" t="str">
        <f aca="false">IF(OR(B360="",C360=""),"",C360&amp;"|"&amp;(YEAR(B360)*100+MONTH(B360)))</f>
        <v/>
      </c>
      <c r="Q360" s="70" t="str">
        <f aca="false">IF(P360="","",IF(COUNTIF(N_CLAVE,P360)&gt;1,"⚠ Duplicado","OK"))</f>
        <v/>
      </c>
      <c r="R360" s="74" t="str">
        <f aca="false">IF(OR(P360="",U360=""),"",MAX(0,U360-N(E360)-N(F360)-N(H360)))</f>
        <v/>
      </c>
      <c r="S360" s="75" t="str">
        <f aca="false">IF(P360="","",IFERROR(INDEX(T_INGRESO,MATCH(C360,T_ID,0)),""))</f>
        <v/>
      </c>
      <c r="T360" s="75" t="str">
        <f aca="false">IF(P360="","",IFERROR(N(INDEX(T_EGRESO,MATCH(C360,T_ID,0))),0))</f>
        <v/>
      </c>
      <c r="U360" s="73" t="str">
        <f aca="false">IF(OR(P360="",NOT(ISNUMBER(S360))),"",IF(OR(S360&gt;EOMONTH(B360,0),AND(T360&gt;0,T360&lt;B360)),0,IF(AND(S360&lt;=B360,OR(T360=0,T360&gt;=EOMONTH(B360,0))),30,MIN(30,IF(T360=0,EOMONTH(B360,0),MIN(T360,EOMONTH(B360,0)))-MAX(B360,S360)+1))))</f>
        <v/>
      </c>
    </row>
    <row r="361" customFormat="false" ht="15" hidden="false" customHeight="false" outlineLevel="0" collapsed="false">
      <c r="B361" s="78"/>
      <c r="C361" s="64"/>
      <c r="D361" s="70" t="str">
        <f aca="false">IF(C361="","",IFERROR(INDEX(T_NOMBRE,MATCH(C361,T_ID,0)),"⚠ ID no existe"))</f>
        <v/>
      </c>
      <c r="E361" s="69"/>
      <c r="F361" s="69"/>
      <c r="G361" s="69"/>
      <c r="H361" s="69"/>
      <c r="I361" s="66"/>
      <c r="J361" s="69"/>
      <c r="K361" s="67"/>
      <c r="L361" s="67"/>
      <c r="M361" s="67"/>
      <c r="N361" s="67"/>
      <c r="O361" s="64"/>
      <c r="P361" s="72" t="str">
        <f aca="false">IF(OR(B361="",C361=""),"",C361&amp;"|"&amp;(YEAR(B361)*100+MONTH(B361)))</f>
        <v/>
      </c>
      <c r="Q361" s="70" t="str">
        <f aca="false">IF(P361="","",IF(COUNTIF(N_CLAVE,P361)&gt;1,"⚠ Duplicado","OK"))</f>
        <v/>
      </c>
      <c r="R361" s="74" t="str">
        <f aca="false">IF(OR(P361="",U361=""),"",MAX(0,U361-N(E361)-N(F361)-N(H361)))</f>
        <v/>
      </c>
      <c r="S361" s="75" t="str">
        <f aca="false">IF(P361="","",IFERROR(INDEX(T_INGRESO,MATCH(C361,T_ID,0)),""))</f>
        <v/>
      </c>
      <c r="T361" s="75" t="str">
        <f aca="false">IF(P361="","",IFERROR(N(INDEX(T_EGRESO,MATCH(C361,T_ID,0))),0))</f>
        <v/>
      </c>
      <c r="U361" s="73" t="str">
        <f aca="false">IF(OR(P361="",NOT(ISNUMBER(S361))),"",IF(OR(S361&gt;EOMONTH(B361,0),AND(T361&gt;0,T361&lt;B361)),0,IF(AND(S361&lt;=B361,OR(T361=0,T361&gt;=EOMONTH(B361,0))),30,MIN(30,IF(T361=0,EOMONTH(B361,0),MIN(T361,EOMONTH(B361,0)))-MAX(B361,S361)+1))))</f>
        <v/>
      </c>
    </row>
    <row r="362" customFormat="false" ht="15" hidden="false" customHeight="false" outlineLevel="0" collapsed="false">
      <c r="B362" s="78"/>
      <c r="C362" s="64"/>
      <c r="D362" s="70" t="str">
        <f aca="false">IF(C362="","",IFERROR(INDEX(T_NOMBRE,MATCH(C362,T_ID,0)),"⚠ ID no existe"))</f>
        <v/>
      </c>
      <c r="E362" s="69"/>
      <c r="F362" s="69"/>
      <c r="G362" s="69"/>
      <c r="H362" s="69"/>
      <c r="I362" s="66"/>
      <c r="J362" s="69"/>
      <c r="K362" s="67"/>
      <c r="L362" s="67"/>
      <c r="M362" s="67"/>
      <c r="N362" s="67"/>
      <c r="O362" s="64"/>
      <c r="P362" s="72" t="str">
        <f aca="false">IF(OR(B362="",C362=""),"",C362&amp;"|"&amp;(YEAR(B362)*100+MONTH(B362)))</f>
        <v/>
      </c>
      <c r="Q362" s="70" t="str">
        <f aca="false">IF(P362="","",IF(COUNTIF(N_CLAVE,P362)&gt;1,"⚠ Duplicado","OK"))</f>
        <v/>
      </c>
      <c r="R362" s="74" t="str">
        <f aca="false">IF(OR(P362="",U362=""),"",MAX(0,U362-N(E362)-N(F362)-N(H362)))</f>
        <v/>
      </c>
      <c r="S362" s="75" t="str">
        <f aca="false">IF(P362="","",IFERROR(INDEX(T_INGRESO,MATCH(C362,T_ID,0)),""))</f>
        <v/>
      </c>
      <c r="T362" s="75" t="str">
        <f aca="false">IF(P362="","",IFERROR(N(INDEX(T_EGRESO,MATCH(C362,T_ID,0))),0))</f>
        <v/>
      </c>
      <c r="U362" s="73" t="str">
        <f aca="false">IF(OR(P362="",NOT(ISNUMBER(S362))),"",IF(OR(S362&gt;EOMONTH(B362,0),AND(T362&gt;0,T362&lt;B362)),0,IF(AND(S362&lt;=B362,OR(T362=0,T362&gt;=EOMONTH(B362,0))),30,MIN(30,IF(T362=0,EOMONTH(B362,0),MIN(T362,EOMONTH(B362,0)))-MAX(B362,S362)+1))))</f>
        <v/>
      </c>
    </row>
    <row r="363" customFormat="false" ht="15" hidden="false" customHeight="false" outlineLevel="0" collapsed="false">
      <c r="B363" s="78"/>
      <c r="C363" s="64"/>
      <c r="D363" s="70" t="str">
        <f aca="false">IF(C363="","",IFERROR(INDEX(T_NOMBRE,MATCH(C363,T_ID,0)),"⚠ ID no existe"))</f>
        <v/>
      </c>
      <c r="E363" s="69"/>
      <c r="F363" s="69"/>
      <c r="G363" s="69"/>
      <c r="H363" s="69"/>
      <c r="I363" s="66"/>
      <c r="J363" s="69"/>
      <c r="K363" s="67"/>
      <c r="L363" s="67"/>
      <c r="M363" s="67"/>
      <c r="N363" s="67"/>
      <c r="O363" s="64"/>
      <c r="P363" s="72" t="str">
        <f aca="false">IF(OR(B363="",C363=""),"",C363&amp;"|"&amp;(YEAR(B363)*100+MONTH(B363)))</f>
        <v/>
      </c>
      <c r="Q363" s="70" t="str">
        <f aca="false">IF(P363="","",IF(COUNTIF(N_CLAVE,P363)&gt;1,"⚠ Duplicado","OK"))</f>
        <v/>
      </c>
      <c r="R363" s="74" t="str">
        <f aca="false">IF(OR(P363="",U363=""),"",MAX(0,U363-N(E363)-N(F363)-N(H363)))</f>
        <v/>
      </c>
      <c r="S363" s="75" t="str">
        <f aca="false">IF(P363="","",IFERROR(INDEX(T_INGRESO,MATCH(C363,T_ID,0)),""))</f>
        <v/>
      </c>
      <c r="T363" s="75" t="str">
        <f aca="false">IF(P363="","",IFERROR(N(INDEX(T_EGRESO,MATCH(C363,T_ID,0))),0))</f>
        <v/>
      </c>
      <c r="U363" s="73" t="str">
        <f aca="false">IF(OR(P363="",NOT(ISNUMBER(S363))),"",IF(OR(S363&gt;EOMONTH(B363,0),AND(T363&gt;0,T363&lt;B363)),0,IF(AND(S363&lt;=B363,OR(T363=0,T363&gt;=EOMONTH(B363,0))),30,MIN(30,IF(T363=0,EOMONTH(B363,0),MIN(T363,EOMONTH(B363,0)))-MAX(B363,S363)+1))))</f>
        <v/>
      </c>
    </row>
    <row r="364" customFormat="false" ht="15" hidden="false" customHeight="false" outlineLevel="0" collapsed="false">
      <c r="B364" s="78"/>
      <c r="C364" s="64"/>
      <c r="D364" s="70" t="str">
        <f aca="false">IF(C364="","",IFERROR(INDEX(T_NOMBRE,MATCH(C364,T_ID,0)),"⚠ ID no existe"))</f>
        <v/>
      </c>
      <c r="E364" s="69"/>
      <c r="F364" s="69"/>
      <c r="G364" s="69"/>
      <c r="H364" s="69"/>
      <c r="I364" s="66"/>
      <c r="J364" s="69"/>
      <c r="K364" s="67"/>
      <c r="L364" s="67"/>
      <c r="M364" s="67"/>
      <c r="N364" s="67"/>
      <c r="O364" s="64"/>
      <c r="P364" s="72" t="str">
        <f aca="false">IF(OR(B364="",C364=""),"",C364&amp;"|"&amp;(YEAR(B364)*100+MONTH(B364)))</f>
        <v/>
      </c>
      <c r="Q364" s="70" t="str">
        <f aca="false">IF(P364="","",IF(COUNTIF(N_CLAVE,P364)&gt;1,"⚠ Duplicado","OK"))</f>
        <v/>
      </c>
      <c r="R364" s="74" t="str">
        <f aca="false">IF(OR(P364="",U364=""),"",MAX(0,U364-N(E364)-N(F364)-N(H364)))</f>
        <v/>
      </c>
      <c r="S364" s="75" t="str">
        <f aca="false">IF(P364="","",IFERROR(INDEX(T_INGRESO,MATCH(C364,T_ID,0)),""))</f>
        <v/>
      </c>
      <c r="T364" s="75" t="str">
        <f aca="false">IF(P364="","",IFERROR(N(INDEX(T_EGRESO,MATCH(C364,T_ID,0))),0))</f>
        <v/>
      </c>
      <c r="U364" s="73" t="str">
        <f aca="false">IF(OR(P364="",NOT(ISNUMBER(S364))),"",IF(OR(S364&gt;EOMONTH(B364,0),AND(T364&gt;0,T364&lt;B364)),0,IF(AND(S364&lt;=B364,OR(T364=0,T364&gt;=EOMONTH(B364,0))),30,MIN(30,IF(T364=0,EOMONTH(B364,0),MIN(T364,EOMONTH(B364,0)))-MAX(B364,S364)+1))))</f>
        <v/>
      </c>
    </row>
    <row r="365" customFormat="false" ht="15" hidden="false" customHeight="false" outlineLevel="0" collapsed="false">
      <c r="B365" s="78"/>
      <c r="C365" s="64"/>
      <c r="D365" s="70" t="str">
        <f aca="false">IF(C365="","",IFERROR(INDEX(T_NOMBRE,MATCH(C365,T_ID,0)),"⚠ ID no existe"))</f>
        <v/>
      </c>
      <c r="E365" s="69"/>
      <c r="F365" s="69"/>
      <c r="G365" s="69"/>
      <c r="H365" s="69"/>
      <c r="I365" s="66"/>
      <c r="J365" s="69"/>
      <c r="K365" s="67"/>
      <c r="L365" s="67"/>
      <c r="M365" s="67"/>
      <c r="N365" s="67"/>
      <c r="O365" s="64"/>
      <c r="P365" s="72" t="str">
        <f aca="false">IF(OR(B365="",C365=""),"",C365&amp;"|"&amp;(YEAR(B365)*100+MONTH(B365)))</f>
        <v/>
      </c>
      <c r="Q365" s="70" t="str">
        <f aca="false">IF(P365="","",IF(COUNTIF(N_CLAVE,P365)&gt;1,"⚠ Duplicado","OK"))</f>
        <v/>
      </c>
      <c r="R365" s="74" t="str">
        <f aca="false">IF(OR(P365="",U365=""),"",MAX(0,U365-N(E365)-N(F365)-N(H365)))</f>
        <v/>
      </c>
      <c r="S365" s="75" t="str">
        <f aca="false">IF(P365="","",IFERROR(INDEX(T_INGRESO,MATCH(C365,T_ID,0)),""))</f>
        <v/>
      </c>
      <c r="T365" s="75" t="str">
        <f aca="false">IF(P365="","",IFERROR(N(INDEX(T_EGRESO,MATCH(C365,T_ID,0))),0))</f>
        <v/>
      </c>
      <c r="U365" s="73" t="str">
        <f aca="false">IF(OR(P365="",NOT(ISNUMBER(S365))),"",IF(OR(S365&gt;EOMONTH(B365,0),AND(T365&gt;0,T365&lt;B365)),0,IF(AND(S365&lt;=B365,OR(T365=0,T365&gt;=EOMONTH(B365,0))),30,MIN(30,IF(T365=0,EOMONTH(B365,0),MIN(T365,EOMONTH(B365,0)))-MAX(B365,S365)+1))))</f>
        <v/>
      </c>
    </row>
    <row r="366" customFormat="false" ht="15" hidden="false" customHeight="false" outlineLevel="0" collapsed="false">
      <c r="B366" s="78"/>
      <c r="C366" s="64"/>
      <c r="D366" s="70" t="str">
        <f aca="false">IF(C366="","",IFERROR(INDEX(T_NOMBRE,MATCH(C366,T_ID,0)),"⚠ ID no existe"))</f>
        <v/>
      </c>
      <c r="E366" s="69"/>
      <c r="F366" s="69"/>
      <c r="G366" s="69"/>
      <c r="H366" s="69"/>
      <c r="I366" s="66"/>
      <c r="J366" s="69"/>
      <c r="K366" s="67"/>
      <c r="L366" s="67"/>
      <c r="M366" s="67"/>
      <c r="N366" s="67"/>
      <c r="O366" s="64"/>
      <c r="P366" s="72" t="str">
        <f aca="false">IF(OR(B366="",C366=""),"",C366&amp;"|"&amp;(YEAR(B366)*100+MONTH(B366)))</f>
        <v/>
      </c>
      <c r="Q366" s="70" t="str">
        <f aca="false">IF(P366="","",IF(COUNTIF(N_CLAVE,P366)&gt;1,"⚠ Duplicado","OK"))</f>
        <v/>
      </c>
      <c r="R366" s="74" t="str">
        <f aca="false">IF(OR(P366="",U366=""),"",MAX(0,U366-N(E366)-N(F366)-N(H366)))</f>
        <v/>
      </c>
      <c r="S366" s="75" t="str">
        <f aca="false">IF(P366="","",IFERROR(INDEX(T_INGRESO,MATCH(C366,T_ID,0)),""))</f>
        <v/>
      </c>
      <c r="T366" s="75" t="str">
        <f aca="false">IF(P366="","",IFERROR(N(INDEX(T_EGRESO,MATCH(C366,T_ID,0))),0))</f>
        <v/>
      </c>
      <c r="U366" s="73" t="str">
        <f aca="false">IF(OR(P366="",NOT(ISNUMBER(S366))),"",IF(OR(S366&gt;EOMONTH(B366,0),AND(T366&gt;0,T366&lt;B366)),0,IF(AND(S366&lt;=B366,OR(T366=0,T366&gt;=EOMONTH(B366,0))),30,MIN(30,IF(T366=0,EOMONTH(B366,0),MIN(T366,EOMONTH(B366,0)))-MAX(B366,S366)+1))))</f>
        <v/>
      </c>
    </row>
    <row r="367" customFormat="false" ht="15" hidden="false" customHeight="false" outlineLevel="0" collapsed="false">
      <c r="B367" s="78"/>
      <c r="C367" s="64"/>
      <c r="D367" s="70" t="str">
        <f aca="false">IF(C367="","",IFERROR(INDEX(T_NOMBRE,MATCH(C367,T_ID,0)),"⚠ ID no existe"))</f>
        <v/>
      </c>
      <c r="E367" s="69"/>
      <c r="F367" s="69"/>
      <c r="G367" s="69"/>
      <c r="H367" s="69"/>
      <c r="I367" s="66"/>
      <c r="J367" s="69"/>
      <c r="K367" s="67"/>
      <c r="L367" s="67"/>
      <c r="M367" s="67"/>
      <c r="N367" s="67"/>
      <c r="O367" s="64"/>
      <c r="P367" s="72" t="str">
        <f aca="false">IF(OR(B367="",C367=""),"",C367&amp;"|"&amp;(YEAR(B367)*100+MONTH(B367)))</f>
        <v/>
      </c>
      <c r="Q367" s="70" t="str">
        <f aca="false">IF(P367="","",IF(COUNTIF(N_CLAVE,P367)&gt;1,"⚠ Duplicado","OK"))</f>
        <v/>
      </c>
      <c r="R367" s="74" t="str">
        <f aca="false">IF(OR(P367="",U367=""),"",MAX(0,U367-N(E367)-N(F367)-N(H367)))</f>
        <v/>
      </c>
      <c r="S367" s="75" t="str">
        <f aca="false">IF(P367="","",IFERROR(INDEX(T_INGRESO,MATCH(C367,T_ID,0)),""))</f>
        <v/>
      </c>
      <c r="T367" s="75" t="str">
        <f aca="false">IF(P367="","",IFERROR(N(INDEX(T_EGRESO,MATCH(C367,T_ID,0))),0))</f>
        <v/>
      </c>
      <c r="U367" s="73" t="str">
        <f aca="false">IF(OR(P367="",NOT(ISNUMBER(S367))),"",IF(OR(S367&gt;EOMONTH(B367,0),AND(T367&gt;0,T367&lt;B367)),0,IF(AND(S367&lt;=B367,OR(T367=0,T367&gt;=EOMONTH(B367,0))),30,MIN(30,IF(T367=0,EOMONTH(B367,0),MIN(T367,EOMONTH(B367,0)))-MAX(B367,S367)+1))))</f>
        <v/>
      </c>
    </row>
    <row r="368" customFormat="false" ht="15" hidden="false" customHeight="false" outlineLevel="0" collapsed="false">
      <c r="B368" s="78"/>
      <c r="C368" s="64"/>
      <c r="D368" s="70" t="str">
        <f aca="false">IF(C368="","",IFERROR(INDEX(T_NOMBRE,MATCH(C368,T_ID,0)),"⚠ ID no existe"))</f>
        <v/>
      </c>
      <c r="E368" s="69"/>
      <c r="F368" s="69"/>
      <c r="G368" s="69"/>
      <c r="H368" s="69"/>
      <c r="I368" s="66"/>
      <c r="J368" s="69"/>
      <c r="K368" s="67"/>
      <c r="L368" s="67"/>
      <c r="M368" s="67"/>
      <c r="N368" s="67"/>
      <c r="O368" s="64"/>
      <c r="P368" s="72" t="str">
        <f aca="false">IF(OR(B368="",C368=""),"",C368&amp;"|"&amp;(YEAR(B368)*100+MONTH(B368)))</f>
        <v/>
      </c>
      <c r="Q368" s="70" t="str">
        <f aca="false">IF(P368="","",IF(COUNTIF(N_CLAVE,P368)&gt;1,"⚠ Duplicado","OK"))</f>
        <v/>
      </c>
      <c r="R368" s="74" t="str">
        <f aca="false">IF(OR(P368="",U368=""),"",MAX(0,U368-N(E368)-N(F368)-N(H368)))</f>
        <v/>
      </c>
      <c r="S368" s="75" t="str">
        <f aca="false">IF(P368="","",IFERROR(INDEX(T_INGRESO,MATCH(C368,T_ID,0)),""))</f>
        <v/>
      </c>
      <c r="T368" s="75" t="str">
        <f aca="false">IF(P368="","",IFERROR(N(INDEX(T_EGRESO,MATCH(C368,T_ID,0))),0))</f>
        <v/>
      </c>
      <c r="U368" s="73" t="str">
        <f aca="false">IF(OR(P368="",NOT(ISNUMBER(S368))),"",IF(OR(S368&gt;EOMONTH(B368,0),AND(T368&gt;0,T368&lt;B368)),0,IF(AND(S368&lt;=B368,OR(T368=0,T368&gt;=EOMONTH(B368,0))),30,MIN(30,IF(T368=0,EOMONTH(B368,0),MIN(T368,EOMONTH(B368,0)))-MAX(B368,S368)+1))))</f>
        <v/>
      </c>
    </row>
    <row r="369" customFormat="false" ht="15" hidden="false" customHeight="false" outlineLevel="0" collapsed="false">
      <c r="B369" s="78"/>
      <c r="C369" s="64"/>
      <c r="D369" s="70" t="str">
        <f aca="false">IF(C369="","",IFERROR(INDEX(T_NOMBRE,MATCH(C369,T_ID,0)),"⚠ ID no existe"))</f>
        <v/>
      </c>
      <c r="E369" s="69"/>
      <c r="F369" s="69"/>
      <c r="G369" s="69"/>
      <c r="H369" s="69"/>
      <c r="I369" s="66"/>
      <c r="J369" s="69"/>
      <c r="K369" s="67"/>
      <c r="L369" s="67"/>
      <c r="M369" s="67"/>
      <c r="N369" s="67"/>
      <c r="O369" s="64"/>
      <c r="P369" s="72" t="str">
        <f aca="false">IF(OR(B369="",C369=""),"",C369&amp;"|"&amp;(YEAR(B369)*100+MONTH(B369)))</f>
        <v/>
      </c>
      <c r="Q369" s="70" t="str">
        <f aca="false">IF(P369="","",IF(COUNTIF(N_CLAVE,P369)&gt;1,"⚠ Duplicado","OK"))</f>
        <v/>
      </c>
      <c r="R369" s="74" t="str">
        <f aca="false">IF(OR(P369="",U369=""),"",MAX(0,U369-N(E369)-N(F369)-N(H369)))</f>
        <v/>
      </c>
      <c r="S369" s="75" t="str">
        <f aca="false">IF(P369="","",IFERROR(INDEX(T_INGRESO,MATCH(C369,T_ID,0)),""))</f>
        <v/>
      </c>
      <c r="T369" s="75" t="str">
        <f aca="false">IF(P369="","",IFERROR(N(INDEX(T_EGRESO,MATCH(C369,T_ID,0))),0))</f>
        <v/>
      </c>
      <c r="U369" s="73" t="str">
        <f aca="false">IF(OR(P369="",NOT(ISNUMBER(S369))),"",IF(OR(S369&gt;EOMONTH(B369,0),AND(T369&gt;0,T369&lt;B369)),0,IF(AND(S369&lt;=B369,OR(T369=0,T369&gt;=EOMONTH(B369,0))),30,MIN(30,IF(T369=0,EOMONTH(B369,0),MIN(T369,EOMONTH(B369,0)))-MAX(B369,S369)+1))))</f>
        <v/>
      </c>
    </row>
    <row r="370" customFormat="false" ht="15" hidden="false" customHeight="false" outlineLevel="0" collapsed="false">
      <c r="B370" s="78"/>
      <c r="C370" s="64"/>
      <c r="D370" s="70" t="str">
        <f aca="false">IF(C370="","",IFERROR(INDEX(T_NOMBRE,MATCH(C370,T_ID,0)),"⚠ ID no existe"))</f>
        <v/>
      </c>
      <c r="E370" s="69"/>
      <c r="F370" s="69"/>
      <c r="G370" s="69"/>
      <c r="H370" s="69"/>
      <c r="I370" s="66"/>
      <c r="J370" s="69"/>
      <c r="K370" s="67"/>
      <c r="L370" s="67"/>
      <c r="M370" s="67"/>
      <c r="N370" s="67"/>
      <c r="O370" s="64"/>
      <c r="P370" s="72" t="str">
        <f aca="false">IF(OR(B370="",C370=""),"",C370&amp;"|"&amp;(YEAR(B370)*100+MONTH(B370)))</f>
        <v/>
      </c>
      <c r="Q370" s="70" t="str">
        <f aca="false">IF(P370="","",IF(COUNTIF(N_CLAVE,P370)&gt;1,"⚠ Duplicado","OK"))</f>
        <v/>
      </c>
      <c r="R370" s="74" t="str">
        <f aca="false">IF(OR(P370="",U370=""),"",MAX(0,U370-N(E370)-N(F370)-N(H370)))</f>
        <v/>
      </c>
      <c r="S370" s="75" t="str">
        <f aca="false">IF(P370="","",IFERROR(INDEX(T_INGRESO,MATCH(C370,T_ID,0)),""))</f>
        <v/>
      </c>
      <c r="T370" s="75" t="str">
        <f aca="false">IF(P370="","",IFERROR(N(INDEX(T_EGRESO,MATCH(C370,T_ID,0))),0))</f>
        <v/>
      </c>
      <c r="U370" s="73" t="str">
        <f aca="false">IF(OR(P370="",NOT(ISNUMBER(S370))),"",IF(OR(S370&gt;EOMONTH(B370,0),AND(T370&gt;0,T370&lt;B370)),0,IF(AND(S370&lt;=B370,OR(T370=0,T370&gt;=EOMONTH(B370,0))),30,MIN(30,IF(T370=0,EOMONTH(B370,0),MIN(T370,EOMONTH(B370,0)))-MAX(B370,S370)+1))))</f>
        <v/>
      </c>
    </row>
    <row r="371" customFormat="false" ht="15" hidden="false" customHeight="false" outlineLevel="0" collapsed="false">
      <c r="B371" s="78"/>
      <c r="C371" s="64"/>
      <c r="D371" s="70" t="str">
        <f aca="false">IF(C371="","",IFERROR(INDEX(T_NOMBRE,MATCH(C371,T_ID,0)),"⚠ ID no existe"))</f>
        <v/>
      </c>
      <c r="E371" s="69"/>
      <c r="F371" s="69"/>
      <c r="G371" s="69"/>
      <c r="H371" s="69"/>
      <c r="I371" s="66"/>
      <c r="J371" s="69"/>
      <c r="K371" s="67"/>
      <c r="L371" s="67"/>
      <c r="M371" s="67"/>
      <c r="N371" s="67"/>
      <c r="O371" s="64"/>
      <c r="P371" s="72" t="str">
        <f aca="false">IF(OR(B371="",C371=""),"",C371&amp;"|"&amp;(YEAR(B371)*100+MONTH(B371)))</f>
        <v/>
      </c>
      <c r="Q371" s="70" t="str">
        <f aca="false">IF(P371="","",IF(COUNTIF(N_CLAVE,P371)&gt;1,"⚠ Duplicado","OK"))</f>
        <v/>
      </c>
      <c r="R371" s="74" t="str">
        <f aca="false">IF(OR(P371="",U371=""),"",MAX(0,U371-N(E371)-N(F371)-N(H371)))</f>
        <v/>
      </c>
      <c r="S371" s="75" t="str">
        <f aca="false">IF(P371="","",IFERROR(INDEX(T_INGRESO,MATCH(C371,T_ID,0)),""))</f>
        <v/>
      </c>
      <c r="T371" s="75" t="str">
        <f aca="false">IF(P371="","",IFERROR(N(INDEX(T_EGRESO,MATCH(C371,T_ID,0))),0))</f>
        <v/>
      </c>
      <c r="U371" s="73" t="str">
        <f aca="false">IF(OR(P371="",NOT(ISNUMBER(S371))),"",IF(OR(S371&gt;EOMONTH(B371,0),AND(T371&gt;0,T371&lt;B371)),0,IF(AND(S371&lt;=B371,OR(T371=0,T371&gt;=EOMONTH(B371,0))),30,MIN(30,IF(T371=0,EOMONTH(B371,0),MIN(T371,EOMONTH(B371,0)))-MAX(B371,S371)+1))))</f>
        <v/>
      </c>
    </row>
    <row r="372" customFormat="false" ht="15" hidden="false" customHeight="false" outlineLevel="0" collapsed="false">
      <c r="B372" s="78"/>
      <c r="C372" s="64"/>
      <c r="D372" s="70" t="str">
        <f aca="false">IF(C372="","",IFERROR(INDEX(T_NOMBRE,MATCH(C372,T_ID,0)),"⚠ ID no existe"))</f>
        <v/>
      </c>
      <c r="E372" s="69"/>
      <c r="F372" s="69"/>
      <c r="G372" s="69"/>
      <c r="H372" s="69"/>
      <c r="I372" s="66"/>
      <c r="J372" s="69"/>
      <c r="K372" s="67"/>
      <c r="L372" s="67"/>
      <c r="M372" s="67"/>
      <c r="N372" s="67"/>
      <c r="O372" s="64"/>
      <c r="P372" s="72" t="str">
        <f aca="false">IF(OR(B372="",C372=""),"",C372&amp;"|"&amp;(YEAR(B372)*100+MONTH(B372)))</f>
        <v/>
      </c>
      <c r="Q372" s="70" t="str">
        <f aca="false">IF(P372="","",IF(COUNTIF(N_CLAVE,P372)&gt;1,"⚠ Duplicado","OK"))</f>
        <v/>
      </c>
      <c r="R372" s="74" t="str">
        <f aca="false">IF(OR(P372="",U372=""),"",MAX(0,U372-N(E372)-N(F372)-N(H372)))</f>
        <v/>
      </c>
      <c r="S372" s="75" t="str">
        <f aca="false">IF(P372="","",IFERROR(INDEX(T_INGRESO,MATCH(C372,T_ID,0)),""))</f>
        <v/>
      </c>
      <c r="T372" s="75" t="str">
        <f aca="false">IF(P372="","",IFERROR(N(INDEX(T_EGRESO,MATCH(C372,T_ID,0))),0))</f>
        <v/>
      </c>
      <c r="U372" s="73" t="str">
        <f aca="false">IF(OR(P372="",NOT(ISNUMBER(S372))),"",IF(OR(S372&gt;EOMONTH(B372,0),AND(T372&gt;0,T372&lt;B372)),0,IF(AND(S372&lt;=B372,OR(T372=0,T372&gt;=EOMONTH(B372,0))),30,MIN(30,IF(T372=0,EOMONTH(B372,0),MIN(T372,EOMONTH(B372,0)))-MAX(B372,S372)+1))))</f>
        <v/>
      </c>
    </row>
    <row r="373" customFormat="false" ht="15" hidden="false" customHeight="false" outlineLevel="0" collapsed="false">
      <c r="B373" s="78"/>
      <c r="C373" s="64"/>
      <c r="D373" s="70" t="str">
        <f aca="false">IF(C373="","",IFERROR(INDEX(T_NOMBRE,MATCH(C373,T_ID,0)),"⚠ ID no existe"))</f>
        <v/>
      </c>
      <c r="E373" s="69"/>
      <c r="F373" s="69"/>
      <c r="G373" s="69"/>
      <c r="H373" s="69"/>
      <c r="I373" s="66"/>
      <c r="J373" s="69"/>
      <c r="K373" s="67"/>
      <c r="L373" s="67"/>
      <c r="M373" s="67"/>
      <c r="N373" s="67"/>
      <c r="O373" s="64"/>
      <c r="P373" s="72" t="str">
        <f aca="false">IF(OR(B373="",C373=""),"",C373&amp;"|"&amp;(YEAR(B373)*100+MONTH(B373)))</f>
        <v/>
      </c>
      <c r="Q373" s="70" t="str">
        <f aca="false">IF(P373="","",IF(COUNTIF(N_CLAVE,P373)&gt;1,"⚠ Duplicado","OK"))</f>
        <v/>
      </c>
      <c r="R373" s="74" t="str">
        <f aca="false">IF(OR(P373="",U373=""),"",MAX(0,U373-N(E373)-N(F373)-N(H373)))</f>
        <v/>
      </c>
      <c r="S373" s="75" t="str">
        <f aca="false">IF(P373="","",IFERROR(INDEX(T_INGRESO,MATCH(C373,T_ID,0)),""))</f>
        <v/>
      </c>
      <c r="T373" s="75" t="str">
        <f aca="false">IF(P373="","",IFERROR(N(INDEX(T_EGRESO,MATCH(C373,T_ID,0))),0))</f>
        <v/>
      </c>
      <c r="U373" s="73" t="str">
        <f aca="false">IF(OR(P373="",NOT(ISNUMBER(S373))),"",IF(OR(S373&gt;EOMONTH(B373,0),AND(T373&gt;0,T373&lt;B373)),0,IF(AND(S373&lt;=B373,OR(T373=0,T373&gt;=EOMONTH(B373,0))),30,MIN(30,IF(T373=0,EOMONTH(B373,0),MIN(T373,EOMONTH(B373,0)))-MAX(B373,S373)+1))))</f>
        <v/>
      </c>
    </row>
    <row r="374" customFormat="false" ht="15" hidden="false" customHeight="false" outlineLevel="0" collapsed="false">
      <c r="B374" s="78"/>
      <c r="C374" s="64"/>
      <c r="D374" s="70" t="str">
        <f aca="false">IF(C374="","",IFERROR(INDEX(T_NOMBRE,MATCH(C374,T_ID,0)),"⚠ ID no existe"))</f>
        <v/>
      </c>
      <c r="E374" s="69"/>
      <c r="F374" s="69"/>
      <c r="G374" s="69"/>
      <c r="H374" s="69"/>
      <c r="I374" s="66"/>
      <c r="J374" s="69"/>
      <c r="K374" s="67"/>
      <c r="L374" s="67"/>
      <c r="M374" s="67"/>
      <c r="N374" s="67"/>
      <c r="O374" s="64"/>
      <c r="P374" s="72" t="str">
        <f aca="false">IF(OR(B374="",C374=""),"",C374&amp;"|"&amp;(YEAR(B374)*100+MONTH(B374)))</f>
        <v/>
      </c>
      <c r="Q374" s="70" t="str">
        <f aca="false">IF(P374="","",IF(COUNTIF(N_CLAVE,P374)&gt;1,"⚠ Duplicado","OK"))</f>
        <v/>
      </c>
      <c r="R374" s="74" t="str">
        <f aca="false">IF(OR(P374="",U374=""),"",MAX(0,U374-N(E374)-N(F374)-N(H374)))</f>
        <v/>
      </c>
      <c r="S374" s="75" t="str">
        <f aca="false">IF(P374="","",IFERROR(INDEX(T_INGRESO,MATCH(C374,T_ID,0)),""))</f>
        <v/>
      </c>
      <c r="T374" s="75" t="str">
        <f aca="false">IF(P374="","",IFERROR(N(INDEX(T_EGRESO,MATCH(C374,T_ID,0))),0))</f>
        <v/>
      </c>
      <c r="U374" s="73" t="str">
        <f aca="false">IF(OR(P374="",NOT(ISNUMBER(S374))),"",IF(OR(S374&gt;EOMONTH(B374,0),AND(T374&gt;0,T374&lt;B374)),0,IF(AND(S374&lt;=B374,OR(T374=0,T374&gt;=EOMONTH(B374,0))),30,MIN(30,IF(T374=0,EOMONTH(B374,0),MIN(T374,EOMONTH(B374,0)))-MAX(B374,S374)+1))))</f>
        <v/>
      </c>
    </row>
    <row r="375" customFormat="false" ht="15" hidden="false" customHeight="false" outlineLevel="0" collapsed="false">
      <c r="B375" s="78"/>
      <c r="C375" s="64"/>
      <c r="D375" s="70" t="str">
        <f aca="false">IF(C375="","",IFERROR(INDEX(T_NOMBRE,MATCH(C375,T_ID,0)),"⚠ ID no existe"))</f>
        <v/>
      </c>
      <c r="E375" s="69"/>
      <c r="F375" s="69"/>
      <c r="G375" s="69"/>
      <c r="H375" s="69"/>
      <c r="I375" s="66"/>
      <c r="J375" s="69"/>
      <c r="K375" s="67"/>
      <c r="L375" s="67"/>
      <c r="M375" s="67"/>
      <c r="N375" s="67"/>
      <c r="O375" s="64"/>
      <c r="P375" s="72" t="str">
        <f aca="false">IF(OR(B375="",C375=""),"",C375&amp;"|"&amp;(YEAR(B375)*100+MONTH(B375)))</f>
        <v/>
      </c>
      <c r="Q375" s="70" t="str">
        <f aca="false">IF(P375="","",IF(COUNTIF(N_CLAVE,P375)&gt;1,"⚠ Duplicado","OK"))</f>
        <v/>
      </c>
      <c r="R375" s="74" t="str">
        <f aca="false">IF(OR(P375="",U375=""),"",MAX(0,U375-N(E375)-N(F375)-N(H375)))</f>
        <v/>
      </c>
      <c r="S375" s="75" t="str">
        <f aca="false">IF(P375="","",IFERROR(INDEX(T_INGRESO,MATCH(C375,T_ID,0)),""))</f>
        <v/>
      </c>
      <c r="T375" s="75" t="str">
        <f aca="false">IF(P375="","",IFERROR(N(INDEX(T_EGRESO,MATCH(C375,T_ID,0))),0))</f>
        <v/>
      </c>
      <c r="U375" s="73" t="str">
        <f aca="false">IF(OR(P375="",NOT(ISNUMBER(S375))),"",IF(OR(S375&gt;EOMONTH(B375,0),AND(T375&gt;0,T375&lt;B375)),0,IF(AND(S375&lt;=B375,OR(T375=0,T375&gt;=EOMONTH(B375,0))),30,MIN(30,IF(T375=0,EOMONTH(B375,0),MIN(T375,EOMONTH(B375,0)))-MAX(B375,S375)+1))))</f>
        <v/>
      </c>
    </row>
    <row r="376" customFormat="false" ht="15" hidden="false" customHeight="false" outlineLevel="0" collapsed="false">
      <c r="B376" s="78"/>
      <c r="C376" s="64"/>
      <c r="D376" s="70" t="str">
        <f aca="false">IF(C376="","",IFERROR(INDEX(T_NOMBRE,MATCH(C376,T_ID,0)),"⚠ ID no existe"))</f>
        <v/>
      </c>
      <c r="E376" s="69"/>
      <c r="F376" s="69"/>
      <c r="G376" s="69"/>
      <c r="H376" s="69"/>
      <c r="I376" s="66"/>
      <c r="J376" s="69"/>
      <c r="K376" s="67"/>
      <c r="L376" s="67"/>
      <c r="M376" s="67"/>
      <c r="N376" s="67"/>
      <c r="O376" s="64"/>
      <c r="P376" s="72" t="str">
        <f aca="false">IF(OR(B376="",C376=""),"",C376&amp;"|"&amp;(YEAR(B376)*100+MONTH(B376)))</f>
        <v/>
      </c>
      <c r="Q376" s="70" t="str">
        <f aca="false">IF(P376="","",IF(COUNTIF(N_CLAVE,P376)&gt;1,"⚠ Duplicado","OK"))</f>
        <v/>
      </c>
      <c r="R376" s="74" t="str">
        <f aca="false">IF(OR(P376="",U376=""),"",MAX(0,U376-N(E376)-N(F376)-N(H376)))</f>
        <v/>
      </c>
      <c r="S376" s="75" t="str">
        <f aca="false">IF(P376="","",IFERROR(INDEX(T_INGRESO,MATCH(C376,T_ID,0)),""))</f>
        <v/>
      </c>
      <c r="T376" s="75" t="str">
        <f aca="false">IF(P376="","",IFERROR(N(INDEX(T_EGRESO,MATCH(C376,T_ID,0))),0))</f>
        <v/>
      </c>
      <c r="U376" s="73" t="str">
        <f aca="false">IF(OR(P376="",NOT(ISNUMBER(S376))),"",IF(OR(S376&gt;EOMONTH(B376,0),AND(T376&gt;0,T376&lt;B376)),0,IF(AND(S376&lt;=B376,OR(T376=0,T376&gt;=EOMONTH(B376,0))),30,MIN(30,IF(T376=0,EOMONTH(B376,0),MIN(T376,EOMONTH(B376,0)))-MAX(B376,S376)+1))))</f>
        <v/>
      </c>
    </row>
    <row r="377" customFormat="false" ht="15" hidden="false" customHeight="false" outlineLevel="0" collapsed="false">
      <c r="B377" s="78"/>
      <c r="C377" s="64"/>
      <c r="D377" s="70" t="str">
        <f aca="false">IF(C377="","",IFERROR(INDEX(T_NOMBRE,MATCH(C377,T_ID,0)),"⚠ ID no existe"))</f>
        <v/>
      </c>
      <c r="E377" s="69"/>
      <c r="F377" s="69"/>
      <c r="G377" s="69"/>
      <c r="H377" s="69"/>
      <c r="I377" s="66"/>
      <c r="J377" s="69"/>
      <c r="K377" s="67"/>
      <c r="L377" s="67"/>
      <c r="M377" s="67"/>
      <c r="N377" s="67"/>
      <c r="O377" s="64"/>
      <c r="P377" s="72" t="str">
        <f aca="false">IF(OR(B377="",C377=""),"",C377&amp;"|"&amp;(YEAR(B377)*100+MONTH(B377)))</f>
        <v/>
      </c>
      <c r="Q377" s="70" t="str">
        <f aca="false">IF(P377="","",IF(COUNTIF(N_CLAVE,P377)&gt;1,"⚠ Duplicado","OK"))</f>
        <v/>
      </c>
      <c r="R377" s="74" t="str">
        <f aca="false">IF(OR(P377="",U377=""),"",MAX(0,U377-N(E377)-N(F377)-N(H377)))</f>
        <v/>
      </c>
      <c r="S377" s="75" t="str">
        <f aca="false">IF(P377="","",IFERROR(INDEX(T_INGRESO,MATCH(C377,T_ID,0)),""))</f>
        <v/>
      </c>
      <c r="T377" s="75" t="str">
        <f aca="false">IF(P377="","",IFERROR(N(INDEX(T_EGRESO,MATCH(C377,T_ID,0))),0))</f>
        <v/>
      </c>
      <c r="U377" s="73" t="str">
        <f aca="false">IF(OR(P377="",NOT(ISNUMBER(S377))),"",IF(OR(S377&gt;EOMONTH(B377,0),AND(T377&gt;0,T377&lt;B377)),0,IF(AND(S377&lt;=B377,OR(T377=0,T377&gt;=EOMONTH(B377,0))),30,MIN(30,IF(T377=0,EOMONTH(B377,0),MIN(T377,EOMONTH(B377,0)))-MAX(B377,S377)+1))))</f>
        <v/>
      </c>
    </row>
    <row r="378" customFormat="false" ht="15" hidden="false" customHeight="false" outlineLevel="0" collapsed="false">
      <c r="B378" s="78"/>
      <c r="C378" s="64"/>
      <c r="D378" s="70" t="str">
        <f aca="false">IF(C378="","",IFERROR(INDEX(T_NOMBRE,MATCH(C378,T_ID,0)),"⚠ ID no existe"))</f>
        <v/>
      </c>
      <c r="E378" s="69"/>
      <c r="F378" s="69"/>
      <c r="G378" s="69"/>
      <c r="H378" s="69"/>
      <c r="I378" s="66"/>
      <c r="J378" s="69"/>
      <c r="K378" s="67"/>
      <c r="L378" s="67"/>
      <c r="M378" s="67"/>
      <c r="N378" s="67"/>
      <c r="O378" s="64"/>
      <c r="P378" s="72" t="str">
        <f aca="false">IF(OR(B378="",C378=""),"",C378&amp;"|"&amp;(YEAR(B378)*100+MONTH(B378)))</f>
        <v/>
      </c>
      <c r="Q378" s="70" t="str">
        <f aca="false">IF(P378="","",IF(COUNTIF(N_CLAVE,P378)&gt;1,"⚠ Duplicado","OK"))</f>
        <v/>
      </c>
      <c r="R378" s="74" t="str">
        <f aca="false">IF(OR(P378="",U378=""),"",MAX(0,U378-N(E378)-N(F378)-N(H378)))</f>
        <v/>
      </c>
      <c r="S378" s="75" t="str">
        <f aca="false">IF(P378="","",IFERROR(INDEX(T_INGRESO,MATCH(C378,T_ID,0)),""))</f>
        <v/>
      </c>
      <c r="T378" s="75" t="str">
        <f aca="false">IF(P378="","",IFERROR(N(INDEX(T_EGRESO,MATCH(C378,T_ID,0))),0))</f>
        <v/>
      </c>
      <c r="U378" s="73" t="str">
        <f aca="false">IF(OR(P378="",NOT(ISNUMBER(S378))),"",IF(OR(S378&gt;EOMONTH(B378,0),AND(T378&gt;0,T378&lt;B378)),0,IF(AND(S378&lt;=B378,OR(T378=0,T378&gt;=EOMONTH(B378,0))),30,MIN(30,IF(T378=0,EOMONTH(B378,0),MIN(T378,EOMONTH(B378,0)))-MAX(B378,S378)+1))))</f>
        <v/>
      </c>
    </row>
    <row r="379" customFormat="false" ht="15" hidden="false" customHeight="false" outlineLevel="0" collapsed="false">
      <c r="B379" s="78"/>
      <c r="C379" s="64"/>
      <c r="D379" s="70" t="str">
        <f aca="false">IF(C379="","",IFERROR(INDEX(T_NOMBRE,MATCH(C379,T_ID,0)),"⚠ ID no existe"))</f>
        <v/>
      </c>
      <c r="E379" s="69"/>
      <c r="F379" s="69"/>
      <c r="G379" s="69"/>
      <c r="H379" s="69"/>
      <c r="I379" s="66"/>
      <c r="J379" s="69"/>
      <c r="K379" s="67"/>
      <c r="L379" s="67"/>
      <c r="M379" s="67"/>
      <c r="N379" s="67"/>
      <c r="O379" s="64"/>
      <c r="P379" s="72" t="str">
        <f aca="false">IF(OR(B379="",C379=""),"",C379&amp;"|"&amp;(YEAR(B379)*100+MONTH(B379)))</f>
        <v/>
      </c>
      <c r="Q379" s="70" t="str">
        <f aca="false">IF(P379="","",IF(COUNTIF(N_CLAVE,P379)&gt;1,"⚠ Duplicado","OK"))</f>
        <v/>
      </c>
      <c r="R379" s="74" t="str">
        <f aca="false">IF(OR(P379="",U379=""),"",MAX(0,U379-N(E379)-N(F379)-N(H379)))</f>
        <v/>
      </c>
      <c r="S379" s="75" t="str">
        <f aca="false">IF(P379="","",IFERROR(INDEX(T_INGRESO,MATCH(C379,T_ID,0)),""))</f>
        <v/>
      </c>
      <c r="T379" s="75" t="str">
        <f aca="false">IF(P379="","",IFERROR(N(INDEX(T_EGRESO,MATCH(C379,T_ID,0))),0))</f>
        <v/>
      </c>
      <c r="U379" s="73" t="str">
        <f aca="false">IF(OR(P379="",NOT(ISNUMBER(S379))),"",IF(OR(S379&gt;EOMONTH(B379,0),AND(T379&gt;0,T379&lt;B379)),0,IF(AND(S379&lt;=B379,OR(T379=0,T379&gt;=EOMONTH(B379,0))),30,MIN(30,IF(T379=0,EOMONTH(B379,0),MIN(T379,EOMONTH(B379,0)))-MAX(B379,S379)+1))))</f>
        <v/>
      </c>
    </row>
    <row r="380" customFormat="false" ht="15" hidden="false" customHeight="false" outlineLevel="0" collapsed="false">
      <c r="B380" s="78"/>
      <c r="C380" s="64"/>
      <c r="D380" s="70" t="str">
        <f aca="false">IF(C380="","",IFERROR(INDEX(T_NOMBRE,MATCH(C380,T_ID,0)),"⚠ ID no existe"))</f>
        <v/>
      </c>
      <c r="E380" s="69"/>
      <c r="F380" s="69"/>
      <c r="G380" s="69"/>
      <c r="H380" s="69"/>
      <c r="I380" s="66"/>
      <c r="J380" s="69"/>
      <c r="K380" s="67"/>
      <c r="L380" s="67"/>
      <c r="M380" s="67"/>
      <c r="N380" s="67"/>
      <c r="O380" s="64"/>
      <c r="P380" s="72" t="str">
        <f aca="false">IF(OR(B380="",C380=""),"",C380&amp;"|"&amp;(YEAR(B380)*100+MONTH(B380)))</f>
        <v/>
      </c>
      <c r="Q380" s="70" t="str">
        <f aca="false">IF(P380="","",IF(COUNTIF(N_CLAVE,P380)&gt;1,"⚠ Duplicado","OK"))</f>
        <v/>
      </c>
      <c r="R380" s="74" t="str">
        <f aca="false">IF(OR(P380="",U380=""),"",MAX(0,U380-N(E380)-N(F380)-N(H380)))</f>
        <v/>
      </c>
      <c r="S380" s="75" t="str">
        <f aca="false">IF(P380="","",IFERROR(INDEX(T_INGRESO,MATCH(C380,T_ID,0)),""))</f>
        <v/>
      </c>
      <c r="T380" s="75" t="str">
        <f aca="false">IF(P380="","",IFERROR(N(INDEX(T_EGRESO,MATCH(C380,T_ID,0))),0))</f>
        <v/>
      </c>
      <c r="U380" s="73" t="str">
        <f aca="false">IF(OR(P380="",NOT(ISNUMBER(S380))),"",IF(OR(S380&gt;EOMONTH(B380,0),AND(T380&gt;0,T380&lt;B380)),0,IF(AND(S380&lt;=B380,OR(T380=0,T380&gt;=EOMONTH(B380,0))),30,MIN(30,IF(T380=0,EOMONTH(B380,0),MIN(T380,EOMONTH(B380,0)))-MAX(B380,S380)+1))))</f>
        <v/>
      </c>
    </row>
    <row r="381" customFormat="false" ht="15" hidden="false" customHeight="false" outlineLevel="0" collapsed="false">
      <c r="B381" s="78"/>
      <c r="C381" s="64"/>
      <c r="D381" s="70" t="str">
        <f aca="false">IF(C381="","",IFERROR(INDEX(T_NOMBRE,MATCH(C381,T_ID,0)),"⚠ ID no existe"))</f>
        <v/>
      </c>
      <c r="E381" s="69"/>
      <c r="F381" s="69"/>
      <c r="G381" s="69"/>
      <c r="H381" s="69"/>
      <c r="I381" s="66"/>
      <c r="J381" s="69"/>
      <c r="K381" s="67"/>
      <c r="L381" s="67"/>
      <c r="M381" s="67"/>
      <c r="N381" s="67"/>
      <c r="O381" s="64"/>
      <c r="P381" s="72" t="str">
        <f aca="false">IF(OR(B381="",C381=""),"",C381&amp;"|"&amp;(YEAR(B381)*100+MONTH(B381)))</f>
        <v/>
      </c>
      <c r="Q381" s="70" t="str">
        <f aca="false">IF(P381="","",IF(COUNTIF(N_CLAVE,P381)&gt;1,"⚠ Duplicado","OK"))</f>
        <v/>
      </c>
      <c r="R381" s="74" t="str">
        <f aca="false">IF(OR(P381="",U381=""),"",MAX(0,U381-N(E381)-N(F381)-N(H381)))</f>
        <v/>
      </c>
      <c r="S381" s="75" t="str">
        <f aca="false">IF(P381="","",IFERROR(INDEX(T_INGRESO,MATCH(C381,T_ID,0)),""))</f>
        <v/>
      </c>
      <c r="T381" s="75" t="str">
        <f aca="false">IF(P381="","",IFERROR(N(INDEX(T_EGRESO,MATCH(C381,T_ID,0))),0))</f>
        <v/>
      </c>
      <c r="U381" s="73" t="str">
        <f aca="false">IF(OR(P381="",NOT(ISNUMBER(S381))),"",IF(OR(S381&gt;EOMONTH(B381,0),AND(T381&gt;0,T381&lt;B381)),0,IF(AND(S381&lt;=B381,OR(T381=0,T381&gt;=EOMONTH(B381,0))),30,MIN(30,IF(T381=0,EOMONTH(B381,0),MIN(T381,EOMONTH(B381,0)))-MAX(B381,S381)+1))))</f>
        <v/>
      </c>
    </row>
    <row r="382" customFormat="false" ht="15" hidden="false" customHeight="false" outlineLevel="0" collapsed="false">
      <c r="B382" s="78"/>
      <c r="C382" s="64"/>
      <c r="D382" s="70" t="str">
        <f aca="false">IF(C382="","",IFERROR(INDEX(T_NOMBRE,MATCH(C382,T_ID,0)),"⚠ ID no existe"))</f>
        <v/>
      </c>
      <c r="E382" s="69"/>
      <c r="F382" s="69"/>
      <c r="G382" s="69"/>
      <c r="H382" s="69"/>
      <c r="I382" s="66"/>
      <c r="J382" s="69"/>
      <c r="K382" s="67"/>
      <c r="L382" s="67"/>
      <c r="M382" s="67"/>
      <c r="N382" s="67"/>
      <c r="O382" s="64"/>
      <c r="P382" s="72" t="str">
        <f aca="false">IF(OR(B382="",C382=""),"",C382&amp;"|"&amp;(YEAR(B382)*100+MONTH(B382)))</f>
        <v/>
      </c>
      <c r="Q382" s="70" t="str">
        <f aca="false">IF(P382="","",IF(COUNTIF(N_CLAVE,P382)&gt;1,"⚠ Duplicado","OK"))</f>
        <v/>
      </c>
      <c r="R382" s="74" t="str">
        <f aca="false">IF(OR(P382="",U382=""),"",MAX(0,U382-N(E382)-N(F382)-N(H382)))</f>
        <v/>
      </c>
      <c r="S382" s="75" t="str">
        <f aca="false">IF(P382="","",IFERROR(INDEX(T_INGRESO,MATCH(C382,T_ID,0)),""))</f>
        <v/>
      </c>
      <c r="T382" s="75" t="str">
        <f aca="false">IF(P382="","",IFERROR(N(INDEX(T_EGRESO,MATCH(C382,T_ID,0))),0))</f>
        <v/>
      </c>
      <c r="U382" s="73" t="str">
        <f aca="false">IF(OR(P382="",NOT(ISNUMBER(S382))),"",IF(OR(S382&gt;EOMONTH(B382,0),AND(T382&gt;0,T382&lt;B382)),0,IF(AND(S382&lt;=B382,OR(T382=0,T382&gt;=EOMONTH(B382,0))),30,MIN(30,IF(T382=0,EOMONTH(B382,0),MIN(T382,EOMONTH(B382,0)))-MAX(B382,S382)+1))))</f>
        <v/>
      </c>
    </row>
    <row r="383" customFormat="false" ht="15" hidden="false" customHeight="false" outlineLevel="0" collapsed="false">
      <c r="B383" s="78"/>
      <c r="C383" s="64"/>
      <c r="D383" s="70" t="str">
        <f aca="false">IF(C383="","",IFERROR(INDEX(T_NOMBRE,MATCH(C383,T_ID,0)),"⚠ ID no existe"))</f>
        <v/>
      </c>
      <c r="E383" s="69"/>
      <c r="F383" s="69"/>
      <c r="G383" s="69"/>
      <c r="H383" s="69"/>
      <c r="I383" s="66"/>
      <c r="J383" s="69"/>
      <c r="K383" s="67"/>
      <c r="L383" s="67"/>
      <c r="M383" s="67"/>
      <c r="N383" s="67"/>
      <c r="O383" s="64"/>
      <c r="P383" s="72" t="str">
        <f aca="false">IF(OR(B383="",C383=""),"",C383&amp;"|"&amp;(YEAR(B383)*100+MONTH(B383)))</f>
        <v/>
      </c>
      <c r="Q383" s="70" t="str">
        <f aca="false">IF(P383="","",IF(COUNTIF(N_CLAVE,P383)&gt;1,"⚠ Duplicado","OK"))</f>
        <v/>
      </c>
      <c r="R383" s="74" t="str">
        <f aca="false">IF(OR(P383="",U383=""),"",MAX(0,U383-N(E383)-N(F383)-N(H383)))</f>
        <v/>
      </c>
      <c r="S383" s="75" t="str">
        <f aca="false">IF(P383="","",IFERROR(INDEX(T_INGRESO,MATCH(C383,T_ID,0)),""))</f>
        <v/>
      </c>
      <c r="T383" s="75" t="str">
        <f aca="false">IF(P383="","",IFERROR(N(INDEX(T_EGRESO,MATCH(C383,T_ID,0))),0))</f>
        <v/>
      </c>
      <c r="U383" s="73" t="str">
        <f aca="false">IF(OR(P383="",NOT(ISNUMBER(S383))),"",IF(OR(S383&gt;EOMONTH(B383,0),AND(T383&gt;0,T383&lt;B383)),0,IF(AND(S383&lt;=B383,OR(T383=0,T383&gt;=EOMONTH(B383,0))),30,MIN(30,IF(T383=0,EOMONTH(B383,0),MIN(T383,EOMONTH(B383,0)))-MAX(B383,S383)+1))))</f>
        <v/>
      </c>
    </row>
    <row r="384" customFormat="false" ht="15" hidden="false" customHeight="false" outlineLevel="0" collapsed="false">
      <c r="B384" s="78"/>
      <c r="C384" s="64"/>
      <c r="D384" s="70" t="str">
        <f aca="false">IF(C384="","",IFERROR(INDEX(T_NOMBRE,MATCH(C384,T_ID,0)),"⚠ ID no existe"))</f>
        <v/>
      </c>
      <c r="E384" s="69"/>
      <c r="F384" s="69"/>
      <c r="G384" s="69"/>
      <c r="H384" s="69"/>
      <c r="I384" s="66"/>
      <c r="J384" s="69"/>
      <c r="K384" s="67"/>
      <c r="L384" s="67"/>
      <c r="M384" s="67"/>
      <c r="N384" s="67"/>
      <c r="O384" s="64"/>
      <c r="P384" s="72" t="str">
        <f aca="false">IF(OR(B384="",C384=""),"",C384&amp;"|"&amp;(YEAR(B384)*100+MONTH(B384)))</f>
        <v/>
      </c>
      <c r="Q384" s="70" t="str">
        <f aca="false">IF(P384="","",IF(COUNTIF(N_CLAVE,P384)&gt;1,"⚠ Duplicado","OK"))</f>
        <v/>
      </c>
      <c r="R384" s="74" t="str">
        <f aca="false">IF(OR(P384="",U384=""),"",MAX(0,U384-N(E384)-N(F384)-N(H384)))</f>
        <v/>
      </c>
      <c r="S384" s="75" t="str">
        <f aca="false">IF(P384="","",IFERROR(INDEX(T_INGRESO,MATCH(C384,T_ID,0)),""))</f>
        <v/>
      </c>
      <c r="T384" s="75" t="str">
        <f aca="false">IF(P384="","",IFERROR(N(INDEX(T_EGRESO,MATCH(C384,T_ID,0))),0))</f>
        <v/>
      </c>
      <c r="U384" s="73" t="str">
        <f aca="false">IF(OR(P384="",NOT(ISNUMBER(S384))),"",IF(OR(S384&gt;EOMONTH(B384,0),AND(T384&gt;0,T384&lt;B384)),0,IF(AND(S384&lt;=B384,OR(T384=0,T384&gt;=EOMONTH(B384,0))),30,MIN(30,IF(T384=0,EOMONTH(B384,0),MIN(T384,EOMONTH(B384,0)))-MAX(B384,S384)+1))))</f>
        <v/>
      </c>
    </row>
    <row r="385" customFormat="false" ht="15" hidden="false" customHeight="false" outlineLevel="0" collapsed="false">
      <c r="B385" s="78"/>
      <c r="C385" s="64"/>
      <c r="D385" s="70" t="str">
        <f aca="false">IF(C385="","",IFERROR(INDEX(T_NOMBRE,MATCH(C385,T_ID,0)),"⚠ ID no existe"))</f>
        <v/>
      </c>
      <c r="E385" s="69"/>
      <c r="F385" s="69"/>
      <c r="G385" s="69"/>
      <c r="H385" s="69"/>
      <c r="I385" s="66"/>
      <c r="J385" s="69"/>
      <c r="K385" s="67"/>
      <c r="L385" s="67"/>
      <c r="M385" s="67"/>
      <c r="N385" s="67"/>
      <c r="O385" s="64"/>
      <c r="P385" s="72" t="str">
        <f aca="false">IF(OR(B385="",C385=""),"",C385&amp;"|"&amp;(YEAR(B385)*100+MONTH(B385)))</f>
        <v/>
      </c>
      <c r="Q385" s="70" t="str">
        <f aca="false">IF(P385="","",IF(COUNTIF(N_CLAVE,P385)&gt;1,"⚠ Duplicado","OK"))</f>
        <v/>
      </c>
      <c r="R385" s="74" t="str">
        <f aca="false">IF(OR(P385="",U385=""),"",MAX(0,U385-N(E385)-N(F385)-N(H385)))</f>
        <v/>
      </c>
      <c r="S385" s="75" t="str">
        <f aca="false">IF(P385="","",IFERROR(INDEX(T_INGRESO,MATCH(C385,T_ID,0)),""))</f>
        <v/>
      </c>
      <c r="T385" s="75" t="str">
        <f aca="false">IF(P385="","",IFERROR(N(INDEX(T_EGRESO,MATCH(C385,T_ID,0))),0))</f>
        <v/>
      </c>
      <c r="U385" s="73" t="str">
        <f aca="false">IF(OR(P385="",NOT(ISNUMBER(S385))),"",IF(OR(S385&gt;EOMONTH(B385,0),AND(T385&gt;0,T385&lt;B385)),0,IF(AND(S385&lt;=B385,OR(T385=0,T385&gt;=EOMONTH(B385,0))),30,MIN(30,IF(T385=0,EOMONTH(B385,0),MIN(T385,EOMONTH(B385,0)))-MAX(B385,S385)+1))))</f>
        <v/>
      </c>
    </row>
    <row r="386" customFormat="false" ht="15" hidden="false" customHeight="false" outlineLevel="0" collapsed="false">
      <c r="B386" s="78"/>
      <c r="C386" s="64"/>
      <c r="D386" s="70" t="str">
        <f aca="false">IF(C386="","",IFERROR(INDEX(T_NOMBRE,MATCH(C386,T_ID,0)),"⚠ ID no existe"))</f>
        <v/>
      </c>
      <c r="E386" s="69"/>
      <c r="F386" s="69"/>
      <c r="G386" s="69"/>
      <c r="H386" s="69"/>
      <c r="I386" s="66"/>
      <c r="J386" s="69"/>
      <c r="K386" s="67"/>
      <c r="L386" s="67"/>
      <c r="M386" s="67"/>
      <c r="N386" s="67"/>
      <c r="O386" s="64"/>
      <c r="P386" s="72" t="str">
        <f aca="false">IF(OR(B386="",C386=""),"",C386&amp;"|"&amp;(YEAR(B386)*100+MONTH(B386)))</f>
        <v/>
      </c>
      <c r="Q386" s="70" t="str">
        <f aca="false">IF(P386="","",IF(COUNTIF(N_CLAVE,P386)&gt;1,"⚠ Duplicado","OK"))</f>
        <v/>
      </c>
      <c r="R386" s="74" t="str">
        <f aca="false">IF(OR(P386="",U386=""),"",MAX(0,U386-N(E386)-N(F386)-N(H386)))</f>
        <v/>
      </c>
      <c r="S386" s="75" t="str">
        <f aca="false">IF(P386="","",IFERROR(INDEX(T_INGRESO,MATCH(C386,T_ID,0)),""))</f>
        <v/>
      </c>
      <c r="T386" s="75" t="str">
        <f aca="false">IF(P386="","",IFERROR(N(INDEX(T_EGRESO,MATCH(C386,T_ID,0))),0))</f>
        <v/>
      </c>
      <c r="U386" s="73" t="str">
        <f aca="false">IF(OR(P386="",NOT(ISNUMBER(S386))),"",IF(OR(S386&gt;EOMONTH(B386,0),AND(T386&gt;0,T386&lt;B386)),0,IF(AND(S386&lt;=B386,OR(T386=0,T386&gt;=EOMONTH(B386,0))),30,MIN(30,IF(T386=0,EOMONTH(B386,0),MIN(T386,EOMONTH(B386,0)))-MAX(B386,S386)+1))))</f>
        <v/>
      </c>
    </row>
    <row r="387" customFormat="false" ht="15" hidden="false" customHeight="false" outlineLevel="0" collapsed="false">
      <c r="B387" s="78"/>
      <c r="C387" s="64"/>
      <c r="D387" s="70" t="str">
        <f aca="false">IF(C387="","",IFERROR(INDEX(T_NOMBRE,MATCH(C387,T_ID,0)),"⚠ ID no existe"))</f>
        <v/>
      </c>
      <c r="E387" s="69"/>
      <c r="F387" s="69"/>
      <c r="G387" s="69"/>
      <c r="H387" s="69"/>
      <c r="I387" s="66"/>
      <c r="J387" s="69"/>
      <c r="K387" s="67"/>
      <c r="L387" s="67"/>
      <c r="M387" s="67"/>
      <c r="N387" s="67"/>
      <c r="O387" s="64"/>
      <c r="P387" s="72" t="str">
        <f aca="false">IF(OR(B387="",C387=""),"",C387&amp;"|"&amp;(YEAR(B387)*100+MONTH(B387)))</f>
        <v/>
      </c>
      <c r="Q387" s="70" t="str">
        <f aca="false">IF(P387="","",IF(COUNTIF(N_CLAVE,P387)&gt;1,"⚠ Duplicado","OK"))</f>
        <v/>
      </c>
      <c r="R387" s="74" t="str">
        <f aca="false">IF(OR(P387="",U387=""),"",MAX(0,U387-N(E387)-N(F387)-N(H387)))</f>
        <v/>
      </c>
      <c r="S387" s="75" t="str">
        <f aca="false">IF(P387="","",IFERROR(INDEX(T_INGRESO,MATCH(C387,T_ID,0)),""))</f>
        <v/>
      </c>
      <c r="T387" s="75" t="str">
        <f aca="false">IF(P387="","",IFERROR(N(INDEX(T_EGRESO,MATCH(C387,T_ID,0))),0))</f>
        <v/>
      </c>
      <c r="U387" s="73" t="str">
        <f aca="false">IF(OR(P387="",NOT(ISNUMBER(S387))),"",IF(OR(S387&gt;EOMONTH(B387,0),AND(T387&gt;0,T387&lt;B387)),0,IF(AND(S387&lt;=B387,OR(T387=0,T387&gt;=EOMONTH(B387,0))),30,MIN(30,IF(T387=0,EOMONTH(B387,0),MIN(T387,EOMONTH(B387,0)))-MAX(B387,S387)+1))))</f>
        <v/>
      </c>
    </row>
    <row r="388" customFormat="false" ht="15" hidden="false" customHeight="false" outlineLevel="0" collapsed="false">
      <c r="B388" s="78"/>
      <c r="C388" s="64"/>
      <c r="D388" s="70" t="str">
        <f aca="false">IF(C388="","",IFERROR(INDEX(T_NOMBRE,MATCH(C388,T_ID,0)),"⚠ ID no existe"))</f>
        <v/>
      </c>
      <c r="E388" s="69"/>
      <c r="F388" s="69"/>
      <c r="G388" s="69"/>
      <c r="H388" s="69"/>
      <c r="I388" s="66"/>
      <c r="J388" s="69"/>
      <c r="K388" s="67"/>
      <c r="L388" s="67"/>
      <c r="M388" s="67"/>
      <c r="N388" s="67"/>
      <c r="O388" s="64"/>
      <c r="P388" s="72" t="str">
        <f aca="false">IF(OR(B388="",C388=""),"",C388&amp;"|"&amp;(YEAR(B388)*100+MONTH(B388)))</f>
        <v/>
      </c>
      <c r="Q388" s="70" t="str">
        <f aca="false">IF(P388="","",IF(COUNTIF(N_CLAVE,P388)&gt;1,"⚠ Duplicado","OK"))</f>
        <v/>
      </c>
      <c r="R388" s="74" t="str">
        <f aca="false">IF(OR(P388="",U388=""),"",MAX(0,U388-N(E388)-N(F388)-N(H388)))</f>
        <v/>
      </c>
      <c r="S388" s="75" t="str">
        <f aca="false">IF(P388="","",IFERROR(INDEX(T_INGRESO,MATCH(C388,T_ID,0)),""))</f>
        <v/>
      </c>
      <c r="T388" s="75" t="str">
        <f aca="false">IF(P388="","",IFERROR(N(INDEX(T_EGRESO,MATCH(C388,T_ID,0))),0))</f>
        <v/>
      </c>
      <c r="U388" s="73" t="str">
        <f aca="false">IF(OR(P388="",NOT(ISNUMBER(S388))),"",IF(OR(S388&gt;EOMONTH(B388,0),AND(T388&gt;0,T388&lt;B388)),0,IF(AND(S388&lt;=B388,OR(T388=0,T388&gt;=EOMONTH(B388,0))),30,MIN(30,IF(T388=0,EOMONTH(B388,0),MIN(T388,EOMONTH(B388,0)))-MAX(B388,S388)+1))))</f>
        <v/>
      </c>
    </row>
    <row r="389" customFormat="false" ht="15" hidden="false" customHeight="false" outlineLevel="0" collapsed="false">
      <c r="B389" s="78"/>
      <c r="C389" s="64"/>
      <c r="D389" s="70" t="str">
        <f aca="false">IF(C389="","",IFERROR(INDEX(T_NOMBRE,MATCH(C389,T_ID,0)),"⚠ ID no existe"))</f>
        <v/>
      </c>
      <c r="E389" s="69"/>
      <c r="F389" s="69"/>
      <c r="G389" s="69"/>
      <c r="H389" s="69"/>
      <c r="I389" s="66"/>
      <c r="J389" s="69"/>
      <c r="K389" s="67"/>
      <c r="L389" s="67"/>
      <c r="M389" s="67"/>
      <c r="N389" s="67"/>
      <c r="O389" s="64"/>
      <c r="P389" s="72" t="str">
        <f aca="false">IF(OR(B389="",C389=""),"",C389&amp;"|"&amp;(YEAR(B389)*100+MONTH(B389)))</f>
        <v/>
      </c>
      <c r="Q389" s="70" t="str">
        <f aca="false">IF(P389="","",IF(COUNTIF(N_CLAVE,P389)&gt;1,"⚠ Duplicado","OK"))</f>
        <v/>
      </c>
      <c r="R389" s="74" t="str">
        <f aca="false">IF(OR(P389="",U389=""),"",MAX(0,U389-N(E389)-N(F389)-N(H389)))</f>
        <v/>
      </c>
      <c r="S389" s="75" t="str">
        <f aca="false">IF(P389="","",IFERROR(INDEX(T_INGRESO,MATCH(C389,T_ID,0)),""))</f>
        <v/>
      </c>
      <c r="T389" s="75" t="str">
        <f aca="false">IF(P389="","",IFERROR(N(INDEX(T_EGRESO,MATCH(C389,T_ID,0))),0))</f>
        <v/>
      </c>
      <c r="U389" s="73" t="str">
        <f aca="false">IF(OR(P389="",NOT(ISNUMBER(S389))),"",IF(OR(S389&gt;EOMONTH(B389,0),AND(T389&gt;0,T389&lt;B389)),0,IF(AND(S389&lt;=B389,OR(T389=0,T389&gt;=EOMONTH(B389,0))),30,MIN(30,IF(T389=0,EOMONTH(B389,0),MIN(T389,EOMONTH(B389,0)))-MAX(B389,S389)+1))))</f>
        <v/>
      </c>
    </row>
    <row r="390" customFormat="false" ht="15" hidden="false" customHeight="false" outlineLevel="0" collapsed="false">
      <c r="B390" s="78"/>
      <c r="C390" s="64"/>
      <c r="D390" s="70" t="str">
        <f aca="false">IF(C390="","",IFERROR(INDEX(T_NOMBRE,MATCH(C390,T_ID,0)),"⚠ ID no existe"))</f>
        <v/>
      </c>
      <c r="E390" s="69"/>
      <c r="F390" s="69"/>
      <c r="G390" s="69"/>
      <c r="H390" s="69"/>
      <c r="I390" s="66"/>
      <c r="J390" s="69"/>
      <c r="K390" s="67"/>
      <c r="L390" s="67"/>
      <c r="M390" s="67"/>
      <c r="N390" s="67"/>
      <c r="O390" s="64"/>
      <c r="P390" s="72" t="str">
        <f aca="false">IF(OR(B390="",C390=""),"",C390&amp;"|"&amp;(YEAR(B390)*100+MONTH(B390)))</f>
        <v/>
      </c>
      <c r="Q390" s="70" t="str">
        <f aca="false">IF(P390="","",IF(COUNTIF(N_CLAVE,P390)&gt;1,"⚠ Duplicado","OK"))</f>
        <v/>
      </c>
      <c r="R390" s="74" t="str">
        <f aca="false">IF(OR(P390="",U390=""),"",MAX(0,U390-N(E390)-N(F390)-N(H390)))</f>
        <v/>
      </c>
      <c r="S390" s="75" t="str">
        <f aca="false">IF(P390="","",IFERROR(INDEX(T_INGRESO,MATCH(C390,T_ID,0)),""))</f>
        <v/>
      </c>
      <c r="T390" s="75" t="str">
        <f aca="false">IF(P390="","",IFERROR(N(INDEX(T_EGRESO,MATCH(C390,T_ID,0))),0))</f>
        <v/>
      </c>
      <c r="U390" s="73" t="str">
        <f aca="false">IF(OR(P390="",NOT(ISNUMBER(S390))),"",IF(OR(S390&gt;EOMONTH(B390,0),AND(T390&gt;0,T390&lt;B390)),0,IF(AND(S390&lt;=B390,OR(T390=0,T390&gt;=EOMONTH(B390,0))),30,MIN(30,IF(T390=0,EOMONTH(B390,0),MIN(T390,EOMONTH(B390,0)))-MAX(B390,S390)+1))))</f>
        <v/>
      </c>
    </row>
    <row r="391" customFormat="false" ht="15" hidden="false" customHeight="false" outlineLevel="0" collapsed="false">
      <c r="B391" s="78"/>
      <c r="C391" s="64"/>
      <c r="D391" s="70" t="str">
        <f aca="false">IF(C391="","",IFERROR(INDEX(T_NOMBRE,MATCH(C391,T_ID,0)),"⚠ ID no existe"))</f>
        <v/>
      </c>
      <c r="E391" s="69"/>
      <c r="F391" s="69"/>
      <c r="G391" s="69"/>
      <c r="H391" s="69"/>
      <c r="I391" s="66"/>
      <c r="J391" s="69"/>
      <c r="K391" s="67"/>
      <c r="L391" s="67"/>
      <c r="M391" s="67"/>
      <c r="N391" s="67"/>
      <c r="O391" s="64"/>
      <c r="P391" s="72" t="str">
        <f aca="false">IF(OR(B391="",C391=""),"",C391&amp;"|"&amp;(YEAR(B391)*100+MONTH(B391)))</f>
        <v/>
      </c>
      <c r="Q391" s="70" t="str">
        <f aca="false">IF(P391="","",IF(COUNTIF(N_CLAVE,P391)&gt;1,"⚠ Duplicado","OK"))</f>
        <v/>
      </c>
      <c r="R391" s="74" t="str">
        <f aca="false">IF(OR(P391="",U391=""),"",MAX(0,U391-N(E391)-N(F391)-N(H391)))</f>
        <v/>
      </c>
      <c r="S391" s="75" t="str">
        <f aca="false">IF(P391="","",IFERROR(INDEX(T_INGRESO,MATCH(C391,T_ID,0)),""))</f>
        <v/>
      </c>
      <c r="T391" s="75" t="str">
        <f aca="false">IF(P391="","",IFERROR(N(INDEX(T_EGRESO,MATCH(C391,T_ID,0))),0))</f>
        <v/>
      </c>
      <c r="U391" s="73" t="str">
        <f aca="false">IF(OR(P391="",NOT(ISNUMBER(S391))),"",IF(OR(S391&gt;EOMONTH(B391,0),AND(T391&gt;0,T391&lt;B391)),0,IF(AND(S391&lt;=B391,OR(T391=0,T391&gt;=EOMONTH(B391,0))),30,MIN(30,IF(T391=0,EOMONTH(B391,0),MIN(T391,EOMONTH(B391,0)))-MAX(B391,S391)+1))))</f>
        <v/>
      </c>
    </row>
    <row r="392" customFormat="false" ht="15" hidden="false" customHeight="false" outlineLevel="0" collapsed="false">
      <c r="B392" s="78"/>
      <c r="C392" s="64"/>
      <c r="D392" s="70" t="str">
        <f aca="false">IF(C392="","",IFERROR(INDEX(T_NOMBRE,MATCH(C392,T_ID,0)),"⚠ ID no existe"))</f>
        <v/>
      </c>
      <c r="E392" s="69"/>
      <c r="F392" s="69"/>
      <c r="G392" s="69"/>
      <c r="H392" s="69"/>
      <c r="I392" s="66"/>
      <c r="J392" s="69"/>
      <c r="K392" s="67"/>
      <c r="L392" s="67"/>
      <c r="M392" s="67"/>
      <c r="N392" s="67"/>
      <c r="O392" s="64"/>
      <c r="P392" s="72" t="str">
        <f aca="false">IF(OR(B392="",C392=""),"",C392&amp;"|"&amp;(YEAR(B392)*100+MONTH(B392)))</f>
        <v/>
      </c>
      <c r="Q392" s="70" t="str">
        <f aca="false">IF(P392="","",IF(COUNTIF(N_CLAVE,P392)&gt;1,"⚠ Duplicado","OK"))</f>
        <v/>
      </c>
      <c r="R392" s="74" t="str">
        <f aca="false">IF(OR(P392="",U392=""),"",MAX(0,U392-N(E392)-N(F392)-N(H392)))</f>
        <v/>
      </c>
      <c r="S392" s="75" t="str">
        <f aca="false">IF(P392="","",IFERROR(INDEX(T_INGRESO,MATCH(C392,T_ID,0)),""))</f>
        <v/>
      </c>
      <c r="T392" s="75" t="str">
        <f aca="false">IF(P392="","",IFERROR(N(INDEX(T_EGRESO,MATCH(C392,T_ID,0))),0))</f>
        <v/>
      </c>
      <c r="U392" s="73" t="str">
        <f aca="false">IF(OR(P392="",NOT(ISNUMBER(S392))),"",IF(OR(S392&gt;EOMONTH(B392,0),AND(T392&gt;0,T392&lt;B392)),0,IF(AND(S392&lt;=B392,OR(T392=0,T392&gt;=EOMONTH(B392,0))),30,MIN(30,IF(T392=0,EOMONTH(B392,0),MIN(T392,EOMONTH(B392,0)))-MAX(B392,S392)+1))))</f>
        <v/>
      </c>
    </row>
    <row r="393" customFormat="false" ht="15" hidden="false" customHeight="false" outlineLevel="0" collapsed="false">
      <c r="B393" s="78"/>
      <c r="C393" s="64"/>
      <c r="D393" s="70" t="str">
        <f aca="false">IF(C393="","",IFERROR(INDEX(T_NOMBRE,MATCH(C393,T_ID,0)),"⚠ ID no existe"))</f>
        <v/>
      </c>
      <c r="E393" s="69"/>
      <c r="F393" s="69"/>
      <c r="G393" s="69"/>
      <c r="H393" s="69"/>
      <c r="I393" s="66"/>
      <c r="J393" s="69"/>
      <c r="K393" s="67"/>
      <c r="L393" s="67"/>
      <c r="M393" s="67"/>
      <c r="N393" s="67"/>
      <c r="O393" s="64"/>
      <c r="P393" s="72" t="str">
        <f aca="false">IF(OR(B393="",C393=""),"",C393&amp;"|"&amp;(YEAR(B393)*100+MONTH(B393)))</f>
        <v/>
      </c>
      <c r="Q393" s="70" t="str">
        <f aca="false">IF(P393="","",IF(COUNTIF(N_CLAVE,P393)&gt;1,"⚠ Duplicado","OK"))</f>
        <v/>
      </c>
      <c r="R393" s="74" t="str">
        <f aca="false">IF(OR(P393="",U393=""),"",MAX(0,U393-N(E393)-N(F393)-N(H393)))</f>
        <v/>
      </c>
      <c r="S393" s="75" t="str">
        <f aca="false">IF(P393="","",IFERROR(INDEX(T_INGRESO,MATCH(C393,T_ID,0)),""))</f>
        <v/>
      </c>
      <c r="T393" s="75" t="str">
        <f aca="false">IF(P393="","",IFERROR(N(INDEX(T_EGRESO,MATCH(C393,T_ID,0))),0))</f>
        <v/>
      </c>
      <c r="U393" s="73" t="str">
        <f aca="false">IF(OR(P393="",NOT(ISNUMBER(S393))),"",IF(OR(S393&gt;EOMONTH(B393,0),AND(T393&gt;0,T393&lt;B393)),0,IF(AND(S393&lt;=B393,OR(T393=0,T393&gt;=EOMONTH(B393,0))),30,MIN(30,IF(T393=0,EOMONTH(B393,0),MIN(T393,EOMONTH(B393,0)))-MAX(B393,S393)+1))))</f>
        <v/>
      </c>
    </row>
    <row r="394" customFormat="false" ht="15" hidden="false" customHeight="false" outlineLevel="0" collapsed="false">
      <c r="B394" s="78"/>
      <c r="C394" s="64"/>
      <c r="D394" s="70" t="str">
        <f aca="false">IF(C394="","",IFERROR(INDEX(T_NOMBRE,MATCH(C394,T_ID,0)),"⚠ ID no existe"))</f>
        <v/>
      </c>
      <c r="E394" s="69"/>
      <c r="F394" s="69"/>
      <c r="G394" s="69"/>
      <c r="H394" s="69"/>
      <c r="I394" s="66"/>
      <c r="J394" s="69"/>
      <c r="K394" s="67"/>
      <c r="L394" s="67"/>
      <c r="M394" s="67"/>
      <c r="N394" s="67"/>
      <c r="O394" s="64"/>
      <c r="P394" s="72" t="str">
        <f aca="false">IF(OR(B394="",C394=""),"",C394&amp;"|"&amp;(YEAR(B394)*100+MONTH(B394)))</f>
        <v/>
      </c>
      <c r="Q394" s="70" t="str">
        <f aca="false">IF(P394="","",IF(COUNTIF(N_CLAVE,P394)&gt;1,"⚠ Duplicado","OK"))</f>
        <v/>
      </c>
      <c r="R394" s="74" t="str">
        <f aca="false">IF(OR(P394="",U394=""),"",MAX(0,U394-N(E394)-N(F394)-N(H394)))</f>
        <v/>
      </c>
      <c r="S394" s="75" t="str">
        <f aca="false">IF(P394="","",IFERROR(INDEX(T_INGRESO,MATCH(C394,T_ID,0)),""))</f>
        <v/>
      </c>
      <c r="T394" s="75" t="str">
        <f aca="false">IF(P394="","",IFERROR(N(INDEX(T_EGRESO,MATCH(C394,T_ID,0))),0))</f>
        <v/>
      </c>
      <c r="U394" s="73" t="str">
        <f aca="false">IF(OR(P394="",NOT(ISNUMBER(S394))),"",IF(OR(S394&gt;EOMONTH(B394,0),AND(T394&gt;0,T394&lt;B394)),0,IF(AND(S394&lt;=B394,OR(T394=0,T394&gt;=EOMONTH(B394,0))),30,MIN(30,IF(T394=0,EOMONTH(B394,0),MIN(T394,EOMONTH(B394,0)))-MAX(B394,S394)+1))))</f>
        <v/>
      </c>
    </row>
    <row r="395" customFormat="false" ht="15" hidden="false" customHeight="false" outlineLevel="0" collapsed="false">
      <c r="B395" s="78"/>
      <c r="C395" s="64"/>
      <c r="D395" s="70" t="str">
        <f aca="false">IF(C395="","",IFERROR(INDEX(T_NOMBRE,MATCH(C395,T_ID,0)),"⚠ ID no existe"))</f>
        <v/>
      </c>
      <c r="E395" s="69"/>
      <c r="F395" s="69"/>
      <c r="G395" s="69"/>
      <c r="H395" s="69"/>
      <c r="I395" s="66"/>
      <c r="J395" s="69"/>
      <c r="K395" s="67"/>
      <c r="L395" s="67"/>
      <c r="M395" s="67"/>
      <c r="N395" s="67"/>
      <c r="O395" s="64"/>
      <c r="P395" s="72" t="str">
        <f aca="false">IF(OR(B395="",C395=""),"",C395&amp;"|"&amp;(YEAR(B395)*100+MONTH(B395)))</f>
        <v/>
      </c>
      <c r="Q395" s="70" t="str">
        <f aca="false">IF(P395="","",IF(COUNTIF(N_CLAVE,P395)&gt;1,"⚠ Duplicado","OK"))</f>
        <v/>
      </c>
      <c r="R395" s="74" t="str">
        <f aca="false">IF(OR(P395="",U395=""),"",MAX(0,U395-N(E395)-N(F395)-N(H395)))</f>
        <v/>
      </c>
      <c r="S395" s="75" t="str">
        <f aca="false">IF(P395="","",IFERROR(INDEX(T_INGRESO,MATCH(C395,T_ID,0)),""))</f>
        <v/>
      </c>
      <c r="T395" s="75" t="str">
        <f aca="false">IF(P395="","",IFERROR(N(INDEX(T_EGRESO,MATCH(C395,T_ID,0))),0))</f>
        <v/>
      </c>
      <c r="U395" s="73" t="str">
        <f aca="false">IF(OR(P395="",NOT(ISNUMBER(S395))),"",IF(OR(S395&gt;EOMONTH(B395,0),AND(T395&gt;0,T395&lt;B395)),0,IF(AND(S395&lt;=B395,OR(T395=0,T395&gt;=EOMONTH(B395,0))),30,MIN(30,IF(T395=0,EOMONTH(B395,0),MIN(T395,EOMONTH(B395,0)))-MAX(B395,S395)+1))))</f>
        <v/>
      </c>
    </row>
    <row r="396" customFormat="false" ht="15" hidden="false" customHeight="false" outlineLevel="0" collapsed="false">
      <c r="B396" s="78"/>
      <c r="C396" s="64"/>
      <c r="D396" s="70" t="str">
        <f aca="false">IF(C396="","",IFERROR(INDEX(T_NOMBRE,MATCH(C396,T_ID,0)),"⚠ ID no existe"))</f>
        <v/>
      </c>
      <c r="E396" s="69"/>
      <c r="F396" s="69"/>
      <c r="G396" s="69"/>
      <c r="H396" s="69"/>
      <c r="I396" s="66"/>
      <c r="J396" s="69"/>
      <c r="K396" s="67"/>
      <c r="L396" s="67"/>
      <c r="M396" s="67"/>
      <c r="N396" s="67"/>
      <c r="O396" s="64"/>
      <c r="P396" s="72" t="str">
        <f aca="false">IF(OR(B396="",C396=""),"",C396&amp;"|"&amp;(YEAR(B396)*100+MONTH(B396)))</f>
        <v/>
      </c>
      <c r="Q396" s="70" t="str">
        <f aca="false">IF(P396="","",IF(COUNTIF(N_CLAVE,P396)&gt;1,"⚠ Duplicado","OK"))</f>
        <v/>
      </c>
      <c r="R396" s="74" t="str">
        <f aca="false">IF(OR(P396="",U396=""),"",MAX(0,U396-N(E396)-N(F396)-N(H396)))</f>
        <v/>
      </c>
      <c r="S396" s="75" t="str">
        <f aca="false">IF(P396="","",IFERROR(INDEX(T_INGRESO,MATCH(C396,T_ID,0)),""))</f>
        <v/>
      </c>
      <c r="T396" s="75" t="str">
        <f aca="false">IF(P396="","",IFERROR(N(INDEX(T_EGRESO,MATCH(C396,T_ID,0))),0))</f>
        <v/>
      </c>
      <c r="U396" s="73" t="str">
        <f aca="false">IF(OR(P396="",NOT(ISNUMBER(S396))),"",IF(OR(S396&gt;EOMONTH(B396,0),AND(T396&gt;0,T396&lt;B396)),0,IF(AND(S396&lt;=B396,OR(T396=0,T396&gt;=EOMONTH(B396,0))),30,MIN(30,IF(T396=0,EOMONTH(B396,0),MIN(T396,EOMONTH(B396,0)))-MAX(B396,S396)+1))))</f>
        <v/>
      </c>
    </row>
    <row r="397" customFormat="false" ht="15" hidden="false" customHeight="false" outlineLevel="0" collapsed="false">
      <c r="B397" s="78"/>
      <c r="C397" s="64"/>
      <c r="D397" s="70" t="str">
        <f aca="false">IF(C397="","",IFERROR(INDEX(T_NOMBRE,MATCH(C397,T_ID,0)),"⚠ ID no existe"))</f>
        <v/>
      </c>
      <c r="E397" s="69"/>
      <c r="F397" s="69"/>
      <c r="G397" s="69"/>
      <c r="H397" s="69"/>
      <c r="I397" s="66"/>
      <c r="J397" s="69"/>
      <c r="K397" s="67"/>
      <c r="L397" s="67"/>
      <c r="M397" s="67"/>
      <c r="N397" s="67"/>
      <c r="O397" s="64"/>
      <c r="P397" s="72" t="str">
        <f aca="false">IF(OR(B397="",C397=""),"",C397&amp;"|"&amp;(YEAR(B397)*100+MONTH(B397)))</f>
        <v/>
      </c>
      <c r="Q397" s="70" t="str">
        <f aca="false">IF(P397="","",IF(COUNTIF(N_CLAVE,P397)&gt;1,"⚠ Duplicado","OK"))</f>
        <v/>
      </c>
      <c r="R397" s="74" t="str">
        <f aca="false">IF(OR(P397="",U397=""),"",MAX(0,U397-N(E397)-N(F397)-N(H397)))</f>
        <v/>
      </c>
      <c r="S397" s="75" t="str">
        <f aca="false">IF(P397="","",IFERROR(INDEX(T_INGRESO,MATCH(C397,T_ID,0)),""))</f>
        <v/>
      </c>
      <c r="T397" s="75" t="str">
        <f aca="false">IF(P397="","",IFERROR(N(INDEX(T_EGRESO,MATCH(C397,T_ID,0))),0))</f>
        <v/>
      </c>
      <c r="U397" s="73" t="str">
        <f aca="false">IF(OR(P397="",NOT(ISNUMBER(S397))),"",IF(OR(S397&gt;EOMONTH(B397,0),AND(T397&gt;0,T397&lt;B397)),0,IF(AND(S397&lt;=B397,OR(T397=0,T397&gt;=EOMONTH(B397,0))),30,MIN(30,IF(T397=0,EOMONTH(B397,0),MIN(T397,EOMONTH(B397,0)))-MAX(B397,S397)+1))))</f>
        <v/>
      </c>
    </row>
    <row r="398" customFormat="false" ht="15" hidden="false" customHeight="false" outlineLevel="0" collapsed="false">
      <c r="B398" s="78"/>
      <c r="C398" s="64"/>
      <c r="D398" s="70" t="str">
        <f aca="false">IF(C398="","",IFERROR(INDEX(T_NOMBRE,MATCH(C398,T_ID,0)),"⚠ ID no existe"))</f>
        <v/>
      </c>
      <c r="E398" s="69"/>
      <c r="F398" s="69"/>
      <c r="G398" s="69"/>
      <c r="H398" s="69"/>
      <c r="I398" s="66"/>
      <c r="J398" s="69"/>
      <c r="K398" s="67"/>
      <c r="L398" s="67"/>
      <c r="M398" s="67"/>
      <c r="N398" s="67"/>
      <c r="O398" s="64"/>
      <c r="P398" s="72" t="str">
        <f aca="false">IF(OR(B398="",C398=""),"",C398&amp;"|"&amp;(YEAR(B398)*100+MONTH(B398)))</f>
        <v/>
      </c>
      <c r="Q398" s="70" t="str">
        <f aca="false">IF(P398="","",IF(COUNTIF(N_CLAVE,P398)&gt;1,"⚠ Duplicado","OK"))</f>
        <v/>
      </c>
      <c r="R398" s="74" t="str">
        <f aca="false">IF(OR(P398="",U398=""),"",MAX(0,U398-N(E398)-N(F398)-N(H398)))</f>
        <v/>
      </c>
      <c r="S398" s="75" t="str">
        <f aca="false">IF(P398="","",IFERROR(INDEX(T_INGRESO,MATCH(C398,T_ID,0)),""))</f>
        <v/>
      </c>
      <c r="T398" s="75" t="str">
        <f aca="false">IF(P398="","",IFERROR(N(INDEX(T_EGRESO,MATCH(C398,T_ID,0))),0))</f>
        <v/>
      </c>
      <c r="U398" s="73" t="str">
        <f aca="false">IF(OR(P398="",NOT(ISNUMBER(S398))),"",IF(OR(S398&gt;EOMONTH(B398,0),AND(T398&gt;0,T398&lt;B398)),0,IF(AND(S398&lt;=B398,OR(T398=0,T398&gt;=EOMONTH(B398,0))),30,MIN(30,IF(T398=0,EOMONTH(B398,0),MIN(T398,EOMONTH(B398,0)))-MAX(B398,S398)+1))))</f>
        <v/>
      </c>
    </row>
    <row r="399" customFormat="false" ht="15" hidden="false" customHeight="false" outlineLevel="0" collapsed="false">
      <c r="B399" s="78"/>
      <c r="C399" s="64"/>
      <c r="D399" s="70" t="str">
        <f aca="false">IF(C399="","",IFERROR(INDEX(T_NOMBRE,MATCH(C399,T_ID,0)),"⚠ ID no existe"))</f>
        <v/>
      </c>
      <c r="E399" s="69"/>
      <c r="F399" s="69"/>
      <c r="G399" s="69"/>
      <c r="H399" s="69"/>
      <c r="I399" s="66"/>
      <c r="J399" s="69"/>
      <c r="K399" s="67"/>
      <c r="L399" s="67"/>
      <c r="M399" s="67"/>
      <c r="N399" s="67"/>
      <c r="O399" s="64"/>
      <c r="P399" s="72" t="str">
        <f aca="false">IF(OR(B399="",C399=""),"",C399&amp;"|"&amp;(YEAR(B399)*100+MONTH(B399)))</f>
        <v/>
      </c>
      <c r="Q399" s="70" t="str">
        <f aca="false">IF(P399="","",IF(COUNTIF(N_CLAVE,P399)&gt;1,"⚠ Duplicado","OK"))</f>
        <v/>
      </c>
      <c r="R399" s="74" t="str">
        <f aca="false">IF(OR(P399="",U399=""),"",MAX(0,U399-N(E399)-N(F399)-N(H399)))</f>
        <v/>
      </c>
      <c r="S399" s="75" t="str">
        <f aca="false">IF(P399="","",IFERROR(INDEX(T_INGRESO,MATCH(C399,T_ID,0)),""))</f>
        <v/>
      </c>
      <c r="T399" s="75" t="str">
        <f aca="false">IF(P399="","",IFERROR(N(INDEX(T_EGRESO,MATCH(C399,T_ID,0))),0))</f>
        <v/>
      </c>
      <c r="U399" s="73" t="str">
        <f aca="false">IF(OR(P399="",NOT(ISNUMBER(S399))),"",IF(OR(S399&gt;EOMONTH(B399,0),AND(T399&gt;0,T399&lt;B399)),0,IF(AND(S399&lt;=B399,OR(T399=0,T399&gt;=EOMONTH(B399,0))),30,MIN(30,IF(T399=0,EOMONTH(B399,0),MIN(T399,EOMONTH(B399,0)))-MAX(B399,S399)+1))))</f>
        <v/>
      </c>
    </row>
    <row r="400" customFormat="false" ht="15" hidden="false" customHeight="false" outlineLevel="0" collapsed="false">
      <c r="B400" s="78"/>
      <c r="C400" s="64"/>
      <c r="D400" s="70" t="str">
        <f aca="false">IF(C400="","",IFERROR(INDEX(T_NOMBRE,MATCH(C400,T_ID,0)),"⚠ ID no existe"))</f>
        <v/>
      </c>
      <c r="E400" s="69"/>
      <c r="F400" s="69"/>
      <c r="G400" s="69"/>
      <c r="H400" s="69"/>
      <c r="I400" s="66"/>
      <c r="J400" s="69"/>
      <c r="K400" s="67"/>
      <c r="L400" s="67"/>
      <c r="M400" s="67"/>
      <c r="N400" s="67"/>
      <c r="O400" s="64"/>
      <c r="P400" s="72" t="str">
        <f aca="false">IF(OR(B400="",C400=""),"",C400&amp;"|"&amp;(YEAR(B400)*100+MONTH(B400)))</f>
        <v/>
      </c>
      <c r="Q400" s="70" t="str">
        <f aca="false">IF(P400="","",IF(COUNTIF(N_CLAVE,P400)&gt;1,"⚠ Duplicado","OK"))</f>
        <v/>
      </c>
      <c r="R400" s="74" t="str">
        <f aca="false">IF(OR(P400="",U400=""),"",MAX(0,U400-N(E400)-N(F400)-N(H400)))</f>
        <v/>
      </c>
      <c r="S400" s="75" t="str">
        <f aca="false">IF(P400="","",IFERROR(INDEX(T_INGRESO,MATCH(C400,T_ID,0)),""))</f>
        <v/>
      </c>
      <c r="T400" s="75" t="str">
        <f aca="false">IF(P400="","",IFERROR(N(INDEX(T_EGRESO,MATCH(C400,T_ID,0))),0))</f>
        <v/>
      </c>
      <c r="U400" s="73" t="str">
        <f aca="false">IF(OR(P400="",NOT(ISNUMBER(S400))),"",IF(OR(S400&gt;EOMONTH(B400,0),AND(T400&gt;0,T400&lt;B400)),0,IF(AND(S400&lt;=B400,OR(T400=0,T400&gt;=EOMONTH(B400,0))),30,MIN(30,IF(T400=0,EOMONTH(B400,0),MIN(T400,EOMONTH(B400,0)))-MAX(B400,S400)+1))))</f>
        <v/>
      </c>
    </row>
    <row r="401" customFormat="false" ht="15" hidden="false" customHeight="false" outlineLevel="0" collapsed="false">
      <c r="B401" s="78"/>
      <c r="C401" s="64"/>
      <c r="D401" s="70" t="str">
        <f aca="false">IF(C401="","",IFERROR(INDEX(T_NOMBRE,MATCH(C401,T_ID,0)),"⚠ ID no existe"))</f>
        <v/>
      </c>
      <c r="E401" s="69"/>
      <c r="F401" s="69"/>
      <c r="G401" s="69"/>
      <c r="H401" s="69"/>
      <c r="I401" s="66"/>
      <c r="J401" s="69"/>
      <c r="K401" s="67"/>
      <c r="L401" s="67"/>
      <c r="M401" s="67"/>
      <c r="N401" s="67"/>
      <c r="O401" s="64"/>
      <c r="P401" s="72" t="str">
        <f aca="false">IF(OR(B401="",C401=""),"",C401&amp;"|"&amp;(YEAR(B401)*100+MONTH(B401)))</f>
        <v/>
      </c>
      <c r="Q401" s="70" t="str">
        <f aca="false">IF(P401="","",IF(COUNTIF(N_CLAVE,P401)&gt;1,"⚠ Duplicado","OK"))</f>
        <v/>
      </c>
      <c r="R401" s="74" t="str">
        <f aca="false">IF(OR(P401="",U401=""),"",MAX(0,U401-N(E401)-N(F401)-N(H401)))</f>
        <v/>
      </c>
      <c r="S401" s="75" t="str">
        <f aca="false">IF(P401="","",IFERROR(INDEX(T_INGRESO,MATCH(C401,T_ID,0)),""))</f>
        <v/>
      </c>
      <c r="T401" s="75" t="str">
        <f aca="false">IF(P401="","",IFERROR(N(INDEX(T_EGRESO,MATCH(C401,T_ID,0))),0))</f>
        <v/>
      </c>
      <c r="U401" s="73" t="str">
        <f aca="false">IF(OR(P401="",NOT(ISNUMBER(S401))),"",IF(OR(S401&gt;EOMONTH(B401,0),AND(T401&gt;0,T401&lt;B401)),0,IF(AND(S401&lt;=B401,OR(T401=0,T401&gt;=EOMONTH(B401,0))),30,MIN(30,IF(T401=0,EOMONTH(B401,0),MIN(T401,EOMONTH(B401,0)))-MAX(B401,S401)+1))))</f>
        <v/>
      </c>
    </row>
    <row r="402" customFormat="false" ht="15" hidden="false" customHeight="false" outlineLevel="0" collapsed="false">
      <c r="B402" s="78"/>
      <c r="C402" s="64"/>
      <c r="D402" s="70" t="str">
        <f aca="false">IF(C402="","",IFERROR(INDEX(T_NOMBRE,MATCH(C402,T_ID,0)),"⚠ ID no existe"))</f>
        <v/>
      </c>
      <c r="E402" s="69"/>
      <c r="F402" s="69"/>
      <c r="G402" s="69"/>
      <c r="H402" s="69"/>
      <c r="I402" s="66"/>
      <c r="J402" s="69"/>
      <c r="K402" s="67"/>
      <c r="L402" s="67"/>
      <c r="M402" s="67"/>
      <c r="N402" s="67"/>
      <c r="O402" s="64"/>
      <c r="P402" s="72" t="str">
        <f aca="false">IF(OR(B402="",C402=""),"",C402&amp;"|"&amp;(YEAR(B402)*100+MONTH(B402)))</f>
        <v/>
      </c>
      <c r="Q402" s="70" t="str">
        <f aca="false">IF(P402="","",IF(COUNTIF(N_CLAVE,P402)&gt;1,"⚠ Duplicado","OK"))</f>
        <v/>
      </c>
      <c r="R402" s="74" t="str">
        <f aca="false">IF(OR(P402="",U402=""),"",MAX(0,U402-N(E402)-N(F402)-N(H402)))</f>
        <v/>
      </c>
      <c r="S402" s="75" t="str">
        <f aca="false">IF(P402="","",IFERROR(INDEX(T_INGRESO,MATCH(C402,T_ID,0)),""))</f>
        <v/>
      </c>
      <c r="T402" s="75" t="str">
        <f aca="false">IF(P402="","",IFERROR(N(INDEX(T_EGRESO,MATCH(C402,T_ID,0))),0))</f>
        <v/>
      </c>
      <c r="U402" s="73" t="str">
        <f aca="false">IF(OR(P402="",NOT(ISNUMBER(S402))),"",IF(OR(S402&gt;EOMONTH(B402,0),AND(T402&gt;0,T402&lt;B402)),0,IF(AND(S402&lt;=B402,OR(T402=0,T402&gt;=EOMONTH(B402,0))),30,MIN(30,IF(T402=0,EOMONTH(B402,0),MIN(T402,EOMONTH(B402,0)))-MAX(B402,S402)+1))))</f>
        <v/>
      </c>
    </row>
    <row r="403" customFormat="false" ht="15" hidden="false" customHeight="false" outlineLevel="0" collapsed="false">
      <c r="B403" s="78"/>
      <c r="C403" s="64"/>
      <c r="D403" s="70" t="str">
        <f aca="false">IF(C403="","",IFERROR(INDEX(T_NOMBRE,MATCH(C403,T_ID,0)),"⚠ ID no existe"))</f>
        <v/>
      </c>
      <c r="E403" s="69"/>
      <c r="F403" s="69"/>
      <c r="G403" s="69"/>
      <c r="H403" s="69"/>
      <c r="I403" s="66"/>
      <c r="J403" s="69"/>
      <c r="K403" s="67"/>
      <c r="L403" s="67"/>
      <c r="M403" s="67"/>
      <c r="N403" s="67"/>
      <c r="O403" s="64"/>
      <c r="P403" s="72" t="str">
        <f aca="false">IF(OR(B403="",C403=""),"",C403&amp;"|"&amp;(YEAR(B403)*100+MONTH(B403)))</f>
        <v/>
      </c>
      <c r="Q403" s="70" t="str">
        <f aca="false">IF(P403="","",IF(COUNTIF(N_CLAVE,P403)&gt;1,"⚠ Duplicado","OK"))</f>
        <v/>
      </c>
      <c r="R403" s="74" t="str">
        <f aca="false">IF(OR(P403="",U403=""),"",MAX(0,U403-N(E403)-N(F403)-N(H403)))</f>
        <v/>
      </c>
      <c r="S403" s="75" t="str">
        <f aca="false">IF(P403="","",IFERROR(INDEX(T_INGRESO,MATCH(C403,T_ID,0)),""))</f>
        <v/>
      </c>
      <c r="T403" s="75" t="str">
        <f aca="false">IF(P403="","",IFERROR(N(INDEX(T_EGRESO,MATCH(C403,T_ID,0))),0))</f>
        <v/>
      </c>
      <c r="U403" s="73" t="str">
        <f aca="false">IF(OR(P403="",NOT(ISNUMBER(S403))),"",IF(OR(S403&gt;EOMONTH(B403,0),AND(T403&gt;0,T403&lt;B403)),0,IF(AND(S403&lt;=B403,OR(T403=0,T403&gt;=EOMONTH(B403,0))),30,MIN(30,IF(T403=0,EOMONTH(B403,0),MIN(T403,EOMONTH(B403,0)))-MAX(B403,S403)+1))))</f>
        <v/>
      </c>
    </row>
    <row r="404" customFormat="false" ht="15" hidden="false" customHeight="false" outlineLevel="0" collapsed="false">
      <c r="B404" s="78"/>
      <c r="C404" s="64"/>
      <c r="D404" s="70" t="str">
        <f aca="false">IF(C404="","",IFERROR(INDEX(T_NOMBRE,MATCH(C404,T_ID,0)),"⚠ ID no existe"))</f>
        <v/>
      </c>
      <c r="E404" s="69"/>
      <c r="F404" s="69"/>
      <c r="G404" s="69"/>
      <c r="H404" s="69"/>
      <c r="I404" s="66"/>
      <c r="J404" s="69"/>
      <c r="K404" s="67"/>
      <c r="L404" s="67"/>
      <c r="M404" s="67"/>
      <c r="N404" s="67"/>
      <c r="O404" s="64"/>
      <c r="P404" s="72" t="str">
        <f aca="false">IF(OR(B404="",C404=""),"",C404&amp;"|"&amp;(YEAR(B404)*100+MONTH(B404)))</f>
        <v/>
      </c>
      <c r="Q404" s="70" t="str">
        <f aca="false">IF(P404="","",IF(COUNTIF(N_CLAVE,P404)&gt;1,"⚠ Duplicado","OK"))</f>
        <v/>
      </c>
      <c r="R404" s="74" t="str">
        <f aca="false">IF(OR(P404="",U404=""),"",MAX(0,U404-N(E404)-N(F404)-N(H404)))</f>
        <v/>
      </c>
      <c r="S404" s="75" t="str">
        <f aca="false">IF(P404="","",IFERROR(INDEX(T_INGRESO,MATCH(C404,T_ID,0)),""))</f>
        <v/>
      </c>
      <c r="T404" s="75" t="str">
        <f aca="false">IF(P404="","",IFERROR(N(INDEX(T_EGRESO,MATCH(C404,T_ID,0))),0))</f>
        <v/>
      </c>
      <c r="U404" s="73" t="str">
        <f aca="false">IF(OR(P404="",NOT(ISNUMBER(S404))),"",IF(OR(S404&gt;EOMONTH(B404,0),AND(T404&gt;0,T404&lt;B404)),0,IF(AND(S404&lt;=B404,OR(T404=0,T404&gt;=EOMONTH(B404,0))),30,MIN(30,IF(T404=0,EOMONTH(B404,0),MIN(T404,EOMONTH(B404,0)))-MAX(B404,S404)+1))))</f>
        <v/>
      </c>
    </row>
    <row r="405" customFormat="false" ht="15" hidden="false" customHeight="false" outlineLevel="0" collapsed="false">
      <c r="B405" s="78"/>
      <c r="C405" s="64"/>
      <c r="D405" s="70" t="str">
        <f aca="false">IF(C405="","",IFERROR(INDEX(T_NOMBRE,MATCH(C405,T_ID,0)),"⚠ ID no existe"))</f>
        <v/>
      </c>
      <c r="E405" s="69"/>
      <c r="F405" s="69"/>
      <c r="G405" s="69"/>
      <c r="H405" s="69"/>
      <c r="I405" s="66"/>
      <c r="J405" s="69"/>
      <c r="K405" s="67"/>
      <c r="L405" s="67"/>
      <c r="M405" s="67"/>
      <c r="N405" s="67"/>
      <c r="O405" s="64"/>
      <c r="P405" s="72" t="str">
        <f aca="false">IF(OR(B405="",C405=""),"",C405&amp;"|"&amp;(YEAR(B405)*100+MONTH(B405)))</f>
        <v/>
      </c>
      <c r="Q405" s="70" t="str">
        <f aca="false">IF(P405="","",IF(COUNTIF(N_CLAVE,P405)&gt;1,"⚠ Duplicado","OK"))</f>
        <v/>
      </c>
      <c r="R405" s="74" t="str">
        <f aca="false">IF(OR(P405="",U405=""),"",MAX(0,U405-N(E405)-N(F405)-N(H405)))</f>
        <v/>
      </c>
      <c r="S405" s="75" t="str">
        <f aca="false">IF(P405="","",IFERROR(INDEX(T_INGRESO,MATCH(C405,T_ID,0)),""))</f>
        <v/>
      </c>
      <c r="T405" s="75" t="str">
        <f aca="false">IF(P405="","",IFERROR(N(INDEX(T_EGRESO,MATCH(C405,T_ID,0))),0))</f>
        <v/>
      </c>
      <c r="U405" s="73" t="str">
        <f aca="false">IF(OR(P405="",NOT(ISNUMBER(S405))),"",IF(OR(S405&gt;EOMONTH(B405,0),AND(T405&gt;0,T405&lt;B405)),0,IF(AND(S405&lt;=B405,OR(T405=0,T405&gt;=EOMONTH(B405,0))),30,MIN(30,IF(T405=0,EOMONTH(B405,0),MIN(T405,EOMONTH(B405,0)))-MAX(B405,S405)+1))))</f>
        <v/>
      </c>
    </row>
    <row r="406" customFormat="false" ht="15" hidden="false" customHeight="false" outlineLevel="0" collapsed="false">
      <c r="B406" s="78"/>
      <c r="C406" s="64"/>
      <c r="D406" s="70" t="str">
        <f aca="false">IF(C406="","",IFERROR(INDEX(T_NOMBRE,MATCH(C406,T_ID,0)),"⚠ ID no existe"))</f>
        <v/>
      </c>
      <c r="E406" s="69"/>
      <c r="F406" s="69"/>
      <c r="G406" s="69"/>
      <c r="H406" s="69"/>
      <c r="I406" s="66"/>
      <c r="J406" s="69"/>
      <c r="K406" s="67"/>
      <c r="L406" s="67"/>
      <c r="M406" s="67"/>
      <c r="N406" s="67"/>
      <c r="O406" s="64"/>
      <c r="P406" s="72" t="str">
        <f aca="false">IF(OR(B406="",C406=""),"",C406&amp;"|"&amp;(YEAR(B406)*100+MONTH(B406)))</f>
        <v/>
      </c>
      <c r="Q406" s="70" t="str">
        <f aca="false">IF(P406="","",IF(COUNTIF(N_CLAVE,P406)&gt;1,"⚠ Duplicado","OK"))</f>
        <v/>
      </c>
      <c r="R406" s="74" t="str">
        <f aca="false">IF(OR(P406="",U406=""),"",MAX(0,U406-N(E406)-N(F406)-N(H406)))</f>
        <v/>
      </c>
      <c r="S406" s="75" t="str">
        <f aca="false">IF(P406="","",IFERROR(INDEX(T_INGRESO,MATCH(C406,T_ID,0)),""))</f>
        <v/>
      </c>
      <c r="T406" s="75" t="str">
        <f aca="false">IF(P406="","",IFERROR(N(INDEX(T_EGRESO,MATCH(C406,T_ID,0))),0))</f>
        <v/>
      </c>
      <c r="U406" s="73" t="str">
        <f aca="false">IF(OR(P406="",NOT(ISNUMBER(S406))),"",IF(OR(S406&gt;EOMONTH(B406,0),AND(T406&gt;0,T406&lt;B406)),0,IF(AND(S406&lt;=B406,OR(T406=0,T406&gt;=EOMONTH(B406,0))),30,MIN(30,IF(T406=0,EOMONTH(B406,0),MIN(T406,EOMONTH(B406,0)))-MAX(B406,S406)+1))))</f>
        <v/>
      </c>
    </row>
    <row r="407" customFormat="false" ht="15" hidden="false" customHeight="false" outlineLevel="0" collapsed="false">
      <c r="B407" s="78"/>
      <c r="C407" s="64"/>
      <c r="D407" s="70" t="str">
        <f aca="false">IF(C407="","",IFERROR(INDEX(T_NOMBRE,MATCH(C407,T_ID,0)),"⚠ ID no existe"))</f>
        <v/>
      </c>
      <c r="E407" s="69"/>
      <c r="F407" s="69"/>
      <c r="G407" s="69"/>
      <c r="H407" s="69"/>
      <c r="I407" s="66"/>
      <c r="J407" s="69"/>
      <c r="K407" s="67"/>
      <c r="L407" s="67"/>
      <c r="M407" s="67"/>
      <c r="N407" s="67"/>
      <c r="O407" s="64"/>
      <c r="P407" s="72" t="str">
        <f aca="false">IF(OR(B407="",C407=""),"",C407&amp;"|"&amp;(YEAR(B407)*100+MONTH(B407)))</f>
        <v/>
      </c>
      <c r="Q407" s="70" t="str">
        <f aca="false">IF(P407="","",IF(COUNTIF(N_CLAVE,P407)&gt;1,"⚠ Duplicado","OK"))</f>
        <v/>
      </c>
      <c r="R407" s="74" t="str">
        <f aca="false">IF(OR(P407="",U407=""),"",MAX(0,U407-N(E407)-N(F407)-N(H407)))</f>
        <v/>
      </c>
      <c r="S407" s="75" t="str">
        <f aca="false">IF(P407="","",IFERROR(INDEX(T_INGRESO,MATCH(C407,T_ID,0)),""))</f>
        <v/>
      </c>
      <c r="T407" s="75" t="str">
        <f aca="false">IF(P407="","",IFERROR(N(INDEX(T_EGRESO,MATCH(C407,T_ID,0))),0))</f>
        <v/>
      </c>
      <c r="U407" s="73" t="str">
        <f aca="false">IF(OR(P407="",NOT(ISNUMBER(S407))),"",IF(OR(S407&gt;EOMONTH(B407,0),AND(T407&gt;0,T407&lt;B407)),0,IF(AND(S407&lt;=B407,OR(T407=0,T407&gt;=EOMONTH(B407,0))),30,MIN(30,IF(T407=0,EOMONTH(B407,0),MIN(T407,EOMONTH(B407,0)))-MAX(B407,S407)+1))))</f>
        <v/>
      </c>
    </row>
    <row r="408" customFormat="false" ht="15" hidden="false" customHeight="false" outlineLevel="0" collapsed="false">
      <c r="B408" s="78"/>
      <c r="C408" s="64"/>
      <c r="D408" s="70" t="str">
        <f aca="false">IF(C408="","",IFERROR(INDEX(T_NOMBRE,MATCH(C408,T_ID,0)),"⚠ ID no existe"))</f>
        <v/>
      </c>
      <c r="E408" s="69"/>
      <c r="F408" s="69"/>
      <c r="G408" s="69"/>
      <c r="H408" s="69"/>
      <c r="I408" s="66"/>
      <c r="J408" s="69"/>
      <c r="K408" s="67"/>
      <c r="L408" s="67"/>
      <c r="M408" s="67"/>
      <c r="N408" s="67"/>
      <c r="O408" s="64"/>
      <c r="P408" s="72" t="str">
        <f aca="false">IF(OR(B408="",C408=""),"",C408&amp;"|"&amp;(YEAR(B408)*100+MONTH(B408)))</f>
        <v/>
      </c>
      <c r="Q408" s="70" t="str">
        <f aca="false">IF(P408="","",IF(COUNTIF(N_CLAVE,P408)&gt;1,"⚠ Duplicado","OK"))</f>
        <v/>
      </c>
      <c r="R408" s="74" t="str">
        <f aca="false">IF(OR(P408="",U408=""),"",MAX(0,U408-N(E408)-N(F408)-N(H408)))</f>
        <v/>
      </c>
      <c r="S408" s="75" t="str">
        <f aca="false">IF(P408="","",IFERROR(INDEX(T_INGRESO,MATCH(C408,T_ID,0)),""))</f>
        <v/>
      </c>
      <c r="T408" s="75" t="str">
        <f aca="false">IF(P408="","",IFERROR(N(INDEX(T_EGRESO,MATCH(C408,T_ID,0))),0))</f>
        <v/>
      </c>
      <c r="U408" s="73" t="str">
        <f aca="false">IF(OR(P408="",NOT(ISNUMBER(S408))),"",IF(OR(S408&gt;EOMONTH(B408,0),AND(T408&gt;0,T408&lt;B408)),0,IF(AND(S408&lt;=B408,OR(T408=0,T408&gt;=EOMONTH(B408,0))),30,MIN(30,IF(T408=0,EOMONTH(B408,0),MIN(T408,EOMONTH(B408,0)))-MAX(B408,S408)+1))))</f>
        <v/>
      </c>
    </row>
    <row r="409" customFormat="false" ht="15" hidden="false" customHeight="false" outlineLevel="0" collapsed="false">
      <c r="B409" s="78"/>
      <c r="C409" s="64"/>
      <c r="D409" s="70" t="str">
        <f aca="false">IF(C409="","",IFERROR(INDEX(T_NOMBRE,MATCH(C409,T_ID,0)),"⚠ ID no existe"))</f>
        <v/>
      </c>
      <c r="E409" s="69"/>
      <c r="F409" s="69"/>
      <c r="G409" s="69"/>
      <c r="H409" s="69"/>
      <c r="I409" s="66"/>
      <c r="J409" s="69"/>
      <c r="K409" s="67"/>
      <c r="L409" s="67"/>
      <c r="M409" s="67"/>
      <c r="N409" s="67"/>
      <c r="O409" s="64"/>
      <c r="P409" s="72" t="str">
        <f aca="false">IF(OR(B409="",C409=""),"",C409&amp;"|"&amp;(YEAR(B409)*100+MONTH(B409)))</f>
        <v/>
      </c>
      <c r="Q409" s="70" t="str">
        <f aca="false">IF(P409="","",IF(COUNTIF(N_CLAVE,P409)&gt;1,"⚠ Duplicado","OK"))</f>
        <v/>
      </c>
      <c r="R409" s="74" t="str">
        <f aca="false">IF(OR(P409="",U409=""),"",MAX(0,U409-N(E409)-N(F409)-N(H409)))</f>
        <v/>
      </c>
      <c r="S409" s="75" t="str">
        <f aca="false">IF(P409="","",IFERROR(INDEX(T_INGRESO,MATCH(C409,T_ID,0)),""))</f>
        <v/>
      </c>
      <c r="T409" s="75" t="str">
        <f aca="false">IF(P409="","",IFERROR(N(INDEX(T_EGRESO,MATCH(C409,T_ID,0))),0))</f>
        <v/>
      </c>
      <c r="U409" s="73" t="str">
        <f aca="false">IF(OR(P409="",NOT(ISNUMBER(S409))),"",IF(OR(S409&gt;EOMONTH(B409,0),AND(T409&gt;0,T409&lt;B409)),0,IF(AND(S409&lt;=B409,OR(T409=0,T409&gt;=EOMONTH(B409,0))),30,MIN(30,IF(T409=0,EOMONTH(B409,0),MIN(T409,EOMONTH(B409,0)))-MAX(B409,S409)+1))))</f>
        <v/>
      </c>
    </row>
    <row r="410" customFormat="false" ht="15" hidden="false" customHeight="false" outlineLevel="0" collapsed="false">
      <c r="B410" s="78"/>
      <c r="C410" s="64"/>
      <c r="D410" s="70" t="str">
        <f aca="false">IF(C410="","",IFERROR(INDEX(T_NOMBRE,MATCH(C410,T_ID,0)),"⚠ ID no existe"))</f>
        <v/>
      </c>
      <c r="E410" s="69"/>
      <c r="F410" s="69"/>
      <c r="G410" s="69"/>
      <c r="H410" s="69"/>
      <c r="I410" s="66"/>
      <c r="J410" s="69"/>
      <c r="K410" s="67"/>
      <c r="L410" s="67"/>
      <c r="M410" s="67"/>
      <c r="N410" s="67"/>
      <c r="O410" s="64"/>
      <c r="P410" s="72" t="str">
        <f aca="false">IF(OR(B410="",C410=""),"",C410&amp;"|"&amp;(YEAR(B410)*100+MONTH(B410)))</f>
        <v/>
      </c>
      <c r="Q410" s="70" t="str">
        <f aca="false">IF(P410="","",IF(COUNTIF(N_CLAVE,P410)&gt;1,"⚠ Duplicado","OK"))</f>
        <v/>
      </c>
      <c r="R410" s="74" t="str">
        <f aca="false">IF(OR(P410="",U410=""),"",MAX(0,U410-N(E410)-N(F410)-N(H410)))</f>
        <v/>
      </c>
      <c r="S410" s="75" t="str">
        <f aca="false">IF(P410="","",IFERROR(INDEX(T_INGRESO,MATCH(C410,T_ID,0)),""))</f>
        <v/>
      </c>
      <c r="T410" s="75" t="str">
        <f aca="false">IF(P410="","",IFERROR(N(INDEX(T_EGRESO,MATCH(C410,T_ID,0))),0))</f>
        <v/>
      </c>
      <c r="U410" s="73" t="str">
        <f aca="false">IF(OR(P410="",NOT(ISNUMBER(S410))),"",IF(OR(S410&gt;EOMONTH(B410,0),AND(T410&gt;0,T410&lt;B410)),0,IF(AND(S410&lt;=B410,OR(T410=0,T410&gt;=EOMONTH(B410,0))),30,MIN(30,IF(T410=0,EOMONTH(B410,0),MIN(T410,EOMONTH(B410,0)))-MAX(B410,S410)+1))))</f>
        <v/>
      </c>
    </row>
    <row r="411" customFormat="false" ht="15" hidden="false" customHeight="false" outlineLevel="0" collapsed="false">
      <c r="B411" s="78"/>
      <c r="C411" s="64"/>
      <c r="D411" s="70" t="str">
        <f aca="false">IF(C411="","",IFERROR(INDEX(T_NOMBRE,MATCH(C411,T_ID,0)),"⚠ ID no existe"))</f>
        <v/>
      </c>
      <c r="E411" s="69"/>
      <c r="F411" s="69"/>
      <c r="G411" s="69"/>
      <c r="H411" s="69"/>
      <c r="I411" s="66"/>
      <c r="J411" s="69"/>
      <c r="K411" s="67"/>
      <c r="L411" s="67"/>
      <c r="M411" s="67"/>
      <c r="N411" s="67"/>
      <c r="O411" s="64"/>
      <c r="P411" s="72" t="str">
        <f aca="false">IF(OR(B411="",C411=""),"",C411&amp;"|"&amp;(YEAR(B411)*100+MONTH(B411)))</f>
        <v/>
      </c>
      <c r="Q411" s="70" t="str">
        <f aca="false">IF(P411="","",IF(COUNTIF(N_CLAVE,P411)&gt;1,"⚠ Duplicado","OK"))</f>
        <v/>
      </c>
      <c r="R411" s="74" t="str">
        <f aca="false">IF(OR(P411="",U411=""),"",MAX(0,U411-N(E411)-N(F411)-N(H411)))</f>
        <v/>
      </c>
      <c r="S411" s="75" t="str">
        <f aca="false">IF(P411="","",IFERROR(INDEX(T_INGRESO,MATCH(C411,T_ID,0)),""))</f>
        <v/>
      </c>
      <c r="T411" s="75" t="str">
        <f aca="false">IF(P411="","",IFERROR(N(INDEX(T_EGRESO,MATCH(C411,T_ID,0))),0))</f>
        <v/>
      </c>
      <c r="U411" s="73" t="str">
        <f aca="false">IF(OR(P411="",NOT(ISNUMBER(S411))),"",IF(OR(S411&gt;EOMONTH(B411,0),AND(T411&gt;0,T411&lt;B411)),0,IF(AND(S411&lt;=B411,OR(T411=0,T411&gt;=EOMONTH(B411,0))),30,MIN(30,IF(T411=0,EOMONTH(B411,0),MIN(T411,EOMONTH(B411,0)))-MAX(B411,S411)+1))))</f>
        <v/>
      </c>
    </row>
    <row r="412" customFormat="false" ht="15" hidden="false" customHeight="false" outlineLevel="0" collapsed="false">
      <c r="B412" s="78"/>
      <c r="C412" s="64"/>
      <c r="D412" s="70" t="str">
        <f aca="false">IF(C412="","",IFERROR(INDEX(T_NOMBRE,MATCH(C412,T_ID,0)),"⚠ ID no existe"))</f>
        <v/>
      </c>
      <c r="E412" s="69"/>
      <c r="F412" s="69"/>
      <c r="G412" s="69"/>
      <c r="H412" s="69"/>
      <c r="I412" s="66"/>
      <c r="J412" s="69"/>
      <c r="K412" s="67"/>
      <c r="L412" s="67"/>
      <c r="M412" s="67"/>
      <c r="N412" s="67"/>
      <c r="O412" s="64"/>
      <c r="P412" s="72" t="str">
        <f aca="false">IF(OR(B412="",C412=""),"",C412&amp;"|"&amp;(YEAR(B412)*100+MONTH(B412)))</f>
        <v/>
      </c>
      <c r="Q412" s="70" t="str">
        <f aca="false">IF(P412="","",IF(COUNTIF(N_CLAVE,P412)&gt;1,"⚠ Duplicado","OK"))</f>
        <v/>
      </c>
      <c r="R412" s="74" t="str">
        <f aca="false">IF(OR(P412="",U412=""),"",MAX(0,U412-N(E412)-N(F412)-N(H412)))</f>
        <v/>
      </c>
      <c r="S412" s="75" t="str">
        <f aca="false">IF(P412="","",IFERROR(INDEX(T_INGRESO,MATCH(C412,T_ID,0)),""))</f>
        <v/>
      </c>
      <c r="T412" s="75" t="str">
        <f aca="false">IF(P412="","",IFERROR(N(INDEX(T_EGRESO,MATCH(C412,T_ID,0))),0))</f>
        <v/>
      </c>
      <c r="U412" s="73" t="str">
        <f aca="false">IF(OR(P412="",NOT(ISNUMBER(S412))),"",IF(OR(S412&gt;EOMONTH(B412,0),AND(T412&gt;0,T412&lt;B412)),0,IF(AND(S412&lt;=B412,OR(T412=0,T412&gt;=EOMONTH(B412,0))),30,MIN(30,IF(T412=0,EOMONTH(B412,0),MIN(T412,EOMONTH(B412,0)))-MAX(B412,S412)+1))))</f>
        <v/>
      </c>
    </row>
    <row r="413" customFormat="false" ht="15" hidden="false" customHeight="false" outlineLevel="0" collapsed="false">
      <c r="B413" s="78"/>
      <c r="C413" s="64"/>
      <c r="D413" s="70" t="str">
        <f aca="false">IF(C413="","",IFERROR(INDEX(T_NOMBRE,MATCH(C413,T_ID,0)),"⚠ ID no existe"))</f>
        <v/>
      </c>
      <c r="E413" s="69"/>
      <c r="F413" s="69"/>
      <c r="G413" s="69"/>
      <c r="H413" s="69"/>
      <c r="I413" s="66"/>
      <c r="J413" s="69"/>
      <c r="K413" s="67"/>
      <c r="L413" s="67"/>
      <c r="M413" s="67"/>
      <c r="N413" s="67"/>
      <c r="O413" s="64"/>
      <c r="P413" s="72" t="str">
        <f aca="false">IF(OR(B413="",C413=""),"",C413&amp;"|"&amp;(YEAR(B413)*100+MONTH(B413)))</f>
        <v/>
      </c>
      <c r="Q413" s="70" t="str">
        <f aca="false">IF(P413="","",IF(COUNTIF(N_CLAVE,P413)&gt;1,"⚠ Duplicado","OK"))</f>
        <v/>
      </c>
      <c r="R413" s="74" t="str">
        <f aca="false">IF(OR(P413="",U413=""),"",MAX(0,U413-N(E413)-N(F413)-N(H413)))</f>
        <v/>
      </c>
      <c r="S413" s="75" t="str">
        <f aca="false">IF(P413="","",IFERROR(INDEX(T_INGRESO,MATCH(C413,T_ID,0)),""))</f>
        <v/>
      </c>
      <c r="T413" s="75" t="str">
        <f aca="false">IF(P413="","",IFERROR(N(INDEX(T_EGRESO,MATCH(C413,T_ID,0))),0))</f>
        <v/>
      </c>
      <c r="U413" s="73" t="str">
        <f aca="false">IF(OR(P413="",NOT(ISNUMBER(S413))),"",IF(OR(S413&gt;EOMONTH(B413,0),AND(T413&gt;0,T413&lt;B413)),0,IF(AND(S413&lt;=B413,OR(T413=0,T413&gt;=EOMONTH(B413,0))),30,MIN(30,IF(T413=0,EOMONTH(B413,0),MIN(T413,EOMONTH(B413,0)))-MAX(B413,S413)+1))))</f>
        <v/>
      </c>
    </row>
    <row r="414" customFormat="false" ht="15" hidden="false" customHeight="false" outlineLevel="0" collapsed="false">
      <c r="B414" s="78"/>
      <c r="C414" s="64"/>
      <c r="D414" s="70" t="str">
        <f aca="false">IF(C414="","",IFERROR(INDEX(T_NOMBRE,MATCH(C414,T_ID,0)),"⚠ ID no existe"))</f>
        <v/>
      </c>
      <c r="E414" s="69"/>
      <c r="F414" s="69"/>
      <c r="G414" s="69"/>
      <c r="H414" s="69"/>
      <c r="I414" s="66"/>
      <c r="J414" s="69"/>
      <c r="K414" s="67"/>
      <c r="L414" s="67"/>
      <c r="M414" s="67"/>
      <c r="N414" s="67"/>
      <c r="O414" s="64"/>
      <c r="P414" s="72" t="str">
        <f aca="false">IF(OR(B414="",C414=""),"",C414&amp;"|"&amp;(YEAR(B414)*100+MONTH(B414)))</f>
        <v/>
      </c>
      <c r="Q414" s="70" t="str">
        <f aca="false">IF(P414="","",IF(COUNTIF(N_CLAVE,P414)&gt;1,"⚠ Duplicado","OK"))</f>
        <v/>
      </c>
      <c r="R414" s="74" t="str">
        <f aca="false">IF(OR(P414="",U414=""),"",MAX(0,U414-N(E414)-N(F414)-N(H414)))</f>
        <v/>
      </c>
      <c r="S414" s="75" t="str">
        <f aca="false">IF(P414="","",IFERROR(INDEX(T_INGRESO,MATCH(C414,T_ID,0)),""))</f>
        <v/>
      </c>
      <c r="T414" s="75" t="str">
        <f aca="false">IF(P414="","",IFERROR(N(INDEX(T_EGRESO,MATCH(C414,T_ID,0))),0))</f>
        <v/>
      </c>
      <c r="U414" s="73" t="str">
        <f aca="false">IF(OR(P414="",NOT(ISNUMBER(S414))),"",IF(OR(S414&gt;EOMONTH(B414,0),AND(T414&gt;0,T414&lt;B414)),0,IF(AND(S414&lt;=B414,OR(T414=0,T414&gt;=EOMONTH(B414,0))),30,MIN(30,IF(T414=0,EOMONTH(B414,0),MIN(T414,EOMONTH(B414,0)))-MAX(B414,S414)+1))))</f>
        <v/>
      </c>
    </row>
    <row r="415" customFormat="false" ht="15" hidden="false" customHeight="false" outlineLevel="0" collapsed="false">
      <c r="B415" s="78"/>
      <c r="C415" s="64"/>
      <c r="D415" s="70" t="str">
        <f aca="false">IF(C415="","",IFERROR(INDEX(T_NOMBRE,MATCH(C415,T_ID,0)),"⚠ ID no existe"))</f>
        <v/>
      </c>
      <c r="E415" s="69"/>
      <c r="F415" s="69"/>
      <c r="G415" s="69"/>
      <c r="H415" s="69"/>
      <c r="I415" s="66"/>
      <c r="J415" s="69"/>
      <c r="K415" s="67"/>
      <c r="L415" s="67"/>
      <c r="M415" s="67"/>
      <c r="N415" s="67"/>
      <c r="O415" s="64"/>
      <c r="P415" s="72" t="str">
        <f aca="false">IF(OR(B415="",C415=""),"",C415&amp;"|"&amp;(YEAR(B415)*100+MONTH(B415)))</f>
        <v/>
      </c>
      <c r="Q415" s="70" t="str">
        <f aca="false">IF(P415="","",IF(COUNTIF(N_CLAVE,P415)&gt;1,"⚠ Duplicado","OK"))</f>
        <v/>
      </c>
      <c r="R415" s="74" t="str">
        <f aca="false">IF(OR(P415="",U415=""),"",MAX(0,U415-N(E415)-N(F415)-N(H415)))</f>
        <v/>
      </c>
      <c r="S415" s="75" t="str">
        <f aca="false">IF(P415="","",IFERROR(INDEX(T_INGRESO,MATCH(C415,T_ID,0)),""))</f>
        <v/>
      </c>
      <c r="T415" s="75" t="str">
        <f aca="false">IF(P415="","",IFERROR(N(INDEX(T_EGRESO,MATCH(C415,T_ID,0))),0))</f>
        <v/>
      </c>
      <c r="U415" s="73" t="str">
        <f aca="false">IF(OR(P415="",NOT(ISNUMBER(S415))),"",IF(OR(S415&gt;EOMONTH(B415,0),AND(T415&gt;0,T415&lt;B415)),0,IF(AND(S415&lt;=B415,OR(T415=0,T415&gt;=EOMONTH(B415,0))),30,MIN(30,IF(T415=0,EOMONTH(B415,0),MIN(T415,EOMONTH(B415,0)))-MAX(B415,S415)+1))))</f>
        <v/>
      </c>
    </row>
    <row r="416" customFormat="false" ht="15" hidden="false" customHeight="false" outlineLevel="0" collapsed="false">
      <c r="B416" s="78"/>
      <c r="C416" s="64"/>
      <c r="D416" s="70" t="str">
        <f aca="false">IF(C416="","",IFERROR(INDEX(T_NOMBRE,MATCH(C416,T_ID,0)),"⚠ ID no existe"))</f>
        <v/>
      </c>
      <c r="E416" s="69"/>
      <c r="F416" s="69"/>
      <c r="G416" s="69"/>
      <c r="H416" s="69"/>
      <c r="I416" s="66"/>
      <c r="J416" s="69"/>
      <c r="K416" s="67"/>
      <c r="L416" s="67"/>
      <c r="M416" s="67"/>
      <c r="N416" s="67"/>
      <c r="O416" s="64"/>
      <c r="P416" s="72" t="str">
        <f aca="false">IF(OR(B416="",C416=""),"",C416&amp;"|"&amp;(YEAR(B416)*100+MONTH(B416)))</f>
        <v/>
      </c>
      <c r="Q416" s="70" t="str">
        <f aca="false">IF(P416="","",IF(COUNTIF(N_CLAVE,P416)&gt;1,"⚠ Duplicado","OK"))</f>
        <v/>
      </c>
      <c r="R416" s="74" t="str">
        <f aca="false">IF(OR(P416="",U416=""),"",MAX(0,U416-N(E416)-N(F416)-N(H416)))</f>
        <v/>
      </c>
      <c r="S416" s="75" t="str">
        <f aca="false">IF(P416="","",IFERROR(INDEX(T_INGRESO,MATCH(C416,T_ID,0)),""))</f>
        <v/>
      </c>
      <c r="T416" s="75" t="str">
        <f aca="false">IF(P416="","",IFERROR(N(INDEX(T_EGRESO,MATCH(C416,T_ID,0))),0))</f>
        <v/>
      </c>
      <c r="U416" s="73" t="str">
        <f aca="false">IF(OR(P416="",NOT(ISNUMBER(S416))),"",IF(OR(S416&gt;EOMONTH(B416,0),AND(T416&gt;0,T416&lt;B416)),0,IF(AND(S416&lt;=B416,OR(T416=0,T416&gt;=EOMONTH(B416,0))),30,MIN(30,IF(T416=0,EOMONTH(B416,0),MIN(T416,EOMONTH(B416,0)))-MAX(B416,S416)+1))))</f>
        <v/>
      </c>
    </row>
    <row r="417" customFormat="false" ht="15" hidden="false" customHeight="false" outlineLevel="0" collapsed="false">
      <c r="B417" s="78"/>
      <c r="C417" s="64"/>
      <c r="D417" s="70" t="str">
        <f aca="false">IF(C417="","",IFERROR(INDEX(T_NOMBRE,MATCH(C417,T_ID,0)),"⚠ ID no existe"))</f>
        <v/>
      </c>
      <c r="E417" s="69"/>
      <c r="F417" s="69"/>
      <c r="G417" s="69"/>
      <c r="H417" s="69"/>
      <c r="I417" s="66"/>
      <c r="J417" s="69"/>
      <c r="K417" s="67"/>
      <c r="L417" s="67"/>
      <c r="M417" s="67"/>
      <c r="N417" s="67"/>
      <c r="O417" s="64"/>
      <c r="P417" s="72" t="str">
        <f aca="false">IF(OR(B417="",C417=""),"",C417&amp;"|"&amp;(YEAR(B417)*100+MONTH(B417)))</f>
        <v/>
      </c>
      <c r="Q417" s="70" t="str">
        <f aca="false">IF(P417="","",IF(COUNTIF(N_CLAVE,P417)&gt;1,"⚠ Duplicado","OK"))</f>
        <v/>
      </c>
      <c r="R417" s="74" t="str">
        <f aca="false">IF(OR(P417="",U417=""),"",MAX(0,U417-N(E417)-N(F417)-N(H417)))</f>
        <v/>
      </c>
      <c r="S417" s="75" t="str">
        <f aca="false">IF(P417="","",IFERROR(INDEX(T_INGRESO,MATCH(C417,T_ID,0)),""))</f>
        <v/>
      </c>
      <c r="T417" s="75" t="str">
        <f aca="false">IF(P417="","",IFERROR(N(INDEX(T_EGRESO,MATCH(C417,T_ID,0))),0))</f>
        <v/>
      </c>
      <c r="U417" s="73" t="str">
        <f aca="false">IF(OR(P417="",NOT(ISNUMBER(S417))),"",IF(OR(S417&gt;EOMONTH(B417,0),AND(T417&gt;0,T417&lt;B417)),0,IF(AND(S417&lt;=B417,OR(T417=0,T417&gt;=EOMONTH(B417,0))),30,MIN(30,IF(T417=0,EOMONTH(B417,0),MIN(T417,EOMONTH(B417,0)))-MAX(B417,S417)+1))))</f>
        <v/>
      </c>
    </row>
    <row r="418" customFormat="false" ht="15" hidden="false" customHeight="false" outlineLevel="0" collapsed="false">
      <c r="B418" s="78"/>
      <c r="C418" s="64"/>
      <c r="D418" s="70" t="str">
        <f aca="false">IF(C418="","",IFERROR(INDEX(T_NOMBRE,MATCH(C418,T_ID,0)),"⚠ ID no existe"))</f>
        <v/>
      </c>
      <c r="E418" s="69"/>
      <c r="F418" s="69"/>
      <c r="G418" s="69"/>
      <c r="H418" s="69"/>
      <c r="I418" s="66"/>
      <c r="J418" s="69"/>
      <c r="K418" s="67"/>
      <c r="L418" s="67"/>
      <c r="M418" s="67"/>
      <c r="N418" s="67"/>
      <c r="O418" s="64"/>
      <c r="P418" s="72" t="str">
        <f aca="false">IF(OR(B418="",C418=""),"",C418&amp;"|"&amp;(YEAR(B418)*100+MONTH(B418)))</f>
        <v/>
      </c>
      <c r="Q418" s="70" t="str">
        <f aca="false">IF(P418="","",IF(COUNTIF(N_CLAVE,P418)&gt;1,"⚠ Duplicado","OK"))</f>
        <v/>
      </c>
      <c r="R418" s="74" t="str">
        <f aca="false">IF(OR(P418="",U418=""),"",MAX(0,U418-N(E418)-N(F418)-N(H418)))</f>
        <v/>
      </c>
      <c r="S418" s="75" t="str">
        <f aca="false">IF(P418="","",IFERROR(INDEX(T_INGRESO,MATCH(C418,T_ID,0)),""))</f>
        <v/>
      </c>
      <c r="T418" s="75" t="str">
        <f aca="false">IF(P418="","",IFERROR(N(INDEX(T_EGRESO,MATCH(C418,T_ID,0))),0))</f>
        <v/>
      </c>
      <c r="U418" s="73" t="str">
        <f aca="false">IF(OR(P418="",NOT(ISNUMBER(S418))),"",IF(OR(S418&gt;EOMONTH(B418,0),AND(T418&gt;0,T418&lt;B418)),0,IF(AND(S418&lt;=B418,OR(T418=0,T418&gt;=EOMONTH(B418,0))),30,MIN(30,IF(T418=0,EOMONTH(B418,0),MIN(T418,EOMONTH(B418,0)))-MAX(B418,S418)+1))))</f>
        <v/>
      </c>
    </row>
    <row r="419" customFormat="false" ht="15" hidden="false" customHeight="false" outlineLevel="0" collapsed="false">
      <c r="B419" s="78"/>
      <c r="C419" s="64"/>
      <c r="D419" s="70" t="str">
        <f aca="false">IF(C419="","",IFERROR(INDEX(T_NOMBRE,MATCH(C419,T_ID,0)),"⚠ ID no existe"))</f>
        <v/>
      </c>
      <c r="E419" s="69"/>
      <c r="F419" s="69"/>
      <c r="G419" s="69"/>
      <c r="H419" s="69"/>
      <c r="I419" s="66"/>
      <c r="J419" s="69"/>
      <c r="K419" s="67"/>
      <c r="L419" s="67"/>
      <c r="M419" s="67"/>
      <c r="N419" s="67"/>
      <c r="O419" s="64"/>
      <c r="P419" s="72" t="str">
        <f aca="false">IF(OR(B419="",C419=""),"",C419&amp;"|"&amp;(YEAR(B419)*100+MONTH(B419)))</f>
        <v/>
      </c>
      <c r="Q419" s="70" t="str">
        <f aca="false">IF(P419="","",IF(COUNTIF(N_CLAVE,P419)&gt;1,"⚠ Duplicado","OK"))</f>
        <v/>
      </c>
      <c r="R419" s="74" t="str">
        <f aca="false">IF(OR(P419="",U419=""),"",MAX(0,U419-N(E419)-N(F419)-N(H419)))</f>
        <v/>
      </c>
      <c r="S419" s="75" t="str">
        <f aca="false">IF(P419="","",IFERROR(INDEX(T_INGRESO,MATCH(C419,T_ID,0)),""))</f>
        <v/>
      </c>
      <c r="T419" s="75" t="str">
        <f aca="false">IF(P419="","",IFERROR(N(INDEX(T_EGRESO,MATCH(C419,T_ID,0))),0))</f>
        <v/>
      </c>
      <c r="U419" s="73" t="str">
        <f aca="false">IF(OR(P419="",NOT(ISNUMBER(S419))),"",IF(OR(S419&gt;EOMONTH(B419,0),AND(T419&gt;0,T419&lt;B419)),0,IF(AND(S419&lt;=B419,OR(T419=0,T419&gt;=EOMONTH(B419,0))),30,MIN(30,IF(T419=0,EOMONTH(B419,0),MIN(T419,EOMONTH(B419,0)))-MAX(B419,S419)+1))))</f>
        <v/>
      </c>
    </row>
    <row r="420" customFormat="false" ht="15" hidden="false" customHeight="false" outlineLevel="0" collapsed="false">
      <c r="B420" s="78"/>
      <c r="C420" s="64"/>
      <c r="D420" s="70" t="str">
        <f aca="false">IF(C420="","",IFERROR(INDEX(T_NOMBRE,MATCH(C420,T_ID,0)),"⚠ ID no existe"))</f>
        <v/>
      </c>
      <c r="E420" s="69"/>
      <c r="F420" s="69"/>
      <c r="G420" s="69"/>
      <c r="H420" s="69"/>
      <c r="I420" s="66"/>
      <c r="J420" s="69"/>
      <c r="K420" s="67"/>
      <c r="L420" s="67"/>
      <c r="M420" s="67"/>
      <c r="N420" s="67"/>
      <c r="O420" s="64"/>
      <c r="P420" s="72" t="str">
        <f aca="false">IF(OR(B420="",C420=""),"",C420&amp;"|"&amp;(YEAR(B420)*100+MONTH(B420)))</f>
        <v/>
      </c>
      <c r="Q420" s="70" t="str">
        <f aca="false">IF(P420="","",IF(COUNTIF(N_CLAVE,P420)&gt;1,"⚠ Duplicado","OK"))</f>
        <v/>
      </c>
      <c r="R420" s="74" t="str">
        <f aca="false">IF(OR(P420="",U420=""),"",MAX(0,U420-N(E420)-N(F420)-N(H420)))</f>
        <v/>
      </c>
      <c r="S420" s="75" t="str">
        <f aca="false">IF(P420="","",IFERROR(INDEX(T_INGRESO,MATCH(C420,T_ID,0)),""))</f>
        <v/>
      </c>
      <c r="T420" s="75" t="str">
        <f aca="false">IF(P420="","",IFERROR(N(INDEX(T_EGRESO,MATCH(C420,T_ID,0))),0))</f>
        <v/>
      </c>
      <c r="U420" s="73" t="str">
        <f aca="false">IF(OR(P420="",NOT(ISNUMBER(S420))),"",IF(OR(S420&gt;EOMONTH(B420,0),AND(T420&gt;0,T420&lt;B420)),0,IF(AND(S420&lt;=B420,OR(T420=0,T420&gt;=EOMONTH(B420,0))),30,MIN(30,IF(T420=0,EOMONTH(B420,0),MIN(T420,EOMONTH(B420,0)))-MAX(B420,S420)+1))))</f>
        <v/>
      </c>
    </row>
    <row r="421" customFormat="false" ht="15" hidden="false" customHeight="false" outlineLevel="0" collapsed="false">
      <c r="B421" s="78"/>
      <c r="C421" s="64"/>
      <c r="D421" s="70" t="str">
        <f aca="false">IF(C421="","",IFERROR(INDEX(T_NOMBRE,MATCH(C421,T_ID,0)),"⚠ ID no existe"))</f>
        <v/>
      </c>
      <c r="E421" s="69"/>
      <c r="F421" s="69"/>
      <c r="G421" s="69"/>
      <c r="H421" s="69"/>
      <c r="I421" s="66"/>
      <c r="J421" s="69"/>
      <c r="K421" s="67"/>
      <c r="L421" s="67"/>
      <c r="M421" s="67"/>
      <c r="N421" s="67"/>
      <c r="O421" s="64"/>
      <c r="P421" s="72" t="str">
        <f aca="false">IF(OR(B421="",C421=""),"",C421&amp;"|"&amp;(YEAR(B421)*100+MONTH(B421)))</f>
        <v/>
      </c>
      <c r="Q421" s="70" t="str">
        <f aca="false">IF(P421="","",IF(COUNTIF(N_CLAVE,P421)&gt;1,"⚠ Duplicado","OK"))</f>
        <v/>
      </c>
      <c r="R421" s="74" t="str">
        <f aca="false">IF(OR(P421="",U421=""),"",MAX(0,U421-N(E421)-N(F421)-N(H421)))</f>
        <v/>
      </c>
      <c r="S421" s="75" t="str">
        <f aca="false">IF(P421="","",IFERROR(INDEX(T_INGRESO,MATCH(C421,T_ID,0)),""))</f>
        <v/>
      </c>
      <c r="T421" s="75" t="str">
        <f aca="false">IF(P421="","",IFERROR(N(INDEX(T_EGRESO,MATCH(C421,T_ID,0))),0))</f>
        <v/>
      </c>
      <c r="U421" s="73" t="str">
        <f aca="false">IF(OR(P421="",NOT(ISNUMBER(S421))),"",IF(OR(S421&gt;EOMONTH(B421,0),AND(T421&gt;0,T421&lt;B421)),0,IF(AND(S421&lt;=B421,OR(T421=0,T421&gt;=EOMONTH(B421,0))),30,MIN(30,IF(T421=0,EOMONTH(B421,0),MIN(T421,EOMONTH(B421,0)))-MAX(B421,S421)+1))))</f>
        <v/>
      </c>
    </row>
    <row r="422" customFormat="false" ht="15" hidden="false" customHeight="false" outlineLevel="0" collapsed="false">
      <c r="B422" s="78"/>
      <c r="C422" s="64"/>
      <c r="D422" s="70" t="str">
        <f aca="false">IF(C422="","",IFERROR(INDEX(T_NOMBRE,MATCH(C422,T_ID,0)),"⚠ ID no existe"))</f>
        <v/>
      </c>
      <c r="E422" s="69"/>
      <c r="F422" s="69"/>
      <c r="G422" s="69"/>
      <c r="H422" s="69"/>
      <c r="I422" s="66"/>
      <c r="J422" s="69"/>
      <c r="K422" s="67"/>
      <c r="L422" s="67"/>
      <c r="M422" s="67"/>
      <c r="N422" s="67"/>
      <c r="O422" s="64"/>
      <c r="P422" s="72" t="str">
        <f aca="false">IF(OR(B422="",C422=""),"",C422&amp;"|"&amp;(YEAR(B422)*100+MONTH(B422)))</f>
        <v/>
      </c>
      <c r="Q422" s="70" t="str">
        <f aca="false">IF(P422="","",IF(COUNTIF(N_CLAVE,P422)&gt;1,"⚠ Duplicado","OK"))</f>
        <v/>
      </c>
      <c r="R422" s="74" t="str">
        <f aca="false">IF(OR(P422="",U422=""),"",MAX(0,U422-N(E422)-N(F422)-N(H422)))</f>
        <v/>
      </c>
      <c r="S422" s="75" t="str">
        <f aca="false">IF(P422="","",IFERROR(INDEX(T_INGRESO,MATCH(C422,T_ID,0)),""))</f>
        <v/>
      </c>
      <c r="T422" s="75" t="str">
        <f aca="false">IF(P422="","",IFERROR(N(INDEX(T_EGRESO,MATCH(C422,T_ID,0))),0))</f>
        <v/>
      </c>
      <c r="U422" s="73" t="str">
        <f aca="false">IF(OR(P422="",NOT(ISNUMBER(S422))),"",IF(OR(S422&gt;EOMONTH(B422,0),AND(T422&gt;0,T422&lt;B422)),0,IF(AND(S422&lt;=B422,OR(T422=0,T422&gt;=EOMONTH(B422,0))),30,MIN(30,IF(T422=0,EOMONTH(B422,0),MIN(T422,EOMONTH(B422,0)))-MAX(B422,S422)+1))))</f>
        <v/>
      </c>
    </row>
    <row r="423" customFormat="false" ht="15" hidden="false" customHeight="false" outlineLevel="0" collapsed="false">
      <c r="B423" s="78"/>
      <c r="C423" s="64"/>
      <c r="D423" s="70" t="str">
        <f aca="false">IF(C423="","",IFERROR(INDEX(T_NOMBRE,MATCH(C423,T_ID,0)),"⚠ ID no existe"))</f>
        <v/>
      </c>
      <c r="E423" s="69"/>
      <c r="F423" s="69"/>
      <c r="G423" s="69"/>
      <c r="H423" s="69"/>
      <c r="I423" s="66"/>
      <c r="J423" s="69"/>
      <c r="K423" s="67"/>
      <c r="L423" s="67"/>
      <c r="M423" s="67"/>
      <c r="N423" s="67"/>
      <c r="O423" s="64"/>
      <c r="P423" s="72" t="str">
        <f aca="false">IF(OR(B423="",C423=""),"",C423&amp;"|"&amp;(YEAR(B423)*100+MONTH(B423)))</f>
        <v/>
      </c>
      <c r="Q423" s="70" t="str">
        <f aca="false">IF(P423="","",IF(COUNTIF(N_CLAVE,P423)&gt;1,"⚠ Duplicado","OK"))</f>
        <v/>
      </c>
      <c r="R423" s="74" t="str">
        <f aca="false">IF(OR(P423="",U423=""),"",MAX(0,U423-N(E423)-N(F423)-N(H423)))</f>
        <v/>
      </c>
      <c r="S423" s="75" t="str">
        <f aca="false">IF(P423="","",IFERROR(INDEX(T_INGRESO,MATCH(C423,T_ID,0)),""))</f>
        <v/>
      </c>
      <c r="T423" s="75" t="str">
        <f aca="false">IF(P423="","",IFERROR(N(INDEX(T_EGRESO,MATCH(C423,T_ID,0))),0))</f>
        <v/>
      </c>
      <c r="U423" s="73" t="str">
        <f aca="false">IF(OR(P423="",NOT(ISNUMBER(S423))),"",IF(OR(S423&gt;EOMONTH(B423,0),AND(T423&gt;0,T423&lt;B423)),0,IF(AND(S423&lt;=B423,OR(T423=0,T423&gt;=EOMONTH(B423,0))),30,MIN(30,IF(T423=0,EOMONTH(B423,0),MIN(T423,EOMONTH(B423,0)))-MAX(B423,S423)+1))))</f>
        <v/>
      </c>
    </row>
    <row r="424" customFormat="false" ht="15" hidden="false" customHeight="false" outlineLevel="0" collapsed="false">
      <c r="B424" s="78"/>
      <c r="C424" s="64"/>
      <c r="D424" s="70" t="str">
        <f aca="false">IF(C424="","",IFERROR(INDEX(T_NOMBRE,MATCH(C424,T_ID,0)),"⚠ ID no existe"))</f>
        <v/>
      </c>
      <c r="E424" s="69"/>
      <c r="F424" s="69"/>
      <c r="G424" s="69"/>
      <c r="H424" s="69"/>
      <c r="I424" s="66"/>
      <c r="J424" s="69"/>
      <c r="K424" s="67"/>
      <c r="L424" s="67"/>
      <c r="M424" s="67"/>
      <c r="N424" s="67"/>
      <c r="O424" s="64"/>
      <c r="P424" s="72" t="str">
        <f aca="false">IF(OR(B424="",C424=""),"",C424&amp;"|"&amp;(YEAR(B424)*100+MONTH(B424)))</f>
        <v/>
      </c>
      <c r="Q424" s="70" t="str">
        <f aca="false">IF(P424="","",IF(COUNTIF(N_CLAVE,P424)&gt;1,"⚠ Duplicado","OK"))</f>
        <v/>
      </c>
      <c r="R424" s="74" t="str">
        <f aca="false">IF(OR(P424="",U424=""),"",MAX(0,U424-N(E424)-N(F424)-N(H424)))</f>
        <v/>
      </c>
      <c r="S424" s="75" t="str">
        <f aca="false">IF(P424="","",IFERROR(INDEX(T_INGRESO,MATCH(C424,T_ID,0)),""))</f>
        <v/>
      </c>
      <c r="T424" s="75" t="str">
        <f aca="false">IF(P424="","",IFERROR(N(INDEX(T_EGRESO,MATCH(C424,T_ID,0))),0))</f>
        <v/>
      </c>
      <c r="U424" s="73" t="str">
        <f aca="false">IF(OR(P424="",NOT(ISNUMBER(S424))),"",IF(OR(S424&gt;EOMONTH(B424,0),AND(T424&gt;0,T424&lt;B424)),0,IF(AND(S424&lt;=B424,OR(T424=0,T424&gt;=EOMONTH(B424,0))),30,MIN(30,IF(T424=0,EOMONTH(B424,0),MIN(T424,EOMONTH(B424,0)))-MAX(B424,S424)+1))))</f>
        <v/>
      </c>
    </row>
    <row r="425" customFormat="false" ht="15" hidden="false" customHeight="false" outlineLevel="0" collapsed="false">
      <c r="B425" s="78"/>
      <c r="C425" s="64"/>
      <c r="D425" s="70" t="str">
        <f aca="false">IF(C425="","",IFERROR(INDEX(T_NOMBRE,MATCH(C425,T_ID,0)),"⚠ ID no existe"))</f>
        <v/>
      </c>
      <c r="E425" s="69"/>
      <c r="F425" s="69"/>
      <c r="G425" s="69"/>
      <c r="H425" s="69"/>
      <c r="I425" s="66"/>
      <c r="J425" s="69"/>
      <c r="K425" s="67"/>
      <c r="L425" s="67"/>
      <c r="M425" s="67"/>
      <c r="N425" s="67"/>
      <c r="O425" s="64"/>
      <c r="P425" s="72" t="str">
        <f aca="false">IF(OR(B425="",C425=""),"",C425&amp;"|"&amp;(YEAR(B425)*100+MONTH(B425)))</f>
        <v/>
      </c>
      <c r="Q425" s="70" t="str">
        <f aca="false">IF(P425="","",IF(COUNTIF(N_CLAVE,P425)&gt;1,"⚠ Duplicado","OK"))</f>
        <v/>
      </c>
      <c r="R425" s="74" t="str">
        <f aca="false">IF(OR(P425="",U425=""),"",MAX(0,U425-N(E425)-N(F425)-N(H425)))</f>
        <v/>
      </c>
      <c r="S425" s="75" t="str">
        <f aca="false">IF(P425="","",IFERROR(INDEX(T_INGRESO,MATCH(C425,T_ID,0)),""))</f>
        <v/>
      </c>
      <c r="T425" s="75" t="str">
        <f aca="false">IF(P425="","",IFERROR(N(INDEX(T_EGRESO,MATCH(C425,T_ID,0))),0))</f>
        <v/>
      </c>
      <c r="U425" s="73" t="str">
        <f aca="false">IF(OR(P425="",NOT(ISNUMBER(S425))),"",IF(OR(S425&gt;EOMONTH(B425,0),AND(T425&gt;0,T425&lt;B425)),0,IF(AND(S425&lt;=B425,OR(T425=0,T425&gt;=EOMONTH(B425,0))),30,MIN(30,IF(T425=0,EOMONTH(B425,0),MIN(T425,EOMONTH(B425,0)))-MAX(B425,S425)+1))))</f>
        <v/>
      </c>
    </row>
    <row r="426" customFormat="false" ht="15" hidden="false" customHeight="false" outlineLevel="0" collapsed="false">
      <c r="B426" s="78"/>
      <c r="C426" s="64"/>
      <c r="D426" s="70" t="str">
        <f aca="false">IF(C426="","",IFERROR(INDEX(T_NOMBRE,MATCH(C426,T_ID,0)),"⚠ ID no existe"))</f>
        <v/>
      </c>
      <c r="E426" s="69"/>
      <c r="F426" s="69"/>
      <c r="G426" s="69"/>
      <c r="H426" s="69"/>
      <c r="I426" s="66"/>
      <c r="J426" s="69"/>
      <c r="K426" s="67"/>
      <c r="L426" s="67"/>
      <c r="M426" s="67"/>
      <c r="N426" s="67"/>
      <c r="O426" s="64"/>
      <c r="P426" s="72" t="str">
        <f aca="false">IF(OR(B426="",C426=""),"",C426&amp;"|"&amp;(YEAR(B426)*100+MONTH(B426)))</f>
        <v/>
      </c>
      <c r="Q426" s="70" t="str">
        <f aca="false">IF(P426="","",IF(COUNTIF(N_CLAVE,P426)&gt;1,"⚠ Duplicado","OK"))</f>
        <v/>
      </c>
      <c r="R426" s="74" t="str">
        <f aca="false">IF(OR(P426="",U426=""),"",MAX(0,U426-N(E426)-N(F426)-N(H426)))</f>
        <v/>
      </c>
      <c r="S426" s="75" t="str">
        <f aca="false">IF(P426="","",IFERROR(INDEX(T_INGRESO,MATCH(C426,T_ID,0)),""))</f>
        <v/>
      </c>
      <c r="T426" s="75" t="str">
        <f aca="false">IF(P426="","",IFERROR(N(INDEX(T_EGRESO,MATCH(C426,T_ID,0))),0))</f>
        <v/>
      </c>
      <c r="U426" s="73" t="str">
        <f aca="false">IF(OR(P426="",NOT(ISNUMBER(S426))),"",IF(OR(S426&gt;EOMONTH(B426,0),AND(T426&gt;0,T426&lt;B426)),0,IF(AND(S426&lt;=B426,OR(T426=0,T426&gt;=EOMONTH(B426,0))),30,MIN(30,IF(T426=0,EOMONTH(B426,0),MIN(T426,EOMONTH(B426,0)))-MAX(B426,S426)+1))))</f>
        <v/>
      </c>
    </row>
    <row r="427" customFormat="false" ht="15" hidden="false" customHeight="false" outlineLevel="0" collapsed="false">
      <c r="B427" s="78"/>
      <c r="C427" s="64"/>
      <c r="D427" s="70" t="str">
        <f aca="false">IF(C427="","",IFERROR(INDEX(T_NOMBRE,MATCH(C427,T_ID,0)),"⚠ ID no existe"))</f>
        <v/>
      </c>
      <c r="E427" s="69"/>
      <c r="F427" s="69"/>
      <c r="G427" s="69"/>
      <c r="H427" s="69"/>
      <c r="I427" s="66"/>
      <c r="J427" s="69"/>
      <c r="K427" s="67"/>
      <c r="L427" s="67"/>
      <c r="M427" s="67"/>
      <c r="N427" s="67"/>
      <c r="O427" s="64"/>
      <c r="P427" s="72" t="str">
        <f aca="false">IF(OR(B427="",C427=""),"",C427&amp;"|"&amp;(YEAR(B427)*100+MONTH(B427)))</f>
        <v/>
      </c>
      <c r="Q427" s="70" t="str">
        <f aca="false">IF(P427="","",IF(COUNTIF(N_CLAVE,P427)&gt;1,"⚠ Duplicado","OK"))</f>
        <v/>
      </c>
      <c r="R427" s="74" t="str">
        <f aca="false">IF(OR(P427="",U427=""),"",MAX(0,U427-N(E427)-N(F427)-N(H427)))</f>
        <v/>
      </c>
      <c r="S427" s="75" t="str">
        <f aca="false">IF(P427="","",IFERROR(INDEX(T_INGRESO,MATCH(C427,T_ID,0)),""))</f>
        <v/>
      </c>
      <c r="T427" s="75" t="str">
        <f aca="false">IF(P427="","",IFERROR(N(INDEX(T_EGRESO,MATCH(C427,T_ID,0))),0))</f>
        <v/>
      </c>
      <c r="U427" s="73" t="str">
        <f aca="false">IF(OR(P427="",NOT(ISNUMBER(S427))),"",IF(OR(S427&gt;EOMONTH(B427,0),AND(T427&gt;0,T427&lt;B427)),0,IF(AND(S427&lt;=B427,OR(T427=0,T427&gt;=EOMONTH(B427,0))),30,MIN(30,IF(T427=0,EOMONTH(B427,0),MIN(T427,EOMONTH(B427,0)))-MAX(B427,S427)+1))))</f>
        <v/>
      </c>
    </row>
    <row r="428" customFormat="false" ht="15" hidden="false" customHeight="false" outlineLevel="0" collapsed="false">
      <c r="B428" s="78"/>
      <c r="C428" s="64"/>
      <c r="D428" s="70" t="str">
        <f aca="false">IF(C428="","",IFERROR(INDEX(T_NOMBRE,MATCH(C428,T_ID,0)),"⚠ ID no existe"))</f>
        <v/>
      </c>
      <c r="E428" s="69"/>
      <c r="F428" s="69"/>
      <c r="G428" s="69"/>
      <c r="H428" s="69"/>
      <c r="I428" s="66"/>
      <c r="J428" s="69"/>
      <c r="K428" s="67"/>
      <c r="L428" s="67"/>
      <c r="M428" s="67"/>
      <c r="N428" s="67"/>
      <c r="O428" s="64"/>
      <c r="P428" s="72" t="str">
        <f aca="false">IF(OR(B428="",C428=""),"",C428&amp;"|"&amp;(YEAR(B428)*100+MONTH(B428)))</f>
        <v/>
      </c>
      <c r="Q428" s="70" t="str">
        <f aca="false">IF(P428="","",IF(COUNTIF(N_CLAVE,P428)&gt;1,"⚠ Duplicado","OK"))</f>
        <v/>
      </c>
      <c r="R428" s="74" t="str">
        <f aca="false">IF(OR(P428="",U428=""),"",MAX(0,U428-N(E428)-N(F428)-N(H428)))</f>
        <v/>
      </c>
      <c r="S428" s="75" t="str">
        <f aca="false">IF(P428="","",IFERROR(INDEX(T_INGRESO,MATCH(C428,T_ID,0)),""))</f>
        <v/>
      </c>
      <c r="T428" s="75" t="str">
        <f aca="false">IF(P428="","",IFERROR(N(INDEX(T_EGRESO,MATCH(C428,T_ID,0))),0))</f>
        <v/>
      </c>
      <c r="U428" s="73" t="str">
        <f aca="false">IF(OR(P428="",NOT(ISNUMBER(S428))),"",IF(OR(S428&gt;EOMONTH(B428,0),AND(T428&gt;0,T428&lt;B428)),0,IF(AND(S428&lt;=B428,OR(T428=0,T428&gt;=EOMONTH(B428,0))),30,MIN(30,IF(T428=0,EOMONTH(B428,0),MIN(T428,EOMONTH(B428,0)))-MAX(B428,S428)+1))))</f>
        <v/>
      </c>
    </row>
    <row r="429" customFormat="false" ht="15" hidden="false" customHeight="false" outlineLevel="0" collapsed="false">
      <c r="B429" s="78"/>
      <c r="C429" s="64"/>
      <c r="D429" s="70" t="str">
        <f aca="false">IF(C429="","",IFERROR(INDEX(T_NOMBRE,MATCH(C429,T_ID,0)),"⚠ ID no existe"))</f>
        <v/>
      </c>
      <c r="E429" s="69"/>
      <c r="F429" s="69"/>
      <c r="G429" s="69"/>
      <c r="H429" s="69"/>
      <c r="I429" s="66"/>
      <c r="J429" s="69"/>
      <c r="K429" s="67"/>
      <c r="L429" s="67"/>
      <c r="M429" s="67"/>
      <c r="N429" s="67"/>
      <c r="O429" s="64"/>
      <c r="P429" s="72" t="str">
        <f aca="false">IF(OR(B429="",C429=""),"",C429&amp;"|"&amp;(YEAR(B429)*100+MONTH(B429)))</f>
        <v/>
      </c>
      <c r="Q429" s="70" t="str">
        <f aca="false">IF(P429="","",IF(COUNTIF(N_CLAVE,P429)&gt;1,"⚠ Duplicado","OK"))</f>
        <v/>
      </c>
      <c r="R429" s="74" t="str">
        <f aca="false">IF(OR(P429="",U429=""),"",MAX(0,U429-N(E429)-N(F429)-N(H429)))</f>
        <v/>
      </c>
      <c r="S429" s="75" t="str">
        <f aca="false">IF(P429="","",IFERROR(INDEX(T_INGRESO,MATCH(C429,T_ID,0)),""))</f>
        <v/>
      </c>
      <c r="T429" s="75" t="str">
        <f aca="false">IF(P429="","",IFERROR(N(INDEX(T_EGRESO,MATCH(C429,T_ID,0))),0))</f>
        <v/>
      </c>
      <c r="U429" s="73" t="str">
        <f aca="false">IF(OR(P429="",NOT(ISNUMBER(S429))),"",IF(OR(S429&gt;EOMONTH(B429,0),AND(T429&gt;0,T429&lt;B429)),0,IF(AND(S429&lt;=B429,OR(T429=0,T429&gt;=EOMONTH(B429,0))),30,MIN(30,IF(T429=0,EOMONTH(B429,0),MIN(T429,EOMONTH(B429,0)))-MAX(B429,S429)+1))))</f>
        <v/>
      </c>
    </row>
    <row r="430" customFormat="false" ht="15" hidden="false" customHeight="false" outlineLevel="0" collapsed="false">
      <c r="B430" s="78"/>
      <c r="C430" s="64"/>
      <c r="D430" s="70" t="str">
        <f aca="false">IF(C430="","",IFERROR(INDEX(T_NOMBRE,MATCH(C430,T_ID,0)),"⚠ ID no existe"))</f>
        <v/>
      </c>
      <c r="E430" s="69"/>
      <c r="F430" s="69"/>
      <c r="G430" s="69"/>
      <c r="H430" s="69"/>
      <c r="I430" s="66"/>
      <c r="J430" s="69"/>
      <c r="K430" s="67"/>
      <c r="L430" s="67"/>
      <c r="M430" s="67"/>
      <c r="N430" s="67"/>
      <c r="O430" s="64"/>
      <c r="P430" s="72" t="str">
        <f aca="false">IF(OR(B430="",C430=""),"",C430&amp;"|"&amp;(YEAR(B430)*100+MONTH(B430)))</f>
        <v/>
      </c>
      <c r="Q430" s="70" t="str">
        <f aca="false">IF(P430="","",IF(COUNTIF(N_CLAVE,P430)&gt;1,"⚠ Duplicado","OK"))</f>
        <v/>
      </c>
      <c r="R430" s="74" t="str">
        <f aca="false">IF(OR(P430="",U430=""),"",MAX(0,U430-N(E430)-N(F430)-N(H430)))</f>
        <v/>
      </c>
      <c r="S430" s="75" t="str">
        <f aca="false">IF(P430="","",IFERROR(INDEX(T_INGRESO,MATCH(C430,T_ID,0)),""))</f>
        <v/>
      </c>
      <c r="T430" s="75" t="str">
        <f aca="false">IF(P430="","",IFERROR(N(INDEX(T_EGRESO,MATCH(C430,T_ID,0))),0))</f>
        <v/>
      </c>
      <c r="U430" s="73" t="str">
        <f aca="false">IF(OR(P430="",NOT(ISNUMBER(S430))),"",IF(OR(S430&gt;EOMONTH(B430,0),AND(T430&gt;0,T430&lt;B430)),0,IF(AND(S430&lt;=B430,OR(T430=0,T430&gt;=EOMONTH(B430,0))),30,MIN(30,IF(T430=0,EOMONTH(B430,0),MIN(T430,EOMONTH(B430,0)))-MAX(B430,S430)+1))))</f>
        <v/>
      </c>
    </row>
    <row r="431" customFormat="false" ht="15" hidden="false" customHeight="false" outlineLevel="0" collapsed="false">
      <c r="B431" s="78"/>
      <c r="C431" s="64"/>
      <c r="D431" s="70" t="str">
        <f aca="false">IF(C431="","",IFERROR(INDEX(T_NOMBRE,MATCH(C431,T_ID,0)),"⚠ ID no existe"))</f>
        <v/>
      </c>
      <c r="E431" s="69"/>
      <c r="F431" s="69"/>
      <c r="G431" s="69"/>
      <c r="H431" s="69"/>
      <c r="I431" s="66"/>
      <c r="J431" s="69"/>
      <c r="K431" s="67"/>
      <c r="L431" s="67"/>
      <c r="M431" s="67"/>
      <c r="N431" s="67"/>
      <c r="O431" s="64"/>
      <c r="P431" s="72" t="str">
        <f aca="false">IF(OR(B431="",C431=""),"",C431&amp;"|"&amp;(YEAR(B431)*100+MONTH(B431)))</f>
        <v/>
      </c>
      <c r="Q431" s="70" t="str">
        <f aca="false">IF(P431="","",IF(COUNTIF(N_CLAVE,P431)&gt;1,"⚠ Duplicado","OK"))</f>
        <v/>
      </c>
      <c r="R431" s="74" t="str">
        <f aca="false">IF(OR(P431="",U431=""),"",MAX(0,U431-N(E431)-N(F431)-N(H431)))</f>
        <v/>
      </c>
      <c r="S431" s="75" t="str">
        <f aca="false">IF(P431="","",IFERROR(INDEX(T_INGRESO,MATCH(C431,T_ID,0)),""))</f>
        <v/>
      </c>
      <c r="T431" s="75" t="str">
        <f aca="false">IF(P431="","",IFERROR(N(INDEX(T_EGRESO,MATCH(C431,T_ID,0))),0))</f>
        <v/>
      </c>
      <c r="U431" s="73" t="str">
        <f aca="false">IF(OR(P431="",NOT(ISNUMBER(S431))),"",IF(OR(S431&gt;EOMONTH(B431,0),AND(T431&gt;0,T431&lt;B431)),0,IF(AND(S431&lt;=B431,OR(T431=0,T431&gt;=EOMONTH(B431,0))),30,MIN(30,IF(T431=0,EOMONTH(B431,0),MIN(T431,EOMONTH(B431,0)))-MAX(B431,S431)+1))))</f>
        <v/>
      </c>
    </row>
    <row r="432" customFormat="false" ht="15" hidden="false" customHeight="false" outlineLevel="0" collapsed="false">
      <c r="B432" s="78"/>
      <c r="C432" s="64"/>
      <c r="D432" s="70" t="str">
        <f aca="false">IF(C432="","",IFERROR(INDEX(T_NOMBRE,MATCH(C432,T_ID,0)),"⚠ ID no existe"))</f>
        <v/>
      </c>
      <c r="E432" s="69"/>
      <c r="F432" s="69"/>
      <c r="G432" s="69"/>
      <c r="H432" s="69"/>
      <c r="I432" s="66"/>
      <c r="J432" s="69"/>
      <c r="K432" s="67"/>
      <c r="L432" s="67"/>
      <c r="M432" s="67"/>
      <c r="N432" s="67"/>
      <c r="O432" s="64"/>
      <c r="P432" s="72" t="str">
        <f aca="false">IF(OR(B432="",C432=""),"",C432&amp;"|"&amp;(YEAR(B432)*100+MONTH(B432)))</f>
        <v/>
      </c>
      <c r="Q432" s="70" t="str">
        <f aca="false">IF(P432="","",IF(COUNTIF(N_CLAVE,P432)&gt;1,"⚠ Duplicado","OK"))</f>
        <v/>
      </c>
      <c r="R432" s="74" t="str">
        <f aca="false">IF(OR(P432="",U432=""),"",MAX(0,U432-N(E432)-N(F432)-N(H432)))</f>
        <v/>
      </c>
      <c r="S432" s="75" t="str">
        <f aca="false">IF(P432="","",IFERROR(INDEX(T_INGRESO,MATCH(C432,T_ID,0)),""))</f>
        <v/>
      </c>
      <c r="T432" s="75" t="str">
        <f aca="false">IF(P432="","",IFERROR(N(INDEX(T_EGRESO,MATCH(C432,T_ID,0))),0))</f>
        <v/>
      </c>
      <c r="U432" s="73" t="str">
        <f aca="false">IF(OR(P432="",NOT(ISNUMBER(S432))),"",IF(OR(S432&gt;EOMONTH(B432,0),AND(T432&gt;0,T432&lt;B432)),0,IF(AND(S432&lt;=B432,OR(T432=0,T432&gt;=EOMONTH(B432,0))),30,MIN(30,IF(T432=0,EOMONTH(B432,0),MIN(T432,EOMONTH(B432,0)))-MAX(B432,S432)+1))))</f>
        <v/>
      </c>
    </row>
    <row r="433" customFormat="false" ht="15" hidden="false" customHeight="false" outlineLevel="0" collapsed="false">
      <c r="B433" s="78"/>
      <c r="C433" s="64"/>
      <c r="D433" s="70" t="str">
        <f aca="false">IF(C433="","",IFERROR(INDEX(T_NOMBRE,MATCH(C433,T_ID,0)),"⚠ ID no existe"))</f>
        <v/>
      </c>
      <c r="E433" s="69"/>
      <c r="F433" s="69"/>
      <c r="G433" s="69"/>
      <c r="H433" s="69"/>
      <c r="I433" s="66"/>
      <c r="J433" s="69"/>
      <c r="K433" s="67"/>
      <c r="L433" s="67"/>
      <c r="M433" s="67"/>
      <c r="N433" s="67"/>
      <c r="O433" s="64"/>
      <c r="P433" s="72" t="str">
        <f aca="false">IF(OR(B433="",C433=""),"",C433&amp;"|"&amp;(YEAR(B433)*100+MONTH(B433)))</f>
        <v/>
      </c>
      <c r="Q433" s="70" t="str">
        <f aca="false">IF(P433="","",IF(COUNTIF(N_CLAVE,P433)&gt;1,"⚠ Duplicado","OK"))</f>
        <v/>
      </c>
      <c r="R433" s="74" t="str">
        <f aca="false">IF(OR(P433="",U433=""),"",MAX(0,U433-N(E433)-N(F433)-N(H433)))</f>
        <v/>
      </c>
      <c r="S433" s="75" t="str">
        <f aca="false">IF(P433="","",IFERROR(INDEX(T_INGRESO,MATCH(C433,T_ID,0)),""))</f>
        <v/>
      </c>
      <c r="T433" s="75" t="str">
        <f aca="false">IF(P433="","",IFERROR(N(INDEX(T_EGRESO,MATCH(C433,T_ID,0))),0))</f>
        <v/>
      </c>
      <c r="U433" s="73" t="str">
        <f aca="false">IF(OR(P433="",NOT(ISNUMBER(S433))),"",IF(OR(S433&gt;EOMONTH(B433,0),AND(T433&gt;0,T433&lt;B433)),0,IF(AND(S433&lt;=B433,OR(T433=0,T433&gt;=EOMONTH(B433,0))),30,MIN(30,IF(T433=0,EOMONTH(B433,0),MIN(T433,EOMONTH(B433,0)))-MAX(B433,S433)+1))))</f>
        <v/>
      </c>
    </row>
    <row r="434" customFormat="false" ht="15" hidden="false" customHeight="false" outlineLevel="0" collapsed="false">
      <c r="B434" s="78"/>
      <c r="C434" s="64"/>
      <c r="D434" s="70" t="str">
        <f aca="false">IF(C434="","",IFERROR(INDEX(T_NOMBRE,MATCH(C434,T_ID,0)),"⚠ ID no existe"))</f>
        <v/>
      </c>
      <c r="E434" s="69"/>
      <c r="F434" s="69"/>
      <c r="G434" s="69"/>
      <c r="H434" s="69"/>
      <c r="I434" s="66"/>
      <c r="J434" s="69"/>
      <c r="K434" s="67"/>
      <c r="L434" s="67"/>
      <c r="M434" s="67"/>
      <c r="N434" s="67"/>
      <c r="O434" s="64"/>
      <c r="P434" s="72" t="str">
        <f aca="false">IF(OR(B434="",C434=""),"",C434&amp;"|"&amp;(YEAR(B434)*100+MONTH(B434)))</f>
        <v/>
      </c>
      <c r="Q434" s="70" t="str">
        <f aca="false">IF(P434="","",IF(COUNTIF(N_CLAVE,P434)&gt;1,"⚠ Duplicado","OK"))</f>
        <v/>
      </c>
      <c r="R434" s="74" t="str">
        <f aca="false">IF(OR(P434="",U434=""),"",MAX(0,U434-N(E434)-N(F434)-N(H434)))</f>
        <v/>
      </c>
      <c r="S434" s="75" t="str">
        <f aca="false">IF(P434="","",IFERROR(INDEX(T_INGRESO,MATCH(C434,T_ID,0)),""))</f>
        <v/>
      </c>
      <c r="T434" s="75" t="str">
        <f aca="false">IF(P434="","",IFERROR(N(INDEX(T_EGRESO,MATCH(C434,T_ID,0))),0))</f>
        <v/>
      </c>
      <c r="U434" s="73" t="str">
        <f aca="false">IF(OR(P434="",NOT(ISNUMBER(S434))),"",IF(OR(S434&gt;EOMONTH(B434,0),AND(T434&gt;0,T434&lt;B434)),0,IF(AND(S434&lt;=B434,OR(T434=0,T434&gt;=EOMONTH(B434,0))),30,MIN(30,IF(T434=0,EOMONTH(B434,0),MIN(T434,EOMONTH(B434,0)))-MAX(B434,S434)+1))))</f>
        <v/>
      </c>
    </row>
    <row r="435" customFormat="false" ht="15" hidden="false" customHeight="false" outlineLevel="0" collapsed="false">
      <c r="B435" s="78"/>
      <c r="C435" s="64"/>
      <c r="D435" s="70" t="str">
        <f aca="false">IF(C435="","",IFERROR(INDEX(T_NOMBRE,MATCH(C435,T_ID,0)),"⚠ ID no existe"))</f>
        <v/>
      </c>
      <c r="E435" s="69"/>
      <c r="F435" s="69"/>
      <c r="G435" s="69"/>
      <c r="H435" s="69"/>
      <c r="I435" s="66"/>
      <c r="J435" s="69"/>
      <c r="K435" s="67"/>
      <c r="L435" s="67"/>
      <c r="M435" s="67"/>
      <c r="N435" s="67"/>
      <c r="O435" s="64"/>
      <c r="P435" s="72" t="str">
        <f aca="false">IF(OR(B435="",C435=""),"",C435&amp;"|"&amp;(YEAR(B435)*100+MONTH(B435)))</f>
        <v/>
      </c>
      <c r="Q435" s="70" t="str">
        <f aca="false">IF(P435="","",IF(COUNTIF(N_CLAVE,P435)&gt;1,"⚠ Duplicado","OK"))</f>
        <v/>
      </c>
      <c r="R435" s="74" t="str">
        <f aca="false">IF(OR(P435="",U435=""),"",MAX(0,U435-N(E435)-N(F435)-N(H435)))</f>
        <v/>
      </c>
      <c r="S435" s="75" t="str">
        <f aca="false">IF(P435="","",IFERROR(INDEX(T_INGRESO,MATCH(C435,T_ID,0)),""))</f>
        <v/>
      </c>
      <c r="T435" s="75" t="str">
        <f aca="false">IF(P435="","",IFERROR(N(INDEX(T_EGRESO,MATCH(C435,T_ID,0))),0))</f>
        <v/>
      </c>
      <c r="U435" s="73" t="str">
        <f aca="false">IF(OR(P435="",NOT(ISNUMBER(S435))),"",IF(OR(S435&gt;EOMONTH(B435,0),AND(T435&gt;0,T435&lt;B435)),0,IF(AND(S435&lt;=B435,OR(T435=0,T435&gt;=EOMONTH(B435,0))),30,MIN(30,IF(T435=0,EOMONTH(B435,0),MIN(T435,EOMONTH(B435,0)))-MAX(B435,S435)+1))))</f>
        <v/>
      </c>
    </row>
    <row r="436" customFormat="false" ht="15" hidden="false" customHeight="false" outlineLevel="0" collapsed="false">
      <c r="B436" s="78"/>
      <c r="C436" s="64"/>
      <c r="D436" s="70" t="str">
        <f aca="false">IF(C436="","",IFERROR(INDEX(T_NOMBRE,MATCH(C436,T_ID,0)),"⚠ ID no existe"))</f>
        <v/>
      </c>
      <c r="E436" s="69"/>
      <c r="F436" s="69"/>
      <c r="G436" s="69"/>
      <c r="H436" s="69"/>
      <c r="I436" s="66"/>
      <c r="J436" s="69"/>
      <c r="K436" s="67"/>
      <c r="L436" s="67"/>
      <c r="M436" s="67"/>
      <c r="N436" s="67"/>
      <c r="O436" s="64"/>
      <c r="P436" s="72" t="str">
        <f aca="false">IF(OR(B436="",C436=""),"",C436&amp;"|"&amp;(YEAR(B436)*100+MONTH(B436)))</f>
        <v/>
      </c>
      <c r="Q436" s="70" t="str">
        <f aca="false">IF(P436="","",IF(COUNTIF(N_CLAVE,P436)&gt;1,"⚠ Duplicado","OK"))</f>
        <v/>
      </c>
      <c r="R436" s="74" t="str">
        <f aca="false">IF(OR(P436="",U436=""),"",MAX(0,U436-N(E436)-N(F436)-N(H436)))</f>
        <v/>
      </c>
      <c r="S436" s="75" t="str">
        <f aca="false">IF(P436="","",IFERROR(INDEX(T_INGRESO,MATCH(C436,T_ID,0)),""))</f>
        <v/>
      </c>
      <c r="T436" s="75" t="str">
        <f aca="false">IF(P436="","",IFERROR(N(INDEX(T_EGRESO,MATCH(C436,T_ID,0))),0))</f>
        <v/>
      </c>
      <c r="U436" s="73" t="str">
        <f aca="false">IF(OR(P436="",NOT(ISNUMBER(S436))),"",IF(OR(S436&gt;EOMONTH(B436,0),AND(T436&gt;0,T436&lt;B436)),0,IF(AND(S436&lt;=B436,OR(T436=0,T436&gt;=EOMONTH(B436,0))),30,MIN(30,IF(T436=0,EOMONTH(B436,0),MIN(T436,EOMONTH(B436,0)))-MAX(B436,S436)+1))))</f>
        <v/>
      </c>
    </row>
    <row r="437" customFormat="false" ht="15" hidden="false" customHeight="false" outlineLevel="0" collapsed="false">
      <c r="B437" s="78"/>
      <c r="C437" s="64"/>
      <c r="D437" s="70" t="str">
        <f aca="false">IF(C437="","",IFERROR(INDEX(T_NOMBRE,MATCH(C437,T_ID,0)),"⚠ ID no existe"))</f>
        <v/>
      </c>
      <c r="E437" s="69"/>
      <c r="F437" s="69"/>
      <c r="G437" s="69"/>
      <c r="H437" s="69"/>
      <c r="I437" s="66"/>
      <c r="J437" s="69"/>
      <c r="K437" s="67"/>
      <c r="L437" s="67"/>
      <c r="M437" s="67"/>
      <c r="N437" s="67"/>
      <c r="O437" s="64"/>
      <c r="P437" s="72" t="str">
        <f aca="false">IF(OR(B437="",C437=""),"",C437&amp;"|"&amp;(YEAR(B437)*100+MONTH(B437)))</f>
        <v/>
      </c>
      <c r="Q437" s="70" t="str">
        <f aca="false">IF(P437="","",IF(COUNTIF(N_CLAVE,P437)&gt;1,"⚠ Duplicado","OK"))</f>
        <v/>
      </c>
      <c r="R437" s="74" t="str">
        <f aca="false">IF(OR(P437="",U437=""),"",MAX(0,U437-N(E437)-N(F437)-N(H437)))</f>
        <v/>
      </c>
      <c r="S437" s="75" t="str">
        <f aca="false">IF(P437="","",IFERROR(INDEX(T_INGRESO,MATCH(C437,T_ID,0)),""))</f>
        <v/>
      </c>
      <c r="T437" s="75" t="str">
        <f aca="false">IF(P437="","",IFERROR(N(INDEX(T_EGRESO,MATCH(C437,T_ID,0))),0))</f>
        <v/>
      </c>
      <c r="U437" s="73" t="str">
        <f aca="false">IF(OR(P437="",NOT(ISNUMBER(S437))),"",IF(OR(S437&gt;EOMONTH(B437,0),AND(T437&gt;0,T437&lt;B437)),0,IF(AND(S437&lt;=B437,OR(T437=0,T437&gt;=EOMONTH(B437,0))),30,MIN(30,IF(T437=0,EOMONTH(B437,0),MIN(T437,EOMONTH(B437,0)))-MAX(B437,S437)+1))))</f>
        <v/>
      </c>
    </row>
    <row r="438" customFormat="false" ht="15" hidden="false" customHeight="false" outlineLevel="0" collapsed="false">
      <c r="B438" s="78"/>
      <c r="C438" s="64"/>
      <c r="D438" s="70" t="str">
        <f aca="false">IF(C438="","",IFERROR(INDEX(T_NOMBRE,MATCH(C438,T_ID,0)),"⚠ ID no existe"))</f>
        <v/>
      </c>
      <c r="E438" s="69"/>
      <c r="F438" s="69"/>
      <c r="G438" s="69"/>
      <c r="H438" s="69"/>
      <c r="I438" s="66"/>
      <c r="J438" s="69"/>
      <c r="K438" s="67"/>
      <c r="L438" s="67"/>
      <c r="M438" s="67"/>
      <c r="N438" s="67"/>
      <c r="O438" s="64"/>
      <c r="P438" s="72" t="str">
        <f aca="false">IF(OR(B438="",C438=""),"",C438&amp;"|"&amp;(YEAR(B438)*100+MONTH(B438)))</f>
        <v/>
      </c>
      <c r="Q438" s="70" t="str">
        <f aca="false">IF(P438="","",IF(COUNTIF(N_CLAVE,P438)&gt;1,"⚠ Duplicado","OK"))</f>
        <v/>
      </c>
      <c r="R438" s="74" t="str">
        <f aca="false">IF(OR(P438="",U438=""),"",MAX(0,U438-N(E438)-N(F438)-N(H438)))</f>
        <v/>
      </c>
      <c r="S438" s="75" t="str">
        <f aca="false">IF(P438="","",IFERROR(INDEX(T_INGRESO,MATCH(C438,T_ID,0)),""))</f>
        <v/>
      </c>
      <c r="T438" s="75" t="str">
        <f aca="false">IF(P438="","",IFERROR(N(INDEX(T_EGRESO,MATCH(C438,T_ID,0))),0))</f>
        <v/>
      </c>
      <c r="U438" s="73" t="str">
        <f aca="false">IF(OR(P438="",NOT(ISNUMBER(S438))),"",IF(OR(S438&gt;EOMONTH(B438,0),AND(T438&gt;0,T438&lt;B438)),0,IF(AND(S438&lt;=B438,OR(T438=0,T438&gt;=EOMONTH(B438,0))),30,MIN(30,IF(T438=0,EOMONTH(B438,0),MIN(T438,EOMONTH(B438,0)))-MAX(B438,S438)+1))))</f>
        <v/>
      </c>
    </row>
    <row r="439" customFormat="false" ht="15" hidden="false" customHeight="false" outlineLevel="0" collapsed="false">
      <c r="B439" s="78"/>
      <c r="C439" s="64"/>
      <c r="D439" s="70" t="str">
        <f aca="false">IF(C439="","",IFERROR(INDEX(T_NOMBRE,MATCH(C439,T_ID,0)),"⚠ ID no existe"))</f>
        <v/>
      </c>
      <c r="E439" s="69"/>
      <c r="F439" s="69"/>
      <c r="G439" s="69"/>
      <c r="H439" s="69"/>
      <c r="I439" s="66"/>
      <c r="J439" s="69"/>
      <c r="K439" s="67"/>
      <c r="L439" s="67"/>
      <c r="M439" s="67"/>
      <c r="N439" s="67"/>
      <c r="O439" s="64"/>
      <c r="P439" s="72" t="str">
        <f aca="false">IF(OR(B439="",C439=""),"",C439&amp;"|"&amp;(YEAR(B439)*100+MONTH(B439)))</f>
        <v/>
      </c>
      <c r="Q439" s="70" t="str">
        <f aca="false">IF(P439="","",IF(COUNTIF(N_CLAVE,P439)&gt;1,"⚠ Duplicado","OK"))</f>
        <v/>
      </c>
      <c r="R439" s="74" t="str">
        <f aca="false">IF(OR(P439="",U439=""),"",MAX(0,U439-N(E439)-N(F439)-N(H439)))</f>
        <v/>
      </c>
      <c r="S439" s="75" t="str">
        <f aca="false">IF(P439="","",IFERROR(INDEX(T_INGRESO,MATCH(C439,T_ID,0)),""))</f>
        <v/>
      </c>
      <c r="T439" s="75" t="str">
        <f aca="false">IF(P439="","",IFERROR(N(INDEX(T_EGRESO,MATCH(C439,T_ID,0))),0))</f>
        <v/>
      </c>
      <c r="U439" s="73" t="str">
        <f aca="false">IF(OR(P439="",NOT(ISNUMBER(S439))),"",IF(OR(S439&gt;EOMONTH(B439,0),AND(T439&gt;0,T439&lt;B439)),0,IF(AND(S439&lt;=B439,OR(T439=0,T439&gt;=EOMONTH(B439,0))),30,MIN(30,IF(T439=0,EOMONTH(B439,0),MIN(T439,EOMONTH(B439,0)))-MAX(B439,S439)+1))))</f>
        <v/>
      </c>
    </row>
    <row r="440" customFormat="false" ht="15" hidden="false" customHeight="false" outlineLevel="0" collapsed="false">
      <c r="B440" s="78"/>
      <c r="C440" s="64"/>
      <c r="D440" s="70" t="str">
        <f aca="false">IF(C440="","",IFERROR(INDEX(T_NOMBRE,MATCH(C440,T_ID,0)),"⚠ ID no existe"))</f>
        <v/>
      </c>
      <c r="E440" s="69"/>
      <c r="F440" s="69"/>
      <c r="G440" s="69"/>
      <c r="H440" s="69"/>
      <c r="I440" s="66"/>
      <c r="J440" s="69"/>
      <c r="K440" s="67"/>
      <c r="L440" s="67"/>
      <c r="M440" s="67"/>
      <c r="N440" s="67"/>
      <c r="O440" s="64"/>
      <c r="P440" s="72" t="str">
        <f aca="false">IF(OR(B440="",C440=""),"",C440&amp;"|"&amp;(YEAR(B440)*100+MONTH(B440)))</f>
        <v/>
      </c>
      <c r="Q440" s="70" t="str">
        <f aca="false">IF(P440="","",IF(COUNTIF(N_CLAVE,P440)&gt;1,"⚠ Duplicado","OK"))</f>
        <v/>
      </c>
      <c r="R440" s="74" t="str">
        <f aca="false">IF(OR(P440="",U440=""),"",MAX(0,U440-N(E440)-N(F440)-N(H440)))</f>
        <v/>
      </c>
      <c r="S440" s="75" t="str">
        <f aca="false">IF(P440="","",IFERROR(INDEX(T_INGRESO,MATCH(C440,T_ID,0)),""))</f>
        <v/>
      </c>
      <c r="T440" s="75" t="str">
        <f aca="false">IF(P440="","",IFERROR(N(INDEX(T_EGRESO,MATCH(C440,T_ID,0))),0))</f>
        <v/>
      </c>
      <c r="U440" s="73" t="str">
        <f aca="false">IF(OR(P440="",NOT(ISNUMBER(S440))),"",IF(OR(S440&gt;EOMONTH(B440,0),AND(T440&gt;0,T440&lt;B440)),0,IF(AND(S440&lt;=B440,OR(T440=0,T440&gt;=EOMONTH(B440,0))),30,MIN(30,IF(T440=0,EOMONTH(B440,0),MIN(T440,EOMONTH(B440,0)))-MAX(B440,S440)+1))))</f>
        <v/>
      </c>
    </row>
    <row r="441" customFormat="false" ht="15" hidden="false" customHeight="false" outlineLevel="0" collapsed="false">
      <c r="B441" s="78"/>
      <c r="C441" s="64"/>
      <c r="D441" s="70" t="str">
        <f aca="false">IF(C441="","",IFERROR(INDEX(T_NOMBRE,MATCH(C441,T_ID,0)),"⚠ ID no existe"))</f>
        <v/>
      </c>
      <c r="E441" s="69"/>
      <c r="F441" s="69"/>
      <c r="G441" s="69"/>
      <c r="H441" s="69"/>
      <c r="I441" s="66"/>
      <c r="J441" s="69"/>
      <c r="K441" s="67"/>
      <c r="L441" s="67"/>
      <c r="M441" s="67"/>
      <c r="N441" s="67"/>
      <c r="O441" s="64"/>
      <c r="P441" s="72" t="str">
        <f aca="false">IF(OR(B441="",C441=""),"",C441&amp;"|"&amp;(YEAR(B441)*100+MONTH(B441)))</f>
        <v/>
      </c>
      <c r="Q441" s="70" t="str">
        <f aca="false">IF(P441="","",IF(COUNTIF(N_CLAVE,P441)&gt;1,"⚠ Duplicado","OK"))</f>
        <v/>
      </c>
      <c r="R441" s="74" t="str">
        <f aca="false">IF(OR(P441="",U441=""),"",MAX(0,U441-N(E441)-N(F441)-N(H441)))</f>
        <v/>
      </c>
      <c r="S441" s="75" t="str">
        <f aca="false">IF(P441="","",IFERROR(INDEX(T_INGRESO,MATCH(C441,T_ID,0)),""))</f>
        <v/>
      </c>
      <c r="T441" s="75" t="str">
        <f aca="false">IF(P441="","",IFERROR(N(INDEX(T_EGRESO,MATCH(C441,T_ID,0))),0))</f>
        <v/>
      </c>
      <c r="U441" s="73" t="str">
        <f aca="false">IF(OR(P441="",NOT(ISNUMBER(S441))),"",IF(OR(S441&gt;EOMONTH(B441,0),AND(T441&gt;0,T441&lt;B441)),0,IF(AND(S441&lt;=B441,OR(T441=0,T441&gt;=EOMONTH(B441,0))),30,MIN(30,IF(T441=0,EOMONTH(B441,0),MIN(T441,EOMONTH(B441,0)))-MAX(B441,S441)+1))))</f>
        <v/>
      </c>
    </row>
    <row r="442" customFormat="false" ht="15" hidden="false" customHeight="false" outlineLevel="0" collapsed="false">
      <c r="B442" s="78"/>
      <c r="C442" s="64"/>
      <c r="D442" s="70" t="str">
        <f aca="false">IF(C442="","",IFERROR(INDEX(T_NOMBRE,MATCH(C442,T_ID,0)),"⚠ ID no existe"))</f>
        <v/>
      </c>
      <c r="E442" s="69"/>
      <c r="F442" s="69"/>
      <c r="G442" s="69"/>
      <c r="H442" s="69"/>
      <c r="I442" s="66"/>
      <c r="J442" s="69"/>
      <c r="K442" s="67"/>
      <c r="L442" s="67"/>
      <c r="M442" s="67"/>
      <c r="N442" s="67"/>
      <c r="O442" s="64"/>
      <c r="P442" s="72" t="str">
        <f aca="false">IF(OR(B442="",C442=""),"",C442&amp;"|"&amp;(YEAR(B442)*100+MONTH(B442)))</f>
        <v/>
      </c>
      <c r="Q442" s="70" t="str">
        <f aca="false">IF(P442="","",IF(COUNTIF(N_CLAVE,P442)&gt;1,"⚠ Duplicado","OK"))</f>
        <v/>
      </c>
      <c r="R442" s="74" t="str">
        <f aca="false">IF(OR(P442="",U442=""),"",MAX(0,U442-N(E442)-N(F442)-N(H442)))</f>
        <v/>
      </c>
      <c r="S442" s="75" t="str">
        <f aca="false">IF(P442="","",IFERROR(INDEX(T_INGRESO,MATCH(C442,T_ID,0)),""))</f>
        <v/>
      </c>
      <c r="T442" s="75" t="str">
        <f aca="false">IF(P442="","",IFERROR(N(INDEX(T_EGRESO,MATCH(C442,T_ID,0))),0))</f>
        <v/>
      </c>
      <c r="U442" s="73" t="str">
        <f aca="false">IF(OR(P442="",NOT(ISNUMBER(S442))),"",IF(OR(S442&gt;EOMONTH(B442,0),AND(T442&gt;0,T442&lt;B442)),0,IF(AND(S442&lt;=B442,OR(T442=0,T442&gt;=EOMONTH(B442,0))),30,MIN(30,IF(T442=0,EOMONTH(B442,0),MIN(T442,EOMONTH(B442,0)))-MAX(B442,S442)+1))))</f>
        <v/>
      </c>
    </row>
    <row r="443" customFormat="false" ht="15" hidden="false" customHeight="false" outlineLevel="0" collapsed="false">
      <c r="B443" s="78"/>
      <c r="C443" s="64"/>
      <c r="D443" s="70" t="str">
        <f aca="false">IF(C443="","",IFERROR(INDEX(T_NOMBRE,MATCH(C443,T_ID,0)),"⚠ ID no existe"))</f>
        <v/>
      </c>
      <c r="E443" s="69"/>
      <c r="F443" s="69"/>
      <c r="G443" s="69"/>
      <c r="H443" s="69"/>
      <c r="I443" s="66"/>
      <c r="J443" s="69"/>
      <c r="K443" s="67"/>
      <c r="L443" s="67"/>
      <c r="M443" s="67"/>
      <c r="N443" s="67"/>
      <c r="O443" s="64"/>
      <c r="P443" s="72" t="str">
        <f aca="false">IF(OR(B443="",C443=""),"",C443&amp;"|"&amp;(YEAR(B443)*100+MONTH(B443)))</f>
        <v/>
      </c>
      <c r="Q443" s="70" t="str">
        <f aca="false">IF(P443="","",IF(COUNTIF(N_CLAVE,P443)&gt;1,"⚠ Duplicado","OK"))</f>
        <v/>
      </c>
      <c r="R443" s="74" t="str">
        <f aca="false">IF(OR(P443="",U443=""),"",MAX(0,U443-N(E443)-N(F443)-N(H443)))</f>
        <v/>
      </c>
      <c r="S443" s="75" t="str">
        <f aca="false">IF(P443="","",IFERROR(INDEX(T_INGRESO,MATCH(C443,T_ID,0)),""))</f>
        <v/>
      </c>
      <c r="T443" s="75" t="str">
        <f aca="false">IF(P443="","",IFERROR(N(INDEX(T_EGRESO,MATCH(C443,T_ID,0))),0))</f>
        <v/>
      </c>
      <c r="U443" s="73" t="str">
        <f aca="false">IF(OR(P443="",NOT(ISNUMBER(S443))),"",IF(OR(S443&gt;EOMONTH(B443,0),AND(T443&gt;0,T443&lt;B443)),0,IF(AND(S443&lt;=B443,OR(T443=0,T443&gt;=EOMONTH(B443,0))),30,MIN(30,IF(T443=0,EOMONTH(B443,0),MIN(T443,EOMONTH(B443,0)))-MAX(B443,S443)+1))))</f>
        <v/>
      </c>
    </row>
    <row r="444" customFormat="false" ht="15" hidden="false" customHeight="false" outlineLevel="0" collapsed="false">
      <c r="B444" s="78"/>
      <c r="C444" s="64"/>
      <c r="D444" s="70" t="str">
        <f aca="false">IF(C444="","",IFERROR(INDEX(T_NOMBRE,MATCH(C444,T_ID,0)),"⚠ ID no existe"))</f>
        <v/>
      </c>
      <c r="E444" s="69"/>
      <c r="F444" s="69"/>
      <c r="G444" s="69"/>
      <c r="H444" s="69"/>
      <c r="I444" s="66"/>
      <c r="J444" s="69"/>
      <c r="K444" s="67"/>
      <c r="L444" s="67"/>
      <c r="M444" s="67"/>
      <c r="N444" s="67"/>
      <c r="O444" s="64"/>
      <c r="P444" s="72" t="str">
        <f aca="false">IF(OR(B444="",C444=""),"",C444&amp;"|"&amp;(YEAR(B444)*100+MONTH(B444)))</f>
        <v/>
      </c>
      <c r="Q444" s="70" t="str">
        <f aca="false">IF(P444="","",IF(COUNTIF(N_CLAVE,P444)&gt;1,"⚠ Duplicado","OK"))</f>
        <v/>
      </c>
      <c r="R444" s="74" t="str">
        <f aca="false">IF(OR(P444="",U444=""),"",MAX(0,U444-N(E444)-N(F444)-N(H444)))</f>
        <v/>
      </c>
      <c r="S444" s="75" t="str">
        <f aca="false">IF(P444="","",IFERROR(INDEX(T_INGRESO,MATCH(C444,T_ID,0)),""))</f>
        <v/>
      </c>
      <c r="T444" s="75" t="str">
        <f aca="false">IF(P444="","",IFERROR(N(INDEX(T_EGRESO,MATCH(C444,T_ID,0))),0))</f>
        <v/>
      </c>
      <c r="U444" s="73" t="str">
        <f aca="false">IF(OR(P444="",NOT(ISNUMBER(S444))),"",IF(OR(S444&gt;EOMONTH(B444,0),AND(T444&gt;0,T444&lt;B444)),0,IF(AND(S444&lt;=B444,OR(T444=0,T444&gt;=EOMONTH(B444,0))),30,MIN(30,IF(T444=0,EOMONTH(B444,0),MIN(T444,EOMONTH(B444,0)))-MAX(B444,S444)+1))))</f>
        <v/>
      </c>
    </row>
    <row r="445" customFormat="false" ht="15" hidden="false" customHeight="false" outlineLevel="0" collapsed="false">
      <c r="B445" s="78"/>
      <c r="C445" s="64"/>
      <c r="D445" s="70" t="str">
        <f aca="false">IF(C445="","",IFERROR(INDEX(T_NOMBRE,MATCH(C445,T_ID,0)),"⚠ ID no existe"))</f>
        <v/>
      </c>
      <c r="E445" s="69"/>
      <c r="F445" s="69"/>
      <c r="G445" s="69"/>
      <c r="H445" s="69"/>
      <c r="I445" s="66"/>
      <c r="J445" s="69"/>
      <c r="K445" s="67"/>
      <c r="L445" s="67"/>
      <c r="M445" s="67"/>
      <c r="N445" s="67"/>
      <c r="O445" s="64"/>
      <c r="P445" s="72" t="str">
        <f aca="false">IF(OR(B445="",C445=""),"",C445&amp;"|"&amp;(YEAR(B445)*100+MONTH(B445)))</f>
        <v/>
      </c>
      <c r="Q445" s="70" t="str">
        <f aca="false">IF(P445="","",IF(COUNTIF(N_CLAVE,P445)&gt;1,"⚠ Duplicado","OK"))</f>
        <v/>
      </c>
      <c r="R445" s="74" t="str">
        <f aca="false">IF(OR(P445="",U445=""),"",MAX(0,U445-N(E445)-N(F445)-N(H445)))</f>
        <v/>
      </c>
      <c r="S445" s="75" t="str">
        <f aca="false">IF(P445="","",IFERROR(INDEX(T_INGRESO,MATCH(C445,T_ID,0)),""))</f>
        <v/>
      </c>
      <c r="T445" s="75" t="str">
        <f aca="false">IF(P445="","",IFERROR(N(INDEX(T_EGRESO,MATCH(C445,T_ID,0))),0))</f>
        <v/>
      </c>
      <c r="U445" s="73" t="str">
        <f aca="false">IF(OR(P445="",NOT(ISNUMBER(S445))),"",IF(OR(S445&gt;EOMONTH(B445,0),AND(T445&gt;0,T445&lt;B445)),0,IF(AND(S445&lt;=B445,OR(T445=0,T445&gt;=EOMONTH(B445,0))),30,MIN(30,IF(T445=0,EOMONTH(B445,0),MIN(T445,EOMONTH(B445,0)))-MAX(B445,S445)+1))))</f>
        <v/>
      </c>
    </row>
    <row r="446" customFormat="false" ht="15" hidden="false" customHeight="false" outlineLevel="0" collapsed="false">
      <c r="B446" s="78"/>
      <c r="C446" s="64"/>
      <c r="D446" s="70" t="str">
        <f aca="false">IF(C446="","",IFERROR(INDEX(T_NOMBRE,MATCH(C446,T_ID,0)),"⚠ ID no existe"))</f>
        <v/>
      </c>
      <c r="E446" s="69"/>
      <c r="F446" s="69"/>
      <c r="G446" s="69"/>
      <c r="H446" s="69"/>
      <c r="I446" s="66"/>
      <c r="J446" s="69"/>
      <c r="K446" s="67"/>
      <c r="L446" s="67"/>
      <c r="M446" s="67"/>
      <c r="N446" s="67"/>
      <c r="O446" s="64"/>
      <c r="P446" s="72" t="str">
        <f aca="false">IF(OR(B446="",C446=""),"",C446&amp;"|"&amp;(YEAR(B446)*100+MONTH(B446)))</f>
        <v/>
      </c>
      <c r="Q446" s="70" t="str">
        <f aca="false">IF(P446="","",IF(COUNTIF(N_CLAVE,P446)&gt;1,"⚠ Duplicado","OK"))</f>
        <v/>
      </c>
      <c r="R446" s="74" t="str">
        <f aca="false">IF(OR(P446="",U446=""),"",MAX(0,U446-N(E446)-N(F446)-N(H446)))</f>
        <v/>
      </c>
      <c r="S446" s="75" t="str">
        <f aca="false">IF(P446="","",IFERROR(INDEX(T_INGRESO,MATCH(C446,T_ID,0)),""))</f>
        <v/>
      </c>
      <c r="T446" s="75" t="str">
        <f aca="false">IF(P446="","",IFERROR(N(INDEX(T_EGRESO,MATCH(C446,T_ID,0))),0))</f>
        <v/>
      </c>
      <c r="U446" s="73" t="str">
        <f aca="false">IF(OR(P446="",NOT(ISNUMBER(S446))),"",IF(OR(S446&gt;EOMONTH(B446,0),AND(T446&gt;0,T446&lt;B446)),0,IF(AND(S446&lt;=B446,OR(T446=0,T446&gt;=EOMONTH(B446,0))),30,MIN(30,IF(T446=0,EOMONTH(B446,0),MIN(T446,EOMONTH(B446,0)))-MAX(B446,S446)+1))))</f>
        <v/>
      </c>
    </row>
    <row r="447" customFormat="false" ht="15" hidden="false" customHeight="false" outlineLevel="0" collapsed="false">
      <c r="B447" s="78"/>
      <c r="C447" s="64"/>
      <c r="D447" s="70" t="str">
        <f aca="false">IF(C447="","",IFERROR(INDEX(T_NOMBRE,MATCH(C447,T_ID,0)),"⚠ ID no existe"))</f>
        <v/>
      </c>
      <c r="E447" s="69"/>
      <c r="F447" s="69"/>
      <c r="G447" s="69"/>
      <c r="H447" s="69"/>
      <c r="I447" s="66"/>
      <c r="J447" s="69"/>
      <c r="K447" s="67"/>
      <c r="L447" s="67"/>
      <c r="M447" s="67"/>
      <c r="N447" s="67"/>
      <c r="O447" s="64"/>
      <c r="P447" s="72" t="str">
        <f aca="false">IF(OR(B447="",C447=""),"",C447&amp;"|"&amp;(YEAR(B447)*100+MONTH(B447)))</f>
        <v/>
      </c>
      <c r="Q447" s="70" t="str">
        <f aca="false">IF(P447="","",IF(COUNTIF(N_CLAVE,P447)&gt;1,"⚠ Duplicado","OK"))</f>
        <v/>
      </c>
      <c r="R447" s="74" t="str">
        <f aca="false">IF(OR(P447="",U447=""),"",MAX(0,U447-N(E447)-N(F447)-N(H447)))</f>
        <v/>
      </c>
      <c r="S447" s="75" t="str">
        <f aca="false">IF(P447="","",IFERROR(INDEX(T_INGRESO,MATCH(C447,T_ID,0)),""))</f>
        <v/>
      </c>
      <c r="T447" s="75" t="str">
        <f aca="false">IF(P447="","",IFERROR(N(INDEX(T_EGRESO,MATCH(C447,T_ID,0))),0))</f>
        <v/>
      </c>
      <c r="U447" s="73" t="str">
        <f aca="false">IF(OR(P447="",NOT(ISNUMBER(S447))),"",IF(OR(S447&gt;EOMONTH(B447,0),AND(T447&gt;0,T447&lt;B447)),0,IF(AND(S447&lt;=B447,OR(T447=0,T447&gt;=EOMONTH(B447,0))),30,MIN(30,IF(T447=0,EOMONTH(B447,0),MIN(T447,EOMONTH(B447,0)))-MAX(B447,S447)+1))))</f>
        <v/>
      </c>
    </row>
    <row r="448" customFormat="false" ht="15" hidden="false" customHeight="false" outlineLevel="0" collapsed="false">
      <c r="B448" s="78"/>
      <c r="C448" s="64"/>
      <c r="D448" s="70" t="str">
        <f aca="false">IF(C448="","",IFERROR(INDEX(T_NOMBRE,MATCH(C448,T_ID,0)),"⚠ ID no existe"))</f>
        <v/>
      </c>
      <c r="E448" s="69"/>
      <c r="F448" s="69"/>
      <c r="G448" s="69"/>
      <c r="H448" s="69"/>
      <c r="I448" s="66"/>
      <c r="J448" s="69"/>
      <c r="K448" s="67"/>
      <c r="L448" s="67"/>
      <c r="M448" s="67"/>
      <c r="N448" s="67"/>
      <c r="O448" s="64"/>
      <c r="P448" s="72" t="str">
        <f aca="false">IF(OR(B448="",C448=""),"",C448&amp;"|"&amp;(YEAR(B448)*100+MONTH(B448)))</f>
        <v/>
      </c>
      <c r="Q448" s="70" t="str">
        <f aca="false">IF(P448="","",IF(COUNTIF(N_CLAVE,P448)&gt;1,"⚠ Duplicado","OK"))</f>
        <v/>
      </c>
      <c r="R448" s="74" t="str">
        <f aca="false">IF(OR(P448="",U448=""),"",MAX(0,U448-N(E448)-N(F448)-N(H448)))</f>
        <v/>
      </c>
      <c r="S448" s="75" t="str">
        <f aca="false">IF(P448="","",IFERROR(INDEX(T_INGRESO,MATCH(C448,T_ID,0)),""))</f>
        <v/>
      </c>
      <c r="T448" s="75" t="str">
        <f aca="false">IF(P448="","",IFERROR(N(INDEX(T_EGRESO,MATCH(C448,T_ID,0))),0))</f>
        <v/>
      </c>
      <c r="U448" s="73" t="str">
        <f aca="false">IF(OR(P448="",NOT(ISNUMBER(S448))),"",IF(OR(S448&gt;EOMONTH(B448,0),AND(T448&gt;0,T448&lt;B448)),0,IF(AND(S448&lt;=B448,OR(T448=0,T448&gt;=EOMONTH(B448,0))),30,MIN(30,IF(T448=0,EOMONTH(B448,0),MIN(T448,EOMONTH(B448,0)))-MAX(B448,S448)+1))))</f>
        <v/>
      </c>
    </row>
    <row r="449" customFormat="false" ht="15" hidden="false" customHeight="false" outlineLevel="0" collapsed="false">
      <c r="B449" s="78"/>
      <c r="C449" s="64"/>
      <c r="D449" s="70" t="str">
        <f aca="false">IF(C449="","",IFERROR(INDEX(T_NOMBRE,MATCH(C449,T_ID,0)),"⚠ ID no existe"))</f>
        <v/>
      </c>
      <c r="E449" s="69"/>
      <c r="F449" s="69"/>
      <c r="G449" s="69"/>
      <c r="H449" s="69"/>
      <c r="I449" s="66"/>
      <c r="J449" s="69"/>
      <c r="K449" s="67"/>
      <c r="L449" s="67"/>
      <c r="M449" s="67"/>
      <c r="N449" s="67"/>
      <c r="O449" s="64"/>
      <c r="P449" s="72" t="str">
        <f aca="false">IF(OR(B449="",C449=""),"",C449&amp;"|"&amp;(YEAR(B449)*100+MONTH(B449)))</f>
        <v/>
      </c>
      <c r="Q449" s="70" t="str">
        <f aca="false">IF(P449="","",IF(COUNTIF(N_CLAVE,P449)&gt;1,"⚠ Duplicado","OK"))</f>
        <v/>
      </c>
      <c r="R449" s="74" t="str">
        <f aca="false">IF(OR(P449="",U449=""),"",MAX(0,U449-N(E449)-N(F449)-N(H449)))</f>
        <v/>
      </c>
      <c r="S449" s="75" t="str">
        <f aca="false">IF(P449="","",IFERROR(INDEX(T_INGRESO,MATCH(C449,T_ID,0)),""))</f>
        <v/>
      </c>
      <c r="T449" s="75" t="str">
        <f aca="false">IF(P449="","",IFERROR(N(INDEX(T_EGRESO,MATCH(C449,T_ID,0))),0))</f>
        <v/>
      </c>
      <c r="U449" s="73" t="str">
        <f aca="false">IF(OR(P449="",NOT(ISNUMBER(S449))),"",IF(OR(S449&gt;EOMONTH(B449,0),AND(T449&gt;0,T449&lt;B449)),0,IF(AND(S449&lt;=B449,OR(T449=0,T449&gt;=EOMONTH(B449,0))),30,MIN(30,IF(T449=0,EOMONTH(B449,0),MIN(T449,EOMONTH(B449,0)))-MAX(B449,S449)+1))))</f>
        <v/>
      </c>
    </row>
    <row r="450" customFormat="false" ht="15" hidden="false" customHeight="false" outlineLevel="0" collapsed="false">
      <c r="B450" s="78"/>
      <c r="C450" s="64"/>
      <c r="D450" s="70" t="str">
        <f aca="false">IF(C450="","",IFERROR(INDEX(T_NOMBRE,MATCH(C450,T_ID,0)),"⚠ ID no existe"))</f>
        <v/>
      </c>
      <c r="E450" s="69"/>
      <c r="F450" s="69"/>
      <c r="G450" s="69"/>
      <c r="H450" s="69"/>
      <c r="I450" s="66"/>
      <c r="J450" s="69"/>
      <c r="K450" s="67"/>
      <c r="L450" s="67"/>
      <c r="M450" s="67"/>
      <c r="N450" s="67"/>
      <c r="O450" s="64"/>
      <c r="P450" s="72" t="str">
        <f aca="false">IF(OR(B450="",C450=""),"",C450&amp;"|"&amp;(YEAR(B450)*100+MONTH(B450)))</f>
        <v/>
      </c>
      <c r="Q450" s="70" t="str">
        <f aca="false">IF(P450="","",IF(COUNTIF(N_CLAVE,P450)&gt;1,"⚠ Duplicado","OK"))</f>
        <v/>
      </c>
      <c r="R450" s="74" t="str">
        <f aca="false">IF(OR(P450="",U450=""),"",MAX(0,U450-N(E450)-N(F450)-N(H450)))</f>
        <v/>
      </c>
      <c r="S450" s="75" t="str">
        <f aca="false">IF(P450="","",IFERROR(INDEX(T_INGRESO,MATCH(C450,T_ID,0)),""))</f>
        <v/>
      </c>
      <c r="T450" s="75" t="str">
        <f aca="false">IF(P450="","",IFERROR(N(INDEX(T_EGRESO,MATCH(C450,T_ID,0))),0))</f>
        <v/>
      </c>
      <c r="U450" s="73" t="str">
        <f aca="false">IF(OR(P450="",NOT(ISNUMBER(S450))),"",IF(OR(S450&gt;EOMONTH(B450,0),AND(T450&gt;0,T450&lt;B450)),0,IF(AND(S450&lt;=B450,OR(T450=0,T450&gt;=EOMONTH(B450,0))),30,MIN(30,IF(T450=0,EOMONTH(B450,0),MIN(T450,EOMONTH(B450,0)))-MAX(B450,S450)+1))))</f>
        <v/>
      </c>
    </row>
    <row r="451" customFormat="false" ht="15" hidden="false" customHeight="false" outlineLevel="0" collapsed="false">
      <c r="B451" s="78"/>
      <c r="C451" s="64"/>
      <c r="D451" s="70" t="str">
        <f aca="false">IF(C451="","",IFERROR(INDEX(T_NOMBRE,MATCH(C451,T_ID,0)),"⚠ ID no existe"))</f>
        <v/>
      </c>
      <c r="E451" s="69"/>
      <c r="F451" s="69"/>
      <c r="G451" s="69"/>
      <c r="H451" s="69"/>
      <c r="I451" s="66"/>
      <c r="J451" s="69"/>
      <c r="K451" s="67"/>
      <c r="L451" s="67"/>
      <c r="M451" s="67"/>
      <c r="N451" s="67"/>
      <c r="O451" s="64"/>
      <c r="P451" s="72" t="str">
        <f aca="false">IF(OR(B451="",C451=""),"",C451&amp;"|"&amp;(YEAR(B451)*100+MONTH(B451)))</f>
        <v/>
      </c>
      <c r="Q451" s="70" t="str">
        <f aca="false">IF(P451="","",IF(COUNTIF(N_CLAVE,P451)&gt;1,"⚠ Duplicado","OK"))</f>
        <v/>
      </c>
      <c r="R451" s="74" t="str">
        <f aca="false">IF(OR(P451="",U451=""),"",MAX(0,U451-N(E451)-N(F451)-N(H451)))</f>
        <v/>
      </c>
      <c r="S451" s="75" t="str">
        <f aca="false">IF(P451="","",IFERROR(INDEX(T_INGRESO,MATCH(C451,T_ID,0)),""))</f>
        <v/>
      </c>
      <c r="T451" s="75" t="str">
        <f aca="false">IF(P451="","",IFERROR(N(INDEX(T_EGRESO,MATCH(C451,T_ID,0))),0))</f>
        <v/>
      </c>
      <c r="U451" s="73" t="str">
        <f aca="false">IF(OR(P451="",NOT(ISNUMBER(S451))),"",IF(OR(S451&gt;EOMONTH(B451,0),AND(T451&gt;0,T451&lt;B451)),0,IF(AND(S451&lt;=B451,OR(T451=0,T451&gt;=EOMONTH(B451,0))),30,MIN(30,IF(T451=0,EOMONTH(B451,0),MIN(T451,EOMONTH(B451,0)))-MAX(B451,S451)+1))))</f>
        <v/>
      </c>
    </row>
    <row r="452" customFormat="false" ht="15" hidden="false" customHeight="false" outlineLevel="0" collapsed="false">
      <c r="B452" s="78"/>
      <c r="C452" s="64"/>
      <c r="D452" s="70" t="str">
        <f aca="false">IF(C452="","",IFERROR(INDEX(T_NOMBRE,MATCH(C452,T_ID,0)),"⚠ ID no existe"))</f>
        <v/>
      </c>
      <c r="E452" s="69"/>
      <c r="F452" s="69"/>
      <c r="G452" s="69"/>
      <c r="H452" s="69"/>
      <c r="I452" s="66"/>
      <c r="J452" s="69"/>
      <c r="K452" s="67"/>
      <c r="L452" s="67"/>
      <c r="M452" s="67"/>
      <c r="N452" s="67"/>
      <c r="O452" s="64"/>
      <c r="P452" s="72" t="str">
        <f aca="false">IF(OR(B452="",C452=""),"",C452&amp;"|"&amp;(YEAR(B452)*100+MONTH(B452)))</f>
        <v/>
      </c>
      <c r="Q452" s="70" t="str">
        <f aca="false">IF(P452="","",IF(COUNTIF(N_CLAVE,P452)&gt;1,"⚠ Duplicado","OK"))</f>
        <v/>
      </c>
      <c r="R452" s="74" t="str">
        <f aca="false">IF(OR(P452="",U452=""),"",MAX(0,U452-N(E452)-N(F452)-N(H452)))</f>
        <v/>
      </c>
      <c r="S452" s="75" t="str">
        <f aca="false">IF(P452="","",IFERROR(INDEX(T_INGRESO,MATCH(C452,T_ID,0)),""))</f>
        <v/>
      </c>
      <c r="T452" s="75" t="str">
        <f aca="false">IF(P452="","",IFERROR(N(INDEX(T_EGRESO,MATCH(C452,T_ID,0))),0))</f>
        <v/>
      </c>
      <c r="U452" s="73" t="str">
        <f aca="false">IF(OR(P452="",NOT(ISNUMBER(S452))),"",IF(OR(S452&gt;EOMONTH(B452,0),AND(T452&gt;0,T452&lt;B452)),0,IF(AND(S452&lt;=B452,OR(T452=0,T452&gt;=EOMONTH(B452,0))),30,MIN(30,IF(T452=0,EOMONTH(B452,0),MIN(T452,EOMONTH(B452,0)))-MAX(B452,S452)+1))))</f>
        <v/>
      </c>
    </row>
    <row r="453" customFormat="false" ht="15" hidden="false" customHeight="false" outlineLevel="0" collapsed="false">
      <c r="B453" s="78"/>
      <c r="C453" s="64"/>
      <c r="D453" s="70" t="str">
        <f aca="false">IF(C453="","",IFERROR(INDEX(T_NOMBRE,MATCH(C453,T_ID,0)),"⚠ ID no existe"))</f>
        <v/>
      </c>
      <c r="E453" s="69"/>
      <c r="F453" s="69"/>
      <c r="G453" s="69"/>
      <c r="H453" s="69"/>
      <c r="I453" s="66"/>
      <c r="J453" s="69"/>
      <c r="K453" s="67"/>
      <c r="L453" s="67"/>
      <c r="M453" s="67"/>
      <c r="N453" s="67"/>
      <c r="O453" s="64"/>
      <c r="P453" s="72" t="str">
        <f aca="false">IF(OR(B453="",C453=""),"",C453&amp;"|"&amp;(YEAR(B453)*100+MONTH(B453)))</f>
        <v/>
      </c>
      <c r="Q453" s="70" t="str">
        <f aca="false">IF(P453="","",IF(COUNTIF(N_CLAVE,P453)&gt;1,"⚠ Duplicado","OK"))</f>
        <v/>
      </c>
      <c r="R453" s="74" t="str">
        <f aca="false">IF(OR(P453="",U453=""),"",MAX(0,U453-N(E453)-N(F453)-N(H453)))</f>
        <v/>
      </c>
      <c r="S453" s="75" t="str">
        <f aca="false">IF(P453="","",IFERROR(INDEX(T_INGRESO,MATCH(C453,T_ID,0)),""))</f>
        <v/>
      </c>
      <c r="T453" s="75" t="str">
        <f aca="false">IF(P453="","",IFERROR(N(INDEX(T_EGRESO,MATCH(C453,T_ID,0))),0))</f>
        <v/>
      </c>
      <c r="U453" s="73" t="str">
        <f aca="false">IF(OR(P453="",NOT(ISNUMBER(S453))),"",IF(OR(S453&gt;EOMONTH(B453,0),AND(T453&gt;0,T453&lt;B453)),0,IF(AND(S453&lt;=B453,OR(T453=0,T453&gt;=EOMONTH(B453,0))),30,MIN(30,IF(T453=0,EOMONTH(B453,0),MIN(T453,EOMONTH(B453,0)))-MAX(B453,S453)+1))))</f>
        <v/>
      </c>
    </row>
    <row r="454" customFormat="false" ht="15" hidden="false" customHeight="false" outlineLevel="0" collapsed="false">
      <c r="B454" s="78"/>
      <c r="C454" s="64"/>
      <c r="D454" s="70" t="str">
        <f aca="false">IF(C454="","",IFERROR(INDEX(T_NOMBRE,MATCH(C454,T_ID,0)),"⚠ ID no existe"))</f>
        <v/>
      </c>
      <c r="E454" s="69"/>
      <c r="F454" s="69"/>
      <c r="G454" s="69"/>
      <c r="H454" s="69"/>
      <c r="I454" s="66"/>
      <c r="J454" s="69"/>
      <c r="K454" s="67"/>
      <c r="L454" s="67"/>
      <c r="M454" s="67"/>
      <c r="N454" s="67"/>
      <c r="O454" s="64"/>
      <c r="P454" s="72" t="str">
        <f aca="false">IF(OR(B454="",C454=""),"",C454&amp;"|"&amp;(YEAR(B454)*100+MONTH(B454)))</f>
        <v/>
      </c>
      <c r="Q454" s="70" t="str">
        <f aca="false">IF(P454="","",IF(COUNTIF(N_CLAVE,P454)&gt;1,"⚠ Duplicado","OK"))</f>
        <v/>
      </c>
      <c r="R454" s="74" t="str">
        <f aca="false">IF(OR(P454="",U454=""),"",MAX(0,U454-N(E454)-N(F454)-N(H454)))</f>
        <v/>
      </c>
      <c r="S454" s="75" t="str">
        <f aca="false">IF(P454="","",IFERROR(INDEX(T_INGRESO,MATCH(C454,T_ID,0)),""))</f>
        <v/>
      </c>
      <c r="T454" s="75" t="str">
        <f aca="false">IF(P454="","",IFERROR(N(INDEX(T_EGRESO,MATCH(C454,T_ID,0))),0))</f>
        <v/>
      </c>
      <c r="U454" s="73" t="str">
        <f aca="false">IF(OR(P454="",NOT(ISNUMBER(S454))),"",IF(OR(S454&gt;EOMONTH(B454,0),AND(T454&gt;0,T454&lt;B454)),0,IF(AND(S454&lt;=B454,OR(T454=0,T454&gt;=EOMONTH(B454,0))),30,MIN(30,IF(T454=0,EOMONTH(B454,0),MIN(T454,EOMONTH(B454,0)))-MAX(B454,S454)+1))))</f>
        <v/>
      </c>
    </row>
    <row r="455" customFormat="false" ht="15" hidden="false" customHeight="false" outlineLevel="0" collapsed="false">
      <c r="B455" s="78"/>
      <c r="C455" s="64"/>
      <c r="D455" s="70" t="str">
        <f aca="false">IF(C455="","",IFERROR(INDEX(T_NOMBRE,MATCH(C455,T_ID,0)),"⚠ ID no existe"))</f>
        <v/>
      </c>
      <c r="E455" s="69"/>
      <c r="F455" s="69"/>
      <c r="G455" s="69"/>
      <c r="H455" s="69"/>
      <c r="I455" s="66"/>
      <c r="J455" s="69"/>
      <c r="K455" s="67"/>
      <c r="L455" s="67"/>
      <c r="M455" s="67"/>
      <c r="N455" s="67"/>
      <c r="O455" s="64"/>
      <c r="P455" s="72" t="str">
        <f aca="false">IF(OR(B455="",C455=""),"",C455&amp;"|"&amp;(YEAR(B455)*100+MONTH(B455)))</f>
        <v/>
      </c>
      <c r="Q455" s="70" t="str">
        <f aca="false">IF(P455="","",IF(COUNTIF(N_CLAVE,P455)&gt;1,"⚠ Duplicado","OK"))</f>
        <v/>
      </c>
      <c r="R455" s="74" t="str">
        <f aca="false">IF(OR(P455="",U455=""),"",MAX(0,U455-N(E455)-N(F455)-N(H455)))</f>
        <v/>
      </c>
      <c r="S455" s="75" t="str">
        <f aca="false">IF(P455="","",IFERROR(INDEX(T_INGRESO,MATCH(C455,T_ID,0)),""))</f>
        <v/>
      </c>
      <c r="T455" s="75" t="str">
        <f aca="false">IF(P455="","",IFERROR(N(INDEX(T_EGRESO,MATCH(C455,T_ID,0))),0))</f>
        <v/>
      </c>
      <c r="U455" s="73" t="str">
        <f aca="false">IF(OR(P455="",NOT(ISNUMBER(S455))),"",IF(OR(S455&gt;EOMONTH(B455,0),AND(T455&gt;0,T455&lt;B455)),0,IF(AND(S455&lt;=B455,OR(T455=0,T455&gt;=EOMONTH(B455,0))),30,MIN(30,IF(T455=0,EOMONTH(B455,0),MIN(T455,EOMONTH(B455,0)))-MAX(B455,S455)+1))))</f>
        <v/>
      </c>
    </row>
    <row r="456" customFormat="false" ht="15" hidden="false" customHeight="false" outlineLevel="0" collapsed="false">
      <c r="B456" s="78"/>
      <c r="C456" s="64"/>
      <c r="D456" s="70" t="str">
        <f aca="false">IF(C456="","",IFERROR(INDEX(T_NOMBRE,MATCH(C456,T_ID,0)),"⚠ ID no existe"))</f>
        <v/>
      </c>
      <c r="E456" s="69"/>
      <c r="F456" s="69"/>
      <c r="G456" s="69"/>
      <c r="H456" s="69"/>
      <c r="I456" s="66"/>
      <c r="J456" s="69"/>
      <c r="K456" s="67"/>
      <c r="L456" s="67"/>
      <c r="M456" s="67"/>
      <c r="N456" s="67"/>
      <c r="O456" s="64"/>
      <c r="P456" s="72" t="str">
        <f aca="false">IF(OR(B456="",C456=""),"",C456&amp;"|"&amp;(YEAR(B456)*100+MONTH(B456)))</f>
        <v/>
      </c>
      <c r="Q456" s="70" t="str">
        <f aca="false">IF(P456="","",IF(COUNTIF(N_CLAVE,P456)&gt;1,"⚠ Duplicado","OK"))</f>
        <v/>
      </c>
      <c r="R456" s="74" t="str">
        <f aca="false">IF(OR(P456="",U456=""),"",MAX(0,U456-N(E456)-N(F456)-N(H456)))</f>
        <v/>
      </c>
      <c r="S456" s="75" t="str">
        <f aca="false">IF(P456="","",IFERROR(INDEX(T_INGRESO,MATCH(C456,T_ID,0)),""))</f>
        <v/>
      </c>
      <c r="T456" s="75" t="str">
        <f aca="false">IF(P456="","",IFERROR(N(INDEX(T_EGRESO,MATCH(C456,T_ID,0))),0))</f>
        <v/>
      </c>
      <c r="U456" s="73" t="str">
        <f aca="false">IF(OR(P456="",NOT(ISNUMBER(S456))),"",IF(OR(S456&gt;EOMONTH(B456,0),AND(T456&gt;0,T456&lt;B456)),0,IF(AND(S456&lt;=B456,OR(T456=0,T456&gt;=EOMONTH(B456,0))),30,MIN(30,IF(T456=0,EOMONTH(B456,0),MIN(T456,EOMONTH(B456,0)))-MAX(B456,S456)+1))))</f>
        <v/>
      </c>
    </row>
    <row r="457" customFormat="false" ht="15" hidden="false" customHeight="false" outlineLevel="0" collapsed="false">
      <c r="B457" s="78"/>
      <c r="C457" s="64"/>
      <c r="D457" s="70" t="str">
        <f aca="false">IF(C457="","",IFERROR(INDEX(T_NOMBRE,MATCH(C457,T_ID,0)),"⚠ ID no existe"))</f>
        <v/>
      </c>
      <c r="E457" s="69"/>
      <c r="F457" s="69"/>
      <c r="G457" s="69"/>
      <c r="H457" s="69"/>
      <c r="I457" s="66"/>
      <c r="J457" s="69"/>
      <c r="K457" s="67"/>
      <c r="L457" s="67"/>
      <c r="M457" s="67"/>
      <c r="N457" s="67"/>
      <c r="O457" s="64"/>
      <c r="P457" s="72" t="str">
        <f aca="false">IF(OR(B457="",C457=""),"",C457&amp;"|"&amp;(YEAR(B457)*100+MONTH(B457)))</f>
        <v/>
      </c>
      <c r="Q457" s="70" t="str">
        <f aca="false">IF(P457="","",IF(COUNTIF(N_CLAVE,P457)&gt;1,"⚠ Duplicado","OK"))</f>
        <v/>
      </c>
      <c r="R457" s="74" t="str">
        <f aca="false">IF(OR(P457="",U457=""),"",MAX(0,U457-N(E457)-N(F457)-N(H457)))</f>
        <v/>
      </c>
      <c r="S457" s="75" t="str">
        <f aca="false">IF(P457="","",IFERROR(INDEX(T_INGRESO,MATCH(C457,T_ID,0)),""))</f>
        <v/>
      </c>
      <c r="T457" s="75" t="str">
        <f aca="false">IF(P457="","",IFERROR(N(INDEX(T_EGRESO,MATCH(C457,T_ID,0))),0))</f>
        <v/>
      </c>
      <c r="U457" s="73" t="str">
        <f aca="false">IF(OR(P457="",NOT(ISNUMBER(S457))),"",IF(OR(S457&gt;EOMONTH(B457,0),AND(T457&gt;0,T457&lt;B457)),0,IF(AND(S457&lt;=B457,OR(T457=0,T457&gt;=EOMONTH(B457,0))),30,MIN(30,IF(T457=0,EOMONTH(B457,0),MIN(T457,EOMONTH(B457,0)))-MAX(B457,S457)+1))))</f>
        <v/>
      </c>
    </row>
    <row r="458" customFormat="false" ht="15" hidden="false" customHeight="false" outlineLevel="0" collapsed="false">
      <c r="B458" s="78"/>
      <c r="C458" s="64"/>
      <c r="D458" s="70" t="str">
        <f aca="false">IF(C458="","",IFERROR(INDEX(T_NOMBRE,MATCH(C458,T_ID,0)),"⚠ ID no existe"))</f>
        <v/>
      </c>
      <c r="E458" s="69"/>
      <c r="F458" s="69"/>
      <c r="G458" s="69"/>
      <c r="H458" s="69"/>
      <c r="I458" s="66"/>
      <c r="J458" s="69"/>
      <c r="K458" s="67"/>
      <c r="L458" s="67"/>
      <c r="M458" s="67"/>
      <c r="N458" s="67"/>
      <c r="O458" s="64"/>
      <c r="P458" s="72" t="str">
        <f aca="false">IF(OR(B458="",C458=""),"",C458&amp;"|"&amp;(YEAR(B458)*100+MONTH(B458)))</f>
        <v/>
      </c>
      <c r="Q458" s="70" t="str">
        <f aca="false">IF(P458="","",IF(COUNTIF(N_CLAVE,P458)&gt;1,"⚠ Duplicado","OK"))</f>
        <v/>
      </c>
      <c r="R458" s="74" t="str">
        <f aca="false">IF(OR(P458="",U458=""),"",MAX(0,U458-N(E458)-N(F458)-N(H458)))</f>
        <v/>
      </c>
      <c r="S458" s="75" t="str">
        <f aca="false">IF(P458="","",IFERROR(INDEX(T_INGRESO,MATCH(C458,T_ID,0)),""))</f>
        <v/>
      </c>
      <c r="T458" s="75" t="str">
        <f aca="false">IF(P458="","",IFERROR(N(INDEX(T_EGRESO,MATCH(C458,T_ID,0))),0))</f>
        <v/>
      </c>
      <c r="U458" s="73" t="str">
        <f aca="false">IF(OR(P458="",NOT(ISNUMBER(S458))),"",IF(OR(S458&gt;EOMONTH(B458,0),AND(T458&gt;0,T458&lt;B458)),0,IF(AND(S458&lt;=B458,OR(T458=0,T458&gt;=EOMONTH(B458,0))),30,MIN(30,IF(T458=0,EOMONTH(B458,0),MIN(T458,EOMONTH(B458,0)))-MAX(B458,S458)+1))))</f>
        <v/>
      </c>
    </row>
    <row r="459" customFormat="false" ht="15" hidden="false" customHeight="false" outlineLevel="0" collapsed="false">
      <c r="B459" s="78"/>
      <c r="C459" s="64"/>
      <c r="D459" s="70" t="str">
        <f aca="false">IF(C459="","",IFERROR(INDEX(T_NOMBRE,MATCH(C459,T_ID,0)),"⚠ ID no existe"))</f>
        <v/>
      </c>
      <c r="E459" s="69"/>
      <c r="F459" s="69"/>
      <c r="G459" s="69"/>
      <c r="H459" s="69"/>
      <c r="I459" s="66"/>
      <c r="J459" s="69"/>
      <c r="K459" s="67"/>
      <c r="L459" s="67"/>
      <c r="M459" s="67"/>
      <c r="N459" s="67"/>
      <c r="O459" s="64"/>
      <c r="P459" s="72" t="str">
        <f aca="false">IF(OR(B459="",C459=""),"",C459&amp;"|"&amp;(YEAR(B459)*100+MONTH(B459)))</f>
        <v/>
      </c>
      <c r="Q459" s="70" t="str">
        <f aca="false">IF(P459="","",IF(COUNTIF(N_CLAVE,P459)&gt;1,"⚠ Duplicado","OK"))</f>
        <v/>
      </c>
      <c r="R459" s="74" t="str">
        <f aca="false">IF(OR(P459="",U459=""),"",MAX(0,U459-N(E459)-N(F459)-N(H459)))</f>
        <v/>
      </c>
      <c r="S459" s="75" t="str">
        <f aca="false">IF(P459="","",IFERROR(INDEX(T_INGRESO,MATCH(C459,T_ID,0)),""))</f>
        <v/>
      </c>
      <c r="T459" s="75" t="str">
        <f aca="false">IF(P459="","",IFERROR(N(INDEX(T_EGRESO,MATCH(C459,T_ID,0))),0))</f>
        <v/>
      </c>
      <c r="U459" s="73" t="str">
        <f aca="false">IF(OR(P459="",NOT(ISNUMBER(S459))),"",IF(OR(S459&gt;EOMONTH(B459,0),AND(T459&gt;0,T459&lt;B459)),0,IF(AND(S459&lt;=B459,OR(T459=0,T459&gt;=EOMONTH(B459,0))),30,MIN(30,IF(T459=0,EOMONTH(B459,0),MIN(T459,EOMONTH(B459,0)))-MAX(B459,S459)+1))))</f>
        <v/>
      </c>
    </row>
    <row r="460" customFormat="false" ht="15" hidden="false" customHeight="false" outlineLevel="0" collapsed="false">
      <c r="B460" s="78"/>
      <c r="C460" s="64"/>
      <c r="D460" s="70" t="str">
        <f aca="false">IF(C460="","",IFERROR(INDEX(T_NOMBRE,MATCH(C460,T_ID,0)),"⚠ ID no existe"))</f>
        <v/>
      </c>
      <c r="E460" s="69"/>
      <c r="F460" s="69"/>
      <c r="G460" s="69"/>
      <c r="H460" s="69"/>
      <c r="I460" s="66"/>
      <c r="J460" s="69"/>
      <c r="K460" s="67"/>
      <c r="L460" s="67"/>
      <c r="M460" s="67"/>
      <c r="N460" s="67"/>
      <c r="O460" s="64"/>
      <c r="P460" s="72" t="str">
        <f aca="false">IF(OR(B460="",C460=""),"",C460&amp;"|"&amp;(YEAR(B460)*100+MONTH(B460)))</f>
        <v/>
      </c>
      <c r="Q460" s="70" t="str">
        <f aca="false">IF(P460="","",IF(COUNTIF(N_CLAVE,P460)&gt;1,"⚠ Duplicado","OK"))</f>
        <v/>
      </c>
      <c r="R460" s="74" t="str">
        <f aca="false">IF(OR(P460="",U460=""),"",MAX(0,U460-N(E460)-N(F460)-N(H460)))</f>
        <v/>
      </c>
      <c r="S460" s="75" t="str">
        <f aca="false">IF(P460="","",IFERROR(INDEX(T_INGRESO,MATCH(C460,T_ID,0)),""))</f>
        <v/>
      </c>
      <c r="T460" s="75" t="str">
        <f aca="false">IF(P460="","",IFERROR(N(INDEX(T_EGRESO,MATCH(C460,T_ID,0))),0))</f>
        <v/>
      </c>
      <c r="U460" s="73" t="str">
        <f aca="false">IF(OR(P460="",NOT(ISNUMBER(S460))),"",IF(OR(S460&gt;EOMONTH(B460,0),AND(T460&gt;0,T460&lt;B460)),0,IF(AND(S460&lt;=B460,OR(T460=0,T460&gt;=EOMONTH(B460,0))),30,MIN(30,IF(T460=0,EOMONTH(B460,0),MIN(T460,EOMONTH(B460,0)))-MAX(B460,S460)+1))))</f>
        <v/>
      </c>
    </row>
    <row r="461" customFormat="false" ht="15" hidden="false" customHeight="false" outlineLevel="0" collapsed="false">
      <c r="B461" s="78"/>
      <c r="C461" s="64"/>
      <c r="D461" s="70" t="str">
        <f aca="false">IF(C461="","",IFERROR(INDEX(T_NOMBRE,MATCH(C461,T_ID,0)),"⚠ ID no existe"))</f>
        <v/>
      </c>
      <c r="E461" s="69"/>
      <c r="F461" s="69"/>
      <c r="G461" s="69"/>
      <c r="H461" s="69"/>
      <c r="I461" s="66"/>
      <c r="J461" s="69"/>
      <c r="K461" s="67"/>
      <c r="L461" s="67"/>
      <c r="M461" s="67"/>
      <c r="N461" s="67"/>
      <c r="O461" s="64"/>
      <c r="P461" s="72" t="str">
        <f aca="false">IF(OR(B461="",C461=""),"",C461&amp;"|"&amp;(YEAR(B461)*100+MONTH(B461)))</f>
        <v/>
      </c>
      <c r="Q461" s="70" t="str">
        <f aca="false">IF(P461="","",IF(COUNTIF(N_CLAVE,P461)&gt;1,"⚠ Duplicado","OK"))</f>
        <v/>
      </c>
      <c r="R461" s="74" t="str">
        <f aca="false">IF(OR(P461="",U461=""),"",MAX(0,U461-N(E461)-N(F461)-N(H461)))</f>
        <v/>
      </c>
      <c r="S461" s="75" t="str">
        <f aca="false">IF(P461="","",IFERROR(INDEX(T_INGRESO,MATCH(C461,T_ID,0)),""))</f>
        <v/>
      </c>
      <c r="T461" s="75" t="str">
        <f aca="false">IF(P461="","",IFERROR(N(INDEX(T_EGRESO,MATCH(C461,T_ID,0))),0))</f>
        <v/>
      </c>
      <c r="U461" s="73" t="str">
        <f aca="false">IF(OR(P461="",NOT(ISNUMBER(S461))),"",IF(OR(S461&gt;EOMONTH(B461,0),AND(T461&gt;0,T461&lt;B461)),0,IF(AND(S461&lt;=B461,OR(T461=0,T461&gt;=EOMONTH(B461,0))),30,MIN(30,IF(T461=0,EOMONTH(B461,0),MIN(T461,EOMONTH(B461,0)))-MAX(B461,S461)+1))))</f>
        <v/>
      </c>
    </row>
    <row r="462" customFormat="false" ht="15" hidden="false" customHeight="false" outlineLevel="0" collapsed="false">
      <c r="B462" s="78"/>
      <c r="C462" s="64"/>
      <c r="D462" s="70" t="str">
        <f aca="false">IF(C462="","",IFERROR(INDEX(T_NOMBRE,MATCH(C462,T_ID,0)),"⚠ ID no existe"))</f>
        <v/>
      </c>
      <c r="E462" s="69"/>
      <c r="F462" s="69"/>
      <c r="G462" s="69"/>
      <c r="H462" s="69"/>
      <c r="I462" s="66"/>
      <c r="J462" s="69"/>
      <c r="K462" s="67"/>
      <c r="L462" s="67"/>
      <c r="M462" s="67"/>
      <c r="N462" s="67"/>
      <c r="O462" s="64"/>
      <c r="P462" s="72" t="str">
        <f aca="false">IF(OR(B462="",C462=""),"",C462&amp;"|"&amp;(YEAR(B462)*100+MONTH(B462)))</f>
        <v/>
      </c>
      <c r="Q462" s="70" t="str">
        <f aca="false">IF(P462="","",IF(COUNTIF(N_CLAVE,P462)&gt;1,"⚠ Duplicado","OK"))</f>
        <v/>
      </c>
      <c r="R462" s="74" t="str">
        <f aca="false">IF(OR(P462="",U462=""),"",MAX(0,U462-N(E462)-N(F462)-N(H462)))</f>
        <v/>
      </c>
      <c r="S462" s="75" t="str">
        <f aca="false">IF(P462="","",IFERROR(INDEX(T_INGRESO,MATCH(C462,T_ID,0)),""))</f>
        <v/>
      </c>
      <c r="T462" s="75" t="str">
        <f aca="false">IF(P462="","",IFERROR(N(INDEX(T_EGRESO,MATCH(C462,T_ID,0))),0))</f>
        <v/>
      </c>
      <c r="U462" s="73" t="str">
        <f aca="false">IF(OR(P462="",NOT(ISNUMBER(S462))),"",IF(OR(S462&gt;EOMONTH(B462,0),AND(T462&gt;0,T462&lt;B462)),0,IF(AND(S462&lt;=B462,OR(T462=0,T462&gt;=EOMONTH(B462,0))),30,MIN(30,IF(T462=0,EOMONTH(B462,0),MIN(T462,EOMONTH(B462,0)))-MAX(B462,S462)+1))))</f>
        <v/>
      </c>
    </row>
    <row r="463" customFormat="false" ht="15" hidden="false" customHeight="false" outlineLevel="0" collapsed="false">
      <c r="B463" s="78"/>
      <c r="C463" s="64"/>
      <c r="D463" s="70" t="str">
        <f aca="false">IF(C463="","",IFERROR(INDEX(T_NOMBRE,MATCH(C463,T_ID,0)),"⚠ ID no existe"))</f>
        <v/>
      </c>
      <c r="E463" s="69"/>
      <c r="F463" s="69"/>
      <c r="G463" s="69"/>
      <c r="H463" s="69"/>
      <c r="I463" s="66"/>
      <c r="J463" s="69"/>
      <c r="K463" s="67"/>
      <c r="L463" s="67"/>
      <c r="M463" s="67"/>
      <c r="N463" s="67"/>
      <c r="O463" s="64"/>
      <c r="P463" s="72" t="str">
        <f aca="false">IF(OR(B463="",C463=""),"",C463&amp;"|"&amp;(YEAR(B463)*100+MONTH(B463)))</f>
        <v/>
      </c>
      <c r="Q463" s="70" t="str">
        <f aca="false">IF(P463="","",IF(COUNTIF(N_CLAVE,P463)&gt;1,"⚠ Duplicado","OK"))</f>
        <v/>
      </c>
      <c r="R463" s="74" t="str">
        <f aca="false">IF(OR(P463="",U463=""),"",MAX(0,U463-N(E463)-N(F463)-N(H463)))</f>
        <v/>
      </c>
      <c r="S463" s="75" t="str">
        <f aca="false">IF(P463="","",IFERROR(INDEX(T_INGRESO,MATCH(C463,T_ID,0)),""))</f>
        <v/>
      </c>
      <c r="T463" s="75" t="str">
        <f aca="false">IF(P463="","",IFERROR(N(INDEX(T_EGRESO,MATCH(C463,T_ID,0))),0))</f>
        <v/>
      </c>
      <c r="U463" s="73" t="str">
        <f aca="false">IF(OR(P463="",NOT(ISNUMBER(S463))),"",IF(OR(S463&gt;EOMONTH(B463,0),AND(T463&gt;0,T463&lt;B463)),0,IF(AND(S463&lt;=B463,OR(T463=0,T463&gt;=EOMONTH(B463,0))),30,MIN(30,IF(T463=0,EOMONTH(B463,0),MIN(T463,EOMONTH(B463,0)))-MAX(B463,S463)+1))))</f>
        <v/>
      </c>
    </row>
    <row r="464" customFormat="false" ht="15" hidden="false" customHeight="false" outlineLevel="0" collapsed="false">
      <c r="B464" s="78"/>
      <c r="C464" s="64"/>
      <c r="D464" s="70" t="str">
        <f aca="false">IF(C464="","",IFERROR(INDEX(T_NOMBRE,MATCH(C464,T_ID,0)),"⚠ ID no existe"))</f>
        <v/>
      </c>
      <c r="E464" s="69"/>
      <c r="F464" s="69"/>
      <c r="G464" s="69"/>
      <c r="H464" s="69"/>
      <c r="I464" s="66"/>
      <c r="J464" s="69"/>
      <c r="K464" s="67"/>
      <c r="L464" s="67"/>
      <c r="M464" s="67"/>
      <c r="N464" s="67"/>
      <c r="O464" s="64"/>
      <c r="P464" s="72" t="str">
        <f aca="false">IF(OR(B464="",C464=""),"",C464&amp;"|"&amp;(YEAR(B464)*100+MONTH(B464)))</f>
        <v/>
      </c>
      <c r="Q464" s="70" t="str">
        <f aca="false">IF(P464="","",IF(COUNTIF(N_CLAVE,P464)&gt;1,"⚠ Duplicado","OK"))</f>
        <v/>
      </c>
      <c r="R464" s="74" t="str">
        <f aca="false">IF(OR(P464="",U464=""),"",MAX(0,U464-N(E464)-N(F464)-N(H464)))</f>
        <v/>
      </c>
      <c r="S464" s="75" t="str">
        <f aca="false">IF(P464="","",IFERROR(INDEX(T_INGRESO,MATCH(C464,T_ID,0)),""))</f>
        <v/>
      </c>
      <c r="T464" s="75" t="str">
        <f aca="false">IF(P464="","",IFERROR(N(INDEX(T_EGRESO,MATCH(C464,T_ID,0))),0))</f>
        <v/>
      </c>
      <c r="U464" s="73" t="str">
        <f aca="false">IF(OR(P464="",NOT(ISNUMBER(S464))),"",IF(OR(S464&gt;EOMONTH(B464,0),AND(T464&gt;0,T464&lt;B464)),0,IF(AND(S464&lt;=B464,OR(T464=0,T464&gt;=EOMONTH(B464,0))),30,MIN(30,IF(T464=0,EOMONTH(B464,0),MIN(T464,EOMONTH(B464,0)))-MAX(B464,S464)+1))))</f>
        <v/>
      </c>
    </row>
    <row r="465" customFormat="false" ht="15" hidden="false" customHeight="false" outlineLevel="0" collapsed="false">
      <c r="B465" s="78"/>
      <c r="C465" s="64"/>
      <c r="D465" s="70" t="str">
        <f aca="false">IF(C465="","",IFERROR(INDEX(T_NOMBRE,MATCH(C465,T_ID,0)),"⚠ ID no existe"))</f>
        <v/>
      </c>
      <c r="E465" s="69"/>
      <c r="F465" s="69"/>
      <c r="G465" s="69"/>
      <c r="H465" s="69"/>
      <c r="I465" s="66"/>
      <c r="J465" s="69"/>
      <c r="K465" s="67"/>
      <c r="L465" s="67"/>
      <c r="M465" s="67"/>
      <c r="N465" s="67"/>
      <c r="O465" s="64"/>
      <c r="P465" s="72" t="str">
        <f aca="false">IF(OR(B465="",C465=""),"",C465&amp;"|"&amp;(YEAR(B465)*100+MONTH(B465)))</f>
        <v/>
      </c>
      <c r="Q465" s="70" t="str">
        <f aca="false">IF(P465="","",IF(COUNTIF(N_CLAVE,P465)&gt;1,"⚠ Duplicado","OK"))</f>
        <v/>
      </c>
      <c r="R465" s="74" t="str">
        <f aca="false">IF(OR(P465="",U465=""),"",MAX(0,U465-N(E465)-N(F465)-N(H465)))</f>
        <v/>
      </c>
      <c r="S465" s="75" t="str">
        <f aca="false">IF(P465="","",IFERROR(INDEX(T_INGRESO,MATCH(C465,T_ID,0)),""))</f>
        <v/>
      </c>
      <c r="T465" s="75" t="str">
        <f aca="false">IF(P465="","",IFERROR(N(INDEX(T_EGRESO,MATCH(C465,T_ID,0))),0))</f>
        <v/>
      </c>
      <c r="U465" s="73" t="str">
        <f aca="false">IF(OR(P465="",NOT(ISNUMBER(S465))),"",IF(OR(S465&gt;EOMONTH(B465,0),AND(T465&gt;0,T465&lt;B465)),0,IF(AND(S465&lt;=B465,OR(T465=0,T465&gt;=EOMONTH(B465,0))),30,MIN(30,IF(T465=0,EOMONTH(B465,0),MIN(T465,EOMONTH(B465,0)))-MAX(B465,S465)+1))))</f>
        <v/>
      </c>
    </row>
    <row r="466" customFormat="false" ht="15" hidden="false" customHeight="false" outlineLevel="0" collapsed="false">
      <c r="B466" s="78"/>
      <c r="C466" s="64"/>
      <c r="D466" s="70" t="str">
        <f aca="false">IF(C466="","",IFERROR(INDEX(T_NOMBRE,MATCH(C466,T_ID,0)),"⚠ ID no existe"))</f>
        <v/>
      </c>
      <c r="E466" s="69"/>
      <c r="F466" s="69"/>
      <c r="G466" s="69"/>
      <c r="H466" s="69"/>
      <c r="I466" s="66"/>
      <c r="J466" s="69"/>
      <c r="K466" s="67"/>
      <c r="L466" s="67"/>
      <c r="M466" s="67"/>
      <c r="N466" s="67"/>
      <c r="O466" s="64"/>
      <c r="P466" s="72" t="str">
        <f aca="false">IF(OR(B466="",C466=""),"",C466&amp;"|"&amp;(YEAR(B466)*100+MONTH(B466)))</f>
        <v/>
      </c>
      <c r="Q466" s="70" t="str">
        <f aca="false">IF(P466="","",IF(COUNTIF(N_CLAVE,P466)&gt;1,"⚠ Duplicado","OK"))</f>
        <v/>
      </c>
      <c r="R466" s="74" t="str">
        <f aca="false">IF(OR(P466="",U466=""),"",MAX(0,U466-N(E466)-N(F466)-N(H466)))</f>
        <v/>
      </c>
      <c r="S466" s="75" t="str">
        <f aca="false">IF(P466="","",IFERROR(INDEX(T_INGRESO,MATCH(C466,T_ID,0)),""))</f>
        <v/>
      </c>
      <c r="T466" s="75" t="str">
        <f aca="false">IF(P466="","",IFERROR(N(INDEX(T_EGRESO,MATCH(C466,T_ID,0))),0))</f>
        <v/>
      </c>
      <c r="U466" s="73" t="str">
        <f aca="false">IF(OR(P466="",NOT(ISNUMBER(S466))),"",IF(OR(S466&gt;EOMONTH(B466,0),AND(T466&gt;0,T466&lt;B466)),0,IF(AND(S466&lt;=B466,OR(T466=0,T466&gt;=EOMONTH(B466,0))),30,MIN(30,IF(T466=0,EOMONTH(B466,0),MIN(T466,EOMONTH(B466,0)))-MAX(B466,S466)+1))))</f>
        <v/>
      </c>
    </row>
    <row r="467" customFormat="false" ht="15" hidden="false" customHeight="false" outlineLevel="0" collapsed="false">
      <c r="B467" s="78"/>
      <c r="C467" s="64"/>
      <c r="D467" s="70" t="str">
        <f aca="false">IF(C467="","",IFERROR(INDEX(T_NOMBRE,MATCH(C467,T_ID,0)),"⚠ ID no existe"))</f>
        <v/>
      </c>
      <c r="E467" s="69"/>
      <c r="F467" s="69"/>
      <c r="G467" s="69"/>
      <c r="H467" s="69"/>
      <c r="I467" s="66"/>
      <c r="J467" s="69"/>
      <c r="K467" s="67"/>
      <c r="L467" s="67"/>
      <c r="M467" s="67"/>
      <c r="N467" s="67"/>
      <c r="O467" s="64"/>
      <c r="P467" s="72" t="str">
        <f aca="false">IF(OR(B467="",C467=""),"",C467&amp;"|"&amp;(YEAR(B467)*100+MONTH(B467)))</f>
        <v/>
      </c>
      <c r="Q467" s="70" t="str">
        <f aca="false">IF(P467="","",IF(COUNTIF(N_CLAVE,P467)&gt;1,"⚠ Duplicado","OK"))</f>
        <v/>
      </c>
      <c r="R467" s="74" t="str">
        <f aca="false">IF(OR(P467="",U467=""),"",MAX(0,U467-N(E467)-N(F467)-N(H467)))</f>
        <v/>
      </c>
      <c r="S467" s="75" t="str">
        <f aca="false">IF(P467="","",IFERROR(INDEX(T_INGRESO,MATCH(C467,T_ID,0)),""))</f>
        <v/>
      </c>
      <c r="T467" s="75" t="str">
        <f aca="false">IF(P467="","",IFERROR(N(INDEX(T_EGRESO,MATCH(C467,T_ID,0))),0))</f>
        <v/>
      </c>
      <c r="U467" s="73" t="str">
        <f aca="false">IF(OR(P467="",NOT(ISNUMBER(S467))),"",IF(OR(S467&gt;EOMONTH(B467,0),AND(T467&gt;0,T467&lt;B467)),0,IF(AND(S467&lt;=B467,OR(T467=0,T467&gt;=EOMONTH(B467,0))),30,MIN(30,IF(T467=0,EOMONTH(B467,0),MIN(T467,EOMONTH(B467,0)))-MAX(B467,S467)+1))))</f>
        <v/>
      </c>
    </row>
    <row r="468" customFormat="false" ht="15" hidden="false" customHeight="false" outlineLevel="0" collapsed="false">
      <c r="B468" s="78"/>
      <c r="C468" s="64"/>
      <c r="D468" s="70" t="str">
        <f aca="false">IF(C468="","",IFERROR(INDEX(T_NOMBRE,MATCH(C468,T_ID,0)),"⚠ ID no existe"))</f>
        <v/>
      </c>
      <c r="E468" s="69"/>
      <c r="F468" s="69"/>
      <c r="G468" s="69"/>
      <c r="H468" s="69"/>
      <c r="I468" s="66"/>
      <c r="J468" s="69"/>
      <c r="K468" s="67"/>
      <c r="L468" s="67"/>
      <c r="M468" s="67"/>
      <c r="N468" s="67"/>
      <c r="O468" s="64"/>
      <c r="P468" s="72" t="str">
        <f aca="false">IF(OR(B468="",C468=""),"",C468&amp;"|"&amp;(YEAR(B468)*100+MONTH(B468)))</f>
        <v/>
      </c>
      <c r="Q468" s="70" t="str">
        <f aca="false">IF(P468="","",IF(COUNTIF(N_CLAVE,P468)&gt;1,"⚠ Duplicado","OK"))</f>
        <v/>
      </c>
      <c r="R468" s="74" t="str">
        <f aca="false">IF(OR(P468="",U468=""),"",MAX(0,U468-N(E468)-N(F468)-N(H468)))</f>
        <v/>
      </c>
      <c r="S468" s="75" t="str">
        <f aca="false">IF(P468="","",IFERROR(INDEX(T_INGRESO,MATCH(C468,T_ID,0)),""))</f>
        <v/>
      </c>
      <c r="T468" s="75" t="str">
        <f aca="false">IF(P468="","",IFERROR(N(INDEX(T_EGRESO,MATCH(C468,T_ID,0))),0))</f>
        <v/>
      </c>
      <c r="U468" s="73" t="str">
        <f aca="false">IF(OR(P468="",NOT(ISNUMBER(S468))),"",IF(OR(S468&gt;EOMONTH(B468,0),AND(T468&gt;0,T468&lt;B468)),0,IF(AND(S468&lt;=B468,OR(T468=0,T468&gt;=EOMONTH(B468,0))),30,MIN(30,IF(T468=0,EOMONTH(B468,0),MIN(T468,EOMONTH(B468,0)))-MAX(B468,S468)+1))))</f>
        <v/>
      </c>
    </row>
    <row r="469" customFormat="false" ht="15" hidden="false" customHeight="false" outlineLevel="0" collapsed="false">
      <c r="B469" s="78"/>
      <c r="C469" s="64"/>
      <c r="D469" s="70" t="str">
        <f aca="false">IF(C469="","",IFERROR(INDEX(T_NOMBRE,MATCH(C469,T_ID,0)),"⚠ ID no existe"))</f>
        <v/>
      </c>
      <c r="E469" s="69"/>
      <c r="F469" s="69"/>
      <c r="G469" s="69"/>
      <c r="H469" s="69"/>
      <c r="I469" s="66"/>
      <c r="J469" s="69"/>
      <c r="K469" s="67"/>
      <c r="L469" s="67"/>
      <c r="M469" s="67"/>
      <c r="N469" s="67"/>
      <c r="O469" s="64"/>
      <c r="P469" s="72" t="str">
        <f aca="false">IF(OR(B469="",C469=""),"",C469&amp;"|"&amp;(YEAR(B469)*100+MONTH(B469)))</f>
        <v/>
      </c>
      <c r="Q469" s="70" t="str">
        <f aca="false">IF(P469="","",IF(COUNTIF(N_CLAVE,P469)&gt;1,"⚠ Duplicado","OK"))</f>
        <v/>
      </c>
      <c r="R469" s="74" t="str">
        <f aca="false">IF(OR(P469="",U469=""),"",MAX(0,U469-N(E469)-N(F469)-N(H469)))</f>
        <v/>
      </c>
      <c r="S469" s="75" t="str">
        <f aca="false">IF(P469="","",IFERROR(INDEX(T_INGRESO,MATCH(C469,T_ID,0)),""))</f>
        <v/>
      </c>
      <c r="T469" s="75" t="str">
        <f aca="false">IF(P469="","",IFERROR(N(INDEX(T_EGRESO,MATCH(C469,T_ID,0))),0))</f>
        <v/>
      </c>
      <c r="U469" s="73" t="str">
        <f aca="false">IF(OR(P469="",NOT(ISNUMBER(S469))),"",IF(OR(S469&gt;EOMONTH(B469,0),AND(T469&gt;0,T469&lt;B469)),0,IF(AND(S469&lt;=B469,OR(T469=0,T469&gt;=EOMONTH(B469,0))),30,MIN(30,IF(T469=0,EOMONTH(B469,0),MIN(T469,EOMONTH(B469,0)))-MAX(B469,S469)+1))))</f>
        <v/>
      </c>
    </row>
    <row r="470" customFormat="false" ht="15" hidden="false" customHeight="false" outlineLevel="0" collapsed="false">
      <c r="B470" s="78"/>
      <c r="C470" s="64"/>
      <c r="D470" s="70" t="str">
        <f aca="false">IF(C470="","",IFERROR(INDEX(T_NOMBRE,MATCH(C470,T_ID,0)),"⚠ ID no existe"))</f>
        <v/>
      </c>
      <c r="E470" s="69"/>
      <c r="F470" s="69"/>
      <c r="G470" s="69"/>
      <c r="H470" s="69"/>
      <c r="I470" s="66"/>
      <c r="J470" s="69"/>
      <c r="K470" s="67"/>
      <c r="L470" s="67"/>
      <c r="M470" s="67"/>
      <c r="N470" s="67"/>
      <c r="O470" s="64"/>
      <c r="P470" s="72" t="str">
        <f aca="false">IF(OR(B470="",C470=""),"",C470&amp;"|"&amp;(YEAR(B470)*100+MONTH(B470)))</f>
        <v/>
      </c>
      <c r="Q470" s="70" t="str">
        <f aca="false">IF(P470="","",IF(COUNTIF(N_CLAVE,P470)&gt;1,"⚠ Duplicado","OK"))</f>
        <v/>
      </c>
      <c r="R470" s="74" t="str">
        <f aca="false">IF(OR(P470="",U470=""),"",MAX(0,U470-N(E470)-N(F470)-N(H470)))</f>
        <v/>
      </c>
      <c r="S470" s="75" t="str">
        <f aca="false">IF(P470="","",IFERROR(INDEX(T_INGRESO,MATCH(C470,T_ID,0)),""))</f>
        <v/>
      </c>
      <c r="T470" s="75" t="str">
        <f aca="false">IF(P470="","",IFERROR(N(INDEX(T_EGRESO,MATCH(C470,T_ID,0))),0))</f>
        <v/>
      </c>
      <c r="U470" s="73" t="str">
        <f aca="false">IF(OR(P470="",NOT(ISNUMBER(S470))),"",IF(OR(S470&gt;EOMONTH(B470,0),AND(T470&gt;0,T470&lt;B470)),0,IF(AND(S470&lt;=B470,OR(T470=0,T470&gt;=EOMONTH(B470,0))),30,MIN(30,IF(T470=0,EOMONTH(B470,0),MIN(T470,EOMONTH(B470,0)))-MAX(B470,S470)+1))))</f>
        <v/>
      </c>
    </row>
    <row r="471" customFormat="false" ht="15" hidden="false" customHeight="false" outlineLevel="0" collapsed="false">
      <c r="B471" s="78"/>
      <c r="C471" s="64"/>
      <c r="D471" s="70" t="str">
        <f aca="false">IF(C471="","",IFERROR(INDEX(T_NOMBRE,MATCH(C471,T_ID,0)),"⚠ ID no existe"))</f>
        <v/>
      </c>
      <c r="E471" s="69"/>
      <c r="F471" s="69"/>
      <c r="G471" s="69"/>
      <c r="H471" s="69"/>
      <c r="I471" s="66"/>
      <c r="J471" s="69"/>
      <c r="K471" s="67"/>
      <c r="L471" s="67"/>
      <c r="M471" s="67"/>
      <c r="N471" s="67"/>
      <c r="O471" s="64"/>
      <c r="P471" s="72" t="str">
        <f aca="false">IF(OR(B471="",C471=""),"",C471&amp;"|"&amp;(YEAR(B471)*100+MONTH(B471)))</f>
        <v/>
      </c>
      <c r="Q471" s="70" t="str">
        <f aca="false">IF(P471="","",IF(COUNTIF(N_CLAVE,P471)&gt;1,"⚠ Duplicado","OK"))</f>
        <v/>
      </c>
      <c r="R471" s="74" t="str">
        <f aca="false">IF(OR(P471="",U471=""),"",MAX(0,U471-N(E471)-N(F471)-N(H471)))</f>
        <v/>
      </c>
      <c r="S471" s="75" t="str">
        <f aca="false">IF(P471="","",IFERROR(INDEX(T_INGRESO,MATCH(C471,T_ID,0)),""))</f>
        <v/>
      </c>
      <c r="T471" s="75" t="str">
        <f aca="false">IF(P471="","",IFERROR(N(INDEX(T_EGRESO,MATCH(C471,T_ID,0))),0))</f>
        <v/>
      </c>
      <c r="U471" s="73" t="str">
        <f aca="false">IF(OR(P471="",NOT(ISNUMBER(S471))),"",IF(OR(S471&gt;EOMONTH(B471,0),AND(T471&gt;0,T471&lt;B471)),0,IF(AND(S471&lt;=B471,OR(T471=0,T471&gt;=EOMONTH(B471,0))),30,MIN(30,IF(T471=0,EOMONTH(B471,0),MIN(T471,EOMONTH(B471,0)))-MAX(B471,S471)+1))))</f>
        <v/>
      </c>
    </row>
    <row r="472" customFormat="false" ht="15" hidden="false" customHeight="false" outlineLevel="0" collapsed="false">
      <c r="B472" s="78"/>
      <c r="C472" s="64"/>
      <c r="D472" s="70" t="str">
        <f aca="false">IF(C472="","",IFERROR(INDEX(T_NOMBRE,MATCH(C472,T_ID,0)),"⚠ ID no existe"))</f>
        <v/>
      </c>
      <c r="E472" s="69"/>
      <c r="F472" s="69"/>
      <c r="G472" s="69"/>
      <c r="H472" s="69"/>
      <c r="I472" s="66"/>
      <c r="J472" s="69"/>
      <c r="K472" s="67"/>
      <c r="L472" s="67"/>
      <c r="M472" s="67"/>
      <c r="N472" s="67"/>
      <c r="O472" s="64"/>
      <c r="P472" s="72" t="str">
        <f aca="false">IF(OR(B472="",C472=""),"",C472&amp;"|"&amp;(YEAR(B472)*100+MONTH(B472)))</f>
        <v/>
      </c>
      <c r="Q472" s="70" t="str">
        <f aca="false">IF(P472="","",IF(COUNTIF(N_CLAVE,P472)&gt;1,"⚠ Duplicado","OK"))</f>
        <v/>
      </c>
      <c r="R472" s="74" t="str">
        <f aca="false">IF(OR(P472="",U472=""),"",MAX(0,U472-N(E472)-N(F472)-N(H472)))</f>
        <v/>
      </c>
      <c r="S472" s="75" t="str">
        <f aca="false">IF(P472="","",IFERROR(INDEX(T_INGRESO,MATCH(C472,T_ID,0)),""))</f>
        <v/>
      </c>
      <c r="T472" s="75" t="str">
        <f aca="false">IF(P472="","",IFERROR(N(INDEX(T_EGRESO,MATCH(C472,T_ID,0))),0))</f>
        <v/>
      </c>
      <c r="U472" s="73" t="str">
        <f aca="false">IF(OR(P472="",NOT(ISNUMBER(S472))),"",IF(OR(S472&gt;EOMONTH(B472,0),AND(T472&gt;0,T472&lt;B472)),0,IF(AND(S472&lt;=B472,OR(T472=0,T472&gt;=EOMONTH(B472,0))),30,MIN(30,IF(T472=0,EOMONTH(B472,0),MIN(T472,EOMONTH(B472,0)))-MAX(B472,S472)+1))))</f>
        <v/>
      </c>
    </row>
    <row r="473" customFormat="false" ht="15" hidden="false" customHeight="false" outlineLevel="0" collapsed="false">
      <c r="B473" s="78"/>
      <c r="C473" s="64"/>
      <c r="D473" s="70" t="str">
        <f aca="false">IF(C473="","",IFERROR(INDEX(T_NOMBRE,MATCH(C473,T_ID,0)),"⚠ ID no existe"))</f>
        <v/>
      </c>
      <c r="E473" s="69"/>
      <c r="F473" s="69"/>
      <c r="G473" s="69"/>
      <c r="H473" s="69"/>
      <c r="I473" s="66"/>
      <c r="J473" s="69"/>
      <c r="K473" s="67"/>
      <c r="L473" s="67"/>
      <c r="M473" s="67"/>
      <c r="N473" s="67"/>
      <c r="O473" s="64"/>
      <c r="P473" s="72" t="str">
        <f aca="false">IF(OR(B473="",C473=""),"",C473&amp;"|"&amp;(YEAR(B473)*100+MONTH(B473)))</f>
        <v/>
      </c>
      <c r="Q473" s="70" t="str">
        <f aca="false">IF(P473="","",IF(COUNTIF(N_CLAVE,P473)&gt;1,"⚠ Duplicado","OK"))</f>
        <v/>
      </c>
      <c r="R473" s="74" t="str">
        <f aca="false">IF(OR(P473="",U473=""),"",MAX(0,U473-N(E473)-N(F473)-N(H473)))</f>
        <v/>
      </c>
      <c r="S473" s="75" t="str">
        <f aca="false">IF(P473="","",IFERROR(INDEX(T_INGRESO,MATCH(C473,T_ID,0)),""))</f>
        <v/>
      </c>
      <c r="T473" s="75" t="str">
        <f aca="false">IF(P473="","",IFERROR(N(INDEX(T_EGRESO,MATCH(C473,T_ID,0))),0))</f>
        <v/>
      </c>
      <c r="U473" s="73" t="str">
        <f aca="false">IF(OR(P473="",NOT(ISNUMBER(S473))),"",IF(OR(S473&gt;EOMONTH(B473,0),AND(T473&gt;0,T473&lt;B473)),0,IF(AND(S473&lt;=B473,OR(T473=0,T473&gt;=EOMONTH(B473,0))),30,MIN(30,IF(T473=0,EOMONTH(B473,0),MIN(T473,EOMONTH(B473,0)))-MAX(B473,S473)+1))))</f>
        <v/>
      </c>
    </row>
    <row r="474" customFormat="false" ht="15" hidden="false" customHeight="false" outlineLevel="0" collapsed="false">
      <c r="B474" s="78"/>
      <c r="C474" s="64"/>
      <c r="D474" s="70" t="str">
        <f aca="false">IF(C474="","",IFERROR(INDEX(T_NOMBRE,MATCH(C474,T_ID,0)),"⚠ ID no existe"))</f>
        <v/>
      </c>
      <c r="E474" s="69"/>
      <c r="F474" s="69"/>
      <c r="G474" s="69"/>
      <c r="H474" s="69"/>
      <c r="I474" s="66"/>
      <c r="J474" s="69"/>
      <c r="K474" s="67"/>
      <c r="L474" s="67"/>
      <c r="M474" s="67"/>
      <c r="N474" s="67"/>
      <c r="O474" s="64"/>
      <c r="P474" s="72" t="str">
        <f aca="false">IF(OR(B474="",C474=""),"",C474&amp;"|"&amp;(YEAR(B474)*100+MONTH(B474)))</f>
        <v/>
      </c>
      <c r="Q474" s="70" t="str">
        <f aca="false">IF(P474="","",IF(COUNTIF(N_CLAVE,P474)&gt;1,"⚠ Duplicado","OK"))</f>
        <v/>
      </c>
      <c r="R474" s="74" t="str">
        <f aca="false">IF(OR(P474="",U474=""),"",MAX(0,U474-N(E474)-N(F474)-N(H474)))</f>
        <v/>
      </c>
      <c r="S474" s="75" t="str">
        <f aca="false">IF(P474="","",IFERROR(INDEX(T_INGRESO,MATCH(C474,T_ID,0)),""))</f>
        <v/>
      </c>
      <c r="T474" s="75" t="str">
        <f aca="false">IF(P474="","",IFERROR(N(INDEX(T_EGRESO,MATCH(C474,T_ID,0))),0))</f>
        <v/>
      </c>
      <c r="U474" s="73" t="str">
        <f aca="false">IF(OR(P474="",NOT(ISNUMBER(S474))),"",IF(OR(S474&gt;EOMONTH(B474,0),AND(T474&gt;0,T474&lt;B474)),0,IF(AND(S474&lt;=B474,OR(T474=0,T474&gt;=EOMONTH(B474,0))),30,MIN(30,IF(T474=0,EOMONTH(B474,0),MIN(T474,EOMONTH(B474,0)))-MAX(B474,S474)+1))))</f>
        <v/>
      </c>
    </row>
    <row r="475" customFormat="false" ht="15" hidden="false" customHeight="false" outlineLevel="0" collapsed="false">
      <c r="B475" s="78"/>
      <c r="C475" s="64"/>
      <c r="D475" s="70" t="str">
        <f aca="false">IF(C475="","",IFERROR(INDEX(T_NOMBRE,MATCH(C475,T_ID,0)),"⚠ ID no existe"))</f>
        <v/>
      </c>
      <c r="E475" s="69"/>
      <c r="F475" s="69"/>
      <c r="G475" s="69"/>
      <c r="H475" s="69"/>
      <c r="I475" s="66"/>
      <c r="J475" s="69"/>
      <c r="K475" s="67"/>
      <c r="L475" s="67"/>
      <c r="M475" s="67"/>
      <c r="N475" s="67"/>
      <c r="O475" s="64"/>
      <c r="P475" s="72" t="str">
        <f aca="false">IF(OR(B475="",C475=""),"",C475&amp;"|"&amp;(YEAR(B475)*100+MONTH(B475)))</f>
        <v/>
      </c>
      <c r="Q475" s="70" t="str">
        <f aca="false">IF(P475="","",IF(COUNTIF(N_CLAVE,P475)&gt;1,"⚠ Duplicado","OK"))</f>
        <v/>
      </c>
      <c r="R475" s="74" t="str">
        <f aca="false">IF(OR(P475="",U475=""),"",MAX(0,U475-N(E475)-N(F475)-N(H475)))</f>
        <v/>
      </c>
      <c r="S475" s="75" t="str">
        <f aca="false">IF(P475="","",IFERROR(INDEX(T_INGRESO,MATCH(C475,T_ID,0)),""))</f>
        <v/>
      </c>
      <c r="T475" s="75" t="str">
        <f aca="false">IF(P475="","",IFERROR(N(INDEX(T_EGRESO,MATCH(C475,T_ID,0))),0))</f>
        <v/>
      </c>
      <c r="U475" s="73" t="str">
        <f aca="false">IF(OR(P475="",NOT(ISNUMBER(S475))),"",IF(OR(S475&gt;EOMONTH(B475,0),AND(T475&gt;0,T475&lt;B475)),0,IF(AND(S475&lt;=B475,OR(T475=0,T475&gt;=EOMONTH(B475,0))),30,MIN(30,IF(T475=0,EOMONTH(B475,0),MIN(T475,EOMONTH(B475,0)))-MAX(B475,S475)+1))))</f>
        <v/>
      </c>
    </row>
    <row r="476" customFormat="false" ht="15" hidden="false" customHeight="false" outlineLevel="0" collapsed="false">
      <c r="B476" s="78"/>
      <c r="C476" s="64"/>
      <c r="D476" s="70" t="str">
        <f aca="false">IF(C476="","",IFERROR(INDEX(T_NOMBRE,MATCH(C476,T_ID,0)),"⚠ ID no existe"))</f>
        <v/>
      </c>
      <c r="E476" s="69"/>
      <c r="F476" s="69"/>
      <c r="G476" s="69"/>
      <c r="H476" s="69"/>
      <c r="I476" s="66"/>
      <c r="J476" s="69"/>
      <c r="K476" s="67"/>
      <c r="L476" s="67"/>
      <c r="M476" s="67"/>
      <c r="N476" s="67"/>
      <c r="O476" s="64"/>
      <c r="P476" s="72" t="str">
        <f aca="false">IF(OR(B476="",C476=""),"",C476&amp;"|"&amp;(YEAR(B476)*100+MONTH(B476)))</f>
        <v/>
      </c>
      <c r="Q476" s="70" t="str">
        <f aca="false">IF(P476="","",IF(COUNTIF(N_CLAVE,P476)&gt;1,"⚠ Duplicado","OK"))</f>
        <v/>
      </c>
      <c r="R476" s="74" t="str">
        <f aca="false">IF(OR(P476="",U476=""),"",MAX(0,U476-N(E476)-N(F476)-N(H476)))</f>
        <v/>
      </c>
      <c r="S476" s="75" t="str">
        <f aca="false">IF(P476="","",IFERROR(INDEX(T_INGRESO,MATCH(C476,T_ID,0)),""))</f>
        <v/>
      </c>
      <c r="T476" s="75" t="str">
        <f aca="false">IF(P476="","",IFERROR(N(INDEX(T_EGRESO,MATCH(C476,T_ID,0))),0))</f>
        <v/>
      </c>
      <c r="U476" s="73" t="str">
        <f aca="false">IF(OR(P476="",NOT(ISNUMBER(S476))),"",IF(OR(S476&gt;EOMONTH(B476,0),AND(T476&gt;0,T476&lt;B476)),0,IF(AND(S476&lt;=B476,OR(T476=0,T476&gt;=EOMONTH(B476,0))),30,MIN(30,IF(T476=0,EOMONTH(B476,0),MIN(T476,EOMONTH(B476,0)))-MAX(B476,S476)+1))))</f>
        <v/>
      </c>
    </row>
    <row r="477" customFormat="false" ht="15" hidden="false" customHeight="false" outlineLevel="0" collapsed="false">
      <c r="B477" s="78"/>
      <c r="C477" s="64"/>
      <c r="D477" s="70" t="str">
        <f aca="false">IF(C477="","",IFERROR(INDEX(T_NOMBRE,MATCH(C477,T_ID,0)),"⚠ ID no existe"))</f>
        <v/>
      </c>
      <c r="E477" s="69"/>
      <c r="F477" s="69"/>
      <c r="G477" s="69"/>
      <c r="H477" s="69"/>
      <c r="I477" s="66"/>
      <c r="J477" s="69"/>
      <c r="K477" s="67"/>
      <c r="L477" s="67"/>
      <c r="M477" s="67"/>
      <c r="N477" s="67"/>
      <c r="O477" s="64"/>
      <c r="P477" s="72" t="str">
        <f aca="false">IF(OR(B477="",C477=""),"",C477&amp;"|"&amp;(YEAR(B477)*100+MONTH(B477)))</f>
        <v/>
      </c>
      <c r="Q477" s="70" t="str">
        <f aca="false">IF(P477="","",IF(COUNTIF(N_CLAVE,P477)&gt;1,"⚠ Duplicado","OK"))</f>
        <v/>
      </c>
      <c r="R477" s="74" t="str">
        <f aca="false">IF(OR(P477="",U477=""),"",MAX(0,U477-N(E477)-N(F477)-N(H477)))</f>
        <v/>
      </c>
      <c r="S477" s="75" t="str">
        <f aca="false">IF(P477="","",IFERROR(INDEX(T_INGRESO,MATCH(C477,T_ID,0)),""))</f>
        <v/>
      </c>
      <c r="T477" s="75" t="str">
        <f aca="false">IF(P477="","",IFERROR(N(INDEX(T_EGRESO,MATCH(C477,T_ID,0))),0))</f>
        <v/>
      </c>
      <c r="U477" s="73" t="str">
        <f aca="false">IF(OR(P477="",NOT(ISNUMBER(S477))),"",IF(OR(S477&gt;EOMONTH(B477,0),AND(T477&gt;0,T477&lt;B477)),0,IF(AND(S477&lt;=B477,OR(T477=0,T477&gt;=EOMONTH(B477,0))),30,MIN(30,IF(T477=0,EOMONTH(B477,0),MIN(T477,EOMONTH(B477,0)))-MAX(B477,S477)+1))))</f>
        <v/>
      </c>
    </row>
    <row r="478" customFormat="false" ht="15" hidden="false" customHeight="false" outlineLevel="0" collapsed="false">
      <c r="B478" s="78"/>
      <c r="C478" s="64"/>
      <c r="D478" s="70" t="str">
        <f aca="false">IF(C478="","",IFERROR(INDEX(T_NOMBRE,MATCH(C478,T_ID,0)),"⚠ ID no existe"))</f>
        <v/>
      </c>
      <c r="E478" s="69"/>
      <c r="F478" s="69"/>
      <c r="G478" s="69"/>
      <c r="H478" s="69"/>
      <c r="I478" s="66"/>
      <c r="J478" s="69"/>
      <c r="K478" s="67"/>
      <c r="L478" s="67"/>
      <c r="M478" s="67"/>
      <c r="N478" s="67"/>
      <c r="O478" s="64"/>
      <c r="P478" s="72" t="str">
        <f aca="false">IF(OR(B478="",C478=""),"",C478&amp;"|"&amp;(YEAR(B478)*100+MONTH(B478)))</f>
        <v/>
      </c>
      <c r="Q478" s="70" t="str">
        <f aca="false">IF(P478="","",IF(COUNTIF(N_CLAVE,P478)&gt;1,"⚠ Duplicado","OK"))</f>
        <v/>
      </c>
      <c r="R478" s="74" t="str">
        <f aca="false">IF(OR(P478="",U478=""),"",MAX(0,U478-N(E478)-N(F478)-N(H478)))</f>
        <v/>
      </c>
      <c r="S478" s="75" t="str">
        <f aca="false">IF(P478="","",IFERROR(INDEX(T_INGRESO,MATCH(C478,T_ID,0)),""))</f>
        <v/>
      </c>
      <c r="T478" s="75" t="str">
        <f aca="false">IF(P478="","",IFERROR(N(INDEX(T_EGRESO,MATCH(C478,T_ID,0))),0))</f>
        <v/>
      </c>
      <c r="U478" s="73" t="str">
        <f aca="false">IF(OR(P478="",NOT(ISNUMBER(S478))),"",IF(OR(S478&gt;EOMONTH(B478,0),AND(T478&gt;0,T478&lt;B478)),0,IF(AND(S478&lt;=B478,OR(T478=0,T478&gt;=EOMONTH(B478,0))),30,MIN(30,IF(T478=0,EOMONTH(B478,0),MIN(T478,EOMONTH(B478,0)))-MAX(B478,S478)+1))))</f>
        <v/>
      </c>
    </row>
    <row r="479" customFormat="false" ht="15" hidden="false" customHeight="false" outlineLevel="0" collapsed="false">
      <c r="B479" s="78"/>
      <c r="C479" s="64"/>
      <c r="D479" s="70" t="str">
        <f aca="false">IF(C479="","",IFERROR(INDEX(T_NOMBRE,MATCH(C479,T_ID,0)),"⚠ ID no existe"))</f>
        <v/>
      </c>
      <c r="E479" s="69"/>
      <c r="F479" s="69"/>
      <c r="G479" s="69"/>
      <c r="H479" s="69"/>
      <c r="I479" s="66"/>
      <c r="J479" s="69"/>
      <c r="K479" s="67"/>
      <c r="L479" s="67"/>
      <c r="M479" s="67"/>
      <c r="N479" s="67"/>
      <c r="O479" s="64"/>
      <c r="P479" s="72" t="str">
        <f aca="false">IF(OR(B479="",C479=""),"",C479&amp;"|"&amp;(YEAR(B479)*100+MONTH(B479)))</f>
        <v/>
      </c>
      <c r="Q479" s="70" t="str">
        <f aca="false">IF(P479="","",IF(COUNTIF(N_CLAVE,P479)&gt;1,"⚠ Duplicado","OK"))</f>
        <v/>
      </c>
      <c r="R479" s="74" t="str">
        <f aca="false">IF(OR(P479="",U479=""),"",MAX(0,U479-N(E479)-N(F479)-N(H479)))</f>
        <v/>
      </c>
      <c r="S479" s="75" t="str">
        <f aca="false">IF(P479="","",IFERROR(INDEX(T_INGRESO,MATCH(C479,T_ID,0)),""))</f>
        <v/>
      </c>
      <c r="T479" s="75" t="str">
        <f aca="false">IF(P479="","",IFERROR(N(INDEX(T_EGRESO,MATCH(C479,T_ID,0))),0))</f>
        <v/>
      </c>
      <c r="U479" s="73" t="str">
        <f aca="false">IF(OR(P479="",NOT(ISNUMBER(S479))),"",IF(OR(S479&gt;EOMONTH(B479,0),AND(T479&gt;0,T479&lt;B479)),0,IF(AND(S479&lt;=B479,OR(T479=0,T479&gt;=EOMONTH(B479,0))),30,MIN(30,IF(T479=0,EOMONTH(B479,0),MIN(T479,EOMONTH(B479,0)))-MAX(B479,S479)+1))))</f>
        <v/>
      </c>
    </row>
    <row r="480" customFormat="false" ht="15" hidden="false" customHeight="false" outlineLevel="0" collapsed="false">
      <c r="B480" s="78"/>
      <c r="C480" s="64"/>
      <c r="D480" s="70" t="str">
        <f aca="false">IF(C480="","",IFERROR(INDEX(T_NOMBRE,MATCH(C480,T_ID,0)),"⚠ ID no existe"))</f>
        <v/>
      </c>
      <c r="E480" s="69"/>
      <c r="F480" s="69"/>
      <c r="G480" s="69"/>
      <c r="H480" s="69"/>
      <c r="I480" s="66"/>
      <c r="J480" s="69"/>
      <c r="K480" s="67"/>
      <c r="L480" s="67"/>
      <c r="M480" s="67"/>
      <c r="N480" s="67"/>
      <c r="O480" s="64"/>
      <c r="P480" s="72" t="str">
        <f aca="false">IF(OR(B480="",C480=""),"",C480&amp;"|"&amp;(YEAR(B480)*100+MONTH(B480)))</f>
        <v/>
      </c>
      <c r="Q480" s="70" t="str">
        <f aca="false">IF(P480="","",IF(COUNTIF(N_CLAVE,P480)&gt;1,"⚠ Duplicado","OK"))</f>
        <v/>
      </c>
      <c r="R480" s="74" t="str">
        <f aca="false">IF(OR(P480="",U480=""),"",MAX(0,U480-N(E480)-N(F480)-N(H480)))</f>
        <v/>
      </c>
      <c r="S480" s="75" t="str">
        <f aca="false">IF(P480="","",IFERROR(INDEX(T_INGRESO,MATCH(C480,T_ID,0)),""))</f>
        <v/>
      </c>
      <c r="T480" s="75" t="str">
        <f aca="false">IF(P480="","",IFERROR(N(INDEX(T_EGRESO,MATCH(C480,T_ID,0))),0))</f>
        <v/>
      </c>
      <c r="U480" s="73" t="str">
        <f aca="false">IF(OR(P480="",NOT(ISNUMBER(S480))),"",IF(OR(S480&gt;EOMONTH(B480,0),AND(T480&gt;0,T480&lt;B480)),0,IF(AND(S480&lt;=B480,OR(T480=0,T480&gt;=EOMONTH(B480,0))),30,MIN(30,IF(T480=0,EOMONTH(B480,0),MIN(T480,EOMONTH(B480,0)))-MAX(B480,S480)+1))))</f>
        <v/>
      </c>
    </row>
    <row r="481" customFormat="false" ht="15" hidden="false" customHeight="false" outlineLevel="0" collapsed="false">
      <c r="B481" s="78"/>
      <c r="C481" s="64"/>
      <c r="D481" s="70" t="str">
        <f aca="false">IF(C481="","",IFERROR(INDEX(T_NOMBRE,MATCH(C481,T_ID,0)),"⚠ ID no existe"))</f>
        <v/>
      </c>
      <c r="E481" s="69"/>
      <c r="F481" s="69"/>
      <c r="G481" s="69"/>
      <c r="H481" s="69"/>
      <c r="I481" s="66"/>
      <c r="J481" s="69"/>
      <c r="K481" s="67"/>
      <c r="L481" s="67"/>
      <c r="M481" s="67"/>
      <c r="N481" s="67"/>
      <c r="O481" s="64"/>
      <c r="P481" s="72" t="str">
        <f aca="false">IF(OR(B481="",C481=""),"",C481&amp;"|"&amp;(YEAR(B481)*100+MONTH(B481)))</f>
        <v/>
      </c>
      <c r="Q481" s="70" t="str">
        <f aca="false">IF(P481="","",IF(COUNTIF(N_CLAVE,P481)&gt;1,"⚠ Duplicado","OK"))</f>
        <v/>
      </c>
      <c r="R481" s="74" t="str">
        <f aca="false">IF(OR(P481="",U481=""),"",MAX(0,U481-N(E481)-N(F481)-N(H481)))</f>
        <v/>
      </c>
      <c r="S481" s="75" t="str">
        <f aca="false">IF(P481="","",IFERROR(INDEX(T_INGRESO,MATCH(C481,T_ID,0)),""))</f>
        <v/>
      </c>
      <c r="T481" s="75" t="str">
        <f aca="false">IF(P481="","",IFERROR(N(INDEX(T_EGRESO,MATCH(C481,T_ID,0))),0))</f>
        <v/>
      </c>
      <c r="U481" s="73" t="str">
        <f aca="false">IF(OR(P481="",NOT(ISNUMBER(S481))),"",IF(OR(S481&gt;EOMONTH(B481,0),AND(T481&gt;0,T481&lt;B481)),0,IF(AND(S481&lt;=B481,OR(T481=0,T481&gt;=EOMONTH(B481,0))),30,MIN(30,IF(T481=0,EOMONTH(B481,0),MIN(T481,EOMONTH(B481,0)))-MAX(B481,S481)+1))))</f>
        <v/>
      </c>
    </row>
    <row r="482" customFormat="false" ht="15" hidden="false" customHeight="false" outlineLevel="0" collapsed="false">
      <c r="B482" s="78"/>
      <c r="C482" s="64"/>
      <c r="D482" s="70" t="str">
        <f aca="false">IF(C482="","",IFERROR(INDEX(T_NOMBRE,MATCH(C482,T_ID,0)),"⚠ ID no existe"))</f>
        <v/>
      </c>
      <c r="E482" s="69"/>
      <c r="F482" s="69"/>
      <c r="G482" s="69"/>
      <c r="H482" s="69"/>
      <c r="I482" s="66"/>
      <c r="J482" s="69"/>
      <c r="K482" s="67"/>
      <c r="L482" s="67"/>
      <c r="M482" s="67"/>
      <c r="N482" s="67"/>
      <c r="O482" s="64"/>
      <c r="P482" s="72" t="str">
        <f aca="false">IF(OR(B482="",C482=""),"",C482&amp;"|"&amp;(YEAR(B482)*100+MONTH(B482)))</f>
        <v/>
      </c>
      <c r="Q482" s="70" t="str">
        <f aca="false">IF(P482="","",IF(COUNTIF(N_CLAVE,P482)&gt;1,"⚠ Duplicado","OK"))</f>
        <v/>
      </c>
      <c r="R482" s="74" t="str">
        <f aca="false">IF(OR(P482="",U482=""),"",MAX(0,U482-N(E482)-N(F482)-N(H482)))</f>
        <v/>
      </c>
      <c r="S482" s="75" t="str">
        <f aca="false">IF(P482="","",IFERROR(INDEX(T_INGRESO,MATCH(C482,T_ID,0)),""))</f>
        <v/>
      </c>
      <c r="T482" s="75" t="str">
        <f aca="false">IF(P482="","",IFERROR(N(INDEX(T_EGRESO,MATCH(C482,T_ID,0))),0))</f>
        <v/>
      </c>
      <c r="U482" s="73" t="str">
        <f aca="false">IF(OR(P482="",NOT(ISNUMBER(S482))),"",IF(OR(S482&gt;EOMONTH(B482,0),AND(T482&gt;0,T482&lt;B482)),0,IF(AND(S482&lt;=B482,OR(T482=0,T482&gt;=EOMONTH(B482,0))),30,MIN(30,IF(T482=0,EOMONTH(B482,0),MIN(T482,EOMONTH(B482,0)))-MAX(B482,S482)+1))))</f>
        <v/>
      </c>
    </row>
    <row r="483" customFormat="false" ht="15" hidden="false" customHeight="false" outlineLevel="0" collapsed="false">
      <c r="B483" s="78"/>
      <c r="C483" s="64"/>
      <c r="D483" s="70" t="str">
        <f aca="false">IF(C483="","",IFERROR(INDEX(T_NOMBRE,MATCH(C483,T_ID,0)),"⚠ ID no existe"))</f>
        <v/>
      </c>
      <c r="E483" s="69"/>
      <c r="F483" s="69"/>
      <c r="G483" s="69"/>
      <c r="H483" s="69"/>
      <c r="I483" s="66"/>
      <c r="J483" s="69"/>
      <c r="K483" s="67"/>
      <c r="L483" s="67"/>
      <c r="M483" s="67"/>
      <c r="N483" s="67"/>
      <c r="O483" s="64"/>
      <c r="P483" s="72" t="str">
        <f aca="false">IF(OR(B483="",C483=""),"",C483&amp;"|"&amp;(YEAR(B483)*100+MONTH(B483)))</f>
        <v/>
      </c>
      <c r="Q483" s="70" t="str">
        <f aca="false">IF(P483="","",IF(COUNTIF(N_CLAVE,P483)&gt;1,"⚠ Duplicado","OK"))</f>
        <v/>
      </c>
      <c r="R483" s="74" t="str">
        <f aca="false">IF(OR(P483="",U483=""),"",MAX(0,U483-N(E483)-N(F483)-N(H483)))</f>
        <v/>
      </c>
      <c r="S483" s="75" t="str">
        <f aca="false">IF(P483="","",IFERROR(INDEX(T_INGRESO,MATCH(C483,T_ID,0)),""))</f>
        <v/>
      </c>
      <c r="T483" s="75" t="str">
        <f aca="false">IF(P483="","",IFERROR(N(INDEX(T_EGRESO,MATCH(C483,T_ID,0))),0))</f>
        <v/>
      </c>
      <c r="U483" s="73" t="str">
        <f aca="false">IF(OR(P483="",NOT(ISNUMBER(S483))),"",IF(OR(S483&gt;EOMONTH(B483,0),AND(T483&gt;0,T483&lt;B483)),0,IF(AND(S483&lt;=B483,OR(T483=0,T483&gt;=EOMONTH(B483,0))),30,MIN(30,IF(T483=0,EOMONTH(B483,0),MIN(T483,EOMONTH(B483,0)))-MAX(B483,S483)+1))))</f>
        <v/>
      </c>
    </row>
    <row r="484" customFormat="false" ht="15" hidden="false" customHeight="false" outlineLevel="0" collapsed="false">
      <c r="B484" s="78"/>
      <c r="C484" s="64"/>
      <c r="D484" s="70" t="str">
        <f aca="false">IF(C484="","",IFERROR(INDEX(T_NOMBRE,MATCH(C484,T_ID,0)),"⚠ ID no existe"))</f>
        <v/>
      </c>
      <c r="E484" s="69"/>
      <c r="F484" s="69"/>
      <c r="G484" s="69"/>
      <c r="H484" s="69"/>
      <c r="I484" s="66"/>
      <c r="J484" s="69"/>
      <c r="K484" s="67"/>
      <c r="L484" s="67"/>
      <c r="M484" s="67"/>
      <c r="N484" s="67"/>
      <c r="O484" s="64"/>
      <c r="P484" s="72" t="str">
        <f aca="false">IF(OR(B484="",C484=""),"",C484&amp;"|"&amp;(YEAR(B484)*100+MONTH(B484)))</f>
        <v/>
      </c>
      <c r="Q484" s="70" t="str">
        <f aca="false">IF(P484="","",IF(COUNTIF(N_CLAVE,P484)&gt;1,"⚠ Duplicado","OK"))</f>
        <v/>
      </c>
      <c r="R484" s="74" t="str">
        <f aca="false">IF(OR(P484="",U484=""),"",MAX(0,U484-N(E484)-N(F484)-N(H484)))</f>
        <v/>
      </c>
      <c r="S484" s="75" t="str">
        <f aca="false">IF(P484="","",IFERROR(INDEX(T_INGRESO,MATCH(C484,T_ID,0)),""))</f>
        <v/>
      </c>
      <c r="T484" s="75" t="str">
        <f aca="false">IF(P484="","",IFERROR(N(INDEX(T_EGRESO,MATCH(C484,T_ID,0))),0))</f>
        <v/>
      </c>
      <c r="U484" s="73" t="str">
        <f aca="false">IF(OR(P484="",NOT(ISNUMBER(S484))),"",IF(OR(S484&gt;EOMONTH(B484,0),AND(T484&gt;0,T484&lt;B484)),0,IF(AND(S484&lt;=B484,OR(T484=0,T484&gt;=EOMONTH(B484,0))),30,MIN(30,IF(T484=0,EOMONTH(B484,0),MIN(T484,EOMONTH(B484,0)))-MAX(B484,S484)+1))))</f>
        <v/>
      </c>
    </row>
    <row r="485" customFormat="false" ht="15" hidden="false" customHeight="false" outlineLevel="0" collapsed="false">
      <c r="B485" s="78"/>
      <c r="C485" s="64"/>
      <c r="D485" s="70" t="str">
        <f aca="false">IF(C485="","",IFERROR(INDEX(T_NOMBRE,MATCH(C485,T_ID,0)),"⚠ ID no existe"))</f>
        <v/>
      </c>
      <c r="E485" s="69"/>
      <c r="F485" s="69"/>
      <c r="G485" s="69"/>
      <c r="H485" s="69"/>
      <c r="I485" s="66"/>
      <c r="J485" s="69"/>
      <c r="K485" s="67"/>
      <c r="L485" s="67"/>
      <c r="M485" s="67"/>
      <c r="N485" s="67"/>
      <c r="O485" s="64"/>
      <c r="P485" s="72" t="str">
        <f aca="false">IF(OR(B485="",C485=""),"",C485&amp;"|"&amp;(YEAR(B485)*100+MONTH(B485)))</f>
        <v/>
      </c>
      <c r="Q485" s="70" t="str">
        <f aca="false">IF(P485="","",IF(COUNTIF(N_CLAVE,P485)&gt;1,"⚠ Duplicado","OK"))</f>
        <v/>
      </c>
      <c r="R485" s="74" t="str">
        <f aca="false">IF(OR(P485="",U485=""),"",MAX(0,U485-N(E485)-N(F485)-N(H485)))</f>
        <v/>
      </c>
      <c r="S485" s="75" t="str">
        <f aca="false">IF(P485="","",IFERROR(INDEX(T_INGRESO,MATCH(C485,T_ID,0)),""))</f>
        <v/>
      </c>
      <c r="T485" s="75" t="str">
        <f aca="false">IF(P485="","",IFERROR(N(INDEX(T_EGRESO,MATCH(C485,T_ID,0))),0))</f>
        <v/>
      </c>
      <c r="U485" s="73" t="str">
        <f aca="false">IF(OR(P485="",NOT(ISNUMBER(S485))),"",IF(OR(S485&gt;EOMONTH(B485,0),AND(T485&gt;0,T485&lt;B485)),0,IF(AND(S485&lt;=B485,OR(T485=0,T485&gt;=EOMONTH(B485,0))),30,MIN(30,IF(T485=0,EOMONTH(B485,0),MIN(T485,EOMONTH(B485,0)))-MAX(B485,S485)+1))))</f>
        <v/>
      </c>
    </row>
    <row r="486" customFormat="false" ht="15" hidden="false" customHeight="false" outlineLevel="0" collapsed="false">
      <c r="B486" s="78"/>
      <c r="C486" s="64"/>
      <c r="D486" s="70" t="str">
        <f aca="false">IF(C486="","",IFERROR(INDEX(T_NOMBRE,MATCH(C486,T_ID,0)),"⚠ ID no existe"))</f>
        <v/>
      </c>
      <c r="E486" s="69"/>
      <c r="F486" s="69"/>
      <c r="G486" s="69"/>
      <c r="H486" s="69"/>
      <c r="I486" s="66"/>
      <c r="J486" s="69"/>
      <c r="K486" s="67"/>
      <c r="L486" s="67"/>
      <c r="M486" s="67"/>
      <c r="N486" s="67"/>
      <c r="O486" s="64"/>
      <c r="P486" s="72" t="str">
        <f aca="false">IF(OR(B486="",C486=""),"",C486&amp;"|"&amp;(YEAR(B486)*100+MONTH(B486)))</f>
        <v/>
      </c>
      <c r="Q486" s="70" t="str">
        <f aca="false">IF(P486="","",IF(COUNTIF(N_CLAVE,P486)&gt;1,"⚠ Duplicado","OK"))</f>
        <v/>
      </c>
      <c r="R486" s="74" t="str">
        <f aca="false">IF(OR(P486="",U486=""),"",MAX(0,U486-N(E486)-N(F486)-N(H486)))</f>
        <v/>
      </c>
      <c r="S486" s="75" t="str">
        <f aca="false">IF(P486="","",IFERROR(INDEX(T_INGRESO,MATCH(C486,T_ID,0)),""))</f>
        <v/>
      </c>
      <c r="T486" s="75" t="str">
        <f aca="false">IF(P486="","",IFERROR(N(INDEX(T_EGRESO,MATCH(C486,T_ID,0))),0))</f>
        <v/>
      </c>
      <c r="U486" s="73" t="str">
        <f aca="false">IF(OR(P486="",NOT(ISNUMBER(S486))),"",IF(OR(S486&gt;EOMONTH(B486,0),AND(T486&gt;0,T486&lt;B486)),0,IF(AND(S486&lt;=B486,OR(T486=0,T486&gt;=EOMONTH(B486,0))),30,MIN(30,IF(T486=0,EOMONTH(B486,0),MIN(T486,EOMONTH(B486,0)))-MAX(B486,S486)+1))))</f>
        <v/>
      </c>
    </row>
    <row r="487" customFormat="false" ht="15" hidden="false" customHeight="false" outlineLevel="0" collapsed="false">
      <c r="B487" s="78"/>
      <c r="C487" s="64"/>
      <c r="D487" s="70" t="str">
        <f aca="false">IF(C487="","",IFERROR(INDEX(T_NOMBRE,MATCH(C487,T_ID,0)),"⚠ ID no existe"))</f>
        <v/>
      </c>
      <c r="E487" s="69"/>
      <c r="F487" s="69"/>
      <c r="G487" s="69"/>
      <c r="H487" s="69"/>
      <c r="I487" s="66"/>
      <c r="J487" s="69"/>
      <c r="K487" s="67"/>
      <c r="L487" s="67"/>
      <c r="M487" s="67"/>
      <c r="N487" s="67"/>
      <c r="O487" s="64"/>
      <c r="P487" s="72" t="str">
        <f aca="false">IF(OR(B487="",C487=""),"",C487&amp;"|"&amp;(YEAR(B487)*100+MONTH(B487)))</f>
        <v/>
      </c>
      <c r="Q487" s="70" t="str">
        <f aca="false">IF(P487="","",IF(COUNTIF(N_CLAVE,P487)&gt;1,"⚠ Duplicado","OK"))</f>
        <v/>
      </c>
      <c r="R487" s="74" t="str">
        <f aca="false">IF(OR(P487="",U487=""),"",MAX(0,U487-N(E487)-N(F487)-N(H487)))</f>
        <v/>
      </c>
      <c r="S487" s="75" t="str">
        <f aca="false">IF(P487="","",IFERROR(INDEX(T_INGRESO,MATCH(C487,T_ID,0)),""))</f>
        <v/>
      </c>
      <c r="T487" s="75" t="str">
        <f aca="false">IF(P487="","",IFERROR(N(INDEX(T_EGRESO,MATCH(C487,T_ID,0))),0))</f>
        <v/>
      </c>
      <c r="U487" s="73" t="str">
        <f aca="false">IF(OR(P487="",NOT(ISNUMBER(S487))),"",IF(OR(S487&gt;EOMONTH(B487,0),AND(T487&gt;0,T487&lt;B487)),0,IF(AND(S487&lt;=B487,OR(T487=0,T487&gt;=EOMONTH(B487,0))),30,MIN(30,IF(T487=0,EOMONTH(B487,0),MIN(T487,EOMONTH(B487,0)))-MAX(B487,S487)+1))))</f>
        <v/>
      </c>
    </row>
    <row r="488" customFormat="false" ht="15" hidden="false" customHeight="false" outlineLevel="0" collapsed="false">
      <c r="B488" s="78"/>
      <c r="C488" s="64"/>
      <c r="D488" s="70" t="str">
        <f aca="false">IF(C488="","",IFERROR(INDEX(T_NOMBRE,MATCH(C488,T_ID,0)),"⚠ ID no existe"))</f>
        <v/>
      </c>
      <c r="E488" s="69"/>
      <c r="F488" s="69"/>
      <c r="G488" s="69"/>
      <c r="H488" s="69"/>
      <c r="I488" s="66"/>
      <c r="J488" s="69"/>
      <c r="K488" s="67"/>
      <c r="L488" s="67"/>
      <c r="M488" s="67"/>
      <c r="N488" s="67"/>
      <c r="O488" s="64"/>
      <c r="P488" s="72" t="str">
        <f aca="false">IF(OR(B488="",C488=""),"",C488&amp;"|"&amp;(YEAR(B488)*100+MONTH(B488)))</f>
        <v/>
      </c>
      <c r="Q488" s="70" t="str">
        <f aca="false">IF(P488="","",IF(COUNTIF(N_CLAVE,P488)&gt;1,"⚠ Duplicado","OK"))</f>
        <v/>
      </c>
      <c r="R488" s="74" t="str">
        <f aca="false">IF(OR(P488="",U488=""),"",MAX(0,U488-N(E488)-N(F488)-N(H488)))</f>
        <v/>
      </c>
      <c r="S488" s="75" t="str">
        <f aca="false">IF(P488="","",IFERROR(INDEX(T_INGRESO,MATCH(C488,T_ID,0)),""))</f>
        <v/>
      </c>
      <c r="T488" s="75" t="str">
        <f aca="false">IF(P488="","",IFERROR(N(INDEX(T_EGRESO,MATCH(C488,T_ID,0))),0))</f>
        <v/>
      </c>
      <c r="U488" s="73" t="str">
        <f aca="false">IF(OR(P488="",NOT(ISNUMBER(S488))),"",IF(OR(S488&gt;EOMONTH(B488,0),AND(T488&gt;0,T488&lt;B488)),0,IF(AND(S488&lt;=B488,OR(T488=0,T488&gt;=EOMONTH(B488,0))),30,MIN(30,IF(T488=0,EOMONTH(B488,0),MIN(T488,EOMONTH(B488,0)))-MAX(B488,S488)+1))))</f>
        <v/>
      </c>
    </row>
    <row r="489" customFormat="false" ht="15" hidden="false" customHeight="false" outlineLevel="0" collapsed="false">
      <c r="B489" s="78"/>
      <c r="C489" s="64"/>
      <c r="D489" s="70" t="str">
        <f aca="false">IF(C489="","",IFERROR(INDEX(T_NOMBRE,MATCH(C489,T_ID,0)),"⚠ ID no existe"))</f>
        <v/>
      </c>
      <c r="E489" s="69"/>
      <c r="F489" s="69"/>
      <c r="G489" s="69"/>
      <c r="H489" s="69"/>
      <c r="I489" s="66"/>
      <c r="J489" s="69"/>
      <c r="K489" s="67"/>
      <c r="L489" s="67"/>
      <c r="M489" s="67"/>
      <c r="N489" s="67"/>
      <c r="O489" s="64"/>
      <c r="P489" s="72" t="str">
        <f aca="false">IF(OR(B489="",C489=""),"",C489&amp;"|"&amp;(YEAR(B489)*100+MONTH(B489)))</f>
        <v/>
      </c>
      <c r="Q489" s="70" t="str">
        <f aca="false">IF(P489="","",IF(COUNTIF(N_CLAVE,P489)&gt;1,"⚠ Duplicado","OK"))</f>
        <v/>
      </c>
      <c r="R489" s="74" t="str">
        <f aca="false">IF(OR(P489="",U489=""),"",MAX(0,U489-N(E489)-N(F489)-N(H489)))</f>
        <v/>
      </c>
      <c r="S489" s="75" t="str">
        <f aca="false">IF(P489="","",IFERROR(INDEX(T_INGRESO,MATCH(C489,T_ID,0)),""))</f>
        <v/>
      </c>
      <c r="T489" s="75" t="str">
        <f aca="false">IF(P489="","",IFERROR(N(INDEX(T_EGRESO,MATCH(C489,T_ID,0))),0))</f>
        <v/>
      </c>
      <c r="U489" s="73" t="str">
        <f aca="false">IF(OR(P489="",NOT(ISNUMBER(S489))),"",IF(OR(S489&gt;EOMONTH(B489,0),AND(T489&gt;0,T489&lt;B489)),0,IF(AND(S489&lt;=B489,OR(T489=0,T489&gt;=EOMONTH(B489,0))),30,MIN(30,IF(T489=0,EOMONTH(B489,0),MIN(T489,EOMONTH(B489,0)))-MAX(B489,S489)+1))))</f>
        <v/>
      </c>
    </row>
    <row r="490" customFormat="false" ht="15" hidden="false" customHeight="false" outlineLevel="0" collapsed="false">
      <c r="B490" s="78"/>
      <c r="C490" s="64"/>
      <c r="D490" s="70" t="str">
        <f aca="false">IF(C490="","",IFERROR(INDEX(T_NOMBRE,MATCH(C490,T_ID,0)),"⚠ ID no existe"))</f>
        <v/>
      </c>
      <c r="E490" s="69"/>
      <c r="F490" s="69"/>
      <c r="G490" s="69"/>
      <c r="H490" s="69"/>
      <c r="I490" s="66"/>
      <c r="J490" s="69"/>
      <c r="K490" s="67"/>
      <c r="L490" s="67"/>
      <c r="M490" s="67"/>
      <c r="N490" s="67"/>
      <c r="O490" s="64"/>
      <c r="P490" s="72" t="str">
        <f aca="false">IF(OR(B490="",C490=""),"",C490&amp;"|"&amp;(YEAR(B490)*100+MONTH(B490)))</f>
        <v/>
      </c>
      <c r="Q490" s="70" t="str">
        <f aca="false">IF(P490="","",IF(COUNTIF(N_CLAVE,P490)&gt;1,"⚠ Duplicado","OK"))</f>
        <v/>
      </c>
      <c r="R490" s="74" t="str">
        <f aca="false">IF(OR(P490="",U490=""),"",MAX(0,U490-N(E490)-N(F490)-N(H490)))</f>
        <v/>
      </c>
      <c r="S490" s="75" t="str">
        <f aca="false">IF(P490="","",IFERROR(INDEX(T_INGRESO,MATCH(C490,T_ID,0)),""))</f>
        <v/>
      </c>
      <c r="T490" s="75" t="str">
        <f aca="false">IF(P490="","",IFERROR(N(INDEX(T_EGRESO,MATCH(C490,T_ID,0))),0))</f>
        <v/>
      </c>
      <c r="U490" s="73" t="str">
        <f aca="false">IF(OR(P490="",NOT(ISNUMBER(S490))),"",IF(OR(S490&gt;EOMONTH(B490,0),AND(T490&gt;0,T490&lt;B490)),0,IF(AND(S490&lt;=B490,OR(T490=0,T490&gt;=EOMONTH(B490,0))),30,MIN(30,IF(T490=0,EOMONTH(B490,0),MIN(T490,EOMONTH(B490,0)))-MAX(B490,S490)+1))))</f>
        <v/>
      </c>
    </row>
    <row r="491" customFormat="false" ht="15" hidden="false" customHeight="false" outlineLevel="0" collapsed="false">
      <c r="B491" s="78"/>
      <c r="C491" s="64"/>
      <c r="D491" s="70" t="str">
        <f aca="false">IF(C491="","",IFERROR(INDEX(T_NOMBRE,MATCH(C491,T_ID,0)),"⚠ ID no existe"))</f>
        <v/>
      </c>
      <c r="E491" s="69"/>
      <c r="F491" s="69"/>
      <c r="G491" s="69"/>
      <c r="H491" s="69"/>
      <c r="I491" s="66"/>
      <c r="J491" s="69"/>
      <c r="K491" s="67"/>
      <c r="L491" s="67"/>
      <c r="M491" s="67"/>
      <c r="N491" s="67"/>
      <c r="O491" s="64"/>
      <c r="P491" s="72" t="str">
        <f aca="false">IF(OR(B491="",C491=""),"",C491&amp;"|"&amp;(YEAR(B491)*100+MONTH(B491)))</f>
        <v/>
      </c>
      <c r="Q491" s="70" t="str">
        <f aca="false">IF(P491="","",IF(COUNTIF(N_CLAVE,P491)&gt;1,"⚠ Duplicado","OK"))</f>
        <v/>
      </c>
      <c r="R491" s="74" t="str">
        <f aca="false">IF(OR(P491="",U491=""),"",MAX(0,U491-N(E491)-N(F491)-N(H491)))</f>
        <v/>
      </c>
      <c r="S491" s="75" t="str">
        <f aca="false">IF(P491="","",IFERROR(INDEX(T_INGRESO,MATCH(C491,T_ID,0)),""))</f>
        <v/>
      </c>
      <c r="T491" s="75" t="str">
        <f aca="false">IF(P491="","",IFERROR(N(INDEX(T_EGRESO,MATCH(C491,T_ID,0))),0))</f>
        <v/>
      </c>
      <c r="U491" s="73" t="str">
        <f aca="false">IF(OR(P491="",NOT(ISNUMBER(S491))),"",IF(OR(S491&gt;EOMONTH(B491,0),AND(T491&gt;0,T491&lt;B491)),0,IF(AND(S491&lt;=B491,OR(T491=0,T491&gt;=EOMONTH(B491,0))),30,MIN(30,IF(T491=0,EOMONTH(B491,0),MIN(T491,EOMONTH(B491,0)))-MAX(B491,S491)+1))))</f>
        <v/>
      </c>
    </row>
    <row r="492" customFormat="false" ht="15" hidden="false" customHeight="false" outlineLevel="0" collapsed="false">
      <c r="B492" s="78"/>
      <c r="C492" s="64"/>
      <c r="D492" s="70" t="str">
        <f aca="false">IF(C492="","",IFERROR(INDEX(T_NOMBRE,MATCH(C492,T_ID,0)),"⚠ ID no existe"))</f>
        <v/>
      </c>
      <c r="E492" s="69"/>
      <c r="F492" s="69"/>
      <c r="G492" s="69"/>
      <c r="H492" s="69"/>
      <c r="I492" s="66"/>
      <c r="J492" s="69"/>
      <c r="K492" s="67"/>
      <c r="L492" s="67"/>
      <c r="M492" s="67"/>
      <c r="N492" s="67"/>
      <c r="O492" s="64"/>
      <c r="P492" s="72" t="str">
        <f aca="false">IF(OR(B492="",C492=""),"",C492&amp;"|"&amp;(YEAR(B492)*100+MONTH(B492)))</f>
        <v/>
      </c>
      <c r="Q492" s="70" t="str">
        <f aca="false">IF(P492="","",IF(COUNTIF(N_CLAVE,P492)&gt;1,"⚠ Duplicado","OK"))</f>
        <v/>
      </c>
      <c r="R492" s="74" t="str">
        <f aca="false">IF(OR(P492="",U492=""),"",MAX(0,U492-N(E492)-N(F492)-N(H492)))</f>
        <v/>
      </c>
      <c r="S492" s="75" t="str">
        <f aca="false">IF(P492="","",IFERROR(INDEX(T_INGRESO,MATCH(C492,T_ID,0)),""))</f>
        <v/>
      </c>
      <c r="T492" s="75" t="str">
        <f aca="false">IF(P492="","",IFERROR(N(INDEX(T_EGRESO,MATCH(C492,T_ID,0))),0))</f>
        <v/>
      </c>
      <c r="U492" s="73" t="str">
        <f aca="false">IF(OR(P492="",NOT(ISNUMBER(S492))),"",IF(OR(S492&gt;EOMONTH(B492,0),AND(T492&gt;0,T492&lt;B492)),0,IF(AND(S492&lt;=B492,OR(T492=0,T492&gt;=EOMONTH(B492,0))),30,MIN(30,IF(T492=0,EOMONTH(B492,0),MIN(T492,EOMONTH(B492,0)))-MAX(B492,S492)+1))))</f>
        <v/>
      </c>
    </row>
    <row r="493" customFormat="false" ht="15" hidden="false" customHeight="false" outlineLevel="0" collapsed="false">
      <c r="B493" s="78"/>
      <c r="C493" s="64"/>
      <c r="D493" s="70" t="str">
        <f aca="false">IF(C493="","",IFERROR(INDEX(T_NOMBRE,MATCH(C493,T_ID,0)),"⚠ ID no existe"))</f>
        <v/>
      </c>
      <c r="E493" s="69"/>
      <c r="F493" s="69"/>
      <c r="G493" s="69"/>
      <c r="H493" s="69"/>
      <c r="I493" s="66"/>
      <c r="J493" s="69"/>
      <c r="K493" s="67"/>
      <c r="L493" s="67"/>
      <c r="M493" s="67"/>
      <c r="N493" s="67"/>
      <c r="O493" s="64"/>
      <c r="P493" s="72" t="str">
        <f aca="false">IF(OR(B493="",C493=""),"",C493&amp;"|"&amp;(YEAR(B493)*100+MONTH(B493)))</f>
        <v/>
      </c>
      <c r="Q493" s="70" t="str">
        <f aca="false">IF(P493="","",IF(COUNTIF(N_CLAVE,P493)&gt;1,"⚠ Duplicado","OK"))</f>
        <v/>
      </c>
      <c r="R493" s="74" t="str">
        <f aca="false">IF(OR(P493="",U493=""),"",MAX(0,U493-N(E493)-N(F493)-N(H493)))</f>
        <v/>
      </c>
      <c r="S493" s="75" t="str">
        <f aca="false">IF(P493="","",IFERROR(INDEX(T_INGRESO,MATCH(C493,T_ID,0)),""))</f>
        <v/>
      </c>
      <c r="T493" s="75" t="str">
        <f aca="false">IF(P493="","",IFERROR(N(INDEX(T_EGRESO,MATCH(C493,T_ID,0))),0))</f>
        <v/>
      </c>
      <c r="U493" s="73" t="str">
        <f aca="false">IF(OR(P493="",NOT(ISNUMBER(S493))),"",IF(OR(S493&gt;EOMONTH(B493,0),AND(T493&gt;0,T493&lt;B493)),0,IF(AND(S493&lt;=B493,OR(T493=0,T493&gt;=EOMONTH(B493,0))),30,MIN(30,IF(T493=0,EOMONTH(B493,0),MIN(T493,EOMONTH(B493,0)))-MAX(B493,S493)+1))))</f>
        <v/>
      </c>
    </row>
    <row r="494" customFormat="false" ht="15" hidden="false" customHeight="false" outlineLevel="0" collapsed="false">
      <c r="B494" s="78"/>
      <c r="C494" s="64"/>
      <c r="D494" s="70" t="str">
        <f aca="false">IF(C494="","",IFERROR(INDEX(T_NOMBRE,MATCH(C494,T_ID,0)),"⚠ ID no existe"))</f>
        <v/>
      </c>
      <c r="E494" s="69"/>
      <c r="F494" s="69"/>
      <c r="G494" s="69"/>
      <c r="H494" s="69"/>
      <c r="I494" s="66"/>
      <c r="J494" s="69"/>
      <c r="K494" s="67"/>
      <c r="L494" s="67"/>
      <c r="M494" s="67"/>
      <c r="N494" s="67"/>
      <c r="O494" s="64"/>
      <c r="P494" s="72" t="str">
        <f aca="false">IF(OR(B494="",C494=""),"",C494&amp;"|"&amp;(YEAR(B494)*100+MONTH(B494)))</f>
        <v/>
      </c>
      <c r="Q494" s="70" t="str">
        <f aca="false">IF(P494="","",IF(COUNTIF(N_CLAVE,P494)&gt;1,"⚠ Duplicado","OK"))</f>
        <v/>
      </c>
      <c r="R494" s="74" t="str">
        <f aca="false">IF(OR(P494="",U494=""),"",MAX(0,U494-N(E494)-N(F494)-N(H494)))</f>
        <v/>
      </c>
      <c r="S494" s="75" t="str">
        <f aca="false">IF(P494="","",IFERROR(INDEX(T_INGRESO,MATCH(C494,T_ID,0)),""))</f>
        <v/>
      </c>
      <c r="T494" s="75" t="str">
        <f aca="false">IF(P494="","",IFERROR(N(INDEX(T_EGRESO,MATCH(C494,T_ID,0))),0))</f>
        <v/>
      </c>
      <c r="U494" s="73" t="str">
        <f aca="false">IF(OR(P494="",NOT(ISNUMBER(S494))),"",IF(OR(S494&gt;EOMONTH(B494,0),AND(T494&gt;0,T494&lt;B494)),0,IF(AND(S494&lt;=B494,OR(T494=0,T494&gt;=EOMONTH(B494,0))),30,MIN(30,IF(T494=0,EOMONTH(B494,0),MIN(T494,EOMONTH(B494,0)))-MAX(B494,S494)+1))))</f>
        <v/>
      </c>
    </row>
    <row r="495" customFormat="false" ht="15" hidden="false" customHeight="false" outlineLevel="0" collapsed="false">
      <c r="B495" s="78"/>
      <c r="C495" s="64"/>
      <c r="D495" s="70" t="str">
        <f aca="false">IF(C495="","",IFERROR(INDEX(T_NOMBRE,MATCH(C495,T_ID,0)),"⚠ ID no existe"))</f>
        <v/>
      </c>
      <c r="E495" s="69"/>
      <c r="F495" s="69"/>
      <c r="G495" s="69"/>
      <c r="H495" s="69"/>
      <c r="I495" s="66"/>
      <c r="J495" s="69"/>
      <c r="K495" s="67"/>
      <c r="L495" s="67"/>
      <c r="M495" s="67"/>
      <c r="N495" s="67"/>
      <c r="O495" s="64"/>
      <c r="P495" s="72" t="str">
        <f aca="false">IF(OR(B495="",C495=""),"",C495&amp;"|"&amp;(YEAR(B495)*100+MONTH(B495)))</f>
        <v/>
      </c>
      <c r="Q495" s="70" t="str">
        <f aca="false">IF(P495="","",IF(COUNTIF(N_CLAVE,P495)&gt;1,"⚠ Duplicado","OK"))</f>
        <v/>
      </c>
      <c r="R495" s="74" t="str">
        <f aca="false">IF(OR(P495="",U495=""),"",MAX(0,U495-N(E495)-N(F495)-N(H495)))</f>
        <v/>
      </c>
      <c r="S495" s="75" t="str">
        <f aca="false">IF(P495="","",IFERROR(INDEX(T_INGRESO,MATCH(C495,T_ID,0)),""))</f>
        <v/>
      </c>
      <c r="T495" s="75" t="str">
        <f aca="false">IF(P495="","",IFERROR(N(INDEX(T_EGRESO,MATCH(C495,T_ID,0))),0))</f>
        <v/>
      </c>
      <c r="U495" s="73" t="str">
        <f aca="false">IF(OR(P495="",NOT(ISNUMBER(S495))),"",IF(OR(S495&gt;EOMONTH(B495,0),AND(T495&gt;0,T495&lt;B495)),0,IF(AND(S495&lt;=B495,OR(T495=0,T495&gt;=EOMONTH(B495,0))),30,MIN(30,IF(T495=0,EOMONTH(B495,0),MIN(T495,EOMONTH(B495,0)))-MAX(B495,S495)+1))))</f>
        <v/>
      </c>
    </row>
    <row r="496" customFormat="false" ht="15" hidden="false" customHeight="false" outlineLevel="0" collapsed="false">
      <c r="B496" s="78"/>
      <c r="C496" s="64"/>
      <c r="D496" s="70" t="str">
        <f aca="false">IF(C496="","",IFERROR(INDEX(T_NOMBRE,MATCH(C496,T_ID,0)),"⚠ ID no existe"))</f>
        <v/>
      </c>
      <c r="E496" s="69"/>
      <c r="F496" s="69"/>
      <c r="G496" s="69"/>
      <c r="H496" s="69"/>
      <c r="I496" s="66"/>
      <c r="J496" s="69"/>
      <c r="K496" s="67"/>
      <c r="L496" s="67"/>
      <c r="M496" s="67"/>
      <c r="N496" s="67"/>
      <c r="O496" s="64"/>
      <c r="P496" s="72" t="str">
        <f aca="false">IF(OR(B496="",C496=""),"",C496&amp;"|"&amp;(YEAR(B496)*100+MONTH(B496)))</f>
        <v/>
      </c>
      <c r="Q496" s="70" t="str">
        <f aca="false">IF(P496="","",IF(COUNTIF(N_CLAVE,P496)&gt;1,"⚠ Duplicado","OK"))</f>
        <v/>
      </c>
      <c r="R496" s="74" t="str">
        <f aca="false">IF(OR(P496="",U496=""),"",MAX(0,U496-N(E496)-N(F496)-N(H496)))</f>
        <v/>
      </c>
      <c r="S496" s="75" t="str">
        <f aca="false">IF(P496="","",IFERROR(INDEX(T_INGRESO,MATCH(C496,T_ID,0)),""))</f>
        <v/>
      </c>
      <c r="T496" s="75" t="str">
        <f aca="false">IF(P496="","",IFERROR(N(INDEX(T_EGRESO,MATCH(C496,T_ID,0))),0))</f>
        <v/>
      </c>
      <c r="U496" s="73" t="str">
        <f aca="false">IF(OR(P496="",NOT(ISNUMBER(S496))),"",IF(OR(S496&gt;EOMONTH(B496,0),AND(T496&gt;0,T496&lt;B496)),0,IF(AND(S496&lt;=B496,OR(T496=0,T496&gt;=EOMONTH(B496,0))),30,MIN(30,IF(T496=0,EOMONTH(B496,0),MIN(T496,EOMONTH(B496,0)))-MAX(B496,S496)+1))))</f>
        <v/>
      </c>
    </row>
    <row r="497" customFormat="false" ht="15" hidden="false" customHeight="false" outlineLevel="0" collapsed="false">
      <c r="B497" s="78"/>
      <c r="C497" s="64"/>
      <c r="D497" s="70" t="str">
        <f aca="false">IF(C497="","",IFERROR(INDEX(T_NOMBRE,MATCH(C497,T_ID,0)),"⚠ ID no existe"))</f>
        <v/>
      </c>
      <c r="E497" s="69"/>
      <c r="F497" s="69"/>
      <c r="G497" s="69"/>
      <c r="H497" s="69"/>
      <c r="I497" s="66"/>
      <c r="J497" s="69"/>
      <c r="K497" s="67"/>
      <c r="L497" s="67"/>
      <c r="M497" s="67"/>
      <c r="N497" s="67"/>
      <c r="O497" s="64"/>
      <c r="P497" s="72" t="str">
        <f aca="false">IF(OR(B497="",C497=""),"",C497&amp;"|"&amp;(YEAR(B497)*100+MONTH(B497)))</f>
        <v/>
      </c>
      <c r="Q497" s="70" t="str">
        <f aca="false">IF(P497="","",IF(COUNTIF(N_CLAVE,P497)&gt;1,"⚠ Duplicado","OK"))</f>
        <v/>
      </c>
      <c r="R497" s="74" t="str">
        <f aca="false">IF(OR(P497="",U497=""),"",MAX(0,U497-N(E497)-N(F497)-N(H497)))</f>
        <v/>
      </c>
      <c r="S497" s="75" t="str">
        <f aca="false">IF(P497="","",IFERROR(INDEX(T_INGRESO,MATCH(C497,T_ID,0)),""))</f>
        <v/>
      </c>
      <c r="T497" s="75" t="str">
        <f aca="false">IF(P497="","",IFERROR(N(INDEX(T_EGRESO,MATCH(C497,T_ID,0))),0))</f>
        <v/>
      </c>
      <c r="U497" s="73" t="str">
        <f aca="false">IF(OR(P497="",NOT(ISNUMBER(S497))),"",IF(OR(S497&gt;EOMONTH(B497,0),AND(T497&gt;0,T497&lt;B497)),0,IF(AND(S497&lt;=B497,OR(T497=0,T497&gt;=EOMONTH(B497,0))),30,MIN(30,IF(T497=0,EOMONTH(B497,0),MIN(T497,EOMONTH(B497,0)))-MAX(B497,S497)+1))))</f>
        <v/>
      </c>
    </row>
    <row r="498" customFormat="false" ht="15" hidden="false" customHeight="false" outlineLevel="0" collapsed="false">
      <c r="B498" s="78"/>
      <c r="C498" s="64"/>
      <c r="D498" s="70" t="str">
        <f aca="false">IF(C498="","",IFERROR(INDEX(T_NOMBRE,MATCH(C498,T_ID,0)),"⚠ ID no existe"))</f>
        <v/>
      </c>
      <c r="E498" s="69"/>
      <c r="F498" s="69"/>
      <c r="G498" s="69"/>
      <c r="H498" s="69"/>
      <c r="I498" s="66"/>
      <c r="J498" s="69"/>
      <c r="K498" s="67"/>
      <c r="L498" s="67"/>
      <c r="M498" s="67"/>
      <c r="N498" s="67"/>
      <c r="O498" s="64"/>
      <c r="P498" s="72" t="str">
        <f aca="false">IF(OR(B498="",C498=""),"",C498&amp;"|"&amp;(YEAR(B498)*100+MONTH(B498)))</f>
        <v/>
      </c>
      <c r="Q498" s="70" t="str">
        <f aca="false">IF(P498="","",IF(COUNTIF(N_CLAVE,P498)&gt;1,"⚠ Duplicado","OK"))</f>
        <v/>
      </c>
      <c r="R498" s="74" t="str">
        <f aca="false">IF(OR(P498="",U498=""),"",MAX(0,U498-N(E498)-N(F498)-N(H498)))</f>
        <v/>
      </c>
      <c r="S498" s="75" t="str">
        <f aca="false">IF(P498="","",IFERROR(INDEX(T_INGRESO,MATCH(C498,T_ID,0)),""))</f>
        <v/>
      </c>
      <c r="T498" s="75" t="str">
        <f aca="false">IF(P498="","",IFERROR(N(INDEX(T_EGRESO,MATCH(C498,T_ID,0))),0))</f>
        <v/>
      </c>
      <c r="U498" s="73" t="str">
        <f aca="false">IF(OR(P498="",NOT(ISNUMBER(S498))),"",IF(OR(S498&gt;EOMONTH(B498,0),AND(T498&gt;0,T498&lt;B498)),0,IF(AND(S498&lt;=B498,OR(T498=0,T498&gt;=EOMONTH(B498,0))),30,MIN(30,IF(T498=0,EOMONTH(B498,0),MIN(T498,EOMONTH(B498,0)))-MAX(B498,S498)+1))))</f>
        <v/>
      </c>
    </row>
    <row r="499" customFormat="false" ht="15" hidden="false" customHeight="false" outlineLevel="0" collapsed="false">
      <c r="B499" s="78"/>
      <c r="C499" s="64"/>
      <c r="D499" s="70" t="str">
        <f aca="false">IF(C499="","",IFERROR(INDEX(T_NOMBRE,MATCH(C499,T_ID,0)),"⚠ ID no existe"))</f>
        <v/>
      </c>
      <c r="E499" s="69"/>
      <c r="F499" s="69"/>
      <c r="G499" s="69"/>
      <c r="H499" s="69"/>
      <c r="I499" s="66"/>
      <c r="J499" s="69"/>
      <c r="K499" s="67"/>
      <c r="L499" s="67"/>
      <c r="M499" s="67"/>
      <c r="N499" s="67"/>
      <c r="O499" s="64"/>
      <c r="P499" s="72" t="str">
        <f aca="false">IF(OR(B499="",C499=""),"",C499&amp;"|"&amp;(YEAR(B499)*100+MONTH(B499)))</f>
        <v/>
      </c>
      <c r="Q499" s="70" t="str">
        <f aca="false">IF(P499="","",IF(COUNTIF(N_CLAVE,P499)&gt;1,"⚠ Duplicado","OK"))</f>
        <v/>
      </c>
      <c r="R499" s="74" t="str">
        <f aca="false">IF(OR(P499="",U499=""),"",MAX(0,U499-N(E499)-N(F499)-N(H499)))</f>
        <v/>
      </c>
      <c r="S499" s="75" t="str">
        <f aca="false">IF(P499="","",IFERROR(INDEX(T_INGRESO,MATCH(C499,T_ID,0)),""))</f>
        <v/>
      </c>
      <c r="T499" s="75" t="str">
        <f aca="false">IF(P499="","",IFERROR(N(INDEX(T_EGRESO,MATCH(C499,T_ID,0))),0))</f>
        <v/>
      </c>
      <c r="U499" s="73" t="str">
        <f aca="false">IF(OR(P499="",NOT(ISNUMBER(S499))),"",IF(OR(S499&gt;EOMONTH(B499,0),AND(T499&gt;0,T499&lt;B499)),0,IF(AND(S499&lt;=B499,OR(T499=0,T499&gt;=EOMONTH(B499,0))),30,MIN(30,IF(T499=0,EOMONTH(B499,0),MIN(T499,EOMONTH(B499,0)))-MAX(B499,S499)+1))))</f>
        <v/>
      </c>
    </row>
    <row r="500" customFormat="false" ht="15" hidden="false" customHeight="false" outlineLevel="0" collapsed="false">
      <c r="B500" s="78"/>
      <c r="C500" s="64"/>
      <c r="D500" s="70" t="str">
        <f aca="false">IF(C500="","",IFERROR(INDEX(T_NOMBRE,MATCH(C500,T_ID,0)),"⚠ ID no existe"))</f>
        <v/>
      </c>
      <c r="E500" s="69"/>
      <c r="F500" s="69"/>
      <c r="G500" s="69"/>
      <c r="H500" s="69"/>
      <c r="I500" s="66"/>
      <c r="J500" s="69"/>
      <c r="K500" s="67"/>
      <c r="L500" s="67"/>
      <c r="M500" s="67"/>
      <c r="N500" s="67"/>
      <c r="O500" s="64"/>
      <c r="P500" s="72" t="str">
        <f aca="false">IF(OR(B500="",C500=""),"",C500&amp;"|"&amp;(YEAR(B500)*100+MONTH(B500)))</f>
        <v/>
      </c>
      <c r="Q500" s="70" t="str">
        <f aca="false">IF(P500="","",IF(COUNTIF(N_CLAVE,P500)&gt;1,"⚠ Duplicado","OK"))</f>
        <v/>
      </c>
      <c r="R500" s="74" t="str">
        <f aca="false">IF(OR(P500="",U500=""),"",MAX(0,U500-N(E500)-N(F500)-N(H500)))</f>
        <v/>
      </c>
      <c r="S500" s="75" t="str">
        <f aca="false">IF(P500="","",IFERROR(INDEX(T_INGRESO,MATCH(C500,T_ID,0)),""))</f>
        <v/>
      </c>
      <c r="T500" s="75" t="str">
        <f aca="false">IF(P500="","",IFERROR(N(INDEX(T_EGRESO,MATCH(C500,T_ID,0))),0))</f>
        <v/>
      </c>
      <c r="U500" s="73" t="str">
        <f aca="false">IF(OR(P500="",NOT(ISNUMBER(S500))),"",IF(OR(S500&gt;EOMONTH(B500,0),AND(T500&gt;0,T500&lt;B500)),0,IF(AND(S500&lt;=B500,OR(T500=0,T500&gt;=EOMONTH(B500,0))),30,MIN(30,IF(T500=0,EOMONTH(B500,0),MIN(T500,EOMONTH(B500,0)))-MAX(B500,S500)+1))))</f>
        <v/>
      </c>
    </row>
    <row r="501" customFormat="false" ht="15" hidden="false" customHeight="false" outlineLevel="0" collapsed="false">
      <c r="B501" s="78"/>
      <c r="C501" s="64"/>
      <c r="D501" s="70" t="str">
        <f aca="false">IF(C501="","",IFERROR(INDEX(T_NOMBRE,MATCH(C501,T_ID,0)),"⚠ ID no existe"))</f>
        <v/>
      </c>
      <c r="E501" s="69"/>
      <c r="F501" s="69"/>
      <c r="G501" s="69"/>
      <c r="H501" s="69"/>
      <c r="I501" s="66"/>
      <c r="J501" s="69"/>
      <c r="K501" s="67"/>
      <c r="L501" s="67"/>
      <c r="M501" s="67"/>
      <c r="N501" s="67"/>
      <c r="O501" s="64"/>
      <c r="P501" s="72" t="str">
        <f aca="false">IF(OR(B501="",C501=""),"",C501&amp;"|"&amp;(YEAR(B501)*100+MONTH(B501)))</f>
        <v/>
      </c>
      <c r="Q501" s="70" t="str">
        <f aca="false">IF(P501="","",IF(COUNTIF(N_CLAVE,P501)&gt;1,"⚠ Duplicado","OK"))</f>
        <v/>
      </c>
      <c r="R501" s="74" t="str">
        <f aca="false">IF(OR(P501="",U501=""),"",MAX(0,U501-N(E501)-N(F501)-N(H501)))</f>
        <v/>
      </c>
      <c r="S501" s="75" t="str">
        <f aca="false">IF(P501="","",IFERROR(INDEX(T_INGRESO,MATCH(C501,T_ID,0)),""))</f>
        <v/>
      </c>
      <c r="T501" s="75" t="str">
        <f aca="false">IF(P501="","",IFERROR(N(INDEX(T_EGRESO,MATCH(C501,T_ID,0))),0))</f>
        <v/>
      </c>
      <c r="U501" s="73" t="str">
        <f aca="false">IF(OR(P501="",NOT(ISNUMBER(S501))),"",IF(OR(S501&gt;EOMONTH(B501,0),AND(T501&gt;0,T501&lt;B501)),0,IF(AND(S501&lt;=B501,OR(T501=0,T501&gt;=EOMONTH(B501,0))),30,MIN(30,IF(T501=0,EOMONTH(B501,0),MIN(T501,EOMONTH(B501,0)))-MAX(B501,S501)+1))))</f>
        <v/>
      </c>
    </row>
    <row r="502" customFormat="false" ht="15" hidden="false" customHeight="false" outlineLevel="0" collapsed="false">
      <c r="B502" s="78"/>
      <c r="C502" s="64"/>
      <c r="D502" s="70" t="str">
        <f aca="false">IF(C502="","",IFERROR(INDEX(T_NOMBRE,MATCH(C502,T_ID,0)),"⚠ ID no existe"))</f>
        <v/>
      </c>
      <c r="E502" s="69"/>
      <c r="F502" s="69"/>
      <c r="G502" s="69"/>
      <c r="H502" s="69"/>
      <c r="I502" s="66"/>
      <c r="J502" s="69"/>
      <c r="K502" s="67"/>
      <c r="L502" s="67"/>
      <c r="M502" s="67"/>
      <c r="N502" s="67"/>
      <c r="O502" s="64"/>
      <c r="P502" s="72" t="str">
        <f aca="false">IF(OR(B502="",C502=""),"",C502&amp;"|"&amp;(YEAR(B502)*100+MONTH(B502)))</f>
        <v/>
      </c>
      <c r="Q502" s="70" t="str">
        <f aca="false">IF(P502="","",IF(COUNTIF(N_CLAVE,P502)&gt;1,"⚠ Duplicado","OK"))</f>
        <v/>
      </c>
      <c r="R502" s="74" t="str">
        <f aca="false">IF(OR(P502="",U502=""),"",MAX(0,U502-N(E502)-N(F502)-N(H502)))</f>
        <v/>
      </c>
      <c r="S502" s="75" t="str">
        <f aca="false">IF(P502="","",IFERROR(INDEX(T_INGRESO,MATCH(C502,T_ID,0)),""))</f>
        <v/>
      </c>
      <c r="T502" s="75" t="str">
        <f aca="false">IF(P502="","",IFERROR(N(INDEX(T_EGRESO,MATCH(C502,T_ID,0))),0))</f>
        <v/>
      </c>
      <c r="U502" s="73" t="str">
        <f aca="false">IF(OR(P502="",NOT(ISNUMBER(S502))),"",IF(OR(S502&gt;EOMONTH(B502,0),AND(T502&gt;0,T502&lt;B502)),0,IF(AND(S502&lt;=B502,OR(T502=0,T502&gt;=EOMONTH(B502,0))),30,MIN(30,IF(T502=0,EOMONTH(B502,0),MIN(T502,EOMONTH(B502,0)))-MAX(B502,S502)+1))))</f>
        <v/>
      </c>
    </row>
    <row r="503" customFormat="false" ht="15" hidden="false" customHeight="false" outlineLevel="0" collapsed="false">
      <c r="B503" s="78"/>
      <c r="C503" s="64"/>
      <c r="D503" s="70" t="str">
        <f aca="false">IF(C503="","",IFERROR(INDEX(T_NOMBRE,MATCH(C503,T_ID,0)),"⚠ ID no existe"))</f>
        <v/>
      </c>
      <c r="E503" s="69"/>
      <c r="F503" s="69"/>
      <c r="G503" s="69"/>
      <c r="H503" s="69"/>
      <c r="I503" s="66"/>
      <c r="J503" s="69"/>
      <c r="K503" s="67"/>
      <c r="L503" s="67"/>
      <c r="M503" s="67"/>
      <c r="N503" s="67"/>
      <c r="O503" s="64"/>
      <c r="P503" s="72" t="str">
        <f aca="false">IF(OR(B503="",C503=""),"",C503&amp;"|"&amp;(YEAR(B503)*100+MONTH(B503)))</f>
        <v/>
      </c>
      <c r="Q503" s="70" t="str">
        <f aca="false">IF(P503="","",IF(COUNTIF(N_CLAVE,P503)&gt;1,"⚠ Duplicado","OK"))</f>
        <v/>
      </c>
      <c r="R503" s="74" t="str">
        <f aca="false">IF(OR(P503="",U503=""),"",MAX(0,U503-N(E503)-N(F503)-N(H503)))</f>
        <v/>
      </c>
      <c r="S503" s="75" t="str">
        <f aca="false">IF(P503="","",IFERROR(INDEX(T_INGRESO,MATCH(C503,T_ID,0)),""))</f>
        <v/>
      </c>
      <c r="T503" s="75" t="str">
        <f aca="false">IF(P503="","",IFERROR(N(INDEX(T_EGRESO,MATCH(C503,T_ID,0))),0))</f>
        <v/>
      </c>
      <c r="U503" s="73" t="str">
        <f aca="false">IF(OR(P503="",NOT(ISNUMBER(S503))),"",IF(OR(S503&gt;EOMONTH(B503,0),AND(T503&gt;0,T503&lt;B503)),0,IF(AND(S503&lt;=B503,OR(T503=0,T503&gt;=EOMONTH(B503,0))),30,MIN(30,IF(T503=0,EOMONTH(B503,0),MIN(T503,EOMONTH(B503,0)))-MAX(B503,S503)+1))))</f>
        <v/>
      </c>
    </row>
    <row r="504" customFormat="false" ht="15" hidden="false" customHeight="false" outlineLevel="0" collapsed="false">
      <c r="B504" s="78"/>
      <c r="C504" s="64"/>
      <c r="D504" s="70" t="str">
        <f aca="false">IF(C504="","",IFERROR(INDEX(T_NOMBRE,MATCH(C504,T_ID,0)),"⚠ ID no existe"))</f>
        <v/>
      </c>
      <c r="E504" s="69"/>
      <c r="F504" s="69"/>
      <c r="G504" s="69"/>
      <c r="H504" s="69"/>
      <c r="I504" s="66"/>
      <c r="J504" s="69"/>
      <c r="K504" s="67"/>
      <c r="L504" s="67"/>
      <c r="M504" s="67"/>
      <c r="N504" s="67"/>
      <c r="O504" s="64"/>
      <c r="P504" s="72" t="str">
        <f aca="false">IF(OR(B504="",C504=""),"",C504&amp;"|"&amp;(YEAR(B504)*100+MONTH(B504)))</f>
        <v/>
      </c>
      <c r="Q504" s="70" t="str">
        <f aca="false">IF(P504="","",IF(COUNTIF(N_CLAVE,P504)&gt;1,"⚠ Duplicado","OK"))</f>
        <v/>
      </c>
      <c r="R504" s="74" t="str">
        <f aca="false">IF(OR(P504="",U504=""),"",MAX(0,U504-N(E504)-N(F504)-N(H504)))</f>
        <v/>
      </c>
      <c r="S504" s="75" t="str">
        <f aca="false">IF(P504="","",IFERROR(INDEX(T_INGRESO,MATCH(C504,T_ID,0)),""))</f>
        <v/>
      </c>
      <c r="T504" s="75" t="str">
        <f aca="false">IF(P504="","",IFERROR(N(INDEX(T_EGRESO,MATCH(C504,T_ID,0))),0))</f>
        <v/>
      </c>
      <c r="U504" s="73" t="str">
        <f aca="false">IF(OR(P504="",NOT(ISNUMBER(S504))),"",IF(OR(S504&gt;EOMONTH(B504,0),AND(T504&gt;0,T504&lt;B504)),0,IF(AND(S504&lt;=B504,OR(T504=0,T504&gt;=EOMONTH(B504,0))),30,MIN(30,IF(T504=0,EOMONTH(B504,0),MIN(T504,EOMONTH(B504,0)))-MAX(B504,S504)+1))))</f>
        <v/>
      </c>
    </row>
    <row r="505" customFormat="false" ht="15" hidden="false" customHeight="false" outlineLevel="0" collapsed="false">
      <c r="B505" s="78"/>
      <c r="C505" s="64"/>
      <c r="D505" s="70" t="str">
        <f aca="false">IF(C505="","",IFERROR(INDEX(T_NOMBRE,MATCH(C505,T_ID,0)),"⚠ ID no existe"))</f>
        <v/>
      </c>
      <c r="E505" s="69"/>
      <c r="F505" s="69"/>
      <c r="G505" s="69"/>
      <c r="H505" s="69"/>
      <c r="I505" s="66"/>
      <c r="J505" s="69"/>
      <c r="K505" s="67"/>
      <c r="L505" s="67"/>
      <c r="M505" s="67"/>
      <c r="N505" s="67"/>
      <c r="O505" s="64"/>
      <c r="P505" s="72" t="str">
        <f aca="false">IF(OR(B505="",C505=""),"",C505&amp;"|"&amp;(YEAR(B505)*100+MONTH(B505)))</f>
        <v/>
      </c>
      <c r="Q505" s="70" t="str">
        <f aca="false">IF(P505="","",IF(COUNTIF(N_CLAVE,P505)&gt;1,"⚠ Duplicado","OK"))</f>
        <v/>
      </c>
      <c r="R505" s="74" t="str">
        <f aca="false">IF(OR(P505="",U505=""),"",MAX(0,U505-N(E505)-N(F505)-N(H505)))</f>
        <v/>
      </c>
      <c r="S505" s="75" t="str">
        <f aca="false">IF(P505="","",IFERROR(INDEX(T_INGRESO,MATCH(C505,T_ID,0)),""))</f>
        <v/>
      </c>
      <c r="T505" s="75" t="str">
        <f aca="false">IF(P505="","",IFERROR(N(INDEX(T_EGRESO,MATCH(C505,T_ID,0))),0))</f>
        <v/>
      </c>
      <c r="U505" s="73" t="str">
        <f aca="false">IF(OR(P505="",NOT(ISNUMBER(S505))),"",IF(OR(S505&gt;EOMONTH(B505,0),AND(T505&gt;0,T505&lt;B505)),0,IF(AND(S505&lt;=B505,OR(T505=0,T505&gt;=EOMONTH(B505,0))),30,MIN(30,IF(T505=0,EOMONTH(B505,0),MIN(T505,EOMONTH(B505,0)))-MAX(B505,S505)+1))))</f>
        <v/>
      </c>
    </row>
    <row r="506" customFormat="false" ht="15" hidden="false" customHeight="false" outlineLevel="0" collapsed="false">
      <c r="B506" s="78"/>
      <c r="C506" s="64"/>
      <c r="D506" s="70" t="str">
        <f aca="false">IF(C506="","",IFERROR(INDEX(T_NOMBRE,MATCH(C506,T_ID,0)),"⚠ ID no existe"))</f>
        <v/>
      </c>
      <c r="E506" s="69"/>
      <c r="F506" s="69"/>
      <c r="G506" s="69"/>
      <c r="H506" s="69"/>
      <c r="I506" s="66"/>
      <c r="J506" s="69"/>
      <c r="K506" s="67"/>
      <c r="L506" s="67"/>
      <c r="M506" s="67"/>
      <c r="N506" s="67"/>
      <c r="O506" s="64"/>
      <c r="P506" s="72" t="str">
        <f aca="false">IF(OR(B506="",C506=""),"",C506&amp;"|"&amp;(YEAR(B506)*100+MONTH(B506)))</f>
        <v/>
      </c>
      <c r="Q506" s="70" t="str">
        <f aca="false">IF(P506="","",IF(COUNTIF(N_CLAVE,P506)&gt;1,"⚠ Duplicado","OK"))</f>
        <v/>
      </c>
      <c r="R506" s="74" t="str">
        <f aca="false">IF(OR(P506="",U506=""),"",MAX(0,U506-N(E506)-N(F506)-N(H506)))</f>
        <v/>
      </c>
      <c r="S506" s="75" t="str">
        <f aca="false">IF(P506="","",IFERROR(INDEX(T_INGRESO,MATCH(C506,T_ID,0)),""))</f>
        <v/>
      </c>
      <c r="T506" s="75" t="str">
        <f aca="false">IF(P506="","",IFERROR(N(INDEX(T_EGRESO,MATCH(C506,T_ID,0))),0))</f>
        <v/>
      </c>
      <c r="U506" s="73" t="str">
        <f aca="false">IF(OR(P506="",NOT(ISNUMBER(S506))),"",IF(OR(S506&gt;EOMONTH(B506,0),AND(T506&gt;0,T506&lt;B506)),0,IF(AND(S506&lt;=B506,OR(T506=0,T506&gt;=EOMONTH(B506,0))),30,MIN(30,IF(T506=0,EOMONTH(B506,0),MIN(T506,EOMONTH(B506,0)))-MAX(B506,S506)+1))))</f>
        <v/>
      </c>
    </row>
    <row r="507" customFormat="false" ht="15" hidden="false" customHeight="false" outlineLevel="0" collapsed="false">
      <c r="B507" s="78"/>
      <c r="C507" s="64"/>
      <c r="D507" s="70" t="str">
        <f aca="false">IF(C507="","",IFERROR(INDEX(T_NOMBRE,MATCH(C507,T_ID,0)),"⚠ ID no existe"))</f>
        <v/>
      </c>
      <c r="E507" s="69"/>
      <c r="F507" s="69"/>
      <c r="G507" s="69"/>
      <c r="H507" s="69"/>
      <c r="I507" s="66"/>
      <c r="J507" s="69"/>
      <c r="K507" s="67"/>
      <c r="L507" s="67"/>
      <c r="M507" s="67"/>
      <c r="N507" s="67"/>
      <c r="O507" s="64"/>
      <c r="P507" s="72" t="str">
        <f aca="false">IF(OR(B507="",C507=""),"",C507&amp;"|"&amp;(YEAR(B507)*100+MONTH(B507)))</f>
        <v/>
      </c>
      <c r="Q507" s="70" t="str">
        <f aca="false">IF(P507="","",IF(COUNTIF(N_CLAVE,P507)&gt;1,"⚠ Duplicado","OK"))</f>
        <v/>
      </c>
      <c r="R507" s="74" t="str">
        <f aca="false">IF(OR(P507="",U507=""),"",MAX(0,U507-N(E507)-N(F507)-N(H507)))</f>
        <v/>
      </c>
      <c r="S507" s="75" t="str">
        <f aca="false">IF(P507="","",IFERROR(INDEX(T_INGRESO,MATCH(C507,T_ID,0)),""))</f>
        <v/>
      </c>
      <c r="T507" s="75" t="str">
        <f aca="false">IF(P507="","",IFERROR(N(INDEX(T_EGRESO,MATCH(C507,T_ID,0))),0))</f>
        <v/>
      </c>
      <c r="U507" s="73" t="str">
        <f aca="false">IF(OR(P507="",NOT(ISNUMBER(S507))),"",IF(OR(S507&gt;EOMONTH(B507,0),AND(T507&gt;0,T507&lt;B507)),0,IF(AND(S507&lt;=B507,OR(T507=0,T507&gt;=EOMONTH(B507,0))),30,MIN(30,IF(T507=0,EOMONTH(B507,0),MIN(T507,EOMONTH(B507,0)))-MAX(B507,S507)+1))))</f>
        <v/>
      </c>
    </row>
    <row r="508" customFormat="false" ht="15" hidden="false" customHeight="false" outlineLevel="0" collapsed="false">
      <c r="B508" s="78"/>
      <c r="C508" s="64"/>
      <c r="D508" s="70" t="str">
        <f aca="false">IF(C508="","",IFERROR(INDEX(T_NOMBRE,MATCH(C508,T_ID,0)),"⚠ ID no existe"))</f>
        <v/>
      </c>
      <c r="E508" s="69"/>
      <c r="F508" s="69"/>
      <c r="G508" s="69"/>
      <c r="H508" s="69"/>
      <c r="I508" s="66"/>
      <c r="J508" s="69"/>
      <c r="K508" s="67"/>
      <c r="L508" s="67"/>
      <c r="M508" s="67"/>
      <c r="N508" s="67"/>
      <c r="O508" s="64"/>
      <c r="P508" s="72" t="str">
        <f aca="false">IF(OR(B508="",C508=""),"",C508&amp;"|"&amp;(YEAR(B508)*100+MONTH(B508)))</f>
        <v/>
      </c>
      <c r="Q508" s="70" t="str">
        <f aca="false">IF(P508="","",IF(COUNTIF(N_CLAVE,P508)&gt;1,"⚠ Duplicado","OK"))</f>
        <v/>
      </c>
      <c r="R508" s="74" t="str">
        <f aca="false">IF(OR(P508="",U508=""),"",MAX(0,U508-N(E508)-N(F508)-N(H508)))</f>
        <v/>
      </c>
      <c r="S508" s="75" t="str">
        <f aca="false">IF(P508="","",IFERROR(INDEX(T_INGRESO,MATCH(C508,T_ID,0)),""))</f>
        <v/>
      </c>
      <c r="T508" s="75" t="str">
        <f aca="false">IF(P508="","",IFERROR(N(INDEX(T_EGRESO,MATCH(C508,T_ID,0))),0))</f>
        <v/>
      </c>
      <c r="U508" s="73" t="str">
        <f aca="false">IF(OR(P508="",NOT(ISNUMBER(S508))),"",IF(OR(S508&gt;EOMONTH(B508,0),AND(T508&gt;0,T508&lt;B508)),0,IF(AND(S508&lt;=B508,OR(T508=0,T508&gt;=EOMONTH(B508,0))),30,MIN(30,IF(T508=0,EOMONTH(B508,0),MIN(T508,EOMONTH(B508,0)))-MAX(B508,S508)+1))))</f>
        <v/>
      </c>
    </row>
    <row r="509" customFormat="false" ht="15" hidden="false" customHeight="false" outlineLevel="0" collapsed="false">
      <c r="B509" s="78"/>
      <c r="C509" s="64"/>
      <c r="D509" s="70" t="str">
        <f aca="false">IF(C509="","",IFERROR(INDEX(T_NOMBRE,MATCH(C509,T_ID,0)),"⚠ ID no existe"))</f>
        <v/>
      </c>
      <c r="E509" s="69"/>
      <c r="F509" s="69"/>
      <c r="G509" s="69"/>
      <c r="H509" s="69"/>
      <c r="I509" s="66"/>
      <c r="J509" s="69"/>
      <c r="K509" s="67"/>
      <c r="L509" s="67"/>
      <c r="M509" s="67"/>
      <c r="N509" s="67"/>
      <c r="O509" s="64"/>
      <c r="P509" s="72" t="str">
        <f aca="false">IF(OR(B509="",C509=""),"",C509&amp;"|"&amp;(YEAR(B509)*100+MONTH(B509)))</f>
        <v/>
      </c>
      <c r="Q509" s="70" t="str">
        <f aca="false">IF(P509="","",IF(COUNTIF(N_CLAVE,P509)&gt;1,"⚠ Duplicado","OK"))</f>
        <v/>
      </c>
      <c r="R509" s="74" t="str">
        <f aca="false">IF(OR(P509="",U509=""),"",MAX(0,U509-N(E509)-N(F509)-N(H509)))</f>
        <v/>
      </c>
      <c r="S509" s="75" t="str">
        <f aca="false">IF(P509="","",IFERROR(INDEX(T_INGRESO,MATCH(C509,T_ID,0)),""))</f>
        <v/>
      </c>
      <c r="T509" s="75" t="str">
        <f aca="false">IF(P509="","",IFERROR(N(INDEX(T_EGRESO,MATCH(C509,T_ID,0))),0))</f>
        <v/>
      </c>
      <c r="U509" s="73" t="str">
        <f aca="false">IF(OR(P509="",NOT(ISNUMBER(S509))),"",IF(OR(S509&gt;EOMONTH(B509,0),AND(T509&gt;0,T509&lt;B509)),0,IF(AND(S509&lt;=B509,OR(T509=0,T509&gt;=EOMONTH(B509,0))),30,MIN(30,IF(T509=0,EOMONTH(B509,0),MIN(T509,EOMONTH(B509,0)))-MAX(B509,S509)+1))))</f>
        <v/>
      </c>
    </row>
    <row r="510" customFormat="false" ht="15" hidden="false" customHeight="false" outlineLevel="0" collapsed="false">
      <c r="B510" s="78"/>
      <c r="C510" s="64"/>
      <c r="D510" s="70" t="str">
        <f aca="false">IF(C510="","",IFERROR(INDEX(T_NOMBRE,MATCH(C510,T_ID,0)),"⚠ ID no existe"))</f>
        <v/>
      </c>
      <c r="E510" s="69"/>
      <c r="F510" s="69"/>
      <c r="G510" s="69"/>
      <c r="H510" s="69"/>
      <c r="I510" s="66"/>
      <c r="J510" s="69"/>
      <c r="K510" s="67"/>
      <c r="L510" s="67"/>
      <c r="M510" s="67"/>
      <c r="N510" s="67"/>
      <c r="O510" s="64"/>
      <c r="P510" s="72" t="str">
        <f aca="false">IF(OR(B510="",C510=""),"",C510&amp;"|"&amp;(YEAR(B510)*100+MONTH(B510)))</f>
        <v/>
      </c>
      <c r="Q510" s="70" t="str">
        <f aca="false">IF(P510="","",IF(COUNTIF(N_CLAVE,P510)&gt;1,"⚠ Duplicado","OK"))</f>
        <v/>
      </c>
      <c r="R510" s="74" t="str">
        <f aca="false">IF(OR(P510="",U510=""),"",MAX(0,U510-N(E510)-N(F510)-N(H510)))</f>
        <v/>
      </c>
      <c r="S510" s="75" t="str">
        <f aca="false">IF(P510="","",IFERROR(INDEX(T_INGRESO,MATCH(C510,T_ID,0)),""))</f>
        <v/>
      </c>
      <c r="T510" s="75" t="str">
        <f aca="false">IF(P510="","",IFERROR(N(INDEX(T_EGRESO,MATCH(C510,T_ID,0))),0))</f>
        <v/>
      </c>
      <c r="U510" s="73" t="str">
        <f aca="false">IF(OR(P510="",NOT(ISNUMBER(S510))),"",IF(OR(S510&gt;EOMONTH(B510,0),AND(T510&gt;0,T510&lt;B510)),0,IF(AND(S510&lt;=B510,OR(T510=0,T510&gt;=EOMONTH(B510,0))),30,MIN(30,IF(T510=0,EOMONTH(B510,0),MIN(T510,EOMONTH(B510,0)))-MAX(B510,S510)+1))))</f>
        <v/>
      </c>
    </row>
    <row r="511" customFormat="false" ht="15" hidden="false" customHeight="false" outlineLevel="0" collapsed="false">
      <c r="B511" s="78"/>
      <c r="C511" s="64"/>
      <c r="D511" s="70" t="str">
        <f aca="false">IF(C511="","",IFERROR(INDEX(T_NOMBRE,MATCH(C511,T_ID,0)),"⚠ ID no existe"))</f>
        <v/>
      </c>
      <c r="E511" s="69"/>
      <c r="F511" s="69"/>
      <c r="G511" s="69"/>
      <c r="H511" s="69"/>
      <c r="I511" s="66"/>
      <c r="J511" s="69"/>
      <c r="K511" s="67"/>
      <c r="L511" s="67"/>
      <c r="M511" s="67"/>
      <c r="N511" s="67"/>
      <c r="O511" s="64"/>
      <c r="P511" s="72" t="str">
        <f aca="false">IF(OR(B511="",C511=""),"",C511&amp;"|"&amp;(YEAR(B511)*100+MONTH(B511)))</f>
        <v/>
      </c>
      <c r="Q511" s="70" t="str">
        <f aca="false">IF(P511="","",IF(COUNTIF(N_CLAVE,P511)&gt;1,"⚠ Duplicado","OK"))</f>
        <v/>
      </c>
      <c r="R511" s="74" t="str">
        <f aca="false">IF(OR(P511="",U511=""),"",MAX(0,U511-N(E511)-N(F511)-N(H511)))</f>
        <v/>
      </c>
      <c r="S511" s="75" t="str">
        <f aca="false">IF(P511="","",IFERROR(INDEX(T_INGRESO,MATCH(C511,T_ID,0)),""))</f>
        <v/>
      </c>
      <c r="T511" s="75" t="str">
        <f aca="false">IF(P511="","",IFERROR(N(INDEX(T_EGRESO,MATCH(C511,T_ID,0))),0))</f>
        <v/>
      </c>
      <c r="U511" s="73" t="str">
        <f aca="false">IF(OR(P511="",NOT(ISNUMBER(S511))),"",IF(OR(S511&gt;EOMONTH(B511,0),AND(T511&gt;0,T511&lt;B511)),0,IF(AND(S511&lt;=B511,OR(T511=0,T511&gt;=EOMONTH(B511,0))),30,MIN(30,IF(T511=0,EOMONTH(B511,0),MIN(T511,EOMONTH(B511,0)))-MAX(B511,S511)+1))))</f>
        <v/>
      </c>
    </row>
    <row r="512" customFormat="false" ht="15" hidden="false" customHeight="false" outlineLevel="0" collapsed="false">
      <c r="B512" s="78"/>
      <c r="C512" s="64"/>
      <c r="D512" s="70" t="str">
        <f aca="false">IF(C512="","",IFERROR(INDEX(T_NOMBRE,MATCH(C512,T_ID,0)),"⚠ ID no existe"))</f>
        <v/>
      </c>
      <c r="E512" s="69"/>
      <c r="F512" s="69"/>
      <c r="G512" s="69"/>
      <c r="H512" s="69"/>
      <c r="I512" s="66"/>
      <c r="J512" s="69"/>
      <c r="K512" s="67"/>
      <c r="L512" s="67"/>
      <c r="M512" s="67"/>
      <c r="N512" s="67"/>
      <c r="O512" s="64"/>
      <c r="P512" s="72" t="str">
        <f aca="false">IF(OR(B512="",C512=""),"",C512&amp;"|"&amp;(YEAR(B512)*100+MONTH(B512)))</f>
        <v/>
      </c>
      <c r="Q512" s="70" t="str">
        <f aca="false">IF(P512="","",IF(COUNTIF(N_CLAVE,P512)&gt;1,"⚠ Duplicado","OK"))</f>
        <v/>
      </c>
      <c r="R512" s="74" t="str">
        <f aca="false">IF(OR(P512="",U512=""),"",MAX(0,U512-N(E512)-N(F512)-N(H512)))</f>
        <v/>
      </c>
      <c r="S512" s="75" t="str">
        <f aca="false">IF(P512="","",IFERROR(INDEX(T_INGRESO,MATCH(C512,T_ID,0)),""))</f>
        <v/>
      </c>
      <c r="T512" s="75" t="str">
        <f aca="false">IF(P512="","",IFERROR(N(INDEX(T_EGRESO,MATCH(C512,T_ID,0))),0))</f>
        <v/>
      </c>
      <c r="U512" s="73" t="str">
        <f aca="false">IF(OR(P512="",NOT(ISNUMBER(S512))),"",IF(OR(S512&gt;EOMONTH(B512,0),AND(T512&gt;0,T512&lt;B512)),0,IF(AND(S512&lt;=B512,OR(T512=0,T512&gt;=EOMONTH(B512,0))),30,MIN(30,IF(T512=0,EOMONTH(B512,0),MIN(T512,EOMONTH(B512,0)))-MAX(B512,S512)+1))))</f>
        <v/>
      </c>
    </row>
    <row r="513" customFormat="false" ht="15" hidden="false" customHeight="false" outlineLevel="0" collapsed="false">
      <c r="B513" s="78"/>
      <c r="C513" s="64"/>
      <c r="D513" s="70" t="str">
        <f aca="false">IF(C513="","",IFERROR(INDEX(T_NOMBRE,MATCH(C513,T_ID,0)),"⚠ ID no existe"))</f>
        <v/>
      </c>
      <c r="E513" s="69"/>
      <c r="F513" s="69"/>
      <c r="G513" s="69"/>
      <c r="H513" s="69"/>
      <c r="I513" s="66"/>
      <c r="J513" s="69"/>
      <c r="K513" s="67"/>
      <c r="L513" s="67"/>
      <c r="M513" s="67"/>
      <c r="N513" s="67"/>
      <c r="O513" s="64"/>
      <c r="P513" s="72" t="str">
        <f aca="false">IF(OR(B513="",C513=""),"",C513&amp;"|"&amp;(YEAR(B513)*100+MONTH(B513)))</f>
        <v/>
      </c>
      <c r="Q513" s="70" t="str">
        <f aca="false">IF(P513="","",IF(COUNTIF(N_CLAVE,P513)&gt;1,"⚠ Duplicado","OK"))</f>
        <v/>
      </c>
      <c r="R513" s="74" t="str">
        <f aca="false">IF(OR(P513="",U513=""),"",MAX(0,U513-N(E513)-N(F513)-N(H513)))</f>
        <v/>
      </c>
      <c r="S513" s="75" t="str">
        <f aca="false">IF(P513="","",IFERROR(INDEX(T_INGRESO,MATCH(C513,T_ID,0)),""))</f>
        <v/>
      </c>
      <c r="T513" s="75" t="str">
        <f aca="false">IF(P513="","",IFERROR(N(INDEX(T_EGRESO,MATCH(C513,T_ID,0))),0))</f>
        <v/>
      </c>
      <c r="U513" s="73" t="str">
        <f aca="false">IF(OR(P513="",NOT(ISNUMBER(S513))),"",IF(OR(S513&gt;EOMONTH(B513,0),AND(T513&gt;0,T513&lt;B513)),0,IF(AND(S513&lt;=B513,OR(T513=0,T513&gt;=EOMONTH(B513,0))),30,MIN(30,IF(T513=0,EOMONTH(B513,0),MIN(T513,EOMONTH(B513,0)))-MAX(B513,S513)+1))))</f>
        <v/>
      </c>
    </row>
    <row r="514" customFormat="false" ht="15" hidden="false" customHeight="false" outlineLevel="0" collapsed="false">
      <c r="B514" s="78"/>
      <c r="C514" s="64"/>
      <c r="D514" s="70" t="str">
        <f aca="false">IF(C514="","",IFERROR(INDEX(T_NOMBRE,MATCH(C514,T_ID,0)),"⚠ ID no existe"))</f>
        <v/>
      </c>
      <c r="E514" s="69"/>
      <c r="F514" s="69"/>
      <c r="G514" s="69"/>
      <c r="H514" s="69"/>
      <c r="I514" s="66"/>
      <c r="J514" s="69"/>
      <c r="K514" s="67"/>
      <c r="L514" s="67"/>
      <c r="M514" s="67"/>
      <c r="N514" s="67"/>
      <c r="O514" s="64"/>
      <c r="P514" s="72" t="str">
        <f aca="false">IF(OR(B514="",C514=""),"",C514&amp;"|"&amp;(YEAR(B514)*100+MONTH(B514)))</f>
        <v/>
      </c>
      <c r="Q514" s="70" t="str">
        <f aca="false">IF(P514="","",IF(COUNTIF(N_CLAVE,P514)&gt;1,"⚠ Duplicado","OK"))</f>
        <v/>
      </c>
      <c r="R514" s="74" t="str">
        <f aca="false">IF(OR(P514="",U514=""),"",MAX(0,U514-N(E514)-N(F514)-N(H514)))</f>
        <v/>
      </c>
      <c r="S514" s="75" t="str">
        <f aca="false">IF(P514="","",IFERROR(INDEX(T_INGRESO,MATCH(C514,T_ID,0)),""))</f>
        <v/>
      </c>
      <c r="T514" s="75" t="str">
        <f aca="false">IF(P514="","",IFERROR(N(INDEX(T_EGRESO,MATCH(C514,T_ID,0))),0))</f>
        <v/>
      </c>
      <c r="U514" s="73" t="str">
        <f aca="false">IF(OR(P514="",NOT(ISNUMBER(S514))),"",IF(OR(S514&gt;EOMONTH(B514,0),AND(T514&gt;0,T514&lt;B514)),0,IF(AND(S514&lt;=B514,OR(T514=0,T514&gt;=EOMONTH(B514,0))),30,MIN(30,IF(T514=0,EOMONTH(B514,0),MIN(T514,EOMONTH(B514,0)))-MAX(B514,S514)+1))))</f>
        <v/>
      </c>
    </row>
    <row r="515" customFormat="false" ht="15" hidden="false" customHeight="false" outlineLevel="0" collapsed="false">
      <c r="B515" s="78"/>
      <c r="C515" s="64"/>
      <c r="D515" s="70" t="str">
        <f aca="false">IF(C515="","",IFERROR(INDEX(T_NOMBRE,MATCH(C515,T_ID,0)),"⚠ ID no existe"))</f>
        <v/>
      </c>
      <c r="E515" s="69"/>
      <c r="F515" s="69"/>
      <c r="G515" s="69"/>
      <c r="H515" s="69"/>
      <c r="I515" s="66"/>
      <c r="J515" s="69"/>
      <c r="K515" s="67"/>
      <c r="L515" s="67"/>
      <c r="M515" s="67"/>
      <c r="N515" s="67"/>
      <c r="O515" s="64"/>
      <c r="P515" s="72" t="str">
        <f aca="false">IF(OR(B515="",C515=""),"",C515&amp;"|"&amp;(YEAR(B515)*100+MONTH(B515)))</f>
        <v/>
      </c>
      <c r="Q515" s="70" t="str">
        <f aca="false">IF(P515="","",IF(COUNTIF(N_CLAVE,P515)&gt;1,"⚠ Duplicado","OK"))</f>
        <v/>
      </c>
      <c r="R515" s="74" t="str">
        <f aca="false">IF(OR(P515="",U515=""),"",MAX(0,U515-N(E515)-N(F515)-N(H515)))</f>
        <v/>
      </c>
      <c r="S515" s="75" t="str">
        <f aca="false">IF(P515="","",IFERROR(INDEX(T_INGRESO,MATCH(C515,T_ID,0)),""))</f>
        <v/>
      </c>
      <c r="T515" s="75" t="str">
        <f aca="false">IF(P515="","",IFERROR(N(INDEX(T_EGRESO,MATCH(C515,T_ID,0))),0))</f>
        <v/>
      </c>
      <c r="U515" s="73" t="str">
        <f aca="false">IF(OR(P515="",NOT(ISNUMBER(S515))),"",IF(OR(S515&gt;EOMONTH(B515,0),AND(T515&gt;0,T515&lt;B515)),0,IF(AND(S515&lt;=B515,OR(T515=0,T515&gt;=EOMONTH(B515,0))),30,MIN(30,IF(T515=0,EOMONTH(B515,0),MIN(T515,EOMONTH(B515,0)))-MAX(B515,S515)+1))))</f>
        <v/>
      </c>
    </row>
    <row r="516" customFormat="false" ht="15" hidden="false" customHeight="false" outlineLevel="0" collapsed="false">
      <c r="B516" s="78"/>
      <c r="C516" s="64"/>
      <c r="D516" s="70" t="str">
        <f aca="false">IF(C516="","",IFERROR(INDEX(T_NOMBRE,MATCH(C516,T_ID,0)),"⚠ ID no existe"))</f>
        <v/>
      </c>
      <c r="E516" s="69"/>
      <c r="F516" s="69"/>
      <c r="G516" s="69"/>
      <c r="H516" s="69"/>
      <c r="I516" s="66"/>
      <c r="J516" s="69"/>
      <c r="K516" s="67"/>
      <c r="L516" s="67"/>
      <c r="M516" s="67"/>
      <c r="N516" s="67"/>
      <c r="O516" s="64"/>
      <c r="P516" s="72" t="str">
        <f aca="false">IF(OR(B516="",C516=""),"",C516&amp;"|"&amp;(YEAR(B516)*100+MONTH(B516)))</f>
        <v/>
      </c>
      <c r="Q516" s="70" t="str">
        <f aca="false">IF(P516="","",IF(COUNTIF(N_CLAVE,P516)&gt;1,"⚠ Duplicado","OK"))</f>
        <v/>
      </c>
      <c r="R516" s="74" t="str">
        <f aca="false">IF(OR(P516="",U516=""),"",MAX(0,U516-N(E516)-N(F516)-N(H516)))</f>
        <v/>
      </c>
      <c r="S516" s="75" t="str">
        <f aca="false">IF(P516="","",IFERROR(INDEX(T_INGRESO,MATCH(C516,T_ID,0)),""))</f>
        <v/>
      </c>
      <c r="T516" s="75" t="str">
        <f aca="false">IF(P516="","",IFERROR(N(INDEX(T_EGRESO,MATCH(C516,T_ID,0))),0))</f>
        <v/>
      </c>
      <c r="U516" s="73" t="str">
        <f aca="false">IF(OR(P516="",NOT(ISNUMBER(S516))),"",IF(OR(S516&gt;EOMONTH(B516,0),AND(T516&gt;0,T516&lt;B516)),0,IF(AND(S516&lt;=B516,OR(T516=0,T516&gt;=EOMONTH(B516,0))),30,MIN(30,IF(T516=0,EOMONTH(B516,0),MIN(T516,EOMONTH(B516,0)))-MAX(B516,S516)+1))))</f>
        <v/>
      </c>
    </row>
    <row r="517" customFormat="false" ht="15" hidden="false" customHeight="false" outlineLevel="0" collapsed="false">
      <c r="B517" s="78"/>
      <c r="C517" s="64"/>
      <c r="D517" s="70" t="str">
        <f aca="false">IF(C517="","",IFERROR(INDEX(T_NOMBRE,MATCH(C517,T_ID,0)),"⚠ ID no existe"))</f>
        <v/>
      </c>
      <c r="E517" s="69"/>
      <c r="F517" s="69"/>
      <c r="G517" s="69"/>
      <c r="H517" s="69"/>
      <c r="I517" s="66"/>
      <c r="J517" s="69"/>
      <c r="K517" s="67"/>
      <c r="L517" s="67"/>
      <c r="M517" s="67"/>
      <c r="N517" s="67"/>
      <c r="O517" s="64"/>
      <c r="P517" s="72" t="str">
        <f aca="false">IF(OR(B517="",C517=""),"",C517&amp;"|"&amp;(YEAR(B517)*100+MONTH(B517)))</f>
        <v/>
      </c>
      <c r="Q517" s="70" t="str">
        <f aca="false">IF(P517="","",IF(COUNTIF(N_CLAVE,P517)&gt;1,"⚠ Duplicado","OK"))</f>
        <v/>
      </c>
      <c r="R517" s="74" t="str">
        <f aca="false">IF(OR(P517="",U517=""),"",MAX(0,U517-N(E517)-N(F517)-N(H517)))</f>
        <v/>
      </c>
      <c r="S517" s="75" t="str">
        <f aca="false">IF(P517="","",IFERROR(INDEX(T_INGRESO,MATCH(C517,T_ID,0)),""))</f>
        <v/>
      </c>
      <c r="T517" s="75" t="str">
        <f aca="false">IF(P517="","",IFERROR(N(INDEX(T_EGRESO,MATCH(C517,T_ID,0))),0))</f>
        <v/>
      </c>
      <c r="U517" s="73" t="str">
        <f aca="false">IF(OR(P517="",NOT(ISNUMBER(S517))),"",IF(OR(S517&gt;EOMONTH(B517,0),AND(T517&gt;0,T517&lt;B517)),0,IF(AND(S517&lt;=B517,OR(T517=0,T517&gt;=EOMONTH(B517,0))),30,MIN(30,IF(T517=0,EOMONTH(B517,0),MIN(T517,EOMONTH(B517,0)))-MAX(B517,S517)+1))))</f>
        <v/>
      </c>
    </row>
    <row r="518" customFormat="false" ht="15" hidden="false" customHeight="false" outlineLevel="0" collapsed="false">
      <c r="B518" s="78"/>
      <c r="C518" s="64"/>
      <c r="D518" s="70" t="str">
        <f aca="false">IF(C518="","",IFERROR(INDEX(T_NOMBRE,MATCH(C518,T_ID,0)),"⚠ ID no existe"))</f>
        <v/>
      </c>
      <c r="E518" s="69"/>
      <c r="F518" s="69"/>
      <c r="G518" s="69"/>
      <c r="H518" s="69"/>
      <c r="I518" s="66"/>
      <c r="J518" s="69"/>
      <c r="K518" s="67"/>
      <c r="L518" s="67"/>
      <c r="M518" s="67"/>
      <c r="N518" s="67"/>
      <c r="O518" s="64"/>
      <c r="P518" s="72" t="str">
        <f aca="false">IF(OR(B518="",C518=""),"",C518&amp;"|"&amp;(YEAR(B518)*100+MONTH(B518)))</f>
        <v/>
      </c>
      <c r="Q518" s="70" t="str">
        <f aca="false">IF(P518="","",IF(COUNTIF(N_CLAVE,P518)&gt;1,"⚠ Duplicado","OK"))</f>
        <v/>
      </c>
      <c r="R518" s="74" t="str">
        <f aca="false">IF(OR(P518="",U518=""),"",MAX(0,U518-N(E518)-N(F518)-N(H518)))</f>
        <v/>
      </c>
      <c r="S518" s="75" t="str">
        <f aca="false">IF(P518="","",IFERROR(INDEX(T_INGRESO,MATCH(C518,T_ID,0)),""))</f>
        <v/>
      </c>
      <c r="T518" s="75" t="str">
        <f aca="false">IF(P518="","",IFERROR(N(INDEX(T_EGRESO,MATCH(C518,T_ID,0))),0))</f>
        <v/>
      </c>
      <c r="U518" s="73" t="str">
        <f aca="false">IF(OR(P518="",NOT(ISNUMBER(S518))),"",IF(OR(S518&gt;EOMONTH(B518,0),AND(T518&gt;0,T518&lt;B518)),0,IF(AND(S518&lt;=B518,OR(T518=0,T518&gt;=EOMONTH(B518,0))),30,MIN(30,IF(T518=0,EOMONTH(B518,0),MIN(T518,EOMONTH(B518,0)))-MAX(B518,S518)+1))))</f>
        <v/>
      </c>
    </row>
    <row r="519" customFormat="false" ht="15" hidden="false" customHeight="false" outlineLevel="0" collapsed="false">
      <c r="B519" s="78"/>
      <c r="C519" s="64"/>
      <c r="D519" s="70" t="str">
        <f aca="false">IF(C519="","",IFERROR(INDEX(T_NOMBRE,MATCH(C519,T_ID,0)),"⚠ ID no existe"))</f>
        <v/>
      </c>
      <c r="E519" s="69"/>
      <c r="F519" s="69"/>
      <c r="G519" s="69"/>
      <c r="H519" s="69"/>
      <c r="I519" s="66"/>
      <c r="J519" s="69"/>
      <c r="K519" s="67"/>
      <c r="L519" s="67"/>
      <c r="M519" s="67"/>
      <c r="N519" s="67"/>
      <c r="O519" s="64"/>
      <c r="P519" s="72" t="str">
        <f aca="false">IF(OR(B519="",C519=""),"",C519&amp;"|"&amp;(YEAR(B519)*100+MONTH(B519)))</f>
        <v/>
      </c>
      <c r="Q519" s="70" t="str">
        <f aca="false">IF(P519="","",IF(COUNTIF(N_CLAVE,P519)&gt;1,"⚠ Duplicado","OK"))</f>
        <v/>
      </c>
      <c r="R519" s="74" t="str">
        <f aca="false">IF(OR(P519="",U519=""),"",MAX(0,U519-N(E519)-N(F519)-N(H519)))</f>
        <v/>
      </c>
      <c r="S519" s="75" t="str">
        <f aca="false">IF(P519="","",IFERROR(INDEX(T_INGRESO,MATCH(C519,T_ID,0)),""))</f>
        <v/>
      </c>
      <c r="T519" s="75" t="str">
        <f aca="false">IF(P519="","",IFERROR(N(INDEX(T_EGRESO,MATCH(C519,T_ID,0))),0))</f>
        <v/>
      </c>
      <c r="U519" s="73" t="str">
        <f aca="false">IF(OR(P519="",NOT(ISNUMBER(S519))),"",IF(OR(S519&gt;EOMONTH(B519,0),AND(T519&gt;0,T519&lt;B519)),0,IF(AND(S519&lt;=B519,OR(T519=0,T519&gt;=EOMONTH(B519,0))),30,MIN(30,IF(T519=0,EOMONTH(B519,0),MIN(T519,EOMONTH(B519,0)))-MAX(B519,S519)+1))))</f>
        <v/>
      </c>
    </row>
    <row r="520" customFormat="false" ht="15" hidden="false" customHeight="false" outlineLevel="0" collapsed="false">
      <c r="B520" s="78"/>
      <c r="C520" s="64"/>
      <c r="D520" s="70" t="str">
        <f aca="false">IF(C520="","",IFERROR(INDEX(T_NOMBRE,MATCH(C520,T_ID,0)),"⚠ ID no existe"))</f>
        <v/>
      </c>
      <c r="E520" s="69"/>
      <c r="F520" s="69"/>
      <c r="G520" s="69"/>
      <c r="H520" s="69"/>
      <c r="I520" s="66"/>
      <c r="J520" s="69"/>
      <c r="K520" s="67"/>
      <c r="L520" s="67"/>
      <c r="M520" s="67"/>
      <c r="N520" s="67"/>
      <c r="O520" s="64"/>
      <c r="P520" s="72" t="str">
        <f aca="false">IF(OR(B520="",C520=""),"",C520&amp;"|"&amp;(YEAR(B520)*100+MONTH(B520)))</f>
        <v/>
      </c>
      <c r="Q520" s="70" t="str">
        <f aca="false">IF(P520="","",IF(COUNTIF(N_CLAVE,P520)&gt;1,"⚠ Duplicado","OK"))</f>
        <v/>
      </c>
      <c r="R520" s="74" t="str">
        <f aca="false">IF(OR(P520="",U520=""),"",MAX(0,U520-N(E520)-N(F520)-N(H520)))</f>
        <v/>
      </c>
      <c r="S520" s="75" t="str">
        <f aca="false">IF(P520="","",IFERROR(INDEX(T_INGRESO,MATCH(C520,T_ID,0)),""))</f>
        <v/>
      </c>
      <c r="T520" s="75" t="str">
        <f aca="false">IF(P520="","",IFERROR(N(INDEX(T_EGRESO,MATCH(C520,T_ID,0))),0))</f>
        <v/>
      </c>
      <c r="U520" s="73" t="str">
        <f aca="false">IF(OR(P520="",NOT(ISNUMBER(S520))),"",IF(OR(S520&gt;EOMONTH(B520,0),AND(T520&gt;0,T520&lt;B520)),0,IF(AND(S520&lt;=B520,OR(T520=0,T520&gt;=EOMONTH(B520,0))),30,MIN(30,IF(T520=0,EOMONTH(B520,0),MIN(T520,EOMONTH(B520,0)))-MAX(B520,S520)+1))))</f>
        <v/>
      </c>
    </row>
    <row r="521" customFormat="false" ht="15" hidden="false" customHeight="false" outlineLevel="0" collapsed="false">
      <c r="B521" s="78"/>
      <c r="C521" s="64"/>
      <c r="D521" s="70" t="str">
        <f aca="false">IF(C521="","",IFERROR(INDEX(T_NOMBRE,MATCH(C521,T_ID,0)),"⚠ ID no existe"))</f>
        <v/>
      </c>
      <c r="E521" s="69"/>
      <c r="F521" s="69"/>
      <c r="G521" s="69"/>
      <c r="H521" s="69"/>
      <c r="I521" s="66"/>
      <c r="J521" s="69"/>
      <c r="K521" s="67"/>
      <c r="L521" s="67"/>
      <c r="M521" s="67"/>
      <c r="N521" s="67"/>
      <c r="O521" s="64"/>
      <c r="P521" s="72" t="str">
        <f aca="false">IF(OR(B521="",C521=""),"",C521&amp;"|"&amp;(YEAR(B521)*100+MONTH(B521)))</f>
        <v/>
      </c>
      <c r="Q521" s="70" t="str">
        <f aca="false">IF(P521="","",IF(COUNTIF(N_CLAVE,P521)&gt;1,"⚠ Duplicado","OK"))</f>
        <v/>
      </c>
      <c r="R521" s="74" t="str">
        <f aca="false">IF(OR(P521="",U521=""),"",MAX(0,U521-N(E521)-N(F521)-N(H521)))</f>
        <v/>
      </c>
      <c r="S521" s="75" t="str">
        <f aca="false">IF(P521="","",IFERROR(INDEX(T_INGRESO,MATCH(C521,T_ID,0)),""))</f>
        <v/>
      </c>
      <c r="T521" s="75" t="str">
        <f aca="false">IF(P521="","",IFERROR(N(INDEX(T_EGRESO,MATCH(C521,T_ID,0))),0))</f>
        <v/>
      </c>
      <c r="U521" s="73" t="str">
        <f aca="false">IF(OR(P521="",NOT(ISNUMBER(S521))),"",IF(OR(S521&gt;EOMONTH(B521,0),AND(T521&gt;0,T521&lt;B521)),0,IF(AND(S521&lt;=B521,OR(T521=0,T521&gt;=EOMONTH(B521,0))),30,MIN(30,IF(T521=0,EOMONTH(B521,0),MIN(T521,EOMONTH(B521,0)))-MAX(B521,S521)+1))))</f>
        <v/>
      </c>
    </row>
    <row r="522" customFormat="false" ht="15" hidden="false" customHeight="false" outlineLevel="0" collapsed="false">
      <c r="B522" s="78"/>
      <c r="C522" s="64"/>
      <c r="D522" s="70" t="str">
        <f aca="false">IF(C522="","",IFERROR(INDEX(T_NOMBRE,MATCH(C522,T_ID,0)),"⚠ ID no existe"))</f>
        <v/>
      </c>
      <c r="E522" s="69"/>
      <c r="F522" s="69"/>
      <c r="G522" s="69"/>
      <c r="H522" s="69"/>
      <c r="I522" s="66"/>
      <c r="J522" s="69"/>
      <c r="K522" s="67"/>
      <c r="L522" s="67"/>
      <c r="M522" s="67"/>
      <c r="N522" s="67"/>
      <c r="O522" s="64"/>
      <c r="P522" s="72" t="str">
        <f aca="false">IF(OR(B522="",C522=""),"",C522&amp;"|"&amp;(YEAR(B522)*100+MONTH(B522)))</f>
        <v/>
      </c>
      <c r="Q522" s="70" t="str">
        <f aca="false">IF(P522="","",IF(COUNTIF(N_CLAVE,P522)&gt;1,"⚠ Duplicado","OK"))</f>
        <v/>
      </c>
      <c r="R522" s="74" t="str">
        <f aca="false">IF(OR(P522="",U522=""),"",MAX(0,U522-N(E522)-N(F522)-N(H522)))</f>
        <v/>
      </c>
      <c r="S522" s="75" t="str">
        <f aca="false">IF(P522="","",IFERROR(INDEX(T_INGRESO,MATCH(C522,T_ID,0)),""))</f>
        <v/>
      </c>
      <c r="T522" s="75" t="str">
        <f aca="false">IF(P522="","",IFERROR(N(INDEX(T_EGRESO,MATCH(C522,T_ID,0))),0))</f>
        <v/>
      </c>
      <c r="U522" s="73" t="str">
        <f aca="false">IF(OR(P522="",NOT(ISNUMBER(S522))),"",IF(OR(S522&gt;EOMONTH(B522,0),AND(T522&gt;0,T522&lt;B522)),0,IF(AND(S522&lt;=B522,OR(T522=0,T522&gt;=EOMONTH(B522,0))),30,MIN(30,IF(T522=0,EOMONTH(B522,0),MIN(T522,EOMONTH(B522,0)))-MAX(B522,S522)+1))))</f>
        <v/>
      </c>
    </row>
    <row r="523" customFormat="false" ht="15" hidden="false" customHeight="false" outlineLevel="0" collapsed="false">
      <c r="B523" s="78"/>
      <c r="C523" s="64"/>
      <c r="D523" s="70" t="str">
        <f aca="false">IF(C523="","",IFERROR(INDEX(T_NOMBRE,MATCH(C523,T_ID,0)),"⚠ ID no existe"))</f>
        <v/>
      </c>
      <c r="E523" s="69"/>
      <c r="F523" s="69"/>
      <c r="G523" s="69"/>
      <c r="H523" s="69"/>
      <c r="I523" s="66"/>
      <c r="J523" s="69"/>
      <c r="K523" s="67"/>
      <c r="L523" s="67"/>
      <c r="M523" s="67"/>
      <c r="N523" s="67"/>
      <c r="O523" s="64"/>
      <c r="P523" s="72" t="str">
        <f aca="false">IF(OR(B523="",C523=""),"",C523&amp;"|"&amp;(YEAR(B523)*100+MONTH(B523)))</f>
        <v/>
      </c>
      <c r="Q523" s="70" t="str">
        <f aca="false">IF(P523="","",IF(COUNTIF(N_CLAVE,P523)&gt;1,"⚠ Duplicado","OK"))</f>
        <v/>
      </c>
      <c r="R523" s="74" t="str">
        <f aca="false">IF(OR(P523="",U523=""),"",MAX(0,U523-N(E523)-N(F523)-N(H523)))</f>
        <v/>
      </c>
      <c r="S523" s="75" t="str">
        <f aca="false">IF(P523="","",IFERROR(INDEX(T_INGRESO,MATCH(C523,T_ID,0)),""))</f>
        <v/>
      </c>
      <c r="T523" s="75" t="str">
        <f aca="false">IF(P523="","",IFERROR(N(INDEX(T_EGRESO,MATCH(C523,T_ID,0))),0))</f>
        <v/>
      </c>
      <c r="U523" s="73" t="str">
        <f aca="false">IF(OR(P523="",NOT(ISNUMBER(S523))),"",IF(OR(S523&gt;EOMONTH(B523,0),AND(T523&gt;0,T523&lt;B523)),0,IF(AND(S523&lt;=B523,OR(T523=0,T523&gt;=EOMONTH(B523,0))),30,MIN(30,IF(T523=0,EOMONTH(B523,0),MIN(T523,EOMONTH(B523,0)))-MAX(B523,S523)+1))))</f>
        <v/>
      </c>
    </row>
    <row r="524" customFormat="false" ht="15" hidden="false" customHeight="false" outlineLevel="0" collapsed="false">
      <c r="B524" s="78"/>
      <c r="C524" s="64"/>
      <c r="D524" s="70" t="str">
        <f aca="false">IF(C524="","",IFERROR(INDEX(T_NOMBRE,MATCH(C524,T_ID,0)),"⚠ ID no existe"))</f>
        <v/>
      </c>
      <c r="E524" s="69"/>
      <c r="F524" s="69"/>
      <c r="G524" s="69"/>
      <c r="H524" s="69"/>
      <c r="I524" s="66"/>
      <c r="J524" s="69"/>
      <c r="K524" s="67"/>
      <c r="L524" s="67"/>
      <c r="M524" s="67"/>
      <c r="N524" s="67"/>
      <c r="O524" s="64"/>
      <c r="P524" s="72" t="str">
        <f aca="false">IF(OR(B524="",C524=""),"",C524&amp;"|"&amp;(YEAR(B524)*100+MONTH(B524)))</f>
        <v/>
      </c>
      <c r="Q524" s="70" t="str">
        <f aca="false">IF(P524="","",IF(COUNTIF(N_CLAVE,P524)&gt;1,"⚠ Duplicado","OK"))</f>
        <v/>
      </c>
      <c r="R524" s="74" t="str">
        <f aca="false">IF(OR(P524="",U524=""),"",MAX(0,U524-N(E524)-N(F524)-N(H524)))</f>
        <v/>
      </c>
      <c r="S524" s="75" t="str">
        <f aca="false">IF(P524="","",IFERROR(INDEX(T_INGRESO,MATCH(C524,T_ID,0)),""))</f>
        <v/>
      </c>
      <c r="T524" s="75" t="str">
        <f aca="false">IF(P524="","",IFERROR(N(INDEX(T_EGRESO,MATCH(C524,T_ID,0))),0))</f>
        <v/>
      </c>
      <c r="U524" s="73" t="str">
        <f aca="false">IF(OR(P524="",NOT(ISNUMBER(S524))),"",IF(OR(S524&gt;EOMONTH(B524,0),AND(T524&gt;0,T524&lt;B524)),0,IF(AND(S524&lt;=B524,OR(T524=0,T524&gt;=EOMONTH(B524,0))),30,MIN(30,IF(T524=0,EOMONTH(B524,0),MIN(T524,EOMONTH(B524,0)))-MAX(B524,S524)+1))))</f>
        <v/>
      </c>
    </row>
    <row r="525" customFormat="false" ht="15" hidden="false" customHeight="false" outlineLevel="0" collapsed="false">
      <c r="B525" s="78"/>
      <c r="C525" s="64"/>
      <c r="D525" s="70" t="str">
        <f aca="false">IF(C525="","",IFERROR(INDEX(T_NOMBRE,MATCH(C525,T_ID,0)),"⚠ ID no existe"))</f>
        <v/>
      </c>
      <c r="E525" s="69"/>
      <c r="F525" s="69"/>
      <c r="G525" s="69"/>
      <c r="H525" s="69"/>
      <c r="I525" s="66"/>
      <c r="J525" s="69"/>
      <c r="K525" s="67"/>
      <c r="L525" s="67"/>
      <c r="M525" s="67"/>
      <c r="N525" s="67"/>
      <c r="O525" s="64"/>
      <c r="P525" s="72" t="str">
        <f aca="false">IF(OR(B525="",C525=""),"",C525&amp;"|"&amp;(YEAR(B525)*100+MONTH(B525)))</f>
        <v/>
      </c>
      <c r="Q525" s="70" t="str">
        <f aca="false">IF(P525="","",IF(COUNTIF(N_CLAVE,P525)&gt;1,"⚠ Duplicado","OK"))</f>
        <v/>
      </c>
      <c r="R525" s="74" t="str">
        <f aca="false">IF(OR(P525="",U525=""),"",MAX(0,U525-N(E525)-N(F525)-N(H525)))</f>
        <v/>
      </c>
      <c r="S525" s="75" t="str">
        <f aca="false">IF(P525="","",IFERROR(INDEX(T_INGRESO,MATCH(C525,T_ID,0)),""))</f>
        <v/>
      </c>
      <c r="T525" s="75" t="str">
        <f aca="false">IF(P525="","",IFERROR(N(INDEX(T_EGRESO,MATCH(C525,T_ID,0))),0))</f>
        <v/>
      </c>
      <c r="U525" s="73" t="str">
        <f aca="false">IF(OR(P525="",NOT(ISNUMBER(S525))),"",IF(OR(S525&gt;EOMONTH(B525,0),AND(T525&gt;0,T525&lt;B525)),0,IF(AND(S525&lt;=B525,OR(T525=0,T525&gt;=EOMONTH(B525,0))),30,MIN(30,IF(T525=0,EOMONTH(B525,0),MIN(T525,EOMONTH(B525,0)))-MAX(B525,S525)+1))))</f>
        <v/>
      </c>
    </row>
    <row r="526" customFormat="false" ht="15" hidden="false" customHeight="false" outlineLevel="0" collapsed="false">
      <c r="B526" s="78"/>
      <c r="C526" s="64"/>
      <c r="D526" s="70" t="str">
        <f aca="false">IF(C526="","",IFERROR(INDEX(T_NOMBRE,MATCH(C526,T_ID,0)),"⚠ ID no existe"))</f>
        <v/>
      </c>
      <c r="E526" s="69"/>
      <c r="F526" s="69"/>
      <c r="G526" s="69"/>
      <c r="H526" s="69"/>
      <c r="I526" s="66"/>
      <c r="J526" s="69"/>
      <c r="K526" s="67"/>
      <c r="L526" s="67"/>
      <c r="M526" s="67"/>
      <c r="N526" s="67"/>
      <c r="O526" s="64"/>
      <c r="P526" s="72" t="str">
        <f aca="false">IF(OR(B526="",C526=""),"",C526&amp;"|"&amp;(YEAR(B526)*100+MONTH(B526)))</f>
        <v/>
      </c>
      <c r="Q526" s="70" t="str">
        <f aca="false">IF(P526="","",IF(COUNTIF(N_CLAVE,P526)&gt;1,"⚠ Duplicado","OK"))</f>
        <v/>
      </c>
      <c r="R526" s="74" t="str">
        <f aca="false">IF(OR(P526="",U526=""),"",MAX(0,U526-N(E526)-N(F526)-N(H526)))</f>
        <v/>
      </c>
      <c r="S526" s="75" t="str">
        <f aca="false">IF(P526="","",IFERROR(INDEX(T_INGRESO,MATCH(C526,T_ID,0)),""))</f>
        <v/>
      </c>
      <c r="T526" s="75" t="str">
        <f aca="false">IF(P526="","",IFERROR(N(INDEX(T_EGRESO,MATCH(C526,T_ID,0))),0))</f>
        <v/>
      </c>
      <c r="U526" s="73" t="str">
        <f aca="false">IF(OR(P526="",NOT(ISNUMBER(S526))),"",IF(OR(S526&gt;EOMONTH(B526,0),AND(T526&gt;0,T526&lt;B526)),0,IF(AND(S526&lt;=B526,OR(T526=0,T526&gt;=EOMONTH(B526,0))),30,MIN(30,IF(T526=0,EOMONTH(B526,0),MIN(T526,EOMONTH(B526,0)))-MAX(B526,S526)+1))))</f>
        <v/>
      </c>
    </row>
    <row r="527" customFormat="false" ht="15" hidden="false" customHeight="false" outlineLevel="0" collapsed="false">
      <c r="B527" s="78"/>
      <c r="C527" s="64"/>
      <c r="D527" s="70" t="str">
        <f aca="false">IF(C527="","",IFERROR(INDEX(T_NOMBRE,MATCH(C527,T_ID,0)),"⚠ ID no existe"))</f>
        <v/>
      </c>
      <c r="E527" s="69"/>
      <c r="F527" s="69"/>
      <c r="G527" s="69"/>
      <c r="H527" s="69"/>
      <c r="I527" s="66"/>
      <c r="J527" s="69"/>
      <c r="K527" s="67"/>
      <c r="L527" s="67"/>
      <c r="M527" s="67"/>
      <c r="N527" s="67"/>
      <c r="O527" s="64"/>
      <c r="P527" s="72" t="str">
        <f aca="false">IF(OR(B527="",C527=""),"",C527&amp;"|"&amp;(YEAR(B527)*100+MONTH(B527)))</f>
        <v/>
      </c>
      <c r="Q527" s="70" t="str">
        <f aca="false">IF(P527="","",IF(COUNTIF(N_CLAVE,P527)&gt;1,"⚠ Duplicado","OK"))</f>
        <v/>
      </c>
      <c r="R527" s="74" t="str">
        <f aca="false">IF(OR(P527="",U527=""),"",MAX(0,U527-N(E527)-N(F527)-N(H527)))</f>
        <v/>
      </c>
      <c r="S527" s="75" t="str">
        <f aca="false">IF(P527="","",IFERROR(INDEX(T_INGRESO,MATCH(C527,T_ID,0)),""))</f>
        <v/>
      </c>
      <c r="T527" s="75" t="str">
        <f aca="false">IF(P527="","",IFERROR(N(INDEX(T_EGRESO,MATCH(C527,T_ID,0))),0))</f>
        <v/>
      </c>
      <c r="U527" s="73" t="str">
        <f aca="false">IF(OR(P527="",NOT(ISNUMBER(S527))),"",IF(OR(S527&gt;EOMONTH(B527,0),AND(T527&gt;0,T527&lt;B527)),0,IF(AND(S527&lt;=B527,OR(T527=0,T527&gt;=EOMONTH(B527,0))),30,MIN(30,IF(T527=0,EOMONTH(B527,0),MIN(T527,EOMONTH(B527,0)))-MAX(B527,S527)+1))))</f>
        <v/>
      </c>
    </row>
    <row r="528" customFormat="false" ht="15" hidden="false" customHeight="false" outlineLevel="0" collapsed="false">
      <c r="B528" s="78"/>
      <c r="C528" s="64"/>
      <c r="D528" s="70" t="str">
        <f aca="false">IF(C528="","",IFERROR(INDEX(T_NOMBRE,MATCH(C528,T_ID,0)),"⚠ ID no existe"))</f>
        <v/>
      </c>
      <c r="E528" s="69"/>
      <c r="F528" s="69"/>
      <c r="G528" s="69"/>
      <c r="H528" s="69"/>
      <c r="I528" s="66"/>
      <c r="J528" s="69"/>
      <c r="K528" s="67"/>
      <c r="L528" s="67"/>
      <c r="M528" s="67"/>
      <c r="N528" s="67"/>
      <c r="O528" s="64"/>
      <c r="P528" s="72" t="str">
        <f aca="false">IF(OR(B528="",C528=""),"",C528&amp;"|"&amp;(YEAR(B528)*100+MONTH(B528)))</f>
        <v/>
      </c>
      <c r="Q528" s="70" t="str">
        <f aca="false">IF(P528="","",IF(COUNTIF(N_CLAVE,P528)&gt;1,"⚠ Duplicado","OK"))</f>
        <v/>
      </c>
      <c r="R528" s="74" t="str">
        <f aca="false">IF(OR(P528="",U528=""),"",MAX(0,U528-N(E528)-N(F528)-N(H528)))</f>
        <v/>
      </c>
      <c r="S528" s="75" t="str">
        <f aca="false">IF(P528="","",IFERROR(INDEX(T_INGRESO,MATCH(C528,T_ID,0)),""))</f>
        <v/>
      </c>
      <c r="T528" s="75" t="str">
        <f aca="false">IF(P528="","",IFERROR(N(INDEX(T_EGRESO,MATCH(C528,T_ID,0))),0))</f>
        <v/>
      </c>
      <c r="U528" s="73" t="str">
        <f aca="false">IF(OR(P528="",NOT(ISNUMBER(S528))),"",IF(OR(S528&gt;EOMONTH(B528,0),AND(T528&gt;0,T528&lt;B528)),0,IF(AND(S528&lt;=B528,OR(T528=0,T528&gt;=EOMONTH(B528,0))),30,MIN(30,IF(T528=0,EOMONTH(B528,0),MIN(T528,EOMONTH(B528,0)))-MAX(B528,S528)+1))))</f>
        <v/>
      </c>
    </row>
    <row r="529" customFormat="false" ht="15" hidden="false" customHeight="false" outlineLevel="0" collapsed="false">
      <c r="B529" s="78"/>
      <c r="C529" s="64"/>
      <c r="D529" s="70" t="str">
        <f aca="false">IF(C529="","",IFERROR(INDEX(T_NOMBRE,MATCH(C529,T_ID,0)),"⚠ ID no existe"))</f>
        <v/>
      </c>
      <c r="E529" s="69"/>
      <c r="F529" s="69"/>
      <c r="G529" s="69"/>
      <c r="H529" s="69"/>
      <c r="I529" s="66"/>
      <c r="J529" s="69"/>
      <c r="K529" s="67"/>
      <c r="L529" s="67"/>
      <c r="M529" s="67"/>
      <c r="N529" s="67"/>
      <c r="O529" s="64"/>
      <c r="P529" s="72" t="str">
        <f aca="false">IF(OR(B529="",C529=""),"",C529&amp;"|"&amp;(YEAR(B529)*100+MONTH(B529)))</f>
        <v/>
      </c>
      <c r="Q529" s="70" t="str">
        <f aca="false">IF(P529="","",IF(COUNTIF(N_CLAVE,P529)&gt;1,"⚠ Duplicado","OK"))</f>
        <v/>
      </c>
      <c r="R529" s="74" t="str">
        <f aca="false">IF(OR(P529="",U529=""),"",MAX(0,U529-N(E529)-N(F529)-N(H529)))</f>
        <v/>
      </c>
      <c r="S529" s="75" t="str">
        <f aca="false">IF(P529="","",IFERROR(INDEX(T_INGRESO,MATCH(C529,T_ID,0)),""))</f>
        <v/>
      </c>
      <c r="T529" s="75" t="str">
        <f aca="false">IF(P529="","",IFERROR(N(INDEX(T_EGRESO,MATCH(C529,T_ID,0))),0))</f>
        <v/>
      </c>
      <c r="U529" s="73" t="str">
        <f aca="false">IF(OR(P529="",NOT(ISNUMBER(S529))),"",IF(OR(S529&gt;EOMONTH(B529,0),AND(T529&gt;0,T529&lt;B529)),0,IF(AND(S529&lt;=B529,OR(T529=0,T529&gt;=EOMONTH(B529,0))),30,MIN(30,IF(T529=0,EOMONTH(B529,0),MIN(T529,EOMONTH(B529,0)))-MAX(B529,S529)+1))))</f>
        <v/>
      </c>
    </row>
    <row r="530" customFormat="false" ht="15" hidden="false" customHeight="false" outlineLevel="0" collapsed="false">
      <c r="B530" s="78"/>
      <c r="C530" s="64"/>
      <c r="D530" s="70" t="str">
        <f aca="false">IF(C530="","",IFERROR(INDEX(T_NOMBRE,MATCH(C530,T_ID,0)),"⚠ ID no existe"))</f>
        <v/>
      </c>
      <c r="E530" s="69"/>
      <c r="F530" s="69"/>
      <c r="G530" s="69"/>
      <c r="H530" s="69"/>
      <c r="I530" s="66"/>
      <c r="J530" s="69"/>
      <c r="K530" s="67"/>
      <c r="L530" s="67"/>
      <c r="M530" s="67"/>
      <c r="N530" s="67"/>
      <c r="O530" s="64"/>
      <c r="P530" s="72" t="str">
        <f aca="false">IF(OR(B530="",C530=""),"",C530&amp;"|"&amp;(YEAR(B530)*100+MONTH(B530)))</f>
        <v/>
      </c>
      <c r="Q530" s="70" t="str">
        <f aca="false">IF(P530="","",IF(COUNTIF(N_CLAVE,P530)&gt;1,"⚠ Duplicado","OK"))</f>
        <v/>
      </c>
      <c r="R530" s="74" t="str">
        <f aca="false">IF(OR(P530="",U530=""),"",MAX(0,U530-N(E530)-N(F530)-N(H530)))</f>
        <v/>
      </c>
      <c r="S530" s="75" t="str">
        <f aca="false">IF(P530="","",IFERROR(INDEX(T_INGRESO,MATCH(C530,T_ID,0)),""))</f>
        <v/>
      </c>
      <c r="T530" s="75" t="str">
        <f aca="false">IF(P530="","",IFERROR(N(INDEX(T_EGRESO,MATCH(C530,T_ID,0))),0))</f>
        <v/>
      </c>
      <c r="U530" s="73" t="str">
        <f aca="false">IF(OR(P530="",NOT(ISNUMBER(S530))),"",IF(OR(S530&gt;EOMONTH(B530,0),AND(T530&gt;0,T530&lt;B530)),0,IF(AND(S530&lt;=B530,OR(T530=0,T530&gt;=EOMONTH(B530,0))),30,MIN(30,IF(T530=0,EOMONTH(B530,0),MIN(T530,EOMONTH(B530,0)))-MAX(B530,S530)+1))))</f>
        <v/>
      </c>
    </row>
    <row r="531" customFormat="false" ht="15" hidden="false" customHeight="false" outlineLevel="0" collapsed="false">
      <c r="B531" s="78"/>
      <c r="C531" s="64"/>
      <c r="D531" s="70" t="str">
        <f aca="false">IF(C531="","",IFERROR(INDEX(T_NOMBRE,MATCH(C531,T_ID,0)),"⚠ ID no existe"))</f>
        <v/>
      </c>
      <c r="E531" s="69"/>
      <c r="F531" s="69"/>
      <c r="G531" s="69"/>
      <c r="H531" s="69"/>
      <c r="I531" s="66"/>
      <c r="J531" s="69"/>
      <c r="K531" s="67"/>
      <c r="L531" s="67"/>
      <c r="M531" s="67"/>
      <c r="N531" s="67"/>
      <c r="O531" s="64"/>
      <c r="P531" s="72" t="str">
        <f aca="false">IF(OR(B531="",C531=""),"",C531&amp;"|"&amp;(YEAR(B531)*100+MONTH(B531)))</f>
        <v/>
      </c>
      <c r="Q531" s="70" t="str">
        <f aca="false">IF(P531="","",IF(COUNTIF(N_CLAVE,P531)&gt;1,"⚠ Duplicado","OK"))</f>
        <v/>
      </c>
      <c r="R531" s="74" t="str">
        <f aca="false">IF(OR(P531="",U531=""),"",MAX(0,U531-N(E531)-N(F531)-N(H531)))</f>
        <v/>
      </c>
      <c r="S531" s="75" t="str">
        <f aca="false">IF(P531="","",IFERROR(INDEX(T_INGRESO,MATCH(C531,T_ID,0)),""))</f>
        <v/>
      </c>
      <c r="T531" s="75" t="str">
        <f aca="false">IF(P531="","",IFERROR(N(INDEX(T_EGRESO,MATCH(C531,T_ID,0))),0))</f>
        <v/>
      </c>
      <c r="U531" s="73" t="str">
        <f aca="false">IF(OR(P531="",NOT(ISNUMBER(S531))),"",IF(OR(S531&gt;EOMONTH(B531,0),AND(T531&gt;0,T531&lt;B531)),0,IF(AND(S531&lt;=B531,OR(T531=0,T531&gt;=EOMONTH(B531,0))),30,MIN(30,IF(T531=0,EOMONTH(B531,0),MIN(T531,EOMONTH(B531,0)))-MAX(B531,S531)+1))))</f>
        <v/>
      </c>
    </row>
    <row r="532" customFormat="false" ht="15" hidden="false" customHeight="false" outlineLevel="0" collapsed="false">
      <c r="B532" s="78"/>
      <c r="C532" s="64"/>
      <c r="D532" s="70" t="str">
        <f aca="false">IF(C532="","",IFERROR(INDEX(T_NOMBRE,MATCH(C532,T_ID,0)),"⚠ ID no existe"))</f>
        <v/>
      </c>
      <c r="E532" s="69"/>
      <c r="F532" s="69"/>
      <c r="G532" s="69"/>
      <c r="H532" s="69"/>
      <c r="I532" s="66"/>
      <c r="J532" s="69"/>
      <c r="K532" s="67"/>
      <c r="L532" s="67"/>
      <c r="M532" s="67"/>
      <c r="N532" s="67"/>
      <c r="O532" s="64"/>
      <c r="P532" s="72" t="str">
        <f aca="false">IF(OR(B532="",C532=""),"",C532&amp;"|"&amp;(YEAR(B532)*100+MONTH(B532)))</f>
        <v/>
      </c>
      <c r="Q532" s="70" t="str">
        <f aca="false">IF(P532="","",IF(COUNTIF(N_CLAVE,P532)&gt;1,"⚠ Duplicado","OK"))</f>
        <v/>
      </c>
      <c r="R532" s="74" t="str">
        <f aca="false">IF(OR(P532="",U532=""),"",MAX(0,U532-N(E532)-N(F532)-N(H532)))</f>
        <v/>
      </c>
      <c r="S532" s="75" t="str">
        <f aca="false">IF(P532="","",IFERROR(INDEX(T_INGRESO,MATCH(C532,T_ID,0)),""))</f>
        <v/>
      </c>
      <c r="T532" s="75" t="str">
        <f aca="false">IF(P532="","",IFERROR(N(INDEX(T_EGRESO,MATCH(C532,T_ID,0))),0))</f>
        <v/>
      </c>
      <c r="U532" s="73" t="str">
        <f aca="false">IF(OR(P532="",NOT(ISNUMBER(S532))),"",IF(OR(S532&gt;EOMONTH(B532,0),AND(T532&gt;0,T532&lt;B532)),0,IF(AND(S532&lt;=B532,OR(T532=0,T532&gt;=EOMONTH(B532,0))),30,MIN(30,IF(T532=0,EOMONTH(B532,0),MIN(T532,EOMONTH(B532,0)))-MAX(B532,S532)+1))))</f>
        <v/>
      </c>
    </row>
    <row r="533" customFormat="false" ht="15" hidden="false" customHeight="false" outlineLevel="0" collapsed="false">
      <c r="B533" s="78"/>
      <c r="C533" s="64"/>
      <c r="D533" s="70" t="str">
        <f aca="false">IF(C533="","",IFERROR(INDEX(T_NOMBRE,MATCH(C533,T_ID,0)),"⚠ ID no existe"))</f>
        <v/>
      </c>
      <c r="E533" s="69"/>
      <c r="F533" s="69"/>
      <c r="G533" s="69"/>
      <c r="H533" s="69"/>
      <c r="I533" s="66"/>
      <c r="J533" s="69"/>
      <c r="K533" s="67"/>
      <c r="L533" s="67"/>
      <c r="M533" s="67"/>
      <c r="N533" s="67"/>
      <c r="O533" s="64"/>
      <c r="P533" s="72" t="str">
        <f aca="false">IF(OR(B533="",C533=""),"",C533&amp;"|"&amp;(YEAR(B533)*100+MONTH(B533)))</f>
        <v/>
      </c>
      <c r="Q533" s="70" t="str">
        <f aca="false">IF(P533="","",IF(COUNTIF(N_CLAVE,P533)&gt;1,"⚠ Duplicado","OK"))</f>
        <v/>
      </c>
      <c r="R533" s="74" t="str">
        <f aca="false">IF(OR(P533="",U533=""),"",MAX(0,U533-N(E533)-N(F533)-N(H533)))</f>
        <v/>
      </c>
      <c r="S533" s="75" t="str">
        <f aca="false">IF(P533="","",IFERROR(INDEX(T_INGRESO,MATCH(C533,T_ID,0)),""))</f>
        <v/>
      </c>
      <c r="T533" s="75" t="str">
        <f aca="false">IF(P533="","",IFERROR(N(INDEX(T_EGRESO,MATCH(C533,T_ID,0))),0))</f>
        <v/>
      </c>
      <c r="U533" s="73" t="str">
        <f aca="false">IF(OR(P533="",NOT(ISNUMBER(S533))),"",IF(OR(S533&gt;EOMONTH(B533,0),AND(T533&gt;0,T533&lt;B533)),0,IF(AND(S533&lt;=B533,OR(T533=0,T533&gt;=EOMONTH(B533,0))),30,MIN(30,IF(T533=0,EOMONTH(B533,0),MIN(T533,EOMONTH(B533,0)))-MAX(B533,S533)+1))))</f>
        <v/>
      </c>
    </row>
    <row r="534" customFormat="false" ht="15" hidden="false" customHeight="false" outlineLevel="0" collapsed="false">
      <c r="B534" s="78"/>
      <c r="C534" s="64"/>
      <c r="D534" s="70" t="str">
        <f aca="false">IF(C534="","",IFERROR(INDEX(T_NOMBRE,MATCH(C534,T_ID,0)),"⚠ ID no existe"))</f>
        <v/>
      </c>
      <c r="E534" s="69"/>
      <c r="F534" s="69"/>
      <c r="G534" s="69"/>
      <c r="H534" s="69"/>
      <c r="I534" s="66"/>
      <c r="J534" s="69"/>
      <c r="K534" s="67"/>
      <c r="L534" s="67"/>
      <c r="M534" s="67"/>
      <c r="N534" s="67"/>
      <c r="O534" s="64"/>
      <c r="P534" s="72" t="str">
        <f aca="false">IF(OR(B534="",C534=""),"",C534&amp;"|"&amp;(YEAR(B534)*100+MONTH(B534)))</f>
        <v/>
      </c>
      <c r="Q534" s="70" t="str">
        <f aca="false">IF(P534="","",IF(COUNTIF(N_CLAVE,P534)&gt;1,"⚠ Duplicado","OK"))</f>
        <v/>
      </c>
      <c r="R534" s="74" t="str">
        <f aca="false">IF(OR(P534="",U534=""),"",MAX(0,U534-N(E534)-N(F534)-N(H534)))</f>
        <v/>
      </c>
      <c r="S534" s="75" t="str">
        <f aca="false">IF(P534="","",IFERROR(INDEX(T_INGRESO,MATCH(C534,T_ID,0)),""))</f>
        <v/>
      </c>
      <c r="T534" s="75" t="str">
        <f aca="false">IF(P534="","",IFERROR(N(INDEX(T_EGRESO,MATCH(C534,T_ID,0))),0))</f>
        <v/>
      </c>
      <c r="U534" s="73" t="str">
        <f aca="false">IF(OR(P534="",NOT(ISNUMBER(S534))),"",IF(OR(S534&gt;EOMONTH(B534,0),AND(T534&gt;0,T534&lt;B534)),0,IF(AND(S534&lt;=B534,OR(T534=0,T534&gt;=EOMONTH(B534,0))),30,MIN(30,IF(T534=0,EOMONTH(B534,0),MIN(T534,EOMONTH(B534,0)))-MAX(B534,S534)+1))))</f>
        <v/>
      </c>
    </row>
    <row r="535" customFormat="false" ht="15" hidden="false" customHeight="false" outlineLevel="0" collapsed="false">
      <c r="B535" s="78"/>
      <c r="C535" s="64"/>
      <c r="D535" s="70" t="str">
        <f aca="false">IF(C535="","",IFERROR(INDEX(T_NOMBRE,MATCH(C535,T_ID,0)),"⚠ ID no existe"))</f>
        <v/>
      </c>
      <c r="E535" s="69"/>
      <c r="F535" s="69"/>
      <c r="G535" s="69"/>
      <c r="H535" s="69"/>
      <c r="I535" s="66"/>
      <c r="J535" s="69"/>
      <c r="K535" s="67"/>
      <c r="L535" s="67"/>
      <c r="M535" s="67"/>
      <c r="N535" s="67"/>
      <c r="O535" s="64"/>
      <c r="P535" s="72" t="str">
        <f aca="false">IF(OR(B535="",C535=""),"",C535&amp;"|"&amp;(YEAR(B535)*100+MONTH(B535)))</f>
        <v/>
      </c>
      <c r="Q535" s="70" t="str">
        <f aca="false">IF(P535="","",IF(COUNTIF(N_CLAVE,P535)&gt;1,"⚠ Duplicado","OK"))</f>
        <v/>
      </c>
      <c r="R535" s="74" t="str">
        <f aca="false">IF(OR(P535="",U535=""),"",MAX(0,U535-N(E535)-N(F535)-N(H535)))</f>
        <v/>
      </c>
      <c r="S535" s="75" t="str">
        <f aca="false">IF(P535="","",IFERROR(INDEX(T_INGRESO,MATCH(C535,T_ID,0)),""))</f>
        <v/>
      </c>
      <c r="T535" s="75" t="str">
        <f aca="false">IF(P535="","",IFERROR(N(INDEX(T_EGRESO,MATCH(C535,T_ID,0))),0))</f>
        <v/>
      </c>
      <c r="U535" s="73" t="str">
        <f aca="false">IF(OR(P535="",NOT(ISNUMBER(S535))),"",IF(OR(S535&gt;EOMONTH(B535,0),AND(T535&gt;0,T535&lt;B535)),0,IF(AND(S535&lt;=B535,OR(T535=0,T535&gt;=EOMONTH(B535,0))),30,MIN(30,IF(T535=0,EOMONTH(B535,0),MIN(T535,EOMONTH(B535,0)))-MAX(B535,S535)+1))))</f>
        <v/>
      </c>
    </row>
    <row r="536" customFormat="false" ht="15" hidden="false" customHeight="false" outlineLevel="0" collapsed="false">
      <c r="B536" s="78"/>
      <c r="C536" s="64"/>
      <c r="D536" s="70" t="str">
        <f aca="false">IF(C536="","",IFERROR(INDEX(T_NOMBRE,MATCH(C536,T_ID,0)),"⚠ ID no existe"))</f>
        <v/>
      </c>
      <c r="E536" s="69"/>
      <c r="F536" s="69"/>
      <c r="G536" s="69"/>
      <c r="H536" s="69"/>
      <c r="I536" s="66"/>
      <c r="J536" s="69"/>
      <c r="K536" s="67"/>
      <c r="L536" s="67"/>
      <c r="M536" s="67"/>
      <c r="N536" s="67"/>
      <c r="O536" s="64"/>
      <c r="P536" s="72" t="str">
        <f aca="false">IF(OR(B536="",C536=""),"",C536&amp;"|"&amp;(YEAR(B536)*100+MONTH(B536)))</f>
        <v/>
      </c>
      <c r="Q536" s="70" t="str">
        <f aca="false">IF(P536="","",IF(COUNTIF(N_CLAVE,P536)&gt;1,"⚠ Duplicado","OK"))</f>
        <v/>
      </c>
      <c r="R536" s="74" t="str">
        <f aca="false">IF(OR(P536="",U536=""),"",MAX(0,U536-N(E536)-N(F536)-N(H536)))</f>
        <v/>
      </c>
      <c r="S536" s="75" t="str">
        <f aca="false">IF(P536="","",IFERROR(INDEX(T_INGRESO,MATCH(C536,T_ID,0)),""))</f>
        <v/>
      </c>
      <c r="T536" s="75" t="str">
        <f aca="false">IF(P536="","",IFERROR(N(INDEX(T_EGRESO,MATCH(C536,T_ID,0))),0))</f>
        <v/>
      </c>
      <c r="U536" s="73" t="str">
        <f aca="false">IF(OR(P536="",NOT(ISNUMBER(S536))),"",IF(OR(S536&gt;EOMONTH(B536,0),AND(T536&gt;0,T536&lt;B536)),0,IF(AND(S536&lt;=B536,OR(T536=0,T536&gt;=EOMONTH(B536,0))),30,MIN(30,IF(T536=0,EOMONTH(B536,0),MIN(T536,EOMONTH(B536,0)))-MAX(B536,S536)+1))))</f>
        <v/>
      </c>
    </row>
    <row r="537" customFormat="false" ht="15" hidden="false" customHeight="false" outlineLevel="0" collapsed="false">
      <c r="B537" s="78"/>
      <c r="C537" s="64"/>
      <c r="D537" s="70" t="str">
        <f aca="false">IF(C537="","",IFERROR(INDEX(T_NOMBRE,MATCH(C537,T_ID,0)),"⚠ ID no existe"))</f>
        <v/>
      </c>
      <c r="E537" s="69"/>
      <c r="F537" s="69"/>
      <c r="G537" s="69"/>
      <c r="H537" s="69"/>
      <c r="I537" s="66"/>
      <c r="J537" s="69"/>
      <c r="K537" s="67"/>
      <c r="L537" s="67"/>
      <c r="M537" s="67"/>
      <c r="N537" s="67"/>
      <c r="O537" s="64"/>
      <c r="P537" s="72" t="str">
        <f aca="false">IF(OR(B537="",C537=""),"",C537&amp;"|"&amp;(YEAR(B537)*100+MONTH(B537)))</f>
        <v/>
      </c>
      <c r="Q537" s="70" t="str">
        <f aca="false">IF(P537="","",IF(COUNTIF(N_CLAVE,P537)&gt;1,"⚠ Duplicado","OK"))</f>
        <v/>
      </c>
      <c r="R537" s="74" t="str">
        <f aca="false">IF(OR(P537="",U537=""),"",MAX(0,U537-N(E537)-N(F537)-N(H537)))</f>
        <v/>
      </c>
      <c r="S537" s="75" t="str">
        <f aca="false">IF(P537="","",IFERROR(INDEX(T_INGRESO,MATCH(C537,T_ID,0)),""))</f>
        <v/>
      </c>
      <c r="T537" s="75" t="str">
        <f aca="false">IF(P537="","",IFERROR(N(INDEX(T_EGRESO,MATCH(C537,T_ID,0))),0))</f>
        <v/>
      </c>
      <c r="U537" s="73" t="str">
        <f aca="false">IF(OR(P537="",NOT(ISNUMBER(S537))),"",IF(OR(S537&gt;EOMONTH(B537,0),AND(T537&gt;0,T537&lt;B537)),0,IF(AND(S537&lt;=B537,OR(T537=0,T537&gt;=EOMONTH(B537,0))),30,MIN(30,IF(T537=0,EOMONTH(B537,0),MIN(T537,EOMONTH(B537,0)))-MAX(B537,S537)+1))))</f>
        <v/>
      </c>
    </row>
    <row r="538" customFormat="false" ht="15" hidden="false" customHeight="false" outlineLevel="0" collapsed="false">
      <c r="B538" s="78"/>
      <c r="C538" s="64"/>
      <c r="D538" s="70" t="str">
        <f aca="false">IF(C538="","",IFERROR(INDEX(T_NOMBRE,MATCH(C538,T_ID,0)),"⚠ ID no existe"))</f>
        <v/>
      </c>
      <c r="E538" s="69"/>
      <c r="F538" s="69"/>
      <c r="G538" s="69"/>
      <c r="H538" s="69"/>
      <c r="I538" s="66"/>
      <c r="J538" s="69"/>
      <c r="K538" s="67"/>
      <c r="L538" s="67"/>
      <c r="M538" s="67"/>
      <c r="N538" s="67"/>
      <c r="O538" s="64"/>
      <c r="P538" s="72" t="str">
        <f aca="false">IF(OR(B538="",C538=""),"",C538&amp;"|"&amp;(YEAR(B538)*100+MONTH(B538)))</f>
        <v/>
      </c>
      <c r="Q538" s="70" t="str">
        <f aca="false">IF(P538="","",IF(COUNTIF(N_CLAVE,P538)&gt;1,"⚠ Duplicado","OK"))</f>
        <v/>
      </c>
      <c r="R538" s="74" t="str">
        <f aca="false">IF(OR(P538="",U538=""),"",MAX(0,U538-N(E538)-N(F538)-N(H538)))</f>
        <v/>
      </c>
      <c r="S538" s="75" t="str">
        <f aca="false">IF(P538="","",IFERROR(INDEX(T_INGRESO,MATCH(C538,T_ID,0)),""))</f>
        <v/>
      </c>
      <c r="T538" s="75" t="str">
        <f aca="false">IF(P538="","",IFERROR(N(INDEX(T_EGRESO,MATCH(C538,T_ID,0))),0))</f>
        <v/>
      </c>
      <c r="U538" s="73" t="str">
        <f aca="false">IF(OR(P538="",NOT(ISNUMBER(S538))),"",IF(OR(S538&gt;EOMONTH(B538,0),AND(T538&gt;0,T538&lt;B538)),0,IF(AND(S538&lt;=B538,OR(T538=0,T538&gt;=EOMONTH(B538,0))),30,MIN(30,IF(T538=0,EOMONTH(B538,0),MIN(T538,EOMONTH(B538,0)))-MAX(B538,S538)+1))))</f>
        <v/>
      </c>
    </row>
    <row r="539" customFormat="false" ht="15" hidden="false" customHeight="false" outlineLevel="0" collapsed="false">
      <c r="B539" s="78"/>
      <c r="C539" s="64"/>
      <c r="D539" s="70" t="str">
        <f aca="false">IF(C539="","",IFERROR(INDEX(T_NOMBRE,MATCH(C539,T_ID,0)),"⚠ ID no existe"))</f>
        <v/>
      </c>
      <c r="E539" s="69"/>
      <c r="F539" s="69"/>
      <c r="G539" s="69"/>
      <c r="H539" s="69"/>
      <c r="I539" s="66"/>
      <c r="J539" s="69"/>
      <c r="K539" s="67"/>
      <c r="L539" s="67"/>
      <c r="M539" s="67"/>
      <c r="N539" s="67"/>
      <c r="O539" s="64"/>
      <c r="P539" s="72" t="str">
        <f aca="false">IF(OR(B539="",C539=""),"",C539&amp;"|"&amp;(YEAR(B539)*100+MONTH(B539)))</f>
        <v/>
      </c>
      <c r="Q539" s="70" t="str">
        <f aca="false">IF(P539="","",IF(COUNTIF(N_CLAVE,P539)&gt;1,"⚠ Duplicado","OK"))</f>
        <v/>
      </c>
      <c r="R539" s="74" t="str">
        <f aca="false">IF(OR(P539="",U539=""),"",MAX(0,U539-N(E539)-N(F539)-N(H539)))</f>
        <v/>
      </c>
      <c r="S539" s="75" t="str">
        <f aca="false">IF(P539="","",IFERROR(INDEX(T_INGRESO,MATCH(C539,T_ID,0)),""))</f>
        <v/>
      </c>
      <c r="T539" s="75" t="str">
        <f aca="false">IF(P539="","",IFERROR(N(INDEX(T_EGRESO,MATCH(C539,T_ID,0))),0))</f>
        <v/>
      </c>
      <c r="U539" s="73" t="str">
        <f aca="false">IF(OR(P539="",NOT(ISNUMBER(S539))),"",IF(OR(S539&gt;EOMONTH(B539,0),AND(T539&gt;0,T539&lt;B539)),0,IF(AND(S539&lt;=B539,OR(T539=0,T539&gt;=EOMONTH(B539,0))),30,MIN(30,IF(T539=0,EOMONTH(B539,0),MIN(T539,EOMONTH(B539,0)))-MAX(B539,S539)+1))))</f>
        <v/>
      </c>
    </row>
    <row r="540" customFormat="false" ht="15" hidden="false" customHeight="false" outlineLevel="0" collapsed="false">
      <c r="B540" s="78"/>
      <c r="C540" s="64"/>
      <c r="D540" s="70" t="str">
        <f aca="false">IF(C540="","",IFERROR(INDEX(T_NOMBRE,MATCH(C540,T_ID,0)),"⚠ ID no existe"))</f>
        <v/>
      </c>
      <c r="E540" s="69"/>
      <c r="F540" s="69"/>
      <c r="G540" s="69"/>
      <c r="H540" s="69"/>
      <c r="I540" s="66"/>
      <c r="J540" s="69"/>
      <c r="K540" s="67"/>
      <c r="L540" s="67"/>
      <c r="M540" s="67"/>
      <c r="N540" s="67"/>
      <c r="O540" s="64"/>
      <c r="P540" s="72" t="str">
        <f aca="false">IF(OR(B540="",C540=""),"",C540&amp;"|"&amp;(YEAR(B540)*100+MONTH(B540)))</f>
        <v/>
      </c>
      <c r="Q540" s="70" t="str">
        <f aca="false">IF(P540="","",IF(COUNTIF(N_CLAVE,P540)&gt;1,"⚠ Duplicado","OK"))</f>
        <v/>
      </c>
      <c r="R540" s="74" t="str">
        <f aca="false">IF(OR(P540="",U540=""),"",MAX(0,U540-N(E540)-N(F540)-N(H540)))</f>
        <v/>
      </c>
      <c r="S540" s="75" t="str">
        <f aca="false">IF(P540="","",IFERROR(INDEX(T_INGRESO,MATCH(C540,T_ID,0)),""))</f>
        <v/>
      </c>
      <c r="T540" s="75" t="str">
        <f aca="false">IF(P540="","",IFERROR(N(INDEX(T_EGRESO,MATCH(C540,T_ID,0))),0))</f>
        <v/>
      </c>
      <c r="U540" s="73" t="str">
        <f aca="false">IF(OR(P540="",NOT(ISNUMBER(S540))),"",IF(OR(S540&gt;EOMONTH(B540,0),AND(T540&gt;0,T540&lt;B540)),0,IF(AND(S540&lt;=B540,OR(T540=0,T540&gt;=EOMONTH(B540,0))),30,MIN(30,IF(T540=0,EOMONTH(B540,0),MIN(T540,EOMONTH(B540,0)))-MAX(B540,S540)+1))))</f>
        <v/>
      </c>
    </row>
    <row r="541" customFormat="false" ht="15" hidden="false" customHeight="false" outlineLevel="0" collapsed="false">
      <c r="B541" s="78"/>
      <c r="C541" s="64"/>
      <c r="D541" s="70" t="str">
        <f aca="false">IF(C541="","",IFERROR(INDEX(T_NOMBRE,MATCH(C541,T_ID,0)),"⚠ ID no existe"))</f>
        <v/>
      </c>
      <c r="E541" s="69"/>
      <c r="F541" s="69"/>
      <c r="G541" s="69"/>
      <c r="H541" s="69"/>
      <c r="I541" s="66"/>
      <c r="J541" s="69"/>
      <c r="K541" s="67"/>
      <c r="L541" s="67"/>
      <c r="M541" s="67"/>
      <c r="N541" s="67"/>
      <c r="O541" s="64"/>
      <c r="P541" s="72" t="str">
        <f aca="false">IF(OR(B541="",C541=""),"",C541&amp;"|"&amp;(YEAR(B541)*100+MONTH(B541)))</f>
        <v/>
      </c>
      <c r="Q541" s="70" t="str">
        <f aca="false">IF(P541="","",IF(COUNTIF(N_CLAVE,P541)&gt;1,"⚠ Duplicado","OK"))</f>
        <v/>
      </c>
      <c r="R541" s="74" t="str">
        <f aca="false">IF(OR(P541="",U541=""),"",MAX(0,U541-N(E541)-N(F541)-N(H541)))</f>
        <v/>
      </c>
      <c r="S541" s="75" t="str">
        <f aca="false">IF(P541="","",IFERROR(INDEX(T_INGRESO,MATCH(C541,T_ID,0)),""))</f>
        <v/>
      </c>
      <c r="T541" s="75" t="str">
        <f aca="false">IF(P541="","",IFERROR(N(INDEX(T_EGRESO,MATCH(C541,T_ID,0))),0))</f>
        <v/>
      </c>
      <c r="U541" s="73" t="str">
        <f aca="false">IF(OR(P541="",NOT(ISNUMBER(S541))),"",IF(OR(S541&gt;EOMONTH(B541,0),AND(T541&gt;0,T541&lt;B541)),0,IF(AND(S541&lt;=B541,OR(T541=0,T541&gt;=EOMONTH(B541,0))),30,MIN(30,IF(T541=0,EOMONTH(B541,0),MIN(T541,EOMONTH(B541,0)))-MAX(B541,S541)+1))))</f>
        <v/>
      </c>
    </row>
    <row r="542" customFormat="false" ht="15" hidden="false" customHeight="false" outlineLevel="0" collapsed="false">
      <c r="B542" s="78"/>
      <c r="C542" s="64"/>
      <c r="D542" s="70" t="str">
        <f aca="false">IF(C542="","",IFERROR(INDEX(T_NOMBRE,MATCH(C542,T_ID,0)),"⚠ ID no existe"))</f>
        <v/>
      </c>
      <c r="E542" s="69"/>
      <c r="F542" s="69"/>
      <c r="G542" s="69"/>
      <c r="H542" s="69"/>
      <c r="I542" s="66"/>
      <c r="J542" s="69"/>
      <c r="K542" s="67"/>
      <c r="L542" s="67"/>
      <c r="M542" s="67"/>
      <c r="N542" s="67"/>
      <c r="O542" s="64"/>
      <c r="P542" s="72" t="str">
        <f aca="false">IF(OR(B542="",C542=""),"",C542&amp;"|"&amp;(YEAR(B542)*100+MONTH(B542)))</f>
        <v/>
      </c>
      <c r="Q542" s="70" t="str">
        <f aca="false">IF(P542="","",IF(COUNTIF(N_CLAVE,P542)&gt;1,"⚠ Duplicado","OK"))</f>
        <v/>
      </c>
      <c r="R542" s="74" t="str">
        <f aca="false">IF(OR(P542="",U542=""),"",MAX(0,U542-N(E542)-N(F542)-N(H542)))</f>
        <v/>
      </c>
      <c r="S542" s="75" t="str">
        <f aca="false">IF(P542="","",IFERROR(INDEX(T_INGRESO,MATCH(C542,T_ID,0)),""))</f>
        <v/>
      </c>
      <c r="T542" s="75" t="str">
        <f aca="false">IF(P542="","",IFERROR(N(INDEX(T_EGRESO,MATCH(C542,T_ID,0))),0))</f>
        <v/>
      </c>
      <c r="U542" s="73" t="str">
        <f aca="false">IF(OR(P542="",NOT(ISNUMBER(S542))),"",IF(OR(S542&gt;EOMONTH(B542,0),AND(T542&gt;0,T542&lt;B542)),0,IF(AND(S542&lt;=B542,OR(T542=0,T542&gt;=EOMONTH(B542,0))),30,MIN(30,IF(T542=0,EOMONTH(B542,0),MIN(T542,EOMONTH(B542,0)))-MAX(B542,S542)+1))))</f>
        <v/>
      </c>
    </row>
    <row r="543" customFormat="false" ht="15" hidden="false" customHeight="false" outlineLevel="0" collapsed="false">
      <c r="B543" s="78"/>
      <c r="C543" s="64"/>
      <c r="D543" s="70" t="str">
        <f aca="false">IF(C543="","",IFERROR(INDEX(T_NOMBRE,MATCH(C543,T_ID,0)),"⚠ ID no existe"))</f>
        <v/>
      </c>
      <c r="E543" s="69"/>
      <c r="F543" s="69"/>
      <c r="G543" s="69"/>
      <c r="H543" s="69"/>
      <c r="I543" s="66"/>
      <c r="J543" s="69"/>
      <c r="K543" s="67"/>
      <c r="L543" s="67"/>
      <c r="M543" s="67"/>
      <c r="N543" s="67"/>
      <c r="O543" s="64"/>
      <c r="P543" s="72" t="str">
        <f aca="false">IF(OR(B543="",C543=""),"",C543&amp;"|"&amp;(YEAR(B543)*100+MONTH(B543)))</f>
        <v/>
      </c>
      <c r="Q543" s="70" t="str">
        <f aca="false">IF(P543="","",IF(COUNTIF(N_CLAVE,P543)&gt;1,"⚠ Duplicado","OK"))</f>
        <v/>
      </c>
      <c r="R543" s="74" t="str">
        <f aca="false">IF(OR(P543="",U543=""),"",MAX(0,U543-N(E543)-N(F543)-N(H543)))</f>
        <v/>
      </c>
      <c r="S543" s="75" t="str">
        <f aca="false">IF(P543="","",IFERROR(INDEX(T_INGRESO,MATCH(C543,T_ID,0)),""))</f>
        <v/>
      </c>
      <c r="T543" s="75" t="str">
        <f aca="false">IF(P543="","",IFERROR(N(INDEX(T_EGRESO,MATCH(C543,T_ID,0))),0))</f>
        <v/>
      </c>
      <c r="U543" s="73" t="str">
        <f aca="false">IF(OR(P543="",NOT(ISNUMBER(S543))),"",IF(OR(S543&gt;EOMONTH(B543,0),AND(T543&gt;0,T543&lt;B543)),0,IF(AND(S543&lt;=B543,OR(T543=0,T543&gt;=EOMONTH(B543,0))),30,MIN(30,IF(T543=0,EOMONTH(B543,0),MIN(T543,EOMONTH(B543,0)))-MAX(B543,S543)+1))))</f>
        <v/>
      </c>
    </row>
    <row r="544" customFormat="false" ht="15" hidden="false" customHeight="false" outlineLevel="0" collapsed="false">
      <c r="B544" s="78"/>
      <c r="C544" s="64"/>
      <c r="D544" s="70" t="str">
        <f aca="false">IF(C544="","",IFERROR(INDEX(T_NOMBRE,MATCH(C544,T_ID,0)),"⚠ ID no existe"))</f>
        <v/>
      </c>
      <c r="E544" s="69"/>
      <c r="F544" s="69"/>
      <c r="G544" s="69"/>
      <c r="H544" s="69"/>
      <c r="I544" s="66"/>
      <c r="J544" s="69"/>
      <c r="K544" s="67"/>
      <c r="L544" s="67"/>
      <c r="M544" s="67"/>
      <c r="N544" s="67"/>
      <c r="O544" s="64"/>
      <c r="P544" s="72" t="str">
        <f aca="false">IF(OR(B544="",C544=""),"",C544&amp;"|"&amp;(YEAR(B544)*100+MONTH(B544)))</f>
        <v/>
      </c>
      <c r="Q544" s="70" t="str">
        <f aca="false">IF(P544="","",IF(COUNTIF(N_CLAVE,P544)&gt;1,"⚠ Duplicado","OK"))</f>
        <v/>
      </c>
      <c r="R544" s="74" t="str">
        <f aca="false">IF(OR(P544="",U544=""),"",MAX(0,U544-N(E544)-N(F544)-N(H544)))</f>
        <v/>
      </c>
      <c r="S544" s="75" t="str">
        <f aca="false">IF(P544="","",IFERROR(INDEX(T_INGRESO,MATCH(C544,T_ID,0)),""))</f>
        <v/>
      </c>
      <c r="T544" s="75" t="str">
        <f aca="false">IF(P544="","",IFERROR(N(INDEX(T_EGRESO,MATCH(C544,T_ID,0))),0))</f>
        <v/>
      </c>
      <c r="U544" s="73" t="str">
        <f aca="false">IF(OR(P544="",NOT(ISNUMBER(S544))),"",IF(OR(S544&gt;EOMONTH(B544,0),AND(T544&gt;0,T544&lt;B544)),0,IF(AND(S544&lt;=B544,OR(T544=0,T544&gt;=EOMONTH(B544,0))),30,MIN(30,IF(T544=0,EOMONTH(B544,0),MIN(T544,EOMONTH(B544,0)))-MAX(B544,S544)+1))))</f>
        <v/>
      </c>
    </row>
    <row r="545" customFormat="false" ht="15" hidden="false" customHeight="false" outlineLevel="0" collapsed="false">
      <c r="B545" s="78"/>
      <c r="C545" s="64"/>
      <c r="D545" s="70" t="str">
        <f aca="false">IF(C545="","",IFERROR(INDEX(T_NOMBRE,MATCH(C545,T_ID,0)),"⚠ ID no existe"))</f>
        <v/>
      </c>
      <c r="E545" s="69"/>
      <c r="F545" s="69"/>
      <c r="G545" s="69"/>
      <c r="H545" s="69"/>
      <c r="I545" s="66"/>
      <c r="J545" s="69"/>
      <c r="K545" s="67"/>
      <c r="L545" s="67"/>
      <c r="M545" s="67"/>
      <c r="N545" s="67"/>
      <c r="O545" s="64"/>
      <c r="P545" s="72" t="str">
        <f aca="false">IF(OR(B545="",C545=""),"",C545&amp;"|"&amp;(YEAR(B545)*100+MONTH(B545)))</f>
        <v/>
      </c>
      <c r="Q545" s="70" t="str">
        <f aca="false">IF(P545="","",IF(COUNTIF(N_CLAVE,P545)&gt;1,"⚠ Duplicado","OK"))</f>
        <v/>
      </c>
      <c r="R545" s="74" t="str">
        <f aca="false">IF(OR(P545="",U545=""),"",MAX(0,U545-N(E545)-N(F545)-N(H545)))</f>
        <v/>
      </c>
      <c r="S545" s="75" t="str">
        <f aca="false">IF(P545="","",IFERROR(INDEX(T_INGRESO,MATCH(C545,T_ID,0)),""))</f>
        <v/>
      </c>
      <c r="T545" s="75" t="str">
        <f aca="false">IF(P545="","",IFERROR(N(INDEX(T_EGRESO,MATCH(C545,T_ID,0))),0))</f>
        <v/>
      </c>
      <c r="U545" s="73" t="str">
        <f aca="false">IF(OR(P545="",NOT(ISNUMBER(S545))),"",IF(OR(S545&gt;EOMONTH(B545,0),AND(T545&gt;0,T545&lt;B545)),0,IF(AND(S545&lt;=B545,OR(T545=0,T545&gt;=EOMONTH(B545,0))),30,MIN(30,IF(T545=0,EOMONTH(B545,0),MIN(T545,EOMONTH(B545,0)))-MAX(B545,S545)+1))))</f>
        <v/>
      </c>
    </row>
    <row r="546" customFormat="false" ht="15" hidden="false" customHeight="false" outlineLevel="0" collapsed="false">
      <c r="B546" s="78"/>
      <c r="C546" s="64"/>
      <c r="D546" s="70" t="str">
        <f aca="false">IF(C546="","",IFERROR(INDEX(T_NOMBRE,MATCH(C546,T_ID,0)),"⚠ ID no existe"))</f>
        <v/>
      </c>
      <c r="E546" s="69"/>
      <c r="F546" s="69"/>
      <c r="G546" s="69"/>
      <c r="H546" s="69"/>
      <c r="I546" s="66"/>
      <c r="J546" s="69"/>
      <c r="K546" s="67"/>
      <c r="L546" s="67"/>
      <c r="M546" s="67"/>
      <c r="N546" s="67"/>
      <c r="O546" s="64"/>
      <c r="P546" s="72" t="str">
        <f aca="false">IF(OR(B546="",C546=""),"",C546&amp;"|"&amp;(YEAR(B546)*100+MONTH(B546)))</f>
        <v/>
      </c>
      <c r="Q546" s="70" t="str">
        <f aca="false">IF(P546="","",IF(COUNTIF(N_CLAVE,P546)&gt;1,"⚠ Duplicado","OK"))</f>
        <v/>
      </c>
      <c r="R546" s="74" t="str">
        <f aca="false">IF(OR(P546="",U546=""),"",MAX(0,U546-N(E546)-N(F546)-N(H546)))</f>
        <v/>
      </c>
      <c r="S546" s="75" t="str">
        <f aca="false">IF(P546="","",IFERROR(INDEX(T_INGRESO,MATCH(C546,T_ID,0)),""))</f>
        <v/>
      </c>
      <c r="T546" s="75" t="str">
        <f aca="false">IF(P546="","",IFERROR(N(INDEX(T_EGRESO,MATCH(C546,T_ID,0))),0))</f>
        <v/>
      </c>
      <c r="U546" s="73" t="str">
        <f aca="false">IF(OR(P546="",NOT(ISNUMBER(S546))),"",IF(OR(S546&gt;EOMONTH(B546,0),AND(T546&gt;0,T546&lt;B546)),0,IF(AND(S546&lt;=B546,OR(T546=0,T546&gt;=EOMONTH(B546,0))),30,MIN(30,IF(T546=0,EOMONTH(B546,0),MIN(T546,EOMONTH(B546,0)))-MAX(B546,S546)+1))))</f>
        <v/>
      </c>
    </row>
    <row r="547" customFormat="false" ht="15" hidden="false" customHeight="false" outlineLevel="0" collapsed="false">
      <c r="B547" s="78"/>
      <c r="C547" s="64"/>
      <c r="D547" s="70" t="str">
        <f aca="false">IF(C547="","",IFERROR(INDEX(T_NOMBRE,MATCH(C547,T_ID,0)),"⚠ ID no existe"))</f>
        <v/>
      </c>
      <c r="E547" s="69"/>
      <c r="F547" s="69"/>
      <c r="G547" s="69"/>
      <c r="H547" s="69"/>
      <c r="I547" s="66"/>
      <c r="J547" s="69"/>
      <c r="K547" s="67"/>
      <c r="L547" s="67"/>
      <c r="M547" s="67"/>
      <c r="N547" s="67"/>
      <c r="O547" s="64"/>
      <c r="P547" s="72" t="str">
        <f aca="false">IF(OR(B547="",C547=""),"",C547&amp;"|"&amp;(YEAR(B547)*100+MONTH(B547)))</f>
        <v/>
      </c>
      <c r="Q547" s="70" t="str">
        <f aca="false">IF(P547="","",IF(COUNTIF(N_CLAVE,P547)&gt;1,"⚠ Duplicado","OK"))</f>
        <v/>
      </c>
      <c r="R547" s="74" t="str">
        <f aca="false">IF(OR(P547="",U547=""),"",MAX(0,U547-N(E547)-N(F547)-N(H547)))</f>
        <v/>
      </c>
      <c r="S547" s="75" t="str">
        <f aca="false">IF(P547="","",IFERROR(INDEX(T_INGRESO,MATCH(C547,T_ID,0)),""))</f>
        <v/>
      </c>
      <c r="T547" s="75" t="str">
        <f aca="false">IF(P547="","",IFERROR(N(INDEX(T_EGRESO,MATCH(C547,T_ID,0))),0))</f>
        <v/>
      </c>
      <c r="U547" s="73" t="str">
        <f aca="false">IF(OR(P547="",NOT(ISNUMBER(S547))),"",IF(OR(S547&gt;EOMONTH(B547,0),AND(T547&gt;0,T547&lt;B547)),0,IF(AND(S547&lt;=B547,OR(T547=0,T547&gt;=EOMONTH(B547,0))),30,MIN(30,IF(T547=0,EOMONTH(B547,0),MIN(T547,EOMONTH(B547,0)))-MAX(B547,S547)+1))))</f>
        <v/>
      </c>
    </row>
    <row r="548" customFormat="false" ht="15" hidden="false" customHeight="false" outlineLevel="0" collapsed="false">
      <c r="B548" s="78"/>
      <c r="C548" s="64"/>
      <c r="D548" s="70" t="str">
        <f aca="false">IF(C548="","",IFERROR(INDEX(T_NOMBRE,MATCH(C548,T_ID,0)),"⚠ ID no existe"))</f>
        <v/>
      </c>
      <c r="E548" s="69"/>
      <c r="F548" s="69"/>
      <c r="G548" s="69"/>
      <c r="H548" s="69"/>
      <c r="I548" s="66"/>
      <c r="J548" s="69"/>
      <c r="K548" s="67"/>
      <c r="L548" s="67"/>
      <c r="M548" s="67"/>
      <c r="N548" s="67"/>
      <c r="O548" s="64"/>
      <c r="P548" s="72" t="str">
        <f aca="false">IF(OR(B548="",C548=""),"",C548&amp;"|"&amp;(YEAR(B548)*100+MONTH(B548)))</f>
        <v/>
      </c>
      <c r="Q548" s="70" t="str">
        <f aca="false">IF(P548="","",IF(COUNTIF(N_CLAVE,P548)&gt;1,"⚠ Duplicado","OK"))</f>
        <v/>
      </c>
      <c r="R548" s="74" t="str">
        <f aca="false">IF(OR(P548="",U548=""),"",MAX(0,U548-N(E548)-N(F548)-N(H548)))</f>
        <v/>
      </c>
      <c r="S548" s="75" t="str">
        <f aca="false">IF(P548="","",IFERROR(INDEX(T_INGRESO,MATCH(C548,T_ID,0)),""))</f>
        <v/>
      </c>
      <c r="T548" s="75" t="str">
        <f aca="false">IF(P548="","",IFERROR(N(INDEX(T_EGRESO,MATCH(C548,T_ID,0))),0))</f>
        <v/>
      </c>
      <c r="U548" s="73" t="str">
        <f aca="false">IF(OR(P548="",NOT(ISNUMBER(S548))),"",IF(OR(S548&gt;EOMONTH(B548,0),AND(T548&gt;0,T548&lt;B548)),0,IF(AND(S548&lt;=B548,OR(T548=0,T548&gt;=EOMONTH(B548,0))),30,MIN(30,IF(T548=0,EOMONTH(B548,0),MIN(T548,EOMONTH(B548,0)))-MAX(B548,S548)+1))))</f>
        <v/>
      </c>
    </row>
    <row r="549" customFormat="false" ht="15" hidden="false" customHeight="false" outlineLevel="0" collapsed="false">
      <c r="B549" s="78"/>
      <c r="C549" s="64"/>
      <c r="D549" s="70" t="str">
        <f aca="false">IF(C549="","",IFERROR(INDEX(T_NOMBRE,MATCH(C549,T_ID,0)),"⚠ ID no existe"))</f>
        <v/>
      </c>
      <c r="E549" s="69"/>
      <c r="F549" s="69"/>
      <c r="G549" s="69"/>
      <c r="H549" s="69"/>
      <c r="I549" s="66"/>
      <c r="J549" s="69"/>
      <c r="K549" s="67"/>
      <c r="L549" s="67"/>
      <c r="M549" s="67"/>
      <c r="N549" s="67"/>
      <c r="O549" s="64"/>
      <c r="P549" s="72" t="str">
        <f aca="false">IF(OR(B549="",C549=""),"",C549&amp;"|"&amp;(YEAR(B549)*100+MONTH(B549)))</f>
        <v/>
      </c>
      <c r="Q549" s="70" t="str">
        <f aca="false">IF(P549="","",IF(COUNTIF(N_CLAVE,P549)&gt;1,"⚠ Duplicado","OK"))</f>
        <v/>
      </c>
      <c r="R549" s="74" t="str">
        <f aca="false">IF(OR(P549="",U549=""),"",MAX(0,U549-N(E549)-N(F549)-N(H549)))</f>
        <v/>
      </c>
      <c r="S549" s="75" t="str">
        <f aca="false">IF(P549="","",IFERROR(INDEX(T_INGRESO,MATCH(C549,T_ID,0)),""))</f>
        <v/>
      </c>
      <c r="T549" s="75" t="str">
        <f aca="false">IF(P549="","",IFERROR(N(INDEX(T_EGRESO,MATCH(C549,T_ID,0))),0))</f>
        <v/>
      </c>
      <c r="U549" s="73" t="str">
        <f aca="false">IF(OR(P549="",NOT(ISNUMBER(S549))),"",IF(OR(S549&gt;EOMONTH(B549,0),AND(T549&gt;0,T549&lt;B549)),0,IF(AND(S549&lt;=B549,OR(T549=0,T549&gt;=EOMONTH(B549,0))),30,MIN(30,IF(T549=0,EOMONTH(B549,0),MIN(T549,EOMONTH(B549,0)))-MAX(B549,S549)+1))))</f>
        <v/>
      </c>
    </row>
    <row r="550" customFormat="false" ht="15" hidden="false" customHeight="false" outlineLevel="0" collapsed="false">
      <c r="B550" s="78"/>
      <c r="C550" s="64"/>
      <c r="D550" s="70" t="str">
        <f aca="false">IF(C550="","",IFERROR(INDEX(T_NOMBRE,MATCH(C550,T_ID,0)),"⚠ ID no existe"))</f>
        <v/>
      </c>
      <c r="E550" s="69"/>
      <c r="F550" s="69"/>
      <c r="G550" s="69"/>
      <c r="H550" s="69"/>
      <c r="I550" s="66"/>
      <c r="J550" s="69"/>
      <c r="K550" s="67"/>
      <c r="L550" s="67"/>
      <c r="M550" s="67"/>
      <c r="N550" s="67"/>
      <c r="O550" s="64"/>
      <c r="P550" s="72" t="str">
        <f aca="false">IF(OR(B550="",C550=""),"",C550&amp;"|"&amp;(YEAR(B550)*100+MONTH(B550)))</f>
        <v/>
      </c>
      <c r="Q550" s="70" t="str">
        <f aca="false">IF(P550="","",IF(COUNTIF(N_CLAVE,P550)&gt;1,"⚠ Duplicado","OK"))</f>
        <v/>
      </c>
      <c r="R550" s="74" t="str">
        <f aca="false">IF(OR(P550="",U550=""),"",MAX(0,U550-N(E550)-N(F550)-N(H550)))</f>
        <v/>
      </c>
      <c r="S550" s="75" t="str">
        <f aca="false">IF(P550="","",IFERROR(INDEX(T_INGRESO,MATCH(C550,T_ID,0)),""))</f>
        <v/>
      </c>
      <c r="T550" s="75" t="str">
        <f aca="false">IF(P550="","",IFERROR(N(INDEX(T_EGRESO,MATCH(C550,T_ID,0))),0))</f>
        <v/>
      </c>
      <c r="U550" s="73" t="str">
        <f aca="false">IF(OR(P550="",NOT(ISNUMBER(S550))),"",IF(OR(S550&gt;EOMONTH(B550,0),AND(T550&gt;0,T550&lt;B550)),0,IF(AND(S550&lt;=B550,OR(T550=0,T550&gt;=EOMONTH(B550,0))),30,MIN(30,IF(T550=0,EOMONTH(B550,0),MIN(T550,EOMONTH(B550,0)))-MAX(B550,S550)+1))))</f>
        <v/>
      </c>
    </row>
    <row r="551" customFormat="false" ht="15" hidden="false" customHeight="false" outlineLevel="0" collapsed="false">
      <c r="B551" s="78"/>
      <c r="C551" s="64"/>
      <c r="D551" s="70" t="str">
        <f aca="false">IF(C551="","",IFERROR(INDEX(T_NOMBRE,MATCH(C551,T_ID,0)),"⚠ ID no existe"))</f>
        <v/>
      </c>
      <c r="E551" s="69"/>
      <c r="F551" s="69"/>
      <c r="G551" s="69"/>
      <c r="H551" s="69"/>
      <c r="I551" s="66"/>
      <c r="J551" s="69"/>
      <c r="K551" s="67"/>
      <c r="L551" s="67"/>
      <c r="M551" s="67"/>
      <c r="N551" s="67"/>
      <c r="O551" s="64"/>
      <c r="P551" s="72" t="str">
        <f aca="false">IF(OR(B551="",C551=""),"",C551&amp;"|"&amp;(YEAR(B551)*100+MONTH(B551)))</f>
        <v/>
      </c>
      <c r="Q551" s="70" t="str">
        <f aca="false">IF(P551="","",IF(COUNTIF(N_CLAVE,P551)&gt;1,"⚠ Duplicado","OK"))</f>
        <v/>
      </c>
      <c r="R551" s="74" t="str">
        <f aca="false">IF(OR(P551="",U551=""),"",MAX(0,U551-N(E551)-N(F551)-N(H551)))</f>
        <v/>
      </c>
      <c r="S551" s="75" t="str">
        <f aca="false">IF(P551="","",IFERROR(INDEX(T_INGRESO,MATCH(C551,T_ID,0)),""))</f>
        <v/>
      </c>
      <c r="T551" s="75" t="str">
        <f aca="false">IF(P551="","",IFERROR(N(INDEX(T_EGRESO,MATCH(C551,T_ID,0))),0))</f>
        <v/>
      </c>
      <c r="U551" s="73" t="str">
        <f aca="false">IF(OR(P551="",NOT(ISNUMBER(S551))),"",IF(OR(S551&gt;EOMONTH(B551,0),AND(T551&gt;0,T551&lt;B551)),0,IF(AND(S551&lt;=B551,OR(T551=0,T551&gt;=EOMONTH(B551,0))),30,MIN(30,IF(T551=0,EOMONTH(B551,0),MIN(T551,EOMONTH(B551,0)))-MAX(B551,S551)+1))))</f>
        <v/>
      </c>
    </row>
    <row r="552" customFormat="false" ht="15" hidden="false" customHeight="false" outlineLevel="0" collapsed="false">
      <c r="B552" s="78"/>
      <c r="C552" s="64"/>
      <c r="D552" s="70" t="str">
        <f aca="false">IF(C552="","",IFERROR(INDEX(T_NOMBRE,MATCH(C552,T_ID,0)),"⚠ ID no existe"))</f>
        <v/>
      </c>
      <c r="E552" s="69"/>
      <c r="F552" s="69"/>
      <c r="G552" s="69"/>
      <c r="H552" s="69"/>
      <c r="I552" s="66"/>
      <c r="J552" s="69"/>
      <c r="K552" s="67"/>
      <c r="L552" s="67"/>
      <c r="M552" s="67"/>
      <c r="N552" s="67"/>
      <c r="O552" s="64"/>
      <c r="P552" s="72" t="str">
        <f aca="false">IF(OR(B552="",C552=""),"",C552&amp;"|"&amp;(YEAR(B552)*100+MONTH(B552)))</f>
        <v/>
      </c>
      <c r="Q552" s="70" t="str">
        <f aca="false">IF(P552="","",IF(COUNTIF(N_CLAVE,P552)&gt;1,"⚠ Duplicado","OK"))</f>
        <v/>
      </c>
      <c r="R552" s="74" t="str">
        <f aca="false">IF(OR(P552="",U552=""),"",MAX(0,U552-N(E552)-N(F552)-N(H552)))</f>
        <v/>
      </c>
      <c r="S552" s="75" t="str">
        <f aca="false">IF(P552="","",IFERROR(INDEX(T_INGRESO,MATCH(C552,T_ID,0)),""))</f>
        <v/>
      </c>
      <c r="T552" s="75" t="str">
        <f aca="false">IF(P552="","",IFERROR(N(INDEX(T_EGRESO,MATCH(C552,T_ID,0))),0))</f>
        <v/>
      </c>
      <c r="U552" s="73" t="str">
        <f aca="false">IF(OR(P552="",NOT(ISNUMBER(S552))),"",IF(OR(S552&gt;EOMONTH(B552,0),AND(T552&gt;0,T552&lt;B552)),0,IF(AND(S552&lt;=B552,OR(T552=0,T552&gt;=EOMONTH(B552,0))),30,MIN(30,IF(T552=0,EOMONTH(B552,0),MIN(T552,EOMONTH(B552,0)))-MAX(B552,S552)+1))))</f>
        <v/>
      </c>
    </row>
    <row r="553" customFormat="false" ht="15" hidden="false" customHeight="false" outlineLevel="0" collapsed="false">
      <c r="B553" s="78"/>
      <c r="C553" s="64"/>
      <c r="D553" s="70" t="str">
        <f aca="false">IF(C553="","",IFERROR(INDEX(T_NOMBRE,MATCH(C553,T_ID,0)),"⚠ ID no existe"))</f>
        <v/>
      </c>
      <c r="E553" s="69"/>
      <c r="F553" s="69"/>
      <c r="G553" s="69"/>
      <c r="H553" s="69"/>
      <c r="I553" s="66"/>
      <c r="J553" s="69"/>
      <c r="K553" s="67"/>
      <c r="L553" s="67"/>
      <c r="M553" s="67"/>
      <c r="N553" s="67"/>
      <c r="O553" s="64"/>
      <c r="P553" s="72" t="str">
        <f aca="false">IF(OR(B553="",C553=""),"",C553&amp;"|"&amp;(YEAR(B553)*100+MONTH(B553)))</f>
        <v/>
      </c>
      <c r="Q553" s="70" t="str">
        <f aca="false">IF(P553="","",IF(COUNTIF(N_CLAVE,P553)&gt;1,"⚠ Duplicado","OK"))</f>
        <v/>
      </c>
      <c r="R553" s="74" t="str">
        <f aca="false">IF(OR(P553="",U553=""),"",MAX(0,U553-N(E553)-N(F553)-N(H553)))</f>
        <v/>
      </c>
      <c r="S553" s="75" t="str">
        <f aca="false">IF(P553="","",IFERROR(INDEX(T_INGRESO,MATCH(C553,T_ID,0)),""))</f>
        <v/>
      </c>
      <c r="T553" s="75" t="str">
        <f aca="false">IF(P553="","",IFERROR(N(INDEX(T_EGRESO,MATCH(C553,T_ID,0))),0))</f>
        <v/>
      </c>
      <c r="U553" s="73" t="str">
        <f aca="false">IF(OR(P553="",NOT(ISNUMBER(S553))),"",IF(OR(S553&gt;EOMONTH(B553,0),AND(T553&gt;0,T553&lt;B553)),0,IF(AND(S553&lt;=B553,OR(T553=0,T553&gt;=EOMONTH(B553,0))),30,MIN(30,IF(T553=0,EOMONTH(B553,0),MIN(T553,EOMONTH(B553,0)))-MAX(B553,S553)+1))))</f>
        <v/>
      </c>
    </row>
    <row r="554" customFormat="false" ht="15" hidden="false" customHeight="false" outlineLevel="0" collapsed="false">
      <c r="B554" s="78"/>
      <c r="C554" s="64"/>
      <c r="D554" s="70" t="str">
        <f aca="false">IF(C554="","",IFERROR(INDEX(T_NOMBRE,MATCH(C554,T_ID,0)),"⚠ ID no existe"))</f>
        <v/>
      </c>
      <c r="E554" s="69"/>
      <c r="F554" s="69"/>
      <c r="G554" s="69"/>
      <c r="H554" s="69"/>
      <c r="I554" s="66"/>
      <c r="J554" s="69"/>
      <c r="K554" s="67"/>
      <c r="L554" s="67"/>
      <c r="M554" s="67"/>
      <c r="N554" s="67"/>
      <c r="O554" s="64"/>
      <c r="P554" s="72" t="str">
        <f aca="false">IF(OR(B554="",C554=""),"",C554&amp;"|"&amp;(YEAR(B554)*100+MONTH(B554)))</f>
        <v/>
      </c>
      <c r="Q554" s="70" t="str">
        <f aca="false">IF(P554="","",IF(COUNTIF(N_CLAVE,P554)&gt;1,"⚠ Duplicado","OK"))</f>
        <v/>
      </c>
      <c r="R554" s="74" t="str">
        <f aca="false">IF(OR(P554="",U554=""),"",MAX(0,U554-N(E554)-N(F554)-N(H554)))</f>
        <v/>
      </c>
      <c r="S554" s="75" t="str">
        <f aca="false">IF(P554="","",IFERROR(INDEX(T_INGRESO,MATCH(C554,T_ID,0)),""))</f>
        <v/>
      </c>
      <c r="T554" s="75" t="str">
        <f aca="false">IF(P554="","",IFERROR(N(INDEX(T_EGRESO,MATCH(C554,T_ID,0))),0))</f>
        <v/>
      </c>
      <c r="U554" s="73" t="str">
        <f aca="false">IF(OR(P554="",NOT(ISNUMBER(S554))),"",IF(OR(S554&gt;EOMONTH(B554,0),AND(T554&gt;0,T554&lt;B554)),0,IF(AND(S554&lt;=B554,OR(T554=0,T554&gt;=EOMONTH(B554,0))),30,MIN(30,IF(T554=0,EOMONTH(B554,0),MIN(T554,EOMONTH(B554,0)))-MAX(B554,S554)+1))))</f>
        <v/>
      </c>
    </row>
    <row r="555" customFormat="false" ht="15" hidden="false" customHeight="false" outlineLevel="0" collapsed="false">
      <c r="B555" s="78"/>
      <c r="C555" s="64"/>
      <c r="D555" s="70" t="str">
        <f aca="false">IF(C555="","",IFERROR(INDEX(T_NOMBRE,MATCH(C555,T_ID,0)),"⚠ ID no existe"))</f>
        <v/>
      </c>
      <c r="E555" s="69"/>
      <c r="F555" s="69"/>
      <c r="G555" s="69"/>
      <c r="H555" s="69"/>
      <c r="I555" s="66"/>
      <c r="J555" s="69"/>
      <c r="K555" s="67"/>
      <c r="L555" s="67"/>
      <c r="M555" s="67"/>
      <c r="N555" s="67"/>
      <c r="O555" s="64"/>
      <c r="P555" s="72" t="str">
        <f aca="false">IF(OR(B555="",C555=""),"",C555&amp;"|"&amp;(YEAR(B555)*100+MONTH(B555)))</f>
        <v/>
      </c>
      <c r="Q555" s="70" t="str">
        <f aca="false">IF(P555="","",IF(COUNTIF(N_CLAVE,P555)&gt;1,"⚠ Duplicado","OK"))</f>
        <v/>
      </c>
      <c r="R555" s="74" t="str">
        <f aca="false">IF(OR(P555="",U555=""),"",MAX(0,U555-N(E555)-N(F555)-N(H555)))</f>
        <v/>
      </c>
      <c r="S555" s="75" t="str">
        <f aca="false">IF(P555="","",IFERROR(INDEX(T_INGRESO,MATCH(C555,T_ID,0)),""))</f>
        <v/>
      </c>
      <c r="T555" s="75" t="str">
        <f aca="false">IF(P555="","",IFERROR(N(INDEX(T_EGRESO,MATCH(C555,T_ID,0))),0))</f>
        <v/>
      </c>
      <c r="U555" s="73" t="str">
        <f aca="false">IF(OR(P555="",NOT(ISNUMBER(S555))),"",IF(OR(S555&gt;EOMONTH(B555,0),AND(T555&gt;0,T555&lt;B555)),0,IF(AND(S555&lt;=B555,OR(T555=0,T555&gt;=EOMONTH(B555,0))),30,MIN(30,IF(T555=0,EOMONTH(B555,0),MIN(T555,EOMONTH(B555,0)))-MAX(B555,S555)+1))))</f>
        <v/>
      </c>
    </row>
    <row r="556" customFormat="false" ht="15" hidden="false" customHeight="false" outlineLevel="0" collapsed="false">
      <c r="B556" s="78"/>
      <c r="C556" s="64"/>
      <c r="D556" s="70" t="str">
        <f aca="false">IF(C556="","",IFERROR(INDEX(T_NOMBRE,MATCH(C556,T_ID,0)),"⚠ ID no existe"))</f>
        <v/>
      </c>
      <c r="E556" s="69"/>
      <c r="F556" s="69"/>
      <c r="G556" s="69"/>
      <c r="H556" s="69"/>
      <c r="I556" s="66"/>
      <c r="J556" s="69"/>
      <c r="K556" s="67"/>
      <c r="L556" s="67"/>
      <c r="M556" s="67"/>
      <c r="N556" s="67"/>
      <c r="O556" s="64"/>
      <c r="P556" s="72" t="str">
        <f aca="false">IF(OR(B556="",C556=""),"",C556&amp;"|"&amp;(YEAR(B556)*100+MONTH(B556)))</f>
        <v/>
      </c>
      <c r="Q556" s="70" t="str">
        <f aca="false">IF(P556="","",IF(COUNTIF(N_CLAVE,P556)&gt;1,"⚠ Duplicado","OK"))</f>
        <v/>
      </c>
      <c r="R556" s="74" t="str">
        <f aca="false">IF(OR(P556="",U556=""),"",MAX(0,U556-N(E556)-N(F556)-N(H556)))</f>
        <v/>
      </c>
      <c r="S556" s="75" t="str">
        <f aca="false">IF(P556="","",IFERROR(INDEX(T_INGRESO,MATCH(C556,T_ID,0)),""))</f>
        <v/>
      </c>
      <c r="T556" s="75" t="str">
        <f aca="false">IF(P556="","",IFERROR(N(INDEX(T_EGRESO,MATCH(C556,T_ID,0))),0))</f>
        <v/>
      </c>
      <c r="U556" s="73" t="str">
        <f aca="false">IF(OR(P556="",NOT(ISNUMBER(S556))),"",IF(OR(S556&gt;EOMONTH(B556,0),AND(T556&gt;0,T556&lt;B556)),0,IF(AND(S556&lt;=B556,OR(T556=0,T556&gt;=EOMONTH(B556,0))),30,MIN(30,IF(T556=0,EOMONTH(B556,0),MIN(T556,EOMONTH(B556,0)))-MAX(B556,S556)+1))))</f>
        <v/>
      </c>
    </row>
    <row r="557" customFormat="false" ht="15" hidden="false" customHeight="false" outlineLevel="0" collapsed="false">
      <c r="B557" s="78"/>
      <c r="C557" s="64"/>
      <c r="D557" s="70" t="str">
        <f aca="false">IF(C557="","",IFERROR(INDEX(T_NOMBRE,MATCH(C557,T_ID,0)),"⚠ ID no existe"))</f>
        <v/>
      </c>
      <c r="E557" s="69"/>
      <c r="F557" s="69"/>
      <c r="G557" s="69"/>
      <c r="H557" s="69"/>
      <c r="I557" s="66"/>
      <c r="J557" s="69"/>
      <c r="K557" s="67"/>
      <c r="L557" s="67"/>
      <c r="M557" s="67"/>
      <c r="N557" s="67"/>
      <c r="O557" s="64"/>
      <c r="P557" s="72" t="str">
        <f aca="false">IF(OR(B557="",C557=""),"",C557&amp;"|"&amp;(YEAR(B557)*100+MONTH(B557)))</f>
        <v/>
      </c>
      <c r="Q557" s="70" t="str">
        <f aca="false">IF(P557="","",IF(COUNTIF(N_CLAVE,P557)&gt;1,"⚠ Duplicado","OK"))</f>
        <v/>
      </c>
      <c r="R557" s="74" t="str">
        <f aca="false">IF(OR(P557="",U557=""),"",MAX(0,U557-N(E557)-N(F557)-N(H557)))</f>
        <v/>
      </c>
      <c r="S557" s="75" t="str">
        <f aca="false">IF(P557="","",IFERROR(INDEX(T_INGRESO,MATCH(C557,T_ID,0)),""))</f>
        <v/>
      </c>
      <c r="T557" s="75" t="str">
        <f aca="false">IF(P557="","",IFERROR(N(INDEX(T_EGRESO,MATCH(C557,T_ID,0))),0))</f>
        <v/>
      </c>
      <c r="U557" s="73" t="str">
        <f aca="false">IF(OR(P557="",NOT(ISNUMBER(S557))),"",IF(OR(S557&gt;EOMONTH(B557,0),AND(T557&gt;0,T557&lt;B557)),0,IF(AND(S557&lt;=B557,OR(T557=0,T557&gt;=EOMONTH(B557,0))),30,MIN(30,IF(T557=0,EOMONTH(B557,0),MIN(T557,EOMONTH(B557,0)))-MAX(B557,S557)+1))))</f>
        <v/>
      </c>
    </row>
    <row r="558" customFormat="false" ht="15" hidden="false" customHeight="false" outlineLevel="0" collapsed="false">
      <c r="B558" s="78"/>
      <c r="C558" s="64"/>
      <c r="D558" s="70" t="str">
        <f aca="false">IF(C558="","",IFERROR(INDEX(T_NOMBRE,MATCH(C558,T_ID,0)),"⚠ ID no existe"))</f>
        <v/>
      </c>
      <c r="E558" s="69"/>
      <c r="F558" s="69"/>
      <c r="G558" s="69"/>
      <c r="H558" s="69"/>
      <c r="I558" s="66"/>
      <c r="J558" s="69"/>
      <c r="K558" s="67"/>
      <c r="L558" s="67"/>
      <c r="M558" s="67"/>
      <c r="N558" s="67"/>
      <c r="O558" s="64"/>
      <c r="P558" s="72" t="str">
        <f aca="false">IF(OR(B558="",C558=""),"",C558&amp;"|"&amp;(YEAR(B558)*100+MONTH(B558)))</f>
        <v/>
      </c>
      <c r="Q558" s="70" t="str">
        <f aca="false">IF(P558="","",IF(COUNTIF(N_CLAVE,P558)&gt;1,"⚠ Duplicado","OK"))</f>
        <v/>
      </c>
      <c r="R558" s="74" t="str">
        <f aca="false">IF(OR(P558="",U558=""),"",MAX(0,U558-N(E558)-N(F558)-N(H558)))</f>
        <v/>
      </c>
      <c r="S558" s="75" t="str">
        <f aca="false">IF(P558="","",IFERROR(INDEX(T_INGRESO,MATCH(C558,T_ID,0)),""))</f>
        <v/>
      </c>
      <c r="T558" s="75" t="str">
        <f aca="false">IF(P558="","",IFERROR(N(INDEX(T_EGRESO,MATCH(C558,T_ID,0))),0))</f>
        <v/>
      </c>
      <c r="U558" s="73" t="str">
        <f aca="false">IF(OR(P558="",NOT(ISNUMBER(S558))),"",IF(OR(S558&gt;EOMONTH(B558,0),AND(T558&gt;0,T558&lt;B558)),0,IF(AND(S558&lt;=B558,OR(T558=0,T558&gt;=EOMONTH(B558,0))),30,MIN(30,IF(T558=0,EOMONTH(B558,0),MIN(T558,EOMONTH(B558,0)))-MAX(B558,S558)+1))))</f>
        <v/>
      </c>
    </row>
    <row r="559" customFormat="false" ht="15" hidden="false" customHeight="false" outlineLevel="0" collapsed="false">
      <c r="B559" s="78"/>
      <c r="C559" s="64"/>
      <c r="D559" s="70" t="str">
        <f aca="false">IF(C559="","",IFERROR(INDEX(T_NOMBRE,MATCH(C559,T_ID,0)),"⚠ ID no existe"))</f>
        <v/>
      </c>
      <c r="E559" s="69"/>
      <c r="F559" s="69"/>
      <c r="G559" s="69"/>
      <c r="H559" s="69"/>
      <c r="I559" s="66"/>
      <c r="J559" s="69"/>
      <c r="K559" s="67"/>
      <c r="L559" s="67"/>
      <c r="M559" s="67"/>
      <c r="N559" s="67"/>
      <c r="O559" s="64"/>
      <c r="P559" s="72" t="str">
        <f aca="false">IF(OR(B559="",C559=""),"",C559&amp;"|"&amp;(YEAR(B559)*100+MONTH(B559)))</f>
        <v/>
      </c>
      <c r="Q559" s="70" t="str">
        <f aca="false">IF(P559="","",IF(COUNTIF(N_CLAVE,P559)&gt;1,"⚠ Duplicado","OK"))</f>
        <v/>
      </c>
      <c r="R559" s="74" t="str">
        <f aca="false">IF(OR(P559="",U559=""),"",MAX(0,U559-N(E559)-N(F559)-N(H559)))</f>
        <v/>
      </c>
      <c r="S559" s="75" t="str">
        <f aca="false">IF(P559="","",IFERROR(INDEX(T_INGRESO,MATCH(C559,T_ID,0)),""))</f>
        <v/>
      </c>
      <c r="T559" s="75" t="str">
        <f aca="false">IF(P559="","",IFERROR(N(INDEX(T_EGRESO,MATCH(C559,T_ID,0))),0))</f>
        <v/>
      </c>
      <c r="U559" s="73" t="str">
        <f aca="false">IF(OR(P559="",NOT(ISNUMBER(S559))),"",IF(OR(S559&gt;EOMONTH(B559,0),AND(T559&gt;0,T559&lt;B559)),0,IF(AND(S559&lt;=B559,OR(T559=0,T559&gt;=EOMONTH(B559,0))),30,MIN(30,IF(T559=0,EOMONTH(B559,0),MIN(T559,EOMONTH(B559,0)))-MAX(B559,S559)+1))))</f>
        <v/>
      </c>
    </row>
    <row r="560" customFormat="false" ht="15" hidden="false" customHeight="false" outlineLevel="0" collapsed="false">
      <c r="B560" s="78"/>
      <c r="C560" s="64"/>
      <c r="D560" s="70" t="str">
        <f aca="false">IF(C560="","",IFERROR(INDEX(T_NOMBRE,MATCH(C560,T_ID,0)),"⚠ ID no existe"))</f>
        <v/>
      </c>
      <c r="E560" s="69"/>
      <c r="F560" s="69"/>
      <c r="G560" s="69"/>
      <c r="H560" s="69"/>
      <c r="I560" s="66"/>
      <c r="J560" s="69"/>
      <c r="K560" s="67"/>
      <c r="L560" s="67"/>
      <c r="M560" s="67"/>
      <c r="N560" s="67"/>
      <c r="O560" s="64"/>
      <c r="P560" s="72" t="str">
        <f aca="false">IF(OR(B560="",C560=""),"",C560&amp;"|"&amp;(YEAR(B560)*100+MONTH(B560)))</f>
        <v/>
      </c>
      <c r="Q560" s="70" t="str">
        <f aca="false">IF(P560="","",IF(COUNTIF(N_CLAVE,P560)&gt;1,"⚠ Duplicado","OK"))</f>
        <v/>
      </c>
      <c r="R560" s="74" t="str">
        <f aca="false">IF(OR(P560="",U560=""),"",MAX(0,U560-N(E560)-N(F560)-N(H560)))</f>
        <v/>
      </c>
      <c r="S560" s="75" t="str">
        <f aca="false">IF(P560="","",IFERROR(INDEX(T_INGRESO,MATCH(C560,T_ID,0)),""))</f>
        <v/>
      </c>
      <c r="T560" s="75" t="str">
        <f aca="false">IF(P560="","",IFERROR(N(INDEX(T_EGRESO,MATCH(C560,T_ID,0))),0))</f>
        <v/>
      </c>
      <c r="U560" s="73" t="str">
        <f aca="false">IF(OR(P560="",NOT(ISNUMBER(S560))),"",IF(OR(S560&gt;EOMONTH(B560,0),AND(T560&gt;0,T560&lt;B560)),0,IF(AND(S560&lt;=B560,OR(T560=0,T560&gt;=EOMONTH(B560,0))),30,MIN(30,IF(T560=0,EOMONTH(B560,0),MIN(T560,EOMONTH(B560,0)))-MAX(B560,S560)+1))))</f>
        <v/>
      </c>
    </row>
    <row r="561" customFormat="false" ht="15" hidden="false" customHeight="false" outlineLevel="0" collapsed="false">
      <c r="B561" s="78"/>
      <c r="C561" s="64"/>
      <c r="D561" s="70" t="str">
        <f aca="false">IF(C561="","",IFERROR(INDEX(T_NOMBRE,MATCH(C561,T_ID,0)),"⚠ ID no existe"))</f>
        <v/>
      </c>
      <c r="E561" s="69"/>
      <c r="F561" s="69"/>
      <c r="G561" s="69"/>
      <c r="H561" s="69"/>
      <c r="I561" s="66"/>
      <c r="J561" s="69"/>
      <c r="K561" s="67"/>
      <c r="L561" s="67"/>
      <c r="M561" s="67"/>
      <c r="N561" s="67"/>
      <c r="O561" s="64"/>
      <c r="P561" s="72" t="str">
        <f aca="false">IF(OR(B561="",C561=""),"",C561&amp;"|"&amp;(YEAR(B561)*100+MONTH(B561)))</f>
        <v/>
      </c>
      <c r="Q561" s="70" t="str">
        <f aca="false">IF(P561="","",IF(COUNTIF(N_CLAVE,P561)&gt;1,"⚠ Duplicado","OK"))</f>
        <v/>
      </c>
      <c r="R561" s="74" t="str">
        <f aca="false">IF(OR(P561="",U561=""),"",MAX(0,U561-N(E561)-N(F561)-N(H561)))</f>
        <v/>
      </c>
      <c r="S561" s="75" t="str">
        <f aca="false">IF(P561="","",IFERROR(INDEX(T_INGRESO,MATCH(C561,T_ID,0)),""))</f>
        <v/>
      </c>
      <c r="T561" s="75" t="str">
        <f aca="false">IF(P561="","",IFERROR(N(INDEX(T_EGRESO,MATCH(C561,T_ID,0))),0))</f>
        <v/>
      </c>
      <c r="U561" s="73" t="str">
        <f aca="false">IF(OR(P561="",NOT(ISNUMBER(S561))),"",IF(OR(S561&gt;EOMONTH(B561,0),AND(T561&gt;0,T561&lt;B561)),0,IF(AND(S561&lt;=B561,OR(T561=0,T561&gt;=EOMONTH(B561,0))),30,MIN(30,IF(T561=0,EOMONTH(B561,0),MIN(T561,EOMONTH(B561,0)))-MAX(B561,S561)+1))))</f>
        <v/>
      </c>
    </row>
    <row r="562" customFormat="false" ht="15" hidden="false" customHeight="false" outlineLevel="0" collapsed="false">
      <c r="B562" s="78"/>
      <c r="C562" s="64"/>
      <c r="D562" s="70" t="str">
        <f aca="false">IF(C562="","",IFERROR(INDEX(T_NOMBRE,MATCH(C562,T_ID,0)),"⚠ ID no existe"))</f>
        <v/>
      </c>
      <c r="E562" s="69"/>
      <c r="F562" s="69"/>
      <c r="G562" s="69"/>
      <c r="H562" s="69"/>
      <c r="I562" s="66"/>
      <c r="J562" s="69"/>
      <c r="K562" s="67"/>
      <c r="L562" s="67"/>
      <c r="M562" s="67"/>
      <c r="N562" s="67"/>
      <c r="O562" s="64"/>
      <c r="P562" s="72" t="str">
        <f aca="false">IF(OR(B562="",C562=""),"",C562&amp;"|"&amp;(YEAR(B562)*100+MONTH(B562)))</f>
        <v/>
      </c>
      <c r="Q562" s="70" t="str">
        <f aca="false">IF(P562="","",IF(COUNTIF(N_CLAVE,P562)&gt;1,"⚠ Duplicado","OK"))</f>
        <v/>
      </c>
      <c r="R562" s="74" t="str">
        <f aca="false">IF(OR(P562="",U562=""),"",MAX(0,U562-N(E562)-N(F562)-N(H562)))</f>
        <v/>
      </c>
      <c r="S562" s="75" t="str">
        <f aca="false">IF(P562="","",IFERROR(INDEX(T_INGRESO,MATCH(C562,T_ID,0)),""))</f>
        <v/>
      </c>
      <c r="T562" s="75" t="str">
        <f aca="false">IF(P562="","",IFERROR(N(INDEX(T_EGRESO,MATCH(C562,T_ID,0))),0))</f>
        <v/>
      </c>
      <c r="U562" s="73" t="str">
        <f aca="false">IF(OR(P562="",NOT(ISNUMBER(S562))),"",IF(OR(S562&gt;EOMONTH(B562,0),AND(T562&gt;0,T562&lt;B562)),0,IF(AND(S562&lt;=B562,OR(T562=0,T562&gt;=EOMONTH(B562,0))),30,MIN(30,IF(T562=0,EOMONTH(B562,0),MIN(T562,EOMONTH(B562,0)))-MAX(B562,S562)+1))))</f>
        <v/>
      </c>
    </row>
    <row r="563" customFormat="false" ht="15" hidden="false" customHeight="false" outlineLevel="0" collapsed="false">
      <c r="B563" s="78"/>
      <c r="C563" s="64"/>
      <c r="D563" s="70" t="str">
        <f aca="false">IF(C563="","",IFERROR(INDEX(T_NOMBRE,MATCH(C563,T_ID,0)),"⚠ ID no existe"))</f>
        <v/>
      </c>
      <c r="E563" s="69"/>
      <c r="F563" s="69"/>
      <c r="G563" s="69"/>
      <c r="H563" s="69"/>
      <c r="I563" s="66"/>
      <c r="J563" s="69"/>
      <c r="K563" s="67"/>
      <c r="L563" s="67"/>
      <c r="M563" s="67"/>
      <c r="N563" s="67"/>
      <c r="O563" s="64"/>
      <c r="P563" s="72" t="str">
        <f aca="false">IF(OR(B563="",C563=""),"",C563&amp;"|"&amp;(YEAR(B563)*100+MONTH(B563)))</f>
        <v/>
      </c>
      <c r="Q563" s="70" t="str">
        <f aca="false">IF(P563="","",IF(COUNTIF(N_CLAVE,P563)&gt;1,"⚠ Duplicado","OK"))</f>
        <v/>
      </c>
      <c r="R563" s="74" t="str">
        <f aca="false">IF(OR(P563="",U563=""),"",MAX(0,U563-N(E563)-N(F563)-N(H563)))</f>
        <v/>
      </c>
      <c r="S563" s="75" t="str">
        <f aca="false">IF(P563="","",IFERROR(INDEX(T_INGRESO,MATCH(C563,T_ID,0)),""))</f>
        <v/>
      </c>
      <c r="T563" s="75" t="str">
        <f aca="false">IF(P563="","",IFERROR(N(INDEX(T_EGRESO,MATCH(C563,T_ID,0))),0))</f>
        <v/>
      </c>
      <c r="U563" s="73" t="str">
        <f aca="false">IF(OR(P563="",NOT(ISNUMBER(S563))),"",IF(OR(S563&gt;EOMONTH(B563,0),AND(T563&gt;0,T563&lt;B563)),0,IF(AND(S563&lt;=B563,OR(T563=0,T563&gt;=EOMONTH(B563,0))),30,MIN(30,IF(T563=0,EOMONTH(B563,0),MIN(T563,EOMONTH(B563,0)))-MAX(B563,S563)+1))))</f>
        <v/>
      </c>
    </row>
    <row r="564" customFormat="false" ht="15" hidden="false" customHeight="false" outlineLevel="0" collapsed="false">
      <c r="B564" s="78"/>
      <c r="C564" s="64"/>
      <c r="D564" s="70" t="str">
        <f aca="false">IF(C564="","",IFERROR(INDEX(T_NOMBRE,MATCH(C564,T_ID,0)),"⚠ ID no existe"))</f>
        <v/>
      </c>
      <c r="E564" s="69"/>
      <c r="F564" s="69"/>
      <c r="G564" s="69"/>
      <c r="H564" s="69"/>
      <c r="I564" s="66"/>
      <c r="J564" s="69"/>
      <c r="K564" s="67"/>
      <c r="L564" s="67"/>
      <c r="M564" s="67"/>
      <c r="N564" s="67"/>
      <c r="O564" s="64"/>
      <c r="P564" s="72" t="str">
        <f aca="false">IF(OR(B564="",C564=""),"",C564&amp;"|"&amp;(YEAR(B564)*100+MONTH(B564)))</f>
        <v/>
      </c>
      <c r="Q564" s="70" t="str">
        <f aca="false">IF(P564="","",IF(COUNTIF(N_CLAVE,P564)&gt;1,"⚠ Duplicado","OK"))</f>
        <v/>
      </c>
      <c r="R564" s="74" t="str">
        <f aca="false">IF(OR(P564="",U564=""),"",MAX(0,U564-N(E564)-N(F564)-N(H564)))</f>
        <v/>
      </c>
      <c r="S564" s="75" t="str">
        <f aca="false">IF(P564="","",IFERROR(INDEX(T_INGRESO,MATCH(C564,T_ID,0)),""))</f>
        <v/>
      </c>
      <c r="T564" s="75" t="str">
        <f aca="false">IF(P564="","",IFERROR(N(INDEX(T_EGRESO,MATCH(C564,T_ID,0))),0))</f>
        <v/>
      </c>
      <c r="U564" s="73" t="str">
        <f aca="false">IF(OR(P564="",NOT(ISNUMBER(S564))),"",IF(OR(S564&gt;EOMONTH(B564,0),AND(T564&gt;0,T564&lt;B564)),0,IF(AND(S564&lt;=B564,OR(T564=0,T564&gt;=EOMONTH(B564,0))),30,MIN(30,IF(T564=0,EOMONTH(B564,0),MIN(T564,EOMONTH(B564,0)))-MAX(B564,S564)+1))))</f>
        <v/>
      </c>
    </row>
    <row r="565" customFormat="false" ht="15" hidden="false" customHeight="false" outlineLevel="0" collapsed="false">
      <c r="B565" s="78"/>
      <c r="C565" s="64"/>
      <c r="D565" s="70" t="str">
        <f aca="false">IF(C565="","",IFERROR(INDEX(T_NOMBRE,MATCH(C565,T_ID,0)),"⚠ ID no existe"))</f>
        <v/>
      </c>
      <c r="E565" s="69"/>
      <c r="F565" s="69"/>
      <c r="G565" s="69"/>
      <c r="H565" s="69"/>
      <c r="I565" s="66"/>
      <c r="J565" s="69"/>
      <c r="K565" s="67"/>
      <c r="L565" s="67"/>
      <c r="M565" s="67"/>
      <c r="N565" s="67"/>
      <c r="O565" s="64"/>
      <c r="P565" s="72" t="str">
        <f aca="false">IF(OR(B565="",C565=""),"",C565&amp;"|"&amp;(YEAR(B565)*100+MONTH(B565)))</f>
        <v/>
      </c>
      <c r="Q565" s="70" t="str">
        <f aca="false">IF(P565="","",IF(COUNTIF(N_CLAVE,P565)&gt;1,"⚠ Duplicado","OK"))</f>
        <v/>
      </c>
      <c r="R565" s="74" t="str">
        <f aca="false">IF(OR(P565="",U565=""),"",MAX(0,U565-N(E565)-N(F565)-N(H565)))</f>
        <v/>
      </c>
      <c r="S565" s="75" t="str">
        <f aca="false">IF(P565="","",IFERROR(INDEX(T_INGRESO,MATCH(C565,T_ID,0)),""))</f>
        <v/>
      </c>
      <c r="T565" s="75" t="str">
        <f aca="false">IF(P565="","",IFERROR(N(INDEX(T_EGRESO,MATCH(C565,T_ID,0))),0))</f>
        <v/>
      </c>
      <c r="U565" s="73" t="str">
        <f aca="false">IF(OR(P565="",NOT(ISNUMBER(S565))),"",IF(OR(S565&gt;EOMONTH(B565,0),AND(T565&gt;0,T565&lt;B565)),0,IF(AND(S565&lt;=B565,OR(T565=0,T565&gt;=EOMONTH(B565,0))),30,MIN(30,IF(T565=0,EOMONTH(B565,0),MIN(T565,EOMONTH(B565,0)))-MAX(B565,S565)+1))))</f>
        <v/>
      </c>
    </row>
    <row r="566" customFormat="false" ht="15" hidden="false" customHeight="false" outlineLevel="0" collapsed="false">
      <c r="B566" s="78"/>
      <c r="C566" s="64"/>
      <c r="D566" s="70" t="str">
        <f aca="false">IF(C566="","",IFERROR(INDEX(T_NOMBRE,MATCH(C566,T_ID,0)),"⚠ ID no existe"))</f>
        <v/>
      </c>
      <c r="E566" s="69"/>
      <c r="F566" s="69"/>
      <c r="G566" s="69"/>
      <c r="H566" s="69"/>
      <c r="I566" s="66"/>
      <c r="J566" s="69"/>
      <c r="K566" s="67"/>
      <c r="L566" s="67"/>
      <c r="M566" s="67"/>
      <c r="N566" s="67"/>
      <c r="O566" s="64"/>
      <c r="P566" s="72" t="str">
        <f aca="false">IF(OR(B566="",C566=""),"",C566&amp;"|"&amp;(YEAR(B566)*100+MONTH(B566)))</f>
        <v/>
      </c>
      <c r="Q566" s="70" t="str">
        <f aca="false">IF(P566="","",IF(COUNTIF(N_CLAVE,P566)&gt;1,"⚠ Duplicado","OK"))</f>
        <v/>
      </c>
      <c r="R566" s="74" t="str">
        <f aca="false">IF(OR(P566="",U566=""),"",MAX(0,U566-N(E566)-N(F566)-N(H566)))</f>
        <v/>
      </c>
      <c r="S566" s="75" t="str">
        <f aca="false">IF(P566="","",IFERROR(INDEX(T_INGRESO,MATCH(C566,T_ID,0)),""))</f>
        <v/>
      </c>
      <c r="T566" s="75" t="str">
        <f aca="false">IF(P566="","",IFERROR(N(INDEX(T_EGRESO,MATCH(C566,T_ID,0))),0))</f>
        <v/>
      </c>
      <c r="U566" s="73" t="str">
        <f aca="false">IF(OR(P566="",NOT(ISNUMBER(S566))),"",IF(OR(S566&gt;EOMONTH(B566,0),AND(T566&gt;0,T566&lt;B566)),0,IF(AND(S566&lt;=B566,OR(T566=0,T566&gt;=EOMONTH(B566,0))),30,MIN(30,IF(T566=0,EOMONTH(B566,0),MIN(T566,EOMONTH(B566,0)))-MAX(B566,S566)+1))))</f>
        <v/>
      </c>
    </row>
    <row r="567" customFormat="false" ht="15" hidden="false" customHeight="false" outlineLevel="0" collapsed="false">
      <c r="B567" s="78"/>
      <c r="C567" s="64"/>
      <c r="D567" s="70" t="str">
        <f aca="false">IF(C567="","",IFERROR(INDEX(T_NOMBRE,MATCH(C567,T_ID,0)),"⚠ ID no existe"))</f>
        <v/>
      </c>
      <c r="E567" s="69"/>
      <c r="F567" s="69"/>
      <c r="G567" s="69"/>
      <c r="H567" s="69"/>
      <c r="I567" s="66"/>
      <c r="J567" s="69"/>
      <c r="K567" s="67"/>
      <c r="L567" s="67"/>
      <c r="M567" s="67"/>
      <c r="N567" s="67"/>
      <c r="O567" s="64"/>
      <c r="P567" s="72" t="str">
        <f aca="false">IF(OR(B567="",C567=""),"",C567&amp;"|"&amp;(YEAR(B567)*100+MONTH(B567)))</f>
        <v/>
      </c>
      <c r="Q567" s="70" t="str">
        <f aca="false">IF(P567="","",IF(COUNTIF(N_CLAVE,P567)&gt;1,"⚠ Duplicado","OK"))</f>
        <v/>
      </c>
      <c r="R567" s="74" t="str">
        <f aca="false">IF(OR(P567="",U567=""),"",MAX(0,U567-N(E567)-N(F567)-N(H567)))</f>
        <v/>
      </c>
      <c r="S567" s="75" t="str">
        <f aca="false">IF(P567="","",IFERROR(INDEX(T_INGRESO,MATCH(C567,T_ID,0)),""))</f>
        <v/>
      </c>
      <c r="T567" s="75" t="str">
        <f aca="false">IF(P567="","",IFERROR(N(INDEX(T_EGRESO,MATCH(C567,T_ID,0))),0))</f>
        <v/>
      </c>
      <c r="U567" s="73" t="str">
        <f aca="false">IF(OR(P567="",NOT(ISNUMBER(S567))),"",IF(OR(S567&gt;EOMONTH(B567,0),AND(T567&gt;0,T567&lt;B567)),0,IF(AND(S567&lt;=B567,OR(T567=0,T567&gt;=EOMONTH(B567,0))),30,MIN(30,IF(T567=0,EOMONTH(B567,0),MIN(T567,EOMONTH(B567,0)))-MAX(B567,S567)+1))))</f>
        <v/>
      </c>
    </row>
    <row r="568" customFormat="false" ht="15" hidden="false" customHeight="false" outlineLevel="0" collapsed="false">
      <c r="B568" s="78"/>
      <c r="C568" s="64"/>
      <c r="D568" s="70" t="str">
        <f aca="false">IF(C568="","",IFERROR(INDEX(T_NOMBRE,MATCH(C568,T_ID,0)),"⚠ ID no existe"))</f>
        <v/>
      </c>
      <c r="E568" s="69"/>
      <c r="F568" s="69"/>
      <c r="G568" s="69"/>
      <c r="H568" s="69"/>
      <c r="I568" s="66"/>
      <c r="J568" s="69"/>
      <c r="K568" s="67"/>
      <c r="L568" s="67"/>
      <c r="M568" s="67"/>
      <c r="N568" s="67"/>
      <c r="O568" s="64"/>
      <c r="P568" s="72" t="str">
        <f aca="false">IF(OR(B568="",C568=""),"",C568&amp;"|"&amp;(YEAR(B568)*100+MONTH(B568)))</f>
        <v/>
      </c>
      <c r="Q568" s="70" t="str">
        <f aca="false">IF(P568="","",IF(COUNTIF(N_CLAVE,P568)&gt;1,"⚠ Duplicado","OK"))</f>
        <v/>
      </c>
      <c r="R568" s="74" t="str">
        <f aca="false">IF(OR(P568="",U568=""),"",MAX(0,U568-N(E568)-N(F568)-N(H568)))</f>
        <v/>
      </c>
      <c r="S568" s="75" t="str">
        <f aca="false">IF(P568="","",IFERROR(INDEX(T_INGRESO,MATCH(C568,T_ID,0)),""))</f>
        <v/>
      </c>
      <c r="T568" s="75" t="str">
        <f aca="false">IF(P568="","",IFERROR(N(INDEX(T_EGRESO,MATCH(C568,T_ID,0))),0))</f>
        <v/>
      </c>
      <c r="U568" s="73" t="str">
        <f aca="false">IF(OR(P568="",NOT(ISNUMBER(S568))),"",IF(OR(S568&gt;EOMONTH(B568,0),AND(T568&gt;0,T568&lt;B568)),0,IF(AND(S568&lt;=B568,OR(T568=0,T568&gt;=EOMONTH(B568,0))),30,MIN(30,IF(T568=0,EOMONTH(B568,0),MIN(T568,EOMONTH(B568,0)))-MAX(B568,S568)+1))))</f>
        <v/>
      </c>
    </row>
    <row r="569" customFormat="false" ht="15" hidden="false" customHeight="false" outlineLevel="0" collapsed="false">
      <c r="B569" s="78"/>
      <c r="C569" s="64"/>
      <c r="D569" s="70" t="str">
        <f aca="false">IF(C569="","",IFERROR(INDEX(T_NOMBRE,MATCH(C569,T_ID,0)),"⚠ ID no existe"))</f>
        <v/>
      </c>
      <c r="E569" s="69"/>
      <c r="F569" s="69"/>
      <c r="G569" s="69"/>
      <c r="H569" s="69"/>
      <c r="I569" s="66"/>
      <c r="J569" s="69"/>
      <c r="K569" s="67"/>
      <c r="L569" s="67"/>
      <c r="M569" s="67"/>
      <c r="N569" s="67"/>
      <c r="O569" s="64"/>
      <c r="P569" s="72" t="str">
        <f aca="false">IF(OR(B569="",C569=""),"",C569&amp;"|"&amp;(YEAR(B569)*100+MONTH(B569)))</f>
        <v/>
      </c>
      <c r="Q569" s="70" t="str">
        <f aca="false">IF(P569="","",IF(COUNTIF(N_CLAVE,P569)&gt;1,"⚠ Duplicado","OK"))</f>
        <v/>
      </c>
      <c r="R569" s="74" t="str">
        <f aca="false">IF(OR(P569="",U569=""),"",MAX(0,U569-N(E569)-N(F569)-N(H569)))</f>
        <v/>
      </c>
      <c r="S569" s="75" t="str">
        <f aca="false">IF(P569="","",IFERROR(INDEX(T_INGRESO,MATCH(C569,T_ID,0)),""))</f>
        <v/>
      </c>
      <c r="T569" s="75" t="str">
        <f aca="false">IF(P569="","",IFERROR(N(INDEX(T_EGRESO,MATCH(C569,T_ID,0))),0))</f>
        <v/>
      </c>
      <c r="U569" s="73" t="str">
        <f aca="false">IF(OR(P569="",NOT(ISNUMBER(S569))),"",IF(OR(S569&gt;EOMONTH(B569,0),AND(T569&gt;0,T569&lt;B569)),0,IF(AND(S569&lt;=B569,OR(T569=0,T569&gt;=EOMONTH(B569,0))),30,MIN(30,IF(T569=0,EOMONTH(B569,0),MIN(T569,EOMONTH(B569,0)))-MAX(B569,S569)+1))))</f>
        <v/>
      </c>
    </row>
    <row r="570" customFormat="false" ht="15" hidden="false" customHeight="false" outlineLevel="0" collapsed="false">
      <c r="B570" s="78"/>
      <c r="C570" s="64"/>
      <c r="D570" s="70" t="str">
        <f aca="false">IF(C570="","",IFERROR(INDEX(T_NOMBRE,MATCH(C570,T_ID,0)),"⚠ ID no existe"))</f>
        <v/>
      </c>
      <c r="E570" s="69"/>
      <c r="F570" s="69"/>
      <c r="G570" s="69"/>
      <c r="H570" s="69"/>
      <c r="I570" s="66"/>
      <c r="J570" s="69"/>
      <c r="K570" s="67"/>
      <c r="L570" s="67"/>
      <c r="M570" s="67"/>
      <c r="N570" s="67"/>
      <c r="O570" s="64"/>
      <c r="P570" s="72" t="str">
        <f aca="false">IF(OR(B570="",C570=""),"",C570&amp;"|"&amp;(YEAR(B570)*100+MONTH(B570)))</f>
        <v/>
      </c>
      <c r="Q570" s="70" t="str">
        <f aca="false">IF(P570="","",IF(COUNTIF(N_CLAVE,P570)&gt;1,"⚠ Duplicado","OK"))</f>
        <v/>
      </c>
      <c r="R570" s="74" t="str">
        <f aca="false">IF(OR(P570="",U570=""),"",MAX(0,U570-N(E570)-N(F570)-N(H570)))</f>
        <v/>
      </c>
      <c r="S570" s="75" t="str">
        <f aca="false">IF(P570="","",IFERROR(INDEX(T_INGRESO,MATCH(C570,T_ID,0)),""))</f>
        <v/>
      </c>
      <c r="T570" s="75" t="str">
        <f aca="false">IF(P570="","",IFERROR(N(INDEX(T_EGRESO,MATCH(C570,T_ID,0))),0))</f>
        <v/>
      </c>
      <c r="U570" s="73" t="str">
        <f aca="false">IF(OR(P570="",NOT(ISNUMBER(S570))),"",IF(OR(S570&gt;EOMONTH(B570,0),AND(T570&gt;0,T570&lt;B570)),0,IF(AND(S570&lt;=B570,OR(T570=0,T570&gt;=EOMONTH(B570,0))),30,MIN(30,IF(T570=0,EOMONTH(B570,0),MIN(T570,EOMONTH(B570,0)))-MAX(B570,S570)+1))))</f>
        <v/>
      </c>
    </row>
    <row r="571" customFormat="false" ht="15" hidden="false" customHeight="false" outlineLevel="0" collapsed="false">
      <c r="B571" s="78"/>
      <c r="C571" s="64"/>
      <c r="D571" s="70" t="str">
        <f aca="false">IF(C571="","",IFERROR(INDEX(T_NOMBRE,MATCH(C571,T_ID,0)),"⚠ ID no existe"))</f>
        <v/>
      </c>
      <c r="E571" s="69"/>
      <c r="F571" s="69"/>
      <c r="G571" s="69"/>
      <c r="H571" s="69"/>
      <c r="I571" s="66"/>
      <c r="J571" s="69"/>
      <c r="K571" s="67"/>
      <c r="L571" s="67"/>
      <c r="M571" s="67"/>
      <c r="N571" s="67"/>
      <c r="O571" s="64"/>
      <c r="P571" s="72" t="str">
        <f aca="false">IF(OR(B571="",C571=""),"",C571&amp;"|"&amp;(YEAR(B571)*100+MONTH(B571)))</f>
        <v/>
      </c>
      <c r="Q571" s="70" t="str">
        <f aca="false">IF(P571="","",IF(COUNTIF(N_CLAVE,P571)&gt;1,"⚠ Duplicado","OK"))</f>
        <v/>
      </c>
      <c r="R571" s="74" t="str">
        <f aca="false">IF(OR(P571="",U571=""),"",MAX(0,U571-N(E571)-N(F571)-N(H571)))</f>
        <v/>
      </c>
      <c r="S571" s="75" t="str">
        <f aca="false">IF(P571="","",IFERROR(INDEX(T_INGRESO,MATCH(C571,T_ID,0)),""))</f>
        <v/>
      </c>
      <c r="T571" s="75" t="str">
        <f aca="false">IF(P571="","",IFERROR(N(INDEX(T_EGRESO,MATCH(C571,T_ID,0))),0))</f>
        <v/>
      </c>
      <c r="U571" s="73" t="str">
        <f aca="false">IF(OR(P571="",NOT(ISNUMBER(S571))),"",IF(OR(S571&gt;EOMONTH(B571,0),AND(T571&gt;0,T571&lt;B571)),0,IF(AND(S571&lt;=B571,OR(T571=0,T571&gt;=EOMONTH(B571,0))),30,MIN(30,IF(T571=0,EOMONTH(B571,0),MIN(T571,EOMONTH(B571,0)))-MAX(B571,S571)+1))))</f>
        <v/>
      </c>
    </row>
    <row r="572" customFormat="false" ht="15" hidden="false" customHeight="false" outlineLevel="0" collapsed="false">
      <c r="B572" s="78"/>
      <c r="C572" s="64"/>
      <c r="D572" s="70" t="str">
        <f aca="false">IF(C572="","",IFERROR(INDEX(T_NOMBRE,MATCH(C572,T_ID,0)),"⚠ ID no existe"))</f>
        <v/>
      </c>
      <c r="E572" s="69"/>
      <c r="F572" s="69"/>
      <c r="G572" s="69"/>
      <c r="H572" s="69"/>
      <c r="I572" s="66"/>
      <c r="J572" s="69"/>
      <c r="K572" s="67"/>
      <c r="L572" s="67"/>
      <c r="M572" s="67"/>
      <c r="N572" s="67"/>
      <c r="O572" s="64"/>
      <c r="P572" s="72" t="str">
        <f aca="false">IF(OR(B572="",C572=""),"",C572&amp;"|"&amp;(YEAR(B572)*100+MONTH(B572)))</f>
        <v/>
      </c>
      <c r="Q572" s="70" t="str">
        <f aca="false">IF(P572="","",IF(COUNTIF(N_CLAVE,P572)&gt;1,"⚠ Duplicado","OK"))</f>
        <v/>
      </c>
      <c r="R572" s="74" t="str">
        <f aca="false">IF(OR(P572="",U572=""),"",MAX(0,U572-N(E572)-N(F572)-N(H572)))</f>
        <v/>
      </c>
      <c r="S572" s="75" t="str">
        <f aca="false">IF(P572="","",IFERROR(INDEX(T_INGRESO,MATCH(C572,T_ID,0)),""))</f>
        <v/>
      </c>
      <c r="T572" s="75" t="str">
        <f aca="false">IF(P572="","",IFERROR(N(INDEX(T_EGRESO,MATCH(C572,T_ID,0))),0))</f>
        <v/>
      </c>
      <c r="U572" s="73" t="str">
        <f aca="false">IF(OR(P572="",NOT(ISNUMBER(S572))),"",IF(OR(S572&gt;EOMONTH(B572,0),AND(T572&gt;0,T572&lt;B572)),0,IF(AND(S572&lt;=B572,OR(T572=0,T572&gt;=EOMONTH(B572,0))),30,MIN(30,IF(T572=0,EOMONTH(B572,0),MIN(T572,EOMONTH(B572,0)))-MAX(B572,S572)+1))))</f>
        <v/>
      </c>
    </row>
    <row r="573" customFormat="false" ht="15" hidden="false" customHeight="false" outlineLevel="0" collapsed="false">
      <c r="B573" s="78"/>
      <c r="C573" s="64"/>
      <c r="D573" s="70" t="str">
        <f aca="false">IF(C573="","",IFERROR(INDEX(T_NOMBRE,MATCH(C573,T_ID,0)),"⚠ ID no existe"))</f>
        <v/>
      </c>
      <c r="E573" s="69"/>
      <c r="F573" s="69"/>
      <c r="G573" s="69"/>
      <c r="H573" s="69"/>
      <c r="I573" s="66"/>
      <c r="J573" s="69"/>
      <c r="K573" s="67"/>
      <c r="L573" s="67"/>
      <c r="M573" s="67"/>
      <c r="N573" s="67"/>
      <c r="O573" s="64"/>
      <c r="P573" s="72" t="str">
        <f aca="false">IF(OR(B573="",C573=""),"",C573&amp;"|"&amp;(YEAR(B573)*100+MONTH(B573)))</f>
        <v/>
      </c>
      <c r="Q573" s="70" t="str">
        <f aca="false">IF(P573="","",IF(COUNTIF(N_CLAVE,P573)&gt;1,"⚠ Duplicado","OK"))</f>
        <v/>
      </c>
      <c r="R573" s="74" t="str">
        <f aca="false">IF(OR(P573="",U573=""),"",MAX(0,U573-N(E573)-N(F573)-N(H573)))</f>
        <v/>
      </c>
      <c r="S573" s="75" t="str">
        <f aca="false">IF(P573="","",IFERROR(INDEX(T_INGRESO,MATCH(C573,T_ID,0)),""))</f>
        <v/>
      </c>
      <c r="T573" s="75" t="str">
        <f aca="false">IF(P573="","",IFERROR(N(INDEX(T_EGRESO,MATCH(C573,T_ID,0))),0))</f>
        <v/>
      </c>
      <c r="U573" s="73" t="str">
        <f aca="false">IF(OR(P573="",NOT(ISNUMBER(S573))),"",IF(OR(S573&gt;EOMONTH(B573,0),AND(T573&gt;0,T573&lt;B573)),0,IF(AND(S573&lt;=B573,OR(T573=0,T573&gt;=EOMONTH(B573,0))),30,MIN(30,IF(T573=0,EOMONTH(B573,0),MIN(T573,EOMONTH(B573,0)))-MAX(B573,S573)+1))))</f>
        <v/>
      </c>
    </row>
    <row r="574" customFormat="false" ht="15" hidden="false" customHeight="false" outlineLevel="0" collapsed="false">
      <c r="B574" s="78"/>
      <c r="C574" s="64"/>
      <c r="D574" s="70" t="str">
        <f aca="false">IF(C574="","",IFERROR(INDEX(T_NOMBRE,MATCH(C574,T_ID,0)),"⚠ ID no existe"))</f>
        <v/>
      </c>
      <c r="E574" s="69"/>
      <c r="F574" s="69"/>
      <c r="G574" s="69"/>
      <c r="H574" s="69"/>
      <c r="I574" s="66"/>
      <c r="J574" s="69"/>
      <c r="K574" s="67"/>
      <c r="L574" s="67"/>
      <c r="M574" s="67"/>
      <c r="N574" s="67"/>
      <c r="O574" s="64"/>
      <c r="P574" s="72" t="str">
        <f aca="false">IF(OR(B574="",C574=""),"",C574&amp;"|"&amp;(YEAR(B574)*100+MONTH(B574)))</f>
        <v/>
      </c>
      <c r="Q574" s="70" t="str">
        <f aca="false">IF(P574="","",IF(COUNTIF(N_CLAVE,P574)&gt;1,"⚠ Duplicado","OK"))</f>
        <v/>
      </c>
      <c r="R574" s="74" t="str">
        <f aca="false">IF(OR(P574="",U574=""),"",MAX(0,U574-N(E574)-N(F574)-N(H574)))</f>
        <v/>
      </c>
      <c r="S574" s="75" t="str">
        <f aca="false">IF(P574="","",IFERROR(INDEX(T_INGRESO,MATCH(C574,T_ID,0)),""))</f>
        <v/>
      </c>
      <c r="T574" s="75" t="str">
        <f aca="false">IF(P574="","",IFERROR(N(INDEX(T_EGRESO,MATCH(C574,T_ID,0))),0))</f>
        <v/>
      </c>
      <c r="U574" s="73" t="str">
        <f aca="false">IF(OR(P574="",NOT(ISNUMBER(S574))),"",IF(OR(S574&gt;EOMONTH(B574,0),AND(T574&gt;0,T574&lt;B574)),0,IF(AND(S574&lt;=B574,OR(T574=0,T574&gt;=EOMONTH(B574,0))),30,MIN(30,IF(T574=0,EOMONTH(B574,0),MIN(T574,EOMONTH(B574,0)))-MAX(B574,S574)+1))))</f>
        <v/>
      </c>
    </row>
    <row r="575" customFormat="false" ht="15" hidden="false" customHeight="false" outlineLevel="0" collapsed="false">
      <c r="B575" s="78"/>
      <c r="C575" s="64"/>
      <c r="D575" s="70" t="str">
        <f aca="false">IF(C575="","",IFERROR(INDEX(T_NOMBRE,MATCH(C575,T_ID,0)),"⚠ ID no existe"))</f>
        <v/>
      </c>
      <c r="E575" s="69"/>
      <c r="F575" s="69"/>
      <c r="G575" s="69"/>
      <c r="H575" s="69"/>
      <c r="I575" s="66"/>
      <c r="J575" s="69"/>
      <c r="K575" s="67"/>
      <c r="L575" s="67"/>
      <c r="M575" s="67"/>
      <c r="N575" s="67"/>
      <c r="O575" s="64"/>
      <c r="P575" s="72" t="str">
        <f aca="false">IF(OR(B575="",C575=""),"",C575&amp;"|"&amp;(YEAR(B575)*100+MONTH(B575)))</f>
        <v/>
      </c>
      <c r="Q575" s="70" t="str">
        <f aca="false">IF(P575="","",IF(COUNTIF(N_CLAVE,P575)&gt;1,"⚠ Duplicado","OK"))</f>
        <v/>
      </c>
      <c r="R575" s="74" t="str">
        <f aca="false">IF(OR(P575="",U575=""),"",MAX(0,U575-N(E575)-N(F575)-N(H575)))</f>
        <v/>
      </c>
      <c r="S575" s="75" t="str">
        <f aca="false">IF(P575="","",IFERROR(INDEX(T_INGRESO,MATCH(C575,T_ID,0)),""))</f>
        <v/>
      </c>
      <c r="T575" s="75" t="str">
        <f aca="false">IF(P575="","",IFERROR(N(INDEX(T_EGRESO,MATCH(C575,T_ID,0))),0))</f>
        <v/>
      </c>
      <c r="U575" s="73" t="str">
        <f aca="false">IF(OR(P575="",NOT(ISNUMBER(S575))),"",IF(OR(S575&gt;EOMONTH(B575,0),AND(T575&gt;0,T575&lt;B575)),0,IF(AND(S575&lt;=B575,OR(T575=0,T575&gt;=EOMONTH(B575,0))),30,MIN(30,IF(T575=0,EOMONTH(B575,0),MIN(T575,EOMONTH(B575,0)))-MAX(B575,S575)+1))))</f>
        <v/>
      </c>
    </row>
    <row r="576" customFormat="false" ht="15" hidden="false" customHeight="false" outlineLevel="0" collapsed="false">
      <c r="B576" s="78"/>
      <c r="C576" s="64"/>
      <c r="D576" s="70" t="str">
        <f aca="false">IF(C576="","",IFERROR(INDEX(T_NOMBRE,MATCH(C576,T_ID,0)),"⚠ ID no existe"))</f>
        <v/>
      </c>
      <c r="E576" s="69"/>
      <c r="F576" s="69"/>
      <c r="G576" s="69"/>
      <c r="H576" s="69"/>
      <c r="I576" s="66"/>
      <c r="J576" s="69"/>
      <c r="K576" s="67"/>
      <c r="L576" s="67"/>
      <c r="M576" s="67"/>
      <c r="N576" s="67"/>
      <c r="O576" s="64"/>
      <c r="P576" s="72" t="str">
        <f aca="false">IF(OR(B576="",C576=""),"",C576&amp;"|"&amp;(YEAR(B576)*100+MONTH(B576)))</f>
        <v/>
      </c>
      <c r="Q576" s="70" t="str">
        <f aca="false">IF(P576="","",IF(COUNTIF(N_CLAVE,P576)&gt;1,"⚠ Duplicado","OK"))</f>
        <v/>
      </c>
      <c r="R576" s="74" t="str">
        <f aca="false">IF(OR(P576="",U576=""),"",MAX(0,U576-N(E576)-N(F576)-N(H576)))</f>
        <v/>
      </c>
      <c r="S576" s="75" t="str">
        <f aca="false">IF(P576="","",IFERROR(INDEX(T_INGRESO,MATCH(C576,T_ID,0)),""))</f>
        <v/>
      </c>
      <c r="T576" s="75" t="str">
        <f aca="false">IF(P576="","",IFERROR(N(INDEX(T_EGRESO,MATCH(C576,T_ID,0))),0))</f>
        <v/>
      </c>
      <c r="U576" s="73" t="str">
        <f aca="false">IF(OR(P576="",NOT(ISNUMBER(S576))),"",IF(OR(S576&gt;EOMONTH(B576,0),AND(T576&gt;0,T576&lt;B576)),0,IF(AND(S576&lt;=B576,OR(T576=0,T576&gt;=EOMONTH(B576,0))),30,MIN(30,IF(T576=0,EOMONTH(B576,0),MIN(T576,EOMONTH(B576,0)))-MAX(B576,S576)+1))))</f>
        <v/>
      </c>
    </row>
    <row r="577" customFormat="false" ht="15" hidden="false" customHeight="false" outlineLevel="0" collapsed="false">
      <c r="B577" s="78"/>
      <c r="C577" s="64"/>
      <c r="D577" s="70" t="str">
        <f aca="false">IF(C577="","",IFERROR(INDEX(T_NOMBRE,MATCH(C577,T_ID,0)),"⚠ ID no existe"))</f>
        <v/>
      </c>
      <c r="E577" s="69"/>
      <c r="F577" s="69"/>
      <c r="G577" s="69"/>
      <c r="H577" s="69"/>
      <c r="I577" s="66"/>
      <c r="J577" s="69"/>
      <c r="K577" s="67"/>
      <c r="L577" s="67"/>
      <c r="M577" s="67"/>
      <c r="N577" s="67"/>
      <c r="O577" s="64"/>
      <c r="P577" s="72" t="str">
        <f aca="false">IF(OR(B577="",C577=""),"",C577&amp;"|"&amp;(YEAR(B577)*100+MONTH(B577)))</f>
        <v/>
      </c>
      <c r="Q577" s="70" t="str">
        <f aca="false">IF(P577="","",IF(COUNTIF(N_CLAVE,P577)&gt;1,"⚠ Duplicado","OK"))</f>
        <v/>
      </c>
      <c r="R577" s="74" t="str">
        <f aca="false">IF(OR(P577="",U577=""),"",MAX(0,U577-N(E577)-N(F577)-N(H577)))</f>
        <v/>
      </c>
      <c r="S577" s="75" t="str">
        <f aca="false">IF(P577="","",IFERROR(INDEX(T_INGRESO,MATCH(C577,T_ID,0)),""))</f>
        <v/>
      </c>
      <c r="T577" s="75" t="str">
        <f aca="false">IF(P577="","",IFERROR(N(INDEX(T_EGRESO,MATCH(C577,T_ID,0))),0))</f>
        <v/>
      </c>
      <c r="U577" s="73" t="str">
        <f aca="false">IF(OR(P577="",NOT(ISNUMBER(S577))),"",IF(OR(S577&gt;EOMONTH(B577,0),AND(T577&gt;0,T577&lt;B577)),0,IF(AND(S577&lt;=B577,OR(T577=0,T577&gt;=EOMONTH(B577,0))),30,MIN(30,IF(T577=0,EOMONTH(B577,0),MIN(T577,EOMONTH(B577,0)))-MAX(B577,S577)+1))))</f>
        <v/>
      </c>
    </row>
    <row r="578" customFormat="false" ht="15" hidden="false" customHeight="false" outlineLevel="0" collapsed="false">
      <c r="B578" s="78"/>
      <c r="C578" s="64"/>
      <c r="D578" s="70" t="str">
        <f aca="false">IF(C578="","",IFERROR(INDEX(T_NOMBRE,MATCH(C578,T_ID,0)),"⚠ ID no existe"))</f>
        <v/>
      </c>
      <c r="E578" s="69"/>
      <c r="F578" s="69"/>
      <c r="G578" s="69"/>
      <c r="H578" s="69"/>
      <c r="I578" s="66"/>
      <c r="J578" s="69"/>
      <c r="K578" s="67"/>
      <c r="L578" s="67"/>
      <c r="M578" s="67"/>
      <c r="N578" s="67"/>
      <c r="O578" s="64"/>
      <c r="P578" s="72" t="str">
        <f aca="false">IF(OR(B578="",C578=""),"",C578&amp;"|"&amp;(YEAR(B578)*100+MONTH(B578)))</f>
        <v/>
      </c>
      <c r="Q578" s="70" t="str">
        <f aca="false">IF(P578="","",IF(COUNTIF(N_CLAVE,P578)&gt;1,"⚠ Duplicado","OK"))</f>
        <v/>
      </c>
      <c r="R578" s="74" t="str">
        <f aca="false">IF(OR(P578="",U578=""),"",MAX(0,U578-N(E578)-N(F578)-N(H578)))</f>
        <v/>
      </c>
      <c r="S578" s="75" t="str">
        <f aca="false">IF(P578="","",IFERROR(INDEX(T_INGRESO,MATCH(C578,T_ID,0)),""))</f>
        <v/>
      </c>
      <c r="T578" s="75" t="str">
        <f aca="false">IF(P578="","",IFERROR(N(INDEX(T_EGRESO,MATCH(C578,T_ID,0))),0))</f>
        <v/>
      </c>
      <c r="U578" s="73" t="str">
        <f aca="false">IF(OR(P578="",NOT(ISNUMBER(S578))),"",IF(OR(S578&gt;EOMONTH(B578,0),AND(T578&gt;0,T578&lt;B578)),0,IF(AND(S578&lt;=B578,OR(T578=0,T578&gt;=EOMONTH(B578,0))),30,MIN(30,IF(T578=0,EOMONTH(B578,0),MIN(T578,EOMONTH(B578,0)))-MAX(B578,S578)+1))))</f>
        <v/>
      </c>
    </row>
    <row r="579" customFormat="false" ht="15" hidden="false" customHeight="false" outlineLevel="0" collapsed="false">
      <c r="B579" s="78"/>
      <c r="C579" s="64"/>
      <c r="D579" s="70" t="str">
        <f aca="false">IF(C579="","",IFERROR(INDEX(T_NOMBRE,MATCH(C579,T_ID,0)),"⚠ ID no existe"))</f>
        <v/>
      </c>
      <c r="E579" s="69"/>
      <c r="F579" s="69"/>
      <c r="G579" s="69"/>
      <c r="H579" s="69"/>
      <c r="I579" s="66"/>
      <c r="J579" s="69"/>
      <c r="K579" s="67"/>
      <c r="L579" s="67"/>
      <c r="M579" s="67"/>
      <c r="N579" s="67"/>
      <c r="O579" s="64"/>
      <c r="P579" s="72" t="str">
        <f aca="false">IF(OR(B579="",C579=""),"",C579&amp;"|"&amp;(YEAR(B579)*100+MONTH(B579)))</f>
        <v/>
      </c>
      <c r="Q579" s="70" t="str">
        <f aca="false">IF(P579="","",IF(COUNTIF(N_CLAVE,P579)&gt;1,"⚠ Duplicado","OK"))</f>
        <v/>
      </c>
      <c r="R579" s="74" t="str">
        <f aca="false">IF(OR(P579="",U579=""),"",MAX(0,U579-N(E579)-N(F579)-N(H579)))</f>
        <v/>
      </c>
      <c r="S579" s="75" t="str">
        <f aca="false">IF(P579="","",IFERROR(INDEX(T_INGRESO,MATCH(C579,T_ID,0)),""))</f>
        <v/>
      </c>
      <c r="T579" s="75" t="str">
        <f aca="false">IF(P579="","",IFERROR(N(INDEX(T_EGRESO,MATCH(C579,T_ID,0))),0))</f>
        <v/>
      </c>
      <c r="U579" s="73" t="str">
        <f aca="false">IF(OR(P579="",NOT(ISNUMBER(S579))),"",IF(OR(S579&gt;EOMONTH(B579,0),AND(T579&gt;0,T579&lt;B579)),0,IF(AND(S579&lt;=B579,OR(T579=0,T579&gt;=EOMONTH(B579,0))),30,MIN(30,IF(T579=0,EOMONTH(B579,0),MIN(T579,EOMONTH(B579,0)))-MAX(B579,S579)+1))))</f>
        <v/>
      </c>
    </row>
    <row r="580" customFormat="false" ht="15" hidden="false" customHeight="false" outlineLevel="0" collapsed="false">
      <c r="B580" s="78"/>
      <c r="C580" s="64"/>
      <c r="D580" s="70" t="str">
        <f aca="false">IF(C580="","",IFERROR(INDEX(T_NOMBRE,MATCH(C580,T_ID,0)),"⚠ ID no existe"))</f>
        <v/>
      </c>
      <c r="E580" s="69"/>
      <c r="F580" s="69"/>
      <c r="G580" s="69"/>
      <c r="H580" s="69"/>
      <c r="I580" s="66"/>
      <c r="J580" s="69"/>
      <c r="K580" s="67"/>
      <c r="L580" s="67"/>
      <c r="M580" s="67"/>
      <c r="N580" s="67"/>
      <c r="O580" s="64"/>
      <c r="P580" s="72" t="str">
        <f aca="false">IF(OR(B580="",C580=""),"",C580&amp;"|"&amp;(YEAR(B580)*100+MONTH(B580)))</f>
        <v/>
      </c>
      <c r="Q580" s="70" t="str">
        <f aca="false">IF(P580="","",IF(COUNTIF(N_CLAVE,P580)&gt;1,"⚠ Duplicado","OK"))</f>
        <v/>
      </c>
      <c r="R580" s="74" t="str">
        <f aca="false">IF(OR(P580="",U580=""),"",MAX(0,U580-N(E580)-N(F580)-N(H580)))</f>
        <v/>
      </c>
      <c r="S580" s="75" t="str">
        <f aca="false">IF(P580="","",IFERROR(INDEX(T_INGRESO,MATCH(C580,T_ID,0)),""))</f>
        <v/>
      </c>
      <c r="T580" s="75" t="str">
        <f aca="false">IF(P580="","",IFERROR(N(INDEX(T_EGRESO,MATCH(C580,T_ID,0))),0))</f>
        <v/>
      </c>
      <c r="U580" s="73" t="str">
        <f aca="false">IF(OR(P580="",NOT(ISNUMBER(S580))),"",IF(OR(S580&gt;EOMONTH(B580,0),AND(T580&gt;0,T580&lt;B580)),0,IF(AND(S580&lt;=B580,OR(T580=0,T580&gt;=EOMONTH(B580,0))),30,MIN(30,IF(T580=0,EOMONTH(B580,0),MIN(T580,EOMONTH(B580,0)))-MAX(B580,S580)+1))))</f>
        <v/>
      </c>
    </row>
    <row r="581" customFormat="false" ht="15" hidden="false" customHeight="false" outlineLevel="0" collapsed="false">
      <c r="B581" s="78"/>
      <c r="C581" s="64"/>
      <c r="D581" s="70" t="str">
        <f aca="false">IF(C581="","",IFERROR(INDEX(T_NOMBRE,MATCH(C581,T_ID,0)),"⚠ ID no existe"))</f>
        <v/>
      </c>
      <c r="E581" s="69"/>
      <c r="F581" s="69"/>
      <c r="G581" s="69"/>
      <c r="H581" s="69"/>
      <c r="I581" s="66"/>
      <c r="J581" s="69"/>
      <c r="K581" s="67"/>
      <c r="L581" s="67"/>
      <c r="M581" s="67"/>
      <c r="N581" s="67"/>
      <c r="O581" s="64"/>
      <c r="P581" s="72" t="str">
        <f aca="false">IF(OR(B581="",C581=""),"",C581&amp;"|"&amp;(YEAR(B581)*100+MONTH(B581)))</f>
        <v/>
      </c>
      <c r="Q581" s="70" t="str">
        <f aca="false">IF(P581="","",IF(COUNTIF(N_CLAVE,P581)&gt;1,"⚠ Duplicado","OK"))</f>
        <v/>
      </c>
      <c r="R581" s="74" t="str">
        <f aca="false">IF(OR(P581="",U581=""),"",MAX(0,U581-N(E581)-N(F581)-N(H581)))</f>
        <v/>
      </c>
      <c r="S581" s="75" t="str">
        <f aca="false">IF(P581="","",IFERROR(INDEX(T_INGRESO,MATCH(C581,T_ID,0)),""))</f>
        <v/>
      </c>
      <c r="T581" s="75" t="str">
        <f aca="false">IF(P581="","",IFERROR(N(INDEX(T_EGRESO,MATCH(C581,T_ID,0))),0))</f>
        <v/>
      </c>
      <c r="U581" s="73" t="str">
        <f aca="false">IF(OR(P581="",NOT(ISNUMBER(S581))),"",IF(OR(S581&gt;EOMONTH(B581,0),AND(T581&gt;0,T581&lt;B581)),0,IF(AND(S581&lt;=B581,OR(T581=0,T581&gt;=EOMONTH(B581,0))),30,MIN(30,IF(T581=0,EOMONTH(B581,0),MIN(T581,EOMONTH(B581,0)))-MAX(B581,S581)+1))))</f>
        <v/>
      </c>
    </row>
    <row r="582" customFormat="false" ht="15" hidden="false" customHeight="false" outlineLevel="0" collapsed="false">
      <c r="B582" s="78"/>
      <c r="C582" s="64"/>
      <c r="D582" s="70" t="str">
        <f aca="false">IF(C582="","",IFERROR(INDEX(T_NOMBRE,MATCH(C582,T_ID,0)),"⚠ ID no existe"))</f>
        <v/>
      </c>
      <c r="E582" s="69"/>
      <c r="F582" s="69"/>
      <c r="G582" s="69"/>
      <c r="H582" s="69"/>
      <c r="I582" s="66"/>
      <c r="J582" s="69"/>
      <c r="K582" s="67"/>
      <c r="L582" s="67"/>
      <c r="M582" s="67"/>
      <c r="N582" s="67"/>
      <c r="O582" s="64"/>
      <c r="P582" s="72" t="str">
        <f aca="false">IF(OR(B582="",C582=""),"",C582&amp;"|"&amp;(YEAR(B582)*100+MONTH(B582)))</f>
        <v/>
      </c>
      <c r="Q582" s="70" t="str">
        <f aca="false">IF(P582="","",IF(COUNTIF(N_CLAVE,P582)&gt;1,"⚠ Duplicado","OK"))</f>
        <v/>
      </c>
      <c r="R582" s="74" t="str">
        <f aca="false">IF(OR(P582="",U582=""),"",MAX(0,U582-N(E582)-N(F582)-N(H582)))</f>
        <v/>
      </c>
      <c r="S582" s="75" t="str">
        <f aca="false">IF(P582="","",IFERROR(INDEX(T_INGRESO,MATCH(C582,T_ID,0)),""))</f>
        <v/>
      </c>
      <c r="T582" s="75" t="str">
        <f aca="false">IF(P582="","",IFERROR(N(INDEX(T_EGRESO,MATCH(C582,T_ID,0))),0))</f>
        <v/>
      </c>
      <c r="U582" s="73" t="str">
        <f aca="false">IF(OR(P582="",NOT(ISNUMBER(S582))),"",IF(OR(S582&gt;EOMONTH(B582,0),AND(T582&gt;0,T582&lt;B582)),0,IF(AND(S582&lt;=B582,OR(T582=0,T582&gt;=EOMONTH(B582,0))),30,MIN(30,IF(T582=0,EOMONTH(B582,0),MIN(T582,EOMONTH(B582,0)))-MAX(B582,S582)+1))))</f>
        <v/>
      </c>
    </row>
    <row r="583" customFormat="false" ht="15" hidden="false" customHeight="false" outlineLevel="0" collapsed="false">
      <c r="B583" s="78"/>
      <c r="C583" s="64"/>
      <c r="D583" s="70" t="str">
        <f aca="false">IF(C583="","",IFERROR(INDEX(T_NOMBRE,MATCH(C583,T_ID,0)),"⚠ ID no existe"))</f>
        <v/>
      </c>
      <c r="E583" s="69"/>
      <c r="F583" s="69"/>
      <c r="G583" s="69"/>
      <c r="H583" s="69"/>
      <c r="I583" s="66"/>
      <c r="J583" s="69"/>
      <c r="K583" s="67"/>
      <c r="L583" s="67"/>
      <c r="M583" s="67"/>
      <c r="N583" s="67"/>
      <c r="O583" s="64"/>
      <c r="P583" s="72" t="str">
        <f aca="false">IF(OR(B583="",C583=""),"",C583&amp;"|"&amp;(YEAR(B583)*100+MONTH(B583)))</f>
        <v/>
      </c>
      <c r="Q583" s="70" t="str">
        <f aca="false">IF(P583="","",IF(COUNTIF(N_CLAVE,P583)&gt;1,"⚠ Duplicado","OK"))</f>
        <v/>
      </c>
      <c r="R583" s="74" t="str">
        <f aca="false">IF(OR(P583="",U583=""),"",MAX(0,U583-N(E583)-N(F583)-N(H583)))</f>
        <v/>
      </c>
      <c r="S583" s="75" t="str">
        <f aca="false">IF(P583="","",IFERROR(INDEX(T_INGRESO,MATCH(C583,T_ID,0)),""))</f>
        <v/>
      </c>
      <c r="T583" s="75" t="str">
        <f aca="false">IF(P583="","",IFERROR(N(INDEX(T_EGRESO,MATCH(C583,T_ID,0))),0))</f>
        <v/>
      </c>
      <c r="U583" s="73" t="str">
        <f aca="false">IF(OR(P583="",NOT(ISNUMBER(S583))),"",IF(OR(S583&gt;EOMONTH(B583,0),AND(T583&gt;0,T583&lt;B583)),0,IF(AND(S583&lt;=B583,OR(T583=0,T583&gt;=EOMONTH(B583,0))),30,MIN(30,IF(T583=0,EOMONTH(B583,0),MIN(T583,EOMONTH(B583,0)))-MAX(B583,S583)+1))))</f>
        <v/>
      </c>
    </row>
    <row r="584" customFormat="false" ht="15" hidden="false" customHeight="false" outlineLevel="0" collapsed="false">
      <c r="B584" s="78"/>
      <c r="C584" s="64"/>
      <c r="D584" s="70" t="str">
        <f aca="false">IF(C584="","",IFERROR(INDEX(T_NOMBRE,MATCH(C584,T_ID,0)),"⚠ ID no existe"))</f>
        <v/>
      </c>
      <c r="E584" s="69"/>
      <c r="F584" s="69"/>
      <c r="G584" s="69"/>
      <c r="H584" s="69"/>
      <c r="I584" s="66"/>
      <c r="J584" s="69"/>
      <c r="K584" s="67"/>
      <c r="L584" s="67"/>
      <c r="M584" s="67"/>
      <c r="N584" s="67"/>
      <c r="O584" s="64"/>
      <c r="P584" s="72" t="str">
        <f aca="false">IF(OR(B584="",C584=""),"",C584&amp;"|"&amp;(YEAR(B584)*100+MONTH(B584)))</f>
        <v/>
      </c>
      <c r="Q584" s="70" t="str">
        <f aca="false">IF(P584="","",IF(COUNTIF(N_CLAVE,P584)&gt;1,"⚠ Duplicado","OK"))</f>
        <v/>
      </c>
      <c r="R584" s="74" t="str">
        <f aca="false">IF(OR(P584="",U584=""),"",MAX(0,U584-N(E584)-N(F584)-N(H584)))</f>
        <v/>
      </c>
      <c r="S584" s="75" t="str">
        <f aca="false">IF(P584="","",IFERROR(INDEX(T_INGRESO,MATCH(C584,T_ID,0)),""))</f>
        <v/>
      </c>
      <c r="T584" s="75" t="str">
        <f aca="false">IF(P584="","",IFERROR(N(INDEX(T_EGRESO,MATCH(C584,T_ID,0))),0))</f>
        <v/>
      </c>
      <c r="U584" s="73" t="str">
        <f aca="false">IF(OR(P584="",NOT(ISNUMBER(S584))),"",IF(OR(S584&gt;EOMONTH(B584,0),AND(T584&gt;0,T584&lt;B584)),0,IF(AND(S584&lt;=B584,OR(T584=0,T584&gt;=EOMONTH(B584,0))),30,MIN(30,IF(T584=0,EOMONTH(B584,0),MIN(T584,EOMONTH(B584,0)))-MAX(B584,S584)+1))))</f>
        <v/>
      </c>
    </row>
    <row r="585" customFormat="false" ht="15" hidden="false" customHeight="false" outlineLevel="0" collapsed="false">
      <c r="B585" s="78"/>
      <c r="C585" s="64"/>
      <c r="D585" s="70" t="str">
        <f aca="false">IF(C585="","",IFERROR(INDEX(T_NOMBRE,MATCH(C585,T_ID,0)),"⚠ ID no existe"))</f>
        <v/>
      </c>
      <c r="E585" s="69"/>
      <c r="F585" s="69"/>
      <c r="G585" s="69"/>
      <c r="H585" s="69"/>
      <c r="I585" s="66"/>
      <c r="J585" s="69"/>
      <c r="K585" s="67"/>
      <c r="L585" s="67"/>
      <c r="M585" s="67"/>
      <c r="N585" s="67"/>
      <c r="O585" s="64"/>
      <c r="P585" s="72" t="str">
        <f aca="false">IF(OR(B585="",C585=""),"",C585&amp;"|"&amp;(YEAR(B585)*100+MONTH(B585)))</f>
        <v/>
      </c>
      <c r="Q585" s="70" t="str">
        <f aca="false">IF(P585="","",IF(COUNTIF(N_CLAVE,P585)&gt;1,"⚠ Duplicado","OK"))</f>
        <v/>
      </c>
      <c r="R585" s="74" t="str">
        <f aca="false">IF(OR(P585="",U585=""),"",MAX(0,U585-N(E585)-N(F585)-N(H585)))</f>
        <v/>
      </c>
      <c r="S585" s="75" t="str">
        <f aca="false">IF(P585="","",IFERROR(INDEX(T_INGRESO,MATCH(C585,T_ID,0)),""))</f>
        <v/>
      </c>
      <c r="T585" s="75" t="str">
        <f aca="false">IF(P585="","",IFERROR(N(INDEX(T_EGRESO,MATCH(C585,T_ID,0))),0))</f>
        <v/>
      </c>
      <c r="U585" s="73" t="str">
        <f aca="false">IF(OR(P585="",NOT(ISNUMBER(S585))),"",IF(OR(S585&gt;EOMONTH(B585,0),AND(T585&gt;0,T585&lt;B585)),0,IF(AND(S585&lt;=B585,OR(T585=0,T585&gt;=EOMONTH(B585,0))),30,MIN(30,IF(T585=0,EOMONTH(B585,0),MIN(T585,EOMONTH(B585,0)))-MAX(B585,S585)+1))))</f>
        <v/>
      </c>
    </row>
    <row r="586" customFormat="false" ht="15" hidden="false" customHeight="false" outlineLevel="0" collapsed="false">
      <c r="B586" s="78"/>
      <c r="C586" s="64"/>
      <c r="D586" s="70" t="str">
        <f aca="false">IF(C586="","",IFERROR(INDEX(T_NOMBRE,MATCH(C586,T_ID,0)),"⚠ ID no existe"))</f>
        <v/>
      </c>
      <c r="E586" s="69"/>
      <c r="F586" s="69"/>
      <c r="G586" s="69"/>
      <c r="H586" s="69"/>
      <c r="I586" s="66"/>
      <c r="J586" s="69"/>
      <c r="K586" s="67"/>
      <c r="L586" s="67"/>
      <c r="M586" s="67"/>
      <c r="N586" s="67"/>
      <c r="O586" s="64"/>
      <c r="P586" s="72" t="str">
        <f aca="false">IF(OR(B586="",C586=""),"",C586&amp;"|"&amp;(YEAR(B586)*100+MONTH(B586)))</f>
        <v/>
      </c>
      <c r="Q586" s="70" t="str">
        <f aca="false">IF(P586="","",IF(COUNTIF(N_CLAVE,P586)&gt;1,"⚠ Duplicado","OK"))</f>
        <v/>
      </c>
      <c r="R586" s="74" t="str">
        <f aca="false">IF(OR(P586="",U586=""),"",MAX(0,U586-N(E586)-N(F586)-N(H586)))</f>
        <v/>
      </c>
      <c r="S586" s="75" t="str">
        <f aca="false">IF(P586="","",IFERROR(INDEX(T_INGRESO,MATCH(C586,T_ID,0)),""))</f>
        <v/>
      </c>
      <c r="T586" s="75" t="str">
        <f aca="false">IF(P586="","",IFERROR(N(INDEX(T_EGRESO,MATCH(C586,T_ID,0))),0))</f>
        <v/>
      </c>
      <c r="U586" s="73" t="str">
        <f aca="false">IF(OR(P586="",NOT(ISNUMBER(S586))),"",IF(OR(S586&gt;EOMONTH(B586,0),AND(T586&gt;0,T586&lt;B586)),0,IF(AND(S586&lt;=B586,OR(T586=0,T586&gt;=EOMONTH(B586,0))),30,MIN(30,IF(T586=0,EOMONTH(B586,0),MIN(T586,EOMONTH(B586,0)))-MAX(B586,S586)+1))))</f>
        <v/>
      </c>
    </row>
    <row r="587" customFormat="false" ht="15" hidden="false" customHeight="false" outlineLevel="0" collapsed="false">
      <c r="B587" s="78"/>
      <c r="C587" s="64"/>
      <c r="D587" s="70" t="str">
        <f aca="false">IF(C587="","",IFERROR(INDEX(T_NOMBRE,MATCH(C587,T_ID,0)),"⚠ ID no existe"))</f>
        <v/>
      </c>
      <c r="E587" s="69"/>
      <c r="F587" s="69"/>
      <c r="G587" s="69"/>
      <c r="H587" s="69"/>
      <c r="I587" s="66"/>
      <c r="J587" s="69"/>
      <c r="K587" s="67"/>
      <c r="L587" s="67"/>
      <c r="M587" s="67"/>
      <c r="N587" s="67"/>
      <c r="O587" s="64"/>
      <c r="P587" s="72" t="str">
        <f aca="false">IF(OR(B587="",C587=""),"",C587&amp;"|"&amp;(YEAR(B587)*100+MONTH(B587)))</f>
        <v/>
      </c>
      <c r="Q587" s="70" t="str">
        <f aca="false">IF(P587="","",IF(COUNTIF(N_CLAVE,P587)&gt;1,"⚠ Duplicado","OK"))</f>
        <v/>
      </c>
      <c r="R587" s="74" t="str">
        <f aca="false">IF(OR(P587="",U587=""),"",MAX(0,U587-N(E587)-N(F587)-N(H587)))</f>
        <v/>
      </c>
      <c r="S587" s="75" t="str">
        <f aca="false">IF(P587="","",IFERROR(INDEX(T_INGRESO,MATCH(C587,T_ID,0)),""))</f>
        <v/>
      </c>
      <c r="T587" s="75" t="str">
        <f aca="false">IF(P587="","",IFERROR(N(INDEX(T_EGRESO,MATCH(C587,T_ID,0))),0))</f>
        <v/>
      </c>
      <c r="U587" s="73" t="str">
        <f aca="false">IF(OR(P587="",NOT(ISNUMBER(S587))),"",IF(OR(S587&gt;EOMONTH(B587,0),AND(T587&gt;0,T587&lt;B587)),0,IF(AND(S587&lt;=B587,OR(T587=0,T587&gt;=EOMONTH(B587,0))),30,MIN(30,IF(T587=0,EOMONTH(B587,0),MIN(T587,EOMONTH(B587,0)))-MAX(B587,S587)+1))))</f>
        <v/>
      </c>
    </row>
    <row r="588" customFormat="false" ht="15" hidden="false" customHeight="false" outlineLevel="0" collapsed="false">
      <c r="B588" s="78"/>
      <c r="C588" s="64"/>
      <c r="D588" s="70" t="str">
        <f aca="false">IF(C588="","",IFERROR(INDEX(T_NOMBRE,MATCH(C588,T_ID,0)),"⚠ ID no existe"))</f>
        <v/>
      </c>
      <c r="E588" s="69"/>
      <c r="F588" s="69"/>
      <c r="G588" s="69"/>
      <c r="H588" s="69"/>
      <c r="I588" s="66"/>
      <c r="J588" s="69"/>
      <c r="K588" s="67"/>
      <c r="L588" s="67"/>
      <c r="M588" s="67"/>
      <c r="N588" s="67"/>
      <c r="O588" s="64"/>
      <c r="P588" s="72" t="str">
        <f aca="false">IF(OR(B588="",C588=""),"",C588&amp;"|"&amp;(YEAR(B588)*100+MONTH(B588)))</f>
        <v/>
      </c>
      <c r="Q588" s="70" t="str">
        <f aca="false">IF(P588="","",IF(COUNTIF(N_CLAVE,P588)&gt;1,"⚠ Duplicado","OK"))</f>
        <v/>
      </c>
      <c r="R588" s="74" t="str">
        <f aca="false">IF(OR(P588="",U588=""),"",MAX(0,U588-N(E588)-N(F588)-N(H588)))</f>
        <v/>
      </c>
      <c r="S588" s="75" t="str">
        <f aca="false">IF(P588="","",IFERROR(INDEX(T_INGRESO,MATCH(C588,T_ID,0)),""))</f>
        <v/>
      </c>
      <c r="T588" s="75" t="str">
        <f aca="false">IF(P588="","",IFERROR(N(INDEX(T_EGRESO,MATCH(C588,T_ID,0))),0))</f>
        <v/>
      </c>
      <c r="U588" s="73" t="str">
        <f aca="false">IF(OR(P588="",NOT(ISNUMBER(S588))),"",IF(OR(S588&gt;EOMONTH(B588,0),AND(T588&gt;0,T588&lt;B588)),0,IF(AND(S588&lt;=B588,OR(T588=0,T588&gt;=EOMONTH(B588,0))),30,MIN(30,IF(T588=0,EOMONTH(B588,0),MIN(T588,EOMONTH(B588,0)))-MAX(B588,S588)+1))))</f>
        <v/>
      </c>
    </row>
    <row r="589" customFormat="false" ht="15" hidden="false" customHeight="false" outlineLevel="0" collapsed="false">
      <c r="B589" s="78"/>
      <c r="C589" s="64"/>
      <c r="D589" s="70" t="str">
        <f aca="false">IF(C589="","",IFERROR(INDEX(T_NOMBRE,MATCH(C589,T_ID,0)),"⚠ ID no existe"))</f>
        <v/>
      </c>
      <c r="E589" s="69"/>
      <c r="F589" s="69"/>
      <c r="G589" s="69"/>
      <c r="H589" s="69"/>
      <c r="I589" s="66"/>
      <c r="J589" s="69"/>
      <c r="K589" s="67"/>
      <c r="L589" s="67"/>
      <c r="M589" s="67"/>
      <c r="N589" s="67"/>
      <c r="O589" s="64"/>
      <c r="P589" s="72" t="str">
        <f aca="false">IF(OR(B589="",C589=""),"",C589&amp;"|"&amp;(YEAR(B589)*100+MONTH(B589)))</f>
        <v/>
      </c>
      <c r="Q589" s="70" t="str">
        <f aca="false">IF(P589="","",IF(COUNTIF(N_CLAVE,P589)&gt;1,"⚠ Duplicado","OK"))</f>
        <v/>
      </c>
      <c r="R589" s="74" t="str">
        <f aca="false">IF(OR(P589="",U589=""),"",MAX(0,U589-N(E589)-N(F589)-N(H589)))</f>
        <v/>
      </c>
      <c r="S589" s="75" t="str">
        <f aca="false">IF(P589="","",IFERROR(INDEX(T_INGRESO,MATCH(C589,T_ID,0)),""))</f>
        <v/>
      </c>
      <c r="T589" s="75" t="str">
        <f aca="false">IF(P589="","",IFERROR(N(INDEX(T_EGRESO,MATCH(C589,T_ID,0))),0))</f>
        <v/>
      </c>
      <c r="U589" s="73" t="str">
        <f aca="false">IF(OR(P589="",NOT(ISNUMBER(S589))),"",IF(OR(S589&gt;EOMONTH(B589,0),AND(T589&gt;0,T589&lt;B589)),0,IF(AND(S589&lt;=B589,OR(T589=0,T589&gt;=EOMONTH(B589,0))),30,MIN(30,IF(T589=0,EOMONTH(B589,0),MIN(T589,EOMONTH(B589,0)))-MAX(B589,S589)+1))))</f>
        <v/>
      </c>
    </row>
    <row r="590" customFormat="false" ht="15" hidden="false" customHeight="false" outlineLevel="0" collapsed="false">
      <c r="B590" s="78"/>
      <c r="C590" s="64"/>
      <c r="D590" s="70" t="str">
        <f aca="false">IF(C590="","",IFERROR(INDEX(T_NOMBRE,MATCH(C590,T_ID,0)),"⚠ ID no existe"))</f>
        <v/>
      </c>
      <c r="E590" s="69"/>
      <c r="F590" s="69"/>
      <c r="G590" s="69"/>
      <c r="H590" s="69"/>
      <c r="I590" s="66"/>
      <c r="J590" s="69"/>
      <c r="K590" s="67"/>
      <c r="L590" s="67"/>
      <c r="M590" s="67"/>
      <c r="N590" s="67"/>
      <c r="O590" s="64"/>
      <c r="P590" s="72" t="str">
        <f aca="false">IF(OR(B590="",C590=""),"",C590&amp;"|"&amp;(YEAR(B590)*100+MONTH(B590)))</f>
        <v/>
      </c>
      <c r="Q590" s="70" t="str">
        <f aca="false">IF(P590="","",IF(COUNTIF(N_CLAVE,P590)&gt;1,"⚠ Duplicado","OK"))</f>
        <v/>
      </c>
      <c r="R590" s="74" t="str">
        <f aca="false">IF(OR(P590="",U590=""),"",MAX(0,U590-N(E590)-N(F590)-N(H590)))</f>
        <v/>
      </c>
      <c r="S590" s="75" t="str">
        <f aca="false">IF(P590="","",IFERROR(INDEX(T_INGRESO,MATCH(C590,T_ID,0)),""))</f>
        <v/>
      </c>
      <c r="T590" s="75" t="str">
        <f aca="false">IF(P590="","",IFERROR(N(INDEX(T_EGRESO,MATCH(C590,T_ID,0))),0))</f>
        <v/>
      </c>
      <c r="U590" s="73" t="str">
        <f aca="false">IF(OR(P590="",NOT(ISNUMBER(S590))),"",IF(OR(S590&gt;EOMONTH(B590,0),AND(T590&gt;0,T590&lt;B590)),0,IF(AND(S590&lt;=B590,OR(T590=0,T590&gt;=EOMONTH(B590,0))),30,MIN(30,IF(T590=0,EOMONTH(B590,0),MIN(T590,EOMONTH(B590,0)))-MAX(B590,S590)+1))))</f>
        <v/>
      </c>
    </row>
    <row r="591" customFormat="false" ht="15" hidden="false" customHeight="false" outlineLevel="0" collapsed="false">
      <c r="B591" s="78"/>
      <c r="C591" s="64"/>
      <c r="D591" s="70" t="str">
        <f aca="false">IF(C591="","",IFERROR(INDEX(T_NOMBRE,MATCH(C591,T_ID,0)),"⚠ ID no existe"))</f>
        <v/>
      </c>
      <c r="E591" s="69"/>
      <c r="F591" s="69"/>
      <c r="G591" s="69"/>
      <c r="H591" s="69"/>
      <c r="I591" s="66"/>
      <c r="J591" s="69"/>
      <c r="K591" s="67"/>
      <c r="L591" s="67"/>
      <c r="M591" s="67"/>
      <c r="N591" s="67"/>
      <c r="O591" s="64"/>
      <c r="P591" s="72" t="str">
        <f aca="false">IF(OR(B591="",C591=""),"",C591&amp;"|"&amp;(YEAR(B591)*100+MONTH(B591)))</f>
        <v/>
      </c>
      <c r="Q591" s="70" t="str">
        <f aca="false">IF(P591="","",IF(COUNTIF(N_CLAVE,P591)&gt;1,"⚠ Duplicado","OK"))</f>
        <v/>
      </c>
      <c r="R591" s="74" t="str">
        <f aca="false">IF(OR(P591="",U591=""),"",MAX(0,U591-N(E591)-N(F591)-N(H591)))</f>
        <v/>
      </c>
      <c r="S591" s="75" t="str">
        <f aca="false">IF(P591="","",IFERROR(INDEX(T_INGRESO,MATCH(C591,T_ID,0)),""))</f>
        <v/>
      </c>
      <c r="T591" s="75" t="str">
        <f aca="false">IF(P591="","",IFERROR(N(INDEX(T_EGRESO,MATCH(C591,T_ID,0))),0))</f>
        <v/>
      </c>
      <c r="U591" s="73" t="str">
        <f aca="false">IF(OR(P591="",NOT(ISNUMBER(S591))),"",IF(OR(S591&gt;EOMONTH(B591,0),AND(T591&gt;0,T591&lt;B591)),0,IF(AND(S591&lt;=B591,OR(T591=0,T591&gt;=EOMONTH(B591,0))),30,MIN(30,IF(T591=0,EOMONTH(B591,0),MIN(T591,EOMONTH(B591,0)))-MAX(B591,S591)+1))))</f>
        <v/>
      </c>
    </row>
    <row r="592" customFormat="false" ht="15" hidden="false" customHeight="false" outlineLevel="0" collapsed="false">
      <c r="B592" s="78"/>
      <c r="C592" s="64"/>
      <c r="D592" s="70" t="str">
        <f aca="false">IF(C592="","",IFERROR(INDEX(T_NOMBRE,MATCH(C592,T_ID,0)),"⚠ ID no existe"))</f>
        <v/>
      </c>
      <c r="E592" s="69"/>
      <c r="F592" s="69"/>
      <c r="G592" s="69"/>
      <c r="H592" s="69"/>
      <c r="I592" s="66"/>
      <c r="J592" s="69"/>
      <c r="K592" s="67"/>
      <c r="L592" s="67"/>
      <c r="M592" s="67"/>
      <c r="N592" s="67"/>
      <c r="O592" s="64"/>
      <c r="P592" s="72" t="str">
        <f aca="false">IF(OR(B592="",C592=""),"",C592&amp;"|"&amp;(YEAR(B592)*100+MONTH(B592)))</f>
        <v/>
      </c>
      <c r="Q592" s="70" t="str">
        <f aca="false">IF(P592="","",IF(COUNTIF(N_CLAVE,P592)&gt;1,"⚠ Duplicado","OK"))</f>
        <v/>
      </c>
      <c r="R592" s="74" t="str">
        <f aca="false">IF(OR(P592="",U592=""),"",MAX(0,U592-N(E592)-N(F592)-N(H592)))</f>
        <v/>
      </c>
      <c r="S592" s="75" t="str">
        <f aca="false">IF(P592="","",IFERROR(INDEX(T_INGRESO,MATCH(C592,T_ID,0)),""))</f>
        <v/>
      </c>
      <c r="T592" s="75" t="str">
        <f aca="false">IF(P592="","",IFERROR(N(INDEX(T_EGRESO,MATCH(C592,T_ID,0))),0))</f>
        <v/>
      </c>
      <c r="U592" s="73" t="str">
        <f aca="false">IF(OR(P592="",NOT(ISNUMBER(S592))),"",IF(OR(S592&gt;EOMONTH(B592,0),AND(T592&gt;0,T592&lt;B592)),0,IF(AND(S592&lt;=B592,OR(T592=0,T592&gt;=EOMONTH(B592,0))),30,MIN(30,IF(T592=0,EOMONTH(B592,0),MIN(T592,EOMONTH(B592,0)))-MAX(B592,S592)+1))))</f>
        <v/>
      </c>
    </row>
    <row r="593" customFormat="false" ht="15" hidden="false" customHeight="false" outlineLevel="0" collapsed="false">
      <c r="B593" s="78"/>
      <c r="C593" s="64"/>
      <c r="D593" s="70" t="str">
        <f aca="false">IF(C593="","",IFERROR(INDEX(T_NOMBRE,MATCH(C593,T_ID,0)),"⚠ ID no existe"))</f>
        <v/>
      </c>
      <c r="E593" s="69"/>
      <c r="F593" s="69"/>
      <c r="G593" s="69"/>
      <c r="H593" s="69"/>
      <c r="I593" s="66"/>
      <c r="J593" s="69"/>
      <c r="K593" s="67"/>
      <c r="L593" s="67"/>
      <c r="M593" s="67"/>
      <c r="N593" s="67"/>
      <c r="O593" s="64"/>
      <c r="P593" s="72" t="str">
        <f aca="false">IF(OR(B593="",C593=""),"",C593&amp;"|"&amp;(YEAR(B593)*100+MONTH(B593)))</f>
        <v/>
      </c>
      <c r="Q593" s="70" t="str">
        <f aca="false">IF(P593="","",IF(COUNTIF(N_CLAVE,P593)&gt;1,"⚠ Duplicado","OK"))</f>
        <v/>
      </c>
      <c r="R593" s="74" t="str">
        <f aca="false">IF(OR(P593="",U593=""),"",MAX(0,U593-N(E593)-N(F593)-N(H593)))</f>
        <v/>
      </c>
      <c r="S593" s="75" t="str">
        <f aca="false">IF(P593="","",IFERROR(INDEX(T_INGRESO,MATCH(C593,T_ID,0)),""))</f>
        <v/>
      </c>
      <c r="T593" s="75" t="str">
        <f aca="false">IF(P593="","",IFERROR(N(INDEX(T_EGRESO,MATCH(C593,T_ID,0))),0))</f>
        <v/>
      </c>
      <c r="U593" s="73" t="str">
        <f aca="false">IF(OR(P593="",NOT(ISNUMBER(S593))),"",IF(OR(S593&gt;EOMONTH(B593,0),AND(T593&gt;0,T593&lt;B593)),0,IF(AND(S593&lt;=B593,OR(T593=0,T593&gt;=EOMONTH(B593,0))),30,MIN(30,IF(T593=0,EOMONTH(B593,0),MIN(T593,EOMONTH(B593,0)))-MAX(B593,S593)+1))))</f>
        <v/>
      </c>
    </row>
    <row r="594" customFormat="false" ht="15" hidden="false" customHeight="false" outlineLevel="0" collapsed="false">
      <c r="B594" s="78"/>
      <c r="C594" s="64"/>
      <c r="D594" s="70" t="str">
        <f aca="false">IF(C594="","",IFERROR(INDEX(T_NOMBRE,MATCH(C594,T_ID,0)),"⚠ ID no existe"))</f>
        <v/>
      </c>
      <c r="E594" s="69"/>
      <c r="F594" s="69"/>
      <c r="G594" s="69"/>
      <c r="H594" s="69"/>
      <c r="I594" s="66"/>
      <c r="J594" s="69"/>
      <c r="K594" s="67"/>
      <c r="L594" s="67"/>
      <c r="M594" s="67"/>
      <c r="N594" s="67"/>
      <c r="O594" s="64"/>
      <c r="P594" s="72" t="str">
        <f aca="false">IF(OR(B594="",C594=""),"",C594&amp;"|"&amp;(YEAR(B594)*100+MONTH(B594)))</f>
        <v/>
      </c>
      <c r="Q594" s="70" t="str">
        <f aca="false">IF(P594="","",IF(COUNTIF(N_CLAVE,P594)&gt;1,"⚠ Duplicado","OK"))</f>
        <v/>
      </c>
      <c r="R594" s="74" t="str">
        <f aca="false">IF(OR(P594="",U594=""),"",MAX(0,U594-N(E594)-N(F594)-N(H594)))</f>
        <v/>
      </c>
      <c r="S594" s="75" t="str">
        <f aca="false">IF(P594="","",IFERROR(INDEX(T_INGRESO,MATCH(C594,T_ID,0)),""))</f>
        <v/>
      </c>
      <c r="T594" s="75" t="str">
        <f aca="false">IF(P594="","",IFERROR(N(INDEX(T_EGRESO,MATCH(C594,T_ID,0))),0))</f>
        <v/>
      </c>
      <c r="U594" s="73" t="str">
        <f aca="false">IF(OR(P594="",NOT(ISNUMBER(S594))),"",IF(OR(S594&gt;EOMONTH(B594,0),AND(T594&gt;0,T594&lt;B594)),0,IF(AND(S594&lt;=B594,OR(T594=0,T594&gt;=EOMONTH(B594,0))),30,MIN(30,IF(T594=0,EOMONTH(B594,0),MIN(T594,EOMONTH(B594,0)))-MAX(B594,S594)+1))))</f>
        <v/>
      </c>
    </row>
    <row r="595" customFormat="false" ht="15" hidden="false" customHeight="false" outlineLevel="0" collapsed="false">
      <c r="B595" s="78"/>
      <c r="C595" s="64"/>
      <c r="D595" s="70" t="str">
        <f aca="false">IF(C595="","",IFERROR(INDEX(T_NOMBRE,MATCH(C595,T_ID,0)),"⚠ ID no existe"))</f>
        <v/>
      </c>
      <c r="E595" s="69"/>
      <c r="F595" s="69"/>
      <c r="G595" s="69"/>
      <c r="H595" s="69"/>
      <c r="I595" s="66"/>
      <c r="J595" s="69"/>
      <c r="K595" s="67"/>
      <c r="L595" s="67"/>
      <c r="M595" s="67"/>
      <c r="N595" s="67"/>
      <c r="O595" s="64"/>
      <c r="P595" s="72" t="str">
        <f aca="false">IF(OR(B595="",C595=""),"",C595&amp;"|"&amp;(YEAR(B595)*100+MONTH(B595)))</f>
        <v/>
      </c>
      <c r="Q595" s="70" t="str">
        <f aca="false">IF(P595="","",IF(COUNTIF(N_CLAVE,P595)&gt;1,"⚠ Duplicado","OK"))</f>
        <v/>
      </c>
      <c r="R595" s="74" t="str">
        <f aca="false">IF(OR(P595="",U595=""),"",MAX(0,U595-N(E595)-N(F595)-N(H595)))</f>
        <v/>
      </c>
      <c r="S595" s="75" t="str">
        <f aca="false">IF(P595="","",IFERROR(INDEX(T_INGRESO,MATCH(C595,T_ID,0)),""))</f>
        <v/>
      </c>
      <c r="T595" s="75" t="str">
        <f aca="false">IF(P595="","",IFERROR(N(INDEX(T_EGRESO,MATCH(C595,T_ID,0))),0))</f>
        <v/>
      </c>
      <c r="U595" s="73" t="str">
        <f aca="false">IF(OR(P595="",NOT(ISNUMBER(S595))),"",IF(OR(S595&gt;EOMONTH(B595,0),AND(T595&gt;0,T595&lt;B595)),0,IF(AND(S595&lt;=B595,OR(T595=0,T595&gt;=EOMONTH(B595,0))),30,MIN(30,IF(T595=0,EOMONTH(B595,0),MIN(T595,EOMONTH(B595,0)))-MAX(B595,S595)+1))))</f>
        <v/>
      </c>
    </row>
    <row r="596" customFormat="false" ht="15" hidden="false" customHeight="false" outlineLevel="0" collapsed="false">
      <c r="B596" s="78"/>
      <c r="C596" s="64"/>
      <c r="D596" s="70" t="str">
        <f aca="false">IF(C596="","",IFERROR(INDEX(T_NOMBRE,MATCH(C596,T_ID,0)),"⚠ ID no existe"))</f>
        <v/>
      </c>
      <c r="E596" s="69"/>
      <c r="F596" s="69"/>
      <c r="G596" s="69"/>
      <c r="H596" s="69"/>
      <c r="I596" s="66"/>
      <c r="J596" s="69"/>
      <c r="K596" s="67"/>
      <c r="L596" s="67"/>
      <c r="M596" s="67"/>
      <c r="N596" s="67"/>
      <c r="O596" s="64"/>
      <c r="P596" s="72" t="str">
        <f aca="false">IF(OR(B596="",C596=""),"",C596&amp;"|"&amp;(YEAR(B596)*100+MONTH(B596)))</f>
        <v/>
      </c>
      <c r="Q596" s="70" t="str">
        <f aca="false">IF(P596="","",IF(COUNTIF(N_CLAVE,P596)&gt;1,"⚠ Duplicado","OK"))</f>
        <v/>
      </c>
      <c r="R596" s="74" t="str">
        <f aca="false">IF(OR(P596="",U596=""),"",MAX(0,U596-N(E596)-N(F596)-N(H596)))</f>
        <v/>
      </c>
      <c r="S596" s="75" t="str">
        <f aca="false">IF(P596="","",IFERROR(INDEX(T_INGRESO,MATCH(C596,T_ID,0)),""))</f>
        <v/>
      </c>
      <c r="T596" s="75" t="str">
        <f aca="false">IF(P596="","",IFERROR(N(INDEX(T_EGRESO,MATCH(C596,T_ID,0))),0))</f>
        <v/>
      </c>
      <c r="U596" s="73" t="str">
        <f aca="false">IF(OR(P596="",NOT(ISNUMBER(S596))),"",IF(OR(S596&gt;EOMONTH(B596,0),AND(T596&gt;0,T596&lt;B596)),0,IF(AND(S596&lt;=B596,OR(T596=0,T596&gt;=EOMONTH(B596,0))),30,MIN(30,IF(T596=0,EOMONTH(B596,0),MIN(T596,EOMONTH(B596,0)))-MAX(B596,S596)+1))))</f>
        <v/>
      </c>
    </row>
    <row r="597" customFormat="false" ht="15" hidden="false" customHeight="false" outlineLevel="0" collapsed="false">
      <c r="B597" s="78"/>
      <c r="C597" s="64"/>
      <c r="D597" s="70" t="str">
        <f aca="false">IF(C597="","",IFERROR(INDEX(T_NOMBRE,MATCH(C597,T_ID,0)),"⚠ ID no existe"))</f>
        <v/>
      </c>
      <c r="E597" s="69"/>
      <c r="F597" s="69"/>
      <c r="G597" s="69"/>
      <c r="H597" s="69"/>
      <c r="I597" s="66"/>
      <c r="J597" s="69"/>
      <c r="K597" s="67"/>
      <c r="L597" s="67"/>
      <c r="M597" s="67"/>
      <c r="N597" s="67"/>
      <c r="O597" s="64"/>
      <c r="P597" s="72" t="str">
        <f aca="false">IF(OR(B597="",C597=""),"",C597&amp;"|"&amp;(YEAR(B597)*100+MONTH(B597)))</f>
        <v/>
      </c>
      <c r="Q597" s="70" t="str">
        <f aca="false">IF(P597="","",IF(COUNTIF(N_CLAVE,P597)&gt;1,"⚠ Duplicado","OK"))</f>
        <v/>
      </c>
      <c r="R597" s="74" t="str">
        <f aca="false">IF(OR(P597="",U597=""),"",MAX(0,U597-N(E597)-N(F597)-N(H597)))</f>
        <v/>
      </c>
      <c r="S597" s="75" t="str">
        <f aca="false">IF(P597="","",IFERROR(INDEX(T_INGRESO,MATCH(C597,T_ID,0)),""))</f>
        <v/>
      </c>
      <c r="T597" s="75" t="str">
        <f aca="false">IF(P597="","",IFERROR(N(INDEX(T_EGRESO,MATCH(C597,T_ID,0))),0))</f>
        <v/>
      </c>
      <c r="U597" s="73" t="str">
        <f aca="false">IF(OR(P597="",NOT(ISNUMBER(S597))),"",IF(OR(S597&gt;EOMONTH(B597,0),AND(T597&gt;0,T597&lt;B597)),0,IF(AND(S597&lt;=B597,OR(T597=0,T597&gt;=EOMONTH(B597,0))),30,MIN(30,IF(T597=0,EOMONTH(B597,0),MIN(T597,EOMONTH(B597,0)))-MAX(B597,S597)+1))))</f>
        <v/>
      </c>
    </row>
    <row r="598" customFormat="false" ht="15" hidden="false" customHeight="false" outlineLevel="0" collapsed="false">
      <c r="B598" s="78"/>
      <c r="C598" s="64"/>
      <c r="D598" s="70" t="str">
        <f aca="false">IF(C598="","",IFERROR(INDEX(T_NOMBRE,MATCH(C598,T_ID,0)),"⚠ ID no existe"))</f>
        <v/>
      </c>
      <c r="E598" s="69"/>
      <c r="F598" s="69"/>
      <c r="G598" s="69"/>
      <c r="H598" s="69"/>
      <c r="I598" s="66"/>
      <c r="J598" s="69"/>
      <c r="K598" s="67"/>
      <c r="L598" s="67"/>
      <c r="M598" s="67"/>
      <c r="N598" s="67"/>
      <c r="O598" s="64"/>
      <c r="P598" s="72" t="str">
        <f aca="false">IF(OR(B598="",C598=""),"",C598&amp;"|"&amp;(YEAR(B598)*100+MONTH(B598)))</f>
        <v/>
      </c>
      <c r="Q598" s="70" t="str">
        <f aca="false">IF(P598="","",IF(COUNTIF(N_CLAVE,P598)&gt;1,"⚠ Duplicado","OK"))</f>
        <v/>
      </c>
      <c r="R598" s="74" t="str">
        <f aca="false">IF(OR(P598="",U598=""),"",MAX(0,U598-N(E598)-N(F598)-N(H598)))</f>
        <v/>
      </c>
      <c r="S598" s="75" t="str">
        <f aca="false">IF(P598="","",IFERROR(INDEX(T_INGRESO,MATCH(C598,T_ID,0)),""))</f>
        <v/>
      </c>
      <c r="T598" s="75" t="str">
        <f aca="false">IF(P598="","",IFERROR(N(INDEX(T_EGRESO,MATCH(C598,T_ID,0))),0))</f>
        <v/>
      </c>
      <c r="U598" s="73" t="str">
        <f aca="false">IF(OR(P598="",NOT(ISNUMBER(S598))),"",IF(OR(S598&gt;EOMONTH(B598,0),AND(T598&gt;0,T598&lt;B598)),0,IF(AND(S598&lt;=B598,OR(T598=0,T598&gt;=EOMONTH(B598,0))),30,MIN(30,IF(T598=0,EOMONTH(B598,0),MIN(T598,EOMONTH(B598,0)))-MAX(B598,S598)+1))))</f>
        <v/>
      </c>
    </row>
    <row r="599" customFormat="false" ht="15" hidden="false" customHeight="false" outlineLevel="0" collapsed="false">
      <c r="B599" s="78"/>
      <c r="C599" s="64"/>
      <c r="D599" s="70" t="str">
        <f aca="false">IF(C599="","",IFERROR(INDEX(T_NOMBRE,MATCH(C599,T_ID,0)),"⚠ ID no existe"))</f>
        <v/>
      </c>
      <c r="E599" s="69"/>
      <c r="F599" s="69"/>
      <c r="G599" s="69"/>
      <c r="H599" s="69"/>
      <c r="I599" s="66"/>
      <c r="J599" s="69"/>
      <c r="K599" s="67"/>
      <c r="L599" s="67"/>
      <c r="M599" s="67"/>
      <c r="N599" s="67"/>
      <c r="O599" s="64"/>
      <c r="P599" s="72" t="str">
        <f aca="false">IF(OR(B599="",C599=""),"",C599&amp;"|"&amp;(YEAR(B599)*100+MONTH(B599)))</f>
        <v/>
      </c>
      <c r="Q599" s="70" t="str">
        <f aca="false">IF(P599="","",IF(COUNTIF(N_CLAVE,P599)&gt;1,"⚠ Duplicado","OK"))</f>
        <v/>
      </c>
      <c r="R599" s="74" t="str">
        <f aca="false">IF(OR(P599="",U599=""),"",MAX(0,U599-N(E599)-N(F599)-N(H599)))</f>
        <v/>
      </c>
      <c r="S599" s="75" t="str">
        <f aca="false">IF(P599="","",IFERROR(INDEX(T_INGRESO,MATCH(C599,T_ID,0)),""))</f>
        <v/>
      </c>
      <c r="T599" s="75" t="str">
        <f aca="false">IF(P599="","",IFERROR(N(INDEX(T_EGRESO,MATCH(C599,T_ID,0))),0))</f>
        <v/>
      </c>
      <c r="U599" s="73" t="str">
        <f aca="false">IF(OR(P599="",NOT(ISNUMBER(S599))),"",IF(OR(S599&gt;EOMONTH(B599,0),AND(T599&gt;0,T599&lt;B599)),0,IF(AND(S599&lt;=B599,OR(T599=0,T599&gt;=EOMONTH(B599,0))),30,MIN(30,IF(T599=0,EOMONTH(B599,0),MIN(T599,EOMONTH(B599,0)))-MAX(B599,S599)+1))))</f>
        <v/>
      </c>
    </row>
    <row r="600" customFormat="false" ht="15" hidden="false" customHeight="false" outlineLevel="0" collapsed="false">
      <c r="B600" s="78"/>
      <c r="C600" s="64"/>
      <c r="D600" s="70" t="str">
        <f aca="false">IF(C600="","",IFERROR(INDEX(T_NOMBRE,MATCH(C600,T_ID,0)),"⚠ ID no existe"))</f>
        <v/>
      </c>
      <c r="E600" s="69"/>
      <c r="F600" s="69"/>
      <c r="G600" s="69"/>
      <c r="H600" s="69"/>
      <c r="I600" s="66"/>
      <c r="J600" s="69"/>
      <c r="K600" s="67"/>
      <c r="L600" s="67"/>
      <c r="M600" s="67"/>
      <c r="N600" s="67"/>
      <c r="O600" s="64"/>
      <c r="P600" s="72" t="str">
        <f aca="false">IF(OR(B600="",C600=""),"",C600&amp;"|"&amp;(YEAR(B600)*100+MONTH(B600)))</f>
        <v/>
      </c>
      <c r="Q600" s="70" t="str">
        <f aca="false">IF(P600="","",IF(COUNTIF(N_CLAVE,P600)&gt;1,"⚠ Duplicado","OK"))</f>
        <v/>
      </c>
      <c r="R600" s="74" t="str">
        <f aca="false">IF(OR(P600="",U600=""),"",MAX(0,U600-N(E600)-N(F600)-N(H600)))</f>
        <v/>
      </c>
      <c r="S600" s="75" t="str">
        <f aca="false">IF(P600="","",IFERROR(INDEX(T_INGRESO,MATCH(C600,T_ID,0)),""))</f>
        <v/>
      </c>
      <c r="T600" s="75" t="str">
        <f aca="false">IF(P600="","",IFERROR(N(INDEX(T_EGRESO,MATCH(C600,T_ID,0))),0))</f>
        <v/>
      </c>
      <c r="U600" s="73" t="str">
        <f aca="false">IF(OR(P600="",NOT(ISNUMBER(S600))),"",IF(OR(S600&gt;EOMONTH(B600,0),AND(T600&gt;0,T600&lt;B600)),0,IF(AND(S600&lt;=B600,OR(T600=0,T600&gt;=EOMONTH(B600,0))),30,MIN(30,IF(T600=0,EOMONTH(B600,0),MIN(T600,EOMONTH(B600,0)))-MAX(B600,S600)+1))))</f>
        <v/>
      </c>
    </row>
    <row r="601" customFormat="false" ht="15" hidden="false" customHeight="false" outlineLevel="0" collapsed="false">
      <c r="B601" s="78"/>
      <c r="C601" s="64"/>
      <c r="D601" s="70" t="str">
        <f aca="false">IF(C601="","",IFERROR(INDEX(T_NOMBRE,MATCH(C601,T_ID,0)),"⚠ ID no existe"))</f>
        <v/>
      </c>
      <c r="E601" s="69"/>
      <c r="F601" s="69"/>
      <c r="G601" s="69"/>
      <c r="H601" s="69"/>
      <c r="I601" s="66"/>
      <c r="J601" s="69"/>
      <c r="K601" s="67"/>
      <c r="L601" s="67"/>
      <c r="M601" s="67"/>
      <c r="N601" s="67"/>
      <c r="O601" s="64"/>
      <c r="P601" s="72" t="str">
        <f aca="false">IF(OR(B601="",C601=""),"",C601&amp;"|"&amp;(YEAR(B601)*100+MONTH(B601)))</f>
        <v/>
      </c>
      <c r="Q601" s="70" t="str">
        <f aca="false">IF(P601="","",IF(COUNTIF(N_CLAVE,P601)&gt;1,"⚠ Duplicado","OK"))</f>
        <v/>
      </c>
      <c r="R601" s="74" t="str">
        <f aca="false">IF(OR(P601="",U601=""),"",MAX(0,U601-N(E601)-N(F601)-N(H601)))</f>
        <v/>
      </c>
      <c r="S601" s="75" t="str">
        <f aca="false">IF(P601="","",IFERROR(INDEX(T_INGRESO,MATCH(C601,T_ID,0)),""))</f>
        <v/>
      </c>
      <c r="T601" s="75" t="str">
        <f aca="false">IF(P601="","",IFERROR(N(INDEX(T_EGRESO,MATCH(C601,T_ID,0))),0))</f>
        <v/>
      </c>
      <c r="U601" s="73" t="str">
        <f aca="false">IF(OR(P601="",NOT(ISNUMBER(S601))),"",IF(OR(S601&gt;EOMONTH(B601,0),AND(T601&gt;0,T601&lt;B601)),0,IF(AND(S601&lt;=B601,OR(T601=0,T601&gt;=EOMONTH(B601,0))),30,MIN(30,IF(T601=0,EOMONTH(B601,0),MIN(T601,EOMONTH(B601,0)))-MAX(B601,S601)+1))))</f>
        <v/>
      </c>
    </row>
    <row r="602" customFormat="false" ht="15" hidden="false" customHeight="false" outlineLevel="0" collapsed="false">
      <c r="B602" s="78"/>
      <c r="C602" s="64"/>
      <c r="D602" s="70" t="str">
        <f aca="false">IF(C602="","",IFERROR(INDEX(T_NOMBRE,MATCH(C602,T_ID,0)),"⚠ ID no existe"))</f>
        <v/>
      </c>
      <c r="E602" s="69"/>
      <c r="F602" s="69"/>
      <c r="G602" s="69"/>
      <c r="H602" s="69"/>
      <c r="I602" s="66"/>
      <c r="J602" s="69"/>
      <c r="K602" s="67"/>
      <c r="L602" s="67"/>
      <c r="M602" s="67"/>
      <c r="N602" s="67"/>
      <c r="O602" s="64"/>
      <c r="P602" s="72" t="str">
        <f aca="false">IF(OR(B602="",C602=""),"",C602&amp;"|"&amp;(YEAR(B602)*100+MONTH(B602)))</f>
        <v/>
      </c>
      <c r="Q602" s="70" t="str">
        <f aca="false">IF(P602="","",IF(COUNTIF(N_CLAVE,P602)&gt;1,"⚠ Duplicado","OK"))</f>
        <v/>
      </c>
      <c r="R602" s="74" t="str">
        <f aca="false">IF(OR(P602="",U602=""),"",MAX(0,U602-N(E602)-N(F602)-N(H602)))</f>
        <v/>
      </c>
      <c r="S602" s="75" t="str">
        <f aca="false">IF(P602="","",IFERROR(INDEX(T_INGRESO,MATCH(C602,T_ID,0)),""))</f>
        <v/>
      </c>
      <c r="T602" s="75" t="str">
        <f aca="false">IF(P602="","",IFERROR(N(INDEX(T_EGRESO,MATCH(C602,T_ID,0))),0))</f>
        <v/>
      </c>
      <c r="U602" s="73" t="str">
        <f aca="false">IF(OR(P602="",NOT(ISNUMBER(S602))),"",IF(OR(S602&gt;EOMONTH(B602,0),AND(T602&gt;0,T602&lt;B602)),0,IF(AND(S602&lt;=B602,OR(T602=0,T602&gt;=EOMONTH(B602,0))),30,MIN(30,IF(T602=0,EOMONTH(B602,0),MIN(T602,EOMONTH(B602,0)))-MAX(B602,S602)+1))))</f>
        <v/>
      </c>
    </row>
    <row r="603" customFormat="false" ht="15" hidden="false" customHeight="false" outlineLevel="0" collapsed="false">
      <c r="B603" s="78"/>
      <c r="C603" s="64"/>
      <c r="D603" s="70" t="str">
        <f aca="false">IF(C603="","",IFERROR(INDEX(T_NOMBRE,MATCH(C603,T_ID,0)),"⚠ ID no existe"))</f>
        <v/>
      </c>
      <c r="E603" s="69"/>
      <c r="F603" s="69"/>
      <c r="G603" s="69"/>
      <c r="H603" s="69"/>
      <c r="I603" s="66"/>
      <c r="J603" s="69"/>
      <c r="K603" s="67"/>
      <c r="L603" s="67"/>
      <c r="M603" s="67"/>
      <c r="N603" s="67"/>
      <c r="O603" s="64"/>
      <c r="P603" s="72" t="str">
        <f aca="false">IF(OR(B603="",C603=""),"",C603&amp;"|"&amp;(YEAR(B603)*100+MONTH(B603)))</f>
        <v/>
      </c>
      <c r="Q603" s="70" t="str">
        <f aca="false">IF(P603="","",IF(COUNTIF(N_CLAVE,P603)&gt;1,"⚠ Duplicado","OK"))</f>
        <v/>
      </c>
      <c r="R603" s="74" t="str">
        <f aca="false">IF(OR(P603="",U603=""),"",MAX(0,U603-N(E603)-N(F603)-N(H603)))</f>
        <v/>
      </c>
      <c r="S603" s="75" t="str">
        <f aca="false">IF(P603="","",IFERROR(INDEX(T_INGRESO,MATCH(C603,T_ID,0)),""))</f>
        <v/>
      </c>
      <c r="T603" s="75" t="str">
        <f aca="false">IF(P603="","",IFERROR(N(INDEX(T_EGRESO,MATCH(C603,T_ID,0))),0))</f>
        <v/>
      </c>
      <c r="U603" s="73" t="str">
        <f aca="false">IF(OR(P603="",NOT(ISNUMBER(S603))),"",IF(OR(S603&gt;EOMONTH(B603,0),AND(T603&gt;0,T603&lt;B603)),0,IF(AND(S603&lt;=B603,OR(T603=0,T603&gt;=EOMONTH(B603,0))),30,MIN(30,IF(T603=0,EOMONTH(B603,0),MIN(T603,EOMONTH(B603,0)))-MAX(B603,S603)+1))))</f>
        <v/>
      </c>
    </row>
    <row r="604" customFormat="false" ht="15" hidden="false" customHeight="false" outlineLevel="0" collapsed="false">
      <c r="B604" s="78"/>
      <c r="C604" s="64"/>
      <c r="D604" s="70" t="str">
        <f aca="false">IF(C604="","",IFERROR(INDEX(T_NOMBRE,MATCH(C604,T_ID,0)),"⚠ ID no existe"))</f>
        <v/>
      </c>
      <c r="E604" s="69"/>
      <c r="F604" s="69"/>
      <c r="G604" s="69"/>
      <c r="H604" s="69"/>
      <c r="I604" s="66"/>
      <c r="J604" s="69"/>
      <c r="K604" s="67"/>
      <c r="L604" s="67"/>
      <c r="M604" s="67"/>
      <c r="N604" s="67"/>
      <c r="O604" s="64"/>
      <c r="P604" s="72" t="str">
        <f aca="false">IF(OR(B604="",C604=""),"",C604&amp;"|"&amp;(YEAR(B604)*100+MONTH(B604)))</f>
        <v/>
      </c>
      <c r="Q604" s="70" t="str">
        <f aca="false">IF(P604="","",IF(COUNTIF(N_CLAVE,P604)&gt;1,"⚠ Duplicado","OK"))</f>
        <v/>
      </c>
      <c r="R604" s="74" t="str">
        <f aca="false">IF(OR(P604="",U604=""),"",MAX(0,U604-N(E604)-N(F604)-N(H604)))</f>
        <v/>
      </c>
      <c r="S604" s="75" t="str">
        <f aca="false">IF(P604="","",IFERROR(INDEX(T_INGRESO,MATCH(C604,T_ID,0)),""))</f>
        <v/>
      </c>
      <c r="T604" s="75" t="str">
        <f aca="false">IF(P604="","",IFERROR(N(INDEX(T_EGRESO,MATCH(C604,T_ID,0))),0))</f>
        <v/>
      </c>
      <c r="U604" s="73" t="str">
        <f aca="false">IF(OR(P604="",NOT(ISNUMBER(S604))),"",IF(OR(S604&gt;EOMONTH(B604,0),AND(T604&gt;0,T604&lt;B604)),0,IF(AND(S604&lt;=B604,OR(T604=0,T604&gt;=EOMONTH(B604,0))),30,MIN(30,IF(T604=0,EOMONTH(B604,0),MIN(T604,EOMONTH(B604,0)))-MAX(B604,S604)+1))))</f>
        <v/>
      </c>
    </row>
    <row r="605" customFormat="false" ht="15" hidden="false" customHeight="false" outlineLevel="0" collapsed="false">
      <c r="B605" s="78"/>
      <c r="C605" s="64"/>
      <c r="D605" s="70" t="str">
        <f aca="false">IF(C605="","",IFERROR(INDEX(T_NOMBRE,MATCH(C605,T_ID,0)),"⚠ ID no existe"))</f>
        <v/>
      </c>
      <c r="E605" s="69"/>
      <c r="F605" s="69"/>
      <c r="G605" s="69"/>
      <c r="H605" s="69"/>
      <c r="I605" s="66"/>
      <c r="J605" s="69"/>
      <c r="K605" s="67"/>
      <c r="L605" s="67"/>
      <c r="M605" s="67"/>
      <c r="N605" s="67"/>
      <c r="O605" s="64"/>
      <c r="P605" s="72" t="str">
        <f aca="false">IF(OR(B605="",C605=""),"",C605&amp;"|"&amp;(YEAR(B605)*100+MONTH(B605)))</f>
        <v/>
      </c>
      <c r="Q605" s="70" t="str">
        <f aca="false">IF(P605="","",IF(COUNTIF(N_CLAVE,P605)&gt;1,"⚠ Duplicado","OK"))</f>
        <v/>
      </c>
      <c r="R605" s="74" t="str">
        <f aca="false">IF(OR(P605="",U605=""),"",MAX(0,U605-N(E605)-N(F605)-N(H605)))</f>
        <v/>
      </c>
      <c r="S605" s="75" t="str">
        <f aca="false">IF(P605="","",IFERROR(INDEX(T_INGRESO,MATCH(C605,T_ID,0)),""))</f>
        <v/>
      </c>
      <c r="T605" s="75" t="str">
        <f aca="false">IF(P605="","",IFERROR(N(INDEX(T_EGRESO,MATCH(C605,T_ID,0))),0))</f>
        <v/>
      </c>
      <c r="U605" s="73" t="str">
        <f aca="false">IF(OR(P605="",NOT(ISNUMBER(S605))),"",IF(OR(S605&gt;EOMONTH(B605,0),AND(T605&gt;0,T605&lt;B605)),0,IF(AND(S605&lt;=B605,OR(T605=0,T605&gt;=EOMONTH(B605,0))),30,MIN(30,IF(T605=0,EOMONTH(B605,0),MIN(T605,EOMONTH(B605,0)))-MAX(B605,S605)+1))))</f>
        <v/>
      </c>
    </row>
    <row r="606" customFormat="false" ht="15" hidden="false" customHeight="false" outlineLevel="0" collapsed="false">
      <c r="B606" s="78"/>
      <c r="C606" s="64"/>
      <c r="D606" s="70" t="str">
        <f aca="false">IF(C606="","",IFERROR(INDEX(T_NOMBRE,MATCH(C606,T_ID,0)),"⚠ ID no existe"))</f>
        <v/>
      </c>
      <c r="E606" s="69"/>
      <c r="F606" s="69"/>
      <c r="G606" s="69"/>
      <c r="H606" s="69"/>
      <c r="I606" s="66"/>
      <c r="J606" s="69"/>
      <c r="K606" s="67"/>
      <c r="L606" s="67"/>
      <c r="M606" s="67"/>
      <c r="N606" s="67"/>
      <c r="O606" s="64"/>
      <c r="P606" s="72" t="str">
        <f aca="false">IF(OR(B606="",C606=""),"",C606&amp;"|"&amp;(YEAR(B606)*100+MONTH(B606)))</f>
        <v/>
      </c>
      <c r="Q606" s="70" t="str">
        <f aca="false">IF(P606="","",IF(COUNTIF(N_CLAVE,P606)&gt;1,"⚠ Duplicado","OK"))</f>
        <v/>
      </c>
      <c r="R606" s="74" t="str">
        <f aca="false">IF(OR(P606="",U606=""),"",MAX(0,U606-N(E606)-N(F606)-N(H606)))</f>
        <v/>
      </c>
      <c r="S606" s="75" t="str">
        <f aca="false">IF(P606="","",IFERROR(INDEX(T_INGRESO,MATCH(C606,T_ID,0)),""))</f>
        <v/>
      </c>
      <c r="T606" s="75" t="str">
        <f aca="false">IF(P606="","",IFERROR(N(INDEX(T_EGRESO,MATCH(C606,T_ID,0))),0))</f>
        <v/>
      </c>
      <c r="U606" s="73" t="str">
        <f aca="false">IF(OR(P606="",NOT(ISNUMBER(S606))),"",IF(OR(S606&gt;EOMONTH(B606,0),AND(T606&gt;0,T606&lt;B606)),0,IF(AND(S606&lt;=B606,OR(T606=0,T606&gt;=EOMONTH(B606,0))),30,MIN(30,IF(T606=0,EOMONTH(B606,0),MIN(T606,EOMONTH(B606,0)))-MAX(B606,S606)+1))))</f>
        <v/>
      </c>
    </row>
    <row r="607" customFormat="false" ht="15" hidden="false" customHeight="false" outlineLevel="0" collapsed="false">
      <c r="B607" s="78"/>
      <c r="C607" s="64"/>
      <c r="D607" s="70" t="str">
        <f aca="false">IF(C607="","",IFERROR(INDEX(T_NOMBRE,MATCH(C607,T_ID,0)),"⚠ ID no existe"))</f>
        <v/>
      </c>
      <c r="E607" s="69"/>
      <c r="F607" s="69"/>
      <c r="G607" s="69"/>
      <c r="H607" s="69"/>
      <c r="I607" s="66"/>
      <c r="J607" s="69"/>
      <c r="K607" s="67"/>
      <c r="L607" s="67"/>
      <c r="M607" s="67"/>
      <c r="N607" s="67"/>
      <c r="O607" s="64"/>
      <c r="P607" s="72" t="str">
        <f aca="false">IF(OR(B607="",C607=""),"",C607&amp;"|"&amp;(YEAR(B607)*100+MONTH(B607)))</f>
        <v/>
      </c>
      <c r="Q607" s="70" t="str">
        <f aca="false">IF(P607="","",IF(COUNTIF(N_CLAVE,P607)&gt;1,"⚠ Duplicado","OK"))</f>
        <v/>
      </c>
      <c r="R607" s="74" t="str">
        <f aca="false">IF(OR(P607="",U607=""),"",MAX(0,U607-N(E607)-N(F607)-N(H607)))</f>
        <v/>
      </c>
      <c r="S607" s="75" t="str">
        <f aca="false">IF(P607="","",IFERROR(INDEX(T_INGRESO,MATCH(C607,T_ID,0)),""))</f>
        <v/>
      </c>
      <c r="T607" s="75" t="str">
        <f aca="false">IF(P607="","",IFERROR(N(INDEX(T_EGRESO,MATCH(C607,T_ID,0))),0))</f>
        <v/>
      </c>
      <c r="U607" s="73" t="str">
        <f aca="false">IF(OR(P607="",NOT(ISNUMBER(S607))),"",IF(OR(S607&gt;EOMONTH(B607,0),AND(T607&gt;0,T607&lt;B607)),0,IF(AND(S607&lt;=B607,OR(T607=0,T607&gt;=EOMONTH(B607,0))),30,MIN(30,IF(T607=0,EOMONTH(B607,0),MIN(T607,EOMONTH(B607,0)))-MAX(B607,S607)+1))))</f>
        <v/>
      </c>
    </row>
    <row r="608" customFormat="false" ht="15" hidden="false" customHeight="false" outlineLevel="0" collapsed="false">
      <c r="B608" s="78"/>
      <c r="C608" s="64"/>
      <c r="D608" s="70" t="str">
        <f aca="false">IF(C608="","",IFERROR(INDEX(T_NOMBRE,MATCH(C608,T_ID,0)),"⚠ ID no existe"))</f>
        <v/>
      </c>
      <c r="E608" s="69"/>
      <c r="F608" s="69"/>
      <c r="G608" s="69"/>
      <c r="H608" s="69"/>
      <c r="I608" s="66"/>
      <c r="J608" s="69"/>
      <c r="K608" s="67"/>
      <c r="L608" s="67"/>
      <c r="M608" s="67"/>
      <c r="N608" s="67"/>
      <c r="O608" s="64"/>
      <c r="P608" s="72" t="str">
        <f aca="false">IF(OR(B608="",C608=""),"",C608&amp;"|"&amp;(YEAR(B608)*100+MONTH(B608)))</f>
        <v/>
      </c>
      <c r="Q608" s="70" t="str">
        <f aca="false">IF(P608="","",IF(COUNTIF(N_CLAVE,P608)&gt;1,"⚠ Duplicado","OK"))</f>
        <v/>
      </c>
      <c r="R608" s="74" t="str">
        <f aca="false">IF(OR(P608="",U608=""),"",MAX(0,U608-N(E608)-N(F608)-N(H608)))</f>
        <v/>
      </c>
      <c r="S608" s="75" t="str">
        <f aca="false">IF(P608="","",IFERROR(INDEX(T_INGRESO,MATCH(C608,T_ID,0)),""))</f>
        <v/>
      </c>
      <c r="T608" s="75" t="str">
        <f aca="false">IF(P608="","",IFERROR(N(INDEX(T_EGRESO,MATCH(C608,T_ID,0))),0))</f>
        <v/>
      </c>
      <c r="U608" s="73" t="str">
        <f aca="false">IF(OR(P608="",NOT(ISNUMBER(S608))),"",IF(OR(S608&gt;EOMONTH(B608,0),AND(T608&gt;0,T608&lt;B608)),0,IF(AND(S608&lt;=B608,OR(T608=0,T608&gt;=EOMONTH(B608,0))),30,MIN(30,IF(T608=0,EOMONTH(B608,0),MIN(T608,EOMONTH(B608,0)))-MAX(B608,S608)+1))))</f>
        <v/>
      </c>
    </row>
    <row r="609" customFormat="false" ht="15" hidden="false" customHeight="false" outlineLevel="0" collapsed="false">
      <c r="B609" s="78"/>
      <c r="C609" s="64"/>
      <c r="D609" s="70" t="str">
        <f aca="false">IF(C609="","",IFERROR(INDEX(T_NOMBRE,MATCH(C609,T_ID,0)),"⚠ ID no existe"))</f>
        <v/>
      </c>
      <c r="E609" s="69"/>
      <c r="F609" s="69"/>
      <c r="G609" s="69"/>
      <c r="H609" s="69"/>
      <c r="I609" s="66"/>
      <c r="J609" s="69"/>
      <c r="K609" s="67"/>
      <c r="L609" s="67"/>
      <c r="M609" s="67"/>
      <c r="N609" s="67"/>
      <c r="O609" s="64"/>
      <c r="P609" s="72" t="str">
        <f aca="false">IF(OR(B609="",C609=""),"",C609&amp;"|"&amp;(YEAR(B609)*100+MONTH(B609)))</f>
        <v/>
      </c>
      <c r="Q609" s="70" t="str">
        <f aca="false">IF(P609="","",IF(COUNTIF(N_CLAVE,P609)&gt;1,"⚠ Duplicado","OK"))</f>
        <v/>
      </c>
      <c r="R609" s="74" t="str">
        <f aca="false">IF(OR(P609="",U609=""),"",MAX(0,U609-N(E609)-N(F609)-N(H609)))</f>
        <v/>
      </c>
      <c r="S609" s="75" t="str">
        <f aca="false">IF(P609="","",IFERROR(INDEX(T_INGRESO,MATCH(C609,T_ID,0)),""))</f>
        <v/>
      </c>
      <c r="T609" s="75" t="str">
        <f aca="false">IF(P609="","",IFERROR(N(INDEX(T_EGRESO,MATCH(C609,T_ID,0))),0))</f>
        <v/>
      </c>
      <c r="U609" s="73" t="str">
        <f aca="false">IF(OR(P609="",NOT(ISNUMBER(S609))),"",IF(OR(S609&gt;EOMONTH(B609,0),AND(T609&gt;0,T609&lt;B609)),0,IF(AND(S609&lt;=B609,OR(T609=0,T609&gt;=EOMONTH(B609,0))),30,MIN(30,IF(T609=0,EOMONTH(B609,0),MIN(T609,EOMONTH(B609,0)))-MAX(B609,S609)+1))))</f>
        <v/>
      </c>
    </row>
    <row r="610" customFormat="false" ht="15" hidden="false" customHeight="false" outlineLevel="0" collapsed="false">
      <c r="B610" s="78"/>
      <c r="C610" s="64"/>
      <c r="D610" s="70" t="str">
        <f aca="false">IF(C610="","",IFERROR(INDEX(T_NOMBRE,MATCH(C610,T_ID,0)),"⚠ ID no existe"))</f>
        <v/>
      </c>
      <c r="E610" s="69"/>
      <c r="F610" s="69"/>
      <c r="G610" s="69"/>
      <c r="H610" s="69"/>
      <c r="I610" s="66"/>
      <c r="J610" s="69"/>
      <c r="K610" s="67"/>
      <c r="L610" s="67"/>
      <c r="M610" s="67"/>
      <c r="N610" s="67"/>
      <c r="O610" s="64"/>
      <c r="P610" s="72" t="str">
        <f aca="false">IF(OR(B610="",C610=""),"",C610&amp;"|"&amp;(YEAR(B610)*100+MONTH(B610)))</f>
        <v/>
      </c>
      <c r="Q610" s="70" t="str">
        <f aca="false">IF(P610="","",IF(COUNTIF(N_CLAVE,P610)&gt;1,"⚠ Duplicado","OK"))</f>
        <v/>
      </c>
      <c r="R610" s="74" t="str">
        <f aca="false">IF(OR(P610="",U610=""),"",MAX(0,U610-N(E610)-N(F610)-N(H610)))</f>
        <v/>
      </c>
      <c r="S610" s="75" t="str">
        <f aca="false">IF(P610="","",IFERROR(INDEX(T_INGRESO,MATCH(C610,T_ID,0)),""))</f>
        <v/>
      </c>
      <c r="T610" s="75" t="str">
        <f aca="false">IF(P610="","",IFERROR(N(INDEX(T_EGRESO,MATCH(C610,T_ID,0))),0))</f>
        <v/>
      </c>
      <c r="U610" s="73" t="str">
        <f aca="false">IF(OR(P610="",NOT(ISNUMBER(S610))),"",IF(OR(S610&gt;EOMONTH(B610,0),AND(T610&gt;0,T610&lt;B610)),0,IF(AND(S610&lt;=B610,OR(T610=0,T610&gt;=EOMONTH(B610,0))),30,MIN(30,IF(T610=0,EOMONTH(B610,0),MIN(T610,EOMONTH(B610,0)))-MAX(B610,S610)+1))))</f>
        <v/>
      </c>
    </row>
    <row r="611" customFormat="false" ht="15" hidden="false" customHeight="false" outlineLevel="0" collapsed="false">
      <c r="B611" s="78"/>
      <c r="C611" s="64"/>
      <c r="D611" s="70" t="str">
        <f aca="false">IF(C611="","",IFERROR(INDEX(T_NOMBRE,MATCH(C611,T_ID,0)),"⚠ ID no existe"))</f>
        <v/>
      </c>
      <c r="E611" s="69"/>
      <c r="F611" s="69"/>
      <c r="G611" s="69"/>
      <c r="H611" s="69"/>
      <c r="I611" s="66"/>
      <c r="J611" s="69"/>
      <c r="K611" s="67"/>
      <c r="L611" s="67"/>
      <c r="M611" s="67"/>
      <c r="N611" s="67"/>
      <c r="O611" s="64"/>
      <c r="P611" s="72" t="str">
        <f aca="false">IF(OR(B611="",C611=""),"",C611&amp;"|"&amp;(YEAR(B611)*100+MONTH(B611)))</f>
        <v/>
      </c>
      <c r="Q611" s="70" t="str">
        <f aca="false">IF(P611="","",IF(COUNTIF(N_CLAVE,P611)&gt;1,"⚠ Duplicado","OK"))</f>
        <v/>
      </c>
      <c r="R611" s="74" t="str">
        <f aca="false">IF(OR(P611="",U611=""),"",MAX(0,U611-N(E611)-N(F611)-N(H611)))</f>
        <v/>
      </c>
      <c r="S611" s="75" t="str">
        <f aca="false">IF(P611="","",IFERROR(INDEX(T_INGRESO,MATCH(C611,T_ID,0)),""))</f>
        <v/>
      </c>
      <c r="T611" s="75" t="str">
        <f aca="false">IF(P611="","",IFERROR(N(INDEX(T_EGRESO,MATCH(C611,T_ID,0))),0))</f>
        <v/>
      </c>
      <c r="U611" s="73" t="str">
        <f aca="false">IF(OR(P611="",NOT(ISNUMBER(S611))),"",IF(OR(S611&gt;EOMONTH(B611,0),AND(T611&gt;0,T611&lt;B611)),0,IF(AND(S611&lt;=B611,OR(T611=0,T611&gt;=EOMONTH(B611,0))),30,MIN(30,IF(T611=0,EOMONTH(B611,0),MIN(T611,EOMONTH(B611,0)))-MAX(B611,S611)+1))))</f>
        <v/>
      </c>
    </row>
    <row r="612" customFormat="false" ht="15" hidden="false" customHeight="false" outlineLevel="0" collapsed="false">
      <c r="B612" s="78"/>
      <c r="C612" s="64"/>
      <c r="D612" s="70" t="str">
        <f aca="false">IF(C612="","",IFERROR(INDEX(T_NOMBRE,MATCH(C612,T_ID,0)),"⚠ ID no existe"))</f>
        <v/>
      </c>
      <c r="E612" s="69"/>
      <c r="F612" s="69"/>
      <c r="G612" s="69"/>
      <c r="H612" s="69"/>
      <c r="I612" s="66"/>
      <c r="J612" s="69"/>
      <c r="K612" s="67"/>
      <c r="L612" s="67"/>
      <c r="M612" s="67"/>
      <c r="N612" s="67"/>
      <c r="O612" s="64"/>
      <c r="P612" s="72" t="str">
        <f aca="false">IF(OR(B612="",C612=""),"",C612&amp;"|"&amp;(YEAR(B612)*100+MONTH(B612)))</f>
        <v/>
      </c>
      <c r="Q612" s="70" t="str">
        <f aca="false">IF(P612="","",IF(COUNTIF(N_CLAVE,P612)&gt;1,"⚠ Duplicado","OK"))</f>
        <v/>
      </c>
      <c r="R612" s="74" t="str">
        <f aca="false">IF(OR(P612="",U612=""),"",MAX(0,U612-N(E612)-N(F612)-N(H612)))</f>
        <v/>
      </c>
      <c r="S612" s="75" t="str">
        <f aca="false">IF(P612="","",IFERROR(INDEX(T_INGRESO,MATCH(C612,T_ID,0)),""))</f>
        <v/>
      </c>
      <c r="T612" s="75" t="str">
        <f aca="false">IF(P612="","",IFERROR(N(INDEX(T_EGRESO,MATCH(C612,T_ID,0))),0))</f>
        <v/>
      </c>
      <c r="U612" s="73" t="str">
        <f aca="false">IF(OR(P612="",NOT(ISNUMBER(S612))),"",IF(OR(S612&gt;EOMONTH(B612,0),AND(T612&gt;0,T612&lt;B612)),0,IF(AND(S612&lt;=B612,OR(T612=0,T612&gt;=EOMONTH(B612,0))),30,MIN(30,IF(T612=0,EOMONTH(B612,0),MIN(T612,EOMONTH(B612,0)))-MAX(B612,S612)+1))))</f>
        <v/>
      </c>
    </row>
    <row r="613" customFormat="false" ht="15" hidden="false" customHeight="false" outlineLevel="0" collapsed="false">
      <c r="B613" s="78"/>
      <c r="C613" s="64"/>
      <c r="D613" s="70" t="str">
        <f aca="false">IF(C613="","",IFERROR(INDEX(T_NOMBRE,MATCH(C613,T_ID,0)),"⚠ ID no existe"))</f>
        <v/>
      </c>
      <c r="E613" s="69"/>
      <c r="F613" s="69"/>
      <c r="G613" s="69"/>
      <c r="H613" s="69"/>
      <c r="I613" s="66"/>
      <c r="J613" s="69"/>
      <c r="K613" s="67"/>
      <c r="L613" s="67"/>
      <c r="M613" s="67"/>
      <c r="N613" s="67"/>
      <c r="O613" s="64"/>
      <c r="P613" s="72" t="str">
        <f aca="false">IF(OR(B613="",C613=""),"",C613&amp;"|"&amp;(YEAR(B613)*100+MONTH(B613)))</f>
        <v/>
      </c>
      <c r="Q613" s="70" t="str">
        <f aca="false">IF(P613="","",IF(COUNTIF(N_CLAVE,P613)&gt;1,"⚠ Duplicado","OK"))</f>
        <v/>
      </c>
      <c r="R613" s="74" t="str">
        <f aca="false">IF(OR(P613="",U613=""),"",MAX(0,U613-N(E613)-N(F613)-N(H613)))</f>
        <v/>
      </c>
      <c r="S613" s="75" t="str">
        <f aca="false">IF(P613="","",IFERROR(INDEX(T_INGRESO,MATCH(C613,T_ID,0)),""))</f>
        <v/>
      </c>
      <c r="T613" s="75" t="str">
        <f aca="false">IF(P613="","",IFERROR(N(INDEX(T_EGRESO,MATCH(C613,T_ID,0))),0))</f>
        <v/>
      </c>
      <c r="U613" s="73" t="str">
        <f aca="false">IF(OR(P613="",NOT(ISNUMBER(S613))),"",IF(OR(S613&gt;EOMONTH(B613,0),AND(T613&gt;0,T613&lt;B613)),0,IF(AND(S613&lt;=B613,OR(T613=0,T613&gt;=EOMONTH(B613,0))),30,MIN(30,IF(T613=0,EOMONTH(B613,0),MIN(T613,EOMONTH(B613,0)))-MAX(B613,S613)+1))))</f>
        <v/>
      </c>
    </row>
    <row r="614" customFormat="false" ht="15" hidden="false" customHeight="false" outlineLevel="0" collapsed="false">
      <c r="B614" s="78"/>
      <c r="C614" s="64"/>
      <c r="D614" s="70" t="str">
        <f aca="false">IF(C614="","",IFERROR(INDEX(T_NOMBRE,MATCH(C614,T_ID,0)),"⚠ ID no existe"))</f>
        <v/>
      </c>
      <c r="E614" s="69"/>
      <c r="F614" s="69"/>
      <c r="G614" s="69"/>
      <c r="H614" s="69"/>
      <c r="I614" s="66"/>
      <c r="J614" s="69"/>
      <c r="K614" s="67"/>
      <c r="L614" s="67"/>
      <c r="M614" s="67"/>
      <c r="N614" s="67"/>
      <c r="O614" s="64"/>
      <c r="P614" s="72" t="str">
        <f aca="false">IF(OR(B614="",C614=""),"",C614&amp;"|"&amp;(YEAR(B614)*100+MONTH(B614)))</f>
        <v/>
      </c>
      <c r="Q614" s="70" t="str">
        <f aca="false">IF(P614="","",IF(COUNTIF(N_CLAVE,P614)&gt;1,"⚠ Duplicado","OK"))</f>
        <v/>
      </c>
      <c r="R614" s="74" t="str">
        <f aca="false">IF(OR(P614="",U614=""),"",MAX(0,U614-N(E614)-N(F614)-N(H614)))</f>
        <v/>
      </c>
      <c r="S614" s="75" t="str">
        <f aca="false">IF(P614="","",IFERROR(INDEX(T_INGRESO,MATCH(C614,T_ID,0)),""))</f>
        <v/>
      </c>
      <c r="T614" s="75" t="str">
        <f aca="false">IF(P614="","",IFERROR(N(INDEX(T_EGRESO,MATCH(C614,T_ID,0))),0))</f>
        <v/>
      </c>
      <c r="U614" s="73" t="str">
        <f aca="false">IF(OR(P614="",NOT(ISNUMBER(S614))),"",IF(OR(S614&gt;EOMONTH(B614,0),AND(T614&gt;0,T614&lt;B614)),0,IF(AND(S614&lt;=B614,OR(T614=0,T614&gt;=EOMONTH(B614,0))),30,MIN(30,IF(T614=0,EOMONTH(B614,0),MIN(T614,EOMONTH(B614,0)))-MAX(B614,S614)+1))))</f>
        <v/>
      </c>
    </row>
    <row r="615" customFormat="false" ht="15" hidden="false" customHeight="false" outlineLevel="0" collapsed="false">
      <c r="B615" s="78"/>
      <c r="C615" s="64"/>
      <c r="D615" s="70" t="str">
        <f aca="false">IF(C615="","",IFERROR(INDEX(T_NOMBRE,MATCH(C615,T_ID,0)),"⚠ ID no existe"))</f>
        <v/>
      </c>
      <c r="E615" s="69"/>
      <c r="F615" s="69"/>
      <c r="G615" s="69"/>
      <c r="H615" s="69"/>
      <c r="I615" s="66"/>
      <c r="J615" s="69"/>
      <c r="K615" s="67"/>
      <c r="L615" s="67"/>
      <c r="M615" s="67"/>
      <c r="N615" s="67"/>
      <c r="O615" s="64"/>
      <c r="P615" s="72" t="str">
        <f aca="false">IF(OR(B615="",C615=""),"",C615&amp;"|"&amp;(YEAR(B615)*100+MONTH(B615)))</f>
        <v/>
      </c>
      <c r="Q615" s="70" t="str">
        <f aca="false">IF(P615="","",IF(COUNTIF(N_CLAVE,P615)&gt;1,"⚠ Duplicado","OK"))</f>
        <v/>
      </c>
      <c r="R615" s="74" t="str">
        <f aca="false">IF(OR(P615="",U615=""),"",MAX(0,U615-N(E615)-N(F615)-N(H615)))</f>
        <v/>
      </c>
      <c r="S615" s="75" t="str">
        <f aca="false">IF(P615="","",IFERROR(INDEX(T_INGRESO,MATCH(C615,T_ID,0)),""))</f>
        <v/>
      </c>
      <c r="T615" s="75" t="str">
        <f aca="false">IF(P615="","",IFERROR(N(INDEX(T_EGRESO,MATCH(C615,T_ID,0))),0))</f>
        <v/>
      </c>
      <c r="U615" s="73" t="str">
        <f aca="false">IF(OR(P615="",NOT(ISNUMBER(S615))),"",IF(OR(S615&gt;EOMONTH(B615,0),AND(T615&gt;0,T615&lt;B615)),0,IF(AND(S615&lt;=B615,OR(T615=0,T615&gt;=EOMONTH(B615,0))),30,MIN(30,IF(T615=0,EOMONTH(B615,0),MIN(T615,EOMONTH(B615,0)))-MAX(B615,S615)+1))))</f>
        <v/>
      </c>
    </row>
    <row r="616" customFormat="false" ht="15" hidden="false" customHeight="false" outlineLevel="0" collapsed="false">
      <c r="B616" s="78"/>
      <c r="C616" s="64"/>
      <c r="D616" s="70" t="str">
        <f aca="false">IF(C616="","",IFERROR(INDEX(T_NOMBRE,MATCH(C616,T_ID,0)),"⚠ ID no existe"))</f>
        <v/>
      </c>
      <c r="E616" s="69"/>
      <c r="F616" s="69"/>
      <c r="G616" s="69"/>
      <c r="H616" s="69"/>
      <c r="I616" s="66"/>
      <c r="J616" s="69"/>
      <c r="K616" s="67"/>
      <c r="L616" s="67"/>
      <c r="M616" s="67"/>
      <c r="N616" s="67"/>
      <c r="O616" s="64"/>
      <c r="P616" s="72" t="str">
        <f aca="false">IF(OR(B616="",C616=""),"",C616&amp;"|"&amp;(YEAR(B616)*100+MONTH(B616)))</f>
        <v/>
      </c>
      <c r="Q616" s="70" t="str">
        <f aca="false">IF(P616="","",IF(COUNTIF(N_CLAVE,P616)&gt;1,"⚠ Duplicado","OK"))</f>
        <v/>
      </c>
      <c r="R616" s="74" t="str">
        <f aca="false">IF(OR(P616="",U616=""),"",MAX(0,U616-N(E616)-N(F616)-N(H616)))</f>
        <v/>
      </c>
      <c r="S616" s="75" t="str">
        <f aca="false">IF(P616="","",IFERROR(INDEX(T_INGRESO,MATCH(C616,T_ID,0)),""))</f>
        <v/>
      </c>
      <c r="T616" s="75" t="str">
        <f aca="false">IF(P616="","",IFERROR(N(INDEX(T_EGRESO,MATCH(C616,T_ID,0))),0))</f>
        <v/>
      </c>
      <c r="U616" s="73" t="str">
        <f aca="false">IF(OR(P616="",NOT(ISNUMBER(S616))),"",IF(OR(S616&gt;EOMONTH(B616,0),AND(T616&gt;0,T616&lt;B616)),0,IF(AND(S616&lt;=B616,OR(T616=0,T616&gt;=EOMONTH(B616,0))),30,MIN(30,IF(T616=0,EOMONTH(B616,0),MIN(T616,EOMONTH(B616,0)))-MAX(B616,S616)+1))))</f>
        <v/>
      </c>
    </row>
    <row r="617" customFormat="false" ht="15" hidden="false" customHeight="false" outlineLevel="0" collapsed="false">
      <c r="B617" s="78"/>
      <c r="C617" s="64"/>
      <c r="D617" s="70" t="str">
        <f aca="false">IF(C617="","",IFERROR(INDEX(T_NOMBRE,MATCH(C617,T_ID,0)),"⚠ ID no existe"))</f>
        <v/>
      </c>
      <c r="E617" s="69"/>
      <c r="F617" s="69"/>
      <c r="G617" s="69"/>
      <c r="H617" s="69"/>
      <c r="I617" s="66"/>
      <c r="J617" s="69"/>
      <c r="K617" s="67"/>
      <c r="L617" s="67"/>
      <c r="M617" s="67"/>
      <c r="N617" s="67"/>
      <c r="O617" s="64"/>
      <c r="P617" s="72" t="str">
        <f aca="false">IF(OR(B617="",C617=""),"",C617&amp;"|"&amp;(YEAR(B617)*100+MONTH(B617)))</f>
        <v/>
      </c>
      <c r="Q617" s="70" t="str">
        <f aca="false">IF(P617="","",IF(COUNTIF(N_CLAVE,P617)&gt;1,"⚠ Duplicado","OK"))</f>
        <v/>
      </c>
      <c r="R617" s="74" t="str">
        <f aca="false">IF(OR(P617="",U617=""),"",MAX(0,U617-N(E617)-N(F617)-N(H617)))</f>
        <v/>
      </c>
      <c r="S617" s="75" t="str">
        <f aca="false">IF(P617="","",IFERROR(INDEX(T_INGRESO,MATCH(C617,T_ID,0)),""))</f>
        <v/>
      </c>
      <c r="T617" s="75" t="str">
        <f aca="false">IF(P617="","",IFERROR(N(INDEX(T_EGRESO,MATCH(C617,T_ID,0))),0))</f>
        <v/>
      </c>
      <c r="U617" s="73" t="str">
        <f aca="false">IF(OR(P617="",NOT(ISNUMBER(S617))),"",IF(OR(S617&gt;EOMONTH(B617,0),AND(T617&gt;0,T617&lt;B617)),0,IF(AND(S617&lt;=B617,OR(T617=0,T617&gt;=EOMONTH(B617,0))),30,MIN(30,IF(T617=0,EOMONTH(B617,0),MIN(T617,EOMONTH(B617,0)))-MAX(B617,S617)+1))))</f>
        <v/>
      </c>
    </row>
    <row r="618" customFormat="false" ht="15" hidden="false" customHeight="false" outlineLevel="0" collapsed="false">
      <c r="B618" s="78"/>
      <c r="C618" s="64"/>
      <c r="D618" s="70" t="str">
        <f aca="false">IF(C618="","",IFERROR(INDEX(T_NOMBRE,MATCH(C618,T_ID,0)),"⚠ ID no existe"))</f>
        <v/>
      </c>
      <c r="E618" s="69"/>
      <c r="F618" s="69"/>
      <c r="G618" s="69"/>
      <c r="H618" s="69"/>
      <c r="I618" s="66"/>
      <c r="J618" s="69"/>
      <c r="K618" s="67"/>
      <c r="L618" s="67"/>
      <c r="M618" s="67"/>
      <c r="N618" s="67"/>
      <c r="O618" s="64"/>
      <c r="P618" s="72" t="str">
        <f aca="false">IF(OR(B618="",C618=""),"",C618&amp;"|"&amp;(YEAR(B618)*100+MONTH(B618)))</f>
        <v/>
      </c>
      <c r="Q618" s="70" t="str">
        <f aca="false">IF(P618="","",IF(COUNTIF(N_CLAVE,P618)&gt;1,"⚠ Duplicado","OK"))</f>
        <v/>
      </c>
      <c r="R618" s="74" t="str">
        <f aca="false">IF(OR(P618="",U618=""),"",MAX(0,U618-N(E618)-N(F618)-N(H618)))</f>
        <v/>
      </c>
      <c r="S618" s="75" t="str">
        <f aca="false">IF(P618="","",IFERROR(INDEX(T_INGRESO,MATCH(C618,T_ID,0)),""))</f>
        <v/>
      </c>
      <c r="T618" s="75" t="str">
        <f aca="false">IF(P618="","",IFERROR(N(INDEX(T_EGRESO,MATCH(C618,T_ID,0))),0))</f>
        <v/>
      </c>
      <c r="U618" s="73" t="str">
        <f aca="false">IF(OR(P618="",NOT(ISNUMBER(S618))),"",IF(OR(S618&gt;EOMONTH(B618,0),AND(T618&gt;0,T618&lt;B618)),0,IF(AND(S618&lt;=B618,OR(T618=0,T618&gt;=EOMONTH(B618,0))),30,MIN(30,IF(T618=0,EOMONTH(B618,0),MIN(T618,EOMONTH(B618,0)))-MAX(B618,S618)+1))))</f>
        <v/>
      </c>
    </row>
    <row r="619" customFormat="false" ht="15" hidden="false" customHeight="false" outlineLevel="0" collapsed="false">
      <c r="B619" s="78"/>
      <c r="C619" s="64"/>
      <c r="D619" s="70" t="str">
        <f aca="false">IF(C619="","",IFERROR(INDEX(T_NOMBRE,MATCH(C619,T_ID,0)),"⚠ ID no existe"))</f>
        <v/>
      </c>
      <c r="E619" s="69"/>
      <c r="F619" s="69"/>
      <c r="G619" s="69"/>
      <c r="H619" s="69"/>
      <c r="I619" s="66"/>
      <c r="J619" s="69"/>
      <c r="K619" s="67"/>
      <c r="L619" s="67"/>
      <c r="M619" s="67"/>
      <c r="N619" s="67"/>
      <c r="O619" s="64"/>
      <c r="P619" s="72" t="str">
        <f aca="false">IF(OR(B619="",C619=""),"",C619&amp;"|"&amp;(YEAR(B619)*100+MONTH(B619)))</f>
        <v/>
      </c>
      <c r="Q619" s="70" t="str">
        <f aca="false">IF(P619="","",IF(COUNTIF(N_CLAVE,P619)&gt;1,"⚠ Duplicado","OK"))</f>
        <v/>
      </c>
      <c r="R619" s="74" t="str">
        <f aca="false">IF(OR(P619="",U619=""),"",MAX(0,U619-N(E619)-N(F619)-N(H619)))</f>
        <v/>
      </c>
      <c r="S619" s="75" t="str">
        <f aca="false">IF(P619="","",IFERROR(INDEX(T_INGRESO,MATCH(C619,T_ID,0)),""))</f>
        <v/>
      </c>
      <c r="T619" s="75" t="str">
        <f aca="false">IF(P619="","",IFERROR(N(INDEX(T_EGRESO,MATCH(C619,T_ID,0))),0))</f>
        <v/>
      </c>
      <c r="U619" s="73" t="str">
        <f aca="false">IF(OR(P619="",NOT(ISNUMBER(S619))),"",IF(OR(S619&gt;EOMONTH(B619,0),AND(T619&gt;0,T619&lt;B619)),0,IF(AND(S619&lt;=B619,OR(T619=0,T619&gt;=EOMONTH(B619,0))),30,MIN(30,IF(T619=0,EOMONTH(B619,0),MIN(T619,EOMONTH(B619,0)))-MAX(B619,S619)+1))))</f>
        <v/>
      </c>
    </row>
    <row r="620" customFormat="false" ht="15" hidden="false" customHeight="false" outlineLevel="0" collapsed="false">
      <c r="B620" s="78"/>
      <c r="C620" s="64"/>
      <c r="D620" s="70" t="str">
        <f aca="false">IF(C620="","",IFERROR(INDEX(T_NOMBRE,MATCH(C620,T_ID,0)),"⚠ ID no existe"))</f>
        <v/>
      </c>
      <c r="E620" s="69"/>
      <c r="F620" s="69"/>
      <c r="G620" s="69"/>
      <c r="H620" s="69"/>
      <c r="I620" s="66"/>
      <c r="J620" s="69"/>
      <c r="K620" s="67"/>
      <c r="L620" s="67"/>
      <c r="M620" s="67"/>
      <c r="N620" s="67"/>
      <c r="O620" s="64"/>
      <c r="P620" s="72" t="str">
        <f aca="false">IF(OR(B620="",C620=""),"",C620&amp;"|"&amp;(YEAR(B620)*100+MONTH(B620)))</f>
        <v/>
      </c>
      <c r="Q620" s="70" t="str">
        <f aca="false">IF(P620="","",IF(COUNTIF(N_CLAVE,P620)&gt;1,"⚠ Duplicado","OK"))</f>
        <v/>
      </c>
      <c r="R620" s="74" t="str">
        <f aca="false">IF(OR(P620="",U620=""),"",MAX(0,U620-N(E620)-N(F620)-N(H620)))</f>
        <v/>
      </c>
      <c r="S620" s="75" t="str">
        <f aca="false">IF(P620="","",IFERROR(INDEX(T_INGRESO,MATCH(C620,T_ID,0)),""))</f>
        <v/>
      </c>
      <c r="T620" s="75" t="str">
        <f aca="false">IF(P620="","",IFERROR(N(INDEX(T_EGRESO,MATCH(C620,T_ID,0))),0))</f>
        <v/>
      </c>
      <c r="U620" s="73" t="str">
        <f aca="false">IF(OR(P620="",NOT(ISNUMBER(S620))),"",IF(OR(S620&gt;EOMONTH(B620,0),AND(T620&gt;0,T620&lt;B620)),0,IF(AND(S620&lt;=B620,OR(T620=0,T620&gt;=EOMONTH(B620,0))),30,MIN(30,IF(T620=0,EOMONTH(B620,0),MIN(T620,EOMONTH(B620,0)))-MAX(B620,S620)+1))))</f>
        <v/>
      </c>
    </row>
    <row r="621" customFormat="false" ht="15" hidden="false" customHeight="false" outlineLevel="0" collapsed="false">
      <c r="B621" s="78"/>
      <c r="C621" s="64"/>
      <c r="D621" s="70" t="str">
        <f aca="false">IF(C621="","",IFERROR(INDEX(T_NOMBRE,MATCH(C621,T_ID,0)),"⚠ ID no existe"))</f>
        <v/>
      </c>
      <c r="E621" s="69"/>
      <c r="F621" s="69"/>
      <c r="G621" s="69"/>
      <c r="H621" s="69"/>
      <c r="I621" s="66"/>
      <c r="J621" s="69"/>
      <c r="K621" s="67"/>
      <c r="L621" s="67"/>
      <c r="M621" s="67"/>
      <c r="N621" s="67"/>
      <c r="O621" s="64"/>
      <c r="P621" s="72" t="str">
        <f aca="false">IF(OR(B621="",C621=""),"",C621&amp;"|"&amp;(YEAR(B621)*100+MONTH(B621)))</f>
        <v/>
      </c>
      <c r="Q621" s="70" t="str">
        <f aca="false">IF(P621="","",IF(COUNTIF(N_CLAVE,P621)&gt;1,"⚠ Duplicado","OK"))</f>
        <v/>
      </c>
      <c r="R621" s="74" t="str">
        <f aca="false">IF(OR(P621="",U621=""),"",MAX(0,U621-N(E621)-N(F621)-N(H621)))</f>
        <v/>
      </c>
      <c r="S621" s="75" t="str">
        <f aca="false">IF(P621="","",IFERROR(INDEX(T_INGRESO,MATCH(C621,T_ID,0)),""))</f>
        <v/>
      </c>
      <c r="T621" s="75" t="str">
        <f aca="false">IF(P621="","",IFERROR(N(INDEX(T_EGRESO,MATCH(C621,T_ID,0))),0))</f>
        <v/>
      </c>
      <c r="U621" s="73" t="str">
        <f aca="false">IF(OR(P621="",NOT(ISNUMBER(S621))),"",IF(OR(S621&gt;EOMONTH(B621,0),AND(T621&gt;0,T621&lt;B621)),0,IF(AND(S621&lt;=B621,OR(T621=0,T621&gt;=EOMONTH(B621,0))),30,MIN(30,IF(T621=0,EOMONTH(B621,0),MIN(T621,EOMONTH(B621,0)))-MAX(B621,S621)+1))))</f>
        <v/>
      </c>
    </row>
    <row r="622" customFormat="false" ht="15" hidden="false" customHeight="false" outlineLevel="0" collapsed="false">
      <c r="B622" s="78"/>
      <c r="C622" s="64"/>
      <c r="D622" s="70" t="str">
        <f aca="false">IF(C622="","",IFERROR(INDEX(T_NOMBRE,MATCH(C622,T_ID,0)),"⚠ ID no existe"))</f>
        <v/>
      </c>
      <c r="E622" s="69"/>
      <c r="F622" s="69"/>
      <c r="G622" s="69"/>
      <c r="H622" s="69"/>
      <c r="I622" s="66"/>
      <c r="J622" s="69"/>
      <c r="K622" s="67"/>
      <c r="L622" s="67"/>
      <c r="M622" s="67"/>
      <c r="N622" s="67"/>
      <c r="O622" s="64"/>
      <c r="P622" s="72" t="str">
        <f aca="false">IF(OR(B622="",C622=""),"",C622&amp;"|"&amp;(YEAR(B622)*100+MONTH(B622)))</f>
        <v/>
      </c>
      <c r="Q622" s="70" t="str">
        <f aca="false">IF(P622="","",IF(COUNTIF(N_CLAVE,P622)&gt;1,"⚠ Duplicado","OK"))</f>
        <v/>
      </c>
      <c r="R622" s="74" t="str">
        <f aca="false">IF(OR(P622="",U622=""),"",MAX(0,U622-N(E622)-N(F622)-N(H622)))</f>
        <v/>
      </c>
      <c r="S622" s="75" t="str">
        <f aca="false">IF(P622="","",IFERROR(INDEX(T_INGRESO,MATCH(C622,T_ID,0)),""))</f>
        <v/>
      </c>
      <c r="T622" s="75" t="str">
        <f aca="false">IF(P622="","",IFERROR(N(INDEX(T_EGRESO,MATCH(C622,T_ID,0))),0))</f>
        <v/>
      </c>
      <c r="U622" s="73" t="str">
        <f aca="false">IF(OR(P622="",NOT(ISNUMBER(S622))),"",IF(OR(S622&gt;EOMONTH(B622,0),AND(T622&gt;0,T622&lt;B622)),0,IF(AND(S622&lt;=B622,OR(T622=0,T622&gt;=EOMONTH(B622,0))),30,MIN(30,IF(T622=0,EOMONTH(B622,0),MIN(T622,EOMONTH(B622,0)))-MAX(B622,S622)+1))))</f>
        <v/>
      </c>
    </row>
    <row r="623" customFormat="false" ht="15" hidden="false" customHeight="false" outlineLevel="0" collapsed="false">
      <c r="B623" s="78"/>
      <c r="C623" s="64"/>
      <c r="D623" s="70" t="str">
        <f aca="false">IF(C623="","",IFERROR(INDEX(T_NOMBRE,MATCH(C623,T_ID,0)),"⚠ ID no existe"))</f>
        <v/>
      </c>
      <c r="E623" s="69"/>
      <c r="F623" s="69"/>
      <c r="G623" s="69"/>
      <c r="H623" s="69"/>
      <c r="I623" s="66"/>
      <c r="J623" s="69"/>
      <c r="K623" s="67"/>
      <c r="L623" s="67"/>
      <c r="M623" s="67"/>
      <c r="N623" s="67"/>
      <c r="O623" s="64"/>
      <c r="P623" s="72" t="str">
        <f aca="false">IF(OR(B623="",C623=""),"",C623&amp;"|"&amp;(YEAR(B623)*100+MONTH(B623)))</f>
        <v/>
      </c>
      <c r="Q623" s="70" t="str">
        <f aca="false">IF(P623="","",IF(COUNTIF(N_CLAVE,P623)&gt;1,"⚠ Duplicado","OK"))</f>
        <v/>
      </c>
      <c r="R623" s="74" t="str">
        <f aca="false">IF(OR(P623="",U623=""),"",MAX(0,U623-N(E623)-N(F623)-N(H623)))</f>
        <v/>
      </c>
      <c r="S623" s="75" t="str">
        <f aca="false">IF(P623="","",IFERROR(INDEX(T_INGRESO,MATCH(C623,T_ID,0)),""))</f>
        <v/>
      </c>
      <c r="T623" s="75" t="str">
        <f aca="false">IF(P623="","",IFERROR(N(INDEX(T_EGRESO,MATCH(C623,T_ID,0))),0))</f>
        <v/>
      </c>
      <c r="U623" s="73" t="str">
        <f aca="false">IF(OR(P623="",NOT(ISNUMBER(S623))),"",IF(OR(S623&gt;EOMONTH(B623,0),AND(T623&gt;0,T623&lt;B623)),0,IF(AND(S623&lt;=B623,OR(T623=0,T623&gt;=EOMONTH(B623,0))),30,MIN(30,IF(T623=0,EOMONTH(B623,0),MIN(T623,EOMONTH(B623,0)))-MAX(B623,S623)+1))))</f>
        <v/>
      </c>
    </row>
    <row r="624" customFormat="false" ht="15" hidden="false" customHeight="false" outlineLevel="0" collapsed="false">
      <c r="B624" s="78"/>
      <c r="C624" s="64"/>
      <c r="D624" s="70" t="str">
        <f aca="false">IF(C624="","",IFERROR(INDEX(T_NOMBRE,MATCH(C624,T_ID,0)),"⚠ ID no existe"))</f>
        <v/>
      </c>
      <c r="E624" s="69"/>
      <c r="F624" s="69"/>
      <c r="G624" s="69"/>
      <c r="H624" s="69"/>
      <c r="I624" s="66"/>
      <c r="J624" s="69"/>
      <c r="K624" s="67"/>
      <c r="L624" s="67"/>
      <c r="M624" s="67"/>
      <c r="N624" s="67"/>
      <c r="O624" s="64"/>
      <c r="P624" s="72" t="str">
        <f aca="false">IF(OR(B624="",C624=""),"",C624&amp;"|"&amp;(YEAR(B624)*100+MONTH(B624)))</f>
        <v/>
      </c>
      <c r="Q624" s="70" t="str">
        <f aca="false">IF(P624="","",IF(COUNTIF(N_CLAVE,P624)&gt;1,"⚠ Duplicado","OK"))</f>
        <v/>
      </c>
      <c r="R624" s="74" t="str">
        <f aca="false">IF(OR(P624="",U624=""),"",MAX(0,U624-N(E624)-N(F624)-N(H624)))</f>
        <v/>
      </c>
      <c r="S624" s="75" t="str">
        <f aca="false">IF(P624="","",IFERROR(INDEX(T_INGRESO,MATCH(C624,T_ID,0)),""))</f>
        <v/>
      </c>
      <c r="T624" s="75" t="str">
        <f aca="false">IF(P624="","",IFERROR(N(INDEX(T_EGRESO,MATCH(C624,T_ID,0))),0))</f>
        <v/>
      </c>
      <c r="U624" s="73" t="str">
        <f aca="false">IF(OR(P624="",NOT(ISNUMBER(S624))),"",IF(OR(S624&gt;EOMONTH(B624,0),AND(T624&gt;0,T624&lt;B624)),0,IF(AND(S624&lt;=B624,OR(T624=0,T624&gt;=EOMONTH(B624,0))),30,MIN(30,IF(T624=0,EOMONTH(B624,0),MIN(T624,EOMONTH(B624,0)))-MAX(B624,S624)+1))))</f>
        <v/>
      </c>
    </row>
    <row r="625" customFormat="false" ht="15" hidden="false" customHeight="false" outlineLevel="0" collapsed="false">
      <c r="B625" s="78"/>
      <c r="C625" s="64"/>
      <c r="D625" s="70" t="str">
        <f aca="false">IF(C625="","",IFERROR(INDEX(T_NOMBRE,MATCH(C625,T_ID,0)),"⚠ ID no existe"))</f>
        <v/>
      </c>
      <c r="E625" s="69"/>
      <c r="F625" s="69"/>
      <c r="G625" s="69"/>
      <c r="H625" s="69"/>
      <c r="I625" s="66"/>
      <c r="J625" s="69"/>
      <c r="K625" s="67"/>
      <c r="L625" s="67"/>
      <c r="M625" s="67"/>
      <c r="N625" s="67"/>
      <c r="O625" s="64"/>
      <c r="P625" s="72" t="str">
        <f aca="false">IF(OR(B625="",C625=""),"",C625&amp;"|"&amp;(YEAR(B625)*100+MONTH(B625)))</f>
        <v/>
      </c>
      <c r="Q625" s="70" t="str">
        <f aca="false">IF(P625="","",IF(COUNTIF(N_CLAVE,P625)&gt;1,"⚠ Duplicado","OK"))</f>
        <v/>
      </c>
      <c r="R625" s="74" t="str">
        <f aca="false">IF(OR(P625="",U625=""),"",MAX(0,U625-N(E625)-N(F625)-N(H625)))</f>
        <v/>
      </c>
      <c r="S625" s="75" t="str">
        <f aca="false">IF(P625="","",IFERROR(INDEX(T_INGRESO,MATCH(C625,T_ID,0)),""))</f>
        <v/>
      </c>
      <c r="T625" s="75" t="str">
        <f aca="false">IF(P625="","",IFERROR(N(INDEX(T_EGRESO,MATCH(C625,T_ID,0))),0))</f>
        <v/>
      </c>
      <c r="U625" s="73" t="str">
        <f aca="false">IF(OR(P625="",NOT(ISNUMBER(S625))),"",IF(OR(S625&gt;EOMONTH(B625,0),AND(T625&gt;0,T625&lt;B625)),0,IF(AND(S625&lt;=B625,OR(T625=0,T625&gt;=EOMONTH(B625,0))),30,MIN(30,IF(T625=0,EOMONTH(B625,0),MIN(T625,EOMONTH(B625,0)))-MAX(B625,S625)+1))))</f>
        <v/>
      </c>
    </row>
    <row r="626" customFormat="false" ht="15" hidden="false" customHeight="false" outlineLevel="0" collapsed="false">
      <c r="B626" s="78"/>
      <c r="C626" s="64"/>
      <c r="D626" s="70" t="str">
        <f aca="false">IF(C626="","",IFERROR(INDEX(T_NOMBRE,MATCH(C626,T_ID,0)),"⚠ ID no existe"))</f>
        <v/>
      </c>
      <c r="E626" s="69"/>
      <c r="F626" s="69"/>
      <c r="G626" s="69"/>
      <c r="H626" s="69"/>
      <c r="I626" s="66"/>
      <c r="J626" s="69"/>
      <c r="K626" s="67"/>
      <c r="L626" s="67"/>
      <c r="M626" s="67"/>
      <c r="N626" s="67"/>
      <c r="O626" s="64"/>
      <c r="P626" s="72" t="str">
        <f aca="false">IF(OR(B626="",C626=""),"",C626&amp;"|"&amp;(YEAR(B626)*100+MONTH(B626)))</f>
        <v/>
      </c>
      <c r="Q626" s="70" t="str">
        <f aca="false">IF(P626="","",IF(COUNTIF(N_CLAVE,P626)&gt;1,"⚠ Duplicado","OK"))</f>
        <v/>
      </c>
      <c r="R626" s="74" t="str">
        <f aca="false">IF(OR(P626="",U626=""),"",MAX(0,U626-N(E626)-N(F626)-N(H626)))</f>
        <v/>
      </c>
      <c r="S626" s="75" t="str">
        <f aca="false">IF(P626="","",IFERROR(INDEX(T_INGRESO,MATCH(C626,T_ID,0)),""))</f>
        <v/>
      </c>
      <c r="T626" s="75" t="str">
        <f aca="false">IF(P626="","",IFERROR(N(INDEX(T_EGRESO,MATCH(C626,T_ID,0))),0))</f>
        <v/>
      </c>
      <c r="U626" s="73" t="str">
        <f aca="false">IF(OR(P626="",NOT(ISNUMBER(S626))),"",IF(OR(S626&gt;EOMONTH(B626,0),AND(T626&gt;0,T626&lt;B626)),0,IF(AND(S626&lt;=B626,OR(T626=0,T626&gt;=EOMONTH(B626,0))),30,MIN(30,IF(T626=0,EOMONTH(B626,0),MIN(T626,EOMONTH(B626,0)))-MAX(B626,S626)+1))))</f>
        <v/>
      </c>
    </row>
    <row r="627" customFormat="false" ht="15" hidden="false" customHeight="false" outlineLevel="0" collapsed="false">
      <c r="B627" s="78"/>
      <c r="C627" s="64"/>
      <c r="D627" s="70" t="str">
        <f aca="false">IF(C627="","",IFERROR(INDEX(T_NOMBRE,MATCH(C627,T_ID,0)),"⚠ ID no existe"))</f>
        <v/>
      </c>
      <c r="E627" s="69"/>
      <c r="F627" s="69"/>
      <c r="G627" s="69"/>
      <c r="H627" s="69"/>
      <c r="I627" s="66"/>
      <c r="J627" s="69"/>
      <c r="K627" s="67"/>
      <c r="L627" s="67"/>
      <c r="M627" s="67"/>
      <c r="N627" s="67"/>
      <c r="O627" s="64"/>
      <c r="P627" s="72" t="str">
        <f aca="false">IF(OR(B627="",C627=""),"",C627&amp;"|"&amp;(YEAR(B627)*100+MONTH(B627)))</f>
        <v/>
      </c>
      <c r="Q627" s="70" t="str">
        <f aca="false">IF(P627="","",IF(COUNTIF(N_CLAVE,P627)&gt;1,"⚠ Duplicado","OK"))</f>
        <v/>
      </c>
      <c r="R627" s="74" t="str">
        <f aca="false">IF(OR(P627="",U627=""),"",MAX(0,U627-N(E627)-N(F627)-N(H627)))</f>
        <v/>
      </c>
      <c r="S627" s="75" t="str">
        <f aca="false">IF(P627="","",IFERROR(INDEX(T_INGRESO,MATCH(C627,T_ID,0)),""))</f>
        <v/>
      </c>
      <c r="T627" s="75" t="str">
        <f aca="false">IF(P627="","",IFERROR(N(INDEX(T_EGRESO,MATCH(C627,T_ID,0))),0))</f>
        <v/>
      </c>
      <c r="U627" s="73" t="str">
        <f aca="false">IF(OR(P627="",NOT(ISNUMBER(S627))),"",IF(OR(S627&gt;EOMONTH(B627,0),AND(T627&gt;0,T627&lt;B627)),0,IF(AND(S627&lt;=B627,OR(T627=0,T627&gt;=EOMONTH(B627,0))),30,MIN(30,IF(T627=0,EOMONTH(B627,0),MIN(T627,EOMONTH(B627,0)))-MAX(B627,S627)+1))))</f>
        <v/>
      </c>
    </row>
    <row r="628" customFormat="false" ht="15" hidden="false" customHeight="false" outlineLevel="0" collapsed="false">
      <c r="B628" s="78"/>
      <c r="C628" s="64"/>
      <c r="D628" s="70" t="str">
        <f aca="false">IF(C628="","",IFERROR(INDEX(T_NOMBRE,MATCH(C628,T_ID,0)),"⚠ ID no existe"))</f>
        <v/>
      </c>
      <c r="E628" s="69"/>
      <c r="F628" s="69"/>
      <c r="G628" s="69"/>
      <c r="H628" s="69"/>
      <c r="I628" s="66"/>
      <c r="J628" s="69"/>
      <c r="K628" s="67"/>
      <c r="L628" s="67"/>
      <c r="M628" s="67"/>
      <c r="N628" s="67"/>
      <c r="O628" s="64"/>
      <c r="P628" s="72" t="str">
        <f aca="false">IF(OR(B628="",C628=""),"",C628&amp;"|"&amp;(YEAR(B628)*100+MONTH(B628)))</f>
        <v/>
      </c>
      <c r="Q628" s="70" t="str">
        <f aca="false">IF(P628="","",IF(COUNTIF(N_CLAVE,P628)&gt;1,"⚠ Duplicado","OK"))</f>
        <v/>
      </c>
      <c r="R628" s="74" t="str">
        <f aca="false">IF(OR(P628="",U628=""),"",MAX(0,U628-N(E628)-N(F628)-N(H628)))</f>
        <v/>
      </c>
      <c r="S628" s="75" t="str">
        <f aca="false">IF(P628="","",IFERROR(INDEX(T_INGRESO,MATCH(C628,T_ID,0)),""))</f>
        <v/>
      </c>
      <c r="T628" s="75" t="str">
        <f aca="false">IF(P628="","",IFERROR(N(INDEX(T_EGRESO,MATCH(C628,T_ID,0))),0))</f>
        <v/>
      </c>
      <c r="U628" s="73" t="str">
        <f aca="false">IF(OR(P628="",NOT(ISNUMBER(S628))),"",IF(OR(S628&gt;EOMONTH(B628,0),AND(T628&gt;0,T628&lt;B628)),0,IF(AND(S628&lt;=B628,OR(T628=0,T628&gt;=EOMONTH(B628,0))),30,MIN(30,IF(T628=0,EOMONTH(B628,0),MIN(T628,EOMONTH(B628,0)))-MAX(B628,S628)+1))))</f>
        <v/>
      </c>
    </row>
    <row r="629" customFormat="false" ht="15" hidden="false" customHeight="false" outlineLevel="0" collapsed="false">
      <c r="B629" s="78"/>
      <c r="C629" s="64"/>
      <c r="D629" s="70" t="str">
        <f aca="false">IF(C629="","",IFERROR(INDEX(T_NOMBRE,MATCH(C629,T_ID,0)),"⚠ ID no existe"))</f>
        <v/>
      </c>
      <c r="E629" s="69"/>
      <c r="F629" s="69"/>
      <c r="G629" s="69"/>
      <c r="H629" s="69"/>
      <c r="I629" s="66"/>
      <c r="J629" s="69"/>
      <c r="K629" s="67"/>
      <c r="L629" s="67"/>
      <c r="M629" s="67"/>
      <c r="N629" s="67"/>
      <c r="O629" s="64"/>
      <c r="P629" s="72" t="str">
        <f aca="false">IF(OR(B629="",C629=""),"",C629&amp;"|"&amp;(YEAR(B629)*100+MONTH(B629)))</f>
        <v/>
      </c>
      <c r="Q629" s="70" t="str">
        <f aca="false">IF(P629="","",IF(COUNTIF(N_CLAVE,P629)&gt;1,"⚠ Duplicado","OK"))</f>
        <v/>
      </c>
      <c r="R629" s="74" t="str">
        <f aca="false">IF(OR(P629="",U629=""),"",MAX(0,U629-N(E629)-N(F629)-N(H629)))</f>
        <v/>
      </c>
      <c r="S629" s="75" t="str">
        <f aca="false">IF(P629="","",IFERROR(INDEX(T_INGRESO,MATCH(C629,T_ID,0)),""))</f>
        <v/>
      </c>
      <c r="T629" s="75" t="str">
        <f aca="false">IF(P629="","",IFERROR(N(INDEX(T_EGRESO,MATCH(C629,T_ID,0))),0))</f>
        <v/>
      </c>
      <c r="U629" s="73" t="str">
        <f aca="false">IF(OR(P629="",NOT(ISNUMBER(S629))),"",IF(OR(S629&gt;EOMONTH(B629,0),AND(T629&gt;0,T629&lt;B629)),0,IF(AND(S629&lt;=B629,OR(T629=0,T629&gt;=EOMONTH(B629,0))),30,MIN(30,IF(T629=0,EOMONTH(B629,0),MIN(T629,EOMONTH(B629,0)))-MAX(B629,S629)+1))))</f>
        <v/>
      </c>
    </row>
    <row r="630" customFormat="false" ht="15" hidden="false" customHeight="false" outlineLevel="0" collapsed="false">
      <c r="B630" s="78"/>
      <c r="C630" s="64"/>
      <c r="D630" s="70" t="str">
        <f aca="false">IF(C630="","",IFERROR(INDEX(T_NOMBRE,MATCH(C630,T_ID,0)),"⚠ ID no existe"))</f>
        <v/>
      </c>
      <c r="E630" s="69"/>
      <c r="F630" s="69"/>
      <c r="G630" s="69"/>
      <c r="H630" s="69"/>
      <c r="I630" s="66"/>
      <c r="J630" s="69"/>
      <c r="K630" s="67"/>
      <c r="L630" s="67"/>
      <c r="M630" s="67"/>
      <c r="N630" s="67"/>
      <c r="O630" s="64"/>
      <c r="P630" s="72" t="str">
        <f aca="false">IF(OR(B630="",C630=""),"",C630&amp;"|"&amp;(YEAR(B630)*100+MONTH(B630)))</f>
        <v/>
      </c>
      <c r="Q630" s="70" t="str">
        <f aca="false">IF(P630="","",IF(COUNTIF(N_CLAVE,P630)&gt;1,"⚠ Duplicado","OK"))</f>
        <v/>
      </c>
      <c r="R630" s="74" t="str">
        <f aca="false">IF(OR(P630="",U630=""),"",MAX(0,U630-N(E630)-N(F630)-N(H630)))</f>
        <v/>
      </c>
      <c r="S630" s="75" t="str">
        <f aca="false">IF(P630="","",IFERROR(INDEX(T_INGRESO,MATCH(C630,T_ID,0)),""))</f>
        <v/>
      </c>
      <c r="T630" s="75" t="str">
        <f aca="false">IF(P630="","",IFERROR(N(INDEX(T_EGRESO,MATCH(C630,T_ID,0))),0))</f>
        <v/>
      </c>
      <c r="U630" s="73" t="str">
        <f aca="false">IF(OR(P630="",NOT(ISNUMBER(S630))),"",IF(OR(S630&gt;EOMONTH(B630,0),AND(T630&gt;0,T630&lt;B630)),0,IF(AND(S630&lt;=B630,OR(T630=0,T630&gt;=EOMONTH(B630,0))),30,MIN(30,IF(T630=0,EOMONTH(B630,0),MIN(T630,EOMONTH(B630,0)))-MAX(B630,S630)+1))))</f>
        <v/>
      </c>
    </row>
    <row r="631" customFormat="false" ht="15" hidden="false" customHeight="false" outlineLevel="0" collapsed="false">
      <c r="B631" s="78"/>
      <c r="C631" s="64"/>
      <c r="D631" s="70" t="str">
        <f aca="false">IF(C631="","",IFERROR(INDEX(T_NOMBRE,MATCH(C631,T_ID,0)),"⚠ ID no existe"))</f>
        <v/>
      </c>
      <c r="E631" s="69"/>
      <c r="F631" s="69"/>
      <c r="G631" s="69"/>
      <c r="H631" s="69"/>
      <c r="I631" s="66"/>
      <c r="J631" s="69"/>
      <c r="K631" s="67"/>
      <c r="L631" s="67"/>
      <c r="M631" s="67"/>
      <c r="N631" s="67"/>
      <c r="O631" s="64"/>
      <c r="P631" s="72" t="str">
        <f aca="false">IF(OR(B631="",C631=""),"",C631&amp;"|"&amp;(YEAR(B631)*100+MONTH(B631)))</f>
        <v/>
      </c>
      <c r="Q631" s="70" t="str">
        <f aca="false">IF(P631="","",IF(COUNTIF(N_CLAVE,P631)&gt;1,"⚠ Duplicado","OK"))</f>
        <v/>
      </c>
      <c r="R631" s="74" t="str">
        <f aca="false">IF(OR(P631="",U631=""),"",MAX(0,U631-N(E631)-N(F631)-N(H631)))</f>
        <v/>
      </c>
      <c r="S631" s="75" t="str">
        <f aca="false">IF(P631="","",IFERROR(INDEX(T_INGRESO,MATCH(C631,T_ID,0)),""))</f>
        <v/>
      </c>
      <c r="T631" s="75" t="str">
        <f aca="false">IF(P631="","",IFERROR(N(INDEX(T_EGRESO,MATCH(C631,T_ID,0))),0))</f>
        <v/>
      </c>
      <c r="U631" s="73" t="str">
        <f aca="false">IF(OR(P631="",NOT(ISNUMBER(S631))),"",IF(OR(S631&gt;EOMONTH(B631,0),AND(T631&gt;0,T631&lt;B631)),0,IF(AND(S631&lt;=B631,OR(T631=0,T631&gt;=EOMONTH(B631,0))),30,MIN(30,IF(T631=0,EOMONTH(B631,0),MIN(T631,EOMONTH(B631,0)))-MAX(B631,S631)+1))))</f>
        <v/>
      </c>
    </row>
    <row r="632" customFormat="false" ht="15" hidden="false" customHeight="false" outlineLevel="0" collapsed="false">
      <c r="B632" s="78"/>
      <c r="C632" s="64"/>
      <c r="D632" s="70" t="str">
        <f aca="false">IF(C632="","",IFERROR(INDEX(T_NOMBRE,MATCH(C632,T_ID,0)),"⚠ ID no existe"))</f>
        <v/>
      </c>
      <c r="E632" s="69"/>
      <c r="F632" s="69"/>
      <c r="G632" s="69"/>
      <c r="H632" s="69"/>
      <c r="I632" s="66"/>
      <c r="J632" s="69"/>
      <c r="K632" s="67"/>
      <c r="L632" s="67"/>
      <c r="M632" s="67"/>
      <c r="N632" s="67"/>
      <c r="O632" s="64"/>
      <c r="P632" s="72" t="str">
        <f aca="false">IF(OR(B632="",C632=""),"",C632&amp;"|"&amp;(YEAR(B632)*100+MONTH(B632)))</f>
        <v/>
      </c>
      <c r="Q632" s="70" t="str">
        <f aca="false">IF(P632="","",IF(COUNTIF(N_CLAVE,P632)&gt;1,"⚠ Duplicado","OK"))</f>
        <v/>
      </c>
      <c r="R632" s="74" t="str">
        <f aca="false">IF(OR(P632="",U632=""),"",MAX(0,U632-N(E632)-N(F632)-N(H632)))</f>
        <v/>
      </c>
      <c r="S632" s="75" t="str">
        <f aca="false">IF(P632="","",IFERROR(INDEX(T_INGRESO,MATCH(C632,T_ID,0)),""))</f>
        <v/>
      </c>
      <c r="T632" s="75" t="str">
        <f aca="false">IF(P632="","",IFERROR(N(INDEX(T_EGRESO,MATCH(C632,T_ID,0))),0))</f>
        <v/>
      </c>
      <c r="U632" s="73" t="str">
        <f aca="false">IF(OR(P632="",NOT(ISNUMBER(S632))),"",IF(OR(S632&gt;EOMONTH(B632,0),AND(T632&gt;0,T632&lt;B632)),0,IF(AND(S632&lt;=B632,OR(T632=0,T632&gt;=EOMONTH(B632,0))),30,MIN(30,IF(T632=0,EOMONTH(B632,0),MIN(T632,EOMONTH(B632,0)))-MAX(B632,S632)+1))))</f>
        <v/>
      </c>
    </row>
    <row r="633" customFormat="false" ht="15" hidden="false" customHeight="false" outlineLevel="0" collapsed="false">
      <c r="B633" s="78"/>
      <c r="C633" s="64"/>
      <c r="D633" s="70" t="str">
        <f aca="false">IF(C633="","",IFERROR(INDEX(T_NOMBRE,MATCH(C633,T_ID,0)),"⚠ ID no existe"))</f>
        <v/>
      </c>
      <c r="E633" s="69"/>
      <c r="F633" s="69"/>
      <c r="G633" s="69"/>
      <c r="H633" s="69"/>
      <c r="I633" s="66"/>
      <c r="J633" s="69"/>
      <c r="K633" s="67"/>
      <c r="L633" s="67"/>
      <c r="M633" s="67"/>
      <c r="N633" s="67"/>
      <c r="O633" s="64"/>
      <c r="P633" s="72" t="str">
        <f aca="false">IF(OR(B633="",C633=""),"",C633&amp;"|"&amp;(YEAR(B633)*100+MONTH(B633)))</f>
        <v/>
      </c>
      <c r="Q633" s="70" t="str">
        <f aca="false">IF(P633="","",IF(COUNTIF(N_CLAVE,P633)&gt;1,"⚠ Duplicado","OK"))</f>
        <v/>
      </c>
      <c r="R633" s="74" t="str">
        <f aca="false">IF(OR(P633="",U633=""),"",MAX(0,U633-N(E633)-N(F633)-N(H633)))</f>
        <v/>
      </c>
      <c r="S633" s="75" t="str">
        <f aca="false">IF(P633="","",IFERROR(INDEX(T_INGRESO,MATCH(C633,T_ID,0)),""))</f>
        <v/>
      </c>
      <c r="T633" s="75" t="str">
        <f aca="false">IF(P633="","",IFERROR(N(INDEX(T_EGRESO,MATCH(C633,T_ID,0))),0))</f>
        <v/>
      </c>
      <c r="U633" s="73" t="str">
        <f aca="false">IF(OR(P633="",NOT(ISNUMBER(S633))),"",IF(OR(S633&gt;EOMONTH(B633,0),AND(T633&gt;0,T633&lt;B633)),0,IF(AND(S633&lt;=B633,OR(T633=0,T633&gt;=EOMONTH(B633,0))),30,MIN(30,IF(T633=0,EOMONTH(B633,0),MIN(T633,EOMONTH(B633,0)))-MAX(B633,S633)+1))))</f>
        <v/>
      </c>
    </row>
    <row r="634" customFormat="false" ht="15" hidden="false" customHeight="false" outlineLevel="0" collapsed="false">
      <c r="B634" s="78"/>
      <c r="C634" s="64"/>
      <c r="D634" s="70" t="str">
        <f aca="false">IF(C634="","",IFERROR(INDEX(T_NOMBRE,MATCH(C634,T_ID,0)),"⚠ ID no existe"))</f>
        <v/>
      </c>
      <c r="E634" s="69"/>
      <c r="F634" s="69"/>
      <c r="G634" s="69"/>
      <c r="H634" s="69"/>
      <c r="I634" s="66"/>
      <c r="J634" s="69"/>
      <c r="K634" s="67"/>
      <c r="L634" s="67"/>
      <c r="M634" s="67"/>
      <c r="N634" s="67"/>
      <c r="O634" s="64"/>
      <c r="P634" s="72" t="str">
        <f aca="false">IF(OR(B634="",C634=""),"",C634&amp;"|"&amp;(YEAR(B634)*100+MONTH(B634)))</f>
        <v/>
      </c>
      <c r="Q634" s="70" t="str">
        <f aca="false">IF(P634="","",IF(COUNTIF(N_CLAVE,P634)&gt;1,"⚠ Duplicado","OK"))</f>
        <v/>
      </c>
      <c r="R634" s="74" t="str">
        <f aca="false">IF(OR(P634="",U634=""),"",MAX(0,U634-N(E634)-N(F634)-N(H634)))</f>
        <v/>
      </c>
      <c r="S634" s="75" t="str">
        <f aca="false">IF(P634="","",IFERROR(INDEX(T_INGRESO,MATCH(C634,T_ID,0)),""))</f>
        <v/>
      </c>
      <c r="T634" s="75" t="str">
        <f aca="false">IF(P634="","",IFERROR(N(INDEX(T_EGRESO,MATCH(C634,T_ID,0))),0))</f>
        <v/>
      </c>
      <c r="U634" s="73" t="str">
        <f aca="false">IF(OR(P634="",NOT(ISNUMBER(S634))),"",IF(OR(S634&gt;EOMONTH(B634,0),AND(T634&gt;0,T634&lt;B634)),0,IF(AND(S634&lt;=B634,OR(T634=0,T634&gt;=EOMONTH(B634,0))),30,MIN(30,IF(T634=0,EOMONTH(B634,0),MIN(T634,EOMONTH(B634,0)))-MAX(B634,S634)+1))))</f>
        <v/>
      </c>
    </row>
    <row r="635" customFormat="false" ht="15" hidden="false" customHeight="false" outlineLevel="0" collapsed="false">
      <c r="B635" s="78"/>
      <c r="C635" s="64"/>
      <c r="D635" s="70" t="str">
        <f aca="false">IF(C635="","",IFERROR(INDEX(T_NOMBRE,MATCH(C635,T_ID,0)),"⚠ ID no existe"))</f>
        <v/>
      </c>
      <c r="E635" s="69"/>
      <c r="F635" s="69"/>
      <c r="G635" s="69"/>
      <c r="H635" s="69"/>
      <c r="I635" s="66"/>
      <c r="J635" s="69"/>
      <c r="K635" s="67"/>
      <c r="L635" s="67"/>
      <c r="M635" s="67"/>
      <c r="N635" s="67"/>
      <c r="O635" s="64"/>
      <c r="P635" s="72" t="str">
        <f aca="false">IF(OR(B635="",C635=""),"",C635&amp;"|"&amp;(YEAR(B635)*100+MONTH(B635)))</f>
        <v/>
      </c>
      <c r="Q635" s="70" t="str">
        <f aca="false">IF(P635="","",IF(COUNTIF(N_CLAVE,P635)&gt;1,"⚠ Duplicado","OK"))</f>
        <v/>
      </c>
      <c r="R635" s="74" t="str">
        <f aca="false">IF(OR(P635="",U635=""),"",MAX(0,U635-N(E635)-N(F635)-N(H635)))</f>
        <v/>
      </c>
      <c r="S635" s="75" t="str">
        <f aca="false">IF(P635="","",IFERROR(INDEX(T_INGRESO,MATCH(C635,T_ID,0)),""))</f>
        <v/>
      </c>
      <c r="T635" s="75" t="str">
        <f aca="false">IF(P635="","",IFERROR(N(INDEX(T_EGRESO,MATCH(C635,T_ID,0))),0))</f>
        <v/>
      </c>
      <c r="U635" s="73" t="str">
        <f aca="false">IF(OR(P635="",NOT(ISNUMBER(S635))),"",IF(OR(S635&gt;EOMONTH(B635,0),AND(T635&gt;0,T635&lt;B635)),0,IF(AND(S635&lt;=B635,OR(T635=0,T635&gt;=EOMONTH(B635,0))),30,MIN(30,IF(T635=0,EOMONTH(B635,0),MIN(T635,EOMONTH(B635,0)))-MAX(B635,S635)+1))))</f>
        <v/>
      </c>
    </row>
    <row r="636" customFormat="false" ht="15" hidden="false" customHeight="false" outlineLevel="0" collapsed="false">
      <c r="B636" s="78"/>
      <c r="C636" s="64"/>
      <c r="D636" s="70" t="str">
        <f aca="false">IF(C636="","",IFERROR(INDEX(T_NOMBRE,MATCH(C636,T_ID,0)),"⚠ ID no existe"))</f>
        <v/>
      </c>
      <c r="E636" s="69"/>
      <c r="F636" s="69"/>
      <c r="G636" s="69"/>
      <c r="H636" s="69"/>
      <c r="I636" s="66"/>
      <c r="J636" s="69"/>
      <c r="K636" s="67"/>
      <c r="L636" s="67"/>
      <c r="M636" s="67"/>
      <c r="N636" s="67"/>
      <c r="O636" s="64"/>
      <c r="P636" s="72" t="str">
        <f aca="false">IF(OR(B636="",C636=""),"",C636&amp;"|"&amp;(YEAR(B636)*100+MONTH(B636)))</f>
        <v/>
      </c>
      <c r="Q636" s="70" t="str">
        <f aca="false">IF(P636="","",IF(COUNTIF(N_CLAVE,P636)&gt;1,"⚠ Duplicado","OK"))</f>
        <v/>
      </c>
      <c r="R636" s="74" t="str">
        <f aca="false">IF(OR(P636="",U636=""),"",MAX(0,U636-N(E636)-N(F636)-N(H636)))</f>
        <v/>
      </c>
      <c r="S636" s="75" t="str">
        <f aca="false">IF(P636="","",IFERROR(INDEX(T_INGRESO,MATCH(C636,T_ID,0)),""))</f>
        <v/>
      </c>
      <c r="T636" s="75" t="str">
        <f aca="false">IF(P636="","",IFERROR(N(INDEX(T_EGRESO,MATCH(C636,T_ID,0))),0))</f>
        <v/>
      </c>
      <c r="U636" s="73" t="str">
        <f aca="false">IF(OR(P636="",NOT(ISNUMBER(S636))),"",IF(OR(S636&gt;EOMONTH(B636,0),AND(T636&gt;0,T636&lt;B636)),0,IF(AND(S636&lt;=B636,OR(T636=0,T636&gt;=EOMONTH(B636,0))),30,MIN(30,IF(T636=0,EOMONTH(B636,0),MIN(T636,EOMONTH(B636,0)))-MAX(B636,S636)+1))))</f>
        <v/>
      </c>
    </row>
    <row r="637" customFormat="false" ht="15" hidden="false" customHeight="false" outlineLevel="0" collapsed="false">
      <c r="B637" s="78"/>
      <c r="C637" s="64"/>
      <c r="D637" s="70" t="str">
        <f aca="false">IF(C637="","",IFERROR(INDEX(T_NOMBRE,MATCH(C637,T_ID,0)),"⚠ ID no existe"))</f>
        <v/>
      </c>
      <c r="E637" s="69"/>
      <c r="F637" s="69"/>
      <c r="G637" s="69"/>
      <c r="H637" s="69"/>
      <c r="I637" s="66"/>
      <c r="J637" s="69"/>
      <c r="K637" s="67"/>
      <c r="L637" s="67"/>
      <c r="M637" s="67"/>
      <c r="N637" s="67"/>
      <c r="O637" s="64"/>
      <c r="P637" s="72" t="str">
        <f aca="false">IF(OR(B637="",C637=""),"",C637&amp;"|"&amp;(YEAR(B637)*100+MONTH(B637)))</f>
        <v/>
      </c>
      <c r="Q637" s="70" t="str">
        <f aca="false">IF(P637="","",IF(COUNTIF(N_CLAVE,P637)&gt;1,"⚠ Duplicado","OK"))</f>
        <v/>
      </c>
      <c r="R637" s="74" t="str">
        <f aca="false">IF(OR(P637="",U637=""),"",MAX(0,U637-N(E637)-N(F637)-N(H637)))</f>
        <v/>
      </c>
      <c r="S637" s="75" t="str">
        <f aca="false">IF(P637="","",IFERROR(INDEX(T_INGRESO,MATCH(C637,T_ID,0)),""))</f>
        <v/>
      </c>
      <c r="T637" s="75" t="str">
        <f aca="false">IF(P637="","",IFERROR(N(INDEX(T_EGRESO,MATCH(C637,T_ID,0))),0))</f>
        <v/>
      </c>
      <c r="U637" s="73" t="str">
        <f aca="false">IF(OR(P637="",NOT(ISNUMBER(S637))),"",IF(OR(S637&gt;EOMONTH(B637,0),AND(T637&gt;0,T637&lt;B637)),0,IF(AND(S637&lt;=B637,OR(T637=0,T637&gt;=EOMONTH(B637,0))),30,MIN(30,IF(T637=0,EOMONTH(B637,0),MIN(T637,EOMONTH(B637,0)))-MAX(B637,S637)+1))))</f>
        <v/>
      </c>
    </row>
    <row r="638" customFormat="false" ht="15" hidden="false" customHeight="false" outlineLevel="0" collapsed="false">
      <c r="B638" s="78"/>
      <c r="C638" s="64"/>
      <c r="D638" s="70" t="str">
        <f aca="false">IF(C638="","",IFERROR(INDEX(T_NOMBRE,MATCH(C638,T_ID,0)),"⚠ ID no existe"))</f>
        <v/>
      </c>
      <c r="E638" s="69"/>
      <c r="F638" s="69"/>
      <c r="G638" s="69"/>
      <c r="H638" s="69"/>
      <c r="I638" s="66"/>
      <c r="J638" s="69"/>
      <c r="K638" s="67"/>
      <c r="L638" s="67"/>
      <c r="M638" s="67"/>
      <c r="N638" s="67"/>
      <c r="O638" s="64"/>
      <c r="P638" s="72" t="str">
        <f aca="false">IF(OR(B638="",C638=""),"",C638&amp;"|"&amp;(YEAR(B638)*100+MONTH(B638)))</f>
        <v/>
      </c>
      <c r="Q638" s="70" t="str">
        <f aca="false">IF(P638="","",IF(COUNTIF(N_CLAVE,P638)&gt;1,"⚠ Duplicado","OK"))</f>
        <v/>
      </c>
      <c r="R638" s="74" t="str">
        <f aca="false">IF(OR(P638="",U638=""),"",MAX(0,U638-N(E638)-N(F638)-N(H638)))</f>
        <v/>
      </c>
      <c r="S638" s="75" t="str">
        <f aca="false">IF(P638="","",IFERROR(INDEX(T_INGRESO,MATCH(C638,T_ID,0)),""))</f>
        <v/>
      </c>
      <c r="T638" s="75" t="str">
        <f aca="false">IF(P638="","",IFERROR(N(INDEX(T_EGRESO,MATCH(C638,T_ID,0))),0))</f>
        <v/>
      </c>
      <c r="U638" s="73" t="str">
        <f aca="false">IF(OR(P638="",NOT(ISNUMBER(S638))),"",IF(OR(S638&gt;EOMONTH(B638,0),AND(T638&gt;0,T638&lt;B638)),0,IF(AND(S638&lt;=B638,OR(T638=0,T638&gt;=EOMONTH(B638,0))),30,MIN(30,IF(T638=0,EOMONTH(B638,0),MIN(T638,EOMONTH(B638,0)))-MAX(B638,S638)+1))))</f>
        <v/>
      </c>
    </row>
    <row r="639" customFormat="false" ht="15" hidden="false" customHeight="false" outlineLevel="0" collapsed="false">
      <c r="B639" s="78"/>
      <c r="C639" s="64"/>
      <c r="D639" s="70" t="str">
        <f aca="false">IF(C639="","",IFERROR(INDEX(T_NOMBRE,MATCH(C639,T_ID,0)),"⚠ ID no existe"))</f>
        <v/>
      </c>
      <c r="E639" s="69"/>
      <c r="F639" s="69"/>
      <c r="G639" s="69"/>
      <c r="H639" s="69"/>
      <c r="I639" s="66"/>
      <c r="J639" s="69"/>
      <c r="K639" s="67"/>
      <c r="L639" s="67"/>
      <c r="M639" s="67"/>
      <c r="N639" s="67"/>
      <c r="O639" s="64"/>
      <c r="P639" s="72" t="str">
        <f aca="false">IF(OR(B639="",C639=""),"",C639&amp;"|"&amp;(YEAR(B639)*100+MONTH(B639)))</f>
        <v/>
      </c>
      <c r="Q639" s="70" t="str">
        <f aca="false">IF(P639="","",IF(COUNTIF(N_CLAVE,P639)&gt;1,"⚠ Duplicado","OK"))</f>
        <v/>
      </c>
      <c r="R639" s="74" t="str">
        <f aca="false">IF(OR(P639="",U639=""),"",MAX(0,U639-N(E639)-N(F639)-N(H639)))</f>
        <v/>
      </c>
      <c r="S639" s="75" t="str">
        <f aca="false">IF(P639="","",IFERROR(INDEX(T_INGRESO,MATCH(C639,T_ID,0)),""))</f>
        <v/>
      </c>
      <c r="T639" s="75" t="str">
        <f aca="false">IF(P639="","",IFERROR(N(INDEX(T_EGRESO,MATCH(C639,T_ID,0))),0))</f>
        <v/>
      </c>
      <c r="U639" s="73" t="str">
        <f aca="false">IF(OR(P639="",NOT(ISNUMBER(S639))),"",IF(OR(S639&gt;EOMONTH(B639,0),AND(T639&gt;0,T639&lt;B639)),0,IF(AND(S639&lt;=B639,OR(T639=0,T639&gt;=EOMONTH(B639,0))),30,MIN(30,IF(T639=0,EOMONTH(B639,0),MIN(T639,EOMONTH(B639,0)))-MAX(B639,S639)+1))))</f>
        <v/>
      </c>
    </row>
    <row r="640" customFormat="false" ht="15" hidden="false" customHeight="false" outlineLevel="0" collapsed="false">
      <c r="B640" s="78"/>
      <c r="C640" s="64"/>
      <c r="D640" s="70" t="str">
        <f aca="false">IF(C640="","",IFERROR(INDEX(T_NOMBRE,MATCH(C640,T_ID,0)),"⚠ ID no existe"))</f>
        <v/>
      </c>
      <c r="E640" s="69"/>
      <c r="F640" s="69"/>
      <c r="G640" s="69"/>
      <c r="H640" s="69"/>
      <c r="I640" s="66"/>
      <c r="J640" s="69"/>
      <c r="K640" s="67"/>
      <c r="L640" s="67"/>
      <c r="M640" s="67"/>
      <c r="N640" s="67"/>
      <c r="O640" s="64"/>
      <c r="P640" s="72" t="str">
        <f aca="false">IF(OR(B640="",C640=""),"",C640&amp;"|"&amp;(YEAR(B640)*100+MONTH(B640)))</f>
        <v/>
      </c>
      <c r="Q640" s="70" t="str">
        <f aca="false">IF(P640="","",IF(COUNTIF(N_CLAVE,P640)&gt;1,"⚠ Duplicado","OK"))</f>
        <v/>
      </c>
      <c r="R640" s="74" t="str">
        <f aca="false">IF(OR(P640="",U640=""),"",MAX(0,U640-N(E640)-N(F640)-N(H640)))</f>
        <v/>
      </c>
      <c r="S640" s="75" t="str">
        <f aca="false">IF(P640="","",IFERROR(INDEX(T_INGRESO,MATCH(C640,T_ID,0)),""))</f>
        <v/>
      </c>
      <c r="T640" s="75" t="str">
        <f aca="false">IF(P640="","",IFERROR(N(INDEX(T_EGRESO,MATCH(C640,T_ID,0))),0))</f>
        <v/>
      </c>
      <c r="U640" s="73" t="str">
        <f aca="false">IF(OR(P640="",NOT(ISNUMBER(S640))),"",IF(OR(S640&gt;EOMONTH(B640,0),AND(T640&gt;0,T640&lt;B640)),0,IF(AND(S640&lt;=B640,OR(T640=0,T640&gt;=EOMONTH(B640,0))),30,MIN(30,IF(T640=0,EOMONTH(B640,0),MIN(T640,EOMONTH(B640,0)))-MAX(B640,S640)+1))))</f>
        <v/>
      </c>
    </row>
    <row r="641" customFormat="false" ht="15" hidden="false" customHeight="false" outlineLevel="0" collapsed="false">
      <c r="B641" s="78"/>
      <c r="C641" s="64"/>
      <c r="D641" s="70" t="str">
        <f aca="false">IF(C641="","",IFERROR(INDEX(T_NOMBRE,MATCH(C641,T_ID,0)),"⚠ ID no existe"))</f>
        <v/>
      </c>
      <c r="E641" s="69"/>
      <c r="F641" s="69"/>
      <c r="G641" s="69"/>
      <c r="H641" s="69"/>
      <c r="I641" s="66"/>
      <c r="J641" s="69"/>
      <c r="K641" s="67"/>
      <c r="L641" s="67"/>
      <c r="M641" s="67"/>
      <c r="N641" s="67"/>
      <c r="O641" s="64"/>
      <c r="P641" s="72" t="str">
        <f aca="false">IF(OR(B641="",C641=""),"",C641&amp;"|"&amp;(YEAR(B641)*100+MONTH(B641)))</f>
        <v/>
      </c>
      <c r="Q641" s="70" t="str">
        <f aca="false">IF(P641="","",IF(COUNTIF(N_CLAVE,P641)&gt;1,"⚠ Duplicado","OK"))</f>
        <v/>
      </c>
      <c r="R641" s="74" t="str">
        <f aca="false">IF(OR(P641="",U641=""),"",MAX(0,U641-N(E641)-N(F641)-N(H641)))</f>
        <v/>
      </c>
      <c r="S641" s="75" t="str">
        <f aca="false">IF(P641="","",IFERROR(INDEX(T_INGRESO,MATCH(C641,T_ID,0)),""))</f>
        <v/>
      </c>
      <c r="T641" s="75" t="str">
        <f aca="false">IF(P641="","",IFERROR(N(INDEX(T_EGRESO,MATCH(C641,T_ID,0))),0))</f>
        <v/>
      </c>
      <c r="U641" s="73" t="str">
        <f aca="false">IF(OR(P641="",NOT(ISNUMBER(S641))),"",IF(OR(S641&gt;EOMONTH(B641,0),AND(T641&gt;0,T641&lt;B641)),0,IF(AND(S641&lt;=B641,OR(T641=0,T641&gt;=EOMONTH(B641,0))),30,MIN(30,IF(T641=0,EOMONTH(B641,0),MIN(T641,EOMONTH(B641,0)))-MAX(B641,S641)+1))))</f>
        <v/>
      </c>
    </row>
    <row r="642" customFormat="false" ht="15" hidden="false" customHeight="false" outlineLevel="0" collapsed="false">
      <c r="B642" s="78"/>
      <c r="C642" s="64"/>
      <c r="D642" s="70" t="str">
        <f aca="false">IF(C642="","",IFERROR(INDEX(T_NOMBRE,MATCH(C642,T_ID,0)),"⚠ ID no existe"))</f>
        <v/>
      </c>
      <c r="E642" s="69"/>
      <c r="F642" s="69"/>
      <c r="G642" s="69"/>
      <c r="H642" s="69"/>
      <c r="I642" s="66"/>
      <c r="J642" s="69"/>
      <c r="K642" s="67"/>
      <c r="L642" s="67"/>
      <c r="M642" s="67"/>
      <c r="N642" s="67"/>
      <c r="O642" s="64"/>
      <c r="P642" s="72" t="str">
        <f aca="false">IF(OR(B642="",C642=""),"",C642&amp;"|"&amp;(YEAR(B642)*100+MONTH(B642)))</f>
        <v/>
      </c>
      <c r="Q642" s="70" t="str">
        <f aca="false">IF(P642="","",IF(COUNTIF(N_CLAVE,P642)&gt;1,"⚠ Duplicado","OK"))</f>
        <v/>
      </c>
      <c r="R642" s="74" t="str">
        <f aca="false">IF(OR(P642="",U642=""),"",MAX(0,U642-N(E642)-N(F642)-N(H642)))</f>
        <v/>
      </c>
      <c r="S642" s="75" t="str">
        <f aca="false">IF(P642="","",IFERROR(INDEX(T_INGRESO,MATCH(C642,T_ID,0)),""))</f>
        <v/>
      </c>
      <c r="T642" s="75" t="str">
        <f aca="false">IF(P642="","",IFERROR(N(INDEX(T_EGRESO,MATCH(C642,T_ID,0))),0))</f>
        <v/>
      </c>
      <c r="U642" s="73" t="str">
        <f aca="false">IF(OR(P642="",NOT(ISNUMBER(S642))),"",IF(OR(S642&gt;EOMONTH(B642,0),AND(T642&gt;0,T642&lt;B642)),0,IF(AND(S642&lt;=B642,OR(T642=0,T642&gt;=EOMONTH(B642,0))),30,MIN(30,IF(T642=0,EOMONTH(B642,0),MIN(T642,EOMONTH(B642,0)))-MAX(B642,S642)+1))))</f>
        <v/>
      </c>
    </row>
    <row r="643" customFormat="false" ht="15" hidden="false" customHeight="false" outlineLevel="0" collapsed="false">
      <c r="B643" s="78"/>
      <c r="C643" s="64"/>
      <c r="D643" s="70" t="str">
        <f aca="false">IF(C643="","",IFERROR(INDEX(T_NOMBRE,MATCH(C643,T_ID,0)),"⚠ ID no existe"))</f>
        <v/>
      </c>
      <c r="E643" s="69"/>
      <c r="F643" s="69"/>
      <c r="G643" s="69"/>
      <c r="H643" s="69"/>
      <c r="I643" s="66"/>
      <c r="J643" s="69"/>
      <c r="K643" s="67"/>
      <c r="L643" s="67"/>
      <c r="M643" s="67"/>
      <c r="N643" s="67"/>
      <c r="O643" s="64"/>
      <c r="P643" s="72" t="str">
        <f aca="false">IF(OR(B643="",C643=""),"",C643&amp;"|"&amp;(YEAR(B643)*100+MONTH(B643)))</f>
        <v/>
      </c>
      <c r="Q643" s="70" t="str">
        <f aca="false">IF(P643="","",IF(COUNTIF(N_CLAVE,P643)&gt;1,"⚠ Duplicado","OK"))</f>
        <v/>
      </c>
      <c r="R643" s="74" t="str">
        <f aca="false">IF(OR(P643="",U643=""),"",MAX(0,U643-N(E643)-N(F643)-N(H643)))</f>
        <v/>
      </c>
      <c r="S643" s="75" t="str">
        <f aca="false">IF(P643="","",IFERROR(INDEX(T_INGRESO,MATCH(C643,T_ID,0)),""))</f>
        <v/>
      </c>
      <c r="T643" s="75" t="str">
        <f aca="false">IF(P643="","",IFERROR(N(INDEX(T_EGRESO,MATCH(C643,T_ID,0))),0))</f>
        <v/>
      </c>
      <c r="U643" s="73" t="str">
        <f aca="false">IF(OR(P643="",NOT(ISNUMBER(S643))),"",IF(OR(S643&gt;EOMONTH(B643,0),AND(T643&gt;0,T643&lt;B643)),0,IF(AND(S643&lt;=B643,OR(T643=0,T643&gt;=EOMONTH(B643,0))),30,MIN(30,IF(T643=0,EOMONTH(B643,0),MIN(T643,EOMONTH(B643,0)))-MAX(B643,S643)+1))))</f>
        <v/>
      </c>
    </row>
    <row r="644" customFormat="false" ht="15" hidden="false" customHeight="false" outlineLevel="0" collapsed="false">
      <c r="B644" s="78"/>
      <c r="C644" s="64"/>
      <c r="D644" s="70" t="str">
        <f aca="false">IF(C644="","",IFERROR(INDEX(T_NOMBRE,MATCH(C644,T_ID,0)),"⚠ ID no existe"))</f>
        <v/>
      </c>
      <c r="E644" s="69"/>
      <c r="F644" s="69"/>
      <c r="G644" s="69"/>
      <c r="H644" s="69"/>
      <c r="I644" s="66"/>
      <c r="J644" s="69"/>
      <c r="K644" s="67"/>
      <c r="L644" s="67"/>
      <c r="M644" s="67"/>
      <c r="N644" s="67"/>
      <c r="O644" s="64"/>
      <c r="P644" s="72" t="str">
        <f aca="false">IF(OR(B644="",C644=""),"",C644&amp;"|"&amp;(YEAR(B644)*100+MONTH(B644)))</f>
        <v/>
      </c>
      <c r="Q644" s="70" t="str">
        <f aca="false">IF(P644="","",IF(COUNTIF(N_CLAVE,P644)&gt;1,"⚠ Duplicado","OK"))</f>
        <v/>
      </c>
      <c r="R644" s="74" t="str">
        <f aca="false">IF(OR(P644="",U644=""),"",MAX(0,U644-N(E644)-N(F644)-N(H644)))</f>
        <v/>
      </c>
      <c r="S644" s="75" t="str">
        <f aca="false">IF(P644="","",IFERROR(INDEX(T_INGRESO,MATCH(C644,T_ID,0)),""))</f>
        <v/>
      </c>
      <c r="T644" s="75" t="str">
        <f aca="false">IF(P644="","",IFERROR(N(INDEX(T_EGRESO,MATCH(C644,T_ID,0))),0))</f>
        <v/>
      </c>
      <c r="U644" s="73" t="str">
        <f aca="false">IF(OR(P644="",NOT(ISNUMBER(S644))),"",IF(OR(S644&gt;EOMONTH(B644,0),AND(T644&gt;0,T644&lt;B644)),0,IF(AND(S644&lt;=B644,OR(T644=0,T644&gt;=EOMONTH(B644,0))),30,MIN(30,IF(T644=0,EOMONTH(B644,0),MIN(T644,EOMONTH(B644,0)))-MAX(B644,S644)+1))))</f>
        <v/>
      </c>
    </row>
    <row r="645" customFormat="false" ht="15" hidden="false" customHeight="false" outlineLevel="0" collapsed="false">
      <c r="B645" s="78"/>
      <c r="C645" s="64"/>
      <c r="D645" s="70" t="str">
        <f aca="false">IF(C645="","",IFERROR(INDEX(T_NOMBRE,MATCH(C645,T_ID,0)),"⚠ ID no existe"))</f>
        <v/>
      </c>
      <c r="E645" s="69"/>
      <c r="F645" s="69"/>
      <c r="G645" s="69"/>
      <c r="H645" s="69"/>
      <c r="I645" s="66"/>
      <c r="J645" s="69"/>
      <c r="K645" s="67"/>
      <c r="L645" s="67"/>
      <c r="M645" s="67"/>
      <c r="N645" s="67"/>
      <c r="O645" s="64"/>
      <c r="P645" s="72" t="str">
        <f aca="false">IF(OR(B645="",C645=""),"",C645&amp;"|"&amp;(YEAR(B645)*100+MONTH(B645)))</f>
        <v/>
      </c>
      <c r="Q645" s="70" t="str">
        <f aca="false">IF(P645="","",IF(COUNTIF(N_CLAVE,P645)&gt;1,"⚠ Duplicado","OK"))</f>
        <v/>
      </c>
      <c r="R645" s="74" t="str">
        <f aca="false">IF(OR(P645="",U645=""),"",MAX(0,U645-N(E645)-N(F645)-N(H645)))</f>
        <v/>
      </c>
      <c r="S645" s="75" t="str">
        <f aca="false">IF(P645="","",IFERROR(INDEX(T_INGRESO,MATCH(C645,T_ID,0)),""))</f>
        <v/>
      </c>
      <c r="T645" s="75" t="str">
        <f aca="false">IF(P645="","",IFERROR(N(INDEX(T_EGRESO,MATCH(C645,T_ID,0))),0))</f>
        <v/>
      </c>
      <c r="U645" s="73" t="str">
        <f aca="false">IF(OR(P645="",NOT(ISNUMBER(S645))),"",IF(OR(S645&gt;EOMONTH(B645,0),AND(T645&gt;0,T645&lt;B645)),0,IF(AND(S645&lt;=B645,OR(T645=0,T645&gt;=EOMONTH(B645,0))),30,MIN(30,IF(T645=0,EOMONTH(B645,0),MIN(T645,EOMONTH(B645,0)))-MAX(B645,S645)+1))))</f>
        <v/>
      </c>
    </row>
    <row r="646" customFormat="false" ht="15" hidden="false" customHeight="false" outlineLevel="0" collapsed="false">
      <c r="B646" s="78"/>
      <c r="C646" s="64"/>
      <c r="D646" s="70" t="str">
        <f aca="false">IF(C646="","",IFERROR(INDEX(T_NOMBRE,MATCH(C646,T_ID,0)),"⚠ ID no existe"))</f>
        <v/>
      </c>
      <c r="E646" s="69"/>
      <c r="F646" s="69"/>
      <c r="G646" s="69"/>
      <c r="H646" s="69"/>
      <c r="I646" s="66"/>
      <c r="J646" s="69"/>
      <c r="K646" s="67"/>
      <c r="L646" s="67"/>
      <c r="M646" s="67"/>
      <c r="N646" s="67"/>
      <c r="O646" s="64"/>
      <c r="P646" s="72" t="str">
        <f aca="false">IF(OR(B646="",C646=""),"",C646&amp;"|"&amp;(YEAR(B646)*100+MONTH(B646)))</f>
        <v/>
      </c>
      <c r="Q646" s="70" t="str">
        <f aca="false">IF(P646="","",IF(COUNTIF(N_CLAVE,P646)&gt;1,"⚠ Duplicado","OK"))</f>
        <v/>
      </c>
      <c r="R646" s="74" t="str">
        <f aca="false">IF(OR(P646="",U646=""),"",MAX(0,U646-N(E646)-N(F646)-N(H646)))</f>
        <v/>
      </c>
      <c r="S646" s="75" t="str">
        <f aca="false">IF(P646="","",IFERROR(INDEX(T_INGRESO,MATCH(C646,T_ID,0)),""))</f>
        <v/>
      </c>
      <c r="T646" s="75" t="str">
        <f aca="false">IF(P646="","",IFERROR(N(INDEX(T_EGRESO,MATCH(C646,T_ID,0))),0))</f>
        <v/>
      </c>
      <c r="U646" s="73" t="str">
        <f aca="false">IF(OR(P646="",NOT(ISNUMBER(S646))),"",IF(OR(S646&gt;EOMONTH(B646,0),AND(T646&gt;0,T646&lt;B646)),0,IF(AND(S646&lt;=B646,OR(T646=0,T646&gt;=EOMONTH(B646,0))),30,MIN(30,IF(T646=0,EOMONTH(B646,0),MIN(T646,EOMONTH(B646,0)))-MAX(B646,S646)+1))))</f>
        <v/>
      </c>
    </row>
    <row r="647" customFormat="false" ht="15" hidden="false" customHeight="false" outlineLevel="0" collapsed="false">
      <c r="B647" s="78"/>
      <c r="C647" s="64"/>
      <c r="D647" s="70" t="str">
        <f aca="false">IF(C647="","",IFERROR(INDEX(T_NOMBRE,MATCH(C647,T_ID,0)),"⚠ ID no existe"))</f>
        <v/>
      </c>
      <c r="E647" s="69"/>
      <c r="F647" s="69"/>
      <c r="G647" s="69"/>
      <c r="H647" s="69"/>
      <c r="I647" s="66"/>
      <c r="J647" s="69"/>
      <c r="K647" s="67"/>
      <c r="L647" s="67"/>
      <c r="M647" s="67"/>
      <c r="N647" s="67"/>
      <c r="O647" s="64"/>
      <c r="P647" s="72" t="str">
        <f aca="false">IF(OR(B647="",C647=""),"",C647&amp;"|"&amp;(YEAR(B647)*100+MONTH(B647)))</f>
        <v/>
      </c>
      <c r="Q647" s="70" t="str">
        <f aca="false">IF(P647="","",IF(COUNTIF(N_CLAVE,P647)&gt;1,"⚠ Duplicado","OK"))</f>
        <v/>
      </c>
      <c r="R647" s="74" t="str">
        <f aca="false">IF(OR(P647="",U647=""),"",MAX(0,U647-N(E647)-N(F647)-N(H647)))</f>
        <v/>
      </c>
      <c r="S647" s="75" t="str">
        <f aca="false">IF(P647="","",IFERROR(INDEX(T_INGRESO,MATCH(C647,T_ID,0)),""))</f>
        <v/>
      </c>
      <c r="T647" s="75" t="str">
        <f aca="false">IF(P647="","",IFERROR(N(INDEX(T_EGRESO,MATCH(C647,T_ID,0))),0))</f>
        <v/>
      </c>
      <c r="U647" s="73" t="str">
        <f aca="false">IF(OR(P647="",NOT(ISNUMBER(S647))),"",IF(OR(S647&gt;EOMONTH(B647,0),AND(T647&gt;0,T647&lt;B647)),0,IF(AND(S647&lt;=B647,OR(T647=0,T647&gt;=EOMONTH(B647,0))),30,MIN(30,IF(T647=0,EOMONTH(B647,0),MIN(T647,EOMONTH(B647,0)))-MAX(B647,S647)+1))))</f>
        <v/>
      </c>
    </row>
    <row r="648" customFormat="false" ht="15" hidden="false" customHeight="false" outlineLevel="0" collapsed="false">
      <c r="B648" s="78"/>
      <c r="C648" s="64"/>
      <c r="D648" s="70" t="str">
        <f aca="false">IF(C648="","",IFERROR(INDEX(T_NOMBRE,MATCH(C648,T_ID,0)),"⚠ ID no existe"))</f>
        <v/>
      </c>
      <c r="E648" s="69"/>
      <c r="F648" s="69"/>
      <c r="G648" s="69"/>
      <c r="H648" s="69"/>
      <c r="I648" s="66"/>
      <c r="J648" s="69"/>
      <c r="K648" s="67"/>
      <c r="L648" s="67"/>
      <c r="M648" s="67"/>
      <c r="N648" s="67"/>
      <c r="O648" s="64"/>
      <c r="P648" s="72" t="str">
        <f aca="false">IF(OR(B648="",C648=""),"",C648&amp;"|"&amp;(YEAR(B648)*100+MONTH(B648)))</f>
        <v/>
      </c>
      <c r="Q648" s="70" t="str">
        <f aca="false">IF(P648="","",IF(COUNTIF(N_CLAVE,P648)&gt;1,"⚠ Duplicado","OK"))</f>
        <v/>
      </c>
      <c r="R648" s="74" t="str">
        <f aca="false">IF(OR(P648="",U648=""),"",MAX(0,U648-N(E648)-N(F648)-N(H648)))</f>
        <v/>
      </c>
      <c r="S648" s="75" t="str">
        <f aca="false">IF(P648="","",IFERROR(INDEX(T_INGRESO,MATCH(C648,T_ID,0)),""))</f>
        <v/>
      </c>
      <c r="T648" s="75" t="str">
        <f aca="false">IF(P648="","",IFERROR(N(INDEX(T_EGRESO,MATCH(C648,T_ID,0))),0))</f>
        <v/>
      </c>
      <c r="U648" s="73" t="str">
        <f aca="false">IF(OR(P648="",NOT(ISNUMBER(S648))),"",IF(OR(S648&gt;EOMONTH(B648,0),AND(T648&gt;0,T648&lt;B648)),0,IF(AND(S648&lt;=B648,OR(T648=0,T648&gt;=EOMONTH(B648,0))),30,MIN(30,IF(T648=0,EOMONTH(B648,0),MIN(T648,EOMONTH(B648,0)))-MAX(B648,S648)+1))))</f>
        <v/>
      </c>
    </row>
    <row r="649" customFormat="false" ht="15" hidden="false" customHeight="false" outlineLevel="0" collapsed="false">
      <c r="B649" s="78"/>
      <c r="C649" s="64"/>
      <c r="D649" s="70" t="str">
        <f aca="false">IF(C649="","",IFERROR(INDEX(T_NOMBRE,MATCH(C649,T_ID,0)),"⚠ ID no existe"))</f>
        <v/>
      </c>
      <c r="E649" s="69"/>
      <c r="F649" s="69"/>
      <c r="G649" s="69"/>
      <c r="H649" s="69"/>
      <c r="I649" s="66"/>
      <c r="J649" s="69"/>
      <c r="K649" s="67"/>
      <c r="L649" s="67"/>
      <c r="M649" s="67"/>
      <c r="N649" s="67"/>
      <c r="O649" s="64"/>
      <c r="P649" s="72" t="str">
        <f aca="false">IF(OR(B649="",C649=""),"",C649&amp;"|"&amp;(YEAR(B649)*100+MONTH(B649)))</f>
        <v/>
      </c>
      <c r="Q649" s="70" t="str">
        <f aca="false">IF(P649="","",IF(COUNTIF(N_CLAVE,P649)&gt;1,"⚠ Duplicado","OK"))</f>
        <v/>
      </c>
      <c r="R649" s="74" t="str">
        <f aca="false">IF(OR(P649="",U649=""),"",MAX(0,U649-N(E649)-N(F649)-N(H649)))</f>
        <v/>
      </c>
      <c r="S649" s="75" t="str">
        <f aca="false">IF(P649="","",IFERROR(INDEX(T_INGRESO,MATCH(C649,T_ID,0)),""))</f>
        <v/>
      </c>
      <c r="T649" s="75" t="str">
        <f aca="false">IF(P649="","",IFERROR(N(INDEX(T_EGRESO,MATCH(C649,T_ID,0))),0))</f>
        <v/>
      </c>
      <c r="U649" s="73" t="str">
        <f aca="false">IF(OR(P649="",NOT(ISNUMBER(S649))),"",IF(OR(S649&gt;EOMONTH(B649,0),AND(T649&gt;0,T649&lt;B649)),0,IF(AND(S649&lt;=B649,OR(T649=0,T649&gt;=EOMONTH(B649,0))),30,MIN(30,IF(T649=0,EOMONTH(B649,0),MIN(T649,EOMONTH(B649,0)))-MAX(B649,S649)+1))))</f>
        <v/>
      </c>
    </row>
    <row r="650" customFormat="false" ht="15" hidden="false" customHeight="false" outlineLevel="0" collapsed="false">
      <c r="B650" s="78"/>
      <c r="C650" s="64"/>
      <c r="D650" s="70" t="str">
        <f aca="false">IF(C650="","",IFERROR(INDEX(T_NOMBRE,MATCH(C650,T_ID,0)),"⚠ ID no existe"))</f>
        <v/>
      </c>
      <c r="E650" s="69"/>
      <c r="F650" s="69"/>
      <c r="G650" s="69"/>
      <c r="H650" s="69"/>
      <c r="I650" s="66"/>
      <c r="J650" s="69"/>
      <c r="K650" s="67"/>
      <c r="L650" s="67"/>
      <c r="M650" s="67"/>
      <c r="N650" s="67"/>
      <c r="O650" s="64"/>
      <c r="P650" s="72" t="str">
        <f aca="false">IF(OR(B650="",C650=""),"",C650&amp;"|"&amp;(YEAR(B650)*100+MONTH(B650)))</f>
        <v/>
      </c>
      <c r="Q650" s="70" t="str">
        <f aca="false">IF(P650="","",IF(COUNTIF(N_CLAVE,P650)&gt;1,"⚠ Duplicado","OK"))</f>
        <v/>
      </c>
      <c r="R650" s="74" t="str">
        <f aca="false">IF(OR(P650="",U650=""),"",MAX(0,U650-N(E650)-N(F650)-N(H650)))</f>
        <v/>
      </c>
      <c r="S650" s="75" t="str">
        <f aca="false">IF(P650="","",IFERROR(INDEX(T_INGRESO,MATCH(C650,T_ID,0)),""))</f>
        <v/>
      </c>
      <c r="T650" s="75" t="str">
        <f aca="false">IF(P650="","",IFERROR(N(INDEX(T_EGRESO,MATCH(C650,T_ID,0))),0))</f>
        <v/>
      </c>
      <c r="U650" s="73" t="str">
        <f aca="false">IF(OR(P650="",NOT(ISNUMBER(S650))),"",IF(OR(S650&gt;EOMONTH(B650,0),AND(T650&gt;0,T650&lt;B650)),0,IF(AND(S650&lt;=B650,OR(T650=0,T650&gt;=EOMONTH(B650,0))),30,MIN(30,IF(T650=0,EOMONTH(B650,0),MIN(T650,EOMONTH(B650,0)))-MAX(B650,S650)+1))))</f>
        <v/>
      </c>
    </row>
    <row r="651" customFormat="false" ht="15" hidden="false" customHeight="false" outlineLevel="0" collapsed="false">
      <c r="B651" s="78"/>
      <c r="C651" s="64"/>
      <c r="D651" s="70" t="str">
        <f aca="false">IF(C651="","",IFERROR(INDEX(T_NOMBRE,MATCH(C651,T_ID,0)),"⚠ ID no existe"))</f>
        <v/>
      </c>
      <c r="E651" s="69"/>
      <c r="F651" s="69"/>
      <c r="G651" s="69"/>
      <c r="H651" s="69"/>
      <c r="I651" s="66"/>
      <c r="J651" s="69"/>
      <c r="K651" s="67"/>
      <c r="L651" s="67"/>
      <c r="M651" s="67"/>
      <c r="N651" s="67"/>
      <c r="O651" s="64"/>
      <c r="P651" s="72" t="str">
        <f aca="false">IF(OR(B651="",C651=""),"",C651&amp;"|"&amp;(YEAR(B651)*100+MONTH(B651)))</f>
        <v/>
      </c>
      <c r="Q651" s="70" t="str">
        <f aca="false">IF(P651="","",IF(COUNTIF(N_CLAVE,P651)&gt;1,"⚠ Duplicado","OK"))</f>
        <v/>
      </c>
      <c r="R651" s="74" t="str">
        <f aca="false">IF(OR(P651="",U651=""),"",MAX(0,U651-N(E651)-N(F651)-N(H651)))</f>
        <v/>
      </c>
      <c r="S651" s="75" t="str">
        <f aca="false">IF(P651="","",IFERROR(INDEX(T_INGRESO,MATCH(C651,T_ID,0)),""))</f>
        <v/>
      </c>
      <c r="T651" s="75" t="str">
        <f aca="false">IF(P651="","",IFERROR(N(INDEX(T_EGRESO,MATCH(C651,T_ID,0))),0))</f>
        <v/>
      </c>
      <c r="U651" s="73" t="str">
        <f aca="false">IF(OR(P651="",NOT(ISNUMBER(S651))),"",IF(OR(S651&gt;EOMONTH(B651,0),AND(T651&gt;0,T651&lt;B651)),0,IF(AND(S651&lt;=B651,OR(T651=0,T651&gt;=EOMONTH(B651,0))),30,MIN(30,IF(T651=0,EOMONTH(B651,0),MIN(T651,EOMONTH(B651,0)))-MAX(B651,S651)+1))))</f>
        <v/>
      </c>
    </row>
    <row r="652" customFormat="false" ht="15" hidden="false" customHeight="false" outlineLevel="0" collapsed="false">
      <c r="B652" s="78"/>
      <c r="C652" s="64"/>
      <c r="D652" s="70" t="str">
        <f aca="false">IF(C652="","",IFERROR(INDEX(T_NOMBRE,MATCH(C652,T_ID,0)),"⚠ ID no existe"))</f>
        <v/>
      </c>
      <c r="E652" s="69"/>
      <c r="F652" s="69"/>
      <c r="G652" s="69"/>
      <c r="H652" s="69"/>
      <c r="I652" s="66"/>
      <c r="J652" s="69"/>
      <c r="K652" s="67"/>
      <c r="L652" s="67"/>
      <c r="M652" s="67"/>
      <c r="N652" s="67"/>
      <c r="O652" s="64"/>
      <c r="P652" s="72" t="str">
        <f aca="false">IF(OR(B652="",C652=""),"",C652&amp;"|"&amp;(YEAR(B652)*100+MONTH(B652)))</f>
        <v/>
      </c>
      <c r="Q652" s="70" t="str">
        <f aca="false">IF(P652="","",IF(COUNTIF(N_CLAVE,P652)&gt;1,"⚠ Duplicado","OK"))</f>
        <v/>
      </c>
      <c r="R652" s="74" t="str">
        <f aca="false">IF(OR(P652="",U652=""),"",MAX(0,U652-N(E652)-N(F652)-N(H652)))</f>
        <v/>
      </c>
      <c r="S652" s="75" t="str">
        <f aca="false">IF(P652="","",IFERROR(INDEX(T_INGRESO,MATCH(C652,T_ID,0)),""))</f>
        <v/>
      </c>
      <c r="T652" s="75" t="str">
        <f aca="false">IF(P652="","",IFERROR(N(INDEX(T_EGRESO,MATCH(C652,T_ID,0))),0))</f>
        <v/>
      </c>
      <c r="U652" s="73" t="str">
        <f aca="false">IF(OR(P652="",NOT(ISNUMBER(S652))),"",IF(OR(S652&gt;EOMONTH(B652,0),AND(T652&gt;0,T652&lt;B652)),0,IF(AND(S652&lt;=B652,OR(T652=0,T652&gt;=EOMONTH(B652,0))),30,MIN(30,IF(T652=0,EOMONTH(B652,0),MIN(T652,EOMONTH(B652,0)))-MAX(B652,S652)+1))))</f>
        <v/>
      </c>
    </row>
    <row r="653" customFormat="false" ht="15" hidden="false" customHeight="false" outlineLevel="0" collapsed="false">
      <c r="B653" s="78"/>
      <c r="C653" s="64"/>
      <c r="D653" s="70" t="str">
        <f aca="false">IF(C653="","",IFERROR(INDEX(T_NOMBRE,MATCH(C653,T_ID,0)),"⚠ ID no existe"))</f>
        <v/>
      </c>
      <c r="E653" s="69"/>
      <c r="F653" s="69"/>
      <c r="G653" s="69"/>
      <c r="H653" s="69"/>
      <c r="I653" s="66"/>
      <c r="J653" s="69"/>
      <c r="K653" s="67"/>
      <c r="L653" s="67"/>
      <c r="M653" s="67"/>
      <c r="N653" s="67"/>
      <c r="O653" s="64"/>
      <c r="P653" s="72" t="str">
        <f aca="false">IF(OR(B653="",C653=""),"",C653&amp;"|"&amp;(YEAR(B653)*100+MONTH(B653)))</f>
        <v/>
      </c>
      <c r="Q653" s="70" t="str">
        <f aca="false">IF(P653="","",IF(COUNTIF(N_CLAVE,P653)&gt;1,"⚠ Duplicado","OK"))</f>
        <v/>
      </c>
      <c r="R653" s="74" t="str">
        <f aca="false">IF(OR(P653="",U653=""),"",MAX(0,U653-N(E653)-N(F653)-N(H653)))</f>
        <v/>
      </c>
      <c r="S653" s="75" t="str">
        <f aca="false">IF(P653="","",IFERROR(INDEX(T_INGRESO,MATCH(C653,T_ID,0)),""))</f>
        <v/>
      </c>
      <c r="T653" s="75" t="str">
        <f aca="false">IF(P653="","",IFERROR(N(INDEX(T_EGRESO,MATCH(C653,T_ID,0))),0))</f>
        <v/>
      </c>
      <c r="U653" s="73" t="str">
        <f aca="false">IF(OR(P653="",NOT(ISNUMBER(S653))),"",IF(OR(S653&gt;EOMONTH(B653,0),AND(T653&gt;0,T653&lt;B653)),0,IF(AND(S653&lt;=B653,OR(T653=0,T653&gt;=EOMONTH(B653,0))),30,MIN(30,IF(T653=0,EOMONTH(B653,0),MIN(T653,EOMONTH(B653,0)))-MAX(B653,S653)+1))))</f>
        <v/>
      </c>
    </row>
    <row r="654" customFormat="false" ht="15" hidden="false" customHeight="false" outlineLevel="0" collapsed="false">
      <c r="B654" s="78"/>
      <c r="C654" s="64"/>
      <c r="D654" s="70" t="str">
        <f aca="false">IF(C654="","",IFERROR(INDEX(T_NOMBRE,MATCH(C654,T_ID,0)),"⚠ ID no existe"))</f>
        <v/>
      </c>
      <c r="E654" s="69"/>
      <c r="F654" s="69"/>
      <c r="G654" s="69"/>
      <c r="H654" s="69"/>
      <c r="I654" s="66"/>
      <c r="J654" s="69"/>
      <c r="K654" s="67"/>
      <c r="L654" s="67"/>
      <c r="M654" s="67"/>
      <c r="N654" s="67"/>
      <c r="O654" s="64"/>
      <c r="P654" s="72" t="str">
        <f aca="false">IF(OR(B654="",C654=""),"",C654&amp;"|"&amp;(YEAR(B654)*100+MONTH(B654)))</f>
        <v/>
      </c>
      <c r="Q654" s="70" t="str">
        <f aca="false">IF(P654="","",IF(COUNTIF(N_CLAVE,P654)&gt;1,"⚠ Duplicado","OK"))</f>
        <v/>
      </c>
      <c r="R654" s="74" t="str">
        <f aca="false">IF(OR(P654="",U654=""),"",MAX(0,U654-N(E654)-N(F654)-N(H654)))</f>
        <v/>
      </c>
      <c r="S654" s="75" t="str">
        <f aca="false">IF(P654="","",IFERROR(INDEX(T_INGRESO,MATCH(C654,T_ID,0)),""))</f>
        <v/>
      </c>
      <c r="T654" s="75" t="str">
        <f aca="false">IF(P654="","",IFERROR(N(INDEX(T_EGRESO,MATCH(C654,T_ID,0))),0))</f>
        <v/>
      </c>
      <c r="U654" s="73" t="str">
        <f aca="false">IF(OR(P654="",NOT(ISNUMBER(S654))),"",IF(OR(S654&gt;EOMONTH(B654,0),AND(T654&gt;0,T654&lt;B654)),0,IF(AND(S654&lt;=B654,OR(T654=0,T654&gt;=EOMONTH(B654,0))),30,MIN(30,IF(T654=0,EOMONTH(B654,0),MIN(T654,EOMONTH(B654,0)))-MAX(B654,S654)+1))))</f>
        <v/>
      </c>
    </row>
    <row r="655" customFormat="false" ht="15" hidden="false" customHeight="false" outlineLevel="0" collapsed="false">
      <c r="B655" s="78"/>
      <c r="C655" s="64"/>
      <c r="D655" s="70" t="str">
        <f aca="false">IF(C655="","",IFERROR(INDEX(T_NOMBRE,MATCH(C655,T_ID,0)),"⚠ ID no existe"))</f>
        <v/>
      </c>
      <c r="E655" s="69"/>
      <c r="F655" s="69"/>
      <c r="G655" s="69"/>
      <c r="H655" s="69"/>
      <c r="I655" s="66"/>
      <c r="J655" s="69"/>
      <c r="K655" s="67"/>
      <c r="L655" s="67"/>
      <c r="M655" s="67"/>
      <c r="N655" s="67"/>
      <c r="O655" s="64"/>
      <c r="P655" s="72" t="str">
        <f aca="false">IF(OR(B655="",C655=""),"",C655&amp;"|"&amp;(YEAR(B655)*100+MONTH(B655)))</f>
        <v/>
      </c>
      <c r="Q655" s="70" t="str">
        <f aca="false">IF(P655="","",IF(COUNTIF(N_CLAVE,P655)&gt;1,"⚠ Duplicado","OK"))</f>
        <v/>
      </c>
      <c r="R655" s="74" t="str">
        <f aca="false">IF(OR(P655="",U655=""),"",MAX(0,U655-N(E655)-N(F655)-N(H655)))</f>
        <v/>
      </c>
      <c r="S655" s="75" t="str">
        <f aca="false">IF(P655="","",IFERROR(INDEX(T_INGRESO,MATCH(C655,T_ID,0)),""))</f>
        <v/>
      </c>
      <c r="T655" s="75" t="str">
        <f aca="false">IF(P655="","",IFERROR(N(INDEX(T_EGRESO,MATCH(C655,T_ID,0))),0))</f>
        <v/>
      </c>
      <c r="U655" s="73" t="str">
        <f aca="false">IF(OR(P655="",NOT(ISNUMBER(S655))),"",IF(OR(S655&gt;EOMONTH(B655,0),AND(T655&gt;0,T655&lt;B655)),0,IF(AND(S655&lt;=B655,OR(T655=0,T655&gt;=EOMONTH(B655,0))),30,MIN(30,IF(T655=0,EOMONTH(B655,0),MIN(T655,EOMONTH(B655,0)))-MAX(B655,S655)+1))))</f>
        <v/>
      </c>
    </row>
    <row r="656" customFormat="false" ht="15" hidden="false" customHeight="false" outlineLevel="0" collapsed="false">
      <c r="B656" s="78"/>
      <c r="C656" s="64"/>
      <c r="D656" s="70" t="str">
        <f aca="false">IF(C656="","",IFERROR(INDEX(T_NOMBRE,MATCH(C656,T_ID,0)),"⚠ ID no existe"))</f>
        <v/>
      </c>
      <c r="E656" s="69"/>
      <c r="F656" s="69"/>
      <c r="G656" s="69"/>
      <c r="H656" s="69"/>
      <c r="I656" s="66"/>
      <c r="J656" s="69"/>
      <c r="K656" s="67"/>
      <c r="L656" s="67"/>
      <c r="M656" s="67"/>
      <c r="N656" s="67"/>
      <c r="O656" s="64"/>
      <c r="P656" s="72" t="str">
        <f aca="false">IF(OR(B656="",C656=""),"",C656&amp;"|"&amp;(YEAR(B656)*100+MONTH(B656)))</f>
        <v/>
      </c>
      <c r="Q656" s="70" t="str">
        <f aca="false">IF(P656="","",IF(COUNTIF(N_CLAVE,P656)&gt;1,"⚠ Duplicado","OK"))</f>
        <v/>
      </c>
      <c r="R656" s="74" t="str">
        <f aca="false">IF(OR(P656="",U656=""),"",MAX(0,U656-N(E656)-N(F656)-N(H656)))</f>
        <v/>
      </c>
      <c r="S656" s="75" t="str">
        <f aca="false">IF(P656="","",IFERROR(INDEX(T_INGRESO,MATCH(C656,T_ID,0)),""))</f>
        <v/>
      </c>
      <c r="T656" s="75" t="str">
        <f aca="false">IF(P656="","",IFERROR(N(INDEX(T_EGRESO,MATCH(C656,T_ID,0))),0))</f>
        <v/>
      </c>
      <c r="U656" s="73" t="str">
        <f aca="false">IF(OR(P656="",NOT(ISNUMBER(S656))),"",IF(OR(S656&gt;EOMONTH(B656,0),AND(T656&gt;0,T656&lt;B656)),0,IF(AND(S656&lt;=B656,OR(T656=0,T656&gt;=EOMONTH(B656,0))),30,MIN(30,IF(T656=0,EOMONTH(B656,0),MIN(T656,EOMONTH(B656,0)))-MAX(B656,S656)+1))))</f>
        <v/>
      </c>
    </row>
    <row r="657" customFormat="false" ht="15" hidden="false" customHeight="false" outlineLevel="0" collapsed="false">
      <c r="B657" s="78"/>
      <c r="C657" s="64"/>
      <c r="D657" s="70" t="str">
        <f aca="false">IF(C657="","",IFERROR(INDEX(T_NOMBRE,MATCH(C657,T_ID,0)),"⚠ ID no existe"))</f>
        <v/>
      </c>
      <c r="E657" s="69"/>
      <c r="F657" s="69"/>
      <c r="G657" s="69"/>
      <c r="H657" s="69"/>
      <c r="I657" s="66"/>
      <c r="J657" s="69"/>
      <c r="K657" s="67"/>
      <c r="L657" s="67"/>
      <c r="M657" s="67"/>
      <c r="N657" s="67"/>
      <c r="O657" s="64"/>
      <c r="P657" s="72" t="str">
        <f aca="false">IF(OR(B657="",C657=""),"",C657&amp;"|"&amp;(YEAR(B657)*100+MONTH(B657)))</f>
        <v/>
      </c>
      <c r="Q657" s="70" t="str">
        <f aca="false">IF(P657="","",IF(COUNTIF(N_CLAVE,P657)&gt;1,"⚠ Duplicado","OK"))</f>
        <v/>
      </c>
      <c r="R657" s="74" t="str">
        <f aca="false">IF(OR(P657="",U657=""),"",MAX(0,U657-N(E657)-N(F657)-N(H657)))</f>
        <v/>
      </c>
      <c r="S657" s="75" t="str">
        <f aca="false">IF(P657="","",IFERROR(INDEX(T_INGRESO,MATCH(C657,T_ID,0)),""))</f>
        <v/>
      </c>
      <c r="T657" s="75" t="str">
        <f aca="false">IF(P657="","",IFERROR(N(INDEX(T_EGRESO,MATCH(C657,T_ID,0))),0))</f>
        <v/>
      </c>
      <c r="U657" s="73" t="str">
        <f aca="false">IF(OR(P657="",NOT(ISNUMBER(S657))),"",IF(OR(S657&gt;EOMONTH(B657,0),AND(T657&gt;0,T657&lt;B657)),0,IF(AND(S657&lt;=B657,OR(T657=0,T657&gt;=EOMONTH(B657,0))),30,MIN(30,IF(T657=0,EOMONTH(B657,0),MIN(T657,EOMONTH(B657,0)))-MAX(B657,S657)+1))))</f>
        <v/>
      </c>
    </row>
    <row r="658" customFormat="false" ht="15" hidden="false" customHeight="false" outlineLevel="0" collapsed="false">
      <c r="B658" s="78"/>
      <c r="C658" s="64"/>
      <c r="D658" s="70" t="str">
        <f aca="false">IF(C658="","",IFERROR(INDEX(T_NOMBRE,MATCH(C658,T_ID,0)),"⚠ ID no existe"))</f>
        <v/>
      </c>
      <c r="E658" s="69"/>
      <c r="F658" s="69"/>
      <c r="G658" s="69"/>
      <c r="H658" s="69"/>
      <c r="I658" s="66"/>
      <c r="J658" s="69"/>
      <c r="K658" s="67"/>
      <c r="L658" s="67"/>
      <c r="M658" s="67"/>
      <c r="N658" s="67"/>
      <c r="O658" s="64"/>
      <c r="P658" s="72" t="str">
        <f aca="false">IF(OR(B658="",C658=""),"",C658&amp;"|"&amp;(YEAR(B658)*100+MONTH(B658)))</f>
        <v/>
      </c>
      <c r="Q658" s="70" t="str">
        <f aca="false">IF(P658="","",IF(COUNTIF(N_CLAVE,P658)&gt;1,"⚠ Duplicado","OK"))</f>
        <v/>
      </c>
      <c r="R658" s="74" t="str">
        <f aca="false">IF(OR(P658="",U658=""),"",MAX(0,U658-N(E658)-N(F658)-N(H658)))</f>
        <v/>
      </c>
      <c r="S658" s="75" t="str">
        <f aca="false">IF(P658="","",IFERROR(INDEX(T_INGRESO,MATCH(C658,T_ID,0)),""))</f>
        <v/>
      </c>
      <c r="T658" s="75" t="str">
        <f aca="false">IF(P658="","",IFERROR(N(INDEX(T_EGRESO,MATCH(C658,T_ID,0))),0))</f>
        <v/>
      </c>
      <c r="U658" s="73" t="str">
        <f aca="false">IF(OR(P658="",NOT(ISNUMBER(S658))),"",IF(OR(S658&gt;EOMONTH(B658,0),AND(T658&gt;0,T658&lt;B658)),0,IF(AND(S658&lt;=B658,OR(T658=0,T658&gt;=EOMONTH(B658,0))),30,MIN(30,IF(T658=0,EOMONTH(B658,0),MIN(T658,EOMONTH(B658,0)))-MAX(B658,S658)+1))))</f>
        <v/>
      </c>
    </row>
    <row r="659" customFormat="false" ht="15" hidden="false" customHeight="false" outlineLevel="0" collapsed="false">
      <c r="B659" s="78"/>
      <c r="C659" s="64"/>
      <c r="D659" s="70" t="str">
        <f aca="false">IF(C659="","",IFERROR(INDEX(T_NOMBRE,MATCH(C659,T_ID,0)),"⚠ ID no existe"))</f>
        <v/>
      </c>
      <c r="E659" s="69"/>
      <c r="F659" s="69"/>
      <c r="G659" s="69"/>
      <c r="H659" s="69"/>
      <c r="I659" s="66"/>
      <c r="J659" s="69"/>
      <c r="K659" s="67"/>
      <c r="L659" s="67"/>
      <c r="M659" s="67"/>
      <c r="N659" s="67"/>
      <c r="O659" s="64"/>
      <c r="P659" s="72" t="str">
        <f aca="false">IF(OR(B659="",C659=""),"",C659&amp;"|"&amp;(YEAR(B659)*100+MONTH(B659)))</f>
        <v/>
      </c>
      <c r="Q659" s="70" t="str">
        <f aca="false">IF(P659="","",IF(COUNTIF(N_CLAVE,P659)&gt;1,"⚠ Duplicado","OK"))</f>
        <v/>
      </c>
      <c r="R659" s="74" t="str">
        <f aca="false">IF(OR(P659="",U659=""),"",MAX(0,U659-N(E659)-N(F659)-N(H659)))</f>
        <v/>
      </c>
      <c r="S659" s="75" t="str">
        <f aca="false">IF(P659="","",IFERROR(INDEX(T_INGRESO,MATCH(C659,T_ID,0)),""))</f>
        <v/>
      </c>
      <c r="T659" s="75" t="str">
        <f aca="false">IF(P659="","",IFERROR(N(INDEX(T_EGRESO,MATCH(C659,T_ID,0))),0))</f>
        <v/>
      </c>
      <c r="U659" s="73" t="str">
        <f aca="false">IF(OR(P659="",NOT(ISNUMBER(S659))),"",IF(OR(S659&gt;EOMONTH(B659,0),AND(T659&gt;0,T659&lt;B659)),0,IF(AND(S659&lt;=B659,OR(T659=0,T659&gt;=EOMONTH(B659,0))),30,MIN(30,IF(T659=0,EOMONTH(B659,0),MIN(T659,EOMONTH(B659,0)))-MAX(B659,S659)+1))))</f>
        <v/>
      </c>
    </row>
    <row r="660" customFormat="false" ht="15" hidden="false" customHeight="false" outlineLevel="0" collapsed="false">
      <c r="B660" s="78"/>
      <c r="C660" s="64"/>
      <c r="D660" s="70" t="str">
        <f aca="false">IF(C660="","",IFERROR(INDEX(T_NOMBRE,MATCH(C660,T_ID,0)),"⚠ ID no existe"))</f>
        <v/>
      </c>
      <c r="E660" s="69"/>
      <c r="F660" s="69"/>
      <c r="G660" s="69"/>
      <c r="H660" s="69"/>
      <c r="I660" s="66"/>
      <c r="J660" s="69"/>
      <c r="K660" s="67"/>
      <c r="L660" s="67"/>
      <c r="M660" s="67"/>
      <c r="N660" s="67"/>
      <c r="O660" s="64"/>
      <c r="P660" s="72" t="str">
        <f aca="false">IF(OR(B660="",C660=""),"",C660&amp;"|"&amp;(YEAR(B660)*100+MONTH(B660)))</f>
        <v/>
      </c>
      <c r="Q660" s="70" t="str">
        <f aca="false">IF(P660="","",IF(COUNTIF(N_CLAVE,P660)&gt;1,"⚠ Duplicado","OK"))</f>
        <v/>
      </c>
      <c r="R660" s="74" t="str">
        <f aca="false">IF(OR(P660="",U660=""),"",MAX(0,U660-N(E660)-N(F660)-N(H660)))</f>
        <v/>
      </c>
      <c r="S660" s="75" t="str">
        <f aca="false">IF(P660="","",IFERROR(INDEX(T_INGRESO,MATCH(C660,T_ID,0)),""))</f>
        <v/>
      </c>
      <c r="T660" s="75" t="str">
        <f aca="false">IF(P660="","",IFERROR(N(INDEX(T_EGRESO,MATCH(C660,T_ID,0))),0))</f>
        <v/>
      </c>
      <c r="U660" s="73" t="str">
        <f aca="false">IF(OR(P660="",NOT(ISNUMBER(S660))),"",IF(OR(S660&gt;EOMONTH(B660,0),AND(T660&gt;0,T660&lt;B660)),0,IF(AND(S660&lt;=B660,OR(T660=0,T660&gt;=EOMONTH(B660,0))),30,MIN(30,IF(T660=0,EOMONTH(B660,0),MIN(T660,EOMONTH(B660,0)))-MAX(B660,S660)+1))))</f>
        <v/>
      </c>
    </row>
    <row r="661" customFormat="false" ht="15" hidden="false" customHeight="false" outlineLevel="0" collapsed="false">
      <c r="B661" s="78"/>
      <c r="C661" s="64"/>
      <c r="D661" s="70" t="str">
        <f aca="false">IF(C661="","",IFERROR(INDEX(T_NOMBRE,MATCH(C661,T_ID,0)),"⚠ ID no existe"))</f>
        <v/>
      </c>
      <c r="E661" s="69"/>
      <c r="F661" s="69"/>
      <c r="G661" s="69"/>
      <c r="H661" s="69"/>
      <c r="I661" s="66"/>
      <c r="J661" s="69"/>
      <c r="K661" s="67"/>
      <c r="L661" s="67"/>
      <c r="M661" s="67"/>
      <c r="N661" s="67"/>
      <c r="O661" s="64"/>
      <c r="P661" s="72" t="str">
        <f aca="false">IF(OR(B661="",C661=""),"",C661&amp;"|"&amp;(YEAR(B661)*100+MONTH(B661)))</f>
        <v/>
      </c>
      <c r="Q661" s="70" t="str">
        <f aca="false">IF(P661="","",IF(COUNTIF(N_CLAVE,P661)&gt;1,"⚠ Duplicado","OK"))</f>
        <v/>
      </c>
      <c r="R661" s="74" t="str">
        <f aca="false">IF(OR(P661="",U661=""),"",MAX(0,U661-N(E661)-N(F661)-N(H661)))</f>
        <v/>
      </c>
      <c r="S661" s="75" t="str">
        <f aca="false">IF(P661="","",IFERROR(INDEX(T_INGRESO,MATCH(C661,T_ID,0)),""))</f>
        <v/>
      </c>
      <c r="T661" s="75" t="str">
        <f aca="false">IF(P661="","",IFERROR(N(INDEX(T_EGRESO,MATCH(C661,T_ID,0))),0))</f>
        <v/>
      </c>
      <c r="U661" s="73" t="str">
        <f aca="false">IF(OR(P661="",NOT(ISNUMBER(S661))),"",IF(OR(S661&gt;EOMONTH(B661,0),AND(T661&gt;0,T661&lt;B661)),0,IF(AND(S661&lt;=B661,OR(T661=0,T661&gt;=EOMONTH(B661,0))),30,MIN(30,IF(T661=0,EOMONTH(B661,0),MIN(T661,EOMONTH(B661,0)))-MAX(B661,S661)+1))))</f>
        <v/>
      </c>
    </row>
    <row r="662" customFormat="false" ht="15" hidden="false" customHeight="false" outlineLevel="0" collapsed="false">
      <c r="B662" s="78"/>
      <c r="C662" s="64"/>
      <c r="D662" s="70" t="str">
        <f aca="false">IF(C662="","",IFERROR(INDEX(T_NOMBRE,MATCH(C662,T_ID,0)),"⚠ ID no existe"))</f>
        <v/>
      </c>
      <c r="E662" s="69"/>
      <c r="F662" s="69"/>
      <c r="G662" s="69"/>
      <c r="H662" s="69"/>
      <c r="I662" s="66"/>
      <c r="J662" s="69"/>
      <c r="K662" s="67"/>
      <c r="L662" s="67"/>
      <c r="M662" s="67"/>
      <c r="N662" s="67"/>
      <c r="O662" s="64"/>
      <c r="P662" s="72" t="str">
        <f aca="false">IF(OR(B662="",C662=""),"",C662&amp;"|"&amp;(YEAR(B662)*100+MONTH(B662)))</f>
        <v/>
      </c>
      <c r="Q662" s="70" t="str">
        <f aca="false">IF(P662="","",IF(COUNTIF(N_CLAVE,P662)&gt;1,"⚠ Duplicado","OK"))</f>
        <v/>
      </c>
      <c r="R662" s="74" t="str">
        <f aca="false">IF(OR(P662="",U662=""),"",MAX(0,U662-N(E662)-N(F662)-N(H662)))</f>
        <v/>
      </c>
      <c r="S662" s="75" t="str">
        <f aca="false">IF(P662="","",IFERROR(INDEX(T_INGRESO,MATCH(C662,T_ID,0)),""))</f>
        <v/>
      </c>
      <c r="T662" s="75" t="str">
        <f aca="false">IF(P662="","",IFERROR(N(INDEX(T_EGRESO,MATCH(C662,T_ID,0))),0))</f>
        <v/>
      </c>
      <c r="U662" s="73" t="str">
        <f aca="false">IF(OR(P662="",NOT(ISNUMBER(S662))),"",IF(OR(S662&gt;EOMONTH(B662,0),AND(T662&gt;0,T662&lt;B662)),0,IF(AND(S662&lt;=B662,OR(T662=0,T662&gt;=EOMONTH(B662,0))),30,MIN(30,IF(T662=0,EOMONTH(B662,0),MIN(T662,EOMONTH(B662,0)))-MAX(B662,S662)+1))))</f>
        <v/>
      </c>
    </row>
    <row r="663" customFormat="false" ht="15" hidden="false" customHeight="false" outlineLevel="0" collapsed="false">
      <c r="B663" s="78"/>
      <c r="C663" s="64"/>
      <c r="D663" s="70" t="str">
        <f aca="false">IF(C663="","",IFERROR(INDEX(T_NOMBRE,MATCH(C663,T_ID,0)),"⚠ ID no existe"))</f>
        <v/>
      </c>
      <c r="E663" s="69"/>
      <c r="F663" s="69"/>
      <c r="G663" s="69"/>
      <c r="H663" s="69"/>
      <c r="I663" s="66"/>
      <c r="J663" s="69"/>
      <c r="K663" s="67"/>
      <c r="L663" s="67"/>
      <c r="M663" s="67"/>
      <c r="N663" s="67"/>
      <c r="O663" s="64"/>
      <c r="P663" s="72" t="str">
        <f aca="false">IF(OR(B663="",C663=""),"",C663&amp;"|"&amp;(YEAR(B663)*100+MONTH(B663)))</f>
        <v/>
      </c>
      <c r="Q663" s="70" t="str">
        <f aca="false">IF(P663="","",IF(COUNTIF(N_CLAVE,P663)&gt;1,"⚠ Duplicado","OK"))</f>
        <v/>
      </c>
      <c r="R663" s="74" t="str">
        <f aca="false">IF(OR(P663="",U663=""),"",MAX(0,U663-N(E663)-N(F663)-N(H663)))</f>
        <v/>
      </c>
      <c r="S663" s="75" t="str">
        <f aca="false">IF(P663="","",IFERROR(INDEX(T_INGRESO,MATCH(C663,T_ID,0)),""))</f>
        <v/>
      </c>
      <c r="T663" s="75" t="str">
        <f aca="false">IF(P663="","",IFERROR(N(INDEX(T_EGRESO,MATCH(C663,T_ID,0))),0))</f>
        <v/>
      </c>
      <c r="U663" s="73" t="str">
        <f aca="false">IF(OR(P663="",NOT(ISNUMBER(S663))),"",IF(OR(S663&gt;EOMONTH(B663,0),AND(T663&gt;0,T663&lt;B663)),0,IF(AND(S663&lt;=B663,OR(T663=0,T663&gt;=EOMONTH(B663,0))),30,MIN(30,IF(T663=0,EOMONTH(B663,0),MIN(T663,EOMONTH(B663,0)))-MAX(B663,S663)+1))))</f>
        <v/>
      </c>
    </row>
    <row r="664" customFormat="false" ht="15" hidden="false" customHeight="false" outlineLevel="0" collapsed="false">
      <c r="B664" s="78"/>
      <c r="C664" s="64"/>
      <c r="D664" s="70" t="str">
        <f aca="false">IF(C664="","",IFERROR(INDEX(T_NOMBRE,MATCH(C664,T_ID,0)),"⚠ ID no existe"))</f>
        <v/>
      </c>
      <c r="E664" s="69"/>
      <c r="F664" s="69"/>
      <c r="G664" s="69"/>
      <c r="H664" s="69"/>
      <c r="I664" s="66"/>
      <c r="J664" s="69"/>
      <c r="K664" s="67"/>
      <c r="L664" s="67"/>
      <c r="M664" s="67"/>
      <c r="N664" s="67"/>
      <c r="O664" s="64"/>
      <c r="P664" s="72" t="str">
        <f aca="false">IF(OR(B664="",C664=""),"",C664&amp;"|"&amp;(YEAR(B664)*100+MONTH(B664)))</f>
        <v/>
      </c>
      <c r="Q664" s="70" t="str">
        <f aca="false">IF(P664="","",IF(COUNTIF(N_CLAVE,P664)&gt;1,"⚠ Duplicado","OK"))</f>
        <v/>
      </c>
      <c r="R664" s="74" t="str">
        <f aca="false">IF(OR(P664="",U664=""),"",MAX(0,U664-N(E664)-N(F664)-N(H664)))</f>
        <v/>
      </c>
      <c r="S664" s="75" t="str">
        <f aca="false">IF(P664="","",IFERROR(INDEX(T_INGRESO,MATCH(C664,T_ID,0)),""))</f>
        <v/>
      </c>
      <c r="T664" s="75" t="str">
        <f aca="false">IF(P664="","",IFERROR(N(INDEX(T_EGRESO,MATCH(C664,T_ID,0))),0))</f>
        <v/>
      </c>
      <c r="U664" s="73" t="str">
        <f aca="false">IF(OR(P664="",NOT(ISNUMBER(S664))),"",IF(OR(S664&gt;EOMONTH(B664,0),AND(T664&gt;0,T664&lt;B664)),0,IF(AND(S664&lt;=B664,OR(T664=0,T664&gt;=EOMONTH(B664,0))),30,MIN(30,IF(T664=0,EOMONTH(B664,0),MIN(T664,EOMONTH(B664,0)))-MAX(B664,S664)+1))))</f>
        <v/>
      </c>
    </row>
    <row r="665" customFormat="false" ht="15" hidden="false" customHeight="false" outlineLevel="0" collapsed="false">
      <c r="B665" s="78"/>
      <c r="C665" s="64"/>
      <c r="D665" s="70" t="str">
        <f aca="false">IF(C665="","",IFERROR(INDEX(T_NOMBRE,MATCH(C665,T_ID,0)),"⚠ ID no existe"))</f>
        <v/>
      </c>
      <c r="E665" s="69"/>
      <c r="F665" s="69"/>
      <c r="G665" s="69"/>
      <c r="H665" s="69"/>
      <c r="I665" s="66"/>
      <c r="J665" s="69"/>
      <c r="K665" s="67"/>
      <c r="L665" s="67"/>
      <c r="M665" s="67"/>
      <c r="N665" s="67"/>
      <c r="O665" s="64"/>
      <c r="P665" s="72" t="str">
        <f aca="false">IF(OR(B665="",C665=""),"",C665&amp;"|"&amp;(YEAR(B665)*100+MONTH(B665)))</f>
        <v/>
      </c>
      <c r="Q665" s="70" t="str">
        <f aca="false">IF(P665="","",IF(COUNTIF(N_CLAVE,P665)&gt;1,"⚠ Duplicado","OK"))</f>
        <v/>
      </c>
      <c r="R665" s="74" t="str">
        <f aca="false">IF(OR(P665="",U665=""),"",MAX(0,U665-N(E665)-N(F665)-N(H665)))</f>
        <v/>
      </c>
      <c r="S665" s="75" t="str">
        <f aca="false">IF(P665="","",IFERROR(INDEX(T_INGRESO,MATCH(C665,T_ID,0)),""))</f>
        <v/>
      </c>
      <c r="T665" s="75" t="str">
        <f aca="false">IF(P665="","",IFERROR(N(INDEX(T_EGRESO,MATCH(C665,T_ID,0))),0))</f>
        <v/>
      </c>
      <c r="U665" s="73" t="str">
        <f aca="false">IF(OR(P665="",NOT(ISNUMBER(S665))),"",IF(OR(S665&gt;EOMONTH(B665,0),AND(T665&gt;0,T665&lt;B665)),0,IF(AND(S665&lt;=B665,OR(T665=0,T665&gt;=EOMONTH(B665,0))),30,MIN(30,IF(T665=0,EOMONTH(B665,0),MIN(T665,EOMONTH(B665,0)))-MAX(B665,S665)+1))))</f>
        <v/>
      </c>
    </row>
    <row r="666" customFormat="false" ht="15" hidden="false" customHeight="false" outlineLevel="0" collapsed="false">
      <c r="B666" s="78"/>
      <c r="C666" s="64"/>
      <c r="D666" s="70" t="str">
        <f aca="false">IF(C666="","",IFERROR(INDEX(T_NOMBRE,MATCH(C666,T_ID,0)),"⚠ ID no existe"))</f>
        <v/>
      </c>
      <c r="E666" s="69"/>
      <c r="F666" s="69"/>
      <c r="G666" s="69"/>
      <c r="H666" s="69"/>
      <c r="I666" s="66"/>
      <c r="J666" s="69"/>
      <c r="K666" s="67"/>
      <c r="L666" s="67"/>
      <c r="M666" s="67"/>
      <c r="N666" s="67"/>
      <c r="O666" s="64"/>
      <c r="P666" s="72" t="str">
        <f aca="false">IF(OR(B666="",C666=""),"",C666&amp;"|"&amp;(YEAR(B666)*100+MONTH(B666)))</f>
        <v/>
      </c>
      <c r="Q666" s="70" t="str">
        <f aca="false">IF(P666="","",IF(COUNTIF(N_CLAVE,P666)&gt;1,"⚠ Duplicado","OK"))</f>
        <v/>
      </c>
      <c r="R666" s="74" t="str">
        <f aca="false">IF(OR(P666="",U666=""),"",MAX(0,U666-N(E666)-N(F666)-N(H666)))</f>
        <v/>
      </c>
      <c r="S666" s="75" t="str">
        <f aca="false">IF(P666="","",IFERROR(INDEX(T_INGRESO,MATCH(C666,T_ID,0)),""))</f>
        <v/>
      </c>
      <c r="T666" s="75" t="str">
        <f aca="false">IF(P666="","",IFERROR(N(INDEX(T_EGRESO,MATCH(C666,T_ID,0))),0))</f>
        <v/>
      </c>
      <c r="U666" s="73" t="str">
        <f aca="false">IF(OR(P666="",NOT(ISNUMBER(S666))),"",IF(OR(S666&gt;EOMONTH(B666,0),AND(T666&gt;0,T666&lt;B666)),0,IF(AND(S666&lt;=B666,OR(T666=0,T666&gt;=EOMONTH(B666,0))),30,MIN(30,IF(T666=0,EOMONTH(B666,0),MIN(T666,EOMONTH(B666,0)))-MAX(B666,S666)+1))))</f>
        <v/>
      </c>
    </row>
    <row r="667" customFormat="false" ht="15" hidden="false" customHeight="false" outlineLevel="0" collapsed="false">
      <c r="B667" s="78"/>
      <c r="C667" s="64"/>
      <c r="D667" s="70" t="str">
        <f aca="false">IF(C667="","",IFERROR(INDEX(T_NOMBRE,MATCH(C667,T_ID,0)),"⚠ ID no existe"))</f>
        <v/>
      </c>
      <c r="E667" s="69"/>
      <c r="F667" s="69"/>
      <c r="G667" s="69"/>
      <c r="H667" s="69"/>
      <c r="I667" s="66"/>
      <c r="J667" s="69"/>
      <c r="K667" s="67"/>
      <c r="L667" s="67"/>
      <c r="M667" s="67"/>
      <c r="N667" s="67"/>
      <c r="O667" s="64"/>
      <c r="P667" s="72" t="str">
        <f aca="false">IF(OR(B667="",C667=""),"",C667&amp;"|"&amp;(YEAR(B667)*100+MONTH(B667)))</f>
        <v/>
      </c>
      <c r="Q667" s="70" t="str">
        <f aca="false">IF(P667="","",IF(COUNTIF(N_CLAVE,P667)&gt;1,"⚠ Duplicado","OK"))</f>
        <v/>
      </c>
      <c r="R667" s="74" t="str">
        <f aca="false">IF(OR(P667="",U667=""),"",MAX(0,U667-N(E667)-N(F667)-N(H667)))</f>
        <v/>
      </c>
      <c r="S667" s="75" t="str">
        <f aca="false">IF(P667="","",IFERROR(INDEX(T_INGRESO,MATCH(C667,T_ID,0)),""))</f>
        <v/>
      </c>
      <c r="T667" s="75" t="str">
        <f aca="false">IF(P667="","",IFERROR(N(INDEX(T_EGRESO,MATCH(C667,T_ID,0))),0))</f>
        <v/>
      </c>
      <c r="U667" s="73" t="str">
        <f aca="false">IF(OR(P667="",NOT(ISNUMBER(S667))),"",IF(OR(S667&gt;EOMONTH(B667,0),AND(T667&gt;0,T667&lt;B667)),0,IF(AND(S667&lt;=B667,OR(T667=0,T667&gt;=EOMONTH(B667,0))),30,MIN(30,IF(T667=0,EOMONTH(B667,0),MIN(T667,EOMONTH(B667,0)))-MAX(B667,S667)+1))))</f>
        <v/>
      </c>
    </row>
    <row r="668" customFormat="false" ht="15" hidden="false" customHeight="false" outlineLevel="0" collapsed="false">
      <c r="B668" s="78"/>
      <c r="C668" s="64"/>
      <c r="D668" s="70" t="str">
        <f aca="false">IF(C668="","",IFERROR(INDEX(T_NOMBRE,MATCH(C668,T_ID,0)),"⚠ ID no existe"))</f>
        <v/>
      </c>
      <c r="E668" s="69"/>
      <c r="F668" s="69"/>
      <c r="G668" s="69"/>
      <c r="H668" s="69"/>
      <c r="I668" s="66"/>
      <c r="J668" s="69"/>
      <c r="K668" s="67"/>
      <c r="L668" s="67"/>
      <c r="M668" s="67"/>
      <c r="N668" s="67"/>
      <c r="O668" s="64"/>
      <c r="P668" s="72" t="str">
        <f aca="false">IF(OR(B668="",C668=""),"",C668&amp;"|"&amp;(YEAR(B668)*100+MONTH(B668)))</f>
        <v/>
      </c>
      <c r="Q668" s="70" t="str">
        <f aca="false">IF(P668="","",IF(COUNTIF(N_CLAVE,P668)&gt;1,"⚠ Duplicado","OK"))</f>
        <v/>
      </c>
      <c r="R668" s="74" t="str">
        <f aca="false">IF(OR(P668="",U668=""),"",MAX(0,U668-N(E668)-N(F668)-N(H668)))</f>
        <v/>
      </c>
      <c r="S668" s="75" t="str">
        <f aca="false">IF(P668="","",IFERROR(INDEX(T_INGRESO,MATCH(C668,T_ID,0)),""))</f>
        <v/>
      </c>
      <c r="T668" s="75" t="str">
        <f aca="false">IF(P668="","",IFERROR(N(INDEX(T_EGRESO,MATCH(C668,T_ID,0))),0))</f>
        <v/>
      </c>
      <c r="U668" s="73" t="str">
        <f aca="false">IF(OR(P668="",NOT(ISNUMBER(S668))),"",IF(OR(S668&gt;EOMONTH(B668,0),AND(T668&gt;0,T668&lt;B668)),0,IF(AND(S668&lt;=B668,OR(T668=0,T668&gt;=EOMONTH(B668,0))),30,MIN(30,IF(T668=0,EOMONTH(B668,0),MIN(T668,EOMONTH(B668,0)))-MAX(B668,S668)+1))))</f>
        <v/>
      </c>
    </row>
    <row r="669" customFormat="false" ht="15" hidden="false" customHeight="false" outlineLevel="0" collapsed="false">
      <c r="B669" s="78"/>
      <c r="C669" s="64"/>
      <c r="D669" s="70" t="str">
        <f aca="false">IF(C669="","",IFERROR(INDEX(T_NOMBRE,MATCH(C669,T_ID,0)),"⚠ ID no existe"))</f>
        <v/>
      </c>
      <c r="E669" s="69"/>
      <c r="F669" s="69"/>
      <c r="G669" s="69"/>
      <c r="H669" s="69"/>
      <c r="I669" s="66"/>
      <c r="J669" s="69"/>
      <c r="K669" s="67"/>
      <c r="L669" s="67"/>
      <c r="M669" s="67"/>
      <c r="N669" s="67"/>
      <c r="O669" s="64"/>
      <c r="P669" s="72" t="str">
        <f aca="false">IF(OR(B669="",C669=""),"",C669&amp;"|"&amp;(YEAR(B669)*100+MONTH(B669)))</f>
        <v/>
      </c>
      <c r="Q669" s="70" t="str">
        <f aca="false">IF(P669="","",IF(COUNTIF(N_CLAVE,P669)&gt;1,"⚠ Duplicado","OK"))</f>
        <v/>
      </c>
      <c r="R669" s="74" t="str">
        <f aca="false">IF(OR(P669="",U669=""),"",MAX(0,U669-N(E669)-N(F669)-N(H669)))</f>
        <v/>
      </c>
      <c r="S669" s="75" t="str">
        <f aca="false">IF(P669="","",IFERROR(INDEX(T_INGRESO,MATCH(C669,T_ID,0)),""))</f>
        <v/>
      </c>
      <c r="T669" s="75" t="str">
        <f aca="false">IF(P669="","",IFERROR(N(INDEX(T_EGRESO,MATCH(C669,T_ID,0))),0))</f>
        <v/>
      </c>
      <c r="U669" s="73" t="str">
        <f aca="false">IF(OR(P669="",NOT(ISNUMBER(S669))),"",IF(OR(S669&gt;EOMONTH(B669,0),AND(T669&gt;0,T669&lt;B669)),0,IF(AND(S669&lt;=B669,OR(T669=0,T669&gt;=EOMONTH(B669,0))),30,MIN(30,IF(T669=0,EOMONTH(B669,0),MIN(T669,EOMONTH(B669,0)))-MAX(B669,S669)+1))))</f>
        <v/>
      </c>
    </row>
    <row r="670" customFormat="false" ht="15" hidden="false" customHeight="false" outlineLevel="0" collapsed="false">
      <c r="B670" s="78"/>
      <c r="C670" s="64"/>
      <c r="D670" s="70" t="str">
        <f aca="false">IF(C670="","",IFERROR(INDEX(T_NOMBRE,MATCH(C670,T_ID,0)),"⚠ ID no existe"))</f>
        <v/>
      </c>
      <c r="E670" s="69"/>
      <c r="F670" s="69"/>
      <c r="G670" s="69"/>
      <c r="H670" s="69"/>
      <c r="I670" s="66"/>
      <c r="J670" s="69"/>
      <c r="K670" s="67"/>
      <c r="L670" s="67"/>
      <c r="M670" s="67"/>
      <c r="N670" s="67"/>
      <c r="O670" s="64"/>
      <c r="P670" s="72" t="str">
        <f aca="false">IF(OR(B670="",C670=""),"",C670&amp;"|"&amp;(YEAR(B670)*100+MONTH(B670)))</f>
        <v/>
      </c>
      <c r="Q670" s="70" t="str">
        <f aca="false">IF(P670="","",IF(COUNTIF(N_CLAVE,P670)&gt;1,"⚠ Duplicado","OK"))</f>
        <v/>
      </c>
      <c r="R670" s="74" t="str">
        <f aca="false">IF(OR(P670="",U670=""),"",MAX(0,U670-N(E670)-N(F670)-N(H670)))</f>
        <v/>
      </c>
      <c r="S670" s="75" t="str">
        <f aca="false">IF(P670="","",IFERROR(INDEX(T_INGRESO,MATCH(C670,T_ID,0)),""))</f>
        <v/>
      </c>
      <c r="T670" s="75" t="str">
        <f aca="false">IF(P670="","",IFERROR(N(INDEX(T_EGRESO,MATCH(C670,T_ID,0))),0))</f>
        <v/>
      </c>
      <c r="U670" s="73" t="str">
        <f aca="false">IF(OR(P670="",NOT(ISNUMBER(S670))),"",IF(OR(S670&gt;EOMONTH(B670,0),AND(T670&gt;0,T670&lt;B670)),0,IF(AND(S670&lt;=B670,OR(T670=0,T670&gt;=EOMONTH(B670,0))),30,MIN(30,IF(T670=0,EOMONTH(B670,0),MIN(T670,EOMONTH(B670,0)))-MAX(B670,S670)+1))))</f>
        <v/>
      </c>
    </row>
    <row r="671" customFormat="false" ht="15" hidden="false" customHeight="false" outlineLevel="0" collapsed="false">
      <c r="B671" s="78"/>
      <c r="C671" s="64"/>
      <c r="D671" s="70" t="str">
        <f aca="false">IF(C671="","",IFERROR(INDEX(T_NOMBRE,MATCH(C671,T_ID,0)),"⚠ ID no existe"))</f>
        <v/>
      </c>
      <c r="E671" s="69"/>
      <c r="F671" s="69"/>
      <c r="G671" s="69"/>
      <c r="H671" s="69"/>
      <c r="I671" s="66"/>
      <c r="J671" s="69"/>
      <c r="K671" s="67"/>
      <c r="L671" s="67"/>
      <c r="M671" s="67"/>
      <c r="N671" s="67"/>
      <c r="O671" s="64"/>
      <c r="P671" s="72" t="str">
        <f aca="false">IF(OR(B671="",C671=""),"",C671&amp;"|"&amp;(YEAR(B671)*100+MONTH(B671)))</f>
        <v/>
      </c>
      <c r="Q671" s="70" t="str">
        <f aca="false">IF(P671="","",IF(COUNTIF(N_CLAVE,P671)&gt;1,"⚠ Duplicado","OK"))</f>
        <v/>
      </c>
      <c r="R671" s="74" t="str">
        <f aca="false">IF(OR(P671="",U671=""),"",MAX(0,U671-N(E671)-N(F671)-N(H671)))</f>
        <v/>
      </c>
      <c r="S671" s="75" t="str">
        <f aca="false">IF(P671="","",IFERROR(INDEX(T_INGRESO,MATCH(C671,T_ID,0)),""))</f>
        <v/>
      </c>
      <c r="T671" s="75" t="str">
        <f aca="false">IF(P671="","",IFERROR(N(INDEX(T_EGRESO,MATCH(C671,T_ID,0))),0))</f>
        <v/>
      </c>
      <c r="U671" s="73" t="str">
        <f aca="false">IF(OR(P671="",NOT(ISNUMBER(S671))),"",IF(OR(S671&gt;EOMONTH(B671,0),AND(T671&gt;0,T671&lt;B671)),0,IF(AND(S671&lt;=B671,OR(T671=0,T671&gt;=EOMONTH(B671,0))),30,MIN(30,IF(T671=0,EOMONTH(B671,0),MIN(T671,EOMONTH(B671,0)))-MAX(B671,S671)+1))))</f>
        <v/>
      </c>
    </row>
    <row r="672" customFormat="false" ht="15" hidden="false" customHeight="false" outlineLevel="0" collapsed="false">
      <c r="B672" s="78"/>
      <c r="C672" s="64"/>
      <c r="D672" s="70" t="str">
        <f aca="false">IF(C672="","",IFERROR(INDEX(T_NOMBRE,MATCH(C672,T_ID,0)),"⚠ ID no existe"))</f>
        <v/>
      </c>
      <c r="E672" s="69"/>
      <c r="F672" s="69"/>
      <c r="G672" s="69"/>
      <c r="H672" s="69"/>
      <c r="I672" s="66"/>
      <c r="J672" s="69"/>
      <c r="K672" s="67"/>
      <c r="L672" s="67"/>
      <c r="M672" s="67"/>
      <c r="N672" s="67"/>
      <c r="O672" s="64"/>
      <c r="P672" s="72" t="str">
        <f aca="false">IF(OR(B672="",C672=""),"",C672&amp;"|"&amp;(YEAR(B672)*100+MONTH(B672)))</f>
        <v/>
      </c>
      <c r="Q672" s="70" t="str">
        <f aca="false">IF(P672="","",IF(COUNTIF(N_CLAVE,P672)&gt;1,"⚠ Duplicado","OK"))</f>
        <v/>
      </c>
      <c r="R672" s="74" t="str">
        <f aca="false">IF(OR(P672="",U672=""),"",MAX(0,U672-N(E672)-N(F672)-N(H672)))</f>
        <v/>
      </c>
      <c r="S672" s="75" t="str">
        <f aca="false">IF(P672="","",IFERROR(INDEX(T_INGRESO,MATCH(C672,T_ID,0)),""))</f>
        <v/>
      </c>
      <c r="T672" s="75" t="str">
        <f aca="false">IF(P672="","",IFERROR(N(INDEX(T_EGRESO,MATCH(C672,T_ID,0))),0))</f>
        <v/>
      </c>
      <c r="U672" s="73" t="str">
        <f aca="false">IF(OR(P672="",NOT(ISNUMBER(S672))),"",IF(OR(S672&gt;EOMONTH(B672,0),AND(T672&gt;0,T672&lt;B672)),0,IF(AND(S672&lt;=B672,OR(T672=0,T672&gt;=EOMONTH(B672,0))),30,MIN(30,IF(T672=0,EOMONTH(B672,0),MIN(T672,EOMONTH(B672,0)))-MAX(B672,S672)+1))))</f>
        <v/>
      </c>
    </row>
    <row r="673" customFormat="false" ht="15" hidden="false" customHeight="false" outlineLevel="0" collapsed="false">
      <c r="B673" s="78"/>
      <c r="C673" s="64"/>
      <c r="D673" s="70" t="str">
        <f aca="false">IF(C673="","",IFERROR(INDEX(T_NOMBRE,MATCH(C673,T_ID,0)),"⚠ ID no existe"))</f>
        <v/>
      </c>
      <c r="E673" s="69"/>
      <c r="F673" s="69"/>
      <c r="G673" s="69"/>
      <c r="H673" s="69"/>
      <c r="I673" s="66"/>
      <c r="J673" s="69"/>
      <c r="K673" s="67"/>
      <c r="L673" s="67"/>
      <c r="M673" s="67"/>
      <c r="N673" s="67"/>
      <c r="O673" s="64"/>
      <c r="P673" s="72" t="str">
        <f aca="false">IF(OR(B673="",C673=""),"",C673&amp;"|"&amp;(YEAR(B673)*100+MONTH(B673)))</f>
        <v/>
      </c>
      <c r="Q673" s="70" t="str">
        <f aca="false">IF(P673="","",IF(COUNTIF(N_CLAVE,P673)&gt;1,"⚠ Duplicado","OK"))</f>
        <v/>
      </c>
      <c r="R673" s="74" t="str">
        <f aca="false">IF(OR(P673="",U673=""),"",MAX(0,U673-N(E673)-N(F673)-N(H673)))</f>
        <v/>
      </c>
      <c r="S673" s="75" t="str">
        <f aca="false">IF(P673="","",IFERROR(INDEX(T_INGRESO,MATCH(C673,T_ID,0)),""))</f>
        <v/>
      </c>
      <c r="T673" s="75" t="str">
        <f aca="false">IF(P673="","",IFERROR(N(INDEX(T_EGRESO,MATCH(C673,T_ID,0))),0))</f>
        <v/>
      </c>
      <c r="U673" s="73" t="str">
        <f aca="false">IF(OR(P673="",NOT(ISNUMBER(S673))),"",IF(OR(S673&gt;EOMONTH(B673,0),AND(T673&gt;0,T673&lt;B673)),0,IF(AND(S673&lt;=B673,OR(T673=0,T673&gt;=EOMONTH(B673,0))),30,MIN(30,IF(T673=0,EOMONTH(B673,0),MIN(T673,EOMONTH(B673,0)))-MAX(B673,S673)+1))))</f>
        <v/>
      </c>
    </row>
    <row r="674" customFormat="false" ht="15" hidden="false" customHeight="false" outlineLevel="0" collapsed="false">
      <c r="B674" s="78"/>
      <c r="C674" s="64"/>
      <c r="D674" s="70" t="str">
        <f aca="false">IF(C674="","",IFERROR(INDEX(T_NOMBRE,MATCH(C674,T_ID,0)),"⚠ ID no existe"))</f>
        <v/>
      </c>
      <c r="E674" s="69"/>
      <c r="F674" s="69"/>
      <c r="G674" s="69"/>
      <c r="H674" s="69"/>
      <c r="I674" s="66"/>
      <c r="J674" s="69"/>
      <c r="K674" s="67"/>
      <c r="L674" s="67"/>
      <c r="M674" s="67"/>
      <c r="N674" s="67"/>
      <c r="O674" s="64"/>
      <c r="P674" s="72" t="str">
        <f aca="false">IF(OR(B674="",C674=""),"",C674&amp;"|"&amp;(YEAR(B674)*100+MONTH(B674)))</f>
        <v/>
      </c>
      <c r="Q674" s="70" t="str">
        <f aca="false">IF(P674="","",IF(COUNTIF(N_CLAVE,P674)&gt;1,"⚠ Duplicado","OK"))</f>
        <v/>
      </c>
      <c r="R674" s="74" t="str">
        <f aca="false">IF(OR(P674="",U674=""),"",MAX(0,U674-N(E674)-N(F674)-N(H674)))</f>
        <v/>
      </c>
      <c r="S674" s="75" t="str">
        <f aca="false">IF(P674="","",IFERROR(INDEX(T_INGRESO,MATCH(C674,T_ID,0)),""))</f>
        <v/>
      </c>
      <c r="T674" s="75" t="str">
        <f aca="false">IF(P674="","",IFERROR(N(INDEX(T_EGRESO,MATCH(C674,T_ID,0))),0))</f>
        <v/>
      </c>
      <c r="U674" s="73" t="str">
        <f aca="false">IF(OR(P674="",NOT(ISNUMBER(S674))),"",IF(OR(S674&gt;EOMONTH(B674,0),AND(T674&gt;0,T674&lt;B674)),0,IF(AND(S674&lt;=B674,OR(T674=0,T674&gt;=EOMONTH(B674,0))),30,MIN(30,IF(T674=0,EOMONTH(B674,0),MIN(T674,EOMONTH(B674,0)))-MAX(B674,S674)+1))))</f>
        <v/>
      </c>
    </row>
    <row r="675" customFormat="false" ht="15" hidden="false" customHeight="false" outlineLevel="0" collapsed="false">
      <c r="B675" s="78"/>
      <c r="C675" s="64"/>
      <c r="D675" s="70" t="str">
        <f aca="false">IF(C675="","",IFERROR(INDEX(T_NOMBRE,MATCH(C675,T_ID,0)),"⚠ ID no existe"))</f>
        <v/>
      </c>
      <c r="E675" s="69"/>
      <c r="F675" s="69"/>
      <c r="G675" s="69"/>
      <c r="H675" s="69"/>
      <c r="I675" s="66"/>
      <c r="J675" s="69"/>
      <c r="K675" s="67"/>
      <c r="L675" s="67"/>
      <c r="M675" s="67"/>
      <c r="N675" s="67"/>
      <c r="O675" s="64"/>
      <c r="P675" s="72" t="str">
        <f aca="false">IF(OR(B675="",C675=""),"",C675&amp;"|"&amp;(YEAR(B675)*100+MONTH(B675)))</f>
        <v/>
      </c>
      <c r="Q675" s="70" t="str">
        <f aca="false">IF(P675="","",IF(COUNTIF(N_CLAVE,P675)&gt;1,"⚠ Duplicado","OK"))</f>
        <v/>
      </c>
      <c r="R675" s="74" t="str">
        <f aca="false">IF(OR(P675="",U675=""),"",MAX(0,U675-N(E675)-N(F675)-N(H675)))</f>
        <v/>
      </c>
      <c r="S675" s="75" t="str">
        <f aca="false">IF(P675="","",IFERROR(INDEX(T_INGRESO,MATCH(C675,T_ID,0)),""))</f>
        <v/>
      </c>
      <c r="T675" s="75" t="str">
        <f aca="false">IF(P675="","",IFERROR(N(INDEX(T_EGRESO,MATCH(C675,T_ID,0))),0))</f>
        <v/>
      </c>
      <c r="U675" s="73" t="str">
        <f aca="false">IF(OR(P675="",NOT(ISNUMBER(S675))),"",IF(OR(S675&gt;EOMONTH(B675,0),AND(T675&gt;0,T675&lt;B675)),0,IF(AND(S675&lt;=B675,OR(T675=0,T675&gt;=EOMONTH(B675,0))),30,MIN(30,IF(T675=0,EOMONTH(B675,0),MIN(T675,EOMONTH(B675,0)))-MAX(B675,S675)+1))))</f>
        <v/>
      </c>
    </row>
    <row r="676" customFormat="false" ht="15" hidden="false" customHeight="false" outlineLevel="0" collapsed="false">
      <c r="B676" s="78"/>
      <c r="C676" s="64"/>
      <c r="D676" s="70" t="str">
        <f aca="false">IF(C676="","",IFERROR(INDEX(T_NOMBRE,MATCH(C676,T_ID,0)),"⚠ ID no existe"))</f>
        <v/>
      </c>
      <c r="E676" s="69"/>
      <c r="F676" s="69"/>
      <c r="G676" s="69"/>
      <c r="H676" s="69"/>
      <c r="I676" s="66"/>
      <c r="J676" s="69"/>
      <c r="K676" s="67"/>
      <c r="L676" s="67"/>
      <c r="M676" s="67"/>
      <c r="N676" s="67"/>
      <c r="O676" s="64"/>
      <c r="P676" s="72" t="str">
        <f aca="false">IF(OR(B676="",C676=""),"",C676&amp;"|"&amp;(YEAR(B676)*100+MONTH(B676)))</f>
        <v/>
      </c>
      <c r="Q676" s="70" t="str">
        <f aca="false">IF(P676="","",IF(COUNTIF(N_CLAVE,P676)&gt;1,"⚠ Duplicado","OK"))</f>
        <v/>
      </c>
      <c r="R676" s="74" t="str">
        <f aca="false">IF(OR(P676="",U676=""),"",MAX(0,U676-N(E676)-N(F676)-N(H676)))</f>
        <v/>
      </c>
      <c r="S676" s="75" t="str">
        <f aca="false">IF(P676="","",IFERROR(INDEX(T_INGRESO,MATCH(C676,T_ID,0)),""))</f>
        <v/>
      </c>
      <c r="T676" s="75" t="str">
        <f aca="false">IF(P676="","",IFERROR(N(INDEX(T_EGRESO,MATCH(C676,T_ID,0))),0))</f>
        <v/>
      </c>
      <c r="U676" s="73" t="str">
        <f aca="false">IF(OR(P676="",NOT(ISNUMBER(S676))),"",IF(OR(S676&gt;EOMONTH(B676,0),AND(T676&gt;0,T676&lt;B676)),0,IF(AND(S676&lt;=B676,OR(T676=0,T676&gt;=EOMONTH(B676,0))),30,MIN(30,IF(T676=0,EOMONTH(B676,0),MIN(T676,EOMONTH(B676,0)))-MAX(B676,S676)+1))))</f>
        <v/>
      </c>
    </row>
    <row r="677" customFormat="false" ht="15" hidden="false" customHeight="false" outlineLevel="0" collapsed="false">
      <c r="B677" s="78"/>
      <c r="C677" s="64"/>
      <c r="D677" s="70" t="str">
        <f aca="false">IF(C677="","",IFERROR(INDEX(T_NOMBRE,MATCH(C677,T_ID,0)),"⚠ ID no existe"))</f>
        <v/>
      </c>
      <c r="E677" s="69"/>
      <c r="F677" s="69"/>
      <c r="G677" s="69"/>
      <c r="H677" s="69"/>
      <c r="I677" s="66"/>
      <c r="J677" s="69"/>
      <c r="K677" s="67"/>
      <c r="L677" s="67"/>
      <c r="M677" s="67"/>
      <c r="N677" s="67"/>
      <c r="O677" s="64"/>
      <c r="P677" s="72" t="str">
        <f aca="false">IF(OR(B677="",C677=""),"",C677&amp;"|"&amp;(YEAR(B677)*100+MONTH(B677)))</f>
        <v/>
      </c>
      <c r="Q677" s="70" t="str">
        <f aca="false">IF(P677="","",IF(COUNTIF(N_CLAVE,P677)&gt;1,"⚠ Duplicado","OK"))</f>
        <v/>
      </c>
      <c r="R677" s="74" t="str">
        <f aca="false">IF(OR(P677="",U677=""),"",MAX(0,U677-N(E677)-N(F677)-N(H677)))</f>
        <v/>
      </c>
      <c r="S677" s="75" t="str">
        <f aca="false">IF(P677="","",IFERROR(INDEX(T_INGRESO,MATCH(C677,T_ID,0)),""))</f>
        <v/>
      </c>
      <c r="T677" s="75" t="str">
        <f aca="false">IF(P677="","",IFERROR(N(INDEX(T_EGRESO,MATCH(C677,T_ID,0))),0))</f>
        <v/>
      </c>
      <c r="U677" s="73" t="str">
        <f aca="false">IF(OR(P677="",NOT(ISNUMBER(S677))),"",IF(OR(S677&gt;EOMONTH(B677,0),AND(T677&gt;0,T677&lt;B677)),0,IF(AND(S677&lt;=B677,OR(T677=0,T677&gt;=EOMONTH(B677,0))),30,MIN(30,IF(T677=0,EOMONTH(B677,0),MIN(T677,EOMONTH(B677,0)))-MAX(B677,S677)+1))))</f>
        <v/>
      </c>
    </row>
    <row r="678" customFormat="false" ht="15" hidden="false" customHeight="false" outlineLevel="0" collapsed="false">
      <c r="B678" s="78"/>
      <c r="C678" s="64"/>
      <c r="D678" s="70" t="str">
        <f aca="false">IF(C678="","",IFERROR(INDEX(T_NOMBRE,MATCH(C678,T_ID,0)),"⚠ ID no existe"))</f>
        <v/>
      </c>
      <c r="E678" s="69"/>
      <c r="F678" s="69"/>
      <c r="G678" s="69"/>
      <c r="H678" s="69"/>
      <c r="I678" s="66"/>
      <c r="J678" s="69"/>
      <c r="K678" s="67"/>
      <c r="L678" s="67"/>
      <c r="M678" s="67"/>
      <c r="N678" s="67"/>
      <c r="O678" s="64"/>
      <c r="P678" s="72" t="str">
        <f aca="false">IF(OR(B678="",C678=""),"",C678&amp;"|"&amp;(YEAR(B678)*100+MONTH(B678)))</f>
        <v/>
      </c>
      <c r="Q678" s="70" t="str">
        <f aca="false">IF(P678="","",IF(COUNTIF(N_CLAVE,P678)&gt;1,"⚠ Duplicado","OK"))</f>
        <v/>
      </c>
      <c r="R678" s="74" t="str">
        <f aca="false">IF(OR(P678="",U678=""),"",MAX(0,U678-N(E678)-N(F678)-N(H678)))</f>
        <v/>
      </c>
      <c r="S678" s="75" t="str">
        <f aca="false">IF(P678="","",IFERROR(INDEX(T_INGRESO,MATCH(C678,T_ID,0)),""))</f>
        <v/>
      </c>
      <c r="T678" s="75" t="str">
        <f aca="false">IF(P678="","",IFERROR(N(INDEX(T_EGRESO,MATCH(C678,T_ID,0))),0))</f>
        <v/>
      </c>
      <c r="U678" s="73" t="str">
        <f aca="false">IF(OR(P678="",NOT(ISNUMBER(S678))),"",IF(OR(S678&gt;EOMONTH(B678,0),AND(T678&gt;0,T678&lt;B678)),0,IF(AND(S678&lt;=B678,OR(T678=0,T678&gt;=EOMONTH(B678,0))),30,MIN(30,IF(T678=0,EOMONTH(B678,0),MIN(T678,EOMONTH(B678,0)))-MAX(B678,S678)+1))))</f>
        <v/>
      </c>
    </row>
    <row r="679" customFormat="false" ht="15" hidden="false" customHeight="false" outlineLevel="0" collapsed="false">
      <c r="B679" s="78"/>
      <c r="C679" s="64"/>
      <c r="D679" s="70" t="str">
        <f aca="false">IF(C679="","",IFERROR(INDEX(T_NOMBRE,MATCH(C679,T_ID,0)),"⚠ ID no existe"))</f>
        <v/>
      </c>
      <c r="E679" s="69"/>
      <c r="F679" s="69"/>
      <c r="G679" s="69"/>
      <c r="H679" s="69"/>
      <c r="I679" s="66"/>
      <c r="J679" s="69"/>
      <c r="K679" s="67"/>
      <c r="L679" s="67"/>
      <c r="M679" s="67"/>
      <c r="N679" s="67"/>
      <c r="O679" s="64"/>
      <c r="P679" s="72" t="str">
        <f aca="false">IF(OR(B679="",C679=""),"",C679&amp;"|"&amp;(YEAR(B679)*100+MONTH(B679)))</f>
        <v/>
      </c>
      <c r="Q679" s="70" t="str">
        <f aca="false">IF(P679="","",IF(COUNTIF(N_CLAVE,P679)&gt;1,"⚠ Duplicado","OK"))</f>
        <v/>
      </c>
      <c r="R679" s="74" t="str">
        <f aca="false">IF(OR(P679="",U679=""),"",MAX(0,U679-N(E679)-N(F679)-N(H679)))</f>
        <v/>
      </c>
      <c r="S679" s="75" t="str">
        <f aca="false">IF(P679="","",IFERROR(INDEX(T_INGRESO,MATCH(C679,T_ID,0)),""))</f>
        <v/>
      </c>
      <c r="T679" s="75" t="str">
        <f aca="false">IF(P679="","",IFERROR(N(INDEX(T_EGRESO,MATCH(C679,T_ID,0))),0))</f>
        <v/>
      </c>
      <c r="U679" s="73" t="str">
        <f aca="false">IF(OR(P679="",NOT(ISNUMBER(S679))),"",IF(OR(S679&gt;EOMONTH(B679,0),AND(T679&gt;0,T679&lt;B679)),0,IF(AND(S679&lt;=B679,OR(T679=0,T679&gt;=EOMONTH(B679,0))),30,MIN(30,IF(T679=0,EOMONTH(B679,0),MIN(T679,EOMONTH(B679,0)))-MAX(B679,S679)+1))))</f>
        <v/>
      </c>
    </row>
    <row r="680" customFormat="false" ht="15" hidden="false" customHeight="false" outlineLevel="0" collapsed="false">
      <c r="B680" s="78"/>
      <c r="C680" s="64"/>
      <c r="D680" s="70" t="str">
        <f aca="false">IF(C680="","",IFERROR(INDEX(T_NOMBRE,MATCH(C680,T_ID,0)),"⚠ ID no existe"))</f>
        <v/>
      </c>
      <c r="E680" s="69"/>
      <c r="F680" s="69"/>
      <c r="G680" s="69"/>
      <c r="H680" s="69"/>
      <c r="I680" s="66"/>
      <c r="J680" s="69"/>
      <c r="K680" s="67"/>
      <c r="L680" s="67"/>
      <c r="M680" s="67"/>
      <c r="N680" s="67"/>
      <c r="O680" s="64"/>
      <c r="P680" s="72" t="str">
        <f aca="false">IF(OR(B680="",C680=""),"",C680&amp;"|"&amp;(YEAR(B680)*100+MONTH(B680)))</f>
        <v/>
      </c>
      <c r="Q680" s="70" t="str">
        <f aca="false">IF(P680="","",IF(COUNTIF(N_CLAVE,P680)&gt;1,"⚠ Duplicado","OK"))</f>
        <v/>
      </c>
      <c r="R680" s="74" t="str">
        <f aca="false">IF(OR(P680="",U680=""),"",MAX(0,U680-N(E680)-N(F680)-N(H680)))</f>
        <v/>
      </c>
      <c r="S680" s="75" t="str">
        <f aca="false">IF(P680="","",IFERROR(INDEX(T_INGRESO,MATCH(C680,T_ID,0)),""))</f>
        <v/>
      </c>
      <c r="T680" s="75" t="str">
        <f aca="false">IF(P680="","",IFERROR(N(INDEX(T_EGRESO,MATCH(C680,T_ID,0))),0))</f>
        <v/>
      </c>
      <c r="U680" s="73" t="str">
        <f aca="false">IF(OR(P680="",NOT(ISNUMBER(S680))),"",IF(OR(S680&gt;EOMONTH(B680,0),AND(T680&gt;0,T680&lt;B680)),0,IF(AND(S680&lt;=B680,OR(T680=0,T680&gt;=EOMONTH(B680,0))),30,MIN(30,IF(T680=0,EOMONTH(B680,0),MIN(T680,EOMONTH(B680,0)))-MAX(B680,S680)+1))))</f>
        <v/>
      </c>
    </row>
    <row r="681" customFormat="false" ht="15" hidden="false" customHeight="false" outlineLevel="0" collapsed="false">
      <c r="B681" s="78"/>
      <c r="C681" s="64"/>
      <c r="D681" s="70" t="str">
        <f aca="false">IF(C681="","",IFERROR(INDEX(T_NOMBRE,MATCH(C681,T_ID,0)),"⚠ ID no existe"))</f>
        <v/>
      </c>
      <c r="E681" s="69"/>
      <c r="F681" s="69"/>
      <c r="G681" s="69"/>
      <c r="H681" s="69"/>
      <c r="I681" s="66"/>
      <c r="J681" s="69"/>
      <c r="K681" s="67"/>
      <c r="L681" s="67"/>
      <c r="M681" s="67"/>
      <c r="N681" s="67"/>
      <c r="O681" s="64"/>
      <c r="P681" s="72" t="str">
        <f aca="false">IF(OR(B681="",C681=""),"",C681&amp;"|"&amp;(YEAR(B681)*100+MONTH(B681)))</f>
        <v/>
      </c>
      <c r="Q681" s="70" t="str">
        <f aca="false">IF(P681="","",IF(COUNTIF(N_CLAVE,P681)&gt;1,"⚠ Duplicado","OK"))</f>
        <v/>
      </c>
      <c r="R681" s="74" t="str">
        <f aca="false">IF(OR(P681="",U681=""),"",MAX(0,U681-N(E681)-N(F681)-N(H681)))</f>
        <v/>
      </c>
      <c r="S681" s="75" t="str">
        <f aca="false">IF(P681="","",IFERROR(INDEX(T_INGRESO,MATCH(C681,T_ID,0)),""))</f>
        <v/>
      </c>
      <c r="T681" s="75" t="str">
        <f aca="false">IF(P681="","",IFERROR(N(INDEX(T_EGRESO,MATCH(C681,T_ID,0))),0))</f>
        <v/>
      </c>
      <c r="U681" s="73" t="str">
        <f aca="false">IF(OR(P681="",NOT(ISNUMBER(S681))),"",IF(OR(S681&gt;EOMONTH(B681,0),AND(T681&gt;0,T681&lt;B681)),0,IF(AND(S681&lt;=B681,OR(T681=0,T681&gt;=EOMONTH(B681,0))),30,MIN(30,IF(T681=0,EOMONTH(B681,0),MIN(T681,EOMONTH(B681,0)))-MAX(B681,S681)+1))))</f>
        <v/>
      </c>
    </row>
    <row r="682" customFormat="false" ht="15" hidden="false" customHeight="false" outlineLevel="0" collapsed="false">
      <c r="B682" s="78"/>
      <c r="C682" s="64"/>
      <c r="D682" s="70" t="str">
        <f aca="false">IF(C682="","",IFERROR(INDEX(T_NOMBRE,MATCH(C682,T_ID,0)),"⚠ ID no existe"))</f>
        <v/>
      </c>
      <c r="E682" s="69"/>
      <c r="F682" s="69"/>
      <c r="G682" s="69"/>
      <c r="H682" s="69"/>
      <c r="I682" s="66"/>
      <c r="J682" s="69"/>
      <c r="K682" s="67"/>
      <c r="L682" s="67"/>
      <c r="M682" s="67"/>
      <c r="N682" s="67"/>
      <c r="O682" s="64"/>
      <c r="P682" s="72" t="str">
        <f aca="false">IF(OR(B682="",C682=""),"",C682&amp;"|"&amp;(YEAR(B682)*100+MONTH(B682)))</f>
        <v/>
      </c>
      <c r="Q682" s="70" t="str">
        <f aca="false">IF(P682="","",IF(COUNTIF(N_CLAVE,P682)&gt;1,"⚠ Duplicado","OK"))</f>
        <v/>
      </c>
      <c r="R682" s="74" t="str">
        <f aca="false">IF(OR(P682="",U682=""),"",MAX(0,U682-N(E682)-N(F682)-N(H682)))</f>
        <v/>
      </c>
      <c r="S682" s="75" t="str">
        <f aca="false">IF(P682="","",IFERROR(INDEX(T_INGRESO,MATCH(C682,T_ID,0)),""))</f>
        <v/>
      </c>
      <c r="T682" s="75" t="str">
        <f aca="false">IF(P682="","",IFERROR(N(INDEX(T_EGRESO,MATCH(C682,T_ID,0))),0))</f>
        <v/>
      </c>
      <c r="U682" s="73" t="str">
        <f aca="false">IF(OR(P682="",NOT(ISNUMBER(S682))),"",IF(OR(S682&gt;EOMONTH(B682,0),AND(T682&gt;0,T682&lt;B682)),0,IF(AND(S682&lt;=B682,OR(T682=0,T682&gt;=EOMONTH(B682,0))),30,MIN(30,IF(T682=0,EOMONTH(B682,0),MIN(T682,EOMONTH(B682,0)))-MAX(B682,S682)+1))))</f>
        <v/>
      </c>
    </row>
    <row r="683" customFormat="false" ht="15" hidden="false" customHeight="false" outlineLevel="0" collapsed="false">
      <c r="B683" s="78"/>
      <c r="C683" s="64"/>
      <c r="D683" s="70" t="str">
        <f aca="false">IF(C683="","",IFERROR(INDEX(T_NOMBRE,MATCH(C683,T_ID,0)),"⚠ ID no existe"))</f>
        <v/>
      </c>
      <c r="E683" s="69"/>
      <c r="F683" s="69"/>
      <c r="G683" s="69"/>
      <c r="H683" s="69"/>
      <c r="I683" s="66"/>
      <c r="J683" s="69"/>
      <c r="K683" s="67"/>
      <c r="L683" s="67"/>
      <c r="M683" s="67"/>
      <c r="N683" s="67"/>
      <c r="O683" s="64"/>
      <c r="P683" s="72" t="str">
        <f aca="false">IF(OR(B683="",C683=""),"",C683&amp;"|"&amp;(YEAR(B683)*100+MONTH(B683)))</f>
        <v/>
      </c>
      <c r="Q683" s="70" t="str">
        <f aca="false">IF(P683="","",IF(COUNTIF(N_CLAVE,P683)&gt;1,"⚠ Duplicado","OK"))</f>
        <v/>
      </c>
      <c r="R683" s="74" t="str">
        <f aca="false">IF(OR(P683="",U683=""),"",MAX(0,U683-N(E683)-N(F683)-N(H683)))</f>
        <v/>
      </c>
      <c r="S683" s="75" t="str">
        <f aca="false">IF(P683="","",IFERROR(INDEX(T_INGRESO,MATCH(C683,T_ID,0)),""))</f>
        <v/>
      </c>
      <c r="T683" s="75" t="str">
        <f aca="false">IF(P683="","",IFERROR(N(INDEX(T_EGRESO,MATCH(C683,T_ID,0))),0))</f>
        <v/>
      </c>
      <c r="U683" s="73" t="str">
        <f aca="false">IF(OR(P683="",NOT(ISNUMBER(S683))),"",IF(OR(S683&gt;EOMONTH(B683,0),AND(T683&gt;0,T683&lt;B683)),0,IF(AND(S683&lt;=B683,OR(T683=0,T683&gt;=EOMONTH(B683,0))),30,MIN(30,IF(T683=0,EOMONTH(B683,0),MIN(T683,EOMONTH(B683,0)))-MAX(B683,S683)+1))))</f>
        <v/>
      </c>
    </row>
    <row r="684" customFormat="false" ht="15" hidden="false" customHeight="false" outlineLevel="0" collapsed="false">
      <c r="B684" s="78"/>
      <c r="C684" s="64"/>
      <c r="D684" s="70" t="str">
        <f aca="false">IF(C684="","",IFERROR(INDEX(T_NOMBRE,MATCH(C684,T_ID,0)),"⚠ ID no existe"))</f>
        <v/>
      </c>
      <c r="E684" s="69"/>
      <c r="F684" s="69"/>
      <c r="G684" s="69"/>
      <c r="H684" s="69"/>
      <c r="I684" s="66"/>
      <c r="J684" s="69"/>
      <c r="K684" s="67"/>
      <c r="L684" s="67"/>
      <c r="M684" s="67"/>
      <c r="N684" s="67"/>
      <c r="O684" s="64"/>
      <c r="P684" s="72" t="str">
        <f aca="false">IF(OR(B684="",C684=""),"",C684&amp;"|"&amp;(YEAR(B684)*100+MONTH(B684)))</f>
        <v/>
      </c>
      <c r="Q684" s="70" t="str">
        <f aca="false">IF(P684="","",IF(COUNTIF(N_CLAVE,P684)&gt;1,"⚠ Duplicado","OK"))</f>
        <v/>
      </c>
      <c r="R684" s="74" t="str">
        <f aca="false">IF(OR(P684="",U684=""),"",MAX(0,U684-N(E684)-N(F684)-N(H684)))</f>
        <v/>
      </c>
      <c r="S684" s="75" t="str">
        <f aca="false">IF(P684="","",IFERROR(INDEX(T_INGRESO,MATCH(C684,T_ID,0)),""))</f>
        <v/>
      </c>
      <c r="T684" s="75" t="str">
        <f aca="false">IF(P684="","",IFERROR(N(INDEX(T_EGRESO,MATCH(C684,T_ID,0))),0))</f>
        <v/>
      </c>
      <c r="U684" s="73" t="str">
        <f aca="false">IF(OR(P684="",NOT(ISNUMBER(S684))),"",IF(OR(S684&gt;EOMONTH(B684,0),AND(T684&gt;0,T684&lt;B684)),0,IF(AND(S684&lt;=B684,OR(T684=0,T684&gt;=EOMONTH(B684,0))),30,MIN(30,IF(T684=0,EOMONTH(B684,0),MIN(T684,EOMONTH(B684,0)))-MAX(B684,S684)+1))))</f>
        <v/>
      </c>
    </row>
    <row r="685" customFormat="false" ht="15" hidden="false" customHeight="false" outlineLevel="0" collapsed="false">
      <c r="B685" s="78"/>
      <c r="C685" s="64"/>
      <c r="D685" s="70" t="str">
        <f aca="false">IF(C685="","",IFERROR(INDEX(T_NOMBRE,MATCH(C685,T_ID,0)),"⚠ ID no existe"))</f>
        <v/>
      </c>
      <c r="E685" s="69"/>
      <c r="F685" s="69"/>
      <c r="G685" s="69"/>
      <c r="H685" s="69"/>
      <c r="I685" s="66"/>
      <c r="J685" s="69"/>
      <c r="K685" s="67"/>
      <c r="L685" s="67"/>
      <c r="M685" s="67"/>
      <c r="N685" s="67"/>
      <c r="O685" s="64"/>
      <c r="P685" s="72" t="str">
        <f aca="false">IF(OR(B685="",C685=""),"",C685&amp;"|"&amp;(YEAR(B685)*100+MONTH(B685)))</f>
        <v/>
      </c>
      <c r="Q685" s="70" t="str">
        <f aca="false">IF(P685="","",IF(COUNTIF(N_CLAVE,P685)&gt;1,"⚠ Duplicado","OK"))</f>
        <v/>
      </c>
      <c r="R685" s="74" t="str">
        <f aca="false">IF(OR(P685="",U685=""),"",MAX(0,U685-N(E685)-N(F685)-N(H685)))</f>
        <v/>
      </c>
      <c r="S685" s="75" t="str">
        <f aca="false">IF(P685="","",IFERROR(INDEX(T_INGRESO,MATCH(C685,T_ID,0)),""))</f>
        <v/>
      </c>
      <c r="T685" s="75" t="str">
        <f aca="false">IF(P685="","",IFERROR(N(INDEX(T_EGRESO,MATCH(C685,T_ID,0))),0))</f>
        <v/>
      </c>
      <c r="U685" s="73" t="str">
        <f aca="false">IF(OR(P685="",NOT(ISNUMBER(S685))),"",IF(OR(S685&gt;EOMONTH(B685,0),AND(T685&gt;0,T685&lt;B685)),0,IF(AND(S685&lt;=B685,OR(T685=0,T685&gt;=EOMONTH(B685,0))),30,MIN(30,IF(T685=0,EOMONTH(B685,0),MIN(T685,EOMONTH(B685,0)))-MAX(B685,S685)+1))))</f>
        <v/>
      </c>
    </row>
    <row r="686" customFormat="false" ht="15" hidden="false" customHeight="false" outlineLevel="0" collapsed="false">
      <c r="B686" s="78"/>
      <c r="C686" s="64"/>
      <c r="D686" s="70" t="str">
        <f aca="false">IF(C686="","",IFERROR(INDEX(T_NOMBRE,MATCH(C686,T_ID,0)),"⚠ ID no existe"))</f>
        <v/>
      </c>
      <c r="E686" s="69"/>
      <c r="F686" s="69"/>
      <c r="G686" s="69"/>
      <c r="H686" s="69"/>
      <c r="I686" s="66"/>
      <c r="J686" s="69"/>
      <c r="K686" s="67"/>
      <c r="L686" s="67"/>
      <c r="M686" s="67"/>
      <c r="N686" s="67"/>
      <c r="O686" s="64"/>
      <c r="P686" s="72" t="str">
        <f aca="false">IF(OR(B686="",C686=""),"",C686&amp;"|"&amp;(YEAR(B686)*100+MONTH(B686)))</f>
        <v/>
      </c>
      <c r="Q686" s="70" t="str">
        <f aca="false">IF(P686="","",IF(COUNTIF(N_CLAVE,P686)&gt;1,"⚠ Duplicado","OK"))</f>
        <v/>
      </c>
      <c r="R686" s="74" t="str">
        <f aca="false">IF(OR(P686="",U686=""),"",MAX(0,U686-N(E686)-N(F686)-N(H686)))</f>
        <v/>
      </c>
      <c r="S686" s="75" t="str">
        <f aca="false">IF(P686="","",IFERROR(INDEX(T_INGRESO,MATCH(C686,T_ID,0)),""))</f>
        <v/>
      </c>
      <c r="T686" s="75" t="str">
        <f aca="false">IF(P686="","",IFERROR(N(INDEX(T_EGRESO,MATCH(C686,T_ID,0))),0))</f>
        <v/>
      </c>
      <c r="U686" s="73" t="str">
        <f aca="false">IF(OR(P686="",NOT(ISNUMBER(S686))),"",IF(OR(S686&gt;EOMONTH(B686,0),AND(T686&gt;0,T686&lt;B686)),0,IF(AND(S686&lt;=B686,OR(T686=0,T686&gt;=EOMONTH(B686,0))),30,MIN(30,IF(T686=0,EOMONTH(B686,0),MIN(T686,EOMONTH(B686,0)))-MAX(B686,S686)+1))))</f>
        <v/>
      </c>
    </row>
    <row r="687" customFormat="false" ht="15" hidden="false" customHeight="false" outlineLevel="0" collapsed="false">
      <c r="B687" s="78"/>
      <c r="C687" s="64"/>
      <c r="D687" s="70" t="str">
        <f aca="false">IF(C687="","",IFERROR(INDEX(T_NOMBRE,MATCH(C687,T_ID,0)),"⚠ ID no existe"))</f>
        <v/>
      </c>
      <c r="E687" s="69"/>
      <c r="F687" s="69"/>
      <c r="G687" s="69"/>
      <c r="H687" s="69"/>
      <c r="I687" s="66"/>
      <c r="J687" s="69"/>
      <c r="K687" s="67"/>
      <c r="L687" s="67"/>
      <c r="M687" s="67"/>
      <c r="N687" s="67"/>
      <c r="O687" s="64"/>
      <c r="P687" s="72" t="str">
        <f aca="false">IF(OR(B687="",C687=""),"",C687&amp;"|"&amp;(YEAR(B687)*100+MONTH(B687)))</f>
        <v/>
      </c>
      <c r="Q687" s="70" t="str">
        <f aca="false">IF(P687="","",IF(COUNTIF(N_CLAVE,P687)&gt;1,"⚠ Duplicado","OK"))</f>
        <v/>
      </c>
      <c r="R687" s="74" t="str">
        <f aca="false">IF(OR(P687="",U687=""),"",MAX(0,U687-N(E687)-N(F687)-N(H687)))</f>
        <v/>
      </c>
      <c r="S687" s="75" t="str">
        <f aca="false">IF(P687="","",IFERROR(INDEX(T_INGRESO,MATCH(C687,T_ID,0)),""))</f>
        <v/>
      </c>
      <c r="T687" s="75" t="str">
        <f aca="false">IF(P687="","",IFERROR(N(INDEX(T_EGRESO,MATCH(C687,T_ID,0))),0))</f>
        <v/>
      </c>
      <c r="U687" s="73" t="str">
        <f aca="false">IF(OR(P687="",NOT(ISNUMBER(S687))),"",IF(OR(S687&gt;EOMONTH(B687,0),AND(T687&gt;0,T687&lt;B687)),0,IF(AND(S687&lt;=B687,OR(T687=0,T687&gt;=EOMONTH(B687,0))),30,MIN(30,IF(T687=0,EOMONTH(B687,0),MIN(T687,EOMONTH(B687,0)))-MAX(B687,S687)+1))))</f>
        <v/>
      </c>
    </row>
    <row r="688" customFormat="false" ht="15" hidden="false" customHeight="false" outlineLevel="0" collapsed="false">
      <c r="B688" s="78"/>
      <c r="C688" s="64"/>
      <c r="D688" s="70" t="str">
        <f aca="false">IF(C688="","",IFERROR(INDEX(T_NOMBRE,MATCH(C688,T_ID,0)),"⚠ ID no existe"))</f>
        <v/>
      </c>
      <c r="E688" s="69"/>
      <c r="F688" s="69"/>
      <c r="G688" s="69"/>
      <c r="H688" s="69"/>
      <c r="I688" s="66"/>
      <c r="J688" s="69"/>
      <c r="K688" s="67"/>
      <c r="L688" s="67"/>
      <c r="M688" s="67"/>
      <c r="N688" s="67"/>
      <c r="O688" s="64"/>
      <c r="P688" s="72" t="str">
        <f aca="false">IF(OR(B688="",C688=""),"",C688&amp;"|"&amp;(YEAR(B688)*100+MONTH(B688)))</f>
        <v/>
      </c>
      <c r="Q688" s="70" t="str">
        <f aca="false">IF(P688="","",IF(COUNTIF(N_CLAVE,P688)&gt;1,"⚠ Duplicado","OK"))</f>
        <v/>
      </c>
      <c r="R688" s="74" t="str">
        <f aca="false">IF(OR(P688="",U688=""),"",MAX(0,U688-N(E688)-N(F688)-N(H688)))</f>
        <v/>
      </c>
      <c r="S688" s="75" t="str">
        <f aca="false">IF(P688="","",IFERROR(INDEX(T_INGRESO,MATCH(C688,T_ID,0)),""))</f>
        <v/>
      </c>
      <c r="T688" s="75" t="str">
        <f aca="false">IF(P688="","",IFERROR(N(INDEX(T_EGRESO,MATCH(C688,T_ID,0))),0))</f>
        <v/>
      </c>
      <c r="U688" s="73" t="str">
        <f aca="false">IF(OR(P688="",NOT(ISNUMBER(S688))),"",IF(OR(S688&gt;EOMONTH(B688,0),AND(T688&gt;0,T688&lt;B688)),0,IF(AND(S688&lt;=B688,OR(T688=0,T688&gt;=EOMONTH(B688,0))),30,MIN(30,IF(T688=0,EOMONTH(B688,0),MIN(T688,EOMONTH(B688,0)))-MAX(B688,S688)+1))))</f>
        <v/>
      </c>
    </row>
    <row r="689" customFormat="false" ht="15" hidden="false" customHeight="false" outlineLevel="0" collapsed="false">
      <c r="B689" s="78"/>
      <c r="C689" s="64"/>
      <c r="D689" s="70" t="str">
        <f aca="false">IF(C689="","",IFERROR(INDEX(T_NOMBRE,MATCH(C689,T_ID,0)),"⚠ ID no existe"))</f>
        <v/>
      </c>
      <c r="E689" s="69"/>
      <c r="F689" s="69"/>
      <c r="G689" s="69"/>
      <c r="H689" s="69"/>
      <c r="I689" s="66"/>
      <c r="J689" s="69"/>
      <c r="K689" s="67"/>
      <c r="L689" s="67"/>
      <c r="M689" s="67"/>
      <c r="N689" s="67"/>
      <c r="O689" s="64"/>
      <c r="P689" s="72" t="str">
        <f aca="false">IF(OR(B689="",C689=""),"",C689&amp;"|"&amp;(YEAR(B689)*100+MONTH(B689)))</f>
        <v/>
      </c>
      <c r="Q689" s="70" t="str">
        <f aca="false">IF(P689="","",IF(COUNTIF(N_CLAVE,P689)&gt;1,"⚠ Duplicado","OK"))</f>
        <v/>
      </c>
      <c r="R689" s="74" t="str">
        <f aca="false">IF(OR(P689="",U689=""),"",MAX(0,U689-N(E689)-N(F689)-N(H689)))</f>
        <v/>
      </c>
      <c r="S689" s="75" t="str">
        <f aca="false">IF(P689="","",IFERROR(INDEX(T_INGRESO,MATCH(C689,T_ID,0)),""))</f>
        <v/>
      </c>
      <c r="T689" s="75" t="str">
        <f aca="false">IF(P689="","",IFERROR(N(INDEX(T_EGRESO,MATCH(C689,T_ID,0))),0))</f>
        <v/>
      </c>
      <c r="U689" s="73" t="str">
        <f aca="false">IF(OR(P689="",NOT(ISNUMBER(S689))),"",IF(OR(S689&gt;EOMONTH(B689,0),AND(T689&gt;0,T689&lt;B689)),0,IF(AND(S689&lt;=B689,OR(T689=0,T689&gt;=EOMONTH(B689,0))),30,MIN(30,IF(T689=0,EOMONTH(B689,0),MIN(T689,EOMONTH(B689,0)))-MAX(B689,S689)+1))))</f>
        <v/>
      </c>
    </row>
    <row r="690" customFormat="false" ht="15" hidden="false" customHeight="false" outlineLevel="0" collapsed="false">
      <c r="B690" s="78"/>
      <c r="C690" s="64"/>
      <c r="D690" s="70" t="str">
        <f aca="false">IF(C690="","",IFERROR(INDEX(T_NOMBRE,MATCH(C690,T_ID,0)),"⚠ ID no existe"))</f>
        <v/>
      </c>
      <c r="E690" s="69"/>
      <c r="F690" s="69"/>
      <c r="G690" s="69"/>
      <c r="H690" s="69"/>
      <c r="I690" s="66"/>
      <c r="J690" s="69"/>
      <c r="K690" s="67"/>
      <c r="L690" s="67"/>
      <c r="M690" s="67"/>
      <c r="N690" s="67"/>
      <c r="O690" s="64"/>
      <c r="P690" s="72" t="str">
        <f aca="false">IF(OR(B690="",C690=""),"",C690&amp;"|"&amp;(YEAR(B690)*100+MONTH(B690)))</f>
        <v/>
      </c>
      <c r="Q690" s="70" t="str">
        <f aca="false">IF(P690="","",IF(COUNTIF(N_CLAVE,P690)&gt;1,"⚠ Duplicado","OK"))</f>
        <v/>
      </c>
      <c r="R690" s="74" t="str">
        <f aca="false">IF(OR(P690="",U690=""),"",MAX(0,U690-N(E690)-N(F690)-N(H690)))</f>
        <v/>
      </c>
      <c r="S690" s="75" t="str">
        <f aca="false">IF(P690="","",IFERROR(INDEX(T_INGRESO,MATCH(C690,T_ID,0)),""))</f>
        <v/>
      </c>
      <c r="T690" s="75" t="str">
        <f aca="false">IF(P690="","",IFERROR(N(INDEX(T_EGRESO,MATCH(C690,T_ID,0))),0))</f>
        <v/>
      </c>
      <c r="U690" s="73" t="str">
        <f aca="false">IF(OR(P690="",NOT(ISNUMBER(S690))),"",IF(OR(S690&gt;EOMONTH(B690,0),AND(T690&gt;0,T690&lt;B690)),0,IF(AND(S690&lt;=B690,OR(T690=0,T690&gt;=EOMONTH(B690,0))),30,MIN(30,IF(T690=0,EOMONTH(B690,0),MIN(T690,EOMONTH(B690,0)))-MAX(B690,S690)+1))))</f>
        <v/>
      </c>
    </row>
    <row r="691" customFormat="false" ht="15" hidden="false" customHeight="false" outlineLevel="0" collapsed="false">
      <c r="B691" s="78"/>
      <c r="C691" s="64"/>
      <c r="D691" s="70" t="str">
        <f aca="false">IF(C691="","",IFERROR(INDEX(T_NOMBRE,MATCH(C691,T_ID,0)),"⚠ ID no existe"))</f>
        <v/>
      </c>
      <c r="E691" s="69"/>
      <c r="F691" s="69"/>
      <c r="G691" s="69"/>
      <c r="H691" s="69"/>
      <c r="I691" s="66"/>
      <c r="J691" s="69"/>
      <c r="K691" s="67"/>
      <c r="L691" s="67"/>
      <c r="M691" s="67"/>
      <c r="N691" s="67"/>
      <c r="O691" s="64"/>
      <c r="P691" s="72" t="str">
        <f aca="false">IF(OR(B691="",C691=""),"",C691&amp;"|"&amp;(YEAR(B691)*100+MONTH(B691)))</f>
        <v/>
      </c>
      <c r="Q691" s="70" t="str">
        <f aca="false">IF(P691="","",IF(COUNTIF(N_CLAVE,P691)&gt;1,"⚠ Duplicado","OK"))</f>
        <v/>
      </c>
      <c r="R691" s="74" t="str">
        <f aca="false">IF(OR(P691="",U691=""),"",MAX(0,U691-N(E691)-N(F691)-N(H691)))</f>
        <v/>
      </c>
      <c r="S691" s="75" t="str">
        <f aca="false">IF(P691="","",IFERROR(INDEX(T_INGRESO,MATCH(C691,T_ID,0)),""))</f>
        <v/>
      </c>
      <c r="T691" s="75" t="str">
        <f aca="false">IF(P691="","",IFERROR(N(INDEX(T_EGRESO,MATCH(C691,T_ID,0))),0))</f>
        <v/>
      </c>
      <c r="U691" s="73" t="str">
        <f aca="false">IF(OR(P691="",NOT(ISNUMBER(S691))),"",IF(OR(S691&gt;EOMONTH(B691,0),AND(T691&gt;0,T691&lt;B691)),0,IF(AND(S691&lt;=B691,OR(T691=0,T691&gt;=EOMONTH(B691,0))),30,MIN(30,IF(T691=0,EOMONTH(B691,0),MIN(T691,EOMONTH(B691,0)))-MAX(B691,S691)+1))))</f>
        <v/>
      </c>
    </row>
    <row r="692" customFormat="false" ht="15" hidden="false" customHeight="false" outlineLevel="0" collapsed="false">
      <c r="B692" s="78"/>
      <c r="C692" s="64"/>
      <c r="D692" s="70" t="str">
        <f aca="false">IF(C692="","",IFERROR(INDEX(T_NOMBRE,MATCH(C692,T_ID,0)),"⚠ ID no existe"))</f>
        <v/>
      </c>
      <c r="E692" s="69"/>
      <c r="F692" s="69"/>
      <c r="G692" s="69"/>
      <c r="H692" s="69"/>
      <c r="I692" s="66"/>
      <c r="J692" s="69"/>
      <c r="K692" s="67"/>
      <c r="L692" s="67"/>
      <c r="M692" s="67"/>
      <c r="N692" s="67"/>
      <c r="O692" s="64"/>
      <c r="P692" s="72" t="str">
        <f aca="false">IF(OR(B692="",C692=""),"",C692&amp;"|"&amp;(YEAR(B692)*100+MONTH(B692)))</f>
        <v/>
      </c>
      <c r="Q692" s="70" t="str">
        <f aca="false">IF(P692="","",IF(COUNTIF(N_CLAVE,P692)&gt;1,"⚠ Duplicado","OK"))</f>
        <v/>
      </c>
      <c r="R692" s="74" t="str">
        <f aca="false">IF(OR(P692="",U692=""),"",MAX(0,U692-N(E692)-N(F692)-N(H692)))</f>
        <v/>
      </c>
      <c r="S692" s="75" t="str">
        <f aca="false">IF(P692="","",IFERROR(INDEX(T_INGRESO,MATCH(C692,T_ID,0)),""))</f>
        <v/>
      </c>
      <c r="T692" s="75" t="str">
        <f aca="false">IF(P692="","",IFERROR(N(INDEX(T_EGRESO,MATCH(C692,T_ID,0))),0))</f>
        <v/>
      </c>
      <c r="U692" s="73" t="str">
        <f aca="false">IF(OR(P692="",NOT(ISNUMBER(S692))),"",IF(OR(S692&gt;EOMONTH(B692,0),AND(T692&gt;0,T692&lt;B692)),0,IF(AND(S692&lt;=B692,OR(T692=0,T692&gt;=EOMONTH(B692,0))),30,MIN(30,IF(T692=0,EOMONTH(B692,0),MIN(T692,EOMONTH(B692,0)))-MAX(B692,S692)+1))))</f>
        <v/>
      </c>
    </row>
    <row r="693" customFormat="false" ht="15" hidden="false" customHeight="false" outlineLevel="0" collapsed="false">
      <c r="B693" s="78"/>
      <c r="C693" s="64"/>
      <c r="D693" s="70" t="str">
        <f aca="false">IF(C693="","",IFERROR(INDEX(T_NOMBRE,MATCH(C693,T_ID,0)),"⚠ ID no existe"))</f>
        <v/>
      </c>
      <c r="E693" s="69"/>
      <c r="F693" s="69"/>
      <c r="G693" s="69"/>
      <c r="H693" s="69"/>
      <c r="I693" s="66"/>
      <c r="J693" s="69"/>
      <c r="K693" s="67"/>
      <c r="L693" s="67"/>
      <c r="M693" s="67"/>
      <c r="N693" s="67"/>
      <c r="O693" s="64"/>
      <c r="P693" s="72" t="str">
        <f aca="false">IF(OR(B693="",C693=""),"",C693&amp;"|"&amp;(YEAR(B693)*100+MONTH(B693)))</f>
        <v/>
      </c>
      <c r="Q693" s="70" t="str">
        <f aca="false">IF(P693="","",IF(COUNTIF(N_CLAVE,P693)&gt;1,"⚠ Duplicado","OK"))</f>
        <v/>
      </c>
      <c r="R693" s="74" t="str">
        <f aca="false">IF(OR(P693="",U693=""),"",MAX(0,U693-N(E693)-N(F693)-N(H693)))</f>
        <v/>
      </c>
      <c r="S693" s="75" t="str">
        <f aca="false">IF(P693="","",IFERROR(INDEX(T_INGRESO,MATCH(C693,T_ID,0)),""))</f>
        <v/>
      </c>
      <c r="T693" s="75" t="str">
        <f aca="false">IF(P693="","",IFERROR(N(INDEX(T_EGRESO,MATCH(C693,T_ID,0))),0))</f>
        <v/>
      </c>
      <c r="U693" s="73" t="str">
        <f aca="false">IF(OR(P693="",NOT(ISNUMBER(S693))),"",IF(OR(S693&gt;EOMONTH(B693,0),AND(T693&gt;0,T693&lt;B693)),0,IF(AND(S693&lt;=B693,OR(T693=0,T693&gt;=EOMONTH(B693,0))),30,MIN(30,IF(T693=0,EOMONTH(B693,0),MIN(T693,EOMONTH(B693,0)))-MAX(B693,S693)+1))))</f>
        <v/>
      </c>
    </row>
    <row r="694" customFormat="false" ht="15" hidden="false" customHeight="false" outlineLevel="0" collapsed="false">
      <c r="B694" s="78"/>
      <c r="C694" s="64"/>
      <c r="D694" s="70" t="str">
        <f aca="false">IF(C694="","",IFERROR(INDEX(T_NOMBRE,MATCH(C694,T_ID,0)),"⚠ ID no existe"))</f>
        <v/>
      </c>
      <c r="E694" s="69"/>
      <c r="F694" s="69"/>
      <c r="G694" s="69"/>
      <c r="H694" s="69"/>
      <c r="I694" s="66"/>
      <c r="J694" s="69"/>
      <c r="K694" s="67"/>
      <c r="L694" s="67"/>
      <c r="M694" s="67"/>
      <c r="N694" s="67"/>
      <c r="O694" s="64"/>
      <c r="P694" s="72" t="str">
        <f aca="false">IF(OR(B694="",C694=""),"",C694&amp;"|"&amp;(YEAR(B694)*100+MONTH(B694)))</f>
        <v/>
      </c>
      <c r="Q694" s="70" t="str">
        <f aca="false">IF(P694="","",IF(COUNTIF(N_CLAVE,P694)&gt;1,"⚠ Duplicado","OK"))</f>
        <v/>
      </c>
      <c r="R694" s="74" t="str">
        <f aca="false">IF(OR(P694="",U694=""),"",MAX(0,U694-N(E694)-N(F694)-N(H694)))</f>
        <v/>
      </c>
      <c r="S694" s="75" t="str">
        <f aca="false">IF(P694="","",IFERROR(INDEX(T_INGRESO,MATCH(C694,T_ID,0)),""))</f>
        <v/>
      </c>
      <c r="T694" s="75" t="str">
        <f aca="false">IF(P694="","",IFERROR(N(INDEX(T_EGRESO,MATCH(C694,T_ID,0))),0))</f>
        <v/>
      </c>
      <c r="U694" s="73" t="str">
        <f aca="false">IF(OR(P694="",NOT(ISNUMBER(S694))),"",IF(OR(S694&gt;EOMONTH(B694,0),AND(T694&gt;0,T694&lt;B694)),0,IF(AND(S694&lt;=B694,OR(T694=0,T694&gt;=EOMONTH(B694,0))),30,MIN(30,IF(T694=0,EOMONTH(B694,0),MIN(T694,EOMONTH(B694,0)))-MAX(B694,S694)+1))))</f>
        <v/>
      </c>
    </row>
    <row r="695" customFormat="false" ht="15" hidden="false" customHeight="false" outlineLevel="0" collapsed="false">
      <c r="B695" s="78"/>
      <c r="C695" s="64"/>
      <c r="D695" s="70" t="str">
        <f aca="false">IF(C695="","",IFERROR(INDEX(T_NOMBRE,MATCH(C695,T_ID,0)),"⚠ ID no existe"))</f>
        <v/>
      </c>
      <c r="E695" s="69"/>
      <c r="F695" s="69"/>
      <c r="G695" s="69"/>
      <c r="H695" s="69"/>
      <c r="I695" s="66"/>
      <c r="J695" s="69"/>
      <c r="K695" s="67"/>
      <c r="L695" s="67"/>
      <c r="M695" s="67"/>
      <c r="N695" s="67"/>
      <c r="O695" s="64"/>
      <c r="P695" s="72" t="str">
        <f aca="false">IF(OR(B695="",C695=""),"",C695&amp;"|"&amp;(YEAR(B695)*100+MONTH(B695)))</f>
        <v/>
      </c>
      <c r="Q695" s="70" t="str">
        <f aca="false">IF(P695="","",IF(COUNTIF(N_CLAVE,P695)&gt;1,"⚠ Duplicado","OK"))</f>
        <v/>
      </c>
      <c r="R695" s="74" t="str">
        <f aca="false">IF(OR(P695="",U695=""),"",MAX(0,U695-N(E695)-N(F695)-N(H695)))</f>
        <v/>
      </c>
      <c r="S695" s="75" t="str">
        <f aca="false">IF(P695="","",IFERROR(INDEX(T_INGRESO,MATCH(C695,T_ID,0)),""))</f>
        <v/>
      </c>
      <c r="T695" s="75" t="str">
        <f aca="false">IF(P695="","",IFERROR(N(INDEX(T_EGRESO,MATCH(C695,T_ID,0))),0))</f>
        <v/>
      </c>
      <c r="U695" s="73" t="str">
        <f aca="false">IF(OR(P695="",NOT(ISNUMBER(S695))),"",IF(OR(S695&gt;EOMONTH(B695,0),AND(T695&gt;0,T695&lt;B695)),0,IF(AND(S695&lt;=B695,OR(T695=0,T695&gt;=EOMONTH(B695,0))),30,MIN(30,IF(T695=0,EOMONTH(B695,0),MIN(T695,EOMONTH(B695,0)))-MAX(B695,S695)+1))))</f>
        <v/>
      </c>
    </row>
    <row r="696" customFormat="false" ht="15" hidden="false" customHeight="false" outlineLevel="0" collapsed="false">
      <c r="B696" s="78"/>
      <c r="C696" s="64"/>
      <c r="D696" s="70" t="str">
        <f aca="false">IF(C696="","",IFERROR(INDEX(T_NOMBRE,MATCH(C696,T_ID,0)),"⚠ ID no existe"))</f>
        <v/>
      </c>
      <c r="E696" s="69"/>
      <c r="F696" s="69"/>
      <c r="G696" s="69"/>
      <c r="H696" s="69"/>
      <c r="I696" s="66"/>
      <c r="J696" s="69"/>
      <c r="K696" s="67"/>
      <c r="L696" s="67"/>
      <c r="M696" s="67"/>
      <c r="N696" s="67"/>
      <c r="O696" s="64"/>
      <c r="P696" s="72" t="str">
        <f aca="false">IF(OR(B696="",C696=""),"",C696&amp;"|"&amp;(YEAR(B696)*100+MONTH(B696)))</f>
        <v/>
      </c>
      <c r="Q696" s="70" t="str">
        <f aca="false">IF(P696="","",IF(COUNTIF(N_CLAVE,P696)&gt;1,"⚠ Duplicado","OK"))</f>
        <v/>
      </c>
      <c r="R696" s="74" t="str">
        <f aca="false">IF(OR(P696="",U696=""),"",MAX(0,U696-N(E696)-N(F696)-N(H696)))</f>
        <v/>
      </c>
      <c r="S696" s="75" t="str">
        <f aca="false">IF(P696="","",IFERROR(INDEX(T_INGRESO,MATCH(C696,T_ID,0)),""))</f>
        <v/>
      </c>
      <c r="T696" s="75" t="str">
        <f aca="false">IF(P696="","",IFERROR(N(INDEX(T_EGRESO,MATCH(C696,T_ID,0))),0))</f>
        <v/>
      </c>
      <c r="U696" s="73" t="str">
        <f aca="false">IF(OR(P696="",NOT(ISNUMBER(S696))),"",IF(OR(S696&gt;EOMONTH(B696,0),AND(T696&gt;0,T696&lt;B696)),0,IF(AND(S696&lt;=B696,OR(T696=0,T696&gt;=EOMONTH(B696,0))),30,MIN(30,IF(T696=0,EOMONTH(B696,0),MIN(T696,EOMONTH(B696,0)))-MAX(B696,S696)+1))))</f>
        <v/>
      </c>
    </row>
    <row r="697" customFormat="false" ht="15" hidden="false" customHeight="false" outlineLevel="0" collapsed="false">
      <c r="B697" s="78"/>
      <c r="C697" s="64"/>
      <c r="D697" s="70" t="str">
        <f aca="false">IF(C697="","",IFERROR(INDEX(T_NOMBRE,MATCH(C697,T_ID,0)),"⚠ ID no existe"))</f>
        <v/>
      </c>
      <c r="E697" s="69"/>
      <c r="F697" s="69"/>
      <c r="G697" s="69"/>
      <c r="H697" s="69"/>
      <c r="I697" s="66"/>
      <c r="J697" s="69"/>
      <c r="K697" s="67"/>
      <c r="L697" s="67"/>
      <c r="M697" s="67"/>
      <c r="N697" s="67"/>
      <c r="O697" s="64"/>
      <c r="P697" s="72" t="str">
        <f aca="false">IF(OR(B697="",C697=""),"",C697&amp;"|"&amp;(YEAR(B697)*100+MONTH(B697)))</f>
        <v/>
      </c>
      <c r="Q697" s="70" t="str">
        <f aca="false">IF(P697="","",IF(COUNTIF(N_CLAVE,P697)&gt;1,"⚠ Duplicado","OK"))</f>
        <v/>
      </c>
      <c r="R697" s="74" t="str">
        <f aca="false">IF(OR(P697="",U697=""),"",MAX(0,U697-N(E697)-N(F697)-N(H697)))</f>
        <v/>
      </c>
      <c r="S697" s="75" t="str">
        <f aca="false">IF(P697="","",IFERROR(INDEX(T_INGRESO,MATCH(C697,T_ID,0)),""))</f>
        <v/>
      </c>
      <c r="T697" s="75" t="str">
        <f aca="false">IF(P697="","",IFERROR(N(INDEX(T_EGRESO,MATCH(C697,T_ID,0))),0))</f>
        <v/>
      </c>
      <c r="U697" s="73" t="str">
        <f aca="false">IF(OR(P697="",NOT(ISNUMBER(S697))),"",IF(OR(S697&gt;EOMONTH(B697,0),AND(T697&gt;0,T697&lt;B697)),0,IF(AND(S697&lt;=B697,OR(T697=0,T697&gt;=EOMONTH(B697,0))),30,MIN(30,IF(T697=0,EOMONTH(B697,0),MIN(T697,EOMONTH(B697,0)))-MAX(B697,S697)+1))))</f>
        <v/>
      </c>
    </row>
    <row r="698" customFormat="false" ht="15" hidden="false" customHeight="false" outlineLevel="0" collapsed="false">
      <c r="B698" s="78"/>
      <c r="C698" s="64"/>
      <c r="D698" s="70" t="str">
        <f aca="false">IF(C698="","",IFERROR(INDEX(T_NOMBRE,MATCH(C698,T_ID,0)),"⚠ ID no existe"))</f>
        <v/>
      </c>
      <c r="E698" s="69"/>
      <c r="F698" s="69"/>
      <c r="G698" s="69"/>
      <c r="H698" s="69"/>
      <c r="I698" s="66"/>
      <c r="J698" s="69"/>
      <c r="K698" s="67"/>
      <c r="L698" s="67"/>
      <c r="M698" s="67"/>
      <c r="N698" s="67"/>
      <c r="O698" s="64"/>
      <c r="P698" s="72" t="str">
        <f aca="false">IF(OR(B698="",C698=""),"",C698&amp;"|"&amp;(YEAR(B698)*100+MONTH(B698)))</f>
        <v/>
      </c>
      <c r="Q698" s="70" t="str">
        <f aca="false">IF(P698="","",IF(COUNTIF(N_CLAVE,P698)&gt;1,"⚠ Duplicado","OK"))</f>
        <v/>
      </c>
      <c r="R698" s="74" t="str">
        <f aca="false">IF(OR(P698="",U698=""),"",MAX(0,U698-N(E698)-N(F698)-N(H698)))</f>
        <v/>
      </c>
      <c r="S698" s="75" t="str">
        <f aca="false">IF(P698="","",IFERROR(INDEX(T_INGRESO,MATCH(C698,T_ID,0)),""))</f>
        <v/>
      </c>
      <c r="T698" s="75" t="str">
        <f aca="false">IF(P698="","",IFERROR(N(INDEX(T_EGRESO,MATCH(C698,T_ID,0))),0))</f>
        <v/>
      </c>
      <c r="U698" s="73" t="str">
        <f aca="false">IF(OR(P698="",NOT(ISNUMBER(S698))),"",IF(OR(S698&gt;EOMONTH(B698,0),AND(T698&gt;0,T698&lt;B698)),0,IF(AND(S698&lt;=B698,OR(T698=0,T698&gt;=EOMONTH(B698,0))),30,MIN(30,IF(T698=0,EOMONTH(B698,0),MIN(T698,EOMONTH(B698,0)))-MAX(B698,S698)+1))))</f>
        <v/>
      </c>
    </row>
    <row r="699" customFormat="false" ht="15" hidden="false" customHeight="false" outlineLevel="0" collapsed="false">
      <c r="B699" s="78"/>
      <c r="C699" s="64"/>
      <c r="D699" s="70" t="str">
        <f aca="false">IF(C699="","",IFERROR(INDEX(T_NOMBRE,MATCH(C699,T_ID,0)),"⚠ ID no existe"))</f>
        <v/>
      </c>
      <c r="E699" s="69"/>
      <c r="F699" s="69"/>
      <c r="G699" s="69"/>
      <c r="H699" s="69"/>
      <c r="I699" s="66"/>
      <c r="J699" s="69"/>
      <c r="K699" s="67"/>
      <c r="L699" s="67"/>
      <c r="M699" s="67"/>
      <c r="N699" s="67"/>
      <c r="O699" s="64"/>
      <c r="P699" s="72" t="str">
        <f aca="false">IF(OR(B699="",C699=""),"",C699&amp;"|"&amp;(YEAR(B699)*100+MONTH(B699)))</f>
        <v/>
      </c>
      <c r="Q699" s="70" t="str">
        <f aca="false">IF(P699="","",IF(COUNTIF(N_CLAVE,P699)&gt;1,"⚠ Duplicado","OK"))</f>
        <v/>
      </c>
      <c r="R699" s="74" t="str">
        <f aca="false">IF(OR(P699="",U699=""),"",MAX(0,U699-N(E699)-N(F699)-N(H699)))</f>
        <v/>
      </c>
      <c r="S699" s="75" t="str">
        <f aca="false">IF(P699="","",IFERROR(INDEX(T_INGRESO,MATCH(C699,T_ID,0)),""))</f>
        <v/>
      </c>
      <c r="T699" s="75" t="str">
        <f aca="false">IF(P699="","",IFERROR(N(INDEX(T_EGRESO,MATCH(C699,T_ID,0))),0))</f>
        <v/>
      </c>
      <c r="U699" s="73" t="str">
        <f aca="false">IF(OR(P699="",NOT(ISNUMBER(S699))),"",IF(OR(S699&gt;EOMONTH(B699,0),AND(T699&gt;0,T699&lt;B699)),0,IF(AND(S699&lt;=B699,OR(T699=0,T699&gt;=EOMONTH(B699,0))),30,MIN(30,IF(T699=0,EOMONTH(B699,0),MIN(T699,EOMONTH(B699,0)))-MAX(B699,S699)+1))))</f>
        <v/>
      </c>
    </row>
    <row r="700" customFormat="false" ht="15" hidden="false" customHeight="false" outlineLevel="0" collapsed="false">
      <c r="B700" s="78"/>
      <c r="C700" s="64"/>
      <c r="D700" s="70" t="str">
        <f aca="false">IF(C700="","",IFERROR(INDEX(T_NOMBRE,MATCH(C700,T_ID,0)),"⚠ ID no existe"))</f>
        <v/>
      </c>
      <c r="E700" s="69"/>
      <c r="F700" s="69"/>
      <c r="G700" s="69"/>
      <c r="H700" s="69"/>
      <c r="I700" s="66"/>
      <c r="J700" s="69"/>
      <c r="K700" s="67"/>
      <c r="L700" s="67"/>
      <c r="M700" s="67"/>
      <c r="N700" s="67"/>
      <c r="O700" s="64"/>
      <c r="P700" s="72" t="str">
        <f aca="false">IF(OR(B700="",C700=""),"",C700&amp;"|"&amp;(YEAR(B700)*100+MONTH(B700)))</f>
        <v/>
      </c>
      <c r="Q700" s="70" t="str">
        <f aca="false">IF(P700="","",IF(COUNTIF(N_CLAVE,P700)&gt;1,"⚠ Duplicado","OK"))</f>
        <v/>
      </c>
      <c r="R700" s="74" t="str">
        <f aca="false">IF(OR(P700="",U700=""),"",MAX(0,U700-N(E700)-N(F700)-N(H700)))</f>
        <v/>
      </c>
      <c r="S700" s="75" t="str">
        <f aca="false">IF(P700="","",IFERROR(INDEX(T_INGRESO,MATCH(C700,T_ID,0)),""))</f>
        <v/>
      </c>
      <c r="T700" s="75" t="str">
        <f aca="false">IF(P700="","",IFERROR(N(INDEX(T_EGRESO,MATCH(C700,T_ID,0))),0))</f>
        <v/>
      </c>
      <c r="U700" s="73" t="str">
        <f aca="false">IF(OR(P700="",NOT(ISNUMBER(S700))),"",IF(OR(S700&gt;EOMONTH(B700,0),AND(T700&gt;0,T700&lt;B700)),0,IF(AND(S700&lt;=B700,OR(T700=0,T700&gt;=EOMONTH(B700,0))),30,MIN(30,IF(T700=0,EOMONTH(B700,0),MIN(T700,EOMONTH(B700,0)))-MAX(B700,S700)+1))))</f>
        <v/>
      </c>
    </row>
    <row r="701" customFormat="false" ht="15" hidden="false" customHeight="false" outlineLevel="0" collapsed="false">
      <c r="B701" s="78"/>
      <c r="C701" s="64"/>
      <c r="D701" s="70" t="str">
        <f aca="false">IF(C701="","",IFERROR(INDEX(T_NOMBRE,MATCH(C701,T_ID,0)),"⚠ ID no existe"))</f>
        <v/>
      </c>
      <c r="E701" s="69"/>
      <c r="F701" s="69"/>
      <c r="G701" s="69"/>
      <c r="H701" s="69"/>
      <c r="I701" s="66"/>
      <c r="J701" s="69"/>
      <c r="K701" s="67"/>
      <c r="L701" s="67"/>
      <c r="M701" s="67"/>
      <c r="N701" s="67"/>
      <c r="O701" s="64"/>
      <c r="P701" s="72" t="str">
        <f aca="false">IF(OR(B701="",C701=""),"",C701&amp;"|"&amp;(YEAR(B701)*100+MONTH(B701)))</f>
        <v/>
      </c>
      <c r="Q701" s="70" t="str">
        <f aca="false">IF(P701="","",IF(COUNTIF(N_CLAVE,P701)&gt;1,"⚠ Duplicado","OK"))</f>
        <v/>
      </c>
      <c r="R701" s="74" t="str">
        <f aca="false">IF(OR(P701="",U701=""),"",MAX(0,U701-N(E701)-N(F701)-N(H701)))</f>
        <v/>
      </c>
      <c r="S701" s="75" t="str">
        <f aca="false">IF(P701="","",IFERROR(INDEX(T_INGRESO,MATCH(C701,T_ID,0)),""))</f>
        <v/>
      </c>
      <c r="T701" s="75" t="str">
        <f aca="false">IF(P701="","",IFERROR(N(INDEX(T_EGRESO,MATCH(C701,T_ID,0))),0))</f>
        <v/>
      </c>
      <c r="U701" s="73" t="str">
        <f aca="false">IF(OR(P701="",NOT(ISNUMBER(S701))),"",IF(OR(S701&gt;EOMONTH(B701,0),AND(T701&gt;0,T701&lt;B701)),0,IF(AND(S701&lt;=B701,OR(T701=0,T701&gt;=EOMONTH(B701,0))),30,MIN(30,IF(T701=0,EOMONTH(B701,0),MIN(T701,EOMONTH(B701,0)))-MAX(B701,S701)+1))))</f>
        <v/>
      </c>
    </row>
    <row r="702" customFormat="false" ht="15" hidden="false" customHeight="false" outlineLevel="0" collapsed="false">
      <c r="B702" s="78"/>
      <c r="C702" s="64"/>
      <c r="D702" s="70" t="str">
        <f aca="false">IF(C702="","",IFERROR(INDEX(T_NOMBRE,MATCH(C702,T_ID,0)),"⚠ ID no existe"))</f>
        <v/>
      </c>
      <c r="E702" s="69"/>
      <c r="F702" s="69"/>
      <c r="G702" s="69"/>
      <c r="H702" s="69"/>
      <c r="I702" s="66"/>
      <c r="J702" s="69"/>
      <c r="K702" s="67"/>
      <c r="L702" s="67"/>
      <c r="M702" s="67"/>
      <c r="N702" s="67"/>
      <c r="O702" s="64"/>
      <c r="P702" s="72" t="str">
        <f aca="false">IF(OR(B702="",C702=""),"",C702&amp;"|"&amp;(YEAR(B702)*100+MONTH(B702)))</f>
        <v/>
      </c>
      <c r="Q702" s="70" t="str">
        <f aca="false">IF(P702="","",IF(COUNTIF(N_CLAVE,P702)&gt;1,"⚠ Duplicado","OK"))</f>
        <v/>
      </c>
      <c r="R702" s="74" t="str">
        <f aca="false">IF(OR(P702="",U702=""),"",MAX(0,U702-N(E702)-N(F702)-N(H702)))</f>
        <v/>
      </c>
      <c r="S702" s="75" t="str">
        <f aca="false">IF(P702="","",IFERROR(INDEX(T_INGRESO,MATCH(C702,T_ID,0)),""))</f>
        <v/>
      </c>
      <c r="T702" s="75" t="str">
        <f aca="false">IF(P702="","",IFERROR(N(INDEX(T_EGRESO,MATCH(C702,T_ID,0))),0))</f>
        <v/>
      </c>
      <c r="U702" s="73" t="str">
        <f aca="false">IF(OR(P702="",NOT(ISNUMBER(S702))),"",IF(OR(S702&gt;EOMONTH(B702,0),AND(T702&gt;0,T702&lt;B702)),0,IF(AND(S702&lt;=B702,OR(T702=0,T702&gt;=EOMONTH(B702,0))),30,MIN(30,IF(T702=0,EOMONTH(B702,0),MIN(T702,EOMONTH(B702,0)))-MAX(B702,S702)+1))))</f>
        <v/>
      </c>
    </row>
    <row r="703" customFormat="false" ht="15" hidden="false" customHeight="false" outlineLevel="0" collapsed="false">
      <c r="B703" s="78"/>
      <c r="C703" s="64"/>
      <c r="D703" s="70" t="str">
        <f aca="false">IF(C703="","",IFERROR(INDEX(T_NOMBRE,MATCH(C703,T_ID,0)),"⚠ ID no existe"))</f>
        <v/>
      </c>
      <c r="E703" s="69"/>
      <c r="F703" s="69"/>
      <c r="G703" s="69"/>
      <c r="H703" s="69"/>
      <c r="I703" s="66"/>
      <c r="J703" s="69"/>
      <c r="K703" s="67"/>
      <c r="L703" s="67"/>
      <c r="M703" s="67"/>
      <c r="N703" s="67"/>
      <c r="O703" s="64"/>
      <c r="P703" s="72" t="str">
        <f aca="false">IF(OR(B703="",C703=""),"",C703&amp;"|"&amp;(YEAR(B703)*100+MONTH(B703)))</f>
        <v/>
      </c>
      <c r="Q703" s="70" t="str">
        <f aca="false">IF(P703="","",IF(COUNTIF(N_CLAVE,P703)&gt;1,"⚠ Duplicado","OK"))</f>
        <v/>
      </c>
      <c r="R703" s="74" t="str">
        <f aca="false">IF(OR(P703="",U703=""),"",MAX(0,U703-N(E703)-N(F703)-N(H703)))</f>
        <v/>
      </c>
      <c r="S703" s="75" t="str">
        <f aca="false">IF(P703="","",IFERROR(INDEX(T_INGRESO,MATCH(C703,T_ID,0)),""))</f>
        <v/>
      </c>
      <c r="T703" s="75" t="str">
        <f aca="false">IF(P703="","",IFERROR(N(INDEX(T_EGRESO,MATCH(C703,T_ID,0))),0))</f>
        <v/>
      </c>
      <c r="U703" s="73" t="str">
        <f aca="false">IF(OR(P703="",NOT(ISNUMBER(S703))),"",IF(OR(S703&gt;EOMONTH(B703,0),AND(T703&gt;0,T703&lt;B703)),0,IF(AND(S703&lt;=B703,OR(T703=0,T703&gt;=EOMONTH(B703,0))),30,MIN(30,IF(T703=0,EOMONTH(B703,0),MIN(T703,EOMONTH(B703,0)))-MAX(B703,S703)+1))))</f>
        <v/>
      </c>
    </row>
    <row r="704" customFormat="false" ht="15" hidden="false" customHeight="false" outlineLevel="0" collapsed="false">
      <c r="B704" s="78"/>
      <c r="C704" s="64"/>
      <c r="D704" s="70" t="str">
        <f aca="false">IF(C704="","",IFERROR(INDEX(T_NOMBRE,MATCH(C704,T_ID,0)),"⚠ ID no existe"))</f>
        <v/>
      </c>
      <c r="E704" s="69"/>
      <c r="F704" s="69"/>
      <c r="G704" s="69"/>
      <c r="H704" s="69"/>
      <c r="I704" s="66"/>
      <c r="J704" s="69"/>
      <c r="K704" s="67"/>
      <c r="L704" s="67"/>
      <c r="M704" s="67"/>
      <c r="N704" s="67"/>
      <c r="O704" s="64"/>
      <c r="P704" s="72" t="str">
        <f aca="false">IF(OR(B704="",C704=""),"",C704&amp;"|"&amp;(YEAR(B704)*100+MONTH(B704)))</f>
        <v/>
      </c>
      <c r="Q704" s="70" t="str">
        <f aca="false">IF(P704="","",IF(COUNTIF(N_CLAVE,P704)&gt;1,"⚠ Duplicado","OK"))</f>
        <v/>
      </c>
      <c r="R704" s="74" t="str">
        <f aca="false">IF(OR(P704="",U704=""),"",MAX(0,U704-N(E704)-N(F704)-N(H704)))</f>
        <v/>
      </c>
      <c r="S704" s="75" t="str">
        <f aca="false">IF(P704="","",IFERROR(INDEX(T_INGRESO,MATCH(C704,T_ID,0)),""))</f>
        <v/>
      </c>
      <c r="T704" s="75" t="str">
        <f aca="false">IF(P704="","",IFERROR(N(INDEX(T_EGRESO,MATCH(C704,T_ID,0))),0))</f>
        <v/>
      </c>
      <c r="U704" s="73" t="str">
        <f aca="false">IF(OR(P704="",NOT(ISNUMBER(S704))),"",IF(OR(S704&gt;EOMONTH(B704,0),AND(T704&gt;0,T704&lt;B704)),0,IF(AND(S704&lt;=B704,OR(T704=0,T704&gt;=EOMONTH(B704,0))),30,MIN(30,IF(T704=0,EOMONTH(B704,0),MIN(T704,EOMONTH(B704,0)))-MAX(B704,S704)+1))))</f>
        <v/>
      </c>
    </row>
    <row r="705" customFormat="false" ht="15" hidden="false" customHeight="false" outlineLevel="0" collapsed="false">
      <c r="B705" s="78"/>
      <c r="C705" s="64"/>
      <c r="D705" s="70" t="str">
        <f aca="false">IF(C705="","",IFERROR(INDEX(T_NOMBRE,MATCH(C705,T_ID,0)),"⚠ ID no existe"))</f>
        <v/>
      </c>
      <c r="E705" s="69"/>
      <c r="F705" s="69"/>
      <c r="G705" s="69"/>
      <c r="H705" s="69"/>
      <c r="I705" s="66"/>
      <c r="J705" s="69"/>
      <c r="K705" s="67"/>
      <c r="L705" s="67"/>
      <c r="M705" s="67"/>
      <c r="N705" s="67"/>
      <c r="O705" s="64"/>
      <c r="P705" s="72" t="str">
        <f aca="false">IF(OR(B705="",C705=""),"",C705&amp;"|"&amp;(YEAR(B705)*100+MONTH(B705)))</f>
        <v/>
      </c>
      <c r="Q705" s="70" t="str">
        <f aca="false">IF(P705="","",IF(COUNTIF(N_CLAVE,P705)&gt;1,"⚠ Duplicado","OK"))</f>
        <v/>
      </c>
      <c r="R705" s="74" t="str">
        <f aca="false">IF(OR(P705="",U705=""),"",MAX(0,U705-N(E705)-N(F705)-N(H705)))</f>
        <v/>
      </c>
      <c r="S705" s="75" t="str">
        <f aca="false">IF(P705="","",IFERROR(INDEX(T_INGRESO,MATCH(C705,T_ID,0)),""))</f>
        <v/>
      </c>
      <c r="T705" s="75" t="str">
        <f aca="false">IF(P705="","",IFERROR(N(INDEX(T_EGRESO,MATCH(C705,T_ID,0))),0))</f>
        <v/>
      </c>
      <c r="U705" s="73" t="str">
        <f aca="false">IF(OR(P705="",NOT(ISNUMBER(S705))),"",IF(OR(S705&gt;EOMONTH(B705,0),AND(T705&gt;0,T705&lt;B705)),0,IF(AND(S705&lt;=B705,OR(T705=0,T705&gt;=EOMONTH(B705,0))),30,MIN(30,IF(T705=0,EOMONTH(B705,0),MIN(T705,EOMONTH(B705,0)))-MAX(B705,S705)+1))))</f>
        <v/>
      </c>
    </row>
    <row r="706" customFormat="false" ht="15" hidden="false" customHeight="false" outlineLevel="0" collapsed="false">
      <c r="B706" s="78"/>
      <c r="C706" s="64"/>
      <c r="D706" s="70" t="str">
        <f aca="false">IF(C706="","",IFERROR(INDEX(T_NOMBRE,MATCH(C706,T_ID,0)),"⚠ ID no existe"))</f>
        <v/>
      </c>
      <c r="E706" s="69"/>
      <c r="F706" s="69"/>
      <c r="G706" s="69"/>
      <c r="H706" s="69"/>
      <c r="I706" s="66"/>
      <c r="J706" s="69"/>
      <c r="K706" s="67"/>
      <c r="L706" s="67"/>
      <c r="M706" s="67"/>
      <c r="N706" s="67"/>
      <c r="O706" s="64"/>
      <c r="P706" s="72" t="str">
        <f aca="false">IF(OR(B706="",C706=""),"",C706&amp;"|"&amp;(YEAR(B706)*100+MONTH(B706)))</f>
        <v/>
      </c>
      <c r="Q706" s="70" t="str">
        <f aca="false">IF(P706="","",IF(COUNTIF(N_CLAVE,P706)&gt;1,"⚠ Duplicado","OK"))</f>
        <v/>
      </c>
      <c r="R706" s="74" t="str">
        <f aca="false">IF(OR(P706="",U706=""),"",MAX(0,U706-N(E706)-N(F706)-N(H706)))</f>
        <v/>
      </c>
      <c r="S706" s="75" t="str">
        <f aca="false">IF(P706="","",IFERROR(INDEX(T_INGRESO,MATCH(C706,T_ID,0)),""))</f>
        <v/>
      </c>
      <c r="T706" s="75" t="str">
        <f aca="false">IF(P706="","",IFERROR(N(INDEX(T_EGRESO,MATCH(C706,T_ID,0))),0))</f>
        <v/>
      </c>
      <c r="U706" s="73" t="str">
        <f aca="false">IF(OR(P706="",NOT(ISNUMBER(S706))),"",IF(OR(S706&gt;EOMONTH(B706,0),AND(T706&gt;0,T706&lt;B706)),0,IF(AND(S706&lt;=B706,OR(T706=0,T706&gt;=EOMONTH(B706,0))),30,MIN(30,IF(T706=0,EOMONTH(B706,0),MIN(T706,EOMONTH(B706,0)))-MAX(B706,S706)+1))))</f>
        <v/>
      </c>
    </row>
    <row r="707" customFormat="false" ht="15" hidden="false" customHeight="false" outlineLevel="0" collapsed="false">
      <c r="B707" s="78"/>
      <c r="C707" s="64"/>
      <c r="D707" s="70" t="str">
        <f aca="false">IF(C707="","",IFERROR(INDEX(T_NOMBRE,MATCH(C707,T_ID,0)),"⚠ ID no existe"))</f>
        <v/>
      </c>
      <c r="E707" s="69"/>
      <c r="F707" s="69"/>
      <c r="G707" s="69"/>
      <c r="H707" s="69"/>
      <c r="I707" s="66"/>
      <c r="J707" s="69"/>
      <c r="K707" s="67"/>
      <c r="L707" s="67"/>
      <c r="M707" s="67"/>
      <c r="N707" s="67"/>
      <c r="O707" s="64"/>
      <c r="P707" s="72" t="str">
        <f aca="false">IF(OR(B707="",C707=""),"",C707&amp;"|"&amp;(YEAR(B707)*100+MONTH(B707)))</f>
        <v/>
      </c>
      <c r="Q707" s="70" t="str">
        <f aca="false">IF(P707="","",IF(COUNTIF(N_CLAVE,P707)&gt;1,"⚠ Duplicado","OK"))</f>
        <v/>
      </c>
      <c r="R707" s="74" t="str">
        <f aca="false">IF(OR(P707="",U707=""),"",MAX(0,U707-N(E707)-N(F707)-N(H707)))</f>
        <v/>
      </c>
      <c r="S707" s="75" t="str">
        <f aca="false">IF(P707="","",IFERROR(INDEX(T_INGRESO,MATCH(C707,T_ID,0)),""))</f>
        <v/>
      </c>
      <c r="T707" s="75" t="str">
        <f aca="false">IF(P707="","",IFERROR(N(INDEX(T_EGRESO,MATCH(C707,T_ID,0))),0))</f>
        <v/>
      </c>
      <c r="U707" s="73" t="str">
        <f aca="false">IF(OR(P707="",NOT(ISNUMBER(S707))),"",IF(OR(S707&gt;EOMONTH(B707,0),AND(T707&gt;0,T707&lt;B707)),0,IF(AND(S707&lt;=B707,OR(T707=0,T707&gt;=EOMONTH(B707,0))),30,MIN(30,IF(T707=0,EOMONTH(B707,0),MIN(T707,EOMONTH(B707,0)))-MAX(B707,S707)+1))))</f>
        <v/>
      </c>
    </row>
    <row r="708" customFormat="false" ht="15" hidden="false" customHeight="false" outlineLevel="0" collapsed="false">
      <c r="B708" s="78"/>
      <c r="C708" s="64"/>
      <c r="D708" s="70" t="str">
        <f aca="false">IF(C708="","",IFERROR(INDEX(T_NOMBRE,MATCH(C708,T_ID,0)),"⚠ ID no existe"))</f>
        <v/>
      </c>
      <c r="E708" s="69"/>
      <c r="F708" s="69"/>
      <c r="G708" s="69"/>
      <c r="H708" s="69"/>
      <c r="I708" s="66"/>
      <c r="J708" s="69"/>
      <c r="K708" s="67"/>
      <c r="L708" s="67"/>
      <c r="M708" s="67"/>
      <c r="N708" s="67"/>
      <c r="O708" s="64"/>
      <c r="P708" s="72" t="str">
        <f aca="false">IF(OR(B708="",C708=""),"",C708&amp;"|"&amp;(YEAR(B708)*100+MONTH(B708)))</f>
        <v/>
      </c>
      <c r="Q708" s="70" t="str">
        <f aca="false">IF(P708="","",IF(COUNTIF(N_CLAVE,P708)&gt;1,"⚠ Duplicado","OK"))</f>
        <v/>
      </c>
      <c r="R708" s="74" t="str">
        <f aca="false">IF(OR(P708="",U708=""),"",MAX(0,U708-N(E708)-N(F708)-N(H708)))</f>
        <v/>
      </c>
      <c r="S708" s="75" t="str">
        <f aca="false">IF(P708="","",IFERROR(INDEX(T_INGRESO,MATCH(C708,T_ID,0)),""))</f>
        <v/>
      </c>
      <c r="T708" s="75" t="str">
        <f aca="false">IF(P708="","",IFERROR(N(INDEX(T_EGRESO,MATCH(C708,T_ID,0))),0))</f>
        <v/>
      </c>
      <c r="U708" s="73" t="str">
        <f aca="false">IF(OR(P708="",NOT(ISNUMBER(S708))),"",IF(OR(S708&gt;EOMONTH(B708,0),AND(T708&gt;0,T708&lt;B708)),0,IF(AND(S708&lt;=B708,OR(T708=0,T708&gt;=EOMONTH(B708,0))),30,MIN(30,IF(T708=0,EOMONTH(B708,0),MIN(T708,EOMONTH(B708,0)))-MAX(B708,S708)+1))))</f>
        <v/>
      </c>
    </row>
    <row r="709" customFormat="false" ht="15" hidden="false" customHeight="false" outlineLevel="0" collapsed="false">
      <c r="B709" s="78"/>
      <c r="C709" s="64"/>
      <c r="D709" s="70" t="str">
        <f aca="false">IF(C709="","",IFERROR(INDEX(T_NOMBRE,MATCH(C709,T_ID,0)),"⚠ ID no existe"))</f>
        <v/>
      </c>
      <c r="E709" s="69"/>
      <c r="F709" s="69"/>
      <c r="G709" s="69"/>
      <c r="H709" s="69"/>
      <c r="I709" s="66"/>
      <c r="J709" s="69"/>
      <c r="K709" s="67"/>
      <c r="L709" s="67"/>
      <c r="M709" s="67"/>
      <c r="N709" s="67"/>
      <c r="O709" s="64"/>
      <c r="P709" s="72" t="str">
        <f aca="false">IF(OR(B709="",C709=""),"",C709&amp;"|"&amp;(YEAR(B709)*100+MONTH(B709)))</f>
        <v/>
      </c>
      <c r="Q709" s="70" t="str">
        <f aca="false">IF(P709="","",IF(COUNTIF(N_CLAVE,P709)&gt;1,"⚠ Duplicado","OK"))</f>
        <v/>
      </c>
      <c r="R709" s="74" t="str">
        <f aca="false">IF(OR(P709="",U709=""),"",MAX(0,U709-N(E709)-N(F709)-N(H709)))</f>
        <v/>
      </c>
      <c r="S709" s="75" t="str">
        <f aca="false">IF(P709="","",IFERROR(INDEX(T_INGRESO,MATCH(C709,T_ID,0)),""))</f>
        <v/>
      </c>
      <c r="T709" s="75" t="str">
        <f aca="false">IF(P709="","",IFERROR(N(INDEX(T_EGRESO,MATCH(C709,T_ID,0))),0))</f>
        <v/>
      </c>
      <c r="U709" s="73" t="str">
        <f aca="false">IF(OR(P709="",NOT(ISNUMBER(S709))),"",IF(OR(S709&gt;EOMONTH(B709,0),AND(T709&gt;0,T709&lt;B709)),0,IF(AND(S709&lt;=B709,OR(T709=0,T709&gt;=EOMONTH(B709,0))),30,MIN(30,IF(T709=0,EOMONTH(B709,0),MIN(T709,EOMONTH(B709,0)))-MAX(B709,S709)+1))))</f>
        <v/>
      </c>
    </row>
    <row r="710" customFormat="false" ht="15" hidden="false" customHeight="false" outlineLevel="0" collapsed="false">
      <c r="B710" s="78"/>
      <c r="C710" s="64"/>
      <c r="D710" s="70" t="str">
        <f aca="false">IF(C710="","",IFERROR(INDEX(T_NOMBRE,MATCH(C710,T_ID,0)),"⚠ ID no existe"))</f>
        <v/>
      </c>
      <c r="E710" s="69"/>
      <c r="F710" s="69"/>
      <c r="G710" s="69"/>
      <c r="H710" s="69"/>
      <c r="I710" s="66"/>
      <c r="J710" s="69"/>
      <c r="K710" s="67"/>
      <c r="L710" s="67"/>
      <c r="M710" s="67"/>
      <c r="N710" s="67"/>
      <c r="O710" s="64"/>
      <c r="P710" s="72" t="str">
        <f aca="false">IF(OR(B710="",C710=""),"",C710&amp;"|"&amp;(YEAR(B710)*100+MONTH(B710)))</f>
        <v/>
      </c>
      <c r="Q710" s="70" t="str">
        <f aca="false">IF(P710="","",IF(COUNTIF(N_CLAVE,P710)&gt;1,"⚠ Duplicado","OK"))</f>
        <v/>
      </c>
      <c r="R710" s="74" t="str">
        <f aca="false">IF(OR(P710="",U710=""),"",MAX(0,U710-N(E710)-N(F710)-N(H710)))</f>
        <v/>
      </c>
      <c r="S710" s="75" t="str">
        <f aca="false">IF(P710="","",IFERROR(INDEX(T_INGRESO,MATCH(C710,T_ID,0)),""))</f>
        <v/>
      </c>
      <c r="T710" s="75" t="str">
        <f aca="false">IF(P710="","",IFERROR(N(INDEX(T_EGRESO,MATCH(C710,T_ID,0))),0))</f>
        <v/>
      </c>
      <c r="U710" s="73" t="str">
        <f aca="false">IF(OR(P710="",NOT(ISNUMBER(S710))),"",IF(OR(S710&gt;EOMONTH(B710,0),AND(T710&gt;0,T710&lt;B710)),0,IF(AND(S710&lt;=B710,OR(T710=0,T710&gt;=EOMONTH(B710,0))),30,MIN(30,IF(T710=0,EOMONTH(B710,0),MIN(T710,EOMONTH(B710,0)))-MAX(B710,S710)+1))))</f>
        <v/>
      </c>
    </row>
    <row r="711" customFormat="false" ht="15" hidden="false" customHeight="false" outlineLevel="0" collapsed="false">
      <c r="B711" s="78"/>
      <c r="C711" s="64"/>
      <c r="D711" s="70" t="str">
        <f aca="false">IF(C711="","",IFERROR(INDEX(T_NOMBRE,MATCH(C711,T_ID,0)),"⚠ ID no existe"))</f>
        <v/>
      </c>
      <c r="E711" s="69"/>
      <c r="F711" s="69"/>
      <c r="G711" s="69"/>
      <c r="H711" s="69"/>
      <c r="I711" s="66"/>
      <c r="J711" s="69"/>
      <c r="K711" s="67"/>
      <c r="L711" s="67"/>
      <c r="M711" s="67"/>
      <c r="N711" s="67"/>
      <c r="O711" s="64"/>
      <c r="P711" s="72" t="str">
        <f aca="false">IF(OR(B711="",C711=""),"",C711&amp;"|"&amp;(YEAR(B711)*100+MONTH(B711)))</f>
        <v/>
      </c>
      <c r="Q711" s="70" t="str">
        <f aca="false">IF(P711="","",IF(COUNTIF(N_CLAVE,P711)&gt;1,"⚠ Duplicado","OK"))</f>
        <v/>
      </c>
      <c r="R711" s="74" t="str">
        <f aca="false">IF(OR(P711="",U711=""),"",MAX(0,U711-N(E711)-N(F711)-N(H711)))</f>
        <v/>
      </c>
      <c r="S711" s="75" t="str">
        <f aca="false">IF(P711="","",IFERROR(INDEX(T_INGRESO,MATCH(C711,T_ID,0)),""))</f>
        <v/>
      </c>
      <c r="T711" s="75" t="str">
        <f aca="false">IF(P711="","",IFERROR(N(INDEX(T_EGRESO,MATCH(C711,T_ID,0))),0))</f>
        <v/>
      </c>
      <c r="U711" s="73" t="str">
        <f aca="false">IF(OR(P711="",NOT(ISNUMBER(S711))),"",IF(OR(S711&gt;EOMONTH(B711,0),AND(T711&gt;0,T711&lt;B711)),0,IF(AND(S711&lt;=B711,OR(T711=0,T711&gt;=EOMONTH(B711,0))),30,MIN(30,IF(T711=0,EOMONTH(B711,0),MIN(T711,EOMONTH(B711,0)))-MAX(B711,S711)+1))))</f>
        <v/>
      </c>
    </row>
    <row r="712" customFormat="false" ht="15" hidden="false" customHeight="false" outlineLevel="0" collapsed="false">
      <c r="B712" s="78"/>
      <c r="C712" s="64"/>
      <c r="D712" s="70" t="str">
        <f aca="false">IF(C712="","",IFERROR(INDEX(T_NOMBRE,MATCH(C712,T_ID,0)),"⚠ ID no existe"))</f>
        <v/>
      </c>
      <c r="E712" s="69"/>
      <c r="F712" s="69"/>
      <c r="G712" s="69"/>
      <c r="H712" s="69"/>
      <c r="I712" s="66"/>
      <c r="J712" s="69"/>
      <c r="K712" s="67"/>
      <c r="L712" s="67"/>
      <c r="M712" s="67"/>
      <c r="N712" s="67"/>
      <c r="O712" s="64"/>
      <c r="P712" s="72" t="str">
        <f aca="false">IF(OR(B712="",C712=""),"",C712&amp;"|"&amp;(YEAR(B712)*100+MONTH(B712)))</f>
        <v/>
      </c>
      <c r="Q712" s="70" t="str">
        <f aca="false">IF(P712="","",IF(COUNTIF(N_CLAVE,P712)&gt;1,"⚠ Duplicado","OK"))</f>
        <v/>
      </c>
      <c r="R712" s="74" t="str">
        <f aca="false">IF(OR(P712="",U712=""),"",MAX(0,U712-N(E712)-N(F712)-N(H712)))</f>
        <v/>
      </c>
      <c r="S712" s="75" t="str">
        <f aca="false">IF(P712="","",IFERROR(INDEX(T_INGRESO,MATCH(C712,T_ID,0)),""))</f>
        <v/>
      </c>
      <c r="T712" s="75" t="str">
        <f aca="false">IF(P712="","",IFERROR(N(INDEX(T_EGRESO,MATCH(C712,T_ID,0))),0))</f>
        <v/>
      </c>
      <c r="U712" s="73" t="str">
        <f aca="false">IF(OR(P712="",NOT(ISNUMBER(S712))),"",IF(OR(S712&gt;EOMONTH(B712,0),AND(T712&gt;0,T712&lt;B712)),0,IF(AND(S712&lt;=B712,OR(T712=0,T712&gt;=EOMONTH(B712,0))),30,MIN(30,IF(T712=0,EOMONTH(B712,0),MIN(T712,EOMONTH(B712,0)))-MAX(B712,S712)+1))))</f>
        <v/>
      </c>
    </row>
    <row r="713" customFormat="false" ht="15" hidden="false" customHeight="false" outlineLevel="0" collapsed="false">
      <c r="B713" s="78"/>
      <c r="C713" s="64"/>
      <c r="D713" s="70" t="str">
        <f aca="false">IF(C713="","",IFERROR(INDEX(T_NOMBRE,MATCH(C713,T_ID,0)),"⚠ ID no existe"))</f>
        <v/>
      </c>
      <c r="E713" s="69"/>
      <c r="F713" s="69"/>
      <c r="G713" s="69"/>
      <c r="H713" s="69"/>
      <c r="I713" s="66"/>
      <c r="J713" s="69"/>
      <c r="K713" s="67"/>
      <c r="L713" s="67"/>
      <c r="M713" s="67"/>
      <c r="N713" s="67"/>
      <c r="O713" s="64"/>
      <c r="P713" s="72" t="str">
        <f aca="false">IF(OR(B713="",C713=""),"",C713&amp;"|"&amp;(YEAR(B713)*100+MONTH(B713)))</f>
        <v/>
      </c>
      <c r="Q713" s="70" t="str">
        <f aca="false">IF(P713="","",IF(COUNTIF(N_CLAVE,P713)&gt;1,"⚠ Duplicado","OK"))</f>
        <v/>
      </c>
      <c r="R713" s="74" t="str">
        <f aca="false">IF(OR(P713="",U713=""),"",MAX(0,U713-N(E713)-N(F713)-N(H713)))</f>
        <v/>
      </c>
      <c r="S713" s="75" t="str">
        <f aca="false">IF(P713="","",IFERROR(INDEX(T_INGRESO,MATCH(C713,T_ID,0)),""))</f>
        <v/>
      </c>
      <c r="T713" s="75" t="str">
        <f aca="false">IF(P713="","",IFERROR(N(INDEX(T_EGRESO,MATCH(C713,T_ID,0))),0))</f>
        <v/>
      </c>
      <c r="U713" s="73" t="str">
        <f aca="false">IF(OR(P713="",NOT(ISNUMBER(S713))),"",IF(OR(S713&gt;EOMONTH(B713,0),AND(T713&gt;0,T713&lt;B713)),0,IF(AND(S713&lt;=B713,OR(T713=0,T713&gt;=EOMONTH(B713,0))),30,MIN(30,IF(T713=0,EOMONTH(B713,0),MIN(T713,EOMONTH(B713,0)))-MAX(B713,S713)+1))))</f>
        <v/>
      </c>
    </row>
    <row r="714" customFormat="false" ht="15" hidden="false" customHeight="false" outlineLevel="0" collapsed="false">
      <c r="B714" s="78"/>
      <c r="C714" s="64"/>
      <c r="D714" s="70" t="str">
        <f aca="false">IF(C714="","",IFERROR(INDEX(T_NOMBRE,MATCH(C714,T_ID,0)),"⚠ ID no existe"))</f>
        <v/>
      </c>
      <c r="E714" s="69"/>
      <c r="F714" s="69"/>
      <c r="G714" s="69"/>
      <c r="H714" s="69"/>
      <c r="I714" s="66"/>
      <c r="J714" s="69"/>
      <c r="K714" s="67"/>
      <c r="L714" s="67"/>
      <c r="M714" s="67"/>
      <c r="N714" s="67"/>
      <c r="O714" s="64"/>
      <c r="P714" s="72" t="str">
        <f aca="false">IF(OR(B714="",C714=""),"",C714&amp;"|"&amp;(YEAR(B714)*100+MONTH(B714)))</f>
        <v/>
      </c>
      <c r="Q714" s="70" t="str">
        <f aca="false">IF(P714="","",IF(COUNTIF(N_CLAVE,P714)&gt;1,"⚠ Duplicado","OK"))</f>
        <v/>
      </c>
      <c r="R714" s="74" t="str">
        <f aca="false">IF(OR(P714="",U714=""),"",MAX(0,U714-N(E714)-N(F714)-N(H714)))</f>
        <v/>
      </c>
      <c r="S714" s="75" t="str">
        <f aca="false">IF(P714="","",IFERROR(INDEX(T_INGRESO,MATCH(C714,T_ID,0)),""))</f>
        <v/>
      </c>
      <c r="T714" s="75" t="str">
        <f aca="false">IF(P714="","",IFERROR(N(INDEX(T_EGRESO,MATCH(C714,T_ID,0))),0))</f>
        <v/>
      </c>
      <c r="U714" s="73" t="str">
        <f aca="false">IF(OR(P714="",NOT(ISNUMBER(S714))),"",IF(OR(S714&gt;EOMONTH(B714,0),AND(T714&gt;0,T714&lt;B714)),0,IF(AND(S714&lt;=B714,OR(T714=0,T714&gt;=EOMONTH(B714,0))),30,MIN(30,IF(T714=0,EOMONTH(B714,0),MIN(T714,EOMONTH(B714,0)))-MAX(B714,S714)+1))))</f>
        <v/>
      </c>
    </row>
    <row r="715" customFormat="false" ht="15" hidden="false" customHeight="false" outlineLevel="0" collapsed="false">
      <c r="B715" s="78"/>
      <c r="C715" s="64"/>
      <c r="D715" s="70" t="str">
        <f aca="false">IF(C715="","",IFERROR(INDEX(T_NOMBRE,MATCH(C715,T_ID,0)),"⚠ ID no existe"))</f>
        <v/>
      </c>
      <c r="E715" s="69"/>
      <c r="F715" s="69"/>
      <c r="G715" s="69"/>
      <c r="H715" s="69"/>
      <c r="I715" s="66"/>
      <c r="J715" s="69"/>
      <c r="K715" s="67"/>
      <c r="L715" s="67"/>
      <c r="M715" s="67"/>
      <c r="N715" s="67"/>
      <c r="O715" s="64"/>
      <c r="P715" s="72" t="str">
        <f aca="false">IF(OR(B715="",C715=""),"",C715&amp;"|"&amp;(YEAR(B715)*100+MONTH(B715)))</f>
        <v/>
      </c>
      <c r="Q715" s="70" t="str">
        <f aca="false">IF(P715="","",IF(COUNTIF(N_CLAVE,P715)&gt;1,"⚠ Duplicado","OK"))</f>
        <v/>
      </c>
      <c r="R715" s="74" t="str">
        <f aca="false">IF(OR(P715="",U715=""),"",MAX(0,U715-N(E715)-N(F715)-N(H715)))</f>
        <v/>
      </c>
      <c r="S715" s="75" t="str">
        <f aca="false">IF(P715="","",IFERROR(INDEX(T_INGRESO,MATCH(C715,T_ID,0)),""))</f>
        <v/>
      </c>
      <c r="T715" s="75" t="str">
        <f aca="false">IF(P715="","",IFERROR(N(INDEX(T_EGRESO,MATCH(C715,T_ID,0))),0))</f>
        <v/>
      </c>
      <c r="U715" s="73" t="str">
        <f aca="false">IF(OR(P715="",NOT(ISNUMBER(S715))),"",IF(OR(S715&gt;EOMONTH(B715,0),AND(T715&gt;0,T715&lt;B715)),0,IF(AND(S715&lt;=B715,OR(T715=0,T715&gt;=EOMONTH(B715,0))),30,MIN(30,IF(T715=0,EOMONTH(B715,0),MIN(T715,EOMONTH(B715,0)))-MAX(B715,S715)+1))))</f>
        <v/>
      </c>
    </row>
    <row r="716" customFormat="false" ht="15" hidden="false" customHeight="false" outlineLevel="0" collapsed="false">
      <c r="B716" s="78"/>
      <c r="C716" s="64"/>
      <c r="D716" s="70" t="str">
        <f aca="false">IF(C716="","",IFERROR(INDEX(T_NOMBRE,MATCH(C716,T_ID,0)),"⚠ ID no existe"))</f>
        <v/>
      </c>
      <c r="E716" s="69"/>
      <c r="F716" s="69"/>
      <c r="G716" s="69"/>
      <c r="H716" s="69"/>
      <c r="I716" s="66"/>
      <c r="J716" s="69"/>
      <c r="K716" s="67"/>
      <c r="L716" s="67"/>
      <c r="M716" s="67"/>
      <c r="N716" s="67"/>
      <c r="O716" s="64"/>
      <c r="P716" s="72" t="str">
        <f aca="false">IF(OR(B716="",C716=""),"",C716&amp;"|"&amp;(YEAR(B716)*100+MONTH(B716)))</f>
        <v/>
      </c>
      <c r="Q716" s="70" t="str">
        <f aca="false">IF(P716="","",IF(COUNTIF(N_CLAVE,P716)&gt;1,"⚠ Duplicado","OK"))</f>
        <v/>
      </c>
      <c r="R716" s="74" t="str">
        <f aca="false">IF(OR(P716="",U716=""),"",MAX(0,U716-N(E716)-N(F716)-N(H716)))</f>
        <v/>
      </c>
      <c r="S716" s="75" t="str">
        <f aca="false">IF(P716="","",IFERROR(INDEX(T_INGRESO,MATCH(C716,T_ID,0)),""))</f>
        <v/>
      </c>
      <c r="T716" s="75" t="str">
        <f aca="false">IF(P716="","",IFERROR(N(INDEX(T_EGRESO,MATCH(C716,T_ID,0))),0))</f>
        <v/>
      </c>
      <c r="U716" s="73" t="str">
        <f aca="false">IF(OR(P716="",NOT(ISNUMBER(S716))),"",IF(OR(S716&gt;EOMONTH(B716,0),AND(T716&gt;0,T716&lt;B716)),0,IF(AND(S716&lt;=B716,OR(T716=0,T716&gt;=EOMONTH(B716,0))),30,MIN(30,IF(T716=0,EOMONTH(B716,0),MIN(T716,EOMONTH(B716,0)))-MAX(B716,S716)+1))))</f>
        <v/>
      </c>
    </row>
    <row r="717" customFormat="false" ht="15" hidden="false" customHeight="false" outlineLevel="0" collapsed="false">
      <c r="B717" s="78"/>
      <c r="C717" s="64"/>
      <c r="D717" s="70" t="str">
        <f aca="false">IF(C717="","",IFERROR(INDEX(T_NOMBRE,MATCH(C717,T_ID,0)),"⚠ ID no existe"))</f>
        <v/>
      </c>
      <c r="E717" s="69"/>
      <c r="F717" s="69"/>
      <c r="G717" s="69"/>
      <c r="H717" s="69"/>
      <c r="I717" s="66"/>
      <c r="J717" s="69"/>
      <c r="K717" s="67"/>
      <c r="L717" s="67"/>
      <c r="M717" s="67"/>
      <c r="N717" s="67"/>
      <c r="O717" s="64"/>
      <c r="P717" s="72" t="str">
        <f aca="false">IF(OR(B717="",C717=""),"",C717&amp;"|"&amp;(YEAR(B717)*100+MONTH(B717)))</f>
        <v/>
      </c>
      <c r="Q717" s="70" t="str">
        <f aca="false">IF(P717="","",IF(COUNTIF(N_CLAVE,P717)&gt;1,"⚠ Duplicado","OK"))</f>
        <v/>
      </c>
      <c r="R717" s="74" t="str">
        <f aca="false">IF(OR(P717="",U717=""),"",MAX(0,U717-N(E717)-N(F717)-N(H717)))</f>
        <v/>
      </c>
      <c r="S717" s="75" t="str">
        <f aca="false">IF(P717="","",IFERROR(INDEX(T_INGRESO,MATCH(C717,T_ID,0)),""))</f>
        <v/>
      </c>
      <c r="T717" s="75" t="str">
        <f aca="false">IF(P717="","",IFERROR(N(INDEX(T_EGRESO,MATCH(C717,T_ID,0))),0))</f>
        <v/>
      </c>
      <c r="U717" s="73" t="str">
        <f aca="false">IF(OR(P717="",NOT(ISNUMBER(S717))),"",IF(OR(S717&gt;EOMONTH(B717,0),AND(T717&gt;0,T717&lt;B717)),0,IF(AND(S717&lt;=B717,OR(T717=0,T717&gt;=EOMONTH(B717,0))),30,MIN(30,IF(T717=0,EOMONTH(B717,0),MIN(T717,EOMONTH(B717,0)))-MAX(B717,S717)+1))))</f>
        <v/>
      </c>
    </row>
    <row r="718" customFormat="false" ht="15" hidden="false" customHeight="false" outlineLevel="0" collapsed="false">
      <c r="B718" s="78"/>
      <c r="C718" s="64"/>
      <c r="D718" s="70" t="str">
        <f aca="false">IF(C718="","",IFERROR(INDEX(T_NOMBRE,MATCH(C718,T_ID,0)),"⚠ ID no existe"))</f>
        <v/>
      </c>
      <c r="E718" s="69"/>
      <c r="F718" s="69"/>
      <c r="G718" s="69"/>
      <c r="H718" s="69"/>
      <c r="I718" s="66"/>
      <c r="J718" s="69"/>
      <c r="K718" s="67"/>
      <c r="L718" s="67"/>
      <c r="M718" s="67"/>
      <c r="N718" s="67"/>
      <c r="O718" s="64"/>
      <c r="P718" s="72" t="str">
        <f aca="false">IF(OR(B718="",C718=""),"",C718&amp;"|"&amp;(YEAR(B718)*100+MONTH(B718)))</f>
        <v/>
      </c>
      <c r="Q718" s="70" t="str">
        <f aca="false">IF(P718="","",IF(COUNTIF(N_CLAVE,P718)&gt;1,"⚠ Duplicado","OK"))</f>
        <v/>
      </c>
      <c r="R718" s="74" t="str">
        <f aca="false">IF(OR(P718="",U718=""),"",MAX(0,U718-N(E718)-N(F718)-N(H718)))</f>
        <v/>
      </c>
      <c r="S718" s="75" t="str">
        <f aca="false">IF(P718="","",IFERROR(INDEX(T_INGRESO,MATCH(C718,T_ID,0)),""))</f>
        <v/>
      </c>
      <c r="T718" s="75" t="str">
        <f aca="false">IF(P718="","",IFERROR(N(INDEX(T_EGRESO,MATCH(C718,T_ID,0))),0))</f>
        <v/>
      </c>
      <c r="U718" s="73" t="str">
        <f aca="false">IF(OR(P718="",NOT(ISNUMBER(S718))),"",IF(OR(S718&gt;EOMONTH(B718,0),AND(T718&gt;0,T718&lt;B718)),0,IF(AND(S718&lt;=B718,OR(T718=0,T718&gt;=EOMONTH(B718,0))),30,MIN(30,IF(T718=0,EOMONTH(B718,0),MIN(T718,EOMONTH(B718,0)))-MAX(B718,S718)+1))))</f>
        <v/>
      </c>
    </row>
    <row r="719" customFormat="false" ht="15" hidden="false" customHeight="false" outlineLevel="0" collapsed="false">
      <c r="B719" s="78"/>
      <c r="C719" s="64"/>
      <c r="D719" s="70" t="str">
        <f aca="false">IF(C719="","",IFERROR(INDEX(T_NOMBRE,MATCH(C719,T_ID,0)),"⚠ ID no existe"))</f>
        <v/>
      </c>
      <c r="E719" s="69"/>
      <c r="F719" s="69"/>
      <c r="G719" s="69"/>
      <c r="H719" s="69"/>
      <c r="I719" s="66"/>
      <c r="J719" s="69"/>
      <c r="K719" s="67"/>
      <c r="L719" s="67"/>
      <c r="M719" s="67"/>
      <c r="N719" s="67"/>
      <c r="O719" s="64"/>
      <c r="P719" s="72" t="str">
        <f aca="false">IF(OR(B719="",C719=""),"",C719&amp;"|"&amp;(YEAR(B719)*100+MONTH(B719)))</f>
        <v/>
      </c>
      <c r="Q719" s="70" t="str">
        <f aca="false">IF(P719="","",IF(COUNTIF(N_CLAVE,P719)&gt;1,"⚠ Duplicado","OK"))</f>
        <v/>
      </c>
      <c r="R719" s="74" t="str">
        <f aca="false">IF(OR(P719="",U719=""),"",MAX(0,U719-N(E719)-N(F719)-N(H719)))</f>
        <v/>
      </c>
      <c r="S719" s="75" t="str">
        <f aca="false">IF(P719="","",IFERROR(INDEX(T_INGRESO,MATCH(C719,T_ID,0)),""))</f>
        <v/>
      </c>
      <c r="T719" s="75" t="str">
        <f aca="false">IF(P719="","",IFERROR(N(INDEX(T_EGRESO,MATCH(C719,T_ID,0))),0))</f>
        <v/>
      </c>
      <c r="U719" s="73" t="str">
        <f aca="false">IF(OR(P719="",NOT(ISNUMBER(S719))),"",IF(OR(S719&gt;EOMONTH(B719,0),AND(T719&gt;0,T719&lt;B719)),0,IF(AND(S719&lt;=B719,OR(T719=0,T719&gt;=EOMONTH(B719,0))),30,MIN(30,IF(T719=0,EOMONTH(B719,0),MIN(T719,EOMONTH(B719,0)))-MAX(B719,S719)+1))))</f>
        <v/>
      </c>
    </row>
    <row r="720" customFormat="false" ht="15" hidden="false" customHeight="false" outlineLevel="0" collapsed="false">
      <c r="B720" s="78"/>
      <c r="C720" s="64"/>
      <c r="D720" s="70" t="str">
        <f aca="false">IF(C720="","",IFERROR(INDEX(T_NOMBRE,MATCH(C720,T_ID,0)),"⚠ ID no existe"))</f>
        <v/>
      </c>
      <c r="E720" s="69"/>
      <c r="F720" s="69"/>
      <c r="G720" s="69"/>
      <c r="H720" s="69"/>
      <c r="I720" s="66"/>
      <c r="J720" s="69"/>
      <c r="K720" s="67"/>
      <c r="L720" s="67"/>
      <c r="M720" s="67"/>
      <c r="N720" s="67"/>
      <c r="O720" s="64"/>
      <c r="P720" s="72" t="str">
        <f aca="false">IF(OR(B720="",C720=""),"",C720&amp;"|"&amp;(YEAR(B720)*100+MONTH(B720)))</f>
        <v/>
      </c>
      <c r="Q720" s="70" t="str">
        <f aca="false">IF(P720="","",IF(COUNTIF(N_CLAVE,P720)&gt;1,"⚠ Duplicado","OK"))</f>
        <v/>
      </c>
      <c r="R720" s="74" t="str">
        <f aca="false">IF(OR(P720="",U720=""),"",MAX(0,U720-N(E720)-N(F720)-N(H720)))</f>
        <v/>
      </c>
      <c r="S720" s="75" t="str">
        <f aca="false">IF(P720="","",IFERROR(INDEX(T_INGRESO,MATCH(C720,T_ID,0)),""))</f>
        <v/>
      </c>
      <c r="T720" s="75" t="str">
        <f aca="false">IF(P720="","",IFERROR(N(INDEX(T_EGRESO,MATCH(C720,T_ID,0))),0))</f>
        <v/>
      </c>
      <c r="U720" s="73" t="str">
        <f aca="false">IF(OR(P720="",NOT(ISNUMBER(S720))),"",IF(OR(S720&gt;EOMONTH(B720,0),AND(T720&gt;0,T720&lt;B720)),0,IF(AND(S720&lt;=B720,OR(T720=0,T720&gt;=EOMONTH(B720,0))),30,MIN(30,IF(T720=0,EOMONTH(B720,0),MIN(T720,EOMONTH(B720,0)))-MAX(B720,S720)+1))))</f>
        <v/>
      </c>
    </row>
    <row r="721" customFormat="false" ht="15" hidden="false" customHeight="false" outlineLevel="0" collapsed="false">
      <c r="B721" s="78"/>
      <c r="C721" s="64"/>
      <c r="D721" s="70" t="str">
        <f aca="false">IF(C721="","",IFERROR(INDEX(T_NOMBRE,MATCH(C721,T_ID,0)),"⚠ ID no existe"))</f>
        <v/>
      </c>
      <c r="E721" s="69"/>
      <c r="F721" s="69"/>
      <c r="G721" s="69"/>
      <c r="H721" s="69"/>
      <c r="I721" s="66"/>
      <c r="J721" s="69"/>
      <c r="K721" s="67"/>
      <c r="L721" s="67"/>
      <c r="M721" s="67"/>
      <c r="N721" s="67"/>
      <c r="O721" s="64"/>
      <c r="P721" s="72" t="str">
        <f aca="false">IF(OR(B721="",C721=""),"",C721&amp;"|"&amp;(YEAR(B721)*100+MONTH(B721)))</f>
        <v/>
      </c>
      <c r="Q721" s="70" t="str">
        <f aca="false">IF(P721="","",IF(COUNTIF(N_CLAVE,P721)&gt;1,"⚠ Duplicado","OK"))</f>
        <v/>
      </c>
      <c r="R721" s="74" t="str">
        <f aca="false">IF(OR(P721="",U721=""),"",MAX(0,U721-N(E721)-N(F721)-N(H721)))</f>
        <v/>
      </c>
      <c r="S721" s="75" t="str">
        <f aca="false">IF(P721="","",IFERROR(INDEX(T_INGRESO,MATCH(C721,T_ID,0)),""))</f>
        <v/>
      </c>
      <c r="T721" s="75" t="str">
        <f aca="false">IF(P721="","",IFERROR(N(INDEX(T_EGRESO,MATCH(C721,T_ID,0))),0))</f>
        <v/>
      </c>
      <c r="U721" s="73" t="str">
        <f aca="false">IF(OR(P721="",NOT(ISNUMBER(S721))),"",IF(OR(S721&gt;EOMONTH(B721,0),AND(T721&gt;0,T721&lt;B721)),0,IF(AND(S721&lt;=B721,OR(T721=0,T721&gt;=EOMONTH(B721,0))),30,MIN(30,IF(T721=0,EOMONTH(B721,0),MIN(T721,EOMONTH(B721,0)))-MAX(B721,S721)+1))))</f>
        <v/>
      </c>
    </row>
    <row r="722" customFormat="false" ht="15" hidden="false" customHeight="false" outlineLevel="0" collapsed="false">
      <c r="B722" s="78"/>
      <c r="C722" s="64"/>
      <c r="D722" s="70" t="str">
        <f aca="false">IF(C722="","",IFERROR(INDEX(T_NOMBRE,MATCH(C722,T_ID,0)),"⚠ ID no existe"))</f>
        <v/>
      </c>
      <c r="E722" s="69"/>
      <c r="F722" s="69"/>
      <c r="G722" s="69"/>
      <c r="H722" s="69"/>
      <c r="I722" s="66"/>
      <c r="J722" s="69"/>
      <c r="K722" s="67"/>
      <c r="L722" s="67"/>
      <c r="M722" s="67"/>
      <c r="N722" s="67"/>
      <c r="O722" s="64"/>
      <c r="P722" s="72" t="str">
        <f aca="false">IF(OR(B722="",C722=""),"",C722&amp;"|"&amp;(YEAR(B722)*100+MONTH(B722)))</f>
        <v/>
      </c>
      <c r="Q722" s="70" t="str">
        <f aca="false">IF(P722="","",IF(COUNTIF(N_CLAVE,P722)&gt;1,"⚠ Duplicado","OK"))</f>
        <v/>
      </c>
      <c r="R722" s="74" t="str">
        <f aca="false">IF(OR(P722="",U722=""),"",MAX(0,U722-N(E722)-N(F722)-N(H722)))</f>
        <v/>
      </c>
      <c r="S722" s="75" t="str">
        <f aca="false">IF(P722="","",IFERROR(INDEX(T_INGRESO,MATCH(C722,T_ID,0)),""))</f>
        <v/>
      </c>
      <c r="T722" s="75" t="str">
        <f aca="false">IF(P722="","",IFERROR(N(INDEX(T_EGRESO,MATCH(C722,T_ID,0))),0))</f>
        <v/>
      </c>
      <c r="U722" s="73" t="str">
        <f aca="false">IF(OR(P722="",NOT(ISNUMBER(S722))),"",IF(OR(S722&gt;EOMONTH(B722,0),AND(T722&gt;0,T722&lt;B722)),0,IF(AND(S722&lt;=B722,OR(T722=0,T722&gt;=EOMONTH(B722,0))),30,MIN(30,IF(T722=0,EOMONTH(B722,0),MIN(T722,EOMONTH(B722,0)))-MAX(B722,S722)+1))))</f>
        <v/>
      </c>
    </row>
    <row r="723" customFormat="false" ht="15" hidden="false" customHeight="false" outlineLevel="0" collapsed="false">
      <c r="B723" s="78"/>
      <c r="C723" s="64"/>
      <c r="D723" s="70" t="str">
        <f aca="false">IF(C723="","",IFERROR(INDEX(T_NOMBRE,MATCH(C723,T_ID,0)),"⚠ ID no existe"))</f>
        <v/>
      </c>
      <c r="E723" s="69"/>
      <c r="F723" s="69"/>
      <c r="G723" s="69"/>
      <c r="H723" s="69"/>
      <c r="I723" s="66"/>
      <c r="J723" s="69"/>
      <c r="K723" s="67"/>
      <c r="L723" s="67"/>
      <c r="M723" s="67"/>
      <c r="N723" s="67"/>
      <c r="O723" s="64"/>
      <c r="P723" s="72" t="str">
        <f aca="false">IF(OR(B723="",C723=""),"",C723&amp;"|"&amp;(YEAR(B723)*100+MONTH(B723)))</f>
        <v/>
      </c>
      <c r="Q723" s="70" t="str">
        <f aca="false">IF(P723="","",IF(COUNTIF(N_CLAVE,P723)&gt;1,"⚠ Duplicado","OK"))</f>
        <v/>
      </c>
      <c r="R723" s="74" t="str">
        <f aca="false">IF(OR(P723="",U723=""),"",MAX(0,U723-N(E723)-N(F723)-N(H723)))</f>
        <v/>
      </c>
      <c r="S723" s="75" t="str">
        <f aca="false">IF(P723="","",IFERROR(INDEX(T_INGRESO,MATCH(C723,T_ID,0)),""))</f>
        <v/>
      </c>
      <c r="T723" s="75" t="str">
        <f aca="false">IF(P723="","",IFERROR(N(INDEX(T_EGRESO,MATCH(C723,T_ID,0))),0))</f>
        <v/>
      </c>
      <c r="U723" s="73" t="str">
        <f aca="false">IF(OR(P723="",NOT(ISNUMBER(S723))),"",IF(OR(S723&gt;EOMONTH(B723,0),AND(T723&gt;0,T723&lt;B723)),0,IF(AND(S723&lt;=B723,OR(T723=0,T723&gt;=EOMONTH(B723,0))),30,MIN(30,IF(T723=0,EOMONTH(B723,0),MIN(T723,EOMONTH(B723,0)))-MAX(B723,S723)+1))))</f>
        <v/>
      </c>
    </row>
    <row r="724" customFormat="false" ht="15" hidden="false" customHeight="false" outlineLevel="0" collapsed="false">
      <c r="B724" s="78"/>
      <c r="C724" s="64"/>
      <c r="D724" s="70" t="str">
        <f aca="false">IF(C724="","",IFERROR(INDEX(T_NOMBRE,MATCH(C724,T_ID,0)),"⚠ ID no existe"))</f>
        <v/>
      </c>
      <c r="E724" s="69"/>
      <c r="F724" s="69"/>
      <c r="G724" s="69"/>
      <c r="H724" s="69"/>
      <c r="I724" s="66"/>
      <c r="J724" s="69"/>
      <c r="K724" s="67"/>
      <c r="L724" s="67"/>
      <c r="M724" s="67"/>
      <c r="N724" s="67"/>
      <c r="O724" s="64"/>
      <c r="P724" s="72" t="str">
        <f aca="false">IF(OR(B724="",C724=""),"",C724&amp;"|"&amp;(YEAR(B724)*100+MONTH(B724)))</f>
        <v/>
      </c>
      <c r="Q724" s="70" t="str">
        <f aca="false">IF(P724="","",IF(COUNTIF(N_CLAVE,P724)&gt;1,"⚠ Duplicado","OK"))</f>
        <v/>
      </c>
      <c r="R724" s="74" t="str">
        <f aca="false">IF(OR(P724="",U724=""),"",MAX(0,U724-N(E724)-N(F724)-N(H724)))</f>
        <v/>
      </c>
      <c r="S724" s="75" t="str">
        <f aca="false">IF(P724="","",IFERROR(INDEX(T_INGRESO,MATCH(C724,T_ID,0)),""))</f>
        <v/>
      </c>
      <c r="T724" s="75" t="str">
        <f aca="false">IF(P724="","",IFERROR(N(INDEX(T_EGRESO,MATCH(C724,T_ID,0))),0))</f>
        <v/>
      </c>
      <c r="U724" s="73" t="str">
        <f aca="false">IF(OR(P724="",NOT(ISNUMBER(S724))),"",IF(OR(S724&gt;EOMONTH(B724,0),AND(T724&gt;0,T724&lt;B724)),0,IF(AND(S724&lt;=B724,OR(T724=0,T724&gt;=EOMONTH(B724,0))),30,MIN(30,IF(T724=0,EOMONTH(B724,0),MIN(T724,EOMONTH(B724,0)))-MAX(B724,S724)+1))))</f>
        <v/>
      </c>
    </row>
    <row r="725" customFormat="false" ht="15" hidden="false" customHeight="false" outlineLevel="0" collapsed="false">
      <c r="B725" s="78"/>
      <c r="C725" s="64"/>
      <c r="D725" s="70" t="str">
        <f aca="false">IF(C725="","",IFERROR(INDEX(T_NOMBRE,MATCH(C725,T_ID,0)),"⚠ ID no existe"))</f>
        <v/>
      </c>
      <c r="E725" s="69"/>
      <c r="F725" s="69"/>
      <c r="G725" s="69"/>
      <c r="H725" s="69"/>
      <c r="I725" s="66"/>
      <c r="J725" s="69"/>
      <c r="K725" s="67"/>
      <c r="L725" s="67"/>
      <c r="M725" s="67"/>
      <c r="N725" s="67"/>
      <c r="O725" s="64"/>
      <c r="P725" s="72" t="str">
        <f aca="false">IF(OR(B725="",C725=""),"",C725&amp;"|"&amp;(YEAR(B725)*100+MONTH(B725)))</f>
        <v/>
      </c>
      <c r="Q725" s="70" t="str">
        <f aca="false">IF(P725="","",IF(COUNTIF(N_CLAVE,P725)&gt;1,"⚠ Duplicado","OK"))</f>
        <v/>
      </c>
      <c r="R725" s="74" t="str">
        <f aca="false">IF(OR(P725="",U725=""),"",MAX(0,U725-N(E725)-N(F725)-N(H725)))</f>
        <v/>
      </c>
      <c r="S725" s="75" t="str">
        <f aca="false">IF(P725="","",IFERROR(INDEX(T_INGRESO,MATCH(C725,T_ID,0)),""))</f>
        <v/>
      </c>
      <c r="T725" s="75" t="str">
        <f aca="false">IF(P725="","",IFERROR(N(INDEX(T_EGRESO,MATCH(C725,T_ID,0))),0))</f>
        <v/>
      </c>
      <c r="U725" s="73" t="str">
        <f aca="false">IF(OR(P725="",NOT(ISNUMBER(S725))),"",IF(OR(S725&gt;EOMONTH(B725,0),AND(T725&gt;0,T725&lt;B725)),0,IF(AND(S725&lt;=B725,OR(T725=0,T725&gt;=EOMONTH(B725,0))),30,MIN(30,IF(T725=0,EOMONTH(B725,0),MIN(T725,EOMONTH(B725,0)))-MAX(B725,S725)+1))))</f>
        <v/>
      </c>
    </row>
    <row r="726" customFormat="false" ht="15" hidden="false" customHeight="false" outlineLevel="0" collapsed="false">
      <c r="B726" s="78"/>
      <c r="C726" s="64"/>
      <c r="D726" s="70" t="str">
        <f aca="false">IF(C726="","",IFERROR(INDEX(T_NOMBRE,MATCH(C726,T_ID,0)),"⚠ ID no existe"))</f>
        <v/>
      </c>
      <c r="E726" s="69"/>
      <c r="F726" s="69"/>
      <c r="G726" s="69"/>
      <c r="H726" s="69"/>
      <c r="I726" s="66"/>
      <c r="J726" s="69"/>
      <c r="K726" s="67"/>
      <c r="L726" s="67"/>
      <c r="M726" s="67"/>
      <c r="N726" s="67"/>
      <c r="O726" s="64"/>
      <c r="P726" s="72" t="str">
        <f aca="false">IF(OR(B726="",C726=""),"",C726&amp;"|"&amp;(YEAR(B726)*100+MONTH(B726)))</f>
        <v/>
      </c>
      <c r="Q726" s="70" t="str">
        <f aca="false">IF(P726="","",IF(COUNTIF(N_CLAVE,P726)&gt;1,"⚠ Duplicado","OK"))</f>
        <v/>
      </c>
      <c r="R726" s="74" t="str">
        <f aca="false">IF(OR(P726="",U726=""),"",MAX(0,U726-N(E726)-N(F726)-N(H726)))</f>
        <v/>
      </c>
      <c r="S726" s="75" t="str">
        <f aca="false">IF(P726="","",IFERROR(INDEX(T_INGRESO,MATCH(C726,T_ID,0)),""))</f>
        <v/>
      </c>
      <c r="T726" s="75" t="str">
        <f aca="false">IF(P726="","",IFERROR(N(INDEX(T_EGRESO,MATCH(C726,T_ID,0))),0))</f>
        <v/>
      </c>
      <c r="U726" s="73" t="str">
        <f aca="false">IF(OR(P726="",NOT(ISNUMBER(S726))),"",IF(OR(S726&gt;EOMONTH(B726,0),AND(T726&gt;0,T726&lt;B726)),0,IF(AND(S726&lt;=B726,OR(T726=0,T726&gt;=EOMONTH(B726,0))),30,MIN(30,IF(T726=0,EOMONTH(B726,0),MIN(T726,EOMONTH(B726,0)))-MAX(B726,S726)+1))))</f>
        <v/>
      </c>
    </row>
    <row r="727" customFormat="false" ht="15" hidden="false" customHeight="false" outlineLevel="0" collapsed="false">
      <c r="B727" s="78"/>
      <c r="C727" s="64"/>
      <c r="D727" s="70" t="str">
        <f aca="false">IF(C727="","",IFERROR(INDEX(T_NOMBRE,MATCH(C727,T_ID,0)),"⚠ ID no existe"))</f>
        <v/>
      </c>
      <c r="E727" s="69"/>
      <c r="F727" s="69"/>
      <c r="G727" s="69"/>
      <c r="H727" s="69"/>
      <c r="I727" s="66"/>
      <c r="J727" s="69"/>
      <c r="K727" s="67"/>
      <c r="L727" s="67"/>
      <c r="M727" s="67"/>
      <c r="N727" s="67"/>
      <c r="O727" s="64"/>
      <c r="P727" s="72" t="str">
        <f aca="false">IF(OR(B727="",C727=""),"",C727&amp;"|"&amp;(YEAR(B727)*100+MONTH(B727)))</f>
        <v/>
      </c>
      <c r="Q727" s="70" t="str">
        <f aca="false">IF(P727="","",IF(COUNTIF(N_CLAVE,P727)&gt;1,"⚠ Duplicado","OK"))</f>
        <v/>
      </c>
      <c r="R727" s="74" t="str">
        <f aca="false">IF(OR(P727="",U727=""),"",MAX(0,U727-N(E727)-N(F727)-N(H727)))</f>
        <v/>
      </c>
      <c r="S727" s="75" t="str">
        <f aca="false">IF(P727="","",IFERROR(INDEX(T_INGRESO,MATCH(C727,T_ID,0)),""))</f>
        <v/>
      </c>
      <c r="T727" s="75" t="str">
        <f aca="false">IF(P727="","",IFERROR(N(INDEX(T_EGRESO,MATCH(C727,T_ID,0))),0))</f>
        <v/>
      </c>
      <c r="U727" s="73" t="str">
        <f aca="false">IF(OR(P727="",NOT(ISNUMBER(S727))),"",IF(OR(S727&gt;EOMONTH(B727,0),AND(T727&gt;0,T727&lt;B727)),0,IF(AND(S727&lt;=B727,OR(T727=0,T727&gt;=EOMONTH(B727,0))),30,MIN(30,IF(T727=0,EOMONTH(B727,0),MIN(T727,EOMONTH(B727,0)))-MAX(B727,S727)+1))))</f>
        <v/>
      </c>
    </row>
    <row r="728" customFormat="false" ht="15" hidden="false" customHeight="false" outlineLevel="0" collapsed="false">
      <c r="B728" s="78"/>
      <c r="C728" s="64"/>
      <c r="D728" s="70" t="str">
        <f aca="false">IF(C728="","",IFERROR(INDEX(T_NOMBRE,MATCH(C728,T_ID,0)),"⚠ ID no existe"))</f>
        <v/>
      </c>
      <c r="E728" s="69"/>
      <c r="F728" s="69"/>
      <c r="G728" s="69"/>
      <c r="H728" s="69"/>
      <c r="I728" s="66"/>
      <c r="J728" s="69"/>
      <c r="K728" s="67"/>
      <c r="L728" s="67"/>
      <c r="M728" s="67"/>
      <c r="N728" s="67"/>
      <c r="O728" s="64"/>
      <c r="P728" s="72" t="str">
        <f aca="false">IF(OR(B728="",C728=""),"",C728&amp;"|"&amp;(YEAR(B728)*100+MONTH(B728)))</f>
        <v/>
      </c>
      <c r="Q728" s="70" t="str">
        <f aca="false">IF(P728="","",IF(COUNTIF(N_CLAVE,P728)&gt;1,"⚠ Duplicado","OK"))</f>
        <v/>
      </c>
      <c r="R728" s="74" t="str">
        <f aca="false">IF(OR(P728="",U728=""),"",MAX(0,U728-N(E728)-N(F728)-N(H728)))</f>
        <v/>
      </c>
      <c r="S728" s="75" t="str">
        <f aca="false">IF(P728="","",IFERROR(INDEX(T_INGRESO,MATCH(C728,T_ID,0)),""))</f>
        <v/>
      </c>
      <c r="T728" s="75" t="str">
        <f aca="false">IF(P728="","",IFERROR(N(INDEX(T_EGRESO,MATCH(C728,T_ID,0))),0))</f>
        <v/>
      </c>
      <c r="U728" s="73" t="str">
        <f aca="false">IF(OR(P728="",NOT(ISNUMBER(S728))),"",IF(OR(S728&gt;EOMONTH(B728,0),AND(T728&gt;0,T728&lt;B728)),0,IF(AND(S728&lt;=B728,OR(T728=0,T728&gt;=EOMONTH(B728,0))),30,MIN(30,IF(T728=0,EOMONTH(B728,0),MIN(T728,EOMONTH(B728,0)))-MAX(B728,S728)+1))))</f>
        <v/>
      </c>
    </row>
    <row r="729" customFormat="false" ht="15" hidden="false" customHeight="false" outlineLevel="0" collapsed="false">
      <c r="B729" s="78"/>
      <c r="C729" s="64"/>
      <c r="D729" s="70" t="str">
        <f aca="false">IF(C729="","",IFERROR(INDEX(T_NOMBRE,MATCH(C729,T_ID,0)),"⚠ ID no existe"))</f>
        <v/>
      </c>
      <c r="E729" s="69"/>
      <c r="F729" s="69"/>
      <c r="G729" s="69"/>
      <c r="H729" s="69"/>
      <c r="I729" s="66"/>
      <c r="J729" s="69"/>
      <c r="K729" s="67"/>
      <c r="L729" s="67"/>
      <c r="M729" s="67"/>
      <c r="N729" s="67"/>
      <c r="O729" s="64"/>
      <c r="P729" s="72" t="str">
        <f aca="false">IF(OR(B729="",C729=""),"",C729&amp;"|"&amp;(YEAR(B729)*100+MONTH(B729)))</f>
        <v/>
      </c>
      <c r="Q729" s="70" t="str">
        <f aca="false">IF(P729="","",IF(COUNTIF(N_CLAVE,P729)&gt;1,"⚠ Duplicado","OK"))</f>
        <v/>
      </c>
      <c r="R729" s="74" t="str">
        <f aca="false">IF(OR(P729="",U729=""),"",MAX(0,U729-N(E729)-N(F729)-N(H729)))</f>
        <v/>
      </c>
      <c r="S729" s="75" t="str">
        <f aca="false">IF(P729="","",IFERROR(INDEX(T_INGRESO,MATCH(C729,T_ID,0)),""))</f>
        <v/>
      </c>
      <c r="T729" s="75" t="str">
        <f aca="false">IF(P729="","",IFERROR(N(INDEX(T_EGRESO,MATCH(C729,T_ID,0))),0))</f>
        <v/>
      </c>
      <c r="U729" s="73" t="str">
        <f aca="false">IF(OR(P729="",NOT(ISNUMBER(S729))),"",IF(OR(S729&gt;EOMONTH(B729,0),AND(T729&gt;0,T729&lt;B729)),0,IF(AND(S729&lt;=B729,OR(T729=0,T729&gt;=EOMONTH(B729,0))),30,MIN(30,IF(T729=0,EOMONTH(B729,0),MIN(T729,EOMONTH(B729,0)))-MAX(B729,S729)+1))))</f>
        <v/>
      </c>
    </row>
    <row r="730" customFormat="false" ht="15" hidden="false" customHeight="false" outlineLevel="0" collapsed="false">
      <c r="B730" s="78"/>
      <c r="C730" s="64"/>
      <c r="D730" s="70" t="str">
        <f aca="false">IF(C730="","",IFERROR(INDEX(T_NOMBRE,MATCH(C730,T_ID,0)),"⚠ ID no existe"))</f>
        <v/>
      </c>
      <c r="E730" s="69"/>
      <c r="F730" s="69"/>
      <c r="G730" s="69"/>
      <c r="H730" s="69"/>
      <c r="I730" s="66"/>
      <c r="J730" s="69"/>
      <c r="K730" s="67"/>
      <c r="L730" s="67"/>
      <c r="M730" s="67"/>
      <c r="N730" s="67"/>
      <c r="O730" s="64"/>
      <c r="P730" s="72" t="str">
        <f aca="false">IF(OR(B730="",C730=""),"",C730&amp;"|"&amp;(YEAR(B730)*100+MONTH(B730)))</f>
        <v/>
      </c>
      <c r="Q730" s="70" t="str">
        <f aca="false">IF(P730="","",IF(COUNTIF(N_CLAVE,P730)&gt;1,"⚠ Duplicado","OK"))</f>
        <v/>
      </c>
      <c r="R730" s="74" t="str">
        <f aca="false">IF(OR(P730="",U730=""),"",MAX(0,U730-N(E730)-N(F730)-N(H730)))</f>
        <v/>
      </c>
      <c r="S730" s="75" t="str">
        <f aca="false">IF(P730="","",IFERROR(INDEX(T_INGRESO,MATCH(C730,T_ID,0)),""))</f>
        <v/>
      </c>
      <c r="T730" s="75" t="str">
        <f aca="false">IF(P730="","",IFERROR(N(INDEX(T_EGRESO,MATCH(C730,T_ID,0))),0))</f>
        <v/>
      </c>
      <c r="U730" s="73" t="str">
        <f aca="false">IF(OR(P730="",NOT(ISNUMBER(S730))),"",IF(OR(S730&gt;EOMONTH(B730,0),AND(T730&gt;0,T730&lt;B730)),0,IF(AND(S730&lt;=B730,OR(T730=0,T730&gt;=EOMONTH(B730,0))),30,MIN(30,IF(T730=0,EOMONTH(B730,0),MIN(T730,EOMONTH(B730,0)))-MAX(B730,S730)+1))))</f>
        <v/>
      </c>
    </row>
    <row r="731" customFormat="false" ht="15" hidden="false" customHeight="false" outlineLevel="0" collapsed="false">
      <c r="B731" s="78"/>
      <c r="C731" s="64"/>
      <c r="D731" s="70" t="str">
        <f aca="false">IF(C731="","",IFERROR(INDEX(T_NOMBRE,MATCH(C731,T_ID,0)),"⚠ ID no existe"))</f>
        <v/>
      </c>
      <c r="E731" s="69"/>
      <c r="F731" s="69"/>
      <c r="G731" s="69"/>
      <c r="H731" s="69"/>
      <c r="I731" s="66"/>
      <c r="J731" s="69"/>
      <c r="K731" s="67"/>
      <c r="L731" s="67"/>
      <c r="M731" s="67"/>
      <c r="N731" s="67"/>
      <c r="O731" s="64"/>
      <c r="P731" s="72" t="str">
        <f aca="false">IF(OR(B731="",C731=""),"",C731&amp;"|"&amp;(YEAR(B731)*100+MONTH(B731)))</f>
        <v/>
      </c>
      <c r="Q731" s="70" t="str">
        <f aca="false">IF(P731="","",IF(COUNTIF(N_CLAVE,P731)&gt;1,"⚠ Duplicado","OK"))</f>
        <v/>
      </c>
      <c r="R731" s="74" t="str">
        <f aca="false">IF(OR(P731="",U731=""),"",MAX(0,U731-N(E731)-N(F731)-N(H731)))</f>
        <v/>
      </c>
      <c r="S731" s="75" t="str">
        <f aca="false">IF(P731="","",IFERROR(INDEX(T_INGRESO,MATCH(C731,T_ID,0)),""))</f>
        <v/>
      </c>
      <c r="T731" s="75" t="str">
        <f aca="false">IF(P731="","",IFERROR(N(INDEX(T_EGRESO,MATCH(C731,T_ID,0))),0))</f>
        <v/>
      </c>
      <c r="U731" s="73" t="str">
        <f aca="false">IF(OR(P731="",NOT(ISNUMBER(S731))),"",IF(OR(S731&gt;EOMONTH(B731,0),AND(T731&gt;0,T731&lt;B731)),0,IF(AND(S731&lt;=B731,OR(T731=0,T731&gt;=EOMONTH(B731,0))),30,MIN(30,IF(T731=0,EOMONTH(B731,0),MIN(T731,EOMONTH(B731,0)))-MAX(B731,S731)+1))))</f>
        <v/>
      </c>
    </row>
    <row r="732" customFormat="false" ht="15" hidden="false" customHeight="false" outlineLevel="0" collapsed="false">
      <c r="B732" s="78"/>
      <c r="C732" s="64"/>
      <c r="D732" s="70" t="str">
        <f aca="false">IF(C732="","",IFERROR(INDEX(T_NOMBRE,MATCH(C732,T_ID,0)),"⚠ ID no existe"))</f>
        <v/>
      </c>
      <c r="E732" s="69"/>
      <c r="F732" s="69"/>
      <c r="G732" s="69"/>
      <c r="H732" s="69"/>
      <c r="I732" s="66"/>
      <c r="J732" s="69"/>
      <c r="K732" s="67"/>
      <c r="L732" s="67"/>
      <c r="M732" s="67"/>
      <c r="N732" s="67"/>
      <c r="O732" s="64"/>
      <c r="P732" s="72" t="str">
        <f aca="false">IF(OR(B732="",C732=""),"",C732&amp;"|"&amp;(YEAR(B732)*100+MONTH(B732)))</f>
        <v/>
      </c>
      <c r="Q732" s="70" t="str">
        <f aca="false">IF(P732="","",IF(COUNTIF(N_CLAVE,P732)&gt;1,"⚠ Duplicado","OK"))</f>
        <v/>
      </c>
      <c r="R732" s="74" t="str">
        <f aca="false">IF(OR(P732="",U732=""),"",MAX(0,U732-N(E732)-N(F732)-N(H732)))</f>
        <v/>
      </c>
      <c r="S732" s="75" t="str">
        <f aca="false">IF(P732="","",IFERROR(INDEX(T_INGRESO,MATCH(C732,T_ID,0)),""))</f>
        <v/>
      </c>
      <c r="T732" s="75" t="str">
        <f aca="false">IF(P732="","",IFERROR(N(INDEX(T_EGRESO,MATCH(C732,T_ID,0))),0))</f>
        <v/>
      </c>
      <c r="U732" s="73" t="str">
        <f aca="false">IF(OR(P732="",NOT(ISNUMBER(S732))),"",IF(OR(S732&gt;EOMONTH(B732,0),AND(T732&gt;0,T732&lt;B732)),0,IF(AND(S732&lt;=B732,OR(T732=0,T732&gt;=EOMONTH(B732,0))),30,MIN(30,IF(T732=0,EOMONTH(B732,0),MIN(T732,EOMONTH(B732,0)))-MAX(B732,S732)+1))))</f>
        <v/>
      </c>
    </row>
    <row r="733" customFormat="false" ht="15" hidden="false" customHeight="false" outlineLevel="0" collapsed="false">
      <c r="B733" s="78"/>
      <c r="C733" s="64"/>
      <c r="D733" s="70" t="str">
        <f aca="false">IF(C733="","",IFERROR(INDEX(T_NOMBRE,MATCH(C733,T_ID,0)),"⚠ ID no existe"))</f>
        <v/>
      </c>
      <c r="E733" s="69"/>
      <c r="F733" s="69"/>
      <c r="G733" s="69"/>
      <c r="H733" s="69"/>
      <c r="I733" s="66"/>
      <c r="J733" s="69"/>
      <c r="K733" s="67"/>
      <c r="L733" s="67"/>
      <c r="M733" s="67"/>
      <c r="N733" s="67"/>
      <c r="O733" s="64"/>
      <c r="P733" s="72" t="str">
        <f aca="false">IF(OR(B733="",C733=""),"",C733&amp;"|"&amp;(YEAR(B733)*100+MONTH(B733)))</f>
        <v/>
      </c>
      <c r="Q733" s="70" t="str">
        <f aca="false">IF(P733="","",IF(COUNTIF(N_CLAVE,P733)&gt;1,"⚠ Duplicado","OK"))</f>
        <v/>
      </c>
      <c r="R733" s="74" t="str">
        <f aca="false">IF(OR(P733="",U733=""),"",MAX(0,U733-N(E733)-N(F733)-N(H733)))</f>
        <v/>
      </c>
      <c r="S733" s="75" t="str">
        <f aca="false">IF(P733="","",IFERROR(INDEX(T_INGRESO,MATCH(C733,T_ID,0)),""))</f>
        <v/>
      </c>
      <c r="T733" s="75" t="str">
        <f aca="false">IF(P733="","",IFERROR(N(INDEX(T_EGRESO,MATCH(C733,T_ID,0))),0))</f>
        <v/>
      </c>
      <c r="U733" s="73" t="str">
        <f aca="false">IF(OR(P733="",NOT(ISNUMBER(S733))),"",IF(OR(S733&gt;EOMONTH(B733,0),AND(T733&gt;0,T733&lt;B733)),0,IF(AND(S733&lt;=B733,OR(T733=0,T733&gt;=EOMONTH(B733,0))),30,MIN(30,IF(T733=0,EOMONTH(B733,0),MIN(T733,EOMONTH(B733,0)))-MAX(B733,S733)+1))))</f>
        <v/>
      </c>
    </row>
    <row r="734" customFormat="false" ht="15" hidden="false" customHeight="false" outlineLevel="0" collapsed="false">
      <c r="B734" s="78"/>
      <c r="C734" s="64"/>
      <c r="D734" s="70" t="str">
        <f aca="false">IF(C734="","",IFERROR(INDEX(T_NOMBRE,MATCH(C734,T_ID,0)),"⚠ ID no existe"))</f>
        <v/>
      </c>
      <c r="E734" s="69"/>
      <c r="F734" s="69"/>
      <c r="G734" s="69"/>
      <c r="H734" s="69"/>
      <c r="I734" s="66"/>
      <c r="J734" s="69"/>
      <c r="K734" s="67"/>
      <c r="L734" s="67"/>
      <c r="M734" s="67"/>
      <c r="N734" s="67"/>
      <c r="O734" s="64"/>
      <c r="P734" s="72" t="str">
        <f aca="false">IF(OR(B734="",C734=""),"",C734&amp;"|"&amp;(YEAR(B734)*100+MONTH(B734)))</f>
        <v/>
      </c>
      <c r="Q734" s="70" t="str">
        <f aca="false">IF(P734="","",IF(COUNTIF(N_CLAVE,P734)&gt;1,"⚠ Duplicado","OK"))</f>
        <v/>
      </c>
      <c r="R734" s="74" t="str">
        <f aca="false">IF(OR(P734="",U734=""),"",MAX(0,U734-N(E734)-N(F734)-N(H734)))</f>
        <v/>
      </c>
      <c r="S734" s="75" t="str">
        <f aca="false">IF(P734="","",IFERROR(INDEX(T_INGRESO,MATCH(C734,T_ID,0)),""))</f>
        <v/>
      </c>
      <c r="T734" s="75" t="str">
        <f aca="false">IF(P734="","",IFERROR(N(INDEX(T_EGRESO,MATCH(C734,T_ID,0))),0))</f>
        <v/>
      </c>
      <c r="U734" s="73" t="str">
        <f aca="false">IF(OR(P734="",NOT(ISNUMBER(S734))),"",IF(OR(S734&gt;EOMONTH(B734,0),AND(T734&gt;0,T734&lt;B734)),0,IF(AND(S734&lt;=B734,OR(T734=0,T734&gt;=EOMONTH(B734,0))),30,MIN(30,IF(T734=0,EOMONTH(B734,0),MIN(T734,EOMONTH(B734,0)))-MAX(B734,S734)+1))))</f>
        <v/>
      </c>
    </row>
    <row r="735" customFormat="false" ht="15" hidden="false" customHeight="false" outlineLevel="0" collapsed="false">
      <c r="B735" s="78"/>
      <c r="C735" s="64"/>
      <c r="D735" s="70" t="str">
        <f aca="false">IF(C735="","",IFERROR(INDEX(T_NOMBRE,MATCH(C735,T_ID,0)),"⚠ ID no existe"))</f>
        <v/>
      </c>
      <c r="E735" s="69"/>
      <c r="F735" s="69"/>
      <c r="G735" s="69"/>
      <c r="H735" s="69"/>
      <c r="I735" s="66"/>
      <c r="J735" s="69"/>
      <c r="K735" s="67"/>
      <c r="L735" s="67"/>
      <c r="M735" s="67"/>
      <c r="N735" s="67"/>
      <c r="O735" s="64"/>
      <c r="P735" s="72" t="str">
        <f aca="false">IF(OR(B735="",C735=""),"",C735&amp;"|"&amp;(YEAR(B735)*100+MONTH(B735)))</f>
        <v/>
      </c>
      <c r="Q735" s="70" t="str">
        <f aca="false">IF(P735="","",IF(COUNTIF(N_CLAVE,P735)&gt;1,"⚠ Duplicado","OK"))</f>
        <v/>
      </c>
      <c r="R735" s="74" t="str">
        <f aca="false">IF(OR(P735="",U735=""),"",MAX(0,U735-N(E735)-N(F735)-N(H735)))</f>
        <v/>
      </c>
      <c r="S735" s="75" t="str">
        <f aca="false">IF(P735="","",IFERROR(INDEX(T_INGRESO,MATCH(C735,T_ID,0)),""))</f>
        <v/>
      </c>
      <c r="T735" s="75" t="str">
        <f aca="false">IF(P735="","",IFERROR(N(INDEX(T_EGRESO,MATCH(C735,T_ID,0))),0))</f>
        <v/>
      </c>
      <c r="U735" s="73" t="str">
        <f aca="false">IF(OR(P735="",NOT(ISNUMBER(S735))),"",IF(OR(S735&gt;EOMONTH(B735,0),AND(T735&gt;0,T735&lt;B735)),0,IF(AND(S735&lt;=B735,OR(T735=0,T735&gt;=EOMONTH(B735,0))),30,MIN(30,IF(T735=0,EOMONTH(B735,0),MIN(T735,EOMONTH(B735,0)))-MAX(B735,S735)+1))))</f>
        <v/>
      </c>
    </row>
    <row r="736" customFormat="false" ht="15" hidden="false" customHeight="false" outlineLevel="0" collapsed="false">
      <c r="B736" s="78"/>
      <c r="C736" s="64"/>
      <c r="D736" s="70" t="str">
        <f aca="false">IF(C736="","",IFERROR(INDEX(T_NOMBRE,MATCH(C736,T_ID,0)),"⚠ ID no existe"))</f>
        <v/>
      </c>
      <c r="E736" s="69"/>
      <c r="F736" s="69"/>
      <c r="G736" s="69"/>
      <c r="H736" s="69"/>
      <c r="I736" s="66"/>
      <c r="J736" s="69"/>
      <c r="K736" s="67"/>
      <c r="L736" s="67"/>
      <c r="M736" s="67"/>
      <c r="N736" s="67"/>
      <c r="O736" s="64"/>
      <c r="P736" s="72" t="str">
        <f aca="false">IF(OR(B736="",C736=""),"",C736&amp;"|"&amp;(YEAR(B736)*100+MONTH(B736)))</f>
        <v/>
      </c>
      <c r="Q736" s="70" t="str">
        <f aca="false">IF(P736="","",IF(COUNTIF(N_CLAVE,P736)&gt;1,"⚠ Duplicado","OK"))</f>
        <v/>
      </c>
      <c r="R736" s="74" t="str">
        <f aca="false">IF(OR(P736="",U736=""),"",MAX(0,U736-N(E736)-N(F736)-N(H736)))</f>
        <v/>
      </c>
      <c r="S736" s="75" t="str">
        <f aca="false">IF(P736="","",IFERROR(INDEX(T_INGRESO,MATCH(C736,T_ID,0)),""))</f>
        <v/>
      </c>
      <c r="T736" s="75" t="str">
        <f aca="false">IF(P736="","",IFERROR(N(INDEX(T_EGRESO,MATCH(C736,T_ID,0))),0))</f>
        <v/>
      </c>
      <c r="U736" s="73" t="str">
        <f aca="false">IF(OR(P736="",NOT(ISNUMBER(S736))),"",IF(OR(S736&gt;EOMONTH(B736,0),AND(T736&gt;0,T736&lt;B736)),0,IF(AND(S736&lt;=B736,OR(T736=0,T736&gt;=EOMONTH(B736,0))),30,MIN(30,IF(T736=0,EOMONTH(B736,0),MIN(T736,EOMONTH(B736,0)))-MAX(B736,S736)+1))))</f>
        <v/>
      </c>
    </row>
    <row r="737" customFormat="false" ht="15" hidden="false" customHeight="false" outlineLevel="0" collapsed="false">
      <c r="B737" s="78"/>
      <c r="C737" s="64"/>
      <c r="D737" s="70" t="str">
        <f aca="false">IF(C737="","",IFERROR(INDEX(T_NOMBRE,MATCH(C737,T_ID,0)),"⚠ ID no existe"))</f>
        <v/>
      </c>
      <c r="E737" s="69"/>
      <c r="F737" s="69"/>
      <c r="G737" s="69"/>
      <c r="H737" s="69"/>
      <c r="I737" s="66"/>
      <c r="J737" s="69"/>
      <c r="K737" s="67"/>
      <c r="L737" s="67"/>
      <c r="M737" s="67"/>
      <c r="N737" s="67"/>
      <c r="O737" s="64"/>
      <c r="P737" s="72" t="str">
        <f aca="false">IF(OR(B737="",C737=""),"",C737&amp;"|"&amp;(YEAR(B737)*100+MONTH(B737)))</f>
        <v/>
      </c>
      <c r="Q737" s="70" t="str">
        <f aca="false">IF(P737="","",IF(COUNTIF(N_CLAVE,P737)&gt;1,"⚠ Duplicado","OK"))</f>
        <v/>
      </c>
      <c r="R737" s="74" t="str">
        <f aca="false">IF(OR(P737="",U737=""),"",MAX(0,U737-N(E737)-N(F737)-N(H737)))</f>
        <v/>
      </c>
      <c r="S737" s="75" t="str">
        <f aca="false">IF(P737="","",IFERROR(INDEX(T_INGRESO,MATCH(C737,T_ID,0)),""))</f>
        <v/>
      </c>
      <c r="T737" s="75" t="str">
        <f aca="false">IF(P737="","",IFERROR(N(INDEX(T_EGRESO,MATCH(C737,T_ID,0))),0))</f>
        <v/>
      </c>
      <c r="U737" s="73" t="str">
        <f aca="false">IF(OR(P737="",NOT(ISNUMBER(S737))),"",IF(OR(S737&gt;EOMONTH(B737,0),AND(T737&gt;0,T737&lt;B737)),0,IF(AND(S737&lt;=B737,OR(T737=0,T737&gt;=EOMONTH(B737,0))),30,MIN(30,IF(T737=0,EOMONTH(B737,0),MIN(T737,EOMONTH(B737,0)))-MAX(B737,S737)+1))))</f>
        <v/>
      </c>
    </row>
    <row r="738" customFormat="false" ht="15" hidden="false" customHeight="false" outlineLevel="0" collapsed="false">
      <c r="B738" s="78"/>
      <c r="C738" s="64"/>
      <c r="D738" s="70" t="str">
        <f aca="false">IF(C738="","",IFERROR(INDEX(T_NOMBRE,MATCH(C738,T_ID,0)),"⚠ ID no existe"))</f>
        <v/>
      </c>
      <c r="E738" s="69"/>
      <c r="F738" s="69"/>
      <c r="G738" s="69"/>
      <c r="H738" s="69"/>
      <c r="I738" s="66"/>
      <c r="J738" s="69"/>
      <c r="K738" s="67"/>
      <c r="L738" s="67"/>
      <c r="M738" s="67"/>
      <c r="N738" s="67"/>
      <c r="O738" s="64"/>
      <c r="P738" s="72" t="str">
        <f aca="false">IF(OR(B738="",C738=""),"",C738&amp;"|"&amp;(YEAR(B738)*100+MONTH(B738)))</f>
        <v/>
      </c>
      <c r="Q738" s="70" t="str">
        <f aca="false">IF(P738="","",IF(COUNTIF(N_CLAVE,P738)&gt;1,"⚠ Duplicado","OK"))</f>
        <v/>
      </c>
      <c r="R738" s="74" t="str">
        <f aca="false">IF(OR(P738="",U738=""),"",MAX(0,U738-N(E738)-N(F738)-N(H738)))</f>
        <v/>
      </c>
      <c r="S738" s="75" t="str">
        <f aca="false">IF(P738="","",IFERROR(INDEX(T_INGRESO,MATCH(C738,T_ID,0)),""))</f>
        <v/>
      </c>
      <c r="T738" s="75" t="str">
        <f aca="false">IF(P738="","",IFERROR(N(INDEX(T_EGRESO,MATCH(C738,T_ID,0))),0))</f>
        <v/>
      </c>
      <c r="U738" s="73" t="str">
        <f aca="false">IF(OR(P738="",NOT(ISNUMBER(S738))),"",IF(OR(S738&gt;EOMONTH(B738,0),AND(T738&gt;0,T738&lt;B738)),0,IF(AND(S738&lt;=B738,OR(T738=0,T738&gt;=EOMONTH(B738,0))),30,MIN(30,IF(T738=0,EOMONTH(B738,0),MIN(T738,EOMONTH(B738,0)))-MAX(B738,S738)+1))))</f>
        <v/>
      </c>
    </row>
    <row r="739" customFormat="false" ht="15" hidden="false" customHeight="false" outlineLevel="0" collapsed="false">
      <c r="B739" s="78"/>
      <c r="C739" s="64"/>
      <c r="D739" s="70" t="str">
        <f aca="false">IF(C739="","",IFERROR(INDEX(T_NOMBRE,MATCH(C739,T_ID,0)),"⚠ ID no existe"))</f>
        <v/>
      </c>
      <c r="E739" s="69"/>
      <c r="F739" s="69"/>
      <c r="G739" s="69"/>
      <c r="H739" s="69"/>
      <c r="I739" s="66"/>
      <c r="J739" s="69"/>
      <c r="K739" s="67"/>
      <c r="L739" s="67"/>
      <c r="M739" s="67"/>
      <c r="N739" s="67"/>
      <c r="O739" s="64"/>
      <c r="P739" s="72" t="str">
        <f aca="false">IF(OR(B739="",C739=""),"",C739&amp;"|"&amp;(YEAR(B739)*100+MONTH(B739)))</f>
        <v/>
      </c>
      <c r="Q739" s="70" t="str">
        <f aca="false">IF(P739="","",IF(COUNTIF(N_CLAVE,P739)&gt;1,"⚠ Duplicado","OK"))</f>
        <v/>
      </c>
      <c r="R739" s="74" t="str">
        <f aca="false">IF(OR(P739="",U739=""),"",MAX(0,U739-N(E739)-N(F739)-N(H739)))</f>
        <v/>
      </c>
      <c r="S739" s="75" t="str">
        <f aca="false">IF(P739="","",IFERROR(INDEX(T_INGRESO,MATCH(C739,T_ID,0)),""))</f>
        <v/>
      </c>
      <c r="T739" s="75" t="str">
        <f aca="false">IF(P739="","",IFERROR(N(INDEX(T_EGRESO,MATCH(C739,T_ID,0))),0))</f>
        <v/>
      </c>
      <c r="U739" s="73" t="str">
        <f aca="false">IF(OR(P739="",NOT(ISNUMBER(S739))),"",IF(OR(S739&gt;EOMONTH(B739,0),AND(T739&gt;0,T739&lt;B739)),0,IF(AND(S739&lt;=B739,OR(T739=0,T739&gt;=EOMONTH(B739,0))),30,MIN(30,IF(T739=0,EOMONTH(B739,0),MIN(T739,EOMONTH(B739,0)))-MAX(B739,S739)+1))))</f>
        <v/>
      </c>
    </row>
    <row r="740" customFormat="false" ht="15" hidden="false" customHeight="false" outlineLevel="0" collapsed="false">
      <c r="B740" s="78"/>
      <c r="C740" s="64"/>
      <c r="D740" s="70" t="str">
        <f aca="false">IF(C740="","",IFERROR(INDEX(T_NOMBRE,MATCH(C740,T_ID,0)),"⚠ ID no existe"))</f>
        <v/>
      </c>
      <c r="E740" s="69"/>
      <c r="F740" s="69"/>
      <c r="G740" s="69"/>
      <c r="H740" s="69"/>
      <c r="I740" s="66"/>
      <c r="J740" s="69"/>
      <c r="K740" s="67"/>
      <c r="L740" s="67"/>
      <c r="M740" s="67"/>
      <c r="N740" s="67"/>
      <c r="O740" s="64"/>
      <c r="P740" s="72" t="str">
        <f aca="false">IF(OR(B740="",C740=""),"",C740&amp;"|"&amp;(YEAR(B740)*100+MONTH(B740)))</f>
        <v/>
      </c>
      <c r="Q740" s="70" t="str">
        <f aca="false">IF(P740="","",IF(COUNTIF(N_CLAVE,P740)&gt;1,"⚠ Duplicado","OK"))</f>
        <v/>
      </c>
      <c r="R740" s="74" t="str">
        <f aca="false">IF(OR(P740="",U740=""),"",MAX(0,U740-N(E740)-N(F740)-N(H740)))</f>
        <v/>
      </c>
      <c r="S740" s="75" t="str">
        <f aca="false">IF(P740="","",IFERROR(INDEX(T_INGRESO,MATCH(C740,T_ID,0)),""))</f>
        <v/>
      </c>
      <c r="T740" s="75" t="str">
        <f aca="false">IF(P740="","",IFERROR(N(INDEX(T_EGRESO,MATCH(C740,T_ID,0))),0))</f>
        <v/>
      </c>
      <c r="U740" s="73" t="str">
        <f aca="false">IF(OR(P740="",NOT(ISNUMBER(S740))),"",IF(OR(S740&gt;EOMONTH(B740,0),AND(T740&gt;0,T740&lt;B740)),0,IF(AND(S740&lt;=B740,OR(T740=0,T740&gt;=EOMONTH(B740,0))),30,MIN(30,IF(T740=0,EOMONTH(B740,0),MIN(T740,EOMONTH(B740,0)))-MAX(B740,S740)+1))))</f>
        <v/>
      </c>
    </row>
    <row r="741" customFormat="false" ht="15" hidden="false" customHeight="false" outlineLevel="0" collapsed="false">
      <c r="B741" s="78"/>
      <c r="C741" s="64"/>
      <c r="D741" s="70" t="str">
        <f aca="false">IF(C741="","",IFERROR(INDEX(T_NOMBRE,MATCH(C741,T_ID,0)),"⚠ ID no existe"))</f>
        <v/>
      </c>
      <c r="E741" s="69"/>
      <c r="F741" s="69"/>
      <c r="G741" s="69"/>
      <c r="H741" s="69"/>
      <c r="I741" s="66"/>
      <c r="J741" s="69"/>
      <c r="K741" s="67"/>
      <c r="L741" s="67"/>
      <c r="M741" s="67"/>
      <c r="N741" s="67"/>
      <c r="O741" s="64"/>
      <c r="P741" s="72" t="str">
        <f aca="false">IF(OR(B741="",C741=""),"",C741&amp;"|"&amp;(YEAR(B741)*100+MONTH(B741)))</f>
        <v/>
      </c>
      <c r="Q741" s="70" t="str">
        <f aca="false">IF(P741="","",IF(COUNTIF(N_CLAVE,P741)&gt;1,"⚠ Duplicado","OK"))</f>
        <v/>
      </c>
      <c r="R741" s="74" t="str">
        <f aca="false">IF(OR(P741="",U741=""),"",MAX(0,U741-N(E741)-N(F741)-N(H741)))</f>
        <v/>
      </c>
      <c r="S741" s="75" t="str">
        <f aca="false">IF(P741="","",IFERROR(INDEX(T_INGRESO,MATCH(C741,T_ID,0)),""))</f>
        <v/>
      </c>
      <c r="T741" s="75" t="str">
        <f aca="false">IF(P741="","",IFERROR(N(INDEX(T_EGRESO,MATCH(C741,T_ID,0))),0))</f>
        <v/>
      </c>
      <c r="U741" s="73" t="str">
        <f aca="false">IF(OR(P741="",NOT(ISNUMBER(S741))),"",IF(OR(S741&gt;EOMONTH(B741,0),AND(T741&gt;0,T741&lt;B741)),0,IF(AND(S741&lt;=B741,OR(T741=0,T741&gt;=EOMONTH(B741,0))),30,MIN(30,IF(T741=0,EOMONTH(B741,0),MIN(T741,EOMONTH(B741,0)))-MAX(B741,S741)+1))))</f>
        <v/>
      </c>
    </row>
    <row r="742" customFormat="false" ht="15" hidden="false" customHeight="false" outlineLevel="0" collapsed="false">
      <c r="B742" s="78"/>
      <c r="C742" s="64"/>
      <c r="D742" s="70" t="str">
        <f aca="false">IF(C742="","",IFERROR(INDEX(T_NOMBRE,MATCH(C742,T_ID,0)),"⚠ ID no existe"))</f>
        <v/>
      </c>
      <c r="E742" s="69"/>
      <c r="F742" s="69"/>
      <c r="G742" s="69"/>
      <c r="H742" s="69"/>
      <c r="I742" s="66"/>
      <c r="J742" s="69"/>
      <c r="K742" s="67"/>
      <c r="L742" s="67"/>
      <c r="M742" s="67"/>
      <c r="N742" s="67"/>
      <c r="O742" s="64"/>
      <c r="P742" s="72" t="str">
        <f aca="false">IF(OR(B742="",C742=""),"",C742&amp;"|"&amp;(YEAR(B742)*100+MONTH(B742)))</f>
        <v/>
      </c>
      <c r="Q742" s="70" t="str">
        <f aca="false">IF(P742="","",IF(COUNTIF(N_CLAVE,P742)&gt;1,"⚠ Duplicado","OK"))</f>
        <v/>
      </c>
      <c r="R742" s="74" t="str">
        <f aca="false">IF(OR(P742="",U742=""),"",MAX(0,U742-N(E742)-N(F742)-N(H742)))</f>
        <v/>
      </c>
      <c r="S742" s="75" t="str">
        <f aca="false">IF(P742="","",IFERROR(INDEX(T_INGRESO,MATCH(C742,T_ID,0)),""))</f>
        <v/>
      </c>
      <c r="T742" s="75" t="str">
        <f aca="false">IF(P742="","",IFERROR(N(INDEX(T_EGRESO,MATCH(C742,T_ID,0))),0))</f>
        <v/>
      </c>
      <c r="U742" s="73" t="str">
        <f aca="false">IF(OR(P742="",NOT(ISNUMBER(S742))),"",IF(OR(S742&gt;EOMONTH(B742,0),AND(T742&gt;0,T742&lt;B742)),0,IF(AND(S742&lt;=B742,OR(T742=0,T742&gt;=EOMONTH(B742,0))),30,MIN(30,IF(T742=0,EOMONTH(B742,0),MIN(T742,EOMONTH(B742,0)))-MAX(B742,S742)+1))))</f>
        <v/>
      </c>
    </row>
    <row r="743" customFormat="false" ht="15" hidden="false" customHeight="false" outlineLevel="0" collapsed="false">
      <c r="B743" s="78"/>
      <c r="C743" s="64"/>
      <c r="D743" s="70" t="str">
        <f aca="false">IF(C743="","",IFERROR(INDEX(T_NOMBRE,MATCH(C743,T_ID,0)),"⚠ ID no existe"))</f>
        <v/>
      </c>
      <c r="E743" s="69"/>
      <c r="F743" s="69"/>
      <c r="G743" s="69"/>
      <c r="H743" s="69"/>
      <c r="I743" s="66"/>
      <c r="J743" s="69"/>
      <c r="K743" s="67"/>
      <c r="L743" s="67"/>
      <c r="M743" s="67"/>
      <c r="N743" s="67"/>
      <c r="O743" s="64"/>
      <c r="P743" s="72" t="str">
        <f aca="false">IF(OR(B743="",C743=""),"",C743&amp;"|"&amp;(YEAR(B743)*100+MONTH(B743)))</f>
        <v/>
      </c>
      <c r="Q743" s="70" t="str">
        <f aca="false">IF(P743="","",IF(COUNTIF(N_CLAVE,P743)&gt;1,"⚠ Duplicado","OK"))</f>
        <v/>
      </c>
      <c r="R743" s="74" t="str">
        <f aca="false">IF(OR(P743="",U743=""),"",MAX(0,U743-N(E743)-N(F743)-N(H743)))</f>
        <v/>
      </c>
      <c r="S743" s="75" t="str">
        <f aca="false">IF(P743="","",IFERROR(INDEX(T_INGRESO,MATCH(C743,T_ID,0)),""))</f>
        <v/>
      </c>
      <c r="T743" s="75" t="str">
        <f aca="false">IF(P743="","",IFERROR(N(INDEX(T_EGRESO,MATCH(C743,T_ID,0))),0))</f>
        <v/>
      </c>
      <c r="U743" s="73" t="str">
        <f aca="false">IF(OR(P743="",NOT(ISNUMBER(S743))),"",IF(OR(S743&gt;EOMONTH(B743,0),AND(T743&gt;0,T743&lt;B743)),0,IF(AND(S743&lt;=B743,OR(T743=0,T743&gt;=EOMONTH(B743,0))),30,MIN(30,IF(T743=0,EOMONTH(B743,0),MIN(T743,EOMONTH(B743,0)))-MAX(B743,S743)+1))))</f>
        <v/>
      </c>
    </row>
    <row r="744" customFormat="false" ht="15" hidden="false" customHeight="false" outlineLevel="0" collapsed="false">
      <c r="B744" s="78"/>
      <c r="C744" s="64"/>
      <c r="D744" s="70" t="str">
        <f aca="false">IF(C744="","",IFERROR(INDEX(T_NOMBRE,MATCH(C744,T_ID,0)),"⚠ ID no existe"))</f>
        <v/>
      </c>
      <c r="E744" s="69"/>
      <c r="F744" s="69"/>
      <c r="G744" s="69"/>
      <c r="H744" s="69"/>
      <c r="I744" s="66"/>
      <c r="J744" s="69"/>
      <c r="K744" s="67"/>
      <c r="L744" s="67"/>
      <c r="M744" s="67"/>
      <c r="N744" s="67"/>
      <c r="O744" s="64"/>
      <c r="P744" s="72" t="str">
        <f aca="false">IF(OR(B744="",C744=""),"",C744&amp;"|"&amp;(YEAR(B744)*100+MONTH(B744)))</f>
        <v/>
      </c>
      <c r="Q744" s="70" t="str">
        <f aca="false">IF(P744="","",IF(COUNTIF(N_CLAVE,P744)&gt;1,"⚠ Duplicado","OK"))</f>
        <v/>
      </c>
      <c r="R744" s="74" t="str">
        <f aca="false">IF(OR(P744="",U744=""),"",MAX(0,U744-N(E744)-N(F744)-N(H744)))</f>
        <v/>
      </c>
      <c r="S744" s="75" t="str">
        <f aca="false">IF(P744="","",IFERROR(INDEX(T_INGRESO,MATCH(C744,T_ID,0)),""))</f>
        <v/>
      </c>
      <c r="T744" s="75" t="str">
        <f aca="false">IF(P744="","",IFERROR(N(INDEX(T_EGRESO,MATCH(C744,T_ID,0))),0))</f>
        <v/>
      </c>
      <c r="U744" s="73" t="str">
        <f aca="false">IF(OR(P744="",NOT(ISNUMBER(S744))),"",IF(OR(S744&gt;EOMONTH(B744,0),AND(T744&gt;0,T744&lt;B744)),0,IF(AND(S744&lt;=B744,OR(T744=0,T744&gt;=EOMONTH(B744,0))),30,MIN(30,IF(T744=0,EOMONTH(B744,0),MIN(T744,EOMONTH(B744,0)))-MAX(B744,S744)+1))))</f>
        <v/>
      </c>
    </row>
    <row r="745" customFormat="false" ht="15" hidden="false" customHeight="false" outlineLevel="0" collapsed="false">
      <c r="B745" s="78"/>
      <c r="C745" s="64"/>
      <c r="D745" s="70" t="str">
        <f aca="false">IF(C745="","",IFERROR(INDEX(T_NOMBRE,MATCH(C745,T_ID,0)),"⚠ ID no existe"))</f>
        <v/>
      </c>
      <c r="E745" s="69"/>
      <c r="F745" s="69"/>
      <c r="G745" s="69"/>
      <c r="H745" s="69"/>
      <c r="I745" s="66"/>
      <c r="J745" s="69"/>
      <c r="K745" s="67"/>
      <c r="L745" s="67"/>
      <c r="M745" s="67"/>
      <c r="N745" s="67"/>
      <c r="O745" s="64"/>
      <c r="P745" s="72" t="str">
        <f aca="false">IF(OR(B745="",C745=""),"",C745&amp;"|"&amp;(YEAR(B745)*100+MONTH(B745)))</f>
        <v/>
      </c>
      <c r="Q745" s="70" t="str">
        <f aca="false">IF(P745="","",IF(COUNTIF(N_CLAVE,P745)&gt;1,"⚠ Duplicado","OK"))</f>
        <v/>
      </c>
      <c r="R745" s="74" t="str">
        <f aca="false">IF(OR(P745="",U745=""),"",MAX(0,U745-N(E745)-N(F745)-N(H745)))</f>
        <v/>
      </c>
      <c r="S745" s="75" t="str">
        <f aca="false">IF(P745="","",IFERROR(INDEX(T_INGRESO,MATCH(C745,T_ID,0)),""))</f>
        <v/>
      </c>
      <c r="T745" s="75" t="str">
        <f aca="false">IF(P745="","",IFERROR(N(INDEX(T_EGRESO,MATCH(C745,T_ID,0))),0))</f>
        <v/>
      </c>
      <c r="U745" s="73" t="str">
        <f aca="false">IF(OR(P745="",NOT(ISNUMBER(S745))),"",IF(OR(S745&gt;EOMONTH(B745,0),AND(T745&gt;0,T745&lt;B745)),0,IF(AND(S745&lt;=B745,OR(T745=0,T745&gt;=EOMONTH(B745,0))),30,MIN(30,IF(T745=0,EOMONTH(B745,0),MIN(T745,EOMONTH(B745,0)))-MAX(B745,S745)+1))))</f>
        <v/>
      </c>
    </row>
    <row r="746" customFormat="false" ht="15" hidden="false" customHeight="false" outlineLevel="0" collapsed="false">
      <c r="B746" s="78"/>
      <c r="C746" s="64"/>
      <c r="D746" s="70" t="str">
        <f aca="false">IF(C746="","",IFERROR(INDEX(T_NOMBRE,MATCH(C746,T_ID,0)),"⚠ ID no existe"))</f>
        <v/>
      </c>
      <c r="E746" s="69"/>
      <c r="F746" s="69"/>
      <c r="G746" s="69"/>
      <c r="H746" s="69"/>
      <c r="I746" s="66"/>
      <c r="J746" s="69"/>
      <c r="K746" s="67"/>
      <c r="L746" s="67"/>
      <c r="M746" s="67"/>
      <c r="N746" s="67"/>
      <c r="O746" s="64"/>
      <c r="P746" s="72" t="str">
        <f aca="false">IF(OR(B746="",C746=""),"",C746&amp;"|"&amp;(YEAR(B746)*100+MONTH(B746)))</f>
        <v/>
      </c>
      <c r="Q746" s="70" t="str">
        <f aca="false">IF(P746="","",IF(COUNTIF(N_CLAVE,P746)&gt;1,"⚠ Duplicado","OK"))</f>
        <v/>
      </c>
      <c r="R746" s="74" t="str">
        <f aca="false">IF(OR(P746="",U746=""),"",MAX(0,U746-N(E746)-N(F746)-N(H746)))</f>
        <v/>
      </c>
      <c r="S746" s="75" t="str">
        <f aca="false">IF(P746="","",IFERROR(INDEX(T_INGRESO,MATCH(C746,T_ID,0)),""))</f>
        <v/>
      </c>
      <c r="T746" s="75" t="str">
        <f aca="false">IF(P746="","",IFERROR(N(INDEX(T_EGRESO,MATCH(C746,T_ID,0))),0))</f>
        <v/>
      </c>
      <c r="U746" s="73" t="str">
        <f aca="false">IF(OR(P746="",NOT(ISNUMBER(S746))),"",IF(OR(S746&gt;EOMONTH(B746,0),AND(T746&gt;0,T746&lt;B746)),0,IF(AND(S746&lt;=B746,OR(T746=0,T746&gt;=EOMONTH(B746,0))),30,MIN(30,IF(T746=0,EOMONTH(B746,0),MIN(T746,EOMONTH(B746,0)))-MAX(B746,S746)+1))))</f>
        <v/>
      </c>
    </row>
    <row r="747" customFormat="false" ht="15" hidden="false" customHeight="false" outlineLevel="0" collapsed="false">
      <c r="B747" s="78"/>
      <c r="C747" s="64"/>
      <c r="D747" s="70" t="str">
        <f aca="false">IF(C747="","",IFERROR(INDEX(T_NOMBRE,MATCH(C747,T_ID,0)),"⚠ ID no existe"))</f>
        <v/>
      </c>
      <c r="E747" s="69"/>
      <c r="F747" s="69"/>
      <c r="G747" s="69"/>
      <c r="H747" s="69"/>
      <c r="I747" s="66"/>
      <c r="J747" s="69"/>
      <c r="K747" s="67"/>
      <c r="L747" s="67"/>
      <c r="M747" s="67"/>
      <c r="N747" s="67"/>
      <c r="O747" s="64"/>
      <c r="P747" s="72" t="str">
        <f aca="false">IF(OR(B747="",C747=""),"",C747&amp;"|"&amp;(YEAR(B747)*100+MONTH(B747)))</f>
        <v/>
      </c>
      <c r="Q747" s="70" t="str">
        <f aca="false">IF(P747="","",IF(COUNTIF(N_CLAVE,P747)&gt;1,"⚠ Duplicado","OK"))</f>
        <v/>
      </c>
      <c r="R747" s="74" t="str">
        <f aca="false">IF(OR(P747="",U747=""),"",MAX(0,U747-N(E747)-N(F747)-N(H747)))</f>
        <v/>
      </c>
      <c r="S747" s="75" t="str">
        <f aca="false">IF(P747="","",IFERROR(INDEX(T_INGRESO,MATCH(C747,T_ID,0)),""))</f>
        <v/>
      </c>
      <c r="T747" s="75" t="str">
        <f aca="false">IF(P747="","",IFERROR(N(INDEX(T_EGRESO,MATCH(C747,T_ID,0))),0))</f>
        <v/>
      </c>
      <c r="U747" s="73" t="str">
        <f aca="false">IF(OR(P747="",NOT(ISNUMBER(S747))),"",IF(OR(S747&gt;EOMONTH(B747,0),AND(T747&gt;0,T747&lt;B747)),0,IF(AND(S747&lt;=B747,OR(T747=0,T747&gt;=EOMONTH(B747,0))),30,MIN(30,IF(T747=0,EOMONTH(B747,0),MIN(T747,EOMONTH(B747,0)))-MAX(B747,S747)+1))))</f>
        <v/>
      </c>
    </row>
    <row r="748" customFormat="false" ht="15" hidden="false" customHeight="false" outlineLevel="0" collapsed="false">
      <c r="B748" s="78"/>
      <c r="C748" s="64"/>
      <c r="D748" s="70" t="str">
        <f aca="false">IF(C748="","",IFERROR(INDEX(T_NOMBRE,MATCH(C748,T_ID,0)),"⚠ ID no existe"))</f>
        <v/>
      </c>
      <c r="E748" s="69"/>
      <c r="F748" s="69"/>
      <c r="G748" s="69"/>
      <c r="H748" s="69"/>
      <c r="I748" s="66"/>
      <c r="J748" s="69"/>
      <c r="K748" s="67"/>
      <c r="L748" s="67"/>
      <c r="M748" s="67"/>
      <c r="N748" s="67"/>
      <c r="O748" s="64"/>
      <c r="P748" s="72" t="str">
        <f aca="false">IF(OR(B748="",C748=""),"",C748&amp;"|"&amp;(YEAR(B748)*100+MONTH(B748)))</f>
        <v/>
      </c>
      <c r="Q748" s="70" t="str">
        <f aca="false">IF(P748="","",IF(COUNTIF(N_CLAVE,P748)&gt;1,"⚠ Duplicado","OK"))</f>
        <v/>
      </c>
      <c r="R748" s="74" t="str">
        <f aca="false">IF(OR(P748="",U748=""),"",MAX(0,U748-N(E748)-N(F748)-N(H748)))</f>
        <v/>
      </c>
      <c r="S748" s="75" t="str">
        <f aca="false">IF(P748="","",IFERROR(INDEX(T_INGRESO,MATCH(C748,T_ID,0)),""))</f>
        <v/>
      </c>
      <c r="T748" s="75" t="str">
        <f aca="false">IF(P748="","",IFERROR(N(INDEX(T_EGRESO,MATCH(C748,T_ID,0))),0))</f>
        <v/>
      </c>
      <c r="U748" s="73" t="str">
        <f aca="false">IF(OR(P748="",NOT(ISNUMBER(S748))),"",IF(OR(S748&gt;EOMONTH(B748,0),AND(T748&gt;0,T748&lt;B748)),0,IF(AND(S748&lt;=B748,OR(T748=0,T748&gt;=EOMONTH(B748,0))),30,MIN(30,IF(T748=0,EOMONTH(B748,0),MIN(T748,EOMONTH(B748,0)))-MAX(B748,S748)+1))))</f>
        <v/>
      </c>
    </row>
    <row r="749" customFormat="false" ht="15" hidden="false" customHeight="false" outlineLevel="0" collapsed="false">
      <c r="B749" s="78"/>
      <c r="C749" s="64"/>
      <c r="D749" s="70" t="str">
        <f aca="false">IF(C749="","",IFERROR(INDEX(T_NOMBRE,MATCH(C749,T_ID,0)),"⚠ ID no existe"))</f>
        <v/>
      </c>
      <c r="E749" s="69"/>
      <c r="F749" s="69"/>
      <c r="G749" s="69"/>
      <c r="H749" s="69"/>
      <c r="I749" s="66"/>
      <c r="J749" s="69"/>
      <c r="K749" s="67"/>
      <c r="L749" s="67"/>
      <c r="M749" s="67"/>
      <c r="N749" s="67"/>
      <c r="O749" s="64"/>
      <c r="P749" s="72" t="str">
        <f aca="false">IF(OR(B749="",C749=""),"",C749&amp;"|"&amp;(YEAR(B749)*100+MONTH(B749)))</f>
        <v/>
      </c>
      <c r="Q749" s="70" t="str">
        <f aca="false">IF(P749="","",IF(COUNTIF(N_CLAVE,P749)&gt;1,"⚠ Duplicado","OK"))</f>
        <v/>
      </c>
      <c r="R749" s="74" t="str">
        <f aca="false">IF(OR(P749="",U749=""),"",MAX(0,U749-N(E749)-N(F749)-N(H749)))</f>
        <v/>
      </c>
      <c r="S749" s="75" t="str">
        <f aca="false">IF(P749="","",IFERROR(INDEX(T_INGRESO,MATCH(C749,T_ID,0)),""))</f>
        <v/>
      </c>
      <c r="T749" s="75" t="str">
        <f aca="false">IF(P749="","",IFERROR(N(INDEX(T_EGRESO,MATCH(C749,T_ID,0))),0))</f>
        <v/>
      </c>
      <c r="U749" s="73" t="str">
        <f aca="false">IF(OR(P749="",NOT(ISNUMBER(S749))),"",IF(OR(S749&gt;EOMONTH(B749,0),AND(T749&gt;0,T749&lt;B749)),0,IF(AND(S749&lt;=B749,OR(T749=0,T749&gt;=EOMONTH(B749,0))),30,MIN(30,IF(T749=0,EOMONTH(B749,0),MIN(T749,EOMONTH(B749,0)))-MAX(B749,S749)+1))))</f>
        <v/>
      </c>
    </row>
    <row r="750" customFormat="false" ht="15" hidden="false" customHeight="false" outlineLevel="0" collapsed="false">
      <c r="B750" s="78"/>
      <c r="C750" s="64"/>
      <c r="D750" s="70" t="str">
        <f aca="false">IF(C750="","",IFERROR(INDEX(T_NOMBRE,MATCH(C750,T_ID,0)),"⚠ ID no existe"))</f>
        <v/>
      </c>
      <c r="E750" s="69"/>
      <c r="F750" s="69"/>
      <c r="G750" s="69"/>
      <c r="H750" s="69"/>
      <c r="I750" s="66"/>
      <c r="J750" s="69"/>
      <c r="K750" s="67"/>
      <c r="L750" s="67"/>
      <c r="M750" s="67"/>
      <c r="N750" s="67"/>
      <c r="O750" s="64"/>
      <c r="P750" s="72" t="str">
        <f aca="false">IF(OR(B750="",C750=""),"",C750&amp;"|"&amp;(YEAR(B750)*100+MONTH(B750)))</f>
        <v/>
      </c>
      <c r="Q750" s="70" t="str">
        <f aca="false">IF(P750="","",IF(COUNTIF(N_CLAVE,P750)&gt;1,"⚠ Duplicado","OK"))</f>
        <v/>
      </c>
      <c r="R750" s="74" t="str">
        <f aca="false">IF(OR(P750="",U750=""),"",MAX(0,U750-N(E750)-N(F750)-N(H750)))</f>
        <v/>
      </c>
      <c r="S750" s="75" t="str">
        <f aca="false">IF(P750="","",IFERROR(INDEX(T_INGRESO,MATCH(C750,T_ID,0)),""))</f>
        <v/>
      </c>
      <c r="T750" s="75" t="str">
        <f aca="false">IF(P750="","",IFERROR(N(INDEX(T_EGRESO,MATCH(C750,T_ID,0))),0))</f>
        <v/>
      </c>
      <c r="U750" s="73" t="str">
        <f aca="false">IF(OR(P750="",NOT(ISNUMBER(S750))),"",IF(OR(S750&gt;EOMONTH(B750,0),AND(T750&gt;0,T750&lt;B750)),0,IF(AND(S750&lt;=B750,OR(T750=0,T750&gt;=EOMONTH(B750,0))),30,MIN(30,IF(T750=0,EOMONTH(B750,0),MIN(T750,EOMONTH(B750,0)))-MAX(B750,S750)+1))))</f>
        <v/>
      </c>
    </row>
    <row r="751" customFormat="false" ht="15" hidden="false" customHeight="false" outlineLevel="0" collapsed="false">
      <c r="B751" s="78"/>
      <c r="C751" s="64"/>
      <c r="D751" s="70" t="str">
        <f aca="false">IF(C751="","",IFERROR(INDEX(T_NOMBRE,MATCH(C751,T_ID,0)),"⚠ ID no existe"))</f>
        <v/>
      </c>
      <c r="E751" s="69"/>
      <c r="F751" s="69"/>
      <c r="G751" s="69"/>
      <c r="H751" s="69"/>
      <c r="I751" s="66"/>
      <c r="J751" s="69"/>
      <c r="K751" s="67"/>
      <c r="L751" s="67"/>
      <c r="M751" s="67"/>
      <c r="N751" s="67"/>
      <c r="O751" s="64"/>
      <c r="P751" s="72" t="str">
        <f aca="false">IF(OR(B751="",C751=""),"",C751&amp;"|"&amp;(YEAR(B751)*100+MONTH(B751)))</f>
        <v/>
      </c>
      <c r="Q751" s="70" t="str">
        <f aca="false">IF(P751="","",IF(COUNTIF(N_CLAVE,P751)&gt;1,"⚠ Duplicado","OK"))</f>
        <v/>
      </c>
      <c r="R751" s="74" t="str">
        <f aca="false">IF(OR(P751="",U751=""),"",MAX(0,U751-N(E751)-N(F751)-N(H751)))</f>
        <v/>
      </c>
      <c r="S751" s="75" t="str">
        <f aca="false">IF(P751="","",IFERROR(INDEX(T_INGRESO,MATCH(C751,T_ID,0)),""))</f>
        <v/>
      </c>
      <c r="T751" s="75" t="str">
        <f aca="false">IF(P751="","",IFERROR(N(INDEX(T_EGRESO,MATCH(C751,T_ID,0))),0))</f>
        <v/>
      </c>
      <c r="U751" s="73" t="str">
        <f aca="false">IF(OR(P751="",NOT(ISNUMBER(S751))),"",IF(OR(S751&gt;EOMONTH(B751,0),AND(T751&gt;0,T751&lt;B751)),0,IF(AND(S751&lt;=B751,OR(T751=0,T751&gt;=EOMONTH(B751,0))),30,MIN(30,IF(T751=0,EOMONTH(B751,0),MIN(T751,EOMONTH(B751,0)))-MAX(B751,S751)+1))))</f>
        <v/>
      </c>
    </row>
    <row r="752" customFormat="false" ht="15" hidden="false" customHeight="false" outlineLevel="0" collapsed="false">
      <c r="B752" s="78"/>
      <c r="C752" s="64"/>
      <c r="D752" s="70" t="str">
        <f aca="false">IF(C752="","",IFERROR(INDEX(T_NOMBRE,MATCH(C752,T_ID,0)),"⚠ ID no existe"))</f>
        <v/>
      </c>
      <c r="E752" s="69"/>
      <c r="F752" s="69"/>
      <c r="G752" s="69"/>
      <c r="H752" s="69"/>
      <c r="I752" s="66"/>
      <c r="J752" s="69"/>
      <c r="K752" s="67"/>
      <c r="L752" s="67"/>
      <c r="M752" s="67"/>
      <c r="N752" s="67"/>
      <c r="O752" s="64"/>
      <c r="P752" s="72" t="str">
        <f aca="false">IF(OR(B752="",C752=""),"",C752&amp;"|"&amp;(YEAR(B752)*100+MONTH(B752)))</f>
        <v/>
      </c>
      <c r="Q752" s="70" t="str">
        <f aca="false">IF(P752="","",IF(COUNTIF(N_CLAVE,P752)&gt;1,"⚠ Duplicado","OK"))</f>
        <v/>
      </c>
      <c r="R752" s="74" t="str">
        <f aca="false">IF(OR(P752="",U752=""),"",MAX(0,U752-N(E752)-N(F752)-N(H752)))</f>
        <v/>
      </c>
      <c r="S752" s="75" t="str">
        <f aca="false">IF(P752="","",IFERROR(INDEX(T_INGRESO,MATCH(C752,T_ID,0)),""))</f>
        <v/>
      </c>
      <c r="T752" s="75" t="str">
        <f aca="false">IF(P752="","",IFERROR(N(INDEX(T_EGRESO,MATCH(C752,T_ID,0))),0))</f>
        <v/>
      </c>
      <c r="U752" s="73" t="str">
        <f aca="false">IF(OR(P752="",NOT(ISNUMBER(S752))),"",IF(OR(S752&gt;EOMONTH(B752,0),AND(T752&gt;0,T752&lt;B752)),0,IF(AND(S752&lt;=B752,OR(T752=0,T752&gt;=EOMONTH(B752,0))),30,MIN(30,IF(T752=0,EOMONTH(B752,0),MIN(T752,EOMONTH(B752,0)))-MAX(B752,S752)+1))))</f>
        <v/>
      </c>
    </row>
    <row r="753" customFormat="false" ht="15" hidden="false" customHeight="false" outlineLevel="0" collapsed="false">
      <c r="B753" s="78"/>
      <c r="C753" s="64"/>
      <c r="D753" s="70" t="str">
        <f aca="false">IF(C753="","",IFERROR(INDEX(T_NOMBRE,MATCH(C753,T_ID,0)),"⚠ ID no existe"))</f>
        <v/>
      </c>
      <c r="E753" s="69"/>
      <c r="F753" s="69"/>
      <c r="G753" s="69"/>
      <c r="H753" s="69"/>
      <c r="I753" s="66"/>
      <c r="J753" s="69"/>
      <c r="K753" s="67"/>
      <c r="L753" s="67"/>
      <c r="M753" s="67"/>
      <c r="N753" s="67"/>
      <c r="O753" s="64"/>
      <c r="P753" s="72" t="str">
        <f aca="false">IF(OR(B753="",C753=""),"",C753&amp;"|"&amp;(YEAR(B753)*100+MONTH(B753)))</f>
        <v/>
      </c>
      <c r="Q753" s="70" t="str">
        <f aca="false">IF(P753="","",IF(COUNTIF(N_CLAVE,P753)&gt;1,"⚠ Duplicado","OK"))</f>
        <v/>
      </c>
      <c r="R753" s="74" t="str">
        <f aca="false">IF(OR(P753="",U753=""),"",MAX(0,U753-N(E753)-N(F753)-N(H753)))</f>
        <v/>
      </c>
      <c r="S753" s="75" t="str">
        <f aca="false">IF(P753="","",IFERROR(INDEX(T_INGRESO,MATCH(C753,T_ID,0)),""))</f>
        <v/>
      </c>
      <c r="T753" s="75" t="str">
        <f aca="false">IF(P753="","",IFERROR(N(INDEX(T_EGRESO,MATCH(C753,T_ID,0))),0))</f>
        <v/>
      </c>
      <c r="U753" s="73" t="str">
        <f aca="false">IF(OR(P753="",NOT(ISNUMBER(S753))),"",IF(OR(S753&gt;EOMONTH(B753,0),AND(T753&gt;0,T753&lt;B753)),0,IF(AND(S753&lt;=B753,OR(T753=0,T753&gt;=EOMONTH(B753,0))),30,MIN(30,IF(T753=0,EOMONTH(B753,0),MIN(T753,EOMONTH(B753,0)))-MAX(B753,S753)+1))))</f>
        <v/>
      </c>
    </row>
    <row r="754" customFormat="false" ht="15" hidden="false" customHeight="false" outlineLevel="0" collapsed="false">
      <c r="B754" s="78"/>
      <c r="C754" s="64"/>
      <c r="D754" s="70" t="str">
        <f aca="false">IF(C754="","",IFERROR(INDEX(T_NOMBRE,MATCH(C754,T_ID,0)),"⚠ ID no existe"))</f>
        <v/>
      </c>
      <c r="E754" s="69"/>
      <c r="F754" s="69"/>
      <c r="G754" s="69"/>
      <c r="H754" s="69"/>
      <c r="I754" s="66"/>
      <c r="J754" s="69"/>
      <c r="K754" s="67"/>
      <c r="L754" s="67"/>
      <c r="M754" s="67"/>
      <c r="N754" s="67"/>
      <c r="O754" s="64"/>
      <c r="P754" s="72" t="str">
        <f aca="false">IF(OR(B754="",C754=""),"",C754&amp;"|"&amp;(YEAR(B754)*100+MONTH(B754)))</f>
        <v/>
      </c>
      <c r="Q754" s="70" t="str">
        <f aca="false">IF(P754="","",IF(COUNTIF(N_CLAVE,P754)&gt;1,"⚠ Duplicado","OK"))</f>
        <v/>
      </c>
      <c r="R754" s="74" t="str">
        <f aca="false">IF(OR(P754="",U754=""),"",MAX(0,U754-N(E754)-N(F754)-N(H754)))</f>
        <v/>
      </c>
      <c r="S754" s="75" t="str">
        <f aca="false">IF(P754="","",IFERROR(INDEX(T_INGRESO,MATCH(C754,T_ID,0)),""))</f>
        <v/>
      </c>
      <c r="T754" s="75" t="str">
        <f aca="false">IF(P754="","",IFERROR(N(INDEX(T_EGRESO,MATCH(C754,T_ID,0))),0))</f>
        <v/>
      </c>
      <c r="U754" s="73" t="str">
        <f aca="false">IF(OR(P754="",NOT(ISNUMBER(S754))),"",IF(OR(S754&gt;EOMONTH(B754,0),AND(T754&gt;0,T754&lt;B754)),0,IF(AND(S754&lt;=B754,OR(T754=0,T754&gt;=EOMONTH(B754,0))),30,MIN(30,IF(T754=0,EOMONTH(B754,0),MIN(T754,EOMONTH(B754,0)))-MAX(B754,S754)+1))))</f>
        <v/>
      </c>
    </row>
    <row r="755" customFormat="false" ht="15" hidden="false" customHeight="false" outlineLevel="0" collapsed="false">
      <c r="B755" s="78"/>
      <c r="C755" s="64"/>
      <c r="D755" s="70" t="str">
        <f aca="false">IF(C755="","",IFERROR(INDEX(T_NOMBRE,MATCH(C755,T_ID,0)),"⚠ ID no existe"))</f>
        <v/>
      </c>
      <c r="E755" s="69"/>
      <c r="F755" s="69"/>
      <c r="G755" s="69"/>
      <c r="H755" s="69"/>
      <c r="I755" s="66"/>
      <c r="J755" s="69"/>
      <c r="K755" s="67"/>
      <c r="L755" s="67"/>
      <c r="M755" s="67"/>
      <c r="N755" s="67"/>
      <c r="O755" s="64"/>
      <c r="P755" s="72" t="str">
        <f aca="false">IF(OR(B755="",C755=""),"",C755&amp;"|"&amp;(YEAR(B755)*100+MONTH(B755)))</f>
        <v/>
      </c>
      <c r="Q755" s="70" t="str">
        <f aca="false">IF(P755="","",IF(COUNTIF(N_CLAVE,P755)&gt;1,"⚠ Duplicado","OK"))</f>
        <v/>
      </c>
      <c r="R755" s="74" t="str">
        <f aca="false">IF(OR(P755="",U755=""),"",MAX(0,U755-N(E755)-N(F755)-N(H755)))</f>
        <v/>
      </c>
      <c r="S755" s="75" t="str">
        <f aca="false">IF(P755="","",IFERROR(INDEX(T_INGRESO,MATCH(C755,T_ID,0)),""))</f>
        <v/>
      </c>
      <c r="T755" s="75" t="str">
        <f aca="false">IF(P755="","",IFERROR(N(INDEX(T_EGRESO,MATCH(C755,T_ID,0))),0))</f>
        <v/>
      </c>
      <c r="U755" s="73" t="str">
        <f aca="false">IF(OR(P755="",NOT(ISNUMBER(S755))),"",IF(OR(S755&gt;EOMONTH(B755,0),AND(T755&gt;0,T755&lt;B755)),0,IF(AND(S755&lt;=B755,OR(T755=0,T755&gt;=EOMONTH(B755,0))),30,MIN(30,IF(T755=0,EOMONTH(B755,0),MIN(T755,EOMONTH(B755,0)))-MAX(B755,S755)+1))))</f>
        <v/>
      </c>
    </row>
    <row r="756" customFormat="false" ht="15" hidden="false" customHeight="false" outlineLevel="0" collapsed="false">
      <c r="B756" s="78"/>
      <c r="C756" s="64"/>
      <c r="D756" s="70" t="str">
        <f aca="false">IF(C756="","",IFERROR(INDEX(T_NOMBRE,MATCH(C756,T_ID,0)),"⚠ ID no existe"))</f>
        <v/>
      </c>
      <c r="E756" s="69"/>
      <c r="F756" s="69"/>
      <c r="G756" s="69"/>
      <c r="H756" s="69"/>
      <c r="I756" s="66"/>
      <c r="J756" s="69"/>
      <c r="K756" s="67"/>
      <c r="L756" s="67"/>
      <c r="M756" s="67"/>
      <c r="N756" s="67"/>
      <c r="O756" s="64"/>
      <c r="P756" s="72" t="str">
        <f aca="false">IF(OR(B756="",C756=""),"",C756&amp;"|"&amp;(YEAR(B756)*100+MONTH(B756)))</f>
        <v/>
      </c>
      <c r="Q756" s="70" t="str">
        <f aca="false">IF(P756="","",IF(COUNTIF(N_CLAVE,P756)&gt;1,"⚠ Duplicado","OK"))</f>
        <v/>
      </c>
      <c r="R756" s="74" t="str">
        <f aca="false">IF(OR(P756="",U756=""),"",MAX(0,U756-N(E756)-N(F756)-N(H756)))</f>
        <v/>
      </c>
      <c r="S756" s="75" t="str">
        <f aca="false">IF(P756="","",IFERROR(INDEX(T_INGRESO,MATCH(C756,T_ID,0)),""))</f>
        <v/>
      </c>
      <c r="T756" s="75" t="str">
        <f aca="false">IF(P756="","",IFERROR(N(INDEX(T_EGRESO,MATCH(C756,T_ID,0))),0))</f>
        <v/>
      </c>
      <c r="U756" s="73" t="str">
        <f aca="false">IF(OR(P756="",NOT(ISNUMBER(S756))),"",IF(OR(S756&gt;EOMONTH(B756,0),AND(T756&gt;0,T756&lt;B756)),0,IF(AND(S756&lt;=B756,OR(T756=0,T756&gt;=EOMONTH(B756,0))),30,MIN(30,IF(T756=0,EOMONTH(B756,0),MIN(T756,EOMONTH(B756,0)))-MAX(B756,S756)+1))))</f>
        <v/>
      </c>
    </row>
    <row r="757" customFormat="false" ht="15" hidden="false" customHeight="false" outlineLevel="0" collapsed="false">
      <c r="B757" s="78"/>
      <c r="C757" s="64"/>
      <c r="D757" s="70" t="str">
        <f aca="false">IF(C757="","",IFERROR(INDEX(T_NOMBRE,MATCH(C757,T_ID,0)),"⚠ ID no existe"))</f>
        <v/>
      </c>
      <c r="E757" s="69"/>
      <c r="F757" s="69"/>
      <c r="G757" s="69"/>
      <c r="H757" s="69"/>
      <c r="I757" s="66"/>
      <c r="J757" s="69"/>
      <c r="K757" s="67"/>
      <c r="L757" s="67"/>
      <c r="M757" s="67"/>
      <c r="N757" s="67"/>
      <c r="O757" s="64"/>
      <c r="P757" s="72" t="str">
        <f aca="false">IF(OR(B757="",C757=""),"",C757&amp;"|"&amp;(YEAR(B757)*100+MONTH(B757)))</f>
        <v/>
      </c>
      <c r="Q757" s="70" t="str">
        <f aca="false">IF(P757="","",IF(COUNTIF(N_CLAVE,P757)&gt;1,"⚠ Duplicado","OK"))</f>
        <v/>
      </c>
      <c r="R757" s="74" t="str">
        <f aca="false">IF(OR(P757="",U757=""),"",MAX(0,U757-N(E757)-N(F757)-N(H757)))</f>
        <v/>
      </c>
      <c r="S757" s="75" t="str">
        <f aca="false">IF(P757="","",IFERROR(INDEX(T_INGRESO,MATCH(C757,T_ID,0)),""))</f>
        <v/>
      </c>
      <c r="T757" s="75" t="str">
        <f aca="false">IF(P757="","",IFERROR(N(INDEX(T_EGRESO,MATCH(C757,T_ID,0))),0))</f>
        <v/>
      </c>
      <c r="U757" s="73" t="str">
        <f aca="false">IF(OR(P757="",NOT(ISNUMBER(S757))),"",IF(OR(S757&gt;EOMONTH(B757,0),AND(T757&gt;0,T757&lt;B757)),0,IF(AND(S757&lt;=B757,OR(T757=0,T757&gt;=EOMONTH(B757,0))),30,MIN(30,IF(T757=0,EOMONTH(B757,0),MIN(T757,EOMONTH(B757,0)))-MAX(B757,S757)+1))))</f>
        <v/>
      </c>
    </row>
    <row r="758" customFormat="false" ht="15" hidden="false" customHeight="false" outlineLevel="0" collapsed="false">
      <c r="B758" s="78"/>
      <c r="C758" s="64"/>
      <c r="D758" s="70" t="str">
        <f aca="false">IF(C758="","",IFERROR(INDEX(T_NOMBRE,MATCH(C758,T_ID,0)),"⚠ ID no existe"))</f>
        <v/>
      </c>
      <c r="E758" s="69"/>
      <c r="F758" s="69"/>
      <c r="G758" s="69"/>
      <c r="H758" s="69"/>
      <c r="I758" s="66"/>
      <c r="J758" s="69"/>
      <c r="K758" s="67"/>
      <c r="L758" s="67"/>
      <c r="M758" s="67"/>
      <c r="N758" s="67"/>
      <c r="O758" s="64"/>
      <c r="P758" s="72" t="str">
        <f aca="false">IF(OR(B758="",C758=""),"",C758&amp;"|"&amp;(YEAR(B758)*100+MONTH(B758)))</f>
        <v/>
      </c>
      <c r="Q758" s="70" t="str">
        <f aca="false">IF(P758="","",IF(COUNTIF(N_CLAVE,P758)&gt;1,"⚠ Duplicado","OK"))</f>
        <v/>
      </c>
      <c r="R758" s="74" t="str">
        <f aca="false">IF(OR(P758="",U758=""),"",MAX(0,U758-N(E758)-N(F758)-N(H758)))</f>
        <v/>
      </c>
      <c r="S758" s="75" t="str">
        <f aca="false">IF(P758="","",IFERROR(INDEX(T_INGRESO,MATCH(C758,T_ID,0)),""))</f>
        <v/>
      </c>
      <c r="T758" s="75" t="str">
        <f aca="false">IF(P758="","",IFERROR(N(INDEX(T_EGRESO,MATCH(C758,T_ID,0))),0))</f>
        <v/>
      </c>
      <c r="U758" s="73" t="str">
        <f aca="false">IF(OR(P758="",NOT(ISNUMBER(S758))),"",IF(OR(S758&gt;EOMONTH(B758,0),AND(T758&gt;0,T758&lt;B758)),0,IF(AND(S758&lt;=B758,OR(T758=0,T758&gt;=EOMONTH(B758,0))),30,MIN(30,IF(T758=0,EOMONTH(B758,0),MIN(T758,EOMONTH(B758,0)))-MAX(B758,S758)+1))))</f>
        <v/>
      </c>
    </row>
    <row r="759" customFormat="false" ht="15" hidden="false" customHeight="false" outlineLevel="0" collapsed="false">
      <c r="B759" s="78"/>
      <c r="C759" s="64"/>
      <c r="D759" s="70" t="str">
        <f aca="false">IF(C759="","",IFERROR(INDEX(T_NOMBRE,MATCH(C759,T_ID,0)),"⚠ ID no existe"))</f>
        <v/>
      </c>
      <c r="E759" s="69"/>
      <c r="F759" s="69"/>
      <c r="G759" s="69"/>
      <c r="H759" s="69"/>
      <c r="I759" s="66"/>
      <c r="J759" s="69"/>
      <c r="K759" s="67"/>
      <c r="L759" s="67"/>
      <c r="M759" s="67"/>
      <c r="N759" s="67"/>
      <c r="O759" s="64"/>
      <c r="P759" s="72" t="str">
        <f aca="false">IF(OR(B759="",C759=""),"",C759&amp;"|"&amp;(YEAR(B759)*100+MONTH(B759)))</f>
        <v/>
      </c>
      <c r="Q759" s="70" t="str">
        <f aca="false">IF(P759="","",IF(COUNTIF(N_CLAVE,P759)&gt;1,"⚠ Duplicado","OK"))</f>
        <v/>
      </c>
      <c r="R759" s="74" t="str">
        <f aca="false">IF(OR(P759="",U759=""),"",MAX(0,U759-N(E759)-N(F759)-N(H759)))</f>
        <v/>
      </c>
      <c r="S759" s="75" t="str">
        <f aca="false">IF(P759="","",IFERROR(INDEX(T_INGRESO,MATCH(C759,T_ID,0)),""))</f>
        <v/>
      </c>
      <c r="T759" s="75" t="str">
        <f aca="false">IF(P759="","",IFERROR(N(INDEX(T_EGRESO,MATCH(C759,T_ID,0))),0))</f>
        <v/>
      </c>
      <c r="U759" s="73" t="str">
        <f aca="false">IF(OR(P759="",NOT(ISNUMBER(S759))),"",IF(OR(S759&gt;EOMONTH(B759,0),AND(T759&gt;0,T759&lt;B759)),0,IF(AND(S759&lt;=B759,OR(T759=0,T759&gt;=EOMONTH(B759,0))),30,MIN(30,IF(T759=0,EOMONTH(B759,0),MIN(T759,EOMONTH(B759,0)))-MAX(B759,S759)+1))))</f>
        <v/>
      </c>
    </row>
    <row r="760" customFormat="false" ht="15" hidden="false" customHeight="false" outlineLevel="0" collapsed="false">
      <c r="B760" s="78"/>
      <c r="C760" s="64"/>
      <c r="D760" s="70" t="str">
        <f aca="false">IF(C760="","",IFERROR(INDEX(T_NOMBRE,MATCH(C760,T_ID,0)),"⚠ ID no existe"))</f>
        <v/>
      </c>
      <c r="E760" s="69"/>
      <c r="F760" s="69"/>
      <c r="G760" s="69"/>
      <c r="H760" s="69"/>
      <c r="I760" s="66"/>
      <c r="J760" s="69"/>
      <c r="K760" s="67"/>
      <c r="L760" s="67"/>
      <c r="M760" s="67"/>
      <c r="N760" s="67"/>
      <c r="O760" s="64"/>
      <c r="P760" s="72" t="str">
        <f aca="false">IF(OR(B760="",C760=""),"",C760&amp;"|"&amp;(YEAR(B760)*100+MONTH(B760)))</f>
        <v/>
      </c>
      <c r="Q760" s="70" t="str">
        <f aca="false">IF(P760="","",IF(COUNTIF(N_CLAVE,P760)&gt;1,"⚠ Duplicado","OK"))</f>
        <v/>
      </c>
      <c r="R760" s="74" t="str">
        <f aca="false">IF(OR(P760="",U760=""),"",MAX(0,U760-N(E760)-N(F760)-N(H760)))</f>
        <v/>
      </c>
      <c r="S760" s="75" t="str">
        <f aca="false">IF(P760="","",IFERROR(INDEX(T_INGRESO,MATCH(C760,T_ID,0)),""))</f>
        <v/>
      </c>
      <c r="T760" s="75" t="str">
        <f aca="false">IF(P760="","",IFERROR(N(INDEX(T_EGRESO,MATCH(C760,T_ID,0))),0))</f>
        <v/>
      </c>
      <c r="U760" s="73" t="str">
        <f aca="false">IF(OR(P760="",NOT(ISNUMBER(S760))),"",IF(OR(S760&gt;EOMONTH(B760,0),AND(T760&gt;0,T760&lt;B760)),0,IF(AND(S760&lt;=B760,OR(T760=0,T760&gt;=EOMONTH(B760,0))),30,MIN(30,IF(T760=0,EOMONTH(B760,0),MIN(T760,EOMONTH(B760,0)))-MAX(B760,S760)+1))))</f>
        <v/>
      </c>
    </row>
    <row r="761" customFormat="false" ht="15" hidden="false" customHeight="false" outlineLevel="0" collapsed="false">
      <c r="B761" s="78"/>
      <c r="C761" s="64"/>
      <c r="D761" s="70" t="str">
        <f aca="false">IF(C761="","",IFERROR(INDEX(T_NOMBRE,MATCH(C761,T_ID,0)),"⚠ ID no existe"))</f>
        <v/>
      </c>
      <c r="E761" s="69"/>
      <c r="F761" s="69"/>
      <c r="G761" s="69"/>
      <c r="H761" s="69"/>
      <c r="I761" s="66"/>
      <c r="J761" s="69"/>
      <c r="K761" s="67"/>
      <c r="L761" s="67"/>
      <c r="M761" s="67"/>
      <c r="N761" s="67"/>
      <c r="O761" s="64"/>
      <c r="P761" s="72" t="str">
        <f aca="false">IF(OR(B761="",C761=""),"",C761&amp;"|"&amp;(YEAR(B761)*100+MONTH(B761)))</f>
        <v/>
      </c>
      <c r="Q761" s="70" t="str">
        <f aca="false">IF(P761="","",IF(COUNTIF(N_CLAVE,P761)&gt;1,"⚠ Duplicado","OK"))</f>
        <v/>
      </c>
      <c r="R761" s="74" t="str">
        <f aca="false">IF(OR(P761="",U761=""),"",MAX(0,U761-N(E761)-N(F761)-N(H761)))</f>
        <v/>
      </c>
      <c r="S761" s="75" t="str">
        <f aca="false">IF(P761="","",IFERROR(INDEX(T_INGRESO,MATCH(C761,T_ID,0)),""))</f>
        <v/>
      </c>
      <c r="T761" s="75" t="str">
        <f aca="false">IF(P761="","",IFERROR(N(INDEX(T_EGRESO,MATCH(C761,T_ID,0))),0))</f>
        <v/>
      </c>
      <c r="U761" s="73" t="str">
        <f aca="false">IF(OR(P761="",NOT(ISNUMBER(S761))),"",IF(OR(S761&gt;EOMONTH(B761,0),AND(T761&gt;0,T761&lt;B761)),0,IF(AND(S761&lt;=B761,OR(T761=0,T761&gt;=EOMONTH(B761,0))),30,MIN(30,IF(T761=0,EOMONTH(B761,0),MIN(T761,EOMONTH(B761,0)))-MAX(B761,S761)+1))))</f>
        <v/>
      </c>
    </row>
    <row r="762" customFormat="false" ht="15" hidden="false" customHeight="false" outlineLevel="0" collapsed="false">
      <c r="B762" s="78"/>
      <c r="C762" s="64"/>
      <c r="D762" s="70" t="str">
        <f aca="false">IF(C762="","",IFERROR(INDEX(T_NOMBRE,MATCH(C762,T_ID,0)),"⚠ ID no existe"))</f>
        <v/>
      </c>
      <c r="E762" s="69"/>
      <c r="F762" s="69"/>
      <c r="G762" s="69"/>
      <c r="H762" s="69"/>
      <c r="I762" s="66"/>
      <c r="J762" s="69"/>
      <c r="K762" s="67"/>
      <c r="L762" s="67"/>
      <c r="M762" s="67"/>
      <c r="N762" s="67"/>
      <c r="O762" s="64"/>
      <c r="P762" s="72" t="str">
        <f aca="false">IF(OR(B762="",C762=""),"",C762&amp;"|"&amp;(YEAR(B762)*100+MONTH(B762)))</f>
        <v/>
      </c>
      <c r="Q762" s="70" t="str">
        <f aca="false">IF(P762="","",IF(COUNTIF(N_CLAVE,P762)&gt;1,"⚠ Duplicado","OK"))</f>
        <v/>
      </c>
      <c r="R762" s="74" t="str">
        <f aca="false">IF(OR(P762="",U762=""),"",MAX(0,U762-N(E762)-N(F762)-N(H762)))</f>
        <v/>
      </c>
      <c r="S762" s="75" t="str">
        <f aca="false">IF(P762="","",IFERROR(INDEX(T_INGRESO,MATCH(C762,T_ID,0)),""))</f>
        <v/>
      </c>
      <c r="T762" s="75" t="str">
        <f aca="false">IF(P762="","",IFERROR(N(INDEX(T_EGRESO,MATCH(C762,T_ID,0))),0))</f>
        <v/>
      </c>
      <c r="U762" s="73" t="str">
        <f aca="false">IF(OR(P762="",NOT(ISNUMBER(S762))),"",IF(OR(S762&gt;EOMONTH(B762,0),AND(T762&gt;0,T762&lt;B762)),0,IF(AND(S762&lt;=B762,OR(T762=0,T762&gt;=EOMONTH(B762,0))),30,MIN(30,IF(T762=0,EOMONTH(B762,0),MIN(T762,EOMONTH(B762,0)))-MAX(B762,S762)+1))))</f>
        <v/>
      </c>
    </row>
    <row r="763" customFormat="false" ht="15" hidden="false" customHeight="false" outlineLevel="0" collapsed="false">
      <c r="B763" s="78"/>
      <c r="C763" s="64"/>
      <c r="D763" s="70" t="str">
        <f aca="false">IF(C763="","",IFERROR(INDEX(T_NOMBRE,MATCH(C763,T_ID,0)),"⚠ ID no existe"))</f>
        <v/>
      </c>
      <c r="E763" s="69"/>
      <c r="F763" s="69"/>
      <c r="G763" s="69"/>
      <c r="H763" s="69"/>
      <c r="I763" s="66"/>
      <c r="J763" s="69"/>
      <c r="K763" s="67"/>
      <c r="L763" s="67"/>
      <c r="M763" s="67"/>
      <c r="N763" s="67"/>
      <c r="O763" s="64"/>
      <c r="P763" s="72" t="str">
        <f aca="false">IF(OR(B763="",C763=""),"",C763&amp;"|"&amp;(YEAR(B763)*100+MONTH(B763)))</f>
        <v/>
      </c>
      <c r="Q763" s="70" t="str">
        <f aca="false">IF(P763="","",IF(COUNTIF(N_CLAVE,P763)&gt;1,"⚠ Duplicado","OK"))</f>
        <v/>
      </c>
      <c r="R763" s="74" t="str">
        <f aca="false">IF(OR(P763="",U763=""),"",MAX(0,U763-N(E763)-N(F763)-N(H763)))</f>
        <v/>
      </c>
      <c r="S763" s="75" t="str">
        <f aca="false">IF(P763="","",IFERROR(INDEX(T_INGRESO,MATCH(C763,T_ID,0)),""))</f>
        <v/>
      </c>
      <c r="T763" s="75" t="str">
        <f aca="false">IF(P763="","",IFERROR(N(INDEX(T_EGRESO,MATCH(C763,T_ID,0))),0))</f>
        <v/>
      </c>
      <c r="U763" s="73" t="str">
        <f aca="false">IF(OR(P763="",NOT(ISNUMBER(S763))),"",IF(OR(S763&gt;EOMONTH(B763,0),AND(T763&gt;0,T763&lt;B763)),0,IF(AND(S763&lt;=B763,OR(T763=0,T763&gt;=EOMONTH(B763,0))),30,MIN(30,IF(T763=0,EOMONTH(B763,0),MIN(T763,EOMONTH(B763,0)))-MAX(B763,S763)+1))))</f>
        <v/>
      </c>
    </row>
    <row r="764" customFormat="false" ht="15" hidden="false" customHeight="false" outlineLevel="0" collapsed="false">
      <c r="B764" s="78"/>
      <c r="C764" s="64"/>
      <c r="D764" s="70" t="str">
        <f aca="false">IF(C764="","",IFERROR(INDEX(T_NOMBRE,MATCH(C764,T_ID,0)),"⚠ ID no existe"))</f>
        <v/>
      </c>
      <c r="E764" s="69"/>
      <c r="F764" s="69"/>
      <c r="G764" s="69"/>
      <c r="H764" s="69"/>
      <c r="I764" s="66"/>
      <c r="J764" s="69"/>
      <c r="K764" s="67"/>
      <c r="L764" s="67"/>
      <c r="M764" s="67"/>
      <c r="N764" s="67"/>
      <c r="O764" s="64"/>
      <c r="P764" s="72" t="str">
        <f aca="false">IF(OR(B764="",C764=""),"",C764&amp;"|"&amp;(YEAR(B764)*100+MONTH(B764)))</f>
        <v/>
      </c>
      <c r="Q764" s="70" t="str">
        <f aca="false">IF(P764="","",IF(COUNTIF(N_CLAVE,P764)&gt;1,"⚠ Duplicado","OK"))</f>
        <v/>
      </c>
      <c r="R764" s="74" t="str">
        <f aca="false">IF(OR(P764="",U764=""),"",MAX(0,U764-N(E764)-N(F764)-N(H764)))</f>
        <v/>
      </c>
      <c r="S764" s="75" t="str">
        <f aca="false">IF(P764="","",IFERROR(INDEX(T_INGRESO,MATCH(C764,T_ID,0)),""))</f>
        <v/>
      </c>
      <c r="T764" s="75" t="str">
        <f aca="false">IF(P764="","",IFERROR(N(INDEX(T_EGRESO,MATCH(C764,T_ID,0))),0))</f>
        <v/>
      </c>
      <c r="U764" s="73" t="str">
        <f aca="false">IF(OR(P764="",NOT(ISNUMBER(S764))),"",IF(OR(S764&gt;EOMONTH(B764,0),AND(T764&gt;0,T764&lt;B764)),0,IF(AND(S764&lt;=B764,OR(T764=0,T764&gt;=EOMONTH(B764,0))),30,MIN(30,IF(T764=0,EOMONTH(B764,0),MIN(T764,EOMONTH(B764,0)))-MAX(B764,S764)+1))))</f>
        <v/>
      </c>
    </row>
    <row r="765" customFormat="false" ht="15" hidden="false" customHeight="false" outlineLevel="0" collapsed="false">
      <c r="B765" s="78"/>
      <c r="C765" s="64"/>
      <c r="D765" s="70" t="str">
        <f aca="false">IF(C765="","",IFERROR(INDEX(T_NOMBRE,MATCH(C765,T_ID,0)),"⚠ ID no existe"))</f>
        <v/>
      </c>
      <c r="E765" s="69"/>
      <c r="F765" s="69"/>
      <c r="G765" s="69"/>
      <c r="H765" s="69"/>
      <c r="I765" s="66"/>
      <c r="J765" s="69"/>
      <c r="K765" s="67"/>
      <c r="L765" s="67"/>
      <c r="M765" s="67"/>
      <c r="N765" s="67"/>
      <c r="O765" s="64"/>
      <c r="P765" s="72" t="str">
        <f aca="false">IF(OR(B765="",C765=""),"",C765&amp;"|"&amp;(YEAR(B765)*100+MONTH(B765)))</f>
        <v/>
      </c>
      <c r="Q765" s="70" t="str">
        <f aca="false">IF(P765="","",IF(COUNTIF(N_CLAVE,P765)&gt;1,"⚠ Duplicado","OK"))</f>
        <v/>
      </c>
      <c r="R765" s="74" t="str">
        <f aca="false">IF(OR(P765="",U765=""),"",MAX(0,U765-N(E765)-N(F765)-N(H765)))</f>
        <v/>
      </c>
      <c r="S765" s="75" t="str">
        <f aca="false">IF(P765="","",IFERROR(INDEX(T_INGRESO,MATCH(C765,T_ID,0)),""))</f>
        <v/>
      </c>
      <c r="T765" s="75" t="str">
        <f aca="false">IF(P765="","",IFERROR(N(INDEX(T_EGRESO,MATCH(C765,T_ID,0))),0))</f>
        <v/>
      </c>
      <c r="U765" s="73" t="str">
        <f aca="false">IF(OR(P765="",NOT(ISNUMBER(S765))),"",IF(OR(S765&gt;EOMONTH(B765,0),AND(T765&gt;0,T765&lt;B765)),0,IF(AND(S765&lt;=B765,OR(T765=0,T765&gt;=EOMONTH(B765,0))),30,MIN(30,IF(T765=0,EOMONTH(B765,0),MIN(T765,EOMONTH(B765,0)))-MAX(B765,S765)+1))))</f>
        <v/>
      </c>
    </row>
    <row r="766" customFormat="false" ht="15" hidden="false" customHeight="false" outlineLevel="0" collapsed="false">
      <c r="B766" s="78"/>
      <c r="C766" s="64"/>
      <c r="D766" s="70" t="str">
        <f aca="false">IF(C766="","",IFERROR(INDEX(T_NOMBRE,MATCH(C766,T_ID,0)),"⚠ ID no existe"))</f>
        <v/>
      </c>
      <c r="E766" s="69"/>
      <c r="F766" s="69"/>
      <c r="G766" s="69"/>
      <c r="H766" s="69"/>
      <c r="I766" s="66"/>
      <c r="J766" s="69"/>
      <c r="K766" s="67"/>
      <c r="L766" s="67"/>
      <c r="M766" s="67"/>
      <c r="N766" s="67"/>
      <c r="O766" s="64"/>
      <c r="P766" s="72" t="str">
        <f aca="false">IF(OR(B766="",C766=""),"",C766&amp;"|"&amp;(YEAR(B766)*100+MONTH(B766)))</f>
        <v/>
      </c>
      <c r="Q766" s="70" t="str">
        <f aca="false">IF(P766="","",IF(COUNTIF(N_CLAVE,P766)&gt;1,"⚠ Duplicado","OK"))</f>
        <v/>
      </c>
      <c r="R766" s="74" t="str">
        <f aca="false">IF(OR(P766="",U766=""),"",MAX(0,U766-N(E766)-N(F766)-N(H766)))</f>
        <v/>
      </c>
      <c r="S766" s="75" t="str">
        <f aca="false">IF(P766="","",IFERROR(INDEX(T_INGRESO,MATCH(C766,T_ID,0)),""))</f>
        <v/>
      </c>
      <c r="T766" s="75" t="str">
        <f aca="false">IF(P766="","",IFERROR(N(INDEX(T_EGRESO,MATCH(C766,T_ID,0))),0))</f>
        <v/>
      </c>
      <c r="U766" s="73" t="str">
        <f aca="false">IF(OR(P766="",NOT(ISNUMBER(S766))),"",IF(OR(S766&gt;EOMONTH(B766,0),AND(T766&gt;0,T766&lt;B766)),0,IF(AND(S766&lt;=B766,OR(T766=0,T766&gt;=EOMONTH(B766,0))),30,MIN(30,IF(T766=0,EOMONTH(B766,0),MIN(T766,EOMONTH(B766,0)))-MAX(B766,S766)+1))))</f>
        <v/>
      </c>
    </row>
    <row r="767" customFormat="false" ht="15" hidden="false" customHeight="false" outlineLevel="0" collapsed="false">
      <c r="B767" s="78"/>
      <c r="C767" s="64"/>
      <c r="D767" s="70" t="str">
        <f aca="false">IF(C767="","",IFERROR(INDEX(T_NOMBRE,MATCH(C767,T_ID,0)),"⚠ ID no existe"))</f>
        <v/>
      </c>
      <c r="E767" s="69"/>
      <c r="F767" s="69"/>
      <c r="G767" s="69"/>
      <c r="H767" s="69"/>
      <c r="I767" s="66"/>
      <c r="J767" s="69"/>
      <c r="K767" s="67"/>
      <c r="L767" s="67"/>
      <c r="M767" s="67"/>
      <c r="N767" s="67"/>
      <c r="O767" s="64"/>
      <c r="P767" s="72" t="str">
        <f aca="false">IF(OR(B767="",C767=""),"",C767&amp;"|"&amp;(YEAR(B767)*100+MONTH(B767)))</f>
        <v/>
      </c>
      <c r="Q767" s="70" t="str">
        <f aca="false">IF(P767="","",IF(COUNTIF(N_CLAVE,P767)&gt;1,"⚠ Duplicado","OK"))</f>
        <v/>
      </c>
      <c r="R767" s="74" t="str">
        <f aca="false">IF(OR(P767="",U767=""),"",MAX(0,U767-N(E767)-N(F767)-N(H767)))</f>
        <v/>
      </c>
      <c r="S767" s="75" t="str">
        <f aca="false">IF(P767="","",IFERROR(INDEX(T_INGRESO,MATCH(C767,T_ID,0)),""))</f>
        <v/>
      </c>
      <c r="T767" s="75" t="str">
        <f aca="false">IF(P767="","",IFERROR(N(INDEX(T_EGRESO,MATCH(C767,T_ID,0))),0))</f>
        <v/>
      </c>
      <c r="U767" s="73" t="str">
        <f aca="false">IF(OR(P767="",NOT(ISNUMBER(S767))),"",IF(OR(S767&gt;EOMONTH(B767,0),AND(T767&gt;0,T767&lt;B767)),0,IF(AND(S767&lt;=B767,OR(T767=0,T767&gt;=EOMONTH(B767,0))),30,MIN(30,IF(T767=0,EOMONTH(B767,0),MIN(T767,EOMONTH(B767,0)))-MAX(B767,S767)+1))))</f>
        <v/>
      </c>
    </row>
    <row r="768" customFormat="false" ht="15" hidden="false" customHeight="false" outlineLevel="0" collapsed="false">
      <c r="B768" s="78"/>
      <c r="C768" s="64"/>
      <c r="D768" s="70" t="str">
        <f aca="false">IF(C768="","",IFERROR(INDEX(T_NOMBRE,MATCH(C768,T_ID,0)),"⚠ ID no existe"))</f>
        <v/>
      </c>
      <c r="E768" s="69"/>
      <c r="F768" s="69"/>
      <c r="G768" s="69"/>
      <c r="H768" s="69"/>
      <c r="I768" s="66"/>
      <c r="J768" s="69"/>
      <c r="K768" s="67"/>
      <c r="L768" s="67"/>
      <c r="M768" s="67"/>
      <c r="N768" s="67"/>
      <c r="O768" s="64"/>
      <c r="P768" s="72" t="str">
        <f aca="false">IF(OR(B768="",C768=""),"",C768&amp;"|"&amp;(YEAR(B768)*100+MONTH(B768)))</f>
        <v/>
      </c>
      <c r="Q768" s="70" t="str">
        <f aca="false">IF(P768="","",IF(COUNTIF(N_CLAVE,P768)&gt;1,"⚠ Duplicado","OK"))</f>
        <v/>
      </c>
      <c r="R768" s="74" t="str">
        <f aca="false">IF(OR(P768="",U768=""),"",MAX(0,U768-N(E768)-N(F768)-N(H768)))</f>
        <v/>
      </c>
      <c r="S768" s="75" t="str">
        <f aca="false">IF(P768="","",IFERROR(INDEX(T_INGRESO,MATCH(C768,T_ID,0)),""))</f>
        <v/>
      </c>
      <c r="T768" s="75" t="str">
        <f aca="false">IF(P768="","",IFERROR(N(INDEX(T_EGRESO,MATCH(C768,T_ID,0))),0))</f>
        <v/>
      </c>
      <c r="U768" s="73" t="str">
        <f aca="false">IF(OR(P768="",NOT(ISNUMBER(S768))),"",IF(OR(S768&gt;EOMONTH(B768,0),AND(T768&gt;0,T768&lt;B768)),0,IF(AND(S768&lt;=B768,OR(T768=0,T768&gt;=EOMONTH(B768,0))),30,MIN(30,IF(T768=0,EOMONTH(B768,0),MIN(T768,EOMONTH(B768,0)))-MAX(B768,S768)+1))))</f>
        <v/>
      </c>
    </row>
    <row r="769" customFormat="false" ht="15" hidden="false" customHeight="false" outlineLevel="0" collapsed="false">
      <c r="B769" s="78"/>
      <c r="C769" s="64"/>
      <c r="D769" s="70" t="str">
        <f aca="false">IF(C769="","",IFERROR(INDEX(T_NOMBRE,MATCH(C769,T_ID,0)),"⚠ ID no existe"))</f>
        <v/>
      </c>
      <c r="E769" s="69"/>
      <c r="F769" s="69"/>
      <c r="G769" s="69"/>
      <c r="H769" s="69"/>
      <c r="I769" s="66"/>
      <c r="J769" s="69"/>
      <c r="K769" s="67"/>
      <c r="L769" s="67"/>
      <c r="M769" s="67"/>
      <c r="N769" s="67"/>
      <c r="O769" s="64"/>
      <c r="P769" s="72" t="str">
        <f aca="false">IF(OR(B769="",C769=""),"",C769&amp;"|"&amp;(YEAR(B769)*100+MONTH(B769)))</f>
        <v/>
      </c>
      <c r="Q769" s="70" t="str">
        <f aca="false">IF(P769="","",IF(COUNTIF(N_CLAVE,P769)&gt;1,"⚠ Duplicado","OK"))</f>
        <v/>
      </c>
      <c r="R769" s="74" t="str">
        <f aca="false">IF(OR(P769="",U769=""),"",MAX(0,U769-N(E769)-N(F769)-N(H769)))</f>
        <v/>
      </c>
      <c r="S769" s="75" t="str">
        <f aca="false">IF(P769="","",IFERROR(INDEX(T_INGRESO,MATCH(C769,T_ID,0)),""))</f>
        <v/>
      </c>
      <c r="T769" s="75" t="str">
        <f aca="false">IF(P769="","",IFERROR(N(INDEX(T_EGRESO,MATCH(C769,T_ID,0))),0))</f>
        <v/>
      </c>
      <c r="U769" s="73" t="str">
        <f aca="false">IF(OR(P769="",NOT(ISNUMBER(S769))),"",IF(OR(S769&gt;EOMONTH(B769,0),AND(T769&gt;0,T769&lt;B769)),0,IF(AND(S769&lt;=B769,OR(T769=0,T769&gt;=EOMONTH(B769,0))),30,MIN(30,IF(T769=0,EOMONTH(B769,0),MIN(T769,EOMONTH(B769,0)))-MAX(B769,S769)+1))))</f>
        <v/>
      </c>
    </row>
    <row r="770" customFormat="false" ht="15" hidden="false" customHeight="false" outlineLevel="0" collapsed="false">
      <c r="B770" s="78"/>
      <c r="C770" s="64"/>
      <c r="D770" s="70" t="str">
        <f aca="false">IF(C770="","",IFERROR(INDEX(T_NOMBRE,MATCH(C770,T_ID,0)),"⚠ ID no existe"))</f>
        <v/>
      </c>
      <c r="E770" s="69"/>
      <c r="F770" s="69"/>
      <c r="G770" s="69"/>
      <c r="H770" s="69"/>
      <c r="I770" s="66"/>
      <c r="J770" s="69"/>
      <c r="K770" s="67"/>
      <c r="L770" s="67"/>
      <c r="M770" s="67"/>
      <c r="N770" s="67"/>
      <c r="O770" s="64"/>
      <c r="P770" s="72" t="str">
        <f aca="false">IF(OR(B770="",C770=""),"",C770&amp;"|"&amp;(YEAR(B770)*100+MONTH(B770)))</f>
        <v/>
      </c>
      <c r="Q770" s="70" t="str">
        <f aca="false">IF(P770="","",IF(COUNTIF(N_CLAVE,P770)&gt;1,"⚠ Duplicado","OK"))</f>
        <v/>
      </c>
      <c r="R770" s="74" t="str">
        <f aca="false">IF(OR(P770="",U770=""),"",MAX(0,U770-N(E770)-N(F770)-N(H770)))</f>
        <v/>
      </c>
      <c r="S770" s="75" t="str">
        <f aca="false">IF(P770="","",IFERROR(INDEX(T_INGRESO,MATCH(C770,T_ID,0)),""))</f>
        <v/>
      </c>
      <c r="T770" s="75" t="str">
        <f aca="false">IF(P770="","",IFERROR(N(INDEX(T_EGRESO,MATCH(C770,T_ID,0))),0))</f>
        <v/>
      </c>
      <c r="U770" s="73" t="str">
        <f aca="false">IF(OR(P770="",NOT(ISNUMBER(S770))),"",IF(OR(S770&gt;EOMONTH(B770,0),AND(T770&gt;0,T770&lt;B770)),0,IF(AND(S770&lt;=B770,OR(T770=0,T770&gt;=EOMONTH(B770,0))),30,MIN(30,IF(T770=0,EOMONTH(B770,0),MIN(T770,EOMONTH(B770,0)))-MAX(B770,S770)+1))))</f>
        <v/>
      </c>
    </row>
    <row r="771" customFormat="false" ht="15" hidden="false" customHeight="false" outlineLevel="0" collapsed="false">
      <c r="B771" s="78"/>
      <c r="C771" s="64"/>
      <c r="D771" s="70" t="str">
        <f aca="false">IF(C771="","",IFERROR(INDEX(T_NOMBRE,MATCH(C771,T_ID,0)),"⚠ ID no existe"))</f>
        <v/>
      </c>
      <c r="E771" s="69"/>
      <c r="F771" s="69"/>
      <c r="G771" s="69"/>
      <c r="H771" s="69"/>
      <c r="I771" s="66"/>
      <c r="J771" s="69"/>
      <c r="K771" s="67"/>
      <c r="L771" s="67"/>
      <c r="M771" s="67"/>
      <c r="N771" s="67"/>
      <c r="O771" s="64"/>
      <c r="P771" s="72" t="str">
        <f aca="false">IF(OR(B771="",C771=""),"",C771&amp;"|"&amp;(YEAR(B771)*100+MONTH(B771)))</f>
        <v/>
      </c>
      <c r="Q771" s="70" t="str">
        <f aca="false">IF(P771="","",IF(COUNTIF(N_CLAVE,P771)&gt;1,"⚠ Duplicado","OK"))</f>
        <v/>
      </c>
      <c r="R771" s="74" t="str">
        <f aca="false">IF(OR(P771="",U771=""),"",MAX(0,U771-N(E771)-N(F771)-N(H771)))</f>
        <v/>
      </c>
      <c r="S771" s="75" t="str">
        <f aca="false">IF(P771="","",IFERROR(INDEX(T_INGRESO,MATCH(C771,T_ID,0)),""))</f>
        <v/>
      </c>
      <c r="T771" s="75" t="str">
        <f aca="false">IF(P771="","",IFERROR(N(INDEX(T_EGRESO,MATCH(C771,T_ID,0))),0))</f>
        <v/>
      </c>
      <c r="U771" s="73" t="str">
        <f aca="false">IF(OR(P771="",NOT(ISNUMBER(S771))),"",IF(OR(S771&gt;EOMONTH(B771,0),AND(T771&gt;0,T771&lt;B771)),0,IF(AND(S771&lt;=B771,OR(T771=0,T771&gt;=EOMONTH(B771,0))),30,MIN(30,IF(T771=0,EOMONTH(B771,0),MIN(T771,EOMONTH(B771,0)))-MAX(B771,S771)+1))))</f>
        <v/>
      </c>
    </row>
    <row r="772" customFormat="false" ht="15" hidden="false" customHeight="false" outlineLevel="0" collapsed="false">
      <c r="B772" s="78"/>
      <c r="C772" s="64"/>
      <c r="D772" s="70" t="str">
        <f aca="false">IF(C772="","",IFERROR(INDEX(T_NOMBRE,MATCH(C772,T_ID,0)),"⚠ ID no existe"))</f>
        <v/>
      </c>
      <c r="E772" s="69"/>
      <c r="F772" s="69"/>
      <c r="G772" s="69"/>
      <c r="H772" s="69"/>
      <c r="I772" s="66"/>
      <c r="J772" s="69"/>
      <c r="K772" s="67"/>
      <c r="L772" s="67"/>
      <c r="M772" s="67"/>
      <c r="N772" s="67"/>
      <c r="O772" s="64"/>
      <c r="P772" s="72" t="str">
        <f aca="false">IF(OR(B772="",C772=""),"",C772&amp;"|"&amp;(YEAR(B772)*100+MONTH(B772)))</f>
        <v/>
      </c>
      <c r="Q772" s="70" t="str">
        <f aca="false">IF(P772="","",IF(COUNTIF(N_CLAVE,P772)&gt;1,"⚠ Duplicado","OK"))</f>
        <v/>
      </c>
      <c r="R772" s="74" t="str">
        <f aca="false">IF(OR(P772="",U772=""),"",MAX(0,U772-N(E772)-N(F772)-N(H772)))</f>
        <v/>
      </c>
      <c r="S772" s="75" t="str">
        <f aca="false">IF(P772="","",IFERROR(INDEX(T_INGRESO,MATCH(C772,T_ID,0)),""))</f>
        <v/>
      </c>
      <c r="T772" s="75" t="str">
        <f aca="false">IF(P772="","",IFERROR(N(INDEX(T_EGRESO,MATCH(C772,T_ID,0))),0))</f>
        <v/>
      </c>
      <c r="U772" s="73" t="str">
        <f aca="false">IF(OR(P772="",NOT(ISNUMBER(S772))),"",IF(OR(S772&gt;EOMONTH(B772,0),AND(T772&gt;0,T772&lt;B772)),0,IF(AND(S772&lt;=B772,OR(T772=0,T772&gt;=EOMONTH(B772,0))),30,MIN(30,IF(T772=0,EOMONTH(B772,0),MIN(T772,EOMONTH(B772,0)))-MAX(B772,S772)+1))))</f>
        <v/>
      </c>
    </row>
    <row r="773" customFormat="false" ht="15" hidden="false" customHeight="false" outlineLevel="0" collapsed="false">
      <c r="B773" s="78"/>
      <c r="C773" s="64"/>
      <c r="D773" s="70" t="str">
        <f aca="false">IF(C773="","",IFERROR(INDEX(T_NOMBRE,MATCH(C773,T_ID,0)),"⚠ ID no existe"))</f>
        <v/>
      </c>
      <c r="E773" s="69"/>
      <c r="F773" s="69"/>
      <c r="G773" s="69"/>
      <c r="H773" s="69"/>
      <c r="I773" s="66"/>
      <c r="J773" s="69"/>
      <c r="K773" s="67"/>
      <c r="L773" s="67"/>
      <c r="M773" s="67"/>
      <c r="N773" s="67"/>
      <c r="O773" s="64"/>
      <c r="P773" s="72" t="str">
        <f aca="false">IF(OR(B773="",C773=""),"",C773&amp;"|"&amp;(YEAR(B773)*100+MONTH(B773)))</f>
        <v/>
      </c>
      <c r="Q773" s="70" t="str">
        <f aca="false">IF(P773="","",IF(COUNTIF(N_CLAVE,P773)&gt;1,"⚠ Duplicado","OK"))</f>
        <v/>
      </c>
      <c r="R773" s="74" t="str">
        <f aca="false">IF(OR(P773="",U773=""),"",MAX(0,U773-N(E773)-N(F773)-N(H773)))</f>
        <v/>
      </c>
      <c r="S773" s="75" t="str">
        <f aca="false">IF(P773="","",IFERROR(INDEX(T_INGRESO,MATCH(C773,T_ID,0)),""))</f>
        <v/>
      </c>
      <c r="T773" s="75" t="str">
        <f aca="false">IF(P773="","",IFERROR(N(INDEX(T_EGRESO,MATCH(C773,T_ID,0))),0))</f>
        <v/>
      </c>
      <c r="U773" s="73" t="str">
        <f aca="false">IF(OR(P773="",NOT(ISNUMBER(S773))),"",IF(OR(S773&gt;EOMONTH(B773,0),AND(T773&gt;0,T773&lt;B773)),0,IF(AND(S773&lt;=B773,OR(T773=0,T773&gt;=EOMONTH(B773,0))),30,MIN(30,IF(T773=0,EOMONTH(B773,0),MIN(T773,EOMONTH(B773,0)))-MAX(B773,S773)+1))))</f>
        <v/>
      </c>
    </row>
    <row r="774" customFormat="false" ht="15" hidden="false" customHeight="false" outlineLevel="0" collapsed="false">
      <c r="B774" s="78"/>
      <c r="C774" s="64"/>
      <c r="D774" s="70" t="str">
        <f aca="false">IF(C774="","",IFERROR(INDEX(T_NOMBRE,MATCH(C774,T_ID,0)),"⚠ ID no existe"))</f>
        <v/>
      </c>
      <c r="E774" s="69"/>
      <c r="F774" s="69"/>
      <c r="G774" s="69"/>
      <c r="H774" s="69"/>
      <c r="I774" s="66"/>
      <c r="J774" s="69"/>
      <c r="K774" s="67"/>
      <c r="L774" s="67"/>
      <c r="M774" s="67"/>
      <c r="N774" s="67"/>
      <c r="O774" s="64"/>
      <c r="P774" s="72" t="str">
        <f aca="false">IF(OR(B774="",C774=""),"",C774&amp;"|"&amp;(YEAR(B774)*100+MONTH(B774)))</f>
        <v/>
      </c>
      <c r="Q774" s="70" t="str">
        <f aca="false">IF(P774="","",IF(COUNTIF(N_CLAVE,P774)&gt;1,"⚠ Duplicado","OK"))</f>
        <v/>
      </c>
      <c r="R774" s="74" t="str">
        <f aca="false">IF(OR(P774="",U774=""),"",MAX(0,U774-N(E774)-N(F774)-N(H774)))</f>
        <v/>
      </c>
      <c r="S774" s="75" t="str">
        <f aca="false">IF(P774="","",IFERROR(INDEX(T_INGRESO,MATCH(C774,T_ID,0)),""))</f>
        <v/>
      </c>
      <c r="T774" s="75" t="str">
        <f aca="false">IF(P774="","",IFERROR(N(INDEX(T_EGRESO,MATCH(C774,T_ID,0))),0))</f>
        <v/>
      </c>
      <c r="U774" s="73" t="str">
        <f aca="false">IF(OR(P774="",NOT(ISNUMBER(S774))),"",IF(OR(S774&gt;EOMONTH(B774,0),AND(T774&gt;0,T774&lt;B774)),0,IF(AND(S774&lt;=B774,OR(T774=0,T774&gt;=EOMONTH(B774,0))),30,MIN(30,IF(T774=0,EOMONTH(B774,0),MIN(T774,EOMONTH(B774,0)))-MAX(B774,S774)+1))))</f>
        <v/>
      </c>
    </row>
    <row r="775" customFormat="false" ht="15" hidden="false" customHeight="false" outlineLevel="0" collapsed="false">
      <c r="B775" s="78"/>
      <c r="C775" s="64"/>
      <c r="D775" s="70" t="str">
        <f aca="false">IF(C775="","",IFERROR(INDEX(T_NOMBRE,MATCH(C775,T_ID,0)),"⚠ ID no existe"))</f>
        <v/>
      </c>
      <c r="E775" s="69"/>
      <c r="F775" s="69"/>
      <c r="G775" s="69"/>
      <c r="H775" s="69"/>
      <c r="I775" s="66"/>
      <c r="J775" s="69"/>
      <c r="K775" s="67"/>
      <c r="L775" s="67"/>
      <c r="M775" s="67"/>
      <c r="N775" s="67"/>
      <c r="O775" s="64"/>
      <c r="P775" s="72" t="str">
        <f aca="false">IF(OR(B775="",C775=""),"",C775&amp;"|"&amp;(YEAR(B775)*100+MONTH(B775)))</f>
        <v/>
      </c>
      <c r="Q775" s="70" t="str">
        <f aca="false">IF(P775="","",IF(COUNTIF(N_CLAVE,P775)&gt;1,"⚠ Duplicado","OK"))</f>
        <v/>
      </c>
      <c r="R775" s="74" t="str">
        <f aca="false">IF(OR(P775="",U775=""),"",MAX(0,U775-N(E775)-N(F775)-N(H775)))</f>
        <v/>
      </c>
      <c r="S775" s="75" t="str">
        <f aca="false">IF(P775="","",IFERROR(INDEX(T_INGRESO,MATCH(C775,T_ID,0)),""))</f>
        <v/>
      </c>
      <c r="T775" s="75" t="str">
        <f aca="false">IF(P775="","",IFERROR(N(INDEX(T_EGRESO,MATCH(C775,T_ID,0))),0))</f>
        <v/>
      </c>
      <c r="U775" s="73" t="str">
        <f aca="false">IF(OR(P775="",NOT(ISNUMBER(S775))),"",IF(OR(S775&gt;EOMONTH(B775,0),AND(T775&gt;0,T775&lt;B775)),0,IF(AND(S775&lt;=B775,OR(T775=0,T775&gt;=EOMONTH(B775,0))),30,MIN(30,IF(T775=0,EOMONTH(B775,0),MIN(T775,EOMONTH(B775,0)))-MAX(B775,S775)+1))))</f>
        <v/>
      </c>
    </row>
    <row r="776" customFormat="false" ht="15" hidden="false" customHeight="false" outlineLevel="0" collapsed="false">
      <c r="B776" s="78"/>
      <c r="C776" s="64"/>
      <c r="D776" s="70" t="str">
        <f aca="false">IF(C776="","",IFERROR(INDEX(T_NOMBRE,MATCH(C776,T_ID,0)),"⚠ ID no existe"))</f>
        <v/>
      </c>
      <c r="E776" s="69"/>
      <c r="F776" s="69"/>
      <c r="G776" s="69"/>
      <c r="H776" s="69"/>
      <c r="I776" s="66"/>
      <c r="J776" s="69"/>
      <c r="K776" s="67"/>
      <c r="L776" s="67"/>
      <c r="M776" s="67"/>
      <c r="N776" s="67"/>
      <c r="O776" s="64"/>
      <c r="P776" s="72" t="str">
        <f aca="false">IF(OR(B776="",C776=""),"",C776&amp;"|"&amp;(YEAR(B776)*100+MONTH(B776)))</f>
        <v/>
      </c>
      <c r="Q776" s="70" t="str">
        <f aca="false">IF(P776="","",IF(COUNTIF(N_CLAVE,P776)&gt;1,"⚠ Duplicado","OK"))</f>
        <v/>
      </c>
      <c r="R776" s="74" t="str">
        <f aca="false">IF(OR(P776="",U776=""),"",MAX(0,U776-N(E776)-N(F776)-N(H776)))</f>
        <v/>
      </c>
      <c r="S776" s="75" t="str">
        <f aca="false">IF(P776="","",IFERROR(INDEX(T_INGRESO,MATCH(C776,T_ID,0)),""))</f>
        <v/>
      </c>
      <c r="T776" s="75" t="str">
        <f aca="false">IF(P776="","",IFERROR(N(INDEX(T_EGRESO,MATCH(C776,T_ID,0))),0))</f>
        <v/>
      </c>
      <c r="U776" s="73" t="str">
        <f aca="false">IF(OR(P776="",NOT(ISNUMBER(S776))),"",IF(OR(S776&gt;EOMONTH(B776,0),AND(T776&gt;0,T776&lt;B776)),0,IF(AND(S776&lt;=B776,OR(T776=0,T776&gt;=EOMONTH(B776,0))),30,MIN(30,IF(T776=0,EOMONTH(B776,0),MIN(T776,EOMONTH(B776,0)))-MAX(B776,S776)+1))))</f>
        <v/>
      </c>
    </row>
    <row r="777" customFormat="false" ht="15" hidden="false" customHeight="false" outlineLevel="0" collapsed="false">
      <c r="B777" s="78"/>
      <c r="C777" s="64"/>
      <c r="D777" s="70" t="str">
        <f aca="false">IF(C777="","",IFERROR(INDEX(T_NOMBRE,MATCH(C777,T_ID,0)),"⚠ ID no existe"))</f>
        <v/>
      </c>
      <c r="E777" s="69"/>
      <c r="F777" s="69"/>
      <c r="G777" s="69"/>
      <c r="H777" s="69"/>
      <c r="I777" s="66"/>
      <c r="J777" s="69"/>
      <c r="K777" s="67"/>
      <c r="L777" s="67"/>
      <c r="M777" s="67"/>
      <c r="N777" s="67"/>
      <c r="O777" s="64"/>
      <c r="P777" s="72" t="str">
        <f aca="false">IF(OR(B777="",C777=""),"",C777&amp;"|"&amp;(YEAR(B777)*100+MONTH(B777)))</f>
        <v/>
      </c>
      <c r="Q777" s="70" t="str">
        <f aca="false">IF(P777="","",IF(COUNTIF(N_CLAVE,P777)&gt;1,"⚠ Duplicado","OK"))</f>
        <v/>
      </c>
      <c r="R777" s="74" t="str">
        <f aca="false">IF(OR(P777="",U777=""),"",MAX(0,U777-N(E777)-N(F777)-N(H777)))</f>
        <v/>
      </c>
      <c r="S777" s="75" t="str">
        <f aca="false">IF(P777="","",IFERROR(INDEX(T_INGRESO,MATCH(C777,T_ID,0)),""))</f>
        <v/>
      </c>
      <c r="T777" s="75" t="str">
        <f aca="false">IF(P777="","",IFERROR(N(INDEX(T_EGRESO,MATCH(C777,T_ID,0))),0))</f>
        <v/>
      </c>
      <c r="U777" s="73" t="str">
        <f aca="false">IF(OR(P777="",NOT(ISNUMBER(S777))),"",IF(OR(S777&gt;EOMONTH(B777,0),AND(T777&gt;0,T777&lt;B777)),0,IF(AND(S777&lt;=B777,OR(T777=0,T777&gt;=EOMONTH(B777,0))),30,MIN(30,IF(T777=0,EOMONTH(B777,0),MIN(T777,EOMONTH(B777,0)))-MAX(B777,S777)+1))))</f>
        <v/>
      </c>
    </row>
    <row r="778" customFormat="false" ht="15" hidden="false" customHeight="false" outlineLevel="0" collapsed="false">
      <c r="B778" s="78"/>
      <c r="C778" s="64"/>
      <c r="D778" s="70" t="str">
        <f aca="false">IF(C778="","",IFERROR(INDEX(T_NOMBRE,MATCH(C778,T_ID,0)),"⚠ ID no existe"))</f>
        <v/>
      </c>
      <c r="E778" s="69"/>
      <c r="F778" s="69"/>
      <c r="G778" s="69"/>
      <c r="H778" s="69"/>
      <c r="I778" s="66"/>
      <c r="J778" s="69"/>
      <c r="K778" s="67"/>
      <c r="L778" s="67"/>
      <c r="M778" s="67"/>
      <c r="N778" s="67"/>
      <c r="O778" s="64"/>
      <c r="P778" s="72" t="str">
        <f aca="false">IF(OR(B778="",C778=""),"",C778&amp;"|"&amp;(YEAR(B778)*100+MONTH(B778)))</f>
        <v/>
      </c>
      <c r="Q778" s="70" t="str">
        <f aca="false">IF(P778="","",IF(COUNTIF(N_CLAVE,P778)&gt;1,"⚠ Duplicado","OK"))</f>
        <v/>
      </c>
      <c r="R778" s="74" t="str">
        <f aca="false">IF(OR(P778="",U778=""),"",MAX(0,U778-N(E778)-N(F778)-N(H778)))</f>
        <v/>
      </c>
      <c r="S778" s="75" t="str">
        <f aca="false">IF(P778="","",IFERROR(INDEX(T_INGRESO,MATCH(C778,T_ID,0)),""))</f>
        <v/>
      </c>
      <c r="T778" s="75" t="str">
        <f aca="false">IF(P778="","",IFERROR(N(INDEX(T_EGRESO,MATCH(C778,T_ID,0))),0))</f>
        <v/>
      </c>
      <c r="U778" s="73" t="str">
        <f aca="false">IF(OR(P778="",NOT(ISNUMBER(S778))),"",IF(OR(S778&gt;EOMONTH(B778,0),AND(T778&gt;0,T778&lt;B778)),0,IF(AND(S778&lt;=B778,OR(T778=0,T778&gt;=EOMONTH(B778,0))),30,MIN(30,IF(T778=0,EOMONTH(B778,0),MIN(T778,EOMONTH(B778,0)))-MAX(B778,S778)+1))))</f>
        <v/>
      </c>
    </row>
    <row r="779" customFormat="false" ht="15" hidden="false" customHeight="false" outlineLevel="0" collapsed="false">
      <c r="B779" s="78"/>
      <c r="C779" s="64"/>
      <c r="D779" s="70" t="str">
        <f aca="false">IF(C779="","",IFERROR(INDEX(T_NOMBRE,MATCH(C779,T_ID,0)),"⚠ ID no existe"))</f>
        <v/>
      </c>
      <c r="E779" s="69"/>
      <c r="F779" s="69"/>
      <c r="G779" s="69"/>
      <c r="H779" s="69"/>
      <c r="I779" s="66"/>
      <c r="J779" s="69"/>
      <c r="K779" s="67"/>
      <c r="L779" s="67"/>
      <c r="M779" s="67"/>
      <c r="N779" s="67"/>
      <c r="O779" s="64"/>
      <c r="P779" s="72" t="str">
        <f aca="false">IF(OR(B779="",C779=""),"",C779&amp;"|"&amp;(YEAR(B779)*100+MONTH(B779)))</f>
        <v/>
      </c>
      <c r="Q779" s="70" t="str">
        <f aca="false">IF(P779="","",IF(COUNTIF(N_CLAVE,P779)&gt;1,"⚠ Duplicado","OK"))</f>
        <v/>
      </c>
      <c r="R779" s="74" t="str">
        <f aca="false">IF(OR(P779="",U779=""),"",MAX(0,U779-N(E779)-N(F779)-N(H779)))</f>
        <v/>
      </c>
      <c r="S779" s="75" t="str">
        <f aca="false">IF(P779="","",IFERROR(INDEX(T_INGRESO,MATCH(C779,T_ID,0)),""))</f>
        <v/>
      </c>
      <c r="T779" s="75" t="str">
        <f aca="false">IF(P779="","",IFERROR(N(INDEX(T_EGRESO,MATCH(C779,T_ID,0))),0))</f>
        <v/>
      </c>
      <c r="U779" s="73" t="str">
        <f aca="false">IF(OR(P779="",NOT(ISNUMBER(S779))),"",IF(OR(S779&gt;EOMONTH(B779,0),AND(T779&gt;0,T779&lt;B779)),0,IF(AND(S779&lt;=B779,OR(T779=0,T779&gt;=EOMONTH(B779,0))),30,MIN(30,IF(T779=0,EOMONTH(B779,0),MIN(T779,EOMONTH(B779,0)))-MAX(B779,S779)+1))))</f>
        <v/>
      </c>
    </row>
    <row r="780" customFormat="false" ht="15" hidden="false" customHeight="false" outlineLevel="0" collapsed="false">
      <c r="B780" s="78"/>
      <c r="C780" s="64"/>
      <c r="D780" s="70" t="str">
        <f aca="false">IF(C780="","",IFERROR(INDEX(T_NOMBRE,MATCH(C780,T_ID,0)),"⚠ ID no existe"))</f>
        <v/>
      </c>
      <c r="E780" s="69"/>
      <c r="F780" s="69"/>
      <c r="G780" s="69"/>
      <c r="H780" s="69"/>
      <c r="I780" s="66"/>
      <c r="J780" s="69"/>
      <c r="K780" s="67"/>
      <c r="L780" s="67"/>
      <c r="M780" s="67"/>
      <c r="N780" s="67"/>
      <c r="O780" s="64"/>
      <c r="P780" s="72" t="str">
        <f aca="false">IF(OR(B780="",C780=""),"",C780&amp;"|"&amp;(YEAR(B780)*100+MONTH(B780)))</f>
        <v/>
      </c>
      <c r="Q780" s="70" t="str">
        <f aca="false">IF(P780="","",IF(COUNTIF(N_CLAVE,P780)&gt;1,"⚠ Duplicado","OK"))</f>
        <v/>
      </c>
      <c r="R780" s="74" t="str">
        <f aca="false">IF(OR(P780="",U780=""),"",MAX(0,U780-N(E780)-N(F780)-N(H780)))</f>
        <v/>
      </c>
      <c r="S780" s="75" t="str">
        <f aca="false">IF(P780="","",IFERROR(INDEX(T_INGRESO,MATCH(C780,T_ID,0)),""))</f>
        <v/>
      </c>
      <c r="T780" s="75" t="str">
        <f aca="false">IF(P780="","",IFERROR(N(INDEX(T_EGRESO,MATCH(C780,T_ID,0))),0))</f>
        <v/>
      </c>
      <c r="U780" s="73" t="str">
        <f aca="false">IF(OR(P780="",NOT(ISNUMBER(S780))),"",IF(OR(S780&gt;EOMONTH(B780,0),AND(T780&gt;0,T780&lt;B780)),0,IF(AND(S780&lt;=B780,OR(T780=0,T780&gt;=EOMONTH(B780,0))),30,MIN(30,IF(T780=0,EOMONTH(B780,0),MIN(T780,EOMONTH(B780,0)))-MAX(B780,S780)+1))))</f>
        <v/>
      </c>
    </row>
    <row r="781" customFormat="false" ht="15" hidden="false" customHeight="false" outlineLevel="0" collapsed="false">
      <c r="B781" s="78"/>
      <c r="C781" s="64"/>
      <c r="D781" s="70" t="str">
        <f aca="false">IF(C781="","",IFERROR(INDEX(T_NOMBRE,MATCH(C781,T_ID,0)),"⚠ ID no existe"))</f>
        <v/>
      </c>
      <c r="E781" s="69"/>
      <c r="F781" s="69"/>
      <c r="G781" s="69"/>
      <c r="H781" s="69"/>
      <c r="I781" s="66"/>
      <c r="J781" s="69"/>
      <c r="K781" s="67"/>
      <c r="L781" s="67"/>
      <c r="M781" s="67"/>
      <c r="N781" s="67"/>
      <c r="O781" s="64"/>
      <c r="P781" s="72" t="str">
        <f aca="false">IF(OR(B781="",C781=""),"",C781&amp;"|"&amp;(YEAR(B781)*100+MONTH(B781)))</f>
        <v/>
      </c>
      <c r="Q781" s="70" t="str">
        <f aca="false">IF(P781="","",IF(COUNTIF(N_CLAVE,P781)&gt;1,"⚠ Duplicado","OK"))</f>
        <v/>
      </c>
      <c r="R781" s="74" t="str">
        <f aca="false">IF(OR(P781="",U781=""),"",MAX(0,U781-N(E781)-N(F781)-N(H781)))</f>
        <v/>
      </c>
      <c r="S781" s="75" t="str">
        <f aca="false">IF(P781="","",IFERROR(INDEX(T_INGRESO,MATCH(C781,T_ID,0)),""))</f>
        <v/>
      </c>
      <c r="T781" s="75" t="str">
        <f aca="false">IF(P781="","",IFERROR(N(INDEX(T_EGRESO,MATCH(C781,T_ID,0))),0))</f>
        <v/>
      </c>
      <c r="U781" s="73" t="str">
        <f aca="false">IF(OR(P781="",NOT(ISNUMBER(S781))),"",IF(OR(S781&gt;EOMONTH(B781,0),AND(T781&gt;0,T781&lt;B781)),0,IF(AND(S781&lt;=B781,OR(T781=0,T781&gt;=EOMONTH(B781,0))),30,MIN(30,IF(T781=0,EOMONTH(B781,0),MIN(T781,EOMONTH(B781,0)))-MAX(B781,S781)+1))))</f>
        <v/>
      </c>
    </row>
    <row r="782" customFormat="false" ht="15" hidden="false" customHeight="false" outlineLevel="0" collapsed="false">
      <c r="B782" s="78"/>
      <c r="C782" s="64"/>
      <c r="D782" s="70" t="str">
        <f aca="false">IF(C782="","",IFERROR(INDEX(T_NOMBRE,MATCH(C782,T_ID,0)),"⚠ ID no existe"))</f>
        <v/>
      </c>
      <c r="E782" s="69"/>
      <c r="F782" s="69"/>
      <c r="G782" s="69"/>
      <c r="H782" s="69"/>
      <c r="I782" s="66"/>
      <c r="J782" s="69"/>
      <c r="K782" s="67"/>
      <c r="L782" s="67"/>
      <c r="M782" s="67"/>
      <c r="N782" s="67"/>
      <c r="O782" s="64"/>
      <c r="P782" s="72" t="str">
        <f aca="false">IF(OR(B782="",C782=""),"",C782&amp;"|"&amp;(YEAR(B782)*100+MONTH(B782)))</f>
        <v/>
      </c>
      <c r="Q782" s="70" t="str">
        <f aca="false">IF(P782="","",IF(COUNTIF(N_CLAVE,P782)&gt;1,"⚠ Duplicado","OK"))</f>
        <v/>
      </c>
      <c r="R782" s="74" t="str">
        <f aca="false">IF(OR(P782="",U782=""),"",MAX(0,U782-N(E782)-N(F782)-N(H782)))</f>
        <v/>
      </c>
      <c r="S782" s="75" t="str">
        <f aca="false">IF(P782="","",IFERROR(INDEX(T_INGRESO,MATCH(C782,T_ID,0)),""))</f>
        <v/>
      </c>
      <c r="T782" s="75" t="str">
        <f aca="false">IF(P782="","",IFERROR(N(INDEX(T_EGRESO,MATCH(C782,T_ID,0))),0))</f>
        <v/>
      </c>
      <c r="U782" s="73" t="str">
        <f aca="false">IF(OR(P782="",NOT(ISNUMBER(S782))),"",IF(OR(S782&gt;EOMONTH(B782,0),AND(T782&gt;0,T782&lt;B782)),0,IF(AND(S782&lt;=B782,OR(T782=0,T782&gt;=EOMONTH(B782,0))),30,MIN(30,IF(T782=0,EOMONTH(B782,0),MIN(T782,EOMONTH(B782,0)))-MAX(B782,S782)+1))))</f>
        <v/>
      </c>
    </row>
    <row r="783" customFormat="false" ht="15" hidden="false" customHeight="false" outlineLevel="0" collapsed="false">
      <c r="B783" s="78"/>
      <c r="C783" s="64"/>
      <c r="D783" s="70" t="str">
        <f aca="false">IF(C783="","",IFERROR(INDEX(T_NOMBRE,MATCH(C783,T_ID,0)),"⚠ ID no existe"))</f>
        <v/>
      </c>
      <c r="E783" s="69"/>
      <c r="F783" s="69"/>
      <c r="G783" s="69"/>
      <c r="H783" s="69"/>
      <c r="I783" s="66"/>
      <c r="J783" s="69"/>
      <c r="K783" s="67"/>
      <c r="L783" s="67"/>
      <c r="M783" s="67"/>
      <c r="N783" s="67"/>
      <c r="O783" s="64"/>
      <c r="P783" s="72" t="str">
        <f aca="false">IF(OR(B783="",C783=""),"",C783&amp;"|"&amp;(YEAR(B783)*100+MONTH(B783)))</f>
        <v/>
      </c>
      <c r="Q783" s="70" t="str">
        <f aca="false">IF(P783="","",IF(COUNTIF(N_CLAVE,P783)&gt;1,"⚠ Duplicado","OK"))</f>
        <v/>
      </c>
      <c r="R783" s="74" t="str">
        <f aca="false">IF(OR(P783="",U783=""),"",MAX(0,U783-N(E783)-N(F783)-N(H783)))</f>
        <v/>
      </c>
      <c r="S783" s="75" t="str">
        <f aca="false">IF(P783="","",IFERROR(INDEX(T_INGRESO,MATCH(C783,T_ID,0)),""))</f>
        <v/>
      </c>
      <c r="T783" s="75" t="str">
        <f aca="false">IF(P783="","",IFERROR(N(INDEX(T_EGRESO,MATCH(C783,T_ID,0))),0))</f>
        <v/>
      </c>
      <c r="U783" s="73" t="str">
        <f aca="false">IF(OR(P783="",NOT(ISNUMBER(S783))),"",IF(OR(S783&gt;EOMONTH(B783,0),AND(T783&gt;0,T783&lt;B783)),0,IF(AND(S783&lt;=B783,OR(T783=0,T783&gt;=EOMONTH(B783,0))),30,MIN(30,IF(T783=0,EOMONTH(B783,0),MIN(T783,EOMONTH(B783,0)))-MAX(B783,S783)+1))))</f>
        <v/>
      </c>
    </row>
    <row r="784" customFormat="false" ht="15" hidden="false" customHeight="false" outlineLevel="0" collapsed="false">
      <c r="B784" s="78"/>
      <c r="C784" s="64"/>
      <c r="D784" s="70" t="str">
        <f aca="false">IF(C784="","",IFERROR(INDEX(T_NOMBRE,MATCH(C784,T_ID,0)),"⚠ ID no existe"))</f>
        <v/>
      </c>
      <c r="E784" s="69"/>
      <c r="F784" s="69"/>
      <c r="G784" s="69"/>
      <c r="H784" s="69"/>
      <c r="I784" s="66"/>
      <c r="J784" s="69"/>
      <c r="K784" s="67"/>
      <c r="L784" s="67"/>
      <c r="M784" s="67"/>
      <c r="N784" s="67"/>
      <c r="O784" s="64"/>
      <c r="P784" s="72" t="str">
        <f aca="false">IF(OR(B784="",C784=""),"",C784&amp;"|"&amp;(YEAR(B784)*100+MONTH(B784)))</f>
        <v/>
      </c>
      <c r="Q784" s="70" t="str">
        <f aca="false">IF(P784="","",IF(COUNTIF(N_CLAVE,P784)&gt;1,"⚠ Duplicado","OK"))</f>
        <v/>
      </c>
      <c r="R784" s="74" t="str">
        <f aca="false">IF(OR(P784="",U784=""),"",MAX(0,U784-N(E784)-N(F784)-N(H784)))</f>
        <v/>
      </c>
      <c r="S784" s="75" t="str">
        <f aca="false">IF(P784="","",IFERROR(INDEX(T_INGRESO,MATCH(C784,T_ID,0)),""))</f>
        <v/>
      </c>
      <c r="T784" s="75" t="str">
        <f aca="false">IF(P784="","",IFERROR(N(INDEX(T_EGRESO,MATCH(C784,T_ID,0))),0))</f>
        <v/>
      </c>
      <c r="U784" s="73" t="str">
        <f aca="false">IF(OR(P784="",NOT(ISNUMBER(S784))),"",IF(OR(S784&gt;EOMONTH(B784,0),AND(T784&gt;0,T784&lt;B784)),0,IF(AND(S784&lt;=B784,OR(T784=0,T784&gt;=EOMONTH(B784,0))),30,MIN(30,IF(T784=0,EOMONTH(B784,0),MIN(T784,EOMONTH(B784,0)))-MAX(B784,S784)+1))))</f>
        <v/>
      </c>
    </row>
    <row r="785" customFormat="false" ht="15" hidden="false" customHeight="false" outlineLevel="0" collapsed="false">
      <c r="B785" s="78"/>
      <c r="C785" s="64"/>
      <c r="D785" s="70" t="str">
        <f aca="false">IF(C785="","",IFERROR(INDEX(T_NOMBRE,MATCH(C785,T_ID,0)),"⚠ ID no existe"))</f>
        <v/>
      </c>
      <c r="E785" s="69"/>
      <c r="F785" s="69"/>
      <c r="G785" s="69"/>
      <c r="H785" s="69"/>
      <c r="I785" s="66"/>
      <c r="J785" s="69"/>
      <c r="K785" s="67"/>
      <c r="L785" s="67"/>
      <c r="M785" s="67"/>
      <c r="N785" s="67"/>
      <c r="O785" s="64"/>
      <c r="P785" s="72" t="str">
        <f aca="false">IF(OR(B785="",C785=""),"",C785&amp;"|"&amp;(YEAR(B785)*100+MONTH(B785)))</f>
        <v/>
      </c>
      <c r="Q785" s="70" t="str">
        <f aca="false">IF(P785="","",IF(COUNTIF(N_CLAVE,P785)&gt;1,"⚠ Duplicado","OK"))</f>
        <v/>
      </c>
      <c r="R785" s="74" t="str">
        <f aca="false">IF(OR(P785="",U785=""),"",MAX(0,U785-N(E785)-N(F785)-N(H785)))</f>
        <v/>
      </c>
      <c r="S785" s="75" t="str">
        <f aca="false">IF(P785="","",IFERROR(INDEX(T_INGRESO,MATCH(C785,T_ID,0)),""))</f>
        <v/>
      </c>
      <c r="T785" s="75" t="str">
        <f aca="false">IF(P785="","",IFERROR(N(INDEX(T_EGRESO,MATCH(C785,T_ID,0))),0))</f>
        <v/>
      </c>
      <c r="U785" s="73" t="str">
        <f aca="false">IF(OR(P785="",NOT(ISNUMBER(S785))),"",IF(OR(S785&gt;EOMONTH(B785,0),AND(T785&gt;0,T785&lt;B785)),0,IF(AND(S785&lt;=B785,OR(T785=0,T785&gt;=EOMONTH(B785,0))),30,MIN(30,IF(T785=0,EOMONTH(B785,0),MIN(T785,EOMONTH(B785,0)))-MAX(B785,S785)+1))))</f>
        <v/>
      </c>
    </row>
    <row r="786" customFormat="false" ht="15" hidden="false" customHeight="false" outlineLevel="0" collapsed="false">
      <c r="B786" s="78"/>
      <c r="C786" s="64"/>
      <c r="D786" s="70" t="str">
        <f aca="false">IF(C786="","",IFERROR(INDEX(T_NOMBRE,MATCH(C786,T_ID,0)),"⚠ ID no existe"))</f>
        <v/>
      </c>
      <c r="E786" s="69"/>
      <c r="F786" s="69"/>
      <c r="G786" s="69"/>
      <c r="H786" s="69"/>
      <c r="I786" s="66"/>
      <c r="J786" s="69"/>
      <c r="K786" s="67"/>
      <c r="L786" s="67"/>
      <c r="M786" s="67"/>
      <c r="N786" s="67"/>
      <c r="O786" s="64"/>
      <c r="P786" s="72" t="str">
        <f aca="false">IF(OR(B786="",C786=""),"",C786&amp;"|"&amp;(YEAR(B786)*100+MONTH(B786)))</f>
        <v/>
      </c>
      <c r="Q786" s="70" t="str">
        <f aca="false">IF(P786="","",IF(COUNTIF(N_CLAVE,P786)&gt;1,"⚠ Duplicado","OK"))</f>
        <v/>
      </c>
      <c r="R786" s="74" t="str">
        <f aca="false">IF(OR(P786="",U786=""),"",MAX(0,U786-N(E786)-N(F786)-N(H786)))</f>
        <v/>
      </c>
      <c r="S786" s="75" t="str">
        <f aca="false">IF(P786="","",IFERROR(INDEX(T_INGRESO,MATCH(C786,T_ID,0)),""))</f>
        <v/>
      </c>
      <c r="T786" s="75" t="str">
        <f aca="false">IF(P786="","",IFERROR(N(INDEX(T_EGRESO,MATCH(C786,T_ID,0))),0))</f>
        <v/>
      </c>
      <c r="U786" s="73" t="str">
        <f aca="false">IF(OR(P786="",NOT(ISNUMBER(S786))),"",IF(OR(S786&gt;EOMONTH(B786,0),AND(T786&gt;0,T786&lt;B786)),0,IF(AND(S786&lt;=B786,OR(T786=0,T786&gt;=EOMONTH(B786,0))),30,MIN(30,IF(T786=0,EOMONTH(B786,0),MIN(T786,EOMONTH(B786,0)))-MAX(B786,S786)+1))))</f>
        <v/>
      </c>
    </row>
    <row r="787" customFormat="false" ht="15" hidden="false" customHeight="false" outlineLevel="0" collapsed="false">
      <c r="B787" s="78"/>
      <c r="C787" s="64"/>
      <c r="D787" s="70" t="str">
        <f aca="false">IF(C787="","",IFERROR(INDEX(T_NOMBRE,MATCH(C787,T_ID,0)),"⚠ ID no existe"))</f>
        <v/>
      </c>
      <c r="E787" s="69"/>
      <c r="F787" s="69"/>
      <c r="G787" s="69"/>
      <c r="H787" s="69"/>
      <c r="I787" s="66"/>
      <c r="J787" s="69"/>
      <c r="K787" s="67"/>
      <c r="L787" s="67"/>
      <c r="M787" s="67"/>
      <c r="N787" s="67"/>
      <c r="O787" s="64"/>
      <c r="P787" s="72" t="str">
        <f aca="false">IF(OR(B787="",C787=""),"",C787&amp;"|"&amp;(YEAR(B787)*100+MONTH(B787)))</f>
        <v/>
      </c>
      <c r="Q787" s="70" t="str">
        <f aca="false">IF(P787="","",IF(COUNTIF(N_CLAVE,P787)&gt;1,"⚠ Duplicado","OK"))</f>
        <v/>
      </c>
      <c r="R787" s="74" t="str">
        <f aca="false">IF(OR(P787="",U787=""),"",MAX(0,U787-N(E787)-N(F787)-N(H787)))</f>
        <v/>
      </c>
      <c r="S787" s="75" t="str">
        <f aca="false">IF(P787="","",IFERROR(INDEX(T_INGRESO,MATCH(C787,T_ID,0)),""))</f>
        <v/>
      </c>
      <c r="T787" s="75" t="str">
        <f aca="false">IF(P787="","",IFERROR(N(INDEX(T_EGRESO,MATCH(C787,T_ID,0))),0))</f>
        <v/>
      </c>
      <c r="U787" s="73" t="str">
        <f aca="false">IF(OR(P787="",NOT(ISNUMBER(S787))),"",IF(OR(S787&gt;EOMONTH(B787,0),AND(T787&gt;0,T787&lt;B787)),0,IF(AND(S787&lt;=B787,OR(T787=0,T787&gt;=EOMONTH(B787,0))),30,MIN(30,IF(T787=0,EOMONTH(B787,0),MIN(T787,EOMONTH(B787,0)))-MAX(B787,S787)+1))))</f>
        <v/>
      </c>
    </row>
    <row r="788" customFormat="false" ht="15" hidden="false" customHeight="false" outlineLevel="0" collapsed="false">
      <c r="B788" s="78"/>
      <c r="C788" s="64"/>
      <c r="D788" s="70" t="str">
        <f aca="false">IF(C788="","",IFERROR(INDEX(T_NOMBRE,MATCH(C788,T_ID,0)),"⚠ ID no existe"))</f>
        <v/>
      </c>
      <c r="E788" s="69"/>
      <c r="F788" s="69"/>
      <c r="G788" s="69"/>
      <c r="H788" s="69"/>
      <c r="I788" s="66"/>
      <c r="J788" s="69"/>
      <c r="K788" s="67"/>
      <c r="L788" s="67"/>
      <c r="M788" s="67"/>
      <c r="N788" s="67"/>
      <c r="O788" s="64"/>
      <c r="P788" s="72" t="str">
        <f aca="false">IF(OR(B788="",C788=""),"",C788&amp;"|"&amp;(YEAR(B788)*100+MONTH(B788)))</f>
        <v/>
      </c>
      <c r="Q788" s="70" t="str">
        <f aca="false">IF(P788="","",IF(COUNTIF(N_CLAVE,P788)&gt;1,"⚠ Duplicado","OK"))</f>
        <v/>
      </c>
      <c r="R788" s="74" t="str">
        <f aca="false">IF(OR(P788="",U788=""),"",MAX(0,U788-N(E788)-N(F788)-N(H788)))</f>
        <v/>
      </c>
      <c r="S788" s="75" t="str">
        <f aca="false">IF(P788="","",IFERROR(INDEX(T_INGRESO,MATCH(C788,T_ID,0)),""))</f>
        <v/>
      </c>
      <c r="T788" s="75" t="str">
        <f aca="false">IF(P788="","",IFERROR(N(INDEX(T_EGRESO,MATCH(C788,T_ID,0))),0))</f>
        <v/>
      </c>
      <c r="U788" s="73" t="str">
        <f aca="false">IF(OR(P788="",NOT(ISNUMBER(S788))),"",IF(OR(S788&gt;EOMONTH(B788,0),AND(T788&gt;0,T788&lt;B788)),0,IF(AND(S788&lt;=B788,OR(T788=0,T788&gt;=EOMONTH(B788,0))),30,MIN(30,IF(T788=0,EOMONTH(B788,0),MIN(T788,EOMONTH(B788,0)))-MAX(B788,S788)+1))))</f>
        <v/>
      </c>
    </row>
    <row r="789" customFormat="false" ht="15" hidden="false" customHeight="false" outlineLevel="0" collapsed="false">
      <c r="B789" s="78"/>
      <c r="C789" s="64"/>
      <c r="D789" s="70" t="str">
        <f aca="false">IF(C789="","",IFERROR(INDEX(T_NOMBRE,MATCH(C789,T_ID,0)),"⚠ ID no existe"))</f>
        <v/>
      </c>
      <c r="E789" s="69"/>
      <c r="F789" s="69"/>
      <c r="G789" s="69"/>
      <c r="H789" s="69"/>
      <c r="I789" s="66"/>
      <c r="J789" s="69"/>
      <c r="K789" s="67"/>
      <c r="L789" s="67"/>
      <c r="M789" s="67"/>
      <c r="N789" s="67"/>
      <c r="O789" s="64"/>
      <c r="P789" s="72" t="str">
        <f aca="false">IF(OR(B789="",C789=""),"",C789&amp;"|"&amp;(YEAR(B789)*100+MONTH(B789)))</f>
        <v/>
      </c>
      <c r="Q789" s="70" t="str">
        <f aca="false">IF(P789="","",IF(COUNTIF(N_CLAVE,P789)&gt;1,"⚠ Duplicado","OK"))</f>
        <v/>
      </c>
      <c r="R789" s="74" t="str">
        <f aca="false">IF(OR(P789="",U789=""),"",MAX(0,U789-N(E789)-N(F789)-N(H789)))</f>
        <v/>
      </c>
      <c r="S789" s="75" t="str">
        <f aca="false">IF(P789="","",IFERROR(INDEX(T_INGRESO,MATCH(C789,T_ID,0)),""))</f>
        <v/>
      </c>
      <c r="T789" s="75" t="str">
        <f aca="false">IF(P789="","",IFERROR(N(INDEX(T_EGRESO,MATCH(C789,T_ID,0))),0))</f>
        <v/>
      </c>
      <c r="U789" s="73" t="str">
        <f aca="false">IF(OR(P789="",NOT(ISNUMBER(S789))),"",IF(OR(S789&gt;EOMONTH(B789,0),AND(T789&gt;0,T789&lt;B789)),0,IF(AND(S789&lt;=B789,OR(T789=0,T789&gt;=EOMONTH(B789,0))),30,MIN(30,IF(T789=0,EOMONTH(B789,0),MIN(T789,EOMONTH(B789,0)))-MAX(B789,S789)+1))))</f>
        <v/>
      </c>
    </row>
    <row r="790" customFormat="false" ht="15" hidden="false" customHeight="false" outlineLevel="0" collapsed="false">
      <c r="B790" s="78"/>
      <c r="C790" s="64"/>
      <c r="D790" s="70" t="str">
        <f aca="false">IF(C790="","",IFERROR(INDEX(T_NOMBRE,MATCH(C790,T_ID,0)),"⚠ ID no existe"))</f>
        <v/>
      </c>
      <c r="E790" s="69"/>
      <c r="F790" s="69"/>
      <c r="G790" s="69"/>
      <c r="H790" s="69"/>
      <c r="I790" s="66"/>
      <c r="J790" s="69"/>
      <c r="K790" s="67"/>
      <c r="L790" s="67"/>
      <c r="M790" s="67"/>
      <c r="N790" s="67"/>
      <c r="O790" s="64"/>
      <c r="P790" s="72" t="str">
        <f aca="false">IF(OR(B790="",C790=""),"",C790&amp;"|"&amp;(YEAR(B790)*100+MONTH(B790)))</f>
        <v/>
      </c>
      <c r="Q790" s="70" t="str">
        <f aca="false">IF(P790="","",IF(COUNTIF(N_CLAVE,P790)&gt;1,"⚠ Duplicado","OK"))</f>
        <v/>
      </c>
      <c r="R790" s="74" t="str">
        <f aca="false">IF(OR(P790="",U790=""),"",MAX(0,U790-N(E790)-N(F790)-N(H790)))</f>
        <v/>
      </c>
      <c r="S790" s="75" t="str">
        <f aca="false">IF(P790="","",IFERROR(INDEX(T_INGRESO,MATCH(C790,T_ID,0)),""))</f>
        <v/>
      </c>
      <c r="T790" s="75" t="str">
        <f aca="false">IF(P790="","",IFERROR(N(INDEX(T_EGRESO,MATCH(C790,T_ID,0))),0))</f>
        <v/>
      </c>
      <c r="U790" s="73" t="str">
        <f aca="false">IF(OR(P790="",NOT(ISNUMBER(S790))),"",IF(OR(S790&gt;EOMONTH(B790,0),AND(T790&gt;0,T790&lt;B790)),0,IF(AND(S790&lt;=B790,OR(T790=0,T790&gt;=EOMONTH(B790,0))),30,MIN(30,IF(T790=0,EOMONTH(B790,0),MIN(T790,EOMONTH(B790,0)))-MAX(B790,S790)+1))))</f>
        <v/>
      </c>
    </row>
    <row r="791" customFormat="false" ht="15" hidden="false" customHeight="false" outlineLevel="0" collapsed="false">
      <c r="B791" s="78"/>
      <c r="C791" s="64"/>
      <c r="D791" s="70" t="str">
        <f aca="false">IF(C791="","",IFERROR(INDEX(T_NOMBRE,MATCH(C791,T_ID,0)),"⚠ ID no existe"))</f>
        <v/>
      </c>
      <c r="E791" s="69"/>
      <c r="F791" s="69"/>
      <c r="G791" s="69"/>
      <c r="H791" s="69"/>
      <c r="I791" s="66"/>
      <c r="J791" s="69"/>
      <c r="K791" s="67"/>
      <c r="L791" s="67"/>
      <c r="M791" s="67"/>
      <c r="N791" s="67"/>
      <c r="O791" s="64"/>
      <c r="P791" s="72" t="str">
        <f aca="false">IF(OR(B791="",C791=""),"",C791&amp;"|"&amp;(YEAR(B791)*100+MONTH(B791)))</f>
        <v/>
      </c>
      <c r="Q791" s="70" t="str">
        <f aca="false">IF(P791="","",IF(COUNTIF(N_CLAVE,P791)&gt;1,"⚠ Duplicado","OK"))</f>
        <v/>
      </c>
      <c r="R791" s="74" t="str">
        <f aca="false">IF(OR(P791="",U791=""),"",MAX(0,U791-N(E791)-N(F791)-N(H791)))</f>
        <v/>
      </c>
      <c r="S791" s="75" t="str">
        <f aca="false">IF(P791="","",IFERROR(INDEX(T_INGRESO,MATCH(C791,T_ID,0)),""))</f>
        <v/>
      </c>
      <c r="T791" s="75" t="str">
        <f aca="false">IF(P791="","",IFERROR(N(INDEX(T_EGRESO,MATCH(C791,T_ID,0))),0))</f>
        <v/>
      </c>
      <c r="U791" s="73" t="str">
        <f aca="false">IF(OR(P791="",NOT(ISNUMBER(S791))),"",IF(OR(S791&gt;EOMONTH(B791,0),AND(T791&gt;0,T791&lt;B791)),0,IF(AND(S791&lt;=B791,OR(T791=0,T791&gt;=EOMONTH(B791,0))),30,MIN(30,IF(T791=0,EOMONTH(B791,0),MIN(T791,EOMONTH(B791,0)))-MAX(B791,S791)+1))))</f>
        <v/>
      </c>
    </row>
    <row r="792" customFormat="false" ht="15" hidden="false" customHeight="false" outlineLevel="0" collapsed="false">
      <c r="B792" s="78"/>
      <c r="C792" s="64"/>
      <c r="D792" s="70" t="str">
        <f aca="false">IF(C792="","",IFERROR(INDEX(T_NOMBRE,MATCH(C792,T_ID,0)),"⚠ ID no existe"))</f>
        <v/>
      </c>
      <c r="E792" s="69"/>
      <c r="F792" s="69"/>
      <c r="G792" s="69"/>
      <c r="H792" s="69"/>
      <c r="I792" s="66"/>
      <c r="J792" s="69"/>
      <c r="K792" s="67"/>
      <c r="L792" s="67"/>
      <c r="M792" s="67"/>
      <c r="N792" s="67"/>
      <c r="O792" s="64"/>
      <c r="P792" s="72" t="str">
        <f aca="false">IF(OR(B792="",C792=""),"",C792&amp;"|"&amp;(YEAR(B792)*100+MONTH(B792)))</f>
        <v/>
      </c>
      <c r="Q792" s="70" t="str">
        <f aca="false">IF(P792="","",IF(COUNTIF(N_CLAVE,P792)&gt;1,"⚠ Duplicado","OK"))</f>
        <v/>
      </c>
      <c r="R792" s="74" t="str">
        <f aca="false">IF(OR(P792="",U792=""),"",MAX(0,U792-N(E792)-N(F792)-N(H792)))</f>
        <v/>
      </c>
      <c r="S792" s="75" t="str">
        <f aca="false">IF(P792="","",IFERROR(INDEX(T_INGRESO,MATCH(C792,T_ID,0)),""))</f>
        <v/>
      </c>
      <c r="T792" s="75" t="str">
        <f aca="false">IF(P792="","",IFERROR(N(INDEX(T_EGRESO,MATCH(C792,T_ID,0))),0))</f>
        <v/>
      </c>
      <c r="U792" s="73" t="str">
        <f aca="false">IF(OR(P792="",NOT(ISNUMBER(S792))),"",IF(OR(S792&gt;EOMONTH(B792,0),AND(T792&gt;0,T792&lt;B792)),0,IF(AND(S792&lt;=B792,OR(T792=0,T792&gt;=EOMONTH(B792,0))),30,MIN(30,IF(T792=0,EOMONTH(B792,0),MIN(T792,EOMONTH(B792,0)))-MAX(B792,S792)+1))))</f>
        <v/>
      </c>
    </row>
    <row r="793" customFormat="false" ht="15" hidden="false" customHeight="false" outlineLevel="0" collapsed="false">
      <c r="B793" s="78"/>
      <c r="C793" s="64"/>
      <c r="D793" s="70" t="str">
        <f aca="false">IF(C793="","",IFERROR(INDEX(T_NOMBRE,MATCH(C793,T_ID,0)),"⚠ ID no existe"))</f>
        <v/>
      </c>
      <c r="E793" s="69"/>
      <c r="F793" s="69"/>
      <c r="G793" s="69"/>
      <c r="H793" s="69"/>
      <c r="I793" s="66"/>
      <c r="J793" s="69"/>
      <c r="K793" s="67"/>
      <c r="L793" s="67"/>
      <c r="M793" s="67"/>
      <c r="N793" s="67"/>
      <c r="O793" s="64"/>
      <c r="P793" s="72" t="str">
        <f aca="false">IF(OR(B793="",C793=""),"",C793&amp;"|"&amp;(YEAR(B793)*100+MONTH(B793)))</f>
        <v/>
      </c>
      <c r="Q793" s="70" t="str">
        <f aca="false">IF(P793="","",IF(COUNTIF(N_CLAVE,P793)&gt;1,"⚠ Duplicado","OK"))</f>
        <v/>
      </c>
      <c r="R793" s="74" t="str">
        <f aca="false">IF(OR(P793="",U793=""),"",MAX(0,U793-N(E793)-N(F793)-N(H793)))</f>
        <v/>
      </c>
      <c r="S793" s="75" t="str">
        <f aca="false">IF(P793="","",IFERROR(INDEX(T_INGRESO,MATCH(C793,T_ID,0)),""))</f>
        <v/>
      </c>
      <c r="T793" s="75" t="str">
        <f aca="false">IF(P793="","",IFERROR(N(INDEX(T_EGRESO,MATCH(C793,T_ID,0))),0))</f>
        <v/>
      </c>
      <c r="U793" s="73" t="str">
        <f aca="false">IF(OR(P793="",NOT(ISNUMBER(S793))),"",IF(OR(S793&gt;EOMONTH(B793,0),AND(T793&gt;0,T793&lt;B793)),0,IF(AND(S793&lt;=B793,OR(T793=0,T793&gt;=EOMONTH(B793,0))),30,MIN(30,IF(T793=0,EOMONTH(B793,0),MIN(T793,EOMONTH(B793,0)))-MAX(B793,S793)+1))))</f>
        <v/>
      </c>
    </row>
    <row r="794" customFormat="false" ht="15" hidden="false" customHeight="false" outlineLevel="0" collapsed="false">
      <c r="B794" s="78"/>
      <c r="C794" s="64"/>
      <c r="D794" s="70" t="str">
        <f aca="false">IF(C794="","",IFERROR(INDEX(T_NOMBRE,MATCH(C794,T_ID,0)),"⚠ ID no existe"))</f>
        <v/>
      </c>
      <c r="E794" s="69"/>
      <c r="F794" s="69"/>
      <c r="G794" s="69"/>
      <c r="H794" s="69"/>
      <c r="I794" s="66"/>
      <c r="J794" s="69"/>
      <c r="K794" s="67"/>
      <c r="L794" s="67"/>
      <c r="M794" s="67"/>
      <c r="N794" s="67"/>
      <c r="O794" s="64"/>
      <c r="P794" s="72" t="str">
        <f aca="false">IF(OR(B794="",C794=""),"",C794&amp;"|"&amp;(YEAR(B794)*100+MONTH(B794)))</f>
        <v/>
      </c>
      <c r="Q794" s="70" t="str">
        <f aca="false">IF(P794="","",IF(COUNTIF(N_CLAVE,P794)&gt;1,"⚠ Duplicado","OK"))</f>
        <v/>
      </c>
      <c r="R794" s="74" t="str">
        <f aca="false">IF(OR(P794="",U794=""),"",MAX(0,U794-N(E794)-N(F794)-N(H794)))</f>
        <v/>
      </c>
      <c r="S794" s="75" t="str">
        <f aca="false">IF(P794="","",IFERROR(INDEX(T_INGRESO,MATCH(C794,T_ID,0)),""))</f>
        <v/>
      </c>
      <c r="T794" s="75" t="str">
        <f aca="false">IF(P794="","",IFERROR(N(INDEX(T_EGRESO,MATCH(C794,T_ID,0))),0))</f>
        <v/>
      </c>
      <c r="U794" s="73" t="str">
        <f aca="false">IF(OR(P794="",NOT(ISNUMBER(S794))),"",IF(OR(S794&gt;EOMONTH(B794,0),AND(T794&gt;0,T794&lt;B794)),0,IF(AND(S794&lt;=B794,OR(T794=0,T794&gt;=EOMONTH(B794,0))),30,MIN(30,IF(T794=0,EOMONTH(B794,0),MIN(T794,EOMONTH(B794,0)))-MAX(B794,S794)+1))))</f>
        <v/>
      </c>
    </row>
    <row r="795" customFormat="false" ht="15" hidden="false" customHeight="false" outlineLevel="0" collapsed="false">
      <c r="B795" s="78"/>
      <c r="C795" s="64"/>
      <c r="D795" s="70" t="str">
        <f aca="false">IF(C795="","",IFERROR(INDEX(T_NOMBRE,MATCH(C795,T_ID,0)),"⚠ ID no existe"))</f>
        <v/>
      </c>
      <c r="E795" s="69"/>
      <c r="F795" s="69"/>
      <c r="G795" s="69"/>
      <c r="H795" s="69"/>
      <c r="I795" s="66"/>
      <c r="J795" s="69"/>
      <c r="K795" s="67"/>
      <c r="L795" s="67"/>
      <c r="M795" s="67"/>
      <c r="N795" s="67"/>
      <c r="O795" s="64"/>
      <c r="P795" s="72" t="str">
        <f aca="false">IF(OR(B795="",C795=""),"",C795&amp;"|"&amp;(YEAR(B795)*100+MONTH(B795)))</f>
        <v/>
      </c>
      <c r="Q795" s="70" t="str">
        <f aca="false">IF(P795="","",IF(COUNTIF(N_CLAVE,P795)&gt;1,"⚠ Duplicado","OK"))</f>
        <v/>
      </c>
      <c r="R795" s="74" t="str">
        <f aca="false">IF(OR(P795="",U795=""),"",MAX(0,U795-N(E795)-N(F795)-N(H795)))</f>
        <v/>
      </c>
      <c r="S795" s="75" t="str">
        <f aca="false">IF(P795="","",IFERROR(INDEX(T_INGRESO,MATCH(C795,T_ID,0)),""))</f>
        <v/>
      </c>
      <c r="T795" s="75" t="str">
        <f aca="false">IF(P795="","",IFERROR(N(INDEX(T_EGRESO,MATCH(C795,T_ID,0))),0))</f>
        <v/>
      </c>
      <c r="U795" s="73" t="str">
        <f aca="false">IF(OR(P795="",NOT(ISNUMBER(S795))),"",IF(OR(S795&gt;EOMONTH(B795,0),AND(T795&gt;0,T795&lt;B795)),0,IF(AND(S795&lt;=B795,OR(T795=0,T795&gt;=EOMONTH(B795,0))),30,MIN(30,IF(T795=0,EOMONTH(B795,0),MIN(T795,EOMONTH(B795,0)))-MAX(B795,S795)+1))))</f>
        <v/>
      </c>
    </row>
    <row r="796" customFormat="false" ht="15" hidden="false" customHeight="false" outlineLevel="0" collapsed="false">
      <c r="B796" s="78"/>
      <c r="C796" s="64"/>
      <c r="D796" s="70" t="str">
        <f aca="false">IF(C796="","",IFERROR(INDEX(T_NOMBRE,MATCH(C796,T_ID,0)),"⚠ ID no existe"))</f>
        <v/>
      </c>
      <c r="E796" s="69"/>
      <c r="F796" s="69"/>
      <c r="G796" s="69"/>
      <c r="H796" s="69"/>
      <c r="I796" s="66"/>
      <c r="J796" s="69"/>
      <c r="K796" s="67"/>
      <c r="L796" s="67"/>
      <c r="M796" s="67"/>
      <c r="N796" s="67"/>
      <c r="O796" s="64"/>
      <c r="P796" s="72" t="str">
        <f aca="false">IF(OR(B796="",C796=""),"",C796&amp;"|"&amp;(YEAR(B796)*100+MONTH(B796)))</f>
        <v/>
      </c>
      <c r="Q796" s="70" t="str">
        <f aca="false">IF(P796="","",IF(COUNTIF(N_CLAVE,P796)&gt;1,"⚠ Duplicado","OK"))</f>
        <v/>
      </c>
      <c r="R796" s="74" t="str">
        <f aca="false">IF(OR(P796="",U796=""),"",MAX(0,U796-N(E796)-N(F796)-N(H796)))</f>
        <v/>
      </c>
      <c r="S796" s="75" t="str">
        <f aca="false">IF(P796="","",IFERROR(INDEX(T_INGRESO,MATCH(C796,T_ID,0)),""))</f>
        <v/>
      </c>
      <c r="T796" s="75" t="str">
        <f aca="false">IF(P796="","",IFERROR(N(INDEX(T_EGRESO,MATCH(C796,T_ID,0))),0))</f>
        <v/>
      </c>
      <c r="U796" s="73" t="str">
        <f aca="false">IF(OR(P796="",NOT(ISNUMBER(S796))),"",IF(OR(S796&gt;EOMONTH(B796,0),AND(T796&gt;0,T796&lt;B796)),0,IF(AND(S796&lt;=B796,OR(T796=0,T796&gt;=EOMONTH(B796,0))),30,MIN(30,IF(T796=0,EOMONTH(B796,0),MIN(T796,EOMONTH(B796,0)))-MAX(B796,S796)+1))))</f>
        <v/>
      </c>
    </row>
    <row r="797" customFormat="false" ht="15" hidden="false" customHeight="false" outlineLevel="0" collapsed="false">
      <c r="B797" s="78"/>
      <c r="C797" s="64"/>
      <c r="D797" s="70" t="str">
        <f aca="false">IF(C797="","",IFERROR(INDEX(T_NOMBRE,MATCH(C797,T_ID,0)),"⚠ ID no existe"))</f>
        <v/>
      </c>
      <c r="E797" s="69"/>
      <c r="F797" s="69"/>
      <c r="G797" s="69"/>
      <c r="H797" s="69"/>
      <c r="I797" s="66"/>
      <c r="J797" s="69"/>
      <c r="K797" s="67"/>
      <c r="L797" s="67"/>
      <c r="M797" s="67"/>
      <c r="N797" s="67"/>
      <c r="O797" s="64"/>
      <c r="P797" s="72" t="str">
        <f aca="false">IF(OR(B797="",C797=""),"",C797&amp;"|"&amp;(YEAR(B797)*100+MONTH(B797)))</f>
        <v/>
      </c>
      <c r="Q797" s="70" t="str">
        <f aca="false">IF(P797="","",IF(COUNTIF(N_CLAVE,P797)&gt;1,"⚠ Duplicado","OK"))</f>
        <v/>
      </c>
      <c r="R797" s="74" t="str">
        <f aca="false">IF(OR(P797="",U797=""),"",MAX(0,U797-N(E797)-N(F797)-N(H797)))</f>
        <v/>
      </c>
      <c r="S797" s="75" t="str">
        <f aca="false">IF(P797="","",IFERROR(INDEX(T_INGRESO,MATCH(C797,T_ID,0)),""))</f>
        <v/>
      </c>
      <c r="T797" s="75" t="str">
        <f aca="false">IF(P797="","",IFERROR(N(INDEX(T_EGRESO,MATCH(C797,T_ID,0))),0))</f>
        <v/>
      </c>
      <c r="U797" s="73" t="str">
        <f aca="false">IF(OR(P797="",NOT(ISNUMBER(S797))),"",IF(OR(S797&gt;EOMONTH(B797,0),AND(T797&gt;0,T797&lt;B797)),0,IF(AND(S797&lt;=B797,OR(T797=0,T797&gt;=EOMONTH(B797,0))),30,MIN(30,IF(T797=0,EOMONTH(B797,0),MIN(T797,EOMONTH(B797,0)))-MAX(B797,S797)+1))))</f>
        <v/>
      </c>
    </row>
    <row r="798" customFormat="false" ht="15" hidden="false" customHeight="false" outlineLevel="0" collapsed="false">
      <c r="B798" s="78"/>
      <c r="C798" s="64"/>
      <c r="D798" s="70" t="str">
        <f aca="false">IF(C798="","",IFERROR(INDEX(T_NOMBRE,MATCH(C798,T_ID,0)),"⚠ ID no existe"))</f>
        <v/>
      </c>
      <c r="E798" s="69"/>
      <c r="F798" s="69"/>
      <c r="G798" s="69"/>
      <c r="H798" s="69"/>
      <c r="I798" s="66"/>
      <c r="J798" s="69"/>
      <c r="K798" s="67"/>
      <c r="L798" s="67"/>
      <c r="M798" s="67"/>
      <c r="N798" s="67"/>
      <c r="O798" s="64"/>
      <c r="P798" s="72" t="str">
        <f aca="false">IF(OR(B798="",C798=""),"",C798&amp;"|"&amp;(YEAR(B798)*100+MONTH(B798)))</f>
        <v/>
      </c>
      <c r="Q798" s="70" t="str">
        <f aca="false">IF(P798="","",IF(COUNTIF(N_CLAVE,P798)&gt;1,"⚠ Duplicado","OK"))</f>
        <v/>
      </c>
      <c r="R798" s="74" t="str">
        <f aca="false">IF(OR(P798="",U798=""),"",MAX(0,U798-N(E798)-N(F798)-N(H798)))</f>
        <v/>
      </c>
      <c r="S798" s="75" t="str">
        <f aca="false">IF(P798="","",IFERROR(INDEX(T_INGRESO,MATCH(C798,T_ID,0)),""))</f>
        <v/>
      </c>
      <c r="T798" s="75" t="str">
        <f aca="false">IF(P798="","",IFERROR(N(INDEX(T_EGRESO,MATCH(C798,T_ID,0))),0))</f>
        <v/>
      </c>
      <c r="U798" s="73" t="str">
        <f aca="false">IF(OR(P798="",NOT(ISNUMBER(S798))),"",IF(OR(S798&gt;EOMONTH(B798,0),AND(T798&gt;0,T798&lt;B798)),0,IF(AND(S798&lt;=B798,OR(T798=0,T798&gt;=EOMONTH(B798,0))),30,MIN(30,IF(T798=0,EOMONTH(B798,0),MIN(T798,EOMONTH(B798,0)))-MAX(B798,S798)+1))))</f>
        <v/>
      </c>
    </row>
    <row r="799" customFormat="false" ht="15" hidden="false" customHeight="false" outlineLevel="0" collapsed="false">
      <c r="B799" s="78"/>
      <c r="C799" s="64"/>
      <c r="D799" s="70" t="str">
        <f aca="false">IF(C799="","",IFERROR(INDEX(T_NOMBRE,MATCH(C799,T_ID,0)),"⚠ ID no existe"))</f>
        <v/>
      </c>
      <c r="E799" s="69"/>
      <c r="F799" s="69"/>
      <c r="G799" s="69"/>
      <c r="H799" s="69"/>
      <c r="I799" s="66"/>
      <c r="J799" s="69"/>
      <c r="K799" s="67"/>
      <c r="L799" s="67"/>
      <c r="M799" s="67"/>
      <c r="N799" s="67"/>
      <c r="O799" s="64"/>
      <c r="P799" s="72" t="str">
        <f aca="false">IF(OR(B799="",C799=""),"",C799&amp;"|"&amp;(YEAR(B799)*100+MONTH(B799)))</f>
        <v/>
      </c>
      <c r="Q799" s="70" t="str">
        <f aca="false">IF(P799="","",IF(COUNTIF(N_CLAVE,P799)&gt;1,"⚠ Duplicado","OK"))</f>
        <v/>
      </c>
      <c r="R799" s="74" t="str">
        <f aca="false">IF(OR(P799="",U799=""),"",MAX(0,U799-N(E799)-N(F799)-N(H799)))</f>
        <v/>
      </c>
      <c r="S799" s="75" t="str">
        <f aca="false">IF(P799="","",IFERROR(INDEX(T_INGRESO,MATCH(C799,T_ID,0)),""))</f>
        <v/>
      </c>
      <c r="T799" s="75" t="str">
        <f aca="false">IF(P799="","",IFERROR(N(INDEX(T_EGRESO,MATCH(C799,T_ID,0))),0))</f>
        <v/>
      </c>
      <c r="U799" s="73" t="str">
        <f aca="false">IF(OR(P799="",NOT(ISNUMBER(S799))),"",IF(OR(S799&gt;EOMONTH(B799,0),AND(T799&gt;0,T799&lt;B799)),0,IF(AND(S799&lt;=B799,OR(T799=0,T799&gt;=EOMONTH(B799,0))),30,MIN(30,IF(T799=0,EOMONTH(B799,0),MIN(T799,EOMONTH(B799,0)))-MAX(B799,S799)+1))))</f>
        <v/>
      </c>
    </row>
    <row r="800" customFormat="false" ht="15" hidden="false" customHeight="false" outlineLevel="0" collapsed="false">
      <c r="B800" s="78"/>
      <c r="C800" s="64"/>
      <c r="D800" s="70" t="str">
        <f aca="false">IF(C800="","",IFERROR(INDEX(T_NOMBRE,MATCH(C800,T_ID,0)),"⚠ ID no existe"))</f>
        <v/>
      </c>
      <c r="E800" s="69"/>
      <c r="F800" s="69"/>
      <c r="G800" s="69"/>
      <c r="H800" s="69"/>
      <c r="I800" s="66"/>
      <c r="J800" s="69"/>
      <c r="K800" s="67"/>
      <c r="L800" s="67"/>
      <c r="M800" s="67"/>
      <c r="N800" s="67"/>
      <c r="O800" s="64"/>
      <c r="P800" s="72" t="str">
        <f aca="false">IF(OR(B800="",C800=""),"",C800&amp;"|"&amp;(YEAR(B800)*100+MONTH(B800)))</f>
        <v/>
      </c>
      <c r="Q800" s="70" t="str">
        <f aca="false">IF(P800="","",IF(COUNTIF(N_CLAVE,P800)&gt;1,"⚠ Duplicado","OK"))</f>
        <v/>
      </c>
      <c r="R800" s="74" t="str">
        <f aca="false">IF(OR(P800="",U800=""),"",MAX(0,U800-N(E800)-N(F800)-N(H800)))</f>
        <v/>
      </c>
      <c r="S800" s="75" t="str">
        <f aca="false">IF(P800="","",IFERROR(INDEX(T_INGRESO,MATCH(C800,T_ID,0)),""))</f>
        <v/>
      </c>
      <c r="T800" s="75" t="str">
        <f aca="false">IF(P800="","",IFERROR(N(INDEX(T_EGRESO,MATCH(C800,T_ID,0))),0))</f>
        <v/>
      </c>
      <c r="U800" s="73" t="str">
        <f aca="false">IF(OR(P800="",NOT(ISNUMBER(S800))),"",IF(OR(S800&gt;EOMONTH(B800,0),AND(T800&gt;0,T800&lt;B800)),0,IF(AND(S800&lt;=B800,OR(T800=0,T800&gt;=EOMONTH(B800,0))),30,MIN(30,IF(T800=0,EOMONTH(B800,0),MIN(T800,EOMONTH(B800,0)))-MAX(B800,S800)+1))))</f>
        <v/>
      </c>
    </row>
    <row r="801" customFormat="false" ht="15" hidden="false" customHeight="false" outlineLevel="0" collapsed="false">
      <c r="B801" s="78"/>
      <c r="C801" s="64"/>
      <c r="D801" s="70" t="str">
        <f aca="false">IF(C801="","",IFERROR(INDEX(T_NOMBRE,MATCH(C801,T_ID,0)),"⚠ ID no existe"))</f>
        <v/>
      </c>
      <c r="E801" s="69"/>
      <c r="F801" s="69"/>
      <c r="G801" s="69"/>
      <c r="H801" s="69"/>
      <c r="I801" s="66"/>
      <c r="J801" s="69"/>
      <c r="K801" s="67"/>
      <c r="L801" s="67"/>
      <c r="M801" s="67"/>
      <c r="N801" s="67"/>
      <c r="O801" s="64"/>
      <c r="P801" s="72" t="str">
        <f aca="false">IF(OR(B801="",C801=""),"",C801&amp;"|"&amp;(YEAR(B801)*100+MONTH(B801)))</f>
        <v/>
      </c>
      <c r="Q801" s="70" t="str">
        <f aca="false">IF(P801="","",IF(COUNTIF(N_CLAVE,P801)&gt;1,"⚠ Duplicado","OK"))</f>
        <v/>
      </c>
      <c r="R801" s="74" t="str">
        <f aca="false">IF(OR(P801="",U801=""),"",MAX(0,U801-N(E801)-N(F801)-N(H801)))</f>
        <v/>
      </c>
      <c r="S801" s="75" t="str">
        <f aca="false">IF(P801="","",IFERROR(INDEX(T_INGRESO,MATCH(C801,T_ID,0)),""))</f>
        <v/>
      </c>
      <c r="T801" s="75" t="str">
        <f aca="false">IF(P801="","",IFERROR(N(INDEX(T_EGRESO,MATCH(C801,T_ID,0))),0))</f>
        <v/>
      </c>
      <c r="U801" s="73" t="str">
        <f aca="false">IF(OR(P801="",NOT(ISNUMBER(S801))),"",IF(OR(S801&gt;EOMONTH(B801,0),AND(T801&gt;0,T801&lt;B801)),0,IF(AND(S801&lt;=B801,OR(T801=0,T801&gt;=EOMONTH(B801,0))),30,MIN(30,IF(T801=0,EOMONTH(B801,0),MIN(T801,EOMONTH(B801,0)))-MAX(B801,S801)+1))))</f>
        <v/>
      </c>
    </row>
    <row r="802" customFormat="false" ht="15" hidden="false" customHeight="false" outlineLevel="0" collapsed="false">
      <c r="B802" s="78"/>
      <c r="C802" s="64"/>
      <c r="D802" s="70" t="str">
        <f aca="false">IF(C802="","",IFERROR(INDEX(T_NOMBRE,MATCH(C802,T_ID,0)),"⚠ ID no existe"))</f>
        <v/>
      </c>
      <c r="E802" s="69"/>
      <c r="F802" s="69"/>
      <c r="G802" s="69"/>
      <c r="H802" s="69"/>
      <c r="I802" s="66"/>
      <c r="J802" s="69"/>
      <c r="K802" s="67"/>
      <c r="L802" s="67"/>
      <c r="M802" s="67"/>
      <c r="N802" s="67"/>
      <c r="O802" s="64"/>
      <c r="P802" s="72" t="str">
        <f aca="false">IF(OR(B802="",C802=""),"",C802&amp;"|"&amp;(YEAR(B802)*100+MONTH(B802)))</f>
        <v/>
      </c>
      <c r="Q802" s="70" t="str">
        <f aca="false">IF(P802="","",IF(COUNTIF(N_CLAVE,P802)&gt;1,"⚠ Duplicado","OK"))</f>
        <v/>
      </c>
      <c r="R802" s="74" t="str">
        <f aca="false">IF(OR(P802="",U802=""),"",MAX(0,U802-N(E802)-N(F802)-N(H802)))</f>
        <v/>
      </c>
      <c r="S802" s="75" t="str">
        <f aca="false">IF(P802="","",IFERROR(INDEX(T_INGRESO,MATCH(C802,T_ID,0)),""))</f>
        <v/>
      </c>
      <c r="T802" s="75" t="str">
        <f aca="false">IF(P802="","",IFERROR(N(INDEX(T_EGRESO,MATCH(C802,T_ID,0))),0))</f>
        <v/>
      </c>
      <c r="U802" s="73" t="str">
        <f aca="false">IF(OR(P802="",NOT(ISNUMBER(S802))),"",IF(OR(S802&gt;EOMONTH(B802,0),AND(T802&gt;0,T802&lt;B802)),0,IF(AND(S802&lt;=B802,OR(T802=0,T802&gt;=EOMONTH(B802,0))),30,MIN(30,IF(T802=0,EOMONTH(B802,0),MIN(T802,EOMONTH(B802,0)))-MAX(B802,S802)+1))))</f>
        <v/>
      </c>
    </row>
    <row r="803" customFormat="false" ht="15" hidden="false" customHeight="false" outlineLevel="0" collapsed="false">
      <c r="B803" s="78"/>
      <c r="C803" s="64"/>
      <c r="D803" s="70" t="str">
        <f aca="false">IF(C803="","",IFERROR(INDEX(T_NOMBRE,MATCH(C803,T_ID,0)),"⚠ ID no existe"))</f>
        <v/>
      </c>
      <c r="E803" s="69"/>
      <c r="F803" s="69"/>
      <c r="G803" s="69"/>
      <c r="H803" s="69"/>
      <c r="I803" s="66"/>
      <c r="J803" s="69"/>
      <c r="K803" s="67"/>
      <c r="L803" s="67"/>
      <c r="M803" s="67"/>
      <c r="N803" s="67"/>
      <c r="O803" s="64"/>
      <c r="P803" s="72" t="str">
        <f aca="false">IF(OR(B803="",C803=""),"",C803&amp;"|"&amp;(YEAR(B803)*100+MONTH(B803)))</f>
        <v/>
      </c>
      <c r="Q803" s="70" t="str">
        <f aca="false">IF(P803="","",IF(COUNTIF(N_CLAVE,P803)&gt;1,"⚠ Duplicado","OK"))</f>
        <v/>
      </c>
      <c r="R803" s="74" t="str">
        <f aca="false">IF(OR(P803="",U803=""),"",MAX(0,U803-N(E803)-N(F803)-N(H803)))</f>
        <v/>
      </c>
      <c r="S803" s="75" t="str">
        <f aca="false">IF(P803="","",IFERROR(INDEX(T_INGRESO,MATCH(C803,T_ID,0)),""))</f>
        <v/>
      </c>
      <c r="T803" s="75" t="str">
        <f aca="false">IF(P803="","",IFERROR(N(INDEX(T_EGRESO,MATCH(C803,T_ID,0))),0))</f>
        <v/>
      </c>
      <c r="U803" s="73" t="str">
        <f aca="false">IF(OR(P803="",NOT(ISNUMBER(S803))),"",IF(OR(S803&gt;EOMONTH(B803,0),AND(T803&gt;0,T803&lt;B803)),0,IF(AND(S803&lt;=B803,OR(T803=0,T803&gt;=EOMONTH(B803,0))),30,MIN(30,IF(T803=0,EOMONTH(B803,0),MIN(T803,EOMONTH(B803,0)))-MAX(B803,S803)+1))))</f>
        <v/>
      </c>
    </row>
    <row r="804" customFormat="false" ht="15" hidden="false" customHeight="false" outlineLevel="0" collapsed="false">
      <c r="B804" s="78"/>
      <c r="C804" s="64"/>
      <c r="D804" s="70" t="str">
        <f aca="false">IF(C804="","",IFERROR(INDEX(T_NOMBRE,MATCH(C804,T_ID,0)),"⚠ ID no existe"))</f>
        <v/>
      </c>
      <c r="E804" s="69"/>
      <c r="F804" s="69"/>
      <c r="G804" s="69"/>
      <c r="H804" s="69"/>
      <c r="I804" s="66"/>
      <c r="J804" s="69"/>
      <c r="K804" s="67"/>
      <c r="L804" s="67"/>
      <c r="M804" s="67"/>
      <c r="N804" s="67"/>
      <c r="O804" s="64"/>
      <c r="P804" s="72" t="str">
        <f aca="false">IF(OR(B804="",C804=""),"",C804&amp;"|"&amp;(YEAR(B804)*100+MONTH(B804)))</f>
        <v/>
      </c>
      <c r="Q804" s="70" t="str">
        <f aca="false">IF(P804="","",IF(COUNTIF(N_CLAVE,P804)&gt;1,"⚠ Duplicado","OK"))</f>
        <v/>
      </c>
      <c r="R804" s="74" t="str">
        <f aca="false">IF(OR(P804="",U804=""),"",MAX(0,U804-N(E804)-N(F804)-N(H804)))</f>
        <v/>
      </c>
      <c r="S804" s="75" t="str">
        <f aca="false">IF(P804="","",IFERROR(INDEX(T_INGRESO,MATCH(C804,T_ID,0)),""))</f>
        <v/>
      </c>
      <c r="T804" s="75" t="str">
        <f aca="false">IF(P804="","",IFERROR(N(INDEX(T_EGRESO,MATCH(C804,T_ID,0))),0))</f>
        <v/>
      </c>
      <c r="U804" s="73" t="str">
        <f aca="false">IF(OR(P804="",NOT(ISNUMBER(S804))),"",IF(OR(S804&gt;EOMONTH(B804,0),AND(T804&gt;0,T804&lt;B804)),0,IF(AND(S804&lt;=B804,OR(T804=0,T804&gt;=EOMONTH(B804,0))),30,MIN(30,IF(T804=0,EOMONTH(B804,0),MIN(T804,EOMONTH(B804,0)))-MAX(B804,S804)+1))))</f>
        <v/>
      </c>
    </row>
    <row r="805" customFormat="false" ht="15" hidden="false" customHeight="false" outlineLevel="0" collapsed="false">
      <c r="B805" s="78"/>
      <c r="C805" s="64"/>
      <c r="D805" s="70" t="str">
        <f aca="false">IF(C805="","",IFERROR(INDEX(T_NOMBRE,MATCH(C805,T_ID,0)),"⚠ ID no existe"))</f>
        <v/>
      </c>
      <c r="E805" s="69"/>
      <c r="F805" s="69"/>
      <c r="G805" s="69"/>
      <c r="H805" s="69"/>
      <c r="I805" s="66"/>
      <c r="J805" s="69"/>
      <c r="K805" s="67"/>
      <c r="L805" s="67"/>
      <c r="M805" s="67"/>
      <c r="N805" s="67"/>
      <c r="O805" s="64"/>
      <c r="P805" s="72" t="str">
        <f aca="false">IF(OR(B805="",C805=""),"",C805&amp;"|"&amp;(YEAR(B805)*100+MONTH(B805)))</f>
        <v/>
      </c>
      <c r="Q805" s="70" t="str">
        <f aca="false">IF(P805="","",IF(COUNTIF(N_CLAVE,P805)&gt;1,"⚠ Duplicado","OK"))</f>
        <v/>
      </c>
      <c r="R805" s="74" t="str">
        <f aca="false">IF(OR(P805="",U805=""),"",MAX(0,U805-N(E805)-N(F805)-N(H805)))</f>
        <v/>
      </c>
      <c r="S805" s="75" t="str">
        <f aca="false">IF(P805="","",IFERROR(INDEX(T_INGRESO,MATCH(C805,T_ID,0)),""))</f>
        <v/>
      </c>
      <c r="T805" s="75" t="str">
        <f aca="false">IF(P805="","",IFERROR(N(INDEX(T_EGRESO,MATCH(C805,T_ID,0))),0))</f>
        <v/>
      </c>
      <c r="U805" s="73" t="str">
        <f aca="false">IF(OR(P805="",NOT(ISNUMBER(S805))),"",IF(OR(S805&gt;EOMONTH(B805,0),AND(T805&gt;0,T805&lt;B805)),0,IF(AND(S805&lt;=B805,OR(T805=0,T805&gt;=EOMONTH(B805,0))),30,MIN(30,IF(T805=0,EOMONTH(B805,0),MIN(T805,EOMONTH(B805,0)))-MAX(B805,S805)+1))))</f>
        <v/>
      </c>
    </row>
    <row r="806" customFormat="false" ht="15" hidden="false" customHeight="false" outlineLevel="0" collapsed="false">
      <c r="B806" s="78"/>
      <c r="C806" s="64"/>
      <c r="D806" s="70" t="str">
        <f aca="false">IF(C806="","",IFERROR(INDEX(T_NOMBRE,MATCH(C806,T_ID,0)),"⚠ ID no existe"))</f>
        <v/>
      </c>
      <c r="E806" s="69"/>
      <c r="F806" s="69"/>
      <c r="G806" s="69"/>
      <c r="H806" s="69"/>
      <c r="I806" s="66"/>
      <c r="J806" s="69"/>
      <c r="K806" s="67"/>
      <c r="L806" s="67"/>
      <c r="M806" s="67"/>
      <c r="N806" s="67"/>
      <c r="O806" s="64"/>
      <c r="P806" s="72" t="str">
        <f aca="false">IF(OR(B806="",C806=""),"",C806&amp;"|"&amp;(YEAR(B806)*100+MONTH(B806)))</f>
        <v/>
      </c>
      <c r="Q806" s="70" t="str">
        <f aca="false">IF(P806="","",IF(COUNTIF(N_CLAVE,P806)&gt;1,"⚠ Duplicado","OK"))</f>
        <v/>
      </c>
      <c r="R806" s="74" t="str">
        <f aca="false">IF(OR(P806="",U806=""),"",MAX(0,U806-N(E806)-N(F806)-N(H806)))</f>
        <v/>
      </c>
      <c r="S806" s="75" t="str">
        <f aca="false">IF(P806="","",IFERROR(INDEX(T_INGRESO,MATCH(C806,T_ID,0)),""))</f>
        <v/>
      </c>
      <c r="T806" s="75" t="str">
        <f aca="false">IF(P806="","",IFERROR(N(INDEX(T_EGRESO,MATCH(C806,T_ID,0))),0))</f>
        <v/>
      </c>
      <c r="U806" s="73" t="str">
        <f aca="false">IF(OR(P806="",NOT(ISNUMBER(S806))),"",IF(OR(S806&gt;EOMONTH(B806,0),AND(T806&gt;0,T806&lt;B806)),0,IF(AND(S806&lt;=B806,OR(T806=0,T806&gt;=EOMONTH(B806,0))),30,MIN(30,IF(T806=0,EOMONTH(B806,0),MIN(T806,EOMONTH(B806,0)))-MAX(B806,S806)+1))))</f>
        <v/>
      </c>
    </row>
    <row r="807" customFormat="false" ht="15" hidden="false" customHeight="false" outlineLevel="0" collapsed="false">
      <c r="B807" s="78"/>
      <c r="C807" s="64"/>
      <c r="D807" s="70" t="str">
        <f aca="false">IF(C807="","",IFERROR(INDEX(T_NOMBRE,MATCH(C807,T_ID,0)),"⚠ ID no existe"))</f>
        <v/>
      </c>
      <c r="E807" s="69"/>
      <c r="F807" s="69"/>
      <c r="G807" s="69"/>
      <c r="H807" s="69"/>
      <c r="I807" s="66"/>
      <c r="J807" s="69"/>
      <c r="K807" s="67"/>
      <c r="L807" s="67"/>
      <c r="M807" s="67"/>
      <c r="N807" s="67"/>
      <c r="O807" s="64"/>
      <c r="P807" s="72" t="str">
        <f aca="false">IF(OR(B807="",C807=""),"",C807&amp;"|"&amp;(YEAR(B807)*100+MONTH(B807)))</f>
        <v/>
      </c>
      <c r="Q807" s="70" t="str">
        <f aca="false">IF(P807="","",IF(COUNTIF(N_CLAVE,P807)&gt;1,"⚠ Duplicado","OK"))</f>
        <v/>
      </c>
      <c r="R807" s="74" t="str">
        <f aca="false">IF(OR(P807="",U807=""),"",MAX(0,U807-N(E807)-N(F807)-N(H807)))</f>
        <v/>
      </c>
      <c r="S807" s="75" t="str">
        <f aca="false">IF(P807="","",IFERROR(INDEX(T_INGRESO,MATCH(C807,T_ID,0)),""))</f>
        <v/>
      </c>
      <c r="T807" s="75" t="str">
        <f aca="false">IF(P807="","",IFERROR(N(INDEX(T_EGRESO,MATCH(C807,T_ID,0))),0))</f>
        <v/>
      </c>
      <c r="U807" s="73" t="str">
        <f aca="false">IF(OR(P807="",NOT(ISNUMBER(S807))),"",IF(OR(S807&gt;EOMONTH(B807,0),AND(T807&gt;0,T807&lt;B807)),0,IF(AND(S807&lt;=B807,OR(T807=0,T807&gt;=EOMONTH(B807,0))),30,MIN(30,IF(T807=0,EOMONTH(B807,0),MIN(T807,EOMONTH(B807,0)))-MAX(B807,S807)+1))))</f>
        <v/>
      </c>
    </row>
    <row r="808" customFormat="false" ht="15" hidden="false" customHeight="false" outlineLevel="0" collapsed="false">
      <c r="B808" s="78"/>
      <c r="C808" s="64"/>
      <c r="D808" s="70" t="str">
        <f aca="false">IF(C808="","",IFERROR(INDEX(T_NOMBRE,MATCH(C808,T_ID,0)),"⚠ ID no existe"))</f>
        <v/>
      </c>
      <c r="E808" s="69"/>
      <c r="F808" s="69"/>
      <c r="G808" s="69"/>
      <c r="H808" s="69"/>
      <c r="I808" s="66"/>
      <c r="J808" s="69"/>
      <c r="K808" s="67"/>
      <c r="L808" s="67"/>
      <c r="M808" s="67"/>
      <c r="N808" s="67"/>
      <c r="O808" s="64"/>
      <c r="P808" s="72" t="str">
        <f aca="false">IF(OR(B808="",C808=""),"",C808&amp;"|"&amp;(YEAR(B808)*100+MONTH(B808)))</f>
        <v/>
      </c>
      <c r="Q808" s="70" t="str">
        <f aca="false">IF(P808="","",IF(COUNTIF(N_CLAVE,P808)&gt;1,"⚠ Duplicado","OK"))</f>
        <v/>
      </c>
      <c r="R808" s="74" t="str">
        <f aca="false">IF(OR(P808="",U808=""),"",MAX(0,U808-N(E808)-N(F808)-N(H808)))</f>
        <v/>
      </c>
      <c r="S808" s="75" t="str">
        <f aca="false">IF(P808="","",IFERROR(INDEX(T_INGRESO,MATCH(C808,T_ID,0)),""))</f>
        <v/>
      </c>
      <c r="T808" s="75" t="str">
        <f aca="false">IF(P808="","",IFERROR(N(INDEX(T_EGRESO,MATCH(C808,T_ID,0))),0))</f>
        <v/>
      </c>
      <c r="U808" s="73" t="str">
        <f aca="false">IF(OR(P808="",NOT(ISNUMBER(S808))),"",IF(OR(S808&gt;EOMONTH(B808,0),AND(T808&gt;0,T808&lt;B808)),0,IF(AND(S808&lt;=B808,OR(T808=0,T808&gt;=EOMONTH(B808,0))),30,MIN(30,IF(T808=0,EOMONTH(B808,0),MIN(T808,EOMONTH(B808,0)))-MAX(B808,S808)+1))))</f>
        <v/>
      </c>
    </row>
    <row r="809" customFormat="false" ht="15" hidden="false" customHeight="false" outlineLevel="0" collapsed="false">
      <c r="B809" s="78"/>
      <c r="C809" s="64"/>
      <c r="D809" s="70" t="str">
        <f aca="false">IF(C809="","",IFERROR(INDEX(T_NOMBRE,MATCH(C809,T_ID,0)),"⚠ ID no existe"))</f>
        <v/>
      </c>
      <c r="E809" s="69"/>
      <c r="F809" s="69"/>
      <c r="G809" s="69"/>
      <c r="H809" s="69"/>
      <c r="I809" s="66"/>
      <c r="J809" s="69"/>
      <c r="K809" s="67"/>
      <c r="L809" s="67"/>
      <c r="M809" s="67"/>
      <c r="N809" s="67"/>
      <c r="O809" s="64"/>
      <c r="P809" s="72" t="str">
        <f aca="false">IF(OR(B809="",C809=""),"",C809&amp;"|"&amp;(YEAR(B809)*100+MONTH(B809)))</f>
        <v/>
      </c>
      <c r="Q809" s="70" t="str">
        <f aca="false">IF(P809="","",IF(COUNTIF(N_CLAVE,P809)&gt;1,"⚠ Duplicado","OK"))</f>
        <v/>
      </c>
      <c r="R809" s="74" t="str">
        <f aca="false">IF(OR(P809="",U809=""),"",MAX(0,U809-N(E809)-N(F809)-N(H809)))</f>
        <v/>
      </c>
      <c r="S809" s="75" t="str">
        <f aca="false">IF(P809="","",IFERROR(INDEX(T_INGRESO,MATCH(C809,T_ID,0)),""))</f>
        <v/>
      </c>
      <c r="T809" s="75" t="str">
        <f aca="false">IF(P809="","",IFERROR(N(INDEX(T_EGRESO,MATCH(C809,T_ID,0))),0))</f>
        <v/>
      </c>
      <c r="U809" s="73" t="str">
        <f aca="false">IF(OR(P809="",NOT(ISNUMBER(S809))),"",IF(OR(S809&gt;EOMONTH(B809,0),AND(T809&gt;0,T809&lt;B809)),0,IF(AND(S809&lt;=B809,OR(T809=0,T809&gt;=EOMONTH(B809,0))),30,MIN(30,IF(T809=0,EOMONTH(B809,0),MIN(T809,EOMONTH(B809,0)))-MAX(B809,S809)+1))))</f>
        <v/>
      </c>
    </row>
    <row r="810" customFormat="false" ht="15" hidden="false" customHeight="false" outlineLevel="0" collapsed="false">
      <c r="B810" s="78"/>
      <c r="C810" s="64"/>
      <c r="D810" s="70" t="str">
        <f aca="false">IF(C810="","",IFERROR(INDEX(T_NOMBRE,MATCH(C810,T_ID,0)),"⚠ ID no existe"))</f>
        <v/>
      </c>
      <c r="E810" s="69"/>
      <c r="F810" s="69"/>
      <c r="G810" s="69"/>
      <c r="H810" s="69"/>
      <c r="I810" s="66"/>
      <c r="J810" s="69"/>
      <c r="K810" s="67"/>
      <c r="L810" s="67"/>
      <c r="M810" s="67"/>
      <c r="N810" s="67"/>
      <c r="O810" s="64"/>
      <c r="P810" s="72" t="str">
        <f aca="false">IF(OR(B810="",C810=""),"",C810&amp;"|"&amp;(YEAR(B810)*100+MONTH(B810)))</f>
        <v/>
      </c>
      <c r="Q810" s="70" t="str">
        <f aca="false">IF(P810="","",IF(COUNTIF(N_CLAVE,P810)&gt;1,"⚠ Duplicado","OK"))</f>
        <v/>
      </c>
      <c r="R810" s="74" t="str">
        <f aca="false">IF(OR(P810="",U810=""),"",MAX(0,U810-N(E810)-N(F810)-N(H810)))</f>
        <v/>
      </c>
      <c r="S810" s="75" t="str">
        <f aca="false">IF(P810="","",IFERROR(INDEX(T_INGRESO,MATCH(C810,T_ID,0)),""))</f>
        <v/>
      </c>
      <c r="T810" s="75" t="str">
        <f aca="false">IF(P810="","",IFERROR(N(INDEX(T_EGRESO,MATCH(C810,T_ID,0))),0))</f>
        <v/>
      </c>
      <c r="U810" s="73" t="str">
        <f aca="false">IF(OR(P810="",NOT(ISNUMBER(S810))),"",IF(OR(S810&gt;EOMONTH(B810,0),AND(T810&gt;0,T810&lt;B810)),0,IF(AND(S810&lt;=B810,OR(T810=0,T810&gt;=EOMONTH(B810,0))),30,MIN(30,IF(T810=0,EOMONTH(B810,0),MIN(T810,EOMONTH(B810,0)))-MAX(B810,S810)+1))))</f>
        <v/>
      </c>
    </row>
    <row r="811" customFormat="false" ht="15" hidden="false" customHeight="false" outlineLevel="0" collapsed="false">
      <c r="B811" s="78"/>
      <c r="C811" s="64"/>
      <c r="D811" s="70" t="str">
        <f aca="false">IF(C811="","",IFERROR(INDEX(T_NOMBRE,MATCH(C811,T_ID,0)),"⚠ ID no existe"))</f>
        <v/>
      </c>
      <c r="E811" s="69"/>
      <c r="F811" s="69"/>
      <c r="G811" s="69"/>
      <c r="H811" s="69"/>
      <c r="I811" s="66"/>
      <c r="J811" s="69"/>
      <c r="K811" s="67"/>
      <c r="L811" s="67"/>
      <c r="M811" s="67"/>
      <c r="N811" s="67"/>
      <c r="O811" s="64"/>
      <c r="P811" s="72" t="str">
        <f aca="false">IF(OR(B811="",C811=""),"",C811&amp;"|"&amp;(YEAR(B811)*100+MONTH(B811)))</f>
        <v/>
      </c>
      <c r="Q811" s="70" t="str">
        <f aca="false">IF(P811="","",IF(COUNTIF(N_CLAVE,P811)&gt;1,"⚠ Duplicado","OK"))</f>
        <v/>
      </c>
      <c r="R811" s="74" t="str">
        <f aca="false">IF(OR(P811="",U811=""),"",MAX(0,U811-N(E811)-N(F811)-N(H811)))</f>
        <v/>
      </c>
      <c r="S811" s="75" t="str">
        <f aca="false">IF(P811="","",IFERROR(INDEX(T_INGRESO,MATCH(C811,T_ID,0)),""))</f>
        <v/>
      </c>
      <c r="T811" s="75" t="str">
        <f aca="false">IF(P811="","",IFERROR(N(INDEX(T_EGRESO,MATCH(C811,T_ID,0))),0))</f>
        <v/>
      </c>
      <c r="U811" s="73" t="str">
        <f aca="false">IF(OR(P811="",NOT(ISNUMBER(S811))),"",IF(OR(S811&gt;EOMONTH(B811,0),AND(T811&gt;0,T811&lt;B811)),0,IF(AND(S811&lt;=B811,OR(T811=0,T811&gt;=EOMONTH(B811,0))),30,MIN(30,IF(T811=0,EOMONTH(B811,0),MIN(T811,EOMONTH(B811,0)))-MAX(B811,S811)+1))))</f>
        <v/>
      </c>
    </row>
    <row r="812" customFormat="false" ht="15" hidden="false" customHeight="false" outlineLevel="0" collapsed="false">
      <c r="B812" s="78"/>
      <c r="C812" s="64"/>
      <c r="D812" s="70" t="str">
        <f aca="false">IF(C812="","",IFERROR(INDEX(T_NOMBRE,MATCH(C812,T_ID,0)),"⚠ ID no existe"))</f>
        <v/>
      </c>
      <c r="E812" s="69"/>
      <c r="F812" s="69"/>
      <c r="G812" s="69"/>
      <c r="H812" s="69"/>
      <c r="I812" s="66"/>
      <c r="J812" s="69"/>
      <c r="K812" s="67"/>
      <c r="L812" s="67"/>
      <c r="M812" s="67"/>
      <c r="N812" s="67"/>
      <c r="O812" s="64"/>
      <c r="P812" s="72" t="str">
        <f aca="false">IF(OR(B812="",C812=""),"",C812&amp;"|"&amp;(YEAR(B812)*100+MONTH(B812)))</f>
        <v/>
      </c>
      <c r="Q812" s="70" t="str">
        <f aca="false">IF(P812="","",IF(COUNTIF(N_CLAVE,P812)&gt;1,"⚠ Duplicado","OK"))</f>
        <v/>
      </c>
      <c r="R812" s="74" t="str">
        <f aca="false">IF(OR(P812="",U812=""),"",MAX(0,U812-N(E812)-N(F812)-N(H812)))</f>
        <v/>
      </c>
      <c r="S812" s="75" t="str">
        <f aca="false">IF(P812="","",IFERROR(INDEX(T_INGRESO,MATCH(C812,T_ID,0)),""))</f>
        <v/>
      </c>
      <c r="T812" s="75" t="str">
        <f aca="false">IF(P812="","",IFERROR(N(INDEX(T_EGRESO,MATCH(C812,T_ID,0))),0))</f>
        <v/>
      </c>
      <c r="U812" s="73" t="str">
        <f aca="false">IF(OR(P812="",NOT(ISNUMBER(S812))),"",IF(OR(S812&gt;EOMONTH(B812,0),AND(T812&gt;0,T812&lt;B812)),0,IF(AND(S812&lt;=B812,OR(T812=0,T812&gt;=EOMONTH(B812,0))),30,MIN(30,IF(T812=0,EOMONTH(B812,0),MIN(T812,EOMONTH(B812,0)))-MAX(B812,S812)+1))))</f>
        <v/>
      </c>
    </row>
    <row r="813" customFormat="false" ht="15" hidden="false" customHeight="false" outlineLevel="0" collapsed="false">
      <c r="B813" s="78"/>
      <c r="C813" s="64"/>
      <c r="D813" s="70" t="str">
        <f aca="false">IF(C813="","",IFERROR(INDEX(T_NOMBRE,MATCH(C813,T_ID,0)),"⚠ ID no existe"))</f>
        <v/>
      </c>
      <c r="E813" s="69"/>
      <c r="F813" s="69"/>
      <c r="G813" s="69"/>
      <c r="H813" s="69"/>
      <c r="I813" s="66"/>
      <c r="J813" s="69"/>
      <c r="K813" s="67"/>
      <c r="L813" s="67"/>
      <c r="M813" s="67"/>
      <c r="N813" s="67"/>
      <c r="O813" s="64"/>
      <c r="P813" s="72" t="str">
        <f aca="false">IF(OR(B813="",C813=""),"",C813&amp;"|"&amp;(YEAR(B813)*100+MONTH(B813)))</f>
        <v/>
      </c>
      <c r="Q813" s="70" t="str">
        <f aca="false">IF(P813="","",IF(COUNTIF(N_CLAVE,P813)&gt;1,"⚠ Duplicado","OK"))</f>
        <v/>
      </c>
      <c r="R813" s="74" t="str">
        <f aca="false">IF(OR(P813="",U813=""),"",MAX(0,U813-N(E813)-N(F813)-N(H813)))</f>
        <v/>
      </c>
      <c r="S813" s="75" t="str">
        <f aca="false">IF(P813="","",IFERROR(INDEX(T_INGRESO,MATCH(C813,T_ID,0)),""))</f>
        <v/>
      </c>
      <c r="T813" s="75" t="str">
        <f aca="false">IF(P813="","",IFERROR(N(INDEX(T_EGRESO,MATCH(C813,T_ID,0))),0))</f>
        <v/>
      </c>
      <c r="U813" s="73" t="str">
        <f aca="false">IF(OR(P813="",NOT(ISNUMBER(S813))),"",IF(OR(S813&gt;EOMONTH(B813,0),AND(T813&gt;0,T813&lt;B813)),0,IF(AND(S813&lt;=B813,OR(T813=0,T813&gt;=EOMONTH(B813,0))),30,MIN(30,IF(T813=0,EOMONTH(B813,0),MIN(T813,EOMONTH(B813,0)))-MAX(B813,S813)+1))))</f>
        <v/>
      </c>
    </row>
    <row r="814" customFormat="false" ht="15" hidden="false" customHeight="false" outlineLevel="0" collapsed="false">
      <c r="B814" s="78"/>
      <c r="C814" s="64"/>
      <c r="D814" s="70" t="str">
        <f aca="false">IF(C814="","",IFERROR(INDEX(T_NOMBRE,MATCH(C814,T_ID,0)),"⚠ ID no existe"))</f>
        <v/>
      </c>
      <c r="E814" s="69"/>
      <c r="F814" s="69"/>
      <c r="G814" s="69"/>
      <c r="H814" s="69"/>
      <c r="I814" s="66"/>
      <c r="J814" s="69"/>
      <c r="K814" s="67"/>
      <c r="L814" s="67"/>
      <c r="M814" s="67"/>
      <c r="N814" s="67"/>
      <c r="O814" s="64"/>
      <c r="P814" s="72" t="str">
        <f aca="false">IF(OR(B814="",C814=""),"",C814&amp;"|"&amp;(YEAR(B814)*100+MONTH(B814)))</f>
        <v/>
      </c>
      <c r="Q814" s="70" t="str">
        <f aca="false">IF(P814="","",IF(COUNTIF(N_CLAVE,P814)&gt;1,"⚠ Duplicado","OK"))</f>
        <v/>
      </c>
      <c r="R814" s="74" t="str">
        <f aca="false">IF(OR(P814="",U814=""),"",MAX(0,U814-N(E814)-N(F814)-N(H814)))</f>
        <v/>
      </c>
      <c r="S814" s="75" t="str">
        <f aca="false">IF(P814="","",IFERROR(INDEX(T_INGRESO,MATCH(C814,T_ID,0)),""))</f>
        <v/>
      </c>
      <c r="T814" s="75" t="str">
        <f aca="false">IF(P814="","",IFERROR(N(INDEX(T_EGRESO,MATCH(C814,T_ID,0))),0))</f>
        <v/>
      </c>
      <c r="U814" s="73" t="str">
        <f aca="false">IF(OR(P814="",NOT(ISNUMBER(S814))),"",IF(OR(S814&gt;EOMONTH(B814,0),AND(T814&gt;0,T814&lt;B814)),0,IF(AND(S814&lt;=B814,OR(T814=0,T814&gt;=EOMONTH(B814,0))),30,MIN(30,IF(T814=0,EOMONTH(B814,0),MIN(T814,EOMONTH(B814,0)))-MAX(B814,S814)+1))))</f>
        <v/>
      </c>
    </row>
    <row r="815" customFormat="false" ht="15" hidden="false" customHeight="false" outlineLevel="0" collapsed="false">
      <c r="B815" s="78"/>
      <c r="C815" s="64"/>
      <c r="D815" s="70" t="str">
        <f aca="false">IF(C815="","",IFERROR(INDEX(T_NOMBRE,MATCH(C815,T_ID,0)),"⚠ ID no existe"))</f>
        <v/>
      </c>
      <c r="E815" s="69"/>
      <c r="F815" s="69"/>
      <c r="G815" s="69"/>
      <c r="H815" s="69"/>
      <c r="I815" s="66"/>
      <c r="J815" s="69"/>
      <c r="K815" s="67"/>
      <c r="L815" s="67"/>
      <c r="M815" s="67"/>
      <c r="N815" s="67"/>
      <c r="O815" s="64"/>
      <c r="P815" s="72" t="str">
        <f aca="false">IF(OR(B815="",C815=""),"",C815&amp;"|"&amp;(YEAR(B815)*100+MONTH(B815)))</f>
        <v/>
      </c>
      <c r="Q815" s="70" t="str">
        <f aca="false">IF(P815="","",IF(COUNTIF(N_CLAVE,P815)&gt;1,"⚠ Duplicado","OK"))</f>
        <v/>
      </c>
      <c r="R815" s="74" t="str">
        <f aca="false">IF(OR(P815="",U815=""),"",MAX(0,U815-N(E815)-N(F815)-N(H815)))</f>
        <v/>
      </c>
      <c r="S815" s="75" t="str">
        <f aca="false">IF(P815="","",IFERROR(INDEX(T_INGRESO,MATCH(C815,T_ID,0)),""))</f>
        <v/>
      </c>
      <c r="T815" s="75" t="str">
        <f aca="false">IF(P815="","",IFERROR(N(INDEX(T_EGRESO,MATCH(C815,T_ID,0))),0))</f>
        <v/>
      </c>
      <c r="U815" s="73" t="str">
        <f aca="false">IF(OR(P815="",NOT(ISNUMBER(S815))),"",IF(OR(S815&gt;EOMONTH(B815,0),AND(T815&gt;0,T815&lt;B815)),0,IF(AND(S815&lt;=B815,OR(T815=0,T815&gt;=EOMONTH(B815,0))),30,MIN(30,IF(T815=0,EOMONTH(B815,0),MIN(T815,EOMONTH(B815,0)))-MAX(B815,S815)+1))))</f>
        <v/>
      </c>
    </row>
    <row r="816" customFormat="false" ht="15" hidden="false" customHeight="false" outlineLevel="0" collapsed="false">
      <c r="B816" s="78"/>
      <c r="C816" s="64"/>
      <c r="D816" s="70" t="str">
        <f aca="false">IF(C816="","",IFERROR(INDEX(T_NOMBRE,MATCH(C816,T_ID,0)),"⚠ ID no existe"))</f>
        <v/>
      </c>
      <c r="E816" s="69"/>
      <c r="F816" s="69"/>
      <c r="G816" s="69"/>
      <c r="H816" s="69"/>
      <c r="I816" s="66"/>
      <c r="J816" s="69"/>
      <c r="K816" s="67"/>
      <c r="L816" s="67"/>
      <c r="M816" s="67"/>
      <c r="N816" s="67"/>
      <c r="O816" s="64"/>
      <c r="P816" s="72" t="str">
        <f aca="false">IF(OR(B816="",C816=""),"",C816&amp;"|"&amp;(YEAR(B816)*100+MONTH(B816)))</f>
        <v/>
      </c>
      <c r="Q816" s="70" t="str">
        <f aca="false">IF(P816="","",IF(COUNTIF(N_CLAVE,P816)&gt;1,"⚠ Duplicado","OK"))</f>
        <v/>
      </c>
      <c r="R816" s="74" t="str">
        <f aca="false">IF(OR(P816="",U816=""),"",MAX(0,U816-N(E816)-N(F816)-N(H816)))</f>
        <v/>
      </c>
      <c r="S816" s="75" t="str">
        <f aca="false">IF(P816="","",IFERROR(INDEX(T_INGRESO,MATCH(C816,T_ID,0)),""))</f>
        <v/>
      </c>
      <c r="T816" s="75" t="str">
        <f aca="false">IF(P816="","",IFERROR(N(INDEX(T_EGRESO,MATCH(C816,T_ID,0))),0))</f>
        <v/>
      </c>
      <c r="U816" s="73" t="str">
        <f aca="false">IF(OR(P816="",NOT(ISNUMBER(S816))),"",IF(OR(S816&gt;EOMONTH(B816,0),AND(T816&gt;0,T816&lt;B816)),0,IF(AND(S816&lt;=B816,OR(T816=0,T816&gt;=EOMONTH(B816,0))),30,MIN(30,IF(T816=0,EOMONTH(B816,0),MIN(T816,EOMONTH(B816,0)))-MAX(B816,S816)+1))))</f>
        <v/>
      </c>
    </row>
    <row r="817" customFormat="false" ht="15" hidden="false" customHeight="false" outlineLevel="0" collapsed="false">
      <c r="B817" s="78"/>
      <c r="C817" s="64"/>
      <c r="D817" s="70" t="str">
        <f aca="false">IF(C817="","",IFERROR(INDEX(T_NOMBRE,MATCH(C817,T_ID,0)),"⚠ ID no existe"))</f>
        <v/>
      </c>
      <c r="E817" s="69"/>
      <c r="F817" s="69"/>
      <c r="G817" s="69"/>
      <c r="H817" s="69"/>
      <c r="I817" s="66"/>
      <c r="J817" s="69"/>
      <c r="K817" s="67"/>
      <c r="L817" s="67"/>
      <c r="M817" s="67"/>
      <c r="N817" s="67"/>
      <c r="O817" s="64"/>
      <c r="P817" s="72" t="str">
        <f aca="false">IF(OR(B817="",C817=""),"",C817&amp;"|"&amp;(YEAR(B817)*100+MONTH(B817)))</f>
        <v/>
      </c>
      <c r="Q817" s="70" t="str">
        <f aca="false">IF(P817="","",IF(COUNTIF(N_CLAVE,P817)&gt;1,"⚠ Duplicado","OK"))</f>
        <v/>
      </c>
      <c r="R817" s="74" t="str">
        <f aca="false">IF(OR(P817="",U817=""),"",MAX(0,U817-N(E817)-N(F817)-N(H817)))</f>
        <v/>
      </c>
      <c r="S817" s="75" t="str">
        <f aca="false">IF(P817="","",IFERROR(INDEX(T_INGRESO,MATCH(C817,T_ID,0)),""))</f>
        <v/>
      </c>
      <c r="T817" s="75" t="str">
        <f aca="false">IF(P817="","",IFERROR(N(INDEX(T_EGRESO,MATCH(C817,T_ID,0))),0))</f>
        <v/>
      </c>
      <c r="U817" s="73" t="str">
        <f aca="false">IF(OR(P817="",NOT(ISNUMBER(S817))),"",IF(OR(S817&gt;EOMONTH(B817,0),AND(T817&gt;0,T817&lt;B817)),0,IF(AND(S817&lt;=B817,OR(T817=0,T817&gt;=EOMONTH(B817,0))),30,MIN(30,IF(T817=0,EOMONTH(B817,0),MIN(T817,EOMONTH(B817,0)))-MAX(B817,S817)+1))))</f>
        <v/>
      </c>
    </row>
    <row r="818" customFormat="false" ht="15" hidden="false" customHeight="false" outlineLevel="0" collapsed="false">
      <c r="B818" s="78"/>
      <c r="C818" s="64"/>
      <c r="D818" s="70" t="str">
        <f aca="false">IF(C818="","",IFERROR(INDEX(T_NOMBRE,MATCH(C818,T_ID,0)),"⚠ ID no existe"))</f>
        <v/>
      </c>
      <c r="E818" s="69"/>
      <c r="F818" s="69"/>
      <c r="G818" s="69"/>
      <c r="H818" s="69"/>
      <c r="I818" s="66"/>
      <c r="J818" s="69"/>
      <c r="K818" s="67"/>
      <c r="L818" s="67"/>
      <c r="M818" s="67"/>
      <c r="N818" s="67"/>
      <c r="O818" s="64"/>
      <c r="P818" s="72" t="str">
        <f aca="false">IF(OR(B818="",C818=""),"",C818&amp;"|"&amp;(YEAR(B818)*100+MONTH(B818)))</f>
        <v/>
      </c>
      <c r="Q818" s="70" t="str">
        <f aca="false">IF(P818="","",IF(COUNTIF(N_CLAVE,P818)&gt;1,"⚠ Duplicado","OK"))</f>
        <v/>
      </c>
      <c r="R818" s="74" t="str">
        <f aca="false">IF(OR(P818="",U818=""),"",MAX(0,U818-N(E818)-N(F818)-N(H818)))</f>
        <v/>
      </c>
      <c r="S818" s="75" t="str">
        <f aca="false">IF(P818="","",IFERROR(INDEX(T_INGRESO,MATCH(C818,T_ID,0)),""))</f>
        <v/>
      </c>
      <c r="T818" s="75" t="str">
        <f aca="false">IF(P818="","",IFERROR(N(INDEX(T_EGRESO,MATCH(C818,T_ID,0))),0))</f>
        <v/>
      </c>
      <c r="U818" s="73" t="str">
        <f aca="false">IF(OR(P818="",NOT(ISNUMBER(S818))),"",IF(OR(S818&gt;EOMONTH(B818,0),AND(T818&gt;0,T818&lt;B818)),0,IF(AND(S818&lt;=B818,OR(T818=0,T818&gt;=EOMONTH(B818,0))),30,MIN(30,IF(T818=0,EOMONTH(B818,0),MIN(T818,EOMONTH(B818,0)))-MAX(B818,S818)+1))))</f>
        <v/>
      </c>
    </row>
    <row r="819" customFormat="false" ht="15" hidden="false" customHeight="false" outlineLevel="0" collapsed="false">
      <c r="B819" s="78"/>
      <c r="C819" s="64"/>
      <c r="D819" s="70" t="str">
        <f aca="false">IF(C819="","",IFERROR(INDEX(T_NOMBRE,MATCH(C819,T_ID,0)),"⚠ ID no existe"))</f>
        <v/>
      </c>
      <c r="E819" s="69"/>
      <c r="F819" s="69"/>
      <c r="G819" s="69"/>
      <c r="H819" s="69"/>
      <c r="I819" s="66"/>
      <c r="J819" s="69"/>
      <c r="K819" s="67"/>
      <c r="L819" s="67"/>
      <c r="M819" s="67"/>
      <c r="N819" s="67"/>
      <c r="O819" s="64"/>
      <c r="P819" s="72" t="str">
        <f aca="false">IF(OR(B819="",C819=""),"",C819&amp;"|"&amp;(YEAR(B819)*100+MONTH(B819)))</f>
        <v/>
      </c>
      <c r="Q819" s="70" t="str">
        <f aca="false">IF(P819="","",IF(COUNTIF(N_CLAVE,P819)&gt;1,"⚠ Duplicado","OK"))</f>
        <v/>
      </c>
      <c r="R819" s="74" t="str">
        <f aca="false">IF(OR(P819="",U819=""),"",MAX(0,U819-N(E819)-N(F819)-N(H819)))</f>
        <v/>
      </c>
      <c r="S819" s="75" t="str">
        <f aca="false">IF(P819="","",IFERROR(INDEX(T_INGRESO,MATCH(C819,T_ID,0)),""))</f>
        <v/>
      </c>
      <c r="T819" s="75" t="str">
        <f aca="false">IF(P819="","",IFERROR(N(INDEX(T_EGRESO,MATCH(C819,T_ID,0))),0))</f>
        <v/>
      </c>
      <c r="U819" s="73" t="str">
        <f aca="false">IF(OR(P819="",NOT(ISNUMBER(S819))),"",IF(OR(S819&gt;EOMONTH(B819,0),AND(T819&gt;0,T819&lt;B819)),0,IF(AND(S819&lt;=B819,OR(T819=0,T819&gt;=EOMONTH(B819,0))),30,MIN(30,IF(T819=0,EOMONTH(B819,0),MIN(T819,EOMONTH(B819,0)))-MAX(B819,S819)+1))))</f>
        <v/>
      </c>
    </row>
    <row r="820" customFormat="false" ht="15" hidden="false" customHeight="false" outlineLevel="0" collapsed="false">
      <c r="B820" s="78"/>
      <c r="C820" s="64"/>
      <c r="D820" s="70" t="str">
        <f aca="false">IF(C820="","",IFERROR(INDEX(T_NOMBRE,MATCH(C820,T_ID,0)),"⚠ ID no existe"))</f>
        <v/>
      </c>
      <c r="E820" s="69"/>
      <c r="F820" s="69"/>
      <c r="G820" s="69"/>
      <c r="H820" s="69"/>
      <c r="I820" s="66"/>
      <c r="J820" s="69"/>
      <c r="K820" s="67"/>
      <c r="L820" s="67"/>
      <c r="M820" s="67"/>
      <c r="N820" s="67"/>
      <c r="O820" s="64"/>
      <c r="P820" s="72" t="str">
        <f aca="false">IF(OR(B820="",C820=""),"",C820&amp;"|"&amp;(YEAR(B820)*100+MONTH(B820)))</f>
        <v/>
      </c>
      <c r="Q820" s="70" t="str">
        <f aca="false">IF(P820="","",IF(COUNTIF(N_CLAVE,P820)&gt;1,"⚠ Duplicado","OK"))</f>
        <v/>
      </c>
      <c r="R820" s="74" t="str">
        <f aca="false">IF(OR(P820="",U820=""),"",MAX(0,U820-N(E820)-N(F820)-N(H820)))</f>
        <v/>
      </c>
      <c r="S820" s="75" t="str">
        <f aca="false">IF(P820="","",IFERROR(INDEX(T_INGRESO,MATCH(C820,T_ID,0)),""))</f>
        <v/>
      </c>
      <c r="T820" s="75" t="str">
        <f aca="false">IF(P820="","",IFERROR(N(INDEX(T_EGRESO,MATCH(C820,T_ID,0))),0))</f>
        <v/>
      </c>
      <c r="U820" s="73" t="str">
        <f aca="false">IF(OR(P820="",NOT(ISNUMBER(S820))),"",IF(OR(S820&gt;EOMONTH(B820,0),AND(T820&gt;0,T820&lt;B820)),0,IF(AND(S820&lt;=B820,OR(T820=0,T820&gt;=EOMONTH(B820,0))),30,MIN(30,IF(T820=0,EOMONTH(B820,0),MIN(T820,EOMONTH(B820,0)))-MAX(B820,S820)+1))))</f>
        <v/>
      </c>
    </row>
    <row r="821" customFormat="false" ht="15" hidden="false" customHeight="false" outlineLevel="0" collapsed="false">
      <c r="B821" s="78"/>
      <c r="C821" s="64"/>
      <c r="D821" s="70" t="str">
        <f aca="false">IF(C821="","",IFERROR(INDEX(T_NOMBRE,MATCH(C821,T_ID,0)),"⚠ ID no existe"))</f>
        <v/>
      </c>
      <c r="E821" s="69"/>
      <c r="F821" s="69"/>
      <c r="G821" s="69"/>
      <c r="H821" s="69"/>
      <c r="I821" s="66"/>
      <c r="J821" s="69"/>
      <c r="K821" s="67"/>
      <c r="L821" s="67"/>
      <c r="M821" s="67"/>
      <c r="N821" s="67"/>
      <c r="O821" s="64"/>
      <c r="P821" s="72" t="str">
        <f aca="false">IF(OR(B821="",C821=""),"",C821&amp;"|"&amp;(YEAR(B821)*100+MONTH(B821)))</f>
        <v/>
      </c>
      <c r="Q821" s="70" t="str">
        <f aca="false">IF(P821="","",IF(COUNTIF(N_CLAVE,P821)&gt;1,"⚠ Duplicado","OK"))</f>
        <v/>
      </c>
      <c r="R821" s="74" t="str">
        <f aca="false">IF(OR(P821="",U821=""),"",MAX(0,U821-N(E821)-N(F821)-N(H821)))</f>
        <v/>
      </c>
      <c r="S821" s="75" t="str">
        <f aca="false">IF(P821="","",IFERROR(INDEX(T_INGRESO,MATCH(C821,T_ID,0)),""))</f>
        <v/>
      </c>
      <c r="T821" s="75" t="str">
        <f aca="false">IF(P821="","",IFERROR(N(INDEX(T_EGRESO,MATCH(C821,T_ID,0))),0))</f>
        <v/>
      </c>
      <c r="U821" s="73" t="str">
        <f aca="false">IF(OR(P821="",NOT(ISNUMBER(S821))),"",IF(OR(S821&gt;EOMONTH(B821,0),AND(T821&gt;0,T821&lt;B821)),0,IF(AND(S821&lt;=B821,OR(T821=0,T821&gt;=EOMONTH(B821,0))),30,MIN(30,IF(T821=0,EOMONTH(B821,0),MIN(T821,EOMONTH(B821,0)))-MAX(B821,S821)+1))))</f>
        <v/>
      </c>
    </row>
    <row r="822" customFormat="false" ht="15" hidden="false" customHeight="false" outlineLevel="0" collapsed="false">
      <c r="B822" s="78"/>
      <c r="C822" s="64"/>
      <c r="D822" s="70" t="str">
        <f aca="false">IF(C822="","",IFERROR(INDEX(T_NOMBRE,MATCH(C822,T_ID,0)),"⚠ ID no existe"))</f>
        <v/>
      </c>
      <c r="E822" s="69"/>
      <c r="F822" s="69"/>
      <c r="G822" s="69"/>
      <c r="H822" s="69"/>
      <c r="I822" s="66"/>
      <c r="J822" s="69"/>
      <c r="K822" s="67"/>
      <c r="L822" s="67"/>
      <c r="M822" s="67"/>
      <c r="N822" s="67"/>
      <c r="O822" s="64"/>
      <c r="P822" s="72" t="str">
        <f aca="false">IF(OR(B822="",C822=""),"",C822&amp;"|"&amp;(YEAR(B822)*100+MONTH(B822)))</f>
        <v/>
      </c>
      <c r="Q822" s="70" t="str">
        <f aca="false">IF(P822="","",IF(COUNTIF(N_CLAVE,P822)&gt;1,"⚠ Duplicado","OK"))</f>
        <v/>
      </c>
      <c r="R822" s="74" t="str">
        <f aca="false">IF(OR(P822="",U822=""),"",MAX(0,U822-N(E822)-N(F822)-N(H822)))</f>
        <v/>
      </c>
      <c r="S822" s="75" t="str">
        <f aca="false">IF(P822="","",IFERROR(INDEX(T_INGRESO,MATCH(C822,T_ID,0)),""))</f>
        <v/>
      </c>
      <c r="T822" s="75" t="str">
        <f aca="false">IF(P822="","",IFERROR(N(INDEX(T_EGRESO,MATCH(C822,T_ID,0))),0))</f>
        <v/>
      </c>
      <c r="U822" s="73" t="str">
        <f aca="false">IF(OR(P822="",NOT(ISNUMBER(S822))),"",IF(OR(S822&gt;EOMONTH(B822,0),AND(T822&gt;0,T822&lt;B822)),0,IF(AND(S822&lt;=B822,OR(T822=0,T822&gt;=EOMONTH(B822,0))),30,MIN(30,IF(T822=0,EOMONTH(B822,0),MIN(T822,EOMONTH(B822,0)))-MAX(B822,S822)+1))))</f>
        <v/>
      </c>
    </row>
    <row r="823" customFormat="false" ht="15" hidden="false" customHeight="false" outlineLevel="0" collapsed="false">
      <c r="B823" s="78"/>
      <c r="C823" s="64"/>
      <c r="D823" s="70" t="str">
        <f aca="false">IF(C823="","",IFERROR(INDEX(T_NOMBRE,MATCH(C823,T_ID,0)),"⚠ ID no existe"))</f>
        <v/>
      </c>
      <c r="E823" s="69"/>
      <c r="F823" s="69"/>
      <c r="G823" s="69"/>
      <c r="H823" s="69"/>
      <c r="I823" s="66"/>
      <c r="J823" s="69"/>
      <c r="K823" s="67"/>
      <c r="L823" s="67"/>
      <c r="M823" s="67"/>
      <c r="N823" s="67"/>
      <c r="O823" s="64"/>
      <c r="P823" s="72" t="str">
        <f aca="false">IF(OR(B823="",C823=""),"",C823&amp;"|"&amp;(YEAR(B823)*100+MONTH(B823)))</f>
        <v/>
      </c>
      <c r="Q823" s="70" t="str">
        <f aca="false">IF(P823="","",IF(COUNTIF(N_CLAVE,P823)&gt;1,"⚠ Duplicado","OK"))</f>
        <v/>
      </c>
      <c r="R823" s="74" t="str">
        <f aca="false">IF(OR(P823="",U823=""),"",MAX(0,U823-N(E823)-N(F823)-N(H823)))</f>
        <v/>
      </c>
      <c r="S823" s="75" t="str">
        <f aca="false">IF(P823="","",IFERROR(INDEX(T_INGRESO,MATCH(C823,T_ID,0)),""))</f>
        <v/>
      </c>
      <c r="T823" s="75" t="str">
        <f aca="false">IF(P823="","",IFERROR(N(INDEX(T_EGRESO,MATCH(C823,T_ID,0))),0))</f>
        <v/>
      </c>
      <c r="U823" s="73" t="str">
        <f aca="false">IF(OR(P823="",NOT(ISNUMBER(S823))),"",IF(OR(S823&gt;EOMONTH(B823,0),AND(T823&gt;0,T823&lt;B823)),0,IF(AND(S823&lt;=B823,OR(T823=0,T823&gt;=EOMONTH(B823,0))),30,MIN(30,IF(T823=0,EOMONTH(B823,0),MIN(T823,EOMONTH(B823,0)))-MAX(B823,S823)+1))))</f>
        <v/>
      </c>
    </row>
    <row r="824" customFormat="false" ht="15" hidden="false" customHeight="false" outlineLevel="0" collapsed="false">
      <c r="B824" s="78"/>
      <c r="C824" s="64"/>
      <c r="D824" s="70" t="str">
        <f aca="false">IF(C824="","",IFERROR(INDEX(T_NOMBRE,MATCH(C824,T_ID,0)),"⚠ ID no existe"))</f>
        <v/>
      </c>
      <c r="E824" s="69"/>
      <c r="F824" s="69"/>
      <c r="G824" s="69"/>
      <c r="H824" s="69"/>
      <c r="I824" s="66"/>
      <c r="J824" s="69"/>
      <c r="K824" s="67"/>
      <c r="L824" s="67"/>
      <c r="M824" s="67"/>
      <c r="N824" s="67"/>
      <c r="O824" s="64"/>
      <c r="P824" s="72" t="str">
        <f aca="false">IF(OR(B824="",C824=""),"",C824&amp;"|"&amp;(YEAR(B824)*100+MONTH(B824)))</f>
        <v/>
      </c>
      <c r="Q824" s="70" t="str">
        <f aca="false">IF(P824="","",IF(COUNTIF(N_CLAVE,P824)&gt;1,"⚠ Duplicado","OK"))</f>
        <v/>
      </c>
      <c r="R824" s="74" t="str">
        <f aca="false">IF(OR(P824="",U824=""),"",MAX(0,U824-N(E824)-N(F824)-N(H824)))</f>
        <v/>
      </c>
      <c r="S824" s="75" t="str">
        <f aca="false">IF(P824="","",IFERROR(INDEX(T_INGRESO,MATCH(C824,T_ID,0)),""))</f>
        <v/>
      </c>
      <c r="T824" s="75" t="str">
        <f aca="false">IF(P824="","",IFERROR(N(INDEX(T_EGRESO,MATCH(C824,T_ID,0))),0))</f>
        <v/>
      </c>
      <c r="U824" s="73" t="str">
        <f aca="false">IF(OR(P824="",NOT(ISNUMBER(S824))),"",IF(OR(S824&gt;EOMONTH(B824,0),AND(T824&gt;0,T824&lt;B824)),0,IF(AND(S824&lt;=B824,OR(T824=0,T824&gt;=EOMONTH(B824,0))),30,MIN(30,IF(T824=0,EOMONTH(B824,0),MIN(T824,EOMONTH(B824,0)))-MAX(B824,S824)+1))))</f>
        <v/>
      </c>
    </row>
    <row r="825" customFormat="false" ht="15" hidden="false" customHeight="false" outlineLevel="0" collapsed="false">
      <c r="B825" s="78"/>
      <c r="C825" s="64"/>
      <c r="D825" s="70" t="str">
        <f aca="false">IF(C825="","",IFERROR(INDEX(T_NOMBRE,MATCH(C825,T_ID,0)),"⚠ ID no existe"))</f>
        <v/>
      </c>
      <c r="E825" s="69"/>
      <c r="F825" s="69"/>
      <c r="G825" s="69"/>
      <c r="H825" s="69"/>
      <c r="I825" s="66"/>
      <c r="J825" s="69"/>
      <c r="K825" s="67"/>
      <c r="L825" s="67"/>
      <c r="M825" s="67"/>
      <c r="N825" s="67"/>
      <c r="O825" s="64"/>
      <c r="P825" s="72" t="str">
        <f aca="false">IF(OR(B825="",C825=""),"",C825&amp;"|"&amp;(YEAR(B825)*100+MONTH(B825)))</f>
        <v/>
      </c>
      <c r="Q825" s="70" t="str">
        <f aca="false">IF(P825="","",IF(COUNTIF(N_CLAVE,P825)&gt;1,"⚠ Duplicado","OK"))</f>
        <v/>
      </c>
      <c r="R825" s="74" t="str">
        <f aca="false">IF(OR(P825="",U825=""),"",MAX(0,U825-N(E825)-N(F825)-N(H825)))</f>
        <v/>
      </c>
      <c r="S825" s="75" t="str">
        <f aca="false">IF(P825="","",IFERROR(INDEX(T_INGRESO,MATCH(C825,T_ID,0)),""))</f>
        <v/>
      </c>
      <c r="T825" s="75" t="str">
        <f aca="false">IF(P825="","",IFERROR(N(INDEX(T_EGRESO,MATCH(C825,T_ID,0))),0))</f>
        <v/>
      </c>
      <c r="U825" s="73" t="str">
        <f aca="false">IF(OR(P825="",NOT(ISNUMBER(S825))),"",IF(OR(S825&gt;EOMONTH(B825,0),AND(T825&gt;0,T825&lt;B825)),0,IF(AND(S825&lt;=B825,OR(T825=0,T825&gt;=EOMONTH(B825,0))),30,MIN(30,IF(T825=0,EOMONTH(B825,0),MIN(T825,EOMONTH(B825,0)))-MAX(B825,S825)+1))))</f>
        <v/>
      </c>
    </row>
    <row r="826" customFormat="false" ht="15" hidden="false" customHeight="false" outlineLevel="0" collapsed="false">
      <c r="B826" s="78"/>
      <c r="C826" s="64"/>
      <c r="D826" s="70" t="str">
        <f aca="false">IF(C826="","",IFERROR(INDEX(T_NOMBRE,MATCH(C826,T_ID,0)),"⚠ ID no existe"))</f>
        <v/>
      </c>
      <c r="E826" s="69"/>
      <c r="F826" s="69"/>
      <c r="G826" s="69"/>
      <c r="H826" s="69"/>
      <c r="I826" s="66"/>
      <c r="J826" s="69"/>
      <c r="K826" s="67"/>
      <c r="L826" s="67"/>
      <c r="M826" s="67"/>
      <c r="N826" s="67"/>
      <c r="O826" s="64"/>
      <c r="P826" s="72" t="str">
        <f aca="false">IF(OR(B826="",C826=""),"",C826&amp;"|"&amp;(YEAR(B826)*100+MONTH(B826)))</f>
        <v/>
      </c>
      <c r="Q826" s="70" t="str">
        <f aca="false">IF(P826="","",IF(COUNTIF(N_CLAVE,P826)&gt;1,"⚠ Duplicado","OK"))</f>
        <v/>
      </c>
      <c r="R826" s="74" t="str">
        <f aca="false">IF(OR(P826="",U826=""),"",MAX(0,U826-N(E826)-N(F826)-N(H826)))</f>
        <v/>
      </c>
      <c r="S826" s="75" t="str">
        <f aca="false">IF(P826="","",IFERROR(INDEX(T_INGRESO,MATCH(C826,T_ID,0)),""))</f>
        <v/>
      </c>
      <c r="T826" s="75" t="str">
        <f aca="false">IF(P826="","",IFERROR(N(INDEX(T_EGRESO,MATCH(C826,T_ID,0))),0))</f>
        <v/>
      </c>
      <c r="U826" s="73" t="str">
        <f aca="false">IF(OR(P826="",NOT(ISNUMBER(S826))),"",IF(OR(S826&gt;EOMONTH(B826,0),AND(T826&gt;0,T826&lt;B826)),0,IF(AND(S826&lt;=B826,OR(T826=0,T826&gt;=EOMONTH(B826,0))),30,MIN(30,IF(T826=0,EOMONTH(B826,0),MIN(T826,EOMONTH(B826,0)))-MAX(B826,S826)+1))))</f>
        <v/>
      </c>
    </row>
    <row r="827" customFormat="false" ht="15" hidden="false" customHeight="false" outlineLevel="0" collapsed="false">
      <c r="B827" s="78"/>
      <c r="C827" s="64"/>
      <c r="D827" s="70" t="str">
        <f aca="false">IF(C827="","",IFERROR(INDEX(T_NOMBRE,MATCH(C827,T_ID,0)),"⚠ ID no existe"))</f>
        <v/>
      </c>
      <c r="E827" s="69"/>
      <c r="F827" s="69"/>
      <c r="G827" s="69"/>
      <c r="H827" s="69"/>
      <c r="I827" s="66"/>
      <c r="J827" s="69"/>
      <c r="K827" s="67"/>
      <c r="L827" s="67"/>
      <c r="M827" s="67"/>
      <c r="N827" s="67"/>
      <c r="O827" s="64"/>
      <c r="P827" s="72" t="str">
        <f aca="false">IF(OR(B827="",C827=""),"",C827&amp;"|"&amp;(YEAR(B827)*100+MONTH(B827)))</f>
        <v/>
      </c>
      <c r="Q827" s="70" t="str">
        <f aca="false">IF(P827="","",IF(COUNTIF(N_CLAVE,P827)&gt;1,"⚠ Duplicado","OK"))</f>
        <v/>
      </c>
      <c r="R827" s="74" t="str">
        <f aca="false">IF(OR(P827="",U827=""),"",MAX(0,U827-N(E827)-N(F827)-N(H827)))</f>
        <v/>
      </c>
      <c r="S827" s="75" t="str">
        <f aca="false">IF(P827="","",IFERROR(INDEX(T_INGRESO,MATCH(C827,T_ID,0)),""))</f>
        <v/>
      </c>
      <c r="T827" s="75" t="str">
        <f aca="false">IF(P827="","",IFERROR(N(INDEX(T_EGRESO,MATCH(C827,T_ID,0))),0))</f>
        <v/>
      </c>
      <c r="U827" s="73" t="str">
        <f aca="false">IF(OR(P827="",NOT(ISNUMBER(S827))),"",IF(OR(S827&gt;EOMONTH(B827,0),AND(T827&gt;0,T827&lt;B827)),0,IF(AND(S827&lt;=B827,OR(T827=0,T827&gt;=EOMONTH(B827,0))),30,MIN(30,IF(T827=0,EOMONTH(B827,0),MIN(T827,EOMONTH(B827,0)))-MAX(B827,S827)+1))))</f>
        <v/>
      </c>
    </row>
    <row r="828" customFormat="false" ht="15" hidden="false" customHeight="false" outlineLevel="0" collapsed="false">
      <c r="B828" s="78"/>
      <c r="C828" s="64"/>
      <c r="D828" s="70" t="str">
        <f aca="false">IF(C828="","",IFERROR(INDEX(T_NOMBRE,MATCH(C828,T_ID,0)),"⚠ ID no existe"))</f>
        <v/>
      </c>
      <c r="E828" s="69"/>
      <c r="F828" s="69"/>
      <c r="G828" s="69"/>
      <c r="H828" s="69"/>
      <c r="I828" s="66"/>
      <c r="J828" s="69"/>
      <c r="K828" s="67"/>
      <c r="L828" s="67"/>
      <c r="M828" s="67"/>
      <c r="N828" s="67"/>
      <c r="O828" s="64"/>
      <c r="P828" s="72" t="str">
        <f aca="false">IF(OR(B828="",C828=""),"",C828&amp;"|"&amp;(YEAR(B828)*100+MONTH(B828)))</f>
        <v/>
      </c>
      <c r="Q828" s="70" t="str">
        <f aca="false">IF(P828="","",IF(COUNTIF(N_CLAVE,P828)&gt;1,"⚠ Duplicado","OK"))</f>
        <v/>
      </c>
      <c r="R828" s="74" t="str">
        <f aca="false">IF(OR(P828="",U828=""),"",MAX(0,U828-N(E828)-N(F828)-N(H828)))</f>
        <v/>
      </c>
      <c r="S828" s="75" t="str">
        <f aca="false">IF(P828="","",IFERROR(INDEX(T_INGRESO,MATCH(C828,T_ID,0)),""))</f>
        <v/>
      </c>
      <c r="T828" s="75" t="str">
        <f aca="false">IF(P828="","",IFERROR(N(INDEX(T_EGRESO,MATCH(C828,T_ID,0))),0))</f>
        <v/>
      </c>
      <c r="U828" s="73" t="str">
        <f aca="false">IF(OR(P828="",NOT(ISNUMBER(S828))),"",IF(OR(S828&gt;EOMONTH(B828,0),AND(T828&gt;0,T828&lt;B828)),0,IF(AND(S828&lt;=B828,OR(T828=0,T828&gt;=EOMONTH(B828,0))),30,MIN(30,IF(T828=0,EOMONTH(B828,0),MIN(T828,EOMONTH(B828,0)))-MAX(B828,S828)+1))))</f>
        <v/>
      </c>
    </row>
    <row r="829" customFormat="false" ht="15" hidden="false" customHeight="false" outlineLevel="0" collapsed="false">
      <c r="B829" s="78"/>
      <c r="C829" s="64"/>
      <c r="D829" s="70" t="str">
        <f aca="false">IF(C829="","",IFERROR(INDEX(T_NOMBRE,MATCH(C829,T_ID,0)),"⚠ ID no existe"))</f>
        <v/>
      </c>
      <c r="E829" s="69"/>
      <c r="F829" s="69"/>
      <c r="G829" s="69"/>
      <c r="H829" s="69"/>
      <c r="I829" s="66"/>
      <c r="J829" s="69"/>
      <c r="K829" s="67"/>
      <c r="L829" s="67"/>
      <c r="M829" s="67"/>
      <c r="N829" s="67"/>
      <c r="O829" s="64"/>
      <c r="P829" s="72" t="str">
        <f aca="false">IF(OR(B829="",C829=""),"",C829&amp;"|"&amp;(YEAR(B829)*100+MONTH(B829)))</f>
        <v/>
      </c>
      <c r="Q829" s="70" t="str">
        <f aca="false">IF(P829="","",IF(COUNTIF(N_CLAVE,P829)&gt;1,"⚠ Duplicado","OK"))</f>
        <v/>
      </c>
      <c r="R829" s="74" t="str">
        <f aca="false">IF(OR(P829="",U829=""),"",MAX(0,U829-N(E829)-N(F829)-N(H829)))</f>
        <v/>
      </c>
      <c r="S829" s="75" t="str">
        <f aca="false">IF(P829="","",IFERROR(INDEX(T_INGRESO,MATCH(C829,T_ID,0)),""))</f>
        <v/>
      </c>
      <c r="T829" s="75" t="str">
        <f aca="false">IF(P829="","",IFERROR(N(INDEX(T_EGRESO,MATCH(C829,T_ID,0))),0))</f>
        <v/>
      </c>
      <c r="U829" s="73" t="str">
        <f aca="false">IF(OR(P829="",NOT(ISNUMBER(S829))),"",IF(OR(S829&gt;EOMONTH(B829,0),AND(T829&gt;0,T829&lt;B829)),0,IF(AND(S829&lt;=B829,OR(T829=0,T829&gt;=EOMONTH(B829,0))),30,MIN(30,IF(T829=0,EOMONTH(B829,0),MIN(T829,EOMONTH(B829,0)))-MAX(B829,S829)+1))))</f>
        <v/>
      </c>
    </row>
    <row r="830" customFormat="false" ht="15" hidden="false" customHeight="false" outlineLevel="0" collapsed="false">
      <c r="B830" s="78"/>
      <c r="C830" s="64"/>
      <c r="D830" s="70" t="str">
        <f aca="false">IF(C830="","",IFERROR(INDEX(T_NOMBRE,MATCH(C830,T_ID,0)),"⚠ ID no existe"))</f>
        <v/>
      </c>
      <c r="E830" s="69"/>
      <c r="F830" s="69"/>
      <c r="G830" s="69"/>
      <c r="H830" s="69"/>
      <c r="I830" s="66"/>
      <c r="J830" s="69"/>
      <c r="K830" s="67"/>
      <c r="L830" s="67"/>
      <c r="M830" s="67"/>
      <c r="N830" s="67"/>
      <c r="O830" s="64"/>
      <c r="P830" s="72" t="str">
        <f aca="false">IF(OR(B830="",C830=""),"",C830&amp;"|"&amp;(YEAR(B830)*100+MONTH(B830)))</f>
        <v/>
      </c>
      <c r="Q830" s="70" t="str">
        <f aca="false">IF(P830="","",IF(COUNTIF(N_CLAVE,P830)&gt;1,"⚠ Duplicado","OK"))</f>
        <v/>
      </c>
      <c r="R830" s="74" t="str">
        <f aca="false">IF(OR(P830="",U830=""),"",MAX(0,U830-N(E830)-N(F830)-N(H830)))</f>
        <v/>
      </c>
      <c r="S830" s="75" t="str">
        <f aca="false">IF(P830="","",IFERROR(INDEX(T_INGRESO,MATCH(C830,T_ID,0)),""))</f>
        <v/>
      </c>
      <c r="T830" s="75" t="str">
        <f aca="false">IF(P830="","",IFERROR(N(INDEX(T_EGRESO,MATCH(C830,T_ID,0))),0))</f>
        <v/>
      </c>
      <c r="U830" s="73" t="str">
        <f aca="false">IF(OR(P830="",NOT(ISNUMBER(S830))),"",IF(OR(S830&gt;EOMONTH(B830,0),AND(T830&gt;0,T830&lt;B830)),0,IF(AND(S830&lt;=B830,OR(T830=0,T830&gt;=EOMONTH(B830,0))),30,MIN(30,IF(T830=0,EOMONTH(B830,0),MIN(T830,EOMONTH(B830,0)))-MAX(B830,S830)+1))))</f>
        <v/>
      </c>
    </row>
    <row r="831" customFormat="false" ht="15" hidden="false" customHeight="false" outlineLevel="0" collapsed="false">
      <c r="B831" s="78"/>
      <c r="C831" s="64"/>
      <c r="D831" s="70" t="str">
        <f aca="false">IF(C831="","",IFERROR(INDEX(T_NOMBRE,MATCH(C831,T_ID,0)),"⚠ ID no existe"))</f>
        <v/>
      </c>
      <c r="E831" s="69"/>
      <c r="F831" s="69"/>
      <c r="G831" s="69"/>
      <c r="H831" s="69"/>
      <c r="I831" s="66"/>
      <c r="J831" s="69"/>
      <c r="K831" s="67"/>
      <c r="L831" s="67"/>
      <c r="M831" s="67"/>
      <c r="N831" s="67"/>
      <c r="O831" s="64"/>
      <c r="P831" s="72" t="str">
        <f aca="false">IF(OR(B831="",C831=""),"",C831&amp;"|"&amp;(YEAR(B831)*100+MONTH(B831)))</f>
        <v/>
      </c>
      <c r="Q831" s="70" t="str">
        <f aca="false">IF(P831="","",IF(COUNTIF(N_CLAVE,P831)&gt;1,"⚠ Duplicado","OK"))</f>
        <v/>
      </c>
      <c r="R831" s="74" t="str">
        <f aca="false">IF(OR(P831="",U831=""),"",MAX(0,U831-N(E831)-N(F831)-N(H831)))</f>
        <v/>
      </c>
      <c r="S831" s="75" t="str">
        <f aca="false">IF(P831="","",IFERROR(INDEX(T_INGRESO,MATCH(C831,T_ID,0)),""))</f>
        <v/>
      </c>
      <c r="T831" s="75" t="str">
        <f aca="false">IF(P831="","",IFERROR(N(INDEX(T_EGRESO,MATCH(C831,T_ID,0))),0))</f>
        <v/>
      </c>
      <c r="U831" s="73" t="str">
        <f aca="false">IF(OR(P831="",NOT(ISNUMBER(S831))),"",IF(OR(S831&gt;EOMONTH(B831,0),AND(T831&gt;0,T831&lt;B831)),0,IF(AND(S831&lt;=B831,OR(T831=0,T831&gt;=EOMONTH(B831,0))),30,MIN(30,IF(T831=0,EOMONTH(B831,0),MIN(T831,EOMONTH(B831,0)))-MAX(B831,S831)+1))))</f>
        <v/>
      </c>
    </row>
    <row r="832" customFormat="false" ht="15" hidden="false" customHeight="false" outlineLevel="0" collapsed="false">
      <c r="B832" s="78"/>
      <c r="C832" s="64"/>
      <c r="D832" s="70" t="str">
        <f aca="false">IF(C832="","",IFERROR(INDEX(T_NOMBRE,MATCH(C832,T_ID,0)),"⚠ ID no existe"))</f>
        <v/>
      </c>
      <c r="E832" s="69"/>
      <c r="F832" s="69"/>
      <c r="G832" s="69"/>
      <c r="H832" s="69"/>
      <c r="I832" s="66"/>
      <c r="J832" s="69"/>
      <c r="K832" s="67"/>
      <c r="L832" s="67"/>
      <c r="M832" s="67"/>
      <c r="N832" s="67"/>
      <c r="O832" s="64"/>
      <c r="P832" s="72" t="str">
        <f aca="false">IF(OR(B832="",C832=""),"",C832&amp;"|"&amp;(YEAR(B832)*100+MONTH(B832)))</f>
        <v/>
      </c>
      <c r="Q832" s="70" t="str">
        <f aca="false">IF(P832="","",IF(COUNTIF(N_CLAVE,P832)&gt;1,"⚠ Duplicado","OK"))</f>
        <v/>
      </c>
      <c r="R832" s="74" t="str">
        <f aca="false">IF(OR(P832="",U832=""),"",MAX(0,U832-N(E832)-N(F832)-N(H832)))</f>
        <v/>
      </c>
      <c r="S832" s="75" t="str">
        <f aca="false">IF(P832="","",IFERROR(INDEX(T_INGRESO,MATCH(C832,T_ID,0)),""))</f>
        <v/>
      </c>
      <c r="T832" s="75" t="str">
        <f aca="false">IF(P832="","",IFERROR(N(INDEX(T_EGRESO,MATCH(C832,T_ID,0))),0))</f>
        <v/>
      </c>
      <c r="U832" s="73" t="str">
        <f aca="false">IF(OR(P832="",NOT(ISNUMBER(S832))),"",IF(OR(S832&gt;EOMONTH(B832,0),AND(T832&gt;0,T832&lt;B832)),0,IF(AND(S832&lt;=B832,OR(T832=0,T832&gt;=EOMONTH(B832,0))),30,MIN(30,IF(T832=0,EOMONTH(B832,0),MIN(T832,EOMONTH(B832,0)))-MAX(B832,S832)+1))))</f>
        <v/>
      </c>
    </row>
    <row r="833" customFormat="false" ht="15" hidden="false" customHeight="false" outlineLevel="0" collapsed="false">
      <c r="B833" s="78"/>
      <c r="C833" s="64"/>
      <c r="D833" s="70" t="str">
        <f aca="false">IF(C833="","",IFERROR(INDEX(T_NOMBRE,MATCH(C833,T_ID,0)),"⚠ ID no existe"))</f>
        <v/>
      </c>
      <c r="E833" s="69"/>
      <c r="F833" s="69"/>
      <c r="G833" s="69"/>
      <c r="H833" s="69"/>
      <c r="I833" s="66"/>
      <c r="J833" s="69"/>
      <c r="K833" s="67"/>
      <c r="L833" s="67"/>
      <c r="M833" s="67"/>
      <c r="N833" s="67"/>
      <c r="O833" s="64"/>
      <c r="P833" s="72" t="str">
        <f aca="false">IF(OR(B833="",C833=""),"",C833&amp;"|"&amp;(YEAR(B833)*100+MONTH(B833)))</f>
        <v/>
      </c>
      <c r="Q833" s="70" t="str">
        <f aca="false">IF(P833="","",IF(COUNTIF(N_CLAVE,P833)&gt;1,"⚠ Duplicado","OK"))</f>
        <v/>
      </c>
      <c r="R833" s="74" t="str">
        <f aca="false">IF(OR(P833="",U833=""),"",MAX(0,U833-N(E833)-N(F833)-N(H833)))</f>
        <v/>
      </c>
      <c r="S833" s="75" t="str">
        <f aca="false">IF(P833="","",IFERROR(INDEX(T_INGRESO,MATCH(C833,T_ID,0)),""))</f>
        <v/>
      </c>
      <c r="T833" s="75" t="str">
        <f aca="false">IF(P833="","",IFERROR(N(INDEX(T_EGRESO,MATCH(C833,T_ID,0))),0))</f>
        <v/>
      </c>
      <c r="U833" s="73" t="str">
        <f aca="false">IF(OR(P833="",NOT(ISNUMBER(S833))),"",IF(OR(S833&gt;EOMONTH(B833,0),AND(T833&gt;0,T833&lt;B833)),0,IF(AND(S833&lt;=B833,OR(T833=0,T833&gt;=EOMONTH(B833,0))),30,MIN(30,IF(T833=0,EOMONTH(B833,0),MIN(T833,EOMONTH(B833,0)))-MAX(B833,S833)+1))))</f>
        <v/>
      </c>
    </row>
    <row r="834" customFormat="false" ht="15" hidden="false" customHeight="false" outlineLevel="0" collapsed="false">
      <c r="B834" s="78"/>
      <c r="C834" s="64"/>
      <c r="D834" s="70" t="str">
        <f aca="false">IF(C834="","",IFERROR(INDEX(T_NOMBRE,MATCH(C834,T_ID,0)),"⚠ ID no existe"))</f>
        <v/>
      </c>
      <c r="E834" s="69"/>
      <c r="F834" s="69"/>
      <c r="G834" s="69"/>
      <c r="H834" s="69"/>
      <c r="I834" s="66"/>
      <c r="J834" s="69"/>
      <c r="K834" s="67"/>
      <c r="L834" s="67"/>
      <c r="M834" s="67"/>
      <c r="N834" s="67"/>
      <c r="O834" s="64"/>
      <c r="P834" s="72" t="str">
        <f aca="false">IF(OR(B834="",C834=""),"",C834&amp;"|"&amp;(YEAR(B834)*100+MONTH(B834)))</f>
        <v/>
      </c>
      <c r="Q834" s="70" t="str">
        <f aca="false">IF(P834="","",IF(COUNTIF(N_CLAVE,P834)&gt;1,"⚠ Duplicado","OK"))</f>
        <v/>
      </c>
      <c r="R834" s="74" t="str">
        <f aca="false">IF(OR(P834="",U834=""),"",MAX(0,U834-N(E834)-N(F834)-N(H834)))</f>
        <v/>
      </c>
      <c r="S834" s="75" t="str">
        <f aca="false">IF(P834="","",IFERROR(INDEX(T_INGRESO,MATCH(C834,T_ID,0)),""))</f>
        <v/>
      </c>
      <c r="T834" s="75" t="str">
        <f aca="false">IF(P834="","",IFERROR(N(INDEX(T_EGRESO,MATCH(C834,T_ID,0))),0))</f>
        <v/>
      </c>
      <c r="U834" s="73" t="str">
        <f aca="false">IF(OR(P834="",NOT(ISNUMBER(S834))),"",IF(OR(S834&gt;EOMONTH(B834,0),AND(T834&gt;0,T834&lt;B834)),0,IF(AND(S834&lt;=B834,OR(T834=0,T834&gt;=EOMONTH(B834,0))),30,MIN(30,IF(T834=0,EOMONTH(B834,0),MIN(T834,EOMONTH(B834,0)))-MAX(B834,S834)+1))))</f>
        <v/>
      </c>
    </row>
    <row r="835" customFormat="false" ht="15" hidden="false" customHeight="false" outlineLevel="0" collapsed="false">
      <c r="B835" s="78"/>
      <c r="C835" s="64"/>
      <c r="D835" s="70" t="str">
        <f aca="false">IF(C835="","",IFERROR(INDEX(T_NOMBRE,MATCH(C835,T_ID,0)),"⚠ ID no existe"))</f>
        <v/>
      </c>
      <c r="E835" s="69"/>
      <c r="F835" s="69"/>
      <c r="G835" s="69"/>
      <c r="H835" s="69"/>
      <c r="I835" s="66"/>
      <c r="J835" s="69"/>
      <c r="K835" s="67"/>
      <c r="L835" s="67"/>
      <c r="M835" s="67"/>
      <c r="N835" s="67"/>
      <c r="O835" s="64"/>
      <c r="P835" s="72" t="str">
        <f aca="false">IF(OR(B835="",C835=""),"",C835&amp;"|"&amp;(YEAR(B835)*100+MONTH(B835)))</f>
        <v/>
      </c>
      <c r="Q835" s="70" t="str">
        <f aca="false">IF(P835="","",IF(COUNTIF(N_CLAVE,P835)&gt;1,"⚠ Duplicado","OK"))</f>
        <v/>
      </c>
      <c r="R835" s="74" t="str">
        <f aca="false">IF(OR(P835="",U835=""),"",MAX(0,U835-N(E835)-N(F835)-N(H835)))</f>
        <v/>
      </c>
      <c r="S835" s="75" t="str">
        <f aca="false">IF(P835="","",IFERROR(INDEX(T_INGRESO,MATCH(C835,T_ID,0)),""))</f>
        <v/>
      </c>
      <c r="T835" s="75" t="str">
        <f aca="false">IF(P835="","",IFERROR(N(INDEX(T_EGRESO,MATCH(C835,T_ID,0))),0))</f>
        <v/>
      </c>
      <c r="U835" s="73" t="str">
        <f aca="false">IF(OR(P835="",NOT(ISNUMBER(S835))),"",IF(OR(S835&gt;EOMONTH(B835,0),AND(T835&gt;0,T835&lt;B835)),0,IF(AND(S835&lt;=B835,OR(T835=0,T835&gt;=EOMONTH(B835,0))),30,MIN(30,IF(T835=0,EOMONTH(B835,0),MIN(T835,EOMONTH(B835,0)))-MAX(B835,S835)+1))))</f>
        <v/>
      </c>
    </row>
    <row r="836" customFormat="false" ht="15" hidden="false" customHeight="false" outlineLevel="0" collapsed="false">
      <c r="B836" s="78"/>
      <c r="C836" s="64"/>
      <c r="D836" s="70" t="str">
        <f aca="false">IF(C836="","",IFERROR(INDEX(T_NOMBRE,MATCH(C836,T_ID,0)),"⚠ ID no existe"))</f>
        <v/>
      </c>
      <c r="E836" s="69"/>
      <c r="F836" s="69"/>
      <c r="G836" s="69"/>
      <c r="H836" s="69"/>
      <c r="I836" s="66"/>
      <c r="J836" s="69"/>
      <c r="K836" s="67"/>
      <c r="L836" s="67"/>
      <c r="M836" s="67"/>
      <c r="N836" s="67"/>
      <c r="O836" s="64"/>
      <c r="P836" s="72" t="str">
        <f aca="false">IF(OR(B836="",C836=""),"",C836&amp;"|"&amp;(YEAR(B836)*100+MONTH(B836)))</f>
        <v/>
      </c>
      <c r="Q836" s="70" t="str">
        <f aca="false">IF(P836="","",IF(COUNTIF(N_CLAVE,P836)&gt;1,"⚠ Duplicado","OK"))</f>
        <v/>
      </c>
      <c r="R836" s="74" t="str">
        <f aca="false">IF(OR(P836="",U836=""),"",MAX(0,U836-N(E836)-N(F836)-N(H836)))</f>
        <v/>
      </c>
      <c r="S836" s="75" t="str">
        <f aca="false">IF(P836="","",IFERROR(INDEX(T_INGRESO,MATCH(C836,T_ID,0)),""))</f>
        <v/>
      </c>
      <c r="T836" s="75" t="str">
        <f aca="false">IF(P836="","",IFERROR(N(INDEX(T_EGRESO,MATCH(C836,T_ID,0))),0))</f>
        <v/>
      </c>
      <c r="U836" s="73" t="str">
        <f aca="false">IF(OR(P836="",NOT(ISNUMBER(S836))),"",IF(OR(S836&gt;EOMONTH(B836,0),AND(T836&gt;0,T836&lt;B836)),0,IF(AND(S836&lt;=B836,OR(T836=0,T836&gt;=EOMONTH(B836,0))),30,MIN(30,IF(T836=0,EOMONTH(B836,0),MIN(T836,EOMONTH(B836,0)))-MAX(B836,S836)+1))))</f>
        <v/>
      </c>
    </row>
    <row r="837" customFormat="false" ht="15" hidden="false" customHeight="false" outlineLevel="0" collapsed="false">
      <c r="B837" s="78"/>
      <c r="C837" s="64"/>
      <c r="D837" s="70" t="str">
        <f aca="false">IF(C837="","",IFERROR(INDEX(T_NOMBRE,MATCH(C837,T_ID,0)),"⚠ ID no existe"))</f>
        <v/>
      </c>
      <c r="E837" s="69"/>
      <c r="F837" s="69"/>
      <c r="G837" s="69"/>
      <c r="H837" s="69"/>
      <c r="I837" s="66"/>
      <c r="J837" s="69"/>
      <c r="K837" s="67"/>
      <c r="L837" s="67"/>
      <c r="M837" s="67"/>
      <c r="N837" s="67"/>
      <c r="O837" s="64"/>
      <c r="P837" s="72" t="str">
        <f aca="false">IF(OR(B837="",C837=""),"",C837&amp;"|"&amp;(YEAR(B837)*100+MONTH(B837)))</f>
        <v/>
      </c>
      <c r="Q837" s="70" t="str">
        <f aca="false">IF(P837="","",IF(COUNTIF(N_CLAVE,P837)&gt;1,"⚠ Duplicado","OK"))</f>
        <v/>
      </c>
      <c r="R837" s="74" t="str">
        <f aca="false">IF(OR(P837="",U837=""),"",MAX(0,U837-N(E837)-N(F837)-N(H837)))</f>
        <v/>
      </c>
      <c r="S837" s="75" t="str">
        <f aca="false">IF(P837="","",IFERROR(INDEX(T_INGRESO,MATCH(C837,T_ID,0)),""))</f>
        <v/>
      </c>
      <c r="T837" s="75" t="str">
        <f aca="false">IF(P837="","",IFERROR(N(INDEX(T_EGRESO,MATCH(C837,T_ID,0))),0))</f>
        <v/>
      </c>
      <c r="U837" s="73" t="str">
        <f aca="false">IF(OR(P837="",NOT(ISNUMBER(S837))),"",IF(OR(S837&gt;EOMONTH(B837,0),AND(T837&gt;0,T837&lt;B837)),0,IF(AND(S837&lt;=B837,OR(T837=0,T837&gt;=EOMONTH(B837,0))),30,MIN(30,IF(T837=0,EOMONTH(B837,0),MIN(T837,EOMONTH(B837,0)))-MAX(B837,S837)+1))))</f>
        <v/>
      </c>
    </row>
    <row r="838" customFormat="false" ht="15" hidden="false" customHeight="false" outlineLevel="0" collapsed="false">
      <c r="B838" s="78"/>
      <c r="C838" s="64"/>
      <c r="D838" s="70" t="str">
        <f aca="false">IF(C838="","",IFERROR(INDEX(T_NOMBRE,MATCH(C838,T_ID,0)),"⚠ ID no existe"))</f>
        <v/>
      </c>
      <c r="E838" s="69"/>
      <c r="F838" s="69"/>
      <c r="G838" s="69"/>
      <c r="H838" s="69"/>
      <c r="I838" s="66"/>
      <c r="J838" s="69"/>
      <c r="K838" s="67"/>
      <c r="L838" s="67"/>
      <c r="M838" s="67"/>
      <c r="N838" s="67"/>
      <c r="O838" s="64"/>
      <c r="P838" s="72" t="str">
        <f aca="false">IF(OR(B838="",C838=""),"",C838&amp;"|"&amp;(YEAR(B838)*100+MONTH(B838)))</f>
        <v/>
      </c>
      <c r="Q838" s="70" t="str">
        <f aca="false">IF(P838="","",IF(COUNTIF(N_CLAVE,P838)&gt;1,"⚠ Duplicado","OK"))</f>
        <v/>
      </c>
      <c r="R838" s="74" t="str">
        <f aca="false">IF(OR(P838="",U838=""),"",MAX(0,U838-N(E838)-N(F838)-N(H838)))</f>
        <v/>
      </c>
      <c r="S838" s="75" t="str">
        <f aca="false">IF(P838="","",IFERROR(INDEX(T_INGRESO,MATCH(C838,T_ID,0)),""))</f>
        <v/>
      </c>
      <c r="T838" s="75" t="str">
        <f aca="false">IF(P838="","",IFERROR(N(INDEX(T_EGRESO,MATCH(C838,T_ID,0))),0))</f>
        <v/>
      </c>
      <c r="U838" s="73" t="str">
        <f aca="false">IF(OR(P838="",NOT(ISNUMBER(S838))),"",IF(OR(S838&gt;EOMONTH(B838,0),AND(T838&gt;0,T838&lt;B838)),0,IF(AND(S838&lt;=B838,OR(T838=0,T838&gt;=EOMONTH(B838,0))),30,MIN(30,IF(T838=0,EOMONTH(B838,0),MIN(T838,EOMONTH(B838,0)))-MAX(B838,S838)+1))))</f>
        <v/>
      </c>
    </row>
    <row r="839" customFormat="false" ht="15" hidden="false" customHeight="false" outlineLevel="0" collapsed="false">
      <c r="B839" s="78"/>
      <c r="C839" s="64"/>
      <c r="D839" s="70" t="str">
        <f aca="false">IF(C839="","",IFERROR(INDEX(T_NOMBRE,MATCH(C839,T_ID,0)),"⚠ ID no existe"))</f>
        <v/>
      </c>
      <c r="E839" s="69"/>
      <c r="F839" s="69"/>
      <c r="G839" s="69"/>
      <c r="H839" s="69"/>
      <c r="I839" s="66"/>
      <c r="J839" s="69"/>
      <c r="K839" s="67"/>
      <c r="L839" s="67"/>
      <c r="M839" s="67"/>
      <c r="N839" s="67"/>
      <c r="O839" s="64"/>
      <c r="P839" s="72" t="str">
        <f aca="false">IF(OR(B839="",C839=""),"",C839&amp;"|"&amp;(YEAR(B839)*100+MONTH(B839)))</f>
        <v/>
      </c>
      <c r="Q839" s="70" t="str">
        <f aca="false">IF(P839="","",IF(COUNTIF(N_CLAVE,P839)&gt;1,"⚠ Duplicado","OK"))</f>
        <v/>
      </c>
      <c r="R839" s="74" t="str">
        <f aca="false">IF(OR(P839="",U839=""),"",MAX(0,U839-N(E839)-N(F839)-N(H839)))</f>
        <v/>
      </c>
      <c r="S839" s="75" t="str">
        <f aca="false">IF(P839="","",IFERROR(INDEX(T_INGRESO,MATCH(C839,T_ID,0)),""))</f>
        <v/>
      </c>
      <c r="T839" s="75" t="str">
        <f aca="false">IF(P839="","",IFERROR(N(INDEX(T_EGRESO,MATCH(C839,T_ID,0))),0))</f>
        <v/>
      </c>
      <c r="U839" s="73" t="str">
        <f aca="false">IF(OR(P839="",NOT(ISNUMBER(S839))),"",IF(OR(S839&gt;EOMONTH(B839,0),AND(T839&gt;0,T839&lt;B839)),0,IF(AND(S839&lt;=B839,OR(T839=0,T839&gt;=EOMONTH(B839,0))),30,MIN(30,IF(T839=0,EOMONTH(B839,0),MIN(T839,EOMONTH(B839,0)))-MAX(B839,S839)+1))))</f>
        <v/>
      </c>
    </row>
    <row r="840" customFormat="false" ht="15" hidden="false" customHeight="false" outlineLevel="0" collapsed="false">
      <c r="B840" s="78"/>
      <c r="C840" s="64"/>
      <c r="D840" s="70" t="str">
        <f aca="false">IF(C840="","",IFERROR(INDEX(T_NOMBRE,MATCH(C840,T_ID,0)),"⚠ ID no existe"))</f>
        <v/>
      </c>
      <c r="E840" s="69"/>
      <c r="F840" s="69"/>
      <c r="G840" s="69"/>
      <c r="H840" s="69"/>
      <c r="I840" s="66"/>
      <c r="J840" s="69"/>
      <c r="K840" s="67"/>
      <c r="L840" s="67"/>
      <c r="M840" s="67"/>
      <c r="N840" s="67"/>
      <c r="O840" s="64"/>
      <c r="P840" s="72" t="str">
        <f aca="false">IF(OR(B840="",C840=""),"",C840&amp;"|"&amp;(YEAR(B840)*100+MONTH(B840)))</f>
        <v/>
      </c>
      <c r="Q840" s="70" t="str">
        <f aca="false">IF(P840="","",IF(COUNTIF(N_CLAVE,P840)&gt;1,"⚠ Duplicado","OK"))</f>
        <v/>
      </c>
      <c r="R840" s="74" t="str">
        <f aca="false">IF(OR(P840="",U840=""),"",MAX(0,U840-N(E840)-N(F840)-N(H840)))</f>
        <v/>
      </c>
      <c r="S840" s="75" t="str">
        <f aca="false">IF(P840="","",IFERROR(INDEX(T_INGRESO,MATCH(C840,T_ID,0)),""))</f>
        <v/>
      </c>
      <c r="T840" s="75" t="str">
        <f aca="false">IF(P840="","",IFERROR(N(INDEX(T_EGRESO,MATCH(C840,T_ID,0))),0))</f>
        <v/>
      </c>
      <c r="U840" s="73" t="str">
        <f aca="false">IF(OR(P840="",NOT(ISNUMBER(S840))),"",IF(OR(S840&gt;EOMONTH(B840,0),AND(T840&gt;0,T840&lt;B840)),0,IF(AND(S840&lt;=B840,OR(T840=0,T840&gt;=EOMONTH(B840,0))),30,MIN(30,IF(T840=0,EOMONTH(B840,0),MIN(T840,EOMONTH(B840,0)))-MAX(B840,S840)+1))))</f>
        <v/>
      </c>
    </row>
    <row r="841" customFormat="false" ht="15" hidden="false" customHeight="false" outlineLevel="0" collapsed="false">
      <c r="B841" s="78"/>
      <c r="C841" s="64"/>
      <c r="D841" s="70" t="str">
        <f aca="false">IF(C841="","",IFERROR(INDEX(T_NOMBRE,MATCH(C841,T_ID,0)),"⚠ ID no existe"))</f>
        <v/>
      </c>
      <c r="E841" s="69"/>
      <c r="F841" s="69"/>
      <c r="G841" s="69"/>
      <c r="H841" s="69"/>
      <c r="I841" s="66"/>
      <c r="J841" s="69"/>
      <c r="K841" s="67"/>
      <c r="L841" s="67"/>
      <c r="M841" s="67"/>
      <c r="N841" s="67"/>
      <c r="O841" s="64"/>
      <c r="P841" s="72" t="str">
        <f aca="false">IF(OR(B841="",C841=""),"",C841&amp;"|"&amp;(YEAR(B841)*100+MONTH(B841)))</f>
        <v/>
      </c>
      <c r="Q841" s="70" t="str">
        <f aca="false">IF(P841="","",IF(COUNTIF(N_CLAVE,P841)&gt;1,"⚠ Duplicado","OK"))</f>
        <v/>
      </c>
      <c r="R841" s="74" t="str">
        <f aca="false">IF(OR(P841="",U841=""),"",MAX(0,U841-N(E841)-N(F841)-N(H841)))</f>
        <v/>
      </c>
      <c r="S841" s="75" t="str">
        <f aca="false">IF(P841="","",IFERROR(INDEX(T_INGRESO,MATCH(C841,T_ID,0)),""))</f>
        <v/>
      </c>
      <c r="T841" s="75" t="str">
        <f aca="false">IF(P841="","",IFERROR(N(INDEX(T_EGRESO,MATCH(C841,T_ID,0))),0))</f>
        <v/>
      </c>
      <c r="U841" s="73" t="str">
        <f aca="false">IF(OR(P841="",NOT(ISNUMBER(S841))),"",IF(OR(S841&gt;EOMONTH(B841,0),AND(T841&gt;0,T841&lt;B841)),0,IF(AND(S841&lt;=B841,OR(T841=0,T841&gt;=EOMONTH(B841,0))),30,MIN(30,IF(T841=0,EOMONTH(B841,0),MIN(T841,EOMONTH(B841,0)))-MAX(B841,S841)+1))))</f>
        <v/>
      </c>
    </row>
    <row r="842" customFormat="false" ht="15" hidden="false" customHeight="false" outlineLevel="0" collapsed="false">
      <c r="B842" s="78"/>
      <c r="C842" s="64"/>
      <c r="D842" s="70" t="str">
        <f aca="false">IF(C842="","",IFERROR(INDEX(T_NOMBRE,MATCH(C842,T_ID,0)),"⚠ ID no existe"))</f>
        <v/>
      </c>
      <c r="E842" s="69"/>
      <c r="F842" s="69"/>
      <c r="G842" s="69"/>
      <c r="H842" s="69"/>
      <c r="I842" s="66"/>
      <c r="J842" s="69"/>
      <c r="K842" s="67"/>
      <c r="L842" s="67"/>
      <c r="M842" s="67"/>
      <c r="N842" s="67"/>
      <c r="O842" s="64"/>
      <c r="P842" s="72" t="str">
        <f aca="false">IF(OR(B842="",C842=""),"",C842&amp;"|"&amp;(YEAR(B842)*100+MONTH(B842)))</f>
        <v/>
      </c>
      <c r="Q842" s="70" t="str">
        <f aca="false">IF(P842="","",IF(COUNTIF(N_CLAVE,P842)&gt;1,"⚠ Duplicado","OK"))</f>
        <v/>
      </c>
      <c r="R842" s="74" t="str">
        <f aca="false">IF(OR(P842="",U842=""),"",MAX(0,U842-N(E842)-N(F842)-N(H842)))</f>
        <v/>
      </c>
      <c r="S842" s="75" t="str">
        <f aca="false">IF(P842="","",IFERROR(INDEX(T_INGRESO,MATCH(C842,T_ID,0)),""))</f>
        <v/>
      </c>
      <c r="T842" s="75" t="str">
        <f aca="false">IF(P842="","",IFERROR(N(INDEX(T_EGRESO,MATCH(C842,T_ID,0))),0))</f>
        <v/>
      </c>
      <c r="U842" s="73" t="str">
        <f aca="false">IF(OR(P842="",NOT(ISNUMBER(S842))),"",IF(OR(S842&gt;EOMONTH(B842,0),AND(T842&gt;0,T842&lt;B842)),0,IF(AND(S842&lt;=B842,OR(T842=0,T842&gt;=EOMONTH(B842,0))),30,MIN(30,IF(T842=0,EOMONTH(B842,0),MIN(T842,EOMONTH(B842,0)))-MAX(B842,S842)+1))))</f>
        <v/>
      </c>
    </row>
    <row r="843" customFormat="false" ht="15" hidden="false" customHeight="false" outlineLevel="0" collapsed="false">
      <c r="B843" s="78"/>
      <c r="C843" s="64"/>
      <c r="D843" s="70" t="str">
        <f aca="false">IF(C843="","",IFERROR(INDEX(T_NOMBRE,MATCH(C843,T_ID,0)),"⚠ ID no existe"))</f>
        <v/>
      </c>
      <c r="E843" s="69"/>
      <c r="F843" s="69"/>
      <c r="G843" s="69"/>
      <c r="H843" s="69"/>
      <c r="I843" s="66"/>
      <c r="J843" s="69"/>
      <c r="K843" s="67"/>
      <c r="L843" s="67"/>
      <c r="M843" s="67"/>
      <c r="N843" s="67"/>
      <c r="O843" s="64"/>
      <c r="P843" s="72" t="str">
        <f aca="false">IF(OR(B843="",C843=""),"",C843&amp;"|"&amp;(YEAR(B843)*100+MONTH(B843)))</f>
        <v/>
      </c>
      <c r="Q843" s="70" t="str">
        <f aca="false">IF(P843="","",IF(COUNTIF(N_CLAVE,P843)&gt;1,"⚠ Duplicado","OK"))</f>
        <v/>
      </c>
      <c r="R843" s="74" t="str">
        <f aca="false">IF(OR(P843="",U843=""),"",MAX(0,U843-N(E843)-N(F843)-N(H843)))</f>
        <v/>
      </c>
      <c r="S843" s="75" t="str">
        <f aca="false">IF(P843="","",IFERROR(INDEX(T_INGRESO,MATCH(C843,T_ID,0)),""))</f>
        <v/>
      </c>
      <c r="T843" s="75" t="str">
        <f aca="false">IF(P843="","",IFERROR(N(INDEX(T_EGRESO,MATCH(C843,T_ID,0))),0))</f>
        <v/>
      </c>
      <c r="U843" s="73" t="str">
        <f aca="false">IF(OR(P843="",NOT(ISNUMBER(S843))),"",IF(OR(S843&gt;EOMONTH(B843,0),AND(T843&gt;0,T843&lt;B843)),0,IF(AND(S843&lt;=B843,OR(T843=0,T843&gt;=EOMONTH(B843,0))),30,MIN(30,IF(T843=0,EOMONTH(B843,0),MIN(T843,EOMONTH(B843,0)))-MAX(B843,S843)+1))))</f>
        <v/>
      </c>
    </row>
    <row r="844" customFormat="false" ht="15" hidden="false" customHeight="false" outlineLevel="0" collapsed="false">
      <c r="B844" s="78"/>
      <c r="C844" s="64"/>
      <c r="D844" s="70" t="str">
        <f aca="false">IF(C844="","",IFERROR(INDEX(T_NOMBRE,MATCH(C844,T_ID,0)),"⚠ ID no existe"))</f>
        <v/>
      </c>
      <c r="E844" s="69"/>
      <c r="F844" s="69"/>
      <c r="G844" s="69"/>
      <c r="H844" s="69"/>
      <c r="I844" s="66"/>
      <c r="J844" s="69"/>
      <c r="K844" s="67"/>
      <c r="L844" s="67"/>
      <c r="M844" s="67"/>
      <c r="N844" s="67"/>
      <c r="O844" s="64"/>
      <c r="P844" s="72" t="str">
        <f aca="false">IF(OR(B844="",C844=""),"",C844&amp;"|"&amp;(YEAR(B844)*100+MONTH(B844)))</f>
        <v/>
      </c>
      <c r="Q844" s="70" t="str">
        <f aca="false">IF(P844="","",IF(COUNTIF(N_CLAVE,P844)&gt;1,"⚠ Duplicado","OK"))</f>
        <v/>
      </c>
      <c r="R844" s="74" t="str">
        <f aca="false">IF(OR(P844="",U844=""),"",MAX(0,U844-N(E844)-N(F844)-N(H844)))</f>
        <v/>
      </c>
      <c r="S844" s="75" t="str">
        <f aca="false">IF(P844="","",IFERROR(INDEX(T_INGRESO,MATCH(C844,T_ID,0)),""))</f>
        <v/>
      </c>
      <c r="T844" s="75" t="str">
        <f aca="false">IF(P844="","",IFERROR(N(INDEX(T_EGRESO,MATCH(C844,T_ID,0))),0))</f>
        <v/>
      </c>
      <c r="U844" s="73" t="str">
        <f aca="false">IF(OR(P844="",NOT(ISNUMBER(S844))),"",IF(OR(S844&gt;EOMONTH(B844,0),AND(T844&gt;0,T844&lt;B844)),0,IF(AND(S844&lt;=B844,OR(T844=0,T844&gt;=EOMONTH(B844,0))),30,MIN(30,IF(T844=0,EOMONTH(B844,0),MIN(T844,EOMONTH(B844,0)))-MAX(B844,S844)+1))))</f>
        <v/>
      </c>
    </row>
    <row r="845" customFormat="false" ht="15" hidden="false" customHeight="false" outlineLevel="0" collapsed="false">
      <c r="B845" s="78"/>
      <c r="C845" s="64"/>
      <c r="D845" s="70" t="str">
        <f aca="false">IF(C845="","",IFERROR(INDEX(T_NOMBRE,MATCH(C845,T_ID,0)),"⚠ ID no existe"))</f>
        <v/>
      </c>
      <c r="E845" s="69"/>
      <c r="F845" s="69"/>
      <c r="G845" s="69"/>
      <c r="H845" s="69"/>
      <c r="I845" s="66"/>
      <c r="J845" s="69"/>
      <c r="K845" s="67"/>
      <c r="L845" s="67"/>
      <c r="M845" s="67"/>
      <c r="N845" s="67"/>
      <c r="O845" s="64"/>
      <c r="P845" s="72" t="str">
        <f aca="false">IF(OR(B845="",C845=""),"",C845&amp;"|"&amp;(YEAR(B845)*100+MONTH(B845)))</f>
        <v/>
      </c>
      <c r="Q845" s="70" t="str">
        <f aca="false">IF(P845="","",IF(COUNTIF(N_CLAVE,P845)&gt;1,"⚠ Duplicado","OK"))</f>
        <v/>
      </c>
      <c r="R845" s="74" t="str">
        <f aca="false">IF(OR(P845="",U845=""),"",MAX(0,U845-N(E845)-N(F845)-N(H845)))</f>
        <v/>
      </c>
      <c r="S845" s="75" t="str">
        <f aca="false">IF(P845="","",IFERROR(INDEX(T_INGRESO,MATCH(C845,T_ID,0)),""))</f>
        <v/>
      </c>
      <c r="T845" s="75" t="str">
        <f aca="false">IF(P845="","",IFERROR(N(INDEX(T_EGRESO,MATCH(C845,T_ID,0))),0))</f>
        <v/>
      </c>
      <c r="U845" s="73" t="str">
        <f aca="false">IF(OR(P845="",NOT(ISNUMBER(S845))),"",IF(OR(S845&gt;EOMONTH(B845,0),AND(T845&gt;0,T845&lt;B845)),0,IF(AND(S845&lt;=B845,OR(T845=0,T845&gt;=EOMONTH(B845,0))),30,MIN(30,IF(T845=0,EOMONTH(B845,0),MIN(T845,EOMONTH(B845,0)))-MAX(B845,S845)+1))))</f>
        <v/>
      </c>
    </row>
    <row r="846" customFormat="false" ht="15" hidden="false" customHeight="false" outlineLevel="0" collapsed="false">
      <c r="B846" s="78"/>
      <c r="C846" s="64"/>
      <c r="D846" s="70" t="str">
        <f aca="false">IF(C846="","",IFERROR(INDEX(T_NOMBRE,MATCH(C846,T_ID,0)),"⚠ ID no existe"))</f>
        <v/>
      </c>
      <c r="E846" s="69"/>
      <c r="F846" s="69"/>
      <c r="G846" s="69"/>
      <c r="H846" s="69"/>
      <c r="I846" s="66"/>
      <c r="J846" s="69"/>
      <c r="K846" s="67"/>
      <c r="L846" s="67"/>
      <c r="M846" s="67"/>
      <c r="N846" s="67"/>
      <c r="O846" s="64"/>
      <c r="P846" s="72" t="str">
        <f aca="false">IF(OR(B846="",C846=""),"",C846&amp;"|"&amp;(YEAR(B846)*100+MONTH(B846)))</f>
        <v/>
      </c>
      <c r="Q846" s="70" t="str">
        <f aca="false">IF(P846="","",IF(COUNTIF(N_CLAVE,P846)&gt;1,"⚠ Duplicado","OK"))</f>
        <v/>
      </c>
      <c r="R846" s="74" t="str">
        <f aca="false">IF(OR(P846="",U846=""),"",MAX(0,U846-N(E846)-N(F846)-N(H846)))</f>
        <v/>
      </c>
      <c r="S846" s="75" t="str">
        <f aca="false">IF(P846="","",IFERROR(INDEX(T_INGRESO,MATCH(C846,T_ID,0)),""))</f>
        <v/>
      </c>
      <c r="T846" s="75" t="str">
        <f aca="false">IF(P846="","",IFERROR(N(INDEX(T_EGRESO,MATCH(C846,T_ID,0))),0))</f>
        <v/>
      </c>
      <c r="U846" s="73" t="str">
        <f aca="false">IF(OR(P846="",NOT(ISNUMBER(S846))),"",IF(OR(S846&gt;EOMONTH(B846,0),AND(T846&gt;0,T846&lt;B846)),0,IF(AND(S846&lt;=B846,OR(T846=0,T846&gt;=EOMONTH(B846,0))),30,MIN(30,IF(T846=0,EOMONTH(B846,0),MIN(T846,EOMONTH(B846,0)))-MAX(B846,S846)+1))))</f>
        <v/>
      </c>
    </row>
    <row r="847" customFormat="false" ht="15" hidden="false" customHeight="false" outlineLevel="0" collapsed="false">
      <c r="B847" s="78"/>
      <c r="C847" s="64"/>
      <c r="D847" s="70" t="str">
        <f aca="false">IF(C847="","",IFERROR(INDEX(T_NOMBRE,MATCH(C847,T_ID,0)),"⚠ ID no existe"))</f>
        <v/>
      </c>
      <c r="E847" s="69"/>
      <c r="F847" s="69"/>
      <c r="G847" s="69"/>
      <c r="H847" s="69"/>
      <c r="I847" s="66"/>
      <c r="J847" s="69"/>
      <c r="K847" s="67"/>
      <c r="L847" s="67"/>
      <c r="M847" s="67"/>
      <c r="N847" s="67"/>
      <c r="O847" s="64"/>
      <c r="P847" s="72" t="str">
        <f aca="false">IF(OR(B847="",C847=""),"",C847&amp;"|"&amp;(YEAR(B847)*100+MONTH(B847)))</f>
        <v/>
      </c>
      <c r="Q847" s="70" t="str">
        <f aca="false">IF(P847="","",IF(COUNTIF(N_CLAVE,P847)&gt;1,"⚠ Duplicado","OK"))</f>
        <v/>
      </c>
      <c r="R847" s="74" t="str">
        <f aca="false">IF(OR(P847="",U847=""),"",MAX(0,U847-N(E847)-N(F847)-N(H847)))</f>
        <v/>
      </c>
      <c r="S847" s="75" t="str">
        <f aca="false">IF(P847="","",IFERROR(INDEX(T_INGRESO,MATCH(C847,T_ID,0)),""))</f>
        <v/>
      </c>
      <c r="T847" s="75" t="str">
        <f aca="false">IF(P847="","",IFERROR(N(INDEX(T_EGRESO,MATCH(C847,T_ID,0))),0))</f>
        <v/>
      </c>
      <c r="U847" s="73" t="str">
        <f aca="false">IF(OR(P847="",NOT(ISNUMBER(S847))),"",IF(OR(S847&gt;EOMONTH(B847,0),AND(T847&gt;0,T847&lt;B847)),0,IF(AND(S847&lt;=B847,OR(T847=0,T847&gt;=EOMONTH(B847,0))),30,MIN(30,IF(T847=0,EOMONTH(B847,0),MIN(T847,EOMONTH(B847,0)))-MAX(B847,S847)+1))))</f>
        <v/>
      </c>
    </row>
    <row r="848" customFormat="false" ht="15" hidden="false" customHeight="false" outlineLevel="0" collapsed="false">
      <c r="B848" s="78"/>
      <c r="C848" s="64"/>
      <c r="D848" s="70" t="str">
        <f aca="false">IF(C848="","",IFERROR(INDEX(T_NOMBRE,MATCH(C848,T_ID,0)),"⚠ ID no existe"))</f>
        <v/>
      </c>
      <c r="E848" s="69"/>
      <c r="F848" s="69"/>
      <c r="G848" s="69"/>
      <c r="H848" s="69"/>
      <c r="I848" s="66"/>
      <c r="J848" s="69"/>
      <c r="K848" s="67"/>
      <c r="L848" s="67"/>
      <c r="M848" s="67"/>
      <c r="N848" s="67"/>
      <c r="O848" s="64"/>
      <c r="P848" s="72" t="str">
        <f aca="false">IF(OR(B848="",C848=""),"",C848&amp;"|"&amp;(YEAR(B848)*100+MONTH(B848)))</f>
        <v/>
      </c>
      <c r="Q848" s="70" t="str">
        <f aca="false">IF(P848="","",IF(COUNTIF(N_CLAVE,P848)&gt;1,"⚠ Duplicado","OK"))</f>
        <v/>
      </c>
      <c r="R848" s="74" t="str">
        <f aca="false">IF(OR(P848="",U848=""),"",MAX(0,U848-N(E848)-N(F848)-N(H848)))</f>
        <v/>
      </c>
      <c r="S848" s="75" t="str">
        <f aca="false">IF(P848="","",IFERROR(INDEX(T_INGRESO,MATCH(C848,T_ID,0)),""))</f>
        <v/>
      </c>
      <c r="T848" s="75" t="str">
        <f aca="false">IF(P848="","",IFERROR(N(INDEX(T_EGRESO,MATCH(C848,T_ID,0))),0))</f>
        <v/>
      </c>
      <c r="U848" s="73" t="str">
        <f aca="false">IF(OR(P848="",NOT(ISNUMBER(S848))),"",IF(OR(S848&gt;EOMONTH(B848,0),AND(T848&gt;0,T848&lt;B848)),0,IF(AND(S848&lt;=B848,OR(T848=0,T848&gt;=EOMONTH(B848,0))),30,MIN(30,IF(T848=0,EOMONTH(B848,0),MIN(T848,EOMONTH(B848,0)))-MAX(B848,S848)+1))))</f>
        <v/>
      </c>
    </row>
    <row r="849" customFormat="false" ht="15" hidden="false" customHeight="false" outlineLevel="0" collapsed="false">
      <c r="B849" s="78"/>
      <c r="C849" s="64"/>
      <c r="D849" s="70" t="str">
        <f aca="false">IF(C849="","",IFERROR(INDEX(T_NOMBRE,MATCH(C849,T_ID,0)),"⚠ ID no existe"))</f>
        <v/>
      </c>
      <c r="E849" s="69"/>
      <c r="F849" s="69"/>
      <c r="G849" s="69"/>
      <c r="H849" s="69"/>
      <c r="I849" s="66"/>
      <c r="J849" s="69"/>
      <c r="K849" s="67"/>
      <c r="L849" s="67"/>
      <c r="M849" s="67"/>
      <c r="N849" s="67"/>
      <c r="O849" s="64"/>
      <c r="P849" s="72" t="str">
        <f aca="false">IF(OR(B849="",C849=""),"",C849&amp;"|"&amp;(YEAR(B849)*100+MONTH(B849)))</f>
        <v/>
      </c>
      <c r="Q849" s="70" t="str">
        <f aca="false">IF(P849="","",IF(COUNTIF(N_CLAVE,P849)&gt;1,"⚠ Duplicado","OK"))</f>
        <v/>
      </c>
      <c r="R849" s="74" t="str">
        <f aca="false">IF(OR(P849="",U849=""),"",MAX(0,U849-N(E849)-N(F849)-N(H849)))</f>
        <v/>
      </c>
      <c r="S849" s="75" t="str">
        <f aca="false">IF(P849="","",IFERROR(INDEX(T_INGRESO,MATCH(C849,T_ID,0)),""))</f>
        <v/>
      </c>
      <c r="T849" s="75" t="str">
        <f aca="false">IF(P849="","",IFERROR(N(INDEX(T_EGRESO,MATCH(C849,T_ID,0))),0))</f>
        <v/>
      </c>
      <c r="U849" s="73" t="str">
        <f aca="false">IF(OR(P849="",NOT(ISNUMBER(S849))),"",IF(OR(S849&gt;EOMONTH(B849,0),AND(T849&gt;0,T849&lt;B849)),0,IF(AND(S849&lt;=B849,OR(T849=0,T849&gt;=EOMONTH(B849,0))),30,MIN(30,IF(T849=0,EOMONTH(B849,0),MIN(T849,EOMONTH(B849,0)))-MAX(B849,S849)+1))))</f>
        <v/>
      </c>
    </row>
    <row r="850" customFormat="false" ht="15" hidden="false" customHeight="false" outlineLevel="0" collapsed="false">
      <c r="B850" s="78"/>
      <c r="C850" s="64"/>
      <c r="D850" s="70" t="str">
        <f aca="false">IF(C850="","",IFERROR(INDEX(T_NOMBRE,MATCH(C850,T_ID,0)),"⚠ ID no existe"))</f>
        <v/>
      </c>
      <c r="E850" s="69"/>
      <c r="F850" s="69"/>
      <c r="G850" s="69"/>
      <c r="H850" s="69"/>
      <c r="I850" s="66"/>
      <c r="J850" s="69"/>
      <c r="K850" s="67"/>
      <c r="L850" s="67"/>
      <c r="M850" s="67"/>
      <c r="N850" s="67"/>
      <c r="O850" s="64"/>
      <c r="P850" s="72" t="str">
        <f aca="false">IF(OR(B850="",C850=""),"",C850&amp;"|"&amp;(YEAR(B850)*100+MONTH(B850)))</f>
        <v/>
      </c>
      <c r="Q850" s="70" t="str">
        <f aca="false">IF(P850="","",IF(COUNTIF(N_CLAVE,P850)&gt;1,"⚠ Duplicado","OK"))</f>
        <v/>
      </c>
      <c r="R850" s="74" t="str">
        <f aca="false">IF(OR(P850="",U850=""),"",MAX(0,U850-N(E850)-N(F850)-N(H850)))</f>
        <v/>
      </c>
      <c r="S850" s="75" t="str">
        <f aca="false">IF(P850="","",IFERROR(INDEX(T_INGRESO,MATCH(C850,T_ID,0)),""))</f>
        <v/>
      </c>
      <c r="T850" s="75" t="str">
        <f aca="false">IF(P850="","",IFERROR(N(INDEX(T_EGRESO,MATCH(C850,T_ID,0))),0))</f>
        <v/>
      </c>
      <c r="U850" s="73" t="str">
        <f aca="false">IF(OR(P850="",NOT(ISNUMBER(S850))),"",IF(OR(S850&gt;EOMONTH(B850,0),AND(T850&gt;0,T850&lt;B850)),0,IF(AND(S850&lt;=B850,OR(T850=0,T850&gt;=EOMONTH(B850,0))),30,MIN(30,IF(T850=0,EOMONTH(B850,0),MIN(T850,EOMONTH(B850,0)))-MAX(B850,S850)+1))))</f>
        <v/>
      </c>
    </row>
    <row r="851" customFormat="false" ht="15" hidden="false" customHeight="false" outlineLevel="0" collapsed="false">
      <c r="B851" s="78"/>
      <c r="C851" s="64"/>
      <c r="D851" s="70" t="str">
        <f aca="false">IF(C851="","",IFERROR(INDEX(T_NOMBRE,MATCH(C851,T_ID,0)),"⚠ ID no existe"))</f>
        <v/>
      </c>
      <c r="E851" s="69"/>
      <c r="F851" s="69"/>
      <c r="G851" s="69"/>
      <c r="H851" s="69"/>
      <c r="I851" s="66"/>
      <c r="J851" s="69"/>
      <c r="K851" s="67"/>
      <c r="L851" s="67"/>
      <c r="M851" s="67"/>
      <c r="N851" s="67"/>
      <c r="O851" s="64"/>
      <c r="P851" s="72" t="str">
        <f aca="false">IF(OR(B851="",C851=""),"",C851&amp;"|"&amp;(YEAR(B851)*100+MONTH(B851)))</f>
        <v/>
      </c>
      <c r="Q851" s="70" t="str">
        <f aca="false">IF(P851="","",IF(COUNTIF(N_CLAVE,P851)&gt;1,"⚠ Duplicado","OK"))</f>
        <v/>
      </c>
      <c r="R851" s="74" t="str">
        <f aca="false">IF(OR(P851="",U851=""),"",MAX(0,U851-N(E851)-N(F851)-N(H851)))</f>
        <v/>
      </c>
      <c r="S851" s="75" t="str">
        <f aca="false">IF(P851="","",IFERROR(INDEX(T_INGRESO,MATCH(C851,T_ID,0)),""))</f>
        <v/>
      </c>
      <c r="T851" s="75" t="str">
        <f aca="false">IF(P851="","",IFERROR(N(INDEX(T_EGRESO,MATCH(C851,T_ID,0))),0))</f>
        <v/>
      </c>
      <c r="U851" s="73" t="str">
        <f aca="false">IF(OR(P851="",NOT(ISNUMBER(S851))),"",IF(OR(S851&gt;EOMONTH(B851,0),AND(T851&gt;0,T851&lt;B851)),0,IF(AND(S851&lt;=B851,OR(T851=0,T851&gt;=EOMONTH(B851,0))),30,MIN(30,IF(T851=0,EOMONTH(B851,0),MIN(T851,EOMONTH(B851,0)))-MAX(B851,S851)+1))))</f>
        <v/>
      </c>
    </row>
    <row r="852" customFormat="false" ht="15" hidden="false" customHeight="false" outlineLevel="0" collapsed="false">
      <c r="B852" s="78"/>
      <c r="C852" s="64"/>
      <c r="D852" s="70" t="str">
        <f aca="false">IF(C852="","",IFERROR(INDEX(T_NOMBRE,MATCH(C852,T_ID,0)),"⚠ ID no existe"))</f>
        <v/>
      </c>
      <c r="E852" s="69"/>
      <c r="F852" s="69"/>
      <c r="G852" s="69"/>
      <c r="H852" s="69"/>
      <c r="I852" s="66"/>
      <c r="J852" s="69"/>
      <c r="K852" s="67"/>
      <c r="L852" s="67"/>
      <c r="M852" s="67"/>
      <c r="N852" s="67"/>
      <c r="O852" s="64"/>
      <c r="P852" s="72" t="str">
        <f aca="false">IF(OR(B852="",C852=""),"",C852&amp;"|"&amp;(YEAR(B852)*100+MONTH(B852)))</f>
        <v/>
      </c>
      <c r="Q852" s="70" t="str">
        <f aca="false">IF(P852="","",IF(COUNTIF(N_CLAVE,P852)&gt;1,"⚠ Duplicado","OK"))</f>
        <v/>
      </c>
      <c r="R852" s="74" t="str">
        <f aca="false">IF(OR(P852="",U852=""),"",MAX(0,U852-N(E852)-N(F852)-N(H852)))</f>
        <v/>
      </c>
      <c r="S852" s="75" t="str">
        <f aca="false">IF(P852="","",IFERROR(INDEX(T_INGRESO,MATCH(C852,T_ID,0)),""))</f>
        <v/>
      </c>
      <c r="T852" s="75" t="str">
        <f aca="false">IF(P852="","",IFERROR(N(INDEX(T_EGRESO,MATCH(C852,T_ID,0))),0))</f>
        <v/>
      </c>
      <c r="U852" s="73" t="str">
        <f aca="false">IF(OR(P852="",NOT(ISNUMBER(S852))),"",IF(OR(S852&gt;EOMONTH(B852,0),AND(T852&gt;0,T852&lt;B852)),0,IF(AND(S852&lt;=B852,OR(T852=0,T852&gt;=EOMONTH(B852,0))),30,MIN(30,IF(T852=0,EOMONTH(B852,0),MIN(T852,EOMONTH(B852,0)))-MAX(B852,S852)+1))))</f>
        <v/>
      </c>
    </row>
    <row r="853" customFormat="false" ht="15" hidden="false" customHeight="false" outlineLevel="0" collapsed="false">
      <c r="B853" s="78"/>
      <c r="C853" s="64"/>
      <c r="D853" s="70" t="str">
        <f aca="false">IF(C853="","",IFERROR(INDEX(T_NOMBRE,MATCH(C853,T_ID,0)),"⚠ ID no existe"))</f>
        <v/>
      </c>
      <c r="E853" s="69"/>
      <c r="F853" s="69"/>
      <c r="G853" s="69"/>
      <c r="H853" s="69"/>
      <c r="I853" s="66"/>
      <c r="J853" s="69"/>
      <c r="K853" s="67"/>
      <c r="L853" s="67"/>
      <c r="M853" s="67"/>
      <c r="N853" s="67"/>
      <c r="O853" s="64"/>
      <c r="P853" s="72" t="str">
        <f aca="false">IF(OR(B853="",C853=""),"",C853&amp;"|"&amp;(YEAR(B853)*100+MONTH(B853)))</f>
        <v/>
      </c>
      <c r="Q853" s="70" t="str">
        <f aca="false">IF(P853="","",IF(COUNTIF(N_CLAVE,P853)&gt;1,"⚠ Duplicado","OK"))</f>
        <v/>
      </c>
      <c r="R853" s="74" t="str">
        <f aca="false">IF(OR(P853="",U853=""),"",MAX(0,U853-N(E853)-N(F853)-N(H853)))</f>
        <v/>
      </c>
      <c r="S853" s="75" t="str">
        <f aca="false">IF(P853="","",IFERROR(INDEX(T_INGRESO,MATCH(C853,T_ID,0)),""))</f>
        <v/>
      </c>
      <c r="T853" s="75" t="str">
        <f aca="false">IF(P853="","",IFERROR(N(INDEX(T_EGRESO,MATCH(C853,T_ID,0))),0))</f>
        <v/>
      </c>
      <c r="U853" s="73" t="str">
        <f aca="false">IF(OR(P853="",NOT(ISNUMBER(S853))),"",IF(OR(S853&gt;EOMONTH(B853,0),AND(T853&gt;0,T853&lt;B853)),0,IF(AND(S853&lt;=B853,OR(T853=0,T853&gt;=EOMONTH(B853,0))),30,MIN(30,IF(T853=0,EOMONTH(B853,0),MIN(T853,EOMONTH(B853,0)))-MAX(B853,S853)+1))))</f>
        <v/>
      </c>
    </row>
    <row r="854" customFormat="false" ht="15" hidden="false" customHeight="false" outlineLevel="0" collapsed="false">
      <c r="B854" s="78"/>
      <c r="C854" s="64"/>
      <c r="D854" s="70" t="str">
        <f aca="false">IF(C854="","",IFERROR(INDEX(T_NOMBRE,MATCH(C854,T_ID,0)),"⚠ ID no existe"))</f>
        <v/>
      </c>
      <c r="E854" s="69"/>
      <c r="F854" s="69"/>
      <c r="G854" s="69"/>
      <c r="H854" s="69"/>
      <c r="I854" s="66"/>
      <c r="J854" s="69"/>
      <c r="K854" s="67"/>
      <c r="L854" s="67"/>
      <c r="M854" s="67"/>
      <c r="N854" s="67"/>
      <c r="O854" s="64"/>
      <c r="P854" s="72" t="str">
        <f aca="false">IF(OR(B854="",C854=""),"",C854&amp;"|"&amp;(YEAR(B854)*100+MONTH(B854)))</f>
        <v/>
      </c>
      <c r="Q854" s="70" t="str">
        <f aca="false">IF(P854="","",IF(COUNTIF(N_CLAVE,P854)&gt;1,"⚠ Duplicado","OK"))</f>
        <v/>
      </c>
      <c r="R854" s="74" t="str">
        <f aca="false">IF(OR(P854="",U854=""),"",MAX(0,U854-N(E854)-N(F854)-N(H854)))</f>
        <v/>
      </c>
      <c r="S854" s="75" t="str">
        <f aca="false">IF(P854="","",IFERROR(INDEX(T_INGRESO,MATCH(C854,T_ID,0)),""))</f>
        <v/>
      </c>
      <c r="T854" s="75" t="str">
        <f aca="false">IF(P854="","",IFERROR(N(INDEX(T_EGRESO,MATCH(C854,T_ID,0))),0))</f>
        <v/>
      </c>
      <c r="U854" s="73" t="str">
        <f aca="false">IF(OR(P854="",NOT(ISNUMBER(S854))),"",IF(OR(S854&gt;EOMONTH(B854,0),AND(T854&gt;0,T854&lt;B854)),0,IF(AND(S854&lt;=B854,OR(T854=0,T854&gt;=EOMONTH(B854,0))),30,MIN(30,IF(T854=0,EOMONTH(B854,0),MIN(T854,EOMONTH(B854,0)))-MAX(B854,S854)+1))))</f>
        <v/>
      </c>
    </row>
    <row r="855" customFormat="false" ht="15" hidden="false" customHeight="false" outlineLevel="0" collapsed="false">
      <c r="B855" s="78"/>
      <c r="C855" s="64"/>
      <c r="D855" s="70" t="str">
        <f aca="false">IF(C855="","",IFERROR(INDEX(T_NOMBRE,MATCH(C855,T_ID,0)),"⚠ ID no existe"))</f>
        <v/>
      </c>
      <c r="E855" s="69"/>
      <c r="F855" s="69"/>
      <c r="G855" s="69"/>
      <c r="H855" s="69"/>
      <c r="I855" s="66"/>
      <c r="J855" s="69"/>
      <c r="K855" s="67"/>
      <c r="L855" s="67"/>
      <c r="M855" s="67"/>
      <c r="N855" s="67"/>
      <c r="O855" s="64"/>
      <c r="P855" s="72" t="str">
        <f aca="false">IF(OR(B855="",C855=""),"",C855&amp;"|"&amp;(YEAR(B855)*100+MONTH(B855)))</f>
        <v/>
      </c>
      <c r="Q855" s="70" t="str">
        <f aca="false">IF(P855="","",IF(COUNTIF(N_CLAVE,P855)&gt;1,"⚠ Duplicado","OK"))</f>
        <v/>
      </c>
      <c r="R855" s="74" t="str">
        <f aca="false">IF(OR(P855="",U855=""),"",MAX(0,U855-N(E855)-N(F855)-N(H855)))</f>
        <v/>
      </c>
      <c r="S855" s="75" t="str">
        <f aca="false">IF(P855="","",IFERROR(INDEX(T_INGRESO,MATCH(C855,T_ID,0)),""))</f>
        <v/>
      </c>
      <c r="T855" s="75" t="str">
        <f aca="false">IF(P855="","",IFERROR(N(INDEX(T_EGRESO,MATCH(C855,T_ID,0))),0))</f>
        <v/>
      </c>
      <c r="U855" s="73" t="str">
        <f aca="false">IF(OR(P855="",NOT(ISNUMBER(S855))),"",IF(OR(S855&gt;EOMONTH(B855,0),AND(T855&gt;0,T855&lt;B855)),0,IF(AND(S855&lt;=B855,OR(T855=0,T855&gt;=EOMONTH(B855,0))),30,MIN(30,IF(T855=0,EOMONTH(B855,0),MIN(T855,EOMONTH(B855,0)))-MAX(B855,S855)+1))))</f>
        <v/>
      </c>
    </row>
    <row r="856" customFormat="false" ht="15" hidden="false" customHeight="false" outlineLevel="0" collapsed="false">
      <c r="B856" s="78"/>
      <c r="C856" s="64"/>
      <c r="D856" s="70" t="str">
        <f aca="false">IF(C856="","",IFERROR(INDEX(T_NOMBRE,MATCH(C856,T_ID,0)),"⚠ ID no existe"))</f>
        <v/>
      </c>
      <c r="E856" s="69"/>
      <c r="F856" s="69"/>
      <c r="G856" s="69"/>
      <c r="H856" s="69"/>
      <c r="I856" s="66"/>
      <c r="J856" s="69"/>
      <c r="K856" s="67"/>
      <c r="L856" s="67"/>
      <c r="M856" s="67"/>
      <c r="N856" s="67"/>
      <c r="O856" s="64"/>
      <c r="P856" s="72" t="str">
        <f aca="false">IF(OR(B856="",C856=""),"",C856&amp;"|"&amp;(YEAR(B856)*100+MONTH(B856)))</f>
        <v/>
      </c>
      <c r="Q856" s="70" t="str">
        <f aca="false">IF(P856="","",IF(COUNTIF(N_CLAVE,P856)&gt;1,"⚠ Duplicado","OK"))</f>
        <v/>
      </c>
      <c r="R856" s="74" t="str">
        <f aca="false">IF(OR(P856="",U856=""),"",MAX(0,U856-N(E856)-N(F856)-N(H856)))</f>
        <v/>
      </c>
      <c r="S856" s="75" t="str">
        <f aca="false">IF(P856="","",IFERROR(INDEX(T_INGRESO,MATCH(C856,T_ID,0)),""))</f>
        <v/>
      </c>
      <c r="T856" s="75" t="str">
        <f aca="false">IF(P856="","",IFERROR(N(INDEX(T_EGRESO,MATCH(C856,T_ID,0))),0))</f>
        <v/>
      </c>
      <c r="U856" s="73" t="str">
        <f aca="false">IF(OR(P856="",NOT(ISNUMBER(S856))),"",IF(OR(S856&gt;EOMONTH(B856,0),AND(T856&gt;0,T856&lt;B856)),0,IF(AND(S856&lt;=B856,OR(T856=0,T856&gt;=EOMONTH(B856,0))),30,MIN(30,IF(T856=0,EOMONTH(B856,0),MIN(T856,EOMONTH(B856,0)))-MAX(B856,S856)+1))))</f>
        <v/>
      </c>
    </row>
    <row r="857" customFormat="false" ht="15" hidden="false" customHeight="false" outlineLevel="0" collapsed="false">
      <c r="B857" s="78"/>
      <c r="C857" s="64"/>
      <c r="D857" s="70" t="str">
        <f aca="false">IF(C857="","",IFERROR(INDEX(T_NOMBRE,MATCH(C857,T_ID,0)),"⚠ ID no existe"))</f>
        <v/>
      </c>
      <c r="E857" s="69"/>
      <c r="F857" s="69"/>
      <c r="G857" s="69"/>
      <c r="H857" s="69"/>
      <c r="I857" s="66"/>
      <c r="J857" s="69"/>
      <c r="K857" s="67"/>
      <c r="L857" s="67"/>
      <c r="M857" s="67"/>
      <c r="N857" s="67"/>
      <c r="O857" s="64"/>
      <c r="P857" s="72" t="str">
        <f aca="false">IF(OR(B857="",C857=""),"",C857&amp;"|"&amp;(YEAR(B857)*100+MONTH(B857)))</f>
        <v/>
      </c>
      <c r="Q857" s="70" t="str">
        <f aca="false">IF(P857="","",IF(COUNTIF(N_CLAVE,P857)&gt;1,"⚠ Duplicado","OK"))</f>
        <v/>
      </c>
      <c r="R857" s="74" t="str">
        <f aca="false">IF(OR(P857="",U857=""),"",MAX(0,U857-N(E857)-N(F857)-N(H857)))</f>
        <v/>
      </c>
      <c r="S857" s="75" t="str">
        <f aca="false">IF(P857="","",IFERROR(INDEX(T_INGRESO,MATCH(C857,T_ID,0)),""))</f>
        <v/>
      </c>
      <c r="T857" s="75" t="str">
        <f aca="false">IF(P857="","",IFERROR(N(INDEX(T_EGRESO,MATCH(C857,T_ID,0))),0))</f>
        <v/>
      </c>
      <c r="U857" s="73" t="str">
        <f aca="false">IF(OR(P857="",NOT(ISNUMBER(S857))),"",IF(OR(S857&gt;EOMONTH(B857,0),AND(T857&gt;0,T857&lt;B857)),0,IF(AND(S857&lt;=B857,OR(T857=0,T857&gt;=EOMONTH(B857,0))),30,MIN(30,IF(T857=0,EOMONTH(B857,0),MIN(T857,EOMONTH(B857,0)))-MAX(B857,S857)+1))))</f>
        <v/>
      </c>
    </row>
    <row r="858" customFormat="false" ht="15" hidden="false" customHeight="false" outlineLevel="0" collapsed="false">
      <c r="B858" s="78"/>
      <c r="C858" s="64"/>
      <c r="D858" s="70" t="str">
        <f aca="false">IF(C858="","",IFERROR(INDEX(T_NOMBRE,MATCH(C858,T_ID,0)),"⚠ ID no existe"))</f>
        <v/>
      </c>
      <c r="E858" s="69"/>
      <c r="F858" s="69"/>
      <c r="G858" s="69"/>
      <c r="H858" s="69"/>
      <c r="I858" s="66"/>
      <c r="J858" s="69"/>
      <c r="K858" s="67"/>
      <c r="L858" s="67"/>
      <c r="M858" s="67"/>
      <c r="N858" s="67"/>
      <c r="O858" s="64"/>
      <c r="P858" s="72" t="str">
        <f aca="false">IF(OR(B858="",C858=""),"",C858&amp;"|"&amp;(YEAR(B858)*100+MONTH(B858)))</f>
        <v/>
      </c>
      <c r="Q858" s="70" t="str">
        <f aca="false">IF(P858="","",IF(COUNTIF(N_CLAVE,P858)&gt;1,"⚠ Duplicado","OK"))</f>
        <v/>
      </c>
      <c r="R858" s="74" t="str">
        <f aca="false">IF(OR(P858="",U858=""),"",MAX(0,U858-N(E858)-N(F858)-N(H858)))</f>
        <v/>
      </c>
      <c r="S858" s="75" t="str">
        <f aca="false">IF(P858="","",IFERROR(INDEX(T_INGRESO,MATCH(C858,T_ID,0)),""))</f>
        <v/>
      </c>
      <c r="T858" s="75" t="str">
        <f aca="false">IF(P858="","",IFERROR(N(INDEX(T_EGRESO,MATCH(C858,T_ID,0))),0))</f>
        <v/>
      </c>
      <c r="U858" s="73" t="str">
        <f aca="false">IF(OR(P858="",NOT(ISNUMBER(S858))),"",IF(OR(S858&gt;EOMONTH(B858,0),AND(T858&gt;0,T858&lt;B858)),0,IF(AND(S858&lt;=B858,OR(T858=0,T858&gt;=EOMONTH(B858,0))),30,MIN(30,IF(T858=0,EOMONTH(B858,0),MIN(T858,EOMONTH(B858,0)))-MAX(B858,S858)+1))))</f>
        <v/>
      </c>
    </row>
    <row r="859" customFormat="false" ht="15" hidden="false" customHeight="false" outlineLevel="0" collapsed="false">
      <c r="B859" s="78"/>
      <c r="C859" s="64"/>
      <c r="D859" s="70" t="str">
        <f aca="false">IF(C859="","",IFERROR(INDEX(T_NOMBRE,MATCH(C859,T_ID,0)),"⚠ ID no existe"))</f>
        <v/>
      </c>
      <c r="E859" s="69"/>
      <c r="F859" s="69"/>
      <c r="G859" s="69"/>
      <c r="H859" s="69"/>
      <c r="I859" s="66"/>
      <c r="J859" s="69"/>
      <c r="K859" s="67"/>
      <c r="L859" s="67"/>
      <c r="M859" s="67"/>
      <c r="N859" s="67"/>
      <c r="O859" s="64"/>
      <c r="P859" s="72" t="str">
        <f aca="false">IF(OR(B859="",C859=""),"",C859&amp;"|"&amp;(YEAR(B859)*100+MONTH(B859)))</f>
        <v/>
      </c>
      <c r="Q859" s="70" t="str">
        <f aca="false">IF(P859="","",IF(COUNTIF(N_CLAVE,P859)&gt;1,"⚠ Duplicado","OK"))</f>
        <v/>
      </c>
      <c r="R859" s="74" t="str">
        <f aca="false">IF(OR(P859="",U859=""),"",MAX(0,U859-N(E859)-N(F859)-N(H859)))</f>
        <v/>
      </c>
      <c r="S859" s="75" t="str">
        <f aca="false">IF(P859="","",IFERROR(INDEX(T_INGRESO,MATCH(C859,T_ID,0)),""))</f>
        <v/>
      </c>
      <c r="T859" s="75" t="str">
        <f aca="false">IF(P859="","",IFERROR(N(INDEX(T_EGRESO,MATCH(C859,T_ID,0))),0))</f>
        <v/>
      </c>
      <c r="U859" s="73" t="str">
        <f aca="false">IF(OR(P859="",NOT(ISNUMBER(S859))),"",IF(OR(S859&gt;EOMONTH(B859,0),AND(T859&gt;0,T859&lt;B859)),0,IF(AND(S859&lt;=B859,OR(T859=0,T859&gt;=EOMONTH(B859,0))),30,MIN(30,IF(T859=0,EOMONTH(B859,0),MIN(T859,EOMONTH(B859,0)))-MAX(B859,S859)+1))))</f>
        <v/>
      </c>
    </row>
    <row r="860" customFormat="false" ht="15" hidden="false" customHeight="false" outlineLevel="0" collapsed="false">
      <c r="B860" s="78"/>
      <c r="C860" s="64"/>
      <c r="D860" s="70" t="str">
        <f aca="false">IF(C860="","",IFERROR(INDEX(T_NOMBRE,MATCH(C860,T_ID,0)),"⚠ ID no existe"))</f>
        <v/>
      </c>
      <c r="E860" s="69"/>
      <c r="F860" s="69"/>
      <c r="G860" s="69"/>
      <c r="H860" s="69"/>
      <c r="I860" s="66"/>
      <c r="J860" s="69"/>
      <c r="K860" s="67"/>
      <c r="L860" s="67"/>
      <c r="M860" s="67"/>
      <c r="N860" s="67"/>
      <c r="O860" s="64"/>
      <c r="P860" s="72" t="str">
        <f aca="false">IF(OR(B860="",C860=""),"",C860&amp;"|"&amp;(YEAR(B860)*100+MONTH(B860)))</f>
        <v/>
      </c>
      <c r="Q860" s="70" t="str">
        <f aca="false">IF(P860="","",IF(COUNTIF(N_CLAVE,P860)&gt;1,"⚠ Duplicado","OK"))</f>
        <v/>
      </c>
      <c r="R860" s="74" t="str">
        <f aca="false">IF(OR(P860="",U860=""),"",MAX(0,U860-N(E860)-N(F860)-N(H860)))</f>
        <v/>
      </c>
      <c r="S860" s="75" t="str">
        <f aca="false">IF(P860="","",IFERROR(INDEX(T_INGRESO,MATCH(C860,T_ID,0)),""))</f>
        <v/>
      </c>
      <c r="T860" s="75" t="str">
        <f aca="false">IF(P860="","",IFERROR(N(INDEX(T_EGRESO,MATCH(C860,T_ID,0))),0))</f>
        <v/>
      </c>
      <c r="U860" s="73" t="str">
        <f aca="false">IF(OR(P860="",NOT(ISNUMBER(S860))),"",IF(OR(S860&gt;EOMONTH(B860,0),AND(T860&gt;0,T860&lt;B860)),0,IF(AND(S860&lt;=B860,OR(T860=0,T860&gt;=EOMONTH(B860,0))),30,MIN(30,IF(T860=0,EOMONTH(B860,0),MIN(T860,EOMONTH(B860,0)))-MAX(B860,S860)+1))))</f>
        <v/>
      </c>
    </row>
    <row r="861" customFormat="false" ht="15" hidden="false" customHeight="false" outlineLevel="0" collapsed="false">
      <c r="B861" s="78"/>
      <c r="C861" s="64"/>
      <c r="D861" s="70" t="str">
        <f aca="false">IF(C861="","",IFERROR(INDEX(T_NOMBRE,MATCH(C861,T_ID,0)),"⚠ ID no existe"))</f>
        <v/>
      </c>
      <c r="E861" s="69"/>
      <c r="F861" s="69"/>
      <c r="G861" s="69"/>
      <c r="H861" s="69"/>
      <c r="I861" s="66"/>
      <c r="J861" s="69"/>
      <c r="K861" s="67"/>
      <c r="L861" s="67"/>
      <c r="M861" s="67"/>
      <c r="N861" s="67"/>
      <c r="O861" s="64"/>
      <c r="P861" s="72" t="str">
        <f aca="false">IF(OR(B861="",C861=""),"",C861&amp;"|"&amp;(YEAR(B861)*100+MONTH(B861)))</f>
        <v/>
      </c>
      <c r="Q861" s="70" t="str">
        <f aca="false">IF(P861="","",IF(COUNTIF(N_CLAVE,P861)&gt;1,"⚠ Duplicado","OK"))</f>
        <v/>
      </c>
      <c r="R861" s="74" t="str">
        <f aca="false">IF(OR(P861="",U861=""),"",MAX(0,U861-N(E861)-N(F861)-N(H861)))</f>
        <v/>
      </c>
      <c r="S861" s="75" t="str">
        <f aca="false">IF(P861="","",IFERROR(INDEX(T_INGRESO,MATCH(C861,T_ID,0)),""))</f>
        <v/>
      </c>
      <c r="T861" s="75" t="str">
        <f aca="false">IF(P861="","",IFERROR(N(INDEX(T_EGRESO,MATCH(C861,T_ID,0))),0))</f>
        <v/>
      </c>
      <c r="U861" s="73" t="str">
        <f aca="false">IF(OR(P861="",NOT(ISNUMBER(S861))),"",IF(OR(S861&gt;EOMONTH(B861,0),AND(T861&gt;0,T861&lt;B861)),0,IF(AND(S861&lt;=B861,OR(T861=0,T861&gt;=EOMONTH(B861,0))),30,MIN(30,IF(T861=0,EOMONTH(B861,0),MIN(T861,EOMONTH(B861,0)))-MAX(B861,S861)+1))))</f>
        <v/>
      </c>
    </row>
    <row r="862" customFormat="false" ht="15" hidden="false" customHeight="false" outlineLevel="0" collapsed="false">
      <c r="B862" s="78"/>
      <c r="C862" s="64"/>
      <c r="D862" s="70" t="str">
        <f aca="false">IF(C862="","",IFERROR(INDEX(T_NOMBRE,MATCH(C862,T_ID,0)),"⚠ ID no existe"))</f>
        <v/>
      </c>
      <c r="E862" s="69"/>
      <c r="F862" s="69"/>
      <c r="G862" s="69"/>
      <c r="H862" s="69"/>
      <c r="I862" s="66"/>
      <c r="J862" s="69"/>
      <c r="K862" s="67"/>
      <c r="L862" s="67"/>
      <c r="M862" s="67"/>
      <c r="N862" s="67"/>
      <c r="O862" s="64"/>
      <c r="P862" s="72" t="str">
        <f aca="false">IF(OR(B862="",C862=""),"",C862&amp;"|"&amp;(YEAR(B862)*100+MONTH(B862)))</f>
        <v/>
      </c>
      <c r="Q862" s="70" t="str">
        <f aca="false">IF(P862="","",IF(COUNTIF(N_CLAVE,P862)&gt;1,"⚠ Duplicado","OK"))</f>
        <v/>
      </c>
      <c r="R862" s="74" t="str">
        <f aca="false">IF(OR(P862="",U862=""),"",MAX(0,U862-N(E862)-N(F862)-N(H862)))</f>
        <v/>
      </c>
      <c r="S862" s="75" t="str">
        <f aca="false">IF(P862="","",IFERROR(INDEX(T_INGRESO,MATCH(C862,T_ID,0)),""))</f>
        <v/>
      </c>
      <c r="T862" s="75" t="str">
        <f aca="false">IF(P862="","",IFERROR(N(INDEX(T_EGRESO,MATCH(C862,T_ID,0))),0))</f>
        <v/>
      </c>
      <c r="U862" s="73" t="str">
        <f aca="false">IF(OR(P862="",NOT(ISNUMBER(S862))),"",IF(OR(S862&gt;EOMONTH(B862,0),AND(T862&gt;0,T862&lt;B862)),0,IF(AND(S862&lt;=B862,OR(T862=0,T862&gt;=EOMONTH(B862,0))),30,MIN(30,IF(T862=0,EOMONTH(B862,0),MIN(T862,EOMONTH(B862,0)))-MAX(B862,S862)+1))))</f>
        <v/>
      </c>
    </row>
    <row r="863" customFormat="false" ht="15" hidden="false" customHeight="false" outlineLevel="0" collapsed="false">
      <c r="B863" s="78"/>
      <c r="C863" s="64"/>
      <c r="D863" s="70" t="str">
        <f aca="false">IF(C863="","",IFERROR(INDEX(T_NOMBRE,MATCH(C863,T_ID,0)),"⚠ ID no existe"))</f>
        <v/>
      </c>
      <c r="E863" s="69"/>
      <c r="F863" s="69"/>
      <c r="G863" s="69"/>
      <c r="H863" s="69"/>
      <c r="I863" s="66"/>
      <c r="J863" s="69"/>
      <c r="K863" s="67"/>
      <c r="L863" s="67"/>
      <c r="M863" s="67"/>
      <c r="N863" s="67"/>
      <c r="O863" s="64"/>
      <c r="P863" s="72" t="str">
        <f aca="false">IF(OR(B863="",C863=""),"",C863&amp;"|"&amp;(YEAR(B863)*100+MONTH(B863)))</f>
        <v/>
      </c>
      <c r="Q863" s="70" t="str">
        <f aca="false">IF(P863="","",IF(COUNTIF(N_CLAVE,P863)&gt;1,"⚠ Duplicado","OK"))</f>
        <v/>
      </c>
      <c r="R863" s="74" t="str">
        <f aca="false">IF(OR(P863="",U863=""),"",MAX(0,U863-N(E863)-N(F863)-N(H863)))</f>
        <v/>
      </c>
      <c r="S863" s="75" t="str">
        <f aca="false">IF(P863="","",IFERROR(INDEX(T_INGRESO,MATCH(C863,T_ID,0)),""))</f>
        <v/>
      </c>
      <c r="T863" s="75" t="str">
        <f aca="false">IF(P863="","",IFERROR(N(INDEX(T_EGRESO,MATCH(C863,T_ID,0))),0))</f>
        <v/>
      </c>
      <c r="U863" s="73" t="str">
        <f aca="false">IF(OR(P863="",NOT(ISNUMBER(S863))),"",IF(OR(S863&gt;EOMONTH(B863,0),AND(T863&gt;0,T863&lt;B863)),0,IF(AND(S863&lt;=B863,OR(T863=0,T863&gt;=EOMONTH(B863,0))),30,MIN(30,IF(T863=0,EOMONTH(B863,0),MIN(T863,EOMONTH(B863,0)))-MAX(B863,S863)+1))))</f>
        <v/>
      </c>
    </row>
    <row r="864" customFormat="false" ht="15" hidden="false" customHeight="false" outlineLevel="0" collapsed="false">
      <c r="B864" s="78"/>
      <c r="C864" s="64"/>
      <c r="D864" s="70" t="str">
        <f aca="false">IF(C864="","",IFERROR(INDEX(T_NOMBRE,MATCH(C864,T_ID,0)),"⚠ ID no existe"))</f>
        <v/>
      </c>
      <c r="E864" s="69"/>
      <c r="F864" s="69"/>
      <c r="G864" s="69"/>
      <c r="H864" s="69"/>
      <c r="I864" s="66"/>
      <c r="J864" s="69"/>
      <c r="K864" s="67"/>
      <c r="L864" s="67"/>
      <c r="M864" s="67"/>
      <c r="N864" s="67"/>
      <c r="O864" s="64"/>
      <c r="P864" s="72" t="str">
        <f aca="false">IF(OR(B864="",C864=""),"",C864&amp;"|"&amp;(YEAR(B864)*100+MONTH(B864)))</f>
        <v/>
      </c>
      <c r="Q864" s="70" t="str">
        <f aca="false">IF(P864="","",IF(COUNTIF(N_CLAVE,P864)&gt;1,"⚠ Duplicado","OK"))</f>
        <v/>
      </c>
      <c r="R864" s="74" t="str">
        <f aca="false">IF(OR(P864="",U864=""),"",MAX(0,U864-N(E864)-N(F864)-N(H864)))</f>
        <v/>
      </c>
      <c r="S864" s="75" t="str">
        <f aca="false">IF(P864="","",IFERROR(INDEX(T_INGRESO,MATCH(C864,T_ID,0)),""))</f>
        <v/>
      </c>
      <c r="T864" s="75" t="str">
        <f aca="false">IF(P864="","",IFERROR(N(INDEX(T_EGRESO,MATCH(C864,T_ID,0))),0))</f>
        <v/>
      </c>
      <c r="U864" s="73" t="str">
        <f aca="false">IF(OR(P864="",NOT(ISNUMBER(S864))),"",IF(OR(S864&gt;EOMONTH(B864,0),AND(T864&gt;0,T864&lt;B864)),0,IF(AND(S864&lt;=B864,OR(T864=0,T864&gt;=EOMONTH(B864,0))),30,MIN(30,IF(T864=0,EOMONTH(B864,0),MIN(T864,EOMONTH(B864,0)))-MAX(B864,S864)+1))))</f>
        <v/>
      </c>
    </row>
    <row r="865" customFormat="false" ht="15" hidden="false" customHeight="false" outlineLevel="0" collapsed="false">
      <c r="B865" s="78"/>
      <c r="C865" s="64"/>
      <c r="D865" s="70" t="str">
        <f aca="false">IF(C865="","",IFERROR(INDEX(T_NOMBRE,MATCH(C865,T_ID,0)),"⚠ ID no existe"))</f>
        <v/>
      </c>
      <c r="E865" s="69"/>
      <c r="F865" s="69"/>
      <c r="G865" s="69"/>
      <c r="H865" s="69"/>
      <c r="I865" s="66"/>
      <c r="J865" s="69"/>
      <c r="K865" s="67"/>
      <c r="L865" s="67"/>
      <c r="M865" s="67"/>
      <c r="N865" s="67"/>
      <c r="O865" s="64"/>
      <c r="P865" s="72" t="str">
        <f aca="false">IF(OR(B865="",C865=""),"",C865&amp;"|"&amp;(YEAR(B865)*100+MONTH(B865)))</f>
        <v/>
      </c>
      <c r="Q865" s="70" t="str">
        <f aca="false">IF(P865="","",IF(COUNTIF(N_CLAVE,P865)&gt;1,"⚠ Duplicado","OK"))</f>
        <v/>
      </c>
      <c r="R865" s="74" t="str">
        <f aca="false">IF(OR(P865="",U865=""),"",MAX(0,U865-N(E865)-N(F865)-N(H865)))</f>
        <v/>
      </c>
      <c r="S865" s="75" t="str">
        <f aca="false">IF(P865="","",IFERROR(INDEX(T_INGRESO,MATCH(C865,T_ID,0)),""))</f>
        <v/>
      </c>
      <c r="T865" s="75" t="str">
        <f aca="false">IF(P865="","",IFERROR(N(INDEX(T_EGRESO,MATCH(C865,T_ID,0))),0))</f>
        <v/>
      </c>
      <c r="U865" s="73" t="str">
        <f aca="false">IF(OR(P865="",NOT(ISNUMBER(S865))),"",IF(OR(S865&gt;EOMONTH(B865,0),AND(T865&gt;0,T865&lt;B865)),0,IF(AND(S865&lt;=B865,OR(T865=0,T865&gt;=EOMONTH(B865,0))),30,MIN(30,IF(T865=0,EOMONTH(B865,0),MIN(T865,EOMONTH(B865,0)))-MAX(B865,S865)+1))))</f>
        <v/>
      </c>
    </row>
    <row r="866" customFormat="false" ht="15" hidden="false" customHeight="false" outlineLevel="0" collapsed="false">
      <c r="B866" s="78"/>
      <c r="C866" s="64"/>
      <c r="D866" s="70" t="str">
        <f aca="false">IF(C866="","",IFERROR(INDEX(T_NOMBRE,MATCH(C866,T_ID,0)),"⚠ ID no existe"))</f>
        <v/>
      </c>
      <c r="E866" s="69"/>
      <c r="F866" s="69"/>
      <c r="G866" s="69"/>
      <c r="H866" s="69"/>
      <c r="I866" s="66"/>
      <c r="J866" s="69"/>
      <c r="K866" s="67"/>
      <c r="L866" s="67"/>
      <c r="M866" s="67"/>
      <c r="N866" s="67"/>
      <c r="O866" s="64"/>
      <c r="P866" s="72" t="str">
        <f aca="false">IF(OR(B866="",C866=""),"",C866&amp;"|"&amp;(YEAR(B866)*100+MONTH(B866)))</f>
        <v/>
      </c>
      <c r="Q866" s="70" t="str">
        <f aca="false">IF(P866="","",IF(COUNTIF(N_CLAVE,P866)&gt;1,"⚠ Duplicado","OK"))</f>
        <v/>
      </c>
      <c r="R866" s="74" t="str">
        <f aca="false">IF(OR(P866="",U866=""),"",MAX(0,U866-N(E866)-N(F866)-N(H866)))</f>
        <v/>
      </c>
      <c r="S866" s="75" t="str">
        <f aca="false">IF(P866="","",IFERROR(INDEX(T_INGRESO,MATCH(C866,T_ID,0)),""))</f>
        <v/>
      </c>
      <c r="T866" s="75" t="str">
        <f aca="false">IF(P866="","",IFERROR(N(INDEX(T_EGRESO,MATCH(C866,T_ID,0))),0))</f>
        <v/>
      </c>
      <c r="U866" s="73" t="str">
        <f aca="false">IF(OR(P866="",NOT(ISNUMBER(S866))),"",IF(OR(S866&gt;EOMONTH(B866,0),AND(T866&gt;0,T866&lt;B866)),0,IF(AND(S866&lt;=B866,OR(T866=0,T866&gt;=EOMONTH(B866,0))),30,MIN(30,IF(T866=0,EOMONTH(B866,0),MIN(T866,EOMONTH(B866,0)))-MAX(B866,S866)+1))))</f>
        <v/>
      </c>
    </row>
    <row r="867" customFormat="false" ht="15" hidden="false" customHeight="false" outlineLevel="0" collapsed="false">
      <c r="B867" s="78"/>
      <c r="C867" s="64"/>
      <c r="D867" s="70" t="str">
        <f aca="false">IF(C867="","",IFERROR(INDEX(T_NOMBRE,MATCH(C867,T_ID,0)),"⚠ ID no existe"))</f>
        <v/>
      </c>
      <c r="E867" s="69"/>
      <c r="F867" s="69"/>
      <c r="G867" s="69"/>
      <c r="H867" s="69"/>
      <c r="I867" s="66"/>
      <c r="J867" s="69"/>
      <c r="K867" s="67"/>
      <c r="L867" s="67"/>
      <c r="M867" s="67"/>
      <c r="N867" s="67"/>
      <c r="O867" s="64"/>
      <c r="P867" s="72" t="str">
        <f aca="false">IF(OR(B867="",C867=""),"",C867&amp;"|"&amp;(YEAR(B867)*100+MONTH(B867)))</f>
        <v/>
      </c>
      <c r="Q867" s="70" t="str">
        <f aca="false">IF(P867="","",IF(COUNTIF(N_CLAVE,P867)&gt;1,"⚠ Duplicado","OK"))</f>
        <v/>
      </c>
      <c r="R867" s="74" t="str">
        <f aca="false">IF(OR(P867="",U867=""),"",MAX(0,U867-N(E867)-N(F867)-N(H867)))</f>
        <v/>
      </c>
      <c r="S867" s="75" t="str">
        <f aca="false">IF(P867="","",IFERROR(INDEX(T_INGRESO,MATCH(C867,T_ID,0)),""))</f>
        <v/>
      </c>
      <c r="T867" s="75" t="str">
        <f aca="false">IF(P867="","",IFERROR(N(INDEX(T_EGRESO,MATCH(C867,T_ID,0))),0))</f>
        <v/>
      </c>
      <c r="U867" s="73" t="str">
        <f aca="false">IF(OR(P867="",NOT(ISNUMBER(S867))),"",IF(OR(S867&gt;EOMONTH(B867,0),AND(T867&gt;0,T867&lt;B867)),0,IF(AND(S867&lt;=B867,OR(T867=0,T867&gt;=EOMONTH(B867,0))),30,MIN(30,IF(T867=0,EOMONTH(B867,0),MIN(T867,EOMONTH(B867,0)))-MAX(B867,S867)+1))))</f>
        <v/>
      </c>
    </row>
    <row r="868" customFormat="false" ht="15" hidden="false" customHeight="false" outlineLevel="0" collapsed="false">
      <c r="B868" s="78"/>
      <c r="C868" s="64"/>
      <c r="D868" s="70" t="str">
        <f aca="false">IF(C868="","",IFERROR(INDEX(T_NOMBRE,MATCH(C868,T_ID,0)),"⚠ ID no existe"))</f>
        <v/>
      </c>
      <c r="E868" s="69"/>
      <c r="F868" s="69"/>
      <c r="G868" s="69"/>
      <c r="H868" s="69"/>
      <c r="I868" s="66"/>
      <c r="J868" s="69"/>
      <c r="K868" s="67"/>
      <c r="L868" s="67"/>
      <c r="M868" s="67"/>
      <c r="N868" s="67"/>
      <c r="O868" s="64"/>
      <c r="P868" s="72" t="str">
        <f aca="false">IF(OR(B868="",C868=""),"",C868&amp;"|"&amp;(YEAR(B868)*100+MONTH(B868)))</f>
        <v/>
      </c>
      <c r="Q868" s="70" t="str">
        <f aca="false">IF(P868="","",IF(COUNTIF(N_CLAVE,P868)&gt;1,"⚠ Duplicado","OK"))</f>
        <v/>
      </c>
      <c r="R868" s="74" t="str">
        <f aca="false">IF(OR(P868="",U868=""),"",MAX(0,U868-N(E868)-N(F868)-N(H868)))</f>
        <v/>
      </c>
      <c r="S868" s="75" t="str">
        <f aca="false">IF(P868="","",IFERROR(INDEX(T_INGRESO,MATCH(C868,T_ID,0)),""))</f>
        <v/>
      </c>
      <c r="T868" s="75" t="str">
        <f aca="false">IF(P868="","",IFERROR(N(INDEX(T_EGRESO,MATCH(C868,T_ID,0))),0))</f>
        <v/>
      </c>
      <c r="U868" s="73" t="str">
        <f aca="false">IF(OR(P868="",NOT(ISNUMBER(S868))),"",IF(OR(S868&gt;EOMONTH(B868,0),AND(T868&gt;0,T868&lt;B868)),0,IF(AND(S868&lt;=B868,OR(T868=0,T868&gt;=EOMONTH(B868,0))),30,MIN(30,IF(T868=0,EOMONTH(B868,0),MIN(T868,EOMONTH(B868,0)))-MAX(B868,S868)+1))))</f>
        <v/>
      </c>
    </row>
    <row r="869" customFormat="false" ht="15" hidden="false" customHeight="false" outlineLevel="0" collapsed="false">
      <c r="B869" s="78"/>
      <c r="C869" s="64"/>
      <c r="D869" s="70" t="str">
        <f aca="false">IF(C869="","",IFERROR(INDEX(T_NOMBRE,MATCH(C869,T_ID,0)),"⚠ ID no existe"))</f>
        <v/>
      </c>
      <c r="E869" s="69"/>
      <c r="F869" s="69"/>
      <c r="G869" s="69"/>
      <c r="H869" s="69"/>
      <c r="I869" s="66"/>
      <c r="J869" s="69"/>
      <c r="K869" s="67"/>
      <c r="L869" s="67"/>
      <c r="M869" s="67"/>
      <c r="N869" s="67"/>
      <c r="O869" s="64"/>
      <c r="P869" s="72" t="str">
        <f aca="false">IF(OR(B869="",C869=""),"",C869&amp;"|"&amp;(YEAR(B869)*100+MONTH(B869)))</f>
        <v/>
      </c>
      <c r="Q869" s="70" t="str">
        <f aca="false">IF(P869="","",IF(COUNTIF(N_CLAVE,P869)&gt;1,"⚠ Duplicado","OK"))</f>
        <v/>
      </c>
      <c r="R869" s="74" t="str">
        <f aca="false">IF(OR(P869="",U869=""),"",MAX(0,U869-N(E869)-N(F869)-N(H869)))</f>
        <v/>
      </c>
      <c r="S869" s="75" t="str">
        <f aca="false">IF(P869="","",IFERROR(INDEX(T_INGRESO,MATCH(C869,T_ID,0)),""))</f>
        <v/>
      </c>
      <c r="T869" s="75" t="str">
        <f aca="false">IF(P869="","",IFERROR(N(INDEX(T_EGRESO,MATCH(C869,T_ID,0))),0))</f>
        <v/>
      </c>
      <c r="U869" s="73" t="str">
        <f aca="false">IF(OR(P869="",NOT(ISNUMBER(S869))),"",IF(OR(S869&gt;EOMONTH(B869,0),AND(T869&gt;0,T869&lt;B869)),0,IF(AND(S869&lt;=B869,OR(T869=0,T869&gt;=EOMONTH(B869,0))),30,MIN(30,IF(T869=0,EOMONTH(B869,0),MIN(T869,EOMONTH(B869,0)))-MAX(B869,S869)+1))))</f>
        <v/>
      </c>
    </row>
    <row r="870" customFormat="false" ht="15" hidden="false" customHeight="false" outlineLevel="0" collapsed="false">
      <c r="B870" s="78"/>
      <c r="C870" s="64"/>
      <c r="D870" s="70" t="str">
        <f aca="false">IF(C870="","",IFERROR(INDEX(T_NOMBRE,MATCH(C870,T_ID,0)),"⚠ ID no existe"))</f>
        <v/>
      </c>
      <c r="E870" s="69"/>
      <c r="F870" s="69"/>
      <c r="G870" s="69"/>
      <c r="H870" s="69"/>
      <c r="I870" s="66"/>
      <c r="J870" s="69"/>
      <c r="K870" s="67"/>
      <c r="L870" s="67"/>
      <c r="M870" s="67"/>
      <c r="N870" s="67"/>
      <c r="O870" s="64"/>
      <c r="P870" s="72" t="str">
        <f aca="false">IF(OR(B870="",C870=""),"",C870&amp;"|"&amp;(YEAR(B870)*100+MONTH(B870)))</f>
        <v/>
      </c>
      <c r="Q870" s="70" t="str">
        <f aca="false">IF(P870="","",IF(COUNTIF(N_CLAVE,P870)&gt;1,"⚠ Duplicado","OK"))</f>
        <v/>
      </c>
      <c r="R870" s="74" t="str">
        <f aca="false">IF(OR(P870="",U870=""),"",MAX(0,U870-N(E870)-N(F870)-N(H870)))</f>
        <v/>
      </c>
      <c r="S870" s="75" t="str">
        <f aca="false">IF(P870="","",IFERROR(INDEX(T_INGRESO,MATCH(C870,T_ID,0)),""))</f>
        <v/>
      </c>
      <c r="T870" s="75" t="str">
        <f aca="false">IF(P870="","",IFERROR(N(INDEX(T_EGRESO,MATCH(C870,T_ID,0))),0))</f>
        <v/>
      </c>
      <c r="U870" s="73" t="str">
        <f aca="false">IF(OR(P870="",NOT(ISNUMBER(S870))),"",IF(OR(S870&gt;EOMONTH(B870,0),AND(T870&gt;0,T870&lt;B870)),0,IF(AND(S870&lt;=B870,OR(T870=0,T870&gt;=EOMONTH(B870,0))),30,MIN(30,IF(T870=0,EOMONTH(B870,0),MIN(T870,EOMONTH(B870,0)))-MAX(B870,S870)+1))))</f>
        <v/>
      </c>
    </row>
    <row r="871" customFormat="false" ht="15" hidden="false" customHeight="false" outlineLevel="0" collapsed="false">
      <c r="B871" s="78"/>
      <c r="C871" s="64"/>
      <c r="D871" s="70" t="str">
        <f aca="false">IF(C871="","",IFERROR(INDEX(T_NOMBRE,MATCH(C871,T_ID,0)),"⚠ ID no existe"))</f>
        <v/>
      </c>
      <c r="E871" s="69"/>
      <c r="F871" s="69"/>
      <c r="G871" s="69"/>
      <c r="H871" s="69"/>
      <c r="I871" s="66"/>
      <c r="J871" s="69"/>
      <c r="K871" s="67"/>
      <c r="L871" s="67"/>
      <c r="M871" s="67"/>
      <c r="N871" s="67"/>
      <c r="O871" s="64"/>
      <c r="P871" s="72" t="str">
        <f aca="false">IF(OR(B871="",C871=""),"",C871&amp;"|"&amp;(YEAR(B871)*100+MONTH(B871)))</f>
        <v/>
      </c>
      <c r="Q871" s="70" t="str">
        <f aca="false">IF(P871="","",IF(COUNTIF(N_CLAVE,P871)&gt;1,"⚠ Duplicado","OK"))</f>
        <v/>
      </c>
      <c r="R871" s="74" t="str">
        <f aca="false">IF(OR(P871="",U871=""),"",MAX(0,U871-N(E871)-N(F871)-N(H871)))</f>
        <v/>
      </c>
      <c r="S871" s="75" t="str">
        <f aca="false">IF(P871="","",IFERROR(INDEX(T_INGRESO,MATCH(C871,T_ID,0)),""))</f>
        <v/>
      </c>
      <c r="T871" s="75" t="str">
        <f aca="false">IF(P871="","",IFERROR(N(INDEX(T_EGRESO,MATCH(C871,T_ID,0))),0))</f>
        <v/>
      </c>
      <c r="U871" s="73" t="str">
        <f aca="false">IF(OR(P871="",NOT(ISNUMBER(S871))),"",IF(OR(S871&gt;EOMONTH(B871,0),AND(T871&gt;0,T871&lt;B871)),0,IF(AND(S871&lt;=B871,OR(T871=0,T871&gt;=EOMONTH(B871,0))),30,MIN(30,IF(T871=0,EOMONTH(B871,0),MIN(T871,EOMONTH(B871,0)))-MAX(B871,S871)+1))))</f>
        <v/>
      </c>
    </row>
    <row r="872" customFormat="false" ht="15" hidden="false" customHeight="false" outlineLevel="0" collapsed="false">
      <c r="B872" s="78"/>
      <c r="C872" s="64"/>
      <c r="D872" s="70" t="str">
        <f aca="false">IF(C872="","",IFERROR(INDEX(T_NOMBRE,MATCH(C872,T_ID,0)),"⚠ ID no existe"))</f>
        <v/>
      </c>
      <c r="E872" s="69"/>
      <c r="F872" s="69"/>
      <c r="G872" s="69"/>
      <c r="H872" s="69"/>
      <c r="I872" s="66"/>
      <c r="J872" s="69"/>
      <c r="K872" s="67"/>
      <c r="L872" s="67"/>
      <c r="M872" s="67"/>
      <c r="N872" s="67"/>
      <c r="O872" s="64"/>
      <c r="P872" s="72" t="str">
        <f aca="false">IF(OR(B872="",C872=""),"",C872&amp;"|"&amp;(YEAR(B872)*100+MONTH(B872)))</f>
        <v/>
      </c>
      <c r="Q872" s="70" t="str">
        <f aca="false">IF(P872="","",IF(COUNTIF(N_CLAVE,P872)&gt;1,"⚠ Duplicado","OK"))</f>
        <v/>
      </c>
      <c r="R872" s="74" t="str">
        <f aca="false">IF(OR(P872="",U872=""),"",MAX(0,U872-N(E872)-N(F872)-N(H872)))</f>
        <v/>
      </c>
      <c r="S872" s="75" t="str">
        <f aca="false">IF(P872="","",IFERROR(INDEX(T_INGRESO,MATCH(C872,T_ID,0)),""))</f>
        <v/>
      </c>
      <c r="T872" s="75" t="str">
        <f aca="false">IF(P872="","",IFERROR(N(INDEX(T_EGRESO,MATCH(C872,T_ID,0))),0))</f>
        <v/>
      </c>
      <c r="U872" s="73" t="str">
        <f aca="false">IF(OR(P872="",NOT(ISNUMBER(S872))),"",IF(OR(S872&gt;EOMONTH(B872,0),AND(T872&gt;0,T872&lt;B872)),0,IF(AND(S872&lt;=B872,OR(T872=0,T872&gt;=EOMONTH(B872,0))),30,MIN(30,IF(T872=0,EOMONTH(B872,0),MIN(T872,EOMONTH(B872,0)))-MAX(B872,S872)+1))))</f>
        <v/>
      </c>
    </row>
    <row r="873" customFormat="false" ht="15" hidden="false" customHeight="false" outlineLevel="0" collapsed="false">
      <c r="B873" s="78"/>
      <c r="C873" s="64"/>
      <c r="D873" s="70" t="str">
        <f aca="false">IF(C873="","",IFERROR(INDEX(T_NOMBRE,MATCH(C873,T_ID,0)),"⚠ ID no existe"))</f>
        <v/>
      </c>
      <c r="E873" s="69"/>
      <c r="F873" s="69"/>
      <c r="G873" s="69"/>
      <c r="H873" s="69"/>
      <c r="I873" s="66"/>
      <c r="J873" s="69"/>
      <c r="K873" s="67"/>
      <c r="L873" s="67"/>
      <c r="M873" s="67"/>
      <c r="N873" s="67"/>
      <c r="O873" s="64"/>
      <c r="P873" s="72" t="str">
        <f aca="false">IF(OR(B873="",C873=""),"",C873&amp;"|"&amp;(YEAR(B873)*100+MONTH(B873)))</f>
        <v/>
      </c>
      <c r="Q873" s="70" t="str">
        <f aca="false">IF(P873="","",IF(COUNTIF(N_CLAVE,P873)&gt;1,"⚠ Duplicado","OK"))</f>
        <v/>
      </c>
      <c r="R873" s="74" t="str">
        <f aca="false">IF(OR(P873="",U873=""),"",MAX(0,U873-N(E873)-N(F873)-N(H873)))</f>
        <v/>
      </c>
      <c r="S873" s="75" t="str">
        <f aca="false">IF(P873="","",IFERROR(INDEX(T_INGRESO,MATCH(C873,T_ID,0)),""))</f>
        <v/>
      </c>
      <c r="T873" s="75" t="str">
        <f aca="false">IF(P873="","",IFERROR(N(INDEX(T_EGRESO,MATCH(C873,T_ID,0))),0))</f>
        <v/>
      </c>
      <c r="U873" s="73" t="str">
        <f aca="false">IF(OR(P873="",NOT(ISNUMBER(S873))),"",IF(OR(S873&gt;EOMONTH(B873,0),AND(T873&gt;0,T873&lt;B873)),0,IF(AND(S873&lt;=B873,OR(T873=0,T873&gt;=EOMONTH(B873,0))),30,MIN(30,IF(T873=0,EOMONTH(B873,0),MIN(T873,EOMONTH(B873,0)))-MAX(B873,S873)+1))))</f>
        <v/>
      </c>
    </row>
    <row r="874" customFormat="false" ht="15" hidden="false" customHeight="false" outlineLevel="0" collapsed="false">
      <c r="B874" s="78"/>
      <c r="C874" s="64"/>
      <c r="D874" s="70" t="str">
        <f aca="false">IF(C874="","",IFERROR(INDEX(T_NOMBRE,MATCH(C874,T_ID,0)),"⚠ ID no existe"))</f>
        <v/>
      </c>
      <c r="E874" s="69"/>
      <c r="F874" s="69"/>
      <c r="G874" s="69"/>
      <c r="H874" s="69"/>
      <c r="I874" s="66"/>
      <c r="J874" s="69"/>
      <c r="K874" s="67"/>
      <c r="L874" s="67"/>
      <c r="M874" s="67"/>
      <c r="N874" s="67"/>
      <c r="O874" s="64"/>
      <c r="P874" s="72" t="str">
        <f aca="false">IF(OR(B874="",C874=""),"",C874&amp;"|"&amp;(YEAR(B874)*100+MONTH(B874)))</f>
        <v/>
      </c>
      <c r="Q874" s="70" t="str">
        <f aca="false">IF(P874="","",IF(COUNTIF(N_CLAVE,P874)&gt;1,"⚠ Duplicado","OK"))</f>
        <v/>
      </c>
      <c r="R874" s="74" t="str">
        <f aca="false">IF(OR(P874="",U874=""),"",MAX(0,U874-N(E874)-N(F874)-N(H874)))</f>
        <v/>
      </c>
      <c r="S874" s="75" t="str">
        <f aca="false">IF(P874="","",IFERROR(INDEX(T_INGRESO,MATCH(C874,T_ID,0)),""))</f>
        <v/>
      </c>
      <c r="T874" s="75" t="str">
        <f aca="false">IF(P874="","",IFERROR(N(INDEX(T_EGRESO,MATCH(C874,T_ID,0))),0))</f>
        <v/>
      </c>
      <c r="U874" s="73" t="str">
        <f aca="false">IF(OR(P874="",NOT(ISNUMBER(S874))),"",IF(OR(S874&gt;EOMONTH(B874,0),AND(T874&gt;0,T874&lt;B874)),0,IF(AND(S874&lt;=B874,OR(T874=0,T874&gt;=EOMONTH(B874,0))),30,MIN(30,IF(T874=0,EOMONTH(B874,0),MIN(T874,EOMONTH(B874,0)))-MAX(B874,S874)+1))))</f>
        <v/>
      </c>
    </row>
    <row r="875" customFormat="false" ht="15" hidden="false" customHeight="false" outlineLevel="0" collapsed="false">
      <c r="B875" s="78"/>
      <c r="C875" s="64"/>
      <c r="D875" s="70" t="str">
        <f aca="false">IF(C875="","",IFERROR(INDEX(T_NOMBRE,MATCH(C875,T_ID,0)),"⚠ ID no existe"))</f>
        <v/>
      </c>
      <c r="E875" s="69"/>
      <c r="F875" s="69"/>
      <c r="G875" s="69"/>
      <c r="H875" s="69"/>
      <c r="I875" s="66"/>
      <c r="J875" s="69"/>
      <c r="K875" s="67"/>
      <c r="L875" s="67"/>
      <c r="M875" s="67"/>
      <c r="N875" s="67"/>
      <c r="O875" s="64"/>
      <c r="P875" s="72" t="str">
        <f aca="false">IF(OR(B875="",C875=""),"",C875&amp;"|"&amp;(YEAR(B875)*100+MONTH(B875)))</f>
        <v/>
      </c>
      <c r="Q875" s="70" t="str">
        <f aca="false">IF(P875="","",IF(COUNTIF(N_CLAVE,P875)&gt;1,"⚠ Duplicado","OK"))</f>
        <v/>
      </c>
      <c r="R875" s="74" t="str">
        <f aca="false">IF(OR(P875="",U875=""),"",MAX(0,U875-N(E875)-N(F875)-N(H875)))</f>
        <v/>
      </c>
      <c r="S875" s="75" t="str">
        <f aca="false">IF(P875="","",IFERROR(INDEX(T_INGRESO,MATCH(C875,T_ID,0)),""))</f>
        <v/>
      </c>
      <c r="T875" s="75" t="str">
        <f aca="false">IF(P875="","",IFERROR(N(INDEX(T_EGRESO,MATCH(C875,T_ID,0))),0))</f>
        <v/>
      </c>
      <c r="U875" s="73" t="str">
        <f aca="false">IF(OR(P875="",NOT(ISNUMBER(S875))),"",IF(OR(S875&gt;EOMONTH(B875,0),AND(T875&gt;0,T875&lt;B875)),0,IF(AND(S875&lt;=B875,OR(T875=0,T875&gt;=EOMONTH(B875,0))),30,MIN(30,IF(T875=0,EOMONTH(B875,0),MIN(T875,EOMONTH(B875,0)))-MAX(B875,S875)+1))))</f>
        <v/>
      </c>
    </row>
    <row r="876" customFormat="false" ht="15" hidden="false" customHeight="false" outlineLevel="0" collapsed="false">
      <c r="B876" s="78"/>
      <c r="C876" s="64"/>
      <c r="D876" s="70" t="str">
        <f aca="false">IF(C876="","",IFERROR(INDEX(T_NOMBRE,MATCH(C876,T_ID,0)),"⚠ ID no existe"))</f>
        <v/>
      </c>
      <c r="E876" s="69"/>
      <c r="F876" s="69"/>
      <c r="G876" s="69"/>
      <c r="H876" s="69"/>
      <c r="I876" s="66"/>
      <c r="J876" s="69"/>
      <c r="K876" s="67"/>
      <c r="L876" s="67"/>
      <c r="M876" s="67"/>
      <c r="N876" s="67"/>
      <c r="O876" s="64"/>
      <c r="P876" s="72" t="str">
        <f aca="false">IF(OR(B876="",C876=""),"",C876&amp;"|"&amp;(YEAR(B876)*100+MONTH(B876)))</f>
        <v/>
      </c>
      <c r="Q876" s="70" t="str">
        <f aca="false">IF(P876="","",IF(COUNTIF(N_CLAVE,P876)&gt;1,"⚠ Duplicado","OK"))</f>
        <v/>
      </c>
      <c r="R876" s="74" t="str">
        <f aca="false">IF(OR(P876="",U876=""),"",MAX(0,U876-N(E876)-N(F876)-N(H876)))</f>
        <v/>
      </c>
      <c r="S876" s="75" t="str">
        <f aca="false">IF(P876="","",IFERROR(INDEX(T_INGRESO,MATCH(C876,T_ID,0)),""))</f>
        <v/>
      </c>
      <c r="T876" s="75" t="str">
        <f aca="false">IF(P876="","",IFERROR(N(INDEX(T_EGRESO,MATCH(C876,T_ID,0))),0))</f>
        <v/>
      </c>
      <c r="U876" s="73" t="str">
        <f aca="false">IF(OR(P876="",NOT(ISNUMBER(S876))),"",IF(OR(S876&gt;EOMONTH(B876,0),AND(T876&gt;0,T876&lt;B876)),0,IF(AND(S876&lt;=B876,OR(T876=0,T876&gt;=EOMONTH(B876,0))),30,MIN(30,IF(T876=0,EOMONTH(B876,0),MIN(T876,EOMONTH(B876,0)))-MAX(B876,S876)+1))))</f>
        <v/>
      </c>
    </row>
    <row r="877" customFormat="false" ht="15" hidden="false" customHeight="false" outlineLevel="0" collapsed="false">
      <c r="B877" s="78"/>
      <c r="C877" s="64"/>
      <c r="D877" s="70" t="str">
        <f aca="false">IF(C877="","",IFERROR(INDEX(T_NOMBRE,MATCH(C877,T_ID,0)),"⚠ ID no existe"))</f>
        <v/>
      </c>
      <c r="E877" s="69"/>
      <c r="F877" s="69"/>
      <c r="G877" s="69"/>
      <c r="H877" s="69"/>
      <c r="I877" s="66"/>
      <c r="J877" s="69"/>
      <c r="K877" s="67"/>
      <c r="L877" s="67"/>
      <c r="M877" s="67"/>
      <c r="N877" s="67"/>
      <c r="O877" s="64"/>
      <c r="P877" s="72" t="str">
        <f aca="false">IF(OR(B877="",C877=""),"",C877&amp;"|"&amp;(YEAR(B877)*100+MONTH(B877)))</f>
        <v/>
      </c>
      <c r="Q877" s="70" t="str">
        <f aca="false">IF(P877="","",IF(COUNTIF(N_CLAVE,P877)&gt;1,"⚠ Duplicado","OK"))</f>
        <v/>
      </c>
      <c r="R877" s="74" t="str">
        <f aca="false">IF(OR(P877="",U877=""),"",MAX(0,U877-N(E877)-N(F877)-N(H877)))</f>
        <v/>
      </c>
      <c r="S877" s="75" t="str">
        <f aca="false">IF(P877="","",IFERROR(INDEX(T_INGRESO,MATCH(C877,T_ID,0)),""))</f>
        <v/>
      </c>
      <c r="T877" s="75" t="str">
        <f aca="false">IF(P877="","",IFERROR(N(INDEX(T_EGRESO,MATCH(C877,T_ID,0))),0))</f>
        <v/>
      </c>
      <c r="U877" s="73" t="str">
        <f aca="false">IF(OR(P877="",NOT(ISNUMBER(S877))),"",IF(OR(S877&gt;EOMONTH(B877,0),AND(T877&gt;0,T877&lt;B877)),0,IF(AND(S877&lt;=B877,OR(T877=0,T877&gt;=EOMONTH(B877,0))),30,MIN(30,IF(T877=0,EOMONTH(B877,0),MIN(T877,EOMONTH(B877,0)))-MAX(B877,S877)+1))))</f>
        <v/>
      </c>
    </row>
    <row r="878" customFormat="false" ht="15" hidden="false" customHeight="false" outlineLevel="0" collapsed="false">
      <c r="B878" s="78"/>
      <c r="C878" s="64"/>
      <c r="D878" s="70" t="str">
        <f aca="false">IF(C878="","",IFERROR(INDEX(T_NOMBRE,MATCH(C878,T_ID,0)),"⚠ ID no existe"))</f>
        <v/>
      </c>
      <c r="E878" s="69"/>
      <c r="F878" s="69"/>
      <c r="G878" s="69"/>
      <c r="H878" s="69"/>
      <c r="I878" s="66"/>
      <c r="J878" s="69"/>
      <c r="K878" s="67"/>
      <c r="L878" s="67"/>
      <c r="M878" s="67"/>
      <c r="N878" s="67"/>
      <c r="O878" s="64"/>
      <c r="P878" s="72" t="str">
        <f aca="false">IF(OR(B878="",C878=""),"",C878&amp;"|"&amp;(YEAR(B878)*100+MONTH(B878)))</f>
        <v/>
      </c>
      <c r="Q878" s="70" t="str">
        <f aca="false">IF(P878="","",IF(COUNTIF(N_CLAVE,P878)&gt;1,"⚠ Duplicado","OK"))</f>
        <v/>
      </c>
      <c r="R878" s="74" t="str">
        <f aca="false">IF(OR(P878="",U878=""),"",MAX(0,U878-N(E878)-N(F878)-N(H878)))</f>
        <v/>
      </c>
      <c r="S878" s="75" t="str">
        <f aca="false">IF(P878="","",IFERROR(INDEX(T_INGRESO,MATCH(C878,T_ID,0)),""))</f>
        <v/>
      </c>
      <c r="T878" s="75" t="str">
        <f aca="false">IF(P878="","",IFERROR(N(INDEX(T_EGRESO,MATCH(C878,T_ID,0))),0))</f>
        <v/>
      </c>
      <c r="U878" s="73" t="str">
        <f aca="false">IF(OR(P878="",NOT(ISNUMBER(S878))),"",IF(OR(S878&gt;EOMONTH(B878,0),AND(T878&gt;0,T878&lt;B878)),0,IF(AND(S878&lt;=B878,OR(T878=0,T878&gt;=EOMONTH(B878,0))),30,MIN(30,IF(T878=0,EOMONTH(B878,0),MIN(T878,EOMONTH(B878,0)))-MAX(B878,S878)+1))))</f>
        <v/>
      </c>
    </row>
    <row r="879" customFormat="false" ht="15" hidden="false" customHeight="false" outlineLevel="0" collapsed="false">
      <c r="B879" s="78"/>
      <c r="C879" s="64"/>
      <c r="D879" s="70" t="str">
        <f aca="false">IF(C879="","",IFERROR(INDEX(T_NOMBRE,MATCH(C879,T_ID,0)),"⚠ ID no existe"))</f>
        <v/>
      </c>
      <c r="E879" s="69"/>
      <c r="F879" s="69"/>
      <c r="G879" s="69"/>
      <c r="H879" s="69"/>
      <c r="I879" s="66"/>
      <c r="J879" s="69"/>
      <c r="K879" s="67"/>
      <c r="L879" s="67"/>
      <c r="M879" s="67"/>
      <c r="N879" s="67"/>
      <c r="O879" s="64"/>
      <c r="P879" s="72" t="str">
        <f aca="false">IF(OR(B879="",C879=""),"",C879&amp;"|"&amp;(YEAR(B879)*100+MONTH(B879)))</f>
        <v/>
      </c>
      <c r="Q879" s="70" t="str">
        <f aca="false">IF(P879="","",IF(COUNTIF(N_CLAVE,P879)&gt;1,"⚠ Duplicado","OK"))</f>
        <v/>
      </c>
      <c r="R879" s="74" t="str">
        <f aca="false">IF(OR(P879="",U879=""),"",MAX(0,U879-N(E879)-N(F879)-N(H879)))</f>
        <v/>
      </c>
      <c r="S879" s="75" t="str">
        <f aca="false">IF(P879="","",IFERROR(INDEX(T_INGRESO,MATCH(C879,T_ID,0)),""))</f>
        <v/>
      </c>
      <c r="T879" s="75" t="str">
        <f aca="false">IF(P879="","",IFERROR(N(INDEX(T_EGRESO,MATCH(C879,T_ID,0))),0))</f>
        <v/>
      </c>
      <c r="U879" s="73" t="str">
        <f aca="false">IF(OR(P879="",NOT(ISNUMBER(S879))),"",IF(OR(S879&gt;EOMONTH(B879,0),AND(T879&gt;0,T879&lt;B879)),0,IF(AND(S879&lt;=B879,OR(T879=0,T879&gt;=EOMONTH(B879,0))),30,MIN(30,IF(T879=0,EOMONTH(B879,0),MIN(T879,EOMONTH(B879,0)))-MAX(B879,S879)+1))))</f>
        <v/>
      </c>
    </row>
    <row r="880" customFormat="false" ht="15" hidden="false" customHeight="false" outlineLevel="0" collapsed="false">
      <c r="B880" s="78"/>
      <c r="C880" s="64"/>
      <c r="D880" s="70" t="str">
        <f aca="false">IF(C880="","",IFERROR(INDEX(T_NOMBRE,MATCH(C880,T_ID,0)),"⚠ ID no existe"))</f>
        <v/>
      </c>
      <c r="E880" s="69"/>
      <c r="F880" s="69"/>
      <c r="G880" s="69"/>
      <c r="H880" s="69"/>
      <c r="I880" s="66"/>
      <c r="J880" s="69"/>
      <c r="K880" s="67"/>
      <c r="L880" s="67"/>
      <c r="M880" s="67"/>
      <c r="N880" s="67"/>
      <c r="O880" s="64"/>
      <c r="P880" s="72" t="str">
        <f aca="false">IF(OR(B880="",C880=""),"",C880&amp;"|"&amp;(YEAR(B880)*100+MONTH(B880)))</f>
        <v/>
      </c>
      <c r="Q880" s="70" t="str">
        <f aca="false">IF(P880="","",IF(COUNTIF(N_CLAVE,P880)&gt;1,"⚠ Duplicado","OK"))</f>
        <v/>
      </c>
      <c r="R880" s="74" t="str">
        <f aca="false">IF(OR(P880="",U880=""),"",MAX(0,U880-N(E880)-N(F880)-N(H880)))</f>
        <v/>
      </c>
      <c r="S880" s="75" t="str">
        <f aca="false">IF(P880="","",IFERROR(INDEX(T_INGRESO,MATCH(C880,T_ID,0)),""))</f>
        <v/>
      </c>
      <c r="T880" s="75" t="str">
        <f aca="false">IF(P880="","",IFERROR(N(INDEX(T_EGRESO,MATCH(C880,T_ID,0))),0))</f>
        <v/>
      </c>
      <c r="U880" s="73" t="str">
        <f aca="false">IF(OR(P880="",NOT(ISNUMBER(S880))),"",IF(OR(S880&gt;EOMONTH(B880,0),AND(T880&gt;0,T880&lt;B880)),0,IF(AND(S880&lt;=B880,OR(T880=0,T880&gt;=EOMONTH(B880,0))),30,MIN(30,IF(T880=0,EOMONTH(B880,0),MIN(T880,EOMONTH(B880,0)))-MAX(B880,S880)+1))))</f>
        <v/>
      </c>
    </row>
    <row r="881" customFormat="false" ht="15" hidden="false" customHeight="false" outlineLevel="0" collapsed="false">
      <c r="B881" s="78"/>
      <c r="C881" s="64"/>
      <c r="D881" s="70" t="str">
        <f aca="false">IF(C881="","",IFERROR(INDEX(T_NOMBRE,MATCH(C881,T_ID,0)),"⚠ ID no existe"))</f>
        <v/>
      </c>
      <c r="E881" s="69"/>
      <c r="F881" s="69"/>
      <c r="G881" s="69"/>
      <c r="H881" s="69"/>
      <c r="I881" s="66"/>
      <c r="J881" s="69"/>
      <c r="K881" s="67"/>
      <c r="L881" s="67"/>
      <c r="M881" s="67"/>
      <c r="N881" s="67"/>
      <c r="O881" s="64"/>
      <c r="P881" s="72" t="str">
        <f aca="false">IF(OR(B881="",C881=""),"",C881&amp;"|"&amp;(YEAR(B881)*100+MONTH(B881)))</f>
        <v/>
      </c>
      <c r="Q881" s="70" t="str">
        <f aca="false">IF(P881="","",IF(COUNTIF(N_CLAVE,P881)&gt;1,"⚠ Duplicado","OK"))</f>
        <v/>
      </c>
      <c r="R881" s="74" t="str">
        <f aca="false">IF(OR(P881="",U881=""),"",MAX(0,U881-N(E881)-N(F881)-N(H881)))</f>
        <v/>
      </c>
      <c r="S881" s="75" t="str">
        <f aca="false">IF(P881="","",IFERROR(INDEX(T_INGRESO,MATCH(C881,T_ID,0)),""))</f>
        <v/>
      </c>
      <c r="T881" s="75" t="str">
        <f aca="false">IF(P881="","",IFERROR(N(INDEX(T_EGRESO,MATCH(C881,T_ID,0))),0))</f>
        <v/>
      </c>
      <c r="U881" s="73" t="str">
        <f aca="false">IF(OR(P881="",NOT(ISNUMBER(S881))),"",IF(OR(S881&gt;EOMONTH(B881,0),AND(T881&gt;0,T881&lt;B881)),0,IF(AND(S881&lt;=B881,OR(T881=0,T881&gt;=EOMONTH(B881,0))),30,MIN(30,IF(T881=0,EOMONTH(B881,0),MIN(T881,EOMONTH(B881,0)))-MAX(B881,S881)+1))))</f>
        <v/>
      </c>
    </row>
    <row r="882" customFormat="false" ht="15" hidden="false" customHeight="false" outlineLevel="0" collapsed="false">
      <c r="B882" s="78"/>
      <c r="C882" s="64"/>
      <c r="D882" s="70" t="str">
        <f aca="false">IF(C882="","",IFERROR(INDEX(T_NOMBRE,MATCH(C882,T_ID,0)),"⚠ ID no existe"))</f>
        <v/>
      </c>
      <c r="E882" s="69"/>
      <c r="F882" s="69"/>
      <c r="G882" s="69"/>
      <c r="H882" s="69"/>
      <c r="I882" s="66"/>
      <c r="J882" s="69"/>
      <c r="K882" s="67"/>
      <c r="L882" s="67"/>
      <c r="M882" s="67"/>
      <c r="N882" s="67"/>
      <c r="O882" s="64"/>
      <c r="P882" s="72" t="str">
        <f aca="false">IF(OR(B882="",C882=""),"",C882&amp;"|"&amp;(YEAR(B882)*100+MONTH(B882)))</f>
        <v/>
      </c>
      <c r="Q882" s="70" t="str">
        <f aca="false">IF(P882="","",IF(COUNTIF(N_CLAVE,P882)&gt;1,"⚠ Duplicado","OK"))</f>
        <v/>
      </c>
      <c r="R882" s="74" t="str">
        <f aca="false">IF(OR(P882="",U882=""),"",MAX(0,U882-N(E882)-N(F882)-N(H882)))</f>
        <v/>
      </c>
      <c r="S882" s="75" t="str">
        <f aca="false">IF(P882="","",IFERROR(INDEX(T_INGRESO,MATCH(C882,T_ID,0)),""))</f>
        <v/>
      </c>
      <c r="T882" s="75" t="str">
        <f aca="false">IF(P882="","",IFERROR(N(INDEX(T_EGRESO,MATCH(C882,T_ID,0))),0))</f>
        <v/>
      </c>
      <c r="U882" s="73" t="str">
        <f aca="false">IF(OR(P882="",NOT(ISNUMBER(S882))),"",IF(OR(S882&gt;EOMONTH(B882,0),AND(T882&gt;0,T882&lt;B882)),0,IF(AND(S882&lt;=B882,OR(T882=0,T882&gt;=EOMONTH(B882,0))),30,MIN(30,IF(T882=0,EOMONTH(B882,0),MIN(T882,EOMONTH(B882,0)))-MAX(B882,S882)+1))))</f>
        <v/>
      </c>
    </row>
    <row r="883" customFormat="false" ht="15" hidden="false" customHeight="false" outlineLevel="0" collapsed="false">
      <c r="B883" s="78"/>
      <c r="C883" s="64"/>
      <c r="D883" s="70" t="str">
        <f aca="false">IF(C883="","",IFERROR(INDEX(T_NOMBRE,MATCH(C883,T_ID,0)),"⚠ ID no existe"))</f>
        <v/>
      </c>
      <c r="E883" s="69"/>
      <c r="F883" s="69"/>
      <c r="G883" s="69"/>
      <c r="H883" s="69"/>
      <c r="I883" s="66"/>
      <c r="J883" s="69"/>
      <c r="K883" s="67"/>
      <c r="L883" s="67"/>
      <c r="M883" s="67"/>
      <c r="N883" s="67"/>
      <c r="O883" s="64"/>
      <c r="P883" s="72" t="str">
        <f aca="false">IF(OR(B883="",C883=""),"",C883&amp;"|"&amp;(YEAR(B883)*100+MONTH(B883)))</f>
        <v/>
      </c>
      <c r="Q883" s="70" t="str">
        <f aca="false">IF(P883="","",IF(COUNTIF(N_CLAVE,P883)&gt;1,"⚠ Duplicado","OK"))</f>
        <v/>
      </c>
      <c r="R883" s="74" t="str">
        <f aca="false">IF(OR(P883="",U883=""),"",MAX(0,U883-N(E883)-N(F883)-N(H883)))</f>
        <v/>
      </c>
      <c r="S883" s="75" t="str">
        <f aca="false">IF(P883="","",IFERROR(INDEX(T_INGRESO,MATCH(C883,T_ID,0)),""))</f>
        <v/>
      </c>
      <c r="T883" s="75" t="str">
        <f aca="false">IF(P883="","",IFERROR(N(INDEX(T_EGRESO,MATCH(C883,T_ID,0))),0))</f>
        <v/>
      </c>
      <c r="U883" s="73" t="str">
        <f aca="false">IF(OR(P883="",NOT(ISNUMBER(S883))),"",IF(OR(S883&gt;EOMONTH(B883,0),AND(T883&gt;0,T883&lt;B883)),0,IF(AND(S883&lt;=B883,OR(T883=0,T883&gt;=EOMONTH(B883,0))),30,MIN(30,IF(T883=0,EOMONTH(B883,0),MIN(T883,EOMONTH(B883,0)))-MAX(B883,S883)+1))))</f>
        <v/>
      </c>
    </row>
    <row r="884" customFormat="false" ht="15" hidden="false" customHeight="false" outlineLevel="0" collapsed="false">
      <c r="B884" s="78"/>
      <c r="C884" s="64"/>
      <c r="D884" s="70" t="str">
        <f aca="false">IF(C884="","",IFERROR(INDEX(T_NOMBRE,MATCH(C884,T_ID,0)),"⚠ ID no existe"))</f>
        <v/>
      </c>
      <c r="E884" s="69"/>
      <c r="F884" s="69"/>
      <c r="G884" s="69"/>
      <c r="H884" s="69"/>
      <c r="I884" s="66"/>
      <c r="J884" s="69"/>
      <c r="K884" s="67"/>
      <c r="L884" s="67"/>
      <c r="M884" s="67"/>
      <c r="N884" s="67"/>
      <c r="O884" s="64"/>
      <c r="P884" s="72" t="str">
        <f aca="false">IF(OR(B884="",C884=""),"",C884&amp;"|"&amp;(YEAR(B884)*100+MONTH(B884)))</f>
        <v/>
      </c>
      <c r="Q884" s="70" t="str">
        <f aca="false">IF(P884="","",IF(COUNTIF(N_CLAVE,P884)&gt;1,"⚠ Duplicado","OK"))</f>
        <v/>
      </c>
      <c r="R884" s="74" t="str">
        <f aca="false">IF(OR(P884="",U884=""),"",MAX(0,U884-N(E884)-N(F884)-N(H884)))</f>
        <v/>
      </c>
      <c r="S884" s="75" t="str">
        <f aca="false">IF(P884="","",IFERROR(INDEX(T_INGRESO,MATCH(C884,T_ID,0)),""))</f>
        <v/>
      </c>
      <c r="T884" s="75" t="str">
        <f aca="false">IF(P884="","",IFERROR(N(INDEX(T_EGRESO,MATCH(C884,T_ID,0))),0))</f>
        <v/>
      </c>
      <c r="U884" s="73" t="str">
        <f aca="false">IF(OR(P884="",NOT(ISNUMBER(S884))),"",IF(OR(S884&gt;EOMONTH(B884,0),AND(T884&gt;0,T884&lt;B884)),0,IF(AND(S884&lt;=B884,OR(T884=0,T884&gt;=EOMONTH(B884,0))),30,MIN(30,IF(T884=0,EOMONTH(B884,0),MIN(T884,EOMONTH(B884,0)))-MAX(B884,S884)+1))))</f>
        <v/>
      </c>
    </row>
    <row r="885" customFormat="false" ht="15" hidden="false" customHeight="false" outlineLevel="0" collapsed="false">
      <c r="B885" s="78"/>
      <c r="C885" s="64"/>
      <c r="D885" s="70" t="str">
        <f aca="false">IF(C885="","",IFERROR(INDEX(T_NOMBRE,MATCH(C885,T_ID,0)),"⚠ ID no existe"))</f>
        <v/>
      </c>
      <c r="E885" s="69"/>
      <c r="F885" s="69"/>
      <c r="G885" s="69"/>
      <c r="H885" s="69"/>
      <c r="I885" s="66"/>
      <c r="J885" s="69"/>
      <c r="K885" s="67"/>
      <c r="L885" s="67"/>
      <c r="M885" s="67"/>
      <c r="N885" s="67"/>
      <c r="O885" s="64"/>
      <c r="P885" s="72" t="str">
        <f aca="false">IF(OR(B885="",C885=""),"",C885&amp;"|"&amp;(YEAR(B885)*100+MONTH(B885)))</f>
        <v/>
      </c>
      <c r="Q885" s="70" t="str">
        <f aca="false">IF(P885="","",IF(COUNTIF(N_CLAVE,P885)&gt;1,"⚠ Duplicado","OK"))</f>
        <v/>
      </c>
      <c r="R885" s="74" t="str">
        <f aca="false">IF(OR(P885="",U885=""),"",MAX(0,U885-N(E885)-N(F885)-N(H885)))</f>
        <v/>
      </c>
      <c r="S885" s="75" t="str">
        <f aca="false">IF(P885="","",IFERROR(INDEX(T_INGRESO,MATCH(C885,T_ID,0)),""))</f>
        <v/>
      </c>
      <c r="T885" s="75" t="str">
        <f aca="false">IF(P885="","",IFERROR(N(INDEX(T_EGRESO,MATCH(C885,T_ID,0))),0))</f>
        <v/>
      </c>
      <c r="U885" s="73" t="str">
        <f aca="false">IF(OR(P885="",NOT(ISNUMBER(S885))),"",IF(OR(S885&gt;EOMONTH(B885,0),AND(T885&gt;0,T885&lt;B885)),0,IF(AND(S885&lt;=B885,OR(T885=0,T885&gt;=EOMONTH(B885,0))),30,MIN(30,IF(T885=0,EOMONTH(B885,0),MIN(T885,EOMONTH(B885,0)))-MAX(B885,S885)+1))))</f>
        <v/>
      </c>
    </row>
    <row r="886" customFormat="false" ht="15" hidden="false" customHeight="false" outlineLevel="0" collapsed="false">
      <c r="B886" s="78"/>
      <c r="C886" s="64"/>
      <c r="D886" s="70" t="str">
        <f aca="false">IF(C886="","",IFERROR(INDEX(T_NOMBRE,MATCH(C886,T_ID,0)),"⚠ ID no existe"))</f>
        <v/>
      </c>
      <c r="E886" s="69"/>
      <c r="F886" s="69"/>
      <c r="G886" s="69"/>
      <c r="H886" s="69"/>
      <c r="I886" s="66"/>
      <c r="J886" s="69"/>
      <c r="K886" s="67"/>
      <c r="L886" s="67"/>
      <c r="M886" s="67"/>
      <c r="N886" s="67"/>
      <c r="O886" s="64"/>
      <c r="P886" s="72" t="str">
        <f aca="false">IF(OR(B886="",C886=""),"",C886&amp;"|"&amp;(YEAR(B886)*100+MONTH(B886)))</f>
        <v/>
      </c>
      <c r="Q886" s="70" t="str">
        <f aca="false">IF(P886="","",IF(COUNTIF(N_CLAVE,P886)&gt;1,"⚠ Duplicado","OK"))</f>
        <v/>
      </c>
      <c r="R886" s="74" t="str">
        <f aca="false">IF(OR(P886="",U886=""),"",MAX(0,U886-N(E886)-N(F886)-N(H886)))</f>
        <v/>
      </c>
      <c r="S886" s="75" t="str">
        <f aca="false">IF(P886="","",IFERROR(INDEX(T_INGRESO,MATCH(C886,T_ID,0)),""))</f>
        <v/>
      </c>
      <c r="T886" s="75" t="str">
        <f aca="false">IF(P886="","",IFERROR(N(INDEX(T_EGRESO,MATCH(C886,T_ID,0))),0))</f>
        <v/>
      </c>
      <c r="U886" s="73" t="str">
        <f aca="false">IF(OR(P886="",NOT(ISNUMBER(S886))),"",IF(OR(S886&gt;EOMONTH(B886,0),AND(T886&gt;0,T886&lt;B886)),0,IF(AND(S886&lt;=B886,OR(T886=0,T886&gt;=EOMONTH(B886,0))),30,MIN(30,IF(T886=0,EOMONTH(B886,0),MIN(T886,EOMONTH(B886,0)))-MAX(B886,S886)+1))))</f>
        <v/>
      </c>
    </row>
    <row r="887" customFormat="false" ht="15" hidden="false" customHeight="false" outlineLevel="0" collapsed="false">
      <c r="B887" s="78"/>
      <c r="C887" s="64"/>
      <c r="D887" s="70" t="str">
        <f aca="false">IF(C887="","",IFERROR(INDEX(T_NOMBRE,MATCH(C887,T_ID,0)),"⚠ ID no existe"))</f>
        <v/>
      </c>
      <c r="E887" s="69"/>
      <c r="F887" s="69"/>
      <c r="G887" s="69"/>
      <c r="H887" s="69"/>
      <c r="I887" s="66"/>
      <c r="J887" s="69"/>
      <c r="K887" s="67"/>
      <c r="L887" s="67"/>
      <c r="M887" s="67"/>
      <c r="N887" s="67"/>
      <c r="O887" s="64"/>
      <c r="P887" s="72" t="str">
        <f aca="false">IF(OR(B887="",C887=""),"",C887&amp;"|"&amp;(YEAR(B887)*100+MONTH(B887)))</f>
        <v/>
      </c>
      <c r="Q887" s="70" t="str">
        <f aca="false">IF(P887="","",IF(COUNTIF(N_CLAVE,P887)&gt;1,"⚠ Duplicado","OK"))</f>
        <v/>
      </c>
      <c r="R887" s="74" t="str">
        <f aca="false">IF(OR(P887="",U887=""),"",MAX(0,U887-N(E887)-N(F887)-N(H887)))</f>
        <v/>
      </c>
      <c r="S887" s="75" t="str">
        <f aca="false">IF(P887="","",IFERROR(INDEX(T_INGRESO,MATCH(C887,T_ID,0)),""))</f>
        <v/>
      </c>
      <c r="T887" s="75" t="str">
        <f aca="false">IF(P887="","",IFERROR(N(INDEX(T_EGRESO,MATCH(C887,T_ID,0))),0))</f>
        <v/>
      </c>
      <c r="U887" s="73" t="str">
        <f aca="false">IF(OR(P887="",NOT(ISNUMBER(S887))),"",IF(OR(S887&gt;EOMONTH(B887,0),AND(T887&gt;0,T887&lt;B887)),0,IF(AND(S887&lt;=B887,OR(T887=0,T887&gt;=EOMONTH(B887,0))),30,MIN(30,IF(T887=0,EOMONTH(B887,0),MIN(T887,EOMONTH(B887,0)))-MAX(B887,S887)+1))))</f>
        <v/>
      </c>
    </row>
    <row r="888" customFormat="false" ht="15" hidden="false" customHeight="false" outlineLevel="0" collapsed="false">
      <c r="B888" s="78"/>
      <c r="C888" s="64"/>
      <c r="D888" s="70" t="str">
        <f aca="false">IF(C888="","",IFERROR(INDEX(T_NOMBRE,MATCH(C888,T_ID,0)),"⚠ ID no existe"))</f>
        <v/>
      </c>
      <c r="E888" s="69"/>
      <c r="F888" s="69"/>
      <c r="G888" s="69"/>
      <c r="H888" s="69"/>
      <c r="I888" s="66"/>
      <c r="J888" s="69"/>
      <c r="K888" s="67"/>
      <c r="L888" s="67"/>
      <c r="M888" s="67"/>
      <c r="N888" s="67"/>
      <c r="O888" s="64"/>
      <c r="P888" s="72" t="str">
        <f aca="false">IF(OR(B888="",C888=""),"",C888&amp;"|"&amp;(YEAR(B888)*100+MONTH(B888)))</f>
        <v/>
      </c>
      <c r="Q888" s="70" t="str">
        <f aca="false">IF(P888="","",IF(COUNTIF(N_CLAVE,P888)&gt;1,"⚠ Duplicado","OK"))</f>
        <v/>
      </c>
      <c r="R888" s="74" t="str">
        <f aca="false">IF(OR(P888="",U888=""),"",MAX(0,U888-N(E888)-N(F888)-N(H888)))</f>
        <v/>
      </c>
      <c r="S888" s="75" t="str">
        <f aca="false">IF(P888="","",IFERROR(INDEX(T_INGRESO,MATCH(C888,T_ID,0)),""))</f>
        <v/>
      </c>
      <c r="T888" s="75" t="str">
        <f aca="false">IF(P888="","",IFERROR(N(INDEX(T_EGRESO,MATCH(C888,T_ID,0))),0))</f>
        <v/>
      </c>
      <c r="U888" s="73" t="str">
        <f aca="false">IF(OR(P888="",NOT(ISNUMBER(S888))),"",IF(OR(S888&gt;EOMONTH(B888,0),AND(T888&gt;0,T888&lt;B888)),0,IF(AND(S888&lt;=B888,OR(T888=0,T888&gt;=EOMONTH(B888,0))),30,MIN(30,IF(T888=0,EOMONTH(B888,0),MIN(T888,EOMONTH(B888,0)))-MAX(B888,S888)+1))))</f>
        <v/>
      </c>
    </row>
    <row r="889" customFormat="false" ht="15" hidden="false" customHeight="false" outlineLevel="0" collapsed="false">
      <c r="B889" s="78"/>
      <c r="C889" s="64"/>
      <c r="D889" s="70" t="str">
        <f aca="false">IF(C889="","",IFERROR(INDEX(T_NOMBRE,MATCH(C889,T_ID,0)),"⚠ ID no existe"))</f>
        <v/>
      </c>
      <c r="E889" s="69"/>
      <c r="F889" s="69"/>
      <c r="G889" s="69"/>
      <c r="H889" s="69"/>
      <c r="I889" s="66"/>
      <c r="J889" s="69"/>
      <c r="K889" s="67"/>
      <c r="L889" s="67"/>
      <c r="M889" s="67"/>
      <c r="N889" s="67"/>
      <c r="O889" s="64"/>
      <c r="P889" s="72" t="str">
        <f aca="false">IF(OR(B889="",C889=""),"",C889&amp;"|"&amp;(YEAR(B889)*100+MONTH(B889)))</f>
        <v/>
      </c>
      <c r="Q889" s="70" t="str">
        <f aca="false">IF(P889="","",IF(COUNTIF(N_CLAVE,P889)&gt;1,"⚠ Duplicado","OK"))</f>
        <v/>
      </c>
      <c r="R889" s="74" t="str">
        <f aca="false">IF(OR(P889="",U889=""),"",MAX(0,U889-N(E889)-N(F889)-N(H889)))</f>
        <v/>
      </c>
      <c r="S889" s="75" t="str">
        <f aca="false">IF(P889="","",IFERROR(INDEX(T_INGRESO,MATCH(C889,T_ID,0)),""))</f>
        <v/>
      </c>
      <c r="T889" s="75" t="str">
        <f aca="false">IF(P889="","",IFERROR(N(INDEX(T_EGRESO,MATCH(C889,T_ID,0))),0))</f>
        <v/>
      </c>
      <c r="U889" s="73" t="str">
        <f aca="false">IF(OR(P889="",NOT(ISNUMBER(S889))),"",IF(OR(S889&gt;EOMONTH(B889,0),AND(T889&gt;0,T889&lt;B889)),0,IF(AND(S889&lt;=B889,OR(T889=0,T889&gt;=EOMONTH(B889,0))),30,MIN(30,IF(T889=0,EOMONTH(B889,0),MIN(T889,EOMONTH(B889,0)))-MAX(B889,S889)+1))))</f>
        <v/>
      </c>
    </row>
    <row r="890" customFormat="false" ht="15" hidden="false" customHeight="false" outlineLevel="0" collapsed="false">
      <c r="B890" s="78"/>
      <c r="C890" s="64"/>
      <c r="D890" s="70" t="str">
        <f aca="false">IF(C890="","",IFERROR(INDEX(T_NOMBRE,MATCH(C890,T_ID,0)),"⚠ ID no existe"))</f>
        <v/>
      </c>
      <c r="E890" s="69"/>
      <c r="F890" s="69"/>
      <c r="G890" s="69"/>
      <c r="H890" s="69"/>
      <c r="I890" s="66"/>
      <c r="J890" s="69"/>
      <c r="K890" s="67"/>
      <c r="L890" s="67"/>
      <c r="M890" s="67"/>
      <c r="N890" s="67"/>
      <c r="O890" s="64"/>
      <c r="P890" s="72" t="str">
        <f aca="false">IF(OR(B890="",C890=""),"",C890&amp;"|"&amp;(YEAR(B890)*100+MONTH(B890)))</f>
        <v/>
      </c>
      <c r="Q890" s="70" t="str">
        <f aca="false">IF(P890="","",IF(COUNTIF(N_CLAVE,P890)&gt;1,"⚠ Duplicado","OK"))</f>
        <v/>
      </c>
      <c r="R890" s="74" t="str">
        <f aca="false">IF(OR(P890="",U890=""),"",MAX(0,U890-N(E890)-N(F890)-N(H890)))</f>
        <v/>
      </c>
      <c r="S890" s="75" t="str">
        <f aca="false">IF(P890="","",IFERROR(INDEX(T_INGRESO,MATCH(C890,T_ID,0)),""))</f>
        <v/>
      </c>
      <c r="T890" s="75" t="str">
        <f aca="false">IF(P890="","",IFERROR(N(INDEX(T_EGRESO,MATCH(C890,T_ID,0))),0))</f>
        <v/>
      </c>
      <c r="U890" s="73" t="str">
        <f aca="false">IF(OR(P890="",NOT(ISNUMBER(S890))),"",IF(OR(S890&gt;EOMONTH(B890,0),AND(T890&gt;0,T890&lt;B890)),0,IF(AND(S890&lt;=B890,OR(T890=0,T890&gt;=EOMONTH(B890,0))),30,MIN(30,IF(T890=0,EOMONTH(B890,0),MIN(T890,EOMONTH(B890,0)))-MAX(B890,S890)+1))))</f>
        <v/>
      </c>
    </row>
    <row r="891" customFormat="false" ht="15" hidden="false" customHeight="false" outlineLevel="0" collapsed="false">
      <c r="B891" s="78"/>
      <c r="C891" s="64"/>
      <c r="D891" s="70" t="str">
        <f aca="false">IF(C891="","",IFERROR(INDEX(T_NOMBRE,MATCH(C891,T_ID,0)),"⚠ ID no existe"))</f>
        <v/>
      </c>
      <c r="E891" s="69"/>
      <c r="F891" s="69"/>
      <c r="G891" s="69"/>
      <c r="H891" s="69"/>
      <c r="I891" s="66"/>
      <c r="J891" s="69"/>
      <c r="K891" s="67"/>
      <c r="L891" s="67"/>
      <c r="M891" s="67"/>
      <c r="N891" s="67"/>
      <c r="O891" s="64"/>
      <c r="P891" s="72" t="str">
        <f aca="false">IF(OR(B891="",C891=""),"",C891&amp;"|"&amp;(YEAR(B891)*100+MONTH(B891)))</f>
        <v/>
      </c>
      <c r="Q891" s="70" t="str">
        <f aca="false">IF(P891="","",IF(COUNTIF(N_CLAVE,P891)&gt;1,"⚠ Duplicado","OK"))</f>
        <v/>
      </c>
      <c r="R891" s="74" t="str">
        <f aca="false">IF(OR(P891="",U891=""),"",MAX(0,U891-N(E891)-N(F891)-N(H891)))</f>
        <v/>
      </c>
      <c r="S891" s="75" t="str">
        <f aca="false">IF(P891="","",IFERROR(INDEX(T_INGRESO,MATCH(C891,T_ID,0)),""))</f>
        <v/>
      </c>
      <c r="T891" s="75" t="str">
        <f aca="false">IF(P891="","",IFERROR(N(INDEX(T_EGRESO,MATCH(C891,T_ID,0))),0))</f>
        <v/>
      </c>
      <c r="U891" s="73" t="str">
        <f aca="false">IF(OR(P891="",NOT(ISNUMBER(S891))),"",IF(OR(S891&gt;EOMONTH(B891,0),AND(T891&gt;0,T891&lt;B891)),0,IF(AND(S891&lt;=B891,OR(T891=0,T891&gt;=EOMONTH(B891,0))),30,MIN(30,IF(T891=0,EOMONTH(B891,0),MIN(T891,EOMONTH(B891,0)))-MAX(B891,S891)+1))))</f>
        <v/>
      </c>
    </row>
    <row r="892" customFormat="false" ht="15" hidden="false" customHeight="false" outlineLevel="0" collapsed="false">
      <c r="B892" s="78"/>
      <c r="C892" s="64"/>
      <c r="D892" s="70" t="str">
        <f aca="false">IF(C892="","",IFERROR(INDEX(T_NOMBRE,MATCH(C892,T_ID,0)),"⚠ ID no existe"))</f>
        <v/>
      </c>
      <c r="E892" s="69"/>
      <c r="F892" s="69"/>
      <c r="G892" s="69"/>
      <c r="H892" s="69"/>
      <c r="I892" s="66"/>
      <c r="J892" s="69"/>
      <c r="K892" s="67"/>
      <c r="L892" s="67"/>
      <c r="M892" s="67"/>
      <c r="N892" s="67"/>
      <c r="O892" s="64"/>
      <c r="P892" s="72" t="str">
        <f aca="false">IF(OR(B892="",C892=""),"",C892&amp;"|"&amp;(YEAR(B892)*100+MONTH(B892)))</f>
        <v/>
      </c>
      <c r="Q892" s="70" t="str">
        <f aca="false">IF(P892="","",IF(COUNTIF(N_CLAVE,P892)&gt;1,"⚠ Duplicado","OK"))</f>
        <v/>
      </c>
      <c r="R892" s="74" t="str">
        <f aca="false">IF(OR(P892="",U892=""),"",MAX(0,U892-N(E892)-N(F892)-N(H892)))</f>
        <v/>
      </c>
      <c r="S892" s="75" t="str">
        <f aca="false">IF(P892="","",IFERROR(INDEX(T_INGRESO,MATCH(C892,T_ID,0)),""))</f>
        <v/>
      </c>
      <c r="T892" s="75" t="str">
        <f aca="false">IF(P892="","",IFERROR(N(INDEX(T_EGRESO,MATCH(C892,T_ID,0))),0))</f>
        <v/>
      </c>
      <c r="U892" s="73" t="str">
        <f aca="false">IF(OR(P892="",NOT(ISNUMBER(S892))),"",IF(OR(S892&gt;EOMONTH(B892,0),AND(T892&gt;0,T892&lt;B892)),0,IF(AND(S892&lt;=B892,OR(T892=0,T892&gt;=EOMONTH(B892,0))),30,MIN(30,IF(T892=0,EOMONTH(B892,0),MIN(T892,EOMONTH(B892,0)))-MAX(B892,S892)+1))))</f>
        <v/>
      </c>
    </row>
    <row r="893" customFormat="false" ht="15" hidden="false" customHeight="false" outlineLevel="0" collapsed="false">
      <c r="B893" s="78"/>
      <c r="C893" s="64"/>
      <c r="D893" s="70" t="str">
        <f aca="false">IF(C893="","",IFERROR(INDEX(T_NOMBRE,MATCH(C893,T_ID,0)),"⚠ ID no existe"))</f>
        <v/>
      </c>
      <c r="E893" s="69"/>
      <c r="F893" s="69"/>
      <c r="G893" s="69"/>
      <c r="H893" s="69"/>
      <c r="I893" s="66"/>
      <c r="J893" s="69"/>
      <c r="K893" s="67"/>
      <c r="L893" s="67"/>
      <c r="M893" s="67"/>
      <c r="N893" s="67"/>
      <c r="O893" s="64"/>
      <c r="P893" s="72" t="str">
        <f aca="false">IF(OR(B893="",C893=""),"",C893&amp;"|"&amp;(YEAR(B893)*100+MONTH(B893)))</f>
        <v/>
      </c>
      <c r="Q893" s="70" t="str">
        <f aca="false">IF(P893="","",IF(COUNTIF(N_CLAVE,P893)&gt;1,"⚠ Duplicado","OK"))</f>
        <v/>
      </c>
      <c r="R893" s="74" t="str">
        <f aca="false">IF(OR(P893="",U893=""),"",MAX(0,U893-N(E893)-N(F893)-N(H893)))</f>
        <v/>
      </c>
      <c r="S893" s="75" t="str">
        <f aca="false">IF(P893="","",IFERROR(INDEX(T_INGRESO,MATCH(C893,T_ID,0)),""))</f>
        <v/>
      </c>
      <c r="T893" s="75" t="str">
        <f aca="false">IF(P893="","",IFERROR(N(INDEX(T_EGRESO,MATCH(C893,T_ID,0))),0))</f>
        <v/>
      </c>
      <c r="U893" s="73" t="str">
        <f aca="false">IF(OR(P893="",NOT(ISNUMBER(S893))),"",IF(OR(S893&gt;EOMONTH(B893,0),AND(T893&gt;0,T893&lt;B893)),0,IF(AND(S893&lt;=B893,OR(T893=0,T893&gt;=EOMONTH(B893,0))),30,MIN(30,IF(T893=0,EOMONTH(B893,0),MIN(T893,EOMONTH(B893,0)))-MAX(B893,S893)+1))))</f>
        <v/>
      </c>
    </row>
    <row r="894" customFormat="false" ht="15" hidden="false" customHeight="false" outlineLevel="0" collapsed="false">
      <c r="B894" s="78"/>
      <c r="C894" s="64"/>
      <c r="D894" s="70" t="str">
        <f aca="false">IF(C894="","",IFERROR(INDEX(T_NOMBRE,MATCH(C894,T_ID,0)),"⚠ ID no existe"))</f>
        <v/>
      </c>
      <c r="E894" s="69"/>
      <c r="F894" s="69"/>
      <c r="G894" s="69"/>
      <c r="H894" s="69"/>
      <c r="I894" s="66"/>
      <c r="J894" s="69"/>
      <c r="K894" s="67"/>
      <c r="L894" s="67"/>
      <c r="M894" s="67"/>
      <c r="N894" s="67"/>
      <c r="O894" s="64"/>
      <c r="P894" s="72" t="str">
        <f aca="false">IF(OR(B894="",C894=""),"",C894&amp;"|"&amp;(YEAR(B894)*100+MONTH(B894)))</f>
        <v/>
      </c>
      <c r="Q894" s="70" t="str">
        <f aca="false">IF(P894="","",IF(COUNTIF(N_CLAVE,P894)&gt;1,"⚠ Duplicado","OK"))</f>
        <v/>
      </c>
      <c r="R894" s="74" t="str">
        <f aca="false">IF(OR(P894="",U894=""),"",MAX(0,U894-N(E894)-N(F894)-N(H894)))</f>
        <v/>
      </c>
      <c r="S894" s="75" t="str">
        <f aca="false">IF(P894="","",IFERROR(INDEX(T_INGRESO,MATCH(C894,T_ID,0)),""))</f>
        <v/>
      </c>
      <c r="T894" s="75" t="str">
        <f aca="false">IF(P894="","",IFERROR(N(INDEX(T_EGRESO,MATCH(C894,T_ID,0))),0))</f>
        <v/>
      </c>
      <c r="U894" s="73" t="str">
        <f aca="false">IF(OR(P894="",NOT(ISNUMBER(S894))),"",IF(OR(S894&gt;EOMONTH(B894,0),AND(T894&gt;0,T894&lt;B894)),0,IF(AND(S894&lt;=B894,OR(T894=0,T894&gt;=EOMONTH(B894,0))),30,MIN(30,IF(T894=0,EOMONTH(B894,0),MIN(T894,EOMONTH(B894,0)))-MAX(B894,S894)+1))))</f>
        <v/>
      </c>
    </row>
    <row r="895" customFormat="false" ht="15" hidden="false" customHeight="false" outlineLevel="0" collapsed="false">
      <c r="B895" s="78"/>
      <c r="C895" s="64"/>
      <c r="D895" s="70" t="str">
        <f aca="false">IF(C895="","",IFERROR(INDEX(T_NOMBRE,MATCH(C895,T_ID,0)),"⚠ ID no existe"))</f>
        <v/>
      </c>
      <c r="E895" s="69"/>
      <c r="F895" s="69"/>
      <c r="G895" s="69"/>
      <c r="H895" s="69"/>
      <c r="I895" s="66"/>
      <c r="J895" s="69"/>
      <c r="K895" s="67"/>
      <c r="L895" s="67"/>
      <c r="M895" s="67"/>
      <c r="N895" s="67"/>
      <c r="O895" s="64"/>
      <c r="P895" s="72" t="str">
        <f aca="false">IF(OR(B895="",C895=""),"",C895&amp;"|"&amp;(YEAR(B895)*100+MONTH(B895)))</f>
        <v/>
      </c>
      <c r="Q895" s="70" t="str">
        <f aca="false">IF(P895="","",IF(COUNTIF(N_CLAVE,P895)&gt;1,"⚠ Duplicado","OK"))</f>
        <v/>
      </c>
      <c r="R895" s="74" t="str">
        <f aca="false">IF(OR(P895="",U895=""),"",MAX(0,U895-N(E895)-N(F895)-N(H895)))</f>
        <v/>
      </c>
      <c r="S895" s="75" t="str">
        <f aca="false">IF(P895="","",IFERROR(INDEX(T_INGRESO,MATCH(C895,T_ID,0)),""))</f>
        <v/>
      </c>
      <c r="T895" s="75" t="str">
        <f aca="false">IF(P895="","",IFERROR(N(INDEX(T_EGRESO,MATCH(C895,T_ID,0))),0))</f>
        <v/>
      </c>
      <c r="U895" s="73" t="str">
        <f aca="false">IF(OR(P895="",NOT(ISNUMBER(S895))),"",IF(OR(S895&gt;EOMONTH(B895,0),AND(T895&gt;0,T895&lt;B895)),0,IF(AND(S895&lt;=B895,OR(T895=0,T895&gt;=EOMONTH(B895,0))),30,MIN(30,IF(T895=0,EOMONTH(B895,0),MIN(T895,EOMONTH(B895,0)))-MAX(B895,S895)+1))))</f>
        <v/>
      </c>
    </row>
    <row r="896" customFormat="false" ht="15" hidden="false" customHeight="false" outlineLevel="0" collapsed="false">
      <c r="B896" s="78"/>
      <c r="C896" s="64"/>
      <c r="D896" s="70" t="str">
        <f aca="false">IF(C896="","",IFERROR(INDEX(T_NOMBRE,MATCH(C896,T_ID,0)),"⚠ ID no existe"))</f>
        <v/>
      </c>
      <c r="E896" s="69"/>
      <c r="F896" s="69"/>
      <c r="G896" s="69"/>
      <c r="H896" s="69"/>
      <c r="I896" s="66"/>
      <c r="J896" s="69"/>
      <c r="K896" s="67"/>
      <c r="L896" s="67"/>
      <c r="M896" s="67"/>
      <c r="N896" s="67"/>
      <c r="O896" s="64"/>
      <c r="P896" s="72" t="str">
        <f aca="false">IF(OR(B896="",C896=""),"",C896&amp;"|"&amp;(YEAR(B896)*100+MONTH(B896)))</f>
        <v/>
      </c>
      <c r="Q896" s="70" t="str">
        <f aca="false">IF(P896="","",IF(COUNTIF(N_CLAVE,P896)&gt;1,"⚠ Duplicado","OK"))</f>
        <v/>
      </c>
      <c r="R896" s="74" t="str">
        <f aca="false">IF(OR(P896="",U896=""),"",MAX(0,U896-N(E896)-N(F896)-N(H896)))</f>
        <v/>
      </c>
      <c r="S896" s="75" t="str">
        <f aca="false">IF(P896="","",IFERROR(INDEX(T_INGRESO,MATCH(C896,T_ID,0)),""))</f>
        <v/>
      </c>
      <c r="T896" s="75" t="str">
        <f aca="false">IF(P896="","",IFERROR(N(INDEX(T_EGRESO,MATCH(C896,T_ID,0))),0))</f>
        <v/>
      </c>
      <c r="U896" s="73" t="str">
        <f aca="false">IF(OR(P896="",NOT(ISNUMBER(S896))),"",IF(OR(S896&gt;EOMONTH(B896,0),AND(T896&gt;0,T896&lt;B896)),0,IF(AND(S896&lt;=B896,OR(T896=0,T896&gt;=EOMONTH(B896,0))),30,MIN(30,IF(T896=0,EOMONTH(B896,0),MIN(T896,EOMONTH(B896,0)))-MAX(B896,S896)+1))))</f>
        <v/>
      </c>
    </row>
    <row r="897" customFormat="false" ht="15" hidden="false" customHeight="false" outlineLevel="0" collapsed="false">
      <c r="B897" s="78"/>
      <c r="C897" s="64"/>
      <c r="D897" s="70" t="str">
        <f aca="false">IF(C897="","",IFERROR(INDEX(T_NOMBRE,MATCH(C897,T_ID,0)),"⚠ ID no existe"))</f>
        <v/>
      </c>
      <c r="E897" s="69"/>
      <c r="F897" s="69"/>
      <c r="G897" s="69"/>
      <c r="H897" s="69"/>
      <c r="I897" s="66"/>
      <c r="J897" s="69"/>
      <c r="K897" s="67"/>
      <c r="L897" s="67"/>
      <c r="M897" s="67"/>
      <c r="N897" s="67"/>
      <c r="O897" s="64"/>
      <c r="P897" s="72" t="str">
        <f aca="false">IF(OR(B897="",C897=""),"",C897&amp;"|"&amp;(YEAR(B897)*100+MONTH(B897)))</f>
        <v/>
      </c>
      <c r="Q897" s="70" t="str">
        <f aca="false">IF(P897="","",IF(COUNTIF(N_CLAVE,P897)&gt;1,"⚠ Duplicado","OK"))</f>
        <v/>
      </c>
      <c r="R897" s="74" t="str">
        <f aca="false">IF(OR(P897="",U897=""),"",MAX(0,U897-N(E897)-N(F897)-N(H897)))</f>
        <v/>
      </c>
      <c r="S897" s="75" t="str">
        <f aca="false">IF(P897="","",IFERROR(INDEX(T_INGRESO,MATCH(C897,T_ID,0)),""))</f>
        <v/>
      </c>
      <c r="T897" s="75" t="str">
        <f aca="false">IF(P897="","",IFERROR(N(INDEX(T_EGRESO,MATCH(C897,T_ID,0))),0))</f>
        <v/>
      </c>
      <c r="U897" s="73" t="str">
        <f aca="false">IF(OR(P897="",NOT(ISNUMBER(S897))),"",IF(OR(S897&gt;EOMONTH(B897,0),AND(T897&gt;0,T897&lt;B897)),0,IF(AND(S897&lt;=B897,OR(T897=0,T897&gt;=EOMONTH(B897,0))),30,MIN(30,IF(T897=0,EOMONTH(B897,0),MIN(T897,EOMONTH(B897,0)))-MAX(B897,S897)+1))))</f>
        <v/>
      </c>
    </row>
    <row r="898" customFormat="false" ht="15" hidden="false" customHeight="false" outlineLevel="0" collapsed="false">
      <c r="B898" s="78"/>
      <c r="C898" s="64"/>
      <c r="D898" s="70" t="str">
        <f aca="false">IF(C898="","",IFERROR(INDEX(T_NOMBRE,MATCH(C898,T_ID,0)),"⚠ ID no existe"))</f>
        <v/>
      </c>
      <c r="E898" s="69"/>
      <c r="F898" s="69"/>
      <c r="G898" s="69"/>
      <c r="H898" s="69"/>
      <c r="I898" s="66"/>
      <c r="J898" s="69"/>
      <c r="K898" s="67"/>
      <c r="L898" s="67"/>
      <c r="M898" s="67"/>
      <c r="N898" s="67"/>
      <c r="O898" s="64"/>
      <c r="P898" s="72" t="str">
        <f aca="false">IF(OR(B898="",C898=""),"",C898&amp;"|"&amp;(YEAR(B898)*100+MONTH(B898)))</f>
        <v/>
      </c>
      <c r="Q898" s="70" t="str">
        <f aca="false">IF(P898="","",IF(COUNTIF(N_CLAVE,P898)&gt;1,"⚠ Duplicado","OK"))</f>
        <v/>
      </c>
      <c r="R898" s="74" t="str">
        <f aca="false">IF(OR(P898="",U898=""),"",MAX(0,U898-N(E898)-N(F898)-N(H898)))</f>
        <v/>
      </c>
      <c r="S898" s="75" t="str">
        <f aca="false">IF(P898="","",IFERROR(INDEX(T_INGRESO,MATCH(C898,T_ID,0)),""))</f>
        <v/>
      </c>
      <c r="T898" s="75" t="str">
        <f aca="false">IF(P898="","",IFERROR(N(INDEX(T_EGRESO,MATCH(C898,T_ID,0))),0))</f>
        <v/>
      </c>
      <c r="U898" s="73" t="str">
        <f aca="false">IF(OR(P898="",NOT(ISNUMBER(S898))),"",IF(OR(S898&gt;EOMONTH(B898,0),AND(T898&gt;0,T898&lt;B898)),0,IF(AND(S898&lt;=B898,OR(T898=0,T898&gt;=EOMONTH(B898,0))),30,MIN(30,IF(T898=0,EOMONTH(B898,0),MIN(T898,EOMONTH(B898,0)))-MAX(B898,S898)+1))))</f>
        <v/>
      </c>
    </row>
    <row r="899" customFormat="false" ht="15" hidden="false" customHeight="false" outlineLevel="0" collapsed="false">
      <c r="B899" s="78"/>
      <c r="C899" s="64"/>
      <c r="D899" s="70" t="str">
        <f aca="false">IF(C899="","",IFERROR(INDEX(T_NOMBRE,MATCH(C899,T_ID,0)),"⚠ ID no existe"))</f>
        <v/>
      </c>
      <c r="E899" s="69"/>
      <c r="F899" s="69"/>
      <c r="G899" s="69"/>
      <c r="H899" s="69"/>
      <c r="I899" s="66"/>
      <c r="J899" s="69"/>
      <c r="K899" s="67"/>
      <c r="L899" s="67"/>
      <c r="M899" s="67"/>
      <c r="N899" s="67"/>
      <c r="O899" s="64"/>
      <c r="P899" s="72" t="str">
        <f aca="false">IF(OR(B899="",C899=""),"",C899&amp;"|"&amp;(YEAR(B899)*100+MONTH(B899)))</f>
        <v/>
      </c>
      <c r="Q899" s="70" t="str">
        <f aca="false">IF(P899="","",IF(COUNTIF(N_CLAVE,P899)&gt;1,"⚠ Duplicado","OK"))</f>
        <v/>
      </c>
      <c r="R899" s="74" t="str">
        <f aca="false">IF(OR(P899="",U899=""),"",MAX(0,U899-N(E899)-N(F899)-N(H899)))</f>
        <v/>
      </c>
      <c r="S899" s="75" t="str">
        <f aca="false">IF(P899="","",IFERROR(INDEX(T_INGRESO,MATCH(C899,T_ID,0)),""))</f>
        <v/>
      </c>
      <c r="T899" s="75" t="str">
        <f aca="false">IF(P899="","",IFERROR(N(INDEX(T_EGRESO,MATCH(C899,T_ID,0))),0))</f>
        <v/>
      </c>
      <c r="U899" s="73" t="str">
        <f aca="false">IF(OR(P899="",NOT(ISNUMBER(S899))),"",IF(OR(S899&gt;EOMONTH(B899,0),AND(T899&gt;0,T899&lt;B899)),0,IF(AND(S899&lt;=B899,OR(T899=0,T899&gt;=EOMONTH(B899,0))),30,MIN(30,IF(T899=0,EOMONTH(B899,0),MIN(T899,EOMONTH(B899,0)))-MAX(B899,S899)+1))))</f>
        <v/>
      </c>
    </row>
    <row r="900" customFormat="false" ht="15" hidden="false" customHeight="false" outlineLevel="0" collapsed="false">
      <c r="B900" s="78"/>
      <c r="C900" s="64"/>
      <c r="D900" s="70" t="str">
        <f aca="false">IF(C900="","",IFERROR(INDEX(T_NOMBRE,MATCH(C900,T_ID,0)),"⚠ ID no existe"))</f>
        <v/>
      </c>
      <c r="E900" s="69"/>
      <c r="F900" s="69"/>
      <c r="G900" s="69"/>
      <c r="H900" s="69"/>
      <c r="I900" s="66"/>
      <c r="J900" s="69"/>
      <c r="K900" s="67"/>
      <c r="L900" s="67"/>
      <c r="M900" s="67"/>
      <c r="N900" s="67"/>
      <c r="O900" s="64"/>
      <c r="P900" s="72" t="str">
        <f aca="false">IF(OR(B900="",C900=""),"",C900&amp;"|"&amp;(YEAR(B900)*100+MONTH(B900)))</f>
        <v/>
      </c>
      <c r="Q900" s="70" t="str">
        <f aca="false">IF(P900="","",IF(COUNTIF(N_CLAVE,P900)&gt;1,"⚠ Duplicado","OK"))</f>
        <v/>
      </c>
      <c r="R900" s="74" t="str">
        <f aca="false">IF(OR(P900="",U900=""),"",MAX(0,U900-N(E900)-N(F900)-N(H900)))</f>
        <v/>
      </c>
      <c r="S900" s="75" t="str">
        <f aca="false">IF(P900="","",IFERROR(INDEX(T_INGRESO,MATCH(C900,T_ID,0)),""))</f>
        <v/>
      </c>
      <c r="T900" s="75" t="str">
        <f aca="false">IF(P900="","",IFERROR(N(INDEX(T_EGRESO,MATCH(C900,T_ID,0))),0))</f>
        <v/>
      </c>
      <c r="U900" s="73" t="str">
        <f aca="false">IF(OR(P900="",NOT(ISNUMBER(S900))),"",IF(OR(S900&gt;EOMONTH(B900,0),AND(T900&gt;0,T900&lt;B900)),0,IF(AND(S900&lt;=B900,OR(T900=0,T900&gt;=EOMONTH(B900,0))),30,MIN(30,IF(T900=0,EOMONTH(B900,0),MIN(T900,EOMONTH(B900,0)))-MAX(B900,S900)+1))))</f>
        <v/>
      </c>
    </row>
    <row r="901" customFormat="false" ht="15" hidden="false" customHeight="false" outlineLevel="0" collapsed="false">
      <c r="B901" s="78"/>
      <c r="C901" s="64"/>
      <c r="D901" s="70" t="str">
        <f aca="false">IF(C901="","",IFERROR(INDEX(T_NOMBRE,MATCH(C901,T_ID,0)),"⚠ ID no existe"))</f>
        <v/>
      </c>
      <c r="E901" s="69"/>
      <c r="F901" s="69"/>
      <c r="G901" s="69"/>
      <c r="H901" s="69"/>
      <c r="I901" s="66"/>
      <c r="J901" s="69"/>
      <c r="K901" s="67"/>
      <c r="L901" s="67"/>
      <c r="M901" s="67"/>
      <c r="N901" s="67"/>
      <c r="O901" s="64"/>
      <c r="P901" s="72" t="str">
        <f aca="false">IF(OR(B901="",C901=""),"",C901&amp;"|"&amp;(YEAR(B901)*100+MONTH(B901)))</f>
        <v/>
      </c>
      <c r="Q901" s="70" t="str">
        <f aca="false">IF(P901="","",IF(COUNTIF(N_CLAVE,P901)&gt;1,"⚠ Duplicado","OK"))</f>
        <v/>
      </c>
      <c r="R901" s="74" t="str">
        <f aca="false">IF(OR(P901="",U901=""),"",MAX(0,U901-N(E901)-N(F901)-N(H901)))</f>
        <v/>
      </c>
      <c r="S901" s="75" t="str">
        <f aca="false">IF(P901="","",IFERROR(INDEX(T_INGRESO,MATCH(C901,T_ID,0)),""))</f>
        <v/>
      </c>
      <c r="T901" s="75" t="str">
        <f aca="false">IF(P901="","",IFERROR(N(INDEX(T_EGRESO,MATCH(C901,T_ID,0))),0))</f>
        <v/>
      </c>
      <c r="U901" s="73" t="str">
        <f aca="false">IF(OR(P901="",NOT(ISNUMBER(S901))),"",IF(OR(S901&gt;EOMONTH(B901,0),AND(T901&gt;0,T901&lt;B901)),0,IF(AND(S901&lt;=B901,OR(T901=0,T901&gt;=EOMONTH(B901,0))),30,MIN(30,IF(T901=0,EOMONTH(B901,0),MIN(T901,EOMONTH(B901,0)))-MAX(B901,S901)+1))))</f>
        <v/>
      </c>
    </row>
    <row r="902" customFormat="false" ht="15" hidden="false" customHeight="false" outlineLevel="0" collapsed="false">
      <c r="B902" s="78"/>
      <c r="C902" s="64"/>
      <c r="D902" s="70" t="str">
        <f aca="false">IF(C902="","",IFERROR(INDEX(T_NOMBRE,MATCH(C902,T_ID,0)),"⚠ ID no existe"))</f>
        <v/>
      </c>
      <c r="E902" s="69"/>
      <c r="F902" s="69"/>
      <c r="G902" s="69"/>
      <c r="H902" s="69"/>
      <c r="I902" s="66"/>
      <c r="J902" s="69"/>
      <c r="K902" s="67"/>
      <c r="L902" s="67"/>
      <c r="M902" s="67"/>
      <c r="N902" s="67"/>
      <c r="O902" s="64"/>
      <c r="P902" s="72" t="str">
        <f aca="false">IF(OR(B902="",C902=""),"",C902&amp;"|"&amp;(YEAR(B902)*100+MONTH(B902)))</f>
        <v/>
      </c>
      <c r="Q902" s="70" t="str">
        <f aca="false">IF(P902="","",IF(COUNTIF(N_CLAVE,P902)&gt;1,"⚠ Duplicado","OK"))</f>
        <v/>
      </c>
      <c r="R902" s="74" t="str">
        <f aca="false">IF(OR(P902="",U902=""),"",MAX(0,U902-N(E902)-N(F902)-N(H902)))</f>
        <v/>
      </c>
      <c r="S902" s="75" t="str">
        <f aca="false">IF(P902="","",IFERROR(INDEX(T_INGRESO,MATCH(C902,T_ID,0)),""))</f>
        <v/>
      </c>
      <c r="T902" s="75" t="str">
        <f aca="false">IF(P902="","",IFERROR(N(INDEX(T_EGRESO,MATCH(C902,T_ID,0))),0))</f>
        <v/>
      </c>
      <c r="U902" s="73" t="str">
        <f aca="false">IF(OR(P902="",NOT(ISNUMBER(S902))),"",IF(OR(S902&gt;EOMONTH(B902,0),AND(T902&gt;0,T902&lt;B902)),0,IF(AND(S902&lt;=B902,OR(T902=0,T902&gt;=EOMONTH(B902,0))),30,MIN(30,IF(T902=0,EOMONTH(B902,0),MIN(T902,EOMONTH(B902,0)))-MAX(B902,S902)+1))))</f>
        <v/>
      </c>
    </row>
    <row r="903" customFormat="false" ht="15" hidden="false" customHeight="false" outlineLevel="0" collapsed="false">
      <c r="B903" s="78"/>
      <c r="C903" s="64"/>
      <c r="D903" s="70" t="str">
        <f aca="false">IF(C903="","",IFERROR(INDEX(T_NOMBRE,MATCH(C903,T_ID,0)),"⚠ ID no existe"))</f>
        <v/>
      </c>
      <c r="E903" s="69"/>
      <c r="F903" s="69"/>
      <c r="G903" s="69"/>
      <c r="H903" s="69"/>
      <c r="I903" s="66"/>
      <c r="J903" s="69"/>
      <c r="K903" s="67"/>
      <c r="L903" s="67"/>
      <c r="M903" s="67"/>
      <c r="N903" s="67"/>
      <c r="O903" s="64"/>
      <c r="P903" s="72" t="str">
        <f aca="false">IF(OR(B903="",C903=""),"",C903&amp;"|"&amp;(YEAR(B903)*100+MONTH(B903)))</f>
        <v/>
      </c>
      <c r="Q903" s="70" t="str">
        <f aca="false">IF(P903="","",IF(COUNTIF(N_CLAVE,P903)&gt;1,"⚠ Duplicado","OK"))</f>
        <v/>
      </c>
      <c r="R903" s="74" t="str">
        <f aca="false">IF(OR(P903="",U903=""),"",MAX(0,U903-N(E903)-N(F903)-N(H903)))</f>
        <v/>
      </c>
      <c r="S903" s="75" t="str">
        <f aca="false">IF(P903="","",IFERROR(INDEX(T_INGRESO,MATCH(C903,T_ID,0)),""))</f>
        <v/>
      </c>
      <c r="T903" s="75" t="str">
        <f aca="false">IF(P903="","",IFERROR(N(INDEX(T_EGRESO,MATCH(C903,T_ID,0))),0))</f>
        <v/>
      </c>
      <c r="U903" s="73" t="str">
        <f aca="false">IF(OR(P903="",NOT(ISNUMBER(S903))),"",IF(OR(S903&gt;EOMONTH(B903,0),AND(T903&gt;0,T903&lt;B903)),0,IF(AND(S903&lt;=B903,OR(T903=0,T903&gt;=EOMONTH(B903,0))),30,MIN(30,IF(T903=0,EOMONTH(B903,0),MIN(T903,EOMONTH(B903,0)))-MAX(B903,S903)+1))))</f>
        <v/>
      </c>
    </row>
    <row r="904" customFormat="false" ht="15" hidden="false" customHeight="false" outlineLevel="0" collapsed="false">
      <c r="B904" s="78"/>
      <c r="C904" s="64"/>
      <c r="D904" s="70" t="str">
        <f aca="false">IF(C904="","",IFERROR(INDEX(T_NOMBRE,MATCH(C904,T_ID,0)),"⚠ ID no existe"))</f>
        <v/>
      </c>
      <c r="E904" s="69"/>
      <c r="F904" s="69"/>
      <c r="G904" s="69"/>
      <c r="H904" s="69"/>
      <c r="I904" s="66"/>
      <c r="J904" s="69"/>
      <c r="K904" s="67"/>
      <c r="L904" s="67"/>
      <c r="M904" s="67"/>
      <c r="N904" s="67"/>
      <c r="O904" s="64"/>
      <c r="P904" s="72" t="str">
        <f aca="false">IF(OR(B904="",C904=""),"",C904&amp;"|"&amp;(YEAR(B904)*100+MONTH(B904)))</f>
        <v/>
      </c>
      <c r="Q904" s="70" t="str">
        <f aca="false">IF(P904="","",IF(COUNTIF(N_CLAVE,P904)&gt;1,"⚠ Duplicado","OK"))</f>
        <v/>
      </c>
      <c r="R904" s="74" t="str">
        <f aca="false">IF(OR(P904="",U904=""),"",MAX(0,U904-N(E904)-N(F904)-N(H904)))</f>
        <v/>
      </c>
      <c r="S904" s="75" t="str">
        <f aca="false">IF(P904="","",IFERROR(INDEX(T_INGRESO,MATCH(C904,T_ID,0)),""))</f>
        <v/>
      </c>
      <c r="T904" s="75" t="str">
        <f aca="false">IF(P904="","",IFERROR(N(INDEX(T_EGRESO,MATCH(C904,T_ID,0))),0))</f>
        <v/>
      </c>
      <c r="U904" s="73" t="str">
        <f aca="false">IF(OR(P904="",NOT(ISNUMBER(S904))),"",IF(OR(S904&gt;EOMONTH(B904,0),AND(T904&gt;0,T904&lt;B904)),0,IF(AND(S904&lt;=B904,OR(T904=0,T904&gt;=EOMONTH(B904,0))),30,MIN(30,IF(T904=0,EOMONTH(B904,0),MIN(T904,EOMONTH(B904,0)))-MAX(B904,S904)+1))))</f>
        <v/>
      </c>
    </row>
    <row r="905" customFormat="false" ht="15" hidden="false" customHeight="false" outlineLevel="0" collapsed="false">
      <c r="B905" s="78"/>
      <c r="C905" s="64"/>
      <c r="D905" s="70" t="str">
        <f aca="false">IF(C905="","",IFERROR(INDEX(T_NOMBRE,MATCH(C905,T_ID,0)),"⚠ ID no existe"))</f>
        <v/>
      </c>
      <c r="E905" s="69"/>
      <c r="F905" s="69"/>
      <c r="G905" s="69"/>
      <c r="H905" s="69"/>
      <c r="I905" s="66"/>
      <c r="J905" s="69"/>
      <c r="K905" s="67"/>
      <c r="L905" s="67"/>
      <c r="M905" s="67"/>
      <c r="N905" s="67"/>
      <c r="O905" s="64"/>
      <c r="P905" s="72" t="str">
        <f aca="false">IF(OR(B905="",C905=""),"",C905&amp;"|"&amp;(YEAR(B905)*100+MONTH(B905)))</f>
        <v/>
      </c>
      <c r="Q905" s="70" t="str">
        <f aca="false">IF(P905="","",IF(COUNTIF(N_CLAVE,P905)&gt;1,"⚠ Duplicado","OK"))</f>
        <v/>
      </c>
      <c r="R905" s="74" t="str">
        <f aca="false">IF(OR(P905="",U905=""),"",MAX(0,U905-N(E905)-N(F905)-N(H905)))</f>
        <v/>
      </c>
      <c r="S905" s="75" t="str">
        <f aca="false">IF(P905="","",IFERROR(INDEX(T_INGRESO,MATCH(C905,T_ID,0)),""))</f>
        <v/>
      </c>
      <c r="T905" s="75" t="str">
        <f aca="false">IF(P905="","",IFERROR(N(INDEX(T_EGRESO,MATCH(C905,T_ID,0))),0))</f>
        <v/>
      </c>
      <c r="U905" s="73" t="str">
        <f aca="false">IF(OR(P905="",NOT(ISNUMBER(S905))),"",IF(OR(S905&gt;EOMONTH(B905,0),AND(T905&gt;0,T905&lt;B905)),0,IF(AND(S905&lt;=B905,OR(T905=0,T905&gt;=EOMONTH(B905,0))),30,MIN(30,IF(T905=0,EOMONTH(B905,0),MIN(T905,EOMONTH(B905,0)))-MAX(B905,S905)+1))))</f>
        <v/>
      </c>
    </row>
    <row r="906" customFormat="false" ht="15" hidden="false" customHeight="false" outlineLevel="0" collapsed="false">
      <c r="B906" s="78"/>
      <c r="C906" s="64"/>
      <c r="D906" s="70" t="str">
        <f aca="false">IF(C906="","",IFERROR(INDEX(T_NOMBRE,MATCH(C906,T_ID,0)),"⚠ ID no existe"))</f>
        <v/>
      </c>
      <c r="E906" s="69"/>
      <c r="F906" s="69"/>
      <c r="G906" s="69"/>
      <c r="H906" s="69"/>
      <c r="I906" s="66"/>
      <c r="J906" s="69"/>
      <c r="K906" s="67"/>
      <c r="L906" s="67"/>
      <c r="M906" s="67"/>
      <c r="N906" s="67"/>
      <c r="O906" s="64"/>
      <c r="P906" s="72" t="str">
        <f aca="false">IF(OR(B906="",C906=""),"",C906&amp;"|"&amp;(YEAR(B906)*100+MONTH(B906)))</f>
        <v/>
      </c>
      <c r="Q906" s="70" t="str">
        <f aca="false">IF(P906="","",IF(COUNTIF(N_CLAVE,P906)&gt;1,"⚠ Duplicado","OK"))</f>
        <v/>
      </c>
      <c r="R906" s="74" t="str">
        <f aca="false">IF(OR(P906="",U906=""),"",MAX(0,U906-N(E906)-N(F906)-N(H906)))</f>
        <v/>
      </c>
      <c r="S906" s="75" t="str">
        <f aca="false">IF(P906="","",IFERROR(INDEX(T_INGRESO,MATCH(C906,T_ID,0)),""))</f>
        <v/>
      </c>
      <c r="T906" s="75" t="str">
        <f aca="false">IF(P906="","",IFERROR(N(INDEX(T_EGRESO,MATCH(C906,T_ID,0))),0))</f>
        <v/>
      </c>
      <c r="U906" s="73" t="str">
        <f aca="false">IF(OR(P906="",NOT(ISNUMBER(S906))),"",IF(OR(S906&gt;EOMONTH(B906,0),AND(T906&gt;0,T906&lt;B906)),0,IF(AND(S906&lt;=B906,OR(T906=0,T906&gt;=EOMONTH(B906,0))),30,MIN(30,IF(T906=0,EOMONTH(B906,0),MIN(T906,EOMONTH(B906,0)))-MAX(B906,S906)+1))))</f>
        <v/>
      </c>
    </row>
    <row r="907" customFormat="false" ht="15" hidden="false" customHeight="false" outlineLevel="0" collapsed="false">
      <c r="B907" s="78"/>
      <c r="C907" s="64"/>
      <c r="D907" s="70" t="str">
        <f aca="false">IF(C907="","",IFERROR(INDEX(T_NOMBRE,MATCH(C907,T_ID,0)),"⚠ ID no existe"))</f>
        <v/>
      </c>
      <c r="E907" s="69"/>
      <c r="F907" s="69"/>
      <c r="G907" s="69"/>
      <c r="H907" s="69"/>
      <c r="I907" s="66"/>
      <c r="J907" s="69"/>
      <c r="K907" s="67"/>
      <c r="L907" s="67"/>
      <c r="M907" s="67"/>
      <c r="N907" s="67"/>
      <c r="O907" s="64"/>
      <c r="P907" s="72" t="str">
        <f aca="false">IF(OR(B907="",C907=""),"",C907&amp;"|"&amp;(YEAR(B907)*100+MONTH(B907)))</f>
        <v/>
      </c>
      <c r="Q907" s="70" t="str">
        <f aca="false">IF(P907="","",IF(COUNTIF(N_CLAVE,P907)&gt;1,"⚠ Duplicado","OK"))</f>
        <v/>
      </c>
      <c r="R907" s="74" t="str">
        <f aca="false">IF(OR(P907="",U907=""),"",MAX(0,U907-N(E907)-N(F907)-N(H907)))</f>
        <v/>
      </c>
      <c r="S907" s="75" t="str">
        <f aca="false">IF(P907="","",IFERROR(INDEX(T_INGRESO,MATCH(C907,T_ID,0)),""))</f>
        <v/>
      </c>
      <c r="T907" s="75" t="str">
        <f aca="false">IF(P907="","",IFERROR(N(INDEX(T_EGRESO,MATCH(C907,T_ID,0))),0))</f>
        <v/>
      </c>
      <c r="U907" s="73" t="str">
        <f aca="false">IF(OR(P907="",NOT(ISNUMBER(S907))),"",IF(OR(S907&gt;EOMONTH(B907,0),AND(T907&gt;0,T907&lt;B907)),0,IF(AND(S907&lt;=B907,OR(T907=0,T907&gt;=EOMONTH(B907,0))),30,MIN(30,IF(T907=0,EOMONTH(B907,0),MIN(T907,EOMONTH(B907,0)))-MAX(B907,S907)+1))))</f>
        <v/>
      </c>
    </row>
    <row r="908" customFormat="false" ht="15" hidden="false" customHeight="false" outlineLevel="0" collapsed="false">
      <c r="B908" s="78"/>
      <c r="C908" s="64"/>
      <c r="D908" s="70" t="str">
        <f aca="false">IF(C908="","",IFERROR(INDEX(T_NOMBRE,MATCH(C908,T_ID,0)),"⚠ ID no existe"))</f>
        <v/>
      </c>
      <c r="E908" s="69"/>
      <c r="F908" s="69"/>
      <c r="G908" s="69"/>
      <c r="H908" s="69"/>
      <c r="I908" s="66"/>
      <c r="J908" s="69"/>
      <c r="K908" s="67"/>
      <c r="L908" s="67"/>
      <c r="M908" s="67"/>
      <c r="N908" s="67"/>
      <c r="O908" s="64"/>
      <c r="P908" s="72" t="str">
        <f aca="false">IF(OR(B908="",C908=""),"",C908&amp;"|"&amp;(YEAR(B908)*100+MONTH(B908)))</f>
        <v/>
      </c>
      <c r="Q908" s="70" t="str">
        <f aca="false">IF(P908="","",IF(COUNTIF(N_CLAVE,P908)&gt;1,"⚠ Duplicado","OK"))</f>
        <v/>
      </c>
      <c r="R908" s="74" t="str">
        <f aca="false">IF(OR(P908="",U908=""),"",MAX(0,U908-N(E908)-N(F908)-N(H908)))</f>
        <v/>
      </c>
      <c r="S908" s="75" t="str">
        <f aca="false">IF(P908="","",IFERROR(INDEX(T_INGRESO,MATCH(C908,T_ID,0)),""))</f>
        <v/>
      </c>
      <c r="T908" s="75" t="str">
        <f aca="false">IF(P908="","",IFERROR(N(INDEX(T_EGRESO,MATCH(C908,T_ID,0))),0))</f>
        <v/>
      </c>
      <c r="U908" s="73" t="str">
        <f aca="false">IF(OR(P908="",NOT(ISNUMBER(S908))),"",IF(OR(S908&gt;EOMONTH(B908,0),AND(T908&gt;0,T908&lt;B908)),0,IF(AND(S908&lt;=B908,OR(T908=0,T908&gt;=EOMONTH(B908,0))),30,MIN(30,IF(T908=0,EOMONTH(B908,0),MIN(T908,EOMONTH(B908,0)))-MAX(B908,S908)+1))))</f>
        <v/>
      </c>
    </row>
    <row r="909" customFormat="false" ht="15" hidden="false" customHeight="false" outlineLevel="0" collapsed="false">
      <c r="B909" s="78"/>
      <c r="C909" s="64"/>
      <c r="D909" s="70" t="str">
        <f aca="false">IF(C909="","",IFERROR(INDEX(T_NOMBRE,MATCH(C909,T_ID,0)),"⚠ ID no existe"))</f>
        <v/>
      </c>
      <c r="E909" s="69"/>
      <c r="F909" s="69"/>
      <c r="G909" s="69"/>
      <c r="H909" s="69"/>
      <c r="I909" s="66"/>
      <c r="J909" s="69"/>
      <c r="K909" s="67"/>
      <c r="L909" s="67"/>
      <c r="M909" s="67"/>
      <c r="N909" s="67"/>
      <c r="O909" s="64"/>
      <c r="P909" s="72" t="str">
        <f aca="false">IF(OR(B909="",C909=""),"",C909&amp;"|"&amp;(YEAR(B909)*100+MONTH(B909)))</f>
        <v/>
      </c>
      <c r="Q909" s="70" t="str">
        <f aca="false">IF(P909="","",IF(COUNTIF(N_CLAVE,P909)&gt;1,"⚠ Duplicado","OK"))</f>
        <v/>
      </c>
      <c r="R909" s="74" t="str">
        <f aca="false">IF(OR(P909="",U909=""),"",MAX(0,U909-N(E909)-N(F909)-N(H909)))</f>
        <v/>
      </c>
      <c r="S909" s="75" t="str">
        <f aca="false">IF(P909="","",IFERROR(INDEX(T_INGRESO,MATCH(C909,T_ID,0)),""))</f>
        <v/>
      </c>
      <c r="T909" s="75" t="str">
        <f aca="false">IF(P909="","",IFERROR(N(INDEX(T_EGRESO,MATCH(C909,T_ID,0))),0))</f>
        <v/>
      </c>
      <c r="U909" s="73" t="str">
        <f aca="false">IF(OR(P909="",NOT(ISNUMBER(S909))),"",IF(OR(S909&gt;EOMONTH(B909,0),AND(T909&gt;0,T909&lt;B909)),0,IF(AND(S909&lt;=B909,OR(T909=0,T909&gt;=EOMONTH(B909,0))),30,MIN(30,IF(T909=0,EOMONTH(B909,0),MIN(T909,EOMONTH(B909,0)))-MAX(B909,S909)+1))))</f>
        <v/>
      </c>
    </row>
    <row r="910" customFormat="false" ht="15" hidden="false" customHeight="false" outlineLevel="0" collapsed="false">
      <c r="B910" s="78"/>
      <c r="C910" s="64"/>
      <c r="D910" s="70" t="str">
        <f aca="false">IF(C910="","",IFERROR(INDEX(T_NOMBRE,MATCH(C910,T_ID,0)),"⚠ ID no existe"))</f>
        <v/>
      </c>
      <c r="E910" s="69"/>
      <c r="F910" s="69"/>
      <c r="G910" s="69"/>
      <c r="H910" s="69"/>
      <c r="I910" s="66"/>
      <c r="J910" s="69"/>
      <c r="K910" s="67"/>
      <c r="L910" s="67"/>
      <c r="M910" s="67"/>
      <c r="N910" s="67"/>
      <c r="O910" s="64"/>
      <c r="P910" s="72" t="str">
        <f aca="false">IF(OR(B910="",C910=""),"",C910&amp;"|"&amp;(YEAR(B910)*100+MONTH(B910)))</f>
        <v/>
      </c>
      <c r="Q910" s="70" t="str">
        <f aca="false">IF(P910="","",IF(COUNTIF(N_CLAVE,P910)&gt;1,"⚠ Duplicado","OK"))</f>
        <v/>
      </c>
      <c r="R910" s="74" t="str">
        <f aca="false">IF(OR(P910="",U910=""),"",MAX(0,U910-N(E910)-N(F910)-N(H910)))</f>
        <v/>
      </c>
      <c r="S910" s="75" t="str">
        <f aca="false">IF(P910="","",IFERROR(INDEX(T_INGRESO,MATCH(C910,T_ID,0)),""))</f>
        <v/>
      </c>
      <c r="T910" s="75" t="str">
        <f aca="false">IF(P910="","",IFERROR(N(INDEX(T_EGRESO,MATCH(C910,T_ID,0))),0))</f>
        <v/>
      </c>
      <c r="U910" s="73" t="str">
        <f aca="false">IF(OR(P910="",NOT(ISNUMBER(S910))),"",IF(OR(S910&gt;EOMONTH(B910,0),AND(T910&gt;0,T910&lt;B910)),0,IF(AND(S910&lt;=B910,OR(T910=0,T910&gt;=EOMONTH(B910,0))),30,MIN(30,IF(T910=0,EOMONTH(B910,0),MIN(T910,EOMONTH(B910,0)))-MAX(B910,S910)+1))))</f>
        <v/>
      </c>
    </row>
    <row r="911" customFormat="false" ht="15" hidden="false" customHeight="false" outlineLevel="0" collapsed="false">
      <c r="B911" s="78"/>
      <c r="C911" s="64"/>
      <c r="D911" s="70" t="str">
        <f aca="false">IF(C911="","",IFERROR(INDEX(T_NOMBRE,MATCH(C911,T_ID,0)),"⚠ ID no existe"))</f>
        <v/>
      </c>
      <c r="E911" s="69"/>
      <c r="F911" s="69"/>
      <c r="G911" s="69"/>
      <c r="H911" s="69"/>
      <c r="I911" s="66"/>
      <c r="J911" s="69"/>
      <c r="K911" s="67"/>
      <c r="L911" s="67"/>
      <c r="M911" s="67"/>
      <c r="N911" s="67"/>
      <c r="O911" s="64"/>
      <c r="P911" s="72" t="str">
        <f aca="false">IF(OR(B911="",C911=""),"",C911&amp;"|"&amp;(YEAR(B911)*100+MONTH(B911)))</f>
        <v/>
      </c>
      <c r="Q911" s="70" t="str">
        <f aca="false">IF(P911="","",IF(COUNTIF(N_CLAVE,P911)&gt;1,"⚠ Duplicado","OK"))</f>
        <v/>
      </c>
      <c r="R911" s="74" t="str">
        <f aca="false">IF(OR(P911="",U911=""),"",MAX(0,U911-N(E911)-N(F911)-N(H911)))</f>
        <v/>
      </c>
      <c r="S911" s="75" t="str">
        <f aca="false">IF(P911="","",IFERROR(INDEX(T_INGRESO,MATCH(C911,T_ID,0)),""))</f>
        <v/>
      </c>
      <c r="T911" s="75" t="str">
        <f aca="false">IF(P911="","",IFERROR(N(INDEX(T_EGRESO,MATCH(C911,T_ID,0))),0))</f>
        <v/>
      </c>
      <c r="U911" s="73" t="str">
        <f aca="false">IF(OR(P911="",NOT(ISNUMBER(S911))),"",IF(OR(S911&gt;EOMONTH(B911,0),AND(T911&gt;0,T911&lt;B911)),0,IF(AND(S911&lt;=B911,OR(T911=0,T911&gt;=EOMONTH(B911,0))),30,MIN(30,IF(T911=0,EOMONTH(B911,0),MIN(T911,EOMONTH(B911,0)))-MAX(B911,S911)+1))))</f>
        <v/>
      </c>
    </row>
    <row r="912" customFormat="false" ht="15" hidden="false" customHeight="false" outlineLevel="0" collapsed="false">
      <c r="B912" s="78"/>
      <c r="C912" s="64"/>
      <c r="D912" s="70" t="str">
        <f aca="false">IF(C912="","",IFERROR(INDEX(T_NOMBRE,MATCH(C912,T_ID,0)),"⚠ ID no existe"))</f>
        <v/>
      </c>
      <c r="E912" s="69"/>
      <c r="F912" s="69"/>
      <c r="G912" s="69"/>
      <c r="H912" s="69"/>
      <c r="I912" s="66"/>
      <c r="J912" s="69"/>
      <c r="K912" s="67"/>
      <c r="L912" s="67"/>
      <c r="M912" s="67"/>
      <c r="N912" s="67"/>
      <c r="O912" s="64"/>
      <c r="P912" s="72" t="str">
        <f aca="false">IF(OR(B912="",C912=""),"",C912&amp;"|"&amp;(YEAR(B912)*100+MONTH(B912)))</f>
        <v/>
      </c>
      <c r="Q912" s="70" t="str">
        <f aca="false">IF(P912="","",IF(COUNTIF(N_CLAVE,P912)&gt;1,"⚠ Duplicado","OK"))</f>
        <v/>
      </c>
      <c r="R912" s="74" t="str">
        <f aca="false">IF(OR(P912="",U912=""),"",MAX(0,U912-N(E912)-N(F912)-N(H912)))</f>
        <v/>
      </c>
      <c r="S912" s="75" t="str">
        <f aca="false">IF(P912="","",IFERROR(INDEX(T_INGRESO,MATCH(C912,T_ID,0)),""))</f>
        <v/>
      </c>
      <c r="T912" s="75" t="str">
        <f aca="false">IF(P912="","",IFERROR(N(INDEX(T_EGRESO,MATCH(C912,T_ID,0))),0))</f>
        <v/>
      </c>
      <c r="U912" s="73" t="str">
        <f aca="false">IF(OR(P912="",NOT(ISNUMBER(S912))),"",IF(OR(S912&gt;EOMONTH(B912,0),AND(T912&gt;0,T912&lt;B912)),0,IF(AND(S912&lt;=B912,OR(T912=0,T912&gt;=EOMONTH(B912,0))),30,MIN(30,IF(T912=0,EOMONTH(B912,0),MIN(T912,EOMONTH(B912,0)))-MAX(B912,S912)+1))))</f>
        <v/>
      </c>
    </row>
    <row r="913" customFormat="false" ht="15" hidden="false" customHeight="false" outlineLevel="0" collapsed="false">
      <c r="B913" s="78"/>
      <c r="C913" s="64"/>
      <c r="D913" s="70" t="str">
        <f aca="false">IF(C913="","",IFERROR(INDEX(T_NOMBRE,MATCH(C913,T_ID,0)),"⚠ ID no existe"))</f>
        <v/>
      </c>
      <c r="E913" s="69"/>
      <c r="F913" s="69"/>
      <c r="G913" s="69"/>
      <c r="H913" s="69"/>
      <c r="I913" s="66"/>
      <c r="J913" s="69"/>
      <c r="K913" s="67"/>
      <c r="L913" s="67"/>
      <c r="M913" s="67"/>
      <c r="N913" s="67"/>
      <c r="O913" s="64"/>
      <c r="P913" s="72" t="str">
        <f aca="false">IF(OR(B913="",C913=""),"",C913&amp;"|"&amp;(YEAR(B913)*100+MONTH(B913)))</f>
        <v/>
      </c>
      <c r="Q913" s="70" t="str">
        <f aca="false">IF(P913="","",IF(COUNTIF(N_CLAVE,P913)&gt;1,"⚠ Duplicado","OK"))</f>
        <v/>
      </c>
      <c r="R913" s="74" t="str">
        <f aca="false">IF(OR(P913="",U913=""),"",MAX(0,U913-N(E913)-N(F913)-N(H913)))</f>
        <v/>
      </c>
      <c r="S913" s="75" t="str">
        <f aca="false">IF(P913="","",IFERROR(INDEX(T_INGRESO,MATCH(C913,T_ID,0)),""))</f>
        <v/>
      </c>
      <c r="T913" s="75" t="str">
        <f aca="false">IF(P913="","",IFERROR(N(INDEX(T_EGRESO,MATCH(C913,T_ID,0))),0))</f>
        <v/>
      </c>
      <c r="U913" s="73" t="str">
        <f aca="false">IF(OR(P913="",NOT(ISNUMBER(S913))),"",IF(OR(S913&gt;EOMONTH(B913,0),AND(T913&gt;0,T913&lt;B913)),0,IF(AND(S913&lt;=B913,OR(T913=0,T913&gt;=EOMONTH(B913,0))),30,MIN(30,IF(T913=0,EOMONTH(B913,0),MIN(T913,EOMONTH(B913,0)))-MAX(B913,S913)+1))))</f>
        <v/>
      </c>
    </row>
    <row r="914" customFormat="false" ht="15" hidden="false" customHeight="false" outlineLevel="0" collapsed="false">
      <c r="B914" s="78"/>
      <c r="C914" s="64"/>
      <c r="D914" s="70" t="str">
        <f aca="false">IF(C914="","",IFERROR(INDEX(T_NOMBRE,MATCH(C914,T_ID,0)),"⚠ ID no existe"))</f>
        <v/>
      </c>
      <c r="E914" s="69"/>
      <c r="F914" s="69"/>
      <c r="G914" s="69"/>
      <c r="H914" s="69"/>
      <c r="I914" s="66"/>
      <c r="J914" s="69"/>
      <c r="K914" s="67"/>
      <c r="L914" s="67"/>
      <c r="M914" s="67"/>
      <c r="N914" s="67"/>
      <c r="O914" s="64"/>
      <c r="P914" s="72" t="str">
        <f aca="false">IF(OR(B914="",C914=""),"",C914&amp;"|"&amp;(YEAR(B914)*100+MONTH(B914)))</f>
        <v/>
      </c>
      <c r="Q914" s="70" t="str">
        <f aca="false">IF(P914="","",IF(COUNTIF(N_CLAVE,P914)&gt;1,"⚠ Duplicado","OK"))</f>
        <v/>
      </c>
      <c r="R914" s="74" t="str">
        <f aca="false">IF(OR(P914="",U914=""),"",MAX(0,U914-N(E914)-N(F914)-N(H914)))</f>
        <v/>
      </c>
      <c r="S914" s="75" t="str">
        <f aca="false">IF(P914="","",IFERROR(INDEX(T_INGRESO,MATCH(C914,T_ID,0)),""))</f>
        <v/>
      </c>
      <c r="T914" s="75" t="str">
        <f aca="false">IF(P914="","",IFERROR(N(INDEX(T_EGRESO,MATCH(C914,T_ID,0))),0))</f>
        <v/>
      </c>
      <c r="U914" s="73" t="str">
        <f aca="false">IF(OR(P914="",NOT(ISNUMBER(S914))),"",IF(OR(S914&gt;EOMONTH(B914,0),AND(T914&gt;0,T914&lt;B914)),0,IF(AND(S914&lt;=B914,OR(T914=0,T914&gt;=EOMONTH(B914,0))),30,MIN(30,IF(T914=0,EOMONTH(B914,0),MIN(T914,EOMONTH(B914,0)))-MAX(B914,S914)+1))))</f>
        <v/>
      </c>
    </row>
    <row r="915" customFormat="false" ht="15" hidden="false" customHeight="false" outlineLevel="0" collapsed="false">
      <c r="B915" s="78"/>
      <c r="C915" s="64"/>
      <c r="D915" s="70" t="str">
        <f aca="false">IF(C915="","",IFERROR(INDEX(T_NOMBRE,MATCH(C915,T_ID,0)),"⚠ ID no existe"))</f>
        <v/>
      </c>
      <c r="E915" s="69"/>
      <c r="F915" s="69"/>
      <c r="G915" s="69"/>
      <c r="H915" s="69"/>
      <c r="I915" s="66"/>
      <c r="J915" s="69"/>
      <c r="K915" s="67"/>
      <c r="L915" s="67"/>
      <c r="M915" s="67"/>
      <c r="N915" s="67"/>
      <c r="O915" s="64"/>
      <c r="P915" s="72" t="str">
        <f aca="false">IF(OR(B915="",C915=""),"",C915&amp;"|"&amp;(YEAR(B915)*100+MONTH(B915)))</f>
        <v/>
      </c>
      <c r="Q915" s="70" t="str">
        <f aca="false">IF(P915="","",IF(COUNTIF(N_CLAVE,P915)&gt;1,"⚠ Duplicado","OK"))</f>
        <v/>
      </c>
      <c r="R915" s="74" t="str">
        <f aca="false">IF(OR(P915="",U915=""),"",MAX(0,U915-N(E915)-N(F915)-N(H915)))</f>
        <v/>
      </c>
      <c r="S915" s="75" t="str">
        <f aca="false">IF(P915="","",IFERROR(INDEX(T_INGRESO,MATCH(C915,T_ID,0)),""))</f>
        <v/>
      </c>
      <c r="T915" s="75" t="str">
        <f aca="false">IF(P915="","",IFERROR(N(INDEX(T_EGRESO,MATCH(C915,T_ID,0))),0))</f>
        <v/>
      </c>
      <c r="U915" s="73" t="str">
        <f aca="false">IF(OR(P915="",NOT(ISNUMBER(S915))),"",IF(OR(S915&gt;EOMONTH(B915,0),AND(T915&gt;0,T915&lt;B915)),0,IF(AND(S915&lt;=B915,OR(T915=0,T915&gt;=EOMONTH(B915,0))),30,MIN(30,IF(T915=0,EOMONTH(B915,0),MIN(T915,EOMONTH(B915,0)))-MAX(B915,S915)+1))))</f>
        <v/>
      </c>
    </row>
    <row r="916" customFormat="false" ht="15" hidden="false" customHeight="false" outlineLevel="0" collapsed="false">
      <c r="B916" s="78"/>
      <c r="C916" s="64"/>
      <c r="D916" s="70" t="str">
        <f aca="false">IF(C916="","",IFERROR(INDEX(T_NOMBRE,MATCH(C916,T_ID,0)),"⚠ ID no existe"))</f>
        <v/>
      </c>
      <c r="E916" s="69"/>
      <c r="F916" s="69"/>
      <c r="G916" s="69"/>
      <c r="H916" s="69"/>
      <c r="I916" s="66"/>
      <c r="J916" s="69"/>
      <c r="K916" s="67"/>
      <c r="L916" s="67"/>
      <c r="M916" s="67"/>
      <c r="N916" s="67"/>
      <c r="O916" s="64"/>
      <c r="P916" s="72" t="str">
        <f aca="false">IF(OR(B916="",C916=""),"",C916&amp;"|"&amp;(YEAR(B916)*100+MONTH(B916)))</f>
        <v/>
      </c>
      <c r="Q916" s="70" t="str">
        <f aca="false">IF(P916="","",IF(COUNTIF(N_CLAVE,P916)&gt;1,"⚠ Duplicado","OK"))</f>
        <v/>
      </c>
      <c r="R916" s="74" t="str">
        <f aca="false">IF(OR(P916="",U916=""),"",MAX(0,U916-N(E916)-N(F916)-N(H916)))</f>
        <v/>
      </c>
      <c r="S916" s="75" t="str">
        <f aca="false">IF(P916="","",IFERROR(INDEX(T_INGRESO,MATCH(C916,T_ID,0)),""))</f>
        <v/>
      </c>
      <c r="T916" s="75" t="str">
        <f aca="false">IF(P916="","",IFERROR(N(INDEX(T_EGRESO,MATCH(C916,T_ID,0))),0))</f>
        <v/>
      </c>
      <c r="U916" s="73" t="str">
        <f aca="false">IF(OR(P916="",NOT(ISNUMBER(S916))),"",IF(OR(S916&gt;EOMONTH(B916,0),AND(T916&gt;0,T916&lt;B916)),0,IF(AND(S916&lt;=B916,OR(T916=0,T916&gt;=EOMONTH(B916,0))),30,MIN(30,IF(T916=0,EOMONTH(B916,0),MIN(T916,EOMONTH(B916,0)))-MAX(B916,S916)+1))))</f>
        <v/>
      </c>
    </row>
    <row r="917" customFormat="false" ht="15" hidden="false" customHeight="false" outlineLevel="0" collapsed="false">
      <c r="B917" s="78"/>
      <c r="C917" s="64"/>
      <c r="D917" s="70" t="str">
        <f aca="false">IF(C917="","",IFERROR(INDEX(T_NOMBRE,MATCH(C917,T_ID,0)),"⚠ ID no existe"))</f>
        <v/>
      </c>
      <c r="E917" s="69"/>
      <c r="F917" s="69"/>
      <c r="G917" s="69"/>
      <c r="H917" s="69"/>
      <c r="I917" s="66"/>
      <c r="J917" s="69"/>
      <c r="K917" s="67"/>
      <c r="L917" s="67"/>
      <c r="M917" s="67"/>
      <c r="N917" s="67"/>
      <c r="O917" s="64"/>
      <c r="P917" s="72" t="str">
        <f aca="false">IF(OR(B917="",C917=""),"",C917&amp;"|"&amp;(YEAR(B917)*100+MONTH(B917)))</f>
        <v/>
      </c>
      <c r="Q917" s="70" t="str">
        <f aca="false">IF(P917="","",IF(COUNTIF(N_CLAVE,P917)&gt;1,"⚠ Duplicado","OK"))</f>
        <v/>
      </c>
      <c r="R917" s="74" t="str">
        <f aca="false">IF(OR(P917="",U917=""),"",MAX(0,U917-N(E917)-N(F917)-N(H917)))</f>
        <v/>
      </c>
      <c r="S917" s="75" t="str">
        <f aca="false">IF(P917="","",IFERROR(INDEX(T_INGRESO,MATCH(C917,T_ID,0)),""))</f>
        <v/>
      </c>
      <c r="T917" s="75" t="str">
        <f aca="false">IF(P917="","",IFERROR(N(INDEX(T_EGRESO,MATCH(C917,T_ID,0))),0))</f>
        <v/>
      </c>
      <c r="U917" s="73" t="str">
        <f aca="false">IF(OR(P917="",NOT(ISNUMBER(S917))),"",IF(OR(S917&gt;EOMONTH(B917,0),AND(T917&gt;0,T917&lt;B917)),0,IF(AND(S917&lt;=B917,OR(T917=0,T917&gt;=EOMONTH(B917,0))),30,MIN(30,IF(T917=0,EOMONTH(B917,0),MIN(T917,EOMONTH(B917,0)))-MAX(B917,S917)+1))))</f>
        <v/>
      </c>
    </row>
    <row r="918" customFormat="false" ht="15" hidden="false" customHeight="false" outlineLevel="0" collapsed="false">
      <c r="B918" s="78"/>
      <c r="C918" s="64"/>
      <c r="D918" s="70" t="str">
        <f aca="false">IF(C918="","",IFERROR(INDEX(T_NOMBRE,MATCH(C918,T_ID,0)),"⚠ ID no existe"))</f>
        <v/>
      </c>
      <c r="E918" s="69"/>
      <c r="F918" s="69"/>
      <c r="G918" s="69"/>
      <c r="H918" s="69"/>
      <c r="I918" s="66"/>
      <c r="J918" s="69"/>
      <c r="K918" s="67"/>
      <c r="L918" s="67"/>
      <c r="M918" s="67"/>
      <c r="N918" s="67"/>
      <c r="O918" s="64"/>
      <c r="P918" s="72" t="str">
        <f aca="false">IF(OR(B918="",C918=""),"",C918&amp;"|"&amp;(YEAR(B918)*100+MONTH(B918)))</f>
        <v/>
      </c>
      <c r="Q918" s="70" t="str">
        <f aca="false">IF(P918="","",IF(COUNTIF(N_CLAVE,P918)&gt;1,"⚠ Duplicado","OK"))</f>
        <v/>
      </c>
      <c r="R918" s="74" t="str">
        <f aca="false">IF(OR(P918="",U918=""),"",MAX(0,U918-N(E918)-N(F918)-N(H918)))</f>
        <v/>
      </c>
      <c r="S918" s="75" t="str">
        <f aca="false">IF(P918="","",IFERROR(INDEX(T_INGRESO,MATCH(C918,T_ID,0)),""))</f>
        <v/>
      </c>
      <c r="T918" s="75" t="str">
        <f aca="false">IF(P918="","",IFERROR(N(INDEX(T_EGRESO,MATCH(C918,T_ID,0))),0))</f>
        <v/>
      </c>
      <c r="U918" s="73" t="str">
        <f aca="false">IF(OR(P918="",NOT(ISNUMBER(S918))),"",IF(OR(S918&gt;EOMONTH(B918,0),AND(T918&gt;0,T918&lt;B918)),0,IF(AND(S918&lt;=B918,OR(T918=0,T918&gt;=EOMONTH(B918,0))),30,MIN(30,IF(T918=0,EOMONTH(B918,0),MIN(T918,EOMONTH(B918,0)))-MAX(B918,S918)+1))))</f>
        <v/>
      </c>
    </row>
    <row r="919" customFormat="false" ht="15" hidden="false" customHeight="false" outlineLevel="0" collapsed="false">
      <c r="B919" s="78"/>
      <c r="C919" s="64"/>
      <c r="D919" s="70" t="str">
        <f aca="false">IF(C919="","",IFERROR(INDEX(T_NOMBRE,MATCH(C919,T_ID,0)),"⚠ ID no existe"))</f>
        <v/>
      </c>
      <c r="E919" s="69"/>
      <c r="F919" s="69"/>
      <c r="G919" s="69"/>
      <c r="H919" s="69"/>
      <c r="I919" s="66"/>
      <c r="J919" s="69"/>
      <c r="K919" s="67"/>
      <c r="L919" s="67"/>
      <c r="M919" s="67"/>
      <c r="N919" s="67"/>
      <c r="O919" s="64"/>
      <c r="P919" s="72" t="str">
        <f aca="false">IF(OR(B919="",C919=""),"",C919&amp;"|"&amp;(YEAR(B919)*100+MONTH(B919)))</f>
        <v/>
      </c>
      <c r="Q919" s="70" t="str">
        <f aca="false">IF(P919="","",IF(COUNTIF(N_CLAVE,P919)&gt;1,"⚠ Duplicado","OK"))</f>
        <v/>
      </c>
      <c r="R919" s="74" t="str">
        <f aca="false">IF(OR(P919="",U919=""),"",MAX(0,U919-N(E919)-N(F919)-N(H919)))</f>
        <v/>
      </c>
      <c r="S919" s="75" t="str">
        <f aca="false">IF(P919="","",IFERROR(INDEX(T_INGRESO,MATCH(C919,T_ID,0)),""))</f>
        <v/>
      </c>
      <c r="T919" s="75" t="str">
        <f aca="false">IF(P919="","",IFERROR(N(INDEX(T_EGRESO,MATCH(C919,T_ID,0))),0))</f>
        <v/>
      </c>
      <c r="U919" s="73" t="str">
        <f aca="false">IF(OR(P919="",NOT(ISNUMBER(S919))),"",IF(OR(S919&gt;EOMONTH(B919,0),AND(T919&gt;0,T919&lt;B919)),0,IF(AND(S919&lt;=B919,OR(T919=0,T919&gt;=EOMONTH(B919,0))),30,MIN(30,IF(T919=0,EOMONTH(B919,0),MIN(T919,EOMONTH(B919,0)))-MAX(B919,S919)+1))))</f>
        <v/>
      </c>
    </row>
    <row r="920" customFormat="false" ht="15" hidden="false" customHeight="false" outlineLevel="0" collapsed="false">
      <c r="B920" s="78"/>
      <c r="C920" s="64"/>
      <c r="D920" s="70" t="str">
        <f aca="false">IF(C920="","",IFERROR(INDEX(T_NOMBRE,MATCH(C920,T_ID,0)),"⚠ ID no existe"))</f>
        <v/>
      </c>
      <c r="E920" s="69"/>
      <c r="F920" s="69"/>
      <c r="G920" s="69"/>
      <c r="H920" s="69"/>
      <c r="I920" s="66"/>
      <c r="J920" s="69"/>
      <c r="K920" s="67"/>
      <c r="L920" s="67"/>
      <c r="M920" s="67"/>
      <c r="N920" s="67"/>
      <c r="O920" s="64"/>
      <c r="P920" s="72" t="str">
        <f aca="false">IF(OR(B920="",C920=""),"",C920&amp;"|"&amp;(YEAR(B920)*100+MONTH(B920)))</f>
        <v/>
      </c>
      <c r="Q920" s="70" t="str">
        <f aca="false">IF(P920="","",IF(COUNTIF(N_CLAVE,P920)&gt;1,"⚠ Duplicado","OK"))</f>
        <v/>
      </c>
      <c r="R920" s="74" t="str">
        <f aca="false">IF(OR(P920="",U920=""),"",MAX(0,U920-N(E920)-N(F920)-N(H920)))</f>
        <v/>
      </c>
      <c r="S920" s="75" t="str">
        <f aca="false">IF(P920="","",IFERROR(INDEX(T_INGRESO,MATCH(C920,T_ID,0)),""))</f>
        <v/>
      </c>
      <c r="T920" s="75" t="str">
        <f aca="false">IF(P920="","",IFERROR(N(INDEX(T_EGRESO,MATCH(C920,T_ID,0))),0))</f>
        <v/>
      </c>
      <c r="U920" s="73" t="str">
        <f aca="false">IF(OR(P920="",NOT(ISNUMBER(S920))),"",IF(OR(S920&gt;EOMONTH(B920,0),AND(T920&gt;0,T920&lt;B920)),0,IF(AND(S920&lt;=B920,OR(T920=0,T920&gt;=EOMONTH(B920,0))),30,MIN(30,IF(T920=0,EOMONTH(B920,0),MIN(T920,EOMONTH(B920,0)))-MAX(B920,S920)+1))))</f>
        <v/>
      </c>
    </row>
    <row r="921" customFormat="false" ht="15" hidden="false" customHeight="false" outlineLevel="0" collapsed="false">
      <c r="B921" s="78"/>
      <c r="C921" s="64"/>
      <c r="D921" s="70" t="str">
        <f aca="false">IF(C921="","",IFERROR(INDEX(T_NOMBRE,MATCH(C921,T_ID,0)),"⚠ ID no existe"))</f>
        <v/>
      </c>
      <c r="E921" s="69"/>
      <c r="F921" s="69"/>
      <c r="G921" s="69"/>
      <c r="H921" s="69"/>
      <c r="I921" s="66"/>
      <c r="J921" s="69"/>
      <c r="K921" s="67"/>
      <c r="L921" s="67"/>
      <c r="M921" s="67"/>
      <c r="N921" s="67"/>
      <c r="O921" s="64"/>
      <c r="P921" s="72" t="str">
        <f aca="false">IF(OR(B921="",C921=""),"",C921&amp;"|"&amp;(YEAR(B921)*100+MONTH(B921)))</f>
        <v/>
      </c>
      <c r="Q921" s="70" t="str">
        <f aca="false">IF(P921="","",IF(COUNTIF(N_CLAVE,P921)&gt;1,"⚠ Duplicado","OK"))</f>
        <v/>
      </c>
      <c r="R921" s="74" t="str">
        <f aca="false">IF(OR(P921="",U921=""),"",MAX(0,U921-N(E921)-N(F921)-N(H921)))</f>
        <v/>
      </c>
      <c r="S921" s="75" t="str">
        <f aca="false">IF(P921="","",IFERROR(INDEX(T_INGRESO,MATCH(C921,T_ID,0)),""))</f>
        <v/>
      </c>
      <c r="T921" s="75" t="str">
        <f aca="false">IF(P921="","",IFERROR(N(INDEX(T_EGRESO,MATCH(C921,T_ID,0))),0))</f>
        <v/>
      </c>
      <c r="U921" s="73" t="str">
        <f aca="false">IF(OR(P921="",NOT(ISNUMBER(S921))),"",IF(OR(S921&gt;EOMONTH(B921,0),AND(T921&gt;0,T921&lt;B921)),0,IF(AND(S921&lt;=B921,OR(T921=0,T921&gt;=EOMONTH(B921,0))),30,MIN(30,IF(T921=0,EOMONTH(B921,0),MIN(T921,EOMONTH(B921,0)))-MAX(B921,S921)+1))))</f>
        <v/>
      </c>
    </row>
    <row r="922" customFormat="false" ht="15" hidden="false" customHeight="false" outlineLevel="0" collapsed="false">
      <c r="B922" s="78"/>
      <c r="C922" s="64"/>
      <c r="D922" s="70" t="str">
        <f aca="false">IF(C922="","",IFERROR(INDEX(T_NOMBRE,MATCH(C922,T_ID,0)),"⚠ ID no existe"))</f>
        <v/>
      </c>
      <c r="E922" s="69"/>
      <c r="F922" s="69"/>
      <c r="G922" s="69"/>
      <c r="H922" s="69"/>
      <c r="I922" s="66"/>
      <c r="J922" s="69"/>
      <c r="K922" s="67"/>
      <c r="L922" s="67"/>
      <c r="M922" s="67"/>
      <c r="N922" s="67"/>
      <c r="O922" s="64"/>
      <c r="P922" s="72" t="str">
        <f aca="false">IF(OR(B922="",C922=""),"",C922&amp;"|"&amp;(YEAR(B922)*100+MONTH(B922)))</f>
        <v/>
      </c>
      <c r="Q922" s="70" t="str">
        <f aca="false">IF(P922="","",IF(COUNTIF(N_CLAVE,P922)&gt;1,"⚠ Duplicado","OK"))</f>
        <v/>
      </c>
      <c r="R922" s="74" t="str">
        <f aca="false">IF(OR(P922="",U922=""),"",MAX(0,U922-N(E922)-N(F922)-N(H922)))</f>
        <v/>
      </c>
      <c r="S922" s="75" t="str">
        <f aca="false">IF(P922="","",IFERROR(INDEX(T_INGRESO,MATCH(C922,T_ID,0)),""))</f>
        <v/>
      </c>
      <c r="T922" s="75" t="str">
        <f aca="false">IF(P922="","",IFERROR(N(INDEX(T_EGRESO,MATCH(C922,T_ID,0))),0))</f>
        <v/>
      </c>
      <c r="U922" s="73" t="str">
        <f aca="false">IF(OR(P922="",NOT(ISNUMBER(S922))),"",IF(OR(S922&gt;EOMONTH(B922,0),AND(T922&gt;0,T922&lt;B922)),0,IF(AND(S922&lt;=B922,OR(T922=0,T922&gt;=EOMONTH(B922,0))),30,MIN(30,IF(T922=0,EOMONTH(B922,0),MIN(T922,EOMONTH(B922,0)))-MAX(B922,S922)+1))))</f>
        <v/>
      </c>
    </row>
    <row r="923" customFormat="false" ht="15" hidden="false" customHeight="false" outlineLevel="0" collapsed="false">
      <c r="B923" s="78"/>
      <c r="C923" s="64"/>
      <c r="D923" s="70" t="str">
        <f aca="false">IF(C923="","",IFERROR(INDEX(T_NOMBRE,MATCH(C923,T_ID,0)),"⚠ ID no existe"))</f>
        <v/>
      </c>
      <c r="E923" s="69"/>
      <c r="F923" s="69"/>
      <c r="G923" s="69"/>
      <c r="H923" s="69"/>
      <c r="I923" s="66"/>
      <c r="J923" s="69"/>
      <c r="K923" s="67"/>
      <c r="L923" s="67"/>
      <c r="M923" s="67"/>
      <c r="N923" s="67"/>
      <c r="O923" s="64"/>
      <c r="P923" s="72" t="str">
        <f aca="false">IF(OR(B923="",C923=""),"",C923&amp;"|"&amp;(YEAR(B923)*100+MONTH(B923)))</f>
        <v/>
      </c>
      <c r="Q923" s="70" t="str">
        <f aca="false">IF(P923="","",IF(COUNTIF(N_CLAVE,P923)&gt;1,"⚠ Duplicado","OK"))</f>
        <v/>
      </c>
      <c r="R923" s="74" t="str">
        <f aca="false">IF(OR(P923="",U923=""),"",MAX(0,U923-N(E923)-N(F923)-N(H923)))</f>
        <v/>
      </c>
      <c r="S923" s="75" t="str">
        <f aca="false">IF(P923="","",IFERROR(INDEX(T_INGRESO,MATCH(C923,T_ID,0)),""))</f>
        <v/>
      </c>
      <c r="T923" s="75" t="str">
        <f aca="false">IF(P923="","",IFERROR(N(INDEX(T_EGRESO,MATCH(C923,T_ID,0))),0))</f>
        <v/>
      </c>
      <c r="U923" s="73" t="str">
        <f aca="false">IF(OR(P923="",NOT(ISNUMBER(S923))),"",IF(OR(S923&gt;EOMONTH(B923,0),AND(T923&gt;0,T923&lt;B923)),0,IF(AND(S923&lt;=B923,OR(T923=0,T923&gt;=EOMONTH(B923,0))),30,MIN(30,IF(T923=0,EOMONTH(B923,0),MIN(T923,EOMONTH(B923,0)))-MAX(B923,S923)+1))))</f>
        <v/>
      </c>
    </row>
    <row r="924" customFormat="false" ht="15" hidden="false" customHeight="false" outlineLevel="0" collapsed="false">
      <c r="B924" s="78"/>
      <c r="C924" s="64"/>
      <c r="D924" s="70" t="str">
        <f aca="false">IF(C924="","",IFERROR(INDEX(T_NOMBRE,MATCH(C924,T_ID,0)),"⚠ ID no existe"))</f>
        <v/>
      </c>
      <c r="E924" s="69"/>
      <c r="F924" s="69"/>
      <c r="G924" s="69"/>
      <c r="H924" s="69"/>
      <c r="I924" s="66"/>
      <c r="J924" s="69"/>
      <c r="K924" s="67"/>
      <c r="L924" s="67"/>
      <c r="M924" s="67"/>
      <c r="N924" s="67"/>
      <c r="O924" s="64"/>
      <c r="P924" s="72" t="str">
        <f aca="false">IF(OR(B924="",C924=""),"",C924&amp;"|"&amp;(YEAR(B924)*100+MONTH(B924)))</f>
        <v/>
      </c>
      <c r="Q924" s="70" t="str">
        <f aca="false">IF(P924="","",IF(COUNTIF(N_CLAVE,P924)&gt;1,"⚠ Duplicado","OK"))</f>
        <v/>
      </c>
      <c r="R924" s="74" t="str">
        <f aca="false">IF(OR(P924="",U924=""),"",MAX(0,U924-N(E924)-N(F924)-N(H924)))</f>
        <v/>
      </c>
      <c r="S924" s="75" t="str">
        <f aca="false">IF(P924="","",IFERROR(INDEX(T_INGRESO,MATCH(C924,T_ID,0)),""))</f>
        <v/>
      </c>
      <c r="T924" s="75" t="str">
        <f aca="false">IF(P924="","",IFERROR(N(INDEX(T_EGRESO,MATCH(C924,T_ID,0))),0))</f>
        <v/>
      </c>
      <c r="U924" s="73" t="str">
        <f aca="false">IF(OR(P924="",NOT(ISNUMBER(S924))),"",IF(OR(S924&gt;EOMONTH(B924,0),AND(T924&gt;0,T924&lt;B924)),0,IF(AND(S924&lt;=B924,OR(T924=0,T924&gt;=EOMONTH(B924,0))),30,MIN(30,IF(T924=0,EOMONTH(B924,0),MIN(T924,EOMONTH(B924,0)))-MAX(B924,S924)+1))))</f>
        <v/>
      </c>
    </row>
    <row r="925" customFormat="false" ht="15" hidden="false" customHeight="false" outlineLevel="0" collapsed="false">
      <c r="B925" s="78"/>
      <c r="C925" s="64"/>
      <c r="D925" s="70" t="str">
        <f aca="false">IF(C925="","",IFERROR(INDEX(T_NOMBRE,MATCH(C925,T_ID,0)),"⚠ ID no existe"))</f>
        <v/>
      </c>
      <c r="E925" s="69"/>
      <c r="F925" s="69"/>
      <c r="G925" s="69"/>
      <c r="H925" s="69"/>
      <c r="I925" s="66"/>
      <c r="J925" s="69"/>
      <c r="K925" s="67"/>
      <c r="L925" s="67"/>
      <c r="M925" s="67"/>
      <c r="N925" s="67"/>
      <c r="O925" s="64"/>
      <c r="P925" s="72" t="str">
        <f aca="false">IF(OR(B925="",C925=""),"",C925&amp;"|"&amp;(YEAR(B925)*100+MONTH(B925)))</f>
        <v/>
      </c>
      <c r="Q925" s="70" t="str">
        <f aca="false">IF(P925="","",IF(COUNTIF(N_CLAVE,P925)&gt;1,"⚠ Duplicado","OK"))</f>
        <v/>
      </c>
      <c r="R925" s="74" t="str">
        <f aca="false">IF(OR(P925="",U925=""),"",MAX(0,U925-N(E925)-N(F925)-N(H925)))</f>
        <v/>
      </c>
      <c r="S925" s="75" t="str">
        <f aca="false">IF(P925="","",IFERROR(INDEX(T_INGRESO,MATCH(C925,T_ID,0)),""))</f>
        <v/>
      </c>
      <c r="T925" s="75" t="str">
        <f aca="false">IF(P925="","",IFERROR(N(INDEX(T_EGRESO,MATCH(C925,T_ID,0))),0))</f>
        <v/>
      </c>
      <c r="U925" s="73" t="str">
        <f aca="false">IF(OR(P925="",NOT(ISNUMBER(S925))),"",IF(OR(S925&gt;EOMONTH(B925,0),AND(T925&gt;0,T925&lt;B925)),0,IF(AND(S925&lt;=B925,OR(T925=0,T925&gt;=EOMONTH(B925,0))),30,MIN(30,IF(T925=0,EOMONTH(B925,0),MIN(T925,EOMONTH(B925,0)))-MAX(B925,S925)+1))))</f>
        <v/>
      </c>
    </row>
    <row r="926" customFormat="false" ht="15" hidden="false" customHeight="false" outlineLevel="0" collapsed="false">
      <c r="B926" s="78"/>
      <c r="C926" s="64"/>
      <c r="D926" s="70" t="str">
        <f aca="false">IF(C926="","",IFERROR(INDEX(T_NOMBRE,MATCH(C926,T_ID,0)),"⚠ ID no existe"))</f>
        <v/>
      </c>
      <c r="E926" s="69"/>
      <c r="F926" s="69"/>
      <c r="G926" s="69"/>
      <c r="H926" s="69"/>
      <c r="I926" s="66"/>
      <c r="J926" s="69"/>
      <c r="K926" s="67"/>
      <c r="L926" s="67"/>
      <c r="M926" s="67"/>
      <c r="N926" s="67"/>
      <c r="O926" s="64"/>
      <c r="P926" s="72" t="str">
        <f aca="false">IF(OR(B926="",C926=""),"",C926&amp;"|"&amp;(YEAR(B926)*100+MONTH(B926)))</f>
        <v/>
      </c>
      <c r="Q926" s="70" t="str">
        <f aca="false">IF(P926="","",IF(COUNTIF(N_CLAVE,P926)&gt;1,"⚠ Duplicado","OK"))</f>
        <v/>
      </c>
      <c r="R926" s="74" t="str">
        <f aca="false">IF(OR(P926="",U926=""),"",MAX(0,U926-N(E926)-N(F926)-N(H926)))</f>
        <v/>
      </c>
      <c r="S926" s="75" t="str">
        <f aca="false">IF(P926="","",IFERROR(INDEX(T_INGRESO,MATCH(C926,T_ID,0)),""))</f>
        <v/>
      </c>
      <c r="T926" s="75" t="str">
        <f aca="false">IF(P926="","",IFERROR(N(INDEX(T_EGRESO,MATCH(C926,T_ID,0))),0))</f>
        <v/>
      </c>
      <c r="U926" s="73" t="str">
        <f aca="false">IF(OR(P926="",NOT(ISNUMBER(S926))),"",IF(OR(S926&gt;EOMONTH(B926,0),AND(T926&gt;0,T926&lt;B926)),0,IF(AND(S926&lt;=B926,OR(T926=0,T926&gt;=EOMONTH(B926,0))),30,MIN(30,IF(T926=0,EOMONTH(B926,0),MIN(T926,EOMONTH(B926,0)))-MAX(B926,S926)+1))))</f>
        <v/>
      </c>
    </row>
    <row r="927" customFormat="false" ht="15" hidden="false" customHeight="false" outlineLevel="0" collapsed="false">
      <c r="B927" s="78"/>
      <c r="C927" s="64"/>
      <c r="D927" s="70" t="str">
        <f aca="false">IF(C927="","",IFERROR(INDEX(T_NOMBRE,MATCH(C927,T_ID,0)),"⚠ ID no existe"))</f>
        <v/>
      </c>
      <c r="E927" s="69"/>
      <c r="F927" s="69"/>
      <c r="G927" s="69"/>
      <c r="H927" s="69"/>
      <c r="I927" s="66"/>
      <c r="J927" s="69"/>
      <c r="K927" s="67"/>
      <c r="L927" s="67"/>
      <c r="M927" s="67"/>
      <c r="N927" s="67"/>
      <c r="O927" s="64"/>
      <c r="P927" s="72" t="str">
        <f aca="false">IF(OR(B927="",C927=""),"",C927&amp;"|"&amp;(YEAR(B927)*100+MONTH(B927)))</f>
        <v/>
      </c>
      <c r="Q927" s="70" t="str">
        <f aca="false">IF(P927="","",IF(COUNTIF(N_CLAVE,P927)&gt;1,"⚠ Duplicado","OK"))</f>
        <v/>
      </c>
      <c r="R927" s="74" t="str">
        <f aca="false">IF(OR(P927="",U927=""),"",MAX(0,U927-N(E927)-N(F927)-N(H927)))</f>
        <v/>
      </c>
      <c r="S927" s="75" t="str">
        <f aca="false">IF(P927="","",IFERROR(INDEX(T_INGRESO,MATCH(C927,T_ID,0)),""))</f>
        <v/>
      </c>
      <c r="T927" s="75" t="str">
        <f aca="false">IF(P927="","",IFERROR(N(INDEX(T_EGRESO,MATCH(C927,T_ID,0))),0))</f>
        <v/>
      </c>
      <c r="U927" s="73" t="str">
        <f aca="false">IF(OR(P927="",NOT(ISNUMBER(S927))),"",IF(OR(S927&gt;EOMONTH(B927,0),AND(T927&gt;0,T927&lt;B927)),0,IF(AND(S927&lt;=B927,OR(T927=0,T927&gt;=EOMONTH(B927,0))),30,MIN(30,IF(T927=0,EOMONTH(B927,0),MIN(T927,EOMONTH(B927,0)))-MAX(B927,S927)+1))))</f>
        <v/>
      </c>
    </row>
    <row r="928" customFormat="false" ht="15" hidden="false" customHeight="false" outlineLevel="0" collapsed="false">
      <c r="B928" s="78"/>
      <c r="C928" s="64"/>
      <c r="D928" s="70" t="str">
        <f aca="false">IF(C928="","",IFERROR(INDEX(T_NOMBRE,MATCH(C928,T_ID,0)),"⚠ ID no existe"))</f>
        <v/>
      </c>
      <c r="E928" s="69"/>
      <c r="F928" s="69"/>
      <c r="G928" s="69"/>
      <c r="H928" s="69"/>
      <c r="I928" s="66"/>
      <c r="J928" s="69"/>
      <c r="K928" s="67"/>
      <c r="L928" s="67"/>
      <c r="M928" s="67"/>
      <c r="N928" s="67"/>
      <c r="O928" s="64"/>
      <c r="P928" s="72" t="str">
        <f aca="false">IF(OR(B928="",C928=""),"",C928&amp;"|"&amp;(YEAR(B928)*100+MONTH(B928)))</f>
        <v/>
      </c>
      <c r="Q928" s="70" t="str">
        <f aca="false">IF(P928="","",IF(COUNTIF(N_CLAVE,P928)&gt;1,"⚠ Duplicado","OK"))</f>
        <v/>
      </c>
      <c r="R928" s="74" t="str">
        <f aca="false">IF(OR(P928="",U928=""),"",MAX(0,U928-N(E928)-N(F928)-N(H928)))</f>
        <v/>
      </c>
      <c r="S928" s="75" t="str">
        <f aca="false">IF(P928="","",IFERROR(INDEX(T_INGRESO,MATCH(C928,T_ID,0)),""))</f>
        <v/>
      </c>
      <c r="T928" s="75" t="str">
        <f aca="false">IF(P928="","",IFERROR(N(INDEX(T_EGRESO,MATCH(C928,T_ID,0))),0))</f>
        <v/>
      </c>
      <c r="U928" s="73" t="str">
        <f aca="false">IF(OR(P928="",NOT(ISNUMBER(S928))),"",IF(OR(S928&gt;EOMONTH(B928,0),AND(T928&gt;0,T928&lt;B928)),0,IF(AND(S928&lt;=B928,OR(T928=0,T928&gt;=EOMONTH(B928,0))),30,MIN(30,IF(T928=0,EOMONTH(B928,0),MIN(T928,EOMONTH(B928,0)))-MAX(B928,S928)+1))))</f>
        <v/>
      </c>
    </row>
    <row r="929" customFormat="false" ht="15" hidden="false" customHeight="false" outlineLevel="0" collapsed="false">
      <c r="B929" s="78"/>
      <c r="C929" s="64"/>
      <c r="D929" s="70" t="str">
        <f aca="false">IF(C929="","",IFERROR(INDEX(T_NOMBRE,MATCH(C929,T_ID,0)),"⚠ ID no existe"))</f>
        <v/>
      </c>
      <c r="E929" s="69"/>
      <c r="F929" s="69"/>
      <c r="G929" s="69"/>
      <c r="H929" s="69"/>
      <c r="I929" s="66"/>
      <c r="J929" s="69"/>
      <c r="K929" s="67"/>
      <c r="L929" s="67"/>
      <c r="M929" s="67"/>
      <c r="N929" s="67"/>
      <c r="O929" s="64"/>
      <c r="P929" s="72" t="str">
        <f aca="false">IF(OR(B929="",C929=""),"",C929&amp;"|"&amp;(YEAR(B929)*100+MONTH(B929)))</f>
        <v/>
      </c>
      <c r="Q929" s="70" t="str">
        <f aca="false">IF(P929="","",IF(COUNTIF(N_CLAVE,P929)&gt;1,"⚠ Duplicado","OK"))</f>
        <v/>
      </c>
      <c r="R929" s="74" t="str">
        <f aca="false">IF(OR(P929="",U929=""),"",MAX(0,U929-N(E929)-N(F929)-N(H929)))</f>
        <v/>
      </c>
      <c r="S929" s="75" t="str">
        <f aca="false">IF(P929="","",IFERROR(INDEX(T_INGRESO,MATCH(C929,T_ID,0)),""))</f>
        <v/>
      </c>
      <c r="T929" s="75" t="str">
        <f aca="false">IF(P929="","",IFERROR(N(INDEX(T_EGRESO,MATCH(C929,T_ID,0))),0))</f>
        <v/>
      </c>
      <c r="U929" s="73" t="str">
        <f aca="false">IF(OR(P929="",NOT(ISNUMBER(S929))),"",IF(OR(S929&gt;EOMONTH(B929,0),AND(T929&gt;0,T929&lt;B929)),0,IF(AND(S929&lt;=B929,OR(T929=0,T929&gt;=EOMONTH(B929,0))),30,MIN(30,IF(T929=0,EOMONTH(B929,0),MIN(T929,EOMONTH(B929,0)))-MAX(B929,S929)+1))))</f>
        <v/>
      </c>
    </row>
    <row r="930" customFormat="false" ht="15" hidden="false" customHeight="false" outlineLevel="0" collapsed="false">
      <c r="B930" s="78"/>
      <c r="C930" s="64"/>
      <c r="D930" s="70" t="str">
        <f aca="false">IF(C930="","",IFERROR(INDEX(T_NOMBRE,MATCH(C930,T_ID,0)),"⚠ ID no existe"))</f>
        <v/>
      </c>
      <c r="E930" s="69"/>
      <c r="F930" s="69"/>
      <c r="G930" s="69"/>
      <c r="H930" s="69"/>
      <c r="I930" s="66"/>
      <c r="J930" s="69"/>
      <c r="K930" s="67"/>
      <c r="L930" s="67"/>
      <c r="M930" s="67"/>
      <c r="N930" s="67"/>
      <c r="O930" s="64"/>
      <c r="P930" s="72" t="str">
        <f aca="false">IF(OR(B930="",C930=""),"",C930&amp;"|"&amp;(YEAR(B930)*100+MONTH(B930)))</f>
        <v/>
      </c>
      <c r="Q930" s="70" t="str">
        <f aca="false">IF(P930="","",IF(COUNTIF(N_CLAVE,P930)&gt;1,"⚠ Duplicado","OK"))</f>
        <v/>
      </c>
      <c r="R930" s="74" t="str">
        <f aca="false">IF(OR(P930="",U930=""),"",MAX(0,U930-N(E930)-N(F930)-N(H930)))</f>
        <v/>
      </c>
      <c r="S930" s="75" t="str">
        <f aca="false">IF(P930="","",IFERROR(INDEX(T_INGRESO,MATCH(C930,T_ID,0)),""))</f>
        <v/>
      </c>
      <c r="T930" s="75" t="str">
        <f aca="false">IF(P930="","",IFERROR(N(INDEX(T_EGRESO,MATCH(C930,T_ID,0))),0))</f>
        <v/>
      </c>
      <c r="U930" s="73" t="str">
        <f aca="false">IF(OR(P930="",NOT(ISNUMBER(S930))),"",IF(OR(S930&gt;EOMONTH(B930,0),AND(T930&gt;0,T930&lt;B930)),0,IF(AND(S930&lt;=B930,OR(T930=0,T930&gt;=EOMONTH(B930,0))),30,MIN(30,IF(T930=0,EOMONTH(B930,0),MIN(T930,EOMONTH(B930,0)))-MAX(B930,S930)+1))))</f>
        <v/>
      </c>
    </row>
    <row r="931" customFormat="false" ht="15" hidden="false" customHeight="false" outlineLevel="0" collapsed="false">
      <c r="B931" s="78"/>
      <c r="C931" s="64"/>
      <c r="D931" s="70" t="str">
        <f aca="false">IF(C931="","",IFERROR(INDEX(T_NOMBRE,MATCH(C931,T_ID,0)),"⚠ ID no existe"))</f>
        <v/>
      </c>
      <c r="E931" s="69"/>
      <c r="F931" s="69"/>
      <c r="G931" s="69"/>
      <c r="H931" s="69"/>
      <c r="I931" s="66"/>
      <c r="J931" s="69"/>
      <c r="K931" s="67"/>
      <c r="L931" s="67"/>
      <c r="M931" s="67"/>
      <c r="N931" s="67"/>
      <c r="O931" s="64"/>
      <c r="P931" s="72" t="str">
        <f aca="false">IF(OR(B931="",C931=""),"",C931&amp;"|"&amp;(YEAR(B931)*100+MONTH(B931)))</f>
        <v/>
      </c>
      <c r="Q931" s="70" t="str">
        <f aca="false">IF(P931="","",IF(COUNTIF(N_CLAVE,P931)&gt;1,"⚠ Duplicado","OK"))</f>
        <v/>
      </c>
      <c r="R931" s="74" t="str">
        <f aca="false">IF(OR(P931="",U931=""),"",MAX(0,U931-N(E931)-N(F931)-N(H931)))</f>
        <v/>
      </c>
      <c r="S931" s="75" t="str">
        <f aca="false">IF(P931="","",IFERROR(INDEX(T_INGRESO,MATCH(C931,T_ID,0)),""))</f>
        <v/>
      </c>
      <c r="T931" s="75" t="str">
        <f aca="false">IF(P931="","",IFERROR(N(INDEX(T_EGRESO,MATCH(C931,T_ID,0))),0))</f>
        <v/>
      </c>
      <c r="U931" s="73" t="str">
        <f aca="false">IF(OR(P931="",NOT(ISNUMBER(S931))),"",IF(OR(S931&gt;EOMONTH(B931,0),AND(T931&gt;0,T931&lt;B931)),0,IF(AND(S931&lt;=B931,OR(T931=0,T931&gt;=EOMONTH(B931,0))),30,MIN(30,IF(T931=0,EOMONTH(B931,0),MIN(T931,EOMONTH(B931,0)))-MAX(B931,S931)+1))))</f>
        <v/>
      </c>
    </row>
    <row r="932" customFormat="false" ht="15" hidden="false" customHeight="false" outlineLevel="0" collapsed="false">
      <c r="B932" s="78"/>
      <c r="C932" s="64"/>
      <c r="D932" s="70" t="str">
        <f aca="false">IF(C932="","",IFERROR(INDEX(T_NOMBRE,MATCH(C932,T_ID,0)),"⚠ ID no existe"))</f>
        <v/>
      </c>
      <c r="E932" s="69"/>
      <c r="F932" s="69"/>
      <c r="G932" s="69"/>
      <c r="H932" s="69"/>
      <c r="I932" s="66"/>
      <c r="J932" s="69"/>
      <c r="K932" s="67"/>
      <c r="L932" s="67"/>
      <c r="M932" s="67"/>
      <c r="N932" s="67"/>
      <c r="O932" s="64"/>
      <c r="P932" s="72" t="str">
        <f aca="false">IF(OR(B932="",C932=""),"",C932&amp;"|"&amp;(YEAR(B932)*100+MONTH(B932)))</f>
        <v/>
      </c>
      <c r="Q932" s="70" t="str">
        <f aca="false">IF(P932="","",IF(COUNTIF(N_CLAVE,P932)&gt;1,"⚠ Duplicado","OK"))</f>
        <v/>
      </c>
      <c r="R932" s="74" t="str">
        <f aca="false">IF(OR(P932="",U932=""),"",MAX(0,U932-N(E932)-N(F932)-N(H932)))</f>
        <v/>
      </c>
      <c r="S932" s="75" t="str">
        <f aca="false">IF(P932="","",IFERROR(INDEX(T_INGRESO,MATCH(C932,T_ID,0)),""))</f>
        <v/>
      </c>
      <c r="T932" s="75" t="str">
        <f aca="false">IF(P932="","",IFERROR(N(INDEX(T_EGRESO,MATCH(C932,T_ID,0))),0))</f>
        <v/>
      </c>
      <c r="U932" s="73" t="str">
        <f aca="false">IF(OR(P932="",NOT(ISNUMBER(S932))),"",IF(OR(S932&gt;EOMONTH(B932,0),AND(T932&gt;0,T932&lt;B932)),0,IF(AND(S932&lt;=B932,OR(T932=0,T932&gt;=EOMONTH(B932,0))),30,MIN(30,IF(T932=0,EOMONTH(B932,0),MIN(T932,EOMONTH(B932,0)))-MAX(B932,S932)+1))))</f>
        <v/>
      </c>
    </row>
    <row r="933" customFormat="false" ht="15" hidden="false" customHeight="false" outlineLevel="0" collapsed="false">
      <c r="B933" s="78"/>
      <c r="C933" s="64"/>
      <c r="D933" s="70" t="str">
        <f aca="false">IF(C933="","",IFERROR(INDEX(T_NOMBRE,MATCH(C933,T_ID,0)),"⚠ ID no existe"))</f>
        <v/>
      </c>
      <c r="E933" s="69"/>
      <c r="F933" s="69"/>
      <c r="G933" s="69"/>
      <c r="H933" s="69"/>
      <c r="I933" s="66"/>
      <c r="J933" s="69"/>
      <c r="K933" s="67"/>
      <c r="L933" s="67"/>
      <c r="M933" s="67"/>
      <c r="N933" s="67"/>
      <c r="O933" s="64"/>
      <c r="P933" s="72" t="str">
        <f aca="false">IF(OR(B933="",C933=""),"",C933&amp;"|"&amp;(YEAR(B933)*100+MONTH(B933)))</f>
        <v/>
      </c>
      <c r="Q933" s="70" t="str">
        <f aca="false">IF(P933="","",IF(COUNTIF(N_CLAVE,P933)&gt;1,"⚠ Duplicado","OK"))</f>
        <v/>
      </c>
      <c r="R933" s="74" t="str">
        <f aca="false">IF(OR(P933="",U933=""),"",MAX(0,U933-N(E933)-N(F933)-N(H933)))</f>
        <v/>
      </c>
      <c r="S933" s="75" t="str">
        <f aca="false">IF(P933="","",IFERROR(INDEX(T_INGRESO,MATCH(C933,T_ID,0)),""))</f>
        <v/>
      </c>
      <c r="T933" s="75" t="str">
        <f aca="false">IF(P933="","",IFERROR(N(INDEX(T_EGRESO,MATCH(C933,T_ID,0))),0))</f>
        <v/>
      </c>
      <c r="U933" s="73" t="str">
        <f aca="false">IF(OR(P933="",NOT(ISNUMBER(S933))),"",IF(OR(S933&gt;EOMONTH(B933,0),AND(T933&gt;0,T933&lt;B933)),0,IF(AND(S933&lt;=B933,OR(T933=0,T933&gt;=EOMONTH(B933,0))),30,MIN(30,IF(T933=0,EOMONTH(B933,0),MIN(T933,EOMONTH(B933,0)))-MAX(B933,S933)+1))))</f>
        <v/>
      </c>
    </row>
    <row r="934" customFormat="false" ht="15" hidden="false" customHeight="false" outlineLevel="0" collapsed="false">
      <c r="B934" s="78"/>
      <c r="C934" s="64"/>
      <c r="D934" s="70" t="str">
        <f aca="false">IF(C934="","",IFERROR(INDEX(T_NOMBRE,MATCH(C934,T_ID,0)),"⚠ ID no existe"))</f>
        <v/>
      </c>
      <c r="E934" s="69"/>
      <c r="F934" s="69"/>
      <c r="G934" s="69"/>
      <c r="H934" s="69"/>
      <c r="I934" s="66"/>
      <c r="J934" s="69"/>
      <c r="K934" s="67"/>
      <c r="L934" s="67"/>
      <c r="M934" s="67"/>
      <c r="N934" s="67"/>
      <c r="O934" s="64"/>
      <c r="P934" s="72" t="str">
        <f aca="false">IF(OR(B934="",C934=""),"",C934&amp;"|"&amp;(YEAR(B934)*100+MONTH(B934)))</f>
        <v/>
      </c>
      <c r="Q934" s="70" t="str">
        <f aca="false">IF(P934="","",IF(COUNTIF(N_CLAVE,P934)&gt;1,"⚠ Duplicado","OK"))</f>
        <v/>
      </c>
      <c r="R934" s="74" t="str">
        <f aca="false">IF(OR(P934="",U934=""),"",MAX(0,U934-N(E934)-N(F934)-N(H934)))</f>
        <v/>
      </c>
      <c r="S934" s="75" t="str">
        <f aca="false">IF(P934="","",IFERROR(INDEX(T_INGRESO,MATCH(C934,T_ID,0)),""))</f>
        <v/>
      </c>
      <c r="T934" s="75" t="str">
        <f aca="false">IF(P934="","",IFERROR(N(INDEX(T_EGRESO,MATCH(C934,T_ID,0))),0))</f>
        <v/>
      </c>
      <c r="U934" s="73" t="str">
        <f aca="false">IF(OR(P934="",NOT(ISNUMBER(S934))),"",IF(OR(S934&gt;EOMONTH(B934,0),AND(T934&gt;0,T934&lt;B934)),0,IF(AND(S934&lt;=B934,OR(T934=0,T934&gt;=EOMONTH(B934,0))),30,MIN(30,IF(T934=0,EOMONTH(B934,0),MIN(T934,EOMONTH(B934,0)))-MAX(B934,S934)+1))))</f>
        <v/>
      </c>
    </row>
    <row r="935" customFormat="false" ht="15" hidden="false" customHeight="false" outlineLevel="0" collapsed="false">
      <c r="B935" s="78"/>
      <c r="C935" s="64"/>
      <c r="D935" s="70" t="str">
        <f aca="false">IF(C935="","",IFERROR(INDEX(T_NOMBRE,MATCH(C935,T_ID,0)),"⚠ ID no existe"))</f>
        <v/>
      </c>
      <c r="E935" s="69"/>
      <c r="F935" s="69"/>
      <c r="G935" s="69"/>
      <c r="H935" s="69"/>
      <c r="I935" s="66"/>
      <c r="J935" s="69"/>
      <c r="K935" s="67"/>
      <c r="L935" s="67"/>
      <c r="M935" s="67"/>
      <c r="N935" s="67"/>
      <c r="O935" s="64"/>
      <c r="P935" s="72" t="str">
        <f aca="false">IF(OR(B935="",C935=""),"",C935&amp;"|"&amp;(YEAR(B935)*100+MONTH(B935)))</f>
        <v/>
      </c>
      <c r="Q935" s="70" t="str">
        <f aca="false">IF(P935="","",IF(COUNTIF(N_CLAVE,P935)&gt;1,"⚠ Duplicado","OK"))</f>
        <v/>
      </c>
      <c r="R935" s="74" t="str">
        <f aca="false">IF(OR(P935="",U935=""),"",MAX(0,U935-N(E935)-N(F935)-N(H935)))</f>
        <v/>
      </c>
      <c r="S935" s="75" t="str">
        <f aca="false">IF(P935="","",IFERROR(INDEX(T_INGRESO,MATCH(C935,T_ID,0)),""))</f>
        <v/>
      </c>
      <c r="T935" s="75" t="str">
        <f aca="false">IF(P935="","",IFERROR(N(INDEX(T_EGRESO,MATCH(C935,T_ID,0))),0))</f>
        <v/>
      </c>
      <c r="U935" s="73" t="str">
        <f aca="false">IF(OR(P935="",NOT(ISNUMBER(S935))),"",IF(OR(S935&gt;EOMONTH(B935,0),AND(T935&gt;0,T935&lt;B935)),0,IF(AND(S935&lt;=B935,OR(T935=0,T935&gt;=EOMONTH(B935,0))),30,MIN(30,IF(T935=0,EOMONTH(B935,0),MIN(T935,EOMONTH(B935,0)))-MAX(B935,S935)+1))))</f>
        <v/>
      </c>
    </row>
    <row r="936" customFormat="false" ht="15" hidden="false" customHeight="false" outlineLevel="0" collapsed="false">
      <c r="B936" s="78"/>
      <c r="C936" s="64"/>
      <c r="D936" s="70" t="str">
        <f aca="false">IF(C936="","",IFERROR(INDEX(T_NOMBRE,MATCH(C936,T_ID,0)),"⚠ ID no existe"))</f>
        <v/>
      </c>
      <c r="E936" s="69"/>
      <c r="F936" s="69"/>
      <c r="G936" s="69"/>
      <c r="H936" s="69"/>
      <c r="I936" s="66"/>
      <c r="J936" s="69"/>
      <c r="K936" s="67"/>
      <c r="L936" s="67"/>
      <c r="M936" s="67"/>
      <c r="N936" s="67"/>
      <c r="O936" s="64"/>
      <c r="P936" s="72" t="str">
        <f aca="false">IF(OR(B936="",C936=""),"",C936&amp;"|"&amp;(YEAR(B936)*100+MONTH(B936)))</f>
        <v/>
      </c>
      <c r="Q936" s="70" t="str">
        <f aca="false">IF(P936="","",IF(COUNTIF(N_CLAVE,P936)&gt;1,"⚠ Duplicado","OK"))</f>
        <v/>
      </c>
      <c r="R936" s="74" t="str">
        <f aca="false">IF(OR(P936="",U936=""),"",MAX(0,U936-N(E936)-N(F936)-N(H936)))</f>
        <v/>
      </c>
      <c r="S936" s="75" t="str">
        <f aca="false">IF(P936="","",IFERROR(INDEX(T_INGRESO,MATCH(C936,T_ID,0)),""))</f>
        <v/>
      </c>
      <c r="T936" s="75" t="str">
        <f aca="false">IF(P936="","",IFERROR(N(INDEX(T_EGRESO,MATCH(C936,T_ID,0))),0))</f>
        <v/>
      </c>
      <c r="U936" s="73" t="str">
        <f aca="false">IF(OR(P936="",NOT(ISNUMBER(S936))),"",IF(OR(S936&gt;EOMONTH(B936,0),AND(T936&gt;0,T936&lt;B936)),0,IF(AND(S936&lt;=B936,OR(T936=0,T936&gt;=EOMONTH(B936,0))),30,MIN(30,IF(T936=0,EOMONTH(B936,0),MIN(T936,EOMONTH(B936,0)))-MAX(B936,S936)+1))))</f>
        <v/>
      </c>
    </row>
    <row r="937" customFormat="false" ht="15" hidden="false" customHeight="false" outlineLevel="0" collapsed="false">
      <c r="B937" s="78"/>
      <c r="C937" s="64"/>
      <c r="D937" s="70" t="str">
        <f aca="false">IF(C937="","",IFERROR(INDEX(T_NOMBRE,MATCH(C937,T_ID,0)),"⚠ ID no existe"))</f>
        <v/>
      </c>
      <c r="E937" s="69"/>
      <c r="F937" s="69"/>
      <c r="G937" s="69"/>
      <c r="H937" s="69"/>
      <c r="I937" s="66"/>
      <c r="J937" s="69"/>
      <c r="K937" s="67"/>
      <c r="L937" s="67"/>
      <c r="M937" s="67"/>
      <c r="N937" s="67"/>
      <c r="O937" s="64"/>
      <c r="P937" s="72" t="str">
        <f aca="false">IF(OR(B937="",C937=""),"",C937&amp;"|"&amp;(YEAR(B937)*100+MONTH(B937)))</f>
        <v/>
      </c>
      <c r="Q937" s="70" t="str">
        <f aca="false">IF(P937="","",IF(COUNTIF(N_CLAVE,P937)&gt;1,"⚠ Duplicado","OK"))</f>
        <v/>
      </c>
      <c r="R937" s="74" t="str">
        <f aca="false">IF(OR(P937="",U937=""),"",MAX(0,U937-N(E937)-N(F937)-N(H937)))</f>
        <v/>
      </c>
      <c r="S937" s="75" t="str">
        <f aca="false">IF(P937="","",IFERROR(INDEX(T_INGRESO,MATCH(C937,T_ID,0)),""))</f>
        <v/>
      </c>
      <c r="T937" s="75" t="str">
        <f aca="false">IF(P937="","",IFERROR(N(INDEX(T_EGRESO,MATCH(C937,T_ID,0))),0))</f>
        <v/>
      </c>
      <c r="U937" s="73" t="str">
        <f aca="false">IF(OR(P937="",NOT(ISNUMBER(S937))),"",IF(OR(S937&gt;EOMONTH(B937,0),AND(T937&gt;0,T937&lt;B937)),0,IF(AND(S937&lt;=B937,OR(T937=0,T937&gt;=EOMONTH(B937,0))),30,MIN(30,IF(T937=0,EOMONTH(B937,0),MIN(T937,EOMONTH(B937,0)))-MAX(B937,S937)+1))))</f>
        <v/>
      </c>
    </row>
    <row r="938" customFormat="false" ht="15" hidden="false" customHeight="false" outlineLevel="0" collapsed="false">
      <c r="B938" s="78"/>
      <c r="C938" s="64"/>
      <c r="D938" s="70" t="str">
        <f aca="false">IF(C938="","",IFERROR(INDEX(T_NOMBRE,MATCH(C938,T_ID,0)),"⚠ ID no existe"))</f>
        <v/>
      </c>
      <c r="E938" s="69"/>
      <c r="F938" s="69"/>
      <c r="G938" s="69"/>
      <c r="H938" s="69"/>
      <c r="I938" s="66"/>
      <c r="J938" s="69"/>
      <c r="K938" s="67"/>
      <c r="L938" s="67"/>
      <c r="M938" s="67"/>
      <c r="N938" s="67"/>
      <c r="O938" s="64"/>
      <c r="P938" s="72" t="str">
        <f aca="false">IF(OR(B938="",C938=""),"",C938&amp;"|"&amp;(YEAR(B938)*100+MONTH(B938)))</f>
        <v/>
      </c>
      <c r="Q938" s="70" t="str">
        <f aca="false">IF(P938="","",IF(COUNTIF(N_CLAVE,P938)&gt;1,"⚠ Duplicado","OK"))</f>
        <v/>
      </c>
      <c r="R938" s="74" t="str">
        <f aca="false">IF(OR(P938="",U938=""),"",MAX(0,U938-N(E938)-N(F938)-N(H938)))</f>
        <v/>
      </c>
      <c r="S938" s="75" t="str">
        <f aca="false">IF(P938="","",IFERROR(INDEX(T_INGRESO,MATCH(C938,T_ID,0)),""))</f>
        <v/>
      </c>
      <c r="T938" s="75" t="str">
        <f aca="false">IF(P938="","",IFERROR(N(INDEX(T_EGRESO,MATCH(C938,T_ID,0))),0))</f>
        <v/>
      </c>
      <c r="U938" s="73" t="str">
        <f aca="false">IF(OR(P938="",NOT(ISNUMBER(S938))),"",IF(OR(S938&gt;EOMONTH(B938,0),AND(T938&gt;0,T938&lt;B938)),0,IF(AND(S938&lt;=B938,OR(T938=0,T938&gt;=EOMONTH(B938,0))),30,MIN(30,IF(T938=0,EOMONTH(B938,0),MIN(T938,EOMONTH(B938,0)))-MAX(B938,S938)+1))))</f>
        <v/>
      </c>
    </row>
    <row r="939" customFormat="false" ht="15" hidden="false" customHeight="false" outlineLevel="0" collapsed="false">
      <c r="B939" s="78"/>
      <c r="C939" s="64"/>
      <c r="D939" s="70" t="str">
        <f aca="false">IF(C939="","",IFERROR(INDEX(T_NOMBRE,MATCH(C939,T_ID,0)),"⚠ ID no existe"))</f>
        <v/>
      </c>
      <c r="E939" s="69"/>
      <c r="F939" s="69"/>
      <c r="G939" s="69"/>
      <c r="H939" s="69"/>
      <c r="I939" s="66"/>
      <c r="J939" s="69"/>
      <c r="K939" s="67"/>
      <c r="L939" s="67"/>
      <c r="M939" s="67"/>
      <c r="N939" s="67"/>
      <c r="O939" s="64"/>
      <c r="P939" s="72" t="str">
        <f aca="false">IF(OR(B939="",C939=""),"",C939&amp;"|"&amp;(YEAR(B939)*100+MONTH(B939)))</f>
        <v/>
      </c>
      <c r="Q939" s="70" t="str">
        <f aca="false">IF(P939="","",IF(COUNTIF(N_CLAVE,P939)&gt;1,"⚠ Duplicado","OK"))</f>
        <v/>
      </c>
      <c r="R939" s="74" t="str">
        <f aca="false">IF(OR(P939="",U939=""),"",MAX(0,U939-N(E939)-N(F939)-N(H939)))</f>
        <v/>
      </c>
      <c r="S939" s="75" t="str">
        <f aca="false">IF(P939="","",IFERROR(INDEX(T_INGRESO,MATCH(C939,T_ID,0)),""))</f>
        <v/>
      </c>
      <c r="T939" s="75" t="str">
        <f aca="false">IF(P939="","",IFERROR(N(INDEX(T_EGRESO,MATCH(C939,T_ID,0))),0))</f>
        <v/>
      </c>
      <c r="U939" s="73" t="str">
        <f aca="false">IF(OR(P939="",NOT(ISNUMBER(S939))),"",IF(OR(S939&gt;EOMONTH(B939,0),AND(T939&gt;0,T939&lt;B939)),0,IF(AND(S939&lt;=B939,OR(T939=0,T939&gt;=EOMONTH(B939,0))),30,MIN(30,IF(T939=0,EOMONTH(B939,0),MIN(T939,EOMONTH(B939,0)))-MAX(B939,S939)+1))))</f>
        <v/>
      </c>
    </row>
    <row r="940" customFormat="false" ht="15" hidden="false" customHeight="false" outlineLevel="0" collapsed="false">
      <c r="B940" s="78"/>
      <c r="C940" s="64"/>
      <c r="D940" s="70" t="str">
        <f aca="false">IF(C940="","",IFERROR(INDEX(T_NOMBRE,MATCH(C940,T_ID,0)),"⚠ ID no existe"))</f>
        <v/>
      </c>
      <c r="E940" s="69"/>
      <c r="F940" s="69"/>
      <c r="G940" s="69"/>
      <c r="H940" s="69"/>
      <c r="I940" s="66"/>
      <c r="J940" s="69"/>
      <c r="K940" s="67"/>
      <c r="L940" s="67"/>
      <c r="M940" s="67"/>
      <c r="N940" s="67"/>
      <c r="O940" s="64"/>
      <c r="P940" s="72" t="str">
        <f aca="false">IF(OR(B940="",C940=""),"",C940&amp;"|"&amp;(YEAR(B940)*100+MONTH(B940)))</f>
        <v/>
      </c>
      <c r="Q940" s="70" t="str">
        <f aca="false">IF(P940="","",IF(COUNTIF(N_CLAVE,P940)&gt;1,"⚠ Duplicado","OK"))</f>
        <v/>
      </c>
      <c r="R940" s="74" t="str">
        <f aca="false">IF(OR(P940="",U940=""),"",MAX(0,U940-N(E940)-N(F940)-N(H940)))</f>
        <v/>
      </c>
      <c r="S940" s="75" t="str">
        <f aca="false">IF(P940="","",IFERROR(INDEX(T_INGRESO,MATCH(C940,T_ID,0)),""))</f>
        <v/>
      </c>
      <c r="T940" s="75" t="str">
        <f aca="false">IF(P940="","",IFERROR(N(INDEX(T_EGRESO,MATCH(C940,T_ID,0))),0))</f>
        <v/>
      </c>
      <c r="U940" s="73" t="str">
        <f aca="false">IF(OR(P940="",NOT(ISNUMBER(S940))),"",IF(OR(S940&gt;EOMONTH(B940,0),AND(T940&gt;0,T940&lt;B940)),0,IF(AND(S940&lt;=B940,OR(T940=0,T940&gt;=EOMONTH(B940,0))),30,MIN(30,IF(T940=0,EOMONTH(B940,0),MIN(T940,EOMONTH(B940,0)))-MAX(B940,S940)+1))))</f>
        <v/>
      </c>
    </row>
    <row r="941" customFormat="false" ht="15" hidden="false" customHeight="false" outlineLevel="0" collapsed="false">
      <c r="B941" s="78"/>
      <c r="C941" s="64"/>
      <c r="D941" s="70" t="str">
        <f aca="false">IF(C941="","",IFERROR(INDEX(T_NOMBRE,MATCH(C941,T_ID,0)),"⚠ ID no existe"))</f>
        <v/>
      </c>
      <c r="E941" s="69"/>
      <c r="F941" s="69"/>
      <c r="G941" s="69"/>
      <c r="H941" s="69"/>
      <c r="I941" s="66"/>
      <c r="J941" s="69"/>
      <c r="K941" s="67"/>
      <c r="L941" s="67"/>
      <c r="M941" s="67"/>
      <c r="N941" s="67"/>
      <c r="O941" s="64"/>
      <c r="P941" s="72" t="str">
        <f aca="false">IF(OR(B941="",C941=""),"",C941&amp;"|"&amp;(YEAR(B941)*100+MONTH(B941)))</f>
        <v/>
      </c>
      <c r="Q941" s="70" t="str">
        <f aca="false">IF(P941="","",IF(COUNTIF(N_CLAVE,P941)&gt;1,"⚠ Duplicado","OK"))</f>
        <v/>
      </c>
      <c r="R941" s="74" t="str">
        <f aca="false">IF(OR(P941="",U941=""),"",MAX(0,U941-N(E941)-N(F941)-N(H941)))</f>
        <v/>
      </c>
      <c r="S941" s="75" t="str">
        <f aca="false">IF(P941="","",IFERROR(INDEX(T_INGRESO,MATCH(C941,T_ID,0)),""))</f>
        <v/>
      </c>
      <c r="T941" s="75" t="str">
        <f aca="false">IF(P941="","",IFERROR(N(INDEX(T_EGRESO,MATCH(C941,T_ID,0))),0))</f>
        <v/>
      </c>
      <c r="U941" s="73" t="str">
        <f aca="false">IF(OR(P941="",NOT(ISNUMBER(S941))),"",IF(OR(S941&gt;EOMONTH(B941,0),AND(T941&gt;0,T941&lt;B941)),0,IF(AND(S941&lt;=B941,OR(T941=0,T941&gt;=EOMONTH(B941,0))),30,MIN(30,IF(T941=0,EOMONTH(B941,0),MIN(T941,EOMONTH(B941,0)))-MAX(B941,S941)+1))))</f>
        <v/>
      </c>
    </row>
    <row r="942" customFormat="false" ht="15" hidden="false" customHeight="false" outlineLevel="0" collapsed="false">
      <c r="B942" s="78"/>
      <c r="C942" s="64"/>
      <c r="D942" s="70" t="str">
        <f aca="false">IF(C942="","",IFERROR(INDEX(T_NOMBRE,MATCH(C942,T_ID,0)),"⚠ ID no existe"))</f>
        <v/>
      </c>
      <c r="E942" s="69"/>
      <c r="F942" s="69"/>
      <c r="G942" s="69"/>
      <c r="H942" s="69"/>
      <c r="I942" s="66"/>
      <c r="J942" s="69"/>
      <c r="K942" s="67"/>
      <c r="L942" s="67"/>
      <c r="M942" s="67"/>
      <c r="N942" s="67"/>
      <c r="O942" s="64"/>
      <c r="P942" s="72" t="str">
        <f aca="false">IF(OR(B942="",C942=""),"",C942&amp;"|"&amp;(YEAR(B942)*100+MONTH(B942)))</f>
        <v/>
      </c>
      <c r="Q942" s="70" t="str">
        <f aca="false">IF(P942="","",IF(COUNTIF(N_CLAVE,P942)&gt;1,"⚠ Duplicado","OK"))</f>
        <v/>
      </c>
      <c r="R942" s="74" t="str">
        <f aca="false">IF(OR(P942="",U942=""),"",MAX(0,U942-N(E942)-N(F942)-N(H942)))</f>
        <v/>
      </c>
      <c r="S942" s="75" t="str">
        <f aca="false">IF(P942="","",IFERROR(INDEX(T_INGRESO,MATCH(C942,T_ID,0)),""))</f>
        <v/>
      </c>
      <c r="T942" s="75" t="str">
        <f aca="false">IF(P942="","",IFERROR(N(INDEX(T_EGRESO,MATCH(C942,T_ID,0))),0))</f>
        <v/>
      </c>
      <c r="U942" s="73" t="str">
        <f aca="false">IF(OR(P942="",NOT(ISNUMBER(S942))),"",IF(OR(S942&gt;EOMONTH(B942,0),AND(T942&gt;0,T942&lt;B942)),0,IF(AND(S942&lt;=B942,OR(T942=0,T942&gt;=EOMONTH(B942,0))),30,MIN(30,IF(T942=0,EOMONTH(B942,0),MIN(T942,EOMONTH(B942,0)))-MAX(B942,S942)+1))))</f>
        <v/>
      </c>
    </row>
    <row r="943" customFormat="false" ht="15" hidden="false" customHeight="false" outlineLevel="0" collapsed="false">
      <c r="B943" s="78"/>
      <c r="C943" s="64"/>
      <c r="D943" s="70" t="str">
        <f aca="false">IF(C943="","",IFERROR(INDEX(T_NOMBRE,MATCH(C943,T_ID,0)),"⚠ ID no existe"))</f>
        <v/>
      </c>
      <c r="E943" s="69"/>
      <c r="F943" s="69"/>
      <c r="G943" s="69"/>
      <c r="H943" s="69"/>
      <c r="I943" s="66"/>
      <c r="J943" s="69"/>
      <c r="K943" s="67"/>
      <c r="L943" s="67"/>
      <c r="M943" s="67"/>
      <c r="N943" s="67"/>
      <c r="O943" s="64"/>
      <c r="P943" s="72" t="str">
        <f aca="false">IF(OR(B943="",C943=""),"",C943&amp;"|"&amp;(YEAR(B943)*100+MONTH(B943)))</f>
        <v/>
      </c>
      <c r="Q943" s="70" t="str">
        <f aca="false">IF(P943="","",IF(COUNTIF(N_CLAVE,P943)&gt;1,"⚠ Duplicado","OK"))</f>
        <v/>
      </c>
      <c r="R943" s="74" t="str">
        <f aca="false">IF(OR(P943="",U943=""),"",MAX(0,U943-N(E943)-N(F943)-N(H943)))</f>
        <v/>
      </c>
      <c r="S943" s="75" t="str">
        <f aca="false">IF(P943="","",IFERROR(INDEX(T_INGRESO,MATCH(C943,T_ID,0)),""))</f>
        <v/>
      </c>
      <c r="T943" s="75" t="str">
        <f aca="false">IF(P943="","",IFERROR(N(INDEX(T_EGRESO,MATCH(C943,T_ID,0))),0))</f>
        <v/>
      </c>
      <c r="U943" s="73" t="str">
        <f aca="false">IF(OR(P943="",NOT(ISNUMBER(S943))),"",IF(OR(S943&gt;EOMONTH(B943,0),AND(T943&gt;0,T943&lt;B943)),0,IF(AND(S943&lt;=B943,OR(T943=0,T943&gt;=EOMONTH(B943,0))),30,MIN(30,IF(T943=0,EOMONTH(B943,0),MIN(T943,EOMONTH(B943,0)))-MAX(B943,S943)+1))))</f>
        <v/>
      </c>
    </row>
    <row r="944" customFormat="false" ht="15" hidden="false" customHeight="false" outlineLevel="0" collapsed="false">
      <c r="B944" s="78"/>
      <c r="C944" s="64"/>
      <c r="D944" s="70" t="str">
        <f aca="false">IF(C944="","",IFERROR(INDEX(T_NOMBRE,MATCH(C944,T_ID,0)),"⚠ ID no existe"))</f>
        <v/>
      </c>
      <c r="E944" s="69"/>
      <c r="F944" s="69"/>
      <c r="G944" s="69"/>
      <c r="H944" s="69"/>
      <c r="I944" s="66"/>
      <c r="J944" s="69"/>
      <c r="K944" s="67"/>
      <c r="L944" s="67"/>
      <c r="M944" s="67"/>
      <c r="N944" s="67"/>
      <c r="O944" s="64"/>
      <c r="P944" s="72" t="str">
        <f aca="false">IF(OR(B944="",C944=""),"",C944&amp;"|"&amp;(YEAR(B944)*100+MONTH(B944)))</f>
        <v/>
      </c>
      <c r="Q944" s="70" t="str">
        <f aca="false">IF(P944="","",IF(COUNTIF(N_CLAVE,P944)&gt;1,"⚠ Duplicado","OK"))</f>
        <v/>
      </c>
      <c r="R944" s="74" t="str">
        <f aca="false">IF(OR(P944="",U944=""),"",MAX(0,U944-N(E944)-N(F944)-N(H944)))</f>
        <v/>
      </c>
      <c r="S944" s="75" t="str">
        <f aca="false">IF(P944="","",IFERROR(INDEX(T_INGRESO,MATCH(C944,T_ID,0)),""))</f>
        <v/>
      </c>
      <c r="T944" s="75" t="str">
        <f aca="false">IF(P944="","",IFERROR(N(INDEX(T_EGRESO,MATCH(C944,T_ID,0))),0))</f>
        <v/>
      </c>
      <c r="U944" s="73" t="str">
        <f aca="false">IF(OR(P944="",NOT(ISNUMBER(S944))),"",IF(OR(S944&gt;EOMONTH(B944,0),AND(T944&gt;0,T944&lt;B944)),0,IF(AND(S944&lt;=B944,OR(T944=0,T944&gt;=EOMONTH(B944,0))),30,MIN(30,IF(T944=0,EOMONTH(B944,0),MIN(T944,EOMONTH(B944,0)))-MAX(B944,S944)+1))))</f>
        <v/>
      </c>
    </row>
    <row r="945" customFormat="false" ht="15" hidden="false" customHeight="false" outlineLevel="0" collapsed="false">
      <c r="B945" s="78"/>
      <c r="C945" s="64"/>
      <c r="D945" s="70" t="str">
        <f aca="false">IF(C945="","",IFERROR(INDEX(T_NOMBRE,MATCH(C945,T_ID,0)),"⚠ ID no existe"))</f>
        <v/>
      </c>
      <c r="E945" s="69"/>
      <c r="F945" s="69"/>
      <c r="G945" s="69"/>
      <c r="H945" s="69"/>
      <c r="I945" s="66"/>
      <c r="J945" s="69"/>
      <c r="K945" s="67"/>
      <c r="L945" s="67"/>
      <c r="M945" s="67"/>
      <c r="N945" s="67"/>
      <c r="O945" s="64"/>
      <c r="P945" s="72" t="str">
        <f aca="false">IF(OR(B945="",C945=""),"",C945&amp;"|"&amp;(YEAR(B945)*100+MONTH(B945)))</f>
        <v/>
      </c>
      <c r="Q945" s="70" t="str">
        <f aca="false">IF(P945="","",IF(COUNTIF(N_CLAVE,P945)&gt;1,"⚠ Duplicado","OK"))</f>
        <v/>
      </c>
      <c r="R945" s="74" t="str">
        <f aca="false">IF(OR(P945="",U945=""),"",MAX(0,U945-N(E945)-N(F945)-N(H945)))</f>
        <v/>
      </c>
      <c r="S945" s="75" t="str">
        <f aca="false">IF(P945="","",IFERROR(INDEX(T_INGRESO,MATCH(C945,T_ID,0)),""))</f>
        <v/>
      </c>
      <c r="T945" s="75" t="str">
        <f aca="false">IF(P945="","",IFERROR(N(INDEX(T_EGRESO,MATCH(C945,T_ID,0))),0))</f>
        <v/>
      </c>
      <c r="U945" s="73" t="str">
        <f aca="false">IF(OR(P945="",NOT(ISNUMBER(S945))),"",IF(OR(S945&gt;EOMONTH(B945,0),AND(T945&gt;0,T945&lt;B945)),0,IF(AND(S945&lt;=B945,OR(T945=0,T945&gt;=EOMONTH(B945,0))),30,MIN(30,IF(T945=0,EOMONTH(B945,0),MIN(T945,EOMONTH(B945,0)))-MAX(B945,S945)+1))))</f>
        <v/>
      </c>
    </row>
    <row r="946" customFormat="false" ht="15" hidden="false" customHeight="false" outlineLevel="0" collapsed="false">
      <c r="B946" s="78"/>
      <c r="C946" s="64"/>
      <c r="D946" s="70" t="str">
        <f aca="false">IF(C946="","",IFERROR(INDEX(T_NOMBRE,MATCH(C946,T_ID,0)),"⚠ ID no existe"))</f>
        <v/>
      </c>
      <c r="E946" s="69"/>
      <c r="F946" s="69"/>
      <c r="G946" s="69"/>
      <c r="H946" s="69"/>
      <c r="I946" s="66"/>
      <c r="J946" s="69"/>
      <c r="K946" s="67"/>
      <c r="L946" s="67"/>
      <c r="M946" s="67"/>
      <c r="N946" s="67"/>
      <c r="O946" s="64"/>
      <c r="P946" s="72" t="str">
        <f aca="false">IF(OR(B946="",C946=""),"",C946&amp;"|"&amp;(YEAR(B946)*100+MONTH(B946)))</f>
        <v/>
      </c>
      <c r="Q946" s="70" t="str">
        <f aca="false">IF(P946="","",IF(COUNTIF(N_CLAVE,P946)&gt;1,"⚠ Duplicado","OK"))</f>
        <v/>
      </c>
      <c r="R946" s="74" t="str">
        <f aca="false">IF(OR(P946="",U946=""),"",MAX(0,U946-N(E946)-N(F946)-N(H946)))</f>
        <v/>
      </c>
      <c r="S946" s="75" t="str">
        <f aca="false">IF(P946="","",IFERROR(INDEX(T_INGRESO,MATCH(C946,T_ID,0)),""))</f>
        <v/>
      </c>
      <c r="T946" s="75" t="str">
        <f aca="false">IF(P946="","",IFERROR(N(INDEX(T_EGRESO,MATCH(C946,T_ID,0))),0))</f>
        <v/>
      </c>
      <c r="U946" s="73" t="str">
        <f aca="false">IF(OR(P946="",NOT(ISNUMBER(S946))),"",IF(OR(S946&gt;EOMONTH(B946,0),AND(T946&gt;0,T946&lt;B946)),0,IF(AND(S946&lt;=B946,OR(T946=0,T946&gt;=EOMONTH(B946,0))),30,MIN(30,IF(T946=0,EOMONTH(B946,0),MIN(T946,EOMONTH(B946,0)))-MAX(B946,S946)+1))))</f>
        <v/>
      </c>
    </row>
    <row r="947" customFormat="false" ht="15" hidden="false" customHeight="false" outlineLevel="0" collapsed="false">
      <c r="B947" s="78"/>
      <c r="C947" s="64"/>
      <c r="D947" s="70" t="str">
        <f aca="false">IF(C947="","",IFERROR(INDEX(T_NOMBRE,MATCH(C947,T_ID,0)),"⚠ ID no existe"))</f>
        <v/>
      </c>
      <c r="E947" s="69"/>
      <c r="F947" s="69"/>
      <c r="G947" s="69"/>
      <c r="H947" s="69"/>
      <c r="I947" s="66"/>
      <c r="J947" s="69"/>
      <c r="K947" s="67"/>
      <c r="L947" s="67"/>
      <c r="M947" s="67"/>
      <c r="N947" s="67"/>
      <c r="O947" s="64"/>
      <c r="P947" s="72" t="str">
        <f aca="false">IF(OR(B947="",C947=""),"",C947&amp;"|"&amp;(YEAR(B947)*100+MONTH(B947)))</f>
        <v/>
      </c>
      <c r="Q947" s="70" t="str">
        <f aca="false">IF(P947="","",IF(COUNTIF(N_CLAVE,P947)&gt;1,"⚠ Duplicado","OK"))</f>
        <v/>
      </c>
      <c r="R947" s="74" t="str">
        <f aca="false">IF(OR(P947="",U947=""),"",MAX(0,U947-N(E947)-N(F947)-N(H947)))</f>
        <v/>
      </c>
      <c r="S947" s="75" t="str">
        <f aca="false">IF(P947="","",IFERROR(INDEX(T_INGRESO,MATCH(C947,T_ID,0)),""))</f>
        <v/>
      </c>
      <c r="T947" s="75" t="str">
        <f aca="false">IF(P947="","",IFERROR(N(INDEX(T_EGRESO,MATCH(C947,T_ID,0))),0))</f>
        <v/>
      </c>
      <c r="U947" s="73" t="str">
        <f aca="false">IF(OR(P947="",NOT(ISNUMBER(S947))),"",IF(OR(S947&gt;EOMONTH(B947,0),AND(T947&gt;0,T947&lt;B947)),0,IF(AND(S947&lt;=B947,OR(T947=0,T947&gt;=EOMONTH(B947,0))),30,MIN(30,IF(T947=0,EOMONTH(B947,0),MIN(T947,EOMONTH(B947,0)))-MAX(B947,S947)+1))))</f>
        <v/>
      </c>
    </row>
    <row r="948" customFormat="false" ht="15" hidden="false" customHeight="false" outlineLevel="0" collapsed="false">
      <c r="B948" s="78"/>
      <c r="C948" s="64"/>
      <c r="D948" s="70" t="str">
        <f aca="false">IF(C948="","",IFERROR(INDEX(T_NOMBRE,MATCH(C948,T_ID,0)),"⚠ ID no existe"))</f>
        <v/>
      </c>
      <c r="E948" s="69"/>
      <c r="F948" s="69"/>
      <c r="G948" s="69"/>
      <c r="H948" s="69"/>
      <c r="I948" s="66"/>
      <c r="J948" s="69"/>
      <c r="K948" s="67"/>
      <c r="L948" s="67"/>
      <c r="M948" s="67"/>
      <c r="N948" s="67"/>
      <c r="O948" s="64"/>
      <c r="P948" s="72" t="str">
        <f aca="false">IF(OR(B948="",C948=""),"",C948&amp;"|"&amp;(YEAR(B948)*100+MONTH(B948)))</f>
        <v/>
      </c>
      <c r="Q948" s="70" t="str">
        <f aca="false">IF(P948="","",IF(COUNTIF(N_CLAVE,P948)&gt;1,"⚠ Duplicado","OK"))</f>
        <v/>
      </c>
      <c r="R948" s="74" t="str">
        <f aca="false">IF(OR(P948="",U948=""),"",MAX(0,U948-N(E948)-N(F948)-N(H948)))</f>
        <v/>
      </c>
      <c r="S948" s="75" t="str">
        <f aca="false">IF(P948="","",IFERROR(INDEX(T_INGRESO,MATCH(C948,T_ID,0)),""))</f>
        <v/>
      </c>
      <c r="T948" s="75" t="str">
        <f aca="false">IF(P948="","",IFERROR(N(INDEX(T_EGRESO,MATCH(C948,T_ID,0))),0))</f>
        <v/>
      </c>
      <c r="U948" s="73" t="str">
        <f aca="false">IF(OR(P948="",NOT(ISNUMBER(S948))),"",IF(OR(S948&gt;EOMONTH(B948,0),AND(T948&gt;0,T948&lt;B948)),0,IF(AND(S948&lt;=B948,OR(T948=0,T948&gt;=EOMONTH(B948,0))),30,MIN(30,IF(T948=0,EOMONTH(B948,0),MIN(T948,EOMONTH(B948,0)))-MAX(B948,S948)+1))))</f>
        <v/>
      </c>
    </row>
    <row r="949" customFormat="false" ht="15" hidden="false" customHeight="false" outlineLevel="0" collapsed="false">
      <c r="B949" s="78"/>
      <c r="C949" s="64"/>
      <c r="D949" s="70" t="str">
        <f aca="false">IF(C949="","",IFERROR(INDEX(T_NOMBRE,MATCH(C949,T_ID,0)),"⚠ ID no existe"))</f>
        <v/>
      </c>
      <c r="E949" s="69"/>
      <c r="F949" s="69"/>
      <c r="G949" s="69"/>
      <c r="H949" s="69"/>
      <c r="I949" s="66"/>
      <c r="J949" s="69"/>
      <c r="K949" s="67"/>
      <c r="L949" s="67"/>
      <c r="M949" s="67"/>
      <c r="N949" s="67"/>
      <c r="O949" s="64"/>
      <c r="P949" s="72" t="str">
        <f aca="false">IF(OR(B949="",C949=""),"",C949&amp;"|"&amp;(YEAR(B949)*100+MONTH(B949)))</f>
        <v/>
      </c>
      <c r="Q949" s="70" t="str">
        <f aca="false">IF(P949="","",IF(COUNTIF(N_CLAVE,P949)&gt;1,"⚠ Duplicado","OK"))</f>
        <v/>
      </c>
      <c r="R949" s="74" t="str">
        <f aca="false">IF(OR(P949="",U949=""),"",MAX(0,U949-N(E949)-N(F949)-N(H949)))</f>
        <v/>
      </c>
      <c r="S949" s="75" t="str">
        <f aca="false">IF(P949="","",IFERROR(INDEX(T_INGRESO,MATCH(C949,T_ID,0)),""))</f>
        <v/>
      </c>
      <c r="T949" s="75" t="str">
        <f aca="false">IF(P949="","",IFERROR(N(INDEX(T_EGRESO,MATCH(C949,T_ID,0))),0))</f>
        <v/>
      </c>
      <c r="U949" s="73" t="str">
        <f aca="false">IF(OR(P949="",NOT(ISNUMBER(S949))),"",IF(OR(S949&gt;EOMONTH(B949,0),AND(T949&gt;0,T949&lt;B949)),0,IF(AND(S949&lt;=B949,OR(T949=0,T949&gt;=EOMONTH(B949,0))),30,MIN(30,IF(T949=0,EOMONTH(B949,0),MIN(T949,EOMONTH(B949,0)))-MAX(B949,S949)+1))))</f>
        <v/>
      </c>
    </row>
    <row r="950" customFormat="false" ht="15" hidden="false" customHeight="false" outlineLevel="0" collapsed="false">
      <c r="B950" s="78"/>
      <c r="C950" s="64"/>
      <c r="D950" s="70" t="str">
        <f aca="false">IF(C950="","",IFERROR(INDEX(T_NOMBRE,MATCH(C950,T_ID,0)),"⚠ ID no existe"))</f>
        <v/>
      </c>
      <c r="E950" s="69"/>
      <c r="F950" s="69"/>
      <c r="G950" s="69"/>
      <c r="H950" s="69"/>
      <c r="I950" s="66"/>
      <c r="J950" s="69"/>
      <c r="K950" s="67"/>
      <c r="L950" s="67"/>
      <c r="M950" s="67"/>
      <c r="N950" s="67"/>
      <c r="O950" s="64"/>
      <c r="P950" s="72" t="str">
        <f aca="false">IF(OR(B950="",C950=""),"",C950&amp;"|"&amp;(YEAR(B950)*100+MONTH(B950)))</f>
        <v/>
      </c>
      <c r="Q950" s="70" t="str">
        <f aca="false">IF(P950="","",IF(COUNTIF(N_CLAVE,P950)&gt;1,"⚠ Duplicado","OK"))</f>
        <v/>
      </c>
      <c r="R950" s="74" t="str">
        <f aca="false">IF(OR(P950="",U950=""),"",MAX(0,U950-N(E950)-N(F950)-N(H950)))</f>
        <v/>
      </c>
      <c r="S950" s="75" t="str">
        <f aca="false">IF(P950="","",IFERROR(INDEX(T_INGRESO,MATCH(C950,T_ID,0)),""))</f>
        <v/>
      </c>
      <c r="T950" s="75" t="str">
        <f aca="false">IF(P950="","",IFERROR(N(INDEX(T_EGRESO,MATCH(C950,T_ID,0))),0))</f>
        <v/>
      </c>
      <c r="U950" s="73" t="str">
        <f aca="false">IF(OR(P950="",NOT(ISNUMBER(S950))),"",IF(OR(S950&gt;EOMONTH(B950,0),AND(T950&gt;0,T950&lt;B950)),0,IF(AND(S950&lt;=B950,OR(T950=0,T950&gt;=EOMONTH(B950,0))),30,MIN(30,IF(T950=0,EOMONTH(B950,0),MIN(T950,EOMONTH(B950,0)))-MAX(B950,S950)+1))))</f>
        <v/>
      </c>
    </row>
    <row r="951" customFormat="false" ht="15" hidden="false" customHeight="false" outlineLevel="0" collapsed="false">
      <c r="B951" s="78"/>
      <c r="C951" s="64"/>
      <c r="D951" s="70" t="str">
        <f aca="false">IF(C951="","",IFERROR(INDEX(T_NOMBRE,MATCH(C951,T_ID,0)),"⚠ ID no existe"))</f>
        <v/>
      </c>
      <c r="E951" s="69"/>
      <c r="F951" s="69"/>
      <c r="G951" s="69"/>
      <c r="H951" s="69"/>
      <c r="I951" s="66"/>
      <c r="J951" s="69"/>
      <c r="K951" s="67"/>
      <c r="L951" s="67"/>
      <c r="M951" s="67"/>
      <c r="N951" s="67"/>
      <c r="O951" s="64"/>
      <c r="P951" s="72" t="str">
        <f aca="false">IF(OR(B951="",C951=""),"",C951&amp;"|"&amp;(YEAR(B951)*100+MONTH(B951)))</f>
        <v/>
      </c>
      <c r="Q951" s="70" t="str">
        <f aca="false">IF(P951="","",IF(COUNTIF(N_CLAVE,P951)&gt;1,"⚠ Duplicado","OK"))</f>
        <v/>
      </c>
      <c r="R951" s="74" t="str">
        <f aca="false">IF(OR(P951="",U951=""),"",MAX(0,U951-N(E951)-N(F951)-N(H951)))</f>
        <v/>
      </c>
      <c r="S951" s="75" t="str">
        <f aca="false">IF(P951="","",IFERROR(INDEX(T_INGRESO,MATCH(C951,T_ID,0)),""))</f>
        <v/>
      </c>
      <c r="T951" s="75" t="str">
        <f aca="false">IF(P951="","",IFERROR(N(INDEX(T_EGRESO,MATCH(C951,T_ID,0))),0))</f>
        <v/>
      </c>
      <c r="U951" s="73" t="str">
        <f aca="false">IF(OR(P951="",NOT(ISNUMBER(S951))),"",IF(OR(S951&gt;EOMONTH(B951,0),AND(T951&gt;0,T951&lt;B951)),0,IF(AND(S951&lt;=B951,OR(T951=0,T951&gt;=EOMONTH(B951,0))),30,MIN(30,IF(T951=0,EOMONTH(B951,0),MIN(T951,EOMONTH(B951,0)))-MAX(B951,S951)+1))))</f>
        <v/>
      </c>
    </row>
    <row r="952" customFormat="false" ht="15" hidden="false" customHeight="false" outlineLevel="0" collapsed="false">
      <c r="B952" s="78"/>
      <c r="C952" s="64"/>
      <c r="D952" s="70" t="str">
        <f aca="false">IF(C952="","",IFERROR(INDEX(T_NOMBRE,MATCH(C952,T_ID,0)),"⚠ ID no existe"))</f>
        <v/>
      </c>
      <c r="E952" s="69"/>
      <c r="F952" s="69"/>
      <c r="G952" s="69"/>
      <c r="H952" s="69"/>
      <c r="I952" s="66"/>
      <c r="J952" s="69"/>
      <c r="K952" s="67"/>
      <c r="L952" s="67"/>
      <c r="M952" s="67"/>
      <c r="N952" s="67"/>
      <c r="O952" s="64"/>
      <c r="P952" s="72" t="str">
        <f aca="false">IF(OR(B952="",C952=""),"",C952&amp;"|"&amp;(YEAR(B952)*100+MONTH(B952)))</f>
        <v/>
      </c>
      <c r="Q952" s="70" t="str">
        <f aca="false">IF(P952="","",IF(COUNTIF(N_CLAVE,P952)&gt;1,"⚠ Duplicado","OK"))</f>
        <v/>
      </c>
      <c r="R952" s="74" t="str">
        <f aca="false">IF(OR(P952="",U952=""),"",MAX(0,U952-N(E952)-N(F952)-N(H952)))</f>
        <v/>
      </c>
      <c r="S952" s="75" t="str">
        <f aca="false">IF(P952="","",IFERROR(INDEX(T_INGRESO,MATCH(C952,T_ID,0)),""))</f>
        <v/>
      </c>
      <c r="T952" s="75" t="str">
        <f aca="false">IF(P952="","",IFERROR(N(INDEX(T_EGRESO,MATCH(C952,T_ID,0))),0))</f>
        <v/>
      </c>
      <c r="U952" s="73" t="str">
        <f aca="false">IF(OR(P952="",NOT(ISNUMBER(S952))),"",IF(OR(S952&gt;EOMONTH(B952,0),AND(T952&gt;0,T952&lt;B952)),0,IF(AND(S952&lt;=B952,OR(T952=0,T952&gt;=EOMONTH(B952,0))),30,MIN(30,IF(T952=0,EOMONTH(B952,0),MIN(T952,EOMONTH(B952,0)))-MAX(B952,S952)+1))))</f>
        <v/>
      </c>
    </row>
    <row r="953" customFormat="false" ht="15" hidden="false" customHeight="false" outlineLevel="0" collapsed="false">
      <c r="B953" s="78"/>
      <c r="C953" s="64"/>
      <c r="D953" s="70" t="str">
        <f aca="false">IF(C953="","",IFERROR(INDEX(T_NOMBRE,MATCH(C953,T_ID,0)),"⚠ ID no existe"))</f>
        <v/>
      </c>
      <c r="E953" s="69"/>
      <c r="F953" s="69"/>
      <c r="G953" s="69"/>
      <c r="H953" s="69"/>
      <c r="I953" s="66"/>
      <c r="J953" s="69"/>
      <c r="K953" s="67"/>
      <c r="L953" s="67"/>
      <c r="M953" s="67"/>
      <c r="N953" s="67"/>
      <c r="O953" s="64"/>
      <c r="P953" s="72" t="str">
        <f aca="false">IF(OR(B953="",C953=""),"",C953&amp;"|"&amp;(YEAR(B953)*100+MONTH(B953)))</f>
        <v/>
      </c>
      <c r="Q953" s="70" t="str">
        <f aca="false">IF(P953="","",IF(COUNTIF(N_CLAVE,P953)&gt;1,"⚠ Duplicado","OK"))</f>
        <v/>
      </c>
      <c r="R953" s="74" t="str">
        <f aca="false">IF(OR(P953="",U953=""),"",MAX(0,U953-N(E953)-N(F953)-N(H953)))</f>
        <v/>
      </c>
      <c r="S953" s="75" t="str">
        <f aca="false">IF(P953="","",IFERROR(INDEX(T_INGRESO,MATCH(C953,T_ID,0)),""))</f>
        <v/>
      </c>
      <c r="T953" s="75" t="str">
        <f aca="false">IF(P953="","",IFERROR(N(INDEX(T_EGRESO,MATCH(C953,T_ID,0))),0))</f>
        <v/>
      </c>
      <c r="U953" s="73" t="str">
        <f aca="false">IF(OR(P953="",NOT(ISNUMBER(S953))),"",IF(OR(S953&gt;EOMONTH(B953,0),AND(T953&gt;0,T953&lt;B953)),0,IF(AND(S953&lt;=B953,OR(T953=0,T953&gt;=EOMONTH(B953,0))),30,MIN(30,IF(T953=0,EOMONTH(B953,0),MIN(T953,EOMONTH(B953,0)))-MAX(B953,S953)+1))))</f>
        <v/>
      </c>
    </row>
    <row r="954" customFormat="false" ht="15" hidden="false" customHeight="false" outlineLevel="0" collapsed="false">
      <c r="B954" s="78"/>
      <c r="C954" s="64"/>
      <c r="D954" s="70" t="str">
        <f aca="false">IF(C954="","",IFERROR(INDEX(T_NOMBRE,MATCH(C954,T_ID,0)),"⚠ ID no existe"))</f>
        <v/>
      </c>
      <c r="E954" s="69"/>
      <c r="F954" s="69"/>
      <c r="G954" s="69"/>
      <c r="H954" s="69"/>
      <c r="I954" s="66"/>
      <c r="J954" s="69"/>
      <c r="K954" s="67"/>
      <c r="L954" s="67"/>
      <c r="M954" s="67"/>
      <c r="N954" s="67"/>
      <c r="O954" s="64"/>
      <c r="P954" s="72" t="str">
        <f aca="false">IF(OR(B954="",C954=""),"",C954&amp;"|"&amp;(YEAR(B954)*100+MONTH(B954)))</f>
        <v/>
      </c>
      <c r="Q954" s="70" t="str">
        <f aca="false">IF(P954="","",IF(COUNTIF(N_CLAVE,P954)&gt;1,"⚠ Duplicado","OK"))</f>
        <v/>
      </c>
      <c r="R954" s="74" t="str">
        <f aca="false">IF(OR(P954="",U954=""),"",MAX(0,U954-N(E954)-N(F954)-N(H954)))</f>
        <v/>
      </c>
      <c r="S954" s="75" t="str">
        <f aca="false">IF(P954="","",IFERROR(INDEX(T_INGRESO,MATCH(C954,T_ID,0)),""))</f>
        <v/>
      </c>
      <c r="T954" s="75" t="str">
        <f aca="false">IF(P954="","",IFERROR(N(INDEX(T_EGRESO,MATCH(C954,T_ID,0))),0))</f>
        <v/>
      </c>
      <c r="U954" s="73" t="str">
        <f aca="false">IF(OR(P954="",NOT(ISNUMBER(S954))),"",IF(OR(S954&gt;EOMONTH(B954,0),AND(T954&gt;0,T954&lt;B954)),0,IF(AND(S954&lt;=B954,OR(T954=0,T954&gt;=EOMONTH(B954,0))),30,MIN(30,IF(T954=0,EOMONTH(B954,0),MIN(T954,EOMONTH(B954,0)))-MAX(B954,S954)+1))))</f>
        <v/>
      </c>
    </row>
    <row r="955" customFormat="false" ht="15" hidden="false" customHeight="false" outlineLevel="0" collapsed="false">
      <c r="B955" s="78"/>
      <c r="C955" s="64"/>
      <c r="D955" s="70" t="str">
        <f aca="false">IF(C955="","",IFERROR(INDEX(T_NOMBRE,MATCH(C955,T_ID,0)),"⚠ ID no existe"))</f>
        <v/>
      </c>
      <c r="E955" s="69"/>
      <c r="F955" s="69"/>
      <c r="G955" s="69"/>
      <c r="H955" s="69"/>
      <c r="I955" s="66"/>
      <c r="J955" s="69"/>
      <c r="K955" s="67"/>
      <c r="L955" s="67"/>
      <c r="M955" s="67"/>
      <c r="N955" s="67"/>
      <c r="O955" s="64"/>
      <c r="P955" s="72" t="str">
        <f aca="false">IF(OR(B955="",C955=""),"",C955&amp;"|"&amp;(YEAR(B955)*100+MONTH(B955)))</f>
        <v/>
      </c>
      <c r="Q955" s="70" t="str">
        <f aca="false">IF(P955="","",IF(COUNTIF(N_CLAVE,P955)&gt;1,"⚠ Duplicado","OK"))</f>
        <v/>
      </c>
      <c r="R955" s="74" t="str">
        <f aca="false">IF(OR(P955="",U955=""),"",MAX(0,U955-N(E955)-N(F955)-N(H955)))</f>
        <v/>
      </c>
      <c r="S955" s="75" t="str">
        <f aca="false">IF(P955="","",IFERROR(INDEX(T_INGRESO,MATCH(C955,T_ID,0)),""))</f>
        <v/>
      </c>
      <c r="T955" s="75" t="str">
        <f aca="false">IF(P955="","",IFERROR(N(INDEX(T_EGRESO,MATCH(C955,T_ID,0))),0))</f>
        <v/>
      </c>
      <c r="U955" s="73" t="str">
        <f aca="false">IF(OR(P955="",NOT(ISNUMBER(S955))),"",IF(OR(S955&gt;EOMONTH(B955,0),AND(T955&gt;0,T955&lt;B955)),0,IF(AND(S955&lt;=B955,OR(T955=0,T955&gt;=EOMONTH(B955,0))),30,MIN(30,IF(T955=0,EOMONTH(B955,0),MIN(T955,EOMONTH(B955,0)))-MAX(B955,S955)+1))))</f>
        <v/>
      </c>
    </row>
    <row r="956" customFormat="false" ht="15" hidden="false" customHeight="false" outlineLevel="0" collapsed="false">
      <c r="B956" s="78"/>
      <c r="C956" s="64"/>
      <c r="D956" s="70" t="str">
        <f aca="false">IF(C956="","",IFERROR(INDEX(T_NOMBRE,MATCH(C956,T_ID,0)),"⚠ ID no existe"))</f>
        <v/>
      </c>
      <c r="E956" s="69"/>
      <c r="F956" s="69"/>
      <c r="G956" s="69"/>
      <c r="H956" s="69"/>
      <c r="I956" s="66"/>
      <c r="J956" s="69"/>
      <c r="K956" s="67"/>
      <c r="L956" s="67"/>
      <c r="M956" s="67"/>
      <c r="N956" s="67"/>
      <c r="O956" s="64"/>
      <c r="P956" s="72" t="str">
        <f aca="false">IF(OR(B956="",C956=""),"",C956&amp;"|"&amp;(YEAR(B956)*100+MONTH(B956)))</f>
        <v/>
      </c>
      <c r="Q956" s="70" t="str">
        <f aca="false">IF(P956="","",IF(COUNTIF(N_CLAVE,P956)&gt;1,"⚠ Duplicado","OK"))</f>
        <v/>
      </c>
      <c r="R956" s="74" t="str">
        <f aca="false">IF(OR(P956="",U956=""),"",MAX(0,U956-N(E956)-N(F956)-N(H956)))</f>
        <v/>
      </c>
      <c r="S956" s="75" t="str">
        <f aca="false">IF(P956="","",IFERROR(INDEX(T_INGRESO,MATCH(C956,T_ID,0)),""))</f>
        <v/>
      </c>
      <c r="T956" s="75" t="str">
        <f aca="false">IF(P956="","",IFERROR(N(INDEX(T_EGRESO,MATCH(C956,T_ID,0))),0))</f>
        <v/>
      </c>
      <c r="U956" s="73" t="str">
        <f aca="false">IF(OR(P956="",NOT(ISNUMBER(S956))),"",IF(OR(S956&gt;EOMONTH(B956,0),AND(T956&gt;0,T956&lt;B956)),0,IF(AND(S956&lt;=B956,OR(T956=0,T956&gt;=EOMONTH(B956,0))),30,MIN(30,IF(T956=0,EOMONTH(B956,0),MIN(T956,EOMONTH(B956,0)))-MAX(B956,S956)+1))))</f>
        <v/>
      </c>
    </row>
    <row r="957" customFormat="false" ht="15" hidden="false" customHeight="false" outlineLevel="0" collapsed="false">
      <c r="B957" s="78"/>
      <c r="C957" s="64"/>
      <c r="D957" s="70" t="str">
        <f aca="false">IF(C957="","",IFERROR(INDEX(T_NOMBRE,MATCH(C957,T_ID,0)),"⚠ ID no existe"))</f>
        <v/>
      </c>
      <c r="E957" s="69"/>
      <c r="F957" s="69"/>
      <c r="G957" s="69"/>
      <c r="H957" s="69"/>
      <c r="I957" s="66"/>
      <c r="J957" s="69"/>
      <c r="K957" s="67"/>
      <c r="L957" s="67"/>
      <c r="M957" s="67"/>
      <c r="N957" s="67"/>
      <c r="O957" s="64"/>
      <c r="P957" s="72" t="str">
        <f aca="false">IF(OR(B957="",C957=""),"",C957&amp;"|"&amp;(YEAR(B957)*100+MONTH(B957)))</f>
        <v/>
      </c>
      <c r="Q957" s="70" t="str">
        <f aca="false">IF(P957="","",IF(COUNTIF(N_CLAVE,P957)&gt;1,"⚠ Duplicado","OK"))</f>
        <v/>
      </c>
      <c r="R957" s="74" t="str">
        <f aca="false">IF(OR(P957="",U957=""),"",MAX(0,U957-N(E957)-N(F957)-N(H957)))</f>
        <v/>
      </c>
      <c r="S957" s="75" t="str">
        <f aca="false">IF(P957="","",IFERROR(INDEX(T_INGRESO,MATCH(C957,T_ID,0)),""))</f>
        <v/>
      </c>
      <c r="T957" s="75" t="str">
        <f aca="false">IF(P957="","",IFERROR(N(INDEX(T_EGRESO,MATCH(C957,T_ID,0))),0))</f>
        <v/>
      </c>
      <c r="U957" s="73" t="str">
        <f aca="false">IF(OR(P957="",NOT(ISNUMBER(S957))),"",IF(OR(S957&gt;EOMONTH(B957,0),AND(T957&gt;0,T957&lt;B957)),0,IF(AND(S957&lt;=B957,OR(T957=0,T957&gt;=EOMONTH(B957,0))),30,MIN(30,IF(T957=0,EOMONTH(B957,0),MIN(T957,EOMONTH(B957,0)))-MAX(B957,S957)+1))))</f>
        <v/>
      </c>
    </row>
    <row r="958" customFormat="false" ht="15" hidden="false" customHeight="false" outlineLevel="0" collapsed="false">
      <c r="B958" s="78"/>
      <c r="C958" s="64"/>
      <c r="D958" s="70" t="str">
        <f aca="false">IF(C958="","",IFERROR(INDEX(T_NOMBRE,MATCH(C958,T_ID,0)),"⚠ ID no existe"))</f>
        <v/>
      </c>
      <c r="E958" s="69"/>
      <c r="F958" s="69"/>
      <c r="G958" s="69"/>
      <c r="H958" s="69"/>
      <c r="I958" s="66"/>
      <c r="J958" s="69"/>
      <c r="K958" s="67"/>
      <c r="L958" s="67"/>
      <c r="M958" s="67"/>
      <c r="N958" s="67"/>
      <c r="O958" s="64"/>
      <c r="P958" s="72" t="str">
        <f aca="false">IF(OR(B958="",C958=""),"",C958&amp;"|"&amp;(YEAR(B958)*100+MONTH(B958)))</f>
        <v/>
      </c>
      <c r="Q958" s="70" t="str">
        <f aca="false">IF(P958="","",IF(COUNTIF(N_CLAVE,P958)&gt;1,"⚠ Duplicado","OK"))</f>
        <v/>
      </c>
      <c r="R958" s="74" t="str">
        <f aca="false">IF(OR(P958="",U958=""),"",MAX(0,U958-N(E958)-N(F958)-N(H958)))</f>
        <v/>
      </c>
      <c r="S958" s="75" t="str">
        <f aca="false">IF(P958="","",IFERROR(INDEX(T_INGRESO,MATCH(C958,T_ID,0)),""))</f>
        <v/>
      </c>
      <c r="T958" s="75" t="str">
        <f aca="false">IF(P958="","",IFERROR(N(INDEX(T_EGRESO,MATCH(C958,T_ID,0))),0))</f>
        <v/>
      </c>
      <c r="U958" s="73" t="str">
        <f aca="false">IF(OR(P958="",NOT(ISNUMBER(S958))),"",IF(OR(S958&gt;EOMONTH(B958,0),AND(T958&gt;0,T958&lt;B958)),0,IF(AND(S958&lt;=B958,OR(T958=0,T958&gt;=EOMONTH(B958,0))),30,MIN(30,IF(T958=0,EOMONTH(B958,0),MIN(T958,EOMONTH(B958,0)))-MAX(B958,S958)+1))))</f>
        <v/>
      </c>
    </row>
    <row r="959" customFormat="false" ht="15" hidden="false" customHeight="false" outlineLevel="0" collapsed="false">
      <c r="B959" s="78"/>
      <c r="C959" s="64"/>
      <c r="D959" s="70" t="str">
        <f aca="false">IF(C959="","",IFERROR(INDEX(T_NOMBRE,MATCH(C959,T_ID,0)),"⚠ ID no existe"))</f>
        <v/>
      </c>
      <c r="E959" s="69"/>
      <c r="F959" s="69"/>
      <c r="G959" s="69"/>
      <c r="H959" s="69"/>
      <c r="I959" s="66"/>
      <c r="J959" s="69"/>
      <c r="K959" s="67"/>
      <c r="L959" s="67"/>
      <c r="M959" s="67"/>
      <c r="N959" s="67"/>
      <c r="O959" s="64"/>
      <c r="P959" s="72" t="str">
        <f aca="false">IF(OR(B959="",C959=""),"",C959&amp;"|"&amp;(YEAR(B959)*100+MONTH(B959)))</f>
        <v/>
      </c>
      <c r="Q959" s="70" t="str">
        <f aca="false">IF(P959="","",IF(COUNTIF(N_CLAVE,P959)&gt;1,"⚠ Duplicado","OK"))</f>
        <v/>
      </c>
      <c r="R959" s="74" t="str">
        <f aca="false">IF(OR(P959="",U959=""),"",MAX(0,U959-N(E959)-N(F959)-N(H959)))</f>
        <v/>
      </c>
      <c r="S959" s="75" t="str">
        <f aca="false">IF(P959="","",IFERROR(INDEX(T_INGRESO,MATCH(C959,T_ID,0)),""))</f>
        <v/>
      </c>
      <c r="T959" s="75" t="str">
        <f aca="false">IF(P959="","",IFERROR(N(INDEX(T_EGRESO,MATCH(C959,T_ID,0))),0))</f>
        <v/>
      </c>
      <c r="U959" s="73" t="str">
        <f aca="false">IF(OR(P959="",NOT(ISNUMBER(S959))),"",IF(OR(S959&gt;EOMONTH(B959,0),AND(T959&gt;0,T959&lt;B959)),0,IF(AND(S959&lt;=B959,OR(T959=0,T959&gt;=EOMONTH(B959,0))),30,MIN(30,IF(T959=0,EOMONTH(B959,0),MIN(T959,EOMONTH(B959,0)))-MAX(B959,S959)+1))))</f>
        <v/>
      </c>
    </row>
    <row r="960" customFormat="false" ht="15" hidden="false" customHeight="false" outlineLevel="0" collapsed="false">
      <c r="B960" s="78"/>
      <c r="C960" s="64"/>
      <c r="D960" s="70" t="str">
        <f aca="false">IF(C960="","",IFERROR(INDEX(T_NOMBRE,MATCH(C960,T_ID,0)),"⚠ ID no existe"))</f>
        <v/>
      </c>
      <c r="E960" s="69"/>
      <c r="F960" s="69"/>
      <c r="G960" s="69"/>
      <c r="H960" s="69"/>
      <c r="I960" s="66"/>
      <c r="J960" s="69"/>
      <c r="K960" s="67"/>
      <c r="L960" s="67"/>
      <c r="M960" s="67"/>
      <c r="N960" s="67"/>
      <c r="O960" s="64"/>
      <c r="P960" s="72" t="str">
        <f aca="false">IF(OR(B960="",C960=""),"",C960&amp;"|"&amp;(YEAR(B960)*100+MONTH(B960)))</f>
        <v/>
      </c>
      <c r="Q960" s="70" t="str">
        <f aca="false">IF(P960="","",IF(COUNTIF(N_CLAVE,P960)&gt;1,"⚠ Duplicado","OK"))</f>
        <v/>
      </c>
      <c r="R960" s="74" t="str">
        <f aca="false">IF(OR(P960="",U960=""),"",MAX(0,U960-N(E960)-N(F960)-N(H960)))</f>
        <v/>
      </c>
      <c r="S960" s="75" t="str">
        <f aca="false">IF(P960="","",IFERROR(INDEX(T_INGRESO,MATCH(C960,T_ID,0)),""))</f>
        <v/>
      </c>
      <c r="T960" s="75" t="str">
        <f aca="false">IF(P960="","",IFERROR(N(INDEX(T_EGRESO,MATCH(C960,T_ID,0))),0))</f>
        <v/>
      </c>
      <c r="U960" s="73" t="str">
        <f aca="false">IF(OR(P960="",NOT(ISNUMBER(S960))),"",IF(OR(S960&gt;EOMONTH(B960,0),AND(T960&gt;0,T960&lt;B960)),0,IF(AND(S960&lt;=B960,OR(T960=0,T960&gt;=EOMONTH(B960,0))),30,MIN(30,IF(T960=0,EOMONTH(B960,0),MIN(T960,EOMONTH(B960,0)))-MAX(B960,S960)+1))))</f>
        <v/>
      </c>
    </row>
    <row r="961" customFormat="false" ht="15" hidden="false" customHeight="false" outlineLevel="0" collapsed="false">
      <c r="B961" s="78"/>
      <c r="C961" s="64"/>
      <c r="D961" s="70" t="str">
        <f aca="false">IF(C961="","",IFERROR(INDEX(T_NOMBRE,MATCH(C961,T_ID,0)),"⚠ ID no existe"))</f>
        <v/>
      </c>
      <c r="E961" s="69"/>
      <c r="F961" s="69"/>
      <c r="G961" s="69"/>
      <c r="H961" s="69"/>
      <c r="I961" s="66"/>
      <c r="J961" s="69"/>
      <c r="K961" s="67"/>
      <c r="L961" s="67"/>
      <c r="M961" s="67"/>
      <c r="N961" s="67"/>
      <c r="O961" s="64"/>
      <c r="P961" s="72" t="str">
        <f aca="false">IF(OR(B961="",C961=""),"",C961&amp;"|"&amp;(YEAR(B961)*100+MONTH(B961)))</f>
        <v/>
      </c>
      <c r="Q961" s="70" t="str">
        <f aca="false">IF(P961="","",IF(COUNTIF(N_CLAVE,P961)&gt;1,"⚠ Duplicado","OK"))</f>
        <v/>
      </c>
      <c r="R961" s="74" t="str">
        <f aca="false">IF(OR(P961="",U961=""),"",MAX(0,U961-N(E961)-N(F961)-N(H961)))</f>
        <v/>
      </c>
      <c r="S961" s="75" t="str">
        <f aca="false">IF(P961="","",IFERROR(INDEX(T_INGRESO,MATCH(C961,T_ID,0)),""))</f>
        <v/>
      </c>
      <c r="T961" s="75" t="str">
        <f aca="false">IF(P961="","",IFERROR(N(INDEX(T_EGRESO,MATCH(C961,T_ID,0))),0))</f>
        <v/>
      </c>
      <c r="U961" s="73" t="str">
        <f aca="false">IF(OR(P961="",NOT(ISNUMBER(S961))),"",IF(OR(S961&gt;EOMONTH(B961,0),AND(T961&gt;0,T961&lt;B961)),0,IF(AND(S961&lt;=B961,OR(T961=0,T961&gt;=EOMONTH(B961,0))),30,MIN(30,IF(T961=0,EOMONTH(B961,0),MIN(T961,EOMONTH(B961,0)))-MAX(B961,S961)+1))))</f>
        <v/>
      </c>
    </row>
    <row r="962" customFormat="false" ht="15" hidden="false" customHeight="false" outlineLevel="0" collapsed="false">
      <c r="B962" s="78"/>
      <c r="C962" s="64"/>
      <c r="D962" s="70" t="str">
        <f aca="false">IF(C962="","",IFERROR(INDEX(T_NOMBRE,MATCH(C962,T_ID,0)),"⚠ ID no existe"))</f>
        <v/>
      </c>
      <c r="E962" s="69"/>
      <c r="F962" s="69"/>
      <c r="G962" s="69"/>
      <c r="H962" s="69"/>
      <c r="I962" s="66"/>
      <c r="J962" s="69"/>
      <c r="K962" s="67"/>
      <c r="L962" s="67"/>
      <c r="M962" s="67"/>
      <c r="N962" s="67"/>
      <c r="O962" s="64"/>
      <c r="P962" s="72" t="str">
        <f aca="false">IF(OR(B962="",C962=""),"",C962&amp;"|"&amp;(YEAR(B962)*100+MONTH(B962)))</f>
        <v/>
      </c>
      <c r="Q962" s="70" t="str">
        <f aca="false">IF(P962="","",IF(COUNTIF(N_CLAVE,P962)&gt;1,"⚠ Duplicado","OK"))</f>
        <v/>
      </c>
      <c r="R962" s="74" t="str">
        <f aca="false">IF(OR(P962="",U962=""),"",MAX(0,U962-N(E962)-N(F962)-N(H962)))</f>
        <v/>
      </c>
      <c r="S962" s="75" t="str">
        <f aca="false">IF(P962="","",IFERROR(INDEX(T_INGRESO,MATCH(C962,T_ID,0)),""))</f>
        <v/>
      </c>
      <c r="T962" s="75" t="str">
        <f aca="false">IF(P962="","",IFERROR(N(INDEX(T_EGRESO,MATCH(C962,T_ID,0))),0))</f>
        <v/>
      </c>
      <c r="U962" s="73" t="str">
        <f aca="false">IF(OR(P962="",NOT(ISNUMBER(S962))),"",IF(OR(S962&gt;EOMONTH(B962,0),AND(T962&gt;0,T962&lt;B962)),0,IF(AND(S962&lt;=B962,OR(T962=0,T962&gt;=EOMONTH(B962,0))),30,MIN(30,IF(T962=0,EOMONTH(B962,0),MIN(T962,EOMONTH(B962,0)))-MAX(B962,S962)+1))))</f>
        <v/>
      </c>
    </row>
    <row r="963" customFormat="false" ht="15" hidden="false" customHeight="false" outlineLevel="0" collapsed="false">
      <c r="B963" s="78"/>
      <c r="C963" s="64"/>
      <c r="D963" s="70" t="str">
        <f aca="false">IF(C963="","",IFERROR(INDEX(T_NOMBRE,MATCH(C963,T_ID,0)),"⚠ ID no existe"))</f>
        <v/>
      </c>
      <c r="E963" s="69"/>
      <c r="F963" s="69"/>
      <c r="G963" s="69"/>
      <c r="H963" s="69"/>
      <c r="I963" s="66"/>
      <c r="J963" s="69"/>
      <c r="K963" s="67"/>
      <c r="L963" s="67"/>
      <c r="M963" s="67"/>
      <c r="N963" s="67"/>
      <c r="O963" s="64"/>
      <c r="P963" s="72" t="str">
        <f aca="false">IF(OR(B963="",C963=""),"",C963&amp;"|"&amp;(YEAR(B963)*100+MONTH(B963)))</f>
        <v/>
      </c>
      <c r="Q963" s="70" t="str">
        <f aca="false">IF(P963="","",IF(COUNTIF(N_CLAVE,P963)&gt;1,"⚠ Duplicado","OK"))</f>
        <v/>
      </c>
      <c r="R963" s="74" t="str">
        <f aca="false">IF(OR(P963="",U963=""),"",MAX(0,U963-N(E963)-N(F963)-N(H963)))</f>
        <v/>
      </c>
      <c r="S963" s="75" t="str">
        <f aca="false">IF(P963="","",IFERROR(INDEX(T_INGRESO,MATCH(C963,T_ID,0)),""))</f>
        <v/>
      </c>
      <c r="T963" s="75" t="str">
        <f aca="false">IF(P963="","",IFERROR(N(INDEX(T_EGRESO,MATCH(C963,T_ID,0))),0))</f>
        <v/>
      </c>
      <c r="U963" s="73" t="str">
        <f aca="false">IF(OR(P963="",NOT(ISNUMBER(S963))),"",IF(OR(S963&gt;EOMONTH(B963,0),AND(T963&gt;0,T963&lt;B963)),0,IF(AND(S963&lt;=B963,OR(T963=0,T963&gt;=EOMONTH(B963,0))),30,MIN(30,IF(T963=0,EOMONTH(B963,0),MIN(T963,EOMONTH(B963,0)))-MAX(B963,S963)+1))))</f>
        <v/>
      </c>
    </row>
    <row r="964" customFormat="false" ht="15" hidden="false" customHeight="false" outlineLevel="0" collapsed="false">
      <c r="B964" s="78"/>
      <c r="C964" s="64"/>
      <c r="D964" s="70" t="str">
        <f aca="false">IF(C964="","",IFERROR(INDEX(T_NOMBRE,MATCH(C964,T_ID,0)),"⚠ ID no existe"))</f>
        <v/>
      </c>
      <c r="E964" s="69"/>
      <c r="F964" s="69"/>
      <c r="G964" s="69"/>
      <c r="H964" s="69"/>
      <c r="I964" s="66"/>
      <c r="J964" s="69"/>
      <c r="K964" s="67"/>
      <c r="L964" s="67"/>
      <c r="M964" s="67"/>
      <c r="N964" s="67"/>
      <c r="O964" s="64"/>
      <c r="P964" s="72" t="str">
        <f aca="false">IF(OR(B964="",C964=""),"",C964&amp;"|"&amp;(YEAR(B964)*100+MONTH(B964)))</f>
        <v/>
      </c>
      <c r="Q964" s="70" t="str">
        <f aca="false">IF(P964="","",IF(COUNTIF(N_CLAVE,P964)&gt;1,"⚠ Duplicado","OK"))</f>
        <v/>
      </c>
      <c r="R964" s="74" t="str">
        <f aca="false">IF(OR(P964="",U964=""),"",MAX(0,U964-N(E964)-N(F964)-N(H964)))</f>
        <v/>
      </c>
      <c r="S964" s="75" t="str">
        <f aca="false">IF(P964="","",IFERROR(INDEX(T_INGRESO,MATCH(C964,T_ID,0)),""))</f>
        <v/>
      </c>
      <c r="T964" s="75" t="str">
        <f aca="false">IF(P964="","",IFERROR(N(INDEX(T_EGRESO,MATCH(C964,T_ID,0))),0))</f>
        <v/>
      </c>
      <c r="U964" s="73" t="str">
        <f aca="false">IF(OR(P964="",NOT(ISNUMBER(S964))),"",IF(OR(S964&gt;EOMONTH(B964,0),AND(T964&gt;0,T964&lt;B964)),0,IF(AND(S964&lt;=B964,OR(T964=0,T964&gt;=EOMONTH(B964,0))),30,MIN(30,IF(T964=0,EOMONTH(B964,0),MIN(T964,EOMONTH(B964,0)))-MAX(B964,S964)+1))))</f>
        <v/>
      </c>
    </row>
    <row r="965" customFormat="false" ht="15" hidden="false" customHeight="false" outlineLevel="0" collapsed="false">
      <c r="B965" s="78"/>
      <c r="C965" s="64"/>
      <c r="D965" s="70" t="str">
        <f aca="false">IF(C965="","",IFERROR(INDEX(T_NOMBRE,MATCH(C965,T_ID,0)),"⚠ ID no existe"))</f>
        <v/>
      </c>
      <c r="E965" s="69"/>
      <c r="F965" s="69"/>
      <c r="G965" s="69"/>
      <c r="H965" s="69"/>
      <c r="I965" s="66"/>
      <c r="J965" s="69"/>
      <c r="K965" s="67"/>
      <c r="L965" s="67"/>
      <c r="M965" s="67"/>
      <c r="N965" s="67"/>
      <c r="O965" s="64"/>
      <c r="P965" s="72" t="str">
        <f aca="false">IF(OR(B965="",C965=""),"",C965&amp;"|"&amp;(YEAR(B965)*100+MONTH(B965)))</f>
        <v/>
      </c>
      <c r="Q965" s="70" t="str">
        <f aca="false">IF(P965="","",IF(COUNTIF(N_CLAVE,P965)&gt;1,"⚠ Duplicado","OK"))</f>
        <v/>
      </c>
      <c r="R965" s="74" t="str">
        <f aca="false">IF(OR(P965="",U965=""),"",MAX(0,U965-N(E965)-N(F965)-N(H965)))</f>
        <v/>
      </c>
      <c r="S965" s="75" t="str">
        <f aca="false">IF(P965="","",IFERROR(INDEX(T_INGRESO,MATCH(C965,T_ID,0)),""))</f>
        <v/>
      </c>
      <c r="T965" s="75" t="str">
        <f aca="false">IF(P965="","",IFERROR(N(INDEX(T_EGRESO,MATCH(C965,T_ID,0))),0))</f>
        <v/>
      </c>
      <c r="U965" s="73" t="str">
        <f aca="false">IF(OR(P965="",NOT(ISNUMBER(S965))),"",IF(OR(S965&gt;EOMONTH(B965,0),AND(T965&gt;0,T965&lt;B965)),0,IF(AND(S965&lt;=B965,OR(T965=0,T965&gt;=EOMONTH(B965,0))),30,MIN(30,IF(T965=0,EOMONTH(B965,0),MIN(T965,EOMONTH(B965,0)))-MAX(B965,S965)+1))))</f>
        <v/>
      </c>
    </row>
    <row r="966" customFormat="false" ht="15" hidden="false" customHeight="false" outlineLevel="0" collapsed="false">
      <c r="B966" s="78"/>
      <c r="C966" s="64"/>
      <c r="D966" s="70" t="str">
        <f aca="false">IF(C966="","",IFERROR(INDEX(T_NOMBRE,MATCH(C966,T_ID,0)),"⚠ ID no existe"))</f>
        <v/>
      </c>
      <c r="E966" s="69"/>
      <c r="F966" s="69"/>
      <c r="G966" s="69"/>
      <c r="H966" s="69"/>
      <c r="I966" s="66"/>
      <c r="J966" s="69"/>
      <c r="K966" s="67"/>
      <c r="L966" s="67"/>
      <c r="M966" s="67"/>
      <c r="N966" s="67"/>
      <c r="O966" s="64"/>
      <c r="P966" s="72" t="str">
        <f aca="false">IF(OR(B966="",C966=""),"",C966&amp;"|"&amp;(YEAR(B966)*100+MONTH(B966)))</f>
        <v/>
      </c>
      <c r="Q966" s="70" t="str">
        <f aca="false">IF(P966="","",IF(COUNTIF(N_CLAVE,P966)&gt;1,"⚠ Duplicado","OK"))</f>
        <v/>
      </c>
      <c r="R966" s="74" t="str">
        <f aca="false">IF(OR(P966="",U966=""),"",MAX(0,U966-N(E966)-N(F966)-N(H966)))</f>
        <v/>
      </c>
      <c r="S966" s="75" t="str">
        <f aca="false">IF(P966="","",IFERROR(INDEX(T_INGRESO,MATCH(C966,T_ID,0)),""))</f>
        <v/>
      </c>
      <c r="T966" s="75" t="str">
        <f aca="false">IF(P966="","",IFERROR(N(INDEX(T_EGRESO,MATCH(C966,T_ID,0))),0))</f>
        <v/>
      </c>
      <c r="U966" s="73" t="str">
        <f aca="false">IF(OR(P966="",NOT(ISNUMBER(S966))),"",IF(OR(S966&gt;EOMONTH(B966,0),AND(T966&gt;0,T966&lt;B966)),0,IF(AND(S966&lt;=B966,OR(T966=0,T966&gt;=EOMONTH(B966,0))),30,MIN(30,IF(T966=0,EOMONTH(B966,0),MIN(T966,EOMONTH(B966,0)))-MAX(B966,S966)+1))))</f>
        <v/>
      </c>
    </row>
    <row r="967" customFormat="false" ht="15" hidden="false" customHeight="false" outlineLevel="0" collapsed="false">
      <c r="B967" s="78"/>
      <c r="C967" s="64"/>
      <c r="D967" s="70" t="str">
        <f aca="false">IF(C967="","",IFERROR(INDEX(T_NOMBRE,MATCH(C967,T_ID,0)),"⚠ ID no existe"))</f>
        <v/>
      </c>
      <c r="E967" s="69"/>
      <c r="F967" s="69"/>
      <c r="G967" s="69"/>
      <c r="H967" s="69"/>
      <c r="I967" s="66"/>
      <c r="J967" s="69"/>
      <c r="K967" s="67"/>
      <c r="L967" s="67"/>
      <c r="M967" s="67"/>
      <c r="N967" s="67"/>
      <c r="O967" s="64"/>
      <c r="P967" s="72" t="str">
        <f aca="false">IF(OR(B967="",C967=""),"",C967&amp;"|"&amp;(YEAR(B967)*100+MONTH(B967)))</f>
        <v/>
      </c>
      <c r="Q967" s="70" t="str">
        <f aca="false">IF(P967="","",IF(COUNTIF(N_CLAVE,P967)&gt;1,"⚠ Duplicado","OK"))</f>
        <v/>
      </c>
      <c r="R967" s="74" t="str">
        <f aca="false">IF(OR(P967="",U967=""),"",MAX(0,U967-N(E967)-N(F967)-N(H967)))</f>
        <v/>
      </c>
      <c r="S967" s="75" t="str">
        <f aca="false">IF(P967="","",IFERROR(INDEX(T_INGRESO,MATCH(C967,T_ID,0)),""))</f>
        <v/>
      </c>
      <c r="T967" s="75" t="str">
        <f aca="false">IF(P967="","",IFERROR(N(INDEX(T_EGRESO,MATCH(C967,T_ID,0))),0))</f>
        <v/>
      </c>
      <c r="U967" s="73" t="str">
        <f aca="false">IF(OR(P967="",NOT(ISNUMBER(S967))),"",IF(OR(S967&gt;EOMONTH(B967,0),AND(T967&gt;0,T967&lt;B967)),0,IF(AND(S967&lt;=B967,OR(T967=0,T967&gt;=EOMONTH(B967,0))),30,MIN(30,IF(T967=0,EOMONTH(B967,0),MIN(T967,EOMONTH(B967,0)))-MAX(B967,S967)+1))))</f>
        <v/>
      </c>
    </row>
    <row r="968" customFormat="false" ht="15" hidden="false" customHeight="false" outlineLevel="0" collapsed="false">
      <c r="B968" s="78"/>
      <c r="C968" s="64"/>
      <c r="D968" s="70" t="str">
        <f aca="false">IF(C968="","",IFERROR(INDEX(T_NOMBRE,MATCH(C968,T_ID,0)),"⚠ ID no existe"))</f>
        <v/>
      </c>
      <c r="E968" s="69"/>
      <c r="F968" s="69"/>
      <c r="G968" s="69"/>
      <c r="H968" s="69"/>
      <c r="I968" s="66"/>
      <c r="J968" s="69"/>
      <c r="K968" s="67"/>
      <c r="L968" s="67"/>
      <c r="M968" s="67"/>
      <c r="N968" s="67"/>
      <c r="O968" s="64"/>
      <c r="P968" s="72" t="str">
        <f aca="false">IF(OR(B968="",C968=""),"",C968&amp;"|"&amp;(YEAR(B968)*100+MONTH(B968)))</f>
        <v/>
      </c>
      <c r="Q968" s="70" t="str">
        <f aca="false">IF(P968="","",IF(COUNTIF(N_CLAVE,P968)&gt;1,"⚠ Duplicado","OK"))</f>
        <v/>
      </c>
      <c r="R968" s="74" t="str">
        <f aca="false">IF(OR(P968="",U968=""),"",MAX(0,U968-N(E968)-N(F968)-N(H968)))</f>
        <v/>
      </c>
      <c r="S968" s="75" t="str">
        <f aca="false">IF(P968="","",IFERROR(INDEX(T_INGRESO,MATCH(C968,T_ID,0)),""))</f>
        <v/>
      </c>
      <c r="T968" s="75" t="str">
        <f aca="false">IF(P968="","",IFERROR(N(INDEX(T_EGRESO,MATCH(C968,T_ID,0))),0))</f>
        <v/>
      </c>
      <c r="U968" s="73" t="str">
        <f aca="false">IF(OR(P968="",NOT(ISNUMBER(S968))),"",IF(OR(S968&gt;EOMONTH(B968,0),AND(T968&gt;0,T968&lt;B968)),0,IF(AND(S968&lt;=B968,OR(T968=0,T968&gt;=EOMONTH(B968,0))),30,MIN(30,IF(T968=0,EOMONTH(B968,0),MIN(T968,EOMONTH(B968,0)))-MAX(B968,S968)+1))))</f>
        <v/>
      </c>
    </row>
    <row r="969" customFormat="false" ht="15" hidden="false" customHeight="false" outlineLevel="0" collapsed="false">
      <c r="B969" s="78"/>
      <c r="C969" s="64"/>
      <c r="D969" s="70" t="str">
        <f aca="false">IF(C969="","",IFERROR(INDEX(T_NOMBRE,MATCH(C969,T_ID,0)),"⚠ ID no existe"))</f>
        <v/>
      </c>
      <c r="E969" s="69"/>
      <c r="F969" s="69"/>
      <c r="G969" s="69"/>
      <c r="H969" s="69"/>
      <c r="I969" s="66"/>
      <c r="J969" s="69"/>
      <c r="K969" s="67"/>
      <c r="L969" s="67"/>
      <c r="M969" s="67"/>
      <c r="N969" s="67"/>
      <c r="O969" s="64"/>
      <c r="P969" s="72" t="str">
        <f aca="false">IF(OR(B969="",C969=""),"",C969&amp;"|"&amp;(YEAR(B969)*100+MONTH(B969)))</f>
        <v/>
      </c>
      <c r="Q969" s="70" t="str">
        <f aca="false">IF(P969="","",IF(COUNTIF(N_CLAVE,P969)&gt;1,"⚠ Duplicado","OK"))</f>
        <v/>
      </c>
      <c r="R969" s="74" t="str">
        <f aca="false">IF(OR(P969="",U969=""),"",MAX(0,U969-N(E969)-N(F969)-N(H969)))</f>
        <v/>
      </c>
      <c r="S969" s="75" t="str">
        <f aca="false">IF(P969="","",IFERROR(INDEX(T_INGRESO,MATCH(C969,T_ID,0)),""))</f>
        <v/>
      </c>
      <c r="T969" s="75" t="str">
        <f aca="false">IF(P969="","",IFERROR(N(INDEX(T_EGRESO,MATCH(C969,T_ID,0))),0))</f>
        <v/>
      </c>
      <c r="U969" s="73" t="str">
        <f aca="false">IF(OR(P969="",NOT(ISNUMBER(S969))),"",IF(OR(S969&gt;EOMONTH(B969,0),AND(T969&gt;0,T969&lt;B969)),0,IF(AND(S969&lt;=B969,OR(T969=0,T969&gt;=EOMONTH(B969,0))),30,MIN(30,IF(T969=0,EOMONTH(B969,0),MIN(T969,EOMONTH(B969,0)))-MAX(B969,S969)+1))))</f>
        <v/>
      </c>
    </row>
    <row r="970" customFormat="false" ht="15" hidden="false" customHeight="false" outlineLevel="0" collapsed="false">
      <c r="B970" s="78"/>
      <c r="C970" s="64"/>
      <c r="D970" s="70" t="str">
        <f aca="false">IF(C970="","",IFERROR(INDEX(T_NOMBRE,MATCH(C970,T_ID,0)),"⚠ ID no existe"))</f>
        <v/>
      </c>
      <c r="E970" s="69"/>
      <c r="F970" s="69"/>
      <c r="G970" s="69"/>
      <c r="H970" s="69"/>
      <c r="I970" s="66"/>
      <c r="J970" s="69"/>
      <c r="K970" s="67"/>
      <c r="L970" s="67"/>
      <c r="M970" s="67"/>
      <c r="N970" s="67"/>
      <c r="O970" s="64"/>
      <c r="P970" s="72" t="str">
        <f aca="false">IF(OR(B970="",C970=""),"",C970&amp;"|"&amp;(YEAR(B970)*100+MONTH(B970)))</f>
        <v/>
      </c>
      <c r="Q970" s="70" t="str">
        <f aca="false">IF(P970="","",IF(COUNTIF(N_CLAVE,P970)&gt;1,"⚠ Duplicado","OK"))</f>
        <v/>
      </c>
      <c r="R970" s="74" t="str">
        <f aca="false">IF(OR(P970="",U970=""),"",MAX(0,U970-N(E970)-N(F970)-N(H970)))</f>
        <v/>
      </c>
      <c r="S970" s="75" t="str">
        <f aca="false">IF(P970="","",IFERROR(INDEX(T_INGRESO,MATCH(C970,T_ID,0)),""))</f>
        <v/>
      </c>
      <c r="T970" s="75" t="str">
        <f aca="false">IF(P970="","",IFERROR(N(INDEX(T_EGRESO,MATCH(C970,T_ID,0))),0))</f>
        <v/>
      </c>
      <c r="U970" s="73" t="str">
        <f aca="false">IF(OR(P970="",NOT(ISNUMBER(S970))),"",IF(OR(S970&gt;EOMONTH(B970,0),AND(T970&gt;0,T970&lt;B970)),0,IF(AND(S970&lt;=B970,OR(T970=0,T970&gt;=EOMONTH(B970,0))),30,MIN(30,IF(T970=0,EOMONTH(B970,0),MIN(T970,EOMONTH(B970,0)))-MAX(B970,S970)+1))))</f>
        <v/>
      </c>
    </row>
    <row r="971" customFormat="false" ht="15" hidden="false" customHeight="false" outlineLevel="0" collapsed="false">
      <c r="B971" s="78"/>
      <c r="C971" s="64"/>
      <c r="D971" s="70" t="str">
        <f aca="false">IF(C971="","",IFERROR(INDEX(T_NOMBRE,MATCH(C971,T_ID,0)),"⚠ ID no existe"))</f>
        <v/>
      </c>
      <c r="E971" s="69"/>
      <c r="F971" s="69"/>
      <c r="G971" s="69"/>
      <c r="H971" s="69"/>
      <c r="I971" s="66"/>
      <c r="J971" s="69"/>
      <c r="K971" s="67"/>
      <c r="L971" s="67"/>
      <c r="M971" s="67"/>
      <c r="N971" s="67"/>
      <c r="O971" s="64"/>
      <c r="P971" s="72" t="str">
        <f aca="false">IF(OR(B971="",C971=""),"",C971&amp;"|"&amp;(YEAR(B971)*100+MONTH(B971)))</f>
        <v/>
      </c>
      <c r="Q971" s="70" t="str">
        <f aca="false">IF(P971="","",IF(COUNTIF(N_CLAVE,P971)&gt;1,"⚠ Duplicado","OK"))</f>
        <v/>
      </c>
      <c r="R971" s="74" t="str">
        <f aca="false">IF(OR(P971="",U971=""),"",MAX(0,U971-N(E971)-N(F971)-N(H971)))</f>
        <v/>
      </c>
      <c r="S971" s="75" t="str">
        <f aca="false">IF(P971="","",IFERROR(INDEX(T_INGRESO,MATCH(C971,T_ID,0)),""))</f>
        <v/>
      </c>
      <c r="T971" s="75" t="str">
        <f aca="false">IF(P971="","",IFERROR(N(INDEX(T_EGRESO,MATCH(C971,T_ID,0))),0))</f>
        <v/>
      </c>
      <c r="U971" s="73" t="str">
        <f aca="false">IF(OR(P971="",NOT(ISNUMBER(S971))),"",IF(OR(S971&gt;EOMONTH(B971,0),AND(T971&gt;0,T971&lt;B971)),0,IF(AND(S971&lt;=B971,OR(T971=0,T971&gt;=EOMONTH(B971,0))),30,MIN(30,IF(T971=0,EOMONTH(B971,0),MIN(T971,EOMONTH(B971,0)))-MAX(B971,S971)+1))))</f>
        <v/>
      </c>
    </row>
    <row r="972" customFormat="false" ht="15" hidden="false" customHeight="false" outlineLevel="0" collapsed="false">
      <c r="B972" s="78"/>
      <c r="C972" s="64"/>
      <c r="D972" s="70" t="str">
        <f aca="false">IF(C972="","",IFERROR(INDEX(T_NOMBRE,MATCH(C972,T_ID,0)),"⚠ ID no existe"))</f>
        <v/>
      </c>
      <c r="E972" s="69"/>
      <c r="F972" s="69"/>
      <c r="G972" s="69"/>
      <c r="H972" s="69"/>
      <c r="I972" s="66"/>
      <c r="J972" s="69"/>
      <c r="K972" s="67"/>
      <c r="L972" s="67"/>
      <c r="M972" s="67"/>
      <c r="N972" s="67"/>
      <c r="O972" s="64"/>
      <c r="P972" s="72" t="str">
        <f aca="false">IF(OR(B972="",C972=""),"",C972&amp;"|"&amp;(YEAR(B972)*100+MONTH(B972)))</f>
        <v/>
      </c>
      <c r="Q972" s="70" t="str">
        <f aca="false">IF(P972="","",IF(COUNTIF(N_CLAVE,P972)&gt;1,"⚠ Duplicado","OK"))</f>
        <v/>
      </c>
      <c r="R972" s="74" t="str">
        <f aca="false">IF(OR(P972="",U972=""),"",MAX(0,U972-N(E972)-N(F972)-N(H972)))</f>
        <v/>
      </c>
      <c r="S972" s="75" t="str">
        <f aca="false">IF(P972="","",IFERROR(INDEX(T_INGRESO,MATCH(C972,T_ID,0)),""))</f>
        <v/>
      </c>
      <c r="T972" s="75" t="str">
        <f aca="false">IF(P972="","",IFERROR(N(INDEX(T_EGRESO,MATCH(C972,T_ID,0))),0))</f>
        <v/>
      </c>
      <c r="U972" s="73" t="str">
        <f aca="false">IF(OR(P972="",NOT(ISNUMBER(S972))),"",IF(OR(S972&gt;EOMONTH(B972,0),AND(T972&gt;0,T972&lt;B972)),0,IF(AND(S972&lt;=B972,OR(T972=0,T972&gt;=EOMONTH(B972,0))),30,MIN(30,IF(T972=0,EOMONTH(B972,0),MIN(T972,EOMONTH(B972,0)))-MAX(B972,S972)+1))))</f>
        <v/>
      </c>
    </row>
    <row r="973" customFormat="false" ht="15" hidden="false" customHeight="false" outlineLevel="0" collapsed="false">
      <c r="B973" s="78"/>
      <c r="C973" s="64"/>
      <c r="D973" s="70" t="str">
        <f aca="false">IF(C973="","",IFERROR(INDEX(T_NOMBRE,MATCH(C973,T_ID,0)),"⚠ ID no existe"))</f>
        <v/>
      </c>
      <c r="E973" s="69"/>
      <c r="F973" s="69"/>
      <c r="G973" s="69"/>
      <c r="H973" s="69"/>
      <c r="I973" s="66"/>
      <c r="J973" s="69"/>
      <c r="K973" s="67"/>
      <c r="L973" s="67"/>
      <c r="M973" s="67"/>
      <c r="N973" s="67"/>
      <c r="O973" s="64"/>
      <c r="P973" s="72" t="str">
        <f aca="false">IF(OR(B973="",C973=""),"",C973&amp;"|"&amp;(YEAR(B973)*100+MONTH(B973)))</f>
        <v/>
      </c>
      <c r="Q973" s="70" t="str">
        <f aca="false">IF(P973="","",IF(COUNTIF(N_CLAVE,P973)&gt;1,"⚠ Duplicado","OK"))</f>
        <v/>
      </c>
      <c r="R973" s="74" t="str">
        <f aca="false">IF(OR(P973="",U973=""),"",MAX(0,U973-N(E973)-N(F973)-N(H973)))</f>
        <v/>
      </c>
      <c r="S973" s="75" t="str">
        <f aca="false">IF(P973="","",IFERROR(INDEX(T_INGRESO,MATCH(C973,T_ID,0)),""))</f>
        <v/>
      </c>
      <c r="T973" s="75" t="str">
        <f aca="false">IF(P973="","",IFERROR(N(INDEX(T_EGRESO,MATCH(C973,T_ID,0))),0))</f>
        <v/>
      </c>
      <c r="U973" s="73" t="str">
        <f aca="false">IF(OR(P973="",NOT(ISNUMBER(S973))),"",IF(OR(S973&gt;EOMONTH(B973,0),AND(T973&gt;0,T973&lt;B973)),0,IF(AND(S973&lt;=B973,OR(T973=0,T973&gt;=EOMONTH(B973,0))),30,MIN(30,IF(T973=0,EOMONTH(B973,0),MIN(T973,EOMONTH(B973,0)))-MAX(B973,S973)+1))))</f>
        <v/>
      </c>
    </row>
    <row r="974" customFormat="false" ht="15" hidden="false" customHeight="false" outlineLevel="0" collapsed="false">
      <c r="B974" s="78"/>
      <c r="C974" s="64"/>
      <c r="D974" s="70" t="str">
        <f aca="false">IF(C974="","",IFERROR(INDEX(T_NOMBRE,MATCH(C974,T_ID,0)),"⚠ ID no existe"))</f>
        <v/>
      </c>
      <c r="E974" s="69"/>
      <c r="F974" s="69"/>
      <c r="G974" s="69"/>
      <c r="H974" s="69"/>
      <c r="I974" s="66"/>
      <c r="J974" s="69"/>
      <c r="K974" s="67"/>
      <c r="L974" s="67"/>
      <c r="M974" s="67"/>
      <c r="N974" s="67"/>
      <c r="O974" s="64"/>
      <c r="P974" s="72" t="str">
        <f aca="false">IF(OR(B974="",C974=""),"",C974&amp;"|"&amp;(YEAR(B974)*100+MONTH(B974)))</f>
        <v/>
      </c>
      <c r="Q974" s="70" t="str">
        <f aca="false">IF(P974="","",IF(COUNTIF(N_CLAVE,P974)&gt;1,"⚠ Duplicado","OK"))</f>
        <v/>
      </c>
      <c r="R974" s="74" t="str">
        <f aca="false">IF(OR(P974="",U974=""),"",MAX(0,U974-N(E974)-N(F974)-N(H974)))</f>
        <v/>
      </c>
      <c r="S974" s="75" t="str">
        <f aca="false">IF(P974="","",IFERROR(INDEX(T_INGRESO,MATCH(C974,T_ID,0)),""))</f>
        <v/>
      </c>
      <c r="T974" s="75" t="str">
        <f aca="false">IF(P974="","",IFERROR(N(INDEX(T_EGRESO,MATCH(C974,T_ID,0))),0))</f>
        <v/>
      </c>
      <c r="U974" s="73" t="str">
        <f aca="false">IF(OR(P974="",NOT(ISNUMBER(S974))),"",IF(OR(S974&gt;EOMONTH(B974,0),AND(T974&gt;0,T974&lt;B974)),0,IF(AND(S974&lt;=B974,OR(T974=0,T974&gt;=EOMONTH(B974,0))),30,MIN(30,IF(T974=0,EOMONTH(B974,0),MIN(T974,EOMONTH(B974,0)))-MAX(B974,S974)+1))))</f>
        <v/>
      </c>
    </row>
    <row r="975" customFormat="false" ht="15" hidden="false" customHeight="false" outlineLevel="0" collapsed="false">
      <c r="B975" s="78"/>
      <c r="C975" s="64"/>
      <c r="D975" s="70" t="str">
        <f aca="false">IF(C975="","",IFERROR(INDEX(T_NOMBRE,MATCH(C975,T_ID,0)),"⚠ ID no existe"))</f>
        <v/>
      </c>
      <c r="E975" s="69"/>
      <c r="F975" s="69"/>
      <c r="G975" s="69"/>
      <c r="H975" s="69"/>
      <c r="I975" s="66"/>
      <c r="J975" s="69"/>
      <c r="K975" s="67"/>
      <c r="L975" s="67"/>
      <c r="M975" s="67"/>
      <c r="N975" s="67"/>
      <c r="O975" s="64"/>
      <c r="P975" s="72" t="str">
        <f aca="false">IF(OR(B975="",C975=""),"",C975&amp;"|"&amp;(YEAR(B975)*100+MONTH(B975)))</f>
        <v/>
      </c>
      <c r="Q975" s="70" t="str">
        <f aca="false">IF(P975="","",IF(COUNTIF(N_CLAVE,P975)&gt;1,"⚠ Duplicado","OK"))</f>
        <v/>
      </c>
      <c r="R975" s="74" t="str">
        <f aca="false">IF(OR(P975="",U975=""),"",MAX(0,U975-N(E975)-N(F975)-N(H975)))</f>
        <v/>
      </c>
      <c r="S975" s="75" t="str">
        <f aca="false">IF(P975="","",IFERROR(INDEX(T_INGRESO,MATCH(C975,T_ID,0)),""))</f>
        <v/>
      </c>
      <c r="T975" s="75" t="str">
        <f aca="false">IF(P975="","",IFERROR(N(INDEX(T_EGRESO,MATCH(C975,T_ID,0))),0))</f>
        <v/>
      </c>
      <c r="U975" s="73" t="str">
        <f aca="false">IF(OR(P975="",NOT(ISNUMBER(S975))),"",IF(OR(S975&gt;EOMONTH(B975,0),AND(T975&gt;0,T975&lt;B975)),0,IF(AND(S975&lt;=B975,OR(T975=0,T975&gt;=EOMONTH(B975,0))),30,MIN(30,IF(T975=0,EOMONTH(B975,0),MIN(T975,EOMONTH(B975,0)))-MAX(B975,S975)+1))))</f>
        <v/>
      </c>
    </row>
    <row r="976" customFormat="false" ht="15" hidden="false" customHeight="false" outlineLevel="0" collapsed="false">
      <c r="B976" s="78"/>
      <c r="C976" s="64"/>
      <c r="D976" s="70" t="str">
        <f aca="false">IF(C976="","",IFERROR(INDEX(T_NOMBRE,MATCH(C976,T_ID,0)),"⚠ ID no existe"))</f>
        <v/>
      </c>
      <c r="E976" s="69"/>
      <c r="F976" s="69"/>
      <c r="G976" s="69"/>
      <c r="H976" s="69"/>
      <c r="I976" s="66"/>
      <c r="J976" s="69"/>
      <c r="K976" s="67"/>
      <c r="L976" s="67"/>
      <c r="M976" s="67"/>
      <c r="N976" s="67"/>
      <c r="O976" s="64"/>
      <c r="P976" s="72" t="str">
        <f aca="false">IF(OR(B976="",C976=""),"",C976&amp;"|"&amp;(YEAR(B976)*100+MONTH(B976)))</f>
        <v/>
      </c>
      <c r="Q976" s="70" t="str">
        <f aca="false">IF(P976="","",IF(COUNTIF(N_CLAVE,P976)&gt;1,"⚠ Duplicado","OK"))</f>
        <v/>
      </c>
      <c r="R976" s="74" t="str">
        <f aca="false">IF(OR(P976="",U976=""),"",MAX(0,U976-N(E976)-N(F976)-N(H976)))</f>
        <v/>
      </c>
      <c r="S976" s="75" t="str">
        <f aca="false">IF(P976="","",IFERROR(INDEX(T_INGRESO,MATCH(C976,T_ID,0)),""))</f>
        <v/>
      </c>
      <c r="T976" s="75" t="str">
        <f aca="false">IF(P976="","",IFERROR(N(INDEX(T_EGRESO,MATCH(C976,T_ID,0))),0))</f>
        <v/>
      </c>
      <c r="U976" s="73" t="str">
        <f aca="false">IF(OR(P976="",NOT(ISNUMBER(S976))),"",IF(OR(S976&gt;EOMONTH(B976,0),AND(T976&gt;0,T976&lt;B976)),0,IF(AND(S976&lt;=B976,OR(T976=0,T976&gt;=EOMONTH(B976,0))),30,MIN(30,IF(T976=0,EOMONTH(B976,0),MIN(T976,EOMONTH(B976,0)))-MAX(B976,S976)+1))))</f>
        <v/>
      </c>
    </row>
    <row r="977" customFormat="false" ht="15" hidden="false" customHeight="false" outlineLevel="0" collapsed="false">
      <c r="B977" s="78"/>
      <c r="C977" s="64"/>
      <c r="D977" s="70" t="str">
        <f aca="false">IF(C977="","",IFERROR(INDEX(T_NOMBRE,MATCH(C977,T_ID,0)),"⚠ ID no existe"))</f>
        <v/>
      </c>
      <c r="E977" s="69"/>
      <c r="F977" s="69"/>
      <c r="G977" s="69"/>
      <c r="H977" s="69"/>
      <c r="I977" s="66"/>
      <c r="J977" s="69"/>
      <c r="K977" s="67"/>
      <c r="L977" s="67"/>
      <c r="M977" s="67"/>
      <c r="N977" s="67"/>
      <c r="O977" s="64"/>
      <c r="P977" s="72" t="str">
        <f aca="false">IF(OR(B977="",C977=""),"",C977&amp;"|"&amp;(YEAR(B977)*100+MONTH(B977)))</f>
        <v/>
      </c>
      <c r="Q977" s="70" t="str">
        <f aca="false">IF(P977="","",IF(COUNTIF(N_CLAVE,P977)&gt;1,"⚠ Duplicado","OK"))</f>
        <v/>
      </c>
      <c r="R977" s="74" t="str">
        <f aca="false">IF(OR(P977="",U977=""),"",MAX(0,U977-N(E977)-N(F977)-N(H977)))</f>
        <v/>
      </c>
      <c r="S977" s="75" t="str">
        <f aca="false">IF(P977="","",IFERROR(INDEX(T_INGRESO,MATCH(C977,T_ID,0)),""))</f>
        <v/>
      </c>
      <c r="T977" s="75" t="str">
        <f aca="false">IF(P977="","",IFERROR(N(INDEX(T_EGRESO,MATCH(C977,T_ID,0))),0))</f>
        <v/>
      </c>
      <c r="U977" s="73" t="str">
        <f aca="false">IF(OR(P977="",NOT(ISNUMBER(S977))),"",IF(OR(S977&gt;EOMONTH(B977,0),AND(T977&gt;0,T977&lt;B977)),0,IF(AND(S977&lt;=B977,OR(T977=0,T977&gt;=EOMONTH(B977,0))),30,MIN(30,IF(T977=0,EOMONTH(B977,0),MIN(T977,EOMONTH(B977,0)))-MAX(B977,S977)+1))))</f>
        <v/>
      </c>
    </row>
    <row r="978" customFormat="false" ht="15" hidden="false" customHeight="false" outlineLevel="0" collapsed="false">
      <c r="B978" s="78"/>
      <c r="C978" s="64"/>
      <c r="D978" s="70" t="str">
        <f aca="false">IF(C978="","",IFERROR(INDEX(T_NOMBRE,MATCH(C978,T_ID,0)),"⚠ ID no existe"))</f>
        <v/>
      </c>
      <c r="E978" s="69"/>
      <c r="F978" s="69"/>
      <c r="G978" s="69"/>
      <c r="H978" s="69"/>
      <c r="I978" s="66"/>
      <c r="J978" s="69"/>
      <c r="K978" s="67"/>
      <c r="L978" s="67"/>
      <c r="M978" s="67"/>
      <c r="N978" s="67"/>
      <c r="O978" s="64"/>
      <c r="P978" s="72" t="str">
        <f aca="false">IF(OR(B978="",C978=""),"",C978&amp;"|"&amp;(YEAR(B978)*100+MONTH(B978)))</f>
        <v/>
      </c>
      <c r="Q978" s="70" t="str">
        <f aca="false">IF(P978="","",IF(COUNTIF(N_CLAVE,P978)&gt;1,"⚠ Duplicado","OK"))</f>
        <v/>
      </c>
      <c r="R978" s="74" t="str">
        <f aca="false">IF(OR(P978="",U978=""),"",MAX(0,U978-N(E978)-N(F978)-N(H978)))</f>
        <v/>
      </c>
      <c r="S978" s="75" t="str">
        <f aca="false">IF(P978="","",IFERROR(INDEX(T_INGRESO,MATCH(C978,T_ID,0)),""))</f>
        <v/>
      </c>
      <c r="T978" s="75" t="str">
        <f aca="false">IF(P978="","",IFERROR(N(INDEX(T_EGRESO,MATCH(C978,T_ID,0))),0))</f>
        <v/>
      </c>
      <c r="U978" s="73" t="str">
        <f aca="false">IF(OR(P978="",NOT(ISNUMBER(S978))),"",IF(OR(S978&gt;EOMONTH(B978,0),AND(T978&gt;0,T978&lt;B978)),0,IF(AND(S978&lt;=B978,OR(T978=0,T978&gt;=EOMONTH(B978,0))),30,MIN(30,IF(T978=0,EOMONTH(B978,0),MIN(T978,EOMONTH(B978,0)))-MAX(B978,S978)+1))))</f>
        <v/>
      </c>
    </row>
    <row r="979" customFormat="false" ht="15" hidden="false" customHeight="false" outlineLevel="0" collapsed="false">
      <c r="B979" s="78"/>
      <c r="C979" s="64"/>
      <c r="D979" s="70" t="str">
        <f aca="false">IF(C979="","",IFERROR(INDEX(T_NOMBRE,MATCH(C979,T_ID,0)),"⚠ ID no existe"))</f>
        <v/>
      </c>
      <c r="E979" s="69"/>
      <c r="F979" s="69"/>
      <c r="G979" s="69"/>
      <c r="H979" s="69"/>
      <c r="I979" s="66"/>
      <c r="J979" s="69"/>
      <c r="K979" s="67"/>
      <c r="L979" s="67"/>
      <c r="M979" s="67"/>
      <c r="N979" s="67"/>
      <c r="O979" s="64"/>
      <c r="P979" s="72" t="str">
        <f aca="false">IF(OR(B979="",C979=""),"",C979&amp;"|"&amp;(YEAR(B979)*100+MONTH(B979)))</f>
        <v/>
      </c>
      <c r="Q979" s="70" t="str">
        <f aca="false">IF(P979="","",IF(COUNTIF(N_CLAVE,P979)&gt;1,"⚠ Duplicado","OK"))</f>
        <v/>
      </c>
      <c r="R979" s="74" t="str">
        <f aca="false">IF(OR(P979="",U979=""),"",MAX(0,U979-N(E979)-N(F979)-N(H979)))</f>
        <v/>
      </c>
      <c r="S979" s="75" t="str">
        <f aca="false">IF(P979="","",IFERROR(INDEX(T_INGRESO,MATCH(C979,T_ID,0)),""))</f>
        <v/>
      </c>
      <c r="T979" s="75" t="str">
        <f aca="false">IF(P979="","",IFERROR(N(INDEX(T_EGRESO,MATCH(C979,T_ID,0))),0))</f>
        <v/>
      </c>
      <c r="U979" s="73" t="str">
        <f aca="false">IF(OR(P979="",NOT(ISNUMBER(S979))),"",IF(OR(S979&gt;EOMONTH(B979,0),AND(T979&gt;0,T979&lt;B979)),0,IF(AND(S979&lt;=B979,OR(T979=0,T979&gt;=EOMONTH(B979,0))),30,MIN(30,IF(T979=0,EOMONTH(B979,0),MIN(T979,EOMONTH(B979,0)))-MAX(B979,S979)+1))))</f>
        <v/>
      </c>
    </row>
    <row r="980" customFormat="false" ht="15" hidden="false" customHeight="false" outlineLevel="0" collapsed="false">
      <c r="B980" s="78"/>
      <c r="C980" s="64"/>
      <c r="D980" s="70" t="str">
        <f aca="false">IF(C980="","",IFERROR(INDEX(T_NOMBRE,MATCH(C980,T_ID,0)),"⚠ ID no existe"))</f>
        <v/>
      </c>
      <c r="E980" s="69"/>
      <c r="F980" s="69"/>
      <c r="G980" s="69"/>
      <c r="H980" s="69"/>
      <c r="I980" s="66"/>
      <c r="J980" s="69"/>
      <c r="K980" s="67"/>
      <c r="L980" s="67"/>
      <c r="M980" s="67"/>
      <c r="N980" s="67"/>
      <c r="O980" s="64"/>
      <c r="P980" s="72" t="str">
        <f aca="false">IF(OR(B980="",C980=""),"",C980&amp;"|"&amp;(YEAR(B980)*100+MONTH(B980)))</f>
        <v/>
      </c>
      <c r="Q980" s="70" t="str">
        <f aca="false">IF(P980="","",IF(COUNTIF(N_CLAVE,P980)&gt;1,"⚠ Duplicado","OK"))</f>
        <v/>
      </c>
      <c r="R980" s="74" t="str">
        <f aca="false">IF(OR(P980="",U980=""),"",MAX(0,U980-N(E980)-N(F980)-N(H980)))</f>
        <v/>
      </c>
      <c r="S980" s="75" t="str">
        <f aca="false">IF(P980="","",IFERROR(INDEX(T_INGRESO,MATCH(C980,T_ID,0)),""))</f>
        <v/>
      </c>
      <c r="T980" s="75" t="str">
        <f aca="false">IF(P980="","",IFERROR(N(INDEX(T_EGRESO,MATCH(C980,T_ID,0))),0))</f>
        <v/>
      </c>
      <c r="U980" s="73" t="str">
        <f aca="false">IF(OR(P980="",NOT(ISNUMBER(S980))),"",IF(OR(S980&gt;EOMONTH(B980,0),AND(T980&gt;0,T980&lt;B980)),0,IF(AND(S980&lt;=B980,OR(T980=0,T980&gt;=EOMONTH(B980,0))),30,MIN(30,IF(T980=0,EOMONTH(B980,0),MIN(T980,EOMONTH(B980,0)))-MAX(B980,S980)+1))))</f>
        <v/>
      </c>
    </row>
    <row r="981" customFormat="false" ht="15" hidden="false" customHeight="false" outlineLevel="0" collapsed="false">
      <c r="B981" s="78"/>
      <c r="C981" s="64"/>
      <c r="D981" s="70" t="str">
        <f aca="false">IF(C981="","",IFERROR(INDEX(T_NOMBRE,MATCH(C981,T_ID,0)),"⚠ ID no existe"))</f>
        <v/>
      </c>
      <c r="E981" s="69"/>
      <c r="F981" s="69"/>
      <c r="G981" s="69"/>
      <c r="H981" s="69"/>
      <c r="I981" s="66"/>
      <c r="J981" s="69"/>
      <c r="K981" s="67"/>
      <c r="L981" s="67"/>
      <c r="M981" s="67"/>
      <c r="N981" s="67"/>
      <c r="O981" s="64"/>
      <c r="P981" s="72" t="str">
        <f aca="false">IF(OR(B981="",C981=""),"",C981&amp;"|"&amp;(YEAR(B981)*100+MONTH(B981)))</f>
        <v/>
      </c>
      <c r="Q981" s="70" t="str">
        <f aca="false">IF(P981="","",IF(COUNTIF(N_CLAVE,P981)&gt;1,"⚠ Duplicado","OK"))</f>
        <v/>
      </c>
      <c r="R981" s="74" t="str">
        <f aca="false">IF(OR(P981="",U981=""),"",MAX(0,U981-N(E981)-N(F981)-N(H981)))</f>
        <v/>
      </c>
      <c r="S981" s="75" t="str">
        <f aca="false">IF(P981="","",IFERROR(INDEX(T_INGRESO,MATCH(C981,T_ID,0)),""))</f>
        <v/>
      </c>
      <c r="T981" s="75" t="str">
        <f aca="false">IF(P981="","",IFERROR(N(INDEX(T_EGRESO,MATCH(C981,T_ID,0))),0))</f>
        <v/>
      </c>
      <c r="U981" s="73" t="str">
        <f aca="false">IF(OR(P981="",NOT(ISNUMBER(S981))),"",IF(OR(S981&gt;EOMONTH(B981,0),AND(T981&gt;0,T981&lt;B981)),0,IF(AND(S981&lt;=B981,OR(T981=0,T981&gt;=EOMONTH(B981,0))),30,MIN(30,IF(T981=0,EOMONTH(B981,0),MIN(T981,EOMONTH(B981,0)))-MAX(B981,S981)+1))))</f>
        <v/>
      </c>
    </row>
    <row r="982" customFormat="false" ht="15" hidden="false" customHeight="false" outlineLevel="0" collapsed="false">
      <c r="B982" s="78"/>
      <c r="C982" s="64"/>
      <c r="D982" s="70" t="str">
        <f aca="false">IF(C982="","",IFERROR(INDEX(T_NOMBRE,MATCH(C982,T_ID,0)),"⚠ ID no existe"))</f>
        <v/>
      </c>
      <c r="E982" s="69"/>
      <c r="F982" s="69"/>
      <c r="G982" s="69"/>
      <c r="H982" s="69"/>
      <c r="I982" s="66"/>
      <c r="J982" s="69"/>
      <c r="K982" s="67"/>
      <c r="L982" s="67"/>
      <c r="M982" s="67"/>
      <c r="N982" s="67"/>
      <c r="O982" s="64"/>
      <c r="P982" s="72" t="str">
        <f aca="false">IF(OR(B982="",C982=""),"",C982&amp;"|"&amp;(YEAR(B982)*100+MONTH(B982)))</f>
        <v/>
      </c>
      <c r="Q982" s="70" t="str">
        <f aca="false">IF(P982="","",IF(COUNTIF(N_CLAVE,P982)&gt;1,"⚠ Duplicado","OK"))</f>
        <v/>
      </c>
      <c r="R982" s="74" t="str">
        <f aca="false">IF(OR(P982="",U982=""),"",MAX(0,U982-N(E982)-N(F982)-N(H982)))</f>
        <v/>
      </c>
      <c r="S982" s="75" t="str">
        <f aca="false">IF(P982="","",IFERROR(INDEX(T_INGRESO,MATCH(C982,T_ID,0)),""))</f>
        <v/>
      </c>
      <c r="T982" s="75" t="str">
        <f aca="false">IF(P982="","",IFERROR(N(INDEX(T_EGRESO,MATCH(C982,T_ID,0))),0))</f>
        <v/>
      </c>
      <c r="U982" s="73" t="str">
        <f aca="false">IF(OR(P982="",NOT(ISNUMBER(S982))),"",IF(OR(S982&gt;EOMONTH(B982,0),AND(T982&gt;0,T982&lt;B982)),0,IF(AND(S982&lt;=B982,OR(T982=0,T982&gt;=EOMONTH(B982,0))),30,MIN(30,IF(T982=0,EOMONTH(B982,0),MIN(T982,EOMONTH(B982,0)))-MAX(B982,S982)+1))))</f>
        <v/>
      </c>
    </row>
    <row r="983" customFormat="false" ht="15" hidden="false" customHeight="false" outlineLevel="0" collapsed="false">
      <c r="B983" s="78"/>
      <c r="C983" s="64"/>
      <c r="D983" s="70" t="str">
        <f aca="false">IF(C983="","",IFERROR(INDEX(T_NOMBRE,MATCH(C983,T_ID,0)),"⚠ ID no existe"))</f>
        <v/>
      </c>
      <c r="E983" s="69"/>
      <c r="F983" s="69"/>
      <c r="G983" s="69"/>
      <c r="H983" s="69"/>
      <c r="I983" s="66"/>
      <c r="J983" s="69"/>
      <c r="K983" s="67"/>
      <c r="L983" s="67"/>
      <c r="M983" s="67"/>
      <c r="N983" s="67"/>
      <c r="O983" s="64"/>
      <c r="P983" s="72" t="str">
        <f aca="false">IF(OR(B983="",C983=""),"",C983&amp;"|"&amp;(YEAR(B983)*100+MONTH(B983)))</f>
        <v/>
      </c>
      <c r="Q983" s="70" t="str">
        <f aca="false">IF(P983="","",IF(COUNTIF(N_CLAVE,P983)&gt;1,"⚠ Duplicado","OK"))</f>
        <v/>
      </c>
      <c r="R983" s="74" t="str">
        <f aca="false">IF(OR(P983="",U983=""),"",MAX(0,U983-N(E983)-N(F983)-N(H983)))</f>
        <v/>
      </c>
      <c r="S983" s="75" t="str">
        <f aca="false">IF(P983="","",IFERROR(INDEX(T_INGRESO,MATCH(C983,T_ID,0)),""))</f>
        <v/>
      </c>
      <c r="T983" s="75" t="str">
        <f aca="false">IF(P983="","",IFERROR(N(INDEX(T_EGRESO,MATCH(C983,T_ID,0))),0))</f>
        <v/>
      </c>
      <c r="U983" s="73" t="str">
        <f aca="false">IF(OR(P983="",NOT(ISNUMBER(S983))),"",IF(OR(S983&gt;EOMONTH(B983,0),AND(T983&gt;0,T983&lt;B983)),0,IF(AND(S983&lt;=B983,OR(T983=0,T983&gt;=EOMONTH(B983,0))),30,MIN(30,IF(T983=0,EOMONTH(B983,0),MIN(T983,EOMONTH(B983,0)))-MAX(B983,S983)+1))))</f>
        <v/>
      </c>
    </row>
    <row r="984" customFormat="false" ht="15" hidden="false" customHeight="false" outlineLevel="0" collapsed="false">
      <c r="B984" s="78"/>
      <c r="C984" s="64"/>
      <c r="D984" s="70" t="str">
        <f aca="false">IF(C984="","",IFERROR(INDEX(T_NOMBRE,MATCH(C984,T_ID,0)),"⚠ ID no existe"))</f>
        <v/>
      </c>
      <c r="E984" s="69"/>
      <c r="F984" s="69"/>
      <c r="G984" s="69"/>
      <c r="H984" s="69"/>
      <c r="I984" s="66"/>
      <c r="J984" s="69"/>
      <c r="K984" s="67"/>
      <c r="L984" s="67"/>
      <c r="M984" s="67"/>
      <c r="N984" s="67"/>
      <c r="O984" s="64"/>
      <c r="P984" s="72" t="str">
        <f aca="false">IF(OR(B984="",C984=""),"",C984&amp;"|"&amp;(YEAR(B984)*100+MONTH(B984)))</f>
        <v/>
      </c>
      <c r="Q984" s="70" t="str">
        <f aca="false">IF(P984="","",IF(COUNTIF(N_CLAVE,P984)&gt;1,"⚠ Duplicado","OK"))</f>
        <v/>
      </c>
      <c r="R984" s="74" t="str">
        <f aca="false">IF(OR(P984="",U984=""),"",MAX(0,U984-N(E984)-N(F984)-N(H984)))</f>
        <v/>
      </c>
      <c r="S984" s="75" t="str">
        <f aca="false">IF(P984="","",IFERROR(INDEX(T_INGRESO,MATCH(C984,T_ID,0)),""))</f>
        <v/>
      </c>
      <c r="T984" s="75" t="str">
        <f aca="false">IF(P984="","",IFERROR(N(INDEX(T_EGRESO,MATCH(C984,T_ID,0))),0))</f>
        <v/>
      </c>
      <c r="U984" s="73" t="str">
        <f aca="false">IF(OR(P984="",NOT(ISNUMBER(S984))),"",IF(OR(S984&gt;EOMONTH(B984,0),AND(T984&gt;0,T984&lt;B984)),0,IF(AND(S984&lt;=B984,OR(T984=0,T984&gt;=EOMONTH(B984,0))),30,MIN(30,IF(T984=0,EOMONTH(B984,0),MIN(T984,EOMONTH(B984,0)))-MAX(B984,S984)+1))))</f>
        <v/>
      </c>
    </row>
    <row r="985" customFormat="false" ht="15" hidden="false" customHeight="false" outlineLevel="0" collapsed="false">
      <c r="B985" s="78"/>
      <c r="C985" s="64"/>
      <c r="D985" s="70" t="str">
        <f aca="false">IF(C985="","",IFERROR(INDEX(T_NOMBRE,MATCH(C985,T_ID,0)),"⚠ ID no existe"))</f>
        <v/>
      </c>
      <c r="E985" s="69"/>
      <c r="F985" s="69"/>
      <c r="G985" s="69"/>
      <c r="H985" s="69"/>
      <c r="I985" s="66"/>
      <c r="J985" s="69"/>
      <c r="K985" s="67"/>
      <c r="L985" s="67"/>
      <c r="M985" s="67"/>
      <c r="N985" s="67"/>
      <c r="O985" s="64"/>
      <c r="P985" s="72" t="str">
        <f aca="false">IF(OR(B985="",C985=""),"",C985&amp;"|"&amp;(YEAR(B985)*100+MONTH(B985)))</f>
        <v/>
      </c>
      <c r="Q985" s="70" t="str">
        <f aca="false">IF(P985="","",IF(COUNTIF(N_CLAVE,P985)&gt;1,"⚠ Duplicado","OK"))</f>
        <v/>
      </c>
      <c r="R985" s="74" t="str">
        <f aca="false">IF(OR(P985="",U985=""),"",MAX(0,U985-N(E985)-N(F985)-N(H985)))</f>
        <v/>
      </c>
      <c r="S985" s="75" t="str">
        <f aca="false">IF(P985="","",IFERROR(INDEX(T_INGRESO,MATCH(C985,T_ID,0)),""))</f>
        <v/>
      </c>
      <c r="T985" s="75" t="str">
        <f aca="false">IF(P985="","",IFERROR(N(INDEX(T_EGRESO,MATCH(C985,T_ID,0))),0))</f>
        <v/>
      </c>
      <c r="U985" s="73" t="str">
        <f aca="false">IF(OR(P985="",NOT(ISNUMBER(S985))),"",IF(OR(S985&gt;EOMONTH(B985,0),AND(T985&gt;0,T985&lt;B985)),0,IF(AND(S985&lt;=B985,OR(T985=0,T985&gt;=EOMONTH(B985,0))),30,MIN(30,IF(T985=0,EOMONTH(B985,0),MIN(T985,EOMONTH(B985,0)))-MAX(B985,S985)+1))))</f>
        <v/>
      </c>
    </row>
    <row r="986" customFormat="false" ht="15" hidden="false" customHeight="false" outlineLevel="0" collapsed="false">
      <c r="B986" s="78"/>
      <c r="C986" s="64"/>
      <c r="D986" s="70" t="str">
        <f aca="false">IF(C986="","",IFERROR(INDEX(T_NOMBRE,MATCH(C986,T_ID,0)),"⚠ ID no existe"))</f>
        <v/>
      </c>
      <c r="E986" s="69"/>
      <c r="F986" s="69"/>
      <c r="G986" s="69"/>
      <c r="H986" s="69"/>
      <c r="I986" s="66"/>
      <c r="J986" s="69"/>
      <c r="K986" s="67"/>
      <c r="L986" s="67"/>
      <c r="M986" s="67"/>
      <c r="N986" s="67"/>
      <c r="O986" s="64"/>
      <c r="P986" s="72" t="str">
        <f aca="false">IF(OR(B986="",C986=""),"",C986&amp;"|"&amp;(YEAR(B986)*100+MONTH(B986)))</f>
        <v/>
      </c>
      <c r="Q986" s="70" t="str">
        <f aca="false">IF(P986="","",IF(COUNTIF(N_CLAVE,P986)&gt;1,"⚠ Duplicado","OK"))</f>
        <v/>
      </c>
      <c r="R986" s="74" t="str">
        <f aca="false">IF(OR(P986="",U986=""),"",MAX(0,U986-N(E986)-N(F986)-N(H986)))</f>
        <v/>
      </c>
      <c r="S986" s="75" t="str">
        <f aca="false">IF(P986="","",IFERROR(INDEX(T_INGRESO,MATCH(C986,T_ID,0)),""))</f>
        <v/>
      </c>
      <c r="T986" s="75" t="str">
        <f aca="false">IF(P986="","",IFERROR(N(INDEX(T_EGRESO,MATCH(C986,T_ID,0))),0))</f>
        <v/>
      </c>
      <c r="U986" s="73" t="str">
        <f aca="false">IF(OR(P986="",NOT(ISNUMBER(S986))),"",IF(OR(S986&gt;EOMONTH(B986,0),AND(T986&gt;0,T986&lt;B986)),0,IF(AND(S986&lt;=B986,OR(T986=0,T986&gt;=EOMONTH(B986,0))),30,MIN(30,IF(T986=0,EOMONTH(B986,0),MIN(T986,EOMONTH(B986,0)))-MAX(B986,S986)+1))))</f>
        <v/>
      </c>
    </row>
    <row r="987" customFormat="false" ht="15" hidden="false" customHeight="false" outlineLevel="0" collapsed="false">
      <c r="B987" s="78"/>
      <c r="C987" s="64"/>
      <c r="D987" s="70" t="str">
        <f aca="false">IF(C987="","",IFERROR(INDEX(T_NOMBRE,MATCH(C987,T_ID,0)),"⚠ ID no existe"))</f>
        <v/>
      </c>
      <c r="E987" s="69"/>
      <c r="F987" s="69"/>
      <c r="G987" s="69"/>
      <c r="H987" s="69"/>
      <c r="I987" s="66"/>
      <c r="J987" s="69"/>
      <c r="K987" s="67"/>
      <c r="L987" s="67"/>
      <c r="M987" s="67"/>
      <c r="N987" s="67"/>
      <c r="O987" s="64"/>
      <c r="P987" s="72" t="str">
        <f aca="false">IF(OR(B987="",C987=""),"",C987&amp;"|"&amp;(YEAR(B987)*100+MONTH(B987)))</f>
        <v/>
      </c>
      <c r="Q987" s="70" t="str">
        <f aca="false">IF(P987="","",IF(COUNTIF(N_CLAVE,P987)&gt;1,"⚠ Duplicado","OK"))</f>
        <v/>
      </c>
      <c r="R987" s="74" t="str">
        <f aca="false">IF(OR(P987="",U987=""),"",MAX(0,U987-N(E987)-N(F987)-N(H987)))</f>
        <v/>
      </c>
      <c r="S987" s="75" t="str">
        <f aca="false">IF(P987="","",IFERROR(INDEX(T_INGRESO,MATCH(C987,T_ID,0)),""))</f>
        <v/>
      </c>
      <c r="T987" s="75" t="str">
        <f aca="false">IF(P987="","",IFERROR(N(INDEX(T_EGRESO,MATCH(C987,T_ID,0))),0))</f>
        <v/>
      </c>
      <c r="U987" s="73" t="str">
        <f aca="false">IF(OR(P987="",NOT(ISNUMBER(S987))),"",IF(OR(S987&gt;EOMONTH(B987,0),AND(T987&gt;0,T987&lt;B987)),0,IF(AND(S987&lt;=B987,OR(T987=0,T987&gt;=EOMONTH(B987,0))),30,MIN(30,IF(T987=0,EOMONTH(B987,0),MIN(T987,EOMONTH(B987,0)))-MAX(B987,S987)+1))))</f>
        <v/>
      </c>
    </row>
    <row r="988" customFormat="false" ht="15" hidden="false" customHeight="false" outlineLevel="0" collapsed="false">
      <c r="B988" s="78"/>
      <c r="C988" s="64"/>
      <c r="D988" s="70" t="str">
        <f aca="false">IF(C988="","",IFERROR(INDEX(T_NOMBRE,MATCH(C988,T_ID,0)),"⚠ ID no existe"))</f>
        <v/>
      </c>
      <c r="E988" s="69"/>
      <c r="F988" s="69"/>
      <c r="G988" s="69"/>
      <c r="H988" s="69"/>
      <c r="I988" s="66"/>
      <c r="J988" s="69"/>
      <c r="K988" s="67"/>
      <c r="L988" s="67"/>
      <c r="M988" s="67"/>
      <c r="N988" s="67"/>
      <c r="O988" s="64"/>
      <c r="P988" s="72" t="str">
        <f aca="false">IF(OR(B988="",C988=""),"",C988&amp;"|"&amp;(YEAR(B988)*100+MONTH(B988)))</f>
        <v/>
      </c>
      <c r="Q988" s="70" t="str">
        <f aca="false">IF(P988="","",IF(COUNTIF(N_CLAVE,P988)&gt;1,"⚠ Duplicado","OK"))</f>
        <v/>
      </c>
      <c r="R988" s="74" t="str">
        <f aca="false">IF(OR(P988="",U988=""),"",MAX(0,U988-N(E988)-N(F988)-N(H988)))</f>
        <v/>
      </c>
      <c r="S988" s="75" t="str">
        <f aca="false">IF(P988="","",IFERROR(INDEX(T_INGRESO,MATCH(C988,T_ID,0)),""))</f>
        <v/>
      </c>
      <c r="T988" s="75" t="str">
        <f aca="false">IF(P988="","",IFERROR(N(INDEX(T_EGRESO,MATCH(C988,T_ID,0))),0))</f>
        <v/>
      </c>
      <c r="U988" s="73" t="str">
        <f aca="false">IF(OR(P988="",NOT(ISNUMBER(S988))),"",IF(OR(S988&gt;EOMONTH(B988,0),AND(T988&gt;0,T988&lt;B988)),0,IF(AND(S988&lt;=B988,OR(T988=0,T988&gt;=EOMONTH(B988,0))),30,MIN(30,IF(T988=0,EOMONTH(B988,0),MIN(T988,EOMONTH(B988,0)))-MAX(B988,S988)+1))))</f>
        <v/>
      </c>
    </row>
    <row r="989" customFormat="false" ht="15" hidden="false" customHeight="false" outlineLevel="0" collapsed="false">
      <c r="B989" s="78"/>
      <c r="C989" s="64"/>
      <c r="D989" s="70" t="str">
        <f aca="false">IF(C989="","",IFERROR(INDEX(T_NOMBRE,MATCH(C989,T_ID,0)),"⚠ ID no existe"))</f>
        <v/>
      </c>
      <c r="E989" s="69"/>
      <c r="F989" s="69"/>
      <c r="G989" s="69"/>
      <c r="H989" s="69"/>
      <c r="I989" s="66"/>
      <c r="J989" s="69"/>
      <c r="K989" s="67"/>
      <c r="L989" s="67"/>
      <c r="M989" s="67"/>
      <c r="N989" s="67"/>
      <c r="O989" s="64"/>
      <c r="P989" s="72" t="str">
        <f aca="false">IF(OR(B989="",C989=""),"",C989&amp;"|"&amp;(YEAR(B989)*100+MONTH(B989)))</f>
        <v/>
      </c>
      <c r="Q989" s="70" t="str">
        <f aca="false">IF(P989="","",IF(COUNTIF(N_CLAVE,P989)&gt;1,"⚠ Duplicado","OK"))</f>
        <v/>
      </c>
      <c r="R989" s="74" t="str">
        <f aca="false">IF(OR(P989="",U989=""),"",MAX(0,U989-N(E989)-N(F989)-N(H989)))</f>
        <v/>
      </c>
      <c r="S989" s="75" t="str">
        <f aca="false">IF(P989="","",IFERROR(INDEX(T_INGRESO,MATCH(C989,T_ID,0)),""))</f>
        <v/>
      </c>
      <c r="T989" s="75" t="str">
        <f aca="false">IF(P989="","",IFERROR(N(INDEX(T_EGRESO,MATCH(C989,T_ID,0))),0))</f>
        <v/>
      </c>
      <c r="U989" s="73" t="str">
        <f aca="false">IF(OR(P989="",NOT(ISNUMBER(S989))),"",IF(OR(S989&gt;EOMONTH(B989,0),AND(T989&gt;0,T989&lt;B989)),0,IF(AND(S989&lt;=B989,OR(T989=0,T989&gt;=EOMONTH(B989,0))),30,MIN(30,IF(T989=0,EOMONTH(B989,0),MIN(T989,EOMONTH(B989,0)))-MAX(B989,S989)+1))))</f>
        <v/>
      </c>
    </row>
    <row r="990" customFormat="false" ht="15" hidden="false" customHeight="false" outlineLevel="0" collapsed="false">
      <c r="B990" s="78"/>
      <c r="C990" s="64"/>
      <c r="D990" s="70" t="str">
        <f aca="false">IF(C990="","",IFERROR(INDEX(T_NOMBRE,MATCH(C990,T_ID,0)),"⚠ ID no existe"))</f>
        <v/>
      </c>
      <c r="E990" s="69"/>
      <c r="F990" s="69"/>
      <c r="G990" s="69"/>
      <c r="H990" s="69"/>
      <c r="I990" s="66"/>
      <c r="J990" s="69"/>
      <c r="K990" s="67"/>
      <c r="L990" s="67"/>
      <c r="M990" s="67"/>
      <c r="N990" s="67"/>
      <c r="O990" s="64"/>
      <c r="P990" s="72" t="str">
        <f aca="false">IF(OR(B990="",C990=""),"",C990&amp;"|"&amp;(YEAR(B990)*100+MONTH(B990)))</f>
        <v/>
      </c>
      <c r="Q990" s="70" t="str">
        <f aca="false">IF(P990="","",IF(COUNTIF(N_CLAVE,P990)&gt;1,"⚠ Duplicado","OK"))</f>
        <v/>
      </c>
      <c r="R990" s="74" t="str">
        <f aca="false">IF(OR(P990="",U990=""),"",MAX(0,U990-N(E990)-N(F990)-N(H990)))</f>
        <v/>
      </c>
      <c r="S990" s="75" t="str">
        <f aca="false">IF(P990="","",IFERROR(INDEX(T_INGRESO,MATCH(C990,T_ID,0)),""))</f>
        <v/>
      </c>
      <c r="T990" s="75" t="str">
        <f aca="false">IF(P990="","",IFERROR(N(INDEX(T_EGRESO,MATCH(C990,T_ID,0))),0))</f>
        <v/>
      </c>
      <c r="U990" s="73" t="str">
        <f aca="false">IF(OR(P990="",NOT(ISNUMBER(S990))),"",IF(OR(S990&gt;EOMONTH(B990,0),AND(T990&gt;0,T990&lt;B990)),0,IF(AND(S990&lt;=B990,OR(T990=0,T990&gt;=EOMONTH(B990,0))),30,MIN(30,IF(T990=0,EOMONTH(B990,0),MIN(T990,EOMONTH(B990,0)))-MAX(B990,S990)+1))))</f>
        <v/>
      </c>
    </row>
    <row r="991" customFormat="false" ht="15" hidden="false" customHeight="false" outlineLevel="0" collapsed="false">
      <c r="B991" s="78"/>
      <c r="C991" s="64"/>
      <c r="D991" s="70" t="str">
        <f aca="false">IF(C991="","",IFERROR(INDEX(T_NOMBRE,MATCH(C991,T_ID,0)),"⚠ ID no existe"))</f>
        <v/>
      </c>
      <c r="E991" s="69"/>
      <c r="F991" s="69"/>
      <c r="G991" s="69"/>
      <c r="H991" s="69"/>
      <c r="I991" s="66"/>
      <c r="J991" s="69"/>
      <c r="K991" s="67"/>
      <c r="L991" s="67"/>
      <c r="M991" s="67"/>
      <c r="N991" s="67"/>
      <c r="O991" s="64"/>
      <c r="P991" s="72" t="str">
        <f aca="false">IF(OR(B991="",C991=""),"",C991&amp;"|"&amp;(YEAR(B991)*100+MONTH(B991)))</f>
        <v/>
      </c>
      <c r="Q991" s="70" t="str">
        <f aca="false">IF(P991="","",IF(COUNTIF(N_CLAVE,P991)&gt;1,"⚠ Duplicado","OK"))</f>
        <v/>
      </c>
      <c r="R991" s="74" t="str">
        <f aca="false">IF(OR(P991="",U991=""),"",MAX(0,U991-N(E991)-N(F991)-N(H991)))</f>
        <v/>
      </c>
      <c r="S991" s="75" t="str">
        <f aca="false">IF(P991="","",IFERROR(INDEX(T_INGRESO,MATCH(C991,T_ID,0)),""))</f>
        <v/>
      </c>
      <c r="T991" s="75" t="str">
        <f aca="false">IF(P991="","",IFERROR(N(INDEX(T_EGRESO,MATCH(C991,T_ID,0))),0))</f>
        <v/>
      </c>
      <c r="U991" s="73" t="str">
        <f aca="false">IF(OR(P991="",NOT(ISNUMBER(S991))),"",IF(OR(S991&gt;EOMONTH(B991,0),AND(T991&gt;0,T991&lt;B991)),0,IF(AND(S991&lt;=B991,OR(T991=0,T991&gt;=EOMONTH(B991,0))),30,MIN(30,IF(T991=0,EOMONTH(B991,0),MIN(T991,EOMONTH(B991,0)))-MAX(B991,S991)+1))))</f>
        <v/>
      </c>
    </row>
    <row r="992" customFormat="false" ht="15" hidden="false" customHeight="false" outlineLevel="0" collapsed="false">
      <c r="B992" s="78"/>
      <c r="C992" s="64"/>
      <c r="D992" s="70" t="str">
        <f aca="false">IF(C992="","",IFERROR(INDEX(T_NOMBRE,MATCH(C992,T_ID,0)),"⚠ ID no existe"))</f>
        <v/>
      </c>
      <c r="E992" s="69"/>
      <c r="F992" s="69"/>
      <c r="G992" s="69"/>
      <c r="H992" s="69"/>
      <c r="I992" s="66"/>
      <c r="J992" s="69"/>
      <c r="K992" s="67"/>
      <c r="L992" s="67"/>
      <c r="M992" s="67"/>
      <c r="N992" s="67"/>
      <c r="O992" s="64"/>
      <c r="P992" s="72" t="str">
        <f aca="false">IF(OR(B992="",C992=""),"",C992&amp;"|"&amp;(YEAR(B992)*100+MONTH(B992)))</f>
        <v/>
      </c>
      <c r="Q992" s="70" t="str">
        <f aca="false">IF(P992="","",IF(COUNTIF(N_CLAVE,P992)&gt;1,"⚠ Duplicado","OK"))</f>
        <v/>
      </c>
      <c r="R992" s="74" t="str">
        <f aca="false">IF(OR(P992="",U992=""),"",MAX(0,U992-N(E992)-N(F992)-N(H992)))</f>
        <v/>
      </c>
      <c r="S992" s="75" t="str">
        <f aca="false">IF(P992="","",IFERROR(INDEX(T_INGRESO,MATCH(C992,T_ID,0)),""))</f>
        <v/>
      </c>
      <c r="T992" s="75" t="str">
        <f aca="false">IF(P992="","",IFERROR(N(INDEX(T_EGRESO,MATCH(C992,T_ID,0))),0))</f>
        <v/>
      </c>
      <c r="U992" s="73" t="str">
        <f aca="false">IF(OR(P992="",NOT(ISNUMBER(S992))),"",IF(OR(S992&gt;EOMONTH(B992,0),AND(T992&gt;0,T992&lt;B992)),0,IF(AND(S992&lt;=B992,OR(T992=0,T992&gt;=EOMONTH(B992,0))),30,MIN(30,IF(T992=0,EOMONTH(B992,0),MIN(T992,EOMONTH(B992,0)))-MAX(B992,S992)+1))))</f>
        <v/>
      </c>
    </row>
    <row r="993" customFormat="false" ht="15" hidden="false" customHeight="false" outlineLevel="0" collapsed="false">
      <c r="B993" s="78"/>
      <c r="C993" s="64"/>
      <c r="D993" s="70" t="str">
        <f aca="false">IF(C993="","",IFERROR(INDEX(T_NOMBRE,MATCH(C993,T_ID,0)),"⚠ ID no existe"))</f>
        <v/>
      </c>
      <c r="E993" s="69"/>
      <c r="F993" s="69"/>
      <c r="G993" s="69"/>
      <c r="H993" s="69"/>
      <c r="I993" s="66"/>
      <c r="J993" s="69"/>
      <c r="K993" s="67"/>
      <c r="L993" s="67"/>
      <c r="M993" s="67"/>
      <c r="N993" s="67"/>
      <c r="O993" s="64"/>
      <c r="P993" s="72" t="str">
        <f aca="false">IF(OR(B993="",C993=""),"",C993&amp;"|"&amp;(YEAR(B993)*100+MONTH(B993)))</f>
        <v/>
      </c>
      <c r="Q993" s="70" t="str">
        <f aca="false">IF(P993="","",IF(COUNTIF(N_CLAVE,P993)&gt;1,"⚠ Duplicado","OK"))</f>
        <v/>
      </c>
      <c r="R993" s="74" t="str">
        <f aca="false">IF(OR(P993="",U993=""),"",MAX(0,U993-N(E993)-N(F993)-N(H993)))</f>
        <v/>
      </c>
      <c r="S993" s="75" t="str">
        <f aca="false">IF(P993="","",IFERROR(INDEX(T_INGRESO,MATCH(C993,T_ID,0)),""))</f>
        <v/>
      </c>
      <c r="T993" s="75" t="str">
        <f aca="false">IF(P993="","",IFERROR(N(INDEX(T_EGRESO,MATCH(C993,T_ID,0))),0))</f>
        <v/>
      </c>
      <c r="U993" s="73" t="str">
        <f aca="false">IF(OR(P993="",NOT(ISNUMBER(S993))),"",IF(OR(S993&gt;EOMONTH(B993,0),AND(T993&gt;0,T993&lt;B993)),0,IF(AND(S993&lt;=B993,OR(T993=0,T993&gt;=EOMONTH(B993,0))),30,MIN(30,IF(T993=0,EOMONTH(B993,0),MIN(T993,EOMONTH(B993,0)))-MAX(B993,S993)+1))))</f>
        <v/>
      </c>
    </row>
    <row r="994" customFormat="false" ht="15" hidden="false" customHeight="false" outlineLevel="0" collapsed="false">
      <c r="B994" s="78"/>
      <c r="C994" s="64"/>
      <c r="D994" s="70" t="str">
        <f aca="false">IF(C994="","",IFERROR(INDEX(T_NOMBRE,MATCH(C994,T_ID,0)),"⚠ ID no existe"))</f>
        <v/>
      </c>
      <c r="E994" s="69"/>
      <c r="F994" s="69"/>
      <c r="G994" s="69"/>
      <c r="H994" s="69"/>
      <c r="I994" s="66"/>
      <c r="J994" s="69"/>
      <c r="K994" s="67"/>
      <c r="L994" s="67"/>
      <c r="M994" s="67"/>
      <c r="N994" s="67"/>
      <c r="O994" s="64"/>
      <c r="P994" s="72" t="str">
        <f aca="false">IF(OR(B994="",C994=""),"",C994&amp;"|"&amp;(YEAR(B994)*100+MONTH(B994)))</f>
        <v/>
      </c>
      <c r="Q994" s="70" t="str">
        <f aca="false">IF(P994="","",IF(COUNTIF(N_CLAVE,P994)&gt;1,"⚠ Duplicado","OK"))</f>
        <v/>
      </c>
      <c r="R994" s="74" t="str">
        <f aca="false">IF(OR(P994="",U994=""),"",MAX(0,U994-N(E994)-N(F994)-N(H994)))</f>
        <v/>
      </c>
      <c r="S994" s="75" t="str">
        <f aca="false">IF(P994="","",IFERROR(INDEX(T_INGRESO,MATCH(C994,T_ID,0)),""))</f>
        <v/>
      </c>
      <c r="T994" s="75" t="str">
        <f aca="false">IF(P994="","",IFERROR(N(INDEX(T_EGRESO,MATCH(C994,T_ID,0))),0))</f>
        <v/>
      </c>
      <c r="U994" s="73" t="str">
        <f aca="false">IF(OR(P994="",NOT(ISNUMBER(S994))),"",IF(OR(S994&gt;EOMONTH(B994,0),AND(T994&gt;0,T994&lt;B994)),0,IF(AND(S994&lt;=B994,OR(T994=0,T994&gt;=EOMONTH(B994,0))),30,MIN(30,IF(T994=0,EOMONTH(B994,0),MIN(T994,EOMONTH(B994,0)))-MAX(B994,S994)+1))))</f>
        <v/>
      </c>
    </row>
    <row r="995" customFormat="false" ht="15" hidden="false" customHeight="false" outlineLevel="0" collapsed="false">
      <c r="B995" s="78"/>
      <c r="C995" s="64"/>
      <c r="D995" s="70" t="str">
        <f aca="false">IF(C995="","",IFERROR(INDEX(T_NOMBRE,MATCH(C995,T_ID,0)),"⚠ ID no existe"))</f>
        <v/>
      </c>
      <c r="E995" s="69"/>
      <c r="F995" s="69"/>
      <c r="G995" s="69"/>
      <c r="H995" s="69"/>
      <c r="I995" s="66"/>
      <c r="J995" s="69"/>
      <c r="K995" s="67"/>
      <c r="L995" s="67"/>
      <c r="M995" s="67"/>
      <c r="N995" s="67"/>
      <c r="O995" s="64"/>
      <c r="P995" s="72" t="str">
        <f aca="false">IF(OR(B995="",C995=""),"",C995&amp;"|"&amp;(YEAR(B995)*100+MONTH(B995)))</f>
        <v/>
      </c>
      <c r="Q995" s="70" t="str">
        <f aca="false">IF(P995="","",IF(COUNTIF(N_CLAVE,P995)&gt;1,"⚠ Duplicado","OK"))</f>
        <v/>
      </c>
      <c r="R995" s="74" t="str">
        <f aca="false">IF(OR(P995="",U995=""),"",MAX(0,U995-N(E995)-N(F995)-N(H995)))</f>
        <v/>
      </c>
      <c r="S995" s="75" t="str">
        <f aca="false">IF(P995="","",IFERROR(INDEX(T_INGRESO,MATCH(C995,T_ID,0)),""))</f>
        <v/>
      </c>
      <c r="T995" s="75" t="str">
        <f aca="false">IF(P995="","",IFERROR(N(INDEX(T_EGRESO,MATCH(C995,T_ID,0))),0))</f>
        <v/>
      </c>
      <c r="U995" s="73" t="str">
        <f aca="false">IF(OR(P995="",NOT(ISNUMBER(S995))),"",IF(OR(S995&gt;EOMONTH(B995,0),AND(T995&gt;0,T995&lt;B995)),0,IF(AND(S995&lt;=B995,OR(T995=0,T995&gt;=EOMONTH(B995,0))),30,MIN(30,IF(T995=0,EOMONTH(B995,0),MIN(T995,EOMONTH(B995,0)))-MAX(B995,S995)+1))))</f>
        <v/>
      </c>
    </row>
    <row r="996" customFormat="false" ht="15" hidden="false" customHeight="false" outlineLevel="0" collapsed="false">
      <c r="B996" s="78"/>
      <c r="C996" s="64"/>
      <c r="D996" s="70" t="str">
        <f aca="false">IF(C996="","",IFERROR(INDEX(T_NOMBRE,MATCH(C996,T_ID,0)),"⚠ ID no existe"))</f>
        <v/>
      </c>
      <c r="E996" s="69"/>
      <c r="F996" s="69"/>
      <c r="G996" s="69"/>
      <c r="H996" s="69"/>
      <c r="I996" s="66"/>
      <c r="J996" s="69"/>
      <c r="K996" s="67"/>
      <c r="L996" s="67"/>
      <c r="M996" s="67"/>
      <c r="N996" s="67"/>
      <c r="O996" s="64"/>
      <c r="P996" s="72" t="str">
        <f aca="false">IF(OR(B996="",C996=""),"",C996&amp;"|"&amp;(YEAR(B996)*100+MONTH(B996)))</f>
        <v/>
      </c>
      <c r="Q996" s="70" t="str">
        <f aca="false">IF(P996="","",IF(COUNTIF(N_CLAVE,P996)&gt;1,"⚠ Duplicado","OK"))</f>
        <v/>
      </c>
      <c r="R996" s="74" t="str">
        <f aca="false">IF(OR(P996="",U996=""),"",MAX(0,U996-N(E996)-N(F996)-N(H996)))</f>
        <v/>
      </c>
      <c r="S996" s="75" t="str">
        <f aca="false">IF(P996="","",IFERROR(INDEX(T_INGRESO,MATCH(C996,T_ID,0)),""))</f>
        <v/>
      </c>
      <c r="T996" s="75" t="str">
        <f aca="false">IF(P996="","",IFERROR(N(INDEX(T_EGRESO,MATCH(C996,T_ID,0))),0))</f>
        <v/>
      </c>
      <c r="U996" s="73" t="str">
        <f aca="false">IF(OR(P996="",NOT(ISNUMBER(S996))),"",IF(OR(S996&gt;EOMONTH(B996,0),AND(T996&gt;0,T996&lt;B996)),0,IF(AND(S996&lt;=B996,OR(T996=0,T996&gt;=EOMONTH(B996,0))),30,MIN(30,IF(T996=0,EOMONTH(B996,0),MIN(T996,EOMONTH(B996,0)))-MAX(B996,S996)+1))))</f>
        <v/>
      </c>
    </row>
    <row r="997" customFormat="false" ht="15" hidden="false" customHeight="false" outlineLevel="0" collapsed="false">
      <c r="B997" s="78"/>
      <c r="C997" s="64"/>
      <c r="D997" s="70" t="str">
        <f aca="false">IF(C997="","",IFERROR(INDEX(T_NOMBRE,MATCH(C997,T_ID,0)),"⚠ ID no existe"))</f>
        <v/>
      </c>
      <c r="E997" s="69"/>
      <c r="F997" s="69"/>
      <c r="G997" s="69"/>
      <c r="H997" s="69"/>
      <c r="I997" s="66"/>
      <c r="J997" s="69"/>
      <c r="K997" s="67"/>
      <c r="L997" s="67"/>
      <c r="M997" s="67"/>
      <c r="N997" s="67"/>
      <c r="O997" s="64"/>
      <c r="P997" s="72" t="str">
        <f aca="false">IF(OR(B997="",C997=""),"",C997&amp;"|"&amp;(YEAR(B997)*100+MONTH(B997)))</f>
        <v/>
      </c>
      <c r="Q997" s="70" t="str">
        <f aca="false">IF(P997="","",IF(COUNTIF(N_CLAVE,P997)&gt;1,"⚠ Duplicado","OK"))</f>
        <v/>
      </c>
      <c r="R997" s="74" t="str">
        <f aca="false">IF(OR(P997="",U997=""),"",MAX(0,U997-N(E997)-N(F997)-N(H997)))</f>
        <v/>
      </c>
      <c r="S997" s="75" t="str">
        <f aca="false">IF(P997="","",IFERROR(INDEX(T_INGRESO,MATCH(C997,T_ID,0)),""))</f>
        <v/>
      </c>
      <c r="T997" s="75" t="str">
        <f aca="false">IF(P997="","",IFERROR(N(INDEX(T_EGRESO,MATCH(C997,T_ID,0))),0))</f>
        <v/>
      </c>
      <c r="U997" s="73" t="str">
        <f aca="false">IF(OR(P997="",NOT(ISNUMBER(S997))),"",IF(OR(S997&gt;EOMONTH(B997,0),AND(T997&gt;0,T997&lt;B997)),0,IF(AND(S997&lt;=B997,OR(T997=0,T997&gt;=EOMONTH(B997,0))),30,MIN(30,IF(T997=0,EOMONTH(B997,0),MIN(T997,EOMONTH(B997,0)))-MAX(B997,S997)+1))))</f>
        <v/>
      </c>
    </row>
    <row r="998" customFormat="false" ht="15" hidden="false" customHeight="false" outlineLevel="0" collapsed="false">
      <c r="B998" s="78"/>
      <c r="C998" s="64"/>
      <c r="D998" s="70" t="str">
        <f aca="false">IF(C998="","",IFERROR(INDEX(T_NOMBRE,MATCH(C998,T_ID,0)),"⚠ ID no existe"))</f>
        <v/>
      </c>
      <c r="E998" s="69"/>
      <c r="F998" s="69"/>
      <c r="G998" s="69"/>
      <c r="H998" s="69"/>
      <c r="I998" s="66"/>
      <c r="J998" s="69"/>
      <c r="K998" s="67"/>
      <c r="L998" s="67"/>
      <c r="M998" s="67"/>
      <c r="N998" s="67"/>
      <c r="O998" s="64"/>
      <c r="P998" s="72" t="str">
        <f aca="false">IF(OR(B998="",C998=""),"",C998&amp;"|"&amp;(YEAR(B998)*100+MONTH(B998)))</f>
        <v/>
      </c>
      <c r="Q998" s="70" t="str">
        <f aca="false">IF(P998="","",IF(COUNTIF(N_CLAVE,P998)&gt;1,"⚠ Duplicado","OK"))</f>
        <v/>
      </c>
      <c r="R998" s="74" t="str">
        <f aca="false">IF(OR(P998="",U998=""),"",MAX(0,U998-N(E998)-N(F998)-N(H998)))</f>
        <v/>
      </c>
      <c r="S998" s="75" t="str">
        <f aca="false">IF(P998="","",IFERROR(INDEX(T_INGRESO,MATCH(C998,T_ID,0)),""))</f>
        <v/>
      </c>
      <c r="T998" s="75" t="str">
        <f aca="false">IF(P998="","",IFERROR(N(INDEX(T_EGRESO,MATCH(C998,T_ID,0))),0))</f>
        <v/>
      </c>
      <c r="U998" s="73" t="str">
        <f aca="false">IF(OR(P998="",NOT(ISNUMBER(S998))),"",IF(OR(S998&gt;EOMONTH(B998,0),AND(T998&gt;0,T998&lt;B998)),0,IF(AND(S998&lt;=B998,OR(T998=0,T998&gt;=EOMONTH(B998,0))),30,MIN(30,IF(T998=0,EOMONTH(B998,0),MIN(T998,EOMONTH(B998,0)))-MAX(B998,S998)+1))))</f>
        <v/>
      </c>
    </row>
    <row r="999" customFormat="false" ht="15" hidden="false" customHeight="false" outlineLevel="0" collapsed="false">
      <c r="B999" s="78"/>
      <c r="C999" s="64"/>
      <c r="D999" s="70" t="str">
        <f aca="false">IF(C999="","",IFERROR(INDEX(T_NOMBRE,MATCH(C999,T_ID,0)),"⚠ ID no existe"))</f>
        <v/>
      </c>
      <c r="E999" s="69"/>
      <c r="F999" s="69"/>
      <c r="G999" s="69"/>
      <c r="H999" s="69"/>
      <c r="I999" s="66"/>
      <c r="J999" s="69"/>
      <c r="K999" s="67"/>
      <c r="L999" s="67"/>
      <c r="M999" s="67"/>
      <c r="N999" s="67"/>
      <c r="O999" s="64"/>
      <c r="P999" s="72" t="str">
        <f aca="false">IF(OR(B999="",C999=""),"",C999&amp;"|"&amp;(YEAR(B999)*100+MONTH(B999)))</f>
        <v/>
      </c>
      <c r="Q999" s="70" t="str">
        <f aca="false">IF(P999="","",IF(COUNTIF(N_CLAVE,P999)&gt;1,"⚠ Duplicado","OK"))</f>
        <v/>
      </c>
      <c r="R999" s="74" t="str">
        <f aca="false">IF(OR(P999="",U999=""),"",MAX(0,U999-N(E999)-N(F999)-N(H999)))</f>
        <v/>
      </c>
      <c r="S999" s="75" t="str">
        <f aca="false">IF(P999="","",IFERROR(INDEX(T_INGRESO,MATCH(C999,T_ID,0)),""))</f>
        <v/>
      </c>
      <c r="T999" s="75" t="str">
        <f aca="false">IF(P999="","",IFERROR(N(INDEX(T_EGRESO,MATCH(C999,T_ID,0))),0))</f>
        <v/>
      </c>
      <c r="U999" s="73" t="str">
        <f aca="false">IF(OR(P999="",NOT(ISNUMBER(S999))),"",IF(OR(S999&gt;EOMONTH(B999,0),AND(T999&gt;0,T999&lt;B999)),0,IF(AND(S999&lt;=B999,OR(T999=0,T999&gt;=EOMONTH(B999,0))),30,MIN(30,IF(T999=0,EOMONTH(B999,0),MIN(T999,EOMONTH(B999,0)))-MAX(B999,S999)+1))))</f>
        <v/>
      </c>
    </row>
    <row r="1000" customFormat="false" ht="15" hidden="false" customHeight="false" outlineLevel="0" collapsed="false">
      <c r="B1000" s="78"/>
      <c r="C1000" s="64"/>
      <c r="D1000" s="70" t="str">
        <f aca="false">IF(C1000="","",IFERROR(INDEX(T_NOMBRE,MATCH(C1000,T_ID,0)),"⚠ ID no existe"))</f>
        <v/>
      </c>
      <c r="E1000" s="69"/>
      <c r="F1000" s="69"/>
      <c r="G1000" s="69"/>
      <c r="H1000" s="69"/>
      <c r="I1000" s="66"/>
      <c r="J1000" s="69"/>
      <c r="K1000" s="67"/>
      <c r="L1000" s="67"/>
      <c r="M1000" s="67"/>
      <c r="N1000" s="67"/>
      <c r="O1000" s="64"/>
      <c r="P1000" s="72" t="str">
        <f aca="false">IF(OR(B1000="",C1000=""),"",C1000&amp;"|"&amp;(YEAR(B1000)*100+MONTH(B1000)))</f>
        <v/>
      </c>
      <c r="Q1000" s="70" t="str">
        <f aca="false">IF(P1000="","",IF(COUNTIF(N_CLAVE,P1000)&gt;1,"⚠ Duplicado","OK"))</f>
        <v/>
      </c>
      <c r="R1000" s="74" t="str">
        <f aca="false">IF(OR(P1000="",U1000=""),"",MAX(0,U1000-N(E1000)-N(F1000)-N(H1000)))</f>
        <v/>
      </c>
      <c r="S1000" s="75" t="str">
        <f aca="false">IF(P1000="","",IFERROR(INDEX(T_INGRESO,MATCH(C1000,T_ID,0)),""))</f>
        <v/>
      </c>
      <c r="T1000" s="75" t="str">
        <f aca="false">IF(P1000="","",IFERROR(N(INDEX(T_EGRESO,MATCH(C1000,T_ID,0))),0))</f>
        <v/>
      </c>
      <c r="U1000" s="73" t="str">
        <f aca="false">IF(OR(P1000="",NOT(ISNUMBER(S1000))),"",IF(OR(S1000&gt;EOMONTH(B1000,0),AND(T1000&gt;0,T1000&lt;B1000)),0,IF(AND(S1000&lt;=B1000,OR(T1000=0,T1000&gt;=EOMONTH(B1000,0))),30,MIN(30,IF(T1000=0,EOMONTH(B1000,0),MIN(T1000,EOMONTH(B1000,0)))-MAX(B1000,S1000)+1))))</f>
        <v/>
      </c>
    </row>
    <row r="1001" customFormat="false" ht="15" hidden="false" customHeight="false" outlineLevel="0" collapsed="false">
      <c r="B1001" s="78"/>
      <c r="C1001" s="64"/>
      <c r="D1001" s="70" t="str">
        <f aca="false">IF(C1001="","",IFERROR(INDEX(T_NOMBRE,MATCH(C1001,T_ID,0)),"⚠ ID no existe"))</f>
        <v/>
      </c>
      <c r="E1001" s="69"/>
      <c r="F1001" s="69"/>
      <c r="G1001" s="69"/>
      <c r="H1001" s="69"/>
      <c r="I1001" s="66"/>
      <c r="J1001" s="69"/>
      <c r="K1001" s="67"/>
      <c r="L1001" s="67"/>
      <c r="M1001" s="67"/>
      <c r="N1001" s="67"/>
      <c r="O1001" s="64"/>
      <c r="P1001" s="72" t="str">
        <f aca="false">IF(OR(B1001="",C1001=""),"",C1001&amp;"|"&amp;(YEAR(B1001)*100+MONTH(B1001)))</f>
        <v/>
      </c>
      <c r="Q1001" s="70" t="str">
        <f aca="false">IF(P1001="","",IF(COUNTIF(N_CLAVE,P1001)&gt;1,"⚠ Duplicado","OK"))</f>
        <v/>
      </c>
      <c r="R1001" s="74" t="str">
        <f aca="false">IF(OR(P1001="",U1001=""),"",MAX(0,U1001-N(E1001)-N(F1001)-N(H1001)))</f>
        <v/>
      </c>
      <c r="S1001" s="75" t="str">
        <f aca="false">IF(P1001="","",IFERROR(INDEX(T_INGRESO,MATCH(C1001,T_ID,0)),""))</f>
        <v/>
      </c>
      <c r="T1001" s="75" t="str">
        <f aca="false">IF(P1001="","",IFERROR(N(INDEX(T_EGRESO,MATCH(C1001,T_ID,0))),0))</f>
        <v/>
      </c>
      <c r="U1001" s="73" t="str">
        <f aca="false">IF(OR(P1001="",NOT(ISNUMBER(S1001))),"",IF(OR(S1001&gt;EOMONTH(B1001,0),AND(T1001&gt;0,T1001&lt;B1001)),0,IF(AND(S1001&lt;=B1001,OR(T1001=0,T1001&gt;=EOMONTH(B1001,0))),30,MIN(30,IF(T1001=0,EOMONTH(B1001,0),MIN(T1001,EOMONTH(B1001,0)))-MAX(B1001,S1001)+1))))</f>
        <v/>
      </c>
    </row>
    <row r="1002" customFormat="false" ht="15" hidden="false" customHeight="false" outlineLevel="0" collapsed="false">
      <c r="B1002" s="78"/>
      <c r="C1002" s="64"/>
      <c r="D1002" s="70" t="str">
        <f aca="false">IF(C1002="","",IFERROR(INDEX(T_NOMBRE,MATCH(C1002,T_ID,0)),"⚠ ID no existe"))</f>
        <v/>
      </c>
      <c r="E1002" s="69"/>
      <c r="F1002" s="69"/>
      <c r="G1002" s="69"/>
      <c r="H1002" s="69"/>
      <c r="I1002" s="66"/>
      <c r="J1002" s="69"/>
      <c r="K1002" s="67"/>
      <c r="L1002" s="67"/>
      <c r="M1002" s="67"/>
      <c r="N1002" s="67"/>
      <c r="O1002" s="64"/>
      <c r="P1002" s="72" t="str">
        <f aca="false">IF(OR(B1002="",C1002=""),"",C1002&amp;"|"&amp;(YEAR(B1002)*100+MONTH(B1002)))</f>
        <v/>
      </c>
      <c r="Q1002" s="70" t="str">
        <f aca="false">IF(P1002="","",IF(COUNTIF(N_CLAVE,P1002)&gt;1,"⚠ Duplicado","OK"))</f>
        <v/>
      </c>
      <c r="R1002" s="74" t="str">
        <f aca="false">IF(OR(P1002="",U1002=""),"",MAX(0,U1002-N(E1002)-N(F1002)-N(H1002)))</f>
        <v/>
      </c>
      <c r="S1002" s="75" t="str">
        <f aca="false">IF(P1002="","",IFERROR(INDEX(T_INGRESO,MATCH(C1002,T_ID,0)),""))</f>
        <v/>
      </c>
      <c r="T1002" s="75" t="str">
        <f aca="false">IF(P1002="","",IFERROR(N(INDEX(T_EGRESO,MATCH(C1002,T_ID,0))),0))</f>
        <v/>
      </c>
      <c r="U1002" s="73" t="str">
        <f aca="false">IF(OR(P1002="",NOT(ISNUMBER(S1002))),"",IF(OR(S1002&gt;EOMONTH(B1002,0),AND(T1002&gt;0,T1002&lt;B1002)),0,IF(AND(S1002&lt;=B1002,OR(T1002=0,T1002&gt;=EOMONTH(B1002,0))),30,MIN(30,IF(T1002=0,EOMONTH(B1002,0),MIN(T1002,EOMONTH(B1002,0)))-MAX(B1002,S1002)+1))))</f>
        <v/>
      </c>
    </row>
    <row r="1003" customFormat="false" ht="15" hidden="false" customHeight="false" outlineLevel="0" collapsed="false">
      <c r="B1003" s="78"/>
      <c r="C1003" s="64"/>
      <c r="D1003" s="70" t="str">
        <f aca="false">IF(C1003="","",IFERROR(INDEX(T_NOMBRE,MATCH(C1003,T_ID,0)),"⚠ ID no existe"))</f>
        <v/>
      </c>
      <c r="E1003" s="69"/>
      <c r="F1003" s="69"/>
      <c r="G1003" s="69"/>
      <c r="H1003" s="69"/>
      <c r="I1003" s="66"/>
      <c r="J1003" s="69"/>
      <c r="K1003" s="67"/>
      <c r="L1003" s="67"/>
      <c r="M1003" s="67"/>
      <c r="N1003" s="67"/>
      <c r="O1003" s="64"/>
      <c r="P1003" s="72" t="str">
        <f aca="false">IF(OR(B1003="",C1003=""),"",C1003&amp;"|"&amp;(YEAR(B1003)*100+MONTH(B1003)))</f>
        <v/>
      </c>
      <c r="Q1003" s="70" t="str">
        <f aca="false">IF(P1003="","",IF(COUNTIF(N_CLAVE,P1003)&gt;1,"⚠ Duplicado","OK"))</f>
        <v/>
      </c>
      <c r="R1003" s="74" t="str">
        <f aca="false">IF(OR(P1003="",U1003=""),"",MAX(0,U1003-N(E1003)-N(F1003)-N(H1003)))</f>
        <v/>
      </c>
      <c r="S1003" s="75" t="str">
        <f aca="false">IF(P1003="","",IFERROR(INDEX(T_INGRESO,MATCH(C1003,T_ID,0)),""))</f>
        <v/>
      </c>
      <c r="T1003" s="75" t="str">
        <f aca="false">IF(P1003="","",IFERROR(N(INDEX(T_EGRESO,MATCH(C1003,T_ID,0))),0))</f>
        <v/>
      </c>
      <c r="U1003" s="73" t="str">
        <f aca="false">IF(OR(P1003="",NOT(ISNUMBER(S1003))),"",IF(OR(S1003&gt;EOMONTH(B1003,0),AND(T1003&gt;0,T1003&lt;B1003)),0,IF(AND(S1003&lt;=B1003,OR(T1003=0,T1003&gt;=EOMONTH(B1003,0))),30,MIN(30,IF(T1003=0,EOMONTH(B1003,0),MIN(T1003,EOMONTH(B1003,0)))-MAX(B1003,S1003)+1))))</f>
        <v/>
      </c>
    </row>
    <row r="1004" customFormat="false" ht="15" hidden="false" customHeight="false" outlineLevel="0" collapsed="false">
      <c r="B1004" s="78"/>
      <c r="C1004" s="64"/>
      <c r="D1004" s="70" t="str">
        <f aca="false">IF(C1004="","",IFERROR(INDEX(T_NOMBRE,MATCH(C1004,T_ID,0)),"⚠ ID no existe"))</f>
        <v/>
      </c>
      <c r="E1004" s="69"/>
      <c r="F1004" s="69"/>
      <c r="G1004" s="69"/>
      <c r="H1004" s="69"/>
      <c r="I1004" s="66"/>
      <c r="J1004" s="69"/>
      <c r="K1004" s="67"/>
      <c r="L1004" s="67"/>
      <c r="M1004" s="67"/>
      <c r="N1004" s="67"/>
      <c r="O1004" s="64"/>
      <c r="P1004" s="72" t="str">
        <f aca="false">IF(OR(B1004="",C1004=""),"",C1004&amp;"|"&amp;(YEAR(B1004)*100+MONTH(B1004)))</f>
        <v/>
      </c>
      <c r="Q1004" s="70" t="str">
        <f aca="false">IF(P1004="","",IF(COUNTIF(N_CLAVE,P1004)&gt;1,"⚠ Duplicado","OK"))</f>
        <v/>
      </c>
      <c r="R1004" s="74" t="str">
        <f aca="false">IF(OR(P1004="",U1004=""),"",MAX(0,U1004-N(E1004)-N(F1004)-N(H1004)))</f>
        <v/>
      </c>
      <c r="S1004" s="75" t="str">
        <f aca="false">IF(P1004="","",IFERROR(INDEX(T_INGRESO,MATCH(C1004,T_ID,0)),""))</f>
        <v/>
      </c>
      <c r="T1004" s="75" t="str">
        <f aca="false">IF(P1004="","",IFERROR(N(INDEX(T_EGRESO,MATCH(C1004,T_ID,0))),0))</f>
        <v/>
      </c>
      <c r="U1004" s="73" t="str">
        <f aca="false">IF(OR(P1004="",NOT(ISNUMBER(S1004))),"",IF(OR(S1004&gt;EOMONTH(B1004,0),AND(T1004&gt;0,T1004&lt;B1004)),0,IF(AND(S1004&lt;=B1004,OR(T1004=0,T1004&gt;=EOMONTH(B1004,0))),30,MIN(30,IF(T1004=0,EOMONTH(B1004,0),MIN(T1004,EOMONTH(B1004,0)))-MAX(B1004,S1004)+1))))</f>
        <v/>
      </c>
    </row>
    <row r="1005" customFormat="false" ht="15" hidden="false" customHeight="false" outlineLevel="0" collapsed="false">
      <c r="B1005" s="78"/>
      <c r="C1005" s="64"/>
      <c r="D1005" s="70" t="str">
        <f aca="false">IF(C1005="","",IFERROR(INDEX(T_NOMBRE,MATCH(C1005,T_ID,0)),"⚠ ID no existe"))</f>
        <v/>
      </c>
      <c r="E1005" s="69"/>
      <c r="F1005" s="69"/>
      <c r="G1005" s="69"/>
      <c r="H1005" s="69"/>
      <c r="I1005" s="66"/>
      <c r="J1005" s="69"/>
      <c r="K1005" s="67"/>
      <c r="L1005" s="67"/>
      <c r="M1005" s="67"/>
      <c r="N1005" s="67"/>
      <c r="O1005" s="64"/>
      <c r="P1005" s="72" t="str">
        <f aca="false">IF(OR(B1005="",C1005=""),"",C1005&amp;"|"&amp;(YEAR(B1005)*100+MONTH(B1005)))</f>
        <v/>
      </c>
      <c r="Q1005" s="70" t="str">
        <f aca="false">IF(P1005="","",IF(COUNTIF(N_CLAVE,P1005)&gt;1,"⚠ Duplicado","OK"))</f>
        <v/>
      </c>
      <c r="R1005" s="74" t="str">
        <f aca="false">IF(OR(P1005="",U1005=""),"",MAX(0,U1005-N(E1005)-N(F1005)-N(H1005)))</f>
        <v/>
      </c>
      <c r="S1005" s="75" t="str">
        <f aca="false">IF(P1005="","",IFERROR(INDEX(T_INGRESO,MATCH(C1005,T_ID,0)),""))</f>
        <v/>
      </c>
      <c r="T1005" s="75" t="str">
        <f aca="false">IF(P1005="","",IFERROR(N(INDEX(T_EGRESO,MATCH(C1005,T_ID,0))),0))</f>
        <v/>
      </c>
      <c r="U1005" s="73" t="str">
        <f aca="false">IF(OR(P1005="",NOT(ISNUMBER(S1005))),"",IF(OR(S1005&gt;EOMONTH(B1005,0),AND(T1005&gt;0,T1005&lt;B1005)),0,IF(AND(S1005&lt;=B1005,OR(T1005=0,T1005&gt;=EOMONTH(B1005,0))),30,MIN(30,IF(T1005=0,EOMONTH(B1005,0),MIN(T1005,EOMONTH(B1005,0)))-MAX(B1005,S1005)+1))))</f>
        <v/>
      </c>
    </row>
    <row r="1006" customFormat="false" ht="15" hidden="false" customHeight="false" outlineLevel="0" collapsed="false">
      <c r="B1006" s="78"/>
      <c r="C1006" s="64"/>
      <c r="D1006" s="70" t="str">
        <f aca="false">IF(C1006="","",IFERROR(INDEX(T_NOMBRE,MATCH(C1006,T_ID,0)),"⚠ ID no existe"))</f>
        <v/>
      </c>
      <c r="E1006" s="69"/>
      <c r="F1006" s="69"/>
      <c r="G1006" s="69"/>
      <c r="H1006" s="69"/>
      <c r="I1006" s="66"/>
      <c r="J1006" s="69"/>
      <c r="K1006" s="67"/>
      <c r="L1006" s="67"/>
      <c r="M1006" s="67"/>
      <c r="N1006" s="67"/>
      <c r="O1006" s="64"/>
      <c r="P1006" s="72" t="str">
        <f aca="false">IF(OR(B1006="",C1006=""),"",C1006&amp;"|"&amp;(YEAR(B1006)*100+MONTH(B1006)))</f>
        <v/>
      </c>
      <c r="Q1006" s="70" t="str">
        <f aca="false">IF(P1006="","",IF(COUNTIF(N_CLAVE,P1006)&gt;1,"⚠ Duplicado","OK"))</f>
        <v/>
      </c>
      <c r="R1006" s="74" t="str">
        <f aca="false">IF(OR(P1006="",U1006=""),"",MAX(0,U1006-N(E1006)-N(F1006)-N(H1006)))</f>
        <v/>
      </c>
      <c r="S1006" s="75" t="str">
        <f aca="false">IF(P1006="","",IFERROR(INDEX(T_INGRESO,MATCH(C1006,T_ID,0)),""))</f>
        <v/>
      </c>
      <c r="T1006" s="75" t="str">
        <f aca="false">IF(P1006="","",IFERROR(N(INDEX(T_EGRESO,MATCH(C1006,T_ID,0))),0))</f>
        <v/>
      </c>
      <c r="U1006" s="73" t="str">
        <f aca="false">IF(OR(P1006="",NOT(ISNUMBER(S1006))),"",IF(OR(S1006&gt;EOMONTH(B1006,0),AND(T1006&gt;0,T1006&lt;B1006)),0,IF(AND(S1006&lt;=B1006,OR(T1006=0,T1006&gt;=EOMONTH(B1006,0))),30,MIN(30,IF(T1006=0,EOMONTH(B1006,0),MIN(T1006,EOMONTH(B1006,0)))-MAX(B1006,S1006)+1))))</f>
        <v/>
      </c>
    </row>
    <row r="1007" customFormat="false" ht="15" hidden="false" customHeight="false" outlineLevel="0" collapsed="false">
      <c r="B1007" s="78"/>
      <c r="C1007" s="64"/>
      <c r="D1007" s="70" t="str">
        <f aca="false">IF(C1007="","",IFERROR(INDEX(T_NOMBRE,MATCH(C1007,T_ID,0)),"⚠ ID no existe"))</f>
        <v/>
      </c>
      <c r="E1007" s="69"/>
      <c r="F1007" s="69"/>
      <c r="G1007" s="69"/>
      <c r="H1007" s="69"/>
      <c r="I1007" s="66"/>
      <c r="J1007" s="69"/>
      <c r="K1007" s="67"/>
      <c r="L1007" s="67"/>
      <c r="M1007" s="67"/>
      <c r="N1007" s="67"/>
      <c r="O1007" s="64"/>
      <c r="P1007" s="72" t="str">
        <f aca="false">IF(OR(B1007="",C1007=""),"",C1007&amp;"|"&amp;(YEAR(B1007)*100+MONTH(B1007)))</f>
        <v/>
      </c>
      <c r="Q1007" s="70" t="str">
        <f aca="false">IF(P1007="","",IF(COUNTIF(N_CLAVE,P1007)&gt;1,"⚠ Duplicado","OK"))</f>
        <v/>
      </c>
      <c r="R1007" s="74" t="str">
        <f aca="false">IF(OR(P1007="",U1007=""),"",MAX(0,U1007-N(E1007)-N(F1007)-N(H1007)))</f>
        <v/>
      </c>
      <c r="S1007" s="75" t="str">
        <f aca="false">IF(P1007="","",IFERROR(INDEX(T_INGRESO,MATCH(C1007,T_ID,0)),""))</f>
        <v/>
      </c>
      <c r="T1007" s="75" t="str">
        <f aca="false">IF(P1007="","",IFERROR(N(INDEX(T_EGRESO,MATCH(C1007,T_ID,0))),0))</f>
        <v/>
      </c>
      <c r="U1007" s="73" t="str">
        <f aca="false">IF(OR(P1007="",NOT(ISNUMBER(S1007))),"",IF(OR(S1007&gt;EOMONTH(B1007,0),AND(T1007&gt;0,T1007&lt;B1007)),0,IF(AND(S1007&lt;=B1007,OR(T1007=0,T1007&gt;=EOMONTH(B1007,0))),30,MIN(30,IF(T1007=0,EOMONTH(B1007,0),MIN(T1007,EOMONTH(B1007,0)))-MAX(B1007,S1007)+1))))</f>
        <v/>
      </c>
    </row>
    <row r="1008" customFormat="false" ht="15" hidden="false" customHeight="false" outlineLevel="0" collapsed="false">
      <c r="B1008" s="78"/>
      <c r="C1008" s="64"/>
      <c r="D1008" s="70" t="str">
        <f aca="false">IF(C1008="","",IFERROR(INDEX(T_NOMBRE,MATCH(C1008,T_ID,0)),"⚠ ID no existe"))</f>
        <v/>
      </c>
      <c r="E1008" s="69"/>
      <c r="F1008" s="69"/>
      <c r="G1008" s="69"/>
      <c r="H1008" s="69"/>
      <c r="I1008" s="66"/>
      <c r="J1008" s="69"/>
      <c r="K1008" s="67"/>
      <c r="L1008" s="67"/>
      <c r="M1008" s="67"/>
      <c r="N1008" s="67"/>
      <c r="O1008" s="64"/>
      <c r="P1008" s="72" t="str">
        <f aca="false">IF(OR(B1008="",C1008=""),"",C1008&amp;"|"&amp;(YEAR(B1008)*100+MONTH(B1008)))</f>
        <v/>
      </c>
      <c r="Q1008" s="70" t="str">
        <f aca="false">IF(P1008="","",IF(COUNTIF(N_CLAVE,P1008)&gt;1,"⚠ Duplicado","OK"))</f>
        <v/>
      </c>
      <c r="R1008" s="74" t="str">
        <f aca="false">IF(OR(P1008="",U1008=""),"",MAX(0,U1008-N(E1008)-N(F1008)-N(H1008)))</f>
        <v/>
      </c>
      <c r="S1008" s="75" t="str">
        <f aca="false">IF(P1008="","",IFERROR(INDEX(T_INGRESO,MATCH(C1008,T_ID,0)),""))</f>
        <v/>
      </c>
      <c r="T1008" s="75" t="str">
        <f aca="false">IF(P1008="","",IFERROR(N(INDEX(T_EGRESO,MATCH(C1008,T_ID,0))),0))</f>
        <v/>
      </c>
      <c r="U1008" s="73" t="str">
        <f aca="false">IF(OR(P1008="",NOT(ISNUMBER(S1008))),"",IF(OR(S1008&gt;EOMONTH(B1008,0),AND(T1008&gt;0,T1008&lt;B1008)),0,IF(AND(S1008&lt;=B1008,OR(T1008=0,T1008&gt;=EOMONTH(B1008,0))),30,MIN(30,IF(T1008=0,EOMONTH(B1008,0),MIN(T1008,EOMONTH(B1008,0)))-MAX(B1008,S1008)+1))))</f>
        <v/>
      </c>
    </row>
    <row r="1009" customFormat="false" ht="15" hidden="false" customHeight="false" outlineLevel="0" collapsed="false">
      <c r="B1009" s="78"/>
      <c r="C1009" s="64"/>
      <c r="D1009" s="70" t="str">
        <f aca="false">IF(C1009="","",IFERROR(INDEX(T_NOMBRE,MATCH(C1009,T_ID,0)),"⚠ ID no existe"))</f>
        <v/>
      </c>
      <c r="E1009" s="69"/>
      <c r="F1009" s="69"/>
      <c r="G1009" s="69"/>
      <c r="H1009" s="69"/>
      <c r="I1009" s="66"/>
      <c r="J1009" s="69"/>
      <c r="K1009" s="67"/>
      <c r="L1009" s="67"/>
      <c r="M1009" s="67"/>
      <c r="N1009" s="67"/>
      <c r="O1009" s="64"/>
      <c r="P1009" s="72" t="str">
        <f aca="false">IF(OR(B1009="",C1009=""),"",C1009&amp;"|"&amp;(YEAR(B1009)*100+MONTH(B1009)))</f>
        <v/>
      </c>
      <c r="Q1009" s="70" t="str">
        <f aca="false">IF(P1009="","",IF(COUNTIF(N_CLAVE,P1009)&gt;1,"⚠ Duplicado","OK"))</f>
        <v/>
      </c>
      <c r="R1009" s="74" t="str">
        <f aca="false">IF(OR(P1009="",U1009=""),"",MAX(0,U1009-N(E1009)-N(F1009)-N(H1009)))</f>
        <v/>
      </c>
      <c r="S1009" s="75" t="str">
        <f aca="false">IF(P1009="","",IFERROR(INDEX(T_INGRESO,MATCH(C1009,T_ID,0)),""))</f>
        <v/>
      </c>
      <c r="T1009" s="75" t="str">
        <f aca="false">IF(P1009="","",IFERROR(N(INDEX(T_EGRESO,MATCH(C1009,T_ID,0))),0))</f>
        <v/>
      </c>
      <c r="U1009" s="73" t="str">
        <f aca="false">IF(OR(P1009="",NOT(ISNUMBER(S1009))),"",IF(OR(S1009&gt;EOMONTH(B1009,0),AND(T1009&gt;0,T1009&lt;B1009)),0,IF(AND(S1009&lt;=B1009,OR(T1009=0,T1009&gt;=EOMONTH(B1009,0))),30,MIN(30,IF(T1009=0,EOMONTH(B1009,0),MIN(T1009,EOMONTH(B1009,0)))-MAX(B1009,S1009)+1))))</f>
        <v/>
      </c>
    </row>
    <row r="1010" customFormat="false" ht="15" hidden="false" customHeight="false" outlineLevel="0" collapsed="false">
      <c r="B1010" s="78"/>
      <c r="C1010" s="64"/>
      <c r="D1010" s="70" t="str">
        <f aca="false">IF(C1010="","",IFERROR(INDEX(T_NOMBRE,MATCH(C1010,T_ID,0)),"⚠ ID no existe"))</f>
        <v/>
      </c>
      <c r="E1010" s="69"/>
      <c r="F1010" s="69"/>
      <c r="G1010" s="69"/>
      <c r="H1010" s="69"/>
      <c r="I1010" s="66"/>
      <c r="J1010" s="69"/>
      <c r="K1010" s="67"/>
      <c r="L1010" s="67"/>
      <c r="M1010" s="67"/>
      <c r="N1010" s="67"/>
      <c r="O1010" s="64"/>
      <c r="P1010" s="72" t="str">
        <f aca="false">IF(OR(B1010="",C1010=""),"",C1010&amp;"|"&amp;(YEAR(B1010)*100+MONTH(B1010)))</f>
        <v/>
      </c>
      <c r="Q1010" s="70" t="str">
        <f aca="false">IF(P1010="","",IF(COUNTIF(N_CLAVE,P1010)&gt;1,"⚠ Duplicado","OK"))</f>
        <v/>
      </c>
      <c r="R1010" s="74" t="str">
        <f aca="false">IF(OR(P1010="",U1010=""),"",MAX(0,U1010-N(E1010)-N(F1010)-N(H1010)))</f>
        <v/>
      </c>
      <c r="S1010" s="75" t="str">
        <f aca="false">IF(P1010="","",IFERROR(INDEX(T_INGRESO,MATCH(C1010,T_ID,0)),""))</f>
        <v/>
      </c>
      <c r="T1010" s="75" t="str">
        <f aca="false">IF(P1010="","",IFERROR(N(INDEX(T_EGRESO,MATCH(C1010,T_ID,0))),0))</f>
        <v/>
      </c>
      <c r="U1010" s="73" t="str">
        <f aca="false">IF(OR(P1010="",NOT(ISNUMBER(S1010))),"",IF(OR(S1010&gt;EOMONTH(B1010,0),AND(T1010&gt;0,T1010&lt;B1010)),0,IF(AND(S1010&lt;=B1010,OR(T1010=0,T1010&gt;=EOMONTH(B1010,0))),30,MIN(30,IF(T1010=0,EOMONTH(B1010,0),MIN(T1010,EOMONTH(B1010,0)))-MAX(B1010,S1010)+1))))</f>
        <v/>
      </c>
    </row>
    <row r="1011" customFormat="false" ht="15" hidden="false" customHeight="false" outlineLevel="0" collapsed="false">
      <c r="B1011" s="78"/>
      <c r="C1011" s="64"/>
      <c r="D1011" s="70" t="str">
        <f aca="false">IF(C1011="","",IFERROR(INDEX(T_NOMBRE,MATCH(C1011,T_ID,0)),"⚠ ID no existe"))</f>
        <v/>
      </c>
      <c r="E1011" s="69"/>
      <c r="F1011" s="69"/>
      <c r="G1011" s="69"/>
      <c r="H1011" s="69"/>
      <c r="I1011" s="66"/>
      <c r="J1011" s="69"/>
      <c r="K1011" s="67"/>
      <c r="L1011" s="67"/>
      <c r="M1011" s="67"/>
      <c r="N1011" s="67"/>
      <c r="O1011" s="64"/>
      <c r="P1011" s="72" t="str">
        <f aca="false">IF(OR(B1011="",C1011=""),"",C1011&amp;"|"&amp;(YEAR(B1011)*100+MONTH(B1011)))</f>
        <v/>
      </c>
      <c r="Q1011" s="70" t="str">
        <f aca="false">IF(P1011="","",IF(COUNTIF(N_CLAVE,P1011)&gt;1,"⚠ Duplicado","OK"))</f>
        <v/>
      </c>
      <c r="R1011" s="74" t="str">
        <f aca="false">IF(OR(P1011="",U1011=""),"",MAX(0,U1011-N(E1011)-N(F1011)-N(H1011)))</f>
        <v/>
      </c>
      <c r="S1011" s="75" t="str">
        <f aca="false">IF(P1011="","",IFERROR(INDEX(T_INGRESO,MATCH(C1011,T_ID,0)),""))</f>
        <v/>
      </c>
      <c r="T1011" s="75" t="str">
        <f aca="false">IF(P1011="","",IFERROR(N(INDEX(T_EGRESO,MATCH(C1011,T_ID,0))),0))</f>
        <v/>
      </c>
      <c r="U1011" s="73" t="str">
        <f aca="false">IF(OR(P1011="",NOT(ISNUMBER(S1011))),"",IF(OR(S1011&gt;EOMONTH(B1011,0),AND(T1011&gt;0,T1011&lt;B1011)),0,IF(AND(S1011&lt;=B1011,OR(T1011=0,T1011&gt;=EOMONTH(B1011,0))),30,MIN(30,IF(T1011=0,EOMONTH(B1011,0),MIN(T1011,EOMONTH(B1011,0)))-MAX(B1011,S1011)+1))))</f>
        <v/>
      </c>
    </row>
    <row r="1012" customFormat="false" ht="15" hidden="false" customHeight="false" outlineLevel="0" collapsed="false">
      <c r="B1012" s="78"/>
      <c r="C1012" s="64"/>
      <c r="D1012" s="70" t="str">
        <f aca="false">IF(C1012="","",IFERROR(INDEX(T_NOMBRE,MATCH(C1012,T_ID,0)),"⚠ ID no existe"))</f>
        <v/>
      </c>
      <c r="E1012" s="69"/>
      <c r="F1012" s="69"/>
      <c r="G1012" s="69"/>
      <c r="H1012" s="69"/>
      <c r="I1012" s="66"/>
      <c r="J1012" s="69"/>
      <c r="K1012" s="67"/>
      <c r="L1012" s="67"/>
      <c r="M1012" s="67"/>
      <c r="N1012" s="67"/>
      <c r="O1012" s="64"/>
      <c r="P1012" s="72" t="str">
        <f aca="false">IF(OR(B1012="",C1012=""),"",C1012&amp;"|"&amp;(YEAR(B1012)*100+MONTH(B1012)))</f>
        <v/>
      </c>
      <c r="Q1012" s="70" t="str">
        <f aca="false">IF(P1012="","",IF(COUNTIF(N_CLAVE,P1012)&gt;1,"⚠ Duplicado","OK"))</f>
        <v/>
      </c>
      <c r="R1012" s="74" t="str">
        <f aca="false">IF(OR(P1012="",U1012=""),"",MAX(0,U1012-N(E1012)-N(F1012)-N(H1012)))</f>
        <v/>
      </c>
      <c r="S1012" s="75" t="str">
        <f aca="false">IF(P1012="","",IFERROR(INDEX(T_INGRESO,MATCH(C1012,T_ID,0)),""))</f>
        <v/>
      </c>
      <c r="T1012" s="75" t="str">
        <f aca="false">IF(P1012="","",IFERROR(N(INDEX(T_EGRESO,MATCH(C1012,T_ID,0))),0))</f>
        <v/>
      </c>
      <c r="U1012" s="73" t="str">
        <f aca="false">IF(OR(P1012="",NOT(ISNUMBER(S1012))),"",IF(OR(S1012&gt;EOMONTH(B1012,0),AND(T1012&gt;0,T1012&lt;B1012)),0,IF(AND(S1012&lt;=B1012,OR(T1012=0,T1012&gt;=EOMONTH(B1012,0))),30,MIN(30,IF(T1012=0,EOMONTH(B1012,0),MIN(T1012,EOMONTH(B1012,0)))-MAX(B1012,S1012)+1))))</f>
        <v/>
      </c>
    </row>
    <row r="1013" customFormat="false" ht="15" hidden="false" customHeight="false" outlineLevel="0" collapsed="false">
      <c r="B1013" s="78"/>
      <c r="C1013" s="64"/>
      <c r="D1013" s="70" t="str">
        <f aca="false">IF(C1013="","",IFERROR(INDEX(T_NOMBRE,MATCH(C1013,T_ID,0)),"⚠ ID no existe"))</f>
        <v/>
      </c>
      <c r="E1013" s="69"/>
      <c r="F1013" s="69"/>
      <c r="G1013" s="69"/>
      <c r="H1013" s="69"/>
      <c r="I1013" s="66"/>
      <c r="J1013" s="69"/>
      <c r="K1013" s="67"/>
      <c r="L1013" s="67"/>
      <c r="M1013" s="67"/>
      <c r="N1013" s="67"/>
      <c r="O1013" s="64"/>
      <c r="P1013" s="72" t="str">
        <f aca="false">IF(OR(B1013="",C1013=""),"",C1013&amp;"|"&amp;(YEAR(B1013)*100+MONTH(B1013)))</f>
        <v/>
      </c>
      <c r="Q1013" s="70" t="str">
        <f aca="false">IF(P1013="","",IF(COUNTIF(N_CLAVE,P1013)&gt;1,"⚠ Duplicado","OK"))</f>
        <v/>
      </c>
      <c r="R1013" s="74" t="str">
        <f aca="false">IF(OR(P1013="",U1013=""),"",MAX(0,U1013-N(E1013)-N(F1013)-N(H1013)))</f>
        <v/>
      </c>
      <c r="S1013" s="75" t="str">
        <f aca="false">IF(P1013="","",IFERROR(INDEX(T_INGRESO,MATCH(C1013,T_ID,0)),""))</f>
        <v/>
      </c>
      <c r="T1013" s="75" t="str">
        <f aca="false">IF(P1013="","",IFERROR(N(INDEX(T_EGRESO,MATCH(C1013,T_ID,0))),0))</f>
        <v/>
      </c>
      <c r="U1013" s="73" t="str">
        <f aca="false">IF(OR(P1013="",NOT(ISNUMBER(S1013))),"",IF(OR(S1013&gt;EOMONTH(B1013,0),AND(T1013&gt;0,T1013&lt;B1013)),0,IF(AND(S1013&lt;=B1013,OR(T1013=0,T1013&gt;=EOMONTH(B1013,0))),30,MIN(30,IF(T1013=0,EOMONTH(B1013,0),MIN(T1013,EOMONTH(B1013,0)))-MAX(B1013,S1013)+1))))</f>
        <v/>
      </c>
    </row>
    <row r="1014" customFormat="false" ht="15" hidden="false" customHeight="false" outlineLevel="0" collapsed="false">
      <c r="B1014" s="78"/>
      <c r="C1014" s="64"/>
      <c r="D1014" s="70" t="str">
        <f aca="false">IF(C1014="","",IFERROR(INDEX(T_NOMBRE,MATCH(C1014,T_ID,0)),"⚠ ID no existe"))</f>
        <v/>
      </c>
      <c r="E1014" s="69"/>
      <c r="F1014" s="69"/>
      <c r="G1014" s="69"/>
      <c r="H1014" s="69"/>
      <c r="I1014" s="66"/>
      <c r="J1014" s="69"/>
      <c r="K1014" s="67"/>
      <c r="L1014" s="67"/>
      <c r="M1014" s="67"/>
      <c r="N1014" s="67"/>
      <c r="O1014" s="64"/>
      <c r="P1014" s="72" t="str">
        <f aca="false">IF(OR(B1014="",C1014=""),"",C1014&amp;"|"&amp;(YEAR(B1014)*100+MONTH(B1014)))</f>
        <v/>
      </c>
      <c r="Q1014" s="70" t="str">
        <f aca="false">IF(P1014="","",IF(COUNTIF(N_CLAVE,P1014)&gt;1,"⚠ Duplicado","OK"))</f>
        <v/>
      </c>
      <c r="R1014" s="74" t="str">
        <f aca="false">IF(OR(P1014="",U1014=""),"",MAX(0,U1014-N(E1014)-N(F1014)-N(H1014)))</f>
        <v/>
      </c>
      <c r="S1014" s="75" t="str">
        <f aca="false">IF(P1014="","",IFERROR(INDEX(T_INGRESO,MATCH(C1014,T_ID,0)),""))</f>
        <v/>
      </c>
      <c r="T1014" s="75" t="str">
        <f aca="false">IF(P1014="","",IFERROR(N(INDEX(T_EGRESO,MATCH(C1014,T_ID,0))),0))</f>
        <v/>
      </c>
      <c r="U1014" s="73" t="str">
        <f aca="false">IF(OR(P1014="",NOT(ISNUMBER(S1014))),"",IF(OR(S1014&gt;EOMONTH(B1014,0),AND(T1014&gt;0,T1014&lt;B1014)),0,IF(AND(S1014&lt;=B1014,OR(T1014=0,T1014&gt;=EOMONTH(B1014,0))),30,MIN(30,IF(T1014=0,EOMONTH(B1014,0),MIN(T1014,EOMONTH(B1014,0)))-MAX(B1014,S1014)+1))))</f>
        <v/>
      </c>
    </row>
    <row r="1015" customFormat="false" ht="15" hidden="false" customHeight="false" outlineLevel="0" collapsed="false">
      <c r="B1015" s="78"/>
      <c r="C1015" s="64"/>
      <c r="D1015" s="70" t="str">
        <f aca="false">IF(C1015="","",IFERROR(INDEX(T_NOMBRE,MATCH(C1015,T_ID,0)),"⚠ ID no existe"))</f>
        <v/>
      </c>
      <c r="E1015" s="69"/>
      <c r="F1015" s="69"/>
      <c r="G1015" s="69"/>
      <c r="H1015" s="69"/>
      <c r="I1015" s="66"/>
      <c r="J1015" s="69"/>
      <c r="K1015" s="67"/>
      <c r="L1015" s="67"/>
      <c r="M1015" s="67"/>
      <c r="N1015" s="67"/>
      <c r="O1015" s="64"/>
      <c r="P1015" s="72" t="str">
        <f aca="false">IF(OR(B1015="",C1015=""),"",C1015&amp;"|"&amp;(YEAR(B1015)*100+MONTH(B1015)))</f>
        <v/>
      </c>
      <c r="Q1015" s="70" t="str">
        <f aca="false">IF(P1015="","",IF(COUNTIF(N_CLAVE,P1015)&gt;1,"⚠ Duplicado","OK"))</f>
        <v/>
      </c>
      <c r="R1015" s="74" t="str">
        <f aca="false">IF(OR(P1015="",U1015=""),"",MAX(0,U1015-N(E1015)-N(F1015)-N(H1015)))</f>
        <v/>
      </c>
      <c r="S1015" s="75" t="str">
        <f aca="false">IF(P1015="","",IFERROR(INDEX(T_INGRESO,MATCH(C1015,T_ID,0)),""))</f>
        <v/>
      </c>
      <c r="T1015" s="75" t="str">
        <f aca="false">IF(P1015="","",IFERROR(N(INDEX(T_EGRESO,MATCH(C1015,T_ID,0))),0))</f>
        <v/>
      </c>
      <c r="U1015" s="73" t="str">
        <f aca="false">IF(OR(P1015="",NOT(ISNUMBER(S1015))),"",IF(OR(S1015&gt;EOMONTH(B1015,0),AND(T1015&gt;0,T1015&lt;B1015)),0,IF(AND(S1015&lt;=B1015,OR(T1015=0,T1015&gt;=EOMONTH(B1015,0))),30,MIN(30,IF(T1015=0,EOMONTH(B1015,0),MIN(T1015,EOMONTH(B1015,0)))-MAX(B1015,S1015)+1))))</f>
        <v/>
      </c>
    </row>
    <row r="1016" customFormat="false" ht="15" hidden="false" customHeight="false" outlineLevel="0" collapsed="false">
      <c r="B1016" s="78"/>
      <c r="C1016" s="64"/>
      <c r="D1016" s="70" t="str">
        <f aca="false">IF(C1016="","",IFERROR(INDEX(T_NOMBRE,MATCH(C1016,T_ID,0)),"⚠ ID no existe"))</f>
        <v/>
      </c>
      <c r="E1016" s="69"/>
      <c r="F1016" s="69"/>
      <c r="G1016" s="69"/>
      <c r="H1016" s="69"/>
      <c r="I1016" s="66"/>
      <c r="J1016" s="69"/>
      <c r="K1016" s="67"/>
      <c r="L1016" s="67"/>
      <c r="M1016" s="67"/>
      <c r="N1016" s="67"/>
      <c r="O1016" s="64"/>
      <c r="P1016" s="72" t="str">
        <f aca="false">IF(OR(B1016="",C1016=""),"",C1016&amp;"|"&amp;(YEAR(B1016)*100+MONTH(B1016)))</f>
        <v/>
      </c>
      <c r="Q1016" s="70" t="str">
        <f aca="false">IF(P1016="","",IF(COUNTIF(N_CLAVE,P1016)&gt;1,"⚠ Duplicado","OK"))</f>
        <v/>
      </c>
      <c r="R1016" s="74" t="str">
        <f aca="false">IF(OR(P1016="",U1016=""),"",MAX(0,U1016-N(E1016)-N(F1016)-N(H1016)))</f>
        <v/>
      </c>
      <c r="S1016" s="75" t="str">
        <f aca="false">IF(P1016="","",IFERROR(INDEX(T_INGRESO,MATCH(C1016,T_ID,0)),""))</f>
        <v/>
      </c>
      <c r="T1016" s="75" t="str">
        <f aca="false">IF(P1016="","",IFERROR(N(INDEX(T_EGRESO,MATCH(C1016,T_ID,0))),0))</f>
        <v/>
      </c>
      <c r="U1016" s="73" t="str">
        <f aca="false">IF(OR(P1016="",NOT(ISNUMBER(S1016))),"",IF(OR(S1016&gt;EOMONTH(B1016,0),AND(T1016&gt;0,T1016&lt;B1016)),0,IF(AND(S1016&lt;=B1016,OR(T1016=0,T1016&gt;=EOMONTH(B1016,0))),30,MIN(30,IF(T1016=0,EOMONTH(B1016,0),MIN(T1016,EOMONTH(B1016,0)))-MAX(B1016,S1016)+1))))</f>
        <v/>
      </c>
    </row>
    <row r="1017" customFormat="false" ht="15" hidden="false" customHeight="false" outlineLevel="0" collapsed="false">
      <c r="B1017" s="78"/>
      <c r="C1017" s="64"/>
      <c r="D1017" s="70" t="str">
        <f aca="false">IF(C1017="","",IFERROR(INDEX(T_NOMBRE,MATCH(C1017,T_ID,0)),"⚠ ID no existe"))</f>
        <v/>
      </c>
      <c r="E1017" s="69"/>
      <c r="F1017" s="69"/>
      <c r="G1017" s="69"/>
      <c r="H1017" s="69"/>
      <c r="I1017" s="66"/>
      <c r="J1017" s="69"/>
      <c r="K1017" s="67"/>
      <c r="L1017" s="67"/>
      <c r="M1017" s="67"/>
      <c r="N1017" s="67"/>
      <c r="O1017" s="64"/>
      <c r="P1017" s="72" t="str">
        <f aca="false">IF(OR(B1017="",C1017=""),"",C1017&amp;"|"&amp;(YEAR(B1017)*100+MONTH(B1017)))</f>
        <v/>
      </c>
      <c r="Q1017" s="70" t="str">
        <f aca="false">IF(P1017="","",IF(COUNTIF(N_CLAVE,P1017)&gt;1,"⚠ Duplicado","OK"))</f>
        <v/>
      </c>
      <c r="R1017" s="74" t="str">
        <f aca="false">IF(OR(P1017="",U1017=""),"",MAX(0,U1017-N(E1017)-N(F1017)-N(H1017)))</f>
        <v/>
      </c>
      <c r="S1017" s="75" t="str">
        <f aca="false">IF(P1017="","",IFERROR(INDEX(T_INGRESO,MATCH(C1017,T_ID,0)),""))</f>
        <v/>
      </c>
      <c r="T1017" s="75" t="str">
        <f aca="false">IF(P1017="","",IFERROR(N(INDEX(T_EGRESO,MATCH(C1017,T_ID,0))),0))</f>
        <v/>
      </c>
      <c r="U1017" s="73" t="str">
        <f aca="false">IF(OR(P1017="",NOT(ISNUMBER(S1017))),"",IF(OR(S1017&gt;EOMONTH(B1017,0),AND(T1017&gt;0,T1017&lt;B1017)),0,IF(AND(S1017&lt;=B1017,OR(T1017=0,T1017&gt;=EOMONTH(B1017,0))),30,MIN(30,IF(T1017=0,EOMONTH(B1017,0),MIN(T1017,EOMONTH(B1017,0)))-MAX(B1017,S1017)+1))))</f>
        <v/>
      </c>
    </row>
    <row r="1018" customFormat="false" ht="15" hidden="false" customHeight="false" outlineLevel="0" collapsed="false">
      <c r="B1018" s="78"/>
      <c r="C1018" s="64"/>
      <c r="D1018" s="70" t="str">
        <f aca="false">IF(C1018="","",IFERROR(INDEX(T_NOMBRE,MATCH(C1018,T_ID,0)),"⚠ ID no existe"))</f>
        <v/>
      </c>
      <c r="E1018" s="69"/>
      <c r="F1018" s="69"/>
      <c r="G1018" s="69"/>
      <c r="H1018" s="69"/>
      <c r="I1018" s="66"/>
      <c r="J1018" s="69"/>
      <c r="K1018" s="67"/>
      <c r="L1018" s="67"/>
      <c r="M1018" s="67"/>
      <c r="N1018" s="67"/>
      <c r="O1018" s="64"/>
      <c r="P1018" s="72" t="str">
        <f aca="false">IF(OR(B1018="",C1018=""),"",C1018&amp;"|"&amp;(YEAR(B1018)*100+MONTH(B1018)))</f>
        <v/>
      </c>
      <c r="Q1018" s="70" t="str">
        <f aca="false">IF(P1018="","",IF(COUNTIF(N_CLAVE,P1018)&gt;1,"⚠ Duplicado","OK"))</f>
        <v/>
      </c>
      <c r="R1018" s="74" t="str">
        <f aca="false">IF(OR(P1018="",U1018=""),"",MAX(0,U1018-N(E1018)-N(F1018)-N(H1018)))</f>
        <v/>
      </c>
      <c r="S1018" s="75" t="str">
        <f aca="false">IF(P1018="","",IFERROR(INDEX(T_INGRESO,MATCH(C1018,T_ID,0)),""))</f>
        <v/>
      </c>
      <c r="T1018" s="75" t="str">
        <f aca="false">IF(P1018="","",IFERROR(N(INDEX(T_EGRESO,MATCH(C1018,T_ID,0))),0))</f>
        <v/>
      </c>
      <c r="U1018" s="73" t="str">
        <f aca="false">IF(OR(P1018="",NOT(ISNUMBER(S1018))),"",IF(OR(S1018&gt;EOMONTH(B1018,0),AND(T1018&gt;0,T1018&lt;B1018)),0,IF(AND(S1018&lt;=B1018,OR(T1018=0,T1018&gt;=EOMONTH(B1018,0))),30,MIN(30,IF(T1018=0,EOMONTH(B1018,0),MIN(T1018,EOMONTH(B1018,0)))-MAX(B1018,S1018)+1))))</f>
        <v/>
      </c>
    </row>
    <row r="1019" customFormat="false" ht="15" hidden="false" customHeight="false" outlineLevel="0" collapsed="false">
      <c r="B1019" s="78"/>
      <c r="C1019" s="64"/>
      <c r="D1019" s="70" t="str">
        <f aca="false">IF(C1019="","",IFERROR(INDEX(T_NOMBRE,MATCH(C1019,T_ID,0)),"⚠ ID no existe"))</f>
        <v/>
      </c>
      <c r="E1019" s="69"/>
      <c r="F1019" s="69"/>
      <c r="G1019" s="69"/>
      <c r="H1019" s="69"/>
      <c r="I1019" s="66"/>
      <c r="J1019" s="69"/>
      <c r="K1019" s="67"/>
      <c r="L1019" s="67"/>
      <c r="M1019" s="67"/>
      <c r="N1019" s="67"/>
      <c r="O1019" s="64"/>
      <c r="P1019" s="72" t="str">
        <f aca="false">IF(OR(B1019="",C1019=""),"",C1019&amp;"|"&amp;(YEAR(B1019)*100+MONTH(B1019)))</f>
        <v/>
      </c>
      <c r="Q1019" s="70" t="str">
        <f aca="false">IF(P1019="","",IF(COUNTIF(N_CLAVE,P1019)&gt;1,"⚠ Duplicado","OK"))</f>
        <v/>
      </c>
      <c r="R1019" s="74" t="str">
        <f aca="false">IF(OR(P1019="",U1019=""),"",MAX(0,U1019-N(E1019)-N(F1019)-N(H1019)))</f>
        <v/>
      </c>
      <c r="S1019" s="75" t="str">
        <f aca="false">IF(P1019="","",IFERROR(INDEX(T_INGRESO,MATCH(C1019,T_ID,0)),""))</f>
        <v/>
      </c>
      <c r="T1019" s="75" t="str">
        <f aca="false">IF(P1019="","",IFERROR(N(INDEX(T_EGRESO,MATCH(C1019,T_ID,0))),0))</f>
        <v/>
      </c>
      <c r="U1019" s="73" t="str">
        <f aca="false">IF(OR(P1019="",NOT(ISNUMBER(S1019))),"",IF(OR(S1019&gt;EOMONTH(B1019,0),AND(T1019&gt;0,T1019&lt;B1019)),0,IF(AND(S1019&lt;=B1019,OR(T1019=0,T1019&gt;=EOMONTH(B1019,0))),30,MIN(30,IF(T1019=0,EOMONTH(B1019,0),MIN(T1019,EOMONTH(B1019,0)))-MAX(B1019,S1019)+1))))</f>
        <v/>
      </c>
    </row>
    <row r="1020" customFormat="false" ht="15" hidden="false" customHeight="false" outlineLevel="0" collapsed="false">
      <c r="B1020" s="78"/>
      <c r="C1020" s="64"/>
      <c r="D1020" s="70" t="str">
        <f aca="false">IF(C1020="","",IFERROR(INDEX(T_NOMBRE,MATCH(C1020,T_ID,0)),"⚠ ID no existe"))</f>
        <v/>
      </c>
      <c r="E1020" s="69"/>
      <c r="F1020" s="69"/>
      <c r="G1020" s="69"/>
      <c r="H1020" s="69"/>
      <c r="I1020" s="66"/>
      <c r="J1020" s="69"/>
      <c r="K1020" s="67"/>
      <c r="L1020" s="67"/>
      <c r="M1020" s="67"/>
      <c r="N1020" s="67"/>
      <c r="O1020" s="64"/>
      <c r="P1020" s="72" t="str">
        <f aca="false">IF(OR(B1020="",C1020=""),"",C1020&amp;"|"&amp;(YEAR(B1020)*100+MONTH(B1020)))</f>
        <v/>
      </c>
      <c r="Q1020" s="70" t="str">
        <f aca="false">IF(P1020="","",IF(COUNTIF(N_CLAVE,P1020)&gt;1,"⚠ Duplicado","OK"))</f>
        <v/>
      </c>
      <c r="R1020" s="74" t="str">
        <f aca="false">IF(OR(P1020="",U1020=""),"",MAX(0,U1020-N(E1020)-N(F1020)-N(H1020)))</f>
        <v/>
      </c>
      <c r="S1020" s="75" t="str">
        <f aca="false">IF(P1020="","",IFERROR(INDEX(T_INGRESO,MATCH(C1020,T_ID,0)),""))</f>
        <v/>
      </c>
      <c r="T1020" s="75" t="str">
        <f aca="false">IF(P1020="","",IFERROR(N(INDEX(T_EGRESO,MATCH(C1020,T_ID,0))),0))</f>
        <v/>
      </c>
      <c r="U1020" s="73" t="str">
        <f aca="false">IF(OR(P1020="",NOT(ISNUMBER(S1020))),"",IF(OR(S1020&gt;EOMONTH(B1020,0),AND(T1020&gt;0,T1020&lt;B1020)),0,IF(AND(S1020&lt;=B1020,OR(T1020=0,T1020&gt;=EOMONTH(B1020,0))),30,MIN(30,IF(T1020=0,EOMONTH(B1020,0),MIN(T1020,EOMONTH(B1020,0)))-MAX(B1020,S1020)+1))))</f>
        <v/>
      </c>
    </row>
    <row r="1021" customFormat="false" ht="15" hidden="false" customHeight="false" outlineLevel="0" collapsed="false">
      <c r="B1021" s="78"/>
      <c r="C1021" s="64"/>
      <c r="D1021" s="70" t="str">
        <f aca="false">IF(C1021="","",IFERROR(INDEX(T_NOMBRE,MATCH(C1021,T_ID,0)),"⚠ ID no existe"))</f>
        <v/>
      </c>
      <c r="E1021" s="69"/>
      <c r="F1021" s="69"/>
      <c r="G1021" s="69"/>
      <c r="H1021" s="69"/>
      <c r="I1021" s="66"/>
      <c r="J1021" s="69"/>
      <c r="K1021" s="67"/>
      <c r="L1021" s="67"/>
      <c r="M1021" s="67"/>
      <c r="N1021" s="67"/>
      <c r="O1021" s="64"/>
      <c r="P1021" s="72" t="str">
        <f aca="false">IF(OR(B1021="",C1021=""),"",C1021&amp;"|"&amp;(YEAR(B1021)*100+MONTH(B1021)))</f>
        <v/>
      </c>
      <c r="Q1021" s="70" t="str">
        <f aca="false">IF(P1021="","",IF(COUNTIF(N_CLAVE,P1021)&gt;1,"⚠ Duplicado","OK"))</f>
        <v/>
      </c>
      <c r="R1021" s="74" t="str">
        <f aca="false">IF(OR(P1021="",U1021=""),"",MAX(0,U1021-N(E1021)-N(F1021)-N(H1021)))</f>
        <v/>
      </c>
      <c r="S1021" s="75" t="str">
        <f aca="false">IF(P1021="","",IFERROR(INDEX(T_INGRESO,MATCH(C1021,T_ID,0)),""))</f>
        <v/>
      </c>
      <c r="T1021" s="75" t="str">
        <f aca="false">IF(P1021="","",IFERROR(N(INDEX(T_EGRESO,MATCH(C1021,T_ID,0))),0))</f>
        <v/>
      </c>
      <c r="U1021" s="73" t="str">
        <f aca="false">IF(OR(P1021="",NOT(ISNUMBER(S1021))),"",IF(OR(S1021&gt;EOMONTH(B1021,0),AND(T1021&gt;0,T1021&lt;B1021)),0,IF(AND(S1021&lt;=B1021,OR(T1021=0,T1021&gt;=EOMONTH(B1021,0))),30,MIN(30,IF(T1021=0,EOMONTH(B1021,0),MIN(T1021,EOMONTH(B1021,0)))-MAX(B1021,S1021)+1))))</f>
        <v/>
      </c>
    </row>
    <row r="1022" customFormat="false" ht="15" hidden="false" customHeight="false" outlineLevel="0" collapsed="false">
      <c r="B1022" s="78"/>
      <c r="C1022" s="64"/>
      <c r="D1022" s="70" t="str">
        <f aca="false">IF(C1022="","",IFERROR(INDEX(T_NOMBRE,MATCH(C1022,T_ID,0)),"⚠ ID no existe"))</f>
        <v/>
      </c>
      <c r="E1022" s="69"/>
      <c r="F1022" s="69"/>
      <c r="G1022" s="69"/>
      <c r="H1022" s="69"/>
      <c r="I1022" s="66"/>
      <c r="J1022" s="69"/>
      <c r="K1022" s="67"/>
      <c r="L1022" s="67"/>
      <c r="M1022" s="67"/>
      <c r="N1022" s="67"/>
      <c r="O1022" s="64"/>
      <c r="P1022" s="72" t="str">
        <f aca="false">IF(OR(B1022="",C1022=""),"",C1022&amp;"|"&amp;(YEAR(B1022)*100+MONTH(B1022)))</f>
        <v/>
      </c>
      <c r="Q1022" s="70" t="str">
        <f aca="false">IF(P1022="","",IF(COUNTIF(N_CLAVE,P1022)&gt;1,"⚠ Duplicado","OK"))</f>
        <v/>
      </c>
      <c r="R1022" s="74" t="str">
        <f aca="false">IF(OR(P1022="",U1022=""),"",MAX(0,U1022-N(E1022)-N(F1022)-N(H1022)))</f>
        <v/>
      </c>
      <c r="S1022" s="75" t="str">
        <f aca="false">IF(P1022="","",IFERROR(INDEX(T_INGRESO,MATCH(C1022,T_ID,0)),""))</f>
        <v/>
      </c>
      <c r="T1022" s="75" t="str">
        <f aca="false">IF(P1022="","",IFERROR(N(INDEX(T_EGRESO,MATCH(C1022,T_ID,0))),0))</f>
        <v/>
      </c>
      <c r="U1022" s="73" t="str">
        <f aca="false">IF(OR(P1022="",NOT(ISNUMBER(S1022))),"",IF(OR(S1022&gt;EOMONTH(B1022,0),AND(T1022&gt;0,T1022&lt;B1022)),0,IF(AND(S1022&lt;=B1022,OR(T1022=0,T1022&gt;=EOMONTH(B1022,0))),30,MIN(30,IF(T1022=0,EOMONTH(B1022,0),MIN(T1022,EOMONTH(B1022,0)))-MAX(B1022,S1022)+1))))</f>
        <v/>
      </c>
    </row>
    <row r="1023" customFormat="false" ht="15" hidden="false" customHeight="false" outlineLevel="0" collapsed="false">
      <c r="B1023" s="78"/>
      <c r="C1023" s="64"/>
      <c r="D1023" s="70" t="str">
        <f aca="false">IF(C1023="","",IFERROR(INDEX(T_NOMBRE,MATCH(C1023,T_ID,0)),"⚠ ID no existe"))</f>
        <v/>
      </c>
      <c r="E1023" s="69"/>
      <c r="F1023" s="69"/>
      <c r="G1023" s="69"/>
      <c r="H1023" s="69"/>
      <c r="I1023" s="66"/>
      <c r="J1023" s="69"/>
      <c r="K1023" s="67"/>
      <c r="L1023" s="67"/>
      <c r="M1023" s="67"/>
      <c r="N1023" s="67"/>
      <c r="O1023" s="64"/>
      <c r="P1023" s="72" t="str">
        <f aca="false">IF(OR(B1023="",C1023=""),"",C1023&amp;"|"&amp;(YEAR(B1023)*100+MONTH(B1023)))</f>
        <v/>
      </c>
      <c r="Q1023" s="70" t="str">
        <f aca="false">IF(P1023="","",IF(COUNTIF(N_CLAVE,P1023)&gt;1,"⚠ Duplicado","OK"))</f>
        <v/>
      </c>
      <c r="R1023" s="74" t="str">
        <f aca="false">IF(OR(P1023="",U1023=""),"",MAX(0,U1023-N(E1023)-N(F1023)-N(H1023)))</f>
        <v/>
      </c>
      <c r="S1023" s="75" t="str">
        <f aca="false">IF(P1023="","",IFERROR(INDEX(T_INGRESO,MATCH(C1023,T_ID,0)),""))</f>
        <v/>
      </c>
      <c r="T1023" s="75" t="str">
        <f aca="false">IF(P1023="","",IFERROR(N(INDEX(T_EGRESO,MATCH(C1023,T_ID,0))),0))</f>
        <v/>
      </c>
      <c r="U1023" s="73" t="str">
        <f aca="false">IF(OR(P1023="",NOT(ISNUMBER(S1023))),"",IF(OR(S1023&gt;EOMONTH(B1023,0),AND(T1023&gt;0,T1023&lt;B1023)),0,IF(AND(S1023&lt;=B1023,OR(T1023=0,T1023&gt;=EOMONTH(B1023,0))),30,MIN(30,IF(T1023=0,EOMONTH(B1023,0),MIN(T1023,EOMONTH(B1023,0)))-MAX(B1023,S1023)+1))))</f>
        <v/>
      </c>
    </row>
    <row r="1024" customFormat="false" ht="15" hidden="false" customHeight="false" outlineLevel="0" collapsed="false">
      <c r="B1024" s="78"/>
      <c r="C1024" s="64"/>
      <c r="D1024" s="70" t="str">
        <f aca="false">IF(C1024="","",IFERROR(INDEX(T_NOMBRE,MATCH(C1024,T_ID,0)),"⚠ ID no existe"))</f>
        <v/>
      </c>
      <c r="E1024" s="69"/>
      <c r="F1024" s="69"/>
      <c r="G1024" s="69"/>
      <c r="H1024" s="69"/>
      <c r="I1024" s="66"/>
      <c r="J1024" s="69"/>
      <c r="K1024" s="67"/>
      <c r="L1024" s="67"/>
      <c r="M1024" s="67"/>
      <c r="N1024" s="67"/>
      <c r="O1024" s="64"/>
      <c r="P1024" s="72" t="str">
        <f aca="false">IF(OR(B1024="",C1024=""),"",C1024&amp;"|"&amp;(YEAR(B1024)*100+MONTH(B1024)))</f>
        <v/>
      </c>
      <c r="Q1024" s="70" t="str">
        <f aca="false">IF(P1024="","",IF(COUNTIF(N_CLAVE,P1024)&gt;1,"⚠ Duplicado","OK"))</f>
        <v/>
      </c>
      <c r="R1024" s="74" t="str">
        <f aca="false">IF(OR(P1024="",U1024=""),"",MAX(0,U1024-N(E1024)-N(F1024)-N(H1024)))</f>
        <v/>
      </c>
      <c r="S1024" s="75" t="str">
        <f aca="false">IF(P1024="","",IFERROR(INDEX(T_INGRESO,MATCH(C1024,T_ID,0)),""))</f>
        <v/>
      </c>
      <c r="T1024" s="75" t="str">
        <f aca="false">IF(P1024="","",IFERROR(N(INDEX(T_EGRESO,MATCH(C1024,T_ID,0))),0))</f>
        <v/>
      </c>
      <c r="U1024" s="73" t="str">
        <f aca="false">IF(OR(P1024="",NOT(ISNUMBER(S1024))),"",IF(OR(S1024&gt;EOMONTH(B1024,0),AND(T1024&gt;0,T1024&lt;B1024)),0,IF(AND(S1024&lt;=B1024,OR(T1024=0,T1024&gt;=EOMONTH(B1024,0))),30,MIN(30,IF(T1024=0,EOMONTH(B1024,0),MIN(T1024,EOMONTH(B1024,0)))-MAX(B1024,S1024)+1))))</f>
        <v/>
      </c>
    </row>
    <row r="1025" customFormat="false" ht="15" hidden="false" customHeight="false" outlineLevel="0" collapsed="false">
      <c r="B1025" s="78"/>
      <c r="C1025" s="64"/>
      <c r="D1025" s="70" t="str">
        <f aca="false">IF(C1025="","",IFERROR(INDEX(T_NOMBRE,MATCH(C1025,T_ID,0)),"⚠ ID no existe"))</f>
        <v/>
      </c>
      <c r="E1025" s="69"/>
      <c r="F1025" s="69"/>
      <c r="G1025" s="69"/>
      <c r="H1025" s="69"/>
      <c r="I1025" s="66"/>
      <c r="J1025" s="69"/>
      <c r="K1025" s="67"/>
      <c r="L1025" s="67"/>
      <c r="M1025" s="67"/>
      <c r="N1025" s="67"/>
      <c r="O1025" s="64"/>
      <c r="P1025" s="72" t="str">
        <f aca="false">IF(OR(B1025="",C1025=""),"",C1025&amp;"|"&amp;(YEAR(B1025)*100+MONTH(B1025)))</f>
        <v/>
      </c>
      <c r="Q1025" s="70" t="str">
        <f aca="false">IF(P1025="","",IF(COUNTIF(N_CLAVE,P1025)&gt;1,"⚠ Duplicado","OK"))</f>
        <v/>
      </c>
      <c r="R1025" s="74" t="str">
        <f aca="false">IF(OR(P1025="",U1025=""),"",MAX(0,U1025-N(E1025)-N(F1025)-N(H1025)))</f>
        <v/>
      </c>
      <c r="S1025" s="75" t="str">
        <f aca="false">IF(P1025="","",IFERROR(INDEX(T_INGRESO,MATCH(C1025,T_ID,0)),""))</f>
        <v/>
      </c>
      <c r="T1025" s="75" t="str">
        <f aca="false">IF(P1025="","",IFERROR(N(INDEX(T_EGRESO,MATCH(C1025,T_ID,0))),0))</f>
        <v/>
      </c>
      <c r="U1025" s="73" t="str">
        <f aca="false">IF(OR(P1025="",NOT(ISNUMBER(S1025))),"",IF(OR(S1025&gt;EOMONTH(B1025,0),AND(T1025&gt;0,T1025&lt;B1025)),0,IF(AND(S1025&lt;=B1025,OR(T1025=0,T1025&gt;=EOMONTH(B1025,0))),30,MIN(30,IF(T1025=0,EOMONTH(B1025,0),MIN(T1025,EOMONTH(B1025,0)))-MAX(B1025,S1025)+1))))</f>
        <v/>
      </c>
    </row>
    <row r="1026" customFormat="false" ht="15" hidden="false" customHeight="false" outlineLevel="0" collapsed="false">
      <c r="B1026" s="78"/>
      <c r="C1026" s="64"/>
      <c r="D1026" s="70" t="str">
        <f aca="false">IF(C1026="","",IFERROR(INDEX(T_NOMBRE,MATCH(C1026,T_ID,0)),"⚠ ID no existe"))</f>
        <v/>
      </c>
      <c r="E1026" s="69"/>
      <c r="F1026" s="69"/>
      <c r="G1026" s="69"/>
      <c r="H1026" s="69"/>
      <c r="I1026" s="66"/>
      <c r="J1026" s="69"/>
      <c r="K1026" s="67"/>
      <c r="L1026" s="67"/>
      <c r="M1026" s="67"/>
      <c r="N1026" s="67"/>
      <c r="O1026" s="64"/>
      <c r="P1026" s="72" t="str">
        <f aca="false">IF(OR(B1026="",C1026=""),"",C1026&amp;"|"&amp;(YEAR(B1026)*100+MONTH(B1026)))</f>
        <v/>
      </c>
      <c r="Q1026" s="70" t="str">
        <f aca="false">IF(P1026="","",IF(COUNTIF(N_CLAVE,P1026)&gt;1,"⚠ Duplicado","OK"))</f>
        <v/>
      </c>
      <c r="R1026" s="74" t="str">
        <f aca="false">IF(OR(P1026="",U1026=""),"",MAX(0,U1026-N(E1026)-N(F1026)-N(H1026)))</f>
        <v/>
      </c>
      <c r="S1026" s="75" t="str">
        <f aca="false">IF(P1026="","",IFERROR(INDEX(T_INGRESO,MATCH(C1026,T_ID,0)),""))</f>
        <v/>
      </c>
      <c r="T1026" s="75" t="str">
        <f aca="false">IF(P1026="","",IFERROR(N(INDEX(T_EGRESO,MATCH(C1026,T_ID,0))),0))</f>
        <v/>
      </c>
      <c r="U1026" s="73" t="str">
        <f aca="false">IF(OR(P1026="",NOT(ISNUMBER(S1026))),"",IF(OR(S1026&gt;EOMONTH(B1026,0),AND(T1026&gt;0,T1026&lt;B1026)),0,IF(AND(S1026&lt;=B1026,OR(T1026=0,T1026&gt;=EOMONTH(B1026,0))),30,MIN(30,IF(T1026=0,EOMONTH(B1026,0),MIN(T1026,EOMONTH(B1026,0)))-MAX(B1026,S1026)+1))))</f>
        <v/>
      </c>
    </row>
    <row r="1027" customFormat="false" ht="15" hidden="false" customHeight="false" outlineLevel="0" collapsed="false">
      <c r="B1027" s="78"/>
      <c r="C1027" s="64"/>
      <c r="D1027" s="70" t="str">
        <f aca="false">IF(C1027="","",IFERROR(INDEX(T_NOMBRE,MATCH(C1027,T_ID,0)),"⚠ ID no existe"))</f>
        <v/>
      </c>
      <c r="E1027" s="69"/>
      <c r="F1027" s="69"/>
      <c r="G1027" s="69"/>
      <c r="H1027" s="69"/>
      <c r="I1027" s="66"/>
      <c r="J1027" s="69"/>
      <c r="K1027" s="67"/>
      <c r="L1027" s="67"/>
      <c r="M1027" s="67"/>
      <c r="N1027" s="67"/>
      <c r="O1027" s="64"/>
      <c r="P1027" s="72" t="str">
        <f aca="false">IF(OR(B1027="",C1027=""),"",C1027&amp;"|"&amp;(YEAR(B1027)*100+MONTH(B1027)))</f>
        <v/>
      </c>
      <c r="Q1027" s="70" t="str">
        <f aca="false">IF(P1027="","",IF(COUNTIF(N_CLAVE,P1027)&gt;1,"⚠ Duplicado","OK"))</f>
        <v/>
      </c>
      <c r="R1027" s="74" t="str">
        <f aca="false">IF(OR(P1027="",U1027=""),"",MAX(0,U1027-N(E1027)-N(F1027)-N(H1027)))</f>
        <v/>
      </c>
      <c r="S1027" s="75" t="str">
        <f aca="false">IF(P1027="","",IFERROR(INDEX(T_INGRESO,MATCH(C1027,T_ID,0)),""))</f>
        <v/>
      </c>
      <c r="T1027" s="75" t="str">
        <f aca="false">IF(P1027="","",IFERROR(N(INDEX(T_EGRESO,MATCH(C1027,T_ID,0))),0))</f>
        <v/>
      </c>
      <c r="U1027" s="73" t="str">
        <f aca="false">IF(OR(P1027="",NOT(ISNUMBER(S1027))),"",IF(OR(S1027&gt;EOMONTH(B1027,0),AND(T1027&gt;0,T1027&lt;B1027)),0,IF(AND(S1027&lt;=B1027,OR(T1027=0,T1027&gt;=EOMONTH(B1027,0))),30,MIN(30,IF(T1027=0,EOMONTH(B1027,0),MIN(T1027,EOMONTH(B1027,0)))-MAX(B1027,S1027)+1))))</f>
        <v/>
      </c>
    </row>
    <row r="1028" customFormat="false" ht="15" hidden="false" customHeight="false" outlineLevel="0" collapsed="false">
      <c r="B1028" s="78"/>
      <c r="C1028" s="64"/>
      <c r="D1028" s="70" t="str">
        <f aca="false">IF(C1028="","",IFERROR(INDEX(T_NOMBRE,MATCH(C1028,T_ID,0)),"⚠ ID no existe"))</f>
        <v/>
      </c>
      <c r="E1028" s="69"/>
      <c r="F1028" s="69"/>
      <c r="G1028" s="69"/>
      <c r="H1028" s="69"/>
      <c r="I1028" s="66"/>
      <c r="J1028" s="69"/>
      <c r="K1028" s="67"/>
      <c r="L1028" s="67"/>
      <c r="M1028" s="67"/>
      <c r="N1028" s="67"/>
      <c r="O1028" s="64"/>
      <c r="P1028" s="72" t="str">
        <f aca="false">IF(OR(B1028="",C1028=""),"",C1028&amp;"|"&amp;(YEAR(B1028)*100+MONTH(B1028)))</f>
        <v/>
      </c>
      <c r="Q1028" s="70" t="str">
        <f aca="false">IF(P1028="","",IF(COUNTIF(N_CLAVE,P1028)&gt;1,"⚠ Duplicado","OK"))</f>
        <v/>
      </c>
      <c r="R1028" s="74" t="str">
        <f aca="false">IF(OR(P1028="",U1028=""),"",MAX(0,U1028-N(E1028)-N(F1028)-N(H1028)))</f>
        <v/>
      </c>
      <c r="S1028" s="75" t="str">
        <f aca="false">IF(P1028="","",IFERROR(INDEX(T_INGRESO,MATCH(C1028,T_ID,0)),""))</f>
        <v/>
      </c>
      <c r="T1028" s="75" t="str">
        <f aca="false">IF(P1028="","",IFERROR(N(INDEX(T_EGRESO,MATCH(C1028,T_ID,0))),0))</f>
        <v/>
      </c>
      <c r="U1028" s="73" t="str">
        <f aca="false">IF(OR(P1028="",NOT(ISNUMBER(S1028))),"",IF(OR(S1028&gt;EOMONTH(B1028,0),AND(T1028&gt;0,T1028&lt;B1028)),0,IF(AND(S1028&lt;=B1028,OR(T1028=0,T1028&gt;=EOMONTH(B1028,0))),30,MIN(30,IF(T1028=0,EOMONTH(B1028,0),MIN(T1028,EOMONTH(B1028,0)))-MAX(B1028,S1028)+1))))</f>
        <v/>
      </c>
    </row>
    <row r="1029" customFormat="false" ht="15" hidden="false" customHeight="false" outlineLevel="0" collapsed="false">
      <c r="B1029" s="78"/>
      <c r="C1029" s="64"/>
      <c r="D1029" s="70" t="str">
        <f aca="false">IF(C1029="","",IFERROR(INDEX(T_NOMBRE,MATCH(C1029,T_ID,0)),"⚠ ID no existe"))</f>
        <v/>
      </c>
      <c r="E1029" s="69"/>
      <c r="F1029" s="69"/>
      <c r="G1029" s="69"/>
      <c r="H1029" s="69"/>
      <c r="I1029" s="66"/>
      <c r="J1029" s="69"/>
      <c r="K1029" s="67"/>
      <c r="L1029" s="67"/>
      <c r="M1029" s="67"/>
      <c r="N1029" s="67"/>
      <c r="O1029" s="64"/>
      <c r="P1029" s="72" t="str">
        <f aca="false">IF(OR(B1029="",C1029=""),"",C1029&amp;"|"&amp;(YEAR(B1029)*100+MONTH(B1029)))</f>
        <v/>
      </c>
      <c r="Q1029" s="70" t="str">
        <f aca="false">IF(P1029="","",IF(COUNTIF(N_CLAVE,P1029)&gt;1,"⚠ Duplicado","OK"))</f>
        <v/>
      </c>
      <c r="R1029" s="74" t="str">
        <f aca="false">IF(OR(P1029="",U1029=""),"",MAX(0,U1029-N(E1029)-N(F1029)-N(H1029)))</f>
        <v/>
      </c>
      <c r="S1029" s="75" t="str">
        <f aca="false">IF(P1029="","",IFERROR(INDEX(T_INGRESO,MATCH(C1029,T_ID,0)),""))</f>
        <v/>
      </c>
      <c r="T1029" s="75" t="str">
        <f aca="false">IF(P1029="","",IFERROR(N(INDEX(T_EGRESO,MATCH(C1029,T_ID,0))),0))</f>
        <v/>
      </c>
      <c r="U1029" s="73" t="str">
        <f aca="false">IF(OR(P1029="",NOT(ISNUMBER(S1029))),"",IF(OR(S1029&gt;EOMONTH(B1029,0),AND(T1029&gt;0,T1029&lt;B1029)),0,IF(AND(S1029&lt;=B1029,OR(T1029=0,T1029&gt;=EOMONTH(B1029,0))),30,MIN(30,IF(T1029=0,EOMONTH(B1029,0),MIN(T1029,EOMONTH(B1029,0)))-MAX(B1029,S1029)+1))))</f>
        <v/>
      </c>
    </row>
    <row r="1030" customFormat="false" ht="15" hidden="false" customHeight="false" outlineLevel="0" collapsed="false">
      <c r="B1030" s="78"/>
      <c r="C1030" s="64"/>
      <c r="D1030" s="70" t="str">
        <f aca="false">IF(C1030="","",IFERROR(INDEX(T_NOMBRE,MATCH(C1030,T_ID,0)),"⚠ ID no existe"))</f>
        <v/>
      </c>
      <c r="E1030" s="69"/>
      <c r="F1030" s="69"/>
      <c r="G1030" s="69"/>
      <c r="H1030" s="69"/>
      <c r="I1030" s="66"/>
      <c r="J1030" s="69"/>
      <c r="K1030" s="67"/>
      <c r="L1030" s="67"/>
      <c r="M1030" s="67"/>
      <c r="N1030" s="67"/>
      <c r="O1030" s="64"/>
      <c r="P1030" s="72" t="str">
        <f aca="false">IF(OR(B1030="",C1030=""),"",C1030&amp;"|"&amp;(YEAR(B1030)*100+MONTH(B1030)))</f>
        <v/>
      </c>
      <c r="Q1030" s="70" t="str">
        <f aca="false">IF(P1030="","",IF(COUNTIF(N_CLAVE,P1030)&gt;1,"⚠ Duplicado","OK"))</f>
        <v/>
      </c>
      <c r="R1030" s="74" t="str">
        <f aca="false">IF(OR(P1030="",U1030=""),"",MAX(0,U1030-N(E1030)-N(F1030)-N(H1030)))</f>
        <v/>
      </c>
      <c r="S1030" s="75" t="str">
        <f aca="false">IF(P1030="","",IFERROR(INDEX(T_INGRESO,MATCH(C1030,T_ID,0)),""))</f>
        <v/>
      </c>
      <c r="T1030" s="75" t="str">
        <f aca="false">IF(P1030="","",IFERROR(N(INDEX(T_EGRESO,MATCH(C1030,T_ID,0))),0))</f>
        <v/>
      </c>
      <c r="U1030" s="73" t="str">
        <f aca="false">IF(OR(P1030="",NOT(ISNUMBER(S1030))),"",IF(OR(S1030&gt;EOMONTH(B1030,0),AND(T1030&gt;0,T1030&lt;B1030)),0,IF(AND(S1030&lt;=B1030,OR(T1030=0,T1030&gt;=EOMONTH(B1030,0))),30,MIN(30,IF(T1030=0,EOMONTH(B1030,0),MIN(T1030,EOMONTH(B1030,0)))-MAX(B1030,S1030)+1))))</f>
        <v/>
      </c>
    </row>
    <row r="1031" customFormat="false" ht="15" hidden="false" customHeight="false" outlineLevel="0" collapsed="false">
      <c r="B1031" s="78"/>
      <c r="C1031" s="64"/>
      <c r="D1031" s="70" t="str">
        <f aca="false">IF(C1031="","",IFERROR(INDEX(T_NOMBRE,MATCH(C1031,T_ID,0)),"⚠ ID no existe"))</f>
        <v/>
      </c>
      <c r="E1031" s="69"/>
      <c r="F1031" s="69"/>
      <c r="G1031" s="69"/>
      <c r="H1031" s="69"/>
      <c r="I1031" s="66"/>
      <c r="J1031" s="69"/>
      <c r="K1031" s="67"/>
      <c r="L1031" s="67"/>
      <c r="M1031" s="67"/>
      <c r="N1031" s="67"/>
      <c r="O1031" s="64"/>
      <c r="P1031" s="72" t="str">
        <f aca="false">IF(OR(B1031="",C1031=""),"",C1031&amp;"|"&amp;(YEAR(B1031)*100+MONTH(B1031)))</f>
        <v/>
      </c>
      <c r="Q1031" s="70" t="str">
        <f aca="false">IF(P1031="","",IF(COUNTIF(N_CLAVE,P1031)&gt;1,"⚠ Duplicado","OK"))</f>
        <v/>
      </c>
      <c r="R1031" s="74" t="str">
        <f aca="false">IF(OR(P1031="",U1031=""),"",MAX(0,U1031-N(E1031)-N(F1031)-N(H1031)))</f>
        <v/>
      </c>
      <c r="S1031" s="75" t="str">
        <f aca="false">IF(P1031="","",IFERROR(INDEX(T_INGRESO,MATCH(C1031,T_ID,0)),""))</f>
        <v/>
      </c>
      <c r="T1031" s="75" t="str">
        <f aca="false">IF(P1031="","",IFERROR(N(INDEX(T_EGRESO,MATCH(C1031,T_ID,0))),0))</f>
        <v/>
      </c>
      <c r="U1031" s="73" t="str">
        <f aca="false">IF(OR(P1031="",NOT(ISNUMBER(S1031))),"",IF(OR(S1031&gt;EOMONTH(B1031,0),AND(T1031&gt;0,T1031&lt;B1031)),0,IF(AND(S1031&lt;=B1031,OR(T1031=0,T1031&gt;=EOMONTH(B1031,0))),30,MIN(30,IF(T1031=0,EOMONTH(B1031,0),MIN(T1031,EOMONTH(B1031,0)))-MAX(B1031,S1031)+1))))</f>
        <v/>
      </c>
    </row>
    <row r="1032" customFormat="false" ht="15" hidden="false" customHeight="false" outlineLevel="0" collapsed="false">
      <c r="B1032" s="78"/>
      <c r="C1032" s="64"/>
      <c r="D1032" s="70" t="str">
        <f aca="false">IF(C1032="","",IFERROR(INDEX(T_NOMBRE,MATCH(C1032,T_ID,0)),"⚠ ID no existe"))</f>
        <v/>
      </c>
      <c r="E1032" s="69"/>
      <c r="F1032" s="69"/>
      <c r="G1032" s="69"/>
      <c r="H1032" s="69"/>
      <c r="I1032" s="66"/>
      <c r="J1032" s="69"/>
      <c r="K1032" s="67"/>
      <c r="L1032" s="67"/>
      <c r="M1032" s="67"/>
      <c r="N1032" s="67"/>
      <c r="O1032" s="64"/>
      <c r="P1032" s="72" t="str">
        <f aca="false">IF(OR(B1032="",C1032=""),"",C1032&amp;"|"&amp;(YEAR(B1032)*100+MONTH(B1032)))</f>
        <v/>
      </c>
      <c r="Q1032" s="70" t="str">
        <f aca="false">IF(P1032="","",IF(COUNTIF(N_CLAVE,P1032)&gt;1,"⚠ Duplicado","OK"))</f>
        <v/>
      </c>
      <c r="R1032" s="74" t="str">
        <f aca="false">IF(OR(P1032="",U1032=""),"",MAX(0,U1032-N(E1032)-N(F1032)-N(H1032)))</f>
        <v/>
      </c>
      <c r="S1032" s="75" t="str">
        <f aca="false">IF(P1032="","",IFERROR(INDEX(T_INGRESO,MATCH(C1032,T_ID,0)),""))</f>
        <v/>
      </c>
      <c r="T1032" s="75" t="str">
        <f aca="false">IF(P1032="","",IFERROR(N(INDEX(T_EGRESO,MATCH(C1032,T_ID,0))),0))</f>
        <v/>
      </c>
      <c r="U1032" s="73" t="str">
        <f aca="false">IF(OR(P1032="",NOT(ISNUMBER(S1032))),"",IF(OR(S1032&gt;EOMONTH(B1032,0),AND(T1032&gt;0,T1032&lt;B1032)),0,IF(AND(S1032&lt;=B1032,OR(T1032=0,T1032&gt;=EOMONTH(B1032,0))),30,MIN(30,IF(T1032=0,EOMONTH(B1032,0),MIN(T1032,EOMONTH(B1032,0)))-MAX(B1032,S1032)+1))))</f>
        <v/>
      </c>
    </row>
    <row r="1033" customFormat="false" ht="15" hidden="false" customHeight="false" outlineLevel="0" collapsed="false">
      <c r="B1033" s="78"/>
      <c r="C1033" s="64"/>
      <c r="D1033" s="70" t="str">
        <f aca="false">IF(C1033="","",IFERROR(INDEX(T_NOMBRE,MATCH(C1033,T_ID,0)),"⚠ ID no existe"))</f>
        <v/>
      </c>
      <c r="E1033" s="69"/>
      <c r="F1033" s="69"/>
      <c r="G1033" s="69"/>
      <c r="H1033" s="69"/>
      <c r="I1033" s="66"/>
      <c r="J1033" s="69"/>
      <c r="K1033" s="67"/>
      <c r="L1033" s="67"/>
      <c r="M1033" s="67"/>
      <c r="N1033" s="67"/>
      <c r="O1033" s="64"/>
      <c r="P1033" s="72" t="str">
        <f aca="false">IF(OR(B1033="",C1033=""),"",C1033&amp;"|"&amp;(YEAR(B1033)*100+MONTH(B1033)))</f>
        <v/>
      </c>
      <c r="Q1033" s="70" t="str">
        <f aca="false">IF(P1033="","",IF(COUNTIF(N_CLAVE,P1033)&gt;1,"⚠ Duplicado","OK"))</f>
        <v/>
      </c>
      <c r="R1033" s="74" t="str">
        <f aca="false">IF(OR(P1033="",U1033=""),"",MAX(0,U1033-N(E1033)-N(F1033)-N(H1033)))</f>
        <v/>
      </c>
      <c r="S1033" s="75" t="str">
        <f aca="false">IF(P1033="","",IFERROR(INDEX(T_INGRESO,MATCH(C1033,T_ID,0)),""))</f>
        <v/>
      </c>
      <c r="T1033" s="75" t="str">
        <f aca="false">IF(P1033="","",IFERROR(N(INDEX(T_EGRESO,MATCH(C1033,T_ID,0))),0))</f>
        <v/>
      </c>
      <c r="U1033" s="73" t="str">
        <f aca="false">IF(OR(P1033="",NOT(ISNUMBER(S1033))),"",IF(OR(S1033&gt;EOMONTH(B1033,0),AND(T1033&gt;0,T1033&lt;B1033)),0,IF(AND(S1033&lt;=B1033,OR(T1033=0,T1033&gt;=EOMONTH(B1033,0))),30,MIN(30,IF(T1033=0,EOMONTH(B1033,0),MIN(T1033,EOMONTH(B1033,0)))-MAX(B1033,S1033)+1))))</f>
        <v/>
      </c>
    </row>
    <row r="1034" customFormat="false" ht="15" hidden="false" customHeight="false" outlineLevel="0" collapsed="false">
      <c r="B1034" s="78"/>
      <c r="C1034" s="64"/>
      <c r="D1034" s="70" t="str">
        <f aca="false">IF(C1034="","",IFERROR(INDEX(T_NOMBRE,MATCH(C1034,T_ID,0)),"⚠ ID no existe"))</f>
        <v/>
      </c>
      <c r="E1034" s="69"/>
      <c r="F1034" s="69"/>
      <c r="G1034" s="69"/>
      <c r="H1034" s="69"/>
      <c r="I1034" s="66"/>
      <c r="J1034" s="69"/>
      <c r="K1034" s="67"/>
      <c r="L1034" s="67"/>
      <c r="M1034" s="67"/>
      <c r="N1034" s="67"/>
      <c r="O1034" s="64"/>
      <c r="P1034" s="72" t="str">
        <f aca="false">IF(OR(B1034="",C1034=""),"",C1034&amp;"|"&amp;(YEAR(B1034)*100+MONTH(B1034)))</f>
        <v/>
      </c>
      <c r="Q1034" s="70" t="str">
        <f aca="false">IF(P1034="","",IF(COUNTIF(N_CLAVE,P1034)&gt;1,"⚠ Duplicado","OK"))</f>
        <v/>
      </c>
      <c r="R1034" s="74" t="str">
        <f aca="false">IF(OR(P1034="",U1034=""),"",MAX(0,U1034-N(E1034)-N(F1034)-N(H1034)))</f>
        <v/>
      </c>
      <c r="S1034" s="75" t="str">
        <f aca="false">IF(P1034="","",IFERROR(INDEX(T_INGRESO,MATCH(C1034,T_ID,0)),""))</f>
        <v/>
      </c>
      <c r="T1034" s="75" t="str">
        <f aca="false">IF(P1034="","",IFERROR(N(INDEX(T_EGRESO,MATCH(C1034,T_ID,0))),0))</f>
        <v/>
      </c>
      <c r="U1034" s="73" t="str">
        <f aca="false">IF(OR(P1034="",NOT(ISNUMBER(S1034))),"",IF(OR(S1034&gt;EOMONTH(B1034,0),AND(T1034&gt;0,T1034&lt;B1034)),0,IF(AND(S1034&lt;=B1034,OR(T1034=0,T1034&gt;=EOMONTH(B1034,0))),30,MIN(30,IF(T1034=0,EOMONTH(B1034,0),MIN(T1034,EOMONTH(B1034,0)))-MAX(B1034,S1034)+1))))</f>
        <v/>
      </c>
    </row>
    <row r="1035" customFormat="false" ht="15" hidden="false" customHeight="false" outlineLevel="0" collapsed="false">
      <c r="B1035" s="78"/>
      <c r="C1035" s="64"/>
      <c r="D1035" s="70" t="str">
        <f aca="false">IF(C1035="","",IFERROR(INDEX(T_NOMBRE,MATCH(C1035,T_ID,0)),"⚠ ID no existe"))</f>
        <v/>
      </c>
      <c r="E1035" s="69"/>
      <c r="F1035" s="69"/>
      <c r="G1035" s="69"/>
      <c r="H1035" s="69"/>
      <c r="I1035" s="66"/>
      <c r="J1035" s="69"/>
      <c r="K1035" s="67"/>
      <c r="L1035" s="67"/>
      <c r="M1035" s="67"/>
      <c r="N1035" s="67"/>
      <c r="O1035" s="64"/>
      <c r="P1035" s="72" t="str">
        <f aca="false">IF(OR(B1035="",C1035=""),"",C1035&amp;"|"&amp;(YEAR(B1035)*100+MONTH(B1035)))</f>
        <v/>
      </c>
      <c r="Q1035" s="70" t="str">
        <f aca="false">IF(P1035="","",IF(COUNTIF(N_CLAVE,P1035)&gt;1,"⚠ Duplicado","OK"))</f>
        <v/>
      </c>
      <c r="R1035" s="74" t="str">
        <f aca="false">IF(OR(P1035="",U1035=""),"",MAX(0,U1035-N(E1035)-N(F1035)-N(H1035)))</f>
        <v/>
      </c>
      <c r="S1035" s="75" t="str">
        <f aca="false">IF(P1035="","",IFERROR(INDEX(T_INGRESO,MATCH(C1035,T_ID,0)),""))</f>
        <v/>
      </c>
      <c r="T1035" s="75" t="str">
        <f aca="false">IF(P1035="","",IFERROR(N(INDEX(T_EGRESO,MATCH(C1035,T_ID,0))),0))</f>
        <v/>
      </c>
      <c r="U1035" s="73" t="str">
        <f aca="false">IF(OR(P1035="",NOT(ISNUMBER(S1035))),"",IF(OR(S1035&gt;EOMONTH(B1035,0),AND(T1035&gt;0,T1035&lt;B1035)),0,IF(AND(S1035&lt;=B1035,OR(T1035=0,T1035&gt;=EOMONTH(B1035,0))),30,MIN(30,IF(T1035=0,EOMONTH(B1035,0),MIN(T1035,EOMONTH(B1035,0)))-MAX(B1035,S1035)+1))))</f>
        <v/>
      </c>
    </row>
    <row r="1036" customFormat="false" ht="15" hidden="false" customHeight="false" outlineLevel="0" collapsed="false">
      <c r="B1036" s="78"/>
      <c r="C1036" s="64"/>
      <c r="D1036" s="70" t="str">
        <f aca="false">IF(C1036="","",IFERROR(INDEX(T_NOMBRE,MATCH(C1036,T_ID,0)),"⚠ ID no existe"))</f>
        <v/>
      </c>
      <c r="E1036" s="69"/>
      <c r="F1036" s="69"/>
      <c r="G1036" s="69"/>
      <c r="H1036" s="69"/>
      <c r="I1036" s="66"/>
      <c r="J1036" s="69"/>
      <c r="K1036" s="67"/>
      <c r="L1036" s="67"/>
      <c r="M1036" s="67"/>
      <c r="N1036" s="67"/>
      <c r="O1036" s="64"/>
      <c r="P1036" s="72" t="str">
        <f aca="false">IF(OR(B1036="",C1036=""),"",C1036&amp;"|"&amp;(YEAR(B1036)*100+MONTH(B1036)))</f>
        <v/>
      </c>
      <c r="Q1036" s="70" t="str">
        <f aca="false">IF(P1036="","",IF(COUNTIF(N_CLAVE,P1036)&gt;1,"⚠ Duplicado","OK"))</f>
        <v/>
      </c>
      <c r="R1036" s="74" t="str">
        <f aca="false">IF(OR(P1036="",U1036=""),"",MAX(0,U1036-N(E1036)-N(F1036)-N(H1036)))</f>
        <v/>
      </c>
      <c r="S1036" s="75" t="str">
        <f aca="false">IF(P1036="","",IFERROR(INDEX(T_INGRESO,MATCH(C1036,T_ID,0)),""))</f>
        <v/>
      </c>
      <c r="T1036" s="75" t="str">
        <f aca="false">IF(P1036="","",IFERROR(N(INDEX(T_EGRESO,MATCH(C1036,T_ID,0))),0))</f>
        <v/>
      </c>
      <c r="U1036" s="73" t="str">
        <f aca="false">IF(OR(P1036="",NOT(ISNUMBER(S1036))),"",IF(OR(S1036&gt;EOMONTH(B1036,0),AND(T1036&gt;0,T1036&lt;B1036)),0,IF(AND(S1036&lt;=B1036,OR(T1036=0,T1036&gt;=EOMONTH(B1036,0))),30,MIN(30,IF(T1036=0,EOMONTH(B1036,0),MIN(T1036,EOMONTH(B1036,0)))-MAX(B1036,S1036)+1))))</f>
        <v/>
      </c>
    </row>
    <row r="1037" customFormat="false" ht="15" hidden="false" customHeight="false" outlineLevel="0" collapsed="false">
      <c r="B1037" s="78"/>
      <c r="C1037" s="64"/>
      <c r="D1037" s="70" t="str">
        <f aca="false">IF(C1037="","",IFERROR(INDEX(T_NOMBRE,MATCH(C1037,T_ID,0)),"⚠ ID no existe"))</f>
        <v/>
      </c>
      <c r="E1037" s="69"/>
      <c r="F1037" s="69"/>
      <c r="G1037" s="69"/>
      <c r="H1037" s="69"/>
      <c r="I1037" s="66"/>
      <c r="J1037" s="69"/>
      <c r="K1037" s="67"/>
      <c r="L1037" s="67"/>
      <c r="M1037" s="67"/>
      <c r="N1037" s="67"/>
      <c r="O1037" s="64"/>
      <c r="P1037" s="72" t="str">
        <f aca="false">IF(OR(B1037="",C1037=""),"",C1037&amp;"|"&amp;(YEAR(B1037)*100+MONTH(B1037)))</f>
        <v/>
      </c>
      <c r="Q1037" s="70" t="str">
        <f aca="false">IF(P1037="","",IF(COUNTIF(N_CLAVE,P1037)&gt;1,"⚠ Duplicado","OK"))</f>
        <v/>
      </c>
      <c r="R1037" s="74" t="str">
        <f aca="false">IF(OR(P1037="",U1037=""),"",MAX(0,U1037-N(E1037)-N(F1037)-N(H1037)))</f>
        <v/>
      </c>
      <c r="S1037" s="75" t="str">
        <f aca="false">IF(P1037="","",IFERROR(INDEX(T_INGRESO,MATCH(C1037,T_ID,0)),""))</f>
        <v/>
      </c>
      <c r="T1037" s="75" t="str">
        <f aca="false">IF(P1037="","",IFERROR(N(INDEX(T_EGRESO,MATCH(C1037,T_ID,0))),0))</f>
        <v/>
      </c>
      <c r="U1037" s="73" t="str">
        <f aca="false">IF(OR(P1037="",NOT(ISNUMBER(S1037))),"",IF(OR(S1037&gt;EOMONTH(B1037,0),AND(T1037&gt;0,T1037&lt;B1037)),0,IF(AND(S1037&lt;=B1037,OR(T1037=0,T1037&gt;=EOMONTH(B1037,0))),30,MIN(30,IF(T1037=0,EOMONTH(B1037,0),MIN(T1037,EOMONTH(B1037,0)))-MAX(B1037,S1037)+1))))</f>
        <v/>
      </c>
    </row>
    <row r="1038" customFormat="false" ht="15" hidden="false" customHeight="false" outlineLevel="0" collapsed="false">
      <c r="B1038" s="78"/>
      <c r="C1038" s="64"/>
      <c r="D1038" s="70" t="str">
        <f aca="false">IF(C1038="","",IFERROR(INDEX(T_NOMBRE,MATCH(C1038,T_ID,0)),"⚠ ID no existe"))</f>
        <v/>
      </c>
      <c r="E1038" s="69"/>
      <c r="F1038" s="69"/>
      <c r="G1038" s="69"/>
      <c r="H1038" s="69"/>
      <c r="I1038" s="66"/>
      <c r="J1038" s="69"/>
      <c r="K1038" s="67"/>
      <c r="L1038" s="67"/>
      <c r="M1038" s="67"/>
      <c r="N1038" s="67"/>
      <c r="O1038" s="64"/>
      <c r="P1038" s="72" t="str">
        <f aca="false">IF(OR(B1038="",C1038=""),"",C1038&amp;"|"&amp;(YEAR(B1038)*100+MONTH(B1038)))</f>
        <v/>
      </c>
      <c r="Q1038" s="70" t="str">
        <f aca="false">IF(P1038="","",IF(COUNTIF(N_CLAVE,P1038)&gt;1,"⚠ Duplicado","OK"))</f>
        <v/>
      </c>
      <c r="R1038" s="74" t="str">
        <f aca="false">IF(OR(P1038="",U1038=""),"",MAX(0,U1038-N(E1038)-N(F1038)-N(H1038)))</f>
        <v/>
      </c>
      <c r="S1038" s="75" t="str">
        <f aca="false">IF(P1038="","",IFERROR(INDEX(T_INGRESO,MATCH(C1038,T_ID,0)),""))</f>
        <v/>
      </c>
      <c r="T1038" s="75" t="str">
        <f aca="false">IF(P1038="","",IFERROR(N(INDEX(T_EGRESO,MATCH(C1038,T_ID,0))),0))</f>
        <v/>
      </c>
      <c r="U1038" s="73" t="str">
        <f aca="false">IF(OR(P1038="",NOT(ISNUMBER(S1038))),"",IF(OR(S1038&gt;EOMONTH(B1038,0),AND(T1038&gt;0,T1038&lt;B1038)),0,IF(AND(S1038&lt;=B1038,OR(T1038=0,T1038&gt;=EOMONTH(B1038,0))),30,MIN(30,IF(T1038=0,EOMONTH(B1038,0),MIN(T1038,EOMONTH(B1038,0)))-MAX(B1038,S1038)+1))))</f>
        <v/>
      </c>
    </row>
    <row r="1039" customFormat="false" ht="15" hidden="false" customHeight="false" outlineLevel="0" collapsed="false">
      <c r="B1039" s="78"/>
      <c r="C1039" s="64"/>
      <c r="D1039" s="70" t="str">
        <f aca="false">IF(C1039="","",IFERROR(INDEX(T_NOMBRE,MATCH(C1039,T_ID,0)),"⚠ ID no existe"))</f>
        <v/>
      </c>
      <c r="E1039" s="69"/>
      <c r="F1039" s="69"/>
      <c r="G1039" s="69"/>
      <c r="H1039" s="69"/>
      <c r="I1039" s="66"/>
      <c r="J1039" s="69"/>
      <c r="K1039" s="67"/>
      <c r="L1039" s="67"/>
      <c r="M1039" s="67"/>
      <c r="N1039" s="67"/>
      <c r="O1039" s="64"/>
      <c r="P1039" s="72" t="str">
        <f aca="false">IF(OR(B1039="",C1039=""),"",C1039&amp;"|"&amp;(YEAR(B1039)*100+MONTH(B1039)))</f>
        <v/>
      </c>
      <c r="Q1039" s="70" t="str">
        <f aca="false">IF(P1039="","",IF(COUNTIF(N_CLAVE,P1039)&gt;1,"⚠ Duplicado","OK"))</f>
        <v/>
      </c>
      <c r="R1039" s="74" t="str">
        <f aca="false">IF(OR(P1039="",U1039=""),"",MAX(0,U1039-N(E1039)-N(F1039)-N(H1039)))</f>
        <v/>
      </c>
      <c r="S1039" s="75" t="str">
        <f aca="false">IF(P1039="","",IFERROR(INDEX(T_INGRESO,MATCH(C1039,T_ID,0)),""))</f>
        <v/>
      </c>
      <c r="T1039" s="75" t="str">
        <f aca="false">IF(P1039="","",IFERROR(N(INDEX(T_EGRESO,MATCH(C1039,T_ID,0))),0))</f>
        <v/>
      </c>
      <c r="U1039" s="73" t="str">
        <f aca="false">IF(OR(P1039="",NOT(ISNUMBER(S1039))),"",IF(OR(S1039&gt;EOMONTH(B1039,0),AND(T1039&gt;0,T1039&lt;B1039)),0,IF(AND(S1039&lt;=B1039,OR(T1039=0,T1039&gt;=EOMONTH(B1039,0))),30,MIN(30,IF(T1039=0,EOMONTH(B1039,0),MIN(T1039,EOMONTH(B1039,0)))-MAX(B1039,S1039)+1))))</f>
        <v/>
      </c>
    </row>
    <row r="1040" customFormat="false" ht="15" hidden="false" customHeight="false" outlineLevel="0" collapsed="false">
      <c r="B1040" s="78"/>
      <c r="C1040" s="64"/>
      <c r="D1040" s="70" t="str">
        <f aca="false">IF(C1040="","",IFERROR(INDEX(T_NOMBRE,MATCH(C1040,T_ID,0)),"⚠ ID no existe"))</f>
        <v/>
      </c>
      <c r="E1040" s="69"/>
      <c r="F1040" s="69"/>
      <c r="G1040" s="69"/>
      <c r="H1040" s="69"/>
      <c r="I1040" s="66"/>
      <c r="J1040" s="69"/>
      <c r="K1040" s="67"/>
      <c r="L1040" s="67"/>
      <c r="M1040" s="67"/>
      <c r="N1040" s="67"/>
      <c r="O1040" s="64"/>
      <c r="P1040" s="72" t="str">
        <f aca="false">IF(OR(B1040="",C1040=""),"",C1040&amp;"|"&amp;(YEAR(B1040)*100+MONTH(B1040)))</f>
        <v/>
      </c>
      <c r="Q1040" s="70" t="str">
        <f aca="false">IF(P1040="","",IF(COUNTIF(N_CLAVE,P1040)&gt;1,"⚠ Duplicado","OK"))</f>
        <v/>
      </c>
      <c r="R1040" s="74" t="str">
        <f aca="false">IF(OR(P1040="",U1040=""),"",MAX(0,U1040-N(E1040)-N(F1040)-N(H1040)))</f>
        <v/>
      </c>
      <c r="S1040" s="75" t="str">
        <f aca="false">IF(P1040="","",IFERROR(INDEX(T_INGRESO,MATCH(C1040,T_ID,0)),""))</f>
        <v/>
      </c>
      <c r="T1040" s="75" t="str">
        <f aca="false">IF(P1040="","",IFERROR(N(INDEX(T_EGRESO,MATCH(C1040,T_ID,0))),0))</f>
        <v/>
      </c>
      <c r="U1040" s="73" t="str">
        <f aca="false">IF(OR(P1040="",NOT(ISNUMBER(S1040))),"",IF(OR(S1040&gt;EOMONTH(B1040,0),AND(T1040&gt;0,T1040&lt;B1040)),0,IF(AND(S1040&lt;=B1040,OR(T1040=0,T1040&gt;=EOMONTH(B1040,0))),30,MIN(30,IF(T1040=0,EOMONTH(B1040,0),MIN(T1040,EOMONTH(B1040,0)))-MAX(B1040,S1040)+1))))</f>
        <v/>
      </c>
    </row>
    <row r="1041" customFormat="false" ht="15" hidden="false" customHeight="false" outlineLevel="0" collapsed="false">
      <c r="B1041" s="78"/>
      <c r="C1041" s="64"/>
      <c r="D1041" s="70" t="str">
        <f aca="false">IF(C1041="","",IFERROR(INDEX(T_NOMBRE,MATCH(C1041,T_ID,0)),"⚠ ID no existe"))</f>
        <v/>
      </c>
      <c r="E1041" s="69"/>
      <c r="F1041" s="69"/>
      <c r="G1041" s="69"/>
      <c r="H1041" s="69"/>
      <c r="I1041" s="66"/>
      <c r="J1041" s="69"/>
      <c r="K1041" s="67"/>
      <c r="L1041" s="67"/>
      <c r="M1041" s="67"/>
      <c r="N1041" s="67"/>
      <c r="O1041" s="64"/>
      <c r="P1041" s="72" t="str">
        <f aca="false">IF(OR(B1041="",C1041=""),"",C1041&amp;"|"&amp;(YEAR(B1041)*100+MONTH(B1041)))</f>
        <v/>
      </c>
      <c r="Q1041" s="70" t="str">
        <f aca="false">IF(P1041="","",IF(COUNTIF(N_CLAVE,P1041)&gt;1,"⚠ Duplicado","OK"))</f>
        <v/>
      </c>
      <c r="R1041" s="74" t="str">
        <f aca="false">IF(OR(P1041="",U1041=""),"",MAX(0,U1041-N(E1041)-N(F1041)-N(H1041)))</f>
        <v/>
      </c>
      <c r="S1041" s="75" t="str">
        <f aca="false">IF(P1041="","",IFERROR(INDEX(T_INGRESO,MATCH(C1041,T_ID,0)),""))</f>
        <v/>
      </c>
      <c r="T1041" s="75" t="str">
        <f aca="false">IF(P1041="","",IFERROR(N(INDEX(T_EGRESO,MATCH(C1041,T_ID,0))),0))</f>
        <v/>
      </c>
      <c r="U1041" s="73" t="str">
        <f aca="false">IF(OR(P1041="",NOT(ISNUMBER(S1041))),"",IF(OR(S1041&gt;EOMONTH(B1041,0),AND(T1041&gt;0,T1041&lt;B1041)),0,IF(AND(S1041&lt;=B1041,OR(T1041=0,T1041&gt;=EOMONTH(B1041,0))),30,MIN(30,IF(T1041=0,EOMONTH(B1041,0),MIN(T1041,EOMONTH(B1041,0)))-MAX(B1041,S1041)+1))))</f>
        <v/>
      </c>
    </row>
    <row r="1042" customFormat="false" ht="15" hidden="false" customHeight="false" outlineLevel="0" collapsed="false">
      <c r="B1042" s="78"/>
      <c r="C1042" s="64"/>
      <c r="D1042" s="70" t="str">
        <f aca="false">IF(C1042="","",IFERROR(INDEX(T_NOMBRE,MATCH(C1042,T_ID,0)),"⚠ ID no existe"))</f>
        <v/>
      </c>
      <c r="E1042" s="69"/>
      <c r="F1042" s="69"/>
      <c r="G1042" s="69"/>
      <c r="H1042" s="69"/>
      <c r="I1042" s="66"/>
      <c r="J1042" s="69"/>
      <c r="K1042" s="67"/>
      <c r="L1042" s="67"/>
      <c r="M1042" s="67"/>
      <c r="N1042" s="67"/>
      <c r="O1042" s="64"/>
      <c r="P1042" s="72" t="str">
        <f aca="false">IF(OR(B1042="",C1042=""),"",C1042&amp;"|"&amp;(YEAR(B1042)*100+MONTH(B1042)))</f>
        <v/>
      </c>
      <c r="Q1042" s="70" t="str">
        <f aca="false">IF(P1042="","",IF(COUNTIF(N_CLAVE,P1042)&gt;1,"⚠ Duplicado","OK"))</f>
        <v/>
      </c>
      <c r="R1042" s="74" t="str">
        <f aca="false">IF(OR(P1042="",U1042=""),"",MAX(0,U1042-N(E1042)-N(F1042)-N(H1042)))</f>
        <v/>
      </c>
      <c r="S1042" s="75" t="str">
        <f aca="false">IF(P1042="","",IFERROR(INDEX(T_INGRESO,MATCH(C1042,T_ID,0)),""))</f>
        <v/>
      </c>
      <c r="T1042" s="75" t="str">
        <f aca="false">IF(P1042="","",IFERROR(N(INDEX(T_EGRESO,MATCH(C1042,T_ID,0))),0))</f>
        <v/>
      </c>
      <c r="U1042" s="73" t="str">
        <f aca="false">IF(OR(P1042="",NOT(ISNUMBER(S1042))),"",IF(OR(S1042&gt;EOMONTH(B1042,0),AND(T1042&gt;0,T1042&lt;B1042)),0,IF(AND(S1042&lt;=B1042,OR(T1042=0,T1042&gt;=EOMONTH(B1042,0))),30,MIN(30,IF(T1042=0,EOMONTH(B1042,0),MIN(T1042,EOMONTH(B1042,0)))-MAX(B1042,S1042)+1))))</f>
        <v/>
      </c>
    </row>
    <row r="1043" customFormat="false" ht="15" hidden="false" customHeight="false" outlineLevel="0" collapsed="false">
      <c r="B1043" s="78"/>
      <c r="C1043" s="64"/>
      <c r="D1043" s="70" t="str">
        <f aca="false">IF(C1043="","",IFERROR(INDEX(T_NOMBRE,MATCH(C1043,T_ID,0)),"⚠ ID no existe"))</f>
        <v/>
      </c>
      <c r="E1043" s="69"/>
      <c r="F1043" s="69"/>
      <c r="G1043" s="69"/>
      <c r="H1043" s="69"/>
      <c r="I1043" s="66"/>
      <c r="J1043" s="69"/>
      <c r="K1043" s="67"/>
      <c r="L1043" s="67"/>
      <c r="M1043" s="67"/>
      <c r="N1043" s="67"/>
      <c r="O1043" s="64"/>
      <c r="P1043" s="72" t="str">
        <f aca="false">IF(OR(B1043="",C1043=""),"",C1043&amp;"|"&amp;(YEAR(B1043)*100+MONTH(B1043)))</f>
        <v/>
      </c>
      <c r="Q1043" s="70" t="str">
        <f aca="false">IF(P1043="","",IF(COUNTIF(N_CLAVE,P1043)&gt;1,"⚠ Duplicado","OK"))</f>
        <v/>
      </c>
      <c r="R1043" s="74" t="str">
        <f aca="false">IF(OR(P1043="",U1043=""),"",MAX(0,U1043-N(E1043)-N(F1043)-N(H1043)))</f>
        <v/>
      </c>
      <c r="S1043" s="75" t="str">
        <f aca="false">IF(P1043="","",IFERROR(INDEX(T_INGRESO,MATCH(C1043,T_ID,0)),""))</f>
        <v/>
      </c>
      <c r="T1043" s="75" t="str">
        <f aca="false">IF(P1043="","",IFERROR(N(INDEX(T_EGRESO,MATCH(C1043,T_ID,0))),0))</f>
        <v/>
      </c>
      <c r="U1043" s="73" t="str">
        <f aca="false">IF(OR(P1043="",NOT(ISNUMBER(S1043))),"",IF(OR(S1043&gt;EOMONTH(B1043,0),AND(T1043&gt;0,T1043&lt;B1043)),0,IF(AND(S1043&lt;=B1043,OR(T1043=0,T1043&gt;=EOMONTH(B1043,0))),30,MIN(30,IF(T1043=0,EOMONTH(B1043,0),MIN(T1043,EOMONTH(B1043,0)))-MAX(B1043,S1043)+1))))</f>
        <v/>
      </c>
    </row>
    <row r="1044" customFormat="false" ht="15" hidden="false" customHeight="false" outlineLevel="0" collapsed="false">
      <c r="B1044" s="78"/>
      <c r="C1044" s="64"/>
      <c r="D1044" s="70" t="str">
        <f aca="false">IF(C1044="","",IFERROR(INDEX(T_NOMBRE,MATCH(C1044,T_ID,0)),"⚠ ID no existe"))</f>
        <v/>
      </c>
      <c r="E1044" s="69"/>
      <c r="F1044" s="69"/>
      <c r="G1044" s="69"/>
      <c r="H1044" s="69"/>
      <c r="I1044" s="66"/>
      <c r="J1044" s="69"/>
      <c r="K1044" s="67"/>
      <c r="L1044" s="67"/>
      <c r="M1044" s="67"/>
      <c r="N1044" s="67"/>
      <c r="O1044" s="64"/>
      <c r="P1044" s="72" t="str">
        <f aca="false">IF(OR(B1044="",C1044=""),"",C1044&amp;"|"&amp;(YEAR(B1044)*100+MONTH(B1044)))</f>
        <v/>
      </c>
      <c r="Q1044" s="70" t="str">
        <f aca="false">IF(P1044="","",IF(COUNTIF(N_CLAVE,P1044)&gt;1,"⚠ Duplicado","OK"))</f>
        <v/>
      </c>
      <c r="R1044" s="74" t="str">
        <f aca="false">IF(OR(P1044="",U1044=""),"",MAX(0,U1044-N(E1044)-N(F1044)-N(H1044)))</f>
        <v/>
      </c>
      <c r="S1044" s="75" t="str">
        <f aca="false">IF(P1044="","",IFERROR(INDEX(T_INGRESO,MATCH(C1044,T_ID,0)),""))</f>
        <v/>
      </c>
      <c r="T1044" s="75" t="str">
        <f aca="false">IF(P1044="","",IFERROR(N(INDEX(T_EGRESO,MATCH(C1044,T_ID,0))),0))</f>
        <v/>
      </c>
      <c r="U1044" s="73" t="str">
        <f aca="false">IF(OR(P1044="",NOT(ISNUMBER(S1044))),"",IF(OR(S1044&gt;EOMONTH(B1044,0),AND(T1044&gt;0,T1044&lt;B1044)),0,IF(AND(S1044&lt;=B1044,OR(T1044=0,T1044&gt;=EOMONTH(B1044,0))),30,MIN(30,IF(T1044=0,EOMONTH(B1044,0),MIN(T1044,EOMONTH(B1044,0)))-MAX(B1044,S1044)+1))))</f>
        <v/>
      </c>
    </row>
    <row r="1045" customFormat="false" ht="15" hidden="false" customHeight="false" outlineLevel="0" collapsed="false">
      <c r="B1045" s="78"/>
      <c r="C1045" s="64"/>
      <c r="D1045" s="70" t="str">
        <f aca="false">IF(C1045="","",IFERROR(INDEX(T_NOMBRE,MATCH(C1045,T_ID,0)),"⚠ ID no existe"))</f>
        <v/>
      </c>
      <c r="E1045" s="69"/>
      <c r="F1045" s="69"/>
      <c r="G1045" s="69"/>
      <c r="H1045" s="69"/>
      <c r="I1045" s="66"/>
      <c r="J1045" s="69"/>
      <c r="K1045" s="67"/>
      <c r="L1045" s="67"/>
      <c r="M1045" s="67"/>
      <c r="N1045" s="67"/>
      <c r="O1045" s="64"/>
      <c r="P1045" s="72" t="str">
        <f aca="false">IF(OR(B1045="",C1045=""),"",C1045&amp;"|"&amp;(YEAR(B1045)*100+MONTH(B1045)))</f>
        <v/>
      </c>
      <c r="Q1045" s="70" t="str">
        <f aca="false">IF(P1045="","",IF(COUNTIF(N_CLAVE,P1045)&gt;1,"⚠ Duplicado","OK"))</f>
        <v/>
      </c>
      <c r="R1045" s="74" t="str">
        <f aca="false">IF(OR(P1045="",U1045=""),"",MAX(0,U1045-N(E1045)-N(F1045)-N(H1045)))</f>
        <v/>
      </c>
      <c r="S1045" s="75" t="str">
        <f aca="false">IF(P1045="","",IFERROR(INDEX(T_INGRESO,MATCH(C1045,T_ID,0)),""))</f>
        <v/>
      </c>
      <c r="T1045" s="75" t="str">
        <f aca="false">IF(P1045="","",IFERROR(N(INDEX(T_EGRESO,MATCH(C1045,T_ID,0))),0))</f>
        <v/>
      </c>
      <c r="U1045" s="73" t="str">
        <f aca="false">IF(OR(P1045="",NOT(ISNUMBER(S1045))),"",IF(OR(S1045&gt;EOMONTH(B1045,0),AND(T1045&gt;0,T1045&lt;B1045)),0,IF(AND(S1045&lt;=B1045,OR(T1045=0,T1045&gt;=EOMONTH(B1045,0))),30,MIN(30,IF(T1045=0,EOMONTH(B1045,0),MIN(T1045,EOMONTH(B1045,0)))-MAX(B1045,S1045)+1))))</f>
        <v/>
      </c>
    </row>
    <row r="1046" customFormat="false" ht="15" hidden="false" customHeight="false" outlineLevel="0" collapsed="false">
      <c r="B1046" s="78"/>
      <c r="C1046" s="64"/>
      <c r="D1046" s="70" t="str">
        <f aca="false">IF(C1046="","",IFERROR(INDEX(T_NOMBRE,MATCH(C1046,T_ID,0)),"⚠ ID no existe"))</f>
        <v/>
      </c>
      <c r="E1046" s="69"/>
      <c r="F1046" s="69"/>
      <c r="G1046" s="69"/>
      <c r="H1046" s="69"/>
      <c r="I1046" s="66"/>
      <c r="J1046" s="69"/>
      <c r="K1046" s="67"/>
      <c r="L1046" s="67"/>
      <c r="M1046" s="67"/>
      <c r="N1046" s="67"/>
      <c r="O1046" s="64"/>
      <c r="P1046" s="72" t="str">
        <f aca="false">IF(OR(B1046="",C1046=""),"",C1046&amp;"|"&amp;(YEAR(B1046)*100+MONTH(B1046)))</f>
        <v/>
      </c>
      <c r="Q1046" s="70" t="str">
        <f aca="false">IF(P1046="","",IF(COUNTIF(N_CLAVE,P1046)&gt;1,"⚠ Duplicado","OK"))</f>
        <v/>
      </c>
      <c r="R1046" s="74" t="str">
        <f aca="false">IF(OR(P1046="",U1046=""),"",MAX(0,U1046-N(E1046)-N(F1046)-N(H1046)))</f>
        <v/>
      </c>
      <c r="S1046" s="75" t="str">
        <f aca="false">IF(P1046="","",IFERROR(INDEX(T_INGRESO,MATCH(C1046,T_ID,0)),""))</f>
        <v/>
      </c>
      <c r="T1046" s="75" t="str">
        <f aca="false">IF(P1046="","",IFERROR(N(INDEX(T_EGRESO,MATCH(C1046,T_ID,0))),0))</f>
        <v/>
      </c>
      <c r="U1046" s="73" t="str">
        <f aca="false">IF(OR(P1046="",NOT(ISNUMBER(S1046))),"",IF(OR(S1046&gt;EOMONTH(B1046,0),AND(T1046&gt;0,T1046&lt;B1046)),0,IF(AND(S1046&lt;=B1046,OR(T1046=0,T1046&gt;=EOMONTH(B1046,0))),30,MIN(30,IF(T1046=0,EOMONTH(B1046,0),MIN(T1046,EOMONTH(B1046,0)))-MAX(B1046,S1046)+1))))</f>
        <v/>
      </c>
    </row>
    <row r="1047" customFormat="false" ht="15" hidden="false" customHeight="false" outlineLevel="0" collapsed="false">
      <c r="B1047" s="78"/>
      <c r="C1047" s="64"/>
      <c r="D1047" s="70" t="str">
        <f aca="false">IF(C1047="","",IFERROR(INDEX(T_NOMBRE,MATCH(C1047,T_ID,0)),"⚠ ID no existe"))</f>
        <v/>
      </c>
      <c r="E1047" s="69"/>
      <c r="F1047" s="69"/>
      <c r="G1047" s="69"/>
      <c r="H1047" s="69"/>
      <c r="I1047" s="66"/>
      <c r="J1047" s="69"/>
      <c r="K1047" s="67"/>
      <c r="L1047" s="67"/>
      <c r="M1047" s="67"/>
      <c r="N1047" s="67"/>
      <c r="O1047" s="64"/>
      <c r="P1047" s="72" t="str">
        <f aca="false">IF(OR(B1047="",C1047=""),"",C1047&amp;"|"&amp;(YEAR(B1047)*100+MONTH(B1047)))</f>
        <v/>
      </c>
      <c r="Q1047" s="70" t="str">
        <f aca="false">IF(P1047="","",IF(COUNTIF(N_CLAVE,P1047)&gt;1,"⚠ Duplicado","OK"))</f>
        <v/>
      </c>
      <c r="R1047" s="74" t="str">
        <f aca="false">IF(OR(P1047="",U1047=""),"",MAX(0,U1047-N(E1047)-N(F1047)-N(H1047)))</f>
        <v/>
      </c>
      <c r="S1047" s="75" t="str">
        <f aca="false">IF(P1047="","",IFERROR(INDEX(T_INGRESO,MATCH(C1047,T_ID,0)),""))</f>
        <v/>
      </c>
      <c r="T1047" s="75" t="str">
        <f aca="false">IF(P1047="","",IFERROR(N(INDEX(T_EGRESO,MATCH(C1047,T_ID,0))),0))</f>
        <v/>
      </c>
      <c r="U1047" s="73" t="str">
        <f aca="false">IF(OR(P1047="",NOT(ISNUMBER(S1047))),"",IF(OR(S1047&gt;EOMONTH(B1047,0),AND(T1047&gt;0,T1047&lt;B1047)),0,IF(AND(S1047&lt;=B1047,OR(T1047=0,T1047&gt;=EOMONTH(B1047,0))),30,MIN(30,IF(T1047=0,EOMONTH(B1047,0),MIN(T1047,EOMONTH(B1047,0)))-MAX(B1047,S1047)+1))))</f>
        <v/>
      </c>
    </row>
    <row r="1048" customFormat="false" ht="15" hidden="false" customHeight="false" outlineLevel="0" collapsed="false">
      <c r="B1048" s="78"/>
      <c r="C1048" s="64"/>
      <c r="D1048" s="70" t="str">
        <f aca="false">IF(C1048="","",IFERROR(INDEX(T_NOMBRE,MATCH(C1048,T_ID,0)),"⚠ ID no existe"))</f>
        <v/>
      </c>
      <c r="E1048" s="69"/>
      <c r="F1048" s="69"/>
      <c r="G1048" s="69"/>
      <c r="H1048" s="69"/>
      <c r="I1048" s="66"/>
      <c r="J1048" s="69"/>
      <c r="K1048" s="67"/>
      <c r="L1048" s="67"/>
      <c r="M1048" s="67"/>
      <c r="N1048" s="67"/>
      <c r="O1048" s="64"/>
      <c r="P1048" s="72" t="str">
        <f aca="false">IF(OR(B1048="",C1048=""),"",C1048&amp;"|"&amp;(YEAR(B1048)*100+MONTH(B1048)))</f>
        <v/>
      </c>
      <c r="Q1048" s="70" t="str">
        <f aca="false">IF(P1048="","",IF(COUNTIF(N_CLAVE,P1048)&gt;1,"⚠ Duplicado","OK"))</f>
        <v/>
      </c>
      <c r="R1048" s="74" t="str">
        <f aca="false">IF(OR(P1048="",U1048=""),"",MAX(0,U1048-N(E1048)-N(F1048)-N(H1048)))</f>
        <v/>
      </c>
      <c r="S1048" s="75" t="str">
        <f aca="false">IF(P1048="","",IFERROR(INDEX(T_INGRESO,MATCH(C1048,T_ID,0)),""))</f>
        <v/>
      </c>
      <c r="T1048" s="75" t="str">
        <f aca="false">IF(P1048="","",IFERROR(N(INDEX(T_EGRESO,MATCH(C1048,T_ID,0))),0))</f>
        <v/>
      </c>
      <c r="U1048" s="73" t="str">
        <f aca="false">IF(OR(P1048="",NOT(ISNUMBER(S1048))),"",IF(OR(S1048&gt;EOMONTH(B1048,0),AND(T1048&gt;0,T1048&lt;B1048)),0,IF(AND(S1048&lt;=B1048,OR(T1048=0,T1048&gt;=EOMONTH(B1048,0))),30,MIN(30,IF(T1048=0,EOMONTH(B1048,0),MIN(T1048,EOMONTH(B1048,0)))-MAX(B1048,S1048)+1))))</f>
        <v/>
      </c>
    </row>
    <row r="1049" customFormat="false" ht="15" hidden="false" customHeight="false" outlineLevel="0" collapsed="false">
      <c r="B1049" s="78"/>
      <c r="C1049" s="64"/>
      <c r="D1049" s="70" t="str">
        <f aca="false">IF(C1049="","",IFERROR(INDEX(T_NOMBRE,MATCH(C1049,T_ID,0)),"⚠ ID no existe"))</f>
        <v/>
      </c>
      <c r="E1049" s="69"/>
      <c r="F1049" s="69"/>
      <c r="G1049" s="69"/>
      <c r="H1049" s="69"/>
      <c r="I1049" s="66"/>
      <c r="J1049" s="69"/>
      <c r="K1049" s="67"/>
      <c r="L1049" s="67"/>
      <c r="M1049" s="67"/>
      <c r="N1049" s="67"/>
      <c r="O1049" s="64"/>
      <c r="P1049" s="72" t="str">
        <f aca="false">IF(OR(B1049="",C1049=""),"",C1049&amp;"|"&amp;(YEAR(B1049)*100+MONTH(B1049)))</f>
        <v/>
      </c>
      <c r="Q1049" s="70" t="str">
        <f aca="false">IF(P1049="","",IF(COUNTIF(N_CLAVE,P1049)&gt;1,"⚠ Duplicado","OK"))</f>
        <v/>
      </c>
      <c r="R1049" s="74" t="str">
        <f aca="false">IF(OR(P1049="",U1049=""),"",MAX(0,U1049-N(E1049)-N(F1049)-N(H1049)))</f>
        <v/>
      </c>
      <c r="S1049" s="75" t="str">
        <f aca="false">IF(P1049="","",IFERROR(INDEX(T_INGRESO,MATCH(C1049,T_ID,0)),""))</f>
        <v/>
      </c>
      <c r="T1049" s="75" t="str">
        <f aca="false">IF(P1049="","",IFERROR(N(INDEX(T_EGRESO,MATCH(C1049,T_ID,0))),0))</f>
        <v/>
      </c>
      <c r="U1049" s="73" t="str">
        <f aca="false">IF(OR(P1049="",NOT(ISNUMBER(S1049))),"",IF(OR(S1049&gt;EOMONTH(B1049,0),AND(T1049&gt;0,T1049&lt;B1049)),0,IF(AND(S1049&lt;=B1049,OR(T1049=0,T1049&gt;=EOMONTH(B1049,0))),30,MIN(30,IF(T1049=0,EOMONTH(B1049,0),MIN(T1049,EOMONTH(B1049,0)))-MAX(B1049,S1049)+1))))</f>
        <v/>
      </c>
    </row>
    <row r="1050" customFormat="false" ht="15" hidden="false" customHeight="false" outlineLevel="0" collapsed="false">
      <c r="B1050" s="78"/>
      <c r="C1050" s="64"/>
      <c r="D1050" s="70" t="str">
        <f aca="false">IF(C1050="","",IFERROR(INDEX(T_NOMBRE,MATCH(C1050,T_ID,0)),"⚠ ID no existe"))</f>
        <v/>
      </c>
      <c r="E1050" s="69"/>
      <c r="F1050" s="69"/>
      <c r="G1050" s="69"/>
      <c r="H1050" s="69"/>
      <c r="I1050" s="66"/>
      <c r="J1050" s="69"/>
      <c r="K1050" s="67"/>
      <c r="L1050" s="67"/>
      <c r="M1050" s="67"/>
      <c r="N1050" s="67"/>
      <c r="O1050" s="64"/>
      <c r="P1050" s="72" t="str">
        <f aca="false">IF(OR(B1050="",C1050=""),"",C1050&amp;"|"&amp;(YEAR(B1050)*100+MONTH(B1050)))</f>
        <v/>
      </c>
      <c r="Q1050" s="70" t="str">
        <f aca="false">IF(P1050="","",IF(COUNTIF(N_CLAVE,P1050)&gt;1,"⚠ Duplicado","OK"))</f>
        <v/>
      </c>
      <c r="R1050" s="74" t="str">
        <f aca="false">IF(OR(P1050="",U1050=""),"",MAX(0,U1050-N(E1050)-N(F1050)-N(H1050)))</f>
        <v/>
      </c>
      <c r="S1050" s="75" t="str">
        <f aca="false">IF(P1050="","",IFERROR(INDEX(T_INGRESO,MATCH(C1050,T_ID,0)),""))</f>
        <v/>
      </c>
      <c r="T1050" s="75" t="str">
        <f aca="false">IF(P1050="","",IFERROR(N(INDEX(T_EGRESO,MATCH(C1050,T_ID,0))),0))</f>
        <v/>
      </c>
      <c r="U1050" s="73" t="str">
        <f aca="false">IF(OR(P1050="",NOT(ISNUMBER(S1050))),"",IF(OR(S1050&gt;EOMONTH(B1050,0),AND(T1050&gt;0,T1050&lt;B1050)),0,IF(AND(S1050&lt;=B1050,OR(T1050=0,T1050&gt;=EOMONTH(B1050,0))),30,MIN(30,IF(T1050=0,EOMONTH(B1050,0),MIN(T1050,EOMONTH(B1050,0)))-MAX(B1050,S1050)+1))))</f>
        <v/>
      </c>
    </row>
    <row r="1051" customFormat="false" ht="15" hidden="false" customHeight="false" outlineLevel="0" collapsed="false">
      <c r="B1051" s="78"/>
      <c r="C1051" s="64"/>
      <c r="D1051" s="70" t="str">
        <f aca="false">IF(C1051="","",IFERROR(INDEX(T_NOMBRE,MATCH(C1051,T_ID,0)),"⚠ ID no existe"))</f>
        <v/>
      </c>
      <c r="E1051" s="69"/>
      <c r="F1051" s="69"/>
      <c r="G1051" s="69"/>
      <c r="H1051" s="69"/>
      <c r="I1051" s="66"/>
      <c r="J1051" s="69"/>
      <c r="K1051" s="67"/>
      <c r="L1051" s="67"/>
      <c r="M1051" s="67"/>
      <c r="N1051" s="67"/>
      <c r="O1051" s="64"/>
      <c r="P1051" s="72" t="str">
        <f aca="false">IF(OR(B1051="",C1051=""),"",C1051&amp;"|"&amp;(YEAR(B1051)*100+MONTH(B1051)))</f>
        <v/>
      </c>
      <c r="Q1051" s="70" t="str">
        <f aca="false">IF(P1051="","",IF(COUNTIF(N_CLAVE,P1051)&gt;1,"⚠ Duplicado","OK"))</f>
        <v/>
      </c>
      <c r="R1051" s="74" t="str">
        <f aca="false">IF(OR(P1051="",U1051=""),"",MAX(0,U1051-N(E1051)-N(F1051)-N(H1051)))</f>
        <v/>
      </c>
      <c r="S1051" s="75" t="str">
        <f aca="false">IF(P1051="","",IFERROR(INDEX(T_INGRESO,MATCH(C1051,T_ID,0)),""))</f>
        <v/>
      </c>
      <c r="T1051" s="75" t="str">
        <f aca="false">IF(P1051="","",IFERROR(N(INDEX(T_EGRESO,MATCH(C1051,T_ID,0))),0))</f>
        <v/>
      </c>
      <c r="U1051" s="73" t="str">
        <f aca="false">IF(OR(P1051="",NOT(ISNUMBER(S1051))),"",IF(OR(S1051&gt;EOMONTH(B1051,0),AND(T1051&gt;0,T1051&lt;B1051)),0,IF(AND(S1051&lt;=B1051,OR(T1051=0,T1051&gt;=EOMONTH(B1051,0))),30,MIN(30,IF(T1051=0,EOMONTH(B1051,0),MIN(T1051,EOMONTH(B1051,0)))-MAX(B1051,S1051)+1))))</f>
        <v/>
      </c>
    </row>
    <row r="1052" customFormat="false" ht="15" hidden="false" customHeight="false" outlineLevel="0" collapsed="false">
      <c r="B1052" s="78"/>
      <c r="C1052" s="64"/>
      <c r="D1052" s="70" t="str">
        <f aca="false">IF(C1052="","",IFERROR(INDEX(T_NOMBRE,MATCH(C1052,T_ID,0)),"⚠ ID no existe"))</f>
        <v/>
      </c>
      <c r="E1052" s="69"/>
      <c r="F1052" s="69"/>
      <c r="G1052" s="69"/>
      <c r="H1052" s="69"/>
      <c r="I1052" s="66"/>
      <c r="J1052" s="69"/>
      <c r="K1052" s="67"/>
      <c r="L1052" s="67"/>
      <c r="M1052" s="67"/>
      <c r="N1052" s="67"/>
      <c r="O1052" s="64"/>
      <c r="P1052" s="72" t="str">
        <f aca="false">IF(OR(B1052="",C1052=""),"",C1052&amp;"|"&amp;(YEAR(B1052)*100+MONTH(B1052)))</f>
        <v/>
      </c>
      <c r="Q1052" s="70" t="str">
        <f aca="false">IF(P1052="","",IF(COUNTIF(N_CLAVE,P1052)&gt;1,"⚠ Duplicado","OK"))</f>
        <v/>
      </c>
      <c r="R1052" s="74" t="str">
        <f aca="false">IF(OR(P1052="",U1052=""),"",MAX(0,U1052-N(E1052)-N(F1052)-N(H1052)))</f>
        <v/>
      </c>
      <c r="S1052" s="75" t="str">
        <f aca="false">IF(P1052="","",IFERROR(INDEX(T_INGRESO,MATCH(C1052,T_ID,0)),""))</f>
        <v/>
      </c>
      <c r="T1052" s="75" t="str">
        <f aca="false">IF(P1052="","",IFERROR(N(INDEX(T_EGRESO,MATCH(C1052,T_ID,0))),0))</f>
        <v/>
      </c>
      <c r="U1052" s="73" t="str">
        <f aca="false">IF(OR(P1052="",NOT(ISNUMBER(S1052))),"",IF(OR(S1052&gt;EOMONTH(B1052,0),AND(T1052&gt;0,T1052&lt;B1052)),0,IF(AND(S1052&lt;=B1052,OR(T1052=0,T1052&gt;=EOMONTH(B1052,0))),30,MIN(30,IF(T1052=0,EOMONTH(B1052,0),MIN(T1052,EOMONTH(B1052,0)))-MAX(B1052,S1052)+1))))</f>
        <v/>
      </c>
    </row>
    <row r="1053" customFormat="false" ht="15" hidden="false" customHeight="false" outlineLevel="0" collapsed="false">
      <c r="B1053" s="78"/>
      <c r="C1053" s="64"/>
      <c r="D1053" s="70" t="str">
        <f aca="false">IF(C1053="","",IFERROR(INDEX(T_NOMBRE,MATCH(C1053,T_ID,0)),"⚠ ID no existe"))</f>
        <v/>
      </c>
      <c r="E1053" s="69"/>
      <c r="F1053" s="69"/>
      <c r="G1053" s="69"/>
      <c r="H1053" s="69"/>
      <c r="I1053" s="66"/>
      <c r="J1053" s="69"/>
      <c r="K1053" s="67"/>
      <c r="L1053" s="67"/>
      <c r="M1053" s="67"/>
      <c r="N1053" s="67"/>
      <c r="O1053" s="64"/>
      <c r="P1053" s="72" t="str">
        <f aca="false">IF(OR(B1053="",C1053=""),"",C1053&amp;"|"&amp;(YEAR(B1053)*100+MONTH(B1053)))</f>
        <v/>
      </c>
      <c r="Q1053" s="70" t="str">
        <f aca="false">IF(P1053="","",IF(COUNTIF(N_CLAVE,P1053)&gt;1,"⚠ Duplicado","OK"))</f>
        <v/>
      </c>
      <c r="R1053" s="74" t="str">
        <f aca="false">IF(OR(P1053="",U1053=""),"",MAX(0,U1053-N(E1053)-N(F1053)-N(H1053)))</f>
        <v/>
      </c>
      <c r="S1053" s="75" t="str">
        <f aca="false">IF(P1053="","",IFERROR(INDEX(T_INGRESO,MATCH(C1053,T_ID,0)),""))</f>
        <v/>
      </c>
      <c r="T1053" s="75" t="str">
        <f aca="false">IF(P1053="","",IFERROR(N(INDEX(T_EGRESO,MATCH(C1053,T_ID,0))),0))</f>
        <v/>
      </c>
      <c r="U1053" s="73" t="str">
        <f aca="false">IF(OR(P1053="",NOT(ISNUMBER(S1053))),"",IF(OR(S1053&gt;EOMONTH(B1053,0),AND(T1053&gt;0,T1053&lt;B1053)),0,IF(AND(S1053&lt;=B1053,OR(T1053=0,T1053&gt;=EOMONTH(B1053,0))),30,MIN(30,IF(T1053=0,EOMONTH(B1053,0),MIN(T1053,EOMONTH(B1053,0)))-MAX(B1053,S1053)+1))))</f>
        <v/>
      </c>
    </row>
    <row r="1054" customFormat="false" ht="15" hidden="false" customHeight="false" outlineLevel="0" collapsed="false">
      <c r="B1054" s="78"/>
      <c r="C1054" s="64"/>
      <c r="D1054" s="70" t="str">
        <f aca="false">IF(C1054="","",IFERROR(INDEX(T_NOMBRE,MATCH(C1054,T_ID,0)),"⚠ ID no existe"))</f>
        <v/>
      </c>
      <c r="E1054" s="69"/>
      <c r="F1054" s="69"/>
      <c r="G1054" s="69"/>
      <c r="H1054" s="69"/>
      <c r="I1054" s="66"/>
      <c r="J1054" s="69"/>
      <c r="K1054" s="67"/>
      <c r="L1054" s="67"/>
      <c r="M1054" s="67"/>
      <c r="N1054" s="67"/>
      <c r="O1054" s="64"/>
      <c r="P1054" s="72" t="str">
        <f aca="false">IF(OR(B1054="",C1054=""),"",C1054&amp;"|"&amp;(YEAR(B1054)*100+MONTH(B1054)))</f>
        <v/>
      </c>
      <c r="Q1054" s="70" t="str">
        <f aca="false">IF(P1054="","",IF(COUNTIF(N_CLAVE,P1054)&gt;1,"⚠ Duplicado","OK"))</f>
        <v/>
      </c>
      <c r="R1054" s="74" t="str">
        <f aca="false">IF(OR(P1054="",U1054=""),"",MAX(0,U1054-N(E1054)-N(F1054)-N(H1054)))</f>
        <v/>
      </c>
      <c r="S1054" s="75" t="str">
        <f aca="false">IF(P1054="","",IFERROR(INDEX(T_INGRESO,MATCH(C1054,T_ID,0)),""))</f>
        <v/>
      </c>
      <c r="T1054" s="75" t="str">
        <f aca="false">IF(P1054="","",IFERROR(N(INDEX(T_EGRESO,MATCH(C1054,T_ID,0))),0))</f>
        <v/>
      </c>
      <c r="U1054" s="73" t="str">
        <f aca="false">IF(OR(P1054="",NOT(ISNUMBER(S1054))),"",IF(OR(S1054&gt;EOMONTH(B1054,0),AND(T1054&gt;0,T1054&lt;B1054)),0,IF(AND(S1054&lt;=B1054,OR(T1054=0,T1054&gt;=EOMONTH(B1054,0))),30,MIN(30,IF(T1054=0,EOMONTH(B1054,0),MIN(T1054,EOMONTH(B1054,0)))-MAX(B1054,S1054)+1))))</f>
        <v/>
      </c>
    </row>
    <row r="1055" customFormat="false" ht="15" hidden="false" customHeight="false" outlineLevel="0" collapsed="false">
      <c r="B1055" s="78"/>
      <c r="C1055" s="64"/>
      <c r="D1055" s="70" t="str">
        <f aca="false">IF(C1055="","",IFERROR(INDEX(T_NOMBRE,MATCH(C1055,T_ID,0)),"⚠ ID no existe"))</f>
        <v/>
      </c>
      <c r="E1055" s="69"/>
      <c r="F1055" s="69"/>
      <c r="G1055" s="69"/>
      <c r="H1055" s="69"/>
      <c r="I1055" s="66"/>
      <c r="J1055" s="69"/>
      <c r="K1055" s="67"/>
      <c r="L1055" s="67"/>
      <c r="M1055" s="67"/>
      <c r="N1055" s="67"/>
      <c r="O1055" s="64"/>
      <c r="P1055" s="72" t="str">
        <f aca="false">IF(OR(B1055="",C1055=""),"",C1055&amp;"|"&amp;(YEAR(B1055)*100+MONTH(B1055)))</f>
        <v/>
      </c>
      <c r="Q1055" s="70" t="str">
        <f aca="false">IF(P1055="","",IF(COUNTIF(N_CLAVE,P1055)&gt;1,"⚠ Duplicado","OK"))</f>
        <v/>
      </c>
      <c r="R1055" s="74" t="str">
        <f aca="false">IF(OR(P1055="",U1055=""),"",MAX(0,U1055-N(E1055)-N(F1055)-N(H1055)))</f>
        <v/>
      </c>
      <c r="S1055" s="75" t="str">
        <f aca="false">IF(P1055="","",IFERROR(INDEX(T_INGRESO,MATCH(C1055,T_ID,0)),""))</f>
        <v/>
      </c>
      <c r="T1055" s="75" t="str">
        <f aca="false">IF(P1055="","",IFERROR(N(INDEX(T_EGRESO,MATCH(C1055,T_ID,0))),0))</f>
        <v/>
      </c>
      <c r="U1055" s="73" t="str">
        <f aca="false">IF(OR(P1055="",NOT(ISNUMBER(S1055))),"",IF(OR(S1055&gt;EOMONTH(B1055,0),AND(T1055&gt;0,T1055&lt;B1055)),0,IF(AND(S1055&lt;=B1055,OR(T1055=0,T1055&gt;=EOMONTH(B1055,0))),30,MIN(30,IF(T1055=0,EOMONTH(B1055,0),MIN(T1055,EOMONTH(B1055,0)))-MAX(B1055,S1055)+1))))</f>
        <v/>
      </c>
    </row>
    <row r="1056" customFormat="false" ht="15" hidden="false" customHeight="false" outlineLevel="0" collapsed="false">
      <c r="B1056" s="78"/>
      <c r="C1056" s="64"/>
      <c r="D1056" s="70" t="str">
        <f aca="false">IF(C1056="","",IFERROR(INDEX(T_NOMBRE,MATCH(C1056,T_ID,0)),"⚠ ID no existe"))</f>
        <v/>
      </c>
      <c r="E1056" s="69"/>
      <c r="F1056" s="69"/>
      <c r="G1056" s="69"/>
      <c r="H1056" s="69"/>
      <c r="I1056" s="66"/>
      <c r="J1056" s="69"/>
      <c r="K1056" s="67"/>
      <c r="L1056" s="67"/>
      <c r="M1056" s="67"/>
      <c r="N1056" s="67"/>
      <c r="O1056" s="64"/>
      <c r="P1056" s="72" t="str">
        <f aca="false">IF(OR(B1056="",C1056=""),"",C1056&amp;"|"&amp;(YEAR(B1056)*100+MONTH(B1056)))</f>
        <v/>
      </c>
      <c r="Q1056" s="70" t="str">
        <f aca="false">IF(P1056="","",IF(COUNTIF(N_CLAVE,P1056)&gt;1,"⚠ Duplicado","OK"))</f>
        <v/>
      </c>
      <c r="R1056" s="74" t="str">
        <f aca="false">IF(OR(P1056="",U1056=""),"",MAX(0,U1056-N(E1056)-N(F1056)-N(H1056)))</f>
        <v/>
      </c>
      <c r="S1056" s="75" t="str">
        <f aca="false">IF(P1056="","",IFERROR(INDEX(T_INGRESO,MATCH(C1056,T_ID,0)),""))</f>
        <v/>
      </c>
      <c r="T1056" s="75" t="str">
        <f aca="false">IF(P1056="","",IFERROR(N(INDEX(T_EGRESO,MATCH(C1056,T_ID,0))),0))</f>
        <v/>
      </c>
      <c r="U1056" s="73" t="str">
        <f aca="false">IF(OR(P1056="",NOT(ISNUMBER(S1056))),"",IF(OR(S1056&gt;EOMONTH(B1056,0),AND(T1056&gt;0,T1056&lt;B1056)),0,IF(AND(S1056&lt;=B1056,OR(T1056=0,T1056&gt;=EOMONTH(B1056,0))),30,MIN(30,IF(T1056=0,EOMONTH(B1056,0),MIN(T1056,EOMONTH(B1056,0)))-MAX(B1056,S1056)+1))))</f>
        <v/>
      </c>
    </row>
    <row r="1057" customFormat="false" ht="15" hidden="false" customHeight="false" outlineLevel="0" collapsed="false">
      <c r="B1057" s="78"/>
      <c r="C1057" s="64"/>
      <c r="D1057" s="70" t="str">
        <f aca="false">IF(C1057="","",IFERROR(INDEX(T_NOMBRE,MATCH(C1057,T_ID,0)),"⚠ ID no existe"))</f>
        <v/>
      </c>
      <c r="E1057" s="69"/>
      <c r="F1057" s="69"/>
      <c r="G1057" s="69"/>
      <c r="H1057" s="69"/>
      <c r="I1057" s="66"/>
      <c r="J1057" s="69"/>
      <c r="K1057" s="67"/>
      <c r="L1057" s="67"/>
      <c r="M1057" s="67"/>
      <c r="N1057" s="67"/>
      <c r="O1057" s="64"/>
      <c r="P1057" s="72" t="str">
        <f aca="false">IF(OR(B1057="",C1057=""),"",C1057&amp;"|"&amp;(YEAR(B1057)*100+MONTH(B1057)))</f>
        <v/>
      </c>
      <c r="Q1057" s="70" t="str">
        <f aca="false">IF(P1057="","",IF(COUNTIF(N_CLAVE,P1057)&gt;1,"⚠ Duplicado","OK"))</f>
        <v/>
      </c>
      <c r="R1057" s="74" t="str">
        <f aca="false">IF(OR(P1057="",U1057=""),"",MAX(0,U1057-N(E1057)-N(F1057)-N(H1057)))</f>
        <v/>
      </c>
      <c r="S1057" s="75" t="str">
        <f aca="false">IF(P1057="","",IFERROR(INDEX(T_INGRESO,MATCH(C1057,T_ID,0)),""))</f>
        <v/>
      </c>
      <c r="T1057" s="75" t="str">
        <f aca="false">IF(P1057="","",IFERROR(N(INDEX(T_EGRESO,MATCH(C1057,T_ID,0))),0))</f>
        <v/>
      </c>
      <c r="U1057" s="73" t="str">
        <f aca="false">IF(OR(P1057="",NOT(ISNUMBER(S1057))),"",IF(OR(S1057&gt;EOMONTH(B1057,0),AND(T1057&gt;0,T1057&lt;B1057)),0,IF(AND(S1057&lt;=B1057,OR(T1057=0,T1057&gt;=EOMONTH(B1057,0))),30,MIN(30,IF(T1057=0,EOMONTH(B1057,0),MIN(T1057,EOMONTH(B1057,0)))-MAX(B1057,S1057)+1))))</f>
        <v/>
      </c>
    </row>
    <row r="1058" customFormat="false" ht="15" hidden="false" customHeight="false" outlineLevel="0" collapsed="false">
      <c r="B1058" s="78"/>
      <c r="C1058" s="64"/>
      <c r="D1058" s="70" t="str">
        <f aca="false">IF(C1058="","",IFERROR(INDEX(T_NOMBRE,MATCH(C1058,T_ID,0)),"⚠ ID no existe"))</f>
        <v/>
      </c>
      <c r="E1058" s="69"/>
      <c r="F1058" s="69"/>
      <c r="G1058" s="69"/>
      <c r="H1058" s="69"/>
      <c r="I1058" s="66"/>
      <c r="J1058" s="69"/>
      <c r="K1058" s="67"/>
      <c r="L1058" s="67"/>
      <c r="M1058" s="67"/>
      <c r="N1058" s="67"/>
      <c r="O1058" s="64"/>
      <c r="P1058" s="72" t="str">
        <f aca="false">IF(OR(B1058="",C1058=""),"",C1058&amp;"|"&amp;(YEAR(B1058)*100+MONTH(B1058)))</f>
        <v/>
      </c>
      <c r="Q1058" s="70" t="str">
        <f aca="false">IF(P1058="","",IF(COUNTIF(N_CLAVE,P1058)&gt;1,"⚠ Duplicado","OK"))</f>
        <v/>
      </c>
      <c r="R1058" s="74" t="str">
        <f aca="false">IF(OR(P1058="",U1058=""),"",MAX(0,U1058-N(E1058)-N(F1058)-N(H1058)))</f>
        <v/>
      </c>
      <c r="S1058" s="75" t="str">
        <f aca="false">IF(P1058="","",IFERROR(INDEX(T_INGRESO,MATCH(C1058,T_ID,0)),""))</f>
        <v/>
      </c>
      <c r="T1058" s="75" t="str">
        <f aca="false">IF(P1058="","",IFERROR(N(INDEX(T_EGRESO,MATCH(C1058,T_ID,0))),0))</f>
        <v/>
      </c>
      <c r="U1058" s="73" t="str">
        <f aca="false">IF(OR(P1058="",NOT(ISNUMBER(S1058))),"",IF(OR(S1058&gt;EOMONTH(B1058,0),AND(T1058&gt;0,T1058&lt;B1058)),0,IF(AND(S1058&lt;=B1058,OR(T1058=0,T1058&gt;=EOMONTH(B1058,0))),30,MIN(30,IF(T1058=0,EOMONTH(B1058,0),MIN(T1058,EOMONTH(B1058,0)))-MAX(B1058,S1058)+1))))</f>
        <v/>
      </c>
    </row>
    <row r="1059" customFormat="false" ht="15" hidden="false" customHeight="false" outlineLevel="0" collapsed="false">
      <c r="B1059" s="78"/>
      <c r="C1059" s="64"/>
      <c r="D1059" s="70" t="str">
        <f aca="false">IF(C1059="","",IFERROR(INDEX(T_NOMBRE,MATCH(C1059,T_ID,0)),"⚠ ID no existe"))</f>
        <v/>
      </c>
      <c r="E1059" s="69"/>
      <c r="F1059" s="69"/>
      <c r="G1059" s="69"/>
      <c r="H1059" s="69"/>
      <c r="I1059" s="66"/>
      <c r="J1059" s="69"/>
      <c r="K1059" s="67"/>
      <c r="L1059" s="67"/>
      <c r="M1059" s="67"/>
      <c r="N1059" s="67"/>
      <c r="O1059" s="64"/>
      <c r="P1059" s="72" t="str">
        <f aca="false">IF(OR(B1059="",C1059=""),"",C1059&amp;"|"&amp;(YEAR(B1059)*100+MONTH(B1059)))</f>
        <v/>
      </c>
      <c r="Q1059" s="70" t="str">
        <f aca="false">IF(P1059="","",IF(COUNTIF(N_CLAVE,P1059)&gt;1,"⚠ Duplicado","OK"))</f>
        <v/>
      </c>
      <c r="R1059" s="74" t="str">
        <f aca="false">IF(OR(P1059="",U1059=""),"",MAX(0,U1059-N(E1059)-N(F1059)-N(H1059)))</f>
        <v/>
      </c>
      <c r="S1059" s="75" t="str">
        <f aca="false">IF(P1059="","",IFERROR(INDEX(T_INGRESO,MATCH(C1059,T_ID,0)),""))</f>
        <v/>
      </c>
      <c r="T1059" s="75" t="str">
        <f aca="false">IF(P1059="","",IFERROR(N(INDEX(T_EGRESO,MATCH(C1059,T_ID,0))),0))</f>
        <v/>
      </c>
      <c r="U1059" s="73" t="str">
        <f aca="false">IF(OR(P1059="",NOT(ISNUMBER(S1059))),"",IF(OR(S1059&gt;EOMONTH(B1059,0),AND(T1059&gt;0,T1059&lt;B1059)),0,IF(AND(S1059&lt;=B1059,OR(T1059=0,T1059&gt;=EOMONTH(B1059,0))),30,MIN(30,IF(T1059=0,EOMONTH(B1059,0),MIN(T1059,EOMONTH(B1059,0)))-MAX(B1059,S1059)+1))))</f>
        <v/>
      </c>
    </row>
    <row r="1060" customFormat="false" ht="15" hidden="false" customHeight="false" outlineLevel="0" collapsed="false">
      <c r="B1060" s="78"/>
      <c r="C1060" s="64"/>
      <c r="D1060" s="70" t="str">
        <f aca="false">IF(C1060="","",IFERROR(INDEX(T_NOMBRE,MATCH(C1060,T_ID,0)),"⚠ ID no existe"))</f>
        <v/>
      </c>
      <c r="E1060" s="69"/>
      <c r="F1060" s="69"/>
      <c r="G1060" s="69"/>
      <c r="H1060" s="69"/>
      <c r="I1060" s="66"/>
      <c r="J1060" s="69"/>
      <c r="K1060" s="67"/>
      <c r="L1060" s="67"/>
      <c r="M1060" s="67"/>
      <c r="N1060" s="67"/>
      <c r="O1060" s="64"/>
      <c r="P1060" s="72" t="str">
        <f aca="false">IF(OR(B1060="",C1060=""),"",C1060&amp;"|"&amp;(YEAR(B1060)*100+MONTH(B1060)))</f>
        <v/>
      </c>
      <c r="Q1060" s="70" t="str">
        <f aca="false">IF(P1060="","",IF(COUNTIF(N_CLAVE,P1060)&gt;1,"⚠ Duplicado","OK"))</f>
        <v/>
      </c>
      <c r="R1060" s="74" t="str">
        <f aca="false">IF(OR(P1060="",U1060=""),"",MAX(0,U1060-N(E1060)-N(F1060)-N(H1060)))</f>
        <v/>
      </c>
      <c r="S1060" s="75" t="str">
        <f aca="false">IF(P1060="","",IFERROR(INDEX(T_INGRESO,MATCH(C1060,T_ID,0)),""))</f>
        <v/>
      </c>
      <c r="T1060" s="75" t="str">
        <f aca="false">IF(P1060="","",IFERROR(N(INDEX(T_EGRESO,MATCH(C1060,T_ID,0))),0))</f>
        <v/>
      </c>
      <c r="U1060" s="73" t="str">
        <f aca="false">IF(OR(P1060="",NOT(ISNUMBER(S1060))),"",IF(OR(S1060&gt;EOMONTH(B1060,0),AND(T1060&gt;0,T1060&lt;B1060)),0,IF(AND(S1060&lt;=B1060,OR(T1060=0,T1060&gt;=EOMONTH(B1060,0))),30,MIN(30,IF(T1060=0,EOMONTH(B1060,0),MIN(T1060,EOMONTH(B1060,0)))-MAX(B1060,S1060)+1))))</f>
        <v/>
      </c>
    </row>
    <row r="1061" customFormat="false" ht="15" hidden="false" customHeight="false" outlineLevel="0" collapsed="false">
      <c r="B1061" s="78"/>
      <c r="C1061" s="64"/>
      <c r="D1061" s="70" t="str">
        <f aca="false">IF(C1061="","",IFERROR(INDEX(T_NOMBRE,MATCH(C1061,T_ID,0)),"⚠ ID no existe"))</f>
        <v/>
      </c>
      <c r="E1061" s="69"/>
      <c r="F1061" s="69"/>
      <c r="G1061" s="69"/>
      <c r="H1061" s="69"/>
      <c r="I1061" s="66"/>
      <c r="J1061" s="69"/>
      <c r="K1061" s="67"/>
      <c r="L1061" s="67"/>
      <c r="M1061" s="67"/>
      <c r="N1061" s="67"/>
      <c r="O1061" s="64"/>
      <c r="P1061" s="72" t="str">
        <f aca="false">IF(OR(B1061="",C1061=""),"",C1061&amp;"|"&amp;(YEAR(B1061)*100+MONTH(B1061)))</f>
        <v/>
      </c>
      <c r="Q1061" s="70" t="str">
        <f aca="false">IF(P1061="","",IF(COUNTIF(N_CLAVE,P1061)&gt;1,"⚠ Duplicado","OK"))</f>
        <v/>
      </c>
      <c r="R1061" s="74" t="str">
        <f aca="false">IF(OR(P1061="",U1061=""),"",MAX(0,U1061-N(E1061)-N(F1061)-N(H1061)))</f>
        <v/>
      </c>
      <c r="S1061" s="75" t="str">
        <f aca="false">IF(P1061="","",IFERROR(INDEX(T_INGRESO,MATCH(C1061,T_ID,0)),""))</f>
        <v/>
      </c>
      <c r="T1061" s="75" t="str">
        <f aca="false">IF(P1061="","",IFERROR(N(INDEX(T_EGRESO,MATCH(C1061,T_ID,0))),0))</f>
        <v/>
      </c>
      <c r="U1061" s="73" t="str">
        <f aca="false">IF(OR(P1061="",NOT(ISNUMBER(S1061))),"",IF(OR(S1061&gt;EOMONTH(B1061,0),AND(T1061&gt;0,T1061&lt;B1061)),0,IF(AND(S1061&lt;=B1061,OR(T1061=0,T1061&gt;=EOMONTH(B1061,0))),30,MIN(30,IF(T1061=0,EOMONTH(B1061,0),MIN(T1061,EOMONTH(B1061,0)))-MAX(B1061,S1061)+1))))</f>
        <v/>
      </c>
    </row>
    <row r="1062" customFormat="false" ht="15" hidden="false" customHeight="false" outlineLevel="0" collapsed="false">
      <c r="B1062" s="78"/>
      <c r="C1062" s="64"/>
      <c r="D1062" s="70" t="str">
        <f aca="false">IF(C1062="","",IFERROR(INDEX(T_NOMBRE,MATCH(C1062,T_ID,0)),"⚠ ID no existe"))</f>
        <v/>
      </c>
      <c r="E1062" s="69"/>
      <c r="F1062" s="69"/>
      <c r="G1062" s="69"/>
      <c r="H1062" s="69"/>
      <c r="I1062" s="66"/>
      <c r="J1062" s="69"/>
      <c r="K1062" s="67"/>
      <c r="L1062" s="67"/>
      <c r="M1062" s="67"/>
      <c r="N1062" s="67"/>
      <c r="O1062" s="64"/>
      <c r="P1062" s="72" t="str">
        <f aca="false">IF(OR(B1062="",C1062=""),"",C1062&amp;"|"&amp;(YEAR(B1062)*100+MONTH(B1062)))</f>
        <v/>
      </c>
      <c r="Q1062" s="70" t="str">
        <f aca="false">IF(P1062="","",IF(COUNTIF(N_CLAVE,P1062)&gt;1,"⚠ Duplicado","OK"))</f>
        <v/>
      </c>
      <c r="R1062" s="74" t="str">
        <f aca="false">IF(OR(P1062="",U1062=""),"",MAX(0,U1062-N(E1062)-N(F1062)-N(H1062)))</f>
        <v/>
      </c>
      <c r="S1062" s="75" t="str">
        <f aca="false">IF(P1062="","",IFERROR(INDEX(T_INGRESO,MATCH(C1062,T_ID,0)),""))</f>
        <v/>
      </c>
      <c r="T1062" s="75" t="str">
        <f aca="false">IF(P1062="","",IFERROR(N(INDEX(T_EGRESO,MATCH(C1062,T_ID,0))),0))</f>
        <v/>
      </c>
      <c r="U1062" s="73" t="str">
        <f aca="false">IF(OR(P1062="",NOT(ISNUMBER(S1062))),"",IF(OR(S1062&gt;EOMONTH(B1062,0),AND(T1062&gt;0,T1062&lt;B1062)),0,IF(AND(S1062&lt;=B1062,OR(T1062=0,T1062&gt;=EOMONTH(B1062,0))),30,MIN(30,IF(T1062=0,EOMONTH(B1062,0),MIN(T1062,EOMONTH(B1062,0)))-MAX(B1062,S1062)+1))))</f>
        <v/>
      </c>
    </row>
    <row r="1063" customFormat="false" ht="15" hidden="false" customHeight="false" outlineLevel="0" collapsed="false">
      <c r="B1063" s="78"/>
      <c r="C1063" s="64"/>
      <c r="D1063" s="70" t="str">
        <f aca="false">IF(C1063="","",IFERROR(INDEX(T_NOMBRE,MATCH(C1063,T_ID,0)),"⚠ ID no existe"))</f>
        <v/>
      </c>
      <c r="E1063" s="69"/>
      <c r="F1063" s="69"/>
      <c r="G1063" s="69"/>
      <c r="H1063" s="69"/>
      <c r="I1063" s="66"/>
      <c r="J1063" s="69"/>
      <c r="K1063" s="67"/>
      <c r="L1063" s="67"/>
      <c r="M1063" s="67"/>
      <c r="N1063" s="67"/>
      <c r="O1063" s="64"/>
      <c r="P1063" s="72" t="str">
        <f aca="false">IF(OR(B1063="",C1063=""),"",C1063&amp;"|"&amp;(YEAR(B1063)*100+MONTH(B1063)))</f>
        <v/>
      </c>
      <c r="Q1063" s="70" t="str">
        <f aca="false">IF(P1063="","",IF(COUNTIF(N_CLAVE,P1063)&gt;1,"⚠ Duplicado","OK"))</f>
        <v/>
      </c>
      <c r="R1063" s="74" t="str">
        <f aca="false">IF(OR(P1063="",U1063=""),"",MAX(0,U1063-N(E1063)-N(F1063)-N(H1063)))</f>
        <v/>
      </c>
      <c r="S1063" s="75" t="str">
        <f aca="false">IF(P1063="","",IFERROR(INDEX(T_INGRESO,MATCH(C1063,T_ID,0)),""))</f>
        <v/>
      </c>
      <c r="T1063" s="75" t="str">
        <f aca="false">IF(P1063="","",IFERROR(N(INDEX(T_EGRESO,MATCH(C1063,T_ID,0))),0))</f>
        <v/>
      </c>
      <c r="U1063" s="73" t="str">
        <f aca="false">IF(OR(P1063="",NOT(ISNUMBER(S1063))),"",IF(OR(S1063&gt;EOMONTH(B1063,0),AND(T1063&gt;0,T1063&lt;B1063)),0,IF(AND(S1063&lt;=B1063,OR(T1063=0,T1063&gt;=EOMONTH(B1063,0))),30,MIN(30,IF(T1063=0,EOMONTH(B1063,0),MIN(T1063,EOMONTH(B1063,0)))-MAX(B1063,S1063)+1))))</f>
        <v/>
      </c>
    </row>
    <row r="1064" customFormat="false" ht="15" hidden="false" customHeight="false" outlineLevel="0" collapsed="false">
      <c r="B1064" s="78"/>
      <c r="C1064" s="64"/>
      <c r="D1064" s="70" t="str">
        <f aca="false">IF(C1064="","",IFERROR(INDEX(T_NOMBRE,MATCH(C1064,T_ID,0)),"⚠ ID no existe"))</f>
        <v/>
      </c>
      <c r="E1064" s="69"/>
      <c r="F1064" s="69"/>
      <c r="G1064" s="69"/>
      <c r="H1064" s="69"/>
      <c r="I1064" s="66"/>
      <c r="J1064" s="69"/>
      <c r="K1064" s="67"/>
      <c r="L1064" s="67"/>
      <c r="M1064" s="67"/>
      <c r="N1064" s="67"/>
      <c r="O1064" s="64"/>
      <c r="P1064" s="72" t="str">
        <f aca="false">IF(OR(B1064="",C1064=""),"",C1064&amp;"|"&amp;(YEAR(B1064)*100+MONTH(B1064)))</f>
        <v/>
      </c>
      <c r="Q1064" s="70" t="str">
        <f aca="false">IF(P1064="","",IF(COUNTIF(N_CLAVE,P1064)&gt;1,"⚠ Duplicado","OK"))</f>
        <v/>
      </c>
      <c r="R1064" s="74" t="str">
        <f aca="false">IF(OR(P1064="",U1064=""),"",MAX(0,U1064-N(E1064)-N(F1064)-N(H1064)))</f>
        <v/>
      </c>
      <c r="S1064" s="75" t="str">
        <f aca="false">IF(P1064="","",IFERROR(INDEX(T_INGRESO,MATCH(C1064,T_ID,0)),""))</f>
        <v/>
      </c>
      <c r="T1064" s="75" t="str">
        <f aca="false">IF(P1064="","",IFERROR(N(INDEX(T_EGRESO,MATCH(C1064,T_ID,0))),0))</f>
        <v/>
      </c>
      <c r="U1064" s="73" t="str">
        <f aca="false">IF(OR(P1064="",NOT(ISNUMBER(S1064))),"",IF(OR(S1064&gt;EOMONTH(B1064,0),AND(T1064&gt;0,T1064&lt;B1064)),0,IF(AND(S1064&lt;=B1064,OR(T1064=0,T1064&gt;=EOMONTH(B1064,0))),30,MIN(30,IF(T1064=0,EOMONTH(B1064,0),MIN(T1064,EOMONTH(B1064,0)))-MAX(B1064,S1064)+1))))</f>
        <v/>
      </c>
    </row>
    <row r="1065" customFormat="false" ht="15" hidden="false" customHeight="false" outlineLevel="0" collapsed="false">
      <c r="B1065" s="78"/>
      <c r="C1065" s="64"/>
      <c r="D1065" s="70" t="str">
        <f aca="false">IF(C1065="","",IFERROR(INDEX(T_NOMBRE,MATCH(C1065,T_ID,0)),"⚠ ID no existe"))</f>
        <v/>
      </c>
      <c r="E1065" s="69"/>
      <c r="F1065" s="69"/>
      <c r="G1065" s="69"/>
      <c r="H1065" s="69"/>
      <c r="I1065" s="66"/>
      <c r="J1065" s="69"/>
      <c r="K1065" s="67"/>
      <c r="L1065" s="67"/>
      <c r="M1065" s="67"/>
      <c r="N1065" s="67"/>
      <c r="O1065" s="64"/>
      <c r="P1065" s="72" t="str">
        <f aca="false">IF(OR(B1065="",C1065=""),"",C1065&amp;"|"&amp;(YEAR(B1065)*100+MONTH(B1065)))</f>
        <v/>
      </c>
      <c r="Q1065" s="70" t="str">
        <f aca="false">IF(P1065="","",IF(COUNTIF(N_CLAVE,P1065)&gt;1,"⚠ Duplicado","OK"))</f>
        <v/>
      </c>
      <c r="R1065" s="74" t="str">
        <f aca="false">IF(OR(P1065="",U1065=""),"",MAX(0,U1065-N(E1065)-N(F1065)-N(H1065)))</f>
        <v/>
      </c>
      <c r="S1065" s="75" t="str">
        <f aca="false">IF(P1065="","",IFERROR(INDEX(T_INGRESO,MATCH(C1065,T_ID,0)),""))</f>
        <v/>
      </c>
      <c r="T1065" s="75" t="str">
        <f aca="false">IF(P1065="","",IFERROR(N(INDEX(T_EGRESO,MATCH(C1065,T_ID,0))),0))</f>
        <v/>
      </c>
      <c r="U1065" s="73" t="str">
        <f aca="false">IF(OR(P1065="",NOT(ISNUMBER(S1065))),"",IF(OR(S1065&gt;EOMONTH(B1065,0),AND(T1065&gt;0,T1065&lt;B1065)),0,IF(AND(S1065&lt;=B1065,OR(T1065=0,T1065&gt;=EOMONTH(B1065,0))),30,MIN(30,IF(T1065=0,EOMONTH(B1065,0),MIN(T1065,EOMONTH(B1065,0)))-MAX(B1065,S1065)+1))))</f>
        <v/>
      </c>
    </row>
    <row r="1066" customFormat="false" ht="15" hidden="false" customHeight="false" outlineLevel="0" collapsed="false">
      <c r="B1066" s="78"/>
      <c r="C1066" s="64"/>
      <c r="D1066" s="70" t="str">
        <f aca="false">IF(C1066="","",IFERROR(INDEX(T_NOMBRE,MATCH(C1066,T_ID,0)),"⚠ ID no existe"))</f>
        <v/>
      </c>
      <c r="E1066" s="69"/>
      <c r="F1066" s="69"/>
      <c r="G1066" s="69"/>
      <c r="H1066" s="69"/>
      <c r="I1066" s="66"/>
      <c r="J1066" s="69"/>
      <c r="K1066" s="67"/>
      <c r="L1066" s="67"/>
      <c r="M1066" s="67"/>
      <c r="N1066" s="67"/>
      <c r="O1066" s="64"/>
      <c r="P1066" s="72" t="str">
        <f aca="false">IF(OR(B1066="",C1066=""),"",C1066&amp;"|"&amp;(YEAR(B1066)*100+MONTH(B1066)))</f>
        <v/>
      </c>
      <c r="Q1066" s="70" t="str">
        <f aca="false">IF(P1066="","",IF(COUNTIF(N_CLAVE,P1066)&gt;1,"⚠ Duplicado","OK"))</f>
        <v/>
      </c>
      <c r="R1066" s="74" t="str">
        <f aca="false">IF(OR(P1066="",U1066=""),"",MAX(0,U1066-N(E1066)-N(F1066)-N(H1066)))</f>
        <v/>
      </c>
      <c r="S1066" s="75" t="str">
        <f aca="false">IF(P1066="","",IFERROR(INDEX(T_INGRESO,MATCH(C1066,T_ID,0)),""))</f>
        <v/>
      </c>
      <c r="T1066" s="75" t="str">
        <f aca="false">IF(P1066="","",IFERROR(N(INDEX(T_EGRESO,MATCH(C1066,T_ID,0))),0))</f>
        <v/>
      </c>
      <c r="U1066" s="73" t="str">
        <f aca="false">IF(OR(P1066="",NOT(ISNUMBER(S1066))),"",IF(OR(S1066&gt;EOMONTH(B1066,0),AND(T1066&gt;0,T1066&lt;B1066)),0,IF(AND(S1066&lt;=B1066,OR(T1066=0,T1066&gt;=EOMONTH(B1066,0))),30,MIN(30,IF(T1066=0,EOMONTH(B1066,0),MIN(T1066,EOMONTH(B1066,0)))-MAX(B1066,S1066)+1))))</f>
        <v/>
      </c>
    </row>
    <row r="1067" customFormat="false" ht="15" hidden="false" customHeight="false" outlineLevel="0" collapsed="false">
      <c r="B1067" s="78"/>
      <c r="C1067" s="64"/>
      <c r="D1067" s="70" t="str">
        <f aca="false">IF(C1067="","",IFERROR(INDEX(T_NOMBRE,MATCH(C1067,T_ID,0)),"⚠ ID no existe"))</f>
        <v/>
      </c>
      <c r="E1067" s="69"/>
      <c r="F1067" s="69"/>
      <c r="G1067" s="69"/>
      <c r="H1067" s="69"/>
      <c r="I1067" s="66"/>
      <c r="J1067" s="69"/>
      <c r="K1067" s="67"/>
      <c r="L1067" s="67"/>
      <c r="M1067" s="67"/>
      <c r="N1067" s="67"/>
      <c r="O1067" s="64"/>
      <c r="P1067" s="72" t="str">
        <f aca="false">IF(OR(B1067="",C1067=""),"",C1067&amp;"|"&amp;(YEAR(B1067)*100+MONTH(B1067)))</f>
        <v/>
      </c>
      <c r="Q1067" s="70" t="str">
        <f aca="false">IF(P1067="","",IF(COUNTIF(N_CLAVE,P1067)&gt;1,"⚠ Duplicado","OK"))</f>
        <v/>
      </c>
      <c r="R1067" s="74" t="str">
        <f aca="false">IF(OR(P1067="",U1067=""),"",MAX(0,U1067-N(E1067)-N(F1067)-N(H1067)))</f>
        <v/>
      </c>
      <c r="S1067" s="75" t="str">
        <f aca="false">IF(P1067="","",IFERROR(INDEX(T_INGRESO,MATCH(C1067,T_ID,0)),""))</f>
        <v/>
      </c>
      <c r="T1067" s="75" t="str">
        <f aca="false">IF(P1067="","",IFERROR(N(INDEX(T_EGRESO,MATCH(C1067,T_ID,0))),0))</f>
        <v/>
      </c>
      <c r="U1067" s="73" t="str">
        <f aca="false">IF(OR(P1067="",NOT(ISNUMBER(S1067))),"",IF(OR(S1067&gt;EOMONTH(B1067,0),AND(T1067&gt;0,T1067&lt;B1067)),0,IF(AND(S1067&lt;=B1067,OR(T1067=0,T1067&gt;=EOMONTH(B1067,0))),30,MIN(30,IF(T1067=0,EOMONTH(B1067,0),MIN(T1067,EOMONTH(B1067,0)))-MAX(B1067,S1067)+1))))</f>
        <v/>
      </c>
    </row>
    <row r="1068" customFormat="false" ht="15" hidden="false" customHeight="false" outlineLevel="0" collapsed="false">
      <c r="B1068" s="78"/>
      <c r="C1068" s="64"/>
      <c r="D1068" s="70" t="str">
        <f aca="false">IF(C1068="","",IFERROR(INDEX(T_NOMBRE,MATCH(C1068,T_ID,0)),"⚠ ID no existe"))</f>
        <v/>
      </c>
      <c r="E1068" s="69"/>
      <c r="F1068" s="69"/>
      <c r="G1068" s="69"/>
      <c r="H1068" s="69"/>
      <c r="I1068" s="66"/>
      <c r="J1068" s="69"/>
      <c r="K1068" s="67"/>
      <c r="L1068" s="67"/>
      <c r="M1068" s="67"/>
      <c r="N1068" s="67"/>
      <c r="O1068" s="64"/>
      <c r="P1068" s="72" t="str">
        <f aca="false">IF(OR(B1068="",C1068=""),"",C1068&amp;"|"&amp;(YEAR(B1068)*100+MONTH(B1068)))</f>
        <v/>
      </c>
      <c r="Q1068" s="70" t="str">
        <f aca="false">IF(P1068="","",IF(COUNTIF(N_CLAVE,P1068)&gt;1,"⚠ Duplicado","OK"))</f>
        <v/>
      </c>
      <c r="R1068" s="74" t="str">
        <f aca="false">IF(OR(P1068="",U1068=""),"",MAX(0,U1068-N(E1068)-N(F1068)-N(H1068)))</f>
        <v/>
      </c>
      <c r="S1068" s="75" t="str">
        <f aca="false">IF(P1068="","",IFERROR(INDEX(T_INGRESO,MATCH(C1068,T_ID,0)),""))</f>
        <v/>
      </c>
      <c r="T1068" s="75" t="str">
        <f aca="false">IF(P1068="","",IFERROR(N(INDEX(T_EGRESO,MATCH(C1068,T_ID,0))),0))</f>
        <v/>
      </c>
      <c r="U1068" s="73" t="str">
        <f aca="false">IF(OR(P1068="",NOT(ISNUMBER(S1068))),"",IF(OR(S1068&gt;EOMONTH(B1068,0),AND(T1068&gt;0,T1068&lt;B1068)),0,IF(AND(S1068&lt;=B1068,OR(T1068=0,T1068&gt;=EOMONTH(B1068,0))),30,MIN(30,IF(T1068=0,EOMONTH(B1068,0),MIN(T1068,EOMONTH(B1068,0)))-MAX(B1068,S1068)+1))))</f>
        <v/>
      </c>
    </row>
    <row r="1069" customFormat="false" ht="15" hidden="false" customHeight="false" outlineLevel="0" collapsed="false">
      <c r="B1069" s="78"/>
      <c r="C1069" s="64"/>
      <c r="D1069" s="70" t="str">
        <f aca="false">IF(C1069="","",IFERROR(INDEX(T_NOMBRE,MATCH(C1069,T_ID,0)),"⚠ ID no existe"))</f>
        <v/>
      </c>
      <c r="E1069" s="69"/>
      <c r="F1069" s="69"/>
      <c r="G1069" s="69"/>
      <c r="H1069" s="69"/>
      <c r="I1069" s="66"/>
      <c r="J1069" s="69"/>
      <c r="K1069" s="67"/>
      <c r="L1069" s="67"/>
      <c r="M1069" s="67"/>
      <c r="N1069" s="67"/>
      <c r="O1069" s="64"/>
      <c r="P1069" s="72" t="str">
        <f aca="false">IF(OR(B1069="",C1069=""),"",C1069&amp;"|"&amp;(YEAR(B1069)*100+MONTH(B1069)))</f>
        <v/>
      </c>
      <c r="Q1069" s="70" t="str">
        <f aca="false">IF(P1069="","",IF(COUNTIF(N_CLAVE,P1069)&gt;1,"⚠ Duplicado","OK"))</f>
        <v/>
      </c>
      <c r="R1069" s="74" t="str">
        <f aca="false">IF(OR(P1069="",U1069=""),"",MAX(0,U1069-N(E1069)-N(F1069)-N(H1069)))</f>
        <v/>
      </c>
      <c r="S1069" s="75" t="str">
        <f aca="false">IF(P1069="","",IFERROR(INDEX(T_INGRESO,MATCH(C1069,T_ID,0)),""))</f>
        <v/>
      </c>
      <c r="T1069" s="75" t="str">
        <f aca="false">IF(P1069="","",IFERROR(N(INDEX(T_EGRESO,MATCH(C1069,T_ID,0))),0))</f>
        <v/>
      </c>
      <c r="U1069" s="73" t="str">
        <f aca="false">IF(OR(P1069="",NOT(ISNUMBER(S1069))),"",IF(OR(S1069&gt;EOMONTH(B1069,0),AND(T1069&gt;0,T1069&lt;B1069)),0,IF(AND(S1069&lt;=B1069,OR(T1069=0,T1069&gt;=EOMONTH(B1069,0))),30,MIN(30,IF(T1069=0,EOMONTH(B1069,0),MIN(T1069,EOMONTH(B1069,0)))-MAX(B1069,S1069)+1))))</f>
        <v/>
      </c>
    </row>
    <row r="1070" customFormat="false" ht="15" hidden="false" customHeight="false" outlineLevel="0" collapsed="false">
      <c r="B1070" s="78"/>
      <c r="C1070" s="64"/>
      <c r="D1070" s="70" t="str">
        <f aca="false">IF(C1070="","",IFERROR(INDEX(T_NOMBRE,MATCH(C1070,T_ID,0)),"⚠ ID no existe"))</f>
        <v/>
      </c>
      <c r="E1070" s="69"/>
      <c r="F1070" s="69"/>
      <c r="G1070" s="69"/>
      <c r="H1070" s="69"/>
      <c r="I1070" s="66"/>
      <c r="J1070" s="69"/>
      <c r="K1070" s="67"/>
      <c r="L1070" s="67"/>
      <c r="M1070" s="67"/>
      <c r="N1070" s="67"/>
      <c r="O1070" s="64"/>
      <c r="P1070" s="72" t="str">
        <f aca="false">IF(OR(B1070="",C1070=""),"",C1070&amp;"|"&amp;(YEAR(B1070)*100+MONTH(B1070)))</f>
        <v/>
      </c>
      <c r="Q1070" s="70" t="str">
        <f aca="false">IF(P1070="","",IF(COUNTIF(N_CLAVE,P1070)&gt;1,"⚠ Duplicado","OK"))</f>
        <v/>
      </c>
      <c r="R1070" s="74" t="str">
        <f aca="false">IF(OR(P1070="",U1070=""),"",MAX(0,U1070-N(E1070)-N(F1070)-N(H1070)))</f>
        <v/>
      </c>
      <c r="S1070" s="75" t="str">
        <f aca="false">IF(P1070="","",IFERROR(INDEX(T_INGRESO,MATCH(C1070,T_ID,0)),""))</f>
        <v/>
      </c>
      <c r="T1070" s="75" t="str">
        <f aca="false">IF(P1070="","",IFERROR(N(INDEX(T_EGRESO,MATCH(C1070,T_ID,0))),0))</f>
        <v/>
      </c>
      <c r="U1070" s="73" t="str">
        <f aca="false">IF(OR(P1070="",NOT(ISNUMBER(S1070))),"",IF(OR(S1070&gt;EOMONTH(B1070,0),AND(T1070&gt;0,T1070&lt;B1070)),0,IF(AND(S1070&lt;=B1070,OR(T1070=0,T1070&gt;=EOMONTH(B1070,0))),30,MIN(30,IF(T1070=0,EOMONTH(B1070,0),MIN(T1070,EOMONTH(B1070,0)))-MAX(B1070,S1070)+1))))</f>
        <v/>
      </c>
    </row>
    <row r="1071" customFormat="false" ht="15" hidden="false" customHeight="false" outlineLevel="0" collapsed="false">
      <c r="B1071" s="78"/>
      <c r="C1071" s="64"/>
      <c r="D1071" s="70" t="str">
        <f aca="false">IF(C1071="","",IFERROR(INDEX(T_NOMBRE,MATCH(C1071,T_ID,0)),"⚠ ID no existe"))</f>
        <v/>
      </c>
      <c r="E1071" s="69"/>
      <c r="F1071" s="69"/>
      <c r="G1071" s="69"/>
      <c r="H1071" s="69"/>
      <c r="I1071" s="66"/>
      <c r="J1071" s="69"/>
      <c r="K1071" s="67"/>
      <c r="L1071" s="67"/>
      <c r="M1071" s="67"/>
      <c r="N1071" s="67"/>
      <c r="O1071" s="64"/>
      <c r="P1071" s="72" t="str">
        <f aca="false">IF(OR(B1071="",C1071=""),"",C1071&amp;"|"&amp;(YEAR(B1071)*100+MONTH(B1071)))</f>
        <v/>
      </c>
      <c r="Q1071" s="70" t="str">
        <f aca="false">IF(P1071="","",IF(COUNTIF(N_CLAVE,P1071)&gt;1,"⚠ Duplicado","OK"))</f>
        <v/>
      </c>
      <c r="R1071" s="74" t="str">
        <f aca="false">IF(OR(P1071="",U1071=""),"",MAX(0,U1071-N(E1071)-N(F1071)-N(H1071)))</f>
        <v/>
      </c>
      <c r="S1071" s="75" t="str">
        <f aca="false">IF(P1071="","",IFERROR(INDEX(T_INGRESO,MATCH(C1071,T_ID,0)),""))</f>
        <v/>
      </c>
      <c r="T1071" s="75" t="str">
        <f aca="false">IF(P1071="","",IFERROR(N(INDEX(T_EGRESO,MATCH(C1071,T_ID,0))),0))</f>
        <v/>
      </c>
      <c r="U1071" s="73" t="str">
        <f aca="false">IF(OR(P1071="",NOT(ISNUMBER(S1071))),"",IF(OR(S1071&gt;EOMONTH(B1071,0),AND(T1071&gt;0,T1071&lt;B1071)),0,IF(AND(S1071&lt;=B1071,OR(T1071=0,T1071&gt;=EOMONTH(B1071,0))),30,MIN(30,IF(T1071=0,EOMONTH(B1071,0),MIN(T1071,EOMONTH(B1071,0)))-MAX(B1071,S1071)+1))))</f>
        <v/>
      </c>
    </row>
    <row r="1072" customFormat="false" ht="15" hidden="false" customHeight="false" outlineLevel="0" collapsed="false">
      <c r="B1072" s="78"/>
      <c r="C1072" s="64"/>
      <c r="D1072" s="70" t="str">
        <f aca="false">IF(C1072="","",IFERROR(INDEX(T_NOMBRE,MATCH(C1072,T_ID,0)),"⚠ ID no existe"))</f>
        <v/>
      </c>
      <c r="E1072" s="69"/>
      <c r="F1072" s="69"/>
      <c r="G1072" s="69"/>
      <c r="H1072" s="69"/>
      <c r="I1072" s="66"/>
      <c r="J1072" s="69"/>
      <c r="K1072" s="67"/>
      <c r="L1072" s="67"/>
      <c r="M1072" s="67"/>
      <c r="N1072" s="67"/>
      <c r="O1072" s="64"/>
      <c r="P1072" s="72" t="str">
        <f aca="false">IF(OR(B1072="",C1072=""),"",C1072&amp;"|"&amp;(YEAR(B1072)*100+MONTH(B1072)))</f>
        <v/>
      </c>
      <c r="Q1072" s="70" t="str">
        <f aca="false">IF(P1072="","",IF(COUNTIF(N_CLAVE,P1072)&gt;1,"⚠ Duplicado","OK"))</f>
        <v/>
      </c>
      <c r="R1072" s="74" t="str">
        <f aca="false">IF(OR(P1072="",U1072=""),"",MAX(0,U1072-N(E1072)-N(F1072)-N(H1072)))</f>
        <v/>
      </c>
      <c r="S1072" s="75" t="str">
        <f aca="false">IF(P1072="","",IFERROR(INDEX(T_INGRESO,MATCH(C1072,T_ID,0)),""))</f>
        <v/>
      </c>
      <c r="T1072" s="75" t="str">
        <f aca="false">IF(P1072="","",IFERROR(N(INDEX(T_EGRESO,MATCH(C1072,T_ID,0))),0))</f>
        <v/>
      </c>
      <c r="U1072" s="73" t="str">
        <f aca="false">IF(OR(P1072="",NOT(ISNUMBER(S1072))),"",IF(OR(S1072&gt;EOMONTH(B1072,0),AND(T1072&gt;0,T1072&lt;B1072)),0,IF(AND(S1072&lt;=B1072,OR(T1072=0,T1072&gt;=EOMONTH(B1072,0))),30,MIN(30,IF(T1072=0,EOMONTH(B1072,0),MIN(T1072,EOMONTH(B1072,0)))-MAX(B1072,S1072)+1))))</f>
        <v/>
      </c>
    </row>
    <row r="1073" customFormat="false" ht="15" hidden="false" customHeight="false" outlineLevel="0" collapsed="false">
      <c r="B1073" s="78"/>
      <c r="C1073" s="64"/>
      <c r="D1073" s="70" t="str">
        <f aca="false">IF(C1073="","",IFERROR(INDEX(T_NOMBRE,MATCH(C1073,T_ID,0)),"⚠ ID no existe"))</f>
        <v/>
      </c>
      <c r="E1073" s="69"/>
      <c r="F1073" s="69"/>
      <c r="G1073" s="69"/>
      <c r="H1073" s="69"/>
      <c r="I1073" s="66"/>
      <c r="J1073" s="69"/>
      <c r="K1073" s="67"/>
      <c r="L1073" s="67"/>
      <c r="M1073" s="67"/>
      <c r="N1073" s="67"/>
      <c r="O1073" s="64"/>
      <c r="P1073" s="72" t="str">
        <f aca="false">IF(OR(B1073="",C1073=""),"",C1073&amp;"|"&amp;(YEAR(B1073)*100+MONTH(B1073)))</f>
        <v/>
      </c>
      <c r="Q1073" s="70" t="str">
        <f aca="false">IF(P1073="","",IF(COUNTIF(N_CLAVE,P1073)&gt;1,"⚠ Duplicado","OK"))</f>
        <v/>
      </c>
      <c r="R1073" s="74" t="str">
        <f aca="false">IF(OR(P1073="",U1073=""),"",MAX(0,U1073-N(E1073)-N(F1073)-N(H1073)))</f>
        <v/>
      </c>
      <c r="S1073" s="75" t="str">
        <f aca="false">IF(P1073="","",IFERROR(INDEX(T_INGRESO,MATCH(C1073,T_ID,0)),""))</f>
        <v/>
      </c>
      <c r="T1073" s="75" t="str">
        <f aca="false">IF(P1073="","",IFERROR(N(INDEX(T_EGRESO,MATCH(C1073,T_ID,0))),0))</f>
        <v/>
      </c>
      <c r="U1073" s="73" t="str">
        <f aca="false">IF(OR(P1073="",NOT(ISNUMBER(S1073))),"",IF(OR(S1073&gt;EOMONTH(B1073,0),AND(T1073&gt;0,T1073&lt;B1073)),0,IF(AND(S1073&lt;=B1073,OR(T1073=0,T1073&gt;=EOMONTH(B1073,0))),30,MIN(30,IF(T1073=0,EOMONTH(B1073,0),MIN(T1073,EOMONTH(B1073,0)))-MAX(B1073,S1073)+1))))</f>
        <v/>
      </c>
    </row>
    <row r="1074" customFormat="false" ht="15" hidden="false" customHeight="false" outlineLevel="0" collapsed="false">
      <c r="B1074" s="78"/>
      <c r="C1074" s="64"/>
      <c r="D1074" s="70" t="str">
        <f aca="false">IF(C1074="","",IFERROR(INDEX(T_NOMBRE,MATCH(C1074,T_ID,0)),"⚠ ID no existe"))</f>
        <v/>
      </c>
      <c r="E1074" s="69"/>
      <c r="F1074" s="69"/>
      <c r="G1074" s="69"/>
      <c r="H1074" s="69"/>
      <c r="I1074" s="66"/>
      <c r="J1074" s="69"/>
      <c r="K1074" s="67"/>
      <c r="L1074" s="67"/>
      <c r="M1074" s="67"/>
      <c r="N1074" s="67"/>
      <c r="O1074" s="64"/>
      <c r="P1074" s="72" t="str">
        <f aca="false">IF(OR(B1074="",C1074=""),"",C1074&amp;"|"&amp;(YEAR(B1074)*100+MONTH(B1074)))</f>
        <v/>
      </c>
      <c r="Q1074" s="70" t="str">
        <f aca="false">IF(P1074="","",IF(COUNTIF(N_CLAVE,P1074)&gt;1,"⚠ Duplicado","OK"))</f>
        <v/>
      </c>
      <c r="R1074" s="74" t="str">
        <f aca="false">IF(OR(P1074="",U1074=""),"",MAX(0,U1074-N(E1074)-N(F1074)-N(H1074)))</f>
        <v/>
      </c>
      <c r="S1074" s="75" t="str">
        <f aca="false">IF(P1074="","",IFERROR(INDEX(T_INGRESO,MATCH(C1074,T_ID,0)),""))</f>
        <v/>
      </c>
      <c r="T1074" s="75" t="str">
        <f aca="false">IF(P1074="","",IFERROR(N(INDEX(T_EGRESO,MATCH(C1074,T_ID,0))),0))</f>
        <v/>
      </c>
      <c r="U1074" s="73" t="str">
        <f aca="false">IF(OR(P1074="",NOT(ISNUMBER(S1074))),"",IF(OR(S1074&gt;EOMONTH(B1074,0),AND(T1074&gt;0,T1074&lt;B1074)),0,IF(AND(S1074&lt;=B1074,OR(T1074=0,T1074&gt;=EOMONTH(B1074,0))),30,MIN(30,IF(T1074=0,EOMONTH(B1074,0),MIN(T1074,EOMONTH(B1074,0)))-MAX(B1074,S1074)+1))))</f>
        <v/>
      </c>
    </row>
    <row r="1075" customFormat="false" ht="15" hidden="false" customHeight="false" outlineLevel="0" collapsed="false">
      <c r="B1075" s="78"/>
      <c r="C1075" s="64"/>
      <c r="D1075" s="70" t="str">
        <f aca="false">IF(C1075="","",IFERROR(INDEX(T_NOMBRE,MATCH(C1075,T_ID,0)),"⚠ ID no existe"))</f>
        <v/>
      </c>
      <c r="E1075" s="69"/>
      <c r="F1075" s="69"/>
      <c r="G1075" s="69"/>
      <c r="H1075" s="69"/>
      <c r="I1075" s="66"/>
      <c r="J1075" s="69"/>
      <c r="K1075" s="67"/>
      <c r="L1075" s="67"/>
      <c r="M1075" s="67"/>
      <c r="N1075" s="67"/>
      <c r="O1075" s="64"/>
      <c r="P1075" s="72" t="str">
        <f aca="false">IF(OR(B1075="",C1075=""),"",C1075&amp;"|"&amp;(YEAR(B1075)*100+MONTH(B1075)))</f>
        <v/>
      </c>
      <c r="Q1075" s="70" t="str">
        <f aca="false">IF(P1075="","",IF(COUNTIF(N_CLAVE,P1075)&gt;1,"⚠ Duplicado","OK"))</f>
        <v/>
      </c>
      <c r="R1075" s="74" t="str">
        <f aca="false">IF(OR(P1075="",U1075=""),"",MAX(0,U1075-N(E1075)-N(F1075)-N(H1075)))</f>
        <v/>
      </c>
      <c r="S1075" s="75" t="str">
        <f aca="false">IF(P1075="","",IFERROR(INDEX(T_INGRESO,MATCH(C1075,T_ID,0)),""))</f>
        <v/>
      </c>
      <c r="T1075" s="75" t="str">
        <f aca="false">IF(P1075="","",IFERROR(N(INDEX(T_EGRESO,MATCH(C1075,T_ID,0))),0))</f>
        <v/>
      </c>
      <c r="U1075" s="73" t="str">
        <f aca="false">IF(OR(P1075="",NOT(ISNUMBER(S1075))),"",IF(OR(S1075&gt;EOMONTH(B1075,0),AND(T1075&gt;0,T1075&lt;B1075)),0,IF(AND(S1075&lt;=B1075,OR(T1075=0,T1075&gt;=EOMONTH(B1075,0))),30,MIN(30,IF(T1075=0,EOMONTH(B1075,0),MIN(T1075,EOMONTH(B1075,0)))-MAX(B1075,S1075)+1))))</f>
        <v/>
      </c>
    </row>
    <row r="1076" customFormat="false" ht="15" hidden="false" customHeight="false" outlineLevel="0" collapsed="false">
      <c r="B1076" s="78"/>
      <c r="C1076" s="64"/>
      <c r="D1076" s="70" t="str">
        <f aca="false">IF(C1076="","",IFERROR(INDEX(T_NOMBRE,MATCH(C1076,T_ID,0)),"⚠ ID no existe"))</f>
        <v/>
      </c>
      <c r="E1076" s="69"/>
      <c r="F1076" s="69"/>
      <c r="G1076" s="69"/>
      <c r="H1076" s="69"/>
      <c r="I1076" s="66"/>
      <c r="J1076" s="69"/>
      <c r="K1076" s="67"/>
      <c r="L1076" s="67"/>
      <c r="M1076" s="67"/>
      <c r="N1076" s="67"/>
      <c r="O1076" s="64"/>
      <c r="P1076" s="72" t="str">
        <f aca="false">IF(OR(B1076="",C1076=""),"",C1076&amp;"|"&amp;(YEAR(B1076)*100+MONTH(B1076)))</f>
        <v/>
      </c>
      <c r="Q1076" s="70" t="str">
        <f aca="false">IF(P1076="","",IF(COUNTIF(N_CLAVE,P1076)&gt;1,"⚠ Duplicado","OK"))</f>
        <v/>
      </c>
      <c r="R1076" s="74" t="str">
        <f aca="false">IF(OR(P1076="",U1076=""),"",MAX(0,U1076-N(E1076)-N(F1076)-N(H1076)))</f>
        <v/>
      </c>
      <c r="S1076" s="75" t="str">
        <f aca="false">IF(P1076="","",IFERROR(INDEX(T_INGRESO,MATCH(C1076,T_ID,0)),""))</f>
        <v/>
      </c>
      <c r="T1076" s="75" t="str">
        <f aca="false">IF(P1076="","",IFERROR(N(INDEX(T_EGRESO,MATCH(C1076,T_ID,0))),0))</f>
        <v/>
      </c>
      <c r="U1076" s="73" t="str">
        <f aca="false">IF(OR(P1076="",NOT(ISNUMBER(S1076))),"",IF(OR(S1076&gt;EOMONTH(B1076,0),AND(T1076&gt;0,T1076&lt;B1076)),0,IF(AND(S1076&lt;=B1076,OR(T1076=0,T1076&gt;=EOMONTH(B1076,0))),30,MIN(30,IF(T1076=0,EOMONTH(B1076,0),MIN(T1076,EOMONTH(B1076,0)))-MAX(B1076,S1076)+1))))</f>
        <v/>
      </c>
    </row>
    <row r="1077" customFormat="false" ht="15" hidden="false" customHeight="false" outlineLevel="0" collapsed="false">
      <c r="B1077" s="78"/>
      <c r="C1077" s="64"/>
      <c r="D1077" s="70" t="str">
        <f aca="false">IF(C1077="","",IFERROR(INDEX(T_NOMBRE,MATCH(C1077,T_ID,0)),"⚠ ID no existe"))</f>
        <v/>
      </c>
      <c r="E1077" s="69"/>
      <c r="F1077" s="69"/>
      <c r="G1077" s="69"/>
      <c r="H1077" s="69"/>
      <c r="I1077" s="66"/>
      <c r="J1077" s="69"/>
      <c r="K1077" s="67"/>
      <c r="L1077" s="67"/>
      <c r="M1077" s="67"/>
      <c r="N1077" s="67"/>
      <c r="O1077" s="64"/>
      <c r="P1077" s="72" t="str">
        <f aca="false">IF(OR(B1077="",C1077=""),"",C1077&amp;"|"&amp;(YEAR(B1077)*100+MONTH(B1077)))</f>
        <v/>
      </c>
      <c r="Q1077" s="70" t="str">
        <f aca="false">IF(P1077="","",IF(COUNTIF(N_CLAVE,P1077)&gt;1,"⚠ Duplicado","OK"))</f>
        <v/>
      </c>
      <c r="R1077" s="74" t="str">
        <f aca="false">IF(OR(P1077="",U1077=""),"",MAX(0,U1077-N(E1077)-N(F1077)-N(H1077)))</f>
        <v/>
      </c>
      <c r="S1077" s="75" t="str">
        <f aca="false">IF(P1077="","",IFERROR(INDEX(T_INGRESO,MATCH(C1077,T_ID,0)),""))</f>
        <v/>
      </c>
      <c r="T1077" s="75" t="str">
        <f aca="false">IF(P1077="","",IFERROR(N(INDEX(T_EGRESO,MATCH(C1077,T_ID,0))),0))</f>
        <v/>
      </c>
      <c r="U1077" s="73" t="str">
        <f aca="false">IF(OR(P1077="",NOT(ISNUMBER(S1077))),"",IF(OR(S1077&gt;EOMONTH(B1077,0),AND(T1077&gt;0,T1077&lt;B1077)),0,IF(AND(S1077&lt;=B1077,OR(T1077=0,T1077&gt;=EOMONTH(B1077,0))),30,MIN(30,IF(T1077=0,EOMONTH(B1077,0),MIN(T1077,EOMONTH(B1077,0)))-MAX(B1077,S1077)+1))))</f>
        <v/>
      </c>
    </row>
    <row r="1078" customFormat="false" ht="15" hidden="false" customHeight="false" outlineLevel="0" collapsed="false">
      <c r="B1078" s="78"/>
      <c r="C1078" s="64"/>
      <c r="D1078" s="70" t="str">
        <f aca="false">IF(C1078="","",IFERROR(INDEX(T_NOMBRE,MATCH(C1078,T_ID,0)),"⚠ ID no existe"))</f>
        <v/>
      </c>
      <c r="E1078" s="69"/>
      <c r="F1078" s="69"/>
      <c r="G1078" s="69"/>
      <c r="H1078" s="69"/>
      <c r="I1078" s="66"/>
      <c r="J1078" s="69"/>
      <c r="K1078" s="67"/>
      <c r="L1078" s="67"/>
      <c r="M1078" s="67"/>
      <c r="N1078" s="67"/>
      <c r="O1078" s="64"/>
      <c r="P1078" s="72" t="str">
        <f aca="false">IF(OR(B1078="",C1078=""),"",C1078&amp;"|"&amp;(YEAR(B1078)*100+MONTH(B1078)))</f>
        <v/>
      </c>
      <c r="Q1078" s="70" t="str">
        <f aca="false">IF(P1078="","",IF(COUNTIF(N_CLAVE,P1078)&gt;1,"⚠ Duplicado","OK"))</f>
        <v/>
      </c>
      <c r="R1078" s="74" t="str">
        <f aca="false">IF(OR(P1078="",U1078=""),"",MAX(0,U1078-N(E1078)-N(F1078)-N(H1078)))</f>
        <v/>
      </c>
      <c r="S1078" s="75" t="str">
        <f aca="false">IF(P1078="","",IFERROR(INDEX(T_INGRESO,MATCH(C1078,T_ID,0)),""))</f>
        <v/>
      </c>
      <c r="T1078" s="75" t="str">
        <f aca="false">IF(P1078="","",IFERROR(N(INDEX(T_EGRESO,MATCH(C1078,T_ID,0))),0))</f>
        <v/>
      </c>
      <c r="U1078" s="73" t="str">
        <f aca="false">IF(OR(P1078="",NOT(ISNUMBER(S1078))),"",IF(OR(S1078&gt;EOMONTH(B1078,0),AND(T1078&gt;0,T1078&lt;B1078)),0,IF(AND(S1078&lt;=B1078,OR(T1078=0,T1078&gt;=EOMONTH(B1078,0))),30,MIN(30,IF(T1078=0,EOMONTH(B1078,0),MIN(T1078,EOMONTH(B1078,0)))-MAX(B1078,S1078)+1))))</f>
        <v/>
      </c>
    </row>
    <row r="1079" customFormat="false" ht="15" hidden="false" customHeight="false" outlineLevel="0" collapsed="false">
      <c r="B1079" s="78"/>
      <c r="C1079" s="64"/>
      <c r="D1079" s="70" t="str">
        <f aca="false">IF(C1079="","",IFERROR(INDEX(T_NOMBRE,MATCH(C1079,T_ID,0)),"⚠ ID no existe"))</f>
        <v/>
      </c>
      <c r="E1079" s="69"/>
      <c r="F1079" s="69"/>
      <c r="G1079" s="69"/>
      <c r="H1079" s="69"/>
      <c r="I1079" s="66"/>
      <c r="J1079" s="69"/>
      <c r="K1079" s="67"/>
      <c r="L1079" s="67"/>
      <c r="M1079" s="67"/>
      <c r="N1079" s="67"/>
      <c r="O1079" s="64"/>
      <c r="P1079" s="72" t="str">
        <f aca="false">IF(OR(B1079="",C1079=""),"",C1079&amp;"|"&amp;(YEAR(B1079)*100+MONTH(B1079)))</f>
        <v/>
      </c>
      <c r="Q1079" s="70" t="str">
        <f aca="false">IF(P1079="","",IF(COUNTIF(N_CLAVE,P1079)&gt;1,"⚠ Duplicado","OK"))</f>
        <v/>
      </c>
      <c r="R1079" s="74" t="str">
        <f aca="false">IF(OR(P1079="",U1079=""),"",MAX(0,U1079-N(E1079)-N(F1079)-N(H1079)))</f>
        <v/>
      </c>
      <c r="S1079" s="75" t="str">
        <f aca="false">IF(P1079="","",IFERROR(INDEX(T_INGRESO,MATCH(C1079,T_ID,0)),""))</f>
        <v/>
      </c>
      <c r="T1079" s="75" t="str">
        <f aca="false">IF(P1079="","",IFERROR(N(INDEX(T_EGRESO,MATCH(C1079,T_ID,0))),0))</f>
        <v/>
      </c>
      <c r="U1079" s="73" t="str">
        <f aca="false">IF(OR(P1079="",NOT(ISNUMBER(S1079))),"",IF(OR(S1079&gt;EOMONTH(B1079,0),AND(T1079&gt;0,T1079&lt;B1079)),0,IF(AND(S1079&lt;=B1079,OR(T1079=0,T1079&gt;=EOMONTH(B1079,0))),30,MIN(30,IF(T1079=0,EOMONTH(B1079,0),MIN(T1079,EOMONTH(B1079,0)))-MAX(B1079,S1079)+1))))</f>
        <v/>
      </c>
    </row>
    <row r="1080" customFormat="false" ht="15" hidden="false" customHeight="false" outlineLevel="0" collapsed="false">
      <c r="B1080" s="78"/>
      <c r="C1080" s="64"/>
      <c r="D1080" s="70" t="str">
        <f aca="false">IF(C1080="","",IFERROR(INDEX(T_NOMBRE,MATCH(C1080,T_ID,0)),"⚠ ID no existe"))</f>
        <v/>
      </c>
      <c r="E1080" s="69"/>
      <c r="F1080" s="69"/>
      <c r="G1080" s="69"/>
      <c r="H1080" s="69"/>
      <c r="I1080" s="66"/>
      <c r="J1080" s="69"/>
      <c r="K1080" s="67"/>
      <c r="L1080" s="67"/>
      <c r="M1080" s="67"/>
      <c r="N1080" s="67"/>
      <c r="O1080" s="64"/>
      <c r="P1080" s="72" t="str">
        <f aca="false">IF(OR(B1080="",C1080=""),"",C1080&amp;"|"&amp;(YEAR(B1080)*100+MONTH(B1080)))</f>
        <v/>
      </c>
      <c r="Q1080" s="70" t="str">
        <f aca="false">IF(P1080="","",IF(COUNTIF(N_CLAVE,P1080)&gt;1,"⚠ Duplicado","OK"))</f>
        <v/>
      </c>
      <c r="R1080" s="74" t="str">
        <f aca="false">IF(OR(P1080="",U1080=""),"",MAX(0,U1080-N(E1080)-N(F1080)-N(H1080)))</f>
        <v/>
      </c>
      <c r="S1080" s="75" t="str">
        <f aca="false">IF(P1080="","",IFERROR(INDEX(T_INGRESO,MATCH(C1080,T_ID,0)),""))</f>
        <v/>
      </c>
      <c r="T1080" s="75" t="str">
        <f aca="false">IF(P1080="","",IFERROR(N(INDEX(T_EGRESO,MATCH(C1080,T_ID,0))),0))</f>
        <v/>
      </c>
      <c r="U1080" s="73" t="str">
        <f aca="false">IF(OR(P1080="",NOT(ISNUMBER(S1080))),"",IF(OR(S1080&gt;EOMONTH(B1080,0),AND(T1080&gt;0,T1080&lt;B1080)),0,IF(AND(S1080&lt;=B1080,OR(T1080=0,T1080&gt;=EOMONTH(B1080,0))),30,MIN(30,IF(T1080=0,EOMONTH(B1080,0),MIN(T1080,EOMONTH(B1080,0)))-MAX(B1080,S1080)+1))))</f>
        <v/>
      </c>
    </row>
    <row r="1081" customFormat="false" ht="15" hidden="false" customHeight="false" outlineLevel="0" collapsed="false">
      <c r="B1081" s="78"/>
      <c r="C1081" s="64"/>
      <c r="D1081" s="70" t="str">
        <f aca="false">IF(C1081="","",IFERROR(INDEX(T_NOMBRE,MATCH(C1081,T_ID,0)),"⚠ ID no existe"))</f>
        <v/>
      </c>
      <c r="E1081" s="69"/>
      <c r="F1081" s="69"/>
      <c r="G1081" s="69"/>
      <c r="H1081" s="69"/>
      <c r="I1081" s="66"/>
      <c r="J1081" s="69"/>
      <c r="K1081" s="67"/>
      <c r="L1081" s="67"/>
      <c r="M1081" s="67"/>
      <c r="N1081" s="67"/>
      <c r="O1081" s="64"/>
      <c r="P1081" s="72" t="str">
        <f aca="false">IF(OR(B1081="",C1081=""),"",C1081&amp;"|"&amp;(YEAR(B1081)*100+MONTH(B1081)))</f>
        <v/>
      </c>
      <c r="Q1081" s="70" t="str">
        <f aca="false">IF(P1081="","",IF(COUNTIF(N_CLAVE,P1081)&gt;1,"⚠ Duplicado","OK"))</f>
        <v/>
      </c>
      <c r="R1081" s="74" t="str">
        <f aca="false">IF(OR(P1081="",U1081=""),"",MAX(0,U1081-N(E1081)-N(F1081)-N(H1081)))</f>
        <v/>
      </c>
      <c r="S1081" s="75" t="str">
        <f aca="false">IF(P1081="","",IFERROR(INDEX(T_INGRESO,MATCH(C1081,T_ID,0)),""))</f>
        <v/>
      </c>
      <c r="T1081" s="75" t="str">
        <f aca="false">IF(P1081="","",IFERROR(N(INDEX(T_EGRESO,MATCH(C1081,T_ID,0))),0))</f>
        <v/>
      </c>
      <c r="U1081" s="73" t="str">
        <f aca="false">IF(OR(P1081="",NOT(ISNUMBER(S1081))),"",IF(OR(S1081&gt;EOMONTH(B1081,0),AND(T1081&gt;0,T1081&lt;B1081)),0,IF(AND(S1081&lt;=B1081,OR(T1081=0,T1081&gt;=EOMONTH(B1081,0))),30,MIN(30,IF(T1081=0,EOMONTH(B1081,0),MIN(T1081,EOMONTH(B1081,0)))-MAX(B1081,S1081)+1))))</f>
        <v/>
      </c>
    </row>
    <row r="1082" customFormat="false" ht="15" hidden="false" customHeight="false" outlineLevel="0" collapsed="false">
      <c r="B1082" s="78"/>
      <c r="C1082" s="64"/>
      <c r="D1082" s="70" t="str">
        <f aca="false">IF(C1082="","",IFERROR(INDEX(T_NOMBRE,MATCH(C1082,T_ID,0)),"⚠ ID no existe"))</f>
        <v/>
      </c>
      <c r="E1082" s="69"/>
      <c r="F1082" s="69"/>
      <c r="G1082" s="69"/>
      <c r="H1082" s="69"/>
      <c r="I1082" s="66"/>
      <c r="J1082" s="69"/>
      <c r="K1082" s="67"/>
      <c r="L1082" s="67"/>
      <c r="M1082" s="67"/>
      <c r="N1082" s="67"/>
      <c r="O1082" s="64"/>
      <c r="P1082" s="72" t="str">
        <f aca="false">IF(OR(B1082="",C1082=""),"",C1082&amp;"|"&amp;(YEAR(B1082)*100+MONTH(B1082)))</f>
        <v/>
      </c>
      <c r="Q1082" s="70" t="str">
        <f aca="false">IF(P1082="","",IF(COUNTIF(N_CLAVE,P1082)&gt;1,"⚠ Duplicado","OK"))</f>
        <v/>
      </c>
      <c r="R1082" s="74" t="str">
        <f aca="false">IF(OR(P1082="",U1082=""),"",MAX(0,U1082-N(E1082)-N(F1082)-N(H1082)))</f>
        <v/>
      </c>
      <c r="S1082" s="75" t="str">
        <f aca="false">IF(P1082="","",IFERROR(INDEX(T_INGRESO,MATCH(C1082,T_ID,0)),""))</f>
        <v/>
      </c>
      <c r="T1082" s="75" t="str">
        <f aca="false">IF(P1082="","",IFERROR(N(INDEX(T_EGRESO,MATCH(C1082,T_ID,0))),0))</f>
        <v/>
      </c>
      <c r="U1082" s="73" t="str">
        <f aca="false">IF(OR(P1082="",NOT(ISNUMBER(S1082))),"",IF(OR(S1082&gt;EOMONTH(B1082,0),AND(T1082&gt;0,T1082&lt;B1082)),0,IF(AND(S1082&lt;=B1082,OR(T1082=0,T1082&gt;=EOMONTH(B1082,0))),30,MIN(30,IF(T1082=0,EOMONTH(B1082,0),MIN(T1082,EOMONTH(B1082,0)))-MAX(B1082,S1082)+1))))</f>
        <v/>
      </c>
    </row>
    <row r="1083" customFormat="false" ht="15" hidden="false" customHeight="false" outlineLevel="0" collapsed="false">
      <c r="B1083" s="78"/>
      <c r="C1083" s="64"/>
      <c r="D1083" s="70" t="str">
        <f aca="false">IF(C1083="","",IFERROR(INDEX(T_NOMBRE,MATCH(C1083,T_ID,0)),"⚠ ID no existe"))</f>
        <v/>
      </c>
      <c r="E1083" s="69"/>
      <c r="F1083" s="69"/>
      <c r="G1083" s="69"/>
      <c r="H1083" s="69"/>
      <c r="I1083" s="66"/>
      <c r="J1083" s="69"/>
      <c r="K1083" s="67"/>
      <c r="L1083" s="67"/>
      <c r="M1083" s="67"/>
      <c r="N1083" s="67"/>
      <c r="O1083" s="64"/>
      <c r="P1083" s="72" t="str">
        <f aca="false">IF(OR(B1083="",C1083=""),"",C1083&amp;"|"&amp;(YEAR(B1083)*100+MONTH(B1083)))</f>
        <v/>
      </c>
      <c r="Q1083" s="70" t="str">
        <f aca="false">IF(P1083="","",IF(COUNTIF(N_CLAVE,P1083)&gt;1,"⚠ Duplicado","OK"))</f>
        <v/>
      </c>
      <c r="R1083" s="74" t="str">
        <f aca="false">IF(OR(P1083="",U1083=""),"",MAX(0,U1083-N(E1083)-N(F1083)-N(H1083)))</f>
        <v/>
      </c>
      <c r="S1083" s="75" t="str">
        <f aca="false">IF(P1083="","",IFERROR(INDEX(T_INGRESO,MATCH(C1083,T_ID,0)),""))</f>
        <v/>
      </c>
      <c r="T1083" s="75" t="str">
        <f aca="false">IF(P1083="","",IFERROR(N(INDEX(T_EGRESO,MATCH(C1083,T_ID,0))),0))</f>
        <v/>
      </c>
      <c r="U1083" s="73" t="str">
        <f aca="false">IF(OR(P1083="",NOT(ISNUMBER(S1083))),"",IF(OR(S1083&gt;EOMONTH(B1083,0),AND(T1083&gt;0,T1083&lt;B1083)),0,IF(AND(S1083&lt;=B1083,OR(T1083=0,T1083&gt;=EOMONTH(B1083,0))),30,MIN(30,IF(T1083=0,EOMONTH(B1083,0),MIN(T1083,EOMONTH(B1083,0)))-MAX(B1083,S1083)+1))))</f>
        <v/>
      </c>
    </row>
    <row r="1084" customFormat="false" ht="15" hidden="false" customHeight="false" outlineLevel="0" collapsed="false">
      <c r="B1084" s="78"/>
      <c r="C1084" s="64"/>
      <c r="D1084" s="70" t="str">
        <f aca="false">IF(C1084="","",IFERROR(INDEX(T_NOMBRE,MATCH(C1084,T_ID,0)),"⚠ ID no existe"))</f>
        <v/>
      </c>
      <c r="E1084" s="69"/>
      <c r="F1084" s="69"/>
      <c r="G1084" s="69"/>
      <c r="H1084" s="69"/>
      <c r="I1084" s="66"/>
      <c r="J1084" s="69"/>
      <c r="K1084" s="67"/>
      <c r="L1084" s="67"/>
      <c r="M1084" s="67"/>
      <c r="N1084" s="67"/>
      <c r="O1084" s="64"/>
      <c r="P1084" s="72" t="str">
        <f aca="false">IF(OR(B1084="",C1084=""),"",C1084&amp;"|"&amp;(YEAR(B1084)*100+MONTH(B1084)))</f>
        <v/>
      </c>
      <c r="Q1084" s="70" t="str">
        <f aca="false">IF(P1084="","",IF(COUNTIF(N_CLAVE,P1084)&gt;1,"⚠ Duplicado","OK"))</f>
        <v/>
      </c>
      <c r="R1084" s="74" t="str">
        <f aca="false">IF(OR(P1084="",U1084=""),"",MAX(0,U1084-N(E1084)-N(F1084)-N(H1084)))</f>
        <v/>
      </c>
      <c r="S1084" s="75" t="str">
        <f aca="false">IF(P1084="","",IFERROR(INDEX(T_INGRESO,MATCH(C1084,T_ID,0)),""))</f>
        <v/>
      </c>
      <c r="T1084" s="75" t="str">
        <f aca="false">IF(P1084="","",IFERROR(N(INDEX(T_EGRESO,MATCH(C1084,T_ID,0))),0))</f>
        <v/>
      </c>
      <c r="U1084" s="73" t="str">
        <f aca="false">IF(OR(P1084="",NOT(ISNUMBER(S1084))),"",IF(OR(S1084&gt;EOMONTH(B1084,0),AND(T1084&gt;0,T1084&lt;B1084)),0,IF(AND(S1084&lt;=B1084,OR(T1084=0,T1084&gt;=EOMONTH(B1084,0))),30,MIN(30,IF(T1084=0,EOMONTH(B1084,0),MIN(T1084,EOMONTH(B1084,0)))-MAX(B1084,S1084)+1))))</f>
        <v/>
      </c>
    </row>
    <row r="1085" customFormat="false" ht="15" hidden="false" customHeight="false" outlineLevel="0" collapsed="false">
      <c r="B1085" s="78"/>
      <c r="C1085" s="64"/>
      <c r="D1085" s="70" t="str">
        <f aca="false">IF(C1085="","",IFERROR(INDEX(T_NOMBRE,MATCH(C1085,T_ID,0)),"⚠ ID no existe"))</f>
        <v/>
      </c>
      <c r="E1085" s="69"/>
      <c r="F1085" s="69"/>
      <c r="G1085" s="69"/>
      <c r="H1085" s="69"/>
      <c r="I1085" s="66"/>
      <c r="J1085" s="69"/>
      <c r="K1085" s="67"/>
      <c r="L1085" s="67"/>
      <c r="M1085" s="67"/>
      <c r="N1085" s="67"/>
      <c r="O1085" s="64"/>
      <c r="P1085" s="72" t="str">
        <f aca="false">IF(OR(B1085="",C1085=""),"",C1085&amp;"|"&amp;(YEAR(B1085)*100+MONTH(B1085)))</f>
        <v/>
      </c>
      <c r="Q1085" s="70" t="str">
        <f aca="false">IF(P1085="","",IF(COUNTIF(N_CLAVE,P1085)&gt;1,"⚠ Duplicado","OK"))</f>
        <v/>
      </c>
      <c r="R1085" s="74" t="str">
        <f aca="false">IF(OR(P1085="",U1085=""),"",MAX(0,U1085-N(E1085)-N(F1085)-N(H1085)))</f>
        <v/>
      </c>
      <c r="S1085" s="75" t="str">
        <f aca="false">IF(P1085="","",IFERROR(INDEX(T_INGRESO,MATCH(C1085,T_ID,0)),""))</f>
        <v/>
      </c>
      <c r="T1085" s="75" t="str">
        <f aca="false">IF(P1085="","",IFERROR(N(INDEX(T_EGRESO,MATCH(C1085,T_ID,0))),0))</f>
        <v/>
      </c>
      <c r="U1085" s="73" t="str">
        <f aca="false">IF(OR(P1085="",NOT(ISNUMBER(S1085))),"",IF(OR(S1085&gt;EOMONTH(B1085,0),AND(T1085&gt;0,T1085&lt;B1085)),0,IF(AND(S1085&lt;=B1085,OR(T1085=0,T1085&gt;=EOMONTH(B1085,0))),30,MIN(30,IF(T1085=0,EOMONTH(B1085,0),MIN(T1085,EOMONTH(B1085,0)))-MAX(B1085,S1085)+1))))</f>
        <v/>
      </c>
    </row>
    <row r="1086" customFormat="false" ht="15" hidden="false" customHeight="false" outlineLevel="0" collapsed="false">
      <c r="B1086" s="78"/>
      <c r="C1086" s="64"/>
      <c r="D1086" s="70" t="str">
        <f aca="false">IF(C1086="","",IFERROR(INDEX(T_NOMBRE,MATCH(C1086,T_ID,0)),"⚠ ID no existe"))</f>
        <v/>
      </c>
      <c r="E1086" s="69"/>
      <c r="F1086" s="69"/>
      <c r="G1086" s="69"/>
      <c r="H1086" s="69"/>
      <c r="I1086" s="66"/>
      <c r="J1086" s="69"/>
      <c r="K1086" s="67"/>
      <c r="L1086" s="67"/>
      <c r="M1086" s="67"/>
      <c r="N1086" s="67"/>
      <c r="O1086" s="64"/>
      <c r="P1086" s="72" t="str">
        <f aca="false">IF(OR(B1086="",C1086=""),"",C1086&amp;"|"&amp;(YEAR(B1086)*100+MONTH(B1086)))</f>
        <v/>
      </c>
      <c r="Q1086" s="70" t="str">
        <f aca="false">IF(P1086="","",IF(COUNTIF(N_CLAVE,P1086)&gt;1,"⚠ Duplicado","OK"))</f>
        <v/>
      </c>
      <c r="R1086" s="74" t="str">
        <f aca="false">IF(OR(P1086="",U1086=""),"",MAX(0,U1086-N(E1086)-N(F1086)-N(H1086)))</f>
        <v/>
      </c>
      <c r="S1086" s="75" t="str">
        <f aca="false">IF(P1086="","",IFERROR(INDEX(T_INGRESO,MATCH(C1086,T_ID,0)),""))</f>
        <v/>
      </c>
      <c r="T1086" s="75" t="str">
        <f aca="false">IF(P1086="","",IFERROR(N(INDEX(T_EGRESO,MATCH(C1086,T_ID,0))),0))</f>
        <v/>
      </c>
      <c r="U1086" s="73" t="str">
        <f aca="false">IF(OR(P1086="",NOT(ISNUMBER(S1086))),"",IF(OR(S1086&gt;EOMONTH(B1086,0),AND(T1086&gt;0,T1086&lt;B1086)),0,IF(AND(S1086&lt;=B1086,OR(T1086=0,T1086&gt;=EOMONTH(B1086,0))),30,MIN(30,IF(T1086=0,EOMONTH(B1086,0),MIN(T1086,EOMONTH(B1086,0)))-MAX(B1086,S1086)+1))))</f>
        <v/>
      </c>
    </row>
    <row r="1087" customFormat="false" ht="15" hidden="false" customHeight="false" outlineLevel="0" collapsed="false">
      <c r="B1087" s="78"/>
      <c r="C1087" s="64"/>
      <c r="D1087" s="70" t="str">
        <f aca="false">IF(C1087="","",IFERROR(INDEX(T_NOMBRE,MATCH(C1087,T_ID,0)),"⚠ ID no existe"))</f>
        <v/>
      </c>
      <c r="E1087" s="69"/>
      <c r="F1087" s="69"/>
      <c r="G1087" s="69"/>
      <c r="H1087" s="69"/>
      <c r="I1087" s="66"/>
      <c r="J1087" s="69"/>
      <c r="K1087" s="67"/>
      <c r="L1087" s="67"/>
      <c r="M1087" s="67"/>
      <c r="N1087" s="67"/>
      <c r="O1087" s="64"/>
      <c r="P1087" s="72" t="str">
        <f aca="false">IF(OR(B1087="",C1087=""),"",C1087&amp;"|"&amp;(YEAR(B1087)*100+MONTH(B1087)))</f>
        <v/>
      </c>
      <c r="Q1087" s="70" t="str">
        <f aca="false">IF(P1087="","",IF(COUNTIF(N_CLAVE,P1087)&gt;1,"⚠ Duplicado","OK"))</f>
        <v/>
      </c>
      <c r="R1087" s="74" t="str">
        <f aca="false">IF(OR(P1087="",U1087=""),"",MAX(0,U1087-N(E1087)-N(F1087)-N(H1087)))</f>
        <v/>
      </c>
      <c r="S1087" s="75" t="str">
        <f aca="false">IF(P1087="","",IFERROR(INDEX(T_INGRESO,MATCH(C1087,T_ID,0)),""))</f>
        <v/>
      </c>
      <c r="T1087" s="75" t="str">
        <f aca="false">IF(P1087="","",IFERROR(N(INDEX(T_EGRESO,MATCH(C1087,T_ID,0))),0))</f>
        <v/>
      </c>
      <c r="U1087" s="73" t="str">
        <f aca="false">IF(OR(P1087="",NOT(ISNUMBER(S1087))),"",IF(OR(S1087&gt;EOMONTH(B1087,0),AND(T1087&gt;0,T1087&lt;B1087)),0,IF(AND(S1087&lt;=B1087,OR(T1087=0,T1087&gt;=EOMONTH(B1087,0))),30,MIN(30,IF(T1087=0,EOMONTH(B1087,0),MIN(T1087,EOMONTH(B1087,0)))-MAX(B1087,S1087)+1))))</f>
        <v/>
      </c>
    </row>
    <row r="1088" customFormat="false" ht="15" hidden="false" customHeight="false" outlineLevel="0" collapsed="false">
      <c r="B1088" s="78"/>
      <c r="C1088" s="64"/>
      <c r="D1088" s="70" t="str">
        <f aca="false">IF(C1088="","",IFERROR(INDEX(T_NOMBRE,MATCH(C1088,T_ID,0)),"⚠ ID no existe"))</f>
        <v/>
      </c>
      <c r="E1088" s="69"/>
      <c r="F1088" s="69"/>
      <c r="G1088" s="69"/>
      <c r="H1088" s="69"/>
      <c r="I1088" s="66"/>
      <c r="J1088" s="69"/>
      <c r="K1088" s="67"/>
      <c r="L1088" s="67"/>
      <c r="M1088" s="67"/>
      <c r="N1088" s="67"/>
      <c r="O1088" s="64"/>
      <c r="P1088" s="72" t="str">
        <f aca="false">IF(OR(B1088="",C1088=""),"",C1088&amp;"|"&amp;(YEAR(B1088)*100+MONTH(B1088)))</f>
        <v/>
      </c>
      <c r="Q1088" s="70" t="str">
        <f aca="false">IF(P1088="","",IF(COUNTIF(N_CLAVE,P1088)&gt;1,"⚠ Duplicado","OK"))</f>
        <v/>
      </c>
      <c r="R1088" s="74" t="str">
        <f aca="false">IF(OR(P1088="",U1088=""),"",MAX(0,U1088-N(E1088)-N(F1088)-N(H1088)))</f>
        <v/>
      </c>
      <c r="S1088" s="75" t="str">
        <f aca="false">IF(P1088="","",IFERROR(INDEX(T_INGRESO,MATCH(C1088,T_ID,0)),""))</f>
        <v/>
      </c>
      <c r="T1088" s="75" t="str">
        <f aca="false">IF(P1088="","",IFERROR(N(INDEX(T_EGRESO,MATCH(C1088,T_ID,0))),0))</f>
        <v/>
      </c>
      <c r="U1088" s="73" t="str">
        <f aca="false">IF(OR(P1088="",NOT(ISNUMBER(S1088))),"",IF(OR(S1088&gt;EOMONTH(B1088,0),AND(T1088&gt;0,T1088&lt;B1088)),0,IF(AND(S1088&lt;=B1088,OR(T1088=0,T1088&gt;=EOMONTH(B1088,0))),30,MIN(30,IF(T1088=0,EOMONTH(B1088,0),MIN(T1088,EOMONTH(B1088,0)))-MAX(B1088,S1088)+1))))</f>
        <v/>
      </c>
    </row>
    <row r="1089" customFormat="false" ht="15" hidden="false" customHeight="false" outlineLevel="0" collapsed="false">
      <c r="B1089" s="78"/>
      <c r="C1089" s="64"/>
      <c r="D1089" s="70" t="str">
        <f aca="false">IF(C1089="","",IFERROR(INDEX(T_NOMBRE,MATCH(C1089,T_ID,0)),"⚠ ID no existe"))</f>
        <v/>
      </c>
      <c r="E1089" s="69"/>
      <c r="F1089" s="69"/>
      <c r="G1089" s="69"/>
      <c r="H1089" s="69"/>
      <c r="I1089" s="66"/>
      <c r="J1089" s="69"/>
      <c r="K1089" s="67"/>
      <c r="L1089" s="67"/>
      <c r="M1089" s="67"/>
      <c r="N1089" s="67"/>
      <c r="O1089" s="64"/>
      <c r="P1089" s="72" t="str">
        <f aca="false">IF(OR(B1089="",C1089=""),"",C1089&amp;"|"&amp;(YEAR(B1089)*100+MONTH(B1089)))</f>
        <v/>
      </c>
      <c r="Q1089" s="70" t="str">
        <f aca="false">IF(P1089="","",IF(COUNTIF(N_CLAVE,P1089)&gt;1,"⚠ Duplicado","OK"))</f>
        <v/>
      </c>
      <c r="R1089" s="74" t="str">
        <f aca="false">IF(OR(P1089="",U1089=""),"",MAX(0,U1089-N(E1089)-N(F1089)-N(H1089)))</f>
        <v/>
      </c>
      <c r="S1089" s="75" t="str">
        <f aca="false">IF(P1089="","",IFERROR(INDEX(T_INGRESO,MATCH(C1089,T_ID,0)),""))</f>
        <v/>
      </c>
      <c r="T1089" s="75" t="str">
        <f aca="false">IF(P1089="","",IFERROR(N(INDEX(T_EGRESO,MATCH(C1089,T_ID,0))),0))</f>
        <v/>
      </c>
      <c r="U1089" s="73" t="str">
        <f aca="false">IF(OR(P1089="",NOT(ISNUMBER(S1089))),"",IF(OR(S1089&gt;EOMONTH(B1089,0),AND(T1089&gt;0,T1089&lt;B1089)),0,IF(AND(S1089&lt;=B1089,OR(T1089=0,T1089&gt;=EOMONTH(B1089,0))),30,MIN(30,IF(T1089=0,EOMONTH(B1089,0),MIN(T1089,EOMONTH(B1089,0)))-MAX(B1089,S1089)+1))))</f>
        <v/>
      </c>
    </row>
    <row r="1090" customFormat="false" ht="15" hidden="false" customHeight="false" outlineLevel="0" collapsed="false">
      <c r="B1090" s="78"/>
      <c r="C1090" s="64"/>
      <c r="D1090" s="70" t="str">
        <f aca="false">IF(C1090="","",IFERROR(INDEX(T_NOMBRE,MATCH(C1090,T_ID,0)),"⚠ ID no existe"))</f>
        <v/>
      </c>
      <c r="E1090" s="69"/>
      <c r="F1090" s="69"/>
      <c r="G1090" s="69"/>
      <c r="H1090" s="69"/>
      <c r="I1090" s="66"/>
      <c r="J1090" s="69"/>
      <c r="K1090" s="67"/>
      <c r="L1090" s="67"/>
      <c r="M1090" s="67"/>
      <c r="N1090" s="67"/>
      <c r="O1090" s="64"/>
      <c r="P1090" s="72" t="str">
        <f aca="false">IF(OR(B1090="",C1090=""),"",C1090&amp;"|"&amp;(YEAR(B1090)*100+MONTH(B1090)))</f>
        <v/>
      </c>
      <c r="Q1090" s="70" t="str">
        <f aca="false">IF(P1090="","",IF(COUNTIF(N_CLAVE,P1090)&gt;1,"⚠ Duplicado","OK"))</f>
        <v/>
      </c>
      <c r="R1090" s="74" t="str">
        <f aca="false">IF(OR(P1090="",U1090=""),"",MAX(0,U1090-N(E1090)-N(F1090)-N(H1090)))</f>
        <v/>
      </c>
      <c r="S1090" s="75" t="str">
        <f aca="false">IF(P1090="","",IFERROR(INDEX(T_INGRESO,MATCH(C1090,T_ID,0)),""))</f>
        <v/>
      </c>
      <c r="T1090" s="75" t="str">
        <f aca="false">IF(P1090="","",IFERROR(N(INDEX(T_EGRESO,MATCH(C1090,T_ID,0))),0))</f>
        <v/>
      </c>
      <c r="U1090" s="73" t="str">
        <f aca="false">IF(OR(P1090="",NOT(ISNUMBER(S1090))),"",IF(OR(S1090&gt;EOMONTH(B1090,0),AND(T1090&gt;0,T1090&lt;B1090)),0,IF(AND(S1090&lt;=B1090,OR(T1090=0,T1090&gt;=EOMONTH(B1090,0))),30,MIN(30,IF(T1090=0,EOMONTH(B1090,0),MIN(T1090,EOMONTH(B1090,0)))-MAX(B1090,S1090)+1))))</f>
        <v/>
      </c>
    </row>
    <row r="1091" customFormat="false" ht="15" hidden="false" customHeight="false" outlineLevel="0" collapsed="false">
      <c r="B1091" s="78"/>
      <c r="C1091" s="64"/>
      <c r="D1091" s="70" t="str">
        <f aca="false">IF(C1091="","",IFERROR(INDEX(T_NOMBRE,MATCH(C1091,T_ID,0)),"⚠ ID no existe"))</f>
        <v/>
      </c>
      <c r="E1091" s="69"/>
      <c r="F1091" s="69"/>
      <c r="G1091" s="69"/>
      <c r="H1091" s="69"/>
      <c r="I1091" s="66"/>
      <c r="J1091" s="69"/>
      <c r="K1091" s="67"/>
      <c r="L1091" s="67"/>
      <c r="M1091" s="67"/>
      <c r="N1091" s="67"/>
      <c r="O1091" s="64"/>
      <c r="P1091" s="72" t="str">
        <f aca="false">IF(OR(B1091="",C1091=""),"",C1091&amp;"|"&amp;(YEAR(B1091)*100+MONTH(B1091)))</f>
        <v/>
      </c>
      <c r="Q1091" s="70" t="str">
        <f aca="false">IF(P1091="","",IF(COUNTIF(N_CLAVE,P1091)&gt;1,"⚠ Duplicado","OK"))</f>
        <v/>
      </c>
      <c r="R1091" s="74" t="str">
        <f aca="false">IF(OR(P1091="",U1091=""),"",MAX(0,U1091-N(E1091)-N(F1091)-N(H1091)))</f>
        <v/>
      </c>
      <c r="S1091" s="75" t="str">
        <f aca="false">IF(P1091="","",IFERROR(INDEX(T_INGRESO,MATCH(C1091,T_ID,0)),""))</f>
        <v/>
      </c>
      <c r="T1091" s="75" t="str">
        <f aca="false">IF(P1091="","",IFERROR(N(INDEX(T_EGRESO,MATCH(C1091,T_ID,0))),0))</f>
        <v/>
      </c>
      <c r="U1091" s="73" t="str">
        <f aca="false">IF(OR(P1091="",NOT(ISNUMBER(S1091))),"",IF(OR(S1091&gt;EOMONTH(B1091,0),AND(T1091&gt;0,T1091&lt;B1091)),0,IF(AND(S1091&lt;=B1091,OR(T1091=0,T1091&gt;=EOMONTH(B1091,0))),30,MIN(30,IF(T1091=0,EOMONTH(B1091,0),MIN(T1091,EOMONTH(B1091,0)))-MAX(B1091,S1091)+1))))</f>
        <v/>
      </c>
    </row>
    <row r="1092" customFormat="false" ht="15" hidden="false" customHeight="false" outlineLevel="0" collapsed="false">
      <c r="B1092" s="78"/>
      <c r="C1092" s="64"/>
      <c r="D1092" s="70" t="str">
        <f aca="false">IF(C1092="","",IFERROR(INDEX(T_NOMBRE,MATCH(C1092,T_ID,0)),"⚠ ID no existe"))</f>
        <v/>
      </c>
      <c r="E1092" s="69"/>
      <c r="F1092" s="69"/>
      <c r="G1092" s="69"/>
      <c r="H1092" s="69"/>
      <c r="I1092" s="66"/>
      <c r="J1092" s="69"/>
      <c r="K1092" s="67"/>
      <c r="L1092" s="67"/>
      <c r="M1092" s="67"/>
      <c r="N1092" s="67"/>
      <c r="O1092" s="64"/>
      <c r="P1092" s="72" t="str">
        <f aca="false">IF(OR(B1092="",C1092=""),"",C1092&amp;"|"&amp;(YEAR(B1092)*100+MONTH(B1092)))</f>
        <v/>
      </c>
      <c r="Q1092" s="70" t="str">
        <f aca="false">IF(P1092="","",IF(COUNTIF(N_CLAVE,P1092)&gt;1,"⚠ Duplicado","OK"))</f>
        <v/>
      </c>
      <c r="R1092" s="74" t="str">
        <f aca="false">IF(OR(P1092="",U1092=""),"",MAX(0,U1092-N(E1092)-N(F1092)-N(H1092)))</f>
        <v/>
      </c>
      <c r="S1092" s="75" t="str">
        <f aca="false">IF(P1092="","",IFERROR(INDEX(T_INGRESO,MATCH(C1092,T_ID,0)),""))</f>
        <v/>
      </c>
      <c r="T1092" s="75" t="str">
        <f aca="false">IF(P1092="","",IFERROR(N(INDEX(T_EGRESO,MATCH(C1092,T_ID,0))),0))</f>
        <v/>
      </c>
      <c r="U1092" s="73" t="str">
        <f aca="false">IF(OR(P1092="",NOT(ISNUMBER(S1092))),"",IF(OR(S1092&gt;EOMONTH(B1092,0),AND(T1092&gt;0,T1092&lt;B1092)),0,IF(AND(S1092&lt;=B1092,OR(T1092=0,T1092&gt;=EOMONTH(B1092,0))),30,MIN(30,IF(T1092=0,EOMONTH(B1092,0),MIN(T1092,EOMONTH(B1092,0)))-MAX(B1092,S1092)+1))))</f>
        <v/>
      </c>
    </row>
    <row r="1093" customFormat="false" ht="15" hidden="false" customHeight="false" outlineLevel="0" collapsed="false">
      <c r="B1093" s="78"/>
      <c r="C1093" s="64"/>
      <c r="D1093" s="70" t="str">
        <f aca="false">IF(C1093="","",IFERROR(INDEX(T_NOMBRE,MATCH(C1093,T_ID,0)),"⚠ ID no existe"))</f>
        <v/>
      </c>
      <c r="E1093" s="69"/>
      <c r="F1093" s="69"/>
      <c r="G1093" s="69"/>
      <c r="H1093" s="69"/>
      <c r="I1093" s="66"/>
      <c r="J1093" s="69"/>
      <c r="K1093" s="67"/>
      <c r="L1093" s="67"/>
      <c r="M1093" s="67"/>
      <c r="N1093" s="67"/>
      <c r="O1093" s="64"/>
      <c r="P1093" s="72" t="str">
        <f aca="false">IF(OR(B1093="",C1093=""),"",C1093&amp;"|"&amp;(YEAR(B1093)*100+MONTH(B1093)))</f>
        <v/>
      </c>
      <c r="Q1093" s="70" t="str">
        <f aca="false">IF(P1093="","",IF(COUNTIF(N_CLAVE,P1093)&gt;1,"⚠ Duplicado","OK"))</f>
        <v/>
      </c>
      <c r="R1093" s="74" t="str">
        <f aca="false">IF(OR(P1093="",U1093=""),"",MAX(0,U1093-N(E1093)-N(F1093)-N(H1093)))</f>
        <v/>
      </c>
      <c r="S1093" s="75" t="str">
        <f aca="false">IF(P1093="","",IFERROR(INDEX(T_INGRESO,MATCH(C1093,T_ID,0)),""))</f>
        <v/>
      </c>
      <c r="T1093" s="75" t="str">
        <f aca="false">IF(P1093="","",IFERROR(N(INDEX(T_EGRESO,MATCH(C1093,T_ID,0))),0))</f>
        <v/>
      </c>
      <c r="U1093" s="73" t="str">
        <f aca="false">IF(OR(P1093="",NOT(ISNUMBER(S1093))),"",IF(OR(S1093&gt;EOMONTH(B1093,0),AND(T1093&gt;0,T1093&lt;B1093)),0,IF(AND(S1093&lt;=B1093,OR(T1093=0,T1093&gt;=EOMONTH(B1093,0))),30,MIN(30,IF(T1093=0,EOMONTH(B1093,0),MIN(T1093,EOMONTH(B1093,0)))-MAX(B1093,S1093)+1))))</f>
        <v/>
      </c>
    </row>
    <row r="1094" customFormat="false" ht="15" hidden="false" customHeight="false" outlineLevel="0" collapsed="false">
      <c r="B1094" s="78"/>
      <c r="C1094" s="64"/>
      <c r="D1094" s="70" t="str">
        <f aca="false">IF(C1094="","",IFERROR(INDEX(T_NOMBRE,MATCH(C1094,T_ID,0)),"⚠ ID no existe"))</f>
        <v/>
      </c>
      <c r="E1094" s="69"/>
      <c r="F1094" s="69"/>
      <c r="G1094" s="69"/>
      <c r="H1094" s="69"/>
      <c r="I1094" s="66"/>
      <c r="J1094" s="69"/>
      <c r="K1094" s="67"/>
      <c r="L1094" s="67"/>
      <c r="M1094" s="67"/>
      <c r="N1094" s="67"/>
      <c r="O1094" s="64"/>
      <c r="P1094" s="72" t="str">
        <f aca="false">IF(OR(B1094="",C1094=""),"",C1094&amp;"|"&amp;(YEAR(B1094)*100+MONTH(B1094)))</f>
        <v/>
      </c>
      <c r="Q1094" s="70" t="str">
        <f aca="false">IF(P1094="","",IF(COUNTIF(N_CLAVE,P1094)&gt;1,"⚠ Duplicado","OK"))</f>
        <v/>
      </c>
      <c r="R1094" s="74" t="str">
        <f aca="false">IF(OR(P1094="",U1094=""),"",MAX(0,U1094-N(E1094)-N(F1094)-N(H1094)))</f>
        <v/>
      </c>
      <c r="S1094" s="75" t="str">
        <f aca="false">IF(P1094="","",IFERROR(INDEX(T_INGRESO,MATCH(C1094,T_ID,0)),""))</f>
        <v/>
      </c>
      <c r="T1094" s="75" t="str">
        <f aca="false">IF(P1094="","",IFERROR(N(INDEX(T_EGRESO,MATCH(C1094,T_ID,0))),0))</f>
        <v/>
      </c>
      <c r="U1094" s="73" t="str">
        <f aca="false">IF(OR(P1094="",NOT(ISNUMBER(S1094))),"",IF(OR(S1094&gt;EOMONTH(B1094,0),AND(T1094&gt;0,T1094&lt;B1094)),0,IF(AND(S1094&lt;=B1094,OR(T1094=0,T1094&gt;=EOMONTH(B1094,0))),30,MIN(30,IF(T1094=0,EOMONTH(B1094,0),MIN(T1094,EOMONTH(B1094,0)))-MAX(B1094,S1094)+1))))</f>
        <v/>
      </c>
    </row>
    <row r="1095" customFormat="false" ht="15" hidden="false" customHeight="false" outlineLevel="0" collapsed="false">
      <c r="B1095" s="78"/>
      <c r="C1095" s="64"/>
      <c r="D1095" s="70" t="str">
        <f aca="false">IF(C1095="","",IFERROR(INDEX(T_NOMBRE,MATCH(C1095,T_ID,0)),"⚠ ID no existe"))</f>
        <v/>
      </c>
      <c r="E1095" s="69"/>
      <c r="F1095" s="69"/>
      <c r="G1095" s="69"/>
      <c r="H1095" s="69"/>
      <c r="I1095" s="66"/>
      <c r="J1095" s="69"/>
      <c r="K1095" s="67"/>
      <c r="L1095" s="67"/>
      <c r="M1095" s="67"/>
      <c r="N1095" s="67"/>
      <c r="O1095" s="64"/>
      <c r="P1095" s="72" t="str">
        <f aca="false">IF(OR(B1095="",C1095=""),"",C1095&amp;"|"&amp;(YEAR(B1095)*100+MONTH(B1095)))</f>
        <v/>
      </c>
      <c r="Q1095" s="70" t="str">
        <f aca="false">IF(P1095="","",IF(COUNTIF(N_CLAVE,P1095)&gt;1,"⚠ Duplicado","OK"))</f>
        <v/>
      </c>
      <c r="R1095" s="74" t="str">
        <f aca="false">IF(OR(P1095="",U1095=""),"",MAX(0,U1095-N(E1095)-N(F1095)-N(H1095)))</f>
        <v/>
      </c>
      <c r="S1095" s="75" t="str">
        <f aca="false">IF(P1095="","",IFERROR(INDEX(T_INGRESO,MATCH(C1095,T_ID,0)),""))</f>
        <v/>
      </c>
      <c r="T1095" s="75" t="str">
        <f aca="false">IF(P1095="","",IFERROR(N(INDEX(T_EGRESO,MATCH(C1095,T_ID,0))),0))</f>
        <v/>
      </c>
      <c r="U1095" s="73" t="str">
        <f aca="false">IF(OR(P1095="",NOT(ISNUMBER(S1095))),"",IF(OR(S1095&gt;EOMONTH(B1095,0),AND(T1095&gt;0,T1095&lt;B1095)),0,IF(AND(S1095&lt;=B1095,OR(T1095=0,T1095&gt;=EOMONTH(B1095,0))),30,MIN(30,IF(T1095=0,EOMONTH(B1095,0),MIN(T1095,EOMONTH(B1095,0)))-MAX(B1095,S1095)+1))))</f>
        <v/>
      </c>
    </row>
    <row r="1096" customFormat="false" ht="15" hidden="false" customHeight="false" outlineLevel="0" collapsed="false">
      <c r="B1096" s="78"/>
      <c r="C1096" s="64"/>
      <c r="D1096" s="70" t="str">
        <f aca="false">IF(C1096="","",IFERROR(INDEX(T_NOMBRE,MATCH(C1096,T_ID,0)),"⚠ ID no existe"))</f>
        <v/>
      </c>
      <c r="E1096" s="69"/>
      <c r="F1096" s="69"/>
      <c r="G1096" s="69"/>
      <c r="H1096" s="69"/>
      <c r="I1096" s="66"/>
      <c r="J1096" s="69"/>
      <c r="K1096" s="67"/>
      <c r="L1096" s="67"/>
      <c r="M1096" s="67"/>
      <c r="N1096" s="67"/>
      <c r="O1096" s="64"/>
      <c r="P1096" s="72" t="str">
        <f aca="false">IF(OR(B1096="",C1096=""),"",C1096&amp;"|"&amp;(YEAR(B1096)*100+MONTH(B1096)))</f>
        <v/>
      </c>
      <c r="Q1096" s="70" t="str">
        <f aca="false">IF(P1096="","",IF(COUNTIF(N_CLAVE,P1096)&gt;1,"⚠ Duplicado","OK"))</f>
        <v/>
      </c>
      <c r="R1096" s="74" t="str">
        <f aca="false">IF(OR(P1096="",U1096=""),"",MAX(0,U1096-N(E1096)-N(F1096)-N(H1096)))</f>
        <v/>
      </c>
      <c r="S1096" s="75" t="str">
        <f aca="false">IF(P1096="","",IFERROR(INDEX(T_INGRESO,MATCH(C1096,T_ID,0)),""))</f>
        <v/>
      </c>
      <c r="T1096" s="75" t="str">
        <f aca="false">IF(P1096="","",IFERROR(N(INDEX(T_EGRESO,MATCH(C1096,T_ID,0))),0))</f>
        <v/>
      </c>
      <c r="U1096" s="73" t="str">
        <f aca="false">IF(OR(P1096="",NOT(ISNUMBER(S1096))),"",IF(OR(S1096&gt;EOMONTH(B1096,0),AND(T1096&gt;0,T1096&lt;B1096)),0,IF(AND(S1096&lt;=B1096,OR(T1096=0,T1096&gt;=EOMONTH(B1096,0))),30,MIN(30,IF(T1096=0,EOMONTH(B1096,0),MIN(T1096,EOMONTH(B1096,0)))-MAX(B1096,S1096)+1))))</f>
        <v/>
      </c>
    </row>
    <row r="1097" customFormat="false" ht="15" hidden="false" customHeight="false" outlineLevel="0" collapsed="false">
      <c r="B1097" s="78"/>
      <c r="C1097" s="64"/>
      <c r="D1097" s="70" t="str">
        <f aca="false">IF(C1097="","",IFERROR(INDEX(T_NOMBRE,MATCH(C1097,T_ID,0)),"⚠ ID no existe"))</f>
        <v/>
      </c>
      <c r="E1097" s="69"/>
      <c r="F1097" s="69"/>
      <c r="G1097" s="69"/>
      <c r="H1097" s="69"/>
      <c r="I1097" s="66"/>
      <c r="J1097" s="69"/>
      <c r="K1097" s="67"/>
      <c r="L1097" s="67"/>
      <c r="M1097" s="67"/>
      <c r="N1097" s="67"/>
      <c r="O1097" s="64"/>
      <c r="P1097" s="72" t="str">
        <f aca="false">IF(OR(B1097="",C1097=""),"",C1097&amp;"|"&amp;(YEAR(B1097)*100+MONTH(B1097)))</f>
        <v/>
      </c>
      <c r="Q1097" s="70" t="str">
        <f aca="false">IF(P1097="","",IF(COUNTIF(N_CLAVE,P1097)&gt;1,"⚠ Duplicado","OK"))</f>
        <v/>
      </c>
      <c r="R1097" s="74" t="str">
        <f aca="false">IF(OR(P1097="",U1097=""),"",MAX(0,U1097-N(E1097)-N(F1097)-N(H1097)))</f>
        <v/>
      </c>
      <c r="S1097" s="75" t="str">
        <f aca="false">IF(P1097="","",IFERROR(INDEX(T_INGRESO,MATCH(C1097,T_ID,0)),""))</f>
        <v/>
      </c>
      <c r="T1097" s="75" t="str">
        <f aca="false">IF(P1097="","",IFERROR(N(INDEX(T_EGRESO,MATCH(C1097,T_ID,0))),0))</f>
        <v/>
      </c>
      <c r="U1097" s="73" t="str">
        <f aca="false">IF(OR(P1097="",NOT(ISNUMBER(S1097))),"",IF(OR(S1097&gt;EOMONTH(B1097,0),AND(T1097&gt;0,T1097&lt;B1097)),0,IF(AND(S1097&lt;=B1097,OR(T1097=0,T1097&gt;=EOMONTH(B1097,0))),30,MIN(30,IF(T1097=0,EOMONTH(B1097,0),MIN(T1097,EOMONTH(B1097,0)))-MAX(B1097,S1097)+1))))</f>
        <v/>
      </c>
    </row>
    <row r="1098" customFormat="false" ht="15" hidden="false" customHeight="false" outlineLevel="0" collapsed="false">
      <c r="B1098" s="78"/>
      <c r="C1098" s="64"/>
      <c r="D1098" s="70" t="str">
        <f aca="false">IF(C1098="","",IFERROR(INDEX(T_NOMBRE,MATCH(C1098,T_ID,0)),"⚠ ID no existe"))</f>
        <v/>
      </c>
      <c r="E1098" s="69"/>
      <c r="F1098" s="69"/>
      <c r="G1098" s="69"/>
      <c r="H1098" s="69"/>
      <c r="I1098" s="66"/>
      <c r="J1098" s="69"/>
      <c r="K1098" s="67"/>
      <c r="L1098" s="67"/>
      <c r="M1098" s="67"/>
      <c r="N1098" s="67"/>
      <c r="O1098" s="64"/>
      <c r="P1098" s="72" t="str">
        <f aca="false">IF(OR(B1098="",C1098=""),"",C1098&amp;"|"&amp;(YEAR(B1098)*100+MONTH(B1098)))</f>
        <v/>
      </c>
      <c r="Q1098" s="70" t="str">
        <f aca="false">IF(P1098="","",IF(COUNTIF(N_CLAVE,P1098)&gt;1,"⚠ Duplicado","OK"))</f>
        <v/>
      </c>
      <c r="R1098" s="74" t="str">
        <f aca="false">IF(OR(P1098="",U1098=""),"",MAX(0,U1098-N(E1098)-N(F1098)-N(H1098)))</f>
        <v/>
      </c>
      <c r="S1098" s="75" t="str">
        <f aca="false">IF(P1098="","",IFERROR(INDEX(T_INGRESO,MATCH(C1098,T_ID,0)),""))</f>
        <v/>
      </c>
      <c r="T1098" s="75" t="str">
        <f aca="false">IF(P1098="","",IFERROR(N(INDEX(T_EGRESO,MATCH(C1098,T_ID,0))),0))</f>
        <v/>
      </c>
      <c r="U1098" s="73" t="str">
        <f aca="false">IF(OR(P1098="",NOT(ISNUMBER(S1098))),"",IF(OR(S1098&gt;EOMONTH(B1098,0),AND(T1098&gt;0,T1098&lt;B1098)),0,IF(AND(S1098&lt;=B1098,OR(T1098=0,T1098&gt;=EOMONTH(B1098,0))),30,MIN(30,IF(T1098=0,EOMONTH(B1098,0),MIN(T1098,EOMONTH(B1098,0)))-MAX(B1098,S1098)+1))))</f>
        <v/>
      </c>
    </row>
    <row r="1099" customFormat="false" ht="15" hidden="false" customHeight="false" outlineLevel="0" collapsed="false">
      <c r="B1099" s="78"/>
      <c r="C1099" s="64"/>
      <c r="D1099" s="70" t="str">
        <f aca="false">IF(C1099="","",IFERROR(INDEX(T_NOMBRE,MATCH(C1099,T_ID,0)),"⚠ ID no existe"))</f>
        <v/>
      </c>
      <c r="E1099" s="69"/>
      <c r="F1099" s="69"/>
      <c r="G1099" s="69"/>
      <c r="H1099" s="69"/>
      <c r="I1099" s="66"/>
      <c r="J1099" s="69"/>
      <c r="K1099" s="67"/>
      <c r="L1099" s="67"/>
      <c r="M1099" s="67"/>
      <c r="N1099" s="67"/>
      <c r="O1099" s="64"/>
      <c r="P1099" s="72" t="str">
        <f aca="false">IF(OR(B1099="",C1099=""),"",C1099&amp;"|"&amp;(YEAR(B1099)*100+MONTH(B1099)))</f>
        <v/>
      </c>
      <c r="Q1099" s="70" t="str">
        <f aca="false">IF(P1099="","",IF(COUNTIF(N_CLAVE,P1099)&gt;1,"⚠ Duplicado","OK"))</f>
        <v/>
      </c>
      <c r="R1099" s="74" t="str">
        <f aca="false">IF(OR(P1099="",U1099=""),"",MAX(0,U1099-N(E1099)-N(F1099)-N(H1099)))</f>
        <v/>
      </c>
      <c r="S1099" s="75" t="str">
        <f aca="false">IF(P1099="","",IFERROR(INDEX(T_INGRESO,MATCH(C1099,T_ID,0)),""))</f>
        <v/>
      </c>
      <c r="T1099" s="75" t="str">
        <f aca="false">IF(P1099="","",IFERROR(N(INDEX(T_EGRESO,MATCH(C1099,T_ID,0))),0))</f>
        <v/>
      </c>
      <c r="U1099" s="73" t="str">
        <f aca="false">IF(OR(P1099="",NOT(ISNUMBER(S1099))),"",IF(OR(S1099&gt;EOMONTH(B1099,0),AND(T1099&gt;0,T1099&lt;B1099)),0,IF(AND(S1099&lt;=B1099,OR(T1099=0,T1099&gt;=EOMONTH(B1099,0))),30,MIN(30,IF(T1099=0,EOMONTH(B1099,0),MIN(T1099,EOMONTH(B1099,0)))-MAX(B1099,S1099)+1))))</f>
        <v/>
      </c>
    </row>
    <row r="1100" customFormat="false" ht="15" hidden="false" customHeight="false" outlineLevel="0" collapsed="false">
      <c r="B1100" s="78"/>
      <c r="C1100" s="64"/>
      <c r="D1100" s="70" t="str">
        <f aca="false">IF(C1100="","",IFERROR(INDEX(T_NOMBRE,MATCH(C1100,T_ID,0)),"⚠ ID no existe"))</f>
        <v/>
      </c>
      <c r="E1100" s="69"/>
      <c r="F1100" s="69"/>
      <c r="G1100" s="69"/>
      <c r="H1100" s="69"/>
      <c r="I1100" s="66"/>
      <c r="J1100" s="69"/>
      <c r="K1100" s="67"/>
      <c r="L1100" s="67"/>
      <c r="M1100" s="67"/>
      <c r="N1100" s="67"/>
      <c r="O1100" s="64"/>
      <c r="P1100" s="72" t="str">
        <f aca="false">IF(OR(B1100="",C1100=""),"",C1100&amp;"|"&amp;(YEAR(B1100)*100+MONTH(B1100)))</f>
        <v/>
      </c>
      <c r="Q1100" s="70" t="str">
        <f aca="false">IF(P1100="","",IF(COUNTIF(N_CLAVE,P1100)&gt;1,"⚠ Duplicado","OK"))</f>
        <v/>
      </c>
      <c r="R1100" s="74" t="str">
        <f aca="false">IF(OR(P1100="",U1100=""),"",MAX(0,U1100-N(E1100)-N(F1100)-N(H1100)))</f>
        <v/>
      </c>
      <c r="S1100" s="75" t="str">
        <f aca="false">IF(P1100="","",IFERROR(INDEX(T_INGRESO,MATCH(C1100,T_ID,0)),""))</f>
        <v/>
      </c>
      <c r="T1100" s="75" t="str">
        <f aca="false">IF(P1100="","",IFERROR(N(INDEX(T_EGRESO,MATCH(C1100,T_ID,0))),0))</f>
        <v/>
      </c>
      <c r="U1100" s="73" t="str">
        <f aca="false">IF(OR(P1100="",NOT(ISNUMBER(S1100))),"",IF(OR(S1100&gt;EOMONTH(B1100,0),AND(T1100&gt;0,T1100&lt;B1100)),0,IF(AND(S1100&lt;=B1100,OR(T1100=0,T1100&gt;=EOMONTH(B1100,0))),30,MIN(30,IF(T1100=0,EOMONTH(B1100,0),MIN(T1100,EOMONTH(B1100,0)))-MAX(B1100,S1100)+1))))</f>
        <v/>
      </c>
    </row>
    <row r="1101" customFormat="false" ht="15" hidden="false" customHeight="false" outlineLevel="0" collapsed="false">
      <c r="B1101" s="78"/>
      <c r="C1101" s="64"/>
      <c r="D1101" s="70" t="str">
        <f aca="false">IF(C1101="","",IFERROR(INDEX(T_NOMBRE,MATCH(C1101,T_ID,0)),"⚠ ID no existe"))</f>
        <v/>
      </c>
      <c r="E1101" s="69"/>
      <c r="F1101" s="69"/>
      <c r="G1101" s="69"/>
      <c r="H1101" s="69"/>
      <c r="I1101" s="66"/>
      <c r="J1101" s="69"/>
      <c r="K1101" s="67"/>
      <c r="L1101" s="67"/>
      <c r="M1101" s="67"/>
      <c r="N1101" s="67"/>
      <c r="O1101" s="64"/>
      <c r="P1101" s="72" t="str">
        <f aca="false">IF(OR(B1101="",C1101=""),"",C1101&amp;"|"&amp;(YEAR(B1101)*100+MONTH(B1101)))</f>
        <v/>
      </c>
      <c r="Q1101" s="70" t="str">
        <f aca="false">IF(P1101="","",IF(COUNTIF(N_CLAVE,P1101)&gt;1,"⚠ Duplicado","OK"))</f>
        <v/>
      </c>
      <c r="R1101" s="74" t="str">
        <f aca="false">IF(OR(P1101="",U1101=""),"",MAX(0,U1101-N(E1101)-N(F1101)-N(H1101)))</f>
        <v/>
      </c>
      <c r="S1101" s="75" t="str">
        <f aca="false">IF(P1101="","",IFERROR(INDEX(T_INGRESO,MATCH(C1101,T_ID,0)),""))</f>
        <v/>
      </c>
      <c r="T1101" s="75" t="str">
        <f aca="false">IF(P1101="","",IFERROR(N(INDEX(T_EGRESO,MATCH(C1101,T_ID,0))),0))</f>
        <v/>
      </c>
      <c r="U1101" s="73" t="str">
        <f aca="false">IF(OR(P1101="",NOT(ISNUMBER(S1101))),"",IF(OR(S1101&gt;EOMONTH(B1101,0),AND(T1101&gt;0,T1101&lt;B1101)),0,IF(AND(S1101&lt;=B1101,OR(T1101=0,T1101&gt;=EOMONTH(B1101,0))),30,MIN(30,IF(T1101=0,EOMONTH(B1101,0),MIN(T1101,EOMONTH(B1101,0)))-MAX(B1101,S1101)+1))))</f>
        <v/>
      </c>
    </row>
    <row r="1102" customFormat="false" ht="15" hidden="false" customHeight="false" outlineLevel="0" collapsed="false">
      <c r="B1102" s="78"/>
      <c r="C1102" s="64"/>
      <c r="D1102" s="70" t="str">
        <f aca="false">IF(C1102="","",IFERROR(INDEX(T_NOMBRE,MATCH(C1102,T_ID,0)),"⚠ ID no existe"))</f>
        <v/>
      </c>
      <c r="E1102" s="69"/>
      <c r="F1102" s="69"/>
      <c r="G1102" s="69"/>
      <c r="H1102" s="69"/>
      <c r="I1102" s="66"/>
      <c r="J1102" s="69"/>
      <c r="K1102" s="67"/>
      <c r="L1102" s="67"/>
      <c r="M1102" s="67"/>
      <c r="N1102" s="67"/>
      <c r="O1102" s="64"/>
      <c r="P1102" s="72" t="str">
        <f aca="false">IF(OR(B1102="",C1102=""),"",C1102&amp;"|"&amp;(YEAR(B1102)*100+MONTH(B1102)))</f>
        <v/>
      </c>
      <c r="Q1102" s="70" t="str">
        <f aca="false">IF(P1102="","",IF(COUNTIF(N_CLAVE,P1102)&gt;1,"⚠ Duplicado","OK"))</f>
        <v/>
      </c>
      <c r="R1102" s="74" t="str">
        <f aca="false">IF(OR(P1102="",U1102=""),"",MAX(0,U1102-N(E1102)-N(F1102)-N(H1102)))</f>
        <v/>
      </c>
      <c r="S1102" s="75" t="str">
        <f aca="false">IF(P1102="","",IFERROR(INDEX(T_INGRESO,MATCH(C1102,T_ID,0)),""))</f>
        <v/>
      </c>
      <c r="T1102" s="75" t="str">
        <f aca="false">IF(P1102="","",IFERROR(N(INDEX(T_EGRESO,MATCH(C1102,T_ID,0))),0))</f>
        <v/>
      </c>
      <c r="U1102" s="73" t="str">
        <f aca="false">IF(OR(P1102="",NOT(ISNUMBER(S1102))),"",IF(OR(S1102&gt;EOMONTH(B1102,0),AND(T1102&gt;0,T1102&lt;B1102)),0,IF(AND(S1102&lt;=B1102,OR(T1102=0,T1102&gt;=EOMONTH(B1102,0))),30,MIN(30,IF(T1102=0,EOMONTH(B1102,0),MIN(T1102,EOMONTH(B1102,0)))-MAX(B1102,S1102)+1))))</f>
        <v/>
      </c>
    </row>
    <row r="1103" customFormat="false" ht="15" hidden="false" customHeight="false" outlineLevel="0" collapsed="false">
      <c r="B1103" s="78"/>
      <c r="C1103" s="64"/>
      <c r="D1103" s="70" t="str">
        <f aca="false">IF(C1103="","",IFERROR(INDEX(T_NOMBRE,MATCH(C1103,T_ID,0)),"⚠ ID no existe"))</f>
        <v/>
      </c>
      <c r="E1103" s="69"/>
      <c r="F1103" s="69"/>
      <c r="G1103" s="69"/>
      <c r="H1103" s="69"/>
      <c r="I1103" s="66"/>
      <c r="J1103" s="69"/>
      <c r="K1103" s="67"/>
      <c r="L1103" s="67"/>
      <c r="M1103" s="67"/>
      <c r="N1103" s="67"/>
      <c r="O1103" s="64"/>
      <c r="P1103" s="72" t="str">
        <f aca="false">IF(OR(B1103="",C1103=""),"",C1103&amp;"|"&amp;(YEAR(B1103)*100+MONTH(B1103)))</f>
        <v/>
      </c>
      <c r="Q1103" s="70" t="str">
        <f aca="false">IF(P1103="","",IF(COUNTIF(N_CLAVE,P1103)&gt;1,"⚠ Duplicado","OK"))</f>
        <v/>
      </c>
      <c r="R1103" s="74" t="str">
        <f aca="false">IF(OR(P1103="",U1103=""),"",MAX(0,U1103-N(E1103)-N(F1103)-N(H1103)))</f>
        <v/>
      </c>
      <c r="S1103" s="75" t="str">
        <f aca="false">IF(P1103="","",IFERROR(INDEX(T_INGRESO,MATCH(C1103,T_ID,0)),""))</f>
        <v/>
      </c>
      <c r="T1103" s="75" t="str">
        <f aca="false">IF(P1103="","",IFERROR(N(INDEX(T_EGRESO,MATCH(C1103,T_ID,0))),0))</f>
        <v/>
      </c>
      <c r="U1103" s="73" t="str">
        <f aca="false">IF(OR(P1103="",NOT(ISNUMBER(S1103))),"",IF(OR(S1103&gt;EOMONTH(B1103,0),AND(T1103&gt;0,T1103&lt;B1103)),0,IF(AND(S1103&lt;=B1103,OR(T1103=0,T1103&gt;=EOMONTH(B1103,0))),30,MIN(30,IF(T1103=0,EOMONTH(B1103,0),MIN(T1103,EOMONTH(B1103,0)))-MAX(B1103,S1103)+1))))</f>
        <v/>
      </c>
    </row>
    <row r="1104" customFormat="false" ht="15" hidden="false" customHeight="false" outlineLevel="0" collapsed="false">
      <c r="B1104" s="78"/>
      <c r="C1104" s="64"/>
      <c r="D1104" s="70" t="str">
        <f aca="false">IF(C1104="","",IFERROR(INDEX(T_NOMBRE,MATCH(C1104,T_ID,0)),"⚠ ID no existe"))</f>
        <v/>
      </c>
      <c r="E1104" s="69"/>
      <c r="F1104" s="69"/>
      <c r="G1104" s="69"/>
      <c r="H1104" s="69"/>
      <c r="I1104" s="66"/>
      <c r="J1104" s="69"/>
      <c r="K1104" s="67"/>
      <c r="L1104" s="67"/>
      <c r="M1104" s="67"/>
      <c r="N1104" s="67"/>
      <c r="O1104" s="64"/>
      <c r="P1104" s="72" t="str">
        <f aca="false">IF(OR(B1104="",C1104=""),"",C1104&amp;"|"&amp;(YEAR(B1104)*100+MONTH(B1104)))</f>
        <v/>
      </c>
      <c r="Q1104" s="70" t="str">
        <f aca="false">IF(P1104="","",IF(COUNTIF(N_CLAVE,P1104)&gt;1,"⚠ Duplicado","OK"))</f>
        <v/>
      </c>
      <c r="R1104" s="74" t="str">
        <f aca="false">IF(OR(P1104="",U1104=""),"",MAX(0,U1104-N(E1104)-N(F1104)-N(H1104)))</f>
        <v/>
      </c>
      <c r="S1104" s="75" t="str">
        <f aca="false">IF(P1104="","",IFERROR(INDEX(T_INGRESO,MATCH(C1104,T_ID,0)),""))</f>
        <v/>
      </c>
      <c r="T1104" s="75" t="str">
        <f aca="false">IF(P1104="","",IFERROR(N(INDEX(T_EGRESO,MATCH(C1104,T_ID,0))),0))</f>
        <v/>
      </c>
      <c r="U1104" s="73" t="str">
        <f aca="false">IF(OR(P1104="",NOT(ISNUMBER(S1104))),"",IF(OR(S1104&gt;EOMONTH(B1104,0),AND(T1104&gt;0,T1104&lt;B1104)),0,IF(AND(S1104&lt;=B1104,OR(T1104=0,T1104&gt;=EOMONTH(B1104,0))),30,MIN(30,IF(T1104=0,EOMONTH(B1104,0),MIN(T1104,EOMONTH(B1104,0)))-MAX(B1104,S1104)+1))))</f>
        <v/>
      </c>
    </row>
    <row r="1105" customFormat="false" ht="15" hidden="false" customHeight="false" outlineLevel="0" collapsed="false">
      <c r="B1105" s="78"/>
      <c r="C1105" s="64"/>
      <c r="D1105" s="70" t="str">
        <f aca="false">IF(C1105="","",IFERROR(INDEX(T_NOMBRE,MATCH(C1105,T_ID,0)),"⚠ ID no existe"))</f>
        <v/>
      </c>
      <c r="E1105" s="69"/>
      <c r="F1105" s="69"/>
      <c r="G1105" s="69"/>
      <c r="H1105" s="69"/>
      <c r="I1105" s="66"/>
      <c r="J1105" s="69"/>
      <c r="K1105" s="67"/>
      <c r="L1105" s="67"/>
      <c r="M1105" s="67"/>
      <c r="N1105" s="67"/>
      <c r="O1105" s="64"/>
      <c r="P1105" s="72" t="str">
        <f aca="false">IF(OR(B1105="",C1105=""),"",C1105&amp;"|"&amp;(YEAR(B1105)*100+MONTH(B1105)))</f>
        <v/>
      </c>
      <c r="Q1105" s="70" t="str">
        <f aca="false">IF(P1105="","",IF(COUNTIF(N_CLAVE,P1105)&gt;1,"⚠ Duplicado","OK"))</f>
        <v/>
      </c>
      <c r="R1105" s="74" t="str">
        <f aca="false">IF(OR(P1105="",U1105=""),"",MAX(0,U1105-N(E1105)-N(F1105)-N(H1105)))</f>
        <v/>
      </c>
      <c r="S1105" s="75" t="str">
        <f aca="false">IF(P1105="","",IFERROR(INDEX(T_INGRESO,MATCH(C1105,T_ID,0)),""))</f>
        <v/>
      </c>
      <c r="T1105" s="75" t="str">
        <f aca="false">IF(P1105="","",IFERROR(N(INDEX(T_EGRESO,MATCH(C1105,T_ID,0))),0))</f>
        <v/>
      </c>
      <c r="U1105" s="73" t="str">
        <f aca="false">IF(OR(P1105="",NOT(ISNUMBER(S1105))),"",IF(OR(S1105&gt;EOMONTH(B1105,0),AND(T1105&gt;0,T1105&lt;B1105)),0,IF(AND(S1105&lt;=B1105,OR(T1105=0,T1105&gt;=EOMONTH(B1105,0))),30,MIN(30,IF(T1105=0,EOMONTH(B1105,0),MIN(T1105,EOMONTH(B1105,0)))-MAX(B1105,S1105)+1))))</f>
        <v/>
      </c>
    </row>
    <row r="1106" customFormat="false" ht="15" hidden="false" customHeight="false" outlineLevel="0" collapsed="false">
      <c r="B1106" s="78"/>
      <c r="C1106" s="64"/>
      <c r="D1106" s="70" t="str">
        <f aca="false">IF(C1106="","",IFERROR(INDEX(T_NOMBRE,MATCH(C1106,T_ID,0)),"⚠ ID no existe"))</f>
        <v/>
      </c>
      <c r="E1106" s="69"/>
      <c r="F1106" s="69"/>
      <c r="G1106" s="69"/>
      <c r="H1106" s="69"/>
      <c r="I1106" s="66"/>
      <c r="J1106" s="69"/>
      <c r="K1106" s="67"/>
      <c r="L1106" s="67"/>
      <c r="M1106" s="67"/>
      <c r="N1106" s="67"/>
      <c r="O1106" s="64"/>
      <c r="P1106" s="72" t="str">
        <f aca="false">IF(OR(B1106="",C1106=""),"",C1106&amp;"|"&amp;(YEAR(B1106)*100+MONTH(B1106)))</f>
        <v/>
      </c>
      <c r="Q1106" s="70" t="str">
        <f aca="false">IF(P1106="","",IF(COUNTIF(N_CLAVE,P1106)&gt;1,"⚠ Duplicado","OK"))</f>
        <v/>
      </c>
      <c r="R1106" s="74" t="str">
        <f aca="false">IF(OR(P1106="",U1106=""),"",MAX(0,U1106-N(E1106)-N(F1106)-N(H1106)))</f>
        <v/>
      </c>
      <c r="S1106" s="75" t="str">
        <f aca="false">IF(P1106="","",IFERROR(INDEX(T_INGRESO,MATCH(C1106,T_ID,0)),""))</f>
        <v/>
      </c>
      <c r="T1106" s="75" t="str">
        <f aca="false">IF(P1106="","",IFERROR(N(INDEX(T_EGRESO,MATCH(C1106,T_ID,0))),0))</f>
        <v/>
      </c>
      <c r="U1106" s="73" t="str">
        <f aca="false">IF(OR(P1106="",NOT(ISNUMBER(S1106))),"",IF(OR(S1106&gt;EOMONTH(B1106,0),AND(T1106&gt;0,T1106&lt;B1106)),0,IF(AND(S1106&lt;=B1106,OR(T1106=0,T1106&gt;=EOMONTH(B1106,0))),30,MIN(30,IF(T1106=0,EOMONTH(B1106,0),MIN(T1106,EOMONTH(B1106,0)))-MAX(B1106,S1106)+1))))</f>
        <v/>
      </c>
    </row>
    <row r="1107" customFormat="false" ht="15" hidden="false" customHeight="false" outlineLevel="0" collapsed="false">
      <c r="B1107" s="78"/>
      <c r="C1107" s="64"/>
      <c r="D1107" s="70" t="str">
        <f aca="false">IF(C1107="","",IFERROR(INDEX(T_NOMBRE,MATCH(C1107,T_ID,0)),"⚠ ID no existe"))</f>
        <v/>
      </c>
      <c r="E1107" s="69"/>
      <c r="F1107" s="69"/>
      <c r="G1107" s="69"/>
      <c r="H1107" s="69"/>
      <c r="I1107" s="66"/>
      <c r="J1107" s="69"/>
      <c r="K1107" s="67"/>
      <c r="L1107" s="67"/>
      <c r="M1107" s="67"/>
      <c r="N1107" s="67"/>
      <c r="O1107" s="64"/>
      <c r="P1107" s="72" t="str">
        <f aca="false">IF(OR(B1107="",C1107=""),"",C1107&amp;"|"&amp;(YEAR(B1107)*100+MONTH(B1107)))</f>
        <v/>
      </c>
      <c r="Q1107" s="70" t="str">
        <f aca="false">IF(P1107="","",IF(COUNTIF(N_CLAVE,P1107)&gt;1,"⚠ Duplicado","OK"))</f>
        <v/>
      </c>
      <c r="R1107" s="74" t="str">
        <f aca="false">IF(OR(P1107="",U1107=""),"",MAX(0,U1107-N(E1107)-N(F1107)-N(H1107)))</f>
        <v/>
      </c>
      <c r="S1107" s="75" t="str">
        <f aca="false">IF(P1107="","",IFERROR(INDEX(T_INGRESO,MATCH(C1107,T_ID,0)),""))</f>
        <v/>
      </c>
      <c r="T1107" s="75" t="str">
        <f aca="false">IF(P1107="","",IFERROR(N(INDEX(T_EGRESO,MATCH(C1107,T_ID,0))),0))</f>
        <v/>
      </c>
      <c r="U1107" s="73" t="str">
        <f aca="false">IF(OR(P1107="",NOT(ISNUMBER(S1107))),"",IF(OR(S1107&gt;EOMONTH(B1107,0),AND(T1107&gt;0,T1107&lt;B1107)),0,IF(AND(S1107&lt;=B1107,OR(T1107=0,T1107&gt;=EOMONTH(B1107,0))),30,MIN(30,IF(T1107=0,EOMONTH(B1107,0),MIN(T1107,EOMONTH(B1107,0)))-MAX(B1107,S1107)+1))))</f>
        <v/>
      </c>
    </row>
    <row r="1108" customFormat="false" ht="15" hidden="false" customHeight="false" outlineLevel="0" collapsed="false">
      <c r="B1108" s="78"/>
      <c r="C1108" s="64"/>
      <c r="D1108" s="70" t="str">
        <f aca="false">IF(C1108="","",IFERROR(INDEX(T_NOMBRE,MATCH(C1108,T_ID,0)),"⚠ ID no existe"))</f>
        <v/>
      </c>
      <c r="E1108" s="69"/>
      <c r="F1108" s="69"/>
      <c r="G1108" s="69"/>
      <c r="H1108" s="69"/>
      <c r="I1108" s="66"/>
      <c r="J1108" s="69"/>
      <c r="K1108" s="67"/>
      <c r="L1108" s="67"/>
      <c r="M1108" s="67"/>
      <c r="N1108" s="67"/>
      <c r="O1108" s="64"/>
      <c r="P1108" s="72" t="str">
        <f aca="false">IF(OR(B1108="",C1108=""),"",C1108&amp;"|"&amp;(YEAR(B1108)*100+MONTH(B1108)))</f>
        <v/>
      </c>
      <c r="Q1108" s="70" t="str">
        <f aca="false">IF(P1108="","",IF(COUNTIF(N_CLAVE,P1108)&gt;1,"⚠ Duplicado","OK"))</f>
        <v/>
      </c>
      <c r="R1108" s="74" t="str">
        <f aca="false">IF(OR(P1108="",U1108=""),"",MAX(0,U1108-N(E1108)-N(F1108)-N(H1108)))</f>
        <v/>
      </c>
      <c r="S1108" s="75" t="str">
        <f aca="false">IF(P1108="","",IFERROR(INDEX(T_INGRESO,MATCH(C1108,T_ID,0)),""))</f>
        <v/>
      </c>
      <c r="T1108" s="75" t="str">
        <f aca="false">IF(P1108="","",IFERROR(N(INDEX(T_EGRESO,MATCH(C1108,T_ID,0))),0))</f>
        <v/>
      </c>
      <c r="U1108" s="73" t="str">
        <f aca="false">IF(OR(P1108="",NOT(ISNUMBER(S1108))),"",IF(OR(S1108&gt;EOMONTH(B1108,0),AND(T1108&gt;0,T1108&lt;B1108)),0,IF(AND(S1108&lt;=B1108,OR(T1108=0,T1108&gt;=EOMONTH(B1108,0))),30,MIN(30,IF(T1108=0,EOMONTH(B1108,0),MIN(T1108,EOMONTH(B1108,0)))-MAX(B1108,S1108)+1))))</f>
        <v/>
      </c>
    </row>
    <row r="1109" customFormat="false" ht="15" hidden="false" customHeight="false" outlineLevel="0" collapsed="false">
      <c r="B1109" s="78"/>
      <c r="C1109" s="64"/>
      <c r="D1109" s="70" t="str">
        <f aca="false">IF(C1109="","",IFERROR(INDEX(T_NOMBRE,MATCH(C1109,T_ID,0)),"⚠ ID no existe"))</f>
        <v/>
      </c>
      <c r="E1109" s="69"/>
      <c r="F1109" s="69"/>
      <c r="G1109" s="69"/>
      <c r="H1109" s="69"/>
      <c r="I1109" s="66"/>
      <c r="J1109" s="69"/>
      <c r="K1109" s="67"/>
      <c r="L1109" s="67"/>
      <c r="M1109" s="67"/>
      <c r="N1109" s="67"/>
      <c r="O1109" s="64"/>
      <c r="P1109" s="72" t="str">
        <f aca="false">IF(OR(B1109="",C1109=""),"",C1109&amp;"|"&amp;(YEAR(B1109)*100+MONTH(B1109)))</f>
        <v/>
      </c>
      <c r="Q1109" s="70" t="str">
        <f aca="false">IF(P1109="","",IF(COUNTIF(N_CLAVE,P1109)&gt;1,"⚠ Duplicado","OK"))</f>
        <v/>
      </c>
      <c r="R1109" s="74" t="str">
        <f aca="false">IF(OR(P1109="",U1109=""),"",MAX(0,U1109-N(E1109)-N(F1109)-N(H1109)))</f>
        <v/>
      </c>
      <c r="S1109" s="75" t="str">
        <f aca="false">IF(P1109="","",IFERROR(INDEX(T_INGRESO,MATCH(C1109,T_ID,0)),""))</f>
        <v/>
      </c>
      <c r="T1109" s="75" t="str">
        <f aca="false">IF(P1109="","",IFERROR(N(INDEX(T_EGRESO,MATCH(C1109,T_ID,0))),0))</f>
        <v/>
      </c>
      <c r="U1109" s="73" t="str">
        <f aca="false">IF(OR(P1109="",NOT(ISNUMBER(S1109))),"",IF(OR(S1109&gt;EOMONTH(B1109,0),AND(T1109&gt;0,T1109&lt;B1109)),0,IF(AND(S1109&lt;=B1109,OR(T1109=0,T1109&gt;=EOMONTH(B1109,0))),30,MIN(30,IF(T1109=0,EOMONTH(B1109,0),MIN(T1109,EOMONTH(B1109,0)))-MAX(B1109,S1109)+1))))</f>
        <v/>
      </c>
    </row>
    <row r="1110" customFormat="false" ht="15" hidden="false" customHeight="false" outlineLevel="0" collapsed="false">
      <c r="B1110" s="78"/>
      <c r="C1110" s="64"/>
      <c r="D1110" s="70" t="str">
        <f aca="false">IF(C1110="","",IFERROR(INDEX(T_NOMBRE,MATCH(C1110,T_ID,0)),"⚠ ID no existe"))</f>
        <v/>
      </c>
      <c r="E1110" s="69"/>
      <c r="F1110" s="69"/>
      <c r="G1110" s="69"/>
      <c r="H1110" s="69"/>
      <c r="I1110" s="66"/>
      <c r="J1110" s="69"/>
      <c r="K1110" s="67"/>
      <c r="L1110" s="67"/>
      <c r="M1110" s="67"/>
      <c r="N1110" s="67"/>
      <c r="O1110" s="64"/>
      <c r="P1110" s="72" t="str">
        <f aca="false">IF(OR(B1110="",C1110=""),"",C1110&amp;"|"&amp;(YEAR(B1110)*100+MONTH(B1110)))</f>
        <v/>
      </c>
      <c r="Q1110" s="70" t="str">
        <f aca="false">IF(P1110="","",IF(COUNTIF(N_CLAVE,P1110)&gt;1,"⚠ Duplicado","OK"))</f>
        <v/>
      </c>
      <c r="R1110" s="74" t="str">
        <f aca="false">IF(OR(P1110="",U1110=""),"",MAX(0,U1110-N(E1110)-N(F1110)-N(H1110)))</f>
        <v/>
      </c>
      <c r="S1110" s="75" t="str">
        <f aca="false">IF(P1110="","",IFERROR(INDEX(T_INGRESO,MATCH(C1110,T_ID,0)),""))</f>
        <v/>
      </c>
      <c r="T1110" s="75" t="str">
        <f aca="false">IF(P1110="","",IFERROR(N(INDEX(T_EGRESO,MATCH(C1110,T_ID,0))),0))</f>
        <v/>
      </c>
      <c r="U1110" s="73" t="str">
        <f aca="false">IF(OR(P1110="",NOT(ISNUMBER(S1110))),"",IF(OR(S1110&gt;EOMONTH(B1110,0),AND(T1110&gt;0,T1110&lt;B1110)),0,IF(AND(S1110&lt;=B1110,OR(T1110=0,T1110&gt;=EOMONTH(B1110,0))),30,MIN(30,IF(T1110=0,EOMONTH(B1110,0),MIN(T1110,EOMONTH(B1110,0)))-MAX(B1110,S1110)+1))))</f>
        <v/>
      </c>
    </row>
    <row r="1111" customFormat="false" ht="15" hidden="false" customHeight="false" outlineLevel="0" collapsed="false">
      <c r="B1111" s="78"/>
      <c r="C1111" s="64"/>
      <c r="D1111" s="70" t="str">
        <f aca="false">IF(C1111="","",IFERROR(INDEX(T_NOMBRE,MATCH(C1111,T_ID,0)),"⚠ ID no existe"))</f>
        <v/>
      </c>
      <c r="E1111" s="69"/>
      <c r="F1111" s="69"/>
      <c r="G1111" s="69"/>
      <c r="H1111" s="69"/>
      <c r="I1111" s="66"/>
      <c r="J1111" s="69"/>
      <c r="K1111" s="67"/>
      <c r="L1111" s="67"/>
      <c r="M1111" s="67"/>
      <c r="N1111" s="67"/>
      <c r="O1111" s="64"/>
      <c r="P1111" s="72" t="str">
        <f aca="false">IF(OR(B1111="",C1111=""),"",C1111&amp;"|"&amp;(YEAR(B1111)*100+MONTH(B1111)))</f>
        <v/>
      </c>
      <c r="Q1111" s="70" t="str">
        <f aca="false">IF(P1111="","",IF(COUNTIF(N_CLAVE,P1111)&gt;1,"⚠ Duplicado","OK"))</f>
        <v/>
      </c>
      <c r="R1111" s="74" t="str">
        <f aca="false">IF(OR(P1111="",U1111=""),"",MAX(0,U1111-N(E1111)-N(F1111)-N(H1111)))</f>
        <v/>
      </c>
      <c r="S1111" s="75" t="str">
        <f aca="false">IF(P1111="","",IFERROR(INDEX(T_INGRESO,MATCH(C1111,T_ID,0)),""))</f>
        <v/>
      </c>
      <c r="T1111" s="75" t="str">
        <f aca="false">IF(P1111="","",IFERROR(N(INDEX(T_EGRESO,MATCH(C1111,T_ID,0))),0))</f>
        <v/>
      </c>
      <c r="U1111" s="73" t="str">
        <f aca="false">IF(OR(P1111="",NOT(ISNUMBER(S1111))),"",IF(OR(S1111&gt;EOMONTH(B1111,0),AND(T1111&gt;0,T1111&lt;B1111)),0,IF(AND(S1111&lt;=B1111,OR(T1111=0,T1111&gt;=EOMONTH(B1111,0))),30,MIN(30,IF(T1111=0,EOMONTH(B1111,0),MIN(T1111,EOMONTH(B1111,0)))-MAX(B1111,S1111)+1))))</f>
        <v/>
      </c>
    </row>
    <row r="1112" customFormat="false" ht="15" hidden="false" customHeight="false" outlineLevel="0" collapsed="false">
      <c r="B1112" s="78"/>
      <c r="C1112" s="64"/>
      <c r="D1112" s="70" t="str">
        <f aca="false">IF(C1112="","",IFERROR(INDEX(T_NOMBRE,MATCH(C1112,T_ID,0)),"⚠ ID no existe"))</f>
        <v/>
      </c>
      <c r="E1112" s="69"/>
      <c r="F1112" s="69"/>
      <c r="G1112" s="69"/>
      <c r="H1112" s="69"/>
      <c r="I1112" s="66"/>
      <c r="J1112" s="69"/>
      <c r="K1112" s="67"/>
      <c r="L1112" s="67"/>
      <c r="M1112" s="67"/>
      <c r="N1112" s="67"/>
      <c r="O1112" s="64"/>
      <c r="P1112" s="72" t="str">
        <f aca="false">IF(OR(B1112="",C1112=""),"",C1112&amp;"|"&amp;(YEAR(B1112)*100+MONTH(B1112)))</f>
        <v/>
      </c>
      <c r="Q1112" s="70" t="str">
        <f aca="false">IF(P1112="","",IF(COUNTIF(N_CLAVE,P1112)&gt;1,"⚠ Duplicado","OK"))</f>
        <v/>
      </c>
      <c r="R1112" s="74" t="str">
        <f aca="false">IF(OR(P1112="",U1112=""),"",MAX(0,U1112-N(E1112)-N(F1112)-N(H1112)))</f>
        <v/>
      </c>
      <c r="S1112" s="75" t="str">
        <f aca="false">IF(P1112="","",IFERROR(INDEX(T_INGRESO,MATCH(C1112,T_ID,0)),""))</f>
        <v/>
      </c>
      <c r="T1112" s="75" t="str">
        <f aca="false">IF(P1112="","",IFERROR(N(INDEX(T_EGRESO,MATCH(C1112,T_ID,0))),0))</f>
        <v/>
      </c>
      <c r="U1112" s="73" t="str">
        <f aca="false">IF(OR(P1112="",NOT(ISNUMBER(S1112))),"",IF(OR(S1112&gt;EOMONTH(B1112,0),AND(T1112&gt;0,T1112&lt;B1112)),0,IF(AND(S1112&lt;=B1112,OR(T1112=0,T1112&gt;=EOMONTH(B1112,0))),30,MIN(30,IF(T1112=0,EOMONTH(B1112,0),MIN(T1112,EOMONTH(B1112,0)))-MAX(B1112,S1112)+1))))</f>
        <v/>
      </c>
    </row>
    <row r="1113" customFormat="false" ht="15" hidden="false" customHeight="false" outlineLevel="0" collapsed="false">
      <c r="B1113" s="78"/>
      <c r="C1113" s="64"/>
      <c r="D1113" s="70" t="str">
        <f aca="false">IF(C1113="","",IFERROR(INDEX(T_NOMBRE,MATCH(C1113,T_ID,0)),"⚠ ID no existe"))</f>
        <v/>
      </c>
      <c r="E1113" s="69"/>
      <c r="F1113" s="69"/>
      <c r="G1113" s="69"/>
      <c r="H1113" s="69"/>
      <c r="I1113" s="66"/>
      <c r="J1113" s="69"/>
      <c r="K1113" s="67"/>
      <c r="L1113" s="67"/>
      <c r="M1113" s="67"/>
      <c r="N1113" s="67"/>
      <c r="O1113" s="64"/>
      <c r="P1113" s="72" t="str">
        <f aca="false">IF(OR(B1113="",C1113=""),"",C1113&amp;"|"&amp;(YEAR(B1113)*100+MONTH(B1113)))</f>
        <v/>
      </c>
      <c r="Q1113" s="70" t="str">
        <f aca="false">IF(P1113="","",IF(COUNTIF(N_CLAVE,P1113)&gt;1,"⚠ Duplicado","OK"))</f>
        <v/>
      </c>
      <c r="R1113" s="74" t="str">
        <f aca="false">IF(OR(P1113="",U1113=""),"",MAX(0,U1113-N(E1113)-N(F1113)-N(H1113)))</f>
        <v/>
      </c>
      <c r="S1113" s="75" t="str">
        <f aca="false">IF(P1113="","",IFERROR(INDEX(T_INGRESO,MATCH(C1113,T_ID,0)),""))</f>
        <v/>
      </c>
      <c r="T1113" s="75" t="str">
        <f aca="false">IF(P1113="","",IFERROR(N(INDEX(T_EGRESO,MATCH(C1113,T_ID,0))),0))</f>
        <v/>
      </c>
      <c r="U1113" s="73" t="str">
        <f aca="false">IF(OR(P1113="",NOT(ISNUMBER(S1113))),"",IF(OR(S1113&gt;EOMONTH(B1113,0),AND(T1113&gt;0,T1113&lt;B1113)),0,IF(AND(S1113&lt;=B1113,OR(T1113=0,T1113&gt;=EOMONTH(B1113,0))),30,MIN(30,IF(T1113=0,EOMONTH(B1113,0),MIN(T1113,EOMONTH(B1113,0)))-MAX(B1113,S1113)+1))))</f>
        <v/>
      </c>
    </row>
    <row r="1114" customFormat="false" ht="15" hidden="false" customHeight="false" outlineLevel="0" collapsed="false">
      <c r="B1114" s="78"/>
      <c r="C1114" s="64"/>
      <c r="D1114" s="70" t="str">
        <f aca="false">IF(C1114="","",IFERROR(INDEX(T_NOMBRE,MATCH(C1114,T_ID,0)),"⚠ ID no existe"))</f>
        <v/>
      </c>
      <c r="E1114" s="69"/>
      <c r="F1114" s="69"/>
      <c r="G1114" s="69"/>
      <c r="H1114" s="69"/>
      <c r="I1114" s="66"/>
      <c r="J1114" s="69"/>
      <c r="K1114" s="67"/>
      <c r="L1114" s="67"/>
      <c r="M1114" s="67"/>
      <c r="N1114" s="67"/>
      <c r="O1114" s="64"/>
      <c r="P1114" s="72" t="str">
        <f aca="false">IF(OR(B1114="",C1114=""),"",C1114&amp;"|"&amp;(YEAR(B1114)*100+MONTH(B1114)))</f>
        <v/>
      </c>
      <c r="Q1114" s="70" t="str">
        <f aca="false">IF(P1114="","",IF(COUNTIF(N_CLAVE,P1114)&gt;1,"⚠ Duplicado","OK"))</f>
        <v/>
      </c>
      <c r="R1114" s="74" t="str">
        <f aca="false">IF(OR(P1114="",U1114=""),"",MAX(0,U1114-N(E1114)-N(F1114)-N(H1114)))</f>
        <v/>
      </c>
      <c r="S1114" s="75" t="str">
        <f aca="false">IF(P1114="","",IFERROR(INDEX(T_INGRESO,MATCH(C1114,T_ID,0)),""))</f>
        <v/>
      </c>
      <c r="T1114" s="75" t="str">
        <f aca="false">IF(P1114="","",IFERROR(N(INDEX(T_EGRESO,MATCH(C1114,T_ID,0))),0))</f>
        <v/>
      </c>
      <c r="U1114" s="73" t="str">
        <f aca="false">IF(OR(P1114="",NOT(ISNUMBER(S1114))),"",IF(OR(S1114&gt;EOMONTH(B1114,0),AND(T1114&gt;0,T1114&lt;B1114)),0,IF(AND(S1114&lt;=B1114,OR(T1114=0,T1114&gt;=EOMONTH(B1114,0))),30,MIN(30,IF(T1114=0,EOMONTH(B1114,0),MIN(T1114,EOMONTH(B1114,0)))-MAX(B1114,S1114)+1))))</f>
        <v/>
      </c>
    </row>
    <row r="1115" customFormat="false" ht="15" hidden="false" customHeight="false" outlineLevel="0" collapsed="false">
      <c r="B1115" s="78"/>
      <c r="C1115" s="64"/>
      <c r="D1115" s="70" t="str">
        <f aca="false">IF(C1115="","",IFERROR(INDEX(T_NOMBRE,MATCH(C1115,T_ID,0)),"⚠ ID no existe"))</f>
        <v/>
      </c>
      <c r="E1115" s="69"/>
      <c r="F1115" s="69"/>
      <c r="G1115" s="69"/>
      <c r="H1115" s="69"/>
      <c r="I1115" s="66"/>
      <c r="J1115" s="69"/>
      <c r="K1115" s="67"/>
      <c r="L1115" s="67"/>
      <c r="M1115" s="67"/>
      <c r="N1115" s="67"/>
      <c r="O1115" s="64"/>
      <c r="P1115" s="72" t="str">
        <f aca="false">IF(OR(B1115="",C1115=""),"",C1115&amp;"|"&amp;(YEAR(B1115)*100+MONTH(B1115)))</f>
        <v/>
      </c>
      <c r="Q1115" s="70" t="str">
        <f aca="false">IF(P1115="","",IF(COUNTIF(N_CLAVE,P1115)&gt;1,"⚠ Duplicado","OK"))</f>
        <v/>
      </c>
      <c r="R1115" s="74" t="str">
        <f aca="false">IF(OR(P1115="",U1115=""),"",MAX(0,U1115-N(E1115)-N(F1115)-N(H1115)))</f>
        <v/>
      </c>
      <c r="S1115" s="75" t="str">
        <f aca="false">IF(P1115="","",IFERROR(INDEX(T_INGRESO,MATCH(C1115,T_ID,0)),""))</f>
        <v/>
      </c>
      <c r="T1115" s="75" t="str">
        <f aca="false">IF(P1115="","",IFERROR(N(INDEX(T_EGRESO,MATCH(C1115,T_ID,0))),0))</f>
        <v/>
      </c>
      <c r="U1115" s="73" t="str">
        <f aca="false">IF(OR(P1115="",NOT(ISNUMBER(S1115))),"",IF(OR(S1115&gt;EOMONTH(B1115,0),AND(T1115&gt;0,T1115&lt;B1115)),0,IF(AND(S1115&lt;=B1115,OR(T1115=0,T1115&gt;=EOMONTH(B1115,0))),30,MIN(30,IF(T1115=0,EOMONTH(B1115,0),MIN(T1115,EOMONTH(B1115,0)))-MAX(B1115,S1115)+1))))</f>
        <v/>
      </c>
    </row>
    <row r="1116" customFormat="false" ht="15" hidden="false" customHeight="false" outlineLevel="0" collapsed="false">
      <c r="B1116" s="78"/>
      <c r="C1116" s="64"/>
      <c r="D1116" s="70" t="str">
        <f aca="false">IF(C1116="","",IFERROR(INDEX(T_NOMBRE,MATCH(C1116,T_ID,0)),"⚠ ID no existe"))</f>
        <v/>
      </c>
      <c r="E1116" s="69"/>
      <c r="F1116" s="69"/>
      <c r="G1116" s="69"/>
      <c r="H1116" s="69"/>
      <c r="I1116" s="66"/>
      <c r="J1116" s="69"/>
      <c r="K1116" s="67"/>
      <c r="L1116" s="67"/>
      <c r="M1116" s="67"/>
      <c r="N1116" s="67"/>
      <c r="O1116" s="64"/>
      <c r="P1116" s="72" t="str">
        <f aca="false">IF(OR(B1116="",C1116=""),"",C1116&amp;"|"&amp;(YEAR(B1116)*100+MONTH(B1116)))</f>
        <v/>
      </c>
      <c r="Q1116" s="70" t="str">
        <f aca="false">IF(P1116="","",IF(COUNTIF(N_CLAVE,P1116)&gt;1,"⚠ Duplicado","OK"))</f>
        <v/>
      </c>
      <c r="R1116" s="74" t="str">
        <f aca="false">IF(OR(P1116="",U1116=""),"",MAX(0,U1116-N(E1116)-N(F1116)-N(H1116)))</f>
        <v/>
      </c>
      <c r="S1116" s="75" t="str">
        <f aca="false">IF(P1116="","",IFERROR(INDEX(T_INGRESO,MATCH(C1116,T_ID,0)),""))</f>
        <v/>
      </c>
      <c r="T1116" s="75" t="str">
        <f aca="false">IF(P1116="","",IFERROR(N(INDEX(T_EGRESO,MATCH(C1116,T_ID,0))),0))</f>
        <v/>
      </c>
      <c r="U1116" s="73" t="str">
        <f aca="false">IF(OR(P1116="",NOT(ISNUMBER(S1116))),"",IF(OR(S1116&gt;EOMONTH(B1116,0),AND(T1116&gt;0,T1116&lt;B1116)),0,IF(AND(S1116&lt;=B1116,OR(T1116=0,T1116&gt;=EOMONTH(B1116,0))),30,MIN(30,IF(T1116=0,EOMONTH(B1116,0),MIN(T1116,EOMONTH(B1116,0)))-MAX(B1116,S1116)+1))))</f>
        <v/>
      </c>
    </row>
    <row r="1117" customFormat="false" ht="15" hidden="false" customHeight="false" outlineLevel="0" collapsed="false">
      <c r="B1117" s="78"/>
      <c r="C1117" s="64"/>
      <c r="D1117" s="70" t="str">
        <f aca="false">IF(C1117="","",IFERROR(INDEX(T_NOMBRE,MATCH(C1117,T_ID,0)),"⚠ ID no existe"))</f>
        <v/>
      </c>
      <c r="E1117" s="69"/>
      <c r="F1117" s="69"/>
      <c r="G1117" s="69"/>
      <c r="H1117" s="69"/>
      <c r="I1117" s="66"/>
      <c r="J1117" s="69"/>
      <c r="K1117" s="67"/>
      <c r="L1117" s="67"/>
      <c r="M1117" s="67"/>
      <c r="N1117" s="67"/>
      <c r="O1117" s="64"/>
      <c r="P1117" s="72" t="str">
        <f aca="false">IF(OR(B1117="",C1117=""),"",C1117&amp;"|"&amp;(YEAR(B1117)*100+MONTH(B1117)))</f>
        <v/>
      </c>
      <c r="Q1117" s="70" t="str">
        <f aca="false">IF(P1117="","",IF(COUNTIF(N_CLAVE,P1117)&gt;1,"⚠ Duplicado","OK"))</f>
        <v/>
      </c>
      <c r="R1117" s="74" t="str">
        <f aca="false">IF(OR(P1117="",U1117=""),"",MAX(0,U1117-N(E1117)-N(F1117)-N(H1117)))</f>
        <v/>
      </c>
      <c r="S1117" s="75" t="str">
        <f aca="false">IF(P1117="","",IFERROR(INDEX(T_INGRESO,MATCH(C1117,T_ID,0)),""))</f>
        <v/>
      </c>
      <c r="T1117" s="75" t="str">
        <f aca="false">IF(P1117="","",IFERROR(N(INDEX(T_EGRESO,MATCH(C1117,T_ID,0))),0))</f>
        <v/>
      </c>
      <c r="U1117" s="73" t="str">
        <f aca="false">IF(OR(P1117="",NOT(ISNUMBER(S1117))),"",IF(OR(S1117&gt;EOMONTH(B1117,0),AND(T1117&gt;0,T1117&lt;B1117)),0,IF(AND(S1117&lt;=B1117,OR(T1117=0,T1117&gt;=EOMONTH(B1117,0))),30,MIN(30,IF(T1117=0,EOMONTH(B1117,0),MIN(T1117,EOMONTH(B1117,0)))-MAX(B1117,S1117)+1))))</f>
        <v/>
      </c>
    </row>
    <row r="1118" customFormat="false" ht="15" hidden="false" customHeight="false" outlineLevel="0" collapsed="false">
      <c r="B1118" s="78"/>
      <c r="C1118" s="64"/>
      <c r="D1118" s="70" t="str">
        <f aca="false">IF(C1118="","",IFERROR(INDEX(T_NOMBRE,MATCH(C1118,T_ID,0)),"⚠ ID no existe"))</f>
        <v/>
      </c>
      <c r="E1118" s="69"/>
      <c r="F1118" s="69"/>
      <c r="G1118" s="69"/>
      <c r="H1118" s="69"/>
      <c r="I1118" s="66"/>
      <c r="J1118" s="69"/>
      <c r="K1118" s="67"/>
      <c r="L1118" s="67"/>
      <c r="M1118" s="67"/>
      <c r="N1118" s="67"/>
      <c r="O1118" s="64"/>
      <c r="P1118" s="72" t="str">
        <f aca="false">IF(OR(B1118="",C1118=""),"",C1118&amp;"|"&amp;(YEAR(B1118)*100+MONTH(B1118)))</f>
        <v/>
      </c>
      <c r="Q1118" s="70" t="str">
        <f aca="false">IF(P1118="","",IF(COUNTIF(N_CLAVE,P1118)&gt;1,"⚠ Duplicado","OK"))</f>
        <v/>
      </c>
      <c r="R1118" s="74" t="str">
        <f aca="false">IF(OR(P1118="",U1118=""),"",MAX(0,U1118-N(E1118)-N(F1118)-N(H1118)))</f>
        <v/>
      </c>
      <c r="S1118" s="75" t="str">
        <f aca="false">IF(P1118="","",IFERROR(INDEX(T_INGRESO,MATCH(C1118,T_ID,0)),""))</f>
        <v/>
      </c>
      <c r="T1118" s="75" t="str">
        <f aca="false">IF(P1118="","",IFERROR(N(INDEX(T_EGRESO,MATCH(C1118,T_ID,0))),0))</f>
        <v/>
      </c>
      <c r="U1118" s="73" t="str">
        <f aca="false">IF(OR(P1118="",NOT(ISNUMBER(S1118))),"",IF(OR(S1118&gt;EOMONTH(B1118,0),AND(T1118&gt;0,T1118&lt;B1118)),0,IF(AND(S1118&lt;=B1118,OR(T1118=0,T1118&gt;=EOMONTH(B1118,0))),30,MIN(30,IF(T1118=0,EOMONTH(B1118,0),MIN(T1118,EOMONTH(B1118,0)))-MAX(B1118,S1118)+1))))</f>
        <v/>
      </c>
    </row>
    <row r="1119" customFormat="false" ht="15" hidden="false" customHeight="false" outlineLevel="0" collapsed="false">
      <c r="B1119" s="78"/>
      <c r="C1119" s="64"/>
      <c r="D1119" s="70" t="str">
        <f aca="false">IF(C1119="","",IFERROR(INDEX(T_NOMBRE,MATCH(C1119,T_ID,0)),"⚠ ID no existe"))</f>
        <v/>
      </c>
      <c r="E1119" s="69"/>
      <c r="F1119" s="69"/>
      <c r="G1119" s="69"/>
      <c r="H1119" s="69"/>
      <c r="I1119" s="66"/>
      <c r="J1119" s="69"/>
      <c r="K1119" s="67"/>
      <c r="L1119" s="67"/>
      <c r="M1119" s="67"/>
      <c r="N1119" s="67"/>
      <c r="O1119" s="64"/>
      <c r="P1119" s="72" t="str">
        <f aca="false">IF(OR(B1119="",C1119=""),"",C1119&amp;"|"&amp;(YEAR(B1119)*100+MONTH(B1119)))</f>
        <v/>
      </c>
      <c r="Q1119" s="70" t="str">
        <f aca="false">IF(P1119="","",IF(COUNTIF(N_CLAVE,P1119)&gt;1,"⚠ Duplicado","OK"))</f>
        <v/>
      </c>
      <c r="R1119" s="74" t="str">
        <f aca="false">IF(OR(P1119="",U1119=""),"",MAX(0,U1119-N(E1119)-N(F1119)-N(H1119)))</f>
        <v/>
      </c>
      <c r="S1119" s="75" t="str">
        <f aca="false">IF(P1119="","",IFERROR(INDEX(T_INGRESO,MATCH(C1119,T_ID,0)),""))</f>
        <v/>
      </c>
      <c r="T1119" s="75" t="str">
        <f aca="false">IF(P1119="","",IFERROR(N(INDEX(T_EGRESO,MATCH(C1119,T_ID,0))),0))</f>
        <v/>
      </c>
      <c r="U1119" s="73" t="str">
        <f aca="false">IF(OR(P1119="",NOT(ISNUMBER(S1119))),"",IF(OR(S1119&gt;EOMONTH(B1119,0),AND(T1119&gt;0,T1119&lt;B1119)),0,IF(AND(S1119&lt;=B1119,OR(T1119=0,T1119&gt;=EOMONTH(B1119,0))),30,MIN(30,IF(T1119=0,EOMONTH(B1119,0),MIN(T1119,EOMONTH(B1119,0)))-MAX(B1119,S1119)+1))))</f>
        <v/>
      </c>
    </row>
    <row r="1120" customFormat="false" ht="15" hidden="false" customHeight="false" outlineLevel="0" collapsed="false">
      <c r="B1120" s="78"/>
      <c r="C1120" s="64"/>
      <c r="D1120" s="70" t="str">
        <f aca="false">IF(C1120="","",IFERROR(INDEX(T_NOMBRE,MATCH(C1120,T_ID,0)),"⚠ ID no existe"))</f>
        <v/>
      </c>
      <c r="E1120" s="69"/>
      <c r="F1120" s="69"/>
      <c r="G1120" s="69"/>
      <c r="H1120" s="69"/>
      <c r="I1120" s="66"/>
      <c r="J1120" s="69"/>
      <c r="K1120" s="67"/>
      <c r="L1120" s="67"/>
      <c r="M1120" s="67"/>
      <c r="N1120" s="67"/>
      <c r="O1120" s="64"/>
      <c r="P1120" s="72" t="str">
        <f aca="false">IF(OR(B1120="",C1120=""),"",C1120&amp;"|"&amp;(YEAR(B1120)*100+MONTH(B1120)))</f>
        <v/>
      </c>
      <c r="Q1120" s="70" t="str">
        <f aca="false">IF(P1120="","",IF(COUNTIF(N_CLAVE,P1120)&gt;1,"⚠ Duplicado","OK"))</f>
        <v/>
      </c>
      <c r="R1120" s="74" t="str">
        <f aca="false">IF(OR(P1120="",U1120=""),"",MAX(0,U1120-N(E1120)-N(F1120)-N(H1120)))</f>
        <v/>
      </c>
      <c r="S1120" s="75" t="str">
        <f aca="false">IF(P1120="","",IFERROR(INDEX(T_INGRESO,MATCH(C1120,T_ID,0)),""))</f>
        <v/>
      </c>
      <c r="T1120" s="75" t="str">
        <f aca="false">IF(P1120="","",IFERROR(N(INDEX(T_EGRESO,MATCH(C1120,T_ID,0))),0))</f>
        <v/>
      </c>
      <c r="U1120" s="73" t="str">
        <f aca="false">IF(OR(P1120="",NOT(ISNUMBER(S1120))),"",IF(OR(S1120&gt;EOMONTH(B1120,0),AND(T1120&gt;0,T1120&lt;B1120)),0,IF(AND(S1120&lt;=B1120,OR(T1120=0,T1120&gt;=EOMONTH(B1120,0))),30,MIN(30,IF(T1120=0,EOMONTH(B1120,0),MIN(T1120,EOMONTH(B1120,0)))-MAX(B1120,S1120)+1))))</f>
        <v/>
      </c>
    </row>
    <row r="1121" customFormat="false" ht="15" hidden="false" customHeight="false" outlineLevel="0" collapsed="false">
      <c r="B1121" s="78"/>
      <c r="C1121" s="64"/>
      <c r="D1121" s="70" t="str">
        <f aca="false">IF(C1121="","",IFERROR(INDEX(T_NOMBRE,MATCH(C1121,T_ID,0)),"⚠ ID no existe"))</f>
        <v/>
      </c>
      <c r="E1121" s="69"/>
      <c r="F1121" s="69"/>
      <c r="G1121" s="69"/>
      <c r="H1121" s="69"/>
      <c r="I1121" s="66"/>
      <c r="J1121" s="69"/>
      <c r="K1121" s="67"/>
      <c r="L1121" s="67"/>
      <c r="M1121" s="67"/>
      <c r="N1121" s="67"/>
      <c r="O1121" s="64"/>
      <c r="P1121" s="72" t="str">
        <f aca="false">IF(OR(B1121="",C1121=""),"",C1121&amp;"|"&amp;(YEAR(B1121)*100+MONTH(B1121)))</f>
        <v/>
      </c>
      <c r="Q1121" s="70" t="str">
        <f aca="false">IF(P1121="","",IF(COUNTIF(N_CLAVE,P1121)&gt;1,"⚠ Duplicado","OK"))</f>
        <v/>
      </c>
      <c r="R1121" s="74" t="str">
        <f aca="false">IF(OR(P1121="",U1121=""),"",MAX(0,U1121-N(E1121)-N(F1121)-N(H1121)))</f>
        <v/>
      </c>
      <c r="S1121" s="75" t="str">
        <f aca="false">IF(P1121="","",IFERROR(INDEX(T_INGRESO,MATCH(C1121,T_ID,0)),""))</f>
        <v/>
      </c>
      <c r="T1121" s="75" t="str">
        <f aca="false">IF(P1121="","",IFERROR(N(INDEX(T_EGRESO,MATCH(C1121,T_ID,0))),0))</f>
        <v/>
      </c>
      <c r="U1121" s="73" t="str">
        <f aca="false">IF(OR(P1121="",NOT(ISNUMBER(S1121))),"",IF(OR(S1121&gt;EOMONTH(B1121,0),AND(T1121&gt;0,T1121&lt;B1121)),0,IF(AND(S1121&lt;=B1121,OR(T1121=0,T1121&gt;=EOMONTH(B1121,0))),30,MIN(30,IF(T1121=0,EOMONTH(B1121,0),MIN(T1121,EOMONTH(B1121,0)))-MAX(B1121,S1121)+1))))</f>
        <v/>
      </c>
    </row>
    <row r="1122" customFormat="false" ht="15" hidden="false" customHeight="false" outlineLevel="0" collapsed="false">
      <c r="B1122" s="78"/>
      <c r="C1122" s="64"/>
      <c r="D1122" s="70" t="str">
        <f aca="false">IF(C1122="","",IFERROR(INDEX(T_NOMBRE,MATCH(C1122,T_ID,0)),"⚠ ID no existe"))</f>
        <v/>
      </c>
      <c r="E1122" s="69"/>
      <c r="F1122" s="69"/>
      <c r="G1122" s="69"/>
      <c r="H1122" s="69"/>
      <c r="I1122" s="66"/>
      <c r="J1122" s="69"/>
      <c r="K1122" s="67"/>
      <c r="L1122" s="67"/>
      <c r="M1122" s="67"/>
      <c r="N1122" s="67"/>
      <c r="O1122" s="64"/>
      <c r="P1122" s="72" t="str">
        <f aca="false">IF(OR(B1122="",C1122=""),"",C1122&amp;"|"&amp;(YEAR(B1122)*100+MONTH(B1122)))</f>
        <v/>
      </c>
      <c r="Q1122" s="70" t="str">
        <f aca="false">IF(P1122="","",IF(COUNTIF(N_CLAVE,P1122)&gt;1,"⚠ Duplicado","OK"))</f>
        <v/>
      </c>
      <c r="R1122" s="74" t="str">
        <f aca="false">IF(OR(P1122="",U1122=""),"",MAX(0,U1122-N(E1122)-N(F1122)-N(H1122)))</f>
        <v/>
      </c>
      <c r="S1122" s="75" t="str">
        <f aca="false">IF(P1122="","",IFERROR(INDEX(T_INGRESO,MATCH(C1122,T_ID,0)),""))</f>
        <v/>
      </c>
      <c r="T1122" s="75" t="str">
        <f aca="false">IF(P1122="","",IFERROR(N(INDEX(T_EGRESO,MATCH(C1122,T_ID,0))),0))</f>
        <v/>
      </c>
      <c r="U1122" s="73" t="str">
        <f aca="false">IF(OR(P1122="",NOT(ISNUMBER(S1122))),"",IF(OR(S1122&gt;EOMONTH(B1122,0),AND(T1122&gt;0,T1122&lt;B1122)),0,IF(AND(S1122&lt;=B1122,OR(T1122=0,T1122&gt;=EOMONTH(B1122,0))),30,MIN(30,IF(T1122=0,EOMONTH(B1122,0),MIN(T1122,EOMONTH(B1122,0)))-MAX(B1122,S1122)+1))))</f>
        <v/>
      </c>
    </row>
    <row r="1123" customFormat="false" ht="15" hidden="false" customHeight="false" outlineLevel="0" collapsed="false">
      <c r="B1123" s="78"/>
      <c r="C1123" s="64"/>
      <c r="D1123" s="70" t="str">
        <f aca="false">IF(C1123="","",IFERROR(INDEX(T_NOMBRE,MATCH(C1123,T_ID,0)),"⚠ ID no existe"))</f>
        <v/>
      </c>
      <c r="E1123" s="69"/>
      <c r="F1123" s="69"/>
      <c r="G1123" s="69"/>
      <c r="H1123" s="69"/>
      <c r="I1123" s="66"/>
      <c r="J1123" s="69"/>
      <c r="K1123" s="67"/>
      <c r="L1123" s="67"/>
      <c r="M1123" s="67"/>
      <c r="N1123" s="67"/>
      <c r="O1123" s="64"/>
      <c r="P1123" s="72" t="str">
        <f aca="false">IF(OR(B1123="",C1123=""),"",C1123&amp;"|"&amp;(YEAR(B1123)*100+MONTH(B1123)))</f>
        <v/>
      </c>
      <c r="Q1123" s="70" t="str">
        <f aca="false">IF(P1123="","",IF(COUNTIF(N_CLAVE,P1123)&gt;1,"⚠ Duplicado","OK"))</f>
        <v/>
      </c>
      <c r="R1123" s="74" t="str">
        <f aca="false">IF(OR(P1123="",U1123=""),"",MAX(0,U1123-N(E1123)-N(F1123)-N(H1123)))</f>
        <v/>
      </c>
      <c r="S1123" s="75" t="str">
        <f aca="false">IF(P1123="","",IFERROR(INDEX(T_INGRESO,MATCH(C1123,T_ID,0)),""))</f>
        <v/>
      </c>
      <c r="T1123" s="75" t="str">
        <f aca="false">IF(P1123="","",IFERROR(N(INDEX(T_EGRESO,MATCH(C1123,T_ID,0))),0))</f>
        <v/>
      </c>
      <c r="U1123" s="73" t="str">
        <f aca="false">IF(OR(P1123="",NOT(ISNUMBER(S1123))),"",IF(OR(S1123&gt;EOMONTH(B1123,0),AND(T1123&gt;0,T1123&lt;B1123)),0,IF(AND(S1123&lt;=B1123,OR(T1123=0,T1123&gt;=EOMONTH(B1123,0))),30,MIN(30,IF(T1123=0,EOMONTH(B1123,0),MIN(T1123,EOMONTH(B1123,0)))-MAX(B1123,S1123)+1))))</f>
        <v/>
      </c>
    </row>
    <row r="1124" customFormat="false" ht="15" hidden="false" customHeight="false" outlineLevel="0" collapsed="false">
      <c r="B1124" s="78"/>
      <c r="C1124" s="64"/>
      <c r="D1124" s="70" t="str">
        <f aca="false">IF(C1124="","",IFERROR(INDEX(T_NOMBRE,MATCH(C1124,T_ID,0)),"⚠ ID no existe"))</f>
        <v/>
      </c>
      <c r="E1124" s="69"/>
      <c r="F1124" s="69"/>
      <c r="G1124" s="69"/>
      <c r="H1124" s="69"/>
      <c r="I1124" s="66"/>
      <c r="J1124" s="69"/>
      <c r="K1124" s="67"/>
      <c r="L1124" s="67"/>
      <c r="M1124" s="67"/>
      <c r="N1124" s="67"/>
      <c r="O1124" s="64"/>
      <c r="P1124" s="72" t="str">
        <f aca="false">IF(OR(B1124="",C1124=""),"",C1124&amp;"|"&amp;(YEAR(B1124)*100+MONTH(B1124)))</f>
        <v/>
      </c>
      <c r="Q1124" s="70" t="str">
        <f aca="false">IF(P1124="","",IF(COUNTIF(N_CLAVE,P1124)&gt;1,"⚠ Duplicado","OK"))</f>
        <v/>
      </c>
      <c r="R1124" s="74" t="str">
        <f aca="false">IF(OR(P1124="",U1124=""),"",MAX(0,U1124-N(E1124)-N(F1124)-N(H1124)))</f>
        <v/>
      </c>
      <c r="S1124" s="75" t="str">
        <f aca="false">IF(P1124="","",IFERROR(INDEX(T_INGRESO,MATCH(C1124,T_ID,0)),""))</f>
        <v/>
      </c>
      <c r="T1124" s="75" t="str">
        <f aca="false">IF(P1124="","",IFERROR(N(INDEX(T_EGRESO,MATCH(C1124,T_ID,0))),0))</f>
        <v/>
      </c>
      <c r="U1124" s="73" t="str">
        <f aca="false">IF(OR(P1124="",NOT(ISNUMBER(S1124))),"",IF(OR(S1124&gt;EOMONTH(B1124,0),AND(T1124&gt;0,T1124&lt;B1124)),0,IF(AND(S1124&lt;=B1124,OR(T1124=0,T1124&gt;=EOMONTH(B1124,0))),30,MIN(30,IF(T1124=0,EOMONTH(B1124,0),MIN(T1124,EOMONTH(B1124,0)))-MAX(B1124,S1124)+1))))</f>
        <v/>
      </c>
    </row>
    <row r="1125" customFormat="false" ht="15" hidden="false" customHeight="false" outlineLevel="0" collapsed="false">
      <c r="B1125" s="78"/>
      <c r="C1125" s="64"/>
      <c r="D1125" s="70" t="str">
        <f aca="false">IF(C1125="","",IFERROR(INDEX(T_NOMBRE,MATCH(C1125,T_ID,0)),"⚠ ID no existe"))</f>
        <v/>
      </c>
      <c r="E1125" s="69"/>
      <c r="F1125" s="69"/>
      <c r="G1125" s="69"/>
      <c r="H1125" s="69"/>
      <c r="I1125" s="66"/>
      <c r="J1125" s="69"/>
      <c r="K1125" s="67"/>
      <c r="L1125" s="67"/>
      <c r="M1125" s="67"/>
      <c r="N1125" s="67"/>
      <c r="O1125" s="64"/>
      <c r="P1125" s="72" t="str">
        <f aca="false">IF(OR(B1125="",C1125=""),"",C1125&amp;"|"&amp;(YEAR(B1125)*100+MONTH(B1125)))</f>
        <v/>
      </c>
      <c r="Q1125" s="70" t="str">
        <f aca="false">IF(P1125="","",IF(COUNTIF(N_CLAVE,P1125)&gt;1,"⚠ Duplicado","OK"))</f>
        <v/>
      </c>
      <c r="R1125" s="74" t="str">
        <f aca="false">IF(OR(P1125="",U1125=""),"",MAX(0,U1125-N(E1125)-N(F1125)-N(H1125)))</f>
        <v/>
      </c>
      <c r="S1125" s="75" t="str">
        <f aca="false">IF(P1125="","",IFERROR(INDEX(T_INGRESO,MATCH(C1125,T_ID,0)),""))</f>
        <v/>
      </c>
      <c r="T1125" s="75" t="str">
        <f aca="false">IF(P1125="","",IFERROR(N(INDEX(T_EGRESO,MATCH(C1125,T_ID,0))),0))</f>
        <v/>
      </c>
      <c r="U1125" s="73" t="str">
        <f aca="false">IF(OR(P1125="",NOT(ISNUMBER(S1125))),"",IF(OR(S1125&gt;EOMONTH(B1125,0),AND(T1125&gt;0,T1125&lt;B1125)),0,IF(AND(S1125&lt;=B1125,OR(T1125=0,T1125&gt;=EOMONTH(B1125,0))),30,MIN(30,IF(T1125=0,EOMONTH(B1125,0),MIN(T1125,EOMONTH(B1125,0)))-MAX(B1125,S1125)+1))))</f>
        <v/>
      </c>
    </row>
    <row r="1126" customFormat="false" ht="15" hidden="false" customHeight="false" outlineLevel="0" collapsed="false">
      <c r="B1126" s="78"/>
      <c r="C1126" s="64"/>
      <c r="D1126" s="70" t="str">
        <f aca="false">IF(C1126="","",IFERROR(INDEX(T_NOMBRE,MATCH(C1126,T_ID,0)),"⚠ ID no existe"))</f>
        <v/>
      </c>
      <c r="E1126" s="69"/>
      <c r="F1126" s="69"/>
      <c r="G1126" s="69"/>
      <c r="H1126" s="69"/>
      <c r="I1126" s="66"/>
      <c r="J1126" s="69"/>
      <c r="K1126" s="67"/>
      <c r="L1126" s="67"/>
      <c r="M1126" s="67"/>
      <c r="N1126" s="67"/>
      <c r="O1126" s="64"/>
      <c r="P1126" s="72" t="str">
        <f aca="false">IF(OR(B1126="",C1126=""),"",C1126&amp;"|"&amp;(YEAR(B1126)*100+MONTH(B1126)))</f>
        <v/>
      </c>
      <c r="Q1126" s="70" t="str">
        <f aca="false">IF(P1126="","",IF(COUNTIF(N_CLAVE,P1126)&gt;1,"⚠ Duplicado","OK"))</f>
        <v/>
      </c>
      <c r="R1126" s="74" t="str">
        <f aca="false">IF(OR(P1126="",U1126=""),"",MAX(0,U1126-N(E1126)-N(F1126)-N(H1126)))</f>
        <v/>
      </c>
      <c r="S1126" s="75" t="str">
        <f aca="false">IF(P1126="","",IFERROR(INDEX(T_INGRESO,MATCH(C1126,T_ID,0)),""))</f>
        <v/>
      </c>
      <c r="T1126" s="75" t="str">
        <f aca="false">IF(P1126="","",IFERROR(N(INDEX(T_EGRESO,MATCH(C1126,T_ID,0))),0))</f>
        <v/>
      </c>
      <c r="U1126" s="73" t="str">
        <f aca="false">IF(OR(P1126="",NOT(ISNUMBER(S1126))),"",IF(OR(S1126&gt;EOMONTH(B1126,0),AND(T1126&gt;0,T1126&lt;B1126)),0,IF(AND(S1126&lt;=B1126,OR(T1126=0,T1126&gt;=EOMONTH(B1126,0))),30,MIN(30,IF(T1126=0,EOMONTH(B1126,0),MIN(T1126,EOMONTH(B1126,0)))-MAX(B1126,S1126)+1))))</f>
        <v/>
      </c>
    </row>
    <row r="1127" customFormat="false" ht="15" hidden="false" customHeight="false" outlineLevel="0" collapsed="false">
      <c r="B1127" s="78"/>
      <c r="C1127" s="64"/>
      <c r="D1127" s="70" t="str">
        <f aca="false">IF(C1127="","",IFERROR(INDEX(T_NOMBRE,MATCH(C1127,T_ID,0)),"⚠ ID no existe"))</f>
        <v/>
      </c>
      <c r="E1127" s="69"/>
      <c r="F1127" s="69"/>
      <c r="G1127" s="69"/>
      <c r="H1127" s="69"/>
      <c r="I1127" s="66"/>
      <c r="J1127" s="69"/>
      <c r="K1127" s="67"/>
      <c r="L1127" s="67"/>
      <c r="M1127" s="67"/>
      <c r="N1127" s="67"/>
      <c r="O1127" s="64"/>
      <c r="P1127" s="72" t="str">
        <f aca="false">IF(OR(B1127="",C1127=""),"",C1127&amp;"|"&amp;(YEAR(B1127)*100+MONTH(B1127)))</f>
        <v/>
      </c>
      <c r="Q1127" s="70" t="str">
        <f aca="false">IF(P1127="","",IF(COUNTIF(N_CLAVE,P1127)&gt;1,"⚠ Duplicado","OK"))</f>
        <v/>
      </c>
      <c r="R1127" s="74" t="str">
        <f aca="false">IF(OR(P1127="",U1127=""),"",MAX(0,U1127-N(E1127)-N(F1127)-N(H1127)))</f>
        <v/>
      </c>
      <c r="S1127" s="75" t="str">
        <f aca="false">IF(P1127="","",IFERROR(INDEX(T_INGRESO,MATCH(C1127,T_ID,0)),""))</f>
        <v/>
      </c>
      <c r="T1127" s="75" t="str">
        <f aca="false">IF(P1127="","",IFERROR(N(INDEX(T_EGRESO,MATCH(C1127,T_ID,0))),0))</f>
        <v/>
      </c>
      <c r="U1127" s="73" t="str">
        <f aca="false">IF(OR(P1127="",NOT(ISNUMBER(S1127))),"",IF(OR(S1127&gt;EOMONTH(B1127,0),AND(T1127&gt;0,T1127&lt;B1127)),0,IF(AND(S1127&lt;=B1127,OR(T1127=0,T1127&gt;=EOMONTH(B1127,0))),30,MIN(30,IF(T1127=0,EOMONTH(B1127,0),MIN(T1127,EOMONTH(B1127,0)))-MAX(B1127,S1127)+1))))</f>
        <v/>
      </c>
    </row>
    <row r="1128" customFormat="false" ht="15" hidden="false" customHeight="false" outlineLevel="0" collapsed="false">
      <c r="B1128" s="78"/>
      <c r="C1128" s="64"/>
      <c r="D1128" s="70" t="str">
        <f aca="false">IF(C1128="","",IFERROR(INDEX(T_NOMBRE,MATCH(C1128,T_ID,0)),"⚠ ID no existe"))</f>
        <v/>
      </c>
      <c r="E1128" s="69"/>
      <c r="F1128" s="69"/>
      <c r="G1128" s="69"/>
      <c r="H1128" s="69"/>
      <c r="I1128" s="66"/>
      <c r="J1128" s="69"/>
      <c r="K1128" s="67"/>
      <c r="L1128" s="67"/>
      <c r="M1128" s="67"/>
      <c r="N1128" s="67"/>
      <c r="O1128" s="64"/>
      <c r="P1128" s="72" t="str">
        <f aca="false">IF(OR(B1128="",C1128=""),"",C1128&amp;"|"&amp;(YEAR(B1128)*100+MONTH(B1128)))</f>
        <v/>
      </c>
      <c r="Q1128" s="70" t="str">
        <f aca="false">IF(P1128="","",IF(COUNTIF(N_CLAVE,P1128)&gt;1,"⚠ Duplicado","OK"))</f>
        <v/>
      </c>
      <c r="R1128" s="74" t="str">
        <f aca="false">IF(OR(P1128="",U1128=""),"",MAX(0,U1128-N(E1128)-N(F1128)-N(H1128)))</f>
        <v/>
      </c>
      <c r="S1128" s="75" t="str">
        <f aca="false">IF(P1128="","",IFERROR(INDEX(T_INGRESO,MATCH(C1128,T_ID,0)),""))</f>
        <v/>
      </c>
      <c r="T1128" s="75" t="str">
        <f aca="false">IF(P1128="","",IFERROR(N(INDEX(T_EGRESO,MATCH(C1128,T_ID,0))),0))</f>
        <v/>
      </c>
      <c r="U1128" s="73" t="str">
        <f aca="false">IF(OR(P1128="",NOT(ISNUMBER(S1128))),"",IF(OR(S1128&gt;EOMONTH(B1128,0),AND(T1128&gt;0,T1128&lt;B1128)),0,IF(AND(S1128&lt;=B1128,OR(T1128=0,T1128&gt;=EOMONTH(B1128,0))),30,MIN(30,IF(T1128=0,EOMONTH(B1128,0),MIN(T1128,EOMONTH(B1128,0)))-MAX(B1128,S1128)+1))))</f>
        <v/>
      </c>
    </row>
    <row r="1129" customFormat="false" ht="15" hidden="false" customHeight="false" outlineLevel="0" collapsed="false">
      <c r="B1129" s="78"/>
      <c r="C1129" s="64"/>
      <c r="D1129" s="70" t="str">
        <f aca="false">IF(C1129="","",IFERROR(INDEX(T_NOMBRE,MATCH(C1129,T_ID,0)),"⚠ ID no existe"))</f>
        <v/>
      </c>
      <c r="E1129" s="69"/>
      <c r="F1129" s="69"/>
      <c r="G1129" s="69"/>
      <c r="H1129" s="69"/>
      <c r="I1129" s="66"/>
      <c r="J1129" s="69"/>
      <c r="K1129" s="67"/>
      <c r="L1129" s="67"/>
      <c r="M1129" s="67"/>
      <c r="N1129" s="67"/>
      <c r="O1129" s="64"/>
      <c r="P1129" s="72" t="str">
        <f aca="false">IF(OR(B1129="",C1129=""),"",C1129&amp;"|"&amp;(YEAR(B1129)*100+MONTH(B1129)))</f>
        <v/>
      </c>
      <c r="Q1129" s="70" t="str">
        <f aca="false">IF(P1129="","",IF(COUNTIF(N_CLAVE,P1129)&gt;1,"⚠ Duplicado","OK"))</f>
        <v/>
      </c>
      <c r="R1129" s="74" t="str">
        <f aca="false">IF(OR(P1129="",U1129=""),"",MAX(0,U1129-N(E1129)-N(F1129)-N(H1129)))</f>
        <v/>
      </c>
      <c r="S1129" s="75" t="str">
        <f aca="false">IF(P1129="","",IFERROR(INDEX(T_INGRESO,MATCH(C1129,T_ID,0)),""))</f>
        <v/>
      </c>
      <c r="T1129" s="75" t="str">
        <f aca="false">IF(P1129="","",IFERROR(N(INDEX(T_EGRESO,MATCH(C1129,T_ID,0))),0))</f>
        <v/>
      </c>
      <c r="U1129" s="73" t="str">
        <f aca="false">IF(OR(P1129="",NOT(ISNUMBER(S1129))),"",IF(OR(S1129&gt;EOMONTH(B1129,0),AND(T1129&gt;0,T1129&lt;B1129)),0,IF(AND(S1129&lt;=B1129,OR(T1129=0,T1129&gt;=EOMONTH(B1129,0))),30,MIN(30,IF(T1129=0,EOMONTH(B1129,0),MIN(T1129,EOMONTH(B1129,0)))-MAX(B1129,S1129)+1))))</f>
        <v/>
      </c>
    </row>
    <row r="1130" customFormat="false" ht="15" hidden="false" customHeight="false" outlineLevel="0" collapsed="false">
      <c r="B1130" s="78"/>
      <c r="C1130" s="64"/>
      <c r="D1130" s="70" t="str">
        <f aca="false">IF(C1130="","",IFERROR(INDEX(T_NOMBRE,MATCH(C1130,T_ID,0)),"⚠ ID no existe"))</f>
        <v/>
      </c>
      <c r="E1130" s="69"/>
      <c r="F1130" s="69"/>
      <c r="G1130" s="69"/>
      <c r="H1130" s="69"/>
      <c r="I1130" s="66"/>
      <c r="J1130" s="69"/>
      <c r="K1130" s="67"/>
      <c r="L1130" s="67"/>
      <c r="M1130" s="67"/>
      <c r="N1130" s="67"/>
      <c r="O1130" s="64"/>
      <c r="P1130" s="72" t="str">
        <f aca="false">IF(OR(B1130="",C1130=""),"",C1130&amp;"|"&amp;(YEAR(B1130)*100+MONTH(B1130)))</f>
        <v/>
      </c>
      <c r="Q1130" s="70" t="str">
        <f aca="false">IF(P1130="","",IF(COUNTIF(N_CLAVE,P1130)&gt;1,"⚠ Duplicado","OK"))</f>
        <v/>
      </c>
      <c r="R1130" s="74" t="str">
        <f aca="false">IF(OR(P1130="",U1130=""),"",MAX(0,U1130-N(E1130)-N(F1130)-N(H1130)))</f>
        <v/>
      </c>
      <c r="S1130" s="75" t="str">
        <f aca="false">IF(P1130="","",IFERROR(INDEX(T_INGRESO,MATCH(C1130,T_ID,0)),""))</f>
        <v/>
      </c>
      <c r="T1130" s="75" t="str">
        <f aca="false">IF(P1130="","",IFERROR(N(INDEX(T_EGRESO,MATCH(C1130,T_ID,0))),0))</f>
        <v/>
      </c>
      <c r="U1130" s="73" t="str">
        <f aca="false">IF(OR(P1130="",NOT(ISNUMBER(S1130))),"",IF(OR(S1130&gt;EOMONTH(B1130,0),AND(T1130&gt;0,T1130&lt;B1130)),0,IF(AND(S1130&lt;=B1130,OR(T1130=0,T1130&gt;=EOMONTH(B1130,0))),30,MIN(30,IF(T1130=0,EOMONTH(B1130,0),MIN(T1130,EOMONTH(B1130,0)))-MAX(B1130,S1130)+1))))</f>
        <v/>
      </c>
    </row>
    <row r="1131" customFormat="false" ht="15" hidden="false" customHeight="false" outlineLevel="0" collapsed="false">
      <c r="B1131" s="78"/>
      <c r="C1131" s="64"/>
      <c r="D1131" s="70" t="str">
        <f aca="false">IF(C1131="","",IFERROR(INDEX(T_NOMBRE,MATCH(C1131,T_ID,0)),"⚠ ID no existe"))</f>
        <v/>
      </c>
      <c r="E1131" s="69"/>
      <c r="F1131" s="69"/>
      <c r="G1131" s="69"/>
      <c r="H1131" s="69"/>
      <c r="I1131" s="66"/>
      <c r="J1131" s="69"/>
      <c r="K1131" s="67"/>
      <c r="L1131" s="67"/>
      <c r="M1131" s="67"/>
      <c r="N1131" s="67"/>
      <c r="O1131" s="64"/>
      <c r="P1131" s="72" t="str">
        <f aca="false">IF(OR(B1131="",C1131=""),"",C1131&amp;"|"&amp;(YEAR(B1131)*100+MONTH(B1131)))</f>
        <v/>
      </c>
      <c r="Q1131" s="70" t="str">
        <f aca="false">IF(P1131="","",IF(COUNTIF(N_CLAVE,P1131)&gt;1,"⚠ Duplicado","OK"))</f>
        <v/>
      </c>
      <c r="R1131" s="74" t="str">
        <f aca="false">IF(OR(P1131="",U1131=""),"",MAX(0,U1131-N(E1131)-N(F1131)-N(H1131)))</f>
        <v/>
      </c>
      <c r="S1131" s="75" t="str">
        <f aca="false">IF(P1131="","",IFERROR(INDEX(T_INGRESO,MATCH(C1131,T_ID,0)),""))</f>
        <v/>
      </c>
      <c r="T1131" s="75" t="str">
        <f aca="false">IF(P1131="","",IFERROR(N(INDEX(T_EGRESO,MATCH(C1131,T_ID,0))),0))</f>
        <v/>
      </c>
      <c r="U1131" s="73" t="str">
        <f aca="false">IF(OR(P1131="",NOT(ISNUMBER(S1131))),"",IF(OR(S1131&gt;EOMONTH(B1131,0),AND(T1131&gt;0,T1131&lt;B1131)),0,IF(AND(S1131&lt;=B1131,OR(T1131=0,T1131&gt;=EOMONTH(B1131,0))),30,MIN(30,IF(T1131=0,EOMONTH(B1131,0),MIN(T1131,EOMONTH(B1131,0)))-MAX(B1131,S1131)+1))))</f>
        <v/>
      </c>
    </row>
    <row r="1132" customFormat="false" ht="15" hidden="false" customHeight="false" outlineLevel="0" collapsed="false">
      <c r="B1132" s="78"/>
      <c r="C1132" s="64"/>
      <c r="D1132" s="70" t="str">
        <f aca="false">IF(C1132="","",IFERROR(INDEX(T_NOMBRE,MATCH(C1132,T_ID,0)),"⚠ ID no existe"))</f>
        <v/>
      </c>
      <c r="E1132" s="69"/>
      <c r="F1132" s="69"/>
      <c r="G1132" s="69"/>
      <c r="H1132" s="69"/>
      <c r="I1132" s="66"/>
      <c r="J1132" s="69"/>
      <c r="K1132" s="67"/>
      <c r="L1132" s="67"/>
      <c r="M1132" s="67"/>
      <c r="N1132" s="67"/>
      <c r="O1132" s="64"/>
      <c r="P1132" s="72" t="str">
        <f aca="false">IF(OR(B1132="",C1132=""),"",C1132&amp;"|"&amp;(YEAR(B1132)*100+MONTH(B1132)))</f>
        <v/>
      </c>
      <c r="Q1132" s="70" t="str">
        <f aca="false">IF(P1132="","",IF(COUNTIF(N_CLAVE,P1132)&gt;1,"⚠ Duplicado","OK"))</f>
        <v/>
      </c>
      <c r="R1132" s="74" t="str">
        <f aca="false">IF(OR(P1132="",U1132=""),"",MAX(0,U1132-N(E1132)-N(F1132)-N(H1132)))</f>
        <v/>
      </c>
      <c r="S1132" s="75" t="str">
        <f aca="false">IF(P1132="","",IFERROR(INDEX(T_INGRESO,MATCH(C1132,T_ID,0)),""))</f>
        <v/>
      </c>
      <c r="T1132" s="75" t="str">
        <f aca="false">IF(P1132="","",IFERROR(N(INDEX(T_EGRESO,MATCH(C1132,T_ID,0))),0))</f>
        <v/>
      </c>
      <c r="U1132" s="73" t="str">
        <f aca="false">IF(OR(P1132="",NOT(ISNUMBER(S1132))),"",IF(OR(S1132&gt;EOMONTH(B1132,0),AND(T1132&gt;0,T1132&lt;B1132)),0,IF(AND(S1132&lt;=B1132,OR(T1132=0,T1132&gt;=EOMONTH(B1132,0))),30,MIN(30,IF(T1132=0,EOMONTH(B1132,0),MIN(T1132,EOMONTH(B1132,0)))-MAX(B1132,S1132)+1))))</f>
        <v/>
      </c>
    </row>
    <row r="1133" customFormat="false" ht="15" hidden="false" customHeight="false" outlineLevel="0" collapsed="false">
      <c r="B1133" s="78"/>
      <c r="C1133" s="64"/>
      <c r="D1133" s="70" t="str">
        <f aca="false">IF(C1133="","",IFERROR(INDEX(T_NOMBRE,MATCH(C1133,T_ID,0)),"⚠ ID no existe"))</f>
        <v/>
      </c>
      <c r="E1133" s="69"/>
      <c r="F1133" s="69"/>
      <c r="G1133" s="69"/>
      <c r="H1133" s="69"/>
      <c r="I1133" s="66"/>
      <c r="J1133" s="69"/>
      <c r="K1133" s="67"/>
      <c r="L1133" s="67"/>
      <c r="M1133" s="67"/>
      <c r="N1133" s="67"/>
      <c r="O1133" s="64"/>
      <c r="P1133" s="72" t="str">
        <f aca="false">IF(OR(B1133="",C1133=""),"",C1133&amp;"|"&amp;(YEAR(B1133)*100+MONTH(B1133)))</f>
        <v/>
      </c>
      <c r="Q1133" s="70" t="str">
        <f aca="false">IF(P1133="","",IF(COUNTIF(N_CLAVE,P1133)&gt;1,"⚠ Duplicado","OK"))</f>
        <v/>
      </c>
      <c r="R1133" s="74" t="str">
        <f aca="false">IF(OR(P1133="",U1133=""),"",MAX(0,U1133-N(E1133)-N(F1133)-N(H1133)))</f>
        <v/>
      </c>
      <c r="S1133" s="75" t="str">
        <f aca="false">IF(P1133="","",IFERROR(INDEX(T_INGRESO,MATCH(C1133,T_ID,0)),""))</f>
        <v/>
      </c>
      <c r="T1133" s="75" t="str">
        <f aca="false">IF(P1133="","",IFERROR(N(INDEX(T_EGRESO,MATCH(C1133,T_ID,0))),0))</f>
        <v/>
      </c>
      <c r="U1133" s="73" t="str">
        <f aca="false">IF(OR(P1133="",NOT(ISNUMBER(S1133))),"",IF(OR(S1133&gt;EOMONTH(B1133,0),AND(T1133&gt;0,T1133&lt;B1133)),0,IF(AND(S1133&lt;=B1133,OR(T1133=0,T1133&gt;=EOMONTH(B1133,0))),30,MIN(30,IF(T1133=0,EOMONTH(B1133,0),MIN(T1133,EOMONTH(B1133,0)))-MAX(B1133,S1133)+1))))</f>
        <v/>
      </c>
    </row>
    <row r="1134" customFormat="false" ht="15" hidden="false" customHeight="false" outlineLevel="0" collapsed="false">
      <c r="B1134" s="78"/>
      <c r="C1134" s="64"/>
      <c r="D1134" s="70" t="str">
        <f aca="false">IF(C1134="","",IFERROR(INDEX(T_NOMBRE,MATCH(C1134,T_ID,0)),"⚠ ID no existe"))</f>
        <v/>
      </c>
      <c r="E1134" s="69"/>
      <c r="F1134" s="69"/>
      <c r="G1134" s="69"/>
      <c r="H1134" s="69"/>
      <c r="I1134" s="66"/>
      <c r="J1134" s="69"/>
      <c r="K1134" s="67"/>
      <c r="L1134" s="67"/>
      <c r="M1134" s="67"/>
      <c r="N1134" s="67"/>
      <c r="O1134" s="64"/>
      <c r="P1134" s="72" t="str">
        <f aca="false">IF(OR(B1134="",C1134=""),"",C1134&amp;"|"&amp;(YEAR(B1134)*100+MONTH(B1134)))</f>
        <v/>
      </c>
      <c r="Q1134" s="70" t="str">
        <f aca="false">IF(P1134="","",IF(COUNTIF(N_CLAVE,P1134)&gt;1,"⚠ Duplicado","OK"))</f>
        <v/>
      </c>
      <c r="R1134" s="74" t="str">
        <f aca="false">IF(OR(P1134="",U1134=""),"",MAX(0,U1134-N(E1134)-N(F1134)-N(H1134)))</f>
        <v/>
      </c>
      <c r="S1134" s="75" t="str">
        <f aca="false">IF(P1134="","",IFERROR(INDEX(T_INGRESO,MATCH(C1134,T_ID,0)),""))</f>
        <v/>
      </c>
      <c r="T1134" s="75" t="str">
        <f aca="false">IF(P1134="","",IFERROR(N(INDEX(T_EGRESO,MATCH(C1134,T_ID,0))),0))</f>
        <v/>
      </c>
      <c r="U1134" s="73" t="str">
        <f aca="false">IF(OR(P1134="",NOT(ISNUMBER(S1134))),"",IF(OR(S1134&gt;EOMONTH(B1134,0),AND(T1134&gt;0,T1134&lt;B1134)),0,IF(AND(S1134&lt;=B1134,OR(T1134=0,T1134&gt;=EOMONTH(B1134,0))),30,MIN(30,IF(T1134=0,EOMONTH(B1134,0),MIN(T1134,EOMONTH(B1134,0)))-MAX(B1134,S1134)+1))))</f>
        <v/>
      </c>
    </row>
    <row r="1135" customFormat="false" ht="15" hidden="false" customHeight="false" outlineLevel="0" collapsed="false">
      <c r="B1135" s="78"/>
      <c r="C1135" s="64"/>
      <c r="D1135" s="70" t="str">
        <f aca="false">IF(C1135="","",IFERROR(INDEX(T_NOMBRE,MATCH(C1135,T_ID,0)),"⚠ ID no existe"))</f>
        <v/>
      </c>
      <c r="E1135" s="69"/>
      <c r="F1135" s="69"/>
      <c r="G1135" s="69"/>
      <c r="H1135" s="69"/>
      <c r="I1135" s="66"/>
      <c r="J1135" s="69"/>
      <c r="K1135" s="67"/>
      <c r="L1135" s="67"/>
      <c r="M1135" s="67"/>
      <c r="N1135" s="67"/>
      <c r="O1135" s="64"/>
      <c r="P1135" s="72" t="str">
        <f aca="false">IF(OR(B1135="",C1135=""),"",C1135&amp;"|"&amp;(YEAR(B1135)*100+MONTH(B1135)))</f>
        <v/>
      </c>
      <c r="Q1135" s="70" t="str">
        <f aca="false">IF(P1135="","",IF(COUNTIF(N_CLAVE,P1135)&gt;1,"⚠ Duplicado","OK"))</f>
        <v/>
      </c>
      <c r="R1135" s="74" t="str">
        <f aca="false">IF(OR(P1135="",U1135=""),"",MAX(0,U1135-N(E1135)-N(F1135)-N(H1135)))</f>
        <v/>
      </c>
      <c r="S1135" s="75" t="str">
        <f aca="false">IF(P1135="","",IFERROR(INDEX(T_INGRESO,MATCH(C1135,T_ID,0)),""))</f>
        <v/>
      </c>
      <c r="T1135" s="75" t="str">
        <f aca="false">IF(P1135="","",IFERROR(N(INDEX(T_EGRESO,MATCH(C1135,T_ID,0))),0))</f>
        <v/>
      </c>
      <c r="U1135" s="73" t="str">
        <f aca="false">IF(OR(P1135="",NOT(ISNUMBER(S1135))),"",IF(OR(S1135&gt;EOMONTH(B1135,0),AND(T1135&gt;0,T1135&lt;B1135)),0,IF(AND(S1135&lt;=B1135,OR(T1135=0,T1135&gt;=EOMONTH(B1135,0))),30,MIN(30,IF(T1135=0,EOMONTH(B1135,0),MIN(T1135,EOMONTH(B1135,0)))-MAX(B1135,S1135)+1))))</f>
        <v/>
      </c>
    </row>
    <row r="1136" customFormat="false" ht="15" hidden="false" customHeight="false" outlineLevel="0" collapsed="false">
      <c r="B1136" s="78"/>
      <c r="C1136" s="64"/>
      <c r="D1136" s="70" t="str">
        <f aca="false">IF(C1136="","",IFERROR(INDEX(T_NOMBRE,MATCH(C1136,T_ID,0)),"⚠ ID no existe"))</f>
        <v/>
      </c>
      <c r="E1136" s="69"/>
      <c r="F1136" s="69"/>
      <c r="G1136" s="69"/>
      <c r="H1136" s="69"/>
      <c r="I1136" s="66"/>
      <c r="J1136" s="69"/>
      <c r="K1136" s="67"/>
      <c r="L1136" s="67"/>
      <c r="M1136" s="67"/>
      <c r="N1136" s="67"/>
      <c r="O1136" s="64"/>
      <c r="P1136" s="72" t="str">
        <f aca="false">IF(OR(B1136="",C1136=""),"",C1136&amp;"|"&amp;(YEAR(B1136)*100+MONTH(B1136)))</f>
        <v/>
      </c>
      <c r="Q1136" s="70" t="str">
        <f aca="false">IF(P1136="","",IF(COUNTIF(N_CLAVE,P1136)&gt;1,"⚠ Duplicado","OK"))</f>
        <v/>
      </c>
      <c r="R1136" s="74" t="str">
        <f aca="false">IF(OR(P1136="",U1136=""),"",MAX(0,U1136-N(E1136)-N(F1136)-N(H1136)))</f>
        <v/>
      </c>
      <c r="S1136" s="75" t="str">
        <f aca="false">IF(P1136="","",IFERROR(INDEX(T_INGRESO,MATCH(C1136,T_ID,0)),""))</f>
        <v/>
      </c>
      <c r="T1136" s="75" t="str">
        <f aca="false">IF(P1136="","",IFERROR(N(INDEX(T_EGRESO,MATCH(C1136,T_ID,0))),0))</f>
        <v/>
      </c>
      <c r="U1136" s="73" t="str">
        <f aca="false">IF(OR(P1136="",NOT(ISNUMBER(S1136))),"",IF(OR(S1136&gt;EOMONTH(B1136,0),AND(T1136&gt;0,T1136&lt;B1136)),0,IF(AND(S1136&lt;=B1136,OR(T1136=0,T1136&gt;=EOMONTH(B1136,0))),30,MIN(30,IF(T1136=0,EOMONTH(B1136,0),MIN(T1136,EOMONTH(B1136,0)))-MAX(B1136,S1136)+1))))</f>
        <v/>
      </c>
    </row>
    <row r="1137" customFormat="false" ht="15" hidden="false" customHeight="false" outlineLevel="0" collapsed="false">
      <c r="B1137" s="78"/>
      <c r="C1137" s="64"/>
      <c r="D1137" s="70" t="str">
        <f aca="false">IF(C1137="","",IFERROR(INDEX(T_NOMBRE,MATCH(C1137,T_ID,0)),"⚠ ID no existe"))</f>
        <v/>
      </c>
      <c r="E1137" s="69"/>
      <c r="F1137" s="69"/>
      <c r="G1137" s="69"/>
      <c r="H1137" s="69"/>
      <c r="I1137" s="66"/>
      <c r="J1137" s="69"/>
      <c r="K1137" s="67"/>
      <c r="L1137" s="67"/>
      <c r="M1137" s="67"/>
      <c r="N1137" s="67"/>
      <c r="O1137" s="64"/>
      <c r="P1137" s="72" t="str">
        <f aca="false">IF(OR(B1137="",C1137=""),"",C1137&amp;"|"&amp;(YEAR(B1137)*100+MONTH(B1137)))</f>
        <v/>
      </c>
      <c r="Q1137" s="70" t="str">
        <f aca="false">IF(P1137="","",IF(COUNTIF(N_CLAVE,P1137)&gt;1,"⚠ Duplicado","OK"))</f>
        <v/>
      </c>
      <c r="R1137" s="74" t="str">
        <f aca="false">IF(OR(P1137="",U1137=""),"",MAX(0,U1137-N(E1137)-N(F1137)-N(H1137)))</f>
        <v/>
      </c>
      <c r="S1137" s="75" t="str">
        <f aca="false">IF(P1137="","",IFERROR(INDEX(T_INGRESO,MATCH(C1137,T_ID,0)),""))</f>
        <v/>
      </c>
      <c r="T1137" s="75" t="str">
        <f aca="false">IF(P1137="","",IFERROR(N(INDEX(T_EGRESO,MATCH(C1137,T_ID,0))),0))</f>
        <v/>
      </c>
      <c r="U1137" s="73" t="str">
        <f aca="false">IF(OR(P1137="",NOT(ISNUMBER(S1137))),"",IF(OR(S1137&gt;EOMONTH(B1137,0),AND(T1137&gt;0,T1137&lt;B1137)),0,IF(AND(S1137&lt;=B1137,OR(T1137=0,T1137&gt;=EOMONTH(B1137,0))),30,MIN(30,IF(T1137=0,EOMONTH(B1137,0),MIN(T1137,EOMONTH(B1137,0)))-MAX(B1137,S1137)+1))))</f>
        <v/>
      </c>
    </row>
    <row r="1138" customFormat="false" ht="15" hidden="false" customHeight="false" outlineLevel="0" collapsed="false">
      <c r="B1138" s="78"/>
      <c r="C1138" s="64"/>
      <c r="D1138" s="70" t="str">
        <f aca="false">IF(C1138="","",IFERROR(INDEX(T_NOMBRE,MATCH(C1138,T_ID,0)),"⚠ ID no existe"))</f>
        <v/>
      </c>
      <c r="E1138" s="69"/>
      <c r="F1138" s="69"/>
      <c r="G1138" s="69"/>
      <c r="H1138" s="69"/>
      <c r="I1138" s="66"/>
      <c r="J1138" s="69"/>
      <c r="K1138" s="67"/>
      <c r="L1138" s="67"/>
      <c r="M1138" s="67"/>
      <c r="N1138" s="67"/>
      <c r="O1138" s="64"/>
      <c r="P1138" s="72" t="str">
        <f aca="false">IF(OR(B1138="",C1138=""),"",C1138&amp;"|"&amp;(YEAR(B1138)*100+MONTH(B1138)))</f>
        <v/>
      </c>
      <c r="Q1138" s="70" t="str">
        <f aca="false">IF(P1138="","",IF(COUNTIF(N_CLAVE,P1138)&gt;1,"⚠ Duplicado","OK"))</f>
        <v/>
      </c>
      <c r="R1138" s="74" t="str">
        <f aca="false">IF(OR(P1138="",U1138=""),"",MAX(0,U1138-N(E1138)-N(F1138)-N(H1138)))</f>
        <v/>
      </c>
      <c r="S1138" s="75" t="str">
        <f aca="false">IF(P1138="","",IFERROR(INDEX(T_INGRESO,MATCH(C1138,T_ID,0)),""))</f>
        <v/>
      </c>
      <c r="T1138" s="75" t="str">
        <f aca="false">IF(P1138="","",IFERROR(N(INDEX(T_EGRESO,MATCH(C1138,T_ID,0))),0))</f>
        <v/>
      </c>
      <c r="U1138" s="73" t="str">
        <f aca="false">IF(OR(P1138="",NOT(ISNUMBER(S1138))),"",IF(OR(S1138&gt;EOMONTH(B1138,0),AND(T1138&gt;0,T1138&lt;B1138)),0,IF(AND(S1138&lt;=B1138,OR(T1138=0,T1138&gt;=EOMONTH(B1138,0))),30,MIN(30,IF(T1138=0,EOMONTH(B1138,0),MIN(T1138,EOMONTH(B1138,0)))-MAX(B1138,S1138)+1))))</f>
        <v/>
      </c>
    </row>
    <row r="1139" customFormat="false" ht="15" hidden="false" customHeight="false" outlineLevel="0" collapsed="false">
      <c r="B1139" s="78"/>
      <c r="C1139" s="64"/>
      <c r="D1139" s="70" t="str">
        <f aca="false">IF(C1139="","",IFERROR(INDEX(T_NOMBRE,MATCH(C1139,T_ID,0)),"⚠ ID no existe"))</f>
        <v/>
      </c>
      <c r="E1139" s="69"/>
      <c r="F1139" s="69"/>
      <c r="G1139" s="69"/>
      <c r="H1139" s="69"/>
      <c r="I1139" s="66"/>
      <c r="J1139" s="69"/>
      <c r="K1139" s="67"/>
      <c r="L1139" s="67"/>
      <c r="M1139" s="67"/>
      <c r="N1139" s="67"/>
      <c r="O1139" s="64"/>
      <c r="P1139" s="72" t="str">
        <f aca="false">IF(OR(B1139="",C1139=""),"",C1139&amp;"|"&amp;(YEAR(B1139)*100+MONTH(B1139)))</f>
        <v/>
      </c>
      <c r="Q1139" s="70" t="str">
        <f aca="false">IF(P1139="","",IF(COUNTIF(N_CLAVE,P1139)&gt;1,"⚠ Duplicado","OK"))</f>
        <v/>
      </c>
      <c r="R1139" s="74" t="str">
        <f aca="false">IF(OR(P1139="",U1139=""),"",MAX(0,U1139-N(E1139)-N(F1139)-N(H1139)))</f>
        <v/>
      </c>
      <c r="S1139" s="75" t="str">
        <f aca="false">IF(P1139="","",IFERROR(INDEX(T_INGRESO,MATCH(C1139,T_ID,0)),""))</f>
        <v/>
      </c>
      <c r="T1139" s="75" t="str">
        <f aca="false">IF(P1139="","",IFERROR(N(INDEX(T_EGRESO,MATCH(C1139,T_ID,0))),0))</f>
        <v/>
      </c>
      <c r="U1139" s="73" t="str">
        <f aca="false">IF(OR(P1139="",NOT(ISNUMBER(S1139))),"",IF(OR(S1139&gt;EOMONTH(B1139,0),AND(T1139&gt;0,T1139&lt;B1139)),0,IF(AND(S1139&lt;=B1139,OR(T1139=0,T1139&gt;=EOMONTH(B1139,0))),30,MIN(30,IF(T1139=0,EOMONTH(B1139,0),MIN(T1139,EOMONTH(B1139,0)))-MAX(B1139,S1139)+1))))</f>
        <v/>
      </c>
    </row>
    <row r="1140" customFormat="false" ht="15" hidden="false" customHeight="false" outlineLevel="0" collapsed="false">
      <c r="B1140" s="78"/>
      <c r="C1140" s="64"/>
      <c r="D1140" s="70" t="str">
        <f aca="false">IF(C1140="","",IFERROR(INDEX(T_NOMBRE,MATCH(C1140,T_ID,0)),"⚠ ID no existe"))</f>
        <v/>
      </c>
      <c r="E1140" s="69"/>
      <c r="F1140" s="69"/>
      <c r="G1140" s="69"/>
      <c r="H1140" s="69"/>
      <c r="I1140" s="66"/>
      <c r="J1140" s="69"/>
      <c r="K1140" s="67"/>
      <c r="L1140" s="67"/>
      <c r="M1140" s="67"/>
      <c r="N1140" s="67"/>
      <c r="O1140" s="64"/>
      <c r="P1140" s="72" t="str">
        <f aca="false">IF(OR(B1140="",C1140=""),"",C1140&amp;"|"&amp;(YEAR(B1140)*100+MONTH(B1140)))</f>
        <v/>
      </c>
      <c r="Q1140" s="70" t="str">
        <f aca="false">IF(P1140="","",IF(COUNTIF(N_CLAVE,P1140)&gt;1,"⚠ Duplicado","OK"))</f>
        <v/>
      </c>
      <c r="R1140" s="74" t="str">
        <f aca="false">IF(OR(P1140="",U1140=""),"",MAX(0,U1140-N(E1140)-N(F1140)-N(H1140)))</f>
        <v/>
      </c>
      <c r="S1140" s="75" t="str">
        <f aca="false">IF(P1140="","",IFERROR(INDEX(T_INGRESO,MATCH(C1140,T_ID,0)),""))</f>
        <v/>
      </c>
      <c r="T1140" s="75" t="str">
        <f aca="false">IF(P1140="","",IFERROR(N(INDEX(T_EGRESO,MATCH(C1140,T_ID,0))),0))</f>
        <v/>
      </c>
      <c r="U1140" s="73" t="str">
        <f aca="false">IF(OR(P1140="",NOT(ISNUMBER(S1140))),"",IF(OR(S1140&gt;EOMONTH(B1140,0),AND(T1140&gt;0,T1140&lt;B1140)),0,IF(AND(S1140&lt;=B1140,OR(T1140=0,T1140&gt;=EOMONTH(B1140,0))),30,MIN(30,IF(T1140=0,EOMONTH(B1140,0),MIN(T1140,EOMONTH(B1140,0)))-MAX(B1140,S1140)+1))))</f>
        <v/>
      </c>
    </row>
    <row r="1141" customFormat="false" ht="15" hidden="false" customHeight="false" outlineLevel="0" collapsed="false">
      <c r="B1141" s="78"/>
      <c r="C1141" s="64"/>
      <c r="D1141" s="70" t="str">
        <f aca="false">IF(C1141="","",IFERROR(INDEX(T_NOMBRE,MATCH(C1141,T_ID,0)),"⚠ ID no existe"))</f>
        <v/>
      </c>
      <c r="E1141" s="69"/>
      <c r="F1141" s="69"/>
      <c r="G1141" s="69"/>
      <c r="H1141" s="69"/>
      <c r="I1141" s="66"/>
      <c r="J1141" s="69"/>
      <c r="K1141" s="67"/>
      <c r="L1141" s="67"/>
      <c r="M1141" s="67"/>
      <c r="N1141" s="67"/>
      <c r="O1141" s="64"/>
      <c r="P1141" s="72" t="str">
        <f aca="false">IF(OR(B1141="",C1141=""),"",C1141&amp;"|"&amp;(YEAR(B1141)*100+MONTH(B1141)))</f>
        <v/>
      </c>
      <c r="Q1141" s="70" t="str">
        <f aca="false">IF(P1141="","",IF(COUNTIF(N_CLAVE,P1141)&gt;1,"⚠ Duplicado","OK"))</f>
        <v/>
      </c>
      <c r="R1141" s="74" t="str">
        <f aca="false">IF(OR(P1141="",U1141=""),"",MAX(0,U1141-N(E1141)-N(F1141)-N(H1141)))</f>
        <v/>
      </c>
      <c r="S1141" s="75" t="str">
        <f aca="false">IF(P1141="","",IFERROR(INDEX(T_INGRESO,MATCH(C1141,T_ID,0)),""))</f>
        <v/>
      </c>
      <c r="T1141" s="75" t="str">
        <f aca="false">IF(P1141="","",IFERROR(N(INDEX(T_EGRESO,MATCH(C1141,T_ID,0))),0))</f>
        <v/>
      </c>
      <c r="U1141" s="73" t="str">
        <f aca="false">IF(OR(P1141="",NOT(ISNUMBER(S1141))),"",IF(OR(S1141&gt;EOMONTH(B1141,0),AND(T1141&gt;0,T1141&lt;B1141)),0,IF(AND(S1141&lt;=B1141,OR(T1141=0,T1141&gt;=EOMONTH(B1141,0))),30,MIN(30,IF(T1141=0,EOMONTH(B1141,0),MIN(T1141,EOMONTH(B1141,0)))-MAX(B1141,S1141)+1))))</f>
        <v/>
      </c>
    </row>
    <row r="1142" customFormat="false" ht="15" hidden="false" customHeight="false" outlineLevel="0" collapsed="false">
      <c r="B1142" s="78"/>
      <c r="C1142" s="64"/>
      <c r="D1142" s="70" t="str">
        <f aca="false">IF(C1142="","",IFERROR(INDEX(T_NOMBRE,MATCH(C1142,T_ID,0)),"⚠ ID no existe"))</f>
        <v/>
      </c>
      <c r="E1142" s="69"/>
      <c r="F1142" s="69"/>
      <c r="G1142" s="69"/>
      <c r="H1142" s="69"/>
      <c r="I1142" s="66"/>
      <c r="J1142" s="69"/>
      <c r="K1142" s="67"/>
      <c r="L1142" s="67"/>
      <c r="M1142" s="67"/>
      <c r="N1142" s="67"/>
      <c r="O1142" s="64"/>
      <c r="P1142" s="72" t="str">
        <f aca="false">IF(OR(B1142="",C1142=""),"",C1142&amp;"|"&amp;(YEAR(B1142)*100+MONTH(B1142)))</f>
        <v/>
      </c>
      <c r="Q1142" s="70" t="str">
        <f aca="false">IF(P1142="","",IF(COUNTIF(N_CLAVE,P1142)&gt;1,"⚠ Duplicado","OK"))</f>
        <v/>
      </c>
      <c r="R1142" s="74" t="str">
        <f aca="false">IF(OR(P1142="",U1142=""),"",MAX(0,U1142-N(E1142)-N(F1142)-N(H1142)))</f>
        <v/>
      </c>
      <c r="S1142" s="75" t="str">
        <f aca="false">IF(P1142="","",IFERROR(INDEX(T_INGRESO,MATCH(C1142,T_ID,0)),""))</f>
        <v/>
      </c>
      <c r="T1142" s="75" t="str">
        <f aca="false">IF(P1142="","",IFERROR(N(INDEX(T_EGRESO,MATCH(C1142,T_ID,0))),0))</f>
        <v/>
      </c>
      <c r="U1142" s="73" t="str">
        <f aca="false">IF(OR(P1142="",NOT(ISNUMBER(S1142))),"",IF(OR(S1142&gt;EOMONTH(B1142,0),AND(T1142&gt;0,T1142&lt;B1142)),0,IF(AND(S1142&lt;=B1142,OR(T1142=0,T1142&gt;=EOMONTH(B1142,0))),30,MIN(30,IF(T1142=0,EOMONTH(B1142,0),MIN(T1142,EOMONTH(B1142,0)))-MAX(B1142,S1142)+1))))</f>
        <v/>
      </c>
    </row>
    <row r="1143" customFormat="false" ht="15" hidden="false" customHeight="false" outlineLevel="0" collapsed="false">
      <c r="B1143" s="78"/>
      <c r="C1143" s="64"/>
      <c r="D1143" s="70" t="str">
        <f aca="false">IF(C1143="","",IFERROR(INDEX(T_NOMBRE,MATCH(C1143,T_ID,0)),"⚠ ID no existe"))</f>
        <v/>
      </c>
      <c r="E1143" s="69"/>
      <c r="F1143" s="69"/>
      <c r="G1143" s="69"/>
      <c r="H1143" s="69"/>
      <c r="I1143" s="66"/>
      <c r="J1143" s="69"/>
      <c r="K1143" s="67"/>
      <c r="L1143" s="67"/>
      <c r="M1143" s="67"/>
      <c r="N1143" s="67"/>
      <c r="O1143" s="64"/>
      <c r="P1143" s="72" t="str">
        <f aca="false">IF(OR(B1143="",C1143=""),"",C1143&amp;"|"&amp;(YEAR(B1143)*100+MONTH(B1143)))</f>
        <v/>
      </c>
      <c r="Q1143" s="70" t="str">
        <f aca="false">IF(P1143="","",IF(COUNTIF(N_CLAVE,P1143)&gt;1,"⚠ Duplicado","OK"))</f>
        <v/>
      </c>
      <c r="R1143" s="74" t="str">
        <f aca="false">IF(OR(P1143="",U1143=""),"",MAX(0,U1143-N(E1143)-N(F1143)-N(H1143)))</f>
        <v/>
      </c>
      <c r="S1143" s="75" t="str">
        <f aca="false">IF(P1143="","",IFERROR(INDEX(T_INGRESO,MATCH(C1143,T_ID,0)),""))</f>
        <v/>
      </c>
      <c r="T1143" s="75" t="str">
        <f aca="false">IF(P1143="","",IFERROR(N(INDEX(T_EGRESO,MATCH(C1143,T_ID,0))),0))</f>
        <v/>
      </c>
      <c r="U1143" s="73" t="str">
        <f aca="false">IF(OR(P1143="",NOT(ISNUMBER(S1143))),"",IF(OR(S1143&gt;EOMONTH(B1143,0),AND(T1143&gt;0,T1143&lt;B1143)),0,IF(AND(S1143&lt;=B1143,OR(T1143=0,T1143&gt;=EOMONTH(B1143,0))),30,MIN(30,IF(T1143=0,EOMONTH(B1143,0),MIN(T1143,EOMONTH(B1143,0)))-MAX(B1143,S1143)+1))))</f>
        <v/>
      </c>
    </row>
    <row r="1144" customFormat="false" ht="15" hidden="false" customHeight="false" outlineLevel="0" collapsed="false">
      <c r="B1144" s="78"/>
      <c r="C1144" s="64"/>
      <c r="D1144" s="70" t="str">
        <f aca="false">IF(C1144="","",IFERROR(INDEX(T_NOMBRE,MATCH(C1144,T_ID,0)),"⚠ ID no existe"))</f>
        <v/>
      </c>
      <c r="E1144" s="69"/>
      <c r="F1144" s="69"/>
      <c r="G1144" s="69"/>
      <c r="H1144" s="69"/>
      <c r="I1144" s="66"/>
      <c r="J1144" s="69"/>
      <c r="K1144" s="67"/>
      <c r="L1144" s="67"/>
      <c r="M1144" s="67"/>
      <c r="N1144" s="67"/>
      <c r="O1144" s="64"/>
      <c r="P1144" s="72" t="str">
        <f aca="false">IF(OR(B1144="",C1144=""),"",C1144&amp;"|"&amp;(YEAR(B1144)*100+MONTH(B1144)))</f>
        <v/>
      </c>
      <c r="Q1144" s="70" t="str">
        <f aca="false">IF(P1144="","",IF(COUNTIF(N_CLAVE,P1144)&gt;1,"⚠ Duplicado","OK"))</f>
        <v/>
      </c>
      <c r="R1144" s="74" t="str">
        <f aca="false">IF(OR(P1144="",U1144=""),"",MAX(0,U1144-N(E1144)-N(F1144)-N(H1144)))</f>
        <v/>
      </c>
      <c r="S1144" s="75" t="str">
        <f aca="false">IF(P1144="","",IFERROR(INDEX(T_INGRESO,MATCH(C1144,T_ID,0)),""))</f>
        <v/>
      </c>
      <c r="T1144" s="75" t="str">
        <f aca="false">IF(P1144="","",IFERROR(N(INDEX(T_EGRESO,MATCH(C1144,T_ID,0))),0))</f>
        <v/>
      </c>
      <c r="U1144" s="73" t="str">
        <f aca="false">IF(OR(P1144="",NOT(ISNUMBER(S1144))),"",IF(OR(S1144&gt;EOMONTH(B1144,0),AND(T1144&gt;0,T1144&lt;B1144)),0,IF(AND(S1144&lt;=B1144,OR(T1144=0,T1144&gt;=EOMONTH(B1144,0))),30,MIN(30,IF(T1144=0,EOMONTH(B1144,0),MIN(T1144,EOMONTH(B1144,0)))-MAX(B1144,S1144)+1))))</f>
        <v/>
      </c>
    </row>
    <row r="1145" customFormat="false" ht="15" hidden="false" customHeight="false" outlineLevel="0" collapsed="false">
      <c r="B1145" s="78"/>
      <c r="C1145" s="64"/>
      <c r="D1145" s="70" t="str">
        <f aca="false">IF(C1145="","",IFERROR(INDEX(T_NOMBRE,MATCH(C1145,T_ID,0)),"⚠ ID no existe"))</f>
        <v/>
      </c>
      <c r="E1145" s="69"/>
      <c r="F1145" s="69"/>
      <c r="G1145" s="69"/>
      <c r="H1145" s="69"/>
      <c r="I1145" s="66"/>
      <c r="J1145" s="69"/>
      <c r="K1145" s="67"/>
      <c r="L1145" s="67"/>
      <c r="M1145" s="67"/>
      <c r="N1145" s="67"/>
      <c r="O1145" s="64"/>
      <c r="P1145" s="72" t="str">
        <f aca="false">IF(OR(B1145="",C1145=""),"",C1145&amp;"|"&amp;(YEAR(B1145)*100+MONTH(B1145)))</f>
        <v/>
      </c>
      <c r="Q1145" s="70" t="str">
        <f aca="false">IF(P1145="","",IF(COUNTIF(N_CLAVE,P1145)&gt;1,"⚠ Duplicado","OK"))</f>
        <v/>
      </c>
      <c r="R1145" s="74" t="str">
        <f aca="false">IF(OR(P1145="",U1145=""),"",MAX(0,U1145-N(E1145)-N(F1145)-N(H1145)))</f>
        <v/>
      </c>
      <c r="S1145" s="75" t="str">
        <f aca="false">IF(P1145="","",IFERROR(INDEX(T_INGRESO,MATCH(C1145,T_ID,0)),""))</f>
        <v/>
      </c>
      <c r="T1145" s="75" t="str">
        <f aca="false">IF(P1145="","",IFERROR(N(INDEX(T_EGRESO,MATCH(C1145,T_ID,0))),0))</f>
        <v/>
      </c>
      <c r="U1145" s="73" t="str">
        <f aca="false">IF(OR(P1145="",NOT(ISNUMBER(S1145))),"",IF(OR(S1145&gt;EOMONTH(B1145,0),AND(T1145&gt;0,T1145&lt;B1145)),0,IF(AND(S1145&lt;=B1145,OR(T1145=0,T1145&gt;=EOMONTH(B1145,0))),30,MIN(30,IF(T1145=0,EOMONTH(B1145,0),MIN(T1145,EOMONTH(B1145,0)))-MAX(B1145,S1145)+1))))</f>
        <v/>
      </c>
    </row>
    <row r="1146" customFormat="false" ht="15" hidden="false" customHeight="false" outlineLevel="0" collapsed="false">
      <c r="B1146" s="78"/>
      <c r="C1146" s="64"/>
      <c r="D1146" s="70" t="str">
        <f aca="false">IF(C1146="","",IFERROR(INDEX(T_NOMBRE,MATCH(C1146,T_ID,0)),"⚠ ID no existe"))</f>
        <v/>
      </c>
      <c r="E1146" s="69"/>
      <c r="F1146" s="69"/>
      <c r="G1146" s="69"/>
      <c r="H1146" s="69"/>
      <c r="I1146" s="66"/>
      <c r="J1146" s="69"/>
      <c r="K1146" s="67"/>
      <c r="L1146" s="67"/>
      <c r="M1146" s="67"/>
      <c r="N1146" s="67"/>
      <c r="O1146" s="64"/>
      <c r="P1146" s="72" t="str">
        <f aca="false">IF(OR(B1146="",C1146=""),"",C1146&amp;"|"&amp;(YEAR(B1146)*100+MONTH(B1146)))</f>
        <v/>
      </c>
      <c r="Q1146" s="70" t="str">
        <f aca="false">IF(P1146="","",IF(COUNTIF(N_CLAVE,P1146)&gt;1,"⚠ Duplicado","OK"))</f>
        <v/>
      </c>
      <c r="R1146" s="74" t="str">
        <f aca="false">IF(OR(P1146="",U1146=""),"",MAX(0,U1146-N(E1146)-N(F1146)-N(H1146)))</f>
        <v/>
      </c>
      <c r="S1146" s="75" t="str">
        <f aca="false">IF(P1146="","",IFERROR(INDEX(T_INGRESO,MATCH(C1146,T_ID,0)),""))</f>
        <v/>
      </c>
      <c r="T1146" s="75" t="str">
        <f aca="false">IF(P1146="","",IFERROR(N(INDEX(T_EGRESO,MATCH(C1146,T_ID,0))),0))</f>
        <v/>
      </c>
      <c r="U1146" s="73" t="str">
        <f aca="false">IF(OR(P1146="",NOT(ISNUMBER(S1146))),"",IF(OR(S1146&gt;EOMONTH(B1146,0),AND(T1146&gt;0,T1146&lt;B1146)),0,IF(AND(S1146&lt;=B1146,OR(T1146=0,T1146&gt;=EOMONTH(B1146,0))),30,MIN(30,IF(T1146=0,EOMONTH(B1146,0),MIN(T1146,EOMONTH(B1146,0)))-MAX(B1146,S1146)+1))))</f>
        <v/>
      </c>
    </row>
    <row r="1147" customFormat="false" ht="15" hidden="false" customHeight="false" outlineLevel="0" collapsed="false">
      <c r="B1147" s="78"/>
      <c r="C1147" s="64"/>
      <c r="D1147" s="70" t="str">
        <f aca="false">IF(C1147="","",IFERROR(INDEX(T_NOMBRE,MATCH(C1147,T_ID,0)),"⚠ ID no existe"))</f>
        <v/>
      </c>
      <c r="E1147" s="69"/>
      <c r="F1147" s="69"/>
      <c r="G1147" s="69"/>
      <c r="H1147" s="69"/>
      <c r="I1147" s="66"/>
      <c r="J1147" s="69"/>
      <c r="K1147" s="67"/>
      <c r="L1147" s="67"/>
      <c r="M1147" s="67"/>
      <c r="N1147" s="67"/>
      <c r="O1147" s="64"/>
      <c r="P1147" s="72" t="str">
        <f aca="false">IF(OR(B1147="",C1147=""),"",C1147&amp;"|"&amp;(YEAR(B1147)*100+MONTH(B1147)))</f>
        <v/>
      </c>
      <c r="Q1147" s="70" t="str">
        <f aca="false">IF(P1147="","",IF(COUNTIF(N_CLAVE,P1147)&gt;1,"⚠ Duplicado","OK"))</f>
        <v/>
      </c>
      <c r="R1147" s="74" t="str">
        <f aca="false">IF(OR(P1147="",U1147=""),"",MAX(0,U1147-N(E1147)-N(F1147)-N(H1147)))</f>
        <v/>
      </c>
      <c r="S1147" s="75" t="str">
        <f aca="false">IF(P1147="","",IFERROR(INDEX(T_INGRESO,MATCH(C1147,T_ID,0)),""))</f>
        <v/>
      </c>
      <c r="T1147" s="75" t="str">
        <f aca="false">IF(P1147="","",IFERROR(N(INDEX(T_EGRESO,MATCH(C1147,T_ID,0))),0))</f>
        <v/>
      </c>
      <c r="U1147" s="73" t="str">
        <f aca="false">IF(OR(P1147="",NOT(ISNUMBER(S1147))),"",IF(OR(S1147&gt;EOMONTH(B1147,0),AND(T1147&gt;0,T1147&lt;B1147)),0,IF(AND(S1147&lt;=B1147,OR(T1147=0,T1147&gt;=EOMONTH(B1147,0))),30,MIN(30,IF(T1147=0,EOMONTH(B1147,0),MIN(T1147,EOMONTH(B1147,0)))-MAX(B1147,S1147)+1))))</f>
        <v/>
      </c>
    </row>
    <row r="1148" customFormat="false" ht="15" hidden="false" customHeight="false" outlineLevel="0" collapsed="false">
      <c r="B1148" s="78"/>
      <c r="C1148" s="64"/>
      <c r="D1148" s="70" t="str">
        <f aca="false">IF(C1148="","",IFERROR(INDEX(T_NOMBRE,MATCH(C1148,T_ID,0)),"⚠ ID no existe"))</f>
        <v/>
      </c>
      <c r="E1148" s="69"/>
      <c r="F1148" s="69"/>
      <c r="G1148" s="69"/>
      <c r="H1148" s="69"/>
      <c r="I1148" s="66"/>
      <c r="J1148" s="69"/>
      <c r="K1148" s="67"/>
      <c r="L1148" s="67"/>
      <c r="M1148" s="67"/>
      <c r="N1148" s="67"/>
      <c r="O1148" s="64"/>
      <c r="P1148" s="72" t="str">
        <f aca="false">IF(OR(B1148="",C1148=""),"",C1148&amp;"|"&amp;(YEAR(B1148)*100+MONTH(B1148)))</f>
        <v/>
      </c>
      <c r="Q1148" s="70" t="str">
        <f aca="false">IF(P1148="","",IF(COUNTIF(N_CLAVE,P1148)&gt;1,"⚠ Duplicado","OK"))</f>
        <v/>
      </c>
      <c r="R1148" s="74" t="str">
        <f aca="false">IF(OR(P1148="",U1148=""),"",MAX(0,U1148-N(E1148)-N(F1148)-N(H1148)))</f>
        <v/>
      </c>
      <c r="S1148" s="75" t="str">
        <f aca="false">IF(P1148="","",IFERROR(INDEX(T_INGRESO,MATCH(C1148,T_ID,0)),""))</f>
        <v/>
      </c>
      <c r="T1148" s="75" t="str">
        <f aca="false">IF(P1148="","",IFERROR(N(INDEX(T_EGRESO,MATCH(C1148,T_ID,0))),0))</f>
        <v/>
      </c>
      <c r="U1148" s="73" t="str">
        <f aca="false">IF(OR(P1148="",NOT(ISNUMBER(S1148))),"",IF(OR(S1148&gt;EOMONTH(B1148,0),AND(T1148&gt;0,T1148&lt;B1148)),0,IF(AND(S1148&lt;=B1148,OR(T1148=0,T1148&gt;=EOMONTH(B1148,0))),30,MIN(30,IF(T1148=0,EOMONTH(B1148,0),MIN(T1148,EOMONTH(B1148,0)))-MAX(B1148,S1148)+1))))</f>
        <v/>
      </c>
    </row>
    <row r="1149" customFormat="false" ht="15" hidden="false" customHeight="false" outlineLevel="0" collapsed="false">
      <c r="B1149" s="78"/>
      <c r="C1149" s="64"/>
      <c r="D1149" s="70" t="str">
        <f aca="false">IF(C1149="","",IFERROR(INDEX(T_NOMBRE,MATCH(C1149,T_ID,0)),"⚠ ID no existe"))</f>
        <v/>
      </c>
      <c r="E1149" s="69"/>
      <c r="F1149" s="69"/>
      <c r="G1149" s="69"/>
      <c r="H1149" s="69"/>
      <c r="I1149" s="66"/>
      <c r="J1149" s="69"/>
      <c r="K1149" s="67"/>
      <c r="L1149" s="67"/>
      <c r="M1149" s="67"/>
      <c r="N1149" s="67"/>
      <c r="O1149" s="64"/>
      <c r="P1149" s="72" t="str">
        <f aca="false">IF(OR(B1149="",C1149=""),"",C1149&amp;"|"&amp;(YEAR(B1149)*100+MONTH(B1149)))</f>
        <v/>
      </c>
      <c r="Q1149" s="70" t="str">
        <f aca="false">IF(P1149="","",IF(COUNTIF(N_CLAVE,P1149)&gt;1,"⚠ Duplicado","OK"))</f>
        <v/>
      </c>
      <c r="R1149" s="74" t="str">
        <f aca="false">IF(OR(P1149="",U1149=""),"",MAX(0,U1149-N(E1149)-N(F1149)-N(H1149)))</f>
        <v/>
      </c>
      <c r="S1149" s="75" t="str">
        <f aca="false">IF(P1149="","",IFERROR(INDEX(T_INGRESO,MATCH(C1149,T_ID,0)),""))</f>
        <v/>
      </c>
      <c r="T1149" s="75" t="str">
        <f aca="false">IF(P1149="","",IFERROR(N(INDEX(T_EGRESO,MATCH(C1149,T_ID,0))),0))</f>
        <v/>
      </c>
      <c r="U1149" s="73" t="str">
        <f aca="false">IF(OR(P1149="",NOT(ISNUMBER(S1149))),"",IF(OR(S1149&gt;EOMONTH(B1149,0),AND(T1149&gt;0,T1149&lt;B1149)),0,IF(AND(S1149&lt;=B1149,OR(T1149=0,T1149&gt;=EOMONTH(B1149,0))),30,MIN(30,IF(T1149=0,EOMONTH(B1149,0),MIN(T1149,EOMONTH(B1149,0)))-MAX(B1149,S1149)+1))))</f>
        <v/>
      </c>
    </row>
    <row r="1150" customFormat="false" ht="15" hidden="false" customHeight="false" outlineLevel="0" collapsed="false">
      <c r="B1150" s="78"/>
      <c r="C1150" s="64"/>
      <c r="D1150" s="70" t="str">
        <f aca="false">IF(C1150="","",IFERROR(INDEX(T_NOMBRE,MATCH(C1150,T_ID,0)),"⚠ ID no existe"))</f>
        <v/>
      </c>
      <c r="E1150" s="69"/>
      <c r="F1150" s="69"/>
      <c r="G1150" s="69"/>
      <c r="H1150" s="69"/>
      <c r="I1150" s="66"/>
      <c r="J1150" s="69"/>
      <c r="K1150" s="67"/>
      <c r="L1150" s="67"/>
      <c r="M1150" s="67"/>
      <c r="N1150" s="67"/>
      <c r="O1150" s="64"/>
      <c r="P1150" s="72" t="str">
        <f aca="false">IF(OR(B1150="",C1150=""),"",C1150&amp;"|"&amp;(YEAR(B1150)*100+MONTH(B1150)))</f>
        <v/>
      </c>
      <c r="Q1150" s="70" t="str">
        <f aca="false">IF(P1150="","",IF(COUNTIF(N_CLAVE,P1150)&gt;1,"⚠ Duplicado","OK"))</f>
        <v/>
      </c>
      <c r="R1150" s="74" t="str">
        <f aca="false">IF(OR(P1150="",U1150=""),"",MAX(0,U1150-N(E1150)-N(F1150)-N(H1150)))</f>
        <v/>
      </c>
      <c r="S1150" s="75" t="str">
        <f aca="false">IF(P1150="","",IFERROR(INDEX(T_INGRESO,MATCH(C1150,T_ID,0)),""))</f>
        <v/>
      </c>
      <c r="T1150" s="75" t="str">
        <f aca="false">IF(P1150="","",IFERROR(N(INDEX(T_EGRESO,MATCH(C1150,T_ID,0))),0))</f>
        <v/>
      </c>
      <c r="U1150" s="73" t="str">
        <f aca="false">IF(OR(P1150="",NOT(ISNUMBER(S1150))),"",IF(OR(S1150&gt;EOMONTH(B1150,0),AND(T1150&gt;0,T1150&lt;B1150)),0,IF(AND(S1150&lt;=B1150,OR(T1150=0,T1150&gt;=EOMONTH(B1150,0))),30,MIN(30,IF(T1150=0,EOMONTH(B1150,0),MIN(T1150,EOMONTH(B1150,0)))-MAX(B1150,S1150)+1))))</f>
        <v/>
      </c>
    </row>
    <row r="1151" customFormat="false" ht="15" hidden="false" customHeight="false" outlineLevel="0" collapsed="false">
      <c r="B1151" s="78"/>
      <c r="C1151" s="64"/>
      <c r="D1151" s="70" t="str">
        <f aca="false">IF(C1151="","",IFERROR(INDEX(T_NOMBRE,MATCH(C1151,T_ID,0)),"⚠ ID no existe"))</f>
        <v/>
      </c>
      <c r="E1151" s="69"/>
      <c r="F1151" s="69"/>
      <c r="G1151" s="69"/>
      <c r="H1151" s="69"/>
      <c r="I1151" s="66"/>
      <c r="J1151" s="69"/>
      <c r="K1151" s="67"/>
      <c r="L1151" s="67"/>
      <c r="M1151" s="67"/>
      <c r="N1151" s="67"/>
      <c r="O1151" s="64"/>
      <c r="P1151" s="72" t="str">
        <f aca="false">IF(OR(B1151="",C1151=""),"",C1151&amp;"|"&amp;(YEAR(B1151)*100+MONTH(B1151)))</f>
        <v/>
      </c>
      <c r="Q1151" s="70" t="str">
        <f aca="false">IF(P1151="","",IF(COUNTIF(N_CLAVE,P1151)&gt;1,"⚠ Duplicado","OK"))</f>
        <v/>
      </c>
      <c r="R1151" s="74" t="str">
        <f aca="false">IF(OR(P1151="",U1151=""),"",MAX(0,U1151-N(E1151)-N(F1151)-N(H1151)))</f>
        <v/>
      </c>
      <c r="S1151" s="75" t="str">
        <f aca="false">IF(P1151="","",IFERROR(INDEX(T_INGRESO,MATCH(C1151,T_ID,0)),""))</f>
        <v/>
      </c>
      <c r="T1151" s="75" t="str">
        <f aca="false">IF(P1151="","",IFERROR(N(INDEX(T_EGRESO,MATCH(C1151,T_ID,0))),0))</f>
        <v/>
      </c>
      <c r="U1151" s="73" t="str">
        <f aca="false">IF(OR(P1151="",NOT(ISNUMBER(S1151))),"",IF(OR(S1151&gt;EOMONTH(B1151,0),AND(T1151&gt;0,T1151&lt;B1151)),0,IF(AND(S1151&lt;=B1151,OR(T1151=0,T1151&gt;=EOMONTH(B1151,0))),30,MIN(30,IF(T1151=0,EOMONTH(B1151,0),MIN(T1151,EOMONTH(B1151,0)))-MAX(B1151,S1151)+1))))</f>
        <v/>
      </c>
    </row>
    <row r="1152" customFormat="false" ht="15" hidden="false" customHeight="false" outlineLevel="0" collapsed="false">
      <c r="B1152" s="78"/>
      <c r="C1152" s="64"/>
      <c r="D1152" s="70" t="str">
        <f aca="false">IF(C1152="","",IFERROR(INDEX(T_NOMBRE,MATCH(C1152,T_ID,0)),"⚠ ID no existe"))</f>
        <v/>
      </c>
      <c r="E1152" s="69"/>
      <c r="F1152" s="69"/>
      <c r="G1152" s="69"/>
      <c r="H1152" s="69"/>
      <c r="I1152" s="66"/>
      <c r="J1152" s="69"/>
      <c r="K1152" s="67"/>
      <c r="L1152" s="67"/>
      <c r="M1152" s="67"/>
      <c r="N1152" s="67"/>
      <c r="O1152" s="64"/>
      <c r="P1152" s="72" t="str">
        <f aca="false">IF(OR(B1152="",C1152=""),"",C1152&amp;"|"&amp;(YEAR(B1152)*100+MONTH(B1152)))</f>
        <v/>
      </c>
      <c r="Q1152" s="70" t="str">
        <f aca="false">IF(P1152="","",IF(COUNTIF(N_CLAVE,P1152)&gt;1,"⚠ Duplicado","OK"))</f>
        <v/>
      </c>
      <c r="R1152" s="74" t="str">
        <f aca="false">IF(OR(P1152="",U1152=""),"",MAX(0,U1152-N(E1152)-N(F1152)-N(H1152)))</f>
        <v/>
      </c>
      <c r="S1152" s="75" t="str">
        <f aca="false">IF(P1152="","",IFERROR(INDEX(T_INGRESO,MATCH(C1152,T_ID,0)),""))</f>
        <v/>
      </c>
      <c r="T1152" s="75" t="str">
        <f aca="false">IF(P1152="","",IFERROR(N(INDEX(T_EGRESO,MATCH(C1152,T_ID,0))),0))</f>
        <v/>
      </c>
      <c r="U1152" s="73" t="str">
        <f aca="false">IF(OR(P1152="",NOT(ISNUMBER(S1152))),"",IF(OR(S1152&gt;EOMONTH(B1152,0),AND(T1152&gt;0,T1152&lt;B1152)),0,IF(AND(S1152&lt;=B1152,OR(T1152=0,T1152&gt;=EOMONTH(B1152,0))),30,MIN(30,IF(T1152=0,EOMONTH(B1152,0),MIN(T1152,EOMONTH(B1152,0)))-MAX(B1152,S1152)+1))))</f>
        <v/>
      </c>
    </row>
    <row r="1153" customFormat="false" ht="15" hidden="false" customHeight="false" outlineLevel="0" collapsed="false">
      <c r="B1153" s="78"/>
      <c r="C1153" s="64"/>
      <c r="D1153" s="70" t="str">
        <f aca="false">IF(C1153="","",IFERROR(INDEX(T_NOMBRE,MATCH(C1153,T_ID,0)),"⚠ ID no existe"))</f>
        <v/>
      </c>
      <c r="E1153" s="69"/>
      <c r="F1153" s="69"/>
      <c r="G1153" s="69"/>
      <c r="H1153" s="69"/>
      <c r="I1153" s="66"/>
      <c r="J1153" s="69"/>
      <c r="K1153" s="67"/>
      <c r="L1153" s="67"/>
      <c r="M1153" s="67"/>
      <c r="N1153" s="67"/>
      <c r="O1153" s="64"/>
      <c r="P1153" s="72" t="str">
        <f aca="false">IF(OR(B1153="",C1153=""),"",C1153&amp;"|"&amp;(YEAR(B1153)*100+MONTH(B1153)))</f>
        <v/>
      </c>
      <c r="Q1153" s="70" t="str">
        <f aca="false">IF(P1153="","",IF(COUNTIF(N_CLAVE,P1153)&gt;1,"⚠ Duplicado","OK"))</f>
        <v/>
      </c>
      <c r="R1153" s="74" t="str">
        <f aca="false">IF(OR(P1153="",U1153=""),"",MAX(0,U1153-N(E1153)-N(F1153)-N(H1153)))</f>
        <v/>
      </c>
      <c r="S1153" s="75" t="str">
        <f aca="false">IF(P1153="","",IFERROR(INDEX(T_INGRESO,MATCH(C1153,T_ID,0)),""))</f>
        <v/>
      </c>
      <c r="T1153" s="75" t="str">
        <f aca="false">IF(P1153="","",IFERROR(N(INDEX(T_EGRESO,MATCH(C1153,T_ID,0))),0))</f>
        <v/>
      </c>
      <c r="U1153" s="73" t="str">
        <f aca="false">IF(OR(P1153="",NOT(ISNUMBER(S1153))),"",IF(OR(S1153&gt;EOMONTH(B1153,0),AND(T1153&gt;0,T1153&lt;B1153)),0,IF(AND(S1153&lt;=B1153,OR(T1153=0,T1153&gt;=EOMONTH(B1153,0))),30,MIN(30,IF(T1153=0,EOMONTH(B1153,0),MIN(T1153,EOMONTH(B1153,0)))-MAX(B1153,S1153)+1))))</f>
        <v/>
      </c>
    </row>
    <row r="1154" customFormat="false" ht="15" hidden="false" customHeight="false" outlineLevel="0" collapsed="false">
      <c r="B1154" s="78"/>
      <c r="C1154" s="64"/>
      <c r="D1154" s="70" t="str">
        <f aca="false">IF(C1154="","",IFERROR(INDEX(T_NOMBRE,MATCH(C1154,T_ID,0)),"⚠ ID no existe"))</f>
        <v/>
      </c>
      <c r="E1154" s="69"/>
      <c r="F1154" s="69"/>
      <c r="G1154" s="69"/>
      <c r="H1154" s="69"/>
      <c r="I1154" s="66"/>
      <c r="J1154" s="69"/>
      <c r="K1154" s="67"/>
      <c r="L1154" s="67"/>
      <c r="M1154" s="67"/>
      <c r="N1154" s="67"/>
      <c r="O1154" s="64"/>
      <c r="P1154" s="72" t="str">
        <f aca="false">IF(OR(B1154="",C1154=""),"",C1154&amp;"|"&amp;(YEAR(B1154)*100+MONTH(B1154)))</f>
        <v/>
      </c>
      <c r="Q1154" s="70" t="str">
        <f aca="false">IF(P1154="","",IF(COUNTIF(N_CLAVE,P1154)&gt;1,"⚠ Duplicado","OK"))</f>
        <v/>
      </c>
      <c r="R1154" s="74" t="str">
        <f aca="false">IF(OR(P1154="",U1154=""),"",MAX(0,U1154-N(E1154)-N(F1154)-N(H1154)))</f>
        <v/>
      </c>
      <c r="S1154" s="75" t="str">
        <f aca="false">IF(P1154="","",IFERROR(INDEX(T_INGRESO,MATCH(C1154,T_ID,0)),""))</f>
        <v/>
      </c>
      <c r="T1154" s="75" t="str">
        <f aca="false">IF(P1154="","",IFERROR(N(INDEX(T_EGRESO,MATCH(C1154,T_ID,0))),0))</f>
        <v/>
      </c>
      <c r="U1154" s="73" t="str">
        <f aca="false">IF(OR(P1154="",NOT(ISNUMBER(S1154))),"",IF(OR(S1154&gt;EOMONTH(B1154,0),AND(T1154&gt;0,T1154&lt;B1154)),0,IF(AND(S1154&lt;=B1154,OR(T1154=0,T1154&gt;=EOMONTH(B1154,0))),30,MIN(30,IF(T1154=0,EOMONTH(B1154,0),MIN(T1154,EOMONTH(B1154,0)))-MAX(B1154,S1154)+1))))</f>
        <v/>
      </c>
    </row>
    <row r="1155" customFormat="false" ht="15" hidden="false" customHeight="false" outlineLevel="0" collapsed="false">
      <c r="B1155" s="78"/>
      <c r="C1155" s="64"/>
      <c r="D1155" s="70" t="str">
        <f aca="false">IF(C1155="","",IFERROR(INDEX(T_NOMBRE,MATCH(C1155,T_ID,0)),"⚠ ID no existe"))</f>
        <v/>
      </c>
      <c r="E1155" s="69"/>
      <c r="F1155" s="69"/>
      <c r="G1155" s="69"/>
      <c r="H1155" s="69"/>
      <c r="I1155" s="66"/>
      <c r="J1155" s="69"/>
      <c r="K1155" s="67"/>
      <c r="L1155" s="67"/>
      <c r="M1155" s="67"/>
      <c r="N1155" s="67"/>
      <c r="O1155" s="64"/>
      <c r="P1155" s="72" t="str">
        <f aca="false">IF(OR(B1155="",C1155=""),"",C1155&amp;"|"&amp;(YEAR(B1155)*100+MONTH(B1155)))</f>
        <v/>
      </c>
      <c r="Q1155" s="70" t="str">
        <f aca="false">IF(P1155="","",IF(COUNTIF(N_CLAVE,P1155)&gt;1,"⚠ Duplicado","OK"))</f>
        <v/>
      </c>
      <c r="R1155" s="74" t="str">
        <f aca="false">IF(OR(P1155="",U1155=""),"",MAX(0,U1155-N(E1155)-N(F1155)-N(H1155)))</f>
        <v/>
      </c>
      <c r="S1155" s="75" t="str">
        <f aca="false">IF(P1155="","",IFERROR(INDEX(T_INGRESO,MATCH(C1155,T_ID,0)),""))</f>
        <v/>
      </c>
      <c r="T1155" s="75" t="str">
        <f aca="false">IF(P1155="","",IFERROR(N(INDEX(T_EGRESO,MATCH(C1155,T_ID,0))),0))</f>
        <v/>
      </c>
      <c r="U1155" s="73" t="str">
        <f aca="false">IF(OR(P1155="",NOT(ISNUMBER(S1155))),"",IF(OR(S1155&gt;EOMONTH(B1155,0),AND(T1155&gt;0,T1155&lt;B1155)),0,IF(AND(S1155&lt;=B1155,OR(T1155=0,T1155&gt;=EOMONTH(B1155,0))),30,MIN(30,IF(T1155=0,EOMONTH(B1155,0),MIN(T1155,EOMONTH(B1155,0)))-MAX(B1155,S1155)+1))))</f>
        <v/>
      </c>
    </row>
    <row r="1156" customFormat="false" ht="15" hidden="false" customHeight="false" outlineLevel="0" collapsed="false">
      <c r="B1156" s="78"/>
      <c r="C1156" s="64"/>
      <c r="D1156" s="70" t="str">
        <f aca="false">IF(C1156="","",IFERROR(INDEX(T_NOMBRE,MATCH(C1156,T_ID,0)),"⚠ ID no existe"))</f>
        <v/>
      </c>
      <c r="E1156" s="69"/>
      <c r="F1156" s="69"/>
      <c r="G1156" s="69"/>
      <c r="H1156" s="69"/>
      <c r="I1156" s="66"/>
      <c r="J1156" s="69"/>
      <c r="K1156" s="67"/>
      <c r="L1156" s="67"/>
      <c r="M1156" s="67"/>
      <c r="N1156" s="67"/>
      <c r="O1156" s="64"/>
      <c r="P1156" s="72" t="str">
        <f aca="false">IF(OR(B1156="",C1156=""),"",C1156&amp;"|"&amp;(YEAR(B1156)*100+MONTH(B1156)))</f>
        <v/>
      </c>
      <c r="Q1156" s="70" t="str">
        <f aca="false">IF(P1156="","",IF(COUNTIF(N_CLAVE,P1156)&gt;1,"⚠ Duplicado","OK"))</f>
        <v/>
      </c>
      <c r="R1156" s="74" t="str">
        <f aca="false">IF(OR(P1156="",U1156=""),"",MAX(0,U1156-N(E1156)-N(F1156)-N(H1156)))</f>
        <v/>
      </c>
      <c r="S1156" s="75" t="str">
        <f aca="false">IF(P1156="","",IFERROR(INDEX(T_INGRESO,MATCH(C1156,T_ID,0)),""))</f>
        <v/>
      </c>
      <c r="T1156" s="75" t="str">
        <f aca="false">IF(P1156="","",IFERROR(N(INDEX(T_EGRESO,MATCH(C1156,T_ID,0))),0))</f>
        <v/>
      </c>
      <c r="U1156" s="73" t="str">
        <f aca="false">IF(OR(P1156="",NOT(ISNUMBER(S1156))),"",IF(OR(S1156&gt;EOMONTH(B1156,0),AND(T1156&gt;0,T1156&lt;B1156)),0,IF(AND(S1156&lt;=B1156,OR(T1156=0,T1156&gt;=EOMONTH(B1156,0))),30,MIN(30,IF(T1156=0,EOMONTH(B1156,0),MIN(T1156,EOMONTH(B1156,0)))-MAX(B1156,S1156)+1))))</f>
        <v/>
      </c>
    </row>
    <row r="1157" customFormat="false" ht="15" hidden="false" customHeight="false" outlineLevel="0" collapsed="false">
      <c r="B1157" s="78"/>
      <c r="C1157" s="64"/>
      <c r="D1157" s="70" t="str">
        <f aca="false">IF(C1157="","",IFERROR(INDEX(T_NOMBRE,MATCH(C1157,T_ID,0)),"⚠ ID no existe"))</f>
        <v/>
      </c>
      <c r="E1157" s="69"/>
      <c r="F1157" s="69"/>
      <c r="G1157" s="69"/>
      <c r="H1157" s="69"/>
      <c r="I1157" s="66"/>
      <c r="J1157" s="69"/>
      <c r="K1157" s="67"/>
      <c r="L1157" s="67"/>
      <c r="M1157" s="67"/>
      <c r="N1157" s="67"/>
      <c r="O1157" s="64"/>
      <c r="P1157" s="72" t="str">
        <f aca="false">IF(OR(B1157="",C1157=""),"",C1157&amp;"|"&amp;(YEAR(B1157)*100+MONTH(B1157)))</f>
        <v/>
      </c>
      <c r="Q1157" s="70" t="str">
        <f aca="false">IF(P1157="","",IF(COUNTIF(N_CLAVE,P1157)&gt;1,"⚠ Duplicado","OK"))</f>
        <v/>
      </c>
      <c r="R1157" s="74" t="str">
        <f aca="false">IF(OR(P1157="",U1157=""),"",MAX(0,U1157-N(E1157)-N(F1157)-N(H1157)))</f>
        <v/>
      </c>
      <c r="S1157" s="75" t="str">
        <f aca="false">IF(P1157="","",IFERROR(INDEX(T_INGRESO,MATCH(C1157,T_ID,0)),""))</f>
        <v/>
      </c>
      <c r="T1157" s="75" t="str">
        <f aca="false">IF(P1157="","",IFERROR(N(INDEX(T_EGRESO,MATCH(C1157,T_ID,0))),0))</f>
        <v/>
      </c>
      <c r="U1157" s="73" t="str">
        <f aca="false">IF(OR(P1157="",NOT(ISNUMBER(S1157))),"",IF(OR(S1157&gt;EOMONTH(B1157,0),AND(T1157&gt;0,T1157&lt;B1157)),0,IF(AND(S1157&lt;=B1157,OR(T1157=0,T1157&gt;=EOMONTH(B1157,0))),30,MIN(30,IF(T1157=0,EOMONTH(B1157,0),MIN(T1157,EOMONTH(B1157,0)))-MAX(B1157,S1157)+1))))</f>
        <v/>
      </c>
    </row>
    <row r="1158" customFormat="false" ht="15" hidden="false" customHeight="false" outlineLevel="0" collapsed="false">
      <c r="B1158" s="78"/>
      <c r="C1158" s="64"/>
      <c r="D1158" s="70" t="str">
        <f aca="false">IF(C1158="","",IFERROR(INDEX(T_NOMBRE,MATCH(C1158,T_ID,0)),"⚠ ID no existe"))</f>
        <v/>
      </c>
      <c r="E1158" s="69"/>
      <c r="F1158" s="69"/>
      <c r="G1158" s="69"/>
      <c r="H1158" s="69"/>
      <c r="I1158" s="66"/>
      <c r="J1158" s="69"/>
      <c r="K1158" s="67"/>
      <c r="L1158" s="67"/>
      <c r="M1158" s="67"/>
      <c r="N1158" s="67"/>
      <c r="O1158" s="64"/>
      <c r="P1158" s="72" t="str">
        <f aca="false">IF(OR(B1158="",C1158=""),"",C1158&amp;"|"&amp;(YEAR(B1158)*100+MONTH(B1158)))</f>
        <v/>
      </c>
      <c r="Q1158" s="70" t="str">
        <f aca="false">IF(P1158="","",IF(COUNTIF(N_CLAVE,P1158)&gt;1,"⚠ Duplicado","OK"))</f>
        <v/>
      </c>
      <c r="R1158" s="74" t="str">
        <f aca="false">IF(OR(P1158="",U1158=""),"",MAX(0,U1158-N(E1158)-N(F1158)-N(H1158)))</f>
        <v/>
      </c>
      <c r="S1158" s="75" t="str">
        <f aca="false">IF(P1158="","",IFERROR(INDEX(T_INGRESO,MATCH(C1158,T_ID,0)),""))</f>
        <v/>
      </c>
      <c r="T1158" s="75" t="str">
        <f aca="false">IF(P1158="","",IFERROR(N(INDEX(T_EGRESO,MATCH(C1158,T_ID,0))),0))</f>
        <v/>
      </c>
      <c r="U1158" s="73" t="str">
        <f aca="false">IF(OR(P1158="",NOT(ISNUMBER(S1158))),"",IF(OR(S1158&gt;EOMONTH(B1158,0),AND(T1158&gt;0,T1158&lt;B1158)),0,IF(AND(S1158&lt;=B1158,OR(T1158=0,T1158&gt;=EOMONTH(B1158,0))),30,MIN(30,IF(T1158=0,EOMONTH(B1158,0),MIN(T1158,EOMONTH(B1158,0)))-MAX(B1158,S1158)+1))))</f>
        <v/>
      </c>
    </row>
    <row r="1159" customFormat="false" ht="15" hidden="false" customHeight="false" outlineLevel="0" collapsed="false">
      <c r="B1159" s="78"/>
      <c r="C1159" s="64"/>
      <c r="D1159" s="70" t="str">
        <f aca="false">IF(C1159="","",IFERROR(INDEX(T_NOMBRE,MATCH(C1159,T_ID,0)),"⚠ ID no existe"))</f>
        <v/>
      </c>
      <c r="E1159" s="69"/>
      <c r="F1159" s="69"/>
      <c r="G1159" s="69"/>
      <c r="H1159" s="69"/>
      <c r="I1159" s="66"/>
      <c r="J1159" s="69"/>
      <c r="K1159" s="67"/>
      <c r="L1159" s="67"/>
      <c r="M1159" s="67"/>
      <c r="N1159" s="67"/>
      <c r="O1159" s="64"/>
      <c r="P1159" s="72" t="str">
        <f aca="false">IF(OR(B1159="",C1159=""),"",C1159&amp;"|"&amp;(YEAR(B1159)*100+MONTH(B1159)))</f>
        <v/>
      </c>
      <c r="Q1159" s="70" t="str">
        <f aca="false">IF(P1159="","",IF(COUNTIF(N_CLAVE,P1159)&gt;1,"⚠ Duplicado","OK"))</f>
        <v/>
      </c>
      <c r="R1159" s="74" t="str">
        <f aca="false">IF(OR(P1159="",U1159=""),"",MAX(0,U1159-N(E1159)-N(F1159)-N(H1159)))</f>
        <v/>
      </c>
      <c r="S1159" s="75" t="str">
        <f aca="false">IF(P1159="","",IFERROR(INDEX(T_INGRESO,MATCH(C1159,T_ID,0)),""))</f>
        <v/>
      </c>
      <c r="T1159" s="75" t="str">
        <f aca="false">IF(P1159="","",IFERROR(N(INDEX(T_EGRESO,MATCH(C1159,T_ID,0))),0))</f>
        <v/>
      </c>
      <c r="U1159" s="73" t="str">
        <f aca="false">IF(OR(P1159="",NOT(ISNUMBER(S1159))),"",IF(OR(S1159&gt;EOMONTH(B1159,0),AND(T1159&gt;0,T1159&lt;B1159)),0,IF(AND(S1159&lt;=B1159,OR(T1159=0,T1159&gt;=EOMONTH(B1159,0))),30,MIN(30,IF(T1159=0,EOMONTH(B1159,0),MIN(T1159,EOMONTH(B1159,0)))-MAX(B1159,S1159)+1))))</f>
        <v/>
      </c>
    </row>
    <row r="1160" customFormat="false" ht="15" hidden="false" customHeight="false" outlineLevel="0" collapsed="false">
      <c r="B1160" s="78"/>
      <c r="C1160" s="64"/>
      <c r="D1160" s="70" t="str">
        <f aca="false">IF(C1160="","",IFERROR(INDEX(T_NOMBRE,MATCH(C1160,T_ID,0)),"⚠ ID no existe"))</f>
        <v/>
      </c>
      <c r="E1160" s="69"/>
      <c r="F1160" s="69"/>
      <c r="G1160" s="69"/>
      <c r="H1160" s="69"/>
      <c r="I1160" s="66"/>
      <c r="J1160" s="69"/>
      <c r="K1160" s="67"/>
      <c r="L1160" s="67"/>
      <c r="M1160" s="67"/>
      <c r="N1160" s="67"/>
      <c r="O1160" s="64"/>
      <c r="P1160" s="72" t="str">
        <f aca="false">IF(OR(B1160="",C1160=""),"",C1160&amp;"|"&amp;(YEAR(B1160)*100+MONTH(B1160)))</f>
        <v/>
      </c>
      <c r="Q1160" s="70" t="str">
        <f aca="false">IF(P1160="","",IF(COUNTIF(N_CLAVE,P1160)&gt;1,"⚠ Duplicado","OK"))</f>
        <v/>
      </c>
      <c r="R1160" s="74" t="str">
        <f aca="false">IF(OR(P1160="",U1160=""),"",MAX(0,U1160-N(E1160)-N(F1160)-N(H1160)))</f>
        <v/>
      </c>
      <c r="S1160" s="75" t="str">
        <f aca="false">IF(P1160="","",IFERROR(INDEX(T_INGRESO,MATCH(C1160,T_ID,0)),""))</f>
        <v/>
      </c>
      <c r="T1160" s="75" t="str">
        <f aca="false">IF(P1160="","",IFERROR(N(INDEX(T_EGRESO,MATCH(C1160,T_ID,0))),0))</f>
        <v/>
      </c>
      <c r="U1160" s="73" t="str">
        <f aca="false">IF(OR(P1160="",NOT(ISNUMBER(S1160))),"",IF(OR(S1160&gt;EOMONTH(B1160,0),AND(T1160&gt;0,T1160&lt;B1160)),0,IF(AND(S1160&lt;=B1160,OR(T1160=0,T1160&gt;=EOMONTH(B1160,0))),30,MIN(30,IF(T1160=0,EOMONTH(B1160,0),MIN(T1160,EOMONTH(B1160,0)))-MAX(B1160,S1160)+1))))</f>
        <v/>
      </c>
    </row>
    <row r="1161" customFormat="false" ht="15" hidden="false" customHeight="false" outlineLevel="0" collapsed="false">
      <c r="B1161" s="78"/>
      <c r="C1161" s="64"/>
      <c r="D1161" s="70" t="str">
        <f aca="false">IF(C1161="","",IFERROR(INDEX(T_NOMBRE,MATCH(C1161,T_ID,0)),"⚠ ID no existe"))</f>
        <v/>
      </c>
      <c r="E1161" s="69"/>
      <c r="F1161" s="69"/>
      <c r="G1161" s="69"/>
      <c r="H1161" s="69"/>
      <c r="I1161" s="66"/>
      <c r="J1161" s="69"/>
      <c r="K1161" s="67"/>
      <c r="L1161" s="67"/>
      <c r="M1161" s="67"/>
      <c r="N1161" s="67"/>
      <c r="O1161" s="64"/>
      <c r="P1161" s="72" t="str">
        <f aca="false">IF(OR(B1161="",C1161=""),"",C1161&amp;"|"&amp;(YEAR(B1161)*100+MONTH(B1161)))</f>
        <v/>
      </c>
      <c r="Q1161" s="70" t="str">
        <f aca="false">IF(P1161="","",IF(COUNTIF(N_CLAVE,P1161)&gt;1,"⚠ Duplicado","OK"))</f>
        <v/>
      </c>
      <c r="R1161" s="74" t="str">
        <f aca="false">IF(OR(P1161="",U1161=""),"",MAX(0,U1161-N(E1161)-N(F1161)-N(H1161)))</f>
        <v/>
      </c>
      <c r="S1161" s="75" t="str">
        <f aca="false">IF(P1161="","",IFERROR(INDEX(T_INGRESO,MATCH(C1161,T_ID,0)),""))</f>
        <v/>
      </c>
      <c r="T1161" s="75" t="str">
        <f aca="false">IF(P1161="","",IFERROR(N(INDEX(T_EGRESO,MATCH(C1161,T_ID,0))),0))</f>
        <v/>
      </c>
      <c r="U1161" s="73" t="str">
        <f aca="false">IF(OR(P1161="",NOT(ISNUMBER(S1161))),"",IF(OR(S1161&gt;EOMONTH(B1161,0),AND(T1161&gt;0,T1161&lt;B1161)),0,IF(AND(S1161&lt;=B1161,OR(T1161=0,T1161&gt;=EOMONTH(B1161,0))),30,MIN(30,IF(T1161=0,EOMONTH(B1161,0),MIN(T1161,EOMONTH(B1161,0)))-MAX(B1161,S1161)+1))))</f>
        <v/>
      </c>
    </row>
    <row r="1162" customFormat="false" ht="15" hidden="false" customHeight="false" outlineLevel="0" collapsed="false">
      <c r="B1162" s="78"/>
      <c r="C1162" s="64"/>
      <c r="D1162" s="70" t="str">
        <f aca="false">IF(C1162="","",IFERROR(INDEX(T_NOMBRE,MATCH(C1162,T_ID,0)),"⚠ ID no existe"))</f>
        <v/>
      </c>
      <c r="E1162" s="69"/>
      <c r="F1162" s="69"/>
      <c r="G1162" s="69"/>
      <c r="H1162" s="69"/>
      <c r="I1162" s="66"/>
      <c r="J1162" s="69"/>
      <c r="K1162" s="67"/>
      <c r="L1162" s="67"/>
      <c r="M1162" s="67"/>
      <c r="N1162" s="67"/>
      <c r="O1162" s="64"/>
      <c r="P1162" s="72" t="str">
        <f aca="false">IF(OR(B1162="",C1162=""),"",C1162&amp;"|"&amp;(YEAR(B1162)*100+MONTH(B1162)))</f>
        <v/>
      </c>
      <c r="Q1162" s="70" t="str">
        <f aca="false">IF(P1162="","",IF(COUNTIF(N_CLAVE,P1162)&gt;1,"⚠ Duplicado","OK"))</f>
        <v/>
      </c>
      <c r="R1162" s="74" t="str">
        <f aca="false">IF(OR(P1162="",U1162=""),"",MAX(0,U1162-N(E1162)-N(F1162)-N(H1162)))</f>
        <v/>
      </c>
      <c r="S1162" s="75" t="str">
        <f aca="false">IF(P1162="","",IFERROR(INDEX(T_INGRESO,MATCH(C1162,T_ID,0)),""))</f>
        <v/>
      </c>
      <c r="T1162" s="75" t="str">
        <f aca="false">IF(P1162="","",IFERROR(N(INDEX(T_EGRESO,MATCH(C1162,T_ID,0))),0))</f>
        <v/>
      </c>
      <c r="U1162" s="73" t="str">
        <f aca="false">IF(OR(P1162="",NOT(ISNUMBER(S1162))),"",IF(OR(S1162&gt;EOMONTH(B1162,0),AND(T1162&gt;0,T1162&lt;B1162)),0,IF(AND(S1162&lt;=B1162,OR(T1162=0,T1162&gt;=EOMONTH(B1162,0))),30,MIN(30,IF(T1162=0,EOMONTH(B1162,0),MIN(T1162,EOMONTH(B1162,0)))-MAX(B1162,S1162)+1))))</f>
        <v/>
      </c>
    </row>
    <row r="1163" customFormat="false" ht="15" hidden="false" customHeight="false" outlineLevel="0" collapsed="false">
      <c r="B1163" s="78"/>
      <c r="C1163" s="64"/>
      <c r="D1163" s="70" t="str">
        <f aca="false">IF(C1163="","",IFERROR(INDEX(T_NOMBRE,MATCH(C1163,T_ID,0)),"⚠ ID no existe"))</f>
        <v/>
      </c>
      <c r="E1163" s="69"/>
      <c r="F1163" s="69"/>
      <c r="G1163" s="69"/>
      <c r="H1163" s="69"/>
      <c r="I1163" s="66"/>
      <c r="J1163" s="69"/>
      <c r="K1163" s="67"/>
      <c r="L1163" s="67"/>
      <c r="M1163" s="67"/>
      <c r="N1163" s="67"/>
      <c r="O1163" s="64"/>
      <c r="P1163" s="72" t="str">
        <f aca="false">IF(OR(B1163="",C1163=""),"",C1163&amp;"|"&amp;(YEAR(B1163)*100+MONTH(B1163)))</f>
        <v/>
      </c>
      <c r="Q1163" s="70" t="str">
        <f aca="false">IF(P1163="","",IF(COUNTIF(N_CLAVE,P1163)&gt;1,"⚠ Duplicado","OK"))</f>
        <v/>
      </c>
      <c r="R1163" s="74" t="str">
        <f aca="false">IF(OR(P1163="",U1163=""),"",MAX(0,U1163-N(E1163)-N(F1163)-N(H1163)))</f>
        <v/>
      </c>
      <c r="S1163" s="75" t="str">
        <f aca="false">IF(P1163="","",IFERROR(INDEX(T_INGRESO,MATCH(C1163,T_ID,0)),""))</f>
        <v/>
      </c>
      <c r="T1163" s="75" t="str">
        <f aca="false">IF(P1163="","",IFERROR(N(INDEX(T_EGRESO,MATCH(C1163,T_ID,0))),0))</f>
        <v/>
      </c>
      <c r="U1163" s="73" t="str">
        <f aca="false">IF(OR(P1163="",NOT(ISNUMBER(S1163))),"",IF(OR(S1163&gt;EOMONTH(B1163,0),AND(T1163&gt;0,T1163&lt;B1163)),0,IF(AND(S1163&lt;=B1163,OR(T1163=0,T1163&gt;=EOMONTH(B1163,0))),30,MIN(30,IF(T1163=0,EOMONTH(B1163,0),MIN(T1163,EOMONTH(B1163,0)))-MAX(B1163,S1163)+1))))</f>
        <v/>
      </c>
    </row>
    <row r="1164" customFormat="false" ht="15" hidden="false" customHeight="false" outlineLevel="0" collapsed="false">
      <c r="B1164" s="78"/>
      <c r="C1164" s="64"/>
      <c r="D1164" s="70" t="str">
        <f aca="false">IF(C1164="","",IFERROR(INDEX(T_NOMBRE,MATCH(C1164,T_ID,0)),"⚠ ID no existe"))</f>
        <v/>
      </c>
      <c r="E1164" s="69"/>
      <c r="F1164" s="69"/>
      <c r="G1164" s="69"/>
      <c r="H1164" s="69"/>
      <c r="I1164" s="66"/>
      <c r="J1164" s="69"/>
      <c r="K1164" s="67"/>
      <c r="L1164" s="67"/>
      <c r="M1164" s="67"/>
      <c r="N1164" s="67"/>
      <c r="O1164" s="64"/>
      <c r="P1164" s="72" t="str">
        <f aca="false">IF(OR(B1164="",C1164=""),"",C1164&amp;"|"&amp;(YEAR(B1164)*100+MONTH(B1164)))</f>
        <v/>
      </c>
      <c r="Q1164" s="70" t="str">
        <f aca="false">IF(P1164="","",IF(COUNTIF(N_CLAVE,P1164)&gt;1,"⚠ Duplicado","OK"))</f>
        <v/>
      </c>
      <c r="R1164" s="74" t="str">
        <f aca="false">IF(OR(P1164="",U1164=""),"",MAX(0,U1164-N(E1164)-N(F1164)-N(H1164)))</f>
        <v/>
      </c>
      <c r="S1164" s="75" t="str">
        <f aca="false">IF(P1164="","",IFERROR(INDEX(T_INGRESO,MATCH(C1164,T_ID,0)),""))</f>
        <v/>
      </c>
      <c r="T1164" s="75" t="str">
        <f aca="false">IF(P1164="","",IFERROR(N(INDEX(T_EGRESO,MATCH(C1164,T_ID,0))),0))</f>
        <v/>
      </c>
      <c r="U1164" s="73" t="str">
        <f aca="false">IF(OR(P1164="",NOT(ISNUMBER(S1164))),"",IF(OR(S1164&gt;EOMONTH(B1164,0),AND(T1164&gt;0,T1164&lt;B1164)),0,IF(AND(S1164&lt;=B1164,OR(T1164=0,T1164&gt;=EOMONTH(B1164,0))),30,MIN(30,IF(T1164=0,EOMONTH(B1164,0),MIN(T1164,EOMONTH(B1164,0)))-MAX(B1164,S1164)+1))))</f>
        <v/>
      </c>
    </row>
    <row r="1165" customFormat="false" ht="15" hidden="false" customHeight="false" outlineLevel="0" collapsed="false">
      <c r="B1165" s="78"/>
      <c r="C1165" s="64"/>
      <c r="D1165" s="70" t="str">
        <f aca="false">IF(C1165="","",IFERROR(INDEX(T_NOMBRE,MATCH(C1165,T_ID,0)),"⚠ ID no existe"))</f>
        <v/>
      </c>
      <c r="E1165" s="69"/>
      <c r="F1165" s="69"/>
      <c r="G1165" s="69"/>
      <c r="H1165" s="69"/>
      <c r="I1165" s="66"/>
      <c r="J1165" s="69"/>
      <c r="K1165" s="67"/>
      <c r="L1165" s="67"/>
      <c r="M1165" s="67"/>
      <c r="N1165" s="67"/>
      <c r="O1165" s="64"/>
      <c r="P1165" s="72" t="str">
        <f aca="false">IF(OR(B1165="",C1165=""),"",C1165&amp;"|"&amp;(YEAR(B1165)*100+MONTH(B1165)))</f>
        <v/>
      </c>
      <c r="Q1165" s="70" t="str">
        <f aca="false">IF(P1165="","",IF(COUNTIF(N_CLAVE,P1165)&gt;1,"⚠ Duplicado","OK"))</f>
        <v/>
      </c>
      <c r="R1165" s="74" t="str">
        <f aca="false">IF(OR(P1165="",U1165=""),"",MAX(0,U1165-N(E1165)-N(F1165)-N(H1165)))</f>
        <v/>
      </c>
      <c r="S1165" s="75" t="str">
        <f aca="false">IF(P1165="","",IFERROR(INDEX(T_INGRESO,MATCH(C1165,T_ID,0)),""))</f>
        <v/>
      </c>
      <c r="T1165" s="75" t="str">
        <f aca="false">IF(P1165="","",IFERROR(N(INDEX(T_EGRESO,MATCH(C1165,T_ID,0))),0))</f>
        <v/>
      </c>
      <c r="U1165" s="73" t="str">
        <f aca="false">IF(OR(P1165="",NOT(ISNUMBER(S1165))),"",IF(OR(S1165&gt;EOMONTH(B1165,0),AND(T1165&gt;0,T1165&lt;B1165)),0,IF(AND(S1165&lt;=B1165,OR(T1165=0,T1165&gt;=EOMONTH(B1165,0))),30,MIN(30,IF(T1165=0,EOMONTH(B1165,0),MIN(T1165,EOMONTH(B1165,0)))-MAX(B1165,S1165)+1))))</f>
        <v/>
      </c>
    </row>
    <row r="1166" customFormat="false" ht="15" hidden="false" customHeight="false" outlineLevel="0" collapsed="false">
      <c r="B1166" s="78"/>
      <c r="C1166" s="64"/>
      <c r="D1166" s="70" t="str">
        <f aca="false">IF(C1166="","",IFERROR(INDEX(T_NOMBRE,MATCH(C1166,T_ID,0)),"⚠ ID no existe"))</f>
        <v/>
      </c>
      <c r="E1166" s="69"/>
      <c r="F1166" s="69"/>
      <c r="G1166" s="69"/>
      <c r="H1166" s="69"/>
      <c r="I1166" s="66"/>
      <c r="J1166" s="69"/>
      <c r="K1166" s="67"/>
      <c r="L1166" s="67"/>
      <c r="M1166" s="67"/>
      <c r="N1166" s="67"/>
      <c r="O1166" s="64"/>
      <c r="P1166" s="72" t="str">
        <f aca="false">IF(OR(B1166="",C1166=""),"",C1166&amp;"|"&amp;(YEAR(B1166)*100+MONTH(B1166)))</f>
        <v/>
      </c>
      <c r="Q1166" s="70" t="str">
        <f aca="false">IF(P1166="","",IF(COUNTIF(N_CLAVE,P1166)&gt;1,"⚠ Duplicado","OK"))</f>
        <v/>
      </c>
      <c r="R1166" s="74" t="str">
        <f aca="false">IF(OR(P1166="",U1166=""),"",MAX(0,U1166-N(E1166)-N(F1166)-N(H1166)))</f>
        <v/>
      </c>
      <c r="S1166" s="75" t="str">
        <f aca="false">IF(P1166="","",IFERROR(INDEX(T_INGRESO,MATCH(C1166,T_ID,0)),""))</f>
        <v/>
      </c>
      <c r="T1166" s="75" t="str">
        <f aca="false">IF(P1166="","",IFERROR(N(INDEX(T_EGRESO,MATCH(C1166,T_ID,0))),0))</f>
        <v/>
      </c>
      <c r="U1166" s="73" t="str">
        <f aca="false">IF(OR(P1166="",NOT(ISNUMBER(S1166))),"",IF(OR(S1166&gt;EOMONTH(B1166,0),AND(T1166&gt;0,T1166&lt;B1166)),0,IF(AND(S1166&lt;=B1166,OR(T1166=0,T1166&gt;=EOMONTH(B1166,0))),30,MIN(30,IF(T1166=0,EOMONTH(B1166,0),MIN(T1166,EOMONTH(B1166,0)))-MAX(B1166,S1166)+1))))</f>
        <v/>
      </c>
    </row>
    <row r="1167" customFormat="false" ht="15" hidden="false" customHeight="false" outlineLevel="0" collapsed="false">
      <c r="B1167" s="78"/>
      <c r="C1167" s="64"/>
      <c r="D1167" s="70" t="str">
        <f aca="false">IF(C1167="","",IFERROR(INDEX(T_NOMBRE,MATCH(C1167,T_ID,0)),"⚠ ID no existe"))</f>
        <v/>
      </c>
      <c r="E1167" s="69"/>
      <c r="F1167" s="69"/>
      <c r="G1167" s="69"/>
      <c r="H1167" s="69"/>
      <c r="I1167" s="66"/>
      <c r="J1167" s="69"/>
      <c r="K1167" s="67"/>
      <c r="L1167" s="67"/>
      <c r="M1167" s="67"/>
      <c r="N1167" s="67"/>
      <c r="O1167" s="64"/>
      <c r="P1167" s="72" t="str">
        <f aca="false">IF(OR(B1167="",C1167=""),"",C1167&amp;"|"&amp;(YEAR(B1167)*100+MONTH(B1167)))</f>
        <v/>
      </c>
      <c r="Q1167" s="70" t="str">
        <f aca="false">IF(P1167="","",IF(COUNTIF(N_CLAVE,P1167)&gt;1,"⚠ Duplicado","OK"))</f>
        <v/>
      </c>
      <c r="R1167" s="74" t="str">
        <f aca="false">IF(OR(P1167="",U1167=""),"",MAX(0,U1167-N(E1167)-N(F1167)-N(H1167)))</f>
        <v/>
      </c>
      <c r="S1167" s="75" t="str">
        <f aca="false">IF(P1167="","",IFERROR(INDEX(T_INGRESO,MATCH(C1167,T_ID,0)),""))</f>
        <v/>
      </c>
      <c r="T1167" s="75" t="str">
        <f aca="false">IF(P1167="","",IFERROR(N(INDEX(T_EGRESO,MATCH(C1167,T_ID,0))),0))</f>
        <v/>
      </c>
      <c r="U1167" s="73" t="str">
        <f aca="false">IF(OR(P1167="",NOT(ISNUMBER(S1167))),"",IF(OR(S1167&gt;EOMONTH(B1167,0),AND(T1167&gt;0,T1167&lt;B1167)),0,IF(AND(S1167&lt;=B1167,OR(T1167=0,T1167&gt;=EOMONTH(B1167,0))),30,MIN(30,IF(T1167=0,EOMONTH(B1167,0),MIN(T1167,EOMONTH(B1167,0)))-MAX(B1167,S1167)+1))))</f>
        <v/>
      </c>
    </row>
    <row r="1168" customFormat="false" ht="15" hidden="false" customHeight="false" outlineLevel="0" collapsed="false">
      <c r="B1168" s="78"/>
      <c r="C1168" s="64"/>
      <c r="D1168" s="70" t="str">
        <f aca="false">IF(C1168="","",IFERROR(INDEX(T_NOMBRE,MATCH(C1168,T_ID,0)),"⚠ ID no existe"))</f>
        <v/>
      </c>
      <c r="E1168" s="69"/>
      <c r="F1168" s="69"/>
      <c r="G1168" s="69"/>
      <c r="H1168" s="69"/>
      <c r="I1168" s="66"/>
      <c r="J1168" s="69"/>
      <c r="K1168" s="67"/>
      <c r="L1168" s="67"/>
      <c r="M1168" s="67"/>
      <c r="N1168" s="67"/>
      <c r="O1168" s="64"/>
      <c r="P1168" s="72" t="str">
        <f aca="false">IF(OR(B1168="",C1168=""),"",C1168&amp;"|"&amp;(YEAR(B1168)*100+MONTH(B1168)))</f>
        <v/>
      </c>
      <c r="Q1168" s="70" t="str">
        <f aca="false">IF(P1168="","",IF(COUNTIF(N_CLAVE,P1168)&gt;1,"⚠ Duplicado","OK"))</f>
        <v/>
      </c>
      <c r="R1168" s="74" t="str">
        <f aca="false">IF(OR(P1168="",U1168=""),"",MAX(0,U1168-N(E1168)-N(F1168)-N(H1168)))</f>
        <v/>
      </c>
      <c r="S1168" s="75" t="str">
        <f aca="false">IF(P1168="","",IFERROR(INDEX(T_INGRESO,MATCH(C1168,T_ID,0)),""))</f>
        <v/>
      </c>
      <c r="T1168" s="75" t="str">
        <f aca="false">IF(P1168="","",IFERROR(N(INDEX(T_EGRESO,MATCH(C1168,T_ID,0))),0))</f>
        <v/>
      </c>
      <c r="U1168" s="73" t="str">
        <f aca="false">IF(OR(P1168="",NOT(ISNUMBER(S1168))),"",IF(OR(S1168&gt;EOMONTH(B1168,0),AND(T1168&gt;0,T1168&lt;B1168)),0,IF(AND(S1168&lt;=B1168,OR(T1168=0,T1168&gt;=EOMONTH(B1168,0))),30,MIN(30,IF(T1168=0,EOMONTH(B1168,0),MIN(T1168,EOMONTH(B1168,0)))-MAX(B1168,S1168)+1))))</f>
        <v/>
      </c>
    </row>
    <row r="1169" customFormat="false" ht="15" hidden="false" customHeight="false" outlineLevel="0" collapsed="false">
      <c r="B1169" s="78"/>
      <c r="C1169" s="64"/>
      <c r="D1169" s="70" t="str">
        <f aca="false">IF(C1169="","",IFERROR(INDEX(T_NOMBRE,MATCH(C1169,T_ID,0)),"⚠ ID no existe"))</f>
        <v/>
      </c>
      <c r="E1169" s="69"/>
      <c r="F1169" s="69"/>
      <c r="G1169" s="69"/>
      <c r="H1169" s="69"/>
      <c r="I1169" s="66"/>
      <c r="J1169" s="69"/>
      <c r="K1169" s="67"/>
      <c r="L1169" s="67"/>
      <c r="M1169" s="67"/>
      <c r="N1169" s="67"/>
      <c r="O1169" s="64"/>
      <c r="P1169" s="72" t="str">
        <f aca="false">IF(OR(B1169="",C1169=""),"",C1169&amp;"|"&amp;(YEAR(B1169)*100+MONTH(B1169)))</f>
        <v/>
      </c>
      <c r="Q1169" s="70" t="str">
        <f aca="false">IF(P1169="","",IF(COUNTIF(N_CLAVE,P1169)&gt;1,"⚠ Duplicado","OK"))</f>
        <v/>
      </c>
      <c r="R1169" s="74" t="str">
        <f aca="false">IF(OR(P1169="",U1169=""),"",MAX(0,U1169-N(E1169)-N(F1169)-N(H1169)))</f>
        <v/>
      </c>
      <c r="S1169" s="75" t="str">
        <f aca="false">IF(P1169="","",IFERROR(INDEX(T_INGRESO,MATCH(C1169,T_ID,0)),""))</f>
        <v/>
      </c>
      <c r="T1169" s="75" t="str">
        <f aca="false">IF(P1169="","",IFERROR(N(INDEX(T_EGRESO,MATCH(C1169,T_ID,0))),0))</f>
        <v/>
      </c>
      <c r="U1169" s="73" t="str">
        <f aca="false">IF(OR(P1169="",NOT(ISNUMBER(S1169))),"",IF(OR(S1169&gt;EOMONTH(B1169,0),AND(T1169&gt;0,T1169&lt;B1169)),0,IF(AND(S1169&lt;=B1169,OR(T1169=0,T1169&gt;=EOMONTH(B1169,0))),30,MIN(30,IF(T1169=0,EOMONTH(B1169,0),MIN(T1169,EOMONTH(B1169,0)))-MAX(B1169,S1169)+1))))</f>
        <v/>
      </c>
    </row>
    <row r="1170" customFormat="false" ht="15" hidden="false" customHeight="false" outlineLevel="0" collapsed="false">
      <c r="B1170" s="78"/>
      <c r="C1170" s="64"/>
      <c r="D1170" s="70" t="str">
        <f aca="false">IF(C1170="","",IFERROR(INDEX(T_NOMBRE,MATCH(C1170,T_ID,0)),"⚠ ID no existe"))</f>
        <v/>
      </c>
      <c r="E1170" s="69"/>
      <c r="F1170" s="69"/>
      <c r="G1170" s="69"/>
      <c r="H1170" s="69"/>
      <c r="I1170" s="66"/>
      <c r="J1170" s="69"/>
      <c r="K1170" s="67"/>
      <c r="L1170" s="67"/>
      <c r="M1170" s="67"/>
      <c r="N1170" s="67"/>
      <c r="O1170" s="64"/>
      <c r="P1170" s="72" t="str">
        <f aca="false">IF(OR(B1170="",C1170=""),"",C1170&amp;"|"&amp;(YEAR(B1170)*100+MONTH(B1170)))</f>
        <v/>
      </c>
      <c r="Q1170" s="70" t="str">
        <f aca="false">IF(P1170="","",IF(COUNTIF(N_CLAVE,P1170)&gt;1,"⚠ Duplicado","OK"))</f>
        <v/>
      </c>
      <c r="R1170" s="74" t="str">
        <f aca="false">IF(OR(P1170="",U1170=""),"",MAX(0,U1170-N(E1170)-N(F1170)-N(H1170)))</f>
        <v/>
      </c>
      <c r="S1170" s="75" t="str">
        <f aca="false">IF(P1170="","",IFERROR(INDEX(T_INGRESO,MATCH(C1170,T_ID,0)),""))</f>
        <v/>
      </c>
      <c r="T1170" s="75" t="str">
        <f aca="false">IF(P1170="","",IFERROR(N(INDEX(T_EGRESO,MATCH(C1170,T_ID,0))),0))</f>
        <v/>
      </c>
      <c r="U1170" s="73" t="str">
        <f aca="false">IF(OR(P1170="",NOT(ISNUMBER(S1170))),"",IF(OR(S1170&gt;EOMONTH(B1170,0),AND(T1170&gt;0,T1170&lt;B1170)),0,IF(AND(S1170&lt;=B1170,OR(T1170=0,T1170&gt;=EOMONTH(B1170,0))),30,MIN(30,IF(T1170=0,EOMONTH(B1170,0),MIN(T1170,EOMONTH(B1170,0)))-MAX(B1170,S1170)+1))))</f>
        <v/>
      </c>
    </row>
    <row r="1171" customFormat="false" ht="15" hidden="false" customHeight="false" outlineLevel="0" collapsed="false">
      <c r="B1171" s="78"/>
      <c r="C1171" s="64"/>
      <c r="D1171" s="70" t="str">
        <f aca="false">IF(C1171="","",IFERROR(INDEX(T_NOMBRE,MATCH(C1171,T_ID,0)),"⚠ ID no existe"))</f>
        <v/>
      </c>
      <c r="E1171" s="69"/>
      <c r="F1171" s="69"/>
      <c r="G1171" s="69"/>
      <c r="H1171" s="69"/>
      <c r="I1171" s="66"/>
      <c r="J1171" s="69"/>
      <c r="K1171" s="67"/>
      <c r="L1171" s="67"/>
      <c r="M1171" s="67"/>
      <c r="N1171" s="67"/>
      <c r="O1171" s="64"/>
      <c r="P1171" s="72" t="str">
        <f aca="false">IF(OR(B1171="",C1171=""),"",C1171&amp;"|"&amp;(YEAR(B1171)*100+MONTH(B1171)))</f>
        <v/>
      </c>
      <c r="Q1171" s="70" t="str">
        <f aca="false">IF(P1171="","",IF(COUNTIF(N_CLAVE,P1171)&gt;1,"⚠ Duplicado","OK"))</f>
        <v/>
      </c>
      <c r="R1171" s="74" t="str">
        <f aca="false">IF(OR(P1171="",U1171=""),"",MAX(0,U1171-N(E1171)-N(F1171)-N(H1171)))</f>
        <v/>
      </c>
      <c r="S1171" s="75" t="str">
        <f aca="false">IF(P1171="","",IFERROR(INDEX(T_INGRESO,MATCH(C1171,T_ID,0)),""))</f>
        <v/>
      </c>
      <c r="T1171" s="75" t="str">
        <f aca="false">IF(P1171="","",IFERROR(N(INDEX(T_EGRESO,MATCH(C1171,T_ID,0))),0))</f>
        <v/>
      </c>
      <c r="U1171" s="73" t="str">
        <f aca="false">IF(OR(P1171="",NOT(ISNUMBER(S1171))),"",IF(OR(S1171&gt;EOMONTH(B1171,0),AND(T1171&gt;0,T1171&lt;B1171)),0,IF(AND(S1171&lt;=B1171,OR(T1171=0,T1171&gt;=EOMONTH(B1171,0))),30,MIN(30,IF(T1171=0,EOMONTH(B1171,0),MIN(T1171,EOMONTH(B1171,0)))-MAX(B1171,S1171)+1))))</f>
        <v/>
      </c>
    </row>
    <row r="1172" customFormat="false" ht="15" hidden="false" customHeight="false" outlineLevel="0" collapsed="false">
      <c r="B1172" s="78"/>
      <c r="C1172" s="64"/>
      <c r="D1172" s="70" t="str">
        <f aca="false">IF(C1172="","",IFERROR(INDEX(T_NOMBRE,MATCH(C1172,T_ID,0)),"⚠ ID no existe"))</f>
        <v/>
      </c>
      <c r="E1172" s="69"/>
      <c r="F1172" s="69"/>
      <c r="G1172" s="69"/>
      <c r="H1172" s="69"/>
      <c r="I1172" s="66"/>
      <c r="J1172" s="69"/>
      <c r="K1172" s="67"/>
      <c r="L1172" s="67"/>
      <c r="M1172" s="67"/>
      <c r="N1172" s="67"/>
      <c r="O1172" s="64"/>
      <c r="P1172" s="72" t="str">
        <f aca="false">IF(OR(B1172="",C1172=""),"",C1172&amp;"|"&amp;(YEAR(B1172)*100+MONTH(B1172)))</f>
        <v/>
      </c>
      <c r="Q1172" s="70" t="str">
        <f aca="false">IF(P1172="","",IF(COUNTIF(N_CLAVE,P1172)&gt;1,"⚠ Duplicado","OK"))</f>
        <v/>
      </c>
      <c r="R1172" s="74" t="str">
        <f aca="false">IF(OR(P1172="",U1172=""),"",MAX(0,U1172-N(E1172)-N(F1172)-N(H1172)))</f>
        <v/>
      </c>
      <c r="S1172" s="75" t="str">
        <f aca="false">IF(P1172="","",IFERROR(INDEX(T_INGRESO,MATCH(C1172,T_ID,0)),""))</f>
        <v/>
      </c>
      <c r="T1172" s="75" t="str">
        <f aca="false">IF(P1172="","",IFERROR(N(INDEX(T_EGRESO,MATCH(C1172,T_ID,0))),0))</f>
        <v/>
      </c>
      <c r="U1172" s="73" t="str">
        <f aca="false">IF(OR(P1172="",NOT(ISNUMBER(S1172))),"",IF(OR(S1172&gt;EOMONTH(B1172,0),AND(T1172&gt;0,T1172&lt;B1172)),0,IF(AND(S1172&lt;=B1172,OR(T1172=0,T1172&gt;=EOMONTH(B1172,0))),30,MIN(30,IF(T1172=0,EOMONTH(B1172,0),MIN(T1172,EOMONTH(B1172,0)))-MAX(B1172,S1172)+1))))</f>
        <v/>
      </c>
    </row>
    <row r="1173" customFormat="false" ht="15" hidden="false" customHeight="false" outlineLevel="0" collapsed="false">
      <c r="B1173" s="78"/>
      <c r="C1173" s="64"/>
      <c r="D1173" s="70" t="str">
        <f aca="false">IF(C1173="","",IFERROR(INDEX(T_NOMBRE,MATCH(C1173,T_ID,0)),"⚠ ID no existe"))</f>
        <v/>
      </c>
      <c r="E1173" s="69"/>
      <c r="F1173" s="69"/>
      <c r="G1173" s="69"/>
      <c r="H1173" s="69"/>
      <c r="I1173" s="66"/>
      <c r="J1173" s="69"/>
      <c r="K1173" s="67"/>
      <c r="L1173" s="67"/>
      <c r="M1173" s="67"/>
      <c r="N1173" s="67"/>
      <c r="O1173" s="64"/>
      <c r="P1173" s="72" t="str">
        <f aca="false">IF(OR(B1173="",C1173=""),"",C1173&amp;"|"&amp;(YEAR(B1173)*100+MONTH(B1173)))</f>
        <v/>
      </c>
      <c r="Q1173" s="70" t="str">
        <f aca="false">IF(P1173="","",IF(COUNTIF(N_CLAVE,P1173)&gt;1,"⚠ Duplicado","OK"))</f>
        <v/>
      </c>
      <c r="R1173" s="74" t="str">
        <f aca="false">IF(OR(P1173="",U1173=""),"",MAX(0,U1173-N(E1173)-N(F1173)-N(H1173)))</f>
        <v/>
      </c>
      <c r="S1173" s="75" t="str">
        <f aca="false">IF(P1173="","",IFERROR(INDEX(T_INGRESO,MATCH(C1173,T_ID,0)),""))</f>
        <v/>
      </c>
      <c r="T1173" s="75" t="str">
        <f aca="false">IF(P1173="","",IFERROR(N(INDEX(T_EGRESO,MATCH(C1173,T_ID,0))),0))</f>
        <v/>
      </c>
      <c r="U1173" s="73" t="str">
        <f aca="false">IF(OR(P1173="",NOT(ISNUMBER(S1173))),"",IF(OR(S1173&gt;EOMONTH(B1173,0),AND(T1173&gt;0,T1173&lt;B1173)),0,IF(AND(S1173&lt;=B1173,OR(T1173=0,T1173&gt;=EOMONTH(B1173,0))),30,MIN(30,IF(T1173=0,EOMONTH(B1173,0),MIN(T1173,EOMONTH(B1173,0)))-MAX(B1173,S1173)+1))))</f>
        <v/>
      </c>
    </row>
    <row r="1174" customFormat="false" ht="15" hidden="false" customHeight="false" outlineLevel="0" collapsed="false">
      <c r="B1174" s="78"/>
      <c r="C1174" s="64"/>
      <c r="D1174" s="70" t="str">
        <f aca="false">IF(C1174="","",IFERROR(INDEX(T_NOMBRE,MATCH(C1174,T_ID,0)),"⚠ ID no existe"))</f>
        <v/>
      </c>
      <c r="E1174" s="69"/>
      <c r="F1174" s="69"/>
      <c r="G1174" s="69"/>
      <c r="H1174" s="69"/>
      <c r="I1174" s="66"/>
      <c r="J1174" s="69"/>
      <c r="K1174" s="67"/>
      <c r="L1174" s="67"/>
      <c r="M1174" s="67"/>
      <c r="N1174" s="67"/>
      <c r="O1174" s="64"/>
      <c r="P1174" s="72" t="str">
        <f aca="false">IF(OR(B1174="",C1174=""),"",C1174&amp;"|"&amp;(YEAR(B1174)*100+MONTH(B1174)))</f>
        <v/>
      </c>
      <c r="Q1174" s="70" t="str">
        <f aca="false">IF(P1174="","",IF(COUNTIF(N_CLAVE,P1174)&gt;1,"⚠ Duplicado","OK"))</f>
        <v/>
      </c>
      <c r="R1174" s="74" t="str">
        <f aca="false">IF(OR(P1174="",U1174=""),"",MAX(0,U1174-N(E1174)-N(F1174)-N(H1174)))</f>
        <v/>
      </c>
      <c r="S1174" s="75" t="str">
        <f aca="false">IF(P1174="","",IFERROR(INDEX(T_INGRESO,MATCH(C1174,T_ID,0)),""))</f>
        <v/>
      </c>
      <c r="T1174" s="75" t="str">
        <f aca="false">IF(P1174="","",IFERROR(N(INDEX(T_EGRESO,MATCH(C1174,T_ID,0))),0))</f>
        <v/>
      </c>
      <c r="U1174" s="73" t="str">
        <f aca="false">IF(OR(P1174="",NOT(ISNUMBER(S1174))),"",IF(OR(S1174&gt;EOMONTH(B1174,0),AND(T1174&gt;0,T1174&lt;B1174)),0,IF(AND(S1174&lt;=B1174,OR(T1174=0,T1174&gt;=EOMONTH(B1174,0))),30,MIN(30,IF(T1174=0,EOMONTH(B1174,0),MIN(T1174,EOMONTH(B1174,0)))-MAX(B1174,S1174)+1))))</f>
        <v/>
      </c>
    </row>
    <row r="1175" customFormat="false" ht="15" hidden="false" customHeight="false" outlineLevel="0" collapsed="false">
      <c r="B1175" s="78"/>
      <c r="C1175" s="64"/>
      <c r="D1175" s="70" t="str">
        <f aca="false">IF(C1175="","",IFERROR(INDEX(T_NOMBRE,MATCH(C1175,T_ID,0)),"⚠ ID no existe"))</f>
        <v/>
      </c>
      <c r="E1175" s="69"/>
      <c r="F1175" s="69"/>
      <c r="G1175" s="69"/>
      <c r="H1175" s="69"/>
      <c r="I1175" s="66"/>
      <c r="J1175" s="69"/>
      <c r="K1175" s="67"/>
      <c r="L1175" s="67"/>
      <c r="M1175" s="67"/>
      <c r="N1175" s="67"/>
      <c r="O1175" s="64"/>
      <c r="P1175" s="72" t="str">
        <f aca="false">IF(OR(B1175="",C1175=""),"",C1175&amp;"|"&amp;(YEAR(B1175)*100+MONTH(B1175)))</f>
        <v/>
      </c>
      <c r="Q1175" s="70" t="str">
        <f aca="false">IF(P1175="","",IF(COUNTIF(N_CLAVE,P1175)&gt;1,"⚠ Duplicado","OK"))</f>
        <v/>
      </c>
      <c r="R1175" s="74" t="str">
        <f aca="false">IF(OR(P1175="",U1175=""),"",MAX(0,U1175-N(E1175)-N(F1175)-N(H1175)))</f>
        <v/>
      </c>
      <c r="S1175" s="75" t="str">
        <f aca="false">IF(P1175="","",IFERROR(INDEX(T_INGRESO,MATCH(C1175,T_ID,0)),""))</f>
        <v/>
      </c>
      <c r="T1175" s="75" t="str">
        <f aca="false">IF(P1175="","",IFERROR(N(INDEX(T_EGRESO,MATCH(C1175,T_ID,0))),0))</f>
        <v/>
      </c>
      <c r="U1175" s="73" t="str">
        <f aca="false">IF(OR(P1175="",NOT(ISNUMBER(S1175))),"",IF(OR(S1175&gt;EOMONTH(B1175,0),AND(T1175&gt;0,T1175&lt;B1175)),0,IF(AND(S1175&lt;=B1175,OR(T1175=0,T1175&gt;=EOMONTH(B1175,0))),30,MIN(30,IF(T1175=0,EOMONTH(B1175,0),MIN(T1175,EOMONTH(B1175,0)))-MAX(B1175,S1175)+1))))</f>
        <v/>
      </c>
    </row>
    <row r="1176" customFormat="false" ht="15" hidden="false" customHeight="false" outlineLevel="0" collapsed="false">
      <c r="B1176" s="78"/>
      <c r="C1176" s="64"/>
      <c r="D1176" s="70" t="str">
        <f aca="false">IF(C1176="","",IFERROR(INDEX(T_NOMBRE,MATCH(C1176,T_ID,0)),"⚠ ID no existe"))</f>
        <v/>
      </c>
      <c r="E1176" s="69"/>
      <c r="F1176" s="69"/>
      <c r="G1176" s="69"/>
      <c r="H1176" s="69"/>
      <c r="I1176" s="66"/>
      <c r="J1176" s="69"/>
      <c r="K1176" s="67"/>
      <c r="L1176" s="67"/>
      <c r="M1176" s="67"/>
      <c r="N1176" s="67"/>
      <c r="O1176" s="64"/>
      <c r="P1176" s="72" t="str">
        <f aca="false">IF(OR(B1176="",C1176=""),"",C1176&amp;"|"&amp;(YEAR(B1176)*100+MONTH(B1176)))</f>
        <v/>
      </c>
      <c r="Q1176" s="70" t="str">
        <f aca="false">IF(P1176="","",IF(COUNTIF(N_CLAVE,P1176)&gt;1,"⚠ Duplicado","OK"))</f>
        <v/>
      </c>
      <c r="R1176" s="74" t="str">
        <f aca="false">IF(OR(P1176="",U1176=""),"",MAX(0,U1176-N(E1176)-N(F1176)-N(H1176)))</f>
        <v/>
      </c>
      <c r="S1176" s="75" t="str">
        <f aca="false">IF(P1176="","",IFERROR(INDEX(T_INGRESO,MATCH(C1176,T_ID,0)),""))</f>
        <v/>
      </c>
      <c r="T1176" s="75" t="str">
        <f aca="false">IF(P1176="","",IFERROR(N(INDEX(T_EGRESO,MATCH(C1176,T_ID,0))),0))</f>
        <v/>
      </c>
      <c r="U1176" s="73" t="str">
        <f aca="false">IF(OR(P1176="",NOT(ISNUMBER(S1176))),"",IF(OR(S1176&gt;EOMONTH(B1176,0),AND(T1176&gt;0,T1176&lt;B1176)),0,IF(AND(S1176&lt;=B1176,OR(T1176=0,T1176&gt;=EOMONTH(B1176,0))),30,MIN(30,IF(T1176=0,EOMONTH(B1176,0),MIN(T1176,EOMONTH(B1176,0)))-MAX(B1176,S1176)+1))))</f>
        <v/>
      </c>
    </row>
    <row r="1177" customFormat="false" ht="15" hidden="false" customHeight="false" outlineLevel="0" collapsed="false">
      <c r="B1177" s="78"/>
      <c r="C1177" s="64"/>
      <c r="D1177" s="70" t="str">
        <f aca="false">IF(C1177="","",IFERROR(INDEX(T_NOMBRE,MATCH(C1177,T_ID,0)),"⚠ ID no existe"))</f>
        <v/>
      </c>
      <c r="E1177" s="69"/>
      <c r="F1177" s="69"/>
      <c r="G1177" s="69"/>
      <c r="H1177" s="69"/>
      <c r="I1177" s="66"/>
      <c r="J1177" s="69"/>
      <c r="K1177" s="67"/>
      <c r="L1177" s="67"/>
      <c r="M1177" s="67"/>
      <c r="N1177" s="67"/>
      <c r="O1177" s="64"/>
      <c r="P1177" s="72" t="str">
        <f aca="false">IF(OR(B1177="",C1177=""),"",C1177&amp;"|"&amp;(YEAR(B1177)*100+MONTH(B1177)))</f>
        <v/>
      </c>
      <c r="Q1177" s="70" t="str">
        <f aca="false">IF(P1177="","",IF(COUNTIF(N_CLAVE,P1177)&gt;1,"⚠ Duplicado","OK"))</f>
        <v/>
      </c>
      <c r="R1177" s="74" t="str">
        <f aca="false">IF(OR(P1177="",U1177=""),"",MAX(0,U1177-N(E1177)-N(F1177)-N(H1177)))</f>
        <v/>
      </c>
      <c r="S1177" s="75" t="str">
        <f aca="false">IF(P1177="","",IFERROR(INDEX(T_INGRESO,MATCH(C1177,T_ID,0)),""))</f>
        <v/>
      </c>
      <c r="T1177" s="75" t="str">
        <f aca="false">IF(P1177="","",IFERROR(N(INDEX(T_EGRESO,MATCH(C1177,T_ID,0))),0))</f>
        <v/>
      </c>
      <c r="U1177" s="73" t="str">
        <f aca="false">IF(OR(P1177="",NOT(ISNUMBER(S1177))),"",IF(OR(S1177&gt;EOMONTH(B1177,0),AND(T1177&gt;0,T1177&lt;B1177)),0,IF(AND(S1177&lt;=B1177,OR(T1177=0,T1177&gt;=EOMONTH(B1177,0))),30,MIN(30,IF(T1177=0,EOMONTH(B1177,0),MIN(T1177,EOMONTH(B1177,0)))-MAX(B1177,S1177)+1))))</f>
        <v/>
      </c>
    </row>
    <row r="1178" customFormat="false" ht="15" hidden="false" customHeight="false" outlineLevel="0" collapsed="false">
      <c r="B1178" s="78"/>
      <c r="C1178" s="64"/>
      <c r="D1178" s="70" t="str">
        <f aca="false">IF(C1178="","",IFERROR(INDEX(T_NOMBRE,MATCH(C1178,T_ID,0)),"⚠ ID no existe"))</f>
        <v/>
      </c>
      <c r="E1178" s="69"/>
      <c r="F1178" s="69"/>
      <c r="G1178" s="69"/>
      <c r="H1178" s="69"/>
      <c r="I1178" s="66"/>
      <c r="J1178" s="69"/>
      <c r="K1178" s="67"/>
      <c r="L1178" s="67"/>
      <c r="M1178" s="67"/>
      <c r="N1178" s="67"/>
      <c r="O1178" s="64"/>
      <c r="P1178" s="72" t="str">
        <f aca="false">IF(OR(B1178="",C1178=""),"",C1178&amp;"|"&amp;(YEAR(B1178)*100+MONTH(B1178)))</f>
        <v/>
      </c>
      <c r="Q1178" s="70" t="str">
        <f aca="false">IF(P1178="","",IF(COUNTIF(N_CLAVE,P1178)&gt;1,"⚠ Duplicado","OK"))</f>
        <v/>
      </c>
      <c r="R1178" s="74" t="str">
        <f aca="false">IF(OR(P1178="",U1178=""),"",MAX(0,U1178-N(E1178)-N(F1178)-N(H1178)))</f>
        <v/>
      </c>
      <c r="S1178" s="75" t="str">
        <f aca="false">IF(P1178="","",IFERROR(INDEX(T_INGRESO,MATCH(C1178,T_ID,0)),""))</f>
        <v/>
      </c>
      <c r="T1178" s="75" t="str">
        <f aca="false">IF(P1178="","",IFERROR(N(INDEX(T_EGRESO,MATCH(C1178,T_ID,0))),0))</f>
        <v/>
      </c>
      <c r="U1178" s="73" t="str">
        <f aca="false">IF(OR(P1178="",NOT(ISNUMBER(S1178))),"",IF(OR(S1178&gt;EOMONTH(B1178,0),AND(T1178&gt;0,T1178&lt;B1178)),0,IF(AND(S1178&lt;=B1178,OR(T1178=0,T1178&gt;=EOMONTH(B1178,0))),30,MIN(30,IF(T1178=0,EOMONTH(B1178,0),MIN(T1178,EOMONTH(B1178,0)))-MAX(B1178,S1178)+1))))</f>
        <v/>
      </c>
    </row>
    <row r="1179" customFormat="false" ht="15" hidden="false" customHeight="false" outlineLevel="0" collapsed="false">
      <c r="B1179" s="78"/>
      <c r="C1179" s="64"/>
      <c r="D1179" s="70" t="str">
        <f aca="false">IF(C1179="","",IFERROR(INDEX(T_NOMBRE,MATCH(C1179,T_ID,0)),"⚠ ID no existe"))</f>
        <v/>
      </c>
      <c r="E1179" s="69"/>
      <c r="F1179" s="69"/>
      <c r="G1179" s="69"/>
      <c r="H1179" s="69"/>
      <c r="I1179" s="66"/>
      <c r="J1179" s="69"/>
      <c r="K1179" s="67"/>
      <c r="L1179" s="67"/>
      <c r="M1179" s="67"/>
      <c r="N1179" s="67"/>
      <c r="O1179" s="64"/>
      <c r="P1179" s="72" t="str">
        <f aca="false">IF(OR(B1179="",C1179=""),"",C1179&amp;"|"&amp;(YEAR(B1179)*100+MONTH(B1179)))</f>
        <v/>
      </c>
      <c r="Q1179" s="70" t="str">
        <f aca="false">IF(P1179="","",IF(COUNTIF(N_CLAVE,P1179)&gt;1,"⚠ Duplicado","OK"))</f>
        <v/>
      </c>
      <c r="R1179" s="74" t="str">
        <f aca="false">IF(OR(P1179="",U1179=""),"",MAX(0,U1179-N(E1179)-N(F1179)-N(H1179)))</f>
        <v/>
      </c>
      <c r="S1179" s="75" t="str">
        <f aca="false">IF(P1179="","",IFERROR(INDEX(T_INGRESO,MATCH(C1179,T_ID,0)),""))</f>
        <v/>
      </c>
      <c r="T1179" s="75" t="str">
        <f aca="false">IF(P1179="","",IFERROR(N(INDEX(T_EGRESO,MATCH(C1179,T_ID,0))),0))</f>
        <v/>
      </c>
      <c r="U1179" s="73" t="str">
        <f aca="false">IF(OR(P1179="",NOT(ISNUMBER(S1179))),"",IF(OR(S1179&gt;EOMONTH(B1179,0),AND(T1179&gt;0,T1179&lt;B1179)),0,IF(AND(S1179&lt;=B1179,OR(T1179=0,T1179&gt;=EOMONTH(B1179,0))),30,MIN(30,IF(T1179=0,EOMONTH(B1179,0),MIN(T1179,EOMONTH(B1179,0)))-MAX(B1179,S1179)+1))))</f>
        <v/>
      </c>
    </row>
    <row r="1180" customFormat="false" ht="15" hidden="false" customHeight="false" outlineLevel="0" collapsed="false">
      <c r="B1180" s="78"/>
      <c r="C1180" s="64"/>
      <c r="D1180" s="70" t="str">
        <f aca="false">IF(C1180="","",IFERROR(INDEX(T_NOMBRE,MATCH(C1180,T_ID,0)),"⚠ ID no existe"))</f>
        <v/>
      </c>
      <c r="E1180" s="69"/>
      <c r="F1180" s="69"/>
      <c r="G1180" s="69"/>
      <c r="H1180" s="69"/>
      <c r="I1180" s="66"/>
      <c r="J1180" s="69"/>
      <c r="K1180" s="67"/>
      <c r="L1180" s="67"/>
      <c r="M1180" s="67"/>
      <c r="N1180" s="67"/>
      <c r="O1180" s="64"/>
      <c r="P1180" s="72" t="str">
        <f aca="false">IF(OR(B1180="",C1180=""),"",C1180&amp;"|"&amp;(YEAR(B1180)*100+MONTH(B1180)))</f>
        <v/>
      </c>
      <c r="Q1180" s="70" t="str">
        <f aca="false">IF(P1180="","",IF(COUNTIF(N_CLAVE,P1180)&gt;1,"⚠ Duplicado","OK"))</f>
        <v/>
      </c>
      <c r="R1180" s="74" t="str">
        <f aca="false">IF(OR(P1180="",U1180=""),"",MAX(0,U1180-N(E1180)-N(F1180)-N(H1180)))</f>
        <v/>
      </c>
      <c r="S1180" s="75" t="str">
        <f aca="false">IF(P1180="","",IFERROR(INDEX(T_INGRESO,MATCH(C1180,T_ID,0)),""))</f>
        <v/>
      </c>
      <c r="T1180" s="75" t="str">
        <f aca="false">IF(P1180="","",IFERROR(N(INDEX(T_EGRESO,MATCH(C1180,T_ID,0))),0))</f>
        <v/>
      </c>
      <c r="U1180" s="73" t="str">
        <f aca="false">IF(OR(P1180="",NOT(ISNUMBER(S1180))),"",IF(OR(S1180&gt;EOMONTH(B1180,0),AND(T1180&gt;0,T1180&lt;B1180)),0,IF(AND(S1180&lt;=B1180,OR(T1180=0,T1180&gt;=EOMONTH(B1180,0))),30,MIN(30,IF(T1180=0,EOMONTH(B1180,0),MIN(T1180,EOMONTH(B1180,0)))-MAX(B1180,S1180)+1))))</f>
        <v/>
      </c>
    </row>
    <row r="1181" customFormat="false" ht="15" hidden="false" customHeight="false" outlineLevel="0" collapsed="false">
      <c r="B1181" s="78"/>
      <c r="C1181" s="64"/>
      <c r="D1181" s="70" t="str">
        <f aca="false">IF(C1181="","",IFERROR(INDEX(T_NOMBRE,MATCH(C1181,T_ID,0)),"⚠ ID no existe"))</f>
        <v/>
      </c>
      <c r="E1181" s="69"/>
      <c r="F1181" s="69"/>
      <c r="G1181" s="69"/>
      <c r="H1181" s="69"/>
      <c r="I1181" s="66"/>
      <c r="J1181" s="69"/>
      <c r="K1181" s="67"/>
      <c r="L1181" s="67"/>
      <c r="M1181" s="67"/>
      <c r="N1181" s="67"/>
      <c r="O1181" s="64"/>
      <c r="P1181" s="72" t="str">
        <f aca="false">IF(OR(B1181="",C1181=""),"",C1181&amp;"|"&amp;(YEAR(B1181)*100+MONTH(B1181)))</f>
        <v/>
      </c>
      <c r="Q1181" s="70" t="str">
        <f aca="false">IF(P1181="","",IF(COUNTIF(N_CLAVE,P1181)&gt;1,"⚠ Duplicado","OK"))</f>
        <v/>
      </c>
      <c r="R1181" s="74" t="str">
        <f aca="false">IF(OR(P1181="",U1181=""),"",MAX(0,U1181-N(E1181)-N(F1181)-N(H1181)))</f>
        <v/>
      </c>
      <c r="S1181" s="75" t="str">
        <f aca="false">IF(P1181="","",IFERROR(INDEX(T_INGRESO,MATCH(C1181,T_ID,0)),""))</f>
        <v/>
      </c>
      <c r="T1181" s="75" t="str">
        <f aca="false">IF(P1181="","",IFERROR(N(INDEX(T_EGRESO,MATCH(C1181,T_ID,0))),0))</f>
        <v/>
      </c>
      <c r="U1181" s="73" t="str">
        <f aca="false">IF(OR(P1181="",NOT(ISNUMBER(S1181))),"",IF(OR(S1181&gt;EOMONTH(B1181,0),AND(T1181&gt;0,T1181&lt;B1181)),0,IF(AND(S1181&lt;=B1181,OR(T1181=0,T1181&gt;=EOMONTH(B1181,0))),30,MIN(30,IF(T1181=0,EOMONTH(B1181,0),MIN(T1181,EOMONTH(B1181,0)))-MAX(B1181,S1181)+1))))</f>
        <v/>
      </c>
    </row>
    <row r="1182" customFormat="false" ht="15" hidden="false" customHeight="false" outlineLevel="0" collapsed="false">
      <c r="B1182" s="78"/>
      <c r="C1182" s="64"/>
      <c r="D1182" s="70" t="str">
        <f aca="false">IF(C1182="","",IFERROR(INDEX(T_NOMBRE,MATCH(C1182,T_ID,0)),"⚠ ID no existe"))</f>
        <v/>
      </c>
      <c r="E1182" s="69"/>
      <c r="F1182" s="69"/>
      <c r="G1182" s="69"/>
      <c r="H1182" s="69"/>
      <c r="I1182" s="66"/>
      <c r="J1182" s="69"/>
      <c r="K1182" s="67"/>
      <c r="L1182" s="67"/>
      <c r="M1182" s="67"/>
      <c r="N1182" s="67"/>
      <c r="O1182" s="64"/>
      <c r="P1182" s="72" t="str">
        <f aca="false">IF(OR(B1182="",C1182=""),"",C1182&amp;"|"&amp;(YEAR(B1182)*100+MONTH(B1182)))</f>
        <v/>
      </c>
      <c r="Q1182" s="70" t="str">
        <f aca="false">IF(P1182="","",IF(COUNTIF(N_CLAVE,P1182)&gt;1,"⚠ Duplicado","OK"))</f>
        <v/>
      </c>
      <c r="R1182" s="74" t="str">
        <f aca="false">IF(OR(P1182="",U1182=""),"",MAX(0,U1182-N(E1182)-N(F1182)-N(H1182)))</f>
        <v/>
      </c>
      <c r="S1182" s="75" t="str">
        <f aca="false">IF(P1182="","",IFERROR(INDEX(T_INGRESO,MATCH(C1182,T_ID,0)),""))</f>
        <v/>
      </c>
      <c r="T1182" s="75" t="str">
        <f aca="false">IF(P1182="","",IFERROR(N(INDEX(T_EGRESO,MATCH(C1182,T_ID,0))),0))</f>
        <v/>
      </c>
      <c r="U1182" s="73" t="str">
        <f aca="false">IF(OR(P1182="",NOT(ISNUMBER(S1182))),"",IF(OR(S1182&gt;EOMONTH(B1182,0),AND(T1182&gt;0,T1182&lt;B1182)),0,IF(AND(S1182&lt;=B1182,OR(T1182=0,T1182&gt;=EOMONTH(B1182,0))),30,MIN(30,IF(T1182=0,EOMONTH(B1182,0),MIN(T1182,EOMONTH(B1182,0)))-MAX(B1182,S1182)+1))))</f>
        <v/>
      </c>
    </row>
    <row r="1183" customFormat="false" ht="15" hidden="false" customHeight="false" outlineLevel="0" collapsed="false">
      <c r="B1183" s="78"/>
      <c r="C1183" s="64"/>
      <c r="D1183" s="70" t="str">
        <f aca="false">IF(C1183="","",IFERROR(INDEX(T_NOMBRE,MATCH(C1183,T_ID,0)),"⚠ ID no existe"))</f>
        <v/>
      </c>
      <c r="E1183" s="69"/>
      <c r="F1183" s="69"/>
      <c r="G1183" s="69"/>
      <c r="H1183" s="69"/>
      <c r="I1183" s="66"/>
      <c r="J1183" s="69"/>
      <c r="K1183" s="67"/>
      <c r="L1183" s="67"/>
      <c r="M1183" s="67"/>
      <c r="N1183" s="67"/>
      <c r="O1183" s="64"/>
      <c r="P1183" s="72" t="str">
        <f aca="false">IF(OR(B1183="",C1183=""),"",C1183&amp;"|"&amp;(YEAR(B1183)*100+MONTH(B1183)))</f>
        <v/>
      </c>
      <c r="Q1183" s="70" t="str">
        <f aca="false">IF(P1183="","",IF(COUNTIF(N_CLAVE,P1183)&gt;1,"⚠ Duplicado","OK"))</f>
        <v/>
      </c>
      <c r="R1183" s="74" t="str">
        <f aca="false">IF(OR(P1183="",U1183=""),"",MAX(0,U1183-N(E1183)-N(F1183)-N(H1183)))</f>
        <v/>
      </c>
      <c r="S1183" s="75" t="str">
        <f aca="false">IF(P1183="","",IFERROR(INDEX(T_INGRESO,MATCH(C1183,T_ID,0)),""))</f>
        <v/>
      </c>
      <c r="T1183" s="75" t="str">
        <f aca="false">IF(P1183="","",IFERROR(N(INDEX(T_EGRESO,MATCH(C1183,T_ID,0))),0))</f>
        <v/>
      </c>
      <c r="U1183" s="73" t="str">
        <f aca="false">IF(OR(P1183="",NOT(ISNUMBER(S1183))),"",IF(OR(S1183&gt;EOMONTH(B1183,0),AND(T1183&gt;0,T1183&lt;B1183)),0,IF(AND(S1183&lt;=B1183,OR(T1183=0,T1183&gt;=EOMONTH(B1183,0))),30,MIN(30,IF(T1183=0,EOMONTH(B1183,0),MIN(T1183,EOMONTH(B1183,0)))-MAX(B1183,S1183)+1))))</f>
        <v/>
      </c>
    </row>
    <row r="1184" customFormat="false" ht="15" hidden="false" customHeight="false" outlineLevel="0" collapsed="false">
      <c r="B1184" s="78"/>
      <c r="C1184" s="64"/>
      <c r="D1184" s="70" t="str">
        <f aca="false">IF(C1184="","",IFERROR(INDEX(T_NOMBRE,MATCH(C1184,T_ID,0)),"⚠ ID no existe"))</f>
        <v/>
      </c>
      <c r="E1184" s="69"/>
      <c r="F1184" s="69"/>
      <c r="G1184" s="69"/>
      <c r="H1184" s="69"/>
      <c r="I1184" s="66"/>
      <c r="J1184" s="69"/>
      <c r="K1184" s="67"/>
      <c r="L1184" s="67"/>
      <c r="M1184" s="67"/>
      <c r="N1184" s="67"/>
      <c r="O1184" s="64"/>
      <c r="P1184" s="72" t="str">
        <f aca="false">IF(OR(B1184="",C1184=""),"",C1184&amp;"|"&amp;(YEAR(B1184)*100+MONTH(B1184)))</f>
        <v/>
      </c>
      <c r="Q1184" s="70" t="str">
        <f aca="false">IF(P1184="","",IF(COUNTIF(N_CLAVE,P1184)&gt;1,"⚠ Duplicado","OK"))</f>
        <v/>
      </c>
      <c r="R1184" s="74" t="str">
        <f aca="false">IF(OR(P1184="",U1184=""),"",MAX(0,U1184-N(E1184)-N(F1184)-N(H1184)))</f>
        <v/>
      </c>
      <c r="S1184" s="75" t="str">
        <f aca="false">IF(P1184="","",IFERROR(INDEX(T_INGRESO,MATCH(C1184,T_ID,0)),""))</f>
        <v/>
      </c>
      <c r="T1184" s="75" t="str">
        <f aca="false">IF(P1184="","",IFERROR(N(INDEX(T_EGRESO,MATCH(C1184,T_ID,0))),0))</f>
        <v/>
      </c>
      <c r="U1184" s="73" t="str">
        <f aca="false">IF(OR(P1184="",NOT(ISNUMBER(S1184))),"",IF(OR(S1184&gt;EOMONTH(B1184,0),AND(T1184&gt;0,T1184&lt;B1184)),0,IF(AND(S1184&lt;=B1184,OR(T1184=0,T1184&gt;=EOMONTH(B1184,0))),30,MIN(30,IF(T1184=0,EOMONTH(B1184,0),MIN(T1184,EOMONTH(B1184,0)))-MAX(B1184,S1184)+1))))</f>
        <v/>
      </c>
    </row>
    <row r="1185" customFormat="false" ht="15" hidden="false" customHeight="false" outlineLevel="0" collapsed="false">
      <c r="B1185" s="78"/>
      <c r="C1185" s="64"/>
      <c r="D1185" s="70" t="str">
        <f aca="false">IF(C1185="","",IFERROR(INDEX(T_NOMBRE,MATCH(C1185,T_ID,0)),"⚠ ID no existe"))</f>
        <v/>
      </c>
      <c r="E1185" s="69"/>
      <c r="F1185" s="69"/>
      <c r="G1185" s="69"/>
      <c r="H1185" s="69"/>
      <c r="I1185" s="66"/>
      <c r="J1185" s="69"/>
      <c r="K1185" s="67"/>
      <c r="L1185" s="67"/>
      <c r="M1185" s="67"/>
      <c r="N1185" s="67"/>
      <c r="O1185" s="64"/>
      <c r="P1185" s="72" t="str">
        <f aca="false">IF(OR(B1185="",C1185=""),"",C1185&amp;"|"&amp;(YEAR(B1185)*100+MONTH(B1185)))</f>
        <v/>
      </c>
      <c r="Q1185" s="70" t="str">
        <f aca="false">IF(P1185="","",IF(COUNTIF(N_CLAVE,P1185)&gt;1,"⚠ Duplicado","OK"))</f>
        <v/>
      </c>
      <c r="R1185" s="74" t="str">
        <f aca="false">IF(OR(P1185="",U1185=""),"",MAX(0,U1185-N(E1185)-N(F1185)-N(H1185)))</f>
        <v/>
      </c>
      <c r="S1185" s="75" t="str">
        <f aca="false">IF(P1185="","",IFERROR(INDEX(T_INGRESO,MATCH(C1185,T_ID,0)),""))</f>
        <v/>
      </c>
      <c r="T1185" s="75" t="str">
        <f aca="false">IF(P1185="","",IFERROR(N(INDEX(T_EGRESO,MATCH(C1185,T_ID,0))),0))</f>
        <v/>
      </c>
      <c r="U1185" s="73" t="str">
        <f aca="false">IF(OR(P1185="",NOT(ISNUMBER(S1185))),"",IF(OR(S1185&gt;EOMONTH(B1185,0),AND(T1185&gt;0,T1185&lt;B1185)),0,IF(AND(S1185&lt;=B1185,OR(T1185=0,T1185&gt;=EOMONTH(B1185,0))),30,MIN(30,IF(T1185=0,EOMONTH(B1185,0),MIN(T1185,EOMONTH(B1185,0)))-MAX(B1185,S1185)+1))))</f>
        <v/>
      </c>
    </row>
    <row r="1186" customFormat="false" ht="15" hidden="false" customHeight="false" outlineLevel="0" collapsed="false">
      <c r="B1186" s="78"/>
      <c r="C1186" s="64"/>
      <c r="D1186" s="70" t="str">
        <f aca="false">IF(C1186="","",IFERROR(INDEX(T_NOMBRE,MATCH(C1186,T_ID,0)),"⚠ ID no existe"))</f>
        <v/>
      </c>
      <c r="E1186" s="69"/>
      <c r="F1186" s="69"/>
      <c r="G1186" s="69"/>
      <c r="H1186" s="69"/>
      <c r="I1186" s="66"/>
      <c r="J1186" s="69"/>
      <c r="K1186" s="67"/>
      <c r="L1186" s="67"/>
      <c r="M1186" s="67"/>
      <c r="N1186" s="67"/>
      <c r="O1186" s="64"/>
      <c r="P1186" s="72" t="str">
        <f aca="false">IF(OR(B1186="",C1186=""),"",C1186&amp;"|"&amp;(YEAR(B1186)*100+MONTH(B1186)))</f>
        <v/>
      </c>
      <c r="Q1186" s="70" t="str">
        <f aca="false">IF(P1186="","",IF(COUNTIF(N_CLAVE,P1186)&gt;1,"⚠ Duplicado","OK"))</f>
        <v/>
      </c>
      <c r="R1186" s="74" t="str">
        <f aca="false">IF(OR(P1186="",U1186=""),"",MAX(0,U1186-N(E1186)-N(F1186)-N(H1186)))</f>
        <v/>
      </c>
      <c r="S1186" s="75" t="str">
        <f aca="false">IF(P1186="","",IFERROR(INDEX(T_INGRESO,MATCH(C1186,T_ID,0)),""))</f>
        <v/>
      </c>
      <c r="T1186" s="75" t="str">
        <f aca="false">IF(P1186="","",IFERROR(N(INDEX(T_EGRESO,MATCH(C1186,T_ID,0))),0))</f>
        <v/>
      </c>
      <c r="U1186" s="73" t="str">
        <f aca="false">IF(OR(P1186="",NOT(ISNUMBER(S1186))),"",IF(OR(S1186&gt;EOMONTH(B1186,0),AND(T1186&gt;0,T1186&lt;B1186)),0,IF(AND(S1186&lt;=B1186,OR(T1186=0,T1186&gt;=EOMONTH(B1186,0))),30,MIN(30,IF(T1186=0,EOMONTH(B1186,0),MIN(T1186,EOMONTH(B1186,0)))-MAX(B1186,S1186)+1))))</f>
        <v/>
      </c>
    </row>
    <row r="1187" customFormat="false" ht="15" hidden="false" customHeight="false" outlineLevel="0" collapsed="false">
      <c r="B1187" s="78"/>
      <c r="C1187" s="64"/>
      <c r="D1187" s="70" t="str">
        <f aca="false">IF(C1187="","",IFERROR(INDEX(T_NOMBRE,MATCH(C1187,T_ID,0)),"⚠ ID no existe"))</f>
        <v/>
      </c>
      <c r="E1187" s="69"/>
      <c r="F1187" s="69"/>
      <c r="G1187" s="69"/>
      <c r="H1187" s="69"/>
      <c r="I1187" s="66"/>
      <c r="J1187" s="69"/>
      <c r="K1187" s="67"/>
      <c r="L1187" s="67"/>
      <c r="M1187" s="67"/>
      <c r="N1187" s="67"/>
      <c r="O1187" s="64"/>
      <c r="P1187" s="72" t="str">
        <f aca="false">IF(OR(B1187="",C1187=""),"",C1187&amp;"|"&amp;(YEAR(B1187)*100+MONTH(B1187)))</f>
        <v/>
      </c>
      <c r="Q1187" s="70" t="str">
        <f aca="false">IF(P1187="","",IF(COUNTIF(N_CLAVE,P1187)&gt;1,"⚠ Duplicado","OK"))</f>
        <v/>
      </c>
      <c r="R1187" s="74" t="str">
        <f aca="false">IF(OR(P1187="",U1187=""),"",MAX(0,U1187-N(E1187)-N(F1187)-N(H1187)))</f>
        <v/>
      </c>
      <c r="S1187" s="75" t="str">
        <f aca="false">IF(P1187="","",IFERROR(INDEX(T_INGRESO,MATCH(C1187,T_ID,0)),""))</f>
        <v/>
      </c>
      <c r="T1187" s="75" t="str">
        <f aca="false">IF(P1187="","",IFERROR(N(INDEX(T_EGRESO,MATCH(C1187,T_ID,0))),0))</f>
        <v/>
      </c>
      <c r="U1187" s="73" t="str">
        <f aca="false">IF(OR(P1187="",NOT(ISNUMBER(S1187))),"",IF(OR(S1187&gt;EOMONTH(B1187,0),AND(T1187&gt;0,T1187&lt;B1187)),0,IF(AND(S1187&lt;=B1187,OR(T1187=0,T1187&gt;=EOMONTH(B1187,0))),30,MIN(30,IF(T1187=0,EOMONTH(B1187,0),MIN(T1187,EOMONTH(B1187,0)))-MAX(B1187,S1187)+1))))</f>
        <v/>
      </c>
    </row>
    <row r="1188" customFormat="false" ht="15" hidden="false" customHeight="false" outlineLevel="0" collapsed="false">
      <c r="B1188" s="78"/>
      <c r="C1188" s="64"/>
      <c r="D1188" s="70" t="str">
        <f aca="false">IF(C1188="","",IFERROR(INDEX(T_NOMBRE,MATCH(C1188,T_ID,0)),"⚠ ID no existe"))</f>
        <v/>
      </c>
      <c r="E1188" s="69"/>
      <c r="F1188" s="69"/>
      <c r="G1188" s="69"/>
      <c r="H1188" s="69"/>
      <c r="I1188" s="66"/>
      <c r="J1188" s="69"/>
      <c r="K1188" s="67"/>
      <c r="L1188" s="67"/>
      <c r="M1188" s="67"/>
      <c r="N1188" s="67"/>
      <c r="O1188" s="64"/>
      <c r="P1188" s="72" t="str">
        <f aca="false">IF(OR(B1188="",C1188=""),"",C1188&amp;"|"&amp;(YEAR(B1188)*100+MONTH(B1188)))</f>
        <v/>
      </c>
      <c r="Q1188" s="70" t="str">
        <f aca="false">IF(P1188="","",IF(COUNTIF(N_CLAVE,P1188)&gt;1,"⚠ Duplicado","OK"))</f>
        <v/>
      </c>
      <c r="R1188" s="74" t="str">
        <f aca="false">IF(OR(P1188="",U1188=""),"",MAX(0,U1188-N(E1188)-N(F1188)-N(H1188)))</f>
        <v/>
      </c>
      <c r="S1188" s="75" t="str">
        <f aca="false">IF(P1188="","",IFERROR(INDEX(T_INGRESO,MATCH(C1188,T_ID,0)),""))</f>
        <v/>
      </c>
      <c r="T1188" s="75" t="str">
        <f aca="false">IF(P1188="","",IFERROR(N(INDEX(T_EGRESO,MATCH(C1188,T_ID,0))),0))</f>
        <v/>
      </c>
      <c r="U1188" s="73" t="str">
        <f aca="false">IF(OR(P1188="",NOT(ISNUMBER(S1188))),"",IF(OR(S1188&gt;EOMONTH(B1188,0),AND(T1188&gt;0,T1188&lt;B1188)),0,IF(AND(S1188&lt;=B1188,OR(T1188=0,T1188&gt;=EOMONTH(B1188,0))),30,MIN(30,IF(T1188=0,EOMONTH(B1188,0),MIN(T1188,EOMONTH(B1188,0)))-MAX(B1188,S1188)+1))))</f>
        <v/>
      </c>
    </row>
    <row r="1189" customFormat="false" ht="15" hidden="false" customHeight="false" outlineLevel="0" collapsed="false">
      <c r="B1189" s="78"/>
      <c r="C1189" s="64"/>
      <c r="D1189" s="70" t="str">
        <f aca="false">IF(C1189="","",IFERROR(INDEX(T_NOMBRE,MATCH(C1189,T_ID,0)),"⚠ ID no existe"))</f>
        <v/>
      </c>
      <c r="E1189" s="69"/>
      <c r="F1189" s="69"/>
      <c r="G1189" s="69"/>
      <c r="H1189" s="69"/>
      <c r="I1189" s="66"/>
      <c r="J1189" s="69"/>
      <c r="K1189" s="67"/>
      <c r="L1189" s="67"/>
      <c r="M1189" s="67"/>
      <c r="N1189" s="67"/>
      <c r="O1189" s="64"/>
      <c r="P1189" s="72" t="str">
        <f aca="false">IF(OR(B1189="",C1189=""),"",C1189&amp;"|"&amp;(YEAR(B1189)*100+MONTH(B1189)))</f>
        <v/>
      </c>
      <c r="Q1189" s="70" t="str">
        <f aca="false">IF(P1189="","",IF(COUNTIF(N_CLAVE,P1189)&gt;1,"⚠ Duplicado","OK"))</f>
        <v/>
      </c>
      <c r="R1189" s="74" t="str">
        <f aca="false">IF(OR(P1189="",U1189=""),"",MAX(0,U1189-N(E1189)-N(F1189)-N(H1189)))</f>
        <v/>
      </c>
      <c r="S1189" s="75" t="str">
        <f aca="false">IF(P1189="","",IFERROR(INDEX(T_INGRESO,MATCH(C1189,T_ID,0)),""))</f>
        <v/>
      </c>
      <c r="T1189" s="75" t="str">
        <f aca="false">IF(P1189="","",IFERROR(N(INDEX(T_EGRESO,MATCH(C1189,T_ID,0))),0))</f>
        <v/>
      </c>
      <c r="U1189" s="73" t="str">
        <f aca="false">IF(OR(P1189="",NOT(ISNUMBER(S1189))),"",IF(OR(S1189&gt;EOMONTH(B1189,0),AND(T1189&gt;0,T1189&lt;B1189)),0,IF(AND(S1189&lt;=B1189,OR(T1189=0,T1189&gt;=EOMONTH(B1189,0))),30,MIN(30,IF(T1189=0,EOMONTH(B1189,0),MIN(T1189,EOMONTH(B1189,0)))-MAX(B1189,S1189)+1))))</f>
        <v/>
      </c>
    </row>
    <row r="1190" customFormat="false" ht="15" hidden="false" customHeight="false" outlineLevel="0" collapsed="false">
      <c r="B1190" s="78"/>
      <c r="C1190" s="64"/>
      <c r="D1190" s="70" t="str">
        <f aca="false">IF(C1190="","",IFERROR(INDEX(T_NOMBRE,MATCH(C1190,T_ID,0)),"⚠ ID no existe"))</f>
        <v/>
      </c>
      <c r="E1190" s="69"/>
      <c r="F1190" s="69"/>
      <c r="G1190" s="69"/>
      <c r="H1190" s="69"/>
      <c r="I1190" s="66"/>
      <c r="J1190" s="69"/>
      <c r="K1190" s="67"/>
      <c r="L1190" s="67"/>
      <c r="M1190" s="67"/>
      <c r="N1190" s="67"/>
      <c r="O1190" s="64"/>
      <c r="P1190" s="72" t="str">
        <f aca="false">IF(OR(B1190="",C1190=""),"",C1190&amp;"|"&amp;(YEAR(B1190)*100+MONTH(B1190)))</f>
        <v/>
      </c>
      <c r="Q1190" s="70" t="str">
        <f aca="false">IF(P1190="","",IF(COUNTIF(N_CLAVE,P1190)&gt;1,"⚠ Duplicado","OK"))</f>
        <v/>
      </c>
      <c r="R1190" s="74" t="str">
        <f aca="false">IF(OR(P1190="",U1190=""),"",MAX(0,U1190-N(E1190)-N(F1190)-N(H1190)))</f>
        <v/>
      </c>
      <c r="S1190" s="75" t="str">
        <f aca="false">IF(P1190="","",IFERROR(INDEX(T_INGRESO,MATCH(C1190,T_ID,0)),""))</f>
        <v/>
      </c>
      <c r="T1190" s="75" t="str">
        <f aca="false">IF(P1190="","",IFERROR(N(INDEX(T_EGRESO,MATCH(C1190,T_ID,0))),0))</f>
        <v/>
      </c>
      <c r="U1190" s="73" t="str">
        <f aca="false">IF(OR(P1190="",NOT(ISNUMBER(S1190))),"",IF(OR(S1190&gt;EOMONTH(B1190,0),AND(T1190&gt;0,T1190&lt;B1190)),0,IF(AND(S1190&lt;=B1190,OR(T1190=0,T1190&gt;=EOMONTH(B1190,0))),30,MIN(30,IF(T1190=0,EOMONTH(B1190,0),MIN(T1190,EOMONTH(B1190,0)))-MAX(B1190,S1190)+1))))</f>
        <v/>
      </c>
    </row>
    <row r="1191" customFormat="false" ht="15" hidden="false" customHeight="false" outlineLevel="0" collapsed="false">
      <c r="B1191" s="78"/>
      <c r="C1191" s="64"/>
      <c r="D1191" s="70" t="str">
        <f aca="false">IF(C1191="","",IFERROR(INDEX(T_NOMBRE,MATCH(C1191,T_ID,0)),"⚠ ID no existe"))</f>
        <v/>
      </c>
      <c r="E1191" s="69"/>
      <c r="F1191" s="69"/>
      <c r="G1191" s="69"/>
      <c r="H1191" s="69"/>
      <c r="I1191" s="66"/>
      <c r="J1191" s="69"/>
      <c r="K1191" s="67"/>
      <c r="L1191" s="67"/>
      <c r="M1191" s="67"/>
      <c r="N1191" s="67"/>
      <c r="O1191" s="64"/>
      <c r="P1191" s="72" t="str">
        <f aca="false">IF(OR(B1191="",C1191=""),"",C1191&amp;"|"&amp;(YEAR(B1191)*100+MONTH(B1191)))</f>
        <v/>
      </c>
      <c r="Q1191" s="70" t="str">
        <f aca="false">IF(P1191="","",IF(COUNTIF(N_CLAVE,P1191)&gt;1,"⚠ Duplicado","OK"))</f>
        <v/>
      </c>
      <c r="R1191" s="74" t="str">
        <f aca="false">IF(OR(P1191="",U1191=""),"",MAX(0,U1191-N(E1191)-N(F1191)-N(H1191)))</f>
        <v/>
      </c>
      <c r="S1191" s="75" t="str">
        <f aca="false">IF(P1191="","",IFERROR(INDEX(T_INGRESO,MATCH(C1191,T_ID,0)),""))</f>
        <v/>
      </c>
      <c r="T1191" s="75" t="str">
        <f aca="false">IF(P1191="","",IFERROR(N(INDEX(T_EGRESO,MATCH(C1191,T_ID,0))),0))</f>
        <v/>
      </c>
      <c r="U1191" s="73" t="str">
        <f aca="false">IF(OR(P1191="",NOT(ISNUMBER(S1191))),"",IF(OR(S1191&gt;EOMONTH(B1191,0),AND(T1191&gt;0,T1191&lt;B1191)),0,IF(AND(S1191&lt;=B1191,OR(T1191=0,T1191&gt;=EOMONTH(B1191,0))),30,MIN(30,IF(T1191=0,EOMONTH(B1191,0),MIN(T1191,EOMONTH(B1191,0)))-MAX(B1191,S1191)+1))))</f>
        <v/>
      </c>
    </row>
    <row r="1192" customFormat="false" ht="15" hidden="false" customHeight="false" outlineLevel="0" collapsed="false">
      <c r="B1192" s="78"/>
      <c r="C1192" s="64"/>
      <c r="D1192" s="70" t="str">
        <f aca="false">IF(C1192="","",IFERROR(INDEX(T_NOMBRE,MATCH(C1192,T_ID,0)),"⚠ ID no existe"))</f>
        <v/>
      </c>
      <c r="E1192" s="69"/>
      <c r="F1192" s="69"/>
      <c r="G1192" s="69"/>
      <c r="H1192" s="69"/>
      <c r="I1192" s="66"/>
      <c r="J1192" s="69"/>
      <c r="K1192" s="67"/>
      <c r="L1192" s="67"/>
      <c r="M1192" s="67"/>
      <c r="N1192" s="67"/>
      <c r="O1192" s="64"/>
      <c r="P1192" s="72" t="str">
        <f aca="false">IF(OR(B1192="",C1192=""),"",C1192&amp;"|"&amp;(YEAR(B1192)*100+MONTH(B1192)))</f>
        <v/>
      </c>
      <c r="Q1192" s="70" t="str">
        <f aca="false">IF(P1192="","",IF(COUNTIF(N_CLAVE,P1192)&gt;1,"⚠ Duplicado","OK"))</f>
        <v/>
      </c>
      <c r="R1192" s="74" t="str">
        <f aca="false">IF(OR(P1192="",U1192=""),"",MAX(0,U1192-N(E1192)-N(F1192)-N(H1192)))</f>
        <v/>
      </c>
      <c r="S1192" s="75" t="str">
        <f aca="false">IF(P1192="","",IFERROR(INDEX(T_INGRESO,MATCH(C1192,T_ID,0)),""))</f>
        <v/>
      </c>
      <c r="T1192" s="75" t="str">
        <f aca="false">IF(P1192="","",IFERROR(N(INDEX(T_EGRESO,MATCH(C1192,T_ID,0))),0))</f>
        <v/>
      </c>
      <c r="U1192" s="73" t="str">
        <f aca="false">IF(OR(P1192="",NOT(ISNUMBER(S1192))),"",IF(OR(S1192&gt;EOMONTH(B1192,0),AND(T1192&gt;0,T1192&lt;B1192)),0,IF(AND(S1192&lt;=B1192,OR(T1192=0,T1192&gt;=EOMONTH(B1192,0))),30,MIN(30,IF(T1192=0,EOMONTH(B1192,0),MIN(T1192,EOMONTH(B1192,0)))-MAX(B1192,S1192)+1))))</f>
        <v/>
      </c>
    </row>
    <row r="1193" customFormat="false" ht="15" hidden="false" customHeight="false" outlineLevel="0" collapsed="false">
      <c r="B1193" s="78"/>
      <c r="C1193" s="64"/>
      <c r="D1193" s="70" t="str">
        <f aca="false">IF(C1193="","",IFERROR(INDEX(T_NOMBRE,MATCH(C1193,T_ID,0)),"⚠ ID no existe"))</f>
        <v/>
      </c>
      <c r="E1193" s="69"/>
      <c r="F1193" s="69"/>
      <c r="G1193" s="69"/>
      <c r="H1193" s="69"/>
      <c r="I1193" s="66"/>
      <c r="J1193" s="69"/>
      <c r="K1193" s="67"/>
      <c r="L1193" s="67"/>
      <c r="M1193" s="67"/>
      <c r="N1193" s="67"/>
      <c r="O1193" s="64"/>
      <c r="P1193" s="72" t="str">
        <f aca="false">IF(OR(B1193="",C1193=""),"",C1193&amp;"|"&amp;(YEAR(B1193)*100+MONTH(B1193)))</f>
        <v/>
      </c>
      <c r="Q1193" s="70" t="str">
        <f aca="false">IF(P1193="","",IF(COUNTIF(N_CLAVE,P1193)&gt;1,"⚠ Duplicado","OK"))</f>
        <v/>
      </c>
      <c r="R1193" s="74" t="str">
        <f aca="false">IF(OR(P1193="",U1193=""),"",MAX(0,U1193-N(E1193)-N(F1193)-N(H1193)))</f>
        <v/>
      </c>
      <c r="S1193" s="75" t="str">
        <f aca="false">IF(P1193="","",IFERROR(INDEX(T_INGRESO,MATCH(C1193,T_ID,0)),""))</f>
        <v/>
      </c>
      <c r="T1193" s="75" t="str">
        <f aca="false">IF(P1193="","",IFERROR(N(INDEX(T_EGRESO,MATCH(C1193,T_ID,0))),0))</f>
        <v/>
      </c>
      <c r="U1193" s="73" t="str">
        <f aca="false">IF(OR(P1193="",NOT(ISNUMBER(S1193))),"",IF(OR(S1193&gt;EOMONTH(B1193,0),AND(T1193&gt;0,T1193&lt;B1193)),0,IF(AND(S1193&lt;=B1193,OR(T1193=0,T1193&gt;=EOMONTH(B1193,0))),30,MIN(30,IF(T1193=0,EOMONTH(B1193,0),MIN(T1193,EOMONTH(B1193,0)))-MAX(B1193,S1193)+1))))</f>
        <v/>
      </c>
    </row>
    <row r="1194" customFormat="false" ht="15" hidden="false" customHeight="false" outlineLevel="0" collapsed="false">
      <c r="B1194" s="78"/>
      <c r="C1194" s="64"/>
      <c r="D1194" s="70" t="str">
        <f aca="false">IF(C1194="","",IFERROR(INDEX(T_NOMBRE,MATCH(C1194,T_ID,0)),"⚠ ID no existe"))</f>
        <v/>
      </c>
      <c r="E1194" s="69"/>
      <c r="F1194" s="69"/>
      <c r="G1194" s="69"/>
      <c r="H1194" s="69"/>
      <c r="I1194" s="66"/>
      <c r="J1194" s="69"/>
      <c r="K1194" s="67"/>
      <c r="L1194" s="67"/>
      <c r="M1194" s="67"/>
      <c r="N1194" s="67"/>
      <c r="O1194" s="64"/>
      <c r="P1194" s="72" t="str">
        <f aca="false">IF(OR(B1194="",C1194=""),"",C1194&amp;"|"&amp;(YEAR(B1194)*100+MONTH(B1194)))</f>
        <v/>
      </c>
      <c r="Q1194" s="70" t="str">
        <f aca="false">IF(P1194="","",IF(COUNTIF(N_CLAVE,P1194)&gt;1,"⚠ Duplicado","OK"))</f>
        <v/>
      </c>
      <c r="R1194" s="74" t="str">
        <f aca="false">IF(OR(P1194="",U1194=""),"",MAX(0,U1194-N(E1194)-N(F1194)-N(H1194)))</f>
        <v/>
      </c>
      <c r="S1194" s="75" t="str">
        <f aca="false">IF(P1194="","",IFERROR(INDEX(T_INGRESO,MATCH(C1194,T_ID,0)),""))</f>
        <v/>
      </c>
      <c r="T1194" s="75" t="str">
        <f aca="false">IF(P1194="","",IFERROR(N(INDEX(T_EGRESO,MATCH(C1194,T_ID,0))),0))</f>
        <v/>
      </c>
      <c r="U1194" s="73" t="str">
        <f aca="false">IF(OR(P1194="",NOT(ISNUMBER(S1194))),"",IF(OR(S1194&gt;EOMONTH(B1194,0),AND(T1194&gt;0,T1194&lt;B1194)),0,IF(AND(S1194&lt;=B1194,OR(T1194=0,T1194&gt;=EOMONTH(B1194,0))),30,MIN(30,IF(T1194=0,EOMONTH(B1194,0),MIN(T1194,EOMONTH(B1194,0)))-MAX(B1194,S1194)+1))))</f>
        <v/>
      </c>
    </row>
    <row r="1195" customFormat="false" ht="15" hidden="false" customHeight="false" outlineLevel="0" collapsed="false">
      <c r="B1195" s="78"/>
      <c r="C1195" s="64"/>
      <c r="D1195" s="70" t="str">
        <f aca="false">IF(C1195="","",IFERROR(INDEX(T_NOMBRE,MATCH(C1195,T_ID,0)),"⚠ ID no existe"))</f>
        <v/>
      </c>
      <c r="E1195" s="69"/>
      <c r="F1195" s="69"/>
      <c r="G1195" s="69"/>
      <c r="H1195" s="69"/>
      <c r="I1195" s="66"/>
      <c r="J1195" s="69"/>
      <c r="K1195" s="67"/>
      <c r="L1195" s="67"/>
      <c r="M1195" s="67"/>
      <c r="N1195" s="67"/>
      <c r="O1195" s="64"/>
      <c r="P1195" s="72" t="str">
        <f aca="false">IF(OR(B1195="",C1195=""),"",C1195&amp;"|"&amp;(YEAR(B1195)*100+MONTH(B1195)))</f>
        <v/>
      </c>
      <c r="Q1195" s="70" t="str">
        <f aca="false">IF(P1195="","",IF(COUNTIF(N_CLAVE,P1195)&gt;1,"⚠ Duplicado","OK"))</f>
        <v/>
      </c>
      <c r="R1195" s="74" t="str">
        <f aca="false">IF(OR(P1195="",U1195=""),"",MAX(0,U1195-N(E1195)-N(F1195)-N(H1195)))</f>
        <v/>
      </c>
      <c r="S1195" s="75" t="str">
        <f aca="false">IF(P1195="","",IFERROR(INDEX(T_INGRESO,MATCH(C1195,T_ID,0)),""))</f>
        <v/>
      </c>
      <c r="T1195" s="75" t="str">
        <f aca="false">IF(P1195="","",IFERROR(N(INDEX(T_EGRESO,MATCH(C1195,T_ID,0))),0))</f>
        <v/>
      </c>
      <c r="U1195" s="73" t="str">
        <f aca="false">IF(OR(P1195="",NOT(ISNUMBER(S1195))),"",IF(OR(S1195&gt;EOMONTH(B1195,0),AND(T1195&gt;0,T1195&lt;B1195)),0,IF(AND(S1195&lt;=B1195,OR(T1195=0,T1195&gt;=EOMONTH(B1195,0))),30,MIN(30,IF(T1195=0,EOMONTH(B1195,0),MIN(T1195,EOMONTH(B1195,0)))-MAX(B1195,S1195)+1))))</f>
        <v/>
      </c>
    </row>
    <row r="1196" customFormat="false" ht="15" hidden="false" customHeight="false" outlineLevel="0" collapsed="false">
      <c r="B1196" s="78"/>
      <c r="C1196" s="64"/>
      <c r="D1196" s="70" t="str">
        <f aca="false">IF(C1196="","",IFERROR(INDEX(T_NOMBRE,MATCH(C1196,T_ID,0)),"⚠ ID no existe"))</f>
        <v/>
      </c>
      <c r="E1196" s="69"/>
      <c r="F1196" s="69"/>
      <c r="G1196" s="69"/>
      <c r="H1196" s="69"/>
      <c r="I1196" s="66"/>
      <c r="J1196" s="69"/>
      <c r="K1196" s="67"/>
      <c r="L1196" s="67"/>
      <c r="M1196" s="67"/>
      <c r="N1196" s="67"/>
      <c r="O1196" s="64"/>
      <c r="P1196" s="72" t="str">
        <f aca="false">IF(OR(B1196="",C1196=""),"",C1196&amp;"|"&amp;(YEAR(B1196)*100+MONTH(B1196)))</f>
        <v/>
      </c>
      <c r="Q1196" s="70" t="str">
        <f aca="false">IF(P1196="","",IF(COUNTIF(N_CLAVE,P1196)&gt;1,"⚠ Duplicado","OK"))</f>
        <v/>
      </c>
      <c r="R1196" s="74" t="str">
        <f aca="false">IF(OR(P1196="",U1196=""),"",MAX(0,U1196-N(E1196)-N(F1196)-N(H1196)))</f>
        <v/>
      </c>
      <c r="S1196" s="75" t="str">
        <f aca="false">IF(P1196="","",IFERROR(INDEX(T_INGRESO,MATCH(C1196,T_ID,0)),""))</f>
        <v/>
      </c>
      <c r="T1196" s="75" t="str">
        <f aca="false">IF(P1196="","",IFERROR(N(INDEX(T_EGRESO,MATCH(C1196,T_ID,0))),0))</f>
        <v/>
      </c>
      <c r="U1196" s="73" t="str">
        <f aca="false">IF(OR(P1196="",NOT(ISNUMBER(S1196))),"",IF(OR(S1196&gt;EOMONTH(B1196,0),AND(T1196&gt;0,T1196&lt;B1196)),0,IF(AND(S1196&lt;=B1196,OR(T1196=0,T1196&gt;=EOMONTH(B1196,0))),30,MIN(30,IF(T1196=0,EOMONTH(B1196,0),MIN(T1196,EOMONTH(B1196,0)))-MAX(B1196,S1196)+1))))</f>
        <v/>
      </c>
    </row>
    <row r="1197" customFormat="false" ht="15" hidden="false" customHeight="false" outlineLevel="0" collapsed="false">
      <c r="B1197" s="78"/>
      <c r="C1197" s="64"/>
      <c r="D1197" s="70" t="str">
        <f aca="false">IF(C1197="","",IFERROR(INDEX(T_NOMBRE,MATCH(C1197,T_ID,0)),"⚠ ID no existe"))</f>
        <v/>
      </c>
      <c r="E1197" s="69"/>
      <c r="F1197" s="69"/>
      <c r="G1197" s="69"/>
      <c r="H1197" s="69"/>
      <c r="I1197" s="66"/>
      <c r="J1197" s="69"/>
      <c r="K1197" s="67"/>
      <c r="L1197" s="67"/>
      <c r="M1197" s="67"/>
      <c r="N1197" s="67"/>
      <c r="O1197" s="64"/>
      <c r="P1197" s="72" t="str">
        <f aca="false">IF(OR(B1197="",C1197=""),"",C1197&amp;"|"&amp;(YEAR(B1197)*100+MONTH(B1197)))</f>
        <v/>
      </c>
      <c r="Q1197" s="70" t="str">
        <f aca="false">IF(P1197="","",IF(COUNTIF(N_CLAVE,P1197)&gt;1,"⚠ Duplicado","OK"))</f>
        <v/>
      </c>
      <c r="R1197" s="74" t="str">
        <f aca="false">IF(OR(P1197="",U1197=""),"",MAX(0,U1197-N(E1197)-N(F1197)-N(H1197)))</f>
        <v/>
      </c>
      <c r="S1197" s="75" t="str">
        <f aca="false">IF(P1197="","",IFERROR(INDEX(T_INGRESO,MATCH(C1197,T_ID,0)),""))</f>
        <v/>
      </c>
      <c r="T1197" s="75" t="str">
        <f aca="false">IF(P1197="","",IFERROR(N(INDEX(T_EGRESO,MATCH(C1197,T_ID,0))),0))</f>
        <v/>
      </c>
      <c r="U1197" s="73" t="str">
        <f aca="false">IF(OR(P1197="",NOT(ISNUMBER(S1197))),"",IF(OR(S1197&gt;EOMONTH(B1197,0),AND(T1197&gt;0,T1197&lt;B1197)),0,IF(AND(S1197&lt;=B1197,OR(T1197=0,T1197&gt;=EOMONTH(B1197,0))),30,MIN(30,IF(T1197=0,EOMONTH(B1197,0),MIN(T1197,EOMONTH(B1197,0)))-MAX(B1197,S1197)+1))))</f>
        <v/>
      </c>
    </row>
    <row r="1198" customFormat="false" ht="15" hidden="false" customHeight="false" outlineLevel="0" collapsed="false">
      <c r="B1198" s="78"/>
      <c r="C1198" s="64"/>
      <c r="D1198" s="70" t="str">
        <f aca="false">IF(C1198="","",IFERROR(INDEX(T_NOMBRE,MATCH(C1198,T_ID,0)),"⚠ ID no existe"))</f>
        <v/>
      </c>
      <c r="E1198" s="69"/>
      <c r="F1198" s="69"/>
      <c r="G1198" s="69"/>
      <c r="H1198" s="69"/>
      <c r="I1198" s="66"/>
      <c r="J1198" s="69"/>
      <c r="K1198" s="67"/>
      <c r="L1198" s="67"/>
      <c r="M1198" s="67"/>
      <c r="N1198" s="67"/>
      <c r="O1198" s="64"/>
      <c r="P1198" s="72" t="str">
        <f aca="false">IF(OR(B1198="",C1198=""),"",C1198&amp;"|"&amp;(YEAR(B1198)*100+MONTH(B1198)))</f>
        <v/>
      </c>
      <c r="Q1198" s="70" t="str">
        <f aca="false">IF(P1198="","",IF(COUNTIF(N_CLAVE,P1198)&gt;1,"⚠ Duplicado","OK"))</f>
        <v/>
      </c>
      <c r="R1198" s="74" t="str">
        <f aca="false">IF(OR(P1198="",U1198=""),"",MAX(0,U1198-N(E1198)-N(F1198)-N(H1198)))</f>
        <v/>
      </c>
      <c r="S1198" s="75" t="str">
        <f aca="false">IF(P1198="","",IFERROR(INDEX(T_INGRESO,MATCH(C1198,T_ID,0)),""))</f>
        <v/>
      </c>
      <c r="T1198" s="75" t="str">
        <f aca="false">IF(P1198="","",IFERROR(N(INDEX(T_EGRESO,MATCH(C1198,T_ID,0))),0))</f>
        <v/>
      </c>
      <c r="U1198" s="73" t="str">
        <f aca="false">IF(OR(P1198="",NOT(ISNUMBER(S1198))),"",IF(OR(S1198&gt;EOMONTH(B1198,0),AND(T1198&gt;0,T1198&lt;B1198)),0,IF(AND(S1198&lt;=B1198,OR(T1198=0,T1198&gt;=EOMONTH(B1198,0))),30,MIN(30,IF(T1198=0,EOMONTH(B1198,0),MIN(T1198,EOMONTH(B1198,0)))-MAX(B1198,S1198)+1))))</f>
        <v/>
      </c>
    </row>
    <row r="1199" customFormat="false" ht="15" hidden="false" customHeight="false" outlineLevel="0" collapsed="false">
      <c r="B1199" s="78"/>
      <c r="C1199" s="64"/>
      <c r="D1199" s="70" t="str">
        <f aca="false">IF(C1199="","",IFERROR(INDEX(T_NOMBRE,MATCH(C1199,T_ID,0)),"⚠ ID no existe"))</f>
        <v/>
      </c>
      <c r="E1199" s="69"/>
      <c r="F1199" s="69"/>
      <c r="G1199" s="69"/>
      <c r="H1199" s="69"/>
      <c r="I1199" s="66"/>
      <c r="J1199" s="69"/>
      <c r="K1199" s="67"/>
      <c r="L1199" s="67"/>
      <c r="M1199" s="67"/>
      <c r="N1199" s="67"/>
      <c r="O1199" s="64"/>
      <c r="P1199" s="72" t="str">
        <f aca="false">IF(OR(B1199="",C1199=""),"",C1199&amp;"|"&amp;(YEAR(B1199)*100+MONTH(B1199)))</f>
        <v/>
      </c>
      <c r="Q1199" s="70" t="str">
        <f aca="false">IF(P1199="","",IF(COUNTIF(N_CLAVE,P1199)&gt;1,"⚠ Duplicado","OK"))</f>
        <v/>
      </c>
      <c r="R1199" s="74" t="str">
        <f aca="false">IF(OR(P1199="",U1199=""),"",MAX(0,U1199-N(E1199)-N(F1199)-N(H1199)))</f>
        <v/>
      </c>
      <c r="S1199" s="75" t="str">
        <f aca="false">IF(P1199="","",IFERROR(INDEX(T_INGRESO,MATCH(C1199,T_ID,0)),""))</f>
        <v/>
      </c>
      <c r="T1199" s="75" t="str">
        <f aca="false">IF(P1199="","",IFERROR(N(INDEX(T_EGRESO,MATCH(C1199,T_ID,0))),0))</f>
        <v/>
      </c>
      <c r="U1199" s="73" t="str">
        <f aca="false">IF(OR(P1199="",NOT(ISNUMBER(S1199))),"",IF(OR(S1199&gt;EOMONTH(B1199,0),AND(T1199&gt;0,T1199&lt;B1199)),0,IF(AND(S1199&lt;=B1199,OR(T1199=0,T1199&gt;=EOMONTH(B1199,0))),30,MIN(30,IF(T1199=0,EOMONTH(B1199,0),MIN(T1199,EOMONTH(B1199,0)))-MAX(B1199,S1199)+1))))</f>
        <v/>
      </c>
    </row>
    <row r="1200" customFormat="false" ht="15" hidden="false" customHeight="false" outlineLevel="0" collapsed="false">
      <c r="B1200" s="78"/>
      <c r="C1200" s="64"/>
      <c r="D1200" s="70" t="str">
        <f aca="false">IF(C1200="","",IFERROR(INDEX(T_NOMBRE,MATCH(C1200,T_ID,0)),"⚠ ID no existe"))</f>
        <v/>
      </c>
      <c r="E1200" s="69"/>
      <c r="F1200" s="69"/>
      <c r="G1200" s="69"/>
      <c r="H1200" s="69"/>
      <c r="I1200" s="66"/>
      <c r="J1200" s="69"/>
      <c r="K1200" s="67"/>
      <c r="L1200" s="67"/>
      <c r="M1200" s="67"/>
      <c r="N1200" s="67"/>
      <c r="O1200" s="64"/>
      <c r="P1200" s="72" t="str">
        <f aca="false">IF(OR(B1200="",C1200=""),"",C1200&amp;"|"&amp;(YEAR(B1200)*100+MONTH(B1200)))</f>
        <v/>
      </c>
      <c r="Q1200" s="70" t="str">
        <f aca="false">IF(P1200="","",IF(COUNTIF(N_CLAVE,P1200)&gt;1,"⚠ Duplicado","OK"))</f>
        <v/>
      </c>
      <c r="R1200" s="74" t="str">
        <f aca="false">IF(OR(P1200="",U1200=""),"",MAX(0,U1200-N(E1200)-N(F1200)-N(H1200)))</f>
        <v/>
      </c>
      <c r="S1200" s="75" t="str">
        <f aca="false">IF(P1200="","",IFERROR(INDEX(T_INGRESO,MATCH(C1200,T_ID,0)),""))</f>
        <v/>
      </c>
      <c r="T1200" s="75" t="str">
        <f aca="false">IF(P1200="","",IFERROR(N(INDEX(T_EGRESO,MATCH(C1200,T_ID,0))),0))</f>
        <v/>
      </c>
      <c r="U1200" s="73" t="str">
        <f aca="false">IF(OR(P1200="",NOT(ISNUMBER(S1200))),"",IF(OR(S1200&gt;EOMONTH(B1200,0),AND(T1200&gt;0,T1200&lt;B1200)),0,IF(AND(S1200&lt;=B1200,OR(T1200=0,T1200&gt;=EOMONTH(B1200,0))),30,MIN(30,IF(T1200=0,EOMONTH(B1200,0),MIN(T1200,EOMONTH(B1200,0)))-MAX(B1200,S1200)+1))))</f>
        <v/>
      </c>
    </row>
    <row r="1201" customFormat="false" ht="15" hidden="false" customHeight="false" outlineLevel="0" collapsed="false">
      <c r="B1201" s="78"/>
      <c r="C1201" s="64"/>
      <c r="D1201" s="70" t="str">
        <f aca="false">IF(C1201="","",IFERROR(INDEX(T_NOMBRE,MATCH(C1201,T_ID,0)),"⚠ ID no existe"))</f>
        <v/>
      </c>
      <c r="E1201" s="69"/>
      <c r="F1201" s="69"/>
      <c r="G1201" s="69"/>
      <c r="H1201" s="69"/>
      <c r="I1201" s="66"/>
      <c r="J1201" s="69"/>
      <c r="K1201" s="67"/>
      <c r="L1201" s="67"/>
      <c r="M1201" s="67"/>
      <c r="N1201" s="67"/>
      <c r="O1201" s="64"/>
      <c r="P1201" s="72" t="str">
        <f aca="false">IF(OR(B1201="",C1201=""),"",C1201&amp;"|"&amp;(YEAR(B1201)*100+MONTH(B1201)))</f>
        <v/>
      </c>
      <c r="Q1201" s="70" t="str">
        <f aca="false">IF(P1201="","",IF(COUNTIF(N_CLAVE,P1201)&gt;1,"⚠ Duplicado","OK"))</f>
        <v/>
      </c>
      <c r="R1201" s="74" t="str">
        <f aca="false">IF(OR(P1201="",U1201=""),"",MAX(0,U1201-N(E1201)-N(F1201)-N(H1201)))</f>
        <v/>
      </c>
      <c r="S1201" s="75" t="str">
        <f aca="false">IF(P1201="","",IFERROR(INDEX(T_INGRESO,MATCH(C1201,T_ID,0)),""))</f>
        <v/>
      </c>
      <c r="T1201" s="75" t="str">
        <f aca="false">IF(P1201="","",IFERROR(N(INDEX(T_EGRESO,MATCH(C1201,T_ID,0))),0))</f>
        <v/>
      </c>
      <c r="U1201" s="73" t="str">
        <f aca="false">IF(OR(P1201="",NOT(ISNUMBER(S1201))),"",IF(OR(S1201&gt;EOMONTH(B1201,0),AND(T1201&gt;0,T1201&lt;B1201)),0,IF(AND(S1201&lt;=B1201,OR(T1201=0,T1201&gt;=EOMONTH(B1201,0))),30,MIN(30,IF(T1201=0,EOMONTH(B1201,0),MIN(T1201,EOMONTH(B1201,0)))-MAX(B1201,S1201)+1))))</f>
        <v/>
      </c>
    </row>
    <row r="1202" customFormat="false" ht="15" hidden="false" customHeight="false" outlineLevel="0" collapsed="false">
      <c r="B1202" s="78"/>
      <c r="C1202" s="64"/>
      <c r="D1202" s="70" t="str">
        <f aca="false">IF(C1202="","",IFERROR(INDEX(T_NOMBRE,MATCH(C1202,T_ID,0)),"⚠ ID no existe"))</f>
        <v/>
      </c>
      <c r="E1202" s="69"/>
      <c r="F1202" s="69"/>
      <c r="G1202" s="69"/>
      <c r="H1202" s="69"/>
      <c r="I1202" s="66"/>
      <c r="J1202" s="69"/>
      <c r="K1202" s="67"/>
      <c r="L1202" s="67"/>
      <c r="M1202" s="67"/>
      <c r="N1202" s="67"/>
      <c r="O1202" s="64"/>
      <c r="P1202" s="72" t="str">
        <f aca="false">IF(OR(B1202="",C1202=""),"",C1202&amp;"|"&amp;(YEAR(B1202)*100+MONTH(B1202)))</f>
        <v/>
      </c>
      <c r="Q1202" s="70" t="str">
        <f aca="false">IF(P1202="","",IF(COUNTIF(N_CLAVE,P1202)&gt;1,"⚠ Duplicado","OK"))</f>
        <v/>
      </c>
      <c r="R1202" s="74" t="str">
        <f aca="false">IF(OR(P1202="",U1202=""),"",MAX(0,U1202-N(E1202)-N(F1202)-N(H1202)))</f>
        <v/>
      </c>
      <c r="S1202" s="75" t="str">
        <f aca="false">IF(P1202="","",IFERROR(INDEX(T_INGRESO,MATCH(C1202,T_ID,0)),""))</f>
        <v/>
      </c>
      <c r="T1202" s="75" t="str">
        <f aca="false">IF(P1202="","",IFERROR(N(INDEX(T_EGRESO,MATCH(C1202,T_ID,0))),0))</f>
        <v/>
      </c>
      <c r="U1202" s="73" t="str">
        <f aca="false">IF(OR(P1202="",NOT(ISNUMBER(S1202))),"",IF(OR(S1202&gt;EOMONTH(B1202,0),AND(T1202&gt;0,T1202&lt;B1202)),0,IF(AND(S1202&lt;=B1202,OR(T1202=0,T1202&gt;=EOMONTH(B1202,0))),30,MIN(30,IF(T1202=0,EOMONTH(B1202,0),MIN(T1202,EOMONTH(B1202,0)))-MAX(B1202,S1202)+1))))</f>
        <v/>
      </c>
    </row>
    <row r="1203" customFormat="false" ht="15" hidden="false" customHeight="false" outlineLevel="0" collapsed="false">
      <c r="B1203" s="78"/>
      <c r="C1203" s="64"/>
      <c r="D1203" s="70" t="str">
        <f aca="false">IF(C1203="","",IFERROR(INDEX(T_NOMBRE,MATCH(C1203,T_ID,0)),"⚠ ID no existe"))</f>
        <v/>
      </c>
      <c r="E1203" s="69"/>
      <c r="F1203" s="69"/>
      <c r="G1203" s="69"/>
      <c r="H1203" s="69"/>
      <c r="I1203" s="66"/>
      <c r="J1203" s="69"/>
      <c r="K1203" s="67"/>
      <c r="L1203" s="67"/>
      <c r="M1203" s="67"/>
      <c r="N1203" s="67"/>
      <c r="O1203" s="64"/>
      <c r="P1203" s="72" t="str">
        <f aca="false">IF(OR(B1203="",C1203=""),"",C1203&amp;"|"&amp;(YEAR(B1203)*100+MONTH(B1203)))</f>
        <v/>
      </c>
      <c r="Q1203" s="70" t="str">
        <f aca="false">IF(P1203="","",IF(COUNTIF(N_CLAVE,P1203)&gt;1,"⚠ Duplicado","OK"))</f>
        <v/>
      </c>
      <c r="R1203" s="74" t="str">
        <f aca="false">IF(OR(P1203="",U1203=""),"",MAX(0,U1203-N(E1203)-N(F1203)-N(H1203)))</f>
        <v/>
      </c>
      <c r="S1203" s="75" t="str">
        <f aca="false">IF(P1203="","",IFERROR(INDEX(T_INGRESO,MATCH(C1203,T_ID,0)),""))</f>
        <v/>
      </c>
      <c r="T1203" s="75" t="str">
        <f aca="false">IF(P1203="","",IFERROR(N(INDEX(T_EGRESO,MATCH(C1203,T_ID,0))),0))</f>
        <v/>
      </c>
      <c r="U1203" s="73" t="str">
        <f aca="false">IF(OR(P1203="",NOT(ISNUMBER(S1203))),"",IF(OR(S1203&gt;EOMONTH(B1203,0),AND(T1203&gt;0,T1203&lt;B1203)),0,IF(AND(S1203&lt;=B1203,OR(T1203=0,T1203&gt;=EOMONTH(B1203,0))),30,MIN(30,IF(T1203=0,EOMONTH(B1203,0),MIN(T1203,EOMONTH(B1203,0)))-MAX(B1203,S1203)+1))))</f>
        <v/>
      </c>
    </row>
    <row r="1204" customFormat="false" ht="15" hidden="false" customHeight="false" outlineLevel="0" collapsed="false">
      <c r="B1204" s="78"/>
      <c r="C1204" s="64"/>
      <c r="D1204" s="70" t="str">
        <f aca="false">IF(C1204="","",IFERROR(INDEX(T_NOMBRE,MATCH(C1204,T_ID,0)),"⚠ ID no existe"))</f>
        <v/>
      </c>
      <c r="E1204" s="69"/>
      <c r="F1204" s="69"/>
      <c r="G1204" s="69"/>
      <c r="H1204" s="69"/>
      <c r="I1204" s="66"/>
      <c r="J1204" s="69"/>
      <c r="K1204" s="67"/>
      <c r="L1204" s="67"/>
      <c r="M1204" s="67"/>
      <c r="N1204" s="67"/>
      <c r="O1204" s="64"/>
      <c r="P1204" s="72" t="str">
        <f aca="false">IF(OR(B1204="",C1204=""),"",C1204&amp;"|"&amp;(YEAR(B1204)*100+MONTH(B1204)))</f>
        <v/>
      </c>
      <c r="Q1204" s="70" t="str">
        <f aca="false">IF(P1204="","",IF(COUNTIF(N_CLAVE,P1204)&gt;1,"⚠ Duplicado","OK"))</f>
        <v/>
      </c>
      <c r="R1204" s="74" t="str">
        <f aca="false">IF(OR(P1204="",U1204=""),"",MAX(0,U1204-N(E1204)-N(F1204)-N(H1204)))</f>
        <v/>
      </c>
      <c r="S1204" s="75" t="str">
        <f aca="false">IF(P1204="","",IFERROR(INDEX(T_INGRESO,MATCH(C1204,T_ID,0)),""))</f>
        <v/>
      </c>
      <c r="T1204" s="75" t="str">
        <f aca="false">IF(P1204="","",IFERROR(N(INDEX(T_EGRESO,MATCH(C1204,T_ID,0))),0))</f>
        <v/>
      </c>
      <c r="U1204" s="73" t="str">
        <f aca="false">IF(OR(P1204="",NOT(ISNUMBER(S1204))),"",IF(OR(S1204&gt;EOMONTH(B1204,0),AND(T1204&gt;0,T1204&lt;B1204)),0,IF(AND(S1204&lt;=B1204,OR(T1204=0,T1204&gt;=EOMONTH(B1204,0))),30,MIN(30,IF(T1204=0,EOMONTH(B1204,0),MIN(T1204,EOMONTH(B1204,0)))-MAX(B1204,S1204)+1))))</f>
        <v/>
      </c>
    </row>
    <row r="1205" customFormat="false" ht="15" hidden="false" customHeight="false" outlineLevel="0" collapsed="false">
      <c r="B1205" s="78"/>
      <c r="C1205" s="64"/>
      <c r="D1205" s="70" t="str">
        <f aca="false">IF(C1205="","",IFERROR(INDEX(T_NOMBRE,MATCH(C1205,T_ID,0)),"⚠ ID no existe"))</f>
        <v/>
      </c>
      <c r="E1205" s="69"/>
      <c r="F1205" s="69"/>
      <c r="G1205" s="69"/>
      <c r="H1205" s="69"/>
      <c r="I1205" s="66"/>
      <c r="J1205" s="69"/>
      <c r="K1205" s="67"/>
      <c r="L1205" s="67"/>
      <c r="M1205" s="67"/>
      <c r="N1205" s="67"/>
      <c r="O1205" s="64"/>
      <c r="P1205" s="72" t="str">
        <f aca="false">IF(OR(B1205="",C1205=""),"",C1205&amp;"|"&amp;(YEAR(B1205)*100+MONTH(B1205)))</f>
        <v/>
      </c>
      <c r="Q1205" s="70" t="str">
        <f aca="false">IF(P1205="","",IF(COUNTIF(N_CLAVE,P1205)&gt;1,"⚠ Duplicado","OK"))</f>
        <v/>
      </c>
      <c r="R1205" s="74" t="str">
        <f aca="false">IF(OR(P1205="",U1205=""),"",MAX(0,U1205-N(E1205)-N(F1205)-N(H1205)))</f>
        <v/>
      </c>
      <c r="S1205" s="75" t="str">
        <f aca="false">IF(P1205="","",IFERROR(INDEX(T_INGRESO,MATCH(C1205,T_ID,0)),""))</f>
        <v/>
      </c>
      <c r="T1205" s="75" t="str">
        <f aca="false">IF(P1205="","",IFERROR(N(INDEX(T_EGRESO,MATCH(C1205,T_ID,0))),0))</f>
        <v/>
      </c>
      <c r="U1205" s="73" t="str">
        <f aca="false">IF(OR(P1205="",NOT(ISNUMBER(S1205))),"",IF(OR(S1205&gt;EOMONTH(B1205,0),AND(T1205&gt;0,T1205&lt;B1205)),0,IF(AND(S1205&lt;=B1205,OR(T1205=0,T1205&gt;=EOMONTH(B1205,0))),30,MIN(30,IF(T1205=0,EOMONTH(B1205,0),MIN(T1205,EOMONTH(B1205,0)))-MAX(B1205,S1205)+1))))</f>
        <v/>
      </c>
    </row>
    <row r="1206" customFormat="false" ht="15" hidden="false" customHeight="false" outlineLevel="0" collapsed="false">
      <c r="B1206" s="78"/>
      <c r="C1206" s="64"/>
      <c r="D1206" s="70" t="str">
        <f aca="false">IF(C1206="","",IFERROR(INDEX(T_NOMBRE,MATCH(C1206,T_ID,0)),"⚠ ID no existe"))</f>
        <v/>
      </c>
      <c r="E1206" s="69"/>
      <c r="F1206" s="69"/>
      <c r="G1206" s="69"/>
      <c r="H1206" s="69"/>
      <c r="I1206" s="66"/>
      <c r="J1206" s="69"/>
      <c r="K1206" s="67"/>
      <c r="L1206" s="67"/>
      <c r="M1206" s="67"/>
      <c r="N1206" s="67"/>
      <c r="O1206" s="64"/>
      <c r="P1206" s="72" t="str">
        <f aca="false">IF(OR(B1206="",C1206=""),"",C1206&amp;"|"&amp;(YEAR(B1206)*100+MONTH(B1206)))</f>
        <v/>
      </c>
      <c r="Q1206" s="70" t="str">
        <f aca="false">IF(P1206="","",IF(COUNTIF(N_CLAVE,P1206)&gt;1,"⚠ Duplicado","OK"))</f>
        <v/>
      </c>
      <c r="R1206" s="74" t="str">
        <f aca="false">IF(OR(P1206="",U1206=""),"",MAX(0,U1206-N(E1206)-N(F1206)-N(H1206)))</f>
        <v/>
      </c>
      <c r="S1206" s="75" t="str">
        <f aca="false">IF(P1206="","",IFERROR(INDEX(T_INGRESO,MATCH(C1206,T_ID,0)),""))</f>
        <v/>
      </c>
      <c r="T1206" s="75" t="str">
        <f aca="false">IF(P1206="","",IFERROR(N(INDEX(T_EGRESO,MATCH(C1206,T_ID,0))),0))</f>
        <v/>
      </c>
      <c r="U1206" s="73" t="str">
        <f aca="false">IF(OR(P1206="",NOT(ISNUMBER(S1206))),"",IF(OR(S1206&gt;EOMONTH(B1206,0),AND(T1206&gt;0,T1206&lt;B1206)),0,IF(AND(S1206&lt;=B1206,OR(T1206=0,T1206&gt;=EOMONTH(B1206,0))),30,MIN(30,IF(T1206=0,EOMONTH(B1206,0),MIN(T1206,EOMONTH(B1206,0)))-MAX(B1206,S1206)+1))))</f>
        <v/>
      </c>
    </row>
    <row r="1207" customFormat="false" ht="15" hidden="false" customHeight="false" outlineLevel="0" collapsed="false">
      <c r="B1207" s="78"/>
      <c r="C1207" s="64"/>
      <c r="D1207" s="70" t="str">
        <f aca="false">IF(C1207="","",IFERROR(INDEX(T_NOMBRE,MATCH(C1207,T_ID,0)),"⚠ ID no existe"))</f>
        <v/>
      </c>
      <c r="E1207" s="69"/>
      <c r="F1207" s="69"/>
      <c r="G1207" s="69"/>
      <c r="H1207" s="69"/>
      <c r="I1207" s="66"/>
      <c r="J1207" s="69"/>
      <c r="K1207" s="67"/>
      <c r="L1207" s="67"/>
      <c r="M1207" s="67"/>
      <c r="N1207" s="67"/>
      <c r="O1207" s="64"/>
      <c r="P1207" s="72" t="str">
        <f aca="false">IF(OR(B1207="",C1207=""),"",C1207&amp;"|"&amp;(YEAR(B1207)*100+MONTH(B1207)))</f>
        <v/>
      </c>
      <c r="Q1207" s="70" t="str">
        <f aca="false">IF(P1207="","",IF(COUNTIF(N_CLAVE,P1207)&gt;1,"⚠ Duplicado","OK"))</f>
        <v/>
      </c>
      <c r="R1207" s="74" t="str">
        <f aca="false">IF(OR(P1207="",U1207=""),"",MAX(0,U1207-N(E1207)-N(F1207)-N(H1207)))</f>
        <v/>
      </c>
      <c r="S1207" s="75" t="str">
        <f aca="false">IF(P1207="","",IFERROR(INDEX(T_INGRESO,MATCH(C1207,T_ID,0)),""))</f>
        <v/>
      </c>
      <c r="T1207" s="75" t="str">
        <f aca="false">IF(P1207="","",IFERROR(N(INDEX(T_EGRESO,MATCH(C1207,T_ID,0))),0))</f>
        <v/>
      </c>
      <c r="U1207" s="73" t="str">
        <f aca="false">IF(OR(P1207="",NOT(ISNUMBER(S1207))),"",IF(OR(S1207&gt;EOMONTH(B1207,0),AND(T1207&gt;0,T1207&lt;B1207)),0,IF(AND(S1207&lt;=B1207,OR(T1207=0,T1207&gt;=EOMONTH(B1207,0))),30,MIN(30,IF(T1207=0,EOMONTH(B1207,0),MIN(T1207,EOMONTH(B1207,0)))-MAX(B1207,S1207)+1))))</f>
        <v/>
      </c>
    </row>
    <row r="1208" customFormat="false" ht="15" hidden="false" customHeight="false" outlineLevel="0" collapsed="false">
      <c r="B1208" s="78"/>
      <c r="C1208" s="64"/>
      <c r="D1208" s="70" t="str">
        <f aca="false">IF(C1208="","",IFERROR(INDEX(T_NOMBRE,MATCH(C1208,T_ID,0)),"⚠ ID no existe"))</f>
        <v/>
      </c>
      <c r="E1208" s="69"/>
      <c r="F1208" s="69"/>
      <c r="G1208" s="69"/>
      <c r="H1208" s="69"/>
      <c r="I1208" s="66"/>
      <c r="J1208" s="69"/>
      <c r="K1208" s="67"/>
      <c r="L1208" s="67"/>
      <c r="M1208" s="67"/>
      <c r="N1208" s="67"/>
      <c r="O1208" s="64"/>
      <c r="P1208" s="72" t="str">
        <f aca="false">IF(OR(B1208="",C1208=""),"",C1208&amp;"|"&amp;(YEAR(B1208)*100+MONTH(B1208)))</f>
        <v/>
      </c>
      <c r="Q1208" s="70" t="str">
        <f aca="false">IF(P1208="","",IF(COUNTIF(N_CLAVE,P1208)&gt;1,"⚠ Duplicado","OK"))</f>
        <v/>
      </c>
      <c r="R1208" s="74" t="str">
        <f aca="false">IF(OR(P1208="",U1208=""),"",MAX(0,U1208-N(E1208)-N(F1208)-N(H1208)))</f>
        <v/>
      </c>
      <c r="S1208" s="75" t="str">
        <f aca="false">IF(P1208="","",IFERROR(INDEX(T_INGRESO,MATCH(C1208,T_ID,0)),""))</f>
        <v/>
      </c>
      <c r="T1208" s="75" t="str">
        <f aca="false">IF(P1208="","",IFERROR(N(INDEX(T_EGRESO,MATCH(C1208,T_ID,0))),0))</f>
        <v/>
      </c>
      <c r="U1208" s="73" t="str">
        <f aca="false">IF(OR(P1208="",NOT(ISNUMBER(S1208))),"",IF(OR(S1208&gt;EOMONTH(B1208,0),AND(T1208&gt;0,T1208&lt;B1208)),0,IF(AND(S1208&lt;=B1208,OR(T1208=0,T1208&gt;=EOMONTH(B1208,0))),30,MIN(30,IF(T1208=0,EOMONTH(B1208,0),MIN(T1208,EOMONTH(B1208,0)))-MAX(B1208,S1208)+1))))</f>
        <v/>
      </c>
    </row>
    <row r="1209" customFormat="false" ht="15" hidden="false" customHeight="false" outlineLevel="0" collapsed="false">
      <c r="B1209" s="78"/>
      <c r="C1209" s="64"/>
      <c r="D1209" s="70" t="str">
        <f aca="false">IF(C1209="","",IFERROR(INDEX(T_NOMBRE,MATCH(C1209,T_ID,0)),"⚠ ID no existe"))</f>
        <v/>
      </c>
      <c r="E1209" s="69"/>
      <c r="F1209" s="69"/>
      <c r="G1209" s="69"/>
      <c r="H1209" s="69"/>
      <c r="I1209" s="66"/>
      <c r="J1209" s="69"/>
      <c r="K1209" s="67"/>
      <c r="L1209" s="67"/>
      <c r="M1209" s="67"/>
      <c r="N1209" s="67"/>
      <c r="O1209" s="64"/>
      <c r="P1209" s="72" t="str">
        <f aca="false">IF(OR(B1209="",C1209=""),"",C1209&amp;"|"&amp;(YEAR(B1209)*100+MONTH(B1209)))</f>
        <v/>
      </c>
      <c r="Q1209" s="70" t="str">
        <f aca="false">IF(P1209="","",IF(COUNTIF(N_CLAVE,P1209)&gt;1,"⚠ Duplicado","OK"))</f>
        <v/>
      </c>
      <c r="R1209" s="74" t="str">
        <f aca="false">IF(OR(P1209="",U1209=""),"",MAX(0,U1209-N(E1209)-N(F1209)-N(H1209)))</f>
        <v/>
      </c>
      <c r="S1209" s="75" t="str">
        <f aca="false">IF(P1209="","",IFERROR(INDEX(T_INGRESO,MATCH(C1209,T_ID,0)),""))</f>
        <v/>
      </c>
      <c r="T1209" s="75" t="str">
        <f aca="false">IF(P1209="","",IFERROR(N(INDEX(T_EGRESO,MATCH(C1209,T_ID,0))),0))</f>
        <v/>
      </c>
      <c r="U1209" s="73" t="str">
        <f aca="false">IF(OR(P1209="",NOT(ISNUMBER(S1209))),"",IF(OR(S1209&gt;EOMONTH(B1209,0),AND(T1209&gt;0,T1209&lt;B1209)),0,IF(AND(S1209&lt;=B1209,OR(T1209=0,T1209&gt;=EOMONTH(B1209,0))),30,MIN(30,IF(T1209=0,EOMONTH(B1209,0),MIN(T1209,EOMONTH(B1209,0)))-MAX(B1209,S1209)+1))))</f>
        <v/>
      </c>
    </row>
    <row r="1210" customFormat="false" ht="15" hidden="false" customHeight="false" outlineLevel="0" collapsed="false">
      <c r="B1210" s="78"/>
      <c r="C1210" s="64"/>
      <c r="D1210" s="70" t="str">
        <f aca="false">IF(C1210="","",IFERROR(INDEX(T_NOMBRE,MATCH(C1210,T_ID,0)),"⚠ ID no existe"))</f>
        <v/>
      </c>
      <c r="E1210" s="69"/>
      <c r="F1210" s="69"/>
      <c r="G1210" s="69"/>
      <c r="H1210" s="69"/>
      <c r="I1210" s="66"/>
      <c r="J1210" s="69"/>
      <c r="K1210" s="67"/>
      <c r="L1210" s="67"/>
      <c r="M1210" s="67"/>
      <c r="N1210" s="67"/>
      <c r="O1210" s="64"/>
      <c r="P1210" s="72" t="str">
        <f aca="false">IF(OR(B1210="",C1210=""),"",C1210&amp;"|"&amp;(YEAR(B1210)*100+MONTH(B1210)))</f>
        <v/>
      </c>
      <c r="Q1210" s="70" t="str">
        <f aca="false">IF(P1210="","",IF(COUNTIF(N_CLAVE,P1210)&gt;1,"⚠ Duplicado","OK"))</f>
        <v/>
      </c>
      <c r="R1210" s="74" t="str">
        <f aca="false">IF(OR(P1210="",U1210=""),"",MAX(0,U1210-N(E1210)-N(F1210)-N(H1210)))</f>
        <v/>
      </c>
      <c r="S1210" s="75" t="str">
        <f aca="false">IF(P1210="","",IFERROR(INDEX(T_INGRESO,MATCH(C1210,T_ID,0)),""))</f>
        <v/>
      </c>
      <c r="T1210" s="75" t="str">
        <f aca="false">IF(P1210="","",IFERROR(N(INDEX(T_EGRESO,MATCH(C1210,T_ID,0))),0))</f>
        <v/>
      </c>
      <c r="U1210" s="73" t="str">
        <f aca="false">IF(OR(P1210="",NOT(ISNUMBER(S1210))),"",IF(OR(S1210&gt;EOMONTH(B1210,0),AND(T1210&gt;0,T1210&lt;B1210)),0,IF(AND(S1210&lt;=B1210,OR(T1210=0,T1210&gt;=EOMONTH(B1210,0))),30,MIN(30,IF(T1210=0,EOMONTH(B1210,0),MIN(T1210,EOMONTH(B1210,0)))-MAX(B1210,S1210)+1))))</f>
        <v/>
      </c>
    </row>
    <row r="1211" customFormat="false" ht="15" hidden="false" customHeight="false" outlineLevel="0" collapsed="false">
      <c r="B1211" s="78"/>
      <c r="C1211" s="64"/>
      <c r="D1211" s="70" t="str">
        <f aca="false">IF(C1211="","",IFERROR(INDEX(T_NOMBRE,MATCH(C1211,T_ID,0)),"⚠ ID no existe"))</f>
        <v/>
      </c>
      <c r="E1211" s="69"/>
      <c r="F1211" s="69"/>
      <c r="G1211" s="69"/>
      <c r="H1211" s="69"/>
      <c r="I1211" s="66"/>
      <c r="J1211" s="69"/>
      <c r="K1211" s="67"/>
      <c r="L1211" s="67"/>
      <c r="M1211" s="67"/>
      <c r="N1211" s="67"/>
      <c r="O1211" s="64"/>
      <c r="P1211" s="72" t="str">
        <f aca="false">IF(OR(B1211="",C1211=""),"",C1211&amp;"|"&amp;(YEAR(B1211)*100+MONTH(B1211)))</f>
        <v/>
      </c>
      <c r="Q1211" s="70" t="str">
        <f aca="false">IF(P1211="","",IF(COUNTIF(N_CLAVE,P1211)&gt;1,"⚠ Duplicado","OK"))</f>
        <v/>
      </c>
      <c r="R1211" s="74" t="str">
        <f aca="false">IF(OR(P1211="",U1211=""),"",MAX(0,U1211-N(E1211)-N(F1211)-N(H1211)))</f>
        <v/>
      </c>
      <c r="S1211" s="75" t="str">
        <f aca="false">IF(P1211="","",IFERROR(INDEX(T_INGRESO,MATCH(C1211,T_ID,0)),""))</f>
        <v/>
      </c>
      <c r="T1211" s="75" t="str">
        <f aca="false">IF(P1211="","",IFERROR(N(INDEX(T_EGRESO,MATCH(C1211,T_ID,0))),0))</f>
        <v/>
      </c>
      <c r="U1211" s="73" t="str">
        <f aca="false">IF(OR(P1211="",NOT(ISNUMBER(S1211))),"",IF(OR(S1211&gt;EOMONTH(B1211,0),AND(T1211&gt;0,T1211&lt;B1211)),0,IF(AND(S1211&lt;=B1211,OR(T1211=0,T1211&gt;=EOMONTH(B1211,0))),30,MIN(30,IF(T1211=0,EOMONTH(B1211,0),MIN(T1211,EOMONTH(B1211,0)))-MAX(B1211,S1211)+1))))</f>
        <v/>
      </c>
    </row>
    <row r="1212" customFormat="false" ht="15" hidden="false" customHeight="false" outlineLevel="0" collapsed="false">
      <c r="B1212" s="78"/>
      <c r="C1212" s="64"/>
      <c r="D1212" s="70" t="str">
        <f aca="false">IF(C1212="","",IFERROR(INDEX(T_NOMBRE,MATCH(C1212,T_ID,0)),"⚠ ID no existe"))</f>
        <v/>
      </c>
      <c r="E1212" s="69"/>
      <c r="F1212" s="69"/>
      <c r="G1212" s="69"/>
      <c r="H1212" s="69"/>
      <c r="I1212" s="66"/>
      <c r="J1212" s="69"/>
      <c r="K1212" s="67"/>
      <c r="L1212" s="67"/>
      <c r="M1212" s="67"/>
      <c r="N1212" s="67"/>
      <c r="O1212" s="64"/>
      <c r="P1212" s="72" t="str">
        <f aca="false">IF(OR(B1212="",C1212=""),"",C1212&amp;"|"&amp;(YEAR(B1212)*100+MONTH(B1212)))</f>
        <v/>
      </c>
      <c r="Q1212" s="70" t="str">
        <f aca="false">IF(P1212="","",IF(COUNTIF(N_CLAVE,P1212)&gt;1,"⚠ Duplicado","OK"))</f>
        <v/>
      </c>
      <c r="R1212" s="74" t="str">
        <f aca="false">IF(OR(P1212="",U1212=""),"",MAX(0,U1212-N(E1212)-N(F1212)-N(H1212)))</f>
        <v/>
      </c>
      <c r="S1212" s="75" t="str">
        <f aca="false">IF(P1212="","",IFERROR(INDEX(T_INGRESO,MATCH(C1212,T_ID,0)),""))</f>
        <v/>
      </c>
      <c r="T1212" s="75" t="str">
        <f aca="false">IF(P1212="","",IFERROR(N(INDEX(T_EGRESO,MATCH(C1212,T_ID,0))),0))</f>
        <v/>
      </c>
      <c r="U1212" s="73" t="str">
        <f aca="false">IF(OR(P1212="",NOT(ISNUMBER(S1212))),"",IF(OR(S1212&gt;EOMONTH(B1212,0),AND(T1212&gt;0,T1212&lt;B1212)),0,IF(AND(S1212&lt;=B1212,OR(T1212=0,T1212&gt;=EOMONTH(B1212,0))),30,MIN(30,IF(T1212=0,EOMONTH(B1212,0),MIN(T1212,EOMONTH(B1212,0)))-MAX(B1212,S1212)+1))))</f>
        <v/>
      </c>
    </row>
    <row r="1213" customFormat="false" ht="15" hidden="false" customHeight="false" outlineLevel="0" collapsed="false">
      <c r="B1213" s="78"/>
      <c r="C1213" s="64"/>
      <c r="D1213" s="70" t="str">
        <f aca="false">IF(C1213="","",IFERROR(INDEX(T_NOMBRE,MATCH(C1213,T_ID,0)),"⚠ ID no existe"))</f>
        <v/>
      </c>
      <c r="E1213" s="69"/>
      <c r="F1213" s="69"/>
      <c r="G1213" s="69"/>
      <c r="H1213" s="69"/>
      <c r="I1213" s="66"/>
      <c r="J1213" s="69"/>
      <c r="K1213" s="67"/>
      <c r="L1213" s="67"/>
      <c r="M1213" s="67"/>
      <c r="N1213" s="67"/>
      <c r="O1213" s="64"/>
      <c r="P1213" s="72" t="str">
        <f aca="false">IF(OR(B1213="",C1213=""),"",C1213&amp;"|"&amp;(YEAR(B1213)*100+MONTH(B1213)))</f>
        <v/>
      </c>
      <c r="Q1213" s="70" t="str">
        <f aca="false">IF(P1213="","",IF(COUNTIF(N_CLAVE,P1213)&gt;1,"⚠ Duplicado","OK"))</f>
        <v/>
      </c>
      <c r="R1213" s="74" t="str">
        <f aca="false">IF(OR(P1213="",U1213=""),"",MAX(0,U1213-N(E1213)-N(F1213)-N(H1213)))</f>
        <v/>
      </c>
      <c r="S1213" s="75" t="str">
        <f aca="false">IF(P1213="","",IFERROR(INDEX(T_INGRESO,MATCH(C1213,T_ID,0)),""))</f>
        <v/>
      </c>
      <c r="T1213" s="75" t="str">
        <f aca="false">IF(P1213="","",IFERROR(N(INDEX(T_EGRESO,MATCH(C1213,T_ID,0))),0))</f>
        <v/>
      </c>
      <c r="U1213" s="73" t="str">
        <f aca="false">IF(OR(P1213="",NOT(ISNUMBER(S1213))),"",IF(OR(S1213&gt;EOMONTH(B1213,0),AND(T1213&gt;0,T1213&lt;B1213)),0,IF(AND(S1213&lt;=B1213,OR(T1213=0,T1213&gt;=EOMONTH(B1213,0))),30,MIN(30,IF(T1213=0,EOMONTH(B1213,0),MIN(T1213,EOMONTH(B1213,0)))-MAX(B1213,S1213)+1))))</f>
        <v/>
      </c>
    </row>
    <row r="1214" customFormat="false" ht="15" hidden="false" customHeight="false" outlineLevel="0" collapsed="false">
      <c r="B1214" s="78"/>
      <c r="C1214" s="64"/>
      <c r="D1214" s="70" t="str">
        <f aca="false">IF(C1214="","",IFERROR(INDEX(T_NOMBRE,MATCH(C1214,T_ID,0)),"⚠ ID no existe"))</f>
        <v/>
      </c>
      <c r="E1214" s="69"/>
      <c r="F1214" s="69"/>
      <c r="G1214" s="69"/>
      <c r="H1214" s="69"/>
      <c r="I1214" s="66"/>
      <c r="J1214" s="69"/>
      <c r="K1214" s="67"/>
      <c r="L1214" s="67"/>
      <c r="M1214" s="67"/>
      <c r="N1214" s="67"/>
      <c r="O1214" s="64"/>
      <c r="P1214" s="72" t="str">
        <f aca="false">IF(OR(B1214="",C1214=""),"",C1214&amp;"|"&amp;(YEAR(B1214)*100+MONTH(B1214)))</f>
        <v/>
      </c>
      <c r="Q1214" s="70" t="str">
        <f aca="false">IF(P1214="","",IF(COUNTIF(N_CLAVE,P1214)&gt;1,"⚠ Duplicado","OK"))</f>
        <v/>
      </c>
      <c r="R1214" s="74" t="str">
        <f aca="false">IF(OR(P1214="",U1214=""),"",MAX(0,U1214-N(E1214)-N(F1214)-N(H1214)))</f>
        <v/>
      </c>
      <c r="S1214" s="75" t="str">
        <f aca="false">IF(P1214="","",IFERROR(INDEX(T_INGRESO,MATCH(C1214,T_ID,0)),""))</f>
        <v/>
      </c>
      <c r="T1214" s="75" t="str">
        <f aca="false">IF(P1214="","",IFERROR(N(INDEX(T_EGRESO,MATCH(C1214,T_ID,0))),0))</f>
        <v/>
      </c>
      <c r="U1214" s="73" t="str">
        <f aca="false">IF(OR(P1214="",NOT(ISNUMBER(S1214))),"",IF(OR(S1214&gt;EOMONTH(B1214,0),AND(T1214&gt;0,T1214&lt;B1214)),0,IF(AND(S1214&lt;=B1214,OR(T1214=0,T1214&gt;=EOMONTH(B1214,0))),30,MIN(30,IF(T1214=0,EOMONTH(B1214,0),MIN(T1214,EOMONTH(B1214,0)))-MAX(B1214,S1214)+1))))</f>
        <v/>
      </c>
    </row>
    <row r="1215" customFormat="false" ht="15" hidden="false" customHeight="false" outlineLevel="0" collapsed="false">
      <c r="B1215" s="78"/>
      <c r="C1215" s="64"/>
      <c r="D1215" s="70" t="str">
        <f aca="false">IF(C1215="","",IFERROR(INDEX(T_NOMBRE,MATCH(C1215,T_ID,0)),"⚠ ID no existe"))</f>
        <v/>
      </c>
      <c r="E1215" s="69"/>
      <c r="F1215" s="69"/>
      <c r="G1215" s="69"/>
      <c r="H1215" s="69"/>
      <c r="I1215" s="66"/>
      <c r="J1215" s="69"/>
      <c r="K1215" s="67"/>
      <c r="L1215" s="67"/>
      <c r="M1215" s="67"/>
      <c r="N1215" s="67"/>
      <c r="O1215" s="64"/>
      <c r="P1215" s="72" t="str">
        <f aca="false">IF(OR(B1215="",C1215=""),"",C1215&amp;"|"&amp;(YEAR(B1215)*100+MONTH(B1215)))</f>
        <v/>
      </c>
      <c r="Q1215" s="70" t="str">
        <f aca="false">IF(P1215="","",IF(COUNTIF(N_CLAVE,P1215)&gt;1,"⚠ Duplicado","OK"))</f>
        <v/>
      </c>
      <c r="R1215" s="74" t="str">
        <f aca="false">IF(OR(P1215="",U1215=""),"",MAX(0,U1215-N(E1215)-N(F1215)-N(H1215)))</f>
        <v/>
      </c>
      <c r="S1215" s="75" t="str">
        <f aca="false">IF(P1215="","",IFERROR(INDEX(T_INGRESO,MATCH(C1215,T_ID,0)),""))</f>
        <v/>
      </c>
      <c r="T1215" s="75" t="str">
        <f aca="false">IF(P1215="","",IFERROR(N(INDEX(T_EGRESO,MATCH(C1215,T_ID,0))),0))</f>
        <v/>
      </c>
      <c r="U1215" s="73" t="str">
        <f aca="false">IF(OR(P1215="",NOT(ISNUMBER(S1215))),"",IF(OR(S1215&gt;EOMONTH(B1215,0),AND(T1215&gt;0,T1215&lt;B1215)),0,IF(AND(S1215&lt;=B1215,OR(T1215=0,T1215&gt;=EOMONTH(B1215,0))),30,MIN(30,IF(T1215=0,EOMONTH(B1215,0),MIN(T1215,EOMONTH(B1215,0)))-MAX(B1215,S1215)+1))))</f>
        <v/>
      </c>
    </row>
    <row r="1216" customFormat="false" ht="15" hidden="false" customHeight="false" outlineLevel="0" collapsed="false">
      <c r="B1216" s="78"/>
      <c r="C1216" s="64"/>
      <c r="D1216" s="70" t="str">
        <f aca="false">IF(C1216="","",IFERROR(INDEX(T_NOMBRE,MATCH(C1216,T_ID,0)),"⚠ ID no existe"))</f>
        <v/>
      </c>
      <c r="E1216" s="69"/>
      <c r="F1216" s="69"/>
      <c r="G1216" s="69"/>
      <c r="H1216" s="69"/>
      <c r="I1216" s="66"/>
      <c r="J1216" s="69"/>
      <c r="K1216" s="67"/>
      <c r="L1216" s="67"/>
      <c r="M1216" s="67"/>
      <c r="N1216" s="67"/>
      <c r="O1216" s="64"/>
      <c r="P1216" s="72" t="str">
        <f aca="false">IF(OR(B1216="",C1216=""),"",C1216&amp;"|"&amp;(YEAR(B1216)*100+MONTH(B1216)))</f>
        <v/>
      </c>
      <c r="Q1216" s="70" t="str">
        <f aca="false">IF(P1216="","",IF(COUNTIF(N_CLAVE,P1216)&gt;1,"⚠ Duplicado","OK"))</f>
        <v/>
      </c>
      <c r="R1216" s="74" t="str">
        <f aca="false">IF(OR(P1216="",U1216=""),"",MAX(0,U1216-N(E1216)-N(F1216)-N(H1216)))</f>
        <v/>
      </c>
      <c r="S1216" s="75" t="str">
        <f aca="false">IF(P1216="","",IFERROR(INDEX(T_INGRESO,MATCH(C1216,T_ID,0)),""))</f>
        <v/>
      </c>
      <c r="T1216" s="75" t="str">
        <f aca="false">IF(P1216="","",IFERROR(N(INDEX(T_EGRESO,MATCH(C1216,T_ID,0))),0))</f>
        <v/>
      </c>
      <c r="U1216" s="73" t="str">
        <f aca="false">IF(OR(P1216="",NOT(ISNUMBER(S1216))),"",IF(OR(S1216&gt;EOMONTH(B1216,0),AND(T1216&gt;0,T1216&lt;B1216)),0,IF(AND(S1216&lt;=B1216,OR(T1216=0,T1216&gt;=EOMONTH(B1216,0))),30,MIN(30,IF(T1216=0,EOMONTH(B1216,0),MIN(T1216,EOMONTH(B1216,0)))-MAX(B1216,S1216)+1))))</f>
        <v/>
      </c>
    </row>
    <row r="1217" customFormat="false" ht="15" hidden="false" customHeight="false" outlineLevel="0" collapsed="false">
      <c r="B1217" s="78"/>
      <c r="C1217" s="64"/>
      <c r="D1217" s="70" t="str">
        <f aca="false">IF(C1217="","",IFERROR(INDEX(T_NOMBRE,MATCH(C1217,T_ID,0)),"⚠ ID no existe"))</f>
        <v/>
      </c>
      <c r="E1217" s="69"/>
      <c r="F1217" s="69"/>
      <c r="G1217" s="69"/>
      <c r="H1217" s="69"/>
      <c r="I1217" s="66"/>
      <c r="J1217" s="69"/>
      <c r="K1217" s="67"/>
      <c r="L1217" s="67"/>
      <c r="M1217" s="67"/>
      <c r="N1217" s="67"/>
      <c r="O1217" s="64"/>
      <c r="P1217" s="72" t="str">
        <f aca="false">IF(OR(B1217="",C1217=""),"",C1217&amp;"|"&amp;(YEAR(B1217)*100+MONTH(B1217)))</f>
        <v/>
      </c>
      <c r="Q1217" s="70" t="str">
        <f aca="false">IF(P1217="","",IF(COUNTIF(N_CLAVE,P1217)&gt;1,"⚠ Duplicado","OK"))</f>
        <v/>
      </c>
      <c r="R1217" s="74" t="str">
        <f aca="false">IF(OR(P1217="",U1217=""),"",MAX(0,U1217-N(E1217)-N(F1217)-N(H1217)))</f>
        <v/>
      </c>
      <c r="S1217" s="75" t="str">
        <f aca="false">IF(P1217="","",IFERROR(INDEX(T_INGRESO,MATCH(C1217,T_ID,0)),""))</f>
        <v/>
      </c>
      <c r="T1217" s="75" t="str">
        <f aca="false">IF(P1217="","",IFERROR(N(INDEX(T_EGRESO,MATCH(C1217,T_ID,0))),0))</f>
        <v/>
      </c>
      <c r="U1217" s="73" t="str">
        <f aca="false">IF(OR(P1217="",NOT(ISNUMBER(S1217))),"",IF(OR(S1217&gt;EOMONTH(B1217,0),AND(T1217&gt;0,T1217&lt;B1217)),0,IF(AND(S1217&lt;=B1217,OR(T1217=0,T1217&gt;=EOMONTH(B1217,0))),30,MIN(30,IF(T1217=0,EOMONTH(B1217,0),MIN(T1217,EOMONTH(B1217,0)))-MAX(B1217,S1217)+1))))</f>
        <v/>
      </c>
    </row>
    <row r="1218" customFormat="false" ht="15" hidden="false" customHeight="false" outlineLevel="0" collapsed="false">
      <c r="B1218" s="78"/>
      <c r="C1218" s="64"/>
      <c r="D1218" s="70" t="str">
        <f aca="false">IF(C1218="","",IFERROR(INDEX(T_NOMBRE,MATCH(C1218,T_ID,0)),"⚠ ID no existe"))</f>
        <v/>
      </c>
      <c r="E1218" s="69"/>
      <c r="F1218" s="69"/>
      <c r="G1218" s="69"/>
      <c r="H1218" s="69"/>
      <c r="I1218" s="66"/>
      <c r="J1218" s="69"/>
      <c r="K1218" s="67"/>
      <c r="L1218" s="67"/>
      <c r="M1218" s="67"/>
      <c r="N1218" s="67"/>
      <c r="O1218" s="64"/>
      <c r="P1218" s="72" t="str">
        <f aca="false">IF(OR(B1218="",C1218=""),"",C1218&amp;"|"&amp;(YEAR(B1218)*100+MONTH(B1218)))</f>
        <v/>
      </c>
      <c r="Q1218" s="70" t="str">
        <f aca="false">IF(P1218="","",IF(COUNTIF(N_CLAVE,P1218)&gt;1,"⚠ Duplicado","OK"))</f>
        <v/>
      </c>
      <c r="R1218" s="74" t="str">
        <f aca="false">IF(OR(P1218="",U1218=""),"",MAX(0,U1218-N(E1218)-N(F1218)-N(H1218)))</f>
        <v/>
      </c>
      <c r="S1218" s="75" t="str">
        <f aca="false">IF(P1218="","",IFERROR(INDEX(T_INGRESO,MATCH(C1218,T_ID,0)),""))</f>
        <v/>
      </c>
      <c r="T1218" s="75" t="str">
        <f aca="false">IF(P1218="","",IFERROR(N(INDEX(T_EGRESO,MATCH(C1218,T_ID,0))),0))</f>
        <v/>
      </c>
      <c r="U1218" s="73" t="str">
        <f aca="false">IF(OR(P1218="",NOT(ISNUMBER(S1218))),"",IF(OR(S1218&gt;EOMONTH(B1218,0),AND(T1218&gt;0,T1218&lt;B1218)),0,IF(AND(S1218&lt;=B1218,OR(T1218=0,T1218&gt;=EOMONTH(B1218,0))),30,MIN(30,IF(T1218=0,EOMONTH(B1218,0),MIN(T1218,EOMONTH(B1218,0)))-MAX(B1218,S1218)+1))))</f>
        <v/>
      </c>
    </row>
    <row r="1219" customFormat="false" ht="15" hidden="false" customHeight="false" outlineLevel="0" collapsed="false">
      <c r="B1219" s="78"/>
      <c r="C1219" s="64"/>
      <c r="D1219" s="70" t="str">
        <f aca="false">IF(C1219="","",IFERROR(INDEX(T_NOMBRE,MATCH(C1219,T_ID,0)),"⚠ ID no existe"))</f>
        <v/>
      </c>
      <c r="E1219" s="69"/>
      <c r="F1219" s="69"/>
      <c r="G1219" s="69"/>
      <c r="H1219" s="69"/>
      <c r="I1219" s="66"/>
      <c r="J1219" s="69"/>
      <c r="K1219" s="67"/>
      <c r="L1219" s="67"/>
      <c r="M1219" s="67"/>
      <c r="N1219" s="67"/>
      <c r="O1219" s="64"/>
      <c r="P1219" s="72" t="str">
        <f aca="false">IF(OR(B1219="",C1219=""),"",C1219&amp;"|"&amp;(YEAR(B1219)*100+MONTH(B1219)))</f>
        <v/>
      </c>
      <c r="Q1219" s="70" t="str">
        <f aca="false">IF(P1219="","",IF(COUNTIF(N_CLAVE,P1219)&gt;1,"⚠ Duplicado","OK"))</f>
        <v/>
      </c>
      <c r="R1219" s="74" t="str">
        <f aca="false">IF(OR(P1219="",U1219=""),"",MAX(0,U1219-N(E1219)-N(F1219)-N(H1219)))</f>
        <v/>
      </c>
      <c r="S1219" s="75" t="str">
        <f aca="false">IF(P1219="","",IFERROR(INDEX(T_INGRESO,MATCH(C1219,T_ID,0)),""))</f>
        <v/>
      </c>
      <c r="T1219" s="75" t="str">
        <f aca="false">IF(P1219="","",IFERROR(N(INDEX(T_EGRESO,MATCH(C1219,T_ID,0))),0))</f>
        <v/>
      </c>
      <c r="U1219" s="73" t="str">
        <f aca="false">IF(OR(P1219="",NOT(ISNUMBER(S1219))),"",IF(OR(S1219&gt;EOMONTH(B1219,0),AND(T1219&gt;0,T1219&lt;B1219)),0,IF(AND(S1219&lt;=B1219,OR(T1219=0,T1219&gt;=EOMONTH(B1219,0))),30,MIN(30,IF(T1219=0,EOMONTH(B1219,0),MIN(T1219,EOMONTH(B1219,0)))-MAX(B1219,S1219)+1))))</f>
        <v/>
      </c>
    </row>
    <row r="1220" customFormat="false" ht="15" hidden="false" customHeight="false" outlineLevel="0" collapsed="false">
      <c r="B1220" s="78"/>
      <c r="C1220" s="64"/>
      <c r="D1220" s="70" t="str">
        <f aca="false">IF(C1220="","",IFERROR(INDEX(T_NOMBRE,MATCH(C1220,T_ID,0)),"⚠ ID no existe"))</f>
        <v/>
      </c>
      <c r="E1220" s="69"/>
      <c r="F1220" s="69"/>
      <c r="G1220" s="69"/>
      <c r="H1220" s="69"/>
      <c r="I1220" s="66"/>
      <c r="J1220" s="69"/>
      <c r="K1220" s="67"/>
      <c r="L1220" s="67"/>
      <c r="M1220" s="67"/>
      <c r="N1220" s="67"/>
      <c r="O1220" s="64"/>
      <c r="P1220" s="72" t="str">
        <f aca="false">IF(OR(B1220="",C1220=""),"",C1220&amp;"|"&amp;(YEAR(B1220)*100+MONTH(B1220)))</f>
        <v/>
      </c>
      <c r="Q1220" s="70" t="str">
        <f aca="false">IF(P1220="","",IF(COUNTIF(N_CLAVE,P1220)&gt;1,"⚠ Duplicado","OK"))</f>
        <v/>
      </c>
      <c r="R1220" s="74" t="str">
        <f aca="false">IF(OR(P1220="",U1220=""),"",MAX(0,U1220-N(E1220)-N(F1220)-N(H1220)))</f>
        <v/>
      </c>
      <c r="S1220" s="75" t="str">
        <f aca="false">IF(P1220="","",IFERROR(INDEX(T_INGRESO,MATCH(C1220,T_ID,0)),""))</f>
        <v/>
      </c>
      <c r="T1220" s="75" t="str">
        <f aca="false">IF(P1220="","",IFERROR(N(INDEX(T_EGRESO,MATCH(C1220,T_ID,0))),0))</f>
        <v/>
      </c>
      <c r="U1220" s="73" t="str">
        <f aca="false">IF(OR(P1220="",NOT(ISNUMBER(S1220))),"",IF(OR(S1220&gt;EOMONTH(B1220,0),AND(T1220&gt;0,T1220&lt;B1220)),0,IF(AND(S1220&lt;=B1220,OR(T1220=0,T1220&gt;=EOMONTH(B1220,0))),30,MIN(30,IF(T1220=0,EOMONTH(B1220,0),MIN(T1220,EOMONTH(B1220,0)))-MAX(B1220,S1220)+1))))</f>
        <v/>
      </c>
    </row>
    <row r="1221" customFormat="false" ht="15" hidden="false" customHeight="false" outlineLevel="0" collapsed="false">
      <c r="B1221" s="78"/>
      <c r="C1221" s="64"/>
      <c r="D1221" s="70" t="str">
        <f aca="false">IF(C1221="","",IFERROR(INDEX(T_NOMBRE,MATCH(C1221,T_ID,0)),"⚠ ID no existe"))</f>
        <v/>
      </c>
      <c r="E1221" s="69"/>
      <c r="F1221" s="69"/>
      <c r="G1221" s="69"/>
      <c r="H1221" s="69"/>
      <c r="I1221" s="66"/>
      <c r="J1221" s="69"/>
      <c r="K1221" s="67"/>
      <c r="L1221" s="67"/>
      <c r="M1221" s="67"/>
      <c r="N1221" s="67"/>
      <c r="O1221" s="64"/>
      <c r="P1221" s="72" t="str">
        <f aca="false">IF(OR(B1221="",C1221=""),"",C1221&amp;"|"&amp;(YEAR(B1221)*100+MONTH(B1221)))</f>
        <v/>
      </c>
      <c r="Q1221" s="70" t="str">
        <f aca="false">IF(P1221="","",IF(COUNTIF(N_CLAVE,P1221)&gt;1,"⚠ Duplicado","OK"))</f>
        <v/>
      </c>
      <c r="R1221" s="74" t="str">
        <f aca="false">IF(OR(P1221="",U1221=""),"",MAX(0,U1221-N(E1221)-N(F1221)-N(H1221)))</f>
        <v/>
      </c>
      <c r="S1221" s="75" t="str">
        <f aca="false">IF(P1221="","",IFERROR(INDEX(T_INGRESO,MATCH(C1221,T_ID,0)),""))</f>
        <v/>
      </c>
      <c r="T1221" s="75" t="str">
        <f aca="false">IF(P1221="","",IFERROR(N(INDEX(T_EGRESO,MATCH(C1221,T_ID,0))),0))</f>
        <v/>
      </c>
      <c r="U1221" s="73" t="str">
        <f aca="false">IF(OR(P1221="",NOT(ISNUMBER(S1221))),"",IF(OR(S1221&gt;EOMONTH(B1221,0),AND(T1221&gt;0,T1221&lt;B1221)),0,IF(AND(S1221&lt;=B1221,OR(T1221=0,T1221&gt;=EOMONTH(B1221,0))),30,MIN(30,IF(T1221=0,EOMONTH(B1221,0),MIN(T1221,EOMONTH(B1221,0)))-MAX(B1221,S1221)+1))))</f>
        <v/>
      </c>
    </row>
    <row r="1222" customFormat="false" ht="15" hidden="false" customHeight="false" outlineLevel="0" collapsed="false">
      <c r="B1222" s="78"/>
      <c r="C1222" s="64"/>
      <c r="D1222" s="70" t="str">
        <f aca="false">IF(C1222="","",IFERROR(INDEX(T_NOMBRE,MATCH(C1222,T_ID,0)),"⚠ ID no existe"))</f>
        <v/>
      </c>
      <c r="E1222" s="69"/>
      <c r="F1222" s="69"/>
      <c r="G1222" s="69"/>
      <c r="H1222" s="69"/>
      <c r="I1222" s="66"/>
      <c r="J1222" s="69"/>
      <c r="K1222" s="67"/>
      <c r="L1222" s="67"/>
      <c r="M1222" s="67"/>
      <c r="N1222" s="67"/>
      <c r="O1222" s="64"/>
      <c r="P1222" s="72" t="str">
        <f aca="false">IF(OR(B1222="",C1222=""),"",C1222&amp;"|"&amp;(YEAR(B1222)*100+MONTH(B1222)))</f>
        <v/>
      </c>
      <c r="Q1222" s="70" t="str">
        <f aca="false">IF(P1222="","",IF(COUNTIF(N_CLAVE,P1222)&gt;1,"⚠ Duplicado","OK"))</f>
        <v/>
      </c>
      <c r="R1222" s="74" t="str">
        <f aca="false">IF(OR(P1222="",U1222=""),"",MAX(0,U1222-N(E1222)-N(F1222)-N(H1222)))</f>
        <v/>
      </c>
      <c r="S1222" s="75" t="str">
        <f aca="false">IF(P1222="","",IFERROR(INDEX(T_INGRESO,MATCH(C1222,T_ID,0)),""))</f>
        <v/>
      </c>
      <c r="T1222" s="75" t="str">
        <f aca="false">IF(P1222="","",IFERROR(N(INDEX(T_EGRESO,MATCH(C1222,T_ID,0))),0))</f>
        <v/>
      </c>
      <c r="U1222" s="73" t="str">
        <f aca="false">IF(OR(P1222="",NOT(ISNUMBER(S1222))),"",IF(OR(S1222&gt;EOMONTH(B1222,0),AND(T1222&gt;0,T1222&lt;B1222)),0,IF(AND(S1222&lt;=B1222,OR(T1222=0,T1222&gt;=EOMONTH(B1222,0))),30,MIN(30,IF(T1222=0,EOMONTH(B1222,0),MIN(T1222,EOMONTH(B1222,0)))-MAX(B1222,S1222)+1))))</f>
        <v/>
      </c>
    </row>
    <row r="1223" customFormat="false" ht="15" hidden="false" customHeight="false" outlineLevel="0" collapsed="false">
      <c r="B1223" s="78"/>
      <c r="C1223" s="64"/>
      <c r="D1223" s="70" t="str">
        <f aca="false">IF(C1223="","",IFERROR(INDEX(T_NOMBRE,MATCH(C1223,T_ID,0)),"⚠ ID no existe"))</f>
        <v/>
      </c>
      <c r="E1223" s="69"/>
      <c r="F1223" s="69"/>
      <c r="G1223" s="69"/>
      <c r="H1223" s="69"/>
      <c r="I1223" s="66"/>
      <c r="J1223" s="69"/>
      <c r="K1223" s="67"/>
      <c r="L1223" s="67"/>
      <c r="M1223" s="67"/>
      <c r="N1223" s="67"/>
      <c r="O1223" s="64"/>
      <c r="P1223" s="72" t="str">
        <f aca="false">IF(OR(B1223="",C1223=""),"",C1223&amp;"|"&amp;(YEAR(B1223)*100+MONTH(B1223)))</f>
        <v/>
      </c>
      <c r="Q1223" s="70" t="str">
        <f aca="false">IF(P1223="","",IF(COUNTIF(N_CLAVE,P1223)&gt;1,"⚠ Duplicado","OK"))</f>
        <v/>
      </c>
      <c r="R1223" s="74" t="str">
        <f aca="false">IF(OR(P1223="",U1223=""),"",MAX(0,U1223-N(E1223)-N(F1223)-N(H1223)))</f>
        <v/>
      </c>
      <c r="S1223" s="75" t="str">
        <f aca="false">IF(P1223="","",IFERROR(INDEX(T_INGRESO,MATCH(C1223,T_ID,0)),""))</f>
        <v/>
      </c>
      <c r="T1223" s="75" t="str">
        <f aca="false">IF(P1223="","",IFERROR(N(INDEX(T_EGRESO,MATCH(C1223,T_ID,0))),0))</f>
        <v/>
      </c>
      <c r="U1223" s="73" t="str">
        <f aca="false">IF(OR(P1223="",NOT(ISNUMBER(S1223))),"",IF(OR(S1223&gt;EOMONTH(B1223,0),AND(T1223&gt;0,T1223&lt;B1223)),0,IF(AND(S1223&lt;=B1223,OR(T1223=0,T1223&gt;=EOMONTH(B1223,0))),30,MIN(30,IF(T1223=0,EOMONTH(B1223,0),MIN(T1223,EOMONTH(B1223,0)))-MAX(B1223,S1223)+1))))</f>
        <v/>
      </c>
    </row>
    <row r="1224" customFormat="false" ht="15" hidden="false" customHeight="false" outlineLevel="0" collapsed="false">
      <c r="B1224" s="78"/>
      <c r="C1224" s="64"/>
      <c r="D1224" s="70" t="str">
        <f aca="false">IF(C1224="","",IFERROR(INDEX(T_NOMBRE,MATCH(C1224,T_ID,0)),"⚠ ID no existe"))</f>
        <v/>
      </c>
      <c r="E1224" s="69"/>
      <c r="F1224" s="69"/>
      <c r="G1224" s="69"/>
      <c r="H1224" s="69"/>
      <c r="I1224" s="66"/>
      <c r="J1224" s="69"/>
      <c r="K1224" s="67"/>
      <c r="L1224" s="67"/>
      <c r="M1224" s="67"/>
      <c r="N1224" s="67"/>
      <c r="O1224" s="64"/>
      <c r="P1224" s="72" t="str">
        <f aca="false">IF(OR(B1224="",C1224=""),"",C1224&amp;"|"&amp;(YEAR(B1224)*100+MONTH(B1224)))</f>
        <v/>
      </c>
      <c r="Q1224" s="70" t="str">
        <f aca="false">IF(P1224="","",IF(COUNTIF(N_CLAVE,P1224)&gt;1,"⚠ Duplicado","OK"))</f>
        <v/>
      </c>
      <c r="R1224" s="74" t="str">
        <f aca="false">IF(OR(P1224="",U1224=""),"",MAX(0,U1224-N(E1224)-N(F1224)-N(H1224)))</f>
        <v/>
      </c>
      <c r="S1224" s="75" t="str">
        <f aca="false">IF(P1224="","",IFERROR(INDEX(T_INGRESO,MATCH(C1224,T_ID,0)),""))</f>
        <v/>
      </c>
      <c r="T1224" s="75" t="str">
        <f aca="false">IF(P1224="","",IFERROR(N(INDEX(T_EGRESO,MATCH(C1224,T_ID,0))),0))</f>
        <v/>
      </c>
      <c r="U1224" s="73" t="str">
        <f aca="false">IF(OR(P1224="",NOT(ISNUMBER(S1224))),"",IF(OR(S1224&gt;EOMONTH(B1224,0),AND(T1224&gt;0,T1224&lt;B1224)),0,IF(AND(S1224&lt;=B1224,OR(T1224=0,T1224&gt;=EOMONTH(B1224,0))),30,MIN(30,IF(T1224=0,EOMONTH(B1224,0),MIN(T1224,EOMONTH(B1224,0)))-MAX(B1224,S1224)+1))))</f>
        <v/>
      </c>
    </row>
    <row r="1225" customFormat="false" ht="15" hidden="false" customHeight="false" outlineLevel="0" collapsed="false">
      <c r="B1225" s="78"/>
      <c r="C1225" s="64"/>
      <c r="D1225" s="70" t="str">
        <f aca="false">IF(C1225="","",IFERROR(INDEX(T_NOMBRE,MATCH(C1225,T_ID,0)),"⚠ ID no existe"))</f>
        <v/>
      </c>
      <c r="E1225" s="69"/>
      <c r="F1225" s="69"/>
      <c r="G1225" s="69"/>
      <c r="H1225" s="69"/>
      <c r="I1225" s="66"/>
      <c r="J1225" s="69"/>
      <c r="K1225" s="67"/>
      <c r="L1225" s="67"/>
      <c r="M1225" s="67"/>
      <c r="N1225" s="67"/>
      <c r="O1225" s="64"/>
      <c r="P1225" s="72" t="str">
        <f aca="false">IF(OR(B1225="",C1225=""),"",C1225&amp;"|"&amp;(YEAR(B1225)*100+MONTH(B1225)))</f>
        <v/>
      </c>
      <c r="Q1225" s="70" t="str">
        <f aca="false">IF(P1225="","",IF(COUNTIF(N_CLAVE,P1225)&gt;1,"⚠ Duplicado","OK"))</f>
        <v/>
      </c>
      <c r="R1225" s="74" t="str">
        <f aca="false">IF(OR(P1225="",U1225=""),"",MAX(0,U1225-N(E1225)-N(F1225)-N(H1225)))</f>
        <v/>
      </c>
      <c r="S1225" s="75" t="str">
        <f aca="false">IF(P1225="","",IFERROR(INDEX(T_INGRESO,MATCH(C1225,T_ID,0)),""))</f>
        <v/>
      </c>
      <c r="T1225" s="75" t="str">
        <f aca="false">IF(P1225="","",IFERROR(N(INDEX(T_EGRESO,MATCH(C1225,T_ID,0))),0))</f>
        <v/>
      </c>
      <c r="U1225" s="73" t="str">
        <f aca="false">IF(OR(P1225="",NOT(ISNUMBER(S1225))),"",IF(OR(S1225&gt;EOMONTH(B1225,0),AND(T1225&gt;0,T1225&lt;B1225)),0,IF(AND(S1225&lt;=B1225,OR(T1225=0,T1225&gt;=EOMONTH(B1225,0))),30,MIN(30,IF(T1225=0,EOMONTH(B1225,0),MIN(T1225,EOMONTH(B1225,0)))-MAX(B1225,S1225)+1))))</f>
        <v/>
      </c>
    </row>
    <row r="1226" customFormat="false" ht="15" hidden="false" customHeight="false" outlineLevel="0" collapsed="false">
      <c r="B1226" s="78"/>
      <c r="C1226" s="64"/>
      <c r="D1226" s="70" t="str">
        <f aca="false">IF(C1226="","",IFERROR(INDEX(T_NOMBRE,MATCH(C1226,T_ID,0)),"⚠ ID no existe"))</f>
        <v/>
      </c>
      <c r="E1226" s="69"/>
      <c r="F1226" s="69"/>
      <c r="G1226" s="69"/>
      <c r="H1226" s="69"/>
      <c r="I1226" s="66"/>
      <c r="J1226" s="69"/>
      <c r="K1226" s="67"/>
      <c r="L1226" s="67"/>
      <c r="M1226" s="67"/>
      <c r="N1226" s="67"/>
      <c r="O1226" s="64"/>
      <c r="P1226" s="72" t="str">
        <f aca="false">IF(OR(B1226="",C1226=""),"",C1226&amp;"|"&amp;(YEAR(B1226)*100+MONTH(B1226)))</f>
        <v/>
      </c>
      <c r="Q1226" s="70" t="str">
        <f aca="false">IF(P1226="","",IF(COUNTIF(N_CLAVE,P1226)&gt;1,"⚠ Duplicado","OK"))</f>
        <v/>
      </c>
      <c r="R1226" s="74" t="str">
        <f aca="false">IF(OR(P1226="",U1226=""),"",MAX(0,U1226-N(E1226)-N(F1226)-N(H1226)))</f>
        <v/>
      </c>
      <c r="S1226" s="75" t="str">
        <f aca="false">IF(P1226="","",IFERROR(INDEX(T_INGRESO,MATCH(C1226,T_ID,0)),""))</f>
        <v/>
      </c>
      <c r="T1226" s="75" t="str">
        <f aca="false">IF(P1226="","",IFERROR(N(INDEX(T_EGRESO,MATCH(C1226,T_ID,0))),0))</f>
        <v/>
      </c>
      <c r="U1226" s="73" t="str">
        <f aca="false">IF(OR(P1226="",NOT(ISNUMBER(S1226))),"",IF(OR(S1226&gt;EOMONTH(B1226,0),AND(T1226&gt;0,T1226&lt;B1226)),0,IF(AND(S1226&lt;=B1226,OR(T1226=0,T1226&gt;=EOMONTH(B1226,0))),30,MIN(30,IF(T1226=0,EOMONTH(B1226,0),MIN(T1226,EOMONTH(B1226,0)))-MAX(B1226,S1226)+1))))</f>
        <v/>
      </c>
    </row>
    <row r="1227" customFormat="false" ht="15" hidden="false" customHeight="false" outlineLevel="0" collapsed="false">
      <c r="B1227" s="78"/>
      <c r="C1227" s="64"/>
      <c r="D1227" s="70" t="str">
        <f aca="false">IF(C1227="","",IFERROR(INDEX(T_NOMBRE,MATCH(C1227,T_ID,0)),"⚠ ID no existe"))</f>
        <v/>
      </c>
      <c r="E1227" s="69"/>
      <c r="F1227" s="69"/>
      <c r="G1227" s="69"/>
      <c r="H1227" s="69"/>
      <c r="I1227" s="66"/>
      <c r="J1227" s="69"/>
      <c r="K1227" s="67"/>
      <c r="L1227" s="67"/>
      <c r="M1227" s="67"/>
      <c r="N1227" s="67"/>
      <c r="O1227" s="64"/>
      <c r="P1227" s="72" t="str">
        <f aca="false">IF(OR(B1227="",C1227=""),"",C1227&amp;"|"&amp;(YEAR(B1227)*100+MONTH(B1227)))</f>
        <v/>
      </c>
      <c r="Q1227" s="70" t="str">
        <f aca="false">IF(P1227="","",IF(COUNTIF(N_CLAVE,P1227)&gt;1,"⚠ Duplicado","OK"))</f>
        <v/>
      </c>
      <c r="R1227" s="74" t="str">
        <f aca="false">IF(OR(P1227="",U1227=""),"",MAX(0,U1227-N(E1227)-N(F1227)-N(H1227)))</f>
        <v/>
      </c>
      <c r="S1227" s="75" t="str">
        <f aca="false">IF(P1227="","",IFERROR(INDEX(T_INGRESO,MATCH(C1227,T_ID,0)),""))</f>
        <v/>
      </c>
      <c r="T1227" s="75" t="str">
        <f aca="false">IF(P1227="","",IFERROR(N(INDEX(T_EGRESO,MATCH(C1227,T_ID,0))),0))</f>
        <v/>
      </c>
      <c r="U1227" s="73" t="str">
        <f aca="false">IF(OR(P1227="",NOT(ISNUMBER(S1227))),"",IF(OR(S1227&gt;EOMONTH(B1227,0),AND(T1227&gt;0,T1227&lt;B1227)),0,IF(AND(S1227&lt;=B1227,OR(T1227=0,T1227&gt;=EOMONTH(B1227,0))),30,MIN(30,IF(T1227=0,EOMONTH(B1227,0),MIN(T1227,EOMONTH(B1227,0)))-MAX(B1227,S1227)+1))))</f>
        <v/>
      </c>
    </row>
    <row r="1228" customFormat="false" ht="15" hidden="false" customHeight="false" outlineLevel="0" collapsed="false">
      <c r="B1228" s="78"/>
      <c r="C1228" s="64"/>
      <c r="D1228" s="70" t="str">
        <f aca="false">IF(C1228="","",IFERROR(INDEX(T_NOMBRE,MATCH(C1228,T_ID,0)),"⚠ ID no existe"))</f>
        <v/>
      </c>
      <c r="E1228" s="69"/>
      <c r="F1228" s="69"/>
      <c r="G1228" s="69"/>
      <c r="H1228" s="69"/>
      <c r="I1228" s="66"/>
      <c r="J1228" s="69"/>
      <c r="K1228" s="67"/>
      <c r="L1228" s="67"/>
      <c r="M1228" s="67"/>
      <c r="N1228" s="67"/>
      <c r="O1228" s="64"/>
      <c r="P1228" s="72" t="str">
        <f aca="false">IF(OR(B1228="",C1228=""),"",C1228&amp;"|"&amp;(YEAR(B1228)*100+MONTH(B1228)))</f>
        <v/>
      </c>
      <c r="Q1228" s="70" t="str">
        <f aca="false">IF(P1228="","",IF(COUNTIF(N_CLAVE,P1228)&gt;1,"⚠ Duplicado","OK"))</f>
        <v/>
      </c>
      <c r="R1228" s="74" t="str">
        <f aca="false">IF(OR(P1228="",U1228=""),"",MAX(0,U1228-N(E1228)-N(F1228)-N(H1228)))</f>
        <v/>
      </c>
      <c r="S1228" s="75" t="str">
        <f aca="false">IF(P1228="","",IFERROR(INDEX(T_INGRESO,MATCH(C1228,T_ID,0)),""))</f>
        <v/>
      </c>
      <c r="T1228" s="75" t="str">
        <f aca="false">IF(P1228="","",IFERROR(N(INDEX(T_EGRESO,MATCH(C1228,T_ID,0))),0))</f>
        <v/>
      </c>
      <c r="U1228" s="73" t="str">
        <f aca="false">IF(OR(P1228="",NOT(ISNUMBER(S1228))),"",IF(OR(S1228&gt;EOMONTH(B1228,0),AND(T1228&gt;0,T1228&lt;B1228)),0,IF(AND(S1228&lt;=B1228,OR(T1228=0,T1228&gt;=EOMONTH(B1228,0))),30,MIN(30,IF(T1228=0,EOMONTH(B1228,0),MIN(T1228,EOMONTH(B1228,0)))-MAX(B1228,S1228)+1))))</f>
        <v/>
      </c>
    </row>
    <row r="1229" customFormat="false" ht="15" hidden="false" customHeight="false" outlineLevel="0" collapsed="false">
      <c r="B1229" s="78"/>
      <c r="C1229" s="64"/>
      <c r="D1229" s="70" t="str">
        <f aca="false">IF(C1229="","",IFERROR(INDEX(T_NOMBRE,MATCH(C1229,T_ID,0)),"⚠ ID no existe"))</f>
        <v/>
      </c>
      <c r="E1229" s="69"/>
      <c r="F1229" s="69"/>
      <c r="G1229" s="69"/>
      <c r="H1229" s="69"/>
      <c r="I1229" s="66"/>
      <c r="J1229" s="69"/>
      <c r="K1229" s="67"/>
      <c r="L1229" s="67"/>
      <c r="M1229" s="67"/>
      <c r="N1229" s="67"/>
      <c r="O1229" s="64"/>
      <c r="P1229" s="72" t="str">
        <f aca="false">IF(OR(B1229="",C1229=""),"",C1229&amp;"|"&amp;(YEAR(B1229)*100+MONTH(B1229)))</f>
        <v/>
      </c>
      <c r="Q1229" s="70" t="str">
        <f aca="false">IF(P1229="","",IF(COUNTIF(N_CLAVE,P1229)&gt;1,"⚠ Duplicado","OK"))</f>
        <v/>
      </c>
      <c r="R1229" s="74" t="str">
        <f aca="false">IF(OR(P1229="",U1229=""),"",MAX(0,U1229-N(E1229)-N(F1229)-N(H1229)))</f>
        <v/>
      </c>
      <c r="S1229" s="75" t="str">
        <f aca="false">IF(P1229="","",IFERROR(INDEX(T_INGRESO,MATCH(C1229,T_ID,0)),""))</f>
        <v/>
      </c>
      <c r="T1229" s="75" t="str">
        <f aca="false">IF(P1229="","",IFERROR(N(INDEX(T_EGRESO,MATCH(C1229,T_ID,0))),0))</f>
        <v/>
      </c>
      <c r="U1229" s="73" t="str">
        <f aca="false">IF(OR(P1229="",NOT(ISNUMBER(S1229))),"",IF(OR(S1229&gt;EOMONTH(B1229,0),AND(T1229&gt;0,T1229&lt;B1229)),0,IF(AND(S1229&lt;=B1229,OR(T1229=0,T1229&gt;=EOMONTH(B1229,0))),30,MIN(30,IF(T1229=0,EOMONTH(B1229,0),MIN(T1229,EOMONTH(B1229,0)))-MAX(B1229,S1229)+1))))</f>
        <v/>
      </c>
    </row>
    <row r="1230" customFormat="false" ht="15" hidden="false" customHeight="false" outlineLevel="0" collapsed="false">
      <c r="B1230" s="78"/>
      <c r="C1230" s="64"/>
      <c r="D1230" s="70" t="str">
        <f aca="false">IF(C1230="","",IFERROR(INDEX(T_NOMBRE,MATCH(C1230,T_ID,0)),"⚠ ID no existe"))</f>
        <v/>
      </c>
      <c r="E1230" s="69"/>
      <c r="F1230" s="69"/>
      <c r="G1230" s="69"/>
      <c r="H1230" s="69"/>
      <c r="I1230" s="66"/>
      <c r="J1230" s="69"/>
      <c r="K1230" s="67"/>
      <c r="L1230" s="67"/>
      <c r="M1230" s="67"/>
      <c r="N1230" s="67"/>
      <c r="O1230" s="64"/>
      <c r="P1230" s="72" t="str">
        <f aca="false">IF(OR(B1230="",C1230=""),"",C1230&amp;"|"&amp;(YEAR(B1230)*100+MONTH(B1230)))</f>
        <v/>
      </c>
      <c r="Q1230" s="70" t="str">
        <f aca="false">IF(P1230="","",IF(COUNTIF(N_CLAVE,P1230)&gt;1,"⚠ Duplicado","OK"))</f>
        <v/>
      </c>
      <c r="R1230" s="74" t="str">
        <f aca="false">IF(OR(P1230="",U1230=""),"",MAX(0,U1230-N(E1230)-N(F1230)-N(H1230)))</f>
        <v/>
      </c>
      <c r="S1230" s="75" t="str">
        <f aca="false">IF(P1230="","",IFERROR(INDEX(T_INGRESO,MATCH(C1230,T_ID,0)),""))</f>
        <v/>
      </c>
      <c r="T1230" s="75" t="str">
        <f aca="false">IF(P1230="","",IFERROR(N(INDEX(T_EGRESO,MATCH(C1230,T_ID,0))),0))</f>
        <v/>
      </c>
      <c r="U1230" s="73" t="str">
        <f aca="false">IF(OR(P1230="",NOT(ISNUMBER(S1230))),"",IF(OR(S1230&gt;EOMONTH(B1230,0),AND(T1230&gt;0,T1230&lt;B1230)),0,IF(AND(S1230&lt;=B1230,OR(T1230=0,T1230&gt;=EOMONTH(B1230,0))),30,MIN(30,IF(T1230=0,EOMONTH(B1230,0),MIN(T1230,EOMONTH(B1230,0)))-MAX(B1230,S1230)+1))))</f>
        <v/>
      </c>
    </row>
    <row r="1231" customFormat="false" ht="15" hidden="false" customHeight="false" outlineLevel="0" collapsed="false">
      <c r="B1231" s="78"/>
      <c r="C1231" s="64"/>
      <c r="D1231" s="70" t="str">
        <f aca="false">IF(C1231="","",IFERROR(INDEX(T_NOMBRE,MATCH(C1231,T_ID,0)),"⚠ ID no existe"))</f>
        <v/>
      </c>
      <c r="E1231" s="69"/>
      <c r="F1231" s="69"/>
      <c r="G1231" s="69"/>
      <c r="H1231" s="69"/>
      <c r="I1231" s="66"/>
      <c r="J1231" s="69"/>
      <c r="K1231" s="67"/>
      <c r="L1231" s="67"/>
      <c r="M1231" s="67"/>
      <c r="N1231" s="67"/>
      <c r="O1231" s="64"/>
      <c r="P1231" s="72" t="str">
        <f aca="false">IF(OR(B1231="",C1231=""),"",C1231&amp;"|"&amp;(YEAR(B1231)*100+MONTH(B1231)))</f>
        <v/>
      </c>
      <c r="Q1231" s="70" t="str">
        <f aca="false">IF(P1231="","",IF(COUNTIF(N_CLAVE,P1231)&gt;1,"⚠ Duplicado","OK"))</f>
        <v/>
      </c>
      <c r="R1231" s="74" t="str">
        <f aca="false">IF(OR(P1231="",U1231=""),"",MAX(0,U1231-N(E1231)-N(F1231)-N(H1231)))</f>
        <v/>
      </c>
      <c r="S1231" s="75" t="str">
        <f aca="false">IF(P1231="","",IFERROR(INDEX(T_INGRESO,MATCH(C1231,T_ID,0)),""))</f>
        <v/>
      </c>
      <c r="T1231" s="75" t="str">
        <f aca="false">IF(P1231="","",IFERROR(N(INDEX(T_EGRESO,MATCH(C1231,T_ID,0))),0))</f>
        <v/>
      </c>
      <c r="U1231" s="73" t="str">
        <f aca="false">IF(OR(P1231="",NOT(ISNUMBER(S1231))),"",IF(OR(S1231&gt;EOMONTH(B1231,0),AND(T1231&gt;0,T1231&lt;B1231)),0,IF(AND(S1231&lt;=B1231,OR(T1231=0,T1231&gt;=EOMONTH(B1231,0))),30,MIN(30,IF(T1231=0,EOMONTH(B1231,0),MIN(T1231,EOMONTH(B1231,0)))-MAX(B1231,S1231)+1))))</f>
        <v/>
      </c>
    </row>
    <row r="1232" customFormat="false" ht="15" hidden="false" customHeight="false" outlineLevel="0" collapsed="false">
      <c r="B1232" s="78"/>
      <c r="C1232" s="64"/>
      <c r="D1232" s="70" t="str">
        <f aca="false">IF(C1232="","",IFERROR(INDEX(T_NOMBRE,MATCH(C1232,T_ID,0)),"⚠ ID no existe"))</f>
        <v/>
      </c>
      <c r="E1232" s="69"/>
      <c r="F1232" s="69"/>
      <c r="G1232" s="69"/>
      <c r="H1232" s="69"/>
      <c r="I1232" s="66"/>
      <c r="J1232" s="69"/>
      <c r="K1232" s="67"/>
      <c r="L1232" s="67"/>
      <c r="M1232" s="67"/>
      <c r="N1232" s="67"/>
      <c r="O1232" s="64"/>
      <c r="P1232" s="72" t="str">
        <f aca="false">IF(OR(B1232="",C1232=""),"",C1232&amp;"|"&amp;(YEAR(B1232)*100+MONTH(B1232)))</f>
        <v/>
      </c>
      <c r="Q1232" s="70" t="str">
        <f aca="false">IF(P1232="","",IF(COUNTIF(N_CLAVE,P1232)&gt;1,"⚠ Duplicado","OK"))</f>
        <v/>
      </c>
      <c r="R1232" s="74" t="str">
        <f aca="false">IF(OR(P1232="",U1232=""),"",MAX(0,U1232-N(E1232)-N(F1232)-N(H1232)))</f>
        <v/>
      </c>
      <c r="S1232" s="75" t="str">
        <f aca="false">IF(P1232="","",IFERROR(INDEX(T_INGRESO,MATCH(C1232,T_ID,0)),""))</f>
        <v/>
      </c>
      <c r="T1232" s="75" t="str">
        <f aca="false">IF(P1232="","",IFERROR(N(INDEX(T_EGRESO,MATCH(C1232,T_ID,0))),0))</f>
        <v/>
      </c>
      <c r="U1232" s="73" t="str">
        <f aca="false">IF(OR(P1232="",NOT(ISNUMBER(S1232))),"",IF(OR(S1232&gt;EOMONTH(B1232,0),AND(T1232&gt;0,T1232&lt;B1232)),0,IF(AND(S1232&lt;=B1232,OR(T1232=0,T1232&gt;=EOMONTH(B1232,0))),30,MIN(30,IF(T1232=0,EOMONTH(B1232,0),MIN(T1232,EOMONTH(B1232,0)))-MAX(B1232,S1232)+1))))</f>
        <v/>
      </c>
    </row>
    <row r="1233" customFormat="false" ht="15" hidden="false" customHeight="false" outlineLevel="0" collapsed="false">
      <c r="B1233" s="78"/>
      <c r="C1233" s="64"/>
      <c r="D1233" s="70" t="str">
        <f aca="false">IF(C1233="","",IFERROR(INDEX(T_NOMBRE,MATCH(C1233,T_ID,0)),"⚠ ID no existe"))</f>
        <v/>
      </c>
      <c r="E1233" s="69"/>
      <c r="F1233" s="69"/>
      <c r="G1233" s="69"/>
      <c r="H1233" s="69"/>
      <c r="I1233" s="66"/>
      <c r="J1233" s="69"/>
      <c r="K1233" s="67"/>
      <c r="L1233" s="67"/>
      <c r="M1233" s="67"/>
      <c r="N1233" s="67"/>
      <c r="O1233" s="64"/>
      <c r="P1233" s="72" t="str">
        <f aca="false">IF(OR(B1233="",C1233=""),"",C1233&amp;"|"&amp;(YEAR(B1233)*100+MONTH(B1233)))</f>
        <v/>
      </c>
      <c r="Q1233" s="70" t="str">
        <f aca="false">IF(P1233="","",IF(COUNTIF(N_CLAVE,P1233)&gt;1,"⚠ Duplicado","OK"))</f>
        <v/>
      </c>
      <c r="R1233" s="74" t="str">
        <f aca="false">IF(OR(P1233="",U1233=""),"",MAX(0,U1233-N(E1233)-N(F1233)-N(H1233)))</f>
        <v/>
      </c>
      <c r="S1233" s="75" t="str">
        <f aca="false">IF(P1233="","",IFERROR(INDEX(T_INGRESO,MATCH(C1233,T_ID,0)),""))</f>
        <v/>
      </c>
      <c r="T1233" s="75" t="str">
        <f aca="false">IF(P1233="","",IFERROR(N(INDEX(T_EGRESO,MATCH(C1233,T_ID,0))),0))</f>
        <v/>
      </c>
      <c r="U1233" s="73" t="str">
        <f aca="false">IF(OR(P1233="",NOT(ISNUMBER(S1233))),"",IF(OR(S1233&gt;EOMONTH(B1233,0),AND(T1233&gt;0,T1233&lt;B1233)),0,IF(AND(S1233&lt;=B1233,OR(T1233=0,T1233&gt;=EOMONTH(B1233,0))),30,MIN(30,IF(T1233=0,EOMONTH(B1233,0),MIN(T1233,EOMONTH(B1233,0)))-MAX(B1233,S1233)+1))))</f>
        <v/>
      </c>
    </row>
    <row r="1234" customFormat="false" ht="15" hidden="false" customHeight="false" outlineLevel="0" collapsed="false">
      <c r="B1234" s="78"/>
      <c r="C1234" s="64"/>
      <c r="D1234" s="70" t="str">
        <f aca="false">IF(C1234="","",IFERROR(INDEX(T_NOMBRE,MATCH(C1234,T_ID,0)),"⚠ ID no existe"))</f>
        <v/>
      </c>
      <c r="E1234" s="69"/>
      <c r="F1234" s="69"/>
      <c r="G1234" s="69"/>
      <c r="H1234" s="69"/>
      <c r="I1234" s="66"/>
      <c r="J1234" s="69"/>
      <c r="K1234" s="67"/>
      <c r="L1234" s="67"/>
      <c r="M1234" s="67"/>
      <c r="N1234" s="67"/>
      <c r="O1234" s="64"/>
      <c r="P1234" s="72" t="str">
        <f aca="false">IF(OR(B1234="",C1234=""),"",C1234&amp;"|"&amp;(YEAR(B1234)*100+MONTH(B1234)))</f>
        <v/>
      </c>
      <c r="Q1234" s="70" t="str">
        <f aca="false">IF(P1234="","",IF(COUNTIF(N_CLAVE,P1234)&gt;1,"⚠ Duplicado","OK"))</f>
        <v/>
      </c>
      <c r="R1234" s="74" t="str">
        <f aca="false">IF(OR(P1234="",U1234=""),"",MAX(0,U1234-N(E1234)-N(F1234)-N(H1234)))</f>
        <v/>
      </c>
      <c r="S1234" s="75" t="str">
        <f aca="false">IF(P1234="","",IFERROR(INDEX(T_INGRESO,MATCH(C1234,T_ID,0)),""))</f>
        <v/>
      </c>
      <c r="T1234" s="75" t="str">
        <f aca="false">IF(P1234="","",IFERROR(N(INDEX(T_EGRESO,MATCH(C1234,T_ID,0))),0))</f>
        <v/>
      </c>
      <c r="U1234" s="73" t="str">
        <f aca="false">IF(OR(P1234="",NOT(ISNUMBER(S1234))),"",IF(OR(S1234&gt;EOMONTH(B1234,0),AND(T1234&gt;0,T1234&lt;B1234)),0,IF(AND(S1234&lt;=B1234,OR(T1234=0,T1234&gt;=EOMONTH(B1234,0))),30,MIN(30,IF(T1234=0,EOMONTH(B1234,0),MIN(T1234,EOMONTH(B1234,0)))-MAX(B1234,S1234)+1))))</f>
        <v/>
      </c>
    </row>
    <row r="1235" customFormat="false" ht="15" hidden="false" customHeight="false" outlineLevel="0" collapsed="false">
      <c r="B1235" s="78"/>
      <c r="C1235" s="64"/>
      <c r="D1235" s="70" t="str">
        <f aca="false">IF(C1235="","",IFERROR(INDEX(T_NOMBRE,MATCH(C1235,T_ID,0)),"⚠ ID no existe"))</f>
        <v/>
      </c>
      <c r="E1235" s="69"/>
      <c r="F1235" s="69"/>
      <c r="G1235" s="69"/>
      <c r="H1235" s="69"/>
      <c r="I1235" s="66"/>
      <c r="J1235" s="69"/>
      <c r="K1235" s="67"/>
      <c r="L1235" s="67"/>
      <c r="M1235" s="67"/>
      <c r="N1235" s="67"/>
      <c r="O1235" s="64"/>
      <c r="P1235" s="72" t="str">
        <f aca="false">IF(OR(B1235="",C1235=""),"",C1235&amp;"|"&amp;(YEAR(B1235)*100+MONTH(B1235)))</f>
        <v/>
      </c>
      <c r="Q1235" s="70" t="str">
        <f aca="false">IF(P1235="","",IF(COUNTIF(N_CLAVE,P1235)&gt;1,"⚠ Duplicado","OK"))</f>
        <v/>
      </c>
      <c r="R1235" s="74" t="str">
        <f aca="false">IF(OR(P1235="",U1235=""),"",MAX(0,U1235-N(E1235)-N(F1235)-N(H1235)))</f>
        <v/>
      </c>
      <c r="S1235" s="75" t="str">
        <f aca="false">IF(P1235="","",IFERROR(INDEX(T_INGRESO,MATCH(C1235,T_ID,0)),""))</f>
        <v/>
      </c>
      <c r="T1235" s="75" t="str">
        <f aca="false">IF(P1235="","",IFERROR(N(INDEX(T_EGRESO,MATCH(C1235,T_ID,0))),0))</f>
        <v/>
      </c>
      <c r="U1235" s="73" t="str">
        <f aca="false">IF(OR(P1235="",NOT(ISNUMBER(S1235))),"",IF(OR(S1235&gt;EOMONTH(B1235,0),AND(T1235&gt;0,T1235&lt;B1235)),0,IF(AND(S1235&lt;=B1235,OR(T1235=0,T1235&gt;=EOMONTH(B1235,0))),30,MIN(30,IF(T1235=0,EOMONTH(B1235,0),MIN(T1235,EOMONTH(B1235,0)))-MAX(B1235,S1235)+1))))</f>
        <v/>
      </c>
    </row>
    <row r="1236" customFormat="false" ht="15" hidden="false" customHeight="false" outlineLevel="0" collapsed="false">
      <c r="B1236" s="78"/>
      <c r="C1236" s="64"/>
      <c r="D1236" s="70" t="str">
        <f aca="false">IF(C1236="","",IFERROR(INDEX(T_NOMBRE,MATCH(C1236,T_ID,0)),"⚠ ID no existe"))</f>
        <v/>
      </c>
      <c r="E1236" s="69"/>
      <c r="F1236" s="69"/>
      <c r="G1236" s="69"/>
      <c r="H1236" s="69"/>
      <c r="I1236" s="66"/>
      <c r="J1236" s="69"/>
      <c r="K1236" s="67"/>
      <c r="L1236" s="67"/>
      <c r="M1236" s="67"/>
      <c r="N1236" s="67"/>
      <c r="O1236" s="64"/>
      <c r="P1236" s="72" t="str">
        <f aca="false">IF(OR(B1236="",C1236=""),"",C1236&amp;"|"&amp;(YEAR(B1236)*100+MONTH(B1236)))</f>
        <v/>
      </c>
      <c r="Q1236" s="70" t="str">
        <f aca="false">IF(P1236="","",IF(COUNTIF(N_CLAVE,P1236)&gt;1,"⚠ Duplicado","OK"))</f>
        <v/>
      </c>
      <c r="R1236" s="74" t="str">
        <f aca="false">IF(OR(P1236="",U1236=""),"",MAX(0,U1236-N(E1236)-N(F1236)-N(H1236)))</f>
        <v/>
      </c>
      <c r="S1236" s="75" t="str">
        <f aca="false">IF(P1236="","",IFERROR(INDEX(T_INGRESO,MATCH(C1236,T_ID,0)),""))</f>
        <v/>
      </c>
      <c r="T1236" s="75" t="str">
        <f aca="false">IF(P1236="","",IFERROR(N(INDEX(T_EGRESO,MATCH(C1236,T_ID,0))),0))</f>
        <v/>
      </c>
      <c r="U1236" s="73" t="str">
        <f aca="false">IF(OR(P1236="",NOT(ISNUMBER(S1236))),"",IF(OR(S1236&gt;EOMONTH(B1236,0),AND(T1236&gt;0,T1236&lt;B1236)),0,IF(AND(S1236&lt;=B1236,OR(T1236=0,T1236&gt;=EOMONTH(B1236,0))),30,MIN(30,IF(T1236=0,EOMONTH(B1236,0),MIN(T1236,EOMONTH(B1236,0)))-MAX(B1236,S1236)+1))))</f>
        <v/>
      </c>
    </row>
    <row r="1237" customFormat="false" ht="15" hidden="false" customHeight="false" outlineLevel="0" collapsed="false">
      <c r="B1237" s="78"/>
      <c r="C1237" s="64"/>
      <c r="D1237" s="70" t="str">
        <f aca="false">IF(C1237="","",IFERROR(INDEX(T_NOMBRE,MATCH(C1237,T_ID,0)),"⚠ ID no existe"))</f>
        <v/>
      </c>
      <c r="E1237" s="69"/>
      <c r="F1237" s="69"/>
      <c r="G1237" s="69"/>
      <c r="H1237" s="69"/>
      <c r="I1237" s="66"/>
      <c r="J1237" s="69"/>
      <c r="K1237" s="67"/>
      <c r="L1237" s="67"/>
      <c r="M1237" s="67"/>
      <c r="N1237" s="67"/>
      <c r="O1237" s="64"/>
      <c r="P1237" s="72" t="str">
        <f aca="false">IF(OR(B1237="",C1237=""),"",C1237&amp;"|"&amp;(YEAR(B1237)*100+MONTH(B1237)))</f>
        <v/>
      </c>
      <c r="Q1237" s="70" t="str">
        <f aca="false">IF(P1237="","",IF(COUNTIF(N_CLAVE,P1237)&gt;1,"⚠ Duplicado","OK"))</f>
        <v/>
      </c>
      <c r="R1237" s="74" t="str">
        <f aca="false">IF(OR(P1237="",U1237=""),"",MAX(0,U1237-N(E1237)-N(F1237)-N(H1237)))</f>
        <v/>
      </c>
      <c r="S1237" s="75" t="str">
        <f aca="false">IF(P1237="","",IFERROR(INDEX(T_INGRESO,MATCH(C1237,T_ID,0)),""))</f>
        <v/>
      </c>
      <c r="T1237" s="75" t="str">
        <f aca="false">IF(P1237="","",IFERROR(N(INDEX(T_EGRESO,MATCH(C1237,T_ID,0))),0))</f>
        <v/>
      </c>
      <c r="U1237" s="73" t="str">
        <f aca="false">IF(OR(P1237="",NOT(ISNUMBER(S1237))),"",IF(OR(S1237&gt;EOMONTH(B1237,0),AND(T1237&gt;0,T1237&lt;B1237)),0,IF(AND(S1237&lt;=B1237,OR(T1237=0,T1237&gt;=EOMONTH(B1237,0))),30,MIN(30,IF(T1237=0,EOMONTH(B1237,0),MIN(T1237,EOMONTH(B1237,0)))-MAX(B1237,S1237)+1))))</f>
        <v/>
      </c>
    </row>
    <row r="1238" customFormat="false" ht="15" hidden="false" customHeight="false" outlineLevel="0" collapsed="false">
      <c r="B1238" s="78"/>
      <c r="C1238" s="64"/>
      <c r="D1238" s="70" t="str">
        <f aca="false">IF(C1238="","",IFERROR(INDEX(T_NOMBRE,MATCH(C1238,T_ID,0)),"⚠ ID no existe"))</f>
        <v/>
      </c>
      <c r="E1238" s="69"/>
      <c r="F1238" s="69"/>
      <c r="G1238" s="69"/>
      <c r="H1238" s="69"/>
      <c r="I1238" s="66"/>
      <c r="J1238" s="69"/>
      <c r="K1238" s="67"/>
      <c r="L1238" s="67"/>
      <c r="M1238" s="67"/>
      <c r="N1238" s="67"/>
      <c r="O1238" s="64"/>
      <c r="P1238" s="72" t="str">
        <f aca="false">IF(OR(B1238="",C1238=""),"",C1238&amp;"|"&amp;(YEAR(B1238)*100+MONTH(B1238)))</f>
        <v/>
      </c>
      <c r="Q1238" s="70" t="str">
        <f aca="false">IF(P1238="","",IF(COUNTIF(N_CLAVE,P1238)&gt;1,"⚠ Duplicado","OK"))</f>
        <v/>
      </c>
      <c r="R1238" s="74" t="str">
        <f aca="false">IF(OR(P1238="",U1238=""),"",MAX(0,U1238-N(E1238)-N(F1238)-N(H1238)))</f>
        <v/>
      </c>
      <c r="S1238" s="75" t="str">
        <f aca="false">IF(P1238="","",IFERROR(INDEX(T_INGRESO,MATCH(C1238,T_ID,0)),""))</f>
        <v/>
      </c>
      <c r="T1238" s="75" t="str">
        <f aca="false">IF(P1238="","",IFERROR(N(INDEX(T_EGRESO,MATCH(C1238,T_ID,0))),0))</f>
        <v/>
      </c>
      <c r="U1238" s="73" t="str">
        <f aca="false">IF(OR(P1238="",NOT(ISNUMBER(S1238))),"",IF(OR(S1238&gt;EOMONTH(B1238,0),AND(T1238&gt;0,T1238&lt;B1238)),0,IF(AND(S1238&lt;=B1238,OR(T1238=0,T1238&gt;=EOMONTH(B1238,0))),30,MIN(30,IF(T1238=0,EOMONTH(B1238,0),MIN(T1238,EOMONTH(B1238,0)))-MAX(B1238,S1238)+1))))</f>
        <v/>
      </c>
    </row>
    <row r="1239" customFormat="false" ht="15" hidden="false" customHeight="false" outlineLevel="0" collapsed="false">
      <c r="B1239" s="78"/>
      <c r="C1239" s="64"/>
      <c r="D1239" s="70" t="str">
        <f aca="false">IF(C1239="","",IFERROR(INDEX(T_NOMBRE,MATCH(C1239,T_ID,0)),"⚠ ID no existe"))</f>
        <v/>
      </c>
      <c r="E1239" s="69"/>
      <c r="F1239" s="69"/>
      <c r="G1239" s="69"/>
      <c r="H1239" s="69"/>
      <c r="I1239" s="66"/>
      <c r="J1239" s="69"/>
      <c r="K1239" s="67"/>
      <c r="L1239" s="67"/>
      <c r="M1239" s="67"/>
      <c r="N1239" s="67"/>
      <c r="O1239" s="64"/>
      <c r="P1239" s="72" t="str">
        <f aca="false">IF(OR(B1239="",C1239=""),"",C1239&amp;"|"&amp;(YEAR(B1239)*100+MONTH(B1239)))</f>
        <v/>
      </c>
      <c r="Q1239" s="70" t="str">
        <f aca="false">IF(P1239="","",IF(COUNTIF(N_CLAVE,P1239)&gt;1,"⚠ Duplicado","OK"))</f>
        <v/>
      </c>
      <c r="R1239" s="74" t="str">
        <f aca="false">IF(OR(P1239="",U1239=""),"",MAX(0,U1239-N(E1239)-N(F1239)-N(H1239)))</f>
        <v/>
      </c>
      <c r="S1239" s="75" t="str">
        <f aca="false">IF(P1239="","",IFERROR(INDEX(T_INGRESO,MATCH(C1239,T_ID,0)),""))</f>
        <v/>
      </c>
      <c r="T1239" s="75" t="str">
        <f aca="false">IF(P1239="","",IFERROR(N(INDEX(T_EGRESO,MATCH(C1239,T_ID,0))),0))</f>
        <v/>
      </c>
      <c r="U1239" s="73" t="str">
        <f aca="false">IF(OR(P1239="",NOT(ISNUMBER(S1239))),"",IF(OR(S1239&gt;EOMONTH(B1239,0),AND(T1239&gt;0,T1239&lt;B1239)),0,IF(AND(S1239&lt;=B1239,OR(T1239=0,T1239&gt;=EOMONTH(B1239,0))),30,MIN(30,IF(T1239=0,EOMONTH(B1239,0),MIN(T1239,EOMONTH(B1239,0)))-MAX(B1239,S1239)+1))))</f>
        <v/>
      </c>
    </row>
    <row r="1240" customFormat="false" ht="15" hidden="false" customHeight="false" outlineLevel="0" collapsed="false">
      <c r="B1240" s="78"/>
      <c r="C1240" s="64"/>
      <c r="D1240" s="70" t="str">
        <f aca="false">IF(C1240="","",IFERROR(INDEX(T_NOMBRE,MATCH(C1240,T_ID,0)),"⚠ ID no existe"))</f>
        <v/>
      </c>
      <c r="E1240" s="69"/>
      <c r="F1240" s="69"/>
      <c r="G1240" s="69"/>
      <c r="H1240" s="69"/>
      <c r="I1240" s="66"/>
      <c r="J1240" s="69"/>
      <c r="K1240" s="67"/>
      <c r="L1240" s="67"/>
      <c r="M1240" s="67"/>
      <c r="N1240" s="67"/>
      <c r="O1240" s="64"/>
      <c r="P1240" s="72" t="str">
        <f aca="false">IF(OR(B1240="",C1240=""),"",C1240&amp;"|"&amp;(YEAR(B1240)*100+MONTH(B1240)))</f>
        <v/>
      </c>
      <c r="Q1240" s="70" t="str">
        <f aca="false">IF(P1240="","",IF(COUNTIF(N_CLAVE,P1240)&gt;1,"⚠ Duplicado","OK"))</f>
        <v/>
      </c>
      <c r="R1240" s="74" t="str">
        <f aca="false">IF(OR(P1240="",U1240=""),"",MAX(0,U1240-N(E1240)-N(F1240)-N(H1240)))</f>
        <v/>
      </c>
      <c r="S1240" s="75" t="str">
        <f aca="false">IF(P1240="","",IFERROR(INDEX(T_INGRESO,MATCH(C1240,T_ID,0)),""))</f>
        <v/>
      </c>
      <c r="T1240" s="75" t="str">
        <f aca="false">IF(P1240="","",IFERROR(N(INDEX(T_EGRESO,MATCH(C1240,T_ID,0))),0))</f>
        <v/>
      </c>
      <c r="U1240" s="73" t="str">
        <f aca="false">IF(OR(P1240="",NOT(ISNUMBER(S1240))),"",IF(OR(S1240&gt;EOMONTH(B1240,0),AND(T1240&gt;0,T1240&lt;B1240)),0,IF(AND(S1240&lt;=B1240,OR(T1240=0,T1240&gt;=EOMONTH(B1240,0))),30,MIN(30,IF(T1240=0,EOMONTH(B1240,0),MIN(T1240,EOMONTH(B1240,0)))-MAX(B1240,S1240)+1))))</f>
        <v/>
      </c>
    </row>
    <row r="1241" customFormat="false" ht="15" hidden="false" customHeight="false" outlineLevel="0" collapsed="false">
      <c r="B1241" s="78"/>
      <c r="C1241" s="64"/>
      <c r="D1241" s="70" t="str">
        <f aca="false">IF(C1241="","",IFERROR(INDEX(T_NOMBRE,MATCH(C1241,T_ID,0)),"⚠ ID no existe"))</f>
        <v/>
      </c>
      <c r="E1241" s="69"/>
      <c r="F1241" s="69"/>
      <c r="G1241" s="69"/>
      <c r="H1241" s="69"/>
      <c r="I1241" s="66"/>
      <c r="J1241" s="69"/>
      <c r="K1241" s="67"/>
      <c r="L1241" s="67"/>
      <c r="M1241" s="67"/>
      <c r="N1241" s="67"/>
      <c r="O1241" s="64"/>
      <c r="P1241" s="72" t="str">
        <f aca="false">IF(OR(B1241="",C1241=""),"",C1241&amp;"|"&amp;(YEAR(B1241)*100+MONTH(B1241)))</f>
        <v/>
      </c>
      <c r="Q1241" s="70" t="str">
        <f aca="false">IF(P1241="","",IF(COUNTIF(N_CLAVE,P1241)&gt;1,"⚠ Duplicado","OK"))</f>
        <v/>
      </c>
      <c r="R1241" s="74" t="str">
        <f aca="false">IF(OR(P1241="",U1241=""),"",MAX(0,U1241-N(E1241)-N(F1241)-N(H1241)))</f>
        <v/>
      </c>
      <c r="S1241" s="75" t="str">
        <f aca="false">IF(P1241="","",IFERROR(INDEX(T_INGRESO,MATCH(C1241,T_ID,0)),""))</f>
        <v/>
      </c>
      <c r="T1241" s="75" t="str">
        <f aca="false">IF(P1241="","",IFERROR(N(INDEX(T_EGRESO,MATCH(C1241,T_ID,0))),0))</f>
        <v/>
      </c>
      <c r="U1241" s="73" t="str">
        <f aca="false">IF(OR(P1241="",NOT(ISNUMBER(S1241))),"",IF(OR(S1241&gt;EOMONTH(B1241,0),AND(T1241&gt;0,T1241&lt;B1241)),0,IF(AND(S1241&lt;=B1241,OR(T1241=0,T1241&gt;=EOMONTH(B1241,0))),30,MIN(30,IF(T1241=0,EOMONTH(B1241,0),MIN(T1241,EOMONTH(B1241,0)))-MAX(B1241,S1241)+1))))</f>
        <v/>
      </c>
    </row>
    <row r="1242" customFormat="false" ht="15" hidden="false" customHeight="false" outlineLevel="0" collapsed="false">
      <c r="B1242" s="78"/>
      <c r="C1242" s="64"/>
      <c r="D1242" s="70" t="str">
        <f aca="false">IF(C1242="","",IFERROR(INDEX(T_NOMBRE,MATCH(C1242,T_ID,0)),"⚠ ID no existe"))</f>
        <v/>
      </c>
      <c r="E1242" s="69"/>
      <c r="F1242" s="69"/>
      <c r="G1242" s="69"/>
      <c r="H1242" s="69"/>
      <c r="I1242" s="66"/>
      <c r="J1242" s="69"/>
      <c r="K1242" s="67"/>
      <c r="L1242" s="67"/>
      <c r="M1242" s="67"/>
      <c r="N1242" s="67"/>
      <c r="O1242" s="64"/>
      <c r="P1242" s="72" t="str">
        <f aca="false">IF(OR(B1242="",C1242=""),"",C1242&amp;"|"&amp;(YEAR(B1242)*100+MONTH(B1242)))</f>
        <v/>
      </c>
      <c r="Q1242" s="70" t="str">
        <f aca="false">IF(P1242="","",IF(COUNTIF(N_CLAVE,P1242)&gt;1,"⚠ Duplicado","OK"))</f>
        <v/>
      </c>
      <c r="R1242" s="74" t="str">
        <f aca="false">IF(OR(P1242="",U1242=""),"",MAX(0,U1242-N(E1242)-N(F1242)-N(H1242)))</f>
        <v/>
      </c>
      <c r="S1242" s="75" t="str">
        <f aca="false">IF(P1242="","",IFERROR(INDEX(T_INGRESO,MATCH(C1242,T_ID,0)),""))</f>
        <v/>
      </c>
      <c r="T1242" s="75" t="str">
        <f aca="false">IF(P1242="","",IFERROR(N(INDEX(T_EGRESO,MATCH(C1242,T_ID,0))),0))</f>
        <v/>
      </c>
      <c r="U1242" s="73" t="str">
        <f aca="false">IF(OR(P1242="",NOT(ISNUMBER(S1242))),"",IF(OR(S1242&gt;EOMONTH(B1242,0),AND(T1242&gt;0,T1242&lt;B1242)),0,IF(AND(S1242&lt;=B1242,OR(T1242=0,T1242&gt;=EOMONTH(B1242,0))),30,MIN(30,IF(T1242=0,EOMONTH(B1242,0),MIN(T1242,EOMONTH(B1242,0)))-MAX(B1242,S1242)+1))))</f>
        <v/>
      </c>
    </row>
    <row r="1243" customFormat="false" ht="15" hidden="false" customHeight="false" outlineLevel="0" collapsed="false">
      <c r="B1243" s="78"/>
      <c r="C1243" s="64"/>
      <c r="D1243" s="70" t="str">
        <f aca="false">IF(C1243="","",IFERROR(INDEX(T_NOMBRE,MATCH(C1243,T_ID,0)),"⚠ ID no existe"))</f>
        <v/>
      </c>
      <c r="E1243" s="69"/>
      <c r="F1243" s="69"/>
      <c r="G1243" s="69"/>
      <c r="H1243" s="69"/>
      <c r="I1243" s="66"/>
      <c r="J1243" s="69"/>
      <c r="K1243" s="67"/>
      <c r="L1243" s="67"/>
      <c r="M1243" s="67"/>
      <c r="N1243" s="67"/>
      <c r="O1243" s="64"/>
      <c r="P1243" s="72" t="str">
        <f aca="false">IF(OR(B1243="",C1243=""),"",C1243&amp;"|"&amp;(YEAR(B1243)*100+MONTH(B1243)))</f>
        <v/>
      </c>
      <c r="Q1243" s="70" t="str">
        <f aca="false">IF(P1243="","",IF(COUNTIF(N_CLAVE,P1243)&gt;1,"⚠ Duplicado","OK"))</f>
        <v/>
      </c>
      <c r="R1243" s="74" t="str">
        <f aca="false">IF(OR(P1243="",U1243=""),"",MAX(0,U1243-N(E1243)-N(F1243)-N(H1243)))</f>
        <v/>
      </c>
      <c r="S1243" s="75" t="str">
        <f aca="false">IF(P1243="","",IFERROR(INDEX(T_INGRESO,MATCH(C1243,T_ID,0)),""))</f>
        <v/>
      </c>
      <c r="T1243" s="75" t="str">
        <f aca="false">IF(P1243="","",IFERROR(N(INDEX(T_EGRESO,MATCH(C1243,T_ID,0))),0))</f>
        <v/>
      </c>
      <c r="U1243" s="73" t="str">
        <f aca="false">IF(OR(P1243="",NOT(ISNUMBER(S1243))),"",IF(OR(S1243&gt;EOMONTH(B1243,0),AND(T1243&gt;0,T1243&lt;B1243)),0,IF(AND(S1243&lt;=B1243,OR(T1243=0,T1243&gt;=EOMONTH(B1243,0))),30,MIN(30,IF(T1243=0,EOMONTH(B1243,0),MIN(T1243,EOMONTH(B1243,0)))-MAX(B1243,S1243)+1))))</f>
        <v/>
      </c>
    </row>
    <row r="1244" customFormat="false" ht="15" hidden="false" customHeight="false" outlineLevel="0" collapsed="false">
      <c r="B1244" s="78"/>
      <c r="C1244" s="64"/>
      <c r="D1244" s="70" t="str">
        <f aca="false">IF(C1244="","",IFERROR(INDEX(T_NOMBRE,MATCH(C1244,T_ID,0)),"⚠ ID no existe"))</f>
        <v/>
      </c>
      <c r="E1244" s="69"/>
      <c r="F1244" s="69"/>
      <c r="G1244" s="69"/>
      <c r="H1244" s="69"/>
      <c r="I1244" s="66"/>
      <c r="J1244" s="69"/>
      <c r="K1244" s="67"/>
      <c r="L1244" s="67"/>
      <c r="M1244" s="67"/>
      <c r="N1244" s="67"/>
      <c r="O1244" s="64"/>
      <c r="P1244" s="72" t="str">
        <f aca="false">IF(OR(B1244="",C1244=""),"",C1244&amp;"|"&amp;(YEAR(B1244)*100+MONTH(B1244)))</f>
        <v/>
      </c>
      <c r="Q1244" s="70" t="str">
        <f aca="false">IF(P1244="","",IF(COUNTIF(N_CLAVE,P1244)&gt;1,"⚠ Duplicado","OK"))</f>
        <v/>
      </c>
      <c r="R1244" s="74" t="str">
        <f aca="false">IF(OR(P1244="",U1244=""),"",MAX(0,U1244-N(E1244)-N(F1244)-N(H1244)))</f>
        <v/>
      </c>
      <c r="S1244" s="75" t="str">
        <f aca="false">IF(P1244="","",IFERROR(INDEX(T_INGRESO,MATCH(C1244,T_ID,0)),""))</f>
        <v/>
      </c>
      <c r="T1244" s="75" t="str">
        <f aca="false">IF(P1244="","",IFERROR(N(INDEX(T_EGRESO,MATCH(C1244,T_ID,0))),0))</f>
        <v/>
      </c>
      <c r="U1244" s="73" t="str">
        <f aca="false">IF(OR(P1244="",NOT(ISNUMBER(S1244))),"",IF(OR(S1244&gt;EOMONTH(B1244,0),AND(T1244&gt;0,T1244&lt;B1244)),0,IF(AND(S1244&lt;=B1244,OR(T1244=0,T1244&gt;=EOMONTH(B1244,0))),30,MIN(30,IF(T1244=0,EOMONTH(B1244,0),MIN(T1244,EOMONTH(B1244,0)))-MAX(B1244,S1244)+1))))</f>
        <v/>
      </c>
    </row>
    <row r="1245" customFormat="false" ht="15" hidden="false" customHeight="false" outlineLevel="0" collapsed="false">
      <c r="B1245" s="78"/>
      <c r="C1245" s="64"/>
      <c r="D1245" s="70" t="str">
        <f aca="false">IF(C1245="","",IFERROR(INDEX(T_NOMBRE,MATCH(C1245,T_ID,0)),"⚠ ID no existe"))</f>
        <v/>
      </c>
      <c r="E1245" s="69"/>
      <c r="F1245" s="69"/>
      <c r="G1245" s="69"/>
      <c r="H1245" s="69"/>
      <c r="I1245" s="66"/>
      <c r="J1245" s="69"/>
      <c r="K1245" s="67"/>
      <c r="L1245" s="67"/>
      <c r="M1245" s="67"/>
      <c r="N1245" s="67"/>
      <c r="O1245" s="64"/>
      <c r="P1245" s="72" t="str">
        <f aca="false">IF(OR(B1245="",C1245=""),"",C1245&amp;"|"&amp;(YEAR(B1245)*100+MONTH(B1245)))</f>
        <v/>
      </c>
      <c r="Q1245" s="70" t="str">
        <f aca="false">IF(P1245="","",IF(COUNTIF(N_CLAVE,P1245)&gt;1,"⚠ Duplicado","OK"))</f>
        <v/>
      </c>
      <c r="R1245" s="74" t="str">
        <f aca="false">IF(OR(P1245="",U1245=""),"",MAX(0,U1245-N(E1245)-N(F1245)-N(H1245)))</f>
        <v/>
      </c>
      <c r="S1245" s="75" t="str">
        <f aca="false">IF(P1245="","",IFERROR(INDEX(T_INGRESO,MATCH(C1245,T_ID,0)),""))</f>
        <v/>
      </c>
      <c r="T1245" s="75" t="str">
        <f aca="false">IF(P1245="","",IFERROR(N(INDEX(T_EGRESO,MATCH(C1245,T_ID,0))),0))</f>
        <v/>
      </c>
      <c r="U1245" s="73" t="str">
        <f aca="false">IF(OR(P1245="",NOT(ISNUMBER(S1245))),"",IF(OR(S1245&gt;EOMONTH(B1245,0),AND(T1245&gt;0,T1245&lt;B1245)),0,IF(AND(S1245&lt;=B1245,OR(T1245=0,T1245&gt;=EOMONTH(B1245,0))),30,MIN(30,IF(T1245=0,EOMONTH(B1245,0),MIN(T1245,EOMONTH(B1245,0)))-MAX(B1245,S1245)+1))))</f>
        <v/>
      </c>
    </row>
    <row r="1246" customFormat="false" ht="15" hidden="false" customHeight="false" outlineLevel="0" collapsed="false">
      <c r="B1246" s="78"/>
      <c r="C1246" s="64"/>
      <c r="D1246" s="70" t="str">
        <f aca="false">IF(C1246="","",IFERROR(INDEX(T_NOMBRE,MATCH(C1246,T_ID,0)),"⚠ ID no existe"))</f>
        <v/>
      </c>
      <c r="E1246" s="69"/>
      <c r="F1246" s="69"/>
      <c r="G1246" s="69"/>
      <c r="H1246" s="69"/>
      <c r="I1246" s="66"/>
      <c r="J1246" s="69"/>
      <c r="K1246" s="67"/>
      <c r="L1246" s="67"/>
      <c r="M1246" s="67"/>
      <c r="N1246" s="67"/>
      <c r="O1246" s="64"/>
      <c r="P1246" s="72" t="str">
        <f aca="false">IF(OR(B1246="",C1246=""),"",C1246&amp;"|"&amp;(YEAR(B1246)*100+MONTH(B1246)))</f>
        <v/>
      </c>
      <c r="Q1246" s="70" t="str">
        <f aca="false">IF(P1246="","",IF(COUNTIF(N_CLAVE,P1246)&gt;1,"⚠ Duplicado","OK"))</f>
        <v/>
      </c>
      <c r="R1246" s="74" t="str">
        <f aca="false">IF(OR(P1246="",U1246=""),"",MAX(0,U1246-N(E1246)-N(F1246)-N(H1246)))</f>
        <v/>
      </c>
      <c r="S1246" s="75" t="str">
        <f aca="false">IF(P1246="","",IFERROR(INDEX(T_INGRESO,MATCH(C1246,T_ID,0)),""))</f>
        <v/>
      </c>
      <c r="T1246" s="75" t="str">
        <f aca="false">IF(P1246="","",IFERROR(N(INDEX(T_EGRESO,MATCH(C1246,T_ID,0))),0))</f>
        <v/>
      </c>
      <c r="U1246" s="73" t="str">
        <f aca="false">IF(OR(P1246="",NOT(ISNUMBER(S1246))),"",IF(OR(S1246&gt;EOMONTH(B1246,0),AND(T1246&gt;0,T1246&lt;B1246)),0,IF(AND(S1246&lt;=B1246,OR(T1246=0,T1246&gt;=EOMONTH(B1246,0))),30,MIN(30,IF(T1246=0,EOMONTH(B1246,0),MIN(T1246,EOMONTH(B1246,0)))-MAX(B1246,S1246)+1))))</f>
        <v/>
      </c>
    </row>
    <row r="1247" customFormat="false" ht="15" hidden="false" customHeight="false" outlineLevel="0" collapsed="false">
      <c r="B1247" s="78"/>
      <c r="C1247" s="64"/>
      <c r="D1247" s="70" t="str">
        <f aca="false">IF(C1247="","",IFERROR(INDEX(T_NOMBRE,MATCH(C1247,T_ID,0)),"⚠ ID no existe"))</f>
        <v/>
      </c>
      <c r="E1247" s="69"/>
      <c r="F1247" s="69"/>
      <c r="G1247" s="69"/>
      <c r="H1247" s="69"/>
      <c r="I1247" s="66"/>
      <c r="J1247" s="69"/>
      <c r="K1247" s="67"/>
      <c r="L1247" s="67"/>
      <c r="M1247" s="67"/>
      <c r="N1247" s="67"/>
      <c r="O1247" s="64"/>
      <c r="P1247" s="72" t="str">
        <f aca="false">IF(OR(B1247="",C1247=""),"",C1247&amp;"|"&amp;(YEAR(B1247)*100+MONTH(B1247)))</f>
        <v/>
      </c>
      <c r="Q1247" s="70" t="str">
        <f aca="false">IF(P1247="","",IF(COUNTIF(N_CLAVE,P1247)&gt;1,"⚠ Duplicado","OK"))</f>
        <v/>
      </c>
      <c r="R1247" s="74" t="str">
        <f aca="false">IF(OR(P1247="",U1247=""),"",MAX(0,U1247-N(E1247)-N(F1247)-N(H1247)))</f>
        <v/>
      </c>
      <c r="S1247" s="75" t="str">
        <f aca="false">IF(P1247="","",IFERROR(INDEX(T_INGRESO,MATCH(C1247,T_ID,0)),""))</f>
        <v/>
      </c>
      <c r="T1247" s="75" t="str">
        <f aca="false">IF(P1247="","",IFERROR(N(INDEX(T_EGRESO,MATCH(C1247,T_ID,0))),0))</f>
        <v/>
      </c>
      <c r="U1247" s="73" t="str">
        <f aca="false">IF(OR(P1247="",NOT(ISNUMBER(S1247))),"",IF(OR(S1247&gt;EOMONTH(B1247,0),AND(T1247&gt;0,T1247&lt;B1247)),0,IF(AND(S1247&lt;=B1247,OR(T1247=0,T1247&gt;=EOMONTH(B1247,0))),30,MIN(30,IF(T1247=0,EOMONTH(B1247,0),MIN(T1247,EOMONTH(B1247,0)))-MAX(B1247,S1247)+1))))</f>
        <v/>
      </c>
    </row>
    <row r="1248" customFormat="false" ht="15" hidden="false" customHeight="false" outlineLevel="0" collapsed="false">
      <c r="B1248" s="78"/>
      <c r="C1248" s="64"/>
      <c r="D1248" s="70" t="str">
        <f aca="false">IF(C1248="","",IFERROR(INDEX(T_NOMBRE,MATCH(C1248,T_ID,0)),"⚠ ID no existe"))</f>
        <v/>
      </c>
      <c r="E1248" s="69"/>
      <c r="F1248" s="69"/>
      <c r="G1248" s="69"/>
      <c r="H1248" s="69"/>
      <c r="I1248" s="66"/>
      <c r="J1248" s="69"/>
      <c r="K1248" s="67"/>
      <c r="L1248" s="67"/>
      <c r="M1248" s="67"/>
      <c r="N1248" s="67"/>
      <c r="O1248" s="64"/>
      <c r="P1248" s="72" t="str">
        <f aca="false">IF(OR(B1248="",C1248=""),"",C1248&amp;"|"&amp;(YEAR(B1248)*100+MONTH(B1248)))</f>
        <v/>
      </c>
      <c r="Q1248" s="70" t="str">
        <f aca="false">IF(P1248="","",IF(COUNTIF(N_CLAVE,P1248)&gt;1,"⚠ Duplicado","OK"))</f>
        <v/>
      </c>
      <c r="R1248" s="74" t="str">
        <f aca="false">IF(OR(P1248="",U1248=""),"",MAX(0,U1248-N(E1248)-N(F1248)-N(H1248)))</f>
        <v/>
      </c>
      <c r="S1248" s="75" t="str">
        <f aca="false">IF(P1248="","",IFERROR(INDEX(T_INGRESO,MATCH(C1248,T_ID,0)),""))</f>
        <v/>
      </c>
      <c r="T1248" s="75" t="str">
        <f aca="false">IF(P1248="","",IFERROR(N(INDEX(T_EGRESO,MATCH(C1248,T_ID,0))),0))</f>
        <v/>
      </c>
      <c r="U1248" s="73" t="str">
        <f aca="false">IF(OR(P1248="",NOT(ISNUMBER(S1248))),"",IF(OR(S1248&gt;EOMONTH(B1248,0),AND(T1248&gt;0,T1248&lt;B1248)),0,IF(AND(S1248&lt;=B1248,OR(T1248=0,T1248&gt;=EOMONTH(B1248,0))),30,MIN(30,IF(T1248=0,EOMONTH(B1248,0),MIN(T1248,EOMONTH(B1248,0)))-MAX(B1248,S1248)+1))))</f>
        <v/>
      </c>
    </row>
    <row r="1249" customFormat="false" ht="15" hidden="false" customHeight="false" outlineLevel="0" collapsed="false">
      <c r="B1249" s="78"/>
      <c r="C1249" s="64"/>
      <c r="D1249" s="70" t="str">
        <f aca="false">IF(C1249="","",IFERROR(INDEX(T_NOMBRE,MATCH(C1249,T_ID,0)),"⚠ ID no existe"))</f>
        <v/>
      </c>
      <c r="E1249" s="69"/>
      <c r="F1249" s="69"/>
      <c r="G1249" s="69"/>
      <c r="H1249" s="69"/>
      <c r="I1249" s="66"/>
      <c r="J1249" s="69"/>
      <c r="K1249" s="67"/>
      <c r="L1249" s="67"/>
      <c r="M1249" s="67"/>
      <c r="N1249" s="67"/>
      <c r="O1249" s="64"/>
      <c r="P1249" s="72" t="str">
        <f aca="false">IF(OR(B1249="",C1249=""),"",C1249&amp;"|"&amp;(YEAR(B1249)*100+MONTH(B1249)))</f>
        <v/>
      </c>
      <c r="Q1249" s="70" t="str">
        <f aca="false">IF(P1249="","",IF(COUNTIF(N_CLAVE,P1249)&gt;1,"⚠ Duplicado","OK"))</f>
        <v/>
      </c>
      <c r="R1249" s="74" t="str">
        <f aca="false">IF(OR(P1249="",U1249=""),"",MAX(0,U1249-N(E1249)-N(F1249)-N(H1249)))</f>
        <v/>
      </c>
      <c r="S1249" s="75" t="str">
        <f aca="false">IF(P1249="","",IFERROR(INDEX(T_INGRESO,MATCH(C1249,T_ID,0)),""))</f>
        <v/>
      </c>
      <c r="T1249" s="75" t="str">
        <f aca="false">IF(P1249="","",IFERROR(N(INDEX(T_EGRESO,MATCH(C1249,T_ID,0))),0))</f>
        <v/>
      </c>
      <c r="U1249" s="73" t="str">
        <f aca="false">IF(OR(P1249="",NOT(ISNUMBER(S1249))),"",IF(OR(S1249&gt;EOMONTH(B1249,0),AND(T1249&gt;0,T1249&lt;B1249)),0,IF(AND(S1249&lt;=B1249,OR(T1249=0,T1249&gt;=EOMONTH(B1249,0))),30,MIN(30,IF(T1249=0,EOMONTH(B1249,0),MIN(T1249,EOMONTH(B1249,0)))-MAX(B1249,S1249)+1))))</f>
        <v/>
      </c>
    </row>
    <row r="1250" customFormat="false" ht="15" hidden="false" customHeight="false" outlineLevel="0" collapsed="false">
      <c r="B1250" s="78"/>
      <c r="C1250" s="64"/>
      <c r="D1250" s="70" t="str">
        <f aca="false">IF(C1250="","",IFERROR(INDEX(T_NOMBRE,MATCH(C1250,T_ID,0)),"⚠ ID no existe"))</f>
        <v/>
      </c>
      <c r="E1250" s="69"/>
      <c r="F1250" s="69"/>
      <c r="G1250" s="69"/>
      <c r="H1250" s="69"/>
      <c r="I1250" s="66"/>
      <c r="J1250" s="69"/>
      <c r="K1250" s="67"/>
      <c r="L1250" s="67"/>
      <c r="M1250" s="67"/>
      <c r="N1250" s="67"/>
      <c r="O1250" s="64"/>
      <c r="P1250" s="72" t="str">
        <f aca="false">IF(OR(B1250="",C1250=""),"",C1250&amp;"|"&amp;(YEAR(B1250)*100+MONTH(B1250)))</f>
        <v/>
      </c>
      <c r="Q1250" s="70" t="str">
        <f aca="false">IF(P1250="","",IF(COUNTIF(N_CLAVE,P1250)&gt;1,"⚠ Duplicado","OK"))</f>
        <v/>
      </c>
      <c r="R1250" s="74" t="str">
        <f aca="false">IF(OR(P1250="",U1250=""),"",MAX(0,U1250-N(E1250)-N(F1250)-N(H1250)))</f>
        <v/>
      </c>
      <c r="S1250" s="75" t="str">
        <f aca="false">IF(P1250="","",IFERROR(INDEX(T_INGRESO,MATCH(C1250,T_ID,0)),""))</f>
        <v/>
      </c>
      <c r="T1250" s="75" t="str">
        <f aca="false">IF(P1250="","",IFERROR(N(INDEX(T_EGRESO,MATCH(C1250,T_ID,0))),0))</f>
        <v/>
      </c>
      <c r="U1250" s="73" t="str">
        <f aca="false">IF(OR(P1250="",NOT(ISNUMBER(S1250))),"",IF(OR(S1250&gt;EOMONTH(B1250,0),AND(T1250&gt;0,T1250&lt;B1250)),0,IF(AND(S1250&lt;=B1250,OR(T1250=0,T1250&gt;=EOMONTH(B1250,0))),30,MIN(30,IF(T1250=0,EOMONTH(B1250,0),MIN(T1250,EOMONTH(B1250,0)))-MAX(B1250,S1250)+1))))</f>
        <v/>
      </c>
    </row>
    <row r="1251" customFormat="false" ht="15" hidden="false" customHeight="false" outlineLevel="0" collapsed="false">
      <c r="B1251" s="78"/>
      <c r="C1251" s="64"/>
      <c r="D1251" s="70" t="str">
        <f aca="false">IF(C1251="","",IFERROR(INDEX(T_NOMBRE,MATCH(C1251,T_ID,0)),"⚠ ID no existe"))</f>
        <v/>
      </c>
      <c r="E1251" s="69"/>
      <c r="F1251" s="69"/>
      <c r="G1251" s="69"/>
      <c r="H1251" s="69"/>
      <c r="I1251" s="66"/>
      <c r="J1251" s="69"/>
      <c r="K1251" s="67"/>
      <c r="L1251" s="67"/>
      <c r="M1251" s="67"/>
      <c r="N1251" s="67"/>
      <c r="O1251" s="64"/>
      <c r="P1251" s="72" t="str">
        <f aca="false">IF(OR(B1251="",C1251=""),"",C1251&amp;"|"&amp;(YEAR(B1251)*100+MONTH(B1251)))</f>
        <v/>
      </c>
      <c r="Q1251" s="70" t="str">
        <f aca="false">IF(P1251="","",IF(COUNTIF(N_CLAVE,P1251)&gt;1,"⚠ Duplicado","OK"))</f>
        <v/>
      </c>
      <c r="R1251" s="74" t="str">
        <f aca="false">IF(OR(P1251="",U1251=""),"",MAX(0,U1251-N(E1251)-N(F1251)-N(H1251)))</f>
        <v/>
      </c>
      <c r="S1251" s="75" t="str">
        <f aca="false">IF(P1251="","",IFERROR(INDEX(T_INGRESO,MATCH(C1251,T_ID,0)),""))</f>
        <v/>
      </c>
      <c r="T1251" s="75" t="str">
        <f aca="false">IF(P1251="","",IFERROR(N(INDEX(T_EGRESO,MATCH(C1251,T_ID,0))),0))</f>
        <v/>
      </c>
      <c r="U1251" s="73" t="str">
        <f aca="false">IF(OR(P1251="",NOT(ISNUMBER(S1251))),"",IF(OR(S1251&gt;EOMONTH(B1251,0),AND(T1251&gt;0,T1251&lt;B1251)),0,IF(AND(S1251&lt;=B1251,OR(T1251=0,T1251&gt;=EOMONTH(B1251,0))),30,MIN(30,IF(T1251=0,EOMONTH(B1251,0),MIN(T1251,EOMONTH(B1251,0)))-MAX(B1251,S1251)+1))))</f>
        <v/>
      </c>
    </row>
    <row r="1252" customFormat="false" ht="15" hidden="false" customHeight="false" outlineLevel="0" collapsed="false">
      <c r="B1252" s="78"/>
      <c r="C1252" s="64"/>
      <c r="D1252" s="70" t="str">
        <f aca="false">IF(C1252="","",IFERROR(INDEX(T_NOMBRE,MATCH(C1252,T_ID,0)),"⚠ ID no existe"))</f>
        <v/>
      </c>
      <c r="E1252" s="69"/>
      <c r="F1252" s="69"/>
      <c r="G1252" s="69"/>
      <c r="H1252" s="69"/>
      <c r="I1252" s="66"/>
      <c r="J1252" s="69"/>
      <c r="K1252" s="67"/>
      <c r="L1252" s="67"/>
      <c r="M1252" s="67"/>
      <c r="N1252" s="67"/>
      <c r="O1252" s="64"/>
      <c r="P1252" s="72" t="str">
        <f aca="false">IF(OR(B1252="",C1252=""),"",C1252&amp;"|"&amp;(YEAR(B1252)*100+MONTH(B1252)))</f>
        <v/>
      </c>
      <c r="Q1252" s="70" t="str">
        <f aca="false">IF(P1252="","",IF(COUNTIF(N_CLAVE,P1252)&gt;1,"⚠ Duplicado","OK"))</f>
        <v/>
      </c>
      <c r="R1252" s="74" t="str">
        <f aca="false">IF(OR(P1252="",U1252=""),"",MAX(0,U1252-N(E1252)-N(F1252)-N(H1252)))</f>
        <v/>
      </c>
      <c r="S1252" s="75" t="str">
        <f aca="false">IF(P1252="","",IFERROR(INDEX(T_INGRESO,MATCH(C1252,T_ID,0)),""))</f>
        <v/>
      </c>
      <c r="T1252" s="75" t="str">
        <f aca="false">IF(P1252="","",IFERROR(N(INDEX(T_EGRESO,MATCH(C1252,T_ID,0))),0))</f>
        <v/>
      </c>
      <c r="U1252" s="73" t="str">
        <f aca="false">IF(OR(P1252="",NOT(ISNUMBER(S1252))),"",IF(OR(S1252&gt;EOMONTH(B1252,0),AND(T1252&gt;0,T1252&lt;B1252)),0,IF(AND(S1252&lt;=B1252,OR(T1252=0,T1252&gt;=EOMONTH(B1252,0))),30,MIN(30,IF(T1252=0,EOMONTH(B1252,0),MIN(T1252,EOMONTH(B1252,0)))-MAX(B1252,S1252)+1))))</f>
        <v/>
      </c>
    </row>
    <row r="1253" customFormat="false" ht="15" hidden="false" customHeight="false" outlineLevel="0" collapsed="false">
      <c r="B1253" s="78"/>
      <c r="C1253" s="64"/>
      <c r="D1253" s="70" t="str">
        <f aca="false">IF(C1253="","",IFERROR(INDEX(T_NOMBRE,MATCH(C1253,T_ID,0)),"⚠ ID no existe"))</f>
        <v/>
      </c>
      <c r="E1253" s="69"/>
      <c r="F1253" s="69"/>
      <c r="G1253" s="69"/>
      <c r="H1253" s="69"/>
      <c r="I1253" s="66"/>
      <c r="J1253" s="69"/>
      <c r="K1253" s="67"/>
      <c r="L1253" s="67"/>
      <c r="M1253" s="67"/>
      <c r="N1253" s="67"/>
      <c r="O1253" s="64"/>
      <c r="P1253" s="72" t="str">
        <f aca="false">IF(OR(B1253="",C1253=""),"",C1253&amp;"|"&amp;(YEAR(B1253)*100+MONTH(B1253)))</f>
        <v/>
      </c>
      <c r="Q1253" s="70" t="str">
        <f aca="false">IF(P1253="","",IF(COUNTIF(N_CLAVE,P1253)&gt;1,"⚠ Duplicado","OK"))</f>
        <v/>
      </c>
      <c r="R1253" s="74" t="str">
        <f aca="false">IF(OR(P1253="",U1253=""),"",MAX(0,U1253-N(E1253)-N(F1253)-N(H1253)))</f>
        <v/>
      </c>
      <c r="S1253" s="75" t="str">
        <f aca="false">IF(P1253="","",IFERROR(INDEX(T_INGRESO,MATCH(C1253,T_ID,0)),""))</f>
        <v/>
      </c>
      <c r="T1253" s="75" t="str">
        <f aca="false">IF(P1253="","",IFERROR(N(INDEX(T_EGRESO,MATCH(C1253,T_ID,0))),0))</f>
        <v/>
      </c>
      <c r="U1253" s="73" t="str">
        <f aca="false">IF(OR(P1253="",NOT(ISNUMBER(S1253))),"",IF(OR(S1253&gt;EOMONTH(B1253,0),AND(T1253&gt;0,T1253&lt;B1253)),0,IF(AND(S1253&lt;=B1253,OR(T1253=0,T1253&gt;=EOMONTH(B1253,0))),30,MIN(30,IF(T1253=0,EOMONTH(B1253,0),MIN(T1253,EOMONTH(B1253,0)))-MAX(B1253,S1253)+1))))</f>
        <v/>
      </c>
    </row>
    <row r="1254" customFormat="false" ht="15" hidden="false" customHeight="false" outlineLevel="0" collapsed="false">
      <c r="B1254" s="78"/>
      <c r="C1254" s="64"/>
      <c r="D1254" s="70" t="str">
        <f aca="false">IF(C1254="","",IFERROR(INDEX(T_NOMBRE,MATCH(C1254,T_ID,0)),"⚠ ID no existe"))</f>
        <v/>
      </c>
      <c r="E1254" s="69"/>
      <c r="F1254" s="69"/>
      <c r="G1254" s="69"/>
      <c r="H1254" s="69"/>
      <c r="I1254" s="66"/>
      <c r="J1254" s="69"/>
      <c r="K1254" s="67"/>
      <c r="L1254" s="67"/>
      <c r="M1254" s="67"/>
      <c r="N1254" s="67"/>
      <c r="O1254" s="64"/>
      <c r="P1254" s="72" t="str">
        <f aca="false">IF(OR(B1254="",C1254=""),"",C1254&amp;"|"&amp;(YEAR(B1254)*100+MONTH(B1254)))</f>
        <v/>
      </c>
      <c r="Q1254" s="70" t="str">
        <f aca="false">IF(P1254="","",IF(COUNTIF(N_CLAVE,P1254)&gt;1,"⚠ Duplicado","OK"))</f>
        <v/>
      </c>
      <c r="R1254" s="74" t="str">
        <f aca="false">IF(OR(P1254="",U1254=""),"",MAX(0,U1254-N(E1254)-N(F1254)-N(H1254)))</f>
        <v/>
      </c>
      <c r="S1254" s="75" t="str">
        <f aca="false">IF(P1254="","",IFERROR(INDEX(T_INGRESO,MATCH(C1254,T_ID,0)),""))</f>
        <v/>
      </c>
      <c r="T1254" s="75" t="str">
        <f aca="false">IF(P1254="","",IFERROR(N(INDEX(T_EGRESO,MATCH(C1254,T_ID,0))),0))</f>
        <v/>
      </c>
      <c r="U1254" s="73" t="str">
        <f aca="false">IF(OR(P1254="",NOT(ISNUMBER(S1254))),"",IF(OR(S1254&gt;EOMONTH(B1254,0),AND(T1254&gt;0,T1254&lt;B1254)),0,IF(AND(S1254&lt;=B1254,OR(T1254=0,T1254&gt;=EOMONTH(B1254,0))),30,MIN(30,IF(T1254=0,EOMONTH(B1254,0),MIN(T1254,EOMONTH(B1254,0)))-MAX(B1254,S1254)+1))))</f>
        <v/>
      </c>
    </row>
    <row r="1255" customFormat="false" ht="15" hidden="false" customHeight="false" outlineLevel="0" collapsed="false">
      <c r="B1255" s="78"/>
      <c r="C1255" s="64"/>
      <c r="D1255" s="70" t="str">
        <f aca="false">IF(C1255="","",IFERROR(INDEX(T_NOMBRE,MATCH(C1255,T_ID,0)),"⚠ ID no existe"))</f>
        <v/>
      </c>
      <c r="E1255" s="69"/>
      <c r="F1255" s="69"/>
      <c r="G1255" s="69"/>
      <c r="H1255" s="69"/>
      <c r="I1255" s="66"/>
      <c r="J1255" s="69"/>
      <c r="K1255" s="67"/>
      <c r="L1255" s="67"/>
      <c r="M1255" s="67"/>
      <c r="N1255" s="67"/>
      <c r="O1255" s="64"/>
      <c r="P1255" s="72" t="str">
        <f aca="false">IF(OR(B1255="",C1255=""),"",C1255&amp;"|"&amp;(YEAR(B1255)*100+MONTH(B1255)))</f>
        <v/>
      </c>
      <c r="Q1255" s="70" t="str">
        <f aca="false">IF(P1255="","",IF(COUNTIF(N_CLAVE,P1255)&gt;1,"⚠ Duplicado","OK"))</f>
        <v/>
      </c>
      <c r="R1255" s="74" t="str">
        <f aca="false">IF(OR(P1255="",U1255=""),"",MAX(0,U1255-N(E1255)-N(F1255)-N(H1255)))</f>
        <v/>
      </c>
      <c r="S1255" s="75" t="str">
        <f aca="false">IF(P1255="","",IFERROR(INDEX(T_INGRESO,MATCH(C1255,T_ID,0)),""))</f>
        <v/>
      </c>
      <c r="T1255" s="75" t="str">
        <f aca="false">IF(P1255="","",IFERROR(N(INDEX(T_EGRESO,MATCH(C1255,T_ID,0))),0))</f>
        <v/>
      </c>
      <c r="U1255" s="73" t="str">
        <f aca="false">IF(OR(P1255="",NOT(ISNUMBER(S1255))),"",IF(OR(S1255&gt;EOMONTH(B1255,0),AND(T1255&gt;0,T1255&lt;B1255)),0,IF(AND(S1255&lt;=B1255,OR(T1255=0,T1255&gt;=EOMONTH(B1255,0))),30,MIN(30,IF(T1255=0,EOMONTH(B1255,0),MIN(T1255,EOMONTH(B1255,0)))-MAX(B1255,S1255)+1))))</f>
        <v/>
      </c>
    </row>
    <row r="1256" customFormat="false" ht="15" hidden="false" customHeight="false" outlineLevel="0" collapsed="false">
      <c r="B1256" s="78"/>
      <c r="C1256" s="64"/>
      <c r="D1256" s="70" t="str">
        <f aca="false">IF(C1256="","",IFERROR(INDEX(T_NOMBRE,MATCH(C1256,T_ID,0)),"⚠ ID no existe"))</f>
        <v/>
      </c>
      <c r="E1256" s="69"/>
      <c r="F1256" s="69"/>
      <c r="G1256" s="69"/>
      <c r="H1256" s="69"/>
      <c r="I1256" s="66"/>
      <c r="J1256" s="69"/>
      <c r="K1256" s="67"/>
      <c r="L1256" s="67"/>
      <c r="M1256" s="67"/>
      <c r="N1256" s="67"/>
      <c r="O1256" s="64"/>
      <c r="P1256" s="72" t="str">
        <f aca="false">IF(OR(B1256="",C1256=""),"",C1256&amp;"|"&amp;(YEAR(B1256)*100+MONTH(B1256)))</f>
        <v/>
      </c>
      <c r="Q1256" s="70" t="str">
        <f aca="false">IF(P1256="","",IF(COUNTIF(N_CLAVE,P1256)&gt;1,"⚠ Duplicado","OK"))</f>
        <v/>
      </c>
      <c r="R1256" s="74" t="str">
        <f aca="false">IF(OR(P1256="",U1256=""),"",MAX(0,U1256-N(E1256)-N(F1256)-N(H1256)))</f>
        <v/>
      </c>
      <c r="S1256" s="75" t="str">
        <f aca="false">IF(P1256="","",IFERROR(INDEX(T_INGRESO,MATCH(C1256,T_ID,0)),""))</f>
        <v/>
      </c>
      <c r="T1256" s="75" t="str">
        <f aca="false">IF(P1256="","",IFERROR(N(INDEX(T_EGRESO,MATCH(C1256,T_ID,0))),0))</f>
        <v/>
      </c>
      <c r="U1256" s="73" t="str">
        <f aca="false">IF(OR(P1256="",NOT(ISNUMBER(S1256))),"",IF(OR(S1256&gt;EOMONTH(B1256,0),AND(T1256&gt;0,T1256&lt;B1256)),0,IF(AND(S1256&lt;=B1256,OR(T1256=0,T1256&gt;=EOMONTH(B1256,0))),30,MIN(30,IF(T1256=0,EOMONTH(B1256,0),MIN(T1256,EOMONTH(B1256,0)))-MAX(B1256,S1256)+1))))</f>
        <v/>
      </c>
    </row>
    <row r="1257" customFormat="false" ht="15" hidden="false" customHeight="false" outlineLevel="0" collapsed="false">
      <c r="B1257" s="78"/>
      <c r="C1257" s="64"/>
      <c r="D1257" s="70" t="str">
        <f aca="false">IF(C1257="","",IFERROR(INDEX(T_NOMBRE,MATCH(C1257,T_ID,0)),"⚠ ID no existe"))</f>
        <v/>
      </c>
      <c r="E1257" s="69"/>
      <c r="F1257" s="69"/>
      <c r="G1257" s="69"/>
      <c r="H1257" s="69"/>
      <c r="I1257" s="66"/>
      <c r="J1257" s="69"/>
      <c r="K1257" s="67"/>
      <c r="L1257" s="67"/>
      <c r="M1257" s="67"/>
      <c r="N1257" s="67"/>
      <c r="O1257" s="64"/>
      <c r="P1257" s="72" t="str">
        <f aca="false">IF(OR(B1257="",C1257=""),"",C1257&amp;"|"&amp;(YEAR(B1257)*100+MONTH(B1257)))</f>
        <v/>
      </c>
      <c r="Q1257" s="70" t="str">
        <f aca="false">IF(P1257="","",IF(COUNTIF(N_CLAVE,P1257)&gt;1,"⚠ Duplicado","OK"))</f>
        <v/>
      </c>
      <c r="R1257" s="74" t="str">
        <f aca="false">IF(OR(P1257="",U1257=""),"",MAX(0,U1257-N(E1257)-N(F1257)-N(H1257)))</f>
        <v/>
      </c>
      <c r="S1257" s="75" t="str">
        <f aca="false">IF(P1257="","",IFERROR(INDEX(T_INGRESO,MATCH(C1257,T_ID,0)),""))</f>
        <v/>
      </c>
      <c r="T1257" s="75" t="str">
        <f aca="false">IF(P1257="","",IFERROR(N(INDEX(T_EGRESO,MATCH(C1257,T_ID,0))),0))</f>
        <v/>
      </c>
      <c r="U1257" s="73" t="str">
        <f aca="false">IF(OR(P1257="",NOT(ISNUMBER(S1257))),"",IF(OR(S1257&gt;EOMONTH(B1257,0),AND(T1257&gt;0,T1257&lt;B1257)),0,IF(AND(S1257&lt;=B1257,OR(T1257=0,T1257&gt;=EOMONTH(B1257,0))),30,MIN(30,IF(T1257=0,EOMONTH(B1257,0),MIN(T1257,EOMONTH(B1257,0)))-MAX(B1257,S1257)+1))))</f>
        <v/>
      </c>
    </row>
    <row r="1258" customFormat="false" ht="15" hidden="false" customHeight="false" outlineLevel="0" collapsed="false">
      <c r="B1258" s="78"/>
      <c r="C1258" s="64"/>
      <c r="D1258" s="70" t="str">
        <f aca="false">IF(C1258="","",IFERROR(INDEX(T_NOMBRE,MATCH(C1258,T_ID,0)),"⚠ ID no existe"))</f>
        <v/>
      </c>
      <c r="E1258" s="69"/>
      <c r="F1258" s="69"/>
      <c r="G1258" s="69"/>
      <c r="H1258" s="69"/>
      <c r="I1258" s="66"/>
      <c r="J1258" s="69"/>
      <c r="K1258" s="67"/>
      <c r="L1258" s="67"/>
      <c r="M1258" s="67"/>
      <c r="N1258" s="67"/>
      <c r="O1258" s="64"/>
      <c r="P1258" s="72" t="str">
        <f aca="false">IF(OR(B1258="",C1258=""),"",C1258&amp;"|"&amp;(YEAR(B1258)*100+MONTH(B1258)))</f>
        <v/>
      </c>
      <c r="Q1258" s="70" t="str">
        <f aca="false">IF(P1258="","",IF(COUNTIF(N_CLAVE,P1258)&gt;1,"⚠ Duplicado","OK"))</f>
        <v/>
      </c>
      <c r="R1258" s="74" t="str">
        <f aca="false">IF(OR(P1258="",U1258=""),"",MAX(0,U1258-N(E1258)-N(F1258)-N(H1258)))</f>
        <v/>
      </c>
      <c r="S1258" s="75" t="str">
        <f aca="false">IF(P1258="","",IFERROR(INDEX(T_INGRESO,MATCH(C1258,T_ID,0)),""))</f>
        <v/>
      </c>
      <c r="T1258" s="75" t="str">
        <f aca="false">IF(P1258="","",IFERROR(N(INDEX(T_EGRESO,MATCH(C1258,T_ID,0))),0))</f>
        <v/>
      </c>
      <c r="U1258" s="73" t="str">
        <f aca="false">IF(OR(P1258="",NOT(ISNUMBER(S1258))),"",IF(OR(S1258&gt;EOMONTH(B1258,0),AND(T1258&gt;0,T1258&lt;B1258)),0,IF(AND(S1258&lt;=B1258,OR(T1258=0,T1258&gt;=EOMONTH(B1258,0))),30,MIN(30,IF(T1258=0,EOMONTH(B1258,0),MIN(T1258,EOMONTH(B1258,0)))-MAX(B1258,S1258)+1))))</f>
        <v/>
      </c>
    </row>
    <row r="1259" customFormat="false" ht="15" hidden="false" customHeight="false" outlineLevel="0" collapsed="false">
      <c r="B1259" s="78"/>
      <c r="C1259" s="64"/>
      <c r="D1259" s="70" t="str">
        <f aca="false">IF(C1259="","",IFERROR(INDEX(T_NOMBRE,MATCH(C1259,T_ID,0)),"⚠ ID no existe"))</f>
        <v/>
      </c>
      <c r="E1259" s="69"/>
      <c r="F1259" s="69"/>
      <c r="G1259" s="69"/>
      <c r="H1259" s="69"/>
      <c r="I1259" s="66"/>
      <c r="J1259" s="69"/>
      <c r="K1259" s="67"/>
      <c r="L1259" s="67"/>
      <c r="M1259" s="67"/>
      <c r="N1259" s="67"/>
      <c r="O1259" s="64"/>
      <c r="P1259" s="72" t="str">
        <f aca="false">IF(OR(B1259="",C1259=""),"",C1259&amp;"|"&amp;(YEAR(B1259)*100+MONTH(B1259)))</f>
        <v/>
      </c>
      <c r="Q1259" s="70" t="str">
        <f aca="false">IF(P1259="","",IF(COUNTIF(N_CLAVE,P1259)&gt;1,"⚠ Duplicado","OK"))</f>
        <v/>
      </c>
      <c r="R1259" s="74" t="str">
        <f aca="false">IF(OR(P1259="",U1259=""),"",MAX(0,U1259-N(E1259)-N(F1259)-N(H1259)))</f>
        <v/>
      </c>
      <c r="S1259" s="75" t="str">
        <f aca="false">IF(P1259="","",IFERROR(INDEX(T_INGRESO,MATCH(C1259,T_ID,0)),""))</f>
        <v/>
      </c>
      <c r="T1259" s="75" t="str">
        <f aca="false">IF(P1259="","",IFERROR(N(INDEX(T_EGRESO,MATCH(C1259,T_ID,0))),0))</f>
        <v/>
      </c>
      <c r="U1259" s="73" t="str">
        <f aca="false">IF(OR(P1259="",NOT(ISNUMBER(S1259))),"",IF(OR(S1259&gt;EOMONTH(B1259,0),AND(T1259&gt;0,T1259&lt;B1259)),0,IF(AND(S1259&lt;=B1259,OR(T1259=0,T1259&gt;=EOMONTH(B1259,0))),30,MIN(30,IF(T1259=0,EOMONTH(B1259,0),MIN(T1259,EOMONTH(B1259,0)))-MAX(B1259,S1259)+1))))</f>
        <v/>
      </c>
    </row>
    <row r="1260" customFormat="false" ht="15" hidden="false" customHeight="false" outlineLevel="0" collapsed="false">
      <c r="B1260" s="78"/>
      <c r="C1260" s="64"/>
      <c r="D1260" s="70" t="str">
        <f aca="false">IF(C1260="","",IFERROR(INDEX(T_NOMBRE,MATCH(C1260,T_ID,0)),"⚠ ID no existe"))</f>
        <v/>
      </c>
      <c r="E1260" s="69"/>
      <c r="F1260" s="69"/>
      <c r="G1260" s="69"/>
      <c r="H1260" s="69"/>
      <c r="I1260" s="66"/>
      <c r="J1260" s="69"/>
      <c r="K1260" s="67"/>
      <c r="L1260" s="67"/>
      <c r="M1260" s="67"/>
      <c r="N1260" s="67"/>
      <c r="O1260" s="64"/>
      <c r="P1260" s="72" t="str">
        <f aca="false">IF(OR(B1260="",C1260=""),"",C1260&amp;"|"&amp;(YEAR(B1260)*100+MONTH(B1260)))</f>
        <v/>
      </c>
      <c r="Q1260" s="70" t="str">
        <f aca="false">IF(P1260="","",IF(COUNTIF(N_CLAVE,P1260)&gt;1,"⚠ Duplicado","OK"))</f>
        <v/>
      </c>
      <c r="R1260" s="74" t="str">
        <f aca="false">IF(OR(P1260="",U1260=""),"",MAX(0,U1260-N(E1260)-N(F1260)-N(H1260)))</f>
        <v/>
      </c>
      <c r="S1260" s="75" t="str">
        <f aca="false">IF(P1260="","",IFERROR(INDEX(T_INGRESO,MATCH(C1260,T_ID,0)),""))</f>
        <v/>
      </c>
      <c r="T1260" s="75" t="str">
        <f aca="false">IF(P1260="","",IFERROR(N(INDEX(T_EGRESO,MATCH(C1260,T_ID,0))),0))</f>
        <v/>
      </c>
      <c r="U1260" s="73" t="str">
        <f aca="false">IF(OR(P1260="",NOT(ISNUMBER(S1260))),"",IF(OR(S1260&gt;EOMONTH(B1260,0),AND(T1260&gt;0,T1260&lt;B1260)),0,IF(AND(S1260&lt;=B1260,OR(T1260=0,T1260&gt;=EOMONTH(B1260,0))),30,MIN(30,IF(T1260=0,EOMONTH(B1260,0),MIN(T1260,EOMONTH(B1260,0)))-MAX(B1260,S1260)+1))))</f>
        <v/>
      </c>
    </row>
    <row r="1261" customFormat="false" ht="15" hidden="false" customHeight="false" outlineLevel="0" collapsed="false">
      <c r="B1261" s="78"/>
      <c r="C1261" s="64"/>
      <c r="D1261" s="70" t="str">
        <f aca="false">IF(C1261="","",IFERROR(INDEX(T_NOMBRE,MATCH(C1261,T_ID,0)),"⚠ ID no existe"))</f>
        <v/>
      </c>
      <c r="E1261" s="69"/>
      <c r="F1261" s="69"/>
      <c r="G1261" s="69"/>
      <c r="H1261" s="69"/>
      <c r="I1261" s="66"/>
      <c r="J1261" s="69"/>
      <c r="K1261" s="67"/>
      <c r="L1261" s="67"/>
      <c r="M1261" s="67"/>
      <c r="N1261" s="67"/>
      <c r="O1261" s="64"/>
      <c r="P1261" s="72" t="str">
        <f aca="false">IF(OR(B1261="",C1261=""),"",C1261&amp;"|"&amp;(YEAR(B1261)*100+MONTH(B1261)))</f>
        <v/>
      </c>
      <c r="Q1261" s="70" t="str">
        <f aca="false">IF(P1261="","",IF(COUNTIF(N_CLAVE,P1261)&gt;1,"⚠ Duplicado","OK"))</f>
        <v/>
      </c>
      <c r="R1261" s="74" t="str">
        <f aca="false">IF(OR(P1261="",U1261=""),"",MAX(0,U1261-N(E1261)-N(F1261)-N(H1261)))</f>
        <v/>
      </c>
      <c r="S1261" s="75" t="str">
        <f aca="false">IF(P1261="","",IFERROR(INDEX(T_INGRESO,MATCH(C1261,T_ID,0)),""))</f>
        <v/>
      </c>
      <c r="T1261" s="75" t="str">
        <f aca="false">IF(P1261="","",IFERROR(N(INDEX(T_EGRESO,MATCH(C1261,T_ID,0))),0))</f>
        <v/>
      </c>
      <c r="U1261" s="73" t="str">
        <f aca="false">IF(OR(P1261="",NOT(ISNUMBER(S1261))),"",IF(OR(S1261&gt;EOMONTH(B1261,0),AND(T1261&gt;0,T1261&lt;B1261)),0,IF(AND(S1261&lt;=B1261,OR(T1261=0,T1261&gt;=EOMONTH(B1261,0))),30,MIN(30,IF(T1261=0,EOMONTH(B1261,0),MIN(T1261,EOMONTH(B1261,0)))-MAX(B1261,S1261)+1))))</f>
        <v/>
      </c>
    </row>
    <row r="1262" customFormat="false" ht="15" hidden="false" customHeight="false" outlineLevel="0" collapsed="false">
      <c r="B1262" s="78"/>
      <c r="C1262" s="64"/>
      <c r="D1262" s="70" t="str">
        <f aca="false">IF(C1262="","",IFERROR(INDEX(T_NOMBRE,MATCH(C1262,T_ID,0)),"⚠ ID no existe"))</f>
        <v/>
      </c>
      <c r="E1262" s="69"/>
      <c r="F1262" s="69"/>
      <c r="G1262" s="69"/>
      <c r="H1262" s="69"/>
      <c r="I1262" s="66"/>
      <c r="J1262" s="69"/>
      <c r="K1262" s="67"/>
      <c r="L1262" s="67"/>
      <c r="M1262" s="67"/>
      <c r="N1262" s="67"/>
      <c r="O1262" s="64"/>
      <c r="P1262" s="72" t="str">
        <f aca="false">IF(OR(B1262="",C1262=""),"",C1262&amp;"|"&amp;(YEAR(B1262)*100+MONTH(B1262)))</f>
        <v/>
      </c>
      <c r="Q1262" s="70" t="str">
        <f aca="false">IF(P1262="","",IF(COUNTIF(N_CLAVE,P1262)&gt;1,"⚠ Duplicado","OK"))</f>
        <v/>
      </c>
      <c r="R1262" s="74" t="str">
        <f aca="false">IF(OR(P1262="",U1262=""),"",MAX(0,U1262-N(E1262)-N(F1262)-N(H1262)))</f>
        <v/>
      </c>
      <c r="S1262" s="75" t="str">
        <f aca="false">IF(P1262="","",IFERROR(INDEX(T_INGRESO,MATCH(C1262,T_ID,0)),""))</f>
        <v/>
      </c>
      <c r="T1262" s="75" t="str">
        <f aca="false">IF(P1262="","",IFERROR(N(INDEX(T_EGRESO,MATCH(C1262,T_ID,0))),0))</f>
        <v/>
      </c>
      <c r="U1262" s="73" t="str">
        <f aca="false">IF(OR(P1262="",NOT(ISNUMBER(S1262))),"",IF(OR(S1262&gt;EOMONTH(B1262,0),AND(T1262&gt;0,T1262&lt;B1262)),0,IF(AND(S1262&lt;=B1262,OR(T1262=0,T1262&gt;=EOMONTH(B1262,0))),30,MIN(30,IF(T1262=0,EOMONTH(B1262,0),MIN(T1262,EOMONTH(B1262,0)))-MAX(B1262,S1262)+1))))</f>
        <v/>
      </c>
    </row>
    <row r="1263" customFormat="false" ht="15" hidden="false" customHeight="false" outlineLevel="0" collapsed="false">
      <c r="B1263" s="78"/>
      <c r="C1263" s="64"/>
      <c r="D1263" s="70" t="str">
        <f aca="false">IF(C1263="","",IFERROR(INDEX(T_NOMBRE,MATCH(C1263,T_ID,0)),"⚠ ID no existe"))</f>
        <v/>
      </c>
      <c r="E1263" s="69"/>
      <c r="F1263" s="69"/>
      <c r="G1263" s="69"/>
      <c r="H1263" s="69"/>
      <c r="I1263" s="66"/>
      <c r="J1263" s="69"/>
      <c r="K1263" s="67"/>
      <c r="L1263" s="67"/>
      <c r="M1263" s="67"/>
      <c r="N1263" s="67"/>
      <c r="O1263" s="64"/>
      <c r="P1263" s="72" t="str">
        <f aca="false">IF(OR(B1263="",C1263=""),"",C1263&amp;"|"&amp;(YEAR(B1263)*100+MONTH(B1263)))</f>
        <v/>
      </c>
      <c r="Q1263" s="70" t="str">
        <f aca="false">IF(P1263="","",IF(COUNTIF(N_CLAVE,P1263)&gt;1,"⚠ Duplicado","OK"))</f>
        <v/>
      </c>
      <c r="R1263" s="74" t="str">
        <f aca="false">IF(OR(P1263="",U1263=""),"",MAX(0,U1263-N(E1263)-N(F1263)-N(H1263)))</f>
        <v/>
      </c>
      <c r="S1263" s="75" t="str">
        <f aca="false">IF(P1263="","",IFERROR(INDEX(T_INGRESO,MATCH(C1263,T_ID,0)),""))</f>
        <v/>
      </c>
      <c r="T1263" s="75" t="str">
        <f aca="false">IF(P1263="","",IFERROR(N(INDEX(T_EGRESO,MATCH(C1263,T_ID,0))),0))</f>
        <v/>
      </c>
      <c r="U1263" s="73" t="str">
        <f aca="false">IF(OR(P1263="",NOT(ISNUMBER(S1263))),"",IF(OR(S1263&gt;EOMONTH(B1263,0),AND(T1263&gt;0,T1263&lt;B1263)),0,IF(AND(S1263&lt;=B1263,OR(T1263=0,T1263&gt;=EOMONTH(B1263,0))),30,MIN(30,IF(T1263=0,EOMONTH(B1263,0),MIN(T1263,EOMONTH(B1263,0)))-MAX(B1263,S1263)+1))))</f>
        <v/>
      </c>
    </row>
    <row r="1264" customFormat="false" ht="15" hidden="false" customHeight="false" outlineLevel="0" collapsed="false">
      <c r="B1264" s="78"/>
      <c r="C1264" s="64"/>
      <c r="D1264" s="70" t="str">
        <f aca="false">IF(C1264="","",IFERROR(INDEX(T_NOMBRE,MATCH(C1264,T_ID,0)),"⚠ ID no existe"))</f>
        <v/>
      </c>
      <c r="E1264" s="69"/>
      <c r="F1264" s="69"/>
      <c r="G1264" s="69"/>
      <c r="H1264" s="69"/>
      <c r="I1264" s="66"/>
      <c r="J1264" s="69"/>
      <c r="K1264" s="67"/>
      <c r="L1264" s="67"/>
      <c r="M1264" s="67"/>
      <c r="N1264" s="67"/>
      <c r="O1264" s="64"/>
      <c r="P1264" s="72" t="str">
        <f aca="false">IF(OR(B1264="",C1264=""),"",C1264&amp;"|"&amp;(YEAR(B1264)*100+MONTH(B1264)))</f>
        <v/>
      </c>
      <c r="Q1264" s="70" t="str">
        <f aca="false">IF(P1264="","",IF(COUNTIF(N_CLAVE,P1264)&gt;1,"⚠ Duplicado","OK"))</f>
        <v/>
      </c>
      <c r="R1264" s="74" t="str">
        <f aca="false">IF(OR(P1264="",U1264=""),"",MAX(0,U1264-N(E1264)-N(F1264)-N(H1264)))</f>
        <v/>
      </c>
      <c r="S1264" s="75" t="str">
        <f aca="false">IF(P1264="","",IFERROR(INDEX(T_INGRESO,MATCH(C1264,T_ID,0)),""))</f>
        <v/>
      </c>
      <c r="T1264" s="75" t="str">
        <f aca="false">IF(P1264="","",IFERROR(N(INDEX(T_EGRESO,MATCH(C1264,T_ID,0))),0))</f>
        <v/>
      </c>
      <c r="U1264" s="73" t="str">
        <f aca="false">IF(OR(P1264="",NOT(ISNUMBER(S1264))),"",IF(OR(S1264&gt;EOMONTH(B1264,0),AND(T1264&gt;0,T1264&lt;B1264)),0,IF(AND(S1264&lt;=B1264,OR(T1264=0,T1264&gt;=EOMONTH(B1264,0))),30,MIN(30,IF(T1264=0,EOMONTH(B1264,0),MIN(T1264,EOMONTH(B1264,0)))-MAX(B1264,S1264)+1))))</f>
        <v/>
      </c>
    </row>
    <row r="1265" customFormat="false" ht="15" hidden="false" customHeight="false" outlineLevel="0" collapsed="false">
      <c r="B1265" s="78"/>
      <c r="C1265" s="64"/>
      <c r="D1265" s="70" t="str">
        <f aca="false">IF(C1265="","",IFERROR(INDEX(T_NOMBRE,MATCH(C1265,T_ID,0)),"⚠ ID no existe"))</f>
        <v/>
      </c>
      <c r="E1265" s="69"/>
      <c r="F1265" s="69"/>
      <c r="G1265" s="69"/>
      <c r="H1265" s="69"/>
      <c r="I1265" s="66"/>
      <c r="J1265" s="69"/>
      <c r="K1265" s="67"/>
      <c r="L1265" s="67"/>
      <c r="M1265" s="67"/>
      <c r="N1265" s="67"/>
      <c r="O1265" s="64"/>
      <c r="P1265" s="72" t="str">
        <f aca="false">IF(OR(B1265="",C1265=""),"",C1265&amp;"|"&amp;(YEAR(B1265)*100+MONTH(B1265)))</f>
        <v/>
      </c>
      <c r="Q1265" s="70" t="str">
        <f aca="false">IF(P1265="","",IF(COUNTIF(N_CLAVE,P1265)&gt;1,"⚠ Duplicado","OK"))</f>
        <v/>
      </c>
      <c r="R1265" s="74" t="str">
        <f aca="false">IF(OR(P1265="",U1265=""),"",MAX(0,U1265-N(E1265)-N(F1265)-N(H1265)))</f>
        <v/>
      </c>
      <c r="S1265" s="75" t="str">
        <f aca="false">IF(P1265="","",IFERROR(INDEX(T_INGRESO,MATCH(C1265,T_ID,0)),""))</f>
        <v/>
      </c>
      <c r="T1265" s="75" t="str">
        <f aca="false">IF(P1265="","",IFERROR(N(INDEX(T_EGRESO,MATCH(C1265,T_ID,0))),0))</f>
        <v/>
      </c>
      <c r="U1265" s="73" t="str">
        <f aca="false">IF(OR(P1265="",NOT(ISNUMBER(S1265))),"",IF(OR(S1265&gt;EOMONTH(B1265,0),AND(T1265&gt;0,T1265&lt;B1265)),0,IF(AND(S1265&lt;=B1265,OR(T1265=0,T1265&gt;=EOMONTH(B1265,0))),30,MIN(30,IF(T1265=0,EOMONTH(B1265,0),MIN(T1265,EOMONTH(B1265,0)))-MAX(B1265,S1265)+1))))</f>
        <v/>
      </c>
    </row>
    <row r="1266" customFormat="false" ht="15" hidden="false" customHeight="false" outlineLevel="0" collapsed="false">
      <c r="B1266" s="78"/>
      <c r="C1266" s="64"/>
      <c r="D1266" s="70" t="str">
        <f aca="false">IF(C1266="","",IFERROR(INDEX(T_NOMBRE,MATCH(C1266,T_ID,0)),"⚠ ID no existe"))</f>
        <v/>
      </c>
      <c r="E1266" s="69"/>
      <c r="F1266" s="69"/>
      <c r="G1266" s="69"/>
      <c r="H1266" s="69"/>
      <c r="I1266" s="66"/>
      <c r="J1266" s="69"/>
      <c r="K1266" s="67"/>
      <c r="L1266" s="67"/>
      <c r="M1266" s="67"/>
      <c r="N1266" s="67"/>
      <c r="O1266" s="64"/>
      <c r="P1266" s="72" t="str">
        <f aca="false">IF(OR(B1266="",C1266=""),"",C1266&amp;"|"&amp;(YEAR(B1266)*100+MONTH(B1266)))</f>
        <v/>
      </c>
      <c r="Q1266" s="70" t="str">
        <f aca="false">IF(P1266="","",IF(COUNTIF(N_CLAVE,P1266)&gt;1,"⚠ Duplicado","OK"))</f>
        <v/>
      </c>
      <c r="R1266" s="74" t="str">
        <f aca="false">IF(OR(P1266="",U1266=""),"",MAX(0,U1266-N(E1266)-N(F1266)-N(H1266)))</f>
        <v/>
      </c>
      <c r="S1266" s="75" t="str">
        <f aca="false">IF(P1266="","",IFERROR(INDEX(T_INGRESO,MATCH(C1266,T_ID,0)),""))</f>
        <v/>
      </c>
      <c r="T1266" s="75" t="str">
        <f aca="false">IF(P1266="","",IFERROR(N(INDEX(T_EGRESO,MATCH(C1266,T_ID,0))),0))</f>
        <v/>
      </c>
      <c r="U1266" s="73" t="str">
        <f aca="false">IF(OR(P1266="",NOT(ISNUMBER(S1266))),"",IF(OR(S1266&gt;EOMONTH(B1266,0),AND(T1266&gt;0,T1266&lt;B1266)),0,IF(AND(S1266&lt;=B1266,OR(T1266=0,T1266&gt;=EOMONTH(B1266,0))),30,MIN(30,IF(T1266=0,EOMONTH(B1266,0),MIN(T1266,EOMONTH(B1266,0)))-MAX(B1266,S1266)+1))))</f>
        <v/>
      </c>
    </row>
    <row r="1267" customFormat="false" ht="15" hidden="false" customHeight="false" outlineLevel="0" collapsed="false">
      <c r="B1267" s="78"/>
      <c r="C1267" s="64"/>
      <c r="D1267" s="70" t="str">
        <f aca="false">IF(C1267="","",IFERROR(INDEX(T_NOMBRE,MATCH(C1267,T_ID,0)),"⚠ ID no existe"))</f>
        <v/>
      </c>
      <c r="E1267" s="69"/>
      <c r="F1267" s="69"/>
      <c r="G1267" s="69"/>
      <c r="H1267" s="69"/>
      <c r="I1267" s="66"/>
      <c r="J1267" s="69"/>
      <c r="K1267" s="67"/>
      <c r="L1267" s="67"/>
      <c r="M1267" s="67"/>
      <c r="N1267" s="67"/>
      <c r="O1267" s="64"/>
      <c r="P1267" s="72" t="str">
        <f aca="false">IF(OR(B1267="",C1267=""),"",C1267&amp;"|"&amp;(YEAR(B1267)*100+MONTH(B1267)))</f>
        <v/>
      </c>
      <c r="Q1267" s="70" t="str">
        <f aca="false">IF(P1267="","",IF(COUNTIF(N_CLAVE,P1267)&gt;1,"⚠ Duplicado","OK"))</f>
        <v/>
      </c>
      <c r="R1267" s="74" t="str">
        <f aca="false">IF(OR(P1267="",U1267=""),"",MAX(0,U1267-N(E1267)-N(F1267)-N(H1267)))</f>
        <v/>
      </c>
      <c r="S1267" s="75" t="str">
        <f aca="false">IF(P1267="","",IFERROR(INDEX(T_INGRESO,MATCH(C1267,T_ID,0)),""))</f>
        <v/>
      </c>
      <c r="T1267" s="75" t="str">
        <f aca="false">IF(P1267="","",IFERROR(N(INDEX(T_EGRESO,MATCH(C1267,T_ID,0))),0))</f>
        <v/>
      </c>
      <c r="U1267" s="73" t="str">
        <f aca="false">IF(OR(P1267="",NOT(ISNUMBER(S1267))),"",IF(OR(S1267&gt;EOMONTH(B1267,0),AND(T1267&gt;0,T1267&lt;B1267)),0,IF(AND(S1267&lt;=B1267,OR(T1267=0,T1267&gt;=EOMONTH(B1267,0))),30,MIN(30,IF(T1267=0,EOMONTH(B1267,0),MIN(T1267,EOMONTH(B1267,0)))-MAX(B1267,S1267)+1))))</f>
        <v/>
      </c>
    </row>
    <row r="1268" customFormat="false" ht="15" hidden="false" customHeight="false" outlineLevel="0" collapsed="false">
      <c r="B1268" s="78"/>
      <c r="C1268" s="64"/>
      <c r="D1268" s="70" t="str">
        <f aca="false">IF(C1268="","",IFERROR(INDEX(T_NOMBRE,MATCH(C1268,T_ID,0)),"⚠ ID no existe"))</f>
        <v/>
      </c>
      <c r="E1268" s="69"/>
      <c r="F1268" s="69"/>
      <c r="G1268" s="69"/>
      <c r="H1268" s="69"/>
      <c r="I1268" s="66"/>
      <c r="J1268" s="69"/>
      <c r="K1268" s="67"/>
      <c r="L1268" s="67"/>
      <c r="M1268" s="67"/>
      <c r="N1268" s="67"/>
      <c r="O1268" s="64"/>
      <c r="P1268" s="72" t="str">
        <f aca="false">IF(OR(B1268="",C1268=""),"",C1268&amp;"|"&amp;(YEAR(B1268)*100+MONTH(B1268)))</f>
        <v/>
      </c>
      <c r="Q1268" s="70" t="str">
        <f aca="false">IF(P1268="","",IF(COUNTIF(N_CLAVE,P1268)&gt;1,"⚠ Duplicado","OK"))</f>
        <v/>
      </c>
      <c r="R1268" s="74" t="str">
        <f aca="false">IF(OR(P1268="",U1268=""),"",MAX(0,U1268-N(E1268)-N(F1268)-N(H1268)))</f>
        <v/>
      </c>
      <c r="S1268" s="75" t="str">
        <f aca="false">IF(P1268="","",IFERROR(INDEX(T_INGRESO,MATCH(C1268,T_ID,0)),""))</f>
        <v/>
      </c>
      <c r="T1268" s="75" t="str">
        <f aca="false">IF(P1268="","",IFERROR(N(INDEX(T_EGRESO,MATCH(C1268,T_ID,0))),0))</f>
        <v/>
      </c>
      <c r="U1268" s="73" t="str">
        <f aca="false">IF(OR(P1268="",NOT(ISNUMBER(S1268))),"",IF(OR(S1268&gt;EOMONTH(B1268,0),AND(T1268&gt;0,T1268&lt;B1268)),0,IF(AND(S1268&lt;=B1268,OR(T1268=0,T1268&gt;=EOMONTH(B1268,0))),30,MIN(30,IF(T1268=0,EOMONTH(B1268,0),MIN(T1268,EOMONTH(B1268,0)))-MAX(B1268,S1268)+1))))</f>
        <v/>
      </c>
    </row>
    <row r="1269" customFormat="false" ht="15" hidden="false" customHeight="false" outlineLevel="0" collapsed="false">
      <c r="B1269" s="78"/>
      <c r="C1269" s="64"/>
      <c r="D1269" s="70" t="str">
        <f aca="false">IF(C1269="","",IFERROR(INDEX(T_NOMBRE,MATCH(C1269,T_ID,0)),"⚠ ID no existe"))</f>
        <v/>
      </c>
      <c r="E1269" s="69"/>
      <c r="F1269" s="69"/>
      <c r="G1269" s="69"/>
      <c r="H1269" s="69"/>
      <c r="I1269" s="66"/>
      <c r="J1269" s="69"/>
      <c r="K1269" s="67"/>
      <c r="L1269" s="67"/>
      <c r="M1269" s="67"/>
      <c r="N1269" s="67"/>
      <c r="O1269" s="64"/>
      <c r="P1269" s="72" t="str">
        <f aca="false">IF(OR(B1269="",C1269=""),"",C1269&amp;"|"&amp;(YEAR(B1269)*100+MONTH(B1269)))</f>
        <v/>
      </c>
      <c r="Q1269" s="70" t="str">
        <f aca="false">IF(P1269="","",IF(COUNTIF(N_CLAVE,P1269)&gt;1,"⚠ Duplicado","OK"))</f>
        <v/>
      </c>
      <c r="R1269" s="74" t="str">
        <f aca="false">IF(OR(P1269="",U1269=""),"",MAX(0,U1269-N(E1269)-N(F1269)-N(H1269)))</f>
        <v/>
      </c>
      <c r="S1269" s="75" t="str">
        <f aca="false">IF(P1269="","",IFERROR(INDEX(T_INGRESO,MATCH(C1269,T_ID,0)),""))</f>
        <v/>
      </c>
      <c r="T1269" s="75" t="str">
        <f aca="false">IF(P1269="","",IFERROR(N(INDEX(T_EGRESO,MATCH(C1269,T_ID,0))),0))</f>
        <v/>
      </c>
      <c r="U1269" s="73" t="str">
        <f aca="false">IF(OR(P1269="",NOT(ISNUMBER(S1269))),"",IF(OR(S1269&gt;EOMONTH(B1269,0),AND(T1269&gt;0,T1269&lt;B1269)),0,IF(AND(S1269&lt;=B1269,OR(T1269=0,T1269&gt;=EOMONTH(B1269,0))),30,MIN(30,IF(T1269=0,EOMONTH(B1269,0),MIN(T1269,EOMONTH(B1269,0)))-MAX(B1269,S1269)+1))))</f>
        <v/>
      </c>
    </row>
    <row r="1270" customFormat="false" ht="15" hidden="false" customHeight="false" outlineLevel="0" collapsed="false">
      <c r="B1270" s="78"/>
      <c r="C1270" s="64"/>
      <c r="D1270" s="70" t="str">
        <f aca="false">IF(C1270="","",IFERROR(INDEX(T_NOMBRE,MATCH(C1270,T_ID,0)),"⚠ ID no existe"))</f>
        <v/>
      </c>
      <c r="E1270" s="69"/>
      <c r="F1270" s="69"/>
      <c r="G1270" s="69"/>
      <c r="H1270" s="69"/>
      <c r="I1270" s="66"/>
      <c r="J1270" s="69"/>
      <c r="K1270" s="67"/>
      <c r="L1270" s="67"/>
      <c r="M1270" s="67"/>
      <c r="N1270" s="67"/>
      <c r="O1270" s="64"/>
      <c r="P1270" s="72" t="str">
        <f aca="false">IF(OR(B1270="",C1270=""),"",C1270&amp;"|"&amp;(YEAR(B1270)*100+MONTH(B1270)))</f>
        <v/>
      </c>
      <c r="Q1270" s="70" t="str">
        <f aca="false">IF(P1270="","",IF(COUNTIF(N_CLAVE,P1270)&gt;1,"⚠ Duplicado","OK"))</f>
        <v/>
      </c>
      <c r="R1270" s="74" t="str">
        <f aca="false">IF(OR(P1270="",U1270=""),"",MAX(0,U1270-N(E1270)-N(F1270)-N(H1270)))</f>
        <v/>
      </c>
      <c r="S1270" s="75" t="str">
        <f aca="false">IF(P1270="","",IFERROR(INDEX(T_INGRESO,MATCH(C1270,T_ID,0)),""))</f>
        <v/>
      </c>
      <c r="T1270" s="75" t="str">
        <f aca="false">IF(P1270="","",IFERROR(N(INDEX(T_EGRESO,MATCH(C1270,T_ID,0))),0))</f>
        <v/>
      </c>
      <c r="U1270" s="73" t="str">
        <f aca="false">IF(OR(P1270="",NOT(ISNUMBER(S1270))),"",IF(OR(S1270&gt;EOMONTH(B1270,0),AND(T1270&gt;0,T1270&lt;B1270)),0,IF(AND(S1270&lt;=B1270,OR(T1270=0,T1270&gt;=EOMONTH(B1270,0))),30,MIN(30,IF(T1270=0,EOMONTH(B1270,0),MIN(T1270,EOMONTH(B1270,0)))-MAX(B1270,S1270)+1))))</f>
        <v/>
      </c>
    </row>
    <row r="1271" customFormat="false" ht="15" hidden="false" customHeight="false" outlineLevel="0" collapsed="false">
      <c r="B1271" s="78"/>
      <c r="C1271" s="64"/>
      <c r="D1271" s="70" t="str">
        <f aca="false">IF(C1271="","",IFERROR(INDEX(T_NOMBRE,MATCH(C1271,T_ID,0)),"⚠ ID no existe"))</f>
        <v/>
      </c>
      <c r="E1271" s="69"/>
      <c r="F1271" s="69"/>
      <c r="G1271" s="69"/>
      <c r="H1271" s="69"/>
      <c r="I1271" s="66"/>
      <c r="J1271" s="69"/>
      <c r="K1271" s="67"/>
      <c r="L1271" s="67"/>
      <c r="M1271" s="67"/>
      <c r="N1271" s="67"/>
      <c r="O1271" s="64"/>
      <c r="P1271" s="72" t="str">
        <f aca="false">IF(OR(B1271="",C1271=""),"",C1271&amp;"|"&amp;(YEAR(B1271)*100+MONTH(B1271)))</f>
        <v/>
      </c>
      <c r="Q1271" s="70" t="str">
        <f aca="false">IF(P1271="","",IF(COUNTIF(N_CLAVE,P1271)&gt;1,"⚠ Duplicado","OK"))</f>
        <v/>
      </c>
      <c r="R1271" s="74" t="str">
        <f aca="false">IF(OR(P1271="",U1271=""),"",MAX(0,U1271-N(E1271)-N(F1271)-N(H1271)))</f>
        <v/>
      </c>
      <c r="S1271" s="75" t="str">
        <f aca="false">IF(P1271="","",IFERROR(INDEX(T_INGRESO,MATCH(C1271,T_ID,0)),""))</f>
        <v/>
      </c>
      <c r="T1271" s="75" t="str">
        <f aca="false">IF(P1271="","",IFERROR(N(INDEX(T_EGRESO,MATCH(C1271,T_ID,0))),0))</f>
        <v/>
      </c>
      <c r="U1271" s="73" t="str">
        <f aca="false">IF(OR(P1271="",NOT(ISNUMBER(S1271))),"",IF(OR(S1271&gt;EOMONTH(B1271,0),AND(T1271&gt;0,T1271&lt;B1271)),0,IF(AND(S1271&lt;=B1271,OR(T1271=0,T1271&gt;=EOMONTH(B1271,0))),30,MIN(30,IF(T1271=0,EOMONTH(B1271,0),MIN(T1271,EOMONTH(B1271,0)))-MAX(B1271,S1271)+1))))</f>
        <v/>
      </c>
    </row>
    <row r="1272" customFormat="false" ht="15" hidden="false" customHeight="false" outlineLevel="0" collapsed="false">
      <c r="B1272" s="78"/>
      <c r="C1272" s="64"/>
      <c r="D1272" s="70" t="str">
        <f aca="false">IF(C1272="","",IFERROR(INDEX(T_NOMBRE,MATCH(C1272,T_ID,0)),"⚠ ID no existe"))</f>
        <v/>
      </c>
      <c r="E1272" s="69"/>
      <c r="F1272" s="69"/>
      <c r="G1272" s="69"/>
      <c r="H1272" s="69"/>
      <c r="I1272" s="66"/>
      <c r="J1272" s="69"/>
      <c r="K1272" s="67"/>
      <c r="L1272" s="67"/>
      <c r="M1272" s="67"/>
      <c r="N1272" s="67"/>
      <c r="O1272" s="64"/>
      <c r="P1272" s="72" t="str">
        <f aca="false">IF(OR(B1272="",C1272=""),"",C1272&amp;"|"&amp;(YEAR(B1272)*100+MONTH(B1272)))</f>
        <v/>
      </c>
      <c r="Q1272" s="70" t="str">
        <f aca="false">IF(P1272="","",IF(COUNTIF(N_CLAVE,P1272)&gt;1,"⚠ Duplicado","OK"))</f>
        <v/>
      </c>
      <c r="R1272" s="74" t="str">
        <f aca="false">IF(OR(P1272="",U1272=""),"",MAX(0,U1272-N(E1272)-N(F1272)-N(H1272)))</f>
        <v/>
      </c>
      <c r="S1272" s="75" t="str">
        <f aca="false">IF(P1272="","",IFERROR(INDEX(T_INGRESO,MATCH(C1272,T_ID,0)),""))</f>
        <v/>
      </c>
      <c r="T1272" s="75" t="str">
        <f aca="false">IF(P1272="","",IFERROR(N(INDEX(T_EGRESO,MATCH(C1272,T_ID,0))),0))</f>
        <v/>
      </c>
      <c r="U1272" s="73" t="str">
        <f aca="false">IF(OR(P1272="",NOT(ISNUMBER(S1272))),"",IF(OR(S1272&gt;EOMONTH(B1272,0),AND(T1272&gt;0,T1272&lt;B1272)),0,IF(AND(S1272&lt;=B1272,OR(T1272=0,T1272&gt;=EOMONTH(B1272,0))),30,MIN(30,IF(T1272=0,EOMONTH(B1272,0),MIN(T1272,EOMONTH(B1272,0)))-MAX(B1272,S1272)+1))))</f>
        <v/>
      </c>
    </row>
    <row r="1273" customFormat="false" ht="15" hidden="false" customHeight="false" outlineLevel="0" collapsed="false">
      <c r="B1273" s="78"/>
      <c r="C1273" s="64"/>
      <c r="D1273" s="70" t="str">
        <f aca="false">IF(C1273="","",IFERROR(INDEX(T_NOMBRE,MATCH(C1273,T_ID,0)),"⚠ ID no existe"))</f>
        <v/>
      </c>
      <c r="E1273" s="69"/>
      <c r="F1273" s="69"/>
      <c r="G1273" s="69"/>
      <c r="H1273" s="69"/>
      <c r="I1273" s="66"/>
      <c r="J1273" s="69"/>
      <c r="K1273" s="67"/>
      <c r="L1273" s="67"/>
      <c r="M1273" s="67"/>
      <c r="N1273" s="67"/>
      <c r="O1273" s="64"/>
      <c r="P1273" s="72" t="str">
        <f aca="false">IF(OR(B1273="",C1273=""),"",C1273&amp;"|"&amp;(YEAR(B1273)*100+MONTH(B1273)))</f>
        <v/>
      </c>
      <c r="Q1273" s="70" t="str">
        <f aca="false">IF(P1273="","",IF(COUNTIF(N_CLAVE,P1273)&gt;1,"⚠ Duplicado","OK"))</f>
        <v/>
      </c>
      <c r="R1273" s="74" t="str">
        <f aca="false">IF(OR(P1273="",U1273=""),"",MAX(0,U1273-N(E1273)-N(F1273)-N(H1273)))</f>
        <v/>
      </c>
      <c r="S1273" s="75" t="str">
        <f aca="false">IF(P1273="","",IFERROR(INDEX(T_INGRESO,MATCH(C1273,T_ID,0)),""))</f>
        <v/>
      </c>
      <c r="T1273" s="75" t="str">
        <f aca="false">IF(P1273="","",IFERROR(N(INDEX(T_EGRESO,MATCH(C1273,T_ID,0))),0))</f>
        <v/>
      </c>
      <c r="U1273" s="73" t="str">
        <f aca="false">IF(OR(P1273="",NOT(ISNUMBER(S1273))),"",IF(OR(S1273&gt;EOMONTH(B1273,0),AND(T1273&gt;0,T1273&lt;B1273)),0,IF(AND(S1273&lt;=B1273,OR(T1273=0,T1273&gt;=EOMONTH(B1273,0))),30,MIN(30,IF(T1273=0,EOMONTH(B1273,0),MIN(T1273,EOMONTH(B1273,0)))-MAX(B1273,S1273)+1))))</f>
        <v/>
      </c>
    </row>
    <row r="1274" customFormat="false" ht="15" hidden="false" customHeight="false" outlineLevel="0" collapsed="false">
      <c r="B1274" s="78"/>
      <c r="C1274" s="64"/>
      <c r="D1274" s="70" t="str">
        <f aca="false">IF(C1274="","",IFERROR(INDEX(T_NOMBRE,MATCH(C1274,T_ID,0)),"⚠ ID no existe"))</f>
        <v/>
      </c>
      <c r="E1274" s="69"/>
      <c r="F1274" s="69"/>
      <c r="G1274" s="69"/>
      <c r="H1274" s="69"/>
      <c r="I1274" s="66"/>
      <c r="J1274" s="69"/>
      <c r="K1274" s="67"/>
      <c r="L1274" s="67"/>
      <c r="M1274" s="67"/>
      <c r="N1274" s="67"/>
      <c r="O1274" s="64"/>
      <c r="P1274" s="72" t="str">
        <f aca="false">IF(OR(B1274="",C1274=""),"",C1274&amp;"|"&amp;(YEAR(B1274)*100+MONTH(B1274)))</f>
        <v/>
      </c>
      <c r="Q1274" s="70" t="str">
        <f aca="false">IF(P1274="","",IF(COUNTIF(N_CLAVE,P1274)&gt;1,"⚠ Duplicado","OK"))</f>
        <v/>
      </c>
      <c r="R1274" s="74" t="str">
        <f aca="false">IF(OR(P1274="",U1274=""),"",MAX(0,U1274-N(E1274)-N(F1274)-N(H1274)))</f>
        <v/>
      </c>
      <c r="S1274" s="75" t="str">
        <f aca="false">IF(P1274="","",IFERROR(INDEX(T_INGRESO,MATCH(C1274,T_ID,0)),""))</f>
        <v/>
      </c>
      <c r="T1274" s="75" t="str">
        <f aca="false">IF(P1274="","",IFERROR(N(INDEX(T_EGRESO,MATCH(C1274,T_ID,0))),0))</f>
        <v/>
      </c>
      <c r="U1274" s="73" t="str">
        <f aca="false">IF(OR(P1274="",NOT(ISNUMBER(S1274))),"",IF(OR(S1274&gt;EOMONTH(B1274,0),AND(T1274&gt;0,T1274&lt;B1274)),0,IF(AND(S1274&lt;=B1274,OR(T1274=0,T1274&gt;=EOMONTH(B1274,0))),30,MIN(30,IF(T1274=0,EOMONTH(B1274,0),MIN(T1274,EOMONTH(B1274,0)))-MAX(B1274,S1274)+1))))</f>
        <v/>
      </c>
    </row>
    <row r="1275" customFormat="false" ht="15" hidden="false" customHeight="false" outlineLevel="0" collapsed="false">
      <c r="B1275" s="78"/>
      <c r="C1275" s="64"/>
      <c r="D1275" s="70" t="str">
        <f aca="false">IF(C1275="","",IFERROR(INDEX(T_NOMBRE,MATCH(C1275,T_ID,0)),"⚠ ID no existe"))</f>
        <v/>
      </c>
      <c r="E1275" s="69"/>
      <c r="F1275" s="69"/>
      <c r="G1275" s="69"/>
      <c r="H1275" s="69"/>
      <c r="I1275" s="66"/>
      <c r="J1275" s="69"/>
      <c r="K1275" s="67"/>
      <c r="L1275" s="67"/>
      <c r="M1275" s="67"/>
      <c r="N1275" s="67"/>
      <c r="O1275" s="64"/>
      <c r="P1275" s="72" t="str">
        <f aca="false">IF(OR(B1275="",C1275=""),"",C1275&amp;"|"&amp;(YEAR(B1275)*100+MONTH(B1275)))</f>
        <v/>
      </c>
      <c r="Q1275" s="70" t="str">
        <f aca="false">IF(P1275="","",IF(COUNTIF(N_CLAVE,P1275)&gt;1,"⚠ Duplicado","OK"))</f>
        <v/>
      </c>
      <c r="R1275" s="74" t="str">
        <f aca="false">IF(OR(P1275="",U1275=""),"",MAX(0,U1275-N(E1275)-N(F1275)-N(H1275)))</f>
        <v/>
      </c>
      <c r="S1275" s="75" t="str">
        <f aca="false">IF(P1275="","",IFERROR(INDEX(T_INGRESO,MATCH(C1275,T_ID,0)),""))</f>
        <v/>
      </c>
      <c r="T1275" s="75" t="str">
        <f aca="false">IF(P1275="","",IFERROR(N(INDEX(T_EGRESO,MATCH(C1275,T_ID,0))),0))</f>
        <v/>
      </c>
      <c r="U1275" s="73" t="str">
        <f aca="false">IF(OR(P1275="",NOT(ISNUMBER(S1275))),"",IF(OR(S1275&gt;EOMONTH(B1275,0),AND(T1275&gt;0,T1275&lt;B1275)),0,IF(AND(S1275&lt;=B1275,OR(T1275=0,T1275&gt;=EOMONTH(B1275,0))),30,MIN(30,IF(T1275=0,EOMONTH(B1275,0),MIN(T1275,EOMONTH(B1275,0)))-MAX(B1275,S1275)+1))))</f>
        <v/>
      </c>
    </row>
    <row r="1276" customFormat="false" ht="15" hidden="false" customHeight="false" outlineLevel="0" collapsed="false">
      <c r="B1276" s="78"/>
      <c r="C1276" s="64"/>
      <c r="D1276" s="70" t="str">
        <f aca="false">IF(C1276="","",IFERROR(INDEX(T_NOMBRE,MATCH(C1276,T_ID,0)),"⚠ ID no existe"))</f>
        <v/>
      </c>
      <c r="E1276" s="69"/>
      <c r="F1276" s="69"/>
      <c r="G1276" s="69"/>
      <c r="H1276" s="69"/>
      <c r="I1276" s="66"/>
      <c r="J1276" s="69"/>
      <c r="K1276" s="67"/>
      <c r="L1276" s="67"/>
      <c r="M1276" s="67"/>
      <c r="N1276" s="67"/>
      <c r="O1276" s="64"/>
      <c r="P1276" s="72" t="str">
        <f aca="false">IF(OR(B1276="",C1276=""),"",C1276&amp;"|"&amp;(YEAR(B1276)*100+MONTH(B1276)))</f>
        <v/>
      </c>
      <c r="Q1276" s="70" t="str">
        <f aca="false">IF(P1276="","",IF(COUNTIF(N_CLAVE,P1276)&gt;1,"⚠ Duplicado","OK"))</f>
        <v/>
      </c>
      <c r="R1276" s="74" t="str">
        <f aca="false">IF(OR(P1276="",U1276=""),"",MAX(0,U1276-N(E1276)-N(F1276)-N(H1276)))</f>
        <v/>
      </c>
      <c r="S1276" s="75" t="str">
        <f aca="false">IF(P1276="","",IFERROR(INDEX(T_INGRESO,MATCH(C1276,T_ID,0)),""))</f>
        <v/>
      </c>
      <c r="T1276" s="75" t="str">
        <f aca="false">IF(P1276="","",IFERROR(N(INDEX(T_EGRESO,MATCH(C1276,T_ID,0))),0))</f>
        <v/>
      </c>
      <c r="U1276" s="73" t="str">
        <f aca="false">IF(OR(P1276="",NOT(ISNUMBER(S1276))),"",IF(OR(S1276&gt;EOMONTH(B1276,0),AND(T1276&gt;0,T1276&lt;B1276)),0,IF(AND(S1276&lt;=B1276,OR(T1276=0,T1276&gt;=EOMONTH(B1276,0))),30,MIN(30,IF(T1276=0,EOMONTH(B1276,0),MIN(T1276,EOMONTH(B1276,0)))-MAX(B1276,S1276)+1))))</f>
        <v/>
      </c>
    </row>
    <row r="1277" customFormat="false" ht="15" hidden="false" customHeight="false" outlineLevel="0" collapsed="false">
      <c r="B1277" s="78"/>
      <c r="C1277" s="64"/>
      <c r="D1277" s="70" t="str">
        <f aca="false">IF(C1277="","",IFERROR(INDEX(T_NOMBRE,MATCH(C1277,T_ID,0)),"⚠ ID no existe"))</f>
        <v/>
      </c>
      <c r="E1277" s="69"/>
      <c r="F1277" s="69"/>
      <c r="G1277" s="69"/>
      <c r="H1277" s="69"/>
      <c r="I1277" s="66"/>
      <c r="J1277" s="69"/>
      <c r="K1277" s="67"/>
      <c r="L1277" s="67"/>
      <c r="M1277" s="67"/>
      <c r="N1277" s="67"/>
      <c r="O1277" s="64"/>
      <c r="P1277" s="72" t="str">
        <f aca="false">IF(OR(B1277="",C1277=""),"",C1277&amp;"|"&amp;(YEAR(B1277)*100+MONTH(B1277)))</f>
        <v/>
      </c>
      <c r="Q1277" s="70" t="str">
        <f aca="false">IF(P1277="","",IF(COUNTIF(N_CLAVE,P1277)&gt;1,"⚠ Duplicado","OK"))</f>
        <v/>
      </c>
      <c r="R1277" s="74" t="str">
        <f aca="false">IF(OR(P1277="",U1277=""),"",MAX(0,U1277-N(E1277)-N(F1277)-N(H1277)))</f>
        <v/>
      </c>
      <c r="S1277" s="75" t="str">
        <f aca="false">IF(P1277="","",IFERROR(INDEX(T_INGRESO,MATCH(C1277,T_ID,0)),""))</f>
        <v/>
      </c>
      <c r="T1277" s="75" t="str">
        <f aca="false">IF(P1277="","",IFERROR(N(INDEX(T_EGRESO,MATCH(C1277,T_ID,0))),0))</f>
        <v/>
      </c>
      <c r="U1277" s="73" t="str">
        <f aca="false">IF(OR(P1277="",NOT(ISNUMBER(S1277))),"",IF(OR(S1277&gt;EOMONTH(B1277,0),AND(T1277&gt;0,T1277&lt;B1277)),0,IF(AND(S1277&lt;=B1277,OR(T1277=0,T1277&gt;=EOMONTH(B1277,0))),30,MIN(30,IF(T1277=0,EOMONTH(B1277,0),MIN(T1277,EOMONTH(B1277,0)))-MAX(B1277,S1277)+1))))</f>
        <v/>
      </c>
    </row>
    <row r="1278" customFormat="false" ht="15" hidden="false" customHeight="false" outlineLevel="0" collapsed="false">
      <c r="B1278" s="78"/>
      <c r="C1278" s="64"/>
      <c r="D1278" s="70" t="str">
        <f aca="false">IF(C1278="","",IFERROR(INDEX(T_NOMBRE,MATCH(C1278,T_ID,0)),"⚠ ID no existe"))</f>
        <v/>
      </c>
      <c r="E1278" s="69"/>
      <c r="F1278" s="69"/>
      <c r="G1278" s="69"/>
      <c r="H1278" s="69"/>
      <c r="I1278" s="66"/>
      <c r="J1278" s="69"/>
      <c r="K1278" s="67"/>
      <c r="L1278" s="67"/>
      <c r="M1278" s="67"/>
      <c r="N1278" s="67"/>
      <c r="O1278" s="64"/>
      <c r="P1278" s="72" t="str">
        <f aca="false">IF(OR(B1278="",C1278=""),"",C1278&amp;"|"&amp;(YEAR(B1278)*100+MONTH(B1278)))</f>
        <v/>
      </c>
      <c r="Q1278" s="70" t="str">
        <f aca="false">IF(P1278="","",IF(COUNTIF(N_CLAVE,P1278)&gt;1,"⚠ Duplicado","OK"))</f>
        <v/>
      </c>
      <c r="R1278" s="74" t="str">
        <f aca="false">IF(OR(P1278="",U1278=""),"",MAX(0,U1278-N(E1278)-N(F1278)-N(H1278)))</f>
        <v/>
      </c>
      <c r="S1278" s="75" t="str">
        <f aca="false">IF(P1278="","",IFERROR(INDEX(T_INGRESO,MATCH(C1278,T_ID,0)),""))</f>
        <v/>
      </c>
      <c r="T1278" s="75" t="str">
        <f aca="false">IF(P1278="","",IFERROR(N(INDEX(T_EGRESO,MATCH(C1278,T_ID,0))),0))</f>
        <v/>
      </c>
      <c r="U1278" s="73" t="str">
        <f aca="false">IF(OR(P1278="",NOT(ISNUMBER(S1278))),"",IF(OR(S1278&gt;EOMONTH(B1278,0),AND(T1278&gt;0,T1278&lt;B1278)),0,IF(AND(S1278&lt;=B1278,OR(T1278=0,T1278&gt;=EOMONTH(B1278,0))),30,MIN(30,IF(T1278=0,EOMONTH(B1278,0),MIN(T1278,EOMONTH(B1278,0)))-MAX(B1278,S1278)+1))))</f>
        <v/>
      </c>
    </row>
    <row r="1279" customFormat="false" ht="15" hidden="false" customHeight="false" outlineLevel="0" collapsed="false">
      <c r="B1279" s="78"/>
      <c r="C1279" s="64"/>
      <c r="D1279" s="70" t="str">
        <f aca="false">IF(C1279="","",IFERROR(INDEX(T_NOMBRE,MATCH(C1279,T_ID,0)),"⚠ ID no existe"))</f>
        <v/>
      </c>
      <c r="E1279" s="69"/>
      <c r="F1279" s="69"/>
      <c r="G1279" s="69"/>
      <c r="H1279" s="69"/>
      <c r="I1279" s="66"/>
      <c r="J1279" s="69"/>
      <c r="K1279" s="67"/>
      <c r="L1279" s="67"/>
      <c r="M1279" s="67"/>
      <c r="N1279" s="67"/>
      <c r="O1279" s="64"/>
      <c r="P1279" s="72" t="str">
        <f aca="false">IF(OR(B1279="",C1279=""),"",C1279&amp;"|"&amp;(YEAR(B1279)*100+MONTH(B1279)))</f>
        <v/>
      </c>
      <c r="Q1279" s="70" t="str">
        <f aca="false">IF(P1279="","",IF(COUNTIF(N_CLAVE,P1279)&gt;1,"⚠ Duplicado","OK"))</f>
        <v/>
      </c>
      <c r="R1279" s="74" t="str">
        <f aca="false">IF(OR(P1279="",U1279=""),"",MAX(0,U1279-N(E1279)-N(F1279)-N(H1279)))</f>
        <v/>
      </c>
      <c r="S1279" s="75" t="str">
        <f aca="false">IF(P1279="","",IFERROR(INDEX(T_INGRESO,MATCH(C1279,T_ID,0)),""))</f>
        <v/>
      </c>
      <c r="T1279" s="75" t="str">
        <f aca="false">IF(P1279="","",IFERROR(N(INDEX(T_EGRESO,MATCH(C1279,T_ID,0))),0))</f>
        <v/>
      </c>
      <c r="U1279" s="73" t="str">
        <f aca="false">IF(OR(P1279="",NOT(ISNUMBER(S1279))),"",IF(OR(S1279&gt;EOMONTH(B1279,0),AND(T1279&gt;0,T1279&lt;B1279)),0,IF(AND(S1279&lt;=B1279,OR(T1279=0,T1279&gt;=EOMONTH(B1279,0))),30,MIN(30,IF(T1279=0,EOMONTH(B1279,0),MIN(T1279,EOMONTH(B1279,0)))-MAX(B1279,S1279)+1))))</f>
        <v/>
      </c>
    </row>
    <row r="1280" customFormat="false" ht="15" hidden="false" customHeight="false" outlineLevel="0" collapsed="false">
      <c r="B1280" s="78"/>
      <c r="C1280" s="64"/>
      <c r="D1280" s="70" t="str">
        <f aca="false">IF(C1280="","",IFERROR(INDEX(T_NOMBRE,MATCH(C1280,T_ID,0)),"⚠ ID no existe"))</f>
        <v/>
      </c>
      <c r="E1280" s="69"/>
      <c r="F1280" s="69"/>
      <c r="G1280" s="69"/>
      <c r="H1280" s="69"/>
      <c r="I1280" s="66"/>
      <c r="J1280" s="69"/>
      <c r="K1280" s="67"/>
      <c r="L1280" s="67"/>
      <c r="M1280" s="67"/>
      <c r="N1280" s="67"/>
      <c r="O1280" s="64"/>
      <c r="P1280" s="72" t="str">
        <f aca="false">IF(OR(B1280="",C1280=""),"",C1280&amp;"|"&amp;(YEAR(B1280)*100+MONTH(B1280)))</f>
        <v/>
      </c>
      <c r="Q1280" s="70" t="str">
        <f aca="false">IF(P1280="","",IF(COUNTIF(N_CLAVE,P1280)&gt;1,"⚠ Duplicado","OK"))</f>
        <v/>
      </c>
      <c r="R1280" s="74" t="str">
        <f aca="false">IF(OR(P1280="",U1280=""),"",MAX(0,U1280-N(E1280)-N(F1280)-N(H1280)))</f>
        <v/>
      </c>
      <c r="S1280" s="75" t="str">
        <f aca="false">IF(P1280="","",IFERROR(INDEX(T_INGRESO,MATCH(C1280,T_ID,0)),""))</f>
        <v/>
      </c>
      <c r="T1280" s="75" t="str">
        <f aca="false">IF(P1280="","",IFERROR(N(INDEX(T_EGRESO,MATCH(C1280,T_ID,0))),0))</f>
        <v/>
      </c>
      <c r="U1280" s="73" t="str">
        <f aca="false">IF(OR(P1280="",NOT(ISNUMBER(S1280))),"",IF(OR(S1280&gt;EOMONTH(B1280,0),AND(T1280&gt;0,T1280&lt;B1280)),0,IF(AND(S1280&lt;=B1280,OR(T1280=0,T1280&gt;=EOMONTH(B1280,0))),30,MIN(30,IF(T1280=0,EOMONTH(B1280,0),MIN(T1280,EOMONTH(B1280,0)))-MAX(B1280,S1280)+1))))</f>
        <v/>
      </c>
    </row>
    <row r="1281" customFormat="false" ht="15" hidden="false" customHeight="false" outlineLevel="0" collapsed="false">
      <c r="B1281" s="78"/>
      <c r="C1281" s="64"/>
      <c r="D1281" s="70" t="str">
        <f aca="false">IF(C1281="","",IFERROR(INDEX(T_NOMBRE,MATCH(C1281,T_ID,0)),"⚠ ID no existe"))</f>
        <v/>
      </c>
      <c r="E1281" s="69"/>
      <c r="F1281" s="69"/>
      <c r="G1281" s="69"/>
      <c r="H1281" s="69"/>
      <c r="I1281" s="66"/>
      <c r="J1281" s="69"/>
      <c r="K1281" s="67"/>
      <c r="L1281" s="67"/>
      <c r="M1281" s="67"/>
      <c r="N1281" s="67"/>
      <c r="O1281" s="64"/>
      <c r="P1281" s="72" t="str">
        <f aca="false">IF(OR(B1281="",C1281=""),"",C1281&amp;"|"&amp;(YEAR(B1281)*100+MONTH(B1281)))</f>
        <v/>
      </c>
      <c r="Q1281" s="70" t="str">
        <f aca="false">IF(P1281="","",IF(COUNTIF(N_CLAVE,P1281)&gt;1,"⚠ Duplicado","OK"))</f>
        <v/>
      </c>
      <c r="R1281" s="74" t="str">
        <f aca="false">IF(OR(P1281="",U1281=""),"",MAX(0,U1281-N(E1281)-N(F1281)-N(H1281)))</f>
        <v/>
      </c>
      <c r="S1281" s="75" t="str">
        <f aca="false">IF(P1281="","",IFERROR(INDEX(T_INGRESO,MATCH(C1281,T_ID,0)),""))</f>
        <v/>
      </c>
      <c r="T1281" s="75" t="str">
        <f aca="false">IF(P1281="","",IFERROR(N(INDEX(T_EGRESO,MATCH(C1281,T_ID,0))),0))</f>
        <v/>
      </c>
      <c r="U1281" s="73" t="str">
        <f aca="false">IF(OR(P1281="",NOT(ISNUMBER(S1281))),"",IF(OR(S1281&gt;EOMONTH(B1281,0),AND(T1281&gt;0,T1281&lt;B1281)),0,IF(AND(S1281&lt;=B1281,OR(T1281=0,T1281&gt;=EOMONTH(B1281,0))),30,MIN(30,IF(T1281=0,EOMONTH(B1281,0),MIN(T1281,EOMONTH(B1281,0)))-MAX(B1281,S1281)+1))))</f>
        <v/>
      </c>
    </row>
    <row r="1282" customFormat="false" ht="15" hidden="false" customHeight="false" outlineLevel="0" collapsed="false">
      <c r="B1282" s="78"/>
      <c r="C1282" s="64"/>
      <c r="D1282" s="70" t="str">
        <f aca="false">IF(C1282="","",IFERROR(INDEX(T_NOMBRE,MATCH(C1282,T_ID,0)),"⚠ ID no existe"))</f>
        <v/>
      </c>
      <c r="E1282" s="69"/>
      <c r="F1282" s="69"/>
      <c r="G1282" s="69"/>
      <c r="H1282" s="69"/>
      <c r="I1282" s="66"/>
      <c r="J1282" s="69"/>
      <c r="K1282" s="67"/>
      <c r="L1282" s="67"/>
      <c r="M1282" s="67"/>
      <c r="N1282" s="67"/>
      <c r="O1282" s="64"/>
      <c r="P1282" s="72" t="str">
        <f aca="false">IF(OR(B1282="",C1282=""),"",C1282&amp;"|"&amp;(YEAR(B1282)*100+MONTH(B1282)))</f>
        <v/>
      </c>
      <c r="Q1282" s="70" t="str">
        <f aca="false">IF(P1282="","",IF(COUNTIF(N_CLAVE,P1282)&gt;1,"⚠ Duplicado","OK"))</f>
        <v/>
      </c>
      <c r="R1282" s="74" t="str">
        <f aca="false">IF(OR(P1282="",U1282=""),"",MAX(0,U1282-N(E1282)-N(F1282)-N(H1282)))</f>
        <v/>
      </c>
      <c r="S1282" s="75" t="str">
        <f aca="false">IF(P1282="","",IFERROR(INDEX(T_INGRESO,MATCH(C1282,T_ID,0)),""))</f>
        <v/>
      </c>
      <c r="T1282" s="75" t="str">
        <f aca="false">IF(P1282="","",IFERROR(N(INDEX(T_EGRESO,MATCH(C1282,T_ID,0))),0))</f>
        <v/>
      </c>
      <c r="U1282" s="73" t="str">
        <f aca="false">IF(OR(P1282="",NOT(ISNUMBER(S1282))),"",IF(OR(S1282&gt;EOMONTH(B1282,0),AND(T1282&gt;0,T1282&lt;B1282)),0,IF(AND(S1282&lt;=B1282,OR(T1282=0,T1282&gt;=EOMONTH(B1282,0))),30,MIN(30,IF(T1282=0,EOMONTH(B1282,0),MIN(T1282,EOMONTH(B1282,0)))-MAX(B1282,S1282)+1))))</f>
        <v/>
      </c>
    </row>
    <row r="1283" customFormat="false" ht="15" hidden="false" customHeight="false" outlineLevel="0" collapsed="false">
      <c r="B1283" s="78"/>
      <c r="C1283" s="64"/>
      <c r="D1283" s="70" t="str">
        <f aca="false">IF(C1283="","",IFERROR(INDEX(T_NOMBRE,MATCH(C1283,T_ID,0)),"⚠ ID no existe"))</f>
        <v/>
      </c>
      <c r="E1283" s="69"/>
      <c r="F1283" s="69"/>
      <c r="G1283" s="69"/>
      <c r="H1283" s="69"/>
      <c r="I1283" s="66"/>
      <c r="J1283" s="69"/>
      <c r="K1283" s="67"/>
      <c r="L1283" s="67"/>
      <c r="M1283" s="67"/>
      <c r="N1283" s="67"/>
      <c r="O1283" s="64"/>
      <c r="P1283" s="72" t="str">
        <f aca="false">IF(OR(B1283="",C1283=""),"",C1283&amp;"|"&amp;(YEAR(B1283)*100+MONTH(B1283)))</f>
        <v/>
      </c>
      <c r="Q1283" s="70" t="str">
        <f aca="false">IF(P1283="","",IF(COUNTIF(N_CLAVE,P1283)&gt;1,"⚠ Duplicado","OK"))</f>
        <v/>
      </c>
      <c r="R1283" s="74" t="str">
        <f aca="false">IF(OR(P1283="",U1283=""),"",MAX(0,U1283-N(E1283)-N(F1283)-N(H1283)))</f>
        <v/>
      </c>
      <c r="S1283" s="75" t="str">
        <f aca="false">IF(P1283="","",IFERROR(INDEX(T_INGRESO,MATCH(C1283,T_ID,0)),""))</f>
        <v/>
      </c>
      <c r="T1283" s="75" t="str">
        <f aca="false">IF(P1283="","",IFERROR(N(INDEX(T_EGRESO,MATCH(C1283,T_ID,0))),0))</f>
        <v/>
      </c>
      <c r="U1283" s="73" t="str">
        <f aca="false">IF(OR(P1283="",NOT(ISNUMBER(S1283))),"",IF(OR(S1283&gt;EOMONTH(B1283,0),AND(T1283&gt;0,T1283&lt;B1283)),0,IF(AND(S1283&lt;=B1283,OR(T1283=0,T1283&gt;=EOMONTH(B1283,0))),30,MIN(30,IF(T1283=0,EOMONTH(B1283,0),MIN(T1283,EOMONTH(B1283,0)))-MAX(B1283,S1283)+1))))</f>
        <v/>
      </c>
    </row>
    <row r="1284" customFormat="false" ht="15" hidden="false" customHeight="false" outlineLevel="0" collapsed="false">
      <c r="B1284" s="78"/>
      <c r="C1284" s="64"/>
      <c r="D1284" s="70" t="str">
        <f aca="false">IF(C1284="","",IFERROR(INDEX(T_NOMBRE,MATCH(C1284,T_ID,0)),"⚠ ID no existe"))</f>
        <v/>
      </c>
      <c r="E1284" s="69"/>
      <c r="F1284" s="69"/>
      <c r="G1284" s="69"/>
      <c r="H1284" s="69"/>
      <c r="I1284" s="66"/>
      <c r="J1284" s="69"/>
      <c r="K1284" s="67"/>
      <c r="L1284" s="67"/>
      <c r="M1284" s="67"/>
      <c r="N1284" s="67"/>
      <c r="O1284" s="64"/>
      <c r="P1284" s="72" t="str">
        <f aca="false">IF(OR(B1284="",C1284=""),"",C1284&amp;"|"&amp;(YEAR(B1284)*100+MONTH(B1284)))</f>
        <v/>
      </c>
      <c r="Q1284" s="70" t="str">
        <f aca="false">IF(P1284="","",IF(COUNTIF(N_CLAVE,P1284)&gt;1,"⚠ Duplicado","OK"))</f>
        <v/>
      </c>
      <c r="R1284" s="74" t="str">
        <f aca="false">IF(OR(P1284="",U1284=""),"",MAX(0,U1284-N(E1284)-N(F1284)-N(H1284)))</f>
        <v/>
      </c>
      <c r="S1284" s="75" t="str">
        <f aca="false">IF(P1284="","",IFERROR(INDEX(T_INGRESO,MATCH(C1284,T_ID,0)),""))</f>
        <v/>
      </c>
      <c r="T1284" s="75" t="str">
        <f aca="false">IF(P1284="","",IFERROR(N(INDEX(T_EGRESO,MATCH(C1284,T_ID,0))),0))</f>
        <v/>
      </c>
      <c r="U1284" s="73" t="str">
        <f aca="false">IF(OR(P1284="",NOT(ISNUMBER(S1284))),"",IF(OR(S1284&gt;EOMONTH(B1284,0),AND(T1284&gt;0,T1284&lt;B1284)),0,IF(AND(S1284&lt;=B1284,OR(T1284=0,T1284&gt;=EOMONTH(B1284,0))),30,MIN(30,IF(T1284=0,EOMONTH(B1284,0),MIN(T1284,EOMONTH(B1284,0)))-MAX(B1284,S1284)+1))))</f>
        <v/>
      </c>
    </row>
    <row r="1285" customFormat="false" ht="15" hidden="false" customHeight="false" outlineLevel="0" collapsed="false">
      <c r="B1285" s="78"/>
      <c r="C1285" s="64"/>
      <c r="D1285" s="70" t="str">
        <f aca="false">IF(C1285="","",IFERROR(INDEX(T_NOMBRE,MATCH(C1285,T_ID,0)),"⚠ ID no existe"))</f>
        <v/>
      </c>
      <c r="E1285" s="69"/>
      <c r="F1285" s="69"/>
      <c r="G1285" s="69"/>
      <c r="H1285" s="69"/>
      <c r="I1285" s="66"/>
      <c r="J1285" s="69"/>
      <c r="K1285" s="67"/>
      <c r="L1285" s="67"/>
      <c r="M1285" s="67"/>
      <c r="N1285" s="67"/>
      <c r="O1285" s="64"/>
      <c r="P1285" s="72" t="str">
        <f aca="false">IF(OR(B1285="",C1285=""),"",C1285&amp;"|"&amp;(YEAR(B1285)*100+MONTH(B1285)))</f>
        <v/>
      </c>
      <c r="Q1285" s="70" t="str">
        <f aca="false">IF(P1285="","",IF(COUNTIF(N_CLAVE,P1285)&gt;1,"⚠ Duplicado","OK"))</f>
        <v/>
      </c>
      <c r="R1285" s="74" t="str">
        <f aca="false">IF(OR(P1285="",U1285=""),"",MAX(0,U1285-N(E1285)-N(F1285)-N(H1285)))</f>
        <v/>
      </c>
      <c r="S1285" s="75" t="str">
        <f aca="false">IF(P1285="","",IFERROR(INDEX(T_INGRESO,MATCH(C1285,T_ID,0)),""))</f>
        <v/>
      </c>
      <c r="T1285" s="75" t="str">
        <f aca="false">IF(P1285="","",IFERROR(N(INDEX(T_EGRESO,MATCH(C1285,T_ID,0))),0))</f>
        <v/>
      </c>
      <c r="U1285" s="73" t="str">
        <f aca="false">IF(OR(P1285="",NOT(ISNUMBER(S1285))),"",IF(OR(S1285&gt;EOMONTH(B1285,0),AND(T1285&gt;0,T1285&lt;B1285)),0,IF(AND(S1285&lt;=B1285,OR(T1285=0,T1285&gt;=EOMONTH(B1285,0))),30,MIN(30,IF(T1285=0,EOMONTH(B1285,0),MIN(T1285,EOMONTH(B1285,0)))-MAX(B1285,S1285)+1))))</f>
        <v/>
      </c>
    </row>
    <row r="1286" customFormat="false" ht="15" hidden="false" customHeight="false" outlineLevel="0" collapsed="false">
      <c r="B1286" s="78"/>
      <c r="C1286" s="64"/>
      <c r="D1286" s="70" t="str">
        <f aca="false">IF(C1286="","",IFERROR(INDEX(T_NOMBRE,MATCH(C1286,T_ID,0)),"⚠ ID no existe"))</f>
        <v/>
      </c>
      <c r="E1286" s="69"/>
      <c r="F1286" s="69"/>
      <c r="G1286" s="69"/>
      <c r="H1286" s="69"/>
      <c r="I1286" s="66"/>
      <c r="J1286" s="69"/>
      <c r="K1286" s="67"/>
      <c r="L1286" s="67"/>
      <c r="M1286" s="67"/>
      <c r="N1286" s="67"/>
      <c r="O1286" s="64"/>
      <c r="P1286" s="72" t="str">
        <f aca="false">IF(OR(B1286="",C1286=""),"",C1286&amp;"|"&amp;(YEAR(B1286)*100+MONTH(B1286)))</f>
        <v/>
      </c>
      <c r="Q1286" s="70" t="str">
        <f aca="false">IF(P1286="","",IF(COUNTIF(N_CLAVE,P1286)&gt;1,"⚠ Duplicado","OK"))</f>
        <v/>
      </c>
      <c r="R1286" s="74" t="str">
        <f aca="false">IF(OR(P1286="",U1286=""),"",MAX(0,U1286-N(E1286)-N(F1286)-N(H1286)))</f>
        <v/>
      </c>
      <c r="S1286" s="75" t="str">
        <f aca="false">IF(P1286="","",IFERROR(INDEX(T_INGRESO,MATCH(C1286,T_ID,0)),""))</f>
        <v/>
      </c>
      <c r="T1286" s="75" t="str">
        <f aca="false">IF(P1286="","",IFERROR(N(INDEX(T_EGRESO,MATCH(C1286,T_ID,0))),0))</f>
        <v/>
      </c>
      <c r="U1286" s="73" t="str">
        <f aca="false">IF(OR(P1286="",NOT(ISNUMBER(S1286))),"",IF(OR(S1286&gt;EOMONTH(B1286,0),AND(T1286&gt;0,T1286&lt;B1286)),0,IF(AND(S1286&lt;=B1286,OR(T1286=0,T1286&gt;=EOMONTH(B1286,0))),30,MIN(30,IF(T1286=0,EOMONTH(B1286,0),MIN(T1286,EOMONTH(B1286,0)))-MAX(B1286,S1286)+1))))</f>
        <v/>
      </c>
    </row>
    <row r="1287" customFormat="false" ht="15" hidden="false" customHeight="false" outlineLevel="0" collapsed="false">
      <c r="B1287" s="78"/>
      <c r="C1287" s="64"/>
      <c r="D1287" s="70" t="str">
        <f aca="false">IF(C1287="","",IFERROR(INDEX(T_NOMBRE,MATCH(C1287,T_ID,0)),"⚠ ID no existe"))</f>
        <v/>
      </c>
      <c r="E1287" s="69"/>
      <c r="F1287" s="69"/>
      <c r="G1287" s="69"/>
      <c r="H1287" s="69"/>
      <c r="I1287" s="66"/>
      <c r="J1287" s="69"/>
      <c r="K1287" s="67"/>
      <c r="L1287" s="67"/>
      <c r="M1287" s="67"/>
      <c r="N1287" s="67"/>
      <c r="O1287" s="64"/>
      <c r="P1287" s="72" t="str">
        <f aca="false">IF(OR(B1287="",C1287=""),"",C1287&amp;"|"&amp;(YEAR(B1287)*100+MONTH(B1287)))</f>
        <v/>
      </c>
      <c r="Q1287" s="70" t="str">
        <f aca="false">IF(P1287="","",IF(COUNTIF(N_CLAVE,P1287)&gt;1,"⚠ Duplicado","OK"))</f>
        <v/>
      </c>
      <c r="R1287" s="74" t="str">
        <f aca="false">IF(OR(P1287="",U1287=""),"",MAX(0,U1287-N(E1287)-N(F1287)-N(H1287)))</f>
        <v/>
      </c>
      <c r="S1287" s="75" t="str">
        <f aca="false">IF(P1287="","",IFERROR(INDEX(T_INGRESO,MATCH(C1287,T_ID,0)),""))</f>
        <v/>
      </c>
      <c r="T1287" s="75" t="str">
        <f aca="false">IF(P1287="","",IFERROR(N(INDEX(T_EGRESO,MATCH(C1287,T_ID,0))),0))</f>
        <v/>
      </c>
      <c r="U1287" s="73" t="str">
        <f aca="false">IF(OR(P1287="",NOT(ISNUMBER(S1287))),"",IF(OR(S1287&gt;EOMONTH(B1287,0),AND(T1287&gt;0,T1287&lt;B1287)),0,IF(AND(S1287&lt;=B1287,OR(T1287=0,T1287&gt;=EOMONTH(B1287,0))),30,MIN(30,IF(T1287=0,EOMONTH(B1287,0),MIN(T1287,EOMONTH(B1287,0)))-MAX(B1287,S1287)+1))))</f>
        <v/>
      </c>
    </row>
    <row r="1288" customFormat="false" ht="15" hidden="false" customHeight="false" outlineLevel="0" collapsed="false">
      <c r="B1288" s="78"/>
      <c r="C1288" s="64"/>
      <c r="D1288" s="70" t="str">
        <f aca="false">IF(C1288="","",IFERROR(INDEX(T_NOMBRE,MATCH(C1288,T_ID,0)),"⚠ ID no existe"))</f>
        <v/>
      </c>
      <c r="E1288" s="69"/>
      <c r="F1288" s="69"/>
      <c r="G1288" s="69"/>
      <c r="H1288" s="69"/>
      <c r="I1288" s="66"/>
      <c r="J1288" s="69"/>
      <c r="K1288" s="67"/>
      <c r="L1288" s="67"/>
      <c r="M1288" s="67"/>
      <c r="N1288" s="67"/>
      <c r="O1288" s="64"/>
      <c r="P1288" s="72" t="str">
        <f aca="false">IF(OR(B1288="",C1288=""),"",C1288&amp;"|"&amp;(YEAR(B1288)*100+MONTH(B1288)))</f>
        <v/>
      </c>
      <c r="Q1288" s="70" t="str">
        <f aca="false">IF(P1288="","",IF(COUNTIF(N_CLAVE,P1288)&gt;1,"⚠ Duplicado","OK"))</f>
        <v/>
      </c>
      <c r="R1288" s="74" t="str">
        <f aca="false">IF(OR(P1288="",U1288=""),"",MAX(0,U1288-N(E1288)-N(F1288)-N(H1288)))</f>
        <v/>
      </c>
      <c r="S1288" s="75" t="str">
        <f aca="false">IF(P1288="","",IFERROR(INDEX(T_INGRESO,MATCH(C1288,T_ID,0)),""))</f>
        <v/>
      </c>
      <c r="T1288" s="75" t="str">
        <f aca="false">IF(P1288="","",IFERROR(N(INDEX(T_EGRESO,MATCH(C1288,T_ID,0))),0))</f>
        <v/>
      </c>
      <c r="U1288" s="73" t="str">
        <f aca="false">IF(OR(P1288="",NOT(ISNUMBER(S1288))),"",IF(OR(S1288&gt;EOMONTH(B1288,0),AND(T1288&gt;0,T1288&lt;B1288)),0,IF(AND(S1288&lt;=B1288,OR(T1288=0,T1288&gt;=EOMONTH(B1288,0))),30,MIN(30,IF(T1288=0,EOMONTH(B1288,0),MIN(T1288,EOMONTH(B1288,0)))-MAX(B1288,S1288)+1))))</f>
        <v/>
      </c>
    </row>
    <row r="1289" customFormat="false" ht="15" hidden="false" customHeight="false" outlineLevel="0" collapsed="false">
      <c r="B1289" s="78"/>
      <c r="C1289" s="64"/>
      <c r="D1289" s="70" t="str">
        <f aca="false">IF(C1289="","",IFERROR(INDEX(T_NOMBRE,MATCH(C1289,T_ID,0)),"⚠ ID no existe"))</f>
        <v/>
      </c>
      <c r="E1289" s="69"/>
      <c r="F1289" s="69"/>
      <c r="G1289" s="69"/>
      <c r="H1289" s="69"/>
      <c r="I1289" s="66"/>
      <c r="J1289" s="69"/>
      <c r="K1289" s="67"/>
      <c r="L1289" s="67"/>
      <c r="M1289" s="67"/>
      <c r="N1289" s="67"/>
      <c r="O1289" s="64"/>
      <c r="P1289" s="72" t="str">
        <f aca="false">IF(OR(B1289="",C1289=""),"",C1289&amp;"|"&amp;(YEAR(B1289)*100+MONTH(B1289)))</f>
        <v/>
      </c>
      <c r="Q1289" s="70" t="str">
        <f aca="false">IF(P1289="","",IF(COUNTIF(N_CLAVE,P1289)&gt;1,"⚠ Duplicado","OK"))</f>
        <v/>
      </c>
      <c r="R1289" s="74" t="str">
        <f aca="false">IF(OR(P1289="",U1289=""),"",MAX(0,U1289-N(E1289)-N(F1289)-N(H1289)))</f>
        <v/>
      </c>
      <c r="S1289" s="75" t="str">
        <f aca="false">IF(P1289="","",IFERROR(INDEX(T_INGRESO,MATCH(C1289,T_ID,0)),""))</f>
        <v/>
      </c>
      <c r="T1289" s="75" t="str">
        <f aca="false">IF(P1289="","",IFERROR(N(INDEX(T_EGRESO,MATCH(C1289,T_ID,0))),0))</f>
        <v/>
      </c>
      <c r="U1289" s="73" t="str">
        <f aca="false">IF(OR(P1289="",NOT(ISNUMBER(S1289))),"",IF(OR(S1289&gt;EOMONTH(B1289,0),AND(T1289&gt;0,T1289&lt;B1289)),0,IF(AND(S1289&lt;=B1289,OR(T1289=0,T1289&gt;=EOMONTH(B1289,0))),30,MIN(30,IF(T1289=0,EOMONTH(B1289,0),MIN(T1289,EOMONTH(B1289,0)))-MAX(B1289,S1289)+1))))</f>
        <v/>
      </c>
    </row>
    <row r="1290" customFormat="false" ht="15" hidden="false" customHeight="false" outlineLevel="0" collapsed="false">
      <c r="B1290" s="78"/>
      <c r="C1290" s="64"/>
      <c r="D1290" s="70" t="str">
        <f aca="false">IF(C1290="","",IFERROR(INDEX(T_NOMBRE,MATCH(C1290,T_ID,0)),"⚠ ID no existe"))</f>
        <v/>
      </c>
      <c r="E1290" s="69"/>
      <c r="F1290" s="69"/>
      <c r="G1290" s="69"/>
      <c r="H1290" s="69"/>
      <c r="I1290" s="66"/>
      <c r="J1290" s="69"/>
      <c r="K1290" s="67"/>
      <c r="L1290" s="67"/>
      <c r="M1290" s="67"/>
      <c r="N1290" s="67"/>
      <c r="O1290" s="64"/>
      <c r="P1290" s="72" t="str">
        <f aca="false">IF(OR(B1290="",C1290=""),"",C1290&amp;"|"&amp;(YEAR(B1290)*100+MONTH(B1290)))</f>
        <v/>
      </c>
      <c r="Q1290" s="70" t="str">
        <f aca="false">IF(P1290="","",IF(COUNTIF(N_CLAVE,P1290)&gt;1,"⚠ Duplicado","OK"))</f>
        <v/>
      </c>
      <c r="R1290" s="74" t="str">
        <f aca="false">IF(OR(P1290="",U1290=""),"",MAX(0,U1290-N(E1290)-N(F1290)-N(H1290)))</f>
        <v/>
      </c>
      <c r="S1290" s="75" t="str">
        <f aca="false">IF(P1290="","",IFERROR(INDEX(T_INGRESO,MATCH(C1290,T_ID,0)),""))</f>
        <v/>
      </c>
      <c r="T1290" s="75" t="str">
        <f aca="false">IF(P1290="","",IFERROR(N(INDEX(T_EGRESO,MATCH(C1290,T_ID,0))),0))</f>
        <v/>
      </c>
      <c r="U1290" s="73" t="str">
        <f aca="false">IF(OR(P1290="",NOT(ISNUMBER(S1290))),"",IF(OR(S1290&gt;EOMONTH(B1290,0),AND(T1290&gt;0,T1290&lt;B1290)),0,IF(AND(S1290&lt;=B1290,OR(T1290=0,T1290&gt;=EOMONTH(B1290,0))),30,MIN(30,IF(T1290=0,EOMONTH(B1290,0),MIN(T1290,EOMONTH(B1290,0)))-MAX(B1290,S1290)+1))))</f>
        <v/>
      </c>
    </row>
    <row r="1291" customFormat="false" ht="15" hidden="false" customHeight="false" outlineLevel="0" collapsed="false">
      <c r="B1291" s="78"/>
      <c r="C1291" s="64"/>
      <c r="D1291" s="70" t="str">
        <f aca="false">IF(C1291="","",IFERROR(INDEX(T_NOMBRE,MATCH(C1291,T_ID,0)),"⚠ ID no existe"))</f>
        <v/>
      </c>
      <c r="E1291" s="69"/>
      <c r="F1291" s="69"/>
      <c r="G1291" s="69"/>
      <c r="H1291" s="69"/>
      <c r="I1291" s="66"/>
      <c r="J1291" s="69"/>
      <c r="K1291" s="67"/>
      <c r="L1291" s="67"/>
      <c r="M1291" s="67"/>
      <c r="N1291" s="67"/>
      <c r="O1291" s="64"/>
      <c r="P1291" s="72" t="str">
        <f aca="false">IF(OR(B1291="",C1291=""),"",C1291&amp;"|"&amp;(YEAR(B1291)*100+MONTH(B1291)))</f>
        <v/>
      </c>
      <c r="Q1291" s="70" t="str">
        <f aca="false">IF(P1291="","",IF(COUNTIF(N_CLAVE,P1291)&gt;1,"⚠ Duplicado","OK"))</f>
        <v/>
      </c>
      <c r="R1291" s="74" t="str">
        <f aca="false">IF(OR(P1291="",U1291=""),"",MAX(0,U1291-N(E1291)-N(F1291)-N(H1291)))</f>
        <v/>
      </c>
      <c r="S1291" s="75" t="str">
        <f aca="false">IF(P1291="","",IFERROR(INDEX(T_INGRESO,MATCH(C1291,T_ID,0)),""))</f>
        <v/>
      </c>
      <c r="T1291" s="75" t="str">
        <f aca="false">IF(P1291="","",IFERROR(N(INDEX(T_EGRESO,MATCH(C1291,T_ID,0))),0))</f>
        <v/>
      </c>
      <c r="U1291" s="73" t="str">
        <f aca="false">IF(OR(P1291="",NOT(ISNUMBER(S1291))),"",IF(OR(S1291&gt;EOMONTH(B1291,0),AND(T1291&gt;0,T1291&lt;B1291)),0,IF(AND(S1291&lt;=B1291,OR(T1291=0,T1291&gt;=EOMONTH(B1291,0))),30,MIN(30,IF(T1291=0,EOMONTH(B1291,0),MIN(T1291,EOMONTH(B1291,0)))-MAX(B1291,S1291)+1))))</f>
        <v/>
      </c>
    </row>
    <row r="1292" customFormat="false" ht="15" hidden="false" customHeight="false" outlineLevel="0" collapsed="false">
      <c r="B1292" s="78"/>
      <c r="C1292" s="64"/>
      <c r="D1292" s="70" t="str">
        <f aca="false">IF(C1292="","",IFERROR(INDEX(T_NOMBRE,MATCH(C1292,T_ID,0)),"⚠ ID no existe"))</f>
        <v/>
      </c>
      <c r="E1292" s="69"/>
      <c r="F1292" s="69"/>
      <c r="G1292" s="69"/>
      <c r="H1292" s="69"/>
      <c r="I1292" s="66"/>
      <c r="J1292" s="69"/>
      <c r="K1292" s="67"/>
      <c r="L1292" s="67"/>
      <c r="M1292" s="67"/>
      <c r="N1292" s="67"/>
      <c r="O1292" s="64"/>
      <c r="P1292" s="72" t="str">
        <f aca="false">IF(OR(B1292="",C1292=""),"",C1292&amp;"|"&amp;(YEAR(B1292)*100+MONTH(B1292)))</f>
        <v/>
      </c>
      <c r="Q1292" s="70" t="str">
        <f aca="false">IF(P1292="","",IF(COUNTIF(N_CLAVE,P1292)&gt;1,"⚠ Duplicado","OK"))</f>
        <v/>
      </c>
      <c r="R1292" s="74" t="str">
        <f aca="false">IF(OR(P1292="",U1292=""),"",MAX(0,U1292-N(E1292)-N(F1292)-N(H1292)))</f>
        <v/>
      </c>
      <c r="S1292" s="75" t="str">
        <f aca="false">IF(P1292="","",IFERROR(INDEX(T_INGRESO,MATCH(C1292,T_ID,0)),""))</f>
        <v/>
      </c>
      <c r="T1292" s="75" t="str">
        <f aca="false">IF(P1292="","",IFERROR(N(INDEX(T_EGRESO,MATCH(C1292,T_ID,0))),0))</f>
        <v/>
      </c>
      <c r="U1292" s="73" t="str">
        <f aca="false">IF(OR(P1292="",NOT(ISNUMBER(S1292))),"",IF(OR(S1292&gt;EOMONTH(B1292,0),AND(T1292&gt;0,T1292&lt;B1292)),0,IF(AND(S1292&lt;=B1292,OR(T1292=0,T1292&gt;=EOMONTH(B1292,0))),30,MIN(30,IF(T1292=0,EOMONTH(B1292,0),MIN(T1292,EOMONTH(B1292,0)))-MAX(B1292,S1292)+1))))</f>
        <v/>
      </c>
    </row>
    <row r="1293" customFormat="false" ht="15" hidden="false" customHeight="false" outlineLevel="0" collapsed="false">
      <c r="B1293" s="78"/>
      <c r="C1293" s="64"/>
      <c r="D1293" s="70" t="str">
        <f aca="false">IF(C1293="","",IFERROR(INDEX(T_NOMBRE,MATCH(C1293,T_ID,0)),"⚠ ID no existe"))</f>
        <v/>
      </c>
      <c r="E1293" s="69"/>
      <c r="F1293" s="69"/>
      <c r="G1293" s="69"/>
      <c r="H1293" s="69"/>
      <c r="I1293" s="66"/>
      <c r="J1293" s="69"/>
      <c r="K1293" s="67"/>
      <c r="L1293" s="67"/>
      <c r="M1293" s="67"/>
      <c r="N1293" s="67"/>
      <c r="O1293" s="64"/>
      <c r="P1293" s="72" t="str">
        <f aca="false">IF(OR(B1293="",C1293=""),"",C1293&amp;"|"&amp;(YEAR(B1293)*100+MONTH(B1293)))</f>
        <v/>
      </c>
      <c r="Q1293" s="70" t="str">
        <f aca="false">IF(P1293="","",IF(COUNTIF(N_CLAVE,P1293)&gt;1,"⚠ Duplicado","OK"))</f>
        <v/>
      </c>
      <c r="R1293" s="74" t="str">
        <f aca="false">IF(OR(P1293="",U1293=""),"",MAX(0,U1293-N(E1293)-N(F1293)-N(H1293)))</f>
        <v/>
      </c>
      <c r="S1293" s="75" t="str">
        <f aca="false">IF(P1293="","",IFERROR(INDEX(T_INGRESO,MATCH(C1293,T_ID,0)),""))</f>
        <v/>
      </c>
      <c r="T1293" s="75" t="str">
        <f aca="false">IF(P1293="","",IFERROR(N(INDEX(T_EGRESO,MATCH(C1293,T_ID,0))),0))</f>
        <v/>
      </c>
      <c r="U1293" s="73" t="str">
        <f aca="false">IF(OR(P1293="",NOT(ISNUMBER(S1293))),"",IF(OR(S1293&gt;EOMONTH(B1293,0),AND(T1293&gt;0,T1293&lt;B1293)),0,IF(AND(S1293&lt;=B1293,OR(T1293=0,T1293&gt;=EOMONTH(B1293,0))),30,MIN(30,IF(T1293=0,EOMONTH(B1293,0),MIN(T1293,EOMONTH(B1293,0)))-MAX(B1293,S1293)+1))))</f>
        <v/>
      </c>
    </row>
    <row r="1294" customFormat="false" ht="15" hidden="false" customHeight="false" outlineLevel="0" collapsed="false">
      <c r="B1294" s="78"/>
      <c r="C1294" s="64"/>
      <c r="D1294" s="70" t="str">
        <f aca="false">IF(C1294="","",IFERROR(INDEX(T_NOMBRE,MATCH(C1294,T_ID,0)),"⚠ ID no existe"))</f>
        <v/>
      </c>
      <c r="E1294" s="69"/>
      <c r="F1294" s="69"/>
      <c r="G1294" s="69"/>
      <c r="H1294" s="69"/>
      <c r="I1294" s="66"/>
      <c r="J1294" s="69"/>
      <c r="K1294" s="67"/>
      <c r="L1294" s="67"/>
      <c r="M1294" s="67"/>
      <c r="N1294" s="67"/>
      <c r="O1294" s="64"/>
      <c r="P1294" s="72" t="str">
        <f aca="false">IF(OR(B1294="",C1294=""),"",C1294&amp;"|"&amp;(YEAR(B1294)*100+MONTH(B1294)))</f>
        <v/>
      </c>
      <c r="Q1294" s="70" t="str">
        <f aca="false">IF(P1294="","",IF(COUNTIF(N_CLAVE,P1294)&gt;1,"⚠ Duplicado","OK"))</f>
        <v/>
      </c>
      <c r="R1294" s="74" t="str">
        <f aca="false">IF(OR(P1294="",U1294=""),"",MAX(0,U1294-N(E1294)-N(F1294)-N(H1294)))</f>
        <v/>
      </c>
      <c r="S1294" s="75" t="str">
        <f aca="false">IF(P1294="","",IFERROR(INDEX(T_INGRESO,MATCH(C1294,T_ID,0)),""))</f>
        <v/>
      </c>
      <c r="T1294" s="75" t="str">
        <f aca="false">IF(P1294="","",IFERROR(N(INDEX(T_EGRESO,MATCH(C1294,T_ID,0))),0))</f>
        <v/>
      </c>
      <c r="U1294" s="73" t="str">
        <f aca="false">IF(OR(P1294="",NOT(ISNUMBER(S1294))),"",IF(OR(S1294&gt;EOMONTH(B1294,0),AND(T1294&gt;0,T1294&lt;B1294)),0,IF(AND(S1294&lt;=B1294,OR(T1294=0,T1294&gt;=EOMONTH(B1294,0))),30,MIN(30,IF(T1294=0,EOMONTH(B1294,0),MIN(T1294,EOMONTH(B1294,0)))-MAX(B1294,S1294)+1))))</f>
        <v/>
      </c>
    </row>
    <row r="1295" customFormat="false" ht="15" hidden="false" customHeight="false" outlineLevel="0" collapsed="false">
      <c r="B1295" s="78"/>
      <c r="C1295" s="64"/>
      <c r="D1295" s="70" t="str">
        <f aca="false">IF(C1295="","",IFERROR(INDEX(T_NOMBRE,MATCH(C1295,T_ID,0)),"⚠ ID no existe"))</f>
        <v/>
      </c>
      <c r="E1295" s="69"/>
      <c r="F1295" s="69"/>
      <c r="G1295" s="69"/>
      <c r="H1295" s="69"/>
      <c r="I1295" s="66"/>
      <c r="J1295" s="69"/>
      <c r="K1295" s="67"/>
      <c r="L1295" s="67"/>
      <c r="M1295" s="67"/>
      <c r="N1295" s="67"/>
      <c r="O1295" s="64"/>
      <c r="P1295" s="72" t="str">
        <f aca="false">IF(OR(B1295="",C1295=""),"",C1295&amp;"|"&amp;(YEAR(B1295)*100+MONTH(B1295)))</f>
        <v/>
      </c>
      <c r="Q1295" s="70" t="str">
        <f aca="false">IF(P1295="","",IF(COUNTIF(N_CLAVE,P1295)&gt;1,"⚠ Duplicado","OK"))</f>
        <v/>
      </c>
      <c r="R1295" s="74" t="str">
        <f aca="false">IF(OR(P1295="",U1295=""),"",MAX(0,U1295-N(E1295)-N(F1295)-N(H1295)))</f>
        <v/>
      </c>
      <c r="S1295" s="75" t="str">
        <f aca="false">IF(P1295="","",IFERROR(INDEX(T_INGRESO,MATCH(C1295,T_ID,0)),""))</f>
        <v/>
      </c>
      <c r="T1295" s="75" t="str">
        <f aca="false">IF(P1295="","",IFERROR(N(INDEX(T_EGRESO,MATCH(C1295,T_ID,0))),0))</f>
        <v/>
      </c>
      <c r="U1295" s="73" t="str">
        <f aca="false">IF(OR(P1295="",NOT(ISNUMBER(S1295))),"",IF(OR(S1295&gt;EOMONTH(B1295,0),AND(T1295&gt;0,T1295&lt;B1295)),0,IF(AND(S1295&lt;=B1295,OR(T1295=0,T1295&gt;=EOMONTH(B1295,0))),30,MIN(30,IF(T1295=0,EOMONTH(B1295,0),MIN(T1295,EOMONTH(B1295,0)))-MAX(B1295,S1295)+1))))</f>
        <v/>
      </c>
    </row>
    <row r="1296" customFormat="false" ht="15" hidden="false" customHeight="false" outlineLevel="0" collapsed="false">
      <c r="B1296" s="78"/>
      <c r="C1296" s="64"/>
      <c r="D1296" s="70" t="str">
        <f aca="false">IF(C1296="","",IFERROR(INDEX(T_NOMBRE,MATCH(C1296,T_ID,0)),"⚠ ID no existe"))</f>
        <v/>
      </c>
      <c r="E1296" s="69"/>
      <c r="F1296" s="69"/>
      <c r="G1296" s="69"/>
      <c r="H1296" s="69"/>
      <c r="I1296" s="66"/>
      <c r="J1296" s="69"/>
      <c r="K1296" s="67"/>
      <c r="L1296" s="67"/>
      <c r="M1296" s="67"/>
      <c r="N1296" s="67"/>
      <c r="O1296" s="64"/>
      <c r="P1296" s="72" t="str">
        <f aca="false">IF(OR(B1296="",C1296=""),"",C1296&amp;"|"&amp;(YEAR(B1296)*100+MONTH(B1296)))</f>
        <v/>
      </c>
      <c r="Q1296" s="70" t="str">
        <f aca="false">IF(P1296="","",IF(COUNTIF(N_CLAVE,P1296)&gt;1,"⚠ Duplicado","OK"))</f>
        <v/>
      </c>
      <c r="R1296" s="74" t="str">
        <f aca="false">IF(OR(P1296="",U1296=""),"",MAX(0,U1296-N(E1296)-N(F1296)-N(H1296)))</f>
        <v/>
      </c>
      <c r="S1296" s="75" t="str">
        <f aca="false">IF(P1296="","",IFERROR(INDEX(T_INGRESO,MATCH(C1296,T_ID,0)),""))</f>
        <v/>
      </c>
      <c r="T1296" s="75" t="str">
        <f aca="false">IF(P1296="","",IFERROR(N(INDEX(T_EGRESO,MATCH(C1296,T_ID,0))),0))</f>
        <v/>
      </c>
      <c r="U1296" s="73" t="str">
        <f aca="false">IF(OR(P1296="",NOT(ISNUMBER(S1296))),"",IF(OR(S1296&gt;EOMONTH(B1296,0),AND(T1296&gt;0,T1296&lt;B1296)),0,IF(AND(S1296&lt;=B1296,OR(T1296=0,T1296&gt;=EOMONTH(B1296,0))),30,MIN(30,IF(T1296=0,EOMONTH(B1296,0),MIN(T1296,EOMONTH(B1296,0)))-MAX(B1296,S1296)+1))))</f>
        <v/>
      </c>
    </row>
    <row r="1297" customFormat="false" ht="15" hidden="false" customHeight="false" outlineLevel="0" collapsed="false">
      <c r="B1297" s="78"/>
      <c r="C1297" s="64"/>
      <c r="D1297" s="70" t="str">
        <f aca="false">IF(C1297="","",IFERROR(INDEX(T_NOMBRE,MATCH(C1297,T_ID,0)),"⚠ ID no existe"))</f>
        <v/>
      </c>
      <c r="E1297" s="69"/>
      <c r="F1297" s="69"/>
      <c r="G1297" s="69"/>
      <c r="H1297" s="69"/>
      <c r="I1297" s="66"/>
      <c r="J1297" s="69"/>
      <c r="K1297" s="67"/>
      <c r="L1297" s="67"/>
      <c r="M1297" s="67"/>
      <c r="N1297" s="67"/>
      <c r="O1297" s="64"/>
      <c r="P1297" s="72" t="str">
        <f aca="false">IF(OR(B1297="",C1297=""),"",C1297&amp;"|"&amp;(YEAR(B1297)*100+MONTH(B1297)))</f>
        <v/>
      </c>
      <c r="Q1297" s="70" t="str">
        <f aca="false">IF(P1297="","",IF(COUNTIF(N_CLAVE,P1297)&gt;1,"⚠ Duplicado","OK"))</f>
        <v/>
      </c>
      <c r="R1297" s="74" t="str">
        <f aca="false">IF(OR(P1297="",U1297=""),"",MAX(0,U1297-N(E1297)-N(F1297)-N(H1297)))</f>
        <v/>
      </c>
      <c r="S1297" s="75" t="str">
        <f aca="false">IF(P1297="","",IFERROR(INDEX(T_INGRESO,MATCH(C1297,T_ID,0)),""))</f>
        <v/>
      </c>
      <c r="T1297" s="75" t="str">
        <f aca="false">IF(P1297="","",IFERROR(N(INDEX(T_EGRESO,MATCH(C1297,T_ID,0))),0))</f>
        <v/>
      </c>
      <c r="U1297" s="73" t="str">
        <f aca="false">IF(OR(P1297="",NOT(ISNUMBER(S1297))),"",IF(OR(S1297&gt;EOMONTH(B1297,0),AND(T1297&gt;0,T1297&lt;B1297)),0,IF(AND(S1297&lt;=B1297,OR(T1297=0,T1297&gt;=EOMONTH(B1297,0))),30,MIN(30,IF(T1297=0,EOMONTH(B1297,0),MIN(T1297,EOMONTH(B1297,0)))-MAX(B1297,S1297)+1))))</f>
        <v/>
      </c>
    </row>
    <row r="1298" customFormat="false" ht="15" hidden="false" customHeight="false" outlineLevel="0" collapsed="false">
      <c r="B1298" s="78"/>
      <c r="C1298" s="64"/>
      <c r="D1298" s="70" t="str">
        <f aca="false">IF(C1298="","",IFERROR(INDEX(T_NOMBRE,MATCH(C1298,T_ID,0)),"⚠ ID no existe"))</f>
        <v/>
      </c>
      <c r="E1298" s="69"/>
      <c r="F1298" s="69"/>
      <c r="G1298" s="69"/>
      <c r="H1298" s="69"/>
      <c r="I1298" s="66"/>
      <c r="J1298" s="69"/>
      <c r="K1298" s="67"/>
      <c r="L1298" s="67"/>
      <c r="M1298" s="67"/>
      <c r="N1298" s="67"/>
      <c r="O1298" s="64"/>
      <c r="P1298" s="72" t="str">
        <f aca="false">IF(OR(B1298="",C1298=""),"",C1298&amp;"|"&amp;(YEAR(B1298)*100+MONTH(B1298)))</f>
        <v/>
      </c>
      <c r="Q1298" s="70" t="str">
        <f aca="false">IF(P1298="","",IF(COUNTIF(N_CLAVE,P1298)&gt;1,"⚠ Duplicado","OK"))</f>
        <v/>
      </c>
      <c r="R1298" s="74" t="str">
        <f aca="false">IF(OR(P1298="",U1298=""),"",MAX(0,U1298-N(E1298)-N(F1298)-N(H1298)))</f>
        <v/>
      </c>
      <c r="S1298" s="75" t="str">
        <f aca="false">IF(P1298="","",IFERROR(INDEX(T_INGRESO,MATCH(C1298,T_ID,0)),""))</f>
        <v/>
      </c>
      <c r="T1298" s="75" t="str">
        <f aca="false">IF(P1298="","",IFERROR(N(INDEX(T_EGRESO,MATCH(C1298,T_ID,0))),0))</f>
        <v/>
      </c>
      <c r="U1298" s="73" t="str">
        <f aca="false">IF(OR(P1298="",NOT(ISNUMBER(S1298))),"",IF(OR(S1298&gt;EOMONTH(B1298,0),AND(T1298&gt;0,T1298&lt;B1298)),0,IF(AND(S1298&lt;=B1298,OR(T1298=0,T1298&gt;=EOMONTH(B1298,0))),30,MIN(30,IF(T1298=0,EOMONTH(B1298,0),MIN(T1298,EOMONTH(B1298,0)))-MAX(B1298,S1298)+1))))</f>
        <v/>
      </c>
    </row>
    <row r="1299" customFormat="false" ht="15" hidden="false" customHeight="false" outlineLevel="0" collapsed="false">
      <c r="B1299" s="78"/>
      <c r="C1299" s="64"/>
      <c r="D1299" s="70" t="str">
        <f aca="false">IF(C1299="","",IFERROR(INDEX(T_NOMBRE,MATCH(C1299,T_ID,0)),"⚠ ID no existe"))</f>
        <v/>
      </c>
      <c r="E1299" s="69"/>
      <c r="F1299" s="69"/>
      <c r="G1299" s="69"/>
      <c r="H1299" s="69"/>
      <c r="I1299" s="66"/>
      <c r="J1299" s="69"/>
      <c r="K1299" s="67"/>
      <c r="L1299" s="67"/>
      <c r="M1299" s="67"/>
      <c r="N1299" s="67"/>
      <c r="O1299" s="64"/>
      <c r="P1299" s="72" t="str">
        <f aca="false">IF(OR(B1299="",C1299=""),"",C1299&amp;"|"&amp;(YEAR(B1299)*100+MONTH(B1299)))</f>
        <v/>
      </c>
      <c r="Q1299" s="70" t="str">
        <f aca="false">IF(P1299="","",IF(COUNTIF(N_CLAVE,P1299)&gt;1,"⚠ Duplicado","OK"))</f>
        <v/>
      </c>
      <c r="R1299" s="74" t="str">
        <f aca="false">IF(OR(P1299="",U1299=""),"",MAX(0,U1299-N(E1299)-N(F1299)-N(H1299)))</f>
        <v/>
      </c>
      <c r="S1299" s="75" t="str">
        <f aca="false">IF(P1299="","",IFERROR(INDEX(T_INGRESO,MATCH(C1299,T_ID,0)),""))</f>
        <v/>
      </c>
      <c r="T1299" s="75" t="str">
        <f aca="false">IF(P1299="","",IFERROR(N(INDEX(T_EGRESO,MATCH(C1299,T_ID,0))),0))</f>
        <v/>
      </c>
      <c r="U1299" s="73" t="str">
        <f aca="false">IF(OR(P1299="",NOT(ISNUMBER(S1299))),"",IF(OR(S1299&gt;EOMONTH(B1299,0),AND(T1299&gt;0,T1299&lt;B1299)),0,IF(AND(S1299&lt;=B1299,OR(T1299=0,T1299&gt;=EOMONTH(B1299,0))),30,MIN(30,IF(T1299=0,EOMONTH(B1299,0),MIN(T1299,EOMONTH(B1299,0)))-MAX(B1299,S1299)+1))))</f>
        <v/>
      </c>
    </row>
    <row r="1300" customFormat="false" ht="15" hidden="false" customHeight="false" outlineLevel="0" collapsed="false">
      <c r="B1300" s="78"/>
      <c r="C1300" s="64"/>
      <c r="D1300" s="70" t="str">
        <f aca="false">IF(C1300="","",IFERROR(INDEX(T_NOMBRE,MATCH(C1300,T_ID,0)),"⚠ ID no existe"))</f>
        <v/>
      </c>
      <c r="E1300" s="69"/>
      <c r="F1300" s="69"/>
      <c r="G1300" s="69"/>
      <c r="H1300" s="69"/>
      <c r="I1300" s="66"/>
      <c r="J1300" s="69"/>
      <c r="K1300" s="67"/>
      <c r="L1300" s="67"/>
      <c r="M1300" s="67"/>
      <c r="N1300" s="67"/>
      <c r="O1300" s="64"/>
      <c r="P1300" s="72" t="str">
        <f aca="false">IF(OR(B1300="",C1300=""),"",C1300&amp;"|"&amp;(YEAR(B1300)*100+MONTH(B1300)))</f>
        <v/>
      </c>
      <c r="Q1300" s="70" t="str">
        <f aca="false">IF(P1300="","",IF(COUNTIF(N_CLAVE,P1300)&gt;1,"⚠ Duplicado","OK"))</f>
        <v/>
      </c>
      <c r="R1300" s="74" t="str">
        <f aca="false">IF(OR(P1300="",U1300=""),"",MAX(0,U1300-N(E1300)-N(F1300)-N(H1300)))</f>
        <v/>
      </c>
      <c r="S1300" s="75" t="str">
        <f aca="false">IF(P1300="","",IFERROR(INDEX(T_INGRESO,MATCH(C1300,T_ID,0)),""))</f>
        <v/>
      </c>
      <c r="T1300" s="75" t="str">
        <f aca="false">IF(P1300="","",IFERROR(N(INDEX(T_EGRESO,MATCH(C1300,T_ID,0))),0))</f>
        <v/>
      </c>
      <c r="U1300" s="73" t="str">
        <f aca="false">IF(OR(P1300="",NOT(ISNUMBER(S1300))),"",IF(OR(S1300&gt;EOMONTH(B1300,0),AND(T1300&gt;0,T1300&lt;B1300)),0,IF(AND(S1300&lt;=B1300,OR(T1300=0,T1300&gt;=EOMONTH(B1300,0))),30,MIN(30,IF(T1300=0,EOMONTH(B1300,0),MIN(T1300,EOMONTH(B1300,0)))-MAX(B1300,S1300)+1))))</f>
        <v/>
      </c>
    </row>
    <row r="1301" customFormat="false" ht="15" hidden="false" customHeight="false" outlineLevel="0" collapsed="false">
      <c r="B1301" s="78"/>
      <c r="C1301" s="64"/>
      <c r="D1301" s="70" t="str">
        <f aca="false">IF(C1301="","",IFERROR(INDEX(T_NOMBRE,MATCH(C1301,T_ID,0)),"⚠ ID no existe"))</f>
        <v/>
      </c>
      <c r="E1301" s="69"/>
      <c r="F1301" s="69"/>
      <c r="G1301" s="69"/>
      <c r="H1301" s="69"/>
      <c r="I1301" s="66"/>
      <c r="J1301" s="69"/>
      <c r="K1301" s="67"/>
      <c r="L1301" s="67"/>
      <c r="M1301" s="67"/>
      <c r="N1301" s="67"/>
      <c r="O1301" s="64"/>
      <c r="P1301" s="72" t="str">
        <f aca="false">IF(OR(B1301="",C1301=""),"",C1301&amp;"|"&amp;(YEAR(B1301)*100+MONTH(B1301)))</f>
        <v/>
      </c>
      <c r="Q1301" s="70" t="str">
        <f aca="false">IF(P1301="","",IF(COUNTIF(N_CLAVE,P1301)&gt;1,"⚠ Duplicado","OK"))</f>
        <v/>
      </c>
      <c r="R1301" s="74" t="str">
        <f aca="false">IF(OR(P1301="",U1301=""),"",MAX(0,U1301-N(E1301)-N(F1301)-N(H1301)))</f>
        <v/>
      </c>
      <c r="S1301" s="75" t="str">
        <f aca="false">IF(P1301="","",IFERROR(INDEX(T_INGRESO,MATCH(C1301,T_ID,0)),""))</f>
        <v/>
      </c>
      <c r="T1301" s="75" t="str">
        <f aca="false">IF(P1301="","",IFERROR(N(INDEX(T_EGRESO,MATCH(C1301,T_ID,0))),0))</f>
        <v/>
      </c>
      <c r="U1301" s="73" t="str">
        <f aca="false">IF(OR(P1301="",NOT(ISNUMBER(S1301))),"",IF(OR(S1301&gt;EOMONTH(B1301,0),AND(T1301&gt;0,T1301&lt;B1301)),0,IF(AND(S1301&lt;=B1301,OR(T1301=0,T1301&gt;=EOMONTH(B1301,0))),30,MIN(30,IF(T1301=0,EOMONTH(B1301,0),MIN(T1301,EOMONTH(B1301,0)))-MAX(B1301,S1301)+1))))</f>
        <v/>
      </c>
    </row>
    <row r="1302" customFormat="false" ht="15" hidden="false" customHeight="false" outlineLevel="0" collapsed="false">
      <c r="B1302" s="78"/>
      <c r="C1302" s="64"/>
      <c r="D1302" s="70" t="str">
        <f aca="false">IF(C1302="","",IFERROR(INDEX(T_NOMBRE,MATCH(C1302,T_ID,0)),"⚠ ID no existe"))</f>
        <v/>
      </c>
      <c r="E1302" s="69"/>
      <c r="F1302" s="69"/>
      <c r="G1302" s="69"/>
      <c r="H1302" s="69"/>
      <c r="I1302" s="66"/>
      <c r="J1302" s="69"/>
      <c r="K1302" s="67"/>
      <c r="L1302" s="67"/>
      <c r="M1302" s="67"/>
      <c r="N1302" s="67"/>
      <c r="O1302" s="64"/>
      <c r="P1302" s="72" t="str">
        <f aca="false">IF(OR(B1302="",C1302=""),"",C1302&amp;"|"&amp;(YEAR(B1302)*100+MONTH(B1302)))</f>
        <v/>
      </c>
      <c r="Q1302" s="70" t="str">
        <f aca="false">IF(P1302="","",IF(COUNTIF(N_CLAVE,P1302)&gt;1,"⚠ Duplicado","OK"))</f>
        <v/>
      </c>
      <c r="R1302" s="74" t="str">
        <f aca="false">IF(OR(P1302="",U1302=""),"",MAX(0,U1302-N(E1302)-N(F1302)-N(H1302)))</f>
        <v/>
      </c>
      <c r="S1302" s="75" t="str">
        <f aca="false">IF(P1302="","",IFERROR(INDEX(T_INGRESO,MATCH(C1302,T_ID,0)),""))</f>
        <v/>
      </c>
      <c r="T1302" s="75" t="str">
        <f aca="false">IF(P1302="","",IFERROR(N(INDEX(T_EGRESO,MATCH(C1302,T_ID,0))),0))</f>
        <v/>
      </c>
      <c r="U1302" s="73" t="str">
        <f aca="false">IF(OR(P1302="",NOT(ISNUMBER(S1302))),"",IF(OR(S1302&gt;EOMONTH(B1302,0),AND(T1302&gt;0,T1302&lt;B1302)),0,IF(AND(S1302&lt;=B1302,OR(T1302=0,T1302&gt;=EOMONTH(B1302,0))),30,MIN(30,IF(T1302=0,EOMONTH(B1302,0),MIN(T1302,EOMONTH(B1302,0)))-MAX(B1302,S1302)+1))))</f>
        <v/>
      </c>
    </row>
    <row r="1303" customFormat="false" ht="15" hidden="false" customHeight="false" outlineLevel="0" collapsed="false">
      <c r="B1303" s="78"/>
      <c r="C1303" s="64"/>
      <c r="D1303" s="70" t="str">
        <f aca="false">IF(C1303="","",IFERROR(INDEX(T_NOMBRE,MATCH(C1303,T_ID,0)),"⚠ ID no existe"))</f>
        <v/>
      </c>
      <c r="E1303" s="69"/>
      <c r="F1303" s="69"/>
      <c r="G1303" s="69"/>
      <c r="H1303" s="69"/>
      <c r="I1303" s="66"/>
      <c r="J1303" s="69"/>
      <c r="K1303" s="67"/>
      <c r="L1303" s="67"/>
      <c r="M1303" s="67"/>
      <c r="N1303" s="67"/>
      <c r="O1303" s="64"/>
      <c r="P1303" s="72" t="str">
        <f aca="false">IF(OR(B1303="",C1303=""),"",C1303&amp;"|"&amp;(YEAR(B1303)*100+MONTH(B1303)))</f>
        <v/>
      </c>
      <c r="Q1303" s="70" t="str">
        <f aca="false">IF(P1303="","",IF(COUNTIF(N_CLAVE,P1303)&gt;1,"⚠ Duplicado","OK"))</f>
        <v/>
      </c>
      <c r="R1303" s="74" t="str">
        <f aca="false">IF(OR(P1303="",U1303=""),"",MAX(0,U1303-N(E1303)-N(F1303)-N(H1303)))</f>
        <v/>
      </c>
      <c r="S1303" s="75" t="str">
        <f aca="false">IF(P1303="","",IFERROR(INDEX(T_INGRESO,MATCH(C1303,T_ID,0)),""))</f>
        <v/>
      </c>
      <c r="T1303" s="75" t="str">
        <f aca="false">IF(P1303="","",IFERROR(N(INDEX(T_EGRESO,MATCH(C1303,T_ID,0))),0))</f>
        <v/>
      </c>
      <c r="U1303" s="73" t="str">
        <f aca="false">IF(OR(P1303="",NOT(ISNUMBER(S1303))),"",IF(OR(S1303&gt;EOMONTH(B1303,0),AND(T1303&gt;0,T1303&lt;B1303)),0,IF(AND(S1303&lt;=B1303,OR(T1303=0,T1303&gt;=EOMONTH(B1303,0))),30,MIN(30,IF(T1303=0,EOMONTH(B1303,0),MIN(T1303,EOMONTH(B1303,0)))-MAX(B1303,S1303)+1))))</f>
        <v/>
      </c>
    </row>
    <row r="1304" customFormat="false" ht="15" hidden="false" customHeight="false" outlineLevel="0" collapsed="false">
      <c r="B1304" s="78"/>
      <c r="C1304" s="64"/>
      <c r="D1304" s="70" t="str">
        <f aca="false">IF(C1304="","",IFERROR(INDEX(T_NOMBRE,MATCH(C1304,T_ID,0)),"⚠ ID no existe"))</f>
        <v/>
      </c>
      <c r="E1304" s="69"/>
      <c r="F1304" s="69"/>
      <c r="G1304" s="69"/>
      <c r="H1304" s="69"/>
      <c r="I1304" s="66"/>
      <c r="J1304" s="69"/>
      <c r="K1304" s="67"/>
      <c r="L1304" s="67"/>
      <c r="M1304" s="67"/>
      <c r="N1304" s="67"/>
      <c r="O1304" s="64"/>
      <c r="P1304" s="72" t="str">
        <f aca="false">IF(OR(B1304="",C1304=""),"",C1304&amp;"|"&amp;(YEAR(B1304)*100+MONTH(B1304)))</f>
        <v/>
      </c>
      <c r="Q1304" s="70" t="str">
        <f aca="false">IF(P1304="","",IF(COUNTIF(N_CLAVE,P1304)&gt;1,"⚠ Duplicado","OK"))</f>
        <v/>
      </c>
      <c r="R1304" s="74" t="str">
        <f aca="false">IF(OR(P1304="",U1304=""),"",MAX(0,U1304-N(E1304)-N(F1304)-N(H1304)))</f>
        <v/>
      </c>
      <c r="S1304" s="75" t="str">
        <f aca="false">IF(P1304="","",IFERROR(INDEX(T_INGRESO,MATCH(C1304,T_ID,0)),""))</f>
        <v/>
      </c>
      <c r="T1304" s="75" t="str">
        <f aca="false">IF(P1304="","",IFERROR(N(INDEX(T_EGRESO,MATCH(C1304,T_ID,0))),0))</f>
        <v/>
      </c>
      <c r="U1304" s="73" t="str">
        <f aca="false">IF(OR(P1304="",NOT(ISNUMBER(S1304))),"",IF(OR(S1304&gt;EOMONTH(B1304,0),AND(T1304&gt;0,T1304&lt;B1304)),0,IF(AND(S1304&lt;=B1304,OR(T1304=0,T1304&gt;=EOMONTH(B1304,0))),30,MIN(30,IF(T1304=0,EOMONTH(B1304,0),MIN(T1304,EOMONTH(B1304,0)))-MAX(B1304,S1304)+1))))</f>
        <v/>
      </c>
    </row>
    <row r="1305" customFormat="false" ht="15" hidden="false" customHeight="false" outlineLevel="0" collapsed="false">
      <c r="B1305" s="78"/>
      <c r="C1305" s="64"/>
      <c r="D1305" s="70" t="str">
        <f aca="false">IF(C1305="","",IFERROR(INDEX(T_NOMBRE,MATCH(C1305,T_ID,0)),"⚠ ID no existe"))</f>
        <v/>
      </c>
      <c r="E1305" s="69"/>
      <c r="F1305" s="69"/>
      <c r="G1305" s="69"/>
      <c r="H1305" s="69"/>
      <c r="I1305" s="66"/>
      <c r="J1305" s="69"/>
      <c r="K1305" s="67"/>
      <c r="L1305" s="67"/>
      <c r="M1305" s="67"/>
      <c r="N1305" s="67"/>
      <c r="O1305" s="64"/>
      <c r="P1305" s="72" t="str">
        <f aca="false">IF(OR(B1305="",C1305=""),"",C1305&amp;"|"&amp;(YEAR(B1305)*100+MONTH(B1305)))</f>
        <v/>
      </c>
      <c r="Q1305" s="70" t="str">
        <f aca="false">IF(P1305="","",IF(COUNTIF(N_CLAVE,P1305)&gt;1,"⚠ Duplicado","OK"))</f>
        <v/>
      </c>
      <c r="R1305" s="74" t="str">
        <f aca="false">IF(OR(P1305="",U1305=""),"",MAX(0,U1305-N(E1305)-N(F1305)-N(H1305)))</f>
        <v/>
      </c>
      <c r="S1305" s="75" t="str">
        <f aca="false">IF(P1305="","",IFERROR(INDEX(T_INGRESO,MATCH(C1305,T_ID,0)),""))</f>
        <v/>
      </c>
      <c r="T1305" s="75" t="str">
        <f aca="false">IF(P1305="","",IFERROR(N(INDEX(T_EGRESO,MATCH(C1305,T_ID,0))),0))</f>
        <v/>
      </c>
      <c r="U1305" s="73" t="str">
        <f aca="false">IF(OR(P1305="",NOT(ISNUMBER(S1305))),"",IF(OR(S1305&gt;EOMONTH(B1305,0),AND(T1305&gt;0,T1305&lt;B1305)),0,IF(AND(S1305&lt;=B1305,OR(T1305=0,T1305&gt;=EOMONTH(B1305,0))),30,MIN(30,IF(T1305=0,EOMONTH(B1305,0),MIN(T1305,EOMONTH(B1305,0)))-MAX(B1305,S1305)+1))))</f>
        <v/>
      </c>
    </row>
    <row r="1306" customFormat="false" ht="15" hidden="false" customHeight="false" outlineLevel="0" collapsed="false">
      <c r="B1306" s="78"/>
      <c r="C1306" s="64"/>
      <c r="D1306" s="70" t="str">
        <f aca="false">IF(C1306="","",IFERROR(INDEX(T_NOMBRE,MATCH(C1306,T_ID,0)),"⚠ ID no existe"))</f>
        <v/>
      </c>
      <c r="E1306" s="69"/>
      <c r="F1306" s="69"/>
      <c r="G1306" s="69"/>
      <c r="H1306" s="69"/>
      <c r="I1306" s="66"/>
      <c r="J1306" s="69"/>
      <c r="K1306" s="67"/>
      <c r="L1306" s="67"/>
      <c r="M1306" s="67"/>
      <c r="N1306" s="67"/>
      <c r="O1306" s="64"/>
      <c r="P1306" s="72" t="str">
        <f aca="false">IF(OR(B1306="",C1306=""),"",C1306&amp;"|"&amp;(YEAR(B1306)*100+MONTH(B1306)))</f>
        <v/>
      </c>
      <c r="Q1306" s="70" t="str">
        <f aca="false">IF(P1306="","",IF(COUNTIF(N_CLAVE,P1306)&gt;1,"⚠ Duplicado","OK"))</f>
        <v/>
      </c>
      <c r="R1306" s="74" t="str">
        <f aca="false">IF(OR(P1306="",U1306=""),"",MAX(0,U1306-N(E1306)-N(F1306)-N(H1306)))</f>
        <v/>
      </c>
      <c r="S1306" s="75" t="str">
        <f aca="false">IF(P1306="","",IFERROR(INDEX(T_INGRESO,MATCH(C1306,T_ID,0)),""))</f>
        <v/>
      </c>
      <c r="T1306" s="75" t="str">
        <f aca="false">IF(P1306="","",IFERROR(N(INDEX(T_EGRESO,MATCH(C1306,T_ID,0))),0))</f>
        <v/>
      </c>
      <c r="U1306" s="73" t="str">
        <f aca="false">IF(OR(P1306="",NOT(ISNUMBER(S1306))),"",IF(OR(S1306&gt;EOMONTH(B1306,0),AND(T1306&gt;0,T1306&lt;B1306)),0,IF(AND(S1306&lt;=B1306,OR(T1306=0,T1306&gt;=EOMONTH(B1306,0))),30,MIN(30,IF(T1306=0,EOMONTH(B1306,0),MIN(T1306,EOMONTH(B1306,0)))-MAX(B1306,S1306)+1))))</f>
        <v/>
      </c>
    </row>
    <row r="1307" customFormat="false" ht="15" hidden="false" customHeight="false" outlineLevel="0" collapsed="false">
      <c r="B1307" s="78"/>
      <c r="C1307" s="64"/>
      <c r="D1307" s="70" t="str">
        <f aca="false">IF(C1307="","",IFERROR(INDEX(T_NOMBRE,MATCH(C1307,T_ID,0)),"⚠ ID no existe"))</f>
        <v/>
      </c>
      <c r="E1307" s="69"/>
      <c r="F1307" s="69"/>
      <c r="G1307" s="69"/>
      <c r="H1307" s="69"/>
      <c r="I1307" s="66"/>
      <c r="J1307" s="69"/>
      <c r="K1307" s="67"/>
      <c r="L1307" s="67"/>
      <c r="M1307" s="67"/>
      <c r="N1307" s="67"/>
      <c r="O1307" s="64"/>
      <c r="P1307" s="72" t="str">
        <f aca="false">IF(OR(B1307="",C1307=""),"",C1307&amp;"|"&amp;(YEAR(B1307)*100+MONTH(B1307)))</f>
        <v/>
      </c>
      <c r="Q1307" s="70" t="str">
        <f aca="false">IF(P1307="","",IF(COUNTIF(N_CLAVE,P1307)&gt;1,"⚠ Duplicado","OK"))</f>
        <v/>
      </c>
      <c r="R1307" s="74" t="str">
        <f aca="false">IF(OR(P1307="",U1307=""),"",MAX(0,U1307-N(E1307)-N(F1307)-N(H1307)))</f>
        <v/>
      </c>
      <c r="S1307" s="75" t="str">
        <f aca="false">IF(P1307="","",IFERROR(INDEX(T_INGRESO,MATCH(C1307,T_ID,0)),""))</f>
        <v/>
      </c>
      <c r="T1307" s="75" t="str">
        <f aca="false">IF(P1307="","",IFERROR(N(INDEX(T_EGRESO,MATCH(C1307,T_ID,0))),0))</f>
        <v/>
      </c>
      <c r="U1307" s="73" t="str">
        <f aca="false">IF(OR(P1307="",NOT(ISNUMBER(S1307))),"",IF(OR(S1307&gt;EOMONTH(B1307,0),AND(T1307&gt;0,T1307&lt;B1307)),0,IF(AND(S1307&lt;=B1307,OR(T1307=0,T1307&gt;=EOMONTH(B1307,0))),30,MIN(30,IF(T1307=0,EOMONTH(B1307,0),MIN(T1307,EOMONTH(B1307,0)))-MAX(B1307,S1307)+1))))</f>
        <v/>
      </c>
    </row>
    <row r="1308" customFormat="false" ht="15" hidden="false" customHeight="false" outlineLevel="0" collapsed="false">
      <c r="B1308" s="78"/>
      <c r="C1308" s="64"/>
      <c r="D1308" s="70" t="str">
        <f aca="false">IF(C1308="","",IFERROR(INDEX(T_NOMBRE,MATCH(C1308,T_ID,0)),"⚠ ID no existe"))</f>
        <v/>
      </c>
      <c r="E1308" s="69"/>
      <c r="F1308" s="69"/>
      <c r="G1308" s="69"/>
      <c r="H1308" s="69"/>
      <c r="I1308" s="66"/>
      <c r="J1308" s="69"/>
      <c r="K1308" s="67"/>
      <c r="L1308" s="67"/>
      <c r="M1308" s="67"/>
      <c r="N1308" s="67"/>
      <c r="O1308" s="64"/>
      <c r="P1308" s="72" t="str">
        <f aca="false">IF(OR(B1308="",C1308=""),"",C1308&amp;"|"&amp;(YEAR(B1308)*100+MONTH(B1308)))</f>
        <v/>
      </c>
      <c r="Q1308" s="70" t="str">
        <f aca="false">IF(P1308="","",IF(COUNTIF(N_CLAVE,P1308)&gt;1,"⚠ Duplicado","OK"))</f>
        <v/>
      </c>
      <c r="R1308" s="74" t="str">
        <f aca="false">IF(OR(P1308="",U1308=""),"",MAX(0,U1308-N(E1308)-N(F1308)-N(H1308)))</f>
        <v/>
      </c>
      <c r="S1308" s="75" t="str">
        <f aca="false">IF(P1308="","",IFERROR(INDEX(T_INGRESO,MATCH(C1308,T_ID,0)),""))</f>
        <v/>
      </c>
      <c r="T1308" s="75" t="str">
        <f aca="false">IF(P1308="","",IFERROR(N(INDEX(T_EGRESO,MATCH(C1308,T_ID,0))),0))</f>
        <v/>
      </c>
      <c r="U1308" s="73" t="str">
        <f aca="false">IF(OR(P1308="",NOT(ISNUMBER(S1308))),"",IF(OR(S1308&gt;EOMONTH(B1308,0),AND(T1308&gt;0,T1308&lt;B1308)),0,IF(AND(S1308&lt;=B1308,OR(T1308=0,T1308&gt;=EOMONTH(B1308,0))),30,MIN(30,IF(T1308=0,EOMONTH(B1308,0),MIN(T1308,EOMONTH(B1308,0)))-MAX(B1308,S1308)+1))))</f>
        <v/>
      </c>
    </row>
    <row r="1309" customFormat="false" ht="15" hidden="false" customHeight="false" outlineLevel="0" collapsed="false">
      <c r="B1309" s="78"/>
      <c r="C1309" s="64"/>
      <c r="D1309" s="70" t="str">
        <f aca="false">IF(C1309="","",IFERROR(INDEX(T_NOMBRE,MATCH(C1309,T_ID,0)),"⚠ ID no existe"))</f>
        <v/>
      </c>
      <c r="E1309" s="69"/>
      <c r="F1309" s="69"/>
      <c r="G1309" s="69"/>
      <c r="H1309" s="69"/>
      <c r="I1309" s="66"/>
      <c r="J1309" s="69"/>
      <c r="K1309" s="67"/>
      <c r="L1309" s="67"/>
      <c r="M1309" s="67"/>
      <c r="N1309" s="67"/>
      <c r="O1309" s="64"/>
      <c r="P1309" s="72" t="str">
        <f aca="false">IF(OR(B1309="",C1309=""),"",C1309&amp;"|"&amp;(YEAR(B1309)*100+MONTH(B1309)))</f>
        <v/>
      </c>
      <c r="Q1309" s="70" t="str">
        <f aca="false">IF(P1309="","",IF(COUNTIF(N_CLAVE,P1309)&gt;1,"⚠ Duplicado","OK"))</f>
        <v/>
      </c>
      <c r="R1309" s="74" t="str">
        <f aca="false">IF(OR(P1309="",U1309=""),"",MAX(0,U1309-N(E1309)-N(F1309)-N(H1309)))</f>
        <v/>
      </c>
      <c r="S1309" s="75" t="str">
        <f aca="false">IF(P1309="","",IFERROR(INDEX(T_INGRESO,MATCH(C1309,T_ID,0)),""))</f>
        <v/>
      </c>
      <c r="T1309" s="75" t="str">
        <f aca="false">IF(P1309="","",IFERROR(N(INDEX(T_EGRESO,MATCH(C1309,T_ID,0))),0))</f>
        <v/>
      </c>
      <c r="U1309" s="73" t="str">
        <f aca="false">IF(OR(P1309="",NOT(ISNUMBER(S1309))),"",IF(OR(S1309&gt;EOMONTH(B1309,0),AND(T1309&gt;0,T1309&lt;B1309)),0,IF(AND(S1309&lt;=B1309,OR(T1309=0,T1309&gt;=EOMONTH(B1309,0))),30,MIN(30,IF(T1309=0,EOMONTH(B1309,0),MIN(T1309,EOMONTH(B1309,0)))-MAX(B1309,S1309)+1))))</f>
        <v/>
      </c>
    </row>
    <row r="1310" customFormat="false" ht="15" hidden="false" customHeight="false" outlineLevel="0" collapsed="false">
      <c r="B1310" s="78"/>
      <c r="C1310" s="64"/>
      <c r="D1310" s="70" t="str">
        <f aca="false">IF(C1310="","",IFERROR(INDEX(T_NOMBRE,MATCH(C1310,T_ID,0)),"⚠ ID no existe"))</f>
        <v/>
      </c>
      <c r="E1310" s="69"/>
      <c r="F1310" s="69"/>
      <c r="G1310" s="69"/>
      <c r="H1310" s="69"/>
      <c r="I1310" s="66"/>
      <c r="J1310" s="69"/>
      <c r="K1310" s="67"/>
      <c r="L1310" s="67"/>
      <c r="M1310" s="67"/>
      <c r="N1310" s="67"/>
      <c r="O1310" s="64"/>
      <c r="P1310" s="72" t="str">
        <f aca="false">IF(OR(B1310="",C1310=""),"",C1310&amp;"|"&amp;(YEAR(B1310)*100+MONTH(B1310)))</f>
        <v/>
      </c>
      <c r="Q1310" s="70" t="str">
        <f aca="false">IF(P1310="","",IF(COUNTIF(N_CLAVE,P1310)&gt;1,"⚠ Duplicado","OK"))</f>
        <v/>
      </c>
      <c r="R1310" s="74" t="str">
        <f aca="false">IF(OR(P1310="",U1310=""),"",MAX(0,U1310-N(E1310)-N(F1310)-N(H1310)))</f>
        <v/>
      </c>
      <c r="S1310" s="75" t="str">
        <f aca="false">IF(P1310="","",IFERROR(INDEX(T_INGRESO,MATCH(C1310,T_ID,0)),""))</f>
        <v/>
      </c>
      <c r="T1310" s="75" t="str">
        <f aca="false">IF(P1310="","",IFERROR(N(INDEX(T_EGRESO,MATCH(C1310,T_ID,0))),0))</f>
        <v/>
      </c>
      <c r="U1310" s="73" t="str">
        <f aca="false">IF(OR(P1310="",NOT(ISNUMBER(S1310))),"",IF(OR(S1310&gt;EOMONTH(B1310,0),AND(T1310&gt;0,T1310&lt;B1310)),0,IF(AND(S1310&lt;=B1310,OR(T1310=0,T1310&gt;=EOMONTH(B1310,0))),30,MIN(30,IF(T1310=0,EOMONTH(B1310,0),MIN(T1310,EOMONTH(B1310,0)))-MAX(B1310,S1310)+1))))</f>
        <v/>
      </c>
    </row>
    <row r="1311" customFormat="false" ht="15" hidden="false" customHeight="false" outlineLevel="0" collapsed="false">
      <c r="B1311" s="78"/>
      <c r="C1311" s="64"/>
      <c r="D1311" s="70" t="str">
        <f aca="false">IF(C1311="","",IFERROR(INDEX(T_NOMBRE,MATCH(C1311,T_ID,0)),"⚠ ID no existe"))</f>
        <v/>
      </c>
      <c r="E1311" s="69"/>
      <c r="F1311" s="69"/>
      <c r="G1311" s="69"/>
      <c r="H1311" s="69"/>
      <c r="I1311" s="66"/>
      <c r="J1311" s="69"/>
      <c r="K1311" s="67"/>
      <c r="L1311" s="67"/>
      <c r="M1311" s="67"/>
      <c r="N1311" s="67"/>
      <c r="O1311" s="64"/>
      <c r="P1311" s="72" t="str">
        <f aca="false">IF(OR(B1311="",C1311=""),"",C1311&amp;"|"&amp;(YEAR(B1311)*100+MONTH(B1311)))</f>
        <v/>
      </c>
      <c r="Q1311" s="70" t="str">
        <f aca="false">IF(P1311="","",IF(COUNTIF(N_CLAVE,P1311)&gt;1,"⚠ Duplicado","OK"))</f>
        <v/>
      </c>
      <c r="R1311" s="74" t="str">
        <f aca="false">IF(OR(P1311="",U1311=""),"",MAX(0,U1311-N(E1311)-N(F1311)-N(H1311)))</f>
        <v/>
      </c>
      <c r="S1311" s="75" t="str">
        <f aca="false">IF(P1311="","",IFERROR(INDEX(T_INGRESO,MATCH(C1311,T_ID,0)),""))</f>
        <v/>
      </c>
      <c r="T1311" s="75" t="str">
        <f aca="false">IF(P1311="","",IFERROR(N(INDEX(T_EGRESO,MATCH(C1311,T_ID,0))),0))</f>
        <v/>
      </c>
      <c r="U1311" s="73" t="str">
        <f aca="false">IF(OR(P1311="",NOT(ISNUMBER(S1311))),"",IF(OR(S1311&gt;EOMONTH(B1311,0),AND(T1311&gt;0,T1311&lt;B1311)),0,IF(AND(S1311&lt;=B1311,OR(T1311=0,T1311&gt;=EOMONTH(B1311,0))),30,MIN(30,IF(T1311=0,EOMONTH(B1311,0),MIN(T1311,EOMONTH(B1311,0)))-MAX(B1311,S1311)+1))))</f>
        <v/>
      </c>
    </row>
    <row r="1312" customFormat="false" ht="15" hidden="false" customHeight="false" outlineLevel="0" collapsed="false">
      <c r="B1312" s="78"/>
      <c r="C1312" s="64"/>
      <c r="D1312" s="70" t="str">
        <f aca="false">IF(C1312="","",IFERROR(INDEX(T_NOMBRE,MATCH(C1312,T_ID,0)),"⚠ ID no existe"))</f>
        <v/>
      </c>
      <c r="E1312" s="69"/>
      <c r="F1312" s="69"/>
      <c r="G1312" s="69"/>
      <c r="H1312" s="69"/>
      <c r="I1312" s="66"/>
      <c r="J1312" s="69"/>
      <c r="K1312" s="67"/>
      <c r="L1312" s="67"/>
      <c r="M1312" s="67"/>
      <c r="N1312" s="67"/>
      <c r="O1312" s="64"/>
      <c r="P1312" s="72" t="str">
        <f aca="false">IF(OR(B1312="",C1312=""),"",C1312&amp;"|"&amp;(YEAR(B1312)*100+MONTH(B1312)))</f>
        <v/>
      </c>
      <c r="Q1312" s="70" t="str">
        <f aca="false">IF(P1312="","",IF(COUNTIF(N_CLAVE,P1312)&gt;1,"⚠ Duplicado","OK"))</f>
        <v/>
      </c>
      <c r="R1312" s="74" t="str">
        <f aca="false">IF(OR(P1312="",U1312=""),"",MAX(0,U1312-N(E1312)-N(F1312)-N(H1312)))</f>
        <v/>
      </c>
      <c r="S1312" s="75" t="str">
        <f aca="false">IF(P1312="","",IFERROR(INDEX(T_INGRESO,MATCH(C1312,T_ID,0)),""))</f>
        <v/>
      </c>
      <c r="T1312" s="75" t="str">
        <f aca="false">IF(P1312="","",IFERROR(N(INDEX(T_EGRESO,MATCH(C1312,T_ID,0))),0))</f>
        <v/>
      </c>
      <c r="U1312" s="73" t="str">
        <f aca="false">IF(OR(P1312="",NOT(ISNUMBER(S1312))),"",IF(OR(S1312&gt;EOMONTH(B1312,0),AND(T1312&gt;0,T1312&lt;B1312)),0,IF(AND(S1312&lt;=B1312,OR(T1312=0,T1312&gt;=EOMONTH(B1312,0))),30,MIN(30,IF(T1312=0,EOMONTH(B1312,0),MIN(T1312,EOMONTH(B1312,0)))-MAX(B1312,S1312)+1))))</f>
        <v/>
      </c>
    </row>
    <row r="1313" customFormat="false" ht="15" hidden="false" customHeight="false" outlineLevel="0" collapsed="false">
      <c r="B1313" s="78"/>
      <c r="C1313" s="64"/>
      <c r="D1313" s="70" t="str">
        <f aca="false">IF(C1313="","",IFERROR(INDEX(T_NOMBRE,MATCH(C1313,T_ID,0)),"⚠ ID no existe"))</f>
        <v/>
      </c>
      <c r="E1313" s="69"/>
      <c r="F1313" s="69"/>
      <c r="G1313" s="69"/>
      <c r="H1313" s="69"/>
      <c r="I1313" s="66"/>
      <c r="J1313" s="69"/>
      <c r="K1313" s="67"/>
      <c r="L1313" s="67"/>
      <c r="M1313" s="67"/>
      <c r="N1313" s="67"/>
      <c r="O1313" s="64"/>
      <c r="P1313" s="72" t="str">
        <f aca="false">IF(OR(B1313="",C1313=""),"",C1313&amp;"|"&amp;(YEAR(B1313)*100+MONTH(B1313)))</f>
        <v/>
      </c>
      <c r="Q1313" s="70" t="str">
        <f aca="false">IF(P1313="","",IF(COUNTIF(N_CLAVE,P1313)&gt;1,"⚠ Duplicado","OK"))</f>
        <v/>
      </c>
      <c r="R1313" s="74" t="str">
        <f aca="false">IF(OR(P1313="",U1313=""),"",MAX(0,U1313-N(E1313)-N(F1313)-N(H1313)))</f>
        <v/>
      </c>
      <c r="S1313" s="75" t="str">
        <f aca="false">IF(P1313="","",IFERROR(INDEX(T_INGRESO,MATCH(C1313,T_ID,0)),""))</f>
        <v/>
      </c>
      <c r="T1313" s="75" t="str">
        <f aca="false">IF(P1313="","",IFERROR(N(INDEX(T_EGRESO,MATCH(C1313,T_ID,0))),0))</f>
        <v/>
      </c>
      <c r="U1313" s="73" t="str">
        <f aca="false">IF(OR(P1313="",NOT(ISNUMBER(S1313))),"",IF(OR(S1313&gt;EOMONTH(B1313,0),AND(T1313&gt;0,T1313&lt;B1313)),0,IF(AND(S1313&lt;=B1313,OR(T1313=0,T1313&gt;=EOMONTH(B1313,0))),30,MIN(30,IF(T1313=0,EOMONTH(B1313,0),MIN(T1313,EOMONTH(B1313,0)))-MAX(B1313,S1313)+1))))</f>
        <v/>
      </c>
    </row>
    <row r="1314" customFormat="false" ht="15" hidden="false" customHeight="false" outlineLevel="0" collapsed="false">
      <c r="B1314" s="78"/>
      <c r="C1314" s="64"/>
      <c r="D1314" s="70" t="str">
        <f aca="false">IF(C1314="","",IFERROR(INDEX(T_NOMBRE,MATCH(C1314,T_ID,0)),"⚠ ID no existe"))</f>
        <v/>
      </c>
      <c r="E1314" s="69"/>
      <c r="F1314" s="69"/>
      <c r="G1314" s="69"/>
      <c r="H1314" s="69"/>
      <c r="I1314" s="66"/>
      <c r="J1314" s="69"/>
      <c r="K1314" s="67"/>
      <c r="L1314" s="67"/>
      <c r="M1314" s="67"/>
      <c r="N1314" s="67"/>
      <c r="O1314" s="64"/>
      <c r="P1314" s="72" t="str">
        <f aca="false">IF(OR(B1314="",C1314=""),"",C1314&amp;"|"&amp;(YEAR(B1314)*100+MONTH(B1314)))</f>
        <v/>
      </c>
      <c r="Q1314" s="70" t="str">
        <f aca="false">IF(P1314="","",IF(COUNTIF(N_CLAVE,P1314)&gt;1,"⚠ Duplicado","OK"))</f>
        <v/>
      </c>
      <c r="R1314" s="74" t="str">
        <f aca="false">IF(OR(P1314="",U1314=""),"",MAX(0,U1314-N(E1314)-N(F1314)-N(H1314)))</f>
        <v/>
      </c>
      <c r="S1314" s="75" t="str">
        <f aca="false">IF(P1314="","",IFERROR(INDEX(T_INGRESO,MATCH(C1314,T_ID,0)),""))</f>
        <v/>
      </c>
      <c r="T1314" s="75" t="str">
        <f aca="false">IF(P1314="","",IFERROR(N(INDEX(T_EGRESO,MATCH(C1314,T_ID,0))),0))</f>
        <v/>
      </c>
      <c r="U1314" s="73" t="str">
        <f aca="false">IF(OR(P1314="",NOT(ISNUMBER(S1314))),"",IF(OR(S1314&gt;EOMONTH(B1314,0),AND(T1314&gt;0,T1314&lt;B1314)),0,IF(AND(S1314&lt;=B1314,OR(T1314=0,T1314&gt;=EOMONTH(B1314,0))),30,MIN(30,IF(T1314=0,EOMONTH(B1314,0),MIN(T1314,EOMONTH(B1314,0)))-MAX(B1314,S1314)+1))))</f>
        <v/>
      </c>
    </row>
    <row r="1315" customFormat="false" ht="15" hidden="false" customHeight="false" outlineLevel="0" collapsed="false">
      <c r="B1315" s="78"/>
      <c r="C1315" s="64"/>
      <c r="D1315" s="70" t="str">
        <f aca="false">IF(C1315="","",IFERROR(INDEX(T_NOMBRE,MATCH(C1315,T_ID,0)),"⚠ ID no existe"))</f>
        <v/>
      </c>
      <c r="E1315" s="69"/>
      <c r="F1315" s="69"/>
      <c r="G1315" s="69"/>
      <c r="H1315" s="69"/>
      <c r="I1315" s="66"/>
      <c r="J1315" s="69"/>
      <c r="K1315" s="67"/>
      <c r="L1315" s="67"/>
      <c r="M1315" s="67"/>
      <c r="N1315" s="67"/>
      <c r="O1315" s="64"/>
      <c r="P1315" s="72" t="str">
        <f aca="false">IF(OR(B1315="",C1315=""),"",C1315&amp;"|"&amp;(YEAR(B1315)*100+MONTH(B1315)))</f>
        <v/>
      </c>
      <c r="Q1315" s="70" t="str">
        <f aca="false">IF(P1315="","",IF(COUNTIF(N_CLAVE,P1315)&gt;1,"⚠ Duplicado","OK"))</f>
        <v/>
      </c>
      <c r="R1315" s="74" t="str">
        <f aca="false">IF(OR(P1315="",U1315=""),"",MAX(0,U1315-N(E1315)-N(F1315)-N(H1315)))</f>
        <v/>
      </c>
      <c r="S1315" s="75" t="str">
        <f aca="false">IF(P1315="","",IFERROR(INDEX(T_INGRESO,MATCH(C1315,T_ID,0)),""))</f>
        <v/>
      </c>
      <c r="T1315" s="75" t="str">
        <f aca="false">IF(P1315="","",IFERROR(N(INDEX(T_EGRESO,MATCH(C1315,T_ID,0))),0))</f>
        <v/>
      </c>
      <c r="U1315" s="73" t="str">
        <f aca="false">IF(OR(P1315="",NOT(ISNUMBER(S1315))),"",IF(OR(S1315&gt;EOMONTH(B1315,0),AND(T1315&gt;0,T1315&lt;B1315)),0,IF(AND(S1315&lt;=B1315,OR(T1315=0,T1315&gt;=EOMONTH(B1315,0))),30,MIN(30,IF(T1315=0,EOMONTH(B1315,0),MIN(T1315,EOMONTH(B1315,0)))-MAX(B1315,S1315)+1))))</f>
        <v/>
      </c>
    </row>
    <row r="1316" customFormat="false" ht="15" hidden="false" customHeight="false" outlineLevel="0" collapsed="false">
      <c r="B1316" s="78"/>
      <c r="C1316" s="64"/>
      <c r="D1316" s="70" t="str">
        <f aca="false">IF(C1316="","",IFERROR(INDEX(T_NOMBRE,MATCH(C1316,T_ID,0)),"⚠ ID no existe"))</f>
        <v/>
      </c>
      <c r="E1316" s="69"/>
      <c r="F1316" s="69"/>
      <c r="G1316" s="69"/>
      <c r="H1316" s="69"/>
      <c r="I1316" s="66"/>
      <c r="J1316" s="69"/>
      <c r="K1316" s="67"/>
      <c r="L1316" s="67"/>
      <c r="M1316" s="67"/>
      <c r="N1316" s="67"/>
      <c r="O1316" s="64"/>
      <c r="P1316" s="72" t="str">
        <f aca="false">IF(OR(B1316="",C1316=""),"",C1316&amp;"|"&amp;(YEAR(B1316)*100+MONTH(B1316)))</f>
        <v/>
      </c>
      <c r="Q1316" s="70" t="str">
        <f aca="false">IF(P1316="","",IF(COUNTIF(N_CLAVE,P1316)&gt;1,"⚠ Duplicado","OK"))</f>
        <v/>
      </c>
      <c r="R1316" s="74" t="str">
        <f aca="false">IF(OR(P1316="",U1316=""),"",MAX(0,U1316-N(E1316)-N(F1316)-N(H1316)))</f>
        <v/>
      </c>
      <c r="S1316" s="75" t="str">
        <f aca="false">IF(P1316="","",IFERROR(INDEX(T_INGRESO,MATCH(C1316,T_ID,0)),""))</f>
        <v/>
      </c>
      <c r="T1316" s="75" t="str">
        <f aca="false">IF(P1316="","",IFERROR(N(INDEX(T_EGRESO,MATCH(C1316,T_ID,0))),0))</f>
        <v/>
      </c>
      <c r="U1316" s="73" t="str">
        <f aca="false">IF(OR(P1316="",NOT(ISNUMBER(S1316))),"",IF(OR(S1316&gt;EOMONTH(B1316,0),AND(T1316&gt;0,T1316&lt;B1316)),0,IF(AND(S1316&lt;=B1316,OR(T1316=0,T1316&gt;=EOMONTH(B1316,0))),30,MIN(30,IF(T1316=0,EOMONTH(B1316,0),MIN(T1316,EOMONTH(B1316,0)))-MAX(B1316,S1316)+1))))</f>
        <v/>
      </c>
    </row>
    <row r="1317" customFormat="false" ht="15" hidden="false" customHeight="false" outlineLevel="0" collapsed="false">
      <c r="B1317" s="78"/>
      <c r="C1317" s="64"/>
      <c r="D1317" s="70" t="str">
        <f aca="false">IF(C1317="","",IFERROR(INDEX(T_NOMBRE,MATCH(C1317,T_ID,0)),"⚠ ID no existe"))</f>
        <v/>
      </c>
      <c r="E1317" s="69"/>
      <c r="F1317" s="69"/>
      <c r="G1317" s="69"/>
      <c r="H1317" s="69"/>
      <c r="I1317" s="66"/>
      <c r="J1317" s="69"/>
      <c r="K1317" s="67"/>
      <c r="L1317" s="67"/>
      <c r="M1317" s="67"/>
      <c r="N1317" s="67"/>
      <c r="O1317" s="64"/>
      <c r="P1317" s="72" t="str">
        <f aca="false">IF(OR(B1317="",C1317=""),"",C1317&amp;"|"&amp;(YEAR(B1317)*100+MONTH(B1317)))</f>
        <v/>
      </c>
      <c r="Q1317" s="70" t="str">
        <f aca="false">IF(P1317="","",IF(COUNTIF(N_CLAVE,P1317)&gt;1,"⚠ Duplicado","OK"))</f>
        <v/>
      </c>
      <c r="R1317" s="74" t="str">
        <f aca="false">IF(OR(P1317="",U1317=""),"",MAX(0,U1317-N(E1317)-N(F1317)-N(H1317)))</f>
        <v/>
      </c>
      <c r="S1317" s="75" t="str">
        <f aca="false">IF(P1317="","",IFERROR(INDEX(T_INGRESO,MATCH(C1317,T_ID,0)),""))</f>
        <v/>
      </c>
      <c r="T1317" s="75" t="str">
        <f aca="false">IF(P1317="","",IFERROR(N(INDEX(T_EGRESO,MATCH(C1317,T_ID,0))),0))</f>
        <v/>
      </c>
      <c r="U1317" s="73" t="str">
        <f aca="false">IF(OR(P1317="",NOT(ISNUMBER(S1317))),"",IF(OR(S1317&gt;EOMONTH(B1317,0),AND(T1317&gt;0,T1317&lt;B1317)),0,IF(AND(S1317&lt;=B1317,OR(T1317=0,T1317&gt;=EOMONTH(B1317,0))),30,MIN(30,IF(T1317=0,EOMONTH(B1317,0),MIN(T1317,EOMONTH(B1317,0)))-MAX(B1317,S1317)+1))))</f>
        <v/>
      </c>
    </row>
    <row r="1318" customFormat="false" ht="15" hidden="false" customHeight="false" outlineLevel="0" collapsed="false">
      <c r="B1318" s="78"/>
      <c r="C1318" s="64"/>
      <c r="D1318" s="70" t="str">
        <f aca="false">IF(C1318="","",IFERROR(INDEX(T_NOMBRE,MATCH(C1318,T_ID,0)),"⚠ ID no existe"))</f>
        <v/>
      </c>
      <c r="E1318" s="69"/>
      <c r="F1318" s="69"/>
      <c r="G1318" s="69"/>
      <c r="H1318" s="69"/>
      <c r="I1318" s="66"/>
      <c r="J1318" s="69"/>
      <c r="K1318" s="67"/>
      <c r="L1318" s="67"/>
      <c r="M1318" s="67"/>
      <c r="N1318" s="67"/>
      <c r="O1318" s="64"/>
      <c r="P1318" s="72" t="str">
        <f aca="false">IF(OR(B1318="",C1318=""),"",C1318&amp;"|"&amp;(YEAR(B1318)*100+MONTH(B1318)))</f>
        <v/>
      </c>
      <c r="Q1318" s="70" t="str">
        <f aca="false">IF(P1318="","",IF(COUNTIF(N_CLAVE,P1318)&gt;1,"⚠ Duplicado","OK"))</f>
        <v/>
      </c>
      <c r="R1318" s="74" t="str">
        <f aca="false">IF(OR(P1318="",U1318=""),"",MAX(0,U1318-N(E1318)-N(F1318)-N(H1318)))</f>
        <v/>
      </c>
      <c r="S1318" s="75" t="str">
        <f aca="false">IF(P1318="","",IFERROR(INDEX(T_INGRESO,MATCH(C1318,T_ID,0)),""))</f>
        <v/>
      </c>
      <c r="T1318" s="75" t="str">
        <f aca="false">IF(P1318="","",IFERROR(N(INDEX(T_EGRESO,MATCH(C1318,T_ID,0))),0))</f>
        <v/>
      </c>
      <c r="U1318" s="73" t="str">
        <f aca="false">IF(OR(P1318="",NOT(ISNUMBER(S1318))),"",IF(OR(S1318&gt;EOMONTH(B1318,0),AND(T1318&gt;0,T1318&lt;B1318)),0,IF(AND(S1318&lt;=B1318,OR(T1318=0,T1318&gt;=EOMONTH(B1318,0))),30,MIN(30,IF(T1318=0,EOMONTH(B1318,0),MIN(T1318,EOMONTH(B1318,0)))-MAX(B1318,S1318)+1))))</f>
        <v/>
      </c>
    </row>
    <row r="1319" customFormat="false" ht="15" hidden="false" customHeight="false" outlineLevel="0" collapsed="false">
      <c r="B1319" s="78"/>
      <c r="C1319" s="64"/>
      <c r="D1319" s="70" t="str">
        <f aca="false">IF(C1319="","",IFERROR(INDEX(T_NOMBRE,MATCH(C1319,T_ID,0)),"⚠ ID no existe"))</f>
        <v/>
      </c>
      <c r="E1319" s="69"/>
      <c r="F1319" s="69"/>
      <c r="G1319" s="69"/>
      <c r="H1319" s="69"/>
      <c r="I1319" s="66"/>
      <c r="J1319" s="69"/>
      <c r="K1319" s="67"/>
      <c r="L1319" s="67"/>
      <c r="M1319" s="67"/>
      <c r="N1319" s="67"/>
      <c r="O1319" s="64"/>
      <c r="P1319" s="72" t="str">
        <f aca="false">IF(OR(B1319="",C1319=""),"",C1319&amp;"|"&amp;(YEAR(B1319)*100+MONTH(B1319)))</f>
        <v/>
      </c>
      <c r="Q1319" s="70" t="str">
        <f aca="false">IF(P1319="","",IF(COUNTIF(N_CLAVE,P1319)&gt;1,"⚠ Duplicado","OK"))</f>
        <v/>
      </c>
      <c r="R1319" s="74" t="str">
        <f aca="false">IF(OR(P1319="",U1319=""),"",MAX(0,U1319-N(E1319)-N(F1319)-N(H1319)))</f>
        <v/>
      </c>
      <c r="S1319" s="75" t="str">
        <f aca="false">IF(P1319="","",IFERROR(INDEX(T_INGRESO,MATCH(C1319,T_ID,0)),""))</f>
        <v/>
      </c>
      <c r="T1319" s="75" t="str">
        <f aca="false">IF(P1319="","",IFERROR(N(INDEX(T_EGRESO,MATCH(C1319,T_ID,0))),0))</f>
        <v/>
      </c>
      <c r="U1319" s="73" t="str">
        <f aca="false">IF(OR(P1319="",NOT(ISNUMBER(S1319))),"",IF(OR(S1319&gt;EOMONTH(B1319,0),AND(T1319&gt;0,T1319&lt;B1319)),0,IF(AND(S1319&lt;=B1319,OR(T1319=0,T1319&gt;=EOMONTH(B1319,0))),30,MIN(30,IF(T1319=0,EOMONTH(B1319,0),MIN(T1319,EOMONTH(B1319,0)))-MAX(B1319,S1319)+1))))</f>
        <v/>
      </c>
    </row>
    <row r="1320" customFormat="false" ht="15" hidden="false" customHeight="false" outlineLevel="0" collapsed="false">
      <c r="B1320" s="78"/>
      <c r="C1320" s="64"/>
      <c r="D1320" s="70" t="str">
        <f aca="false">IF(C1320="","",IFERROR(INDEX(T_NOMBRE,MATCH(C1320,T_ID,0)),"⚠ ID no existe"))</f>
        <v/>
      </c>
      <c r="E1320" s="69"/>
      <c r="F1320" s="69"/>
      <c r="G1320" s="69"/>
      <c r="H1320" s="69"/>
      <c r="I1320" s="66"/>
      <c r="J1320" s="69"/>
      <c r="K1320" s="67"/>
      <c r="L1320" s="67"/>
      <c r="M1320" s="67"/>
      <c r="N1320" s="67"/>
      <c r="O1320" s="64"/>
      <c r="P1320" s="72" t="str">
        <f aca="false">IF(OR(B1320="",C1320=""),"",C1320&amp;"|"&amp;(YEAR(B1320)*100+MONTH(B1320)))</f>
        <v/>
      </c>
      <c r="Q1320" s="70" t="str">
        <f aca="false">IF(P1320="","",IF(COUNTIF(N_CLAVE,P1320)&gt;1,"⚠ Duplicado","OK"))</f>
        <v/>
      </c>
      <c r="R1320" s="74" t="str">
        <f aca="false">IF(OR(P1320="",U1320=""),"",MAX(0,U1320-N(E1320)-N(F1320)-N(H1320)))</f>
        <v/>
      </c>
      <c r="S1320" s="75" t="str">
        <f aca="false">IF(P1320="","",IFERROR(INDEX(T_INGRESO,MATCH(C1320,T_ID,0)),""))</f>
        <v/>
      </c>
      <c r="T1320" s="75" t="str">
        <f aca="false">IF(P1320="","",IFERROR(N(INDEX(T_EGRESO,MATCH(C1320,T_ID,0))),0))</f>
        <v/>
      </c>
      <c r="U1320" s="73" t="str">
        <f aca="false">IF(OR(P1320="",NOT(ISNUMBER(S1320))),"",IF(OR(S1320&gt;EOMONTH(B1320,0),AND(T1320&gt;0,T1320&lt;B1320)),0,IF(AND(S1320&lt;=B1320,OR(T1320=0,T1320&gt;=EOMONTH(B1320,0))),30,MIN(30,IF(T1320=0,EOMONTH(B1320,0),MIN(T1320,EOMONTH(B1320,0)))-MAX(B1320,S1320)+1))))</f>
        <v/>
      </c>
    </row>
    <row r="1321" customFormat="false" ht="15" hidden="false" customHeight="false" outlineLevel="0" collapsed="false">
      <c r="B1321" s="78"/>
      <c r="C1321" s="64"/>
      <c r="D1321" s="70" t="str">
        <f aca="false">IF(C1321="","",IFERROR(INDEX(T_NOMBRE,MATCH(C1321,T_ID,0)),"⚠ ID no existe"))</f>
        <v/>
      </c>
      <c r="E1321" s="69"/>
      <c r="F1321" s="69"/>
      <c r="G1321" s="69"/>
      <c r="H1321" s="69"/>
      <c r="I1321" s="66"/>
      <c r="J1321" s="69"/>
      <c r="K1321" s="67"/>
      <c r="L1321" s="67"/>
      <c r="M1321" s="67"/>
      <c r="N1321" s="67"/>
      <c r="O1321" s="64"/>
      <c r="P1321" s="72" t="str">
        <f aca="false">IF(OR(B1321="",C1321=""),"",C1321&amp;"|"&amp;(YEAR(B1321)*100+MONTH(B1321)))</f>
        <v/>
      </c>
      <c r="Q1321" s="70" t="str">
        <f aca="false">IF(P1321="","",IF(COUNTIF(N_CLAVE,P1321)&gt;1,"⚠ Duplicado","OK"))</f>
        <v/>
      </c>
      <c r="R1321" s="74" t="str">
        <f aca="false">IF(OR(P1321="",U1321=""),"",MAX(0,U1321-N(E1321)-N(F1321)-N(H1321)))</f>
        <v/>
      </c>
      <c r="S1321" s="75" t="str">
        <f aca="false">IF(P1321="","",IFERROR(INDEX(T_INGRESO,MATCH(C1321,T_ID,0)),""))</f>
        <v/>
      </c>
      <c r="T1321" s="75" t="str">
        <f aca="false">IF(P1321="","",IFERROR(N(INDEX(T_EGRESO,MATCH(C1321,T_ID,0))),0))</f>
        <v/>
      </c>
      <c r="U1321" s="73" t="str">
        <f aca="false">IF(OR(P1321="",NOT(ISNUMBER(S1321))),"",IF(OR(S1321&gt;EOMONTH(B1321,0),AND(T1321&gt;0,T1321&lt;B1321)),0,IF(AND(S1321&lt;=B1321,OR(T1321=0,T1321&gt;=EOMONTH(B1321,0))),30,MIN(30,IF(T1321=0,EOMONTH(B1321,0),MIN(T1321,EOMONTH(B1321,0)))-MAX(B1321,S1321)+1))))</f>
        <v/>
      </c>
    </row>
    <row r="1322" customFormat="false" ht="15" hidden="false" customHeight="false" outlineLevel="0" collapsed="false">
      <c r="B1322" s="78"/>
      <c r="C1322" s="64"/>
      <c r="D1322" s="70" t="str">
        <f aca="false">IF(C1322="","",IFERROR(INDEX(T_NOMBRE,MATCH(C1322,T_ID,0)),"⚠ ID no existe"))</f>
        <v/>
      </c>
      <c r="E1322" s="69"/>
      <c r="F1322" s="69"/>
      <c r="G1322" s="69"/>
      <c r="H1322" s="69"/>
      <c r="I1322" s="66"/>
      <c r="J1322" s="69"/>
      <c r="K1322" s="67"/>
      <c r="L1322" s="67"/>
      <c r="M1322" s="67"/>
      <c r="N1322" s="67"/>
      <c r="O1322" s="64"/>
      <c r="P1322" s="72" t="str">
        <f aca="false">IF(OR(B1322="",C1322=""),"",C1322&amp;"|"&amp;(YEAR(B1322)*100+MONTH(B1322)))</f>
        <v/>
      </c>
      <c r="Q1322" s="70" t="str">
        <f aca="false">IF(P1322="","",IF(COUNTIF(N_CLAVE,P1322)&gt;1,"⚠ Duplicado","OK"))</f>
        <v/>
      </c>
      <c r="R1322" s="74" t="str">
        <f aca="false">IF(OR(P1322="",U1322=""),"",MAX(0,U1322-N(E1322)-N(F1322)-N(H1322)))</f>
        <v/>
      </c>
      <c r="S1322" s="75" t="str">
        <f aca="false">IF(P1322="","",IFERROR(INDEX(T_INGRESO,MATCH(C1322,T_ID,0)),""))</f>
        <v/>
      </c>
      <c r="T1322" s="75" t="str">
        <f aca="false">IF(P1322="","",IFERROR(N(INDEX(T_EGRESO,MATCH(C1322,T_ID,0))),0))</f>
        <v/>
      </c>
      <c r="U1322" s="73" t="str">
        <f aca="false">IF(OR(P1322="",NOT(ISNUMBER(S1322))),"",IF(OR(S1322&gt;EOMONTH(B1322,0),AND(T1322&gt;0,T1322&lt;B1322)),0,IF(AND(S1322&lt;=B1322,OR(T1322=0,T1322&gt;=EOMONTH(B1322,0))),30,MIN(30,IF(T1322=0,EOMONTH(B1322,0),MIN(T1322,EOMONTH(B1322,0)))-MAX(B1322,S1322)+1))))</f>
        <v/>
      </c>
    </row>
    <row r="1323" customFormat="false" ht="15" hidden="false" customHeight="false" outlineLevel="0" collapsed="false">
      <c r="B1323" s="78"/>
      <c r="C1323" s="64"/>
      <c r="D1323" s="70" t="str">
        <f aca="false">IF(C1323="","",IFERROR(INDEX(T_NOMBRE,MATCH(C1323,T_ID,0)),"⚠ ID no existe"))</f>
        <v/>
      </c>
      <c r="E1323" s="69"/>
      <c r="F1323" s="69"/>
      <c r="G1323" s="69"/>
      <c r="H1323" s="69"/>
      <c r="I1323" s="66"/>
      <c r="J1323" s="69"/>
      <c r="K1323" s="67"/>
      <c r="L1323" s="67"/>
      <c r="M1323" s="67"/>
      <c r="N1323" s="67"/>
      <c r="O1323" s="64"/>
      <c r="P1323" s="72" t="str">
        <f aca="false">IF(OR(B1323="",C1323=""),"",C1323&amp;"|"&amp;(YEAR(B1323)*100+MONTH(B1323)))</f>
        <v/>
      </c>
      <c r="Q1323" s="70" t="str">
        <f aca="false">IF(P1323="","",IF(COUNTIF(N_CLAVE,P1323)&gt;1,"⚠ Duplicado","OK"))</f>
        <v/>
      </c>
      <c r="R1323" s="74" t="str">
        <f aca="false">IF(OR(P1323="",U1323=""),"",MAX(0,U1323-N(E1323)-N(F1323)-N(H1323)))</f>
        <v/>
      </c>
      <c r="S1323" s="75" t="str">
        <f aca="false">IF(P1323="","",IFERROR(INDEX(T_INGRESO,MATCH(C1323,T_ID,0)),""))</f>
        <v/>
      </c>
      <c r="T1323" s="75" t="str">
        <f aca="false">IF(P1323="","",IFERROR(N(INDEX(T_EGRESO,MATCH(C1323,T_ID,0))),0))</f>
        <v/>
      </c>
      <c r="U1323" s="73" t="str">
        <f aca="false">IF(OR(P1323="",NOT(ISNUMBER(S1323))),"",IF(OR(S1323&gt;EOMONTH(B1323,0),AND(T1323&gt;0,T1323&lt;B1323)),0,IF(AND(S1323&lt;=B1323,OR(T1323=0,T1323&gt;=EOMONTH(B1323,0))),30,MIN(30,IF(T1323=0,EOMONTH(B1323,0),MIN(T1323,EOMONTH(B1323,0)))-MAX(B1323,S1323)+1))))</f>
        <v/>
      </c>
    </row>
    <row r="1324" customFormat="false" ht="15" hidden="false" customHeight="false" outlineLevel="0" collapsed="false">
      <c r="B1324" s="78"/>
      <c r="C1324" s="64"/>
      <c r="D1324" s="70" t="str">
        <f aca="false">IF(C1324="","",IFERROR(INDEX(T_NOMBRE,MATCH(C1324,T_ID,0)),"⚠ ID no existe"))</f>
        <v/>
      </c>
      <c r="E1324" s="69"/>
      <c r="F1324" s="69"/>
      <c r="G1324" s="69"/>
      <c r="H1324" s="69"/>
      <c r="I1324" s="66"/>
      <c r="J1324" s="69"/>
      <c r="K1324" s="67"/>
      <c r="L1324" s="67"/>
      <c r="M1324" s="67"/>
      <c r="N1324" s="67"/>
      <c r="O1324" s="64"/>
      <c r="P1324" s="72" t="str">
        <f aca="false">IF(OR(B1324="",C1324=""),"",C1324&amp;"|"&amp;(YEAR(B1324)*100+MONTH(B1324)))</f>
        <v/>
      </c>
      <c r="Q1324" s="70" t="str">
        <f aca="false">IF(P1324="","",IF(COUNTIF(N_CLAVE,P1324)&gt;1,"⚠ Duplicado","OK"))</f>
        <v/>
      </c>
      <c r="R1324" s="74" t="str">
        <f aca="false">IF(OR(P1324="",U1324=""),"",MAX(0,U1324-N(E1324)-N(F1324)-N(H1324)))</f>
        <v/>
      </c>
      <c r="S1324" s="75" t="str">
        <f aca="false">IF(P1324="","",IFERROR(INDEX(T_INGRESO,MATCH(C1324,T_ID,0)),""))</f>
        <v/>
      </c>
      <c r="T1324" s="75" t="str">
        <f aca="false">IF(P1324="","",IFERROR(N(INDEX(T_EGRESO,MATCH(C1324,T_ID,0))),0))</f>
        <v/>
      </c>
      <c r="U1324" s="73" t="str">
        <f aca="false">IF(OR(P1324="",NOT(ISNUMBER(S1324))),"",IF(OR(S1324&gt;EOMONTH(B1324,0),AND(T1324&gt;0,T1324&lt;B1324)),0,IF(AND(S1324&lt;=B1324,OR(T1324=0,T1324&gt;=EOMONTH(B1324,0))),30,MIN(30,IF(T1324=0,EOMONTH(B1324,0),MIN(T1324,EOMONTH(B1324,0)))-MAX(B1324,S1324)+1))))</f>
        <v/>
      </c>
    </row>
    <row r="1325" customFormat="false" ht="15" hidden="false" customHeight="false" outlineLevel="0" collapsed="false">
      <c r="B1325" s="78"/>
      <c r="C1325" s="64"/>
      <c r="D1325" s="70" t="str">
        <f aca="false">IF(C1325="","",IFERROR(INDEX(T_NOMBRE,MATCH(C1325,T_ID,0)),"⚠ ID no existe"))</f>
        <v/>
      </c>
      <c r="E1325" s="69"/>
      <c r="F1325" s="69"/>
      <c r="G1325" s="69"/>
      <c r="H1325" s="69"/>
      <c r="I1325" s="66"/>
      <c r="J1325" s="69"/>
      <c r="K1325" s="67"/>
      <c r="L1325" s="67"/>
      <c r="M1325" s="67"/>
      <c r="N1325" s="67"/>
      <c r="O1325" s="64"/>
      <c r="P1325" s="72" t="str">
        <f aca="false">IF(OR(B1325="",C1325=""),"",C1325&amp;"|"&amp;(YEAR(B1325)*100+MONTH(B1325)))</f>
        <v/>
      </c>
      <c r="Q1325" s="70" t="str">
        <f aca="false">IF(P1325="","",IF(COUNTIF(N_CLAVE,P1325)&gt;1,"⚠ Duplicado","OK"))</f>
        <v/>
      </c>
      <c r="R1325" s="74" t="str">
        <f aca="false">IF(OR(P1325="",U1325=""),"",MAX(0,U1325-N(E1325)-N(F1325)-N(H1325)))</f>
        <v/>
      </c>
      <c r="S1325" s="75" t="str">
        <f aca="false">IF(P1325="","",IFERROR(INDEX(T_INGRESO,MATCH(C1325,T_ID,0)),""))</f>
        <v/>
      </c>
      <c r="T1325" s="75" t="str">
        <f aca="false">IF(P1325="","",IFERROR(N(INDEX(T_EGRESO,MATCH(C1325,T_ID,0))),0))</f>
        <v/>
      </c>
      <c r="U1325" s="73" t="str">
        <f aca="false">IF(OR(P1325="",NOT(ISNUMBER(S1325))),"",IF(OR(S1325&gt;EOMONTH(B1325,0),AND(T1325&gt;0,T1325&lt;B1325)),0,IF(AND(S1325&lt;=B1325,OR(T1325=0,T1325&gt;=EOMONTH(B1325,0))),30,MIN(30,IF(T1325=0,EOMONTH(B1325,0),MIN(T1325,EOMONTH(B1325,0)))-MAX(B1325,S1325)+1))))</f>
        <v/>
      </c>
    </row>
    <row r="1326" customFormat="false" ht="15" hidden="false" customHeight="false" outlineLevel="0" collapsed="false">
      <c r="B1326" s="78"/>
      <c r="C1326" s="64"/>
      <c r="D1326" s="70" t="str">
        <f aca="false">IF(C1326="","",IFERROR(INDEX(T_NOMBRE,MATCH(C1326,T_ID,0)),"⚠ ID no existe"))</f>
        <v/>
      </c>
      <c r="E1326" s="69"/>
      <c r="F1326" s="69"/>
      <c r="G1326" s="69"/>
      <c r="H1326" s="69"/>
      <c r="I1326" s="66"/>
      <c r="J1326" s="69"/>
      <c r="K1326" s="67"/>
      <c r="L1326" s="67"/>
      <c r="M1326" s="67"/>
      <c r="N1326" s="67"/>
      <c r="O1326" s="64"/>
      <c r="P1326" s="72" t="str">
        <f aca="false">IF(OR(B1326="",C1326=""),"",C1326&amp;"|"&amp;(YEAR(B1326)*100+MONTH(B1326)))</f>
        <v/>
      </c>
      <c r="Q1326" s="70" t="str">
        <f aca="false">IF(P1326="","",IF(COUNTIF(N_CLAVE,P1326)&gt;1,"⚠ Duplicado","OK"))</f>
        <v/>
      </c>
      <c r="R1326" s="74" t="str">
        <f aca="false">IF(OR(P1326="",U1326=""),"",MAX(0,U1326-N(E1326)-N(F1326)-N(H1326)))</f>
        <v/>
      </c>
      <c r="S1326" s="75" t="str">
        <f aca="false">IF(P1326="","",IFERROR(INDEX(T_INGRESO,MATCH(C1326,T_ID,0)),""))</f>
        <v/>
      </c>
      <c r="T1326" s="75" t="str">
        <f aca="false">IF(P1326="","",IFERROR(N(INDEX(T_EGRESO,MATCH(C1326,T_ID,0))),0))</f>
        <v/>
      </c>
      <c r="U1326" s="73" t="str">
        <f aca="false">IF(OR(P1326="",NOT(ISNUMBER(S1326))),"",IF(OR(S1326&gt;EOMONTH(B1326,0),AND(T1326&gt;0,T1326&lt;B1326)),0,IF(AND(S1326&lt;=B1326,OR(T1326=0,T1326&gt;=EOMONTH(B1326,0))),30,MIN(30,IF(T1326=0,EOMONTH(B1326,0),MIN(T1326,EOMONTH(B1326,0)))-MAX(B1326,S1326)+1))))</f>
        <v/>
      </c>
    </row>
    <row r="1327" customFormat="false" ht="15" hidden="false" customHeight="false" outlineLevel="0" collapsed="false">
      <c r="B1327" s="78"/>
      <c r="C1327" s="64"/>
      <c r="D1327" s="70" t="str">
        <f aca="false">IF(C1327="","",IFERROR(INDEX(T_NOMBRE,MATCH(C1327,T_ID,0)),"⚠ ID no existe"))</f>
        <v/>
      </c>
      <c r="E1327" s="69"/>
      <c r="F1327" s="69"/>
      <c r="G1327" s="69"/>
      <c r="H1327" s="69"/>
      <c r="I1327" s="66"/>
      <c r="J1327" s="69"/>
      <c r="K1327" s="67"/>
      <c r="L1327" s="67"/>
      <c r="M1327" s="67"/>
      <c r="N1327" s="67"/>
      <c r="O1327" s="64"/>
      <c r="P1327" s="72" t="str">
        <f aca="false">IF(OR(B1327="",C1327=""),"",C1327&amp;"|"&amp;(YEAR(B1327)*100+MONTH(B1327)))</f>
        <v/>
      </c>
      <c r="Q1327" s="70" t="str">
        <f aca="false">IF(P1327="","",IF(COUNTIF(N_CLAVE,P1327)&gt;1,"⚠ Duplicado","OK"))</f>
        <v/>
      </c>
      <c r="R1327" s="74" t="str">
        <f aca="false">IF(OR(P1327="",U1327=""),"",MAX(0,U1327-N(E1327)-N(F1327)-N(H1327)))</f>
        <v/>
      </c>
      <c r="S1327" s="75" t="str">
        <f aca="false">IF(P1327="","",IFERROR(INDEX(T_INGRESO,MATCH(C1327,T_ID,0)),""))</f>
        <v/>
      </c>
      <c r="T1327" s="75" t="str">
        <f aca="false">IF(P1327="","",IFERROR(N(INDEX(T_EGRESO,MATCH(C1327,T_ID,0))),0))</f>
        <v/>
      </c>
      <c r="U1327" s="73" t="str">
        <f aca="false">IF(OR(P1327="",NOT(ISNUMBER(S1327))),"",IF(OR(S1327&gt;EOMONTH(B1327,0),AND(T1327&gt;0,T1327&lt;B1327)),0,IF(AND(S1327&lt;=B1327,OR(T1327=0,T1327&gt;=EOMONTH(B1327,0))),30,MIN(30,IF(T1327=0,EOMONTH(B1327,0),MIN(T1327,EOMONTH(B1327,0)))-MAX(B1327,S1327)+1))))</f>
        <v/>
      </c>
    </row>
    <row r="1328" customFormat="false" ht="15" hidden="false" customHeight="false" outlineLevel="0" collapsed="false">
      <c r="B1328" s="78"/>
      <c r="C1328" s="64"/>
      <c r="D1328" s="70" t="str">
        <f aca="false">IF(C1328="","",IFERROR(INDEX(T_NOMBRE,MATCH(C1328,T_ID,0)),"⚠ ID no existe"))</f>
        <v/>
      </c>
      <c r="E1328" s="69"/>
      <c r="F1328" s="69"/>
      <c r="G1328" s="69"/>
      <c r="H1328" s="69"/>
      <c r="I1328" s="66"/>
      <c r="J1328" s="69"/>
      <c r="K1328" s="67"/>
      <c r="L1328" s="67"/>
      <c r="M1328" s="67"/>
      <c r="N1328" s="67"/>
      <c r="O1328" s="64"/>
      <c r="P1328" s="72" t="str">
        <f aca="false">IF(OR(B1328="",C1328=""),"",C1328&amp;"|"&amp;(YEAR(B1328)*100+MONTH(B1328)))</f>
        <v/>
      </c>
      <c r="Q1328" s="70" t="str">
        <f aca="false">IF(P1328="","",IF(COUNTIF(N_CLAVE,P1328)&gt;1,"⚠ Duplicado","OK"))</f>
        <v/>
      </c>
      <c r="R1328" s="74" t="str">
        <f aca="false">IF(OR(P1328="",U1328=""),"",MAX(0,U1328-N(E1328)-N(F1328)-N(H1328)))</f>
        <v/>
      </c>
      <c r="S1328" s="75" t="str">
        <f aca="false">IF(P1328="","",IFERROR(INDEX(T_INGRESO,MATCH(C1328,T_ID,0)),""))</f>
        <v/>
      </c>
      <c r="T1328" s="75" t="str">
        <f aca="false">IF(P1328="","",IFERROR(N(INDEX(T_EGRESO,MATCH(C1328,T_ID,0))),0))</f>
        <v/>
      </c>
      <c r="U1328" s="73" t="str">
        <f aca="false">IF(OR(P1328="",NOT(ISNUMBER(S1328))),"",IF(OR(S1328&gt;EOMONTH(B1328,0),AND(T1328&gt;0,T1328&lt;B1328)),0,IF(AND(S1328&lt;=B1328,OR(T1328=0,T1328&gt;=EOMONTH(B1328,0))),30,MIN(30,IF(T1328=0,EOMONTH(B1328,0),MIN(T1328,EOMONTH(B1328,0)))-MAX(B1328,S1328)+1))))</f>
        <v/>
      </c>
    </row>
    <row r="1329" customFormat="false" ht="15" hidden="false" customHeight="false" outlineLevel="0" collapsed="false">
      <c r="B1329" s="78"/>
      <c r="C1329" s="64"/>
      <c r="D1329" s="70" t="str">
        <f aca="false">IF(C1329="","",IFERROR(INDEX(T_NOMBRE,MATCH(C1329,T_ID,0)),"⚠ ID no existe"))</f>
        <v/>
      </c>
      <c r="E1329" s="69"/>
      <c r="F1329" s="69"/>
      <c r="G1329" s="69"/>
      <c r="H1329" s="69"/>
      <c r="I1329" s="66"/>
      <c r="J1329" s="69"/>
      <c r="K1329" s="67"/>
      <c r="L1329" s="67"/>
      <c r="M1329" s="67"/>
      <c r="N1329" s="67"/>
      <c r="O1329" s="64"/>
      <c r="P1329" s="72" t="str">
        <f aca="false">IF(OR(B1329="",C1329=""),"",C1329&amp;"|"&amp;(YEAR(B1329)*100+MONTH(B1329)))</f>
        <v/>
      </c>
      <c r="Q1329" s="70" t="str">
        <f aca="false">IF(P1329="","",IF(COUNTIF(N_CLAVE,P1329)&gt;1,"⚠ Duplicado","OK"))</f>
        <v/>
      </c>
      <c r="R1329" s="74" t="str">
        <f aca="false">IF(OR(P1329="",U1329=""),"",MAX(0,U1329-N(E1329)-N(F1329)-N(H1329)))</f>
        <v/>
      </c>
      <c r="S1329" s="75" t="str">
        <f aca="false">IF(P1329="","",IFERROR(INDEX(T_INGRESO,MATCH(C1329,T_ID,0)),""))</f>
        <v/>
      </c>
      <c r="T1329" s="75" t="str">
        <f aca="false">IF(P1329="","",IFERROR(N(INDEX(T_EGRESO,MATCH(C1329,T_ID,0))),0))</f>
        <v/>
      </c>
      <c r="U1329" s="73" t="str">
        <f aca="false">IF(OR(P1329="",NOT(ISNUMBER(S1329))),"",IF(OR(S1329&gt;EOMONTH(B1329,0),AND(T1329&gt;0,T1329&lt;B1329)),0,IF(AND(S1329&lt;=B1329,OR(T1329=0,T1329&gt;=EOMONTH(B1329,0))),30,MIN(30,IF(T1329=0,EOMONTH(B1329,0),MIN(T1329,EOMONTH(B1329,0)))-MAX(B1329,S1329)+1))))</f>
        <v/>
      </c>
    </row>
    <row r="1330" customFormat="false" ht="15" hidden="false" customHeight="false" outlineLevel="0" collapsed="false">
      <c r="B1330" s="78"/>
      <c r="C1330" s="64"/>
      <c r="D1330" s="70" t="str">
        <f aca="false">IF(C1330="","",IFERROR(INDEX(T_NOMBRE,MATCH(C1330,T_ID,0)),"⚠ ID no existe"))</f>
        <v/>
      </c>
      <c r="E1330" s="69"/>
      <c r="F1330" s="69"/>
      <c r="G1330" s="69"/>
      <c r="H1330" s="69"/>
      <c r="I1330" s="66"/>
      <c r="J1330" s="69"/>
      <c r="K1330" s="67"/>
      <c r="L1330" s="67"/>
      <c r="M1330" s="67"/>
      <c r="N1330" s="67"/>
      <c r="O1330" s="64"/>
      <c r="P1330" s="72" t="str">
        <f aca="false">IF(OR(B1330="",C1330=""),"",C1330&amp;"|"&amp;(YEAR(B1330)*100+MONTH(B1330)))</f>
        <v/>
      </c>
      <c r="Q1330" s="70" t="str">
        <f aca="false">IF(P1330="","",IF(COUNTIF(N_CLAVE,P1330)&gt;1,"⚠ Duplicado","OK"))</f>
        <v/>
      </c>
      <c r="R1330" s="74" t="str">
        <f aca="false">IF(OR(P1330="",U1330=""),"",MAX(0,U1330-N(E1330)-N(F1330)-N(H1330)))</f>
        <v/>
      </c>
      <c r="S1330" s="75" t="str">
        <f aca="false">IF(P1330="","",IFERROR(INDEX(T_INGRESO,MATCH(C1330,T_ID,0)),""))</f>
        <v/>
      </c>
      <c r="T1330" s="75" t="str">
        <f aca="false">IF(P1330="","",IFERROR(N(INDEX(T_EGRESO,MATCH(C1330,T_ID,0))),0))</f>
        <v/>
      </c>
      <c r="U1330" s="73" t="str">
        <f aca="false">IF(OR(P1330="",NOT(ISNUMBER(S1330))),"",IF(OR(S1330&gt;EOMONTH(B1330,0),AND(T1330&gt;0,T1330&lt;B1330)),0,IF(AND(S1330&lt;=B1330,OR(T1330=0,T1330&gt;=EOMONTH(B1330,0))),30,MIN(30,IF(T1330=0,EOMONTH(B1330,0),MIN(T1330,EOMONTH(B1330,0)))-MAX(B1330,S1330)+1))))</f>
        <v/>
      </c>
    </row>
    <row r="1331" customFormat="false" ht="15" hidden="false" customHeight="false" outlineLevel="0" collapsed="false">
      <c r="B1331" s="78"/>
      <c r="C1331" s="64"/>
      <c r="D1331" s="70" t="str">
        <f aca="false">IF(C1331="","",IFERROR(INDEX(T_NOMBRE,MATCH(C1331,T_ID,0)),"⚠ ID no existe"))</f>
        <v/>
      </c>
      <c r="E1331" s="69"/>
      <c r="F1331" s="69"/>
      <c r="G1331" s="69"/>
      <c r="H1331" s="69"/>
      <c r="I1331" s="66"/>
      <c r="J1331" s="69"/>
      <c r="K1331" s="67"/>
      <c r="L1331" s="67"/>
      <c r="M1331" s="67"/>
      <c r="N1331" s="67"/>
      <c r="O1331" s="64"/>
      <c r="P1331" s="72" t="str">
        <f aca="false">IF(OR(B1331="",C1331=""),"",C1331&amp;"|"&amp;(YEAR(B1331)*100+MONTH(B1331)))</f>
        <v/>
      </c>
      <c r="Q1331" s="70" t="str">
        <f aca="false">IF(P1331="","",IF(COUNTIF(N_CLAVE,P1331)&gt;1,"⚠ Duplicado","OK"))</f>
        <v/>
      </c>
      <c r="R1331" s="74" t="str">
        <f aca="false">IF(OR(P1331="",U1331=""),"",MAX(0,U1331-N(E1331)-N(F1331)-N(H1331)))</f>
        <v/>
      </c>
      <c r="S1331" s="75" t="str">
        <f aca="false">IF(P1331="","",IFERROR(INDEX(T_INGRESO,MATCH(C1331,T_ID,0)),""))</f>
        <v/>
      </c>
      <c r="T1331" s="75" t="str">
        <f aca="false">IF(P1331="","",IFERROR(N(INDEX(T_EGRESO,MATCH(C1331,T_ID,0))),0))</f>
        <v/>
      </c>
      <c r="U1331" s="73" t="str">
        <f aca="false">IF(OR(P1331="",NOT(ISNUMBER(S1331))),"",IF(OR(S1331&gt;EOMONTH(B1331,0),AND(T1331&gt;0,T1331&lt;B1331)),0,IF(AND(S1331&lt;=B1331,OR(T1331=0,T1331&gt;=EOMONTH(B1331,0))),30,MIN(30,IF(T1331=0,EOMONTH(B1331,0),MIN(T1331,EOMONTH(B1331,0)))-MAX(B1331,S1331)+1))))</f>
        <v/>
      </c>
    </row>
    <row r="1332" customFormat="false" ht="15" hidden="false" customHeight="false" outlineLevel="0" collapsed="false">
      <c r="B1332" s="78"/>
      <c r="C1332" s="64"/>
      <c r="D1332" s="70" t="str">
        <f aca="false">IF(C1332="","",IFERROR(INDEX(T_NOMBRE,MATCH(C1332,T_ID,0)),"⚠ ID no existe"))</f>
        <v/>
      </c>
      <c r="E1332" s="69"/>
      <c r="F1332" s="69"/>
      <c r="G1332" s="69"/>
      <c r="H1332" s="69"/>
      <c r="I1332" s="66"/>
      <c r="J1332" s="69"/>
      <c r="K1332" s="67"/>
      <c r="L1332" s="67"/>
      <c r="M1332" s="67"/>
      <c r="N1332" s="67"/>
      <c r="O1332" s="64"/>
      <c r="P1332" s="72" t="str">
        <f aca="false">IF(OR(B1332="",C1332=""),"",C1332&amp;"|"&amp;(YEAR(B1332)*100+MONTH(B1332)))</f>
        <v/>
      </c>
      <c r="Q1332" s="70" t="str">
        <f aca="false">IF(P1332="","",IF(COUNTIF(N_CLAVE,P1332)&gt;1,"⚠ Duplicado","OK"))</f>
        <v/>
      </c>
      <c r="R1332" s="74" t="str">
        <f aca="false">IF(OR(P1332="",U1332=""),"",MAX(0,U1332-N(E1332)-N(F1332)-N(H1332)))</f>
        <v/>
      </c>
      <c r="S1332" s="75" t="str">
        <f aca="false">IF(P1332="","",IFERROR(INDEX(T_INGRESO,MATCH(C1332,T_ID,0)),""))</f>
        <v/>
      </c>
      <c r="T1332" s="75" t="str">
        <f aca="false">IF(P1332="","",IFERROR(N(INDEX(T_EGRESO,MATCH(C1332,T_ID,0))),0))</f>
        <v/>
      </c>
      <c r="U1332" s="73" t="str">
        <f aca="false">IF(OR(P1332="",NOT(ISNUMBER(S1332))),"",IF(OR(S1332&gt;EOMONTH(B1332,0),AND(T1332&gt;0,T1332&lt;B1332)),0,IF(AND(S1332&lt;=B1332,OR(T1332=0,T1332&gt;=EOMONTH(B1332,0))),30,MIN(30,IF(T1332=0,EOMONTH(B1332,0),MIN(T1332,EOMONTH(B1332,0)))-MAX(B1332,S1332)+1))))</f>
        <v/>
      </c>
    </row>
    <row r="1333" customFormat="false" ht="15" hidden="false" customHeight="false" outlineLevel="0" collapsed="false">
      <c r="B1333" s="78"/>
      <c r="C1333" s="64"/>
      <c r="D1333" s="70" t="str">
        <f aca="false">IF(C1333="","",IFERROR(INDEX(T_NOMBRE,MATCH(C1333,T_ID,0)),"⚠ ID no existe"))</f>
        <v/>
      </c>
      <c r="E1333" s="69"/>
      <c r="F1333" s="69"/>
      <c r="G1333" s="69"/>
      <c r="H1333" s="69"/>
      <c r="I1333" s="66"/>
      <c r="J1333" s="69"/>
      <c r="K1333" s="67"/>
      <c r="L1333" s="67"/>
      <c r="M1333" s="67"/>
      <c r="N1333" s="67"/>
      <c r="O1333" s="64"/>
      <c r="P1333" s="72" t="str">
        <f aca="false">IF(OR(B1333="",C1333=""),"",C1333&amp;"|"&amp;(YEAR(B1333)*100+MONTH(B1333)))</f>
        <v/>
      </c>
      <c r="Q1333" s="70" t="str">
        <f aca="false">IF(P1333="","",IF(COUNTIF(N_CLAVE,P1333)&gt;1,"⚠ Duplicado","OK"))</f>
        <v/>
      </c>
      <c r="R1333" s="74" t="str">
        <f aca="false">IF(OR(P1333="",U1333=""),"",MAX(0,U1333-N(E1333)-N(F1333)-N(H1333)))</f>
        <v/>
      </c>
      <c r="S1333" s="75" t="str">
        <f aca="false">IF(P1333="","",IFERROR(INDEX(T_INGRESO,MATCH(C1333,T_ID,0)),""))</f>
        <v/>
      </c>
      <c r="T1333" s="75" t="str">
        <f aca="false">IF(P1333="","",IFERROR(N(INDEX(T_EGRESO,MATCH(C1333,T_ID,0))),0))</f>
        <v/>
      </c>
      <c r="U1333" s="73" t="str">
        <f aca="false">IF(OR(P1333="",NOT(ISNUMBER(S1333))),"",IF(OR(S1333&gt;EOMONTH(B1333,0),AND(T1333&gt;0,T1333&lt;B1333)),0,IF(AND(S1333&lt;=B1333,OR(T1333=0,T1333&gt;=EOMONTH(B1333,0))),30,MIN(30,IF(T1333=0,EOMONTH(B1333,0),MIN(T1333,EOMONTH(B1333,0)))-MAX(B1333,S1333)+1))))</f>
        <v/>
      </c>
    </row>
    <row r="1334" customFormat="false" ht="15" hidden="false" customHeight="false" outlineLevel="0" collapsed="false">
      <c r="B1334" s="78"/>
      <c r="C1334" s="64"/>
      <c r="D1334" s="70" t="str">
        <f aca="false">IF(C1334="","",IFERROR(INDEX(T_NOMBRE,MATCH(C1334,T_ID,0)),"⚠ ID no existe"))</f>
        <v/>
      </c>
      <c r="E1334" s="69"/>
      <c r="F1334" s="69"/>
      <c r="G1334" s="69"/>
      <c r="H1334" s="69"/>
      <c r="I1334" s="66"/>
      <c r="J1334" s="69"/>
      <c r="K1334" s="67"/>
      <c r="L1334" s="67"/>
      <c r="M1334" s="67"/>
      <c r="N1334" s="67"/>
      <c r="O1334" s="64"/>
      <c r="P1334" s="72" t="str">
        <f aca="false">IF(OR(B1334="",C1334=""),"",C1334&amp;"|"&amp;(YEAR(B1334)*100+MONTH(B1334)))</f>
        <v/>
      </c>
      <c r="Q1334" s="70" t="str">
        <f aca="false">IF(P1334="","",IF(COUNTIF(N_CLAVE,P1334)&gt;1,"⚠ Duplicado","OK"))</f>
        <v/>
      </c>
      <c r="R1334" s="74" t="str">
        <f aca="false">IF(OR(P1334="",U1334=""),"",MAX(0,U1334-N(E1334)-N(F1334)-N(H1334)))</f>
        <v/>
      </c>
      <c r="S1334" s="75" t="str">
        <f aca="false">IF(P1334="","",IFERROR(INDEX(T_INGRESO,MATCH(C1334,T_ID,0)),""))</f>
        <v/>
      </c>
      <c r="T1334" s="75" t="str">
        <f aca="false">IF(P1334="","",IFERROR(N(INDEX(T_EGRESO,MATCH(C1334,T_ID,0))),0))</f>
        <v/>
      </c>
      <c r="U1334" s="73" t="str">
        <f aca="false">IF(OR(P1334="",NOT(ISNUMBER(S1334))),"",IF(OR(S1334&gt;EOMONTH(B1334,0),AND(T1334&gt;0,T1334&lt;B1334)),0,IF(AND(S1334&lt;=B1334,OR(T1334=0,T1334&gt;=EOMONTH(B1334,0))),30,MIN(30,IF(T1334=0,EOMONTH(B1334,0),MIN(T1334,EOMONTH(B1334,0)))-MAX(B1334,S1334)+1))))</f>
        <v/>
      </c>
    </row>
    <row r="1335" customFormat="false" ht="15" hidden="false" customHeight="false" outlineLevel="0" collapsed="false">
      <c r="B1335" s="78"/>
      <c r="C1335" s="64"/>
      <c r="D1335" s="70" t="str">
        <f aca="false">IF(C1335="","",IFERROR(INDEX(T_NOMBRE,MATCH(C1335,T_ID,0)),"⚠ ID no existe"))</f>
        <v/>
      </c>
      <c r="E1335" s="69"/>
      <c r="F1335" s="69"/>
      <c r="G1335" s="69"/>
      <c r="H1335" s="69"/>
      <c r="I1335" s="66"/>
      <c r="J1335" s="69"/>
      <c r="K1335" s="67"/>
      <c r="L1335" s="67"/>
      <c r="M1335" s="67"/>
      <c r="N1335" s="67"/>
      <c r="O1335" s="64"/>
      <c r="P1335" s="72" t="str">
        <f aca="false">IF(OR(B1335="",C1335=""),"",C1335&amp;"|"&amp;(YEAR(B1335)*100+MONTH(B1335)))</f>
        <v/>
      </c>
      <c r="Q1335" s="70" t="str">
        <f aca="false">IF(P1335="","",IF(COUNTIF(N_CLAVE,P1335)&gt;1,"⚠ Duplicado","OK"))</f>
        <v/>
      </c>
      <c r="R1335" s="74" t="str">
        <f aca="false">IF(OR(P1335="",U1335=""),"",MAX(0,U1335-N(E1335)-N(F1335)-N(H1335)))</f>
        <v/>
      </c>
      <c r="S1335" s="75" t="str">
        <f aca="false">IF(P1335="","",IFERROR(INDEX(T_INGRESO,MATCH(C1335,T_ID,0)),""))</f>
        <v/>
      </c>
      <c r="T1335" s="75" t="str">
        <f aca="false">IF(P1335="","",IFERROR(N(INDEX(T_EGRESO,MATCH(C1335,T_ID,0))),0))</f>
        <v/>
      </c>
      <c r="U1335" s="73" t="str">
        <f aca="false">IF(OR(P1335="",NOT(ISNUMBER(S1335))),"",IF(OR(S1335&gt;EOMONTH(B1335,0),AND(T1335&gt;0,T1335&lt;B1335)),0,IF(AND(S1335&lt;=B1335,OR(T1335=0,T1335&gt;=EOMONTH(B1335,0))),30,MIN(30,IF(T1335=0,EOMONTH(B1335,0),MIN(T1335,EOMONTH(B1335,0)))-MAX(B1335,S1335)+1))))</f>
        <v/>
      </c>
    </row>
    <row r="1336" customFormat="false" ht="15" hidden="false" customHeight="false" outlineLevel="0" collapsed="false">
      <c r="B1336" s="78"/>
      <c r="C1336" s="64"/>
      <c r="D1336" s="70" t="str">
        <f aca="false">IF(C1336="","",IFERROR(INDEX(T_NOMBRE,MATCH(C1336,T_ID,0)),"⚠ ID no existe"))</f>
        <v/>
      </c>
      <c r="E1336" s="69"/>
      <c r="F1336" s="69"/>
      <c r="G1336" s="69"/>
      <c r="H1336" s="69"/>
      <c r="I1336" s="66"/>
      <c r="J1336" s="69"/>
      <c r="K1336" s="67"/>
      <c r="L1336" s="67"/>
      <c r="M1336" s="67"/>
      <c r="N1336" s="67"/>
      <c r="O1336" s="64"/>
      <c r="P1336" s="72" t="str">
        <f aca="false">IF(OR(B1336="",C1336=""),"",C1336&amp;"|"&amp;(YEAR(B1336)*100+MONTH(B1336)))</f>
        <v/>
      </c>
      <c r="Q1336" s="70" t="str">
        <f aca="false">IF(P1336="","",IF(COUNTIF(N_CLAVE,P1336)&gt;1,"⚠ Duplicado","OK"))</f>
        <v/>
      </c>
      <c r="R1336" s="74" t="str">
        <f aca="false">IF(OR(P1336="",U1336=""),"",MAX(0,U1336-N(E1336)-N(F1336)-N(H1336)))</f>
        <v/>
      </c>
      <c r="S1336" s="75" t="str">
        <f aca="false">IF(P1336="","",IFERROR(INDEX(T_INGRESO,MATCH(C1336,T_ID,0)),""))</f>
        <v/>
      </c>
      <c r="T1336" s="75" t="str">
        <f aca="false">IF(P1336="","",IFERROR(N(INDEX(T_EGRESO,MATCH(C1336,T_ID,0))),0))</f>
        <v/>
      </c>
      <c r="U1336" s="73" t="str">
        <f aca="false">IF(OR(P1336="",NOT(ISNUMBER(S1336))),"",IF(OR(S1336&gt;EOMONTH(B1336,0),AND(T1336&gt;0,T1336&lt;B1336)),0,IF(AND(S1336&lt;=B1336,OR(T1336=0,T1336&gt;=EOMONTH(B1336,0))),30,MIN(30,IF(T1336=0,EOMONTH(B1336,0),MIN(T1336,EOMONTH(B1336,0)))-MAX(B1336,S1336)+1))))</f>
        <v/>
      </c>
    </row>
    <row r="1337" customFormat="false" ht="15" hidden="false" customHeight="false" outlineLevel="0" collapsed="false">
      <c r="B1337" s="78"/>
      <c r="C1337" s="64"/>
      <c r="D1337" s="70" t="str">
        <f aca="false">IF(C1337="","",IFERROR(INDEX(T_NOMBRE,MATCH(C1337,T_ID,0)),"⚠ ID no existe"))</f>
        <v/>
      </c>
      <c r="E1337" s="69"/>
      <c r="F1337" s="69"/>
      <c r="G1337" s="69"/>
      <c r="H1337" s="69"/>
      <c r="I1337" s="66"/>
      <c r="J1337" s="69"/>
      <c r="K1337" s="67"/>
      <c r="L1337" s="67"/>
      <c r="M1337" s="67"/>
      <c r="N1337" s="67"/>
      <c r="O1337" s="64"/>
      <c r="P1337" s="72" t="str">
        <f aca="false">IF(OR(B1337="",C1337=""),"",C1337&amp;"|"&amp;(YEAR(B1337)*100+MONTH(B1337)))</f>
        <v/>
      </c>
      <c r="Q1337" s="70" t="str">
        <f aca="false">IF(P1337="","",IF(COUNTIF(N_CLAVE,P1337)&gt;1,"⚠ Duplicado","OK"))</f>
        <v/>
      </c>
      <c r="R1337" s="74" t="str">
        <f aca="false">IF(OR(P1337="",U1337=""),"",MAX(0,U1337-N(E1337)-N(F1337)-N(H1337)))</f>
        <v/>
      </c>
      <c r="S1337" s="75" t="str">
        <f aca="false">IF(P1337="","",IFERROR(INDEX(T_INGRESO,MATCH(C1337,T_ID,0)),""))</f>
        <v/>
      </c>
      <c r="T1337" s="75" t="str">
        <f aca="false">IF(P1337="","",IFERROR(N(INDEX(T_EGRESO,MATCH(C1337,T_ID,0))),0))</f>
        <v/>
      </c>
      <c r="U1337" s="73" t="str">
        <f aca="false">IF(OR(P1337="",NOT(ISNUMBER(S1337))),"",IF(OR(S1337&gt;EOMONTH(B1337,0),AND(T1337&gt;0,T1337&lt;B1337)),0,IF(AND(S1337&lt;=B1337,OR(T1337=0,T1337&gt;=EOMONTH(B1337,0))),30,MIN(30,IF(T1337=0,EOMONTH(B1337,0),MIN(T1337,EOMONTH(B1337,0)))-MAX(B1337,S1337)+1))))</f>
        <v/>
      </c>
    </row>
    <row r="1338" customFormat="false" ht="15" hidden="false" customHeight="false" outlineLevel="0" collapsed="false">
      <c r="B1338" s="78"/>
      <c r="C1338" s="64"/>
      <c r="D1338" s="70" t="str">
        <f aca="false">IF(C1338="","",IFERROR(INDEX(T_NOMBRE,MATCH(C1338,T_ID,0)),"⚠ ID no existe"))</f>
        <v/>
      </c>
      <c r="E1338" s="69"/>
      <c r="F1338" s="69"/>
      <c r="G1338" s="69"/>
      <c r="H1338" s="69"/>
      <c r="I1338" s="66"/>
      <c r="J1338" s="69"/>
      <c r="K1338" s="67"/>
      <c r="L1338" s="67"/>
      <c r="M1338" s="67"/>
      <c r="N1338" s="67"/>
      <c r="O1338" s="64"/>
      <c r="P1338" s="72" t="str">
        <f aca="false">IF(OR(B1338="",C1338=""),"",C1338&amp;"|"&amp;(YEAR(B1338)*100+MONTH(B1338)))</f>
        <v/>
      </c>
      <c r="Q1338" s="70" t="str">
        <f aca="false">IF(P1338="","",IF(COUNTIF(N_CLAVE,P1338)&gt;1,"⚠ Duplicado","OK"))</f>
        <v/>
      </c>
      <c r="R1338" s="74" t="str">
        <f aca="false">IF(OR(P1338="",U1338=""),"",MAX(0,U1338-N(E1338)-N(F1338)-N(H1338)))</f>
        <v/>
      </c>
      <c r="S1338" s="75" t="str">
        <f aca="false">IF(P1338="","",IFERROR(INDEX(T_INGRESO,MATCH(C1338,T_ID,0)),""))</f>
        <v/>
      </c>
      <c r="T1338" s="75" t="str">
        <f aca="false">IF(P1338="","",IFERROR(N(INDEX(T_EGRESO,MATCH(C1338,T_ID,0))),0))</f>
        <v/>
      </c>
      <c r="U1338" s="73" t="str">
        <f aca="false">IF(OR(P1338="",NOT(ISNUMBER(S1338))),"",IF(OR(S1338&gt;EOMONTH(B1338,0),AND(T1338&gt;0,T1338&lt;B1338)),0,IF(AND(S1338&lt;=B1338,OR(T1338=0,T1338&gt;=EOMONTH(B1338,0))),30,MIN(30,IF(T1338=0,EOMONTH(B1338,0),MIN(T1338,EOMONTH(B1338,0)))-MAX(B1338,S1338)+1))))</f>
        <v/>
      </c>
    </row>
    <row r="1339" customFormat="false" ht="15" hidden="false" customHeight="false" outlineLevel="0" collapsed="false">
      <c r="B1339" s="78"/>
      <c r="C1339" s="64"/>
      <c r="D1339" s="70" t="str">
        <f aca="false">IF(C1339="","",IFERROR(INDEX(T_NOMBRE,MATCH(C1339,T_ID,0)),"⚠ ID no existe"))</f>
        <v/>
      </c>
      <c r="E1339" s="69"/>
      <c r="F1339" s="69"/>
      <c r="G1339" s="69"/>
      <c r="H1339" s="69"/>
      <c r="I1339" s="66"/>
      <c r="J1339" s="69"/>
      <c r="K1339" s="67"/>
      <c r="L1339" s="67"/>
      <c r="M1339" s="67"/>
      <c r="N1339" s="67"/>
      <c r="O1339" s="64"/>
      <c r="P1339" s="72" t="str">
        <f aca="false">IF(OR(B1339="",C1339=""),"",C1339&amp;"|"&amp;(YEAR(B1339)*100+MONTH(B1339)))</f>
        <v/>
      </c>
      <c r="Q1339" s="70" t="str">
        <f aca="false">IF(P1339="","",IF(COUNTIF(N_CLAVE,P1339)&gt;1,"⚠ Duplicado","OK"))</f>
        <v/>
      </c>
      <c r="R1339" s="74" t="str">
        <f aca="false">IF(OR(P1339="",U1339=""),"",MAX(0,U1339-N(E1339)-N(F1339)-N(H1339)))</f>
        <v/>
      </c>
      <c r="S1339" s="75" t="str">
        <f aca="false">IF(P1339="","",IFERROR(INDEX(T_INGRESO,MATCH(C1339,T_ID,0)),""))</f>
        <v/>
      </c>
      <c r="T1339" s="75" t="str">
        <f aca="false">IF(P1339="","",IFERROR(N(INDEX(T_EGRESO,MATCH(C1339,T_ID,0))),0))</f>
        <v/>
      </c>
      <c r="U1339" s="73" t="str">
        <f aca="false">IF(OR(P1339="",NOT(ISNUMBER(S1339))),"",IF(OR(S1339&gt;EOMONTH(B1339,0),AND(T1339&gt;0,T1339&lt;B1339)),0,IF(AND(S1339&lt;=B1339,OR(T1339=0,T1339&gt;=EOMONTH(B1339,0))),30,MIN(30,IF(T1339=0,EOMONTH(B1339,0),MIN(T1339,EOMONTH(B1339,0)))-MAX(B1339,S1339)+1))))</f>
        <v/>
      </c>
    </row>
    <row r="1340" customFormat="false" ht="15" hidden="false" customHeight="false" outlineLevel="0" collapsed="false">
      <c r="B1340" s="78"/>
      <c r="C1340" s="64"/>
      <c r="D1340" s="70" t="str">
        <f aca="false">IF(C1340="","",IFERROR(INDEX(T_NOMBRE,MATCH(C1340,T_ID,0)),"⚠ ID no existe"))</f>
        <v/>
      </c>
      <c r="E1340" s="69"/>
      <c r="F1340" s="69"/>
      <c r="G1340" s="69"/>
      <c r="H1340" s="69"/>
      <c r="I1340" s="66"/>
      <c r="J1340" s="69"/>
      <c r="K1340" s="67"/>
      <c r="L1340" s="67"/>
      <c r="M1340" s="67"/>
      <c r="N1340" s="67"/>
      <c r="O1340" s="64"/>
      <c r="P1340" s="72" t="str">
        <f aca="false">IF(OR(B1340="",C1340=""),"",C1340&amp;"|"&amp;(YEAR(B1340)*100+MONTH(B1340)))</f>
        <v/>
      </c>
      <c r="Q1340" s="70" t="str">
        <f aca="false">IF(P1340="","",IF(COUNTIF(N_CLAVE,P1340)&gt;1,"⚠ Duplicado","OK"))</f>
        <v/>
      </c>
      <c r="R1340" s="74" t="str">
        <f aca="false">IF(OR(P1340="",U1340=""),"",MAX(0,U1340-N(E1340)-N(F1340)-N(H1340)))</f>
        <v/>
      </c>
      <c r="S1340" s="75" t="str">
        <f aca="false">IF(P1340="","",IFERROR(INDEX(T_INGRESO,MATCH(C1340,T_ID,0)),""))</f>
        <v/>
      </c>
      <c r="T1340" s="75" t="str">
        <f aca="false">IF(P1340="","",IFERROR(N(INDEX(T_EGRESO,MATCH(C1340,T_ID,0))),0))</f>
        <v/>
      </c>
      <c r="U1340" s="73" t="str">
        <f aca="false">IF(OR(P1340="",NOT(ISNUMBER(S1340))),"",IF(OR(S1340&gt;EOMONTH(B1340,0),AND(T1340&gt;0,T1340&lt;B1340)),0,IF(AND(S1340&lt;=B1340,OR(T1340=0,T1340&gt;=EOMONTH(B1340,0))),30,MIN(30,IF(T1340=0,EOMONTH(B1340,0),MIN(T1340,EOMONTH(B1340,0)))-MAX(B1340,S1340)+1))))</f>
        <v/>
      </c>
    </row>
    <row r="1341" customFormat="false" ht="15" hidden="false" customHeight="false" outlineLevel="0" collapsed="false">
      <c r="B1341" s="78"/>
      <c r="C1341" s="64"/>
      <c r="D1341" s="70" t="str">
        <f aca="false">IF(C1341="","",IFERROR(INDEX(T_NOMBRE,MATCH(C1341,T_ID,0)),"⚠ ID no existe"))</f>
        <v/>
      </c>
      <c r="E1341" s="69"/>
      <c r="F1341" s="69"/>
      <c r="G1341" s="69"/>
      <c r="H1341" s="69"/>
      <c r="I1341" s="66"/>
      <c r="J1341" s="69"/>
      <c r="K1341" s="67"/>
      <c r="L1341" s="67"/>
      <c r="M1341" s="67"/>
      <c r="N1341" s="67"/>
      <c r="O1341" s="64"/>
      <c r="P1341" s="72" t="str">
        <f aca="false">IF(OR(B1341="",C1341=""),"",C1341&amp;"|"&amp;(YEAR(B1341)*100+MONTH(B1341)))</f>
        <v/>
      </c>
      <c r="Q1341" s="70" t="str">
        <f aca="false">IF(P1341="","",IF(COUNTIF(N_CLAVE,P1341)&gt;1,"⚠ Duplicado","OK"))</f>
        <v/>
      </c>
      <c r="R1341" s="74" t="str">
        <f aca="false">IF(OR(P1341="",U1341=""),"",MAX(0,U1341-N(E1341)-N(F1341)-N(H1341)))</f>
        <v/>
      </c>
      <c r="S1341" s="75" t="str">
        <f aca="false">IF(P1341="","",IFERROR(INDEX(T_INGRESO,MATCH(C1341,T_ID,0)),""))</f>
        <v/>
      </c>
      <c r="T1341" s="75" t="str">
        <f aca="false">IF(P1341="","",IFERROR(N(INDEX(T_EGRESO,MATCH(C1341,T_ID,0))),0))</f>
        <v/>
      </c>
      <c r="U1341" s="73" t="str">
        <f aca="false">IF(OR(P1341="",NOT(ISNUMBER(S1341))),"",IF(OR(S1341&gt;EOMONTH(B1341,0),AND(T1341&gt;0,T1341&lt;B1341)),0,IF(AND(S1341&lt;=B1341,OR(T1341=0,T1341&gt;=EOMONTH(B1341,0))),30,MIN(30,IF(T1341=0,EOMONTH(B1341,0),MIN(T1341,EOMONTH(B1341,0)))-MAX(B1341,S1341)+1))))</f>
        <v/>
      </c>
    </row>
    <row r="1342" customFormat="false" ht="15" hidden="false" customHeight="false" outlineLevel="0" collapsed="false">
      <c r="B1342" s="78"/>
      <c r="C1342" s="64"/>
      <c r="D1342" s="70" t="str">
        <f aca="false">IF(C1342="","",IFERROR(INDEX(T_NOMBRE,MATCH(C1342,T_ID,0)),"⚠ ID no existe"))</f>
        <v/>
      </c>
      <c r="E1342" s="69"/>
      <c r="F1342" s="69"/>
      <c r="G1342" s="69"/>
      <c r="H1342" s="69"/>
      <c r="I1342" s="66"/>
      <c r="J1342" s="69"/>
      <c r="K1342" s="67"/>
      <c r="L1342" s="67"/>
      <c r="M1342" s="67"/>
      <c r="N1342" s="67"/>
      <c r="O1342" s="64"/>
      <c r="P1342" s="72" t="str">
        <f aca="false">IF(OR(B1342="",C1342=""),"",C1342&amp;"|"&amp;(YEAR(B1342)*100+MONTH(B1342)))</f>
        <v/>
      </c>
      <c r="Q1342" s="70" t="str">
        <f aca="false">IF(P1342="","",IF(COUNTIF(N_CLAVE,P1342)&gt;1,"⚠ Duplicado","OK"))</f>
        <v/>
      </c>
      <c r="R1342" s="74" t="str">
        <f aca="false">IF(OR(P1342="",U1342=""),"",MAX(0,U1342-N(E1342)-N(F1342)-N(H1342)))</f>
        <v/>
      </c>
      <c r="S1342" s="75" t="str">
        <f aca="false">IF(P1342="","",IFERROR(INDEX(T_INGRESO,MATCH(C1342,T_ID,0)),""))</f>
        <v/>
      </c>
      <c r="T1342" s="75" t="str">
        <f aca="false">IF(P1342="","",IFERROR(N(INDEX(T_EGRESO,MATCH(C1342,T_ID,0))),0))</f>
        <v/>
      </c>
      <c r="U1342" s="73" t="str">
        <f aca="false">IF(OR(P1342="",NOT(ISNUMBER(S1342))),"",IF(OR(S1342&gt;EOMONTH(B1342,0),AND(T1342&gt;0,T1342&lt;B1342)),0,IF(AND(S1342&lt;=B1342,OR(T1342=0,T1342&gt;=EOMONTH(B1342,0))),30,MIN(30,IF(T1342=0,EOMONTH(B1342,0),MIN(T1342,EOMONTH(B1342,0)))-MAX(B1342,S1342)+1))))</f>
        <v/>
      </c>
    </row>
    <row r="1343" customFormat="false" ht="15" hidden="false" customHeight="false" outlineLevel="0" collapsed="false">
      <c r="B1343" s="78"/>
      <c r="C1343" s="64"/>
      <c r="D1343" s="70" t="str">
        <f aca="false">IF(C1343="","",IFERROR(INDEX(T_NOMBRE,MATCH(C1343,T_ID,0)),"⚠ ID no existe"))</f>
        <v/>
      </c>
      <c r="E1343" s="69"/>
      <c r="F1343" s="69"/>
      <c r="G1343" s="69"/>
      <c r="H1343" s="69"/>
      <c r="I1343" s="66"/>
      <c r="J1343" s="69"/>
      <c r="K1343" s="67"/>
      <c r="L1343" s="67"/>
      <c r="M1343" s="67"/>
      <c r="N1343" s="67"/>
      <c r="O1343" s="64"/>
      <c r="P1343" s="72" t="str">
        <f aca="false">IF(OR(B1343="",C1343=""),"",C1343&amp;"|"&amp;(YEAR(B1343)*100+MONTH(B1343)))</f>
        <v/>
      </c>
      <c r="Q1343" s="70" t="str">
        <f aca="false">IF(P1343="","",IF(COUNTIF(N_CLAVE,P1343)&gt;1,"⚠ Duplicado","OK"))</f>
        <v/>
      </c>
      <c r="R1343" s="74" t="str">
        <f aca="false">IF(OR(P1343="",U1343=""),"",MAX(0,U1343-N(E1343)-N(F1343)-N(H1343)))</f>
        <v/>
      </c>
      <c r="S1343" s="75" t="str">
        <f aca="false">IF(P1343="","",IFERROR(INDEX(T_INGRESO,MATCH(C1343,T_ID,0)),""))</f>
        <v/>
      </c>
      <c r="T1343" s="75" t="str">
        <f aca="false">IF(P1343="","",IFERROR(N(INDEX(T_EGRESO,MATCH(C1343,T_ID,0))),0))</f>
        <v/>
      </c>
      <c r="U1343" s="73" t="str">
        <f aca="false">IF(OR(P1343="",NOT(ISNUMBER(S1343))),"",IF(OR(S1343&gt;EOMONTH(B1343,0),AND(T1343&gt;0,T1343&lt;B1343)),0,IF(AND(S1343&lt;=B1343,OR(T1343=0,T1343&gt;=EOMONTH(B1343,0))),30,MIN(30,IF(T1343=0,EOMONTH(B1343,0),MIN(T1343,EOMONTH(B1343,0)))-MAX(B1343,S1343)+1))))</f>
        <v/>
      </c>
    </row>
    <row r="1344" customFormat="false" ht="15" hidden="false" customHeight="false" outlineLevel="0" collapsed="false">
      <c r="B1344" s="78"/>
      <c r="C1344" s="64"/>
      <c r="D1344" s="70" t="str">
        <f aca="false">IF(C1344="","",IFERROR(INDEX(T_NOMBRE,MATCH(C1344,T_ID,0)),"⚠ ID no existe"))</f>
        <v/>
      </c>
      <c r="E1344" s="69"/>
      <c r="F1344" s="69"/>
      <c r="G1344" s="69"/>
      <c r="H1344" s="69"/>
      <c r="I1344" s="66"/>
      <c r="J1344" s="69"/>
      <c r="K1344" s="67"/>
      <c r="L1344" s="67"/>
      <c r="M1344" s="67"/>
      <c r="N1344" s="67"/>
      <c r="O1344" s="64"/>
      <c r="P1344" s="72" t="str">
        <f aca="false">IF(OR(B1344="",C1344=""),"",C1344&amp;"|"&amp;(YEAR(B1344)*100+MONTH(B1344)))</f>
        <v/>
      </c>
      <c r="Q1344" s="70" t="str">
        <f aca="false">IF(P1344="","",IF(COUNTIF(N_CLAVE,P1344)&gt;1,"⚠ Duplicado","OK"))</f>
        <v/>
      </c>
      <c r="R1344" s="74" t="str">
        <f aca="false">IF(OR(P1344="",U1344=""),"",MAX(0,U1344-N(E1344)-N(F1344)-N(H1344)))</f>
        <v/>
      </c>
      <c r="S1344" s="75" t="str">
        <f aca="false">IF(P1344="","",IFERROR(INDEX(T_INGRESO,MATCH(C1344,T_ID,0)),""))</f>
        <v/>
      </c>
      <c r="T1344" s="75" t="str">
        <f aca="false">IF(P1344="","",IFERROR(N(INDEX(T_EGRESO,MATCH(C1344,T_ID,0))),0))</f>
        <v/>
      </c>
      <c r="U1344" s="73" t="str">
        <f aca="false">IF(OR(P1344="",NOT(ISNUMBER(S1344))),"",IF(OR(S1344&gt;EOMONTH(B1344,0),AND(T1344&gt;0,T1344&lt;B1344)),0,IF(AND(S1344&lt;=B1344,OR(T1344=0,T1344&gt;=EOMONTH(B1344,0))),30,MIN(30,IF(T1344=0,EOMONTH(B1344,0),MIN(T1344,EOMONTH(B1344,0)))-MAX(B1344,S1344)+1))))</f>
        <v/>
      </c>
    </row>
    <row r="1345" customFormat="false" ht="15" hidden="false" customHeight="false" outlineLevel="0" collapsed="false">
      <c r="B1345" s="78"/>
      <c r="C1345" s="64"/>
      <c r="D1345" s="70" t="str">
        <f aca="false">IF(C1345="","",IFERROR(INDEX(T_NOMBRE,MATCH(C1345,T_ID,0)),"⚠ ID no existe"))</f>
        <v/>
      </c>
      <c r="E1345" s="69"/>
      <c r="F1345" s="69"/>
      <c r="G1345" s="69"/>
      <c r="H1345" s="69"/>
      <c r="I1345" s="66"/>
      <c r="J1345" s="69"/>
      <c r="K1345" s="67"/>
      <c r="L1345" s="67"/>
      <c r="M1345" s="67"/>
      <c r="N1345" s="67"/>
      <c r="O1345" s="64"/>
      <c r="P1345" s="72" t="str">
        <f aca="false">IF(OR(B1345="",C1345=""),"",C1345&amp;"|"&amp;(YEAR(B1345)*100+MONTH(B1345)))</f>
        <v/>
      </c>
      <c r="Q1345" s="70" t="str">
        <f aca="false">IF(P1345="","",IF(COUNTIF(N_CLAVE,P1345)&gt;1,"⚠ Duplicado","OK"))</f>
        <v/>
      </c>
      <c r="R1345" s="74" t="str">
        <f aca="false">IF(OR(P1345="",U1345=""),"",MAX(0,U1345-N(E1345)-N(F1345)-N(H1345)))</f>
        <v/>
      </c>
      <c r="S1345" s="75" t="str">
        <f aca="false">IF(P1345="","",IFERROR(INDEX(T_INGRESO,MATCH(C1345,T_ID,0)),""))</f>
        <v/>
      </c>
      <c r="T1345" s="75" t="str">
        <f aca="false">IF(P1345="","",IFERROR(N(INDEX(T_EGRESO,MATCH(C1345,T_ID,0))),0))</f>
        <v/>
      </c>
      <c r="U1345" s="73" t="str">
        <f aca="false">IF(OR(P1345="",NOT(ISNUMBER(S1345))),"",IF(OR(S1345&gt;EOMONTH(B1345,0),AND(T1345&gt;0,T1345&lt;B1345)),0,IF(AND(S1345&lt;=B1345,OR(T1345=0,T1345&gt;=EOMONTH(B1345,0))),30,MIN(30,IF(T1345=0,EOMONTH(B1345,0),MIN(T1345,EOMONTH(B1345,0)))-MAX(B1345,S1345)+1))))</f>
        <v/>
      </c>
    </row>
    <row r="1346" customFormat="false" ht="15" hidden="false" customHeight="false" outlineLevel="0" collapsed="false">
      <c r="B1346" s="78"/>
      <c r="C1346" s="64"/>
      <c r="D1346" s="70" t="str">
        <f aca="false">IF(C1346="","",IFERROR(INDEX(T_NOMBRE,MATCH(C1346,T_ID,0)),"⚠ ID no existe"))</f>
        <v/>
      </c>
      <c r="E1346" s="69"/>
      <c r="F1346" s="69"/>
      <c r="G1346" s="69"/>
      <c r="H1346" s="69"/>
      <c r="I1346" s="66"/>
      <c r="J1346" s="69"/>
      <c r="K1346" s="67"/>
      <c r="L1346" s="67"/>
      <c r="M1346" s="67"/>
      <c r="N1346" s="67"/>
      <c r="O1346" s="64"/>
      <c r="P1346" s="72" t="str">
        <f aca="false">IF(OR(B1346="",C1346=""),"",C1346&amp;"|"&amp;(YEAR(B1346)*100+MONTH(B1346)))</f>
        <v/>
      </c>
      <c r="Q1346" s="70" t="str">
        <f aca="false">IF(P1346="","",IF(COUNTIF(N_CLAVE,P1346)&gt;1,"⚠ Duplicado","OK"))</f>
        <v/>
      </c>
      <c r="R1346" s="74" t="str">
        <f aca="false">IF(OR(P1346="",U1346=""),"",MAX(0,U1346-N(E1346)-N(F1346)-N(H1346)))</f>
        <v/>
      </c>
      <c r="S1346" s="75" t="str">
        <f aca="false">IF(P1346="","",IFERROR(INDEX(T_INGRESO,MATCH(C1346,T_ID,0)),""))</f>
        <v/>
      </c>
      <c r="T1346" s="75" t="str">
        <f aca="false">IF(P1346="","",IFERROR(N(INDEX(T_EGRESO,MATCH(C1346,T_ID,0))),0))</f>
        <v/>
      </c>
      <c r="U1346" s="73" t="str">
        <f aca="false">IF(OR(P1346="",NOT(ISNUMBER(S1346))),"",IF(OR(S1346&gt;EOMONTH(B1346,0),AND(T1346&gt;0,T1346&lt;B1346)),0,IF(AND(S1346&lt;=B1346,OR(T1346=0,T1346&gt;=EOMONTH(B1346,0))),30,MIN(30,IF(T1346=0,EOMONTH(B1346,0),MIN(T1346,EOMONTH(B1346,0)))-MAX(B1346,S1346)+1))))</f>
        <v/>
      </c>
    </row>
    <row r="1347" customFormat="false" ht="15" hidden="false" customHeight="false" outlineLevel="0" collapsed="false">
      <c r="B1347" s="78"/>
      <c r="C1347" s="64"/>
      <c r="D1347" s="70" t="str">
        <f aca="false">IF(C1347="","",IFERROR(INDEX(T_NOMBRE,MATCH(C1347,T_ID,0)),"⚠ ID no existe"))</f>
        <v/>
      </c>
      <c r="E1347" s="69"/>
      <c r="F1347" s="69"/>
      <c r="G1347" s="69"/>
      <c r="H1347" s="69"/>
      <c r="I1347" s="66"/>
      <c r="J1347" s="69"/>
      <c r="K1347" s="67"/>
      <c r="L1347" s="67"/>
      <c r="M1347" s="67"/>
      <c r="N1347" s="67"/>
      <c r="O1347" s="64"/>
      <c r="P1347" s="72" t="str">
        <f aca="false">IF(OR(B1347="",C1347=""),"",C1347&amp;"|"&amp;(YEAR(B1347)*100+MONTH(B1347)))</f>
        <v/>
      </c>
      <c r="Q1347" s="70" t="str">
        <f aca="false">IF(P1347="","",IF(COUNTIF(N_CLAVE,P1347)&gt;1,"⚠ Duplicado","OK"))</f>
        <v/>
      </c>
      <c r="R1347" s="74" t="str">
        <f aca="false">IF(OR(P1347="",U1347=""),"",MAX(0,U1347-N(E1347)-N(F1347)-N(H1347)))</f>
        <v/>
      </c>
      <c r="S1347" s="75" t="str">
        <f aca="false">IF(P1347="","",IFERROR(INDEX(T_INGRESO,MATCH(C1347,T_ID,0)),""))</f>
        <v/>
      </c>
      <c r="T1347" s="75" t="str">
        <f aca="false">IF(P1347="","",IFERROR(N(INDEX(T_EGRESO,MATCH(C1347,T_ID,0))),0))</f>
        <v/>
      </c>
      <c r="U1347" s="73" t="str">
        <f aca="false">IF(OR(P1347="",NOT(ISNUMBER(S1347))),"",IF(OR(S1347&gt;EOMONTH(B1347,0),AND(T1347&gt;0,T1347&lt;B1347)),0,IF(AND(S1347&lt;=B1347,OR(T1347=0,T1347&gt;=EOMONTH(B1347,0))),30,MIN(30,IF(T1347=0,EOMONTH(B1347,0),MIN(T1347,EOMONTH(B1347,0)))-MAX(B1347,S1347)+1))))</f>
        <v/>
      </c>
    </row>
    <row r="1348" customFormat="false" ht="15" hidden="false" customHeight="false" outlineLevel="0" collapsed="false">
      <c r="B1348" s="78"/>
      <c r="C1348" s="64"/>
      <c r="D1348" s="70" t="str">
        <f aca="false">IF(C1348="","",IFERROR(INDEX(T_NOMBRE,MATCH(C1348,T_ID,0)),"⚠ ID no existe"))</f>
        <v/>
      </c>
      <c r="E1348" s="69"/>
      <c r="F1348" s="69"/>
      <c r="G1348" s="69"/>
      <c r="H1348" s="69"/>
      <c r="I1348" s="66"/>
      <c r="J1348" s="69"/>
      <c r="K1348" s="67"/>
      <c r="L1348" s="67"/>
      <c r="M1348" s="67"/>
      <c r="N1348" s="67"/>
      <c r="O1348" s="64"/>
      <c r="P1348" s="72" t="str">
        <f aca="false">IF(OR(B1348="",C1348=""),"",C1348&amp;"|"&amp;(YEAR(B1348)*100+MONTH(B1348)))</f>
        <v/>
      </c>
      <c r="Q1348" s="70" t="str">
        <f aca="false">IF(P1348="","",IF(COUNTIF(N_CLAVE,P1348)&gt;1,"⚠ Duplicado","OK"))</f>
        <v/>
      </c>
      <c r="R1348" s="74" t="str">
        <f aca="false">IF(OR(P1348="",U1348=""),"",MAX(0,U1348-N(E1348)-N(F1348)-N(H1348)))</f>
        <v/>
      </c>
      <c r="S1348" s="75" t="str">
        <f aca="false">IF(P1348="","",IFERROR(INDEX(T_INGRESO,MATCH(C1348,T_ID,0)),""))</f>
        <v/>
      </c>
      <c r="T1348" s="75" t="str">
        <f aca="false">IF(P1348="","",IFERROR(N(INDEX(T_EGRESO,MATCH(C1348,T_ID,0))),0))</f>
        <v/>
      </c>
      <c r="U1348" s="73" t="str">
        <f aca="false">IF(OR(P1348="",NOT(ISNUMBER(S1348))),"",IF(OR(S1348&gt;EOMONTH(B1348,0),AND(T1348&gt;0,T1348&lt;B1348)),0,IF(AND(S1348&lt;=B1348,OR(T1348=0,T1348&gt;=EOMONTH(B1348,0))),30,MIN(30,IF(T1348=0,EOMONTH(B1348,0),MIN(T1348,EOMONTH(B1348,0)))-MAX(B1348,S1348)+1))))</f>
        <v/>
      </c>
    </row>
    <row r="1349" customFormat="false" ht="15" hidden="false" customHeight="false" outlineLevel="0" collapsed="false">
      <c r="B1349" s="78"/>
      <c r="C1349" s="64"/>
      <c r="D1349" s="70" t="str">
        <f aca="false">IF(C1349="","",IFERROR(INDEX(T_NOMBRE,MATCH(C1349,T_ID,0)),"⚠ ID no existe"))</f>
        <v/>
      </c>
      <c r="E1349" s="69"/>
      <c r="F1349" s="69"/>
      <c r="G1349" s="69"/>
      <c r="H1349" s="69"/>
      <c r="I1349" s="66"/>
      <c r="J1349" s="69"/>
      <c r="K1349" s="67"/>
      <c r="L1349" s="67"/>
      <c r="M1349" s="67"/>
      <c r="N1349" s="67"/>
      <c r="O1349" s="64"/>
      <c r="P1349" s="72" t="str">
        <f aca="false">IF(OR(B1349="",C1349=""),"",C1349&amp;"|"&amp;(YEAR(B1349)*100+MONTH(B1349)))</f>
        <v/>
      </c>
      <c r="Q1349" s="70" t="str">
        <f aca="false">IF(P1349="","",IF(COUNTIF(N_CLAVE,P1349)&gt;1,"⚠ Duplicado","OK"))</f>
        <v/>
      </c>
      <c r="R1349" s="74" t="str">
        <f aca="false">IF(OR(P1349="",U1349=""),"",MAX(0,U1349-N(E1349)-N(F1349)-N(H1349)))</f>
        <v/>
      </c>
      <c r="S1349" s="75" t="str">
        <f aca="false">IF(P1349="","",IFERROR(INDEX(T_INGRESO,MATCH(C1349,T_ID,0)),""))</f>
        <v/>
      </c>
      <c r="T1349" s="75" t="str">
        <f aca="false">IF(P1349="","",IFERROR(N(INDEX(T_EGRESO,MATCH(C1349,T_ID,0))),0))</f>
        <v/>
      </c>
      <c r="U1349" s="73" t="str">
        <f aca="false">IF(OR(P1349="",NOT(ISNUMBER(S1349))),"",IF(OR(S1349&gt;EOMONTH(B1349,0),AND(T1349&gt;0,T1349&lt;B1349)),0,IF(AND(S1349&lt;=B1349,OR(T1349=0,T1349&gt;=EOMONTH(B1349,0))),30,MIN(30,IF(T1349=0,EOMONTH(B1349,0),MIN(T1349,EOMONTH(B1349,0)))-MAX(B1349,S1349)+1))))</f>
        <v/>
      </c>
    </row>
    <row r="1350" customFormat="false" ht="15" hidden="false" customHeight="false" outlineLevel="0" collapsed="false">
      <c r="B1350" s="78"/>
      <c r="C1350" s="64"/>
      <c r="D1350" s="70" t="str">
        <f aca="false">IF(C1350="","",IFERROR(INDEX(T_NOMBRE,MATCH(C1350,T_ID,0)),"⚠ ID no existe"))</f>
        <v/>
      </c>
      <c r="E1350" s="69"/>
      <c r="F1350" s="69"/>
      <c r="G1350" s="69"/>
      <c r="H1350" s="69"/>
      <c r="I1350" s="66"/>
      <c r="J1350" s="69"/>
      <c r="K1350" s="67"/>
      <c r="L1350" s="67"/>
      <c r="M1350" s="67"/>
      <c r="N1350" s="67"/>
      <c r="O1350" s="64"/>
      <c r="P1350" s="72" t="str">
        <f aca="false">IF(OR(B1350="",C1350=""),"",C1350&amp;"|"&amp;(YEAR(B1350)*100+MONTH(B1350)))</f>
        <v/>
      </c>
      <c r="Q1350" s="70" t="str">
        <f aca="false">IF(P1350="","",IF(COUNTIF(N_CLAVE,P1350)&gt;1,"⚠ Duplicado","OK"))</f>
        <v/>
      </c>
      <c r="R1350" s="74" t="str">
        <f aca="false">IF(OR(P1350="",U1350=""),"",MAX(0,U1350-N(E1350)-N(F1350)-N(H1350)))</f>
        <v/>
      </c>
      <c r="S1350" s="75" t="str">
        <f aca="false">IF(P1350="","",IFERROR(INDEX(T_INGRESO,MATCH(C1350,T_ID,0)),""))</f>
        <v/>
      </c>
      <c r="T1350" s="75" t="str">
        <f aca="false">IF(P1350="","",IFERROR(N(INDEX(T_EGRESO,MATCH(C1350,T_ID,0))),0))</f>
        <v/>
      </c>
      <c r="U1350" s="73" t="str">
        <f aca="false">IF(OR(P1350="",NOT(ISNUMBER(S1350))),"",IF(OR(S1350&gt;EOMONTH(B1350,0),AND(T1350&gt;0,T1350&lt;B1350)),0,IF(AND(S1350&lt;=B1350,OR(T1350=0,T1350&gt;=EOMONTH(B1350,0))),30,MIN(30,IF(T1350=0,EOMONTH(B1350,0),MIN(T1350,EOMONTH(B1350,0)))-MAX(B1350,S1350)+1))))</f>
        <v/>
      </c>
    </row>
    <row r="1351" customFormat="false" ht="15" hidden="false" customHeight="false" outlineLevel="0" collapsed="false">
      <c r="B1351" s="78"/>
      <c r="C1351" s="64"/>
      <c r="D1351" s="70" t="str">
        <f aca="false">IF(C1351="","",IFERROR(INDEX(T_NOMBRE,MATCH(C1351,T_ID,0)),"⚠ ID no existe"))</f>
        <v/>
      </c>
      <c r="E1351" s="69"/>
      <c r="F1351" s="69"/>
      <c r="G1351" s="69"/>
      <c r="H1351" s="69"/>
      <c r="I1351" s="66"/>
      <c r="J1351" s="69"/>
      <c r="K1351" s="67"/>
      <c r="L1351" s="67"/>
      <c r="M1351" s="67"/>
      <c r="N1351" s="67"/>
      <c r="O1351" s="64"/>
      <c r="P1351" s="72" t="str">
        <f aca="false">IF(OR(B1351="",C1351=""),"",C1351&amp;"|"&amp;(YEAR(B1351)*100+MONTH(B1351)))</f>
        <v/>
      </c>
      <c r="Q1351" s="70" t="str">
        <f aca="false">IF(P1351="","",IF(COUNTIF(N_CLAVE,P1351)&gt;1,"⚠ Duplicado","OK"))</f>
        <v/>
      </c>
      <c r="R1351" s="74" t="str">
        <f aca="false">IF(OR(P1351="",U1351=""),"",MAX(0,U1351-N(E1351)-N(F1351)-N(H1351)))</f>
        <v/>
      </c>
      <c r="S1351" s="75" t="str">
        <f aca="false">IF(P1351="","",IFERROR(INDEX(T_INGRESO,MATCH(C1351,T_ID,0)),""))</f>
        <v/>
      </c>
      <c r="T1351" s="75" t="str">
        <f aca="false">IF(P1351="","",IFERROR(N(INDEX(T_EGRESO,MATCH(C1351,T_ID,0))),0))</f>
        <v/>
      </c>
      <c r="U1351" s="73" t="str">
        <f aca="false">IF(OR(P1351="",NOT(ISNUMBER(S1351))),"",IF(OR(S1351&gt;EOMONTH(B1351,0),AND(T1351&gt;0,T1351&lt;B1351)),0,IF(AND(S1351&lt;=B1351,OR(T1351=0,T1351&gt;=EOMONTH(B1351,0))),30,MIN(30,IF(T1351=0,EOMONTH(B1351,0),MIN(T1351,EOMONTH(B1351,0)))-MAX(B1351,S1351)+1))))</f>
        <v/>
      </c>
    </row>
    <row r="1352" customFormat="false" ht="15" hidden="false" customHeight="false" outlineLevel="0" collapsed="false">
      <c r="B1352" s="78"/>
      <c r="C1352" s="64"/>
      <c r="D1352" s="70" t="str">
        <f aca="false">IF(C1352="","",IFERROR(INDEX(T_NOMBRE,MATCH(C1352,T_ID,0)),"⚠ ID no existe"))</f>
        <v/>
      </c>
      <c r="E1352" s="69"/>
      <c r="F1352" s="69"/>
      <c r="G1352" s="69"/>
      <c r="H1352" s="69"/>
      <c r="I1352" s="66"/>
      <c r="J1352" s="69"/>
      <c r="K1352" s="67"/>
      <c r="L1352" s="67"/>
      <c r="M1352" s="67"/>
      <c r="N1352" s="67"/>
      <c r="O1352" s="64"/>
      <c r="P1352" s="72" t="str">
        <f aca="false">IF(OR(B1352="",C1352=""),"",C1352&amp;"|"&amp;(YEAR(B1352)*100+MONTH(B1352)))</f>
        <v/>
      </c>
      <c r="Q1352" s="70" t="str">
        <f aca="false">IF(P1352="","",IF(COUNTIF(N_CLAVE,P1352)&gt;1,"⚠ Duplicado","OK"))</f>
        <v/>
      </c>
      <c r="R1352" s="74" t="str">
        <f aca="false">IF(OR(P1352="",U1352=""),"",MAX(0,U1352-N(E1352)-N(F1352)-N(H1352)))</f>
        <v/>
      </c>
      <c r="S1352" s="75" t="str">
        <f aca="false">IF(P1352="","",IFERROR(INDEX(T_INGRESO,MATCH(C1352,T_ID,0)),""))</f>
        <v/>
      </c>
      <c r="T1352" s="75" t="str">
        <f aca="false">IF(P1352="","",IFERROR(N(INDEX(T_EGRESO,MATCH(C1352,T_ID,0))),0))</f>
        <v/>
      </c>
      <c r="U1352" s="73" t="str">
        <f aca="false">IF(OR(P1352="",NOT(ISNUMBER(S1352))),"",IF(OR(S1352&gt;EOMONTH(B1352,0),AND(T1352&gt;0,T1352&lt;B1352)),0,IF(AND(S1352&lt;=B1352,OR(T1352=0,T1352&gt;=EOMONTH(B1352,0))),30,MIN(30,IF(T1352=0,EOMONTH(B1352,0),MIN(T1352,EOMONTH(B1352,0)))-MAX(B1352,S1352)+1))))</f>
        <v/>
      </c>
    </row>
    <row r="1353" customFormat="false" ht="15" hidden="false" customHeight="false" outlineLevel="0" collapsed="false">
      <c r="B1353" s="78"/>
      <c r="C1353" s="64"/>
      <c r="D1353" s="70" t="str">
        <f aca="false">IF(C1353="","",IFERROR(INDEX(T_NOMBRE,MATCH(C1353,T_ID,0)),"⚠ ID no existe"))</f>
        <v/>
      </c>
      <c r="E1353" s="69"/>
      <c r="F1353" s="69"/>
      <c r="G1353" s="69"/>
      <c r="H1353" s="69"/>
      <c r="I1353" s="66"/>
      <c r="J1353" s="69"/>
      <c r="K1353" s="67"/>
      <c r="L1353" s="67"/>
      <c r="M1353" s="67"/>
      <c r="N1353" s="67"/>
      <c r="O1353" s="64"/>
      <c r="P1353" s="72" t="str">
        <f aca="false">IF(OR(B1353="",C1353=""),"",C1353&amp;"|"&amp;(YEAR(B1353)*100+MONTH(B1353)))</f>
        <v/>
      </c>
      <c r="Q1353" s="70" t="str">
        <f aca="false">IF(P1353="","",IF(COUNTIF(N_CLAVE,P1353)&gt;1,"⚠ Duplicado","OK"))</f>
        <v/>
      </c>
      <c r="R1353" s="74" t="str">
        <f aca="false">IF(OR(P1353="",U1353=""),"",MAX(0,U1353-N(E1353)-N(F1353)-N(H1353)))</f>
        <v/>
      </c>
      <c r="S1353" s="75" t="str">
        <f aca="false">IF(P1353="","",IFERROR(INDEX(T_INGRESO,MATCH(C1353,T_ID,0)),""))</f>
        <v/>
      </c>
      <c r="T1353" s="75" t="str">
        <f aca="false">IF(P1353="","",IFERROR(N(INDEX(T_EGRESO,MATCH(C1353,T_ID,0))),0))</f>
        <v/>
      </c>
      <c r="U1353" s="73" t="str">
        <f aca="false">IF(OR(P1353="",NOT(ISNUMBER(S1353))),"",IF(OR(S1353&gt;EOMONTH(B1353,0),AND(T1353&gt;0,T1353&lt;B1353)),0,IF(AND(S1353&lt;=B1353,OR(T1353=0,T1353&gt;=EOMONTH(B1353,0))),30,MIN(30,IF(T1353=0,EOMONTH(B1353,0),MIN(T1353,EOMONTH(B1353,0)))-MAX(B1353,S1353)+1))))</f>
        <v/>
      </c>
    </row>
    <row r="1354" customFormat="false" ht="15" hidden="false" customHeight="false" outlineLevel="0" collapsed="false">
      <c r="B1354" s="78"/>
      <c r="C1354" s="64"/>
      <c r="D1354" s="70" t="str">
        <f aca="false">IF(C1354="","",IFERROR(INDEX(T_NOMBRE,MATCH(C1354,T_ID,0)),"⚠ ID no existe"))</f>
        <v/>
      </c>
      <c r="E1354" s="69"/>
      <c r="F1354" s="69"/>
      <c r="G1354" s="69"/>
      <c r="H1354" s="69"/>
      <c r="I1354" s="66"/>
      <c r="J1354" s="69"/>
      <c r="K1354" s="67"/>
      <c r="L1354" s="67"/>
      <c r="M1354" s="67"/>
      <c r="N1354" s="67"/>
      <c r="O1354" s="64"/>
      <c r="P1354" s="72" t="str">
        <f aca="false">IF(OR(B1354="",C1354=""),"",C1354&amp;"|"&amp;(YEAR(B1354)*100+MONTH(B1354)))</f>
        <v/>
      </c>
      <c r="Q1354" s="70" t="str">
        <f aca="false">IF(P1354="","",IF(COUNTIF(N_CLAVE,P1354)&gt;1,"⚠ Duplicado","OK"))</f>
        <v/>
      </c>
      <c r="R1354" s="74" t="str">
        <f aca="false">IF(OR(P1354="",U1354=""),"",MAX(0,U1354-N(E1354)-N(F1354)-N(H1354)))</f>
        <v/>
      </c>
      <c r="S1354" s="75" t="str">
        <f aca="false">IF(P1354="","",IFERROR(INDEX(T_INGRESO,MATCH(C1354,T_ID,0)),""))</f>
        <v/>
      </c>
      <c r="T1354" s="75" t="str">
        <f aca="false">IF(P1354="","",IFERROR(N(INDEX(T_EGRESO,MATCH(C1354,T_ID,0))),0))</f>
        <v/>
      </c>
      <c r="U1354" s="73" t="str">
        <f aca="false">IF(OR(P1354="",NOT(ISNUMBER(S1354))),"",IF(OR(S1354&gt;EOMONTH(B1354,0),AND(T1354&gt;0,T1354&lt;B1354)),0,IF(AND(S1354&lt;=B1354,OR(T1354=0,T1354&gt;=EOMONTH(B1354,0))),30,MIN(30,IF(T1354=0,EOMONTH(B1354,0),MIN(T1354,EOMONTH(B1354,0)))-MAX(B1354,S1354)+1))))</f>
        <v/>
      </c>
    </row>
    <row r="1355" customFormat="false" ht="15" hidden="false" customHeight="false" outlineLevel="0" collapsed="false">
      <c r="B1355" s="78"/>
      <c r="C1355" s="64"/>
      <c r="D1355" s="70" t="str">
        <f aca="false">IF(C1355="","",IFERROR(INDEX(T_NOMBRE,MATCH(C1355,T_ID,0)),"⚠ ID no existe"))</f>
        <v/>
      </c>
      <c r="E1355" s="69"/>
      <c r="F1355" s="69"/>
      <c r="G1355" s="69"/>
      <c r="H1355" s="69"/>
      <c r="I1355" s="66"/>
      <c r="J1355" s="69"/>
      <c r="K1355" s="67"/>
      <c r="L1355" s="67"/>
      <c r="M1355" s="67"/>
      <c r="N1355" s="67"/>
      <c r="O1355" s="64"/>
      <c r="P1355" s="72" t="str">
        <f aca="false">IF(OR(B1355="",C1355=""),"",C1355&amp;"|"&amp;(YEAR(B1355)*100+MONTH(B1355)))</f>
        <v/>
      </c>
      <c r="Q1355" s="70" t="str">
        <f aca="false">IF(P1355="","",IF(COUNTIF(N_CLAVE,P1355)&gt;1,"⚠ Duplicado","OK"))</f>
        <v/>
      </c>
      <c r="R1355" s="74" t="str">
        <f aca="false">IF(OR(P1355="",U1355=""),"",MAX(0,U1355-N(E1355)-N(F1355)-N(H1355)))</f>
        <v/>
      </c>
      <c r="S1355" s="75" t="str">
        <f aca="false">IF(P1355="","",IFERROR(INDEX(T_INGRESO,MATCH(C1355,T_ID,0)),""))</f>
        <v/>
      </c>
      <c r="T1355" s="75" t="str">
        <f aca="false">IF(P1355="","",IFERROR(N(INDEX(T_EGRESO,MATCH(C1355,T_ID,0))),0))</f>
        <v/>
      </c>
      <c r="U1355" s="73" t="str">
        <f aca="false">IF(OR(P1355="",NOT(ISNUMBER(S1355))),"",IF(OR(S1355&gt;EOMONTH(B1355,0),AND(T1355&gt;0,T1355&lt;B1355)),0,IF(AND(S1355&lt;=B1355,OR(T1355=0,T1355&gt;=EOMONTH(B1355,0))),30,MIN(30,IF(T1355=0,EOMONTH(B1355,0),MIN(T1355,EOMONTH(B1355,0)))-MAX(B1355,S1355)+1))))</f>
        <v/>
      </c>
    </row>
    <row r="1356" customFormat="false" ht="15" hidden="false" customHeight="false" outlineLevel="0" collapsed="false">
      <c r="B1356" s="78"/>
      <c r="C1356" s="64"/>
      <c r="D1356" s="70" t="str">
        <f aca="false">IF(C1356="","",IFERROR(INDEX(T_NOMBRE,MATCH(C1356,T_ID,0)),"⚠ ID no existe"))</f>
        <v/>
      </c>
      <c r="E1356" s="69"/>
      <c r="F1356" s="69"/>
      <c r="G1356" s="69"/>
      <c r="H1356" s="69"/>
      <c r="I1356" s="66"/>
      <c r="J1356" s="69"/>
      <c r="K1356" s="67"/>
      <c r="L1356" s="67"/>
      <c r="M1356" s="67"/>
      <c r="N1356" s="67"/>
      <c r="O1356" s="64"/>
      <c r="P1356" s="72" t="str">
        <f aca="false">IF(OR(B1356="",C1356=""),"",C1356&amp;"|"&amp;(YEAR(B1356)*100+MONTH(B1356)))</f>
        <v/>
      </c>
      <c r="Q1356" s="70" t="str">
        <f aca="false">IF(P1356="","",IF(COUNTIF(N_CLAVE,P1356)&gt;1,"⚠ Duplicado","OK"))</f>
        <v/>
      </c>
      <c r="R1356" s="74" t="str">
        <f aca="false">IF(OR(P1356="",U1356=""),"",MAX(0,U1356-N(E1356)-N(F1356)-N(H1356)))</f>
        <v/>
      </c>
      <c r="S1356" s="75" t="str">
        <f aca="false">IF(P1356="","",IFERROR(INDEX(T_INGRESO,MATCH(C1356,T_ID,0)),""))</f>
        <v/>
      </c>
      <c r="T1356" s="75" t="str">
        <f aca="false">IF(P1356="","",IFERROR(N(INDEX(T_EGRESO,MATCH(C1356,T_ID,0))),0))</f>
        <v/>
      </c>
      <c r="U1356" s="73" t="str">
        <f aca="false">IF(OR(P1356="",NOT(ISNUMBER(S1356))),"",IF(OR(S1356&gt;EOMONTH(B1356,0),AND(T1356&gt;0,T1356&lt;B1356)),0,IF(AND(S1356&lt;=B1356,OR(T1356=0,T1356&gt;=EOMONTH(B1356,0))),30,MIN(30,IF(T1356=0,EOMONTH(B1356,0),MIN(T1356,EOMONTH(B1356,0)))-MAX(B1356,S1356)+1))))</f>
        <v/>
      </c>
    </row>
    <row r="1357" customFormat="false" ht="15" hidden="false" customHeight="false" outlineLevel="0" collapsed="false">
      <c r="B1357" s="78"/>
      <c r="C1357" s="64"/>
      <c r="D1357" s="70" t="str">
        <f aca="false">IF(C1357="","",IFERROR(INDEX(T_NOMBRE,MATCH(C1357,T_ID,0)),"⚠ ID no existe"))</f>
        <v/>
      </c>
      <c r="E1357" s="69"/>
      <c r="F1357" s="69"/>
      <c r="G1357" s="69"/>
      <c r="H1357" s="69"/>
      <c r="I1357" s="66"/>
      <c r="J1357" s="69"/>
      <c r="K1357" s="67"/>
      <c r="L1357" s="67"/>
      <c r="M1357" s="67"/>
      <c r="N1357" s="67"/>
      <c r="O1357" s="64"/>
      <c r="P1357" s="72" t="str">
        <f aca="false">IF(OR(B1357="",C1357=""),"",C1357&amp;"|"&amp;(YEAR(B1357)*100+MONTH(B1357)))</f>
        <v/>
      </c>
      <c r="Q1357" s="70" t="str">
        <f aca="false">IF(P1357="","",IF(COUNTIF(N_CLAVE,P1357)&gt;1,"⚠ Duplicado","OK"))</f>
        <v/>
      </c>
      <c r="R1357" s="74" t="str">
        <f aca="false">IF(OR(P1357="",U1357=""),"",MAX(0,U1357-N(E1357)-N(F1357)-N(H1357)))</f>
        <v/>
      </c>
      <c r="S1357" s="75" t="str">
        <f aca="false">IF(P1357="","",IFERROR(INDEX(T_INGRESO,MATCH(C1357,T_ID,0)),""))</f>
        <v/>
      </c>
      <c r="T1357" s="75" t="str">
        <f aca="false">IF(P1357="","",IFERROR(N(INDEX(T_EGRESO,MATCH(C1357,T_ID,0))),0))</f>
        <v/>
      </c>
      <c r="U1357" s="73" t="str">
        <f aca="false">IF(OR(P1357="",NOT(ISNUMBER(S1357))),"",IF(OR(S1357&gt;EOMONTH(B1357,0),AND(T1357&gt;0,T1357&lt;B1357)),0,IF(AND(S1357&lt;=B1357,OR(T1357=0,T1357&gt;=EOMONTH(B1357,0))),30,MIN(30,IF(T1357=0,EOMONTH(B1357,0),MIN(T1357,EOMONTH(B1357,0)))-MAX(B1357,S1357)+1))))</f>
        <v/>
      </c>
    </row>
    <row r="1358" customFormat="false" ht="15" hidden="false" customHeight="false" outlineLevel="0" collapsed="false">
      <c r="B1358" s="78"/>
      <c r="C1358" s="64"/>
      <c r="D1358" s="70" t="str">
        <f aca="false">IF(C1358="","",IFERROR(INDEX(T_NOMBRE,MATCH(C1358,T_ID,0)),"⚠ ID no existe"))</f>
        <v/>
      </c>
      <c r="E1358" s="69"/>
      <c r="F1358" s="69"/>
      <c r="G1358" s="69"/>
      <c r="H1358" s="69"/>
      <c r="I1358" s="66"/>
      <c r="J1358" s="69"/>
      <c r="K1358" s="67"/>
      <c r="L1358" s="67"/>
      <c r="M1358" s="67"/>
      <c r="N1358" s="67"/>
      <c r="O1358" s="64"/>
      <c r="P1358" s="72" t="str">
        <f aca="false">IF(OR(B1358="",C1358=""),"",C1358&amp;"|"&amp;(YEAR(B1358)*100+MONTH(B1358)))</f>
        <v/>
      </c>
      <c r="Q1358" s="70" t="str">
        <f aca="false">IF(P1358="","",IF(COUNTIF(N_CLAVE,P1358)&gt;1,"⚠ Duplicado","OK"))</f>
        <v/>
      </c>
      <c r="R1358" s="74" t="str">
        <f aca="false">IF(OR(P1358="",U1358=""),"",MAX(0,U1358-N(E1358)-N(F1358)-N(H1358)))</f>
        <v/>
      </c>
      <c r="S1358" s="75" t="str">
        <f aca="false">IF(P1358="","",IFERROR(INDEX(T_INGRESO,MATCH(C1358,T_ID,0)),""))</f>
        <v/>
      </c>
      <c r="T1358" s="75" t="str">
        <f aca="false">IF(P1358="","",IFERROR(N(INDEX(T_EGRESO,MATCH(C1358,T_ID,0))),0))</f>
        <v/>
      </c>
      <c r="U1358" s="73" t="str">
        <f aca="false">IF(OR(P1358="",NOT(ISNUMBER(S1358))),"",IF(OR(S1358&gt;EOMONTH(B1358,0),AND(T1358&gt;0,T1358&lt;B1358)),0,IF(AND(S1358&lt;=B1358,OR(T1358=0,T1358&gt;=EOMONTH(B1358,0))),30,MIN(30,IF(T1358=0,EOMONTH(B1358,0),MIN(T1358,EOMONTH(B1358,0)))-MAX(B1358,S1358)+1))))</f>
        <v/>
      </c>
    </row>
    <row r="1359" customFormat="false" ht="15" hidden="false" customHeight="false" outlineLevel="0" collapsed="false">
      <c r="B1359" s="78"/>
      <c r="C1359" s="64"/>
      <c r="D1359" s="70" t="str">
        <f aca="false">IF(C1359="","",IFERROR(INDEX(T_NOMBRE,MATCH(C1359,T_ID,0)),"⚠ ID no existe"))</f>
        <v/>
      </c>
      <c r="E1359" s="69"/>
      <c r="F1359" s="69"/>
      <c r="G1359" s="69"/>
      <c r="H1359" s="69"/>
      <c r="I1359" s="66"/>
      <c r="J1359" s="69"/>
      <c r="K1359" s="67"/>
      <c r="L1359" s="67"/>
      <c r="M1359" s="67"/>
      <c r="N1359" s="67"/>
      <c r="O1359" s="64"/>
      <c r="P1359" s="72" t="str">
        <f aca="false">IF(OR(B1359="",C1359=""),"",C1359&amp;"|"&amp;(YEAR(B1359)*100+MONTH(B1359)))</f>
        <v/>
      </c>
      <c r="Q1359" s="70" t="str">
        <f aca="false">IF(P1359="","",IF(COUNTIF(N_CLAVE,P1359)&gt;1,"⚠ Duplicado","OK"))</f>
        <v/>
      </c>
      <c r="R1359" s="74" t="str">
        <f aca="false">IF(OR(P1359="",U1359=""),"",MAX(0,U1359-N(E1359)-N(F1359)-N(H1359)))</f>
        <v/>
      </c>
      <c r="S1359" s="75" t="str">
        <f aca="false">IF(P1359="","",IFERROR(INDEX(T_INGRESO,MATCH(C1359,T_ID,0)),""))</f>
        <v/>
      </c>
      <c r="T1359" s="75" t="str">
        <f aca="false">IF(P1359="","",IFERROR(N(INDEX(T_EGRESO,MATCH(C1359,T_ID,0))),0))</f>
        <v/>
      </c>
      <c r="U1359" s="73" t="str">
        <f aca="false">IF(OR(P1359="",NOT(ISNUMBER(S1359))),"",IF(OR(S1359&gt;EOMONTH(B1359,0),AND(T1359&gt;0,T1359&lt;B1359)),0,IF(AND(S1359&lt;=B1359,OR(T1359=0,T1359&gt;=EOMONTH(B1359,0))),30,MIN(30,IF(T1359=0,EOMONTH(B1359,0),MIN(T1359,EOMONTH(B1359,0)))-MAX(B1359,S1359)+1))))</f>
        <v/>
      </c>
    </row>
    <row r="1360" customFormat="false" ht="15" hidden="false" customHeight="false" outlineLevel="0" collapsed="false">
      <c r="B1360" s="78"/>
      <c r="C1360" s="64"/>
      <c r="D1360" s="70" t="str">
        <f aca="false">IF(C1360="","",IFERROR(INDEX(T_NOMBRE,MATCH(C1360,T_ID,0)),"⚠ ID no existe"))</f>
        <v/>
      </c>
      <c r="E1360" s="69"/>
      <c r="F1360" s="69"/>
      <c r="G1360" s="69"/>
      <c r="H1360" s="69"/>
      <c r="I1360" s="66"/>
      <c r="J1360" s="69"/>
      <c r="K1360" s="67"/>
      <c r="L1360" s="67"/>
      <c r="M1360" s="67"/>
      <c r="N1360" s="67"/>
      <c r="O1360" s="64"/>
      <c r="P1360" s="72" t="str">
        <f aca="false">IF(OR(B1360="",C1360=""),"",C1360&amp;"|"&amp;(YEAR(B1360)*100+MONTH(B1360)))</f>
        <v/>
      </c>
      <c r="Q1360" s="70" t="str">
        <f aca="false">IF(P1360="","",IF(COUNTIF(N_CLAVE,P1360)&gt;1,"⚠ Duplicado","OK"))</f>
        <v/>
      </c>
      <c r="R1360" s="74" t="str">
        <f aca="false">IF(OR(P1360="",U1360=""),"",MAX(0,U1360-N(E1360)-N(F1360)-N(H1360)))</f>
        <v/>
      </c>
      <c r="S1360" s="75" t="str">
        <f aca="false">IF(P1360="","",IFERROR(INDEX(T_INGRESO,MATCH(C1360,T_ID,0)),""))</f>
        <v/>
      </c>
      <c r="T1360" s="75" t="str">
        <f aca="false">IF(P1360="","",IFERROR(N(INDEX(T_EGRESO,MATCH(C1360,T_ID,0))),0))</f>
        <v/>
      </c>
      <c r="U1360" s="73" t="str">
        <f aca="false">IF(OR(P1360="",NOT(ISNUMBER(S1360))),"",IF(OR(S1360&gt;EOMONTH(B1360,0),AND(T1360&gt;0,T1360&lt;B1360)),0,IF(AND(S1360&lt;=B1360,OR(T1360=0,T1360&gt;=EOMONTH(B1360,0))),30,MIN(30,IF(T1360=0,EOMONTH(B1360,0),MIN(T1360,EOMONTH(B1360,0)))-MAX(B1360,S1360)+1))))</f>
        <v/>
      </c>
    </row>
    <row r="1361" customFormat="false" ht="15" hidden="false" customHeight="false" outlineLevel="0" collapsed="false">
      <c r="B1361" s="78"/>
      <c r="C1361" s="64"/>
      <c r="D1361" s="70" t="str">
        <f aca="false">IF(C1361="","",IFERROR(INDEX(T_NOMBRE,MATCH(C1361,T_ID,0)),"⚠ ID no existe"))</f>
        <v/>
      </c>
      <c r="E1361" s="69"/>
      <c r="F1361" s="69"/>
      <c r="G1361" s="69"/>
      <c r="H1361" s="69"/>
      <c r="I1361" s="66"/>
      <c r="J1361" s="69"/>
      <c r="K1361" s="67"/>
      <c r="L1361" s="67"/>
      <c r="M1361" s="67"/>
      <c r="N1361" s="67"/>
      <c r="O1361" s="64"/>
      <c r="P1361" s="72" t="str">
        <f aca="false">IF(OR(B1361="",C1361=""),"",C1361&amp;"|"&amp;(YEAR(B1361)*100+MONTH(B1361)))</f>
        <v/>
      </c>
      <c r="Q1361" s="70" t="str">
        <f aca="false">IF(P1361="","",IF(COUNTIF(N_CLAVE,P1361)&gt;1,"⚠ Duplicado","OK"))</f>
        <v/>
      </c>
      <c r="R1361" s="74" t="str">
        <f aca="false">IF(OR(P1361="",U1361=""),"",MAX(0,U1361-N(E1361)-N(F1361)-N(H1361)))</f>
        <v/>
      </c>
      <c r="S1361" s="75" t="str">
        <f aca="false">IF(P1361="","",IFERROR(INDEX(T_INGRESO,MATCH(C1361,T_ID,0)),""))</f>
        <v/>
      </c>
      <c r="T1361" s="75" t="str">
        <f aca="false">IF(P1361="","",IFERROR(N(INDEX(T_EGRESO,MATCH(C1361,T_ID,0))),0))</f>
        <v/>
      </c>
      <c r="U1361" s="73" t="str">
        <f aca="false">IF(OR(P1361="",NOT(ISNUMBER(S1361))),"",IF(OR(S1361&gt;EOMONTH(B1361,0),AND(T1361&gt;0,T1361&lt;B1361)),0,IF(AND(S1361&lt;=B1361,OR(T1361=0,T1361&gt;=EOMONTH(B1361,0))),30,MIN(30,IF(T1361=0,EOMONTH(B1361,0),MIN(T1361,EOMONTH(B1361,0)))-MAX(B1361,S1361)+1))))</f>
        <v/>
      </c>
    </row>
    <row r="1362" customFormat="false" ht="15" hidden="false" customHeight="false" outlineLevel="0" collapsed="false">
      <c r="B1362" s="78"/>
      <c r="C1362" s="64"/>
      <c r="D1362" s="70" t="str">
        <f aca="false">IF(C1362="","",IFERROR(INDEX(T_NOMBRE,MATCH(C1362,T_ID,0)),"⚠ ID no existe"))</f>
        <v/>
      </c>
      <c r="E1362" s="69"/>
      <c r="F1362" s="69"/>
      <c r="G1362" s="69"/>
      <c r="H1362" s="69"/>
      <c r="I1362" s="66"/>
      <c r="J1362" s="69"/>
      <c r="K1362" s="67"/>
      <c r="L1362" s="67"/>
      <c r="M1362" s="67"/>
      <c r="N1362" s="67"/>
      <c r="O1362" s="64"/>
      <c r="P1362" s="72" t="str">
        <f aca="false">IF(OR(B1362="",C1362=""),"",C1362&amp;"|"&amp;(YEAR(B1362)*100+MONTH(B1362)))</f>
        <v/>
      </c>
      <c r="Q1362" s="70" t="str">
        <f aca="false">IF(P1362="","",IF(COUNTIF(N_CLAVE,P1362)&gt;1,"⚠ Duplicado","OK"))</f>
        <v/>
      </c>
      <c r="R1362" s="74" t="str">
        <f aca="false">IF(OR(P1362="",U1362=""),"",MAX(0,U1362-N(E1362)-N(F1362)-N(H1362)))</f>
        <v/>
      </c>
      <c r="S1362" s="75" t="str">
        <f aca="false">IF(P1362="","",IFERROR(INDEX(T_INGRESO,MATCH(C1362,T_ID,0)),""))</f>
        <v/>
      </c>
      <c r="T1362" s="75" t="str">
        <f aca="false">IF(P1362="","",IFERROR(N(INDEX(T_EGRESO,MATCH(C1362,T_ID,0))),0))</f>
        <v/>
      </c>
      <c r="U1362" s="73" t="str">
        <f aca="false">IF(OR(P1362="",NOT(ISNUMBER(S1362))),"",IF(OR(S1362&gt;EOMONTH(B1362,0),AND(T1362&gt;0,T1362&lt;B1362)),0,IF(AND(S1362&lt;=B1362,OR(T1362=0,T1362&gt;=EOMONTH(B1362,0))),30,MIN(30,IF(T1362=0,EOMONTH(B1362,0),MIN(T1362,EOMONTH(B1362,0)))-MAX(B1362,S1362)+1))))</f>
        <v/>
      </c>
    </row>
    <row r="1363" customFormat="false" ht="15" hidden="false" customHeight="false" outlineLevel="0" collapsed="false">
      <c r="B1363" s="78"/>
      <c r="C1363" s="64"/>
      <c r="D1363" s="70" t="str">
        <f aca="false">IF(C1363="","",IFERROR(INDEX(T_NOMBRE,MATCH(C1363,T_ID,0)),"⚠ ID no existe"))</f>
        <v/>
      </c>
      <c r="E1363" s="69"/>
      <c r="F1363" s="69"/>
      <c r="G1363" s="69"/>
      <c r="H1363" s="69"/>
      <c r="I1363" s="66"/>
      <c r="J1363" s="69"/>
      <c r="K1363" s="67"/>
      <c r="L1363" s="67"/>
      <c r="M1363" s="67"/>
      <c r="N1363" s="67"/>
      <c r="O1363" s="64"/>
      <c r="P1363" s="72" t="str">
        <f aca="false">IF(OR(B1363="",C1363=""),"",C1363&amp;"|"&amp;(YEAR(B1363)*100+MONTH(B1363)))</f>
        <v/>
      </c>
      <c r="Q1363" s="70" t="str">
        <f aca="false">IF(P1363="","",IF(COUNTIF(N_CLAVE,P1363)&gt;1,"⚠ Duplicado","OK"))</f>
        <v/>
      </c>
      <c r="R1363" s="74" t="str">
        <f aca="false">IF(OR(P1363="",U1363=""),"",MAX(0,U1363-N(E1363)-N(F1363)-N(H1363)))</f>
        <v/>
      </c>
      <c r="S1363" s="75" t="str">
        <f aca="false">IF(P1363="","",IFERROR(INDEX(T_INGRESO,MATCH(C1363,T_ID,0)),""))</f>
        <v/>
      </c>
      <c r="T1363" s="75" t="str">
        <f aca="false">IF(P1363="","",IFERROR(N(INDEX(T_EGRESO,MATCH(C1363,T_ID,0))),0))</f>
        <v/>
      </c>
      <c r="U1363" s="73" t="str">
        <f aca="false">IF(OR(P1363="",NOT(ISNUMBER(S1363))),"",IF(OR(S1363&gt;EOMONTH(B1363,0),AND(T1363&gt;0,T1363&lt;B1363)),0,IF(AND(S1363&lt;=B1363,OR(T1363=0,T1363&gt;=EOMONTH(B1363,0))),30,MIN(30,IF(T1363=0,EOMONTH(B1363,0),MIN(T1363,EOMONTH(B1363,0)))-MAX(B1363,S1363)+1))))</f>
        <v/>
      </c>
    </row>
    <row r="1364" customFormat="false" ht="15" hidden="false" customHeight="false" outlineLevel="0" collapsed="false">
      <c r="B1364" s="78"/>
      <c r="C1364" s="64"/>
      <c r="D1364" s="70" t="str">
        <f aca="false">IF(C1364="","",IFERROR(INDEX(T_NOMBRE,MATCH(C1364,T_ID,0)),"⚠ ID no existe"))</f>
        <v/>
      </c>
      <c r="E1364" s="69"/>
      <c r="F1364" s="69"/>
      <c r="G1364" s="69"/>
      <c r="H1364" s="69"/>
      <c r="I1364" s="66"/>
      <c r="J1364" s="69"/>
      <c r="K1364" s="67"/>
      <c r="L1364" s="67"/>
      <c r="M1364" s="67"/>
      <c r="N1364" s="67"/>
      <c r="O1364" s="64"/>
      <c r="P1364" s="72" t="str">
        <f aca="false">IF(OR(B1364="",C1364=""),"",C1364&amp;"|"&amp;(YEAR(B1364)*100+MONTH(B1364)))</f>
        <v/>
      </c>
      <c r="Q1364" s="70" t="str">
        <f aca="false">IF(P1364="","",IF(COUNTIF(N_CLAVE,P1364)&gt;1,"⚠ Duplicado","OK"))</f>
        <v/>
      </c>
      <c r="R1364" s="74" t="str">
        <f aca="false">IF(OR(P1364="",U1364=""),"",MAX(0,U1364-N(E1364)-N(F1364)-N(H1364)))</f>
        <v/>
      </c>
      <c r="S1364" s="75" t="str">
        <f aca="false">IF(P1364="","",IFERROR(INDEX(T_INGRESO,MATCH(C1364,T_ID,0)),""))</f>
        <v/>
      </c>
      <c r="T1364" s="75" t="str">
        <f aca="false">IF(P1364="","",IFERROR(N(INDEX(T_EGRESO,MATCH(C1364,T_ID,0))),0))</f>
        <v/>
      </c>
      <c r="U1364" s="73" t="str">
        <f aca="false">IF(OR(P1364="",NOT(ISNUMBER(S1364))),"",IF(OR(S1364&gt;EOMONTH(B1364,0),AND(T1364&gt;0,T1364&lt;B1364)),0,IF(AND(S1364&lt;=B1364,OR(T1364=0,T1364&gt;=EOMONTH(B1364,0))),30,MIN(30,IF(T1364=0,EOMONTH(B1364,0),MIN(T1364,EOMONTH(B1364,0)))-MAX(B1364,S1364)+1))))</f>
        <v/>
      </c>
    </row>
    <row r="1365" customFormat="false" ht="15" hidden="false" customHeight="false" outlineLevel="0" collapsed="false">
      <c r="B1365" s="78"/>
      <c r="C1365" s="64"/>
      <c r="D1365" s="70" t="str">
        <f aca="false">IF(C1365="","",IFERROR(INDEX(T_NOMBRE,MATCH(C1365,T_ID,0)),"⚠ ID no existe"))</f>
        <v/>
      </c>
      <c r="E1365" s="69"/>
      <c r="F1365" s="69"/>
      <c r="G1365" s="69"/>
      <c r="H1365" s="69"/>
      <c r="I1365" s="66"/>
      <c r="J1365" s="69"/>
      <c r="K1365" s="67"/>
      <c r="L1365" s="67"/>
      <c r="M1365" s="67"/>
      <c r="N1365" s="67"/>
      <c r="O1365" s="64"/>
      <c r="P1365" s="72" t="str">
        <f aca="false">IF(OR(B1365="",C1365=""),"",C1365&amp;"|"&amp;(YEAR(B1365)*100+MONTH(B1365)))</f>
        <v/>
      </c>
      <c r="Q1365" s="70" t="str">
        <f aca="false">IF(P1365="","",IF(COUNTIF(N_CLAVE,P1365)&gt;1,"⚠ Duplicado","OK"))</f>
        <v/>
      </c>
      <c r="R1365" s="74" t="str">
        <f aca="false">IF(OR(P1365="",U1365=""),"",MAX(0,U1365-N(E1365)-N(F1365)-N(H1365)))</f>
        <v/>
      </c>
      <c r="S1365" s="75" t="str">
        <f aca="false">IF(P1365="","",IFERROR(INDEX(T_INGRESO,MATCH(C1365,T_ID,0)),""))</f>
        <v/>
      </c>
      <c r="T1365" s="75" t="str">
        <f aca="false">IF(P1365="","",IFERROR(N(INDEX(T_EGRESO,MATCH(C1365,T_ID,0))),0))</f>
        <v/>
      </c>
      <c r="U1365" s="73" t="str">
        <f aca="false">IF(OR(P1365="",NOT(ISNUMBER(S1365))),"",IF(OR(S1365&gt;EOMONTH(B1365,0),AND(T1365&gt;0,T1365&lt;B1365)),0,IF(AND(S1365&lt;=B1365,OR(T1365=0,T1365&gt;=EOMONTH(B1365,0))),30,MIN(30,IF(T1365=0,EOMONTH(B1365,0),MIN(T1365,EOMONTH(B1365,0)))-MAX(B1365,S1365)+1))))</f>
        <v/>
      </c>
    </row>
    <row r="1366" customFormat="false" ht="15" hidden="false" customHeight="false" outlineLevel="0" collapsed="false">
      <c r="B1366" s="78"/>
      <c r="C1366" s="64"/>
      <c r="D1366" s="70" t="str">
        <f aca="false">IF(C1366="","",IFERROR(INDEX(T_NOMBRE,MATCH(C1366,T_ID,0)),"⚠ ID no existe"))</f>
        <v/>
      </c>
      <c r="E1366" s="69"/>
      <c r="F1366" s="69"/>
      <c r="G1366" s="69"/>
      <c r="H1366" s="69"/>
      <c r="I1366" s="66"/>
      <c r="J1366" s="69"/>
      <c r="K1366" s="67"/>
      <c r="L1366" s="67"/>
      <c r="M1366" s="67"/>
      <c r="N1366" s="67"/>
      <c r="O1366" s="64"/>
      <c r="P1366" s="72" t="str">
        <f aca="false">IF(OR(B1366="",C1366=""),"",C1366&amp;"|"&amp;(YEAR(B1366)*100+MONTH(B1366)))</f>
        <v/>
      </c>
      <c r="Q1366" s="70" t="str">
        <f aca="false">IF(P1366="","",IF(COUNTIF(N_CLAVE,P1366)&gt;1,"⚠ Duplicado","OK"))</f>
        <v/>
      </c>
      <c r="R1366" s="74" t="str">
        <f aca="false">IF(OR(P1366="",U1366=""),"",MAX(0,U1366-N(E1366)-N(F1366)-N(H1366)))</f>
        <v/>
      </c>
      <c r="S1366" s="75" t="str">
        <f aca="false">IF(P1366="","",IFERROR(INDEX(T_INGRESO,MATCH(C1366,T_ID,0)),""))</f>
        <v/>
      </c>
      <c r="T1366" s="75" t="str">
        <f aca="false">IF(P1366="","",IFERROR(N(INDEX(T_EGRESO,MATCH(C1366,T_ID,0))),0))</f>
        <v/>
      </c>
      <c r="U1366" s="73" t="str">
        <f aca="false">IF(OR(P1366="",NOT(ISNUMBER(S1366))),"",IF(OR(S1366&gt;EOMONTH(B1366,0),AND(T1366&gt;0,T1366&lt;B1366)),0,IF(AND(S1366&lt;=B1366,OR(T1366=0,T1366&gt;=EOMONTH(B1366,0))),30,MIN(30,IF(T1366=0,EOMONTH(B1366,0),MIN(T1366,EOMONTH(B1366,0)))-MAX(B1366,S1366)+1))))</f>
        <v/>
      </c>
    </row>
    <row r="1367" customFormat="false" ht="15" hidden="false" customHeight="false" outlineLevel="0" collapsed="false">
      <c r="B1367" s="78"/>
      <c r="C1367" s="64"/>
      <c r="D1367" s="70" t="str">
        <f aca="false">IF(C1367="","",IFERROR(INDEX(T_NOMBRE,MATCH(C1367,T_ID,0)),"⚠ ID no existe"))</f>
        <v/>
      </c>
      <c r="E1367" s="69"/>
      <c r="F1367" s="69"/>
      <c r="G1367" s="69"/>
      <c r="H1367" s="69"/>
      <c r="I1367" s="66"/>
      <c r="J1367" s="69"/>
      <c r="K1367" s="67"/>
      <c r="L1367" s="67"/>
      <c r="M1367" s="67"/>
      <c r="N1367" s="67"/>
      <c r="O1367" s="64"/>
      <c r="P1367" s="72" t="str">
        <f aca="false">IF(OR(B1367="",C1367=""),"",C1367&amp;"|"&amp;(YEAR(B1367)*100+MONTH(B1367)))</f>
        <v/>
      </c>
      <c r="Q1367" s="70" t="str">
        <f aca="false">IF(P1367="","",IF(COUNTIF(N_CLAVE,P1367)&gt;1,"⚠ Duplicado","OK"))</f>
        <v/>
      </c>
      <c r="R1367" s="74" t="str">
        <f aca="false">IF(OR(P1367="",U1367=""),"",MAX(0,U1367-N(E1367)-N(F1367)-N(H1367)))</f>
        <v/>
      </c>
      <c r="S1367" s="75" t="str">
        <f aca="false">IF(P1367="","",IFERROR(INDEX(T_INGRESO,MATCH(C1367,T_ID,0)),""))</f>
        <v/>
      </c>
      <c r="T1367" s="75" t="str">
        <f aca="false">IF(P1367="","",IFERROR(N(INDEX(T_EGRESO,MATCH(C1367,T_ID,0))),0))</f>
        <v/>
      </c>
      <c r="U1367" s="73" t="str">
        <f aca="false">IF(OR(P1367="",NOT(ISNUMBER(S1367))),"",IF(OR(S1367&gt;EOMONTH(B1367,0),AND(T1367&gt;0,T1367&lt;B1367)),0,IF(AND(S1367&lt;=B1367,OR(T1367=0,T1367&gt;=EOMONTH(B1367,0))),30,MIN(30,IF(T1367=0,EOMONTH(B1367,0),MIN(T1367,EOMONTH(B1367,0)))-MAX(B1367,S1367)+1))))</f>
        <v/>
      </c>
    </row>
    <row r="1368" customFormat="false" ht="15" hidden="false" customHeight="false" outlineLevel="0" collapsed="false">
      <c r="B1368" s="78"/>
      <c r="C1368" s="64"/>
      <c r="D1368" s="70" t="str">
        <f aca="false">IF(C1368="","",IFERROR(INDEX(T_NOMBRE,MATCH(C1368,T_ID,0)),"⚠ ID no existe"))</f>
        <v/>
      </c>
      <c r="E1368" s="69"/>
      <c r="F1368" s="69"/>
      <c r="G1368" s="69"/>
      <c r="H1368" s="69"/>
      <c r="I1368" s="66"/>
      <c r="J1368" s="69"/>
      <c r="K1368" s="67"/>
      <c r="L1368" s="67"/>
      <c r="M1368" s="67"/>
      <c r="N1368" s="67"/>
      <c r="O1368" s="64"/>
      <c r="P1368" s="72" t="str">
        <f aca="false">IF(OR(B1368="",C1368=""),"",C1368&amp;"|"&amp;(YEAR(B1368)*100+MONTH(B1368)))</f>
        <v/>
      </c>
      <c r="Q1368" s="70" t="str">
        <f aca="false">IF(P1368="","",IF(COUNTIF(N_CLAVE,P1368)&gt;1,"⚠ Duplicado","OK"))</f>
        <v/>
      </c>
      <c r="R1368" s="74" t="str">
        <f aca="false">IF(OR(P1368="",U1368=""),"",MAX(0,U1368-N(E1368)-N(F1368)-N(H1368)))</f>
        <v/>
      </c>
      <c r="S1368" s="75" t="str">
        <f aca="false">IF(P1368="","",IFERROR(INDEX(T_INGRESO,MATCH(C1368,T_ID,0)),""))</f>
        <v/>
      </c>
      <c r="T1368" s="75" t="str">
        <f aca="false">IF(P1368="","",IFERROR(N(INDEX(T_EGRESO,MATCH(C1368,T_ID,0))),0))</f>
        <v/>
      </c>
      <c r="U1368" s="73" t="str">
        <f aca="false">IF(OR(P1368="",NOT(ISNUMBER(S1368))),"",IF(OR(S1368&gt;EOMONTH(B1368,0),AND(T1368&gt;0,T1368&lt;B1368)),0,IF(AND(S1368&lt;=B1368,OR(T1368=0,T1368&gt;=EOMONTH(B1368,0))),30,MIN(30,IF(T1368=0,EOMONTH(B1368,0),MIN(T1368,EOMONTH(B1368,0)))-MAX(B1368,S1368)+1))))</f>
        <v/>
      </c>
    </row>
    <row r="1369" customFormat="false" ht="15" hidden="false" customHeight="false" outlineLevel="0" collapsed="false">
      <c r="B1369" s="78"/>
      <c r="C1369" s="64"/>
      <c r="D1369" s="70" t="str">
        <f aca="false">IF(C1369="","",IFERROR(INDEX(T_NOMBRE,MATCH(C1369,T_ID,0)),"⚠ ID no existe"))</f>
        <v/>
      </c>
      <c r="E1369" s="69"/>
      <c r="F1369" s="69"/>
      <c r="G1369" s="69"/>
      <c r="H1369" s="69"/>
      <c r="I1369" s="66"/>
      <c r="J1369" s="69"/>
      <c r="K1369" s="67"/>
      <c r="L1369" s="67"/>
      <c r="M1369" s="67"/>
      <c r="N1369" s="67"/>
      <c r="O1369" s="64"/>
      <c r="P1369" s="72" t="str">
        <f aca="false">IF(OR(B1369="",C1369=""),"",C1369&amp;"|"&amp;(YEAR(B1369)*100+MONTH(B1369)))</f>
        <v/>
      </c>
      <c r="Q1369" s="70" t="str">
        <f aca="false">IF(P1369="","",IF(COUNTIF(N_CLAVE,P1369)&gt;1,"⚠ Duplicado","OK"))</f>
        <v/>
      </c>
      <c r="R1369" s="74" t="str">
        <f aca="false">IF(OR(P1369="",U1369=""),"",MAX(0,U1369-N(E1369)-N(F1369)-N(H1369)))</f>
        <v/>
      </c>
      <c r="S1369" s="75" t="str">
        <f aca="false">IF(P1369="","",IFERROR(INDEX(T_INGRESO,MATCH(C1369,T_ID,0)),""))</f>
        <v/>
      </c>
      <c r="T1369" s="75" t="str">
        <f aca="false">IF(P1369="","",IFERROR(N(INDEX(T_EGRESO,MATCH(C1369,T_ID,0))),0))</f>
        <v/>
      </c>
      <c r="U1369" s="73" t="str">
        <f aca="false">IF(OR(P1369="",NOT(ISNUMBER(S1369))),"",IF(OR(S1369&gt;EOMONTH(B1369,0),AND(T1369&gt;0,T1369&lt;B1369)),0,IF(AND(S1369&lt;=B1369,OR(T1369=0,T1369&gt;=EOMONTH(B1369,0))),30,MIN(30,IF(T1369=0,EOMONTH(B1369,0),MIN(T1369,EOMONTH(B1369,0)))-MAX(B1369,S1369)+1))))</f>
        <v/>
      </c>
    </row>
    <row r="1370" customFormat="false" ht="15" hidden="false" customHeight="false" outlineLevel="0" collapsed="false">
      <c r="B1370" s="78"/>
      <c r="C1370" s="64"/>
      <c r="D1370" s="70" t="str">
        <f aca="false">IF(C1370="","",IFERROR(INDEX(T_NOMBRE,MATCH(C1370,T_ID,0)),"⚠ ID no existe"))</f>
        <v/>
      </c>
      <c r="E1370" s="69"/>
      <c r="F1370" s="69"/>
      <c r="G1370" s="69"/>
      <c r="H1370" s="69"/>
      <c r="I1370" s="66"/>
      <c r="J1370" s="69"/>
      <c r="K1370" s="67"/>
      <c r="L1370" s="67"/>
      <c r="M1370" s="67"/>
      <c r="N1370" s="67"/>
      <c r="O1370" s="64"/>
      <c r="P1370" s="72" t="str">
        <f aca="false">IF(OR(B1370="",C1370=""),"",C1370&amp;"|"&amp;(YEAR(B1370)*100+MONTH(B1370)))</f>
        <v/>
      </c>
      <c r="Q1370" s="70" t="str">
        <f aca="false">IF(P1370="","",IF(COUNTIF(N_CLAVE,P1370)&gt;1,"⚠ Duplicado","OK"))</f>
        <v/>
      </c>
      <c r="R1370" s="74" t="str">
        <f aca="false">IF(OR(P1370="",U1370=""),"",MAX(0,U1370-N(E1370)-N(F1370)-N(H1370)))</f>
        <v/>
      </c>
      <c r="S1370" s="75" t="str">
        <f aca="false">IF(P1370="","",IFERROR(INDEX(T_INGRESO,MATCH(C1370,T_ID,0)),""))</f>
        <v/>
      </c>
      <c r="T1370" s="75" t="str">
        <f aca="false">IF(P1370="","",IFERROR(N(INDEX(T_EGRESO,MATCH(C1370,T_ID,0))),0))</f>
        <v/>
      </c>
      <c r="U1370" s="73" t="str">
        <f aca="false">IF(OR(P1370="",NOT(ISNUMBER(S1370))),"",IF(OR(S1370&gt;EOMONTH(B1370,0),AND(T1370&gt;0,T1370&lt;B1370)),0,IF(AND(S1370&lt;=B1370,OR(T1370=0,T1370&gt;=EOMONTH(B1370,0))),30,MIN(30,IF(T1370=0,EOMONTH(B1370,0),MIN(T1370,EOMONTH(B1370,0)))-MAX(B1370,S1370)+1))))</f>
        <v/>
      </c>
    </row>
    <row r="1371" customFormat="false" ht="15" hidden="false" customHeight="false" outlineLevel="0" collapsed="false">
      <c r="B1371" s="78"/>
      <c r="C1371" s="64"/>
      <c r="D1371" s="70" t="str">
        <f aca="false">IF(C1371="","",IFERROR(INDEX(T_NOMBRE,MATCH(C1371,T_ID,0)),"⚠ ID no existe"))</f>
        <v/>
      </c>
      <c r="E1371" s="69"/>
      <c r="F1371" s="69"/>
      <c r="G1371" s="69"/>
      <c r="H1371" s="69"/>
      <c r="I1371" s="66"/>
      <c r="J1371" s="69"/>
      <c r="K1371" s="67"/>
      <c r="L1371" s="67"/>
      <c r="M1371" s="67"/>
      <c r="N1371" s="67"/>
      <c r="O1371" s="64"/>
      <c r="P1371" s="72" t="str">
        <f aca="false">IF(OR(B1371="",C1371=""),"",C1371&amp;"|"&amp;(YEAR(B1371)*100+MONTH(B1371)))</f>
        <v/>
      </c>
      <c r="Q1371" s="70" t="str">
        <f aca="false">IF(P1371="","",IF(COUNTIF(N_CLAVE,P1371)&gt;1,"⚠ Duplicado","OK"))</f>
        <v/>
      </c>
      <c r="R1371" s="74" t="str">
        <f aca="false">IF(OR(P1371="",U1371=""),"",MAX(0,U1371-N(E1371)-N(F1371)-N(H1371)))</f>
        <v/>
      </c>
      <c r="S1371" s="75" t="str">
        <f aca="false">IF(P1371="","",IFERROR(INDEX(T_INGRESO,MATCH(C1371,T_ID,0)),""))</f>
        <v/>
      </c>
      <c r="T1371" s="75" t="str">
        <f aca="false">IF(P1371="","",IFERROR(N(INDEX(T_EGRESO,MATCH(C1371,T_ID,0))),0))</f>
        <v/>
      </c>
      <c r="U1371" s="73" t="str">
        <f aca="false">IF(OR(P1371="",NOT(ISNUMBER(S1371))),"",IF(OR(S1371&gt;EOMONTH(B1371,0),AND(T1371&gt;0,T1371&lt;B1371)),0,IF(AND(S1371&lt;=B1371,OR(T1371=0,T1371&gt;=EOMONTH(B1371,0))),30,MIN(30,IF(T1371=0,EOMONTH(B1371,0),MIN(T1371,EOMONTH(B1371,0)))-MAX(B1371,S1371)+1))))</f>
        <v/>
      </c>
    </row>
    <row r="1372" customFormat="false" ht="15" hidden="false" customHeight="false" outlineLevel="0" collapsed="false">
      <c r="B1372" s="78"/>
      <c r="C1372" s="64"/>
      <c r="D1372" s="70" t="str">
        <f aca="false">IF(C1372="","",IFERROR(INDEX(T_NOMBRE,MATCH(C1372,T_ID,0)),"⚠ ID no existe"))</f>
        <v/>
      </c>
      <c r="E1372" s="69"/>
      <c r="F1372" s="69"/>
      <c r="G1372" s="69"/>
      <c r="H1372" s="69"/>
      <c r="I1372" s="66"/>
      <c r="J1372" s="69"/>
      <c r="K1372" s="67"/>
      <c r="L1372" s="67"/>
      <c r="M1372" s="67"/>
      <c r="N1372" s="67"/>
      <c r="O1372" s="64"/>
      <c r="P1372" s="72" t="str">
        <f aca="false">IF(OR(B1372="",C1372=""),"",C1372&amp;"|"&amp;(YEAR(B1372)*100+MONTH(B1372)))</f>
        <v/>
      </c>
      <c r="Q1372" s="70" t="str">
        <f aca="false">IF(P1372="","",IF(COUNTIF(N_CLAVE,P1372)&gt;1,"⚠ Duplicado","OK"))</f>
        <v/>
      </c>
      <c r="R1372" s="74" t="str">
        <f aca="false">IF(OR(P1372="",U1372=""),"",MAX(0,U1372-N(E1372)-N(F1372)-N(H1372)))</f>
        <v/>
      </c>
      <c r="S1372" s="75" t="str">
        <f aca="false">IF(P1372="","",IFERROR(INDEX(T_INGRESO,MATCH(C1372,T_ID,0)),""))</f>
        <v/>
      </c>
      <c r="T1372" s="75" t="str">
        <f aca="false">IF(P1372="","",IFERROR(N(INDEX(T_EGRESO,MATCH(C1372,T_ID,0))),0))</f>
        <v/>
      </c>
      <c r="U1372" s="73" t="str">
        <f aca="false">IF(OR(P1372="",NOT(ISNUMBER(S1372))),"",IF(OR(S1372&gt;EOMONTH(B1372,0),AND(T1372&gt;0,T1372&lt;B1372)),0,IF(AND(S1372&lt;=B1372,OR(T1372=0,T1372&gt;=EOMONTH(B1372,0))),30,MIN(30,IF(T1372=0,EOMONTH(B1372,0),MIN(T1372,EOMONTH(B1372,0)))-MAX(B1372,S1372)+1))))</f>
        <v/>
      </c>
    </row>
    <row r="1373" customFormat="false" ht="15" hidden="false" customHeight="false" outlineLevel="0" collapsed="false">
      <c r="B1373" s="78"/>
      <c r="C1373" s="64"/>
      <c r="D1373" s="70" t="str">
        <f aca="false">IF(C1373="","",IFERROR(INDEX(T_NOMBRE,MATCH(C1373,T_ID,0)),"⚠ ID no existe"))</f>
        <v/>
      </c>
      <c r="E1373" s="69"/>
      <c r="F1373" s="69"/>
      <c r="G1373" s="69"/>
      <c r="H1373" s="69"/>
      <c r="I1373" s="66"/>
      <c r="J1373" s="69"/>
      <c r="K1373" s="67"/>
      <c r="L1373" s="67"/>
      <c r="M1373" s="67"/>
      <c r="N1373" s="67"/>
      <c r="O1373" s="64"/>
      <c r="P1373" s="72" t="str">
        <f aca="false">IF(OR(B1373="",C1373=""),"",C1373&amp;"|"&amp;(YEAR(B1373)*100+MONTH(B1373)))</f>
        <v/>
      </c>
      <c r="Q1373" s="70" t="str">
        <f aca="false">IF(P1373="","",IF(COUNTIF(N_CLAVE,P1373)&gt;1,"⚠ Duplicado","OK"))</f>
        <v/>
      </c>
      <c r="R1373" s="74" t="str">
        <f aca="false">IF(OR(P1373="",U1373=""),"",MAX(0,U1373-N(E1373)-N(F1373)-N(H1373)))</f>
        <v/>
      </c>
      <c r="S1373" s="75" t="str">
        <f aca="false">IF(P1373="","",IFERROR(INDEX(T_INGRESO,MATCH(C1373,T_ID,0)),""))</f>
        <v/>
      </c>
      <c r="T1373" s="75" t="str">
        <f aca="false">IF(P1373="","",IFERROR(N(INDEX(T_EGRESO,MATCH(C1373,T_ID,0))),0))</f>
        <v/>
      </c>
      <c r="U1373" s="73" t="str">
        <f aca="false">IF(OR(P1373="",NOT(ISNUMBER(S1373))),"",IF(OR(S1373&gt;EOMONTH(B1373,0),AND(T1373&gt;0,T1373&lt;B1373)),0,IF(AND(S1373&lt;=B1373,OR(T1373=0,T1373&gt;=EOMONTH(B1373,0))),30,MIN(30,IF(T1373=0,EOMONTH(B1373,0),MIN(T1373,EOMONTH(B1373,0)))-MAX(B1373,S1373)+1))))</f>
        <v/>
      </c>
    </row>
    <row r="1374" customFormat="false" ht="15" hidden="false" customHeight="false" outlineLevel="0" collapsed="false">
      <c r="B1374" s="78"/>
      <c r="C1374" s="64"/>
      <c r="D1374" s="70" t="str">
        <f aca="false">IF(C1374="","",IFERROR(INDEX(T_NOMBRE,MATCH(C1374,T_ID,0)),"⚠ ID no existe"))</f>
        <v/>
      </c>
      <c r="E1374" s="69"/>
      <c r="F1374" s="69"/>
      <c r="G1374" s="69"/>
      <c r="H1374" s="69"/>
      <c r="I1374" s="66"/>
      <c r="J1374" s="69"/>
      <c r="K1374" s="67"/>
      <c r="L1374" s="67"/>
      <c r="M1374" s="67"/>
      <c r="N1374" s="67"/>
      <c r="O1374" s="64"/>
      <c r="P1374" s="72" t="str">
        <f aca="false">IF(OR(B1374="",C1374=""),"",C1374&amp;"|"&amp;(YEAR(B1374)*100+MONTH(B1374)))</f>
        <v/>
      </c>
      <c r="Q1374" s="70" t="str">
        <f aca="false">IF(P1374="","",IF(COUNTIF(N_CLAVE,P1374)&gt;1,"⚠ Duplicado","OK"))</f>
        <v/>
      </c>
      <c r="R1374" s="74" t="str">
        <f aca="false">IF(OR(P1374="",U1374=""),"",MAX(0,U1374-N(E1374)-N(F1374)-N(H1374)))</f>
        <v/>
      </c>
      <c r="S1374" s="75" t="str">
        <f aca="false">IF(P1374="","",IFERROR(INDEX(T_INGRESO,MATCH(C1374,T_ID,0)),""))</f>
        <v/>
      </c>
      <c r="T1374" s="75" t="str">
        <f aca="false">IF(P1374="","",IFERROR(N(INDEX(T_EGRESO,MATCH(C1374,T_ID,0))),0))</f>
        <v/>
      </c>
      <c r="U1374" s="73" t="str">
        <f aca="false">IF(OR(P1374="",NOT(ISNUMBER(S1374))),"",IF(OR(S1374&gt;EOMONTH(B1374,0),AND(T1374&gt;0,T1374&lt;B1374)),0,IF(AND(S1374&lt;=B1374,OR(T1374=0,T1374&gt;=EOMONTH(B1374,0))),30,MIN(30,IF(T1374=0,EOMONTH(B1374,0),MIN(T1374,EOMONTH(B1374,0)))-MAX(B1374,S1374)+1))))</f>
        <v/>
      </c>
    </row>
    <row r="1375" customFormat="false" ht="15" hidden="false" customHeight="false" outlineLevel="0" collapsed="false">
      <c r="B1375" s="78"/>
      <c r="C1375" s="64"/>
      <c r="D1375" s="70" t="str">
        <f aca="false">IF(C1375="","",IFERROR(INDEX(T_NOMBRE,MATCH(C1375,T_ID,0)),"⚠ ID no existe"))</f>
        <v/>
      </c>
      <c r="E1375" s="69"/>
      <c r="F1375" s="69"/>
      <c r="G1375" s="69"/>
      <c r="H1375" s="69"/>
      <c r="I1375" s="66"/>
      <c r="J1375" s="69"/>
      <c r="K1375" s="67"/>
      <c r="L1375" s="67"/>
      <c r="M1375" s="67"/>
      <c r="N1375" s="67"/>
      <c r="O1375" s="64"/>
      <c r="P1375" s="72" t="str">
        <f aca="false">IF(OR(B1375="",C1375=""),"",C1375&amp;"|"&amp;(YEAR(B1375)*100+MONTH(B1375)))</f>
        <v/>
      </c>
      <c r="Q1375" s="70" t="str">
        <f aca="false">IF(P1375="","",IF(COUNTIF(N_CLAVE,P1375)&gt;1,"⚠ Duplicado","OK"))</f>
        <v/>
      </c>
      <c r="R1375" s="74" t="str">
        <f aca="false">IF(OR(P1375="",U1375=""),"",MAX(0,U1375-N(E1375)-N(F1375)-N(H1375)))</f>
        <v/>
      </c>
      <c r="S1375" s="75" t="str">
        <f aca="false">IF(P1375="","",IFERROR(INDEX(T_INGRESO,MATCH(C1375,T_ID,0)),""))</f>
        <v/>
      </c>
      <c r="T1375" s="75" t="str">
        <f aca="false">IF(P1375="","",IFERROR(N(INDEX(T_EGRESO,MATCH(C1375,T_ID,0))),0))</f>
        <v/>
      </c>
      <c r="U1375" s="73" t="str">
        <f aca="false">IF(OR(P1375="",NOT(ISNUMBER(S1375))),"",IF(OR(S1375&gt;EOMONTH(B1375,0),AND(T1375&gt;0,T1375&lt;B1375)),0,IF(AND(S1375&lt;=B1375,OR(T1375=0,T1375&gt;=EOMONTH(B1375,0))),30,MIN(30,IF(T1375=0,EOMONTH(B1375,0),MIN(T1375,EOMONTH(B1375,0)))-MAX(B1375,S1375)+1))))</f>
        <v/>
      </c>
    </row>
    <row r="1376" customFormat="false" ht="15" hidden="false" customHeight="false" outlineLevel="0" collapsed="false">
      <c r="B1376" s="78"/>
      <c r="C1376" s="64"/>
      <c r="D1376" s="70" t="str">
        <f aca="false">IF(C1376="","",IFERROR(INDEX(T_NOMBRE,MATCH(C1376,T_ID,0)),"⚠ ID no existe"))</f>
        <v/>
      </c>
      <c r="E1376" s="69"/>
      <c r="F1376" s="69"/>
      <c r="G1376" s="69"/>
      <c r="H1376" s="69"/>
      <c r="I1376" s="66"/>
      <c r="J1376" s="69"/>
      <c r="K1376" s="67"/>
      <c r="L1376" s="67"/>
      <c r="M1376" s="67"/>
      <c r="N1376" s="67"/>
      <c r="O1376" s="64"/>
      <c r="P1376" s="72" t="str">
        <f aca="false">IF(OR(B1376="",C1376=""),"",C1376&amp;"|"&amp;(YEAR(B1376)*100+MONTH(B1376)))</f>
        <v/>
      </c>
      <c r="Q1376" s="70" t="str">
        <f aca="false">IF(P1376="","",IF(COUNTIF(N_CLAVE,P1376)&gt;1,"⚠ Duplicado","OK"))</f>
        <v/>
      </c>
      <c r="R1376" s="74" t="str">
        <f aca="false">IF(OR(P1376="",U1376=""),"",MAX(0,U1376-N(E1376)-N(F1376)-N(H1376)))</f>
        <v/>
      </c>
      <c r="S1376" s="75" t="str">
        <f aca="false">IF(P1376="","",IFERROR(INDEX(T_INGRESO,MATCH(C1376,T_ID,0)),""))</f>
        <v/>
      </c>
      <c r="T1376" s="75" t="str">
        <f aca="false">IF(P1376="","",IFERROR(N(INDEX(T_EGRESO,MATCH(C1376,T_ID,0))),0))</f>
        <v/>
      </c>
      <c r="U1376" s="73" t="str">
        <f aca="false">IF(OR(P1376="",NOT(ISNUMBER(S1376))),"",IF(OR(S1376&gt;EOMONTH(B1376,0),AND(T1376&gt;0,T1376&lt;B1376)),0,IF(AND(S1376&lt;=B1376,OR(T1376=0,T1376&gt;=EOMONTH(B1376,0))),30,MIN(30,IF(T1376=0,EOMONTH(B1376,0),MIN(T1376,EOMONTH(B1376,0)))-MAX(B1376,S1376)+1))))</f>
        <v/>
      </c>
    </row>
    <row r="1377" customFormat="false" ht="15" hidden="false" customHeight="false" outlineLevel="0" collapsed="false">
      <c r="B1377" s="78"/>
      <c r="C1377" s="64"/>
      <c r="D1377" s="70" t="str">
        <f aca="false">IF(C1377="","",IFERROR(INDEX(T_NOMBRE,MATCH(C1377,T_ID,0)),"⚠ ID no existe"))</f>
        <v/>
      </c>
      <c r="E1377" s="69"/>
      <c r="F1377" s="69"/>
      <c r="G1377" s="69"/>
      <c r="H1377" s="69"/>
      <c r="I1377" s="66"/>
      <c r="J1377" s="69"/>
      <c r="K1377" s="67"/>
      <c r="L1377" s="67"/>
      <c r="M1377" s="67"/>
      <c r="N1377" s="67"/>
      <c r="O1377" s="64"/>
      <c r="P1377" s="72" t="str">
        <f aca="false">IF(OR(B1377="",C1377=""),"",C1377&amp;"|"&amp;(YEAR(B1377)*100+MONTH(B1377)))</f>
        <v/>
      </c>
      <c r="Q1377" s="70" t="str">
        <f aca="false">IF(P1377="","",IF(COUNTIF(N_CLAVE,P1377)&gt;1,"⚠ Duplicado","OK"))</f>
        <v/>
      </c>
      <c r="R1377" s="74" t="str">
        <f aca="false">IF(OR(P1377="",U1377=""),"",MAX(0,U1377-N(E1377)-N(F1377)-N(H1377)))</f>
        <v/>
      </c>
      <c r="S1377" s="75" t="str">
        <f aca="false">IF(P1377="","",IFERROR(INDEX(T_INGRESO,MATCH(C1377,T_ID,0)),""))</f>
        <v/>
      </c>
      <c r="T1377" s="75" t="str">
        <f aca="false">IF(P1377="","",IFERROR(N(INDEX(T_EGRESO,MATCH(C1377,T_ID,0))),0))</f>
        <v/>
      </c>
      <c r="U1377" s="73" t="str">
        <f aca="false">IF(OR(P1377="",NOT(ISNUMBER(S1377))),"",IF(OR(S1377&gt;EOMONTH(B1377,0),AND(T1377&gt;0,T1377&lt;B1377)),0,IF(AND(S1377&lt;=B1377,OR(T1377=0,T1377&gt;=EOMONTH(B1377,0))),30,MIN(30,IF(T1377=0,EOMONTH(B1377,0),MIN(T1377,EOMONTH(B1377,0)))-MAX(B1377,S1377)+1))))</f>
        <v/>
      </c>
    </row>
    <row r="1378" customFormat="false" ht="15" hidden="false" customHeight="false" outlineLevel="0" collapsed="false">
      <c r="B1378" s="78"/>
      <c r="C1378" s="64"/>
      <c r="D1378" s="70" t="str">
        <f aca="false">IF(C1378="","",IFERROR(INDEX(T_NOMBRE,MATCH(C1378,T_ID,0)),"⚠ ID no existe"))</f>
        <v/>
      </c>
      <c r="E1378" s="69"/>
      <c r="F1378" s="69"/>
      <c r="G1378" s="69"/>
      <c r="H1378" s="69"/>
      <c r="I1378" s="66"/>
      <c r="J1378" s="69"/>
      <c r="K1378" s="67"/>
      <c r="L1378" s="67"/>
      <c r="M1378" s="67"/>
      <c r="N1378" s="67"/>
      <c r="O1378" s="64"/>
      <c r="P1378" s="72" t="str">
        <f aca="false">IF(OR(B1378="",C1378=""),"",C1378&amp;"|"&amp;(YEAR(B1378)*100+MONTH(B1378)))</f>
        <v/>
      </c>
      <c r="Q1378" s="70" t="str">
        <f aca="false">IF(P1378="","",IF(COUNTIF(N_CLAVE,P1378)&gt;1,"⚠ Duplicado","OK"))</f>
        <v/>
      </c>
      <c r="R1378" s="74" t="str">
        <f aca="false">IF(OR(P1378="",U1378=""),"",MAX(0,U1378-N(E1378)-N(F1378)-N(H1378)))</f>
        <v/>
      </c>
      <c r="S1378" s="75" t="str">
        <f aca="false">IF(P1378="","",IFERROR(INDEX(T_INGRESO,MATCH(C1378,T_ID,0)),""))</f>
        <v/>
      </c>
      <c r="T1378" s="75" t="str">
        <f aca="false">IF(P1378="","",IFERROR(N(INDEX(T_EGRESO,MATCH(C1378,T_ID,0))),0))</f>
        <v/>
      </c>
      <c r="U1378" s="73" t="str">
        <f aca="false">IF(OR(P1378="",NOT(ISNUMBER(S1378))),"",IF(OR(S1378&gt;EOMONTH(B1378,0),AND(T1378&gt;0,T1378&lt;B1378)),0,IF(AND(S1378&lt;=B1378,OR(T1378=0,T1378&gt;=EOMONTH(B1378,0))),30,MIN(30,IF(T1378=0,EOMONTH(B1378,0),MIN(T1378,EOMONTH(B1378,0)))-MAX(B1378,S1378)+1))))</f>
        <v/>
      </c>
    </row>
    <row r="1379" customFormat="false" ht="15" hidden="false" customHeight="false" outlineLevel="0" collapsed="false">
      <c r="B1379" s="78"/>
      <c r="C1379" s="64"/>
      <c r="D1379" s="70" t="str">
        <f aca="false">IF(C1379="","",IFERROR(INDEX(T_NOMBRE,MATCH(C1379,T_ID,0)),"⚠ ID no existe"))</f>
        <v/>
      </c>
      <c r="E1379" s="69"/>
      <c r="F1379" s="69"/>
      <c r="G1379" s="69"/>
      <c r="H1379" s="69"/>
      <c r="I1379" s="66"/>
      <c r="J1379" s="69"/>
      <c r="K1379" s="67"/>
      <c r="L1379" s="67"/>
      <c r="M1379" s="67"/>
      <c r="N1379" s="67"/>
      <c r="O1379" s="64"/>
      <c r="P1379" s="72" t="str">
        <f aca="false">IF(OR(B1379="",C1379=""),"",C1379&amp;"|"&amp;(YEAR(B1379)*100+MONTH(B1379)))</f>
        <v/>
      </c>
      <c r="Q1379" s="70" t="str">
        <f aca="false">IF(P1379="","",IF(COUNTIF(N_CLAVE,P1379)&gt;1,"⚠ Duplicado","OK"))</f>
        <v/>
      </c>
      <c r="R1379" s="74" t="str">
        <f aca="false">IF(OR(P1379="",U1379=""),"",MAX(0,U1379-N(E1379)-N(F1379)-N(H1379)))</f>
        <v/>
      </c>
      <c r="S1379" s="75" t="str">
        <f aca="false">IF(P1379="","",IFERROR(INDEX(T_INGRESO,MATCH(C1379,T_ID,0)),""))</f>
        <v/>
      </c>
      <c r="T1379" s="75" t="str">
        <f aca="false">IF(P1379="","",IFERROR(N(INDEX(T_EGRESO,MATCH(C1379,T_ID,0))),0))</f>
        <v/>
      </c>
      <c r="U1379" s="73" t="str">
        <f aca="false">IF(OR(P1379="",NOT(ISNUMBER(S1379))),"",IF(OR(S1379&gt;EOMONTH(B1379,0),AND(T1379&gt;0,T1379&lt;B1379)),0,IF(AND(S1379&lt;=B1379,OR(T1379=0,T1379&gt;=EOMONTH(B1379,0))),30,MIN(30,IF(T1379=0,EOMONTH(B1379,0),MIN(T1379,EOMONTH(B1379,0)))-MAX(B1379,S1379)+1))))</f>
        <v/>
      </c>
    </row>
    <row r="1380" customFormat="false" ht="15" hidden="false" customHeight="false" outlineLevel="0" collapsed="false">
      <c r="B1380" s="78"/>
      <c r="C1380" s="64"/>
      <c r="D1380" s="70" t="str">
        <f aca="false">IF(C1380="","",IFERROR(INDEX(T_NOMBRE,MATCH(C1380,T_ID,0)),"⚠ ID no existe"))</f>
        <v/>
      </c>
      <c r="E1380" s="69"/>
      <c r="F1380" s="69"/>
      <c r="G1380" s="69"/>
      <c r="H1380" s="69"/>
      <c r="I1380" s="66"/>
      <c r="J1380" s="69"/>
      <c r="K1380" s="67"/>
      <c r="L1380" s="67"/>
      <c r="M1380" s="67"/>
      <c r="N1380" s="67"/>
      <c r="O1380" s="64"/>
      <c r="P1380" s="72" t="str">
        <f aca="false">IF(OR(B1380="",C1380=""),"",C1380&amp;"|"&amp;(YEAR(B1380)*100+MONTH(B1380)))</f>
        <v/>
      </c>
      <c r="Q1380" s="70" t="str">
        <f aca="false">IF(P1380="","",IF(COUNTIF(N_CLAVE,P1380)&gt;1,"⚠ Duplicado","OK"))</f>
        <v/>
      </c>
      <c r="R1380" s="74" t="str">
        <f aca="false">IF(OR(P1380="",U1380=""),"",MAX(0,U1380-N(E1380)-N(F1380)-N(H1380)))</f>
        <v/>
      </c>
      <c r="S1380" s="75" t="str">
        <f aca="false">IF(P1380="","",IFERROR(INDEX(T_INGRESO,MATCH(C1380,T_ID,0)),""))</f>
        <v/>
      </c>
      <c r="T1380" s="75" t="str">
        <f aca="false">IF(P1380="","",IFERROR(N(INDEX(T_EGRESO,MATCH(C1380,T_ID,0))),0))</f>
        <v/>
      </c>
      <c r="U1380" s="73" t="str">
        <f aca="false">IF(OR(P1380="",NOT(ISNUMBER(S1380))),"",IF(OR(S1380&gt;EOMONTH(B1380,0),AND(T1380&gt;0,T1380&lt;B1380)),0,IF(AND(S1380&lt;=B1380,OR(T1380=0,T1380&gt;=EOMONTH(B1380,0))),30,MIN(30,IF(T1380=0,EOMONTH(B1380,0),MIN(T1380,EOMONTH(B1380,0)))-MAX(B1380,S1380)+1))))</f>
        <v/>
      </c>
    </row>
    <row r="1381" customFormat="false" ht="15" hidden="false" customHeight="false" outlineLevel="0" collapsed="false">
      <c r="B1381" s="78"/>
      <c r="C1381" s="64"/>
      <c r="D1381" s="70" t="str">
        <f aca="false">IF(C1381="","",IFERROR(INDEX(T_NOMBRE,MATCH(C1381,T_ID,0)),"⚠ ID no existe"))</f>
        <v/>
      </c>
      <c r="E1381" s="69"/>
      <c r="F1381" s="69"/>
      <c r="G1381" s="69"/>
      <c r="H1381" s="69"/>
      <c r="I1381" s="66"/>
      <c r="J1381" s="69"/>
      <c r="K1381" s="67"/>
      <c r="L1381" s="67"/>
      <c r="M1381" s="67"/>
      <c r="N1381" s="67"/>
      <c r="O1381" s="64"/>
      <c r="P1381" s="72" t="str">
        <f aca="false">IF(OR(B1381="",C1381=""),"",C1381&amp;"|"&amp;(YEAR(B1381)*100+MONTH(B1381)))</f>
        <v/>
      </c>
      <c r="Q1381" s="70" t="str">
        <f aca="false">IF(P1381="","",IF(COUNTIF(N_CLAVE,P1381)&gt;1,"⚠ Duplicado","OK"))</f>
        <v/>
      </c>
      <c r="R1381" s="74" t="str">
        <f aca="false">IF(OR(P1381="",U1381=""),"",MAX(0,U1381-N(E1381)-N(F1381)-N(H1381)))</f>
        <v/>
      </c>
      <c r="S1381" s="75" t="str">
        <f aca="false">IF(P1381="","",IFERROR(INDEX(T_INGRESO,MATCH(C1381,T_ID,0)),""))</f>
        <v/>
      </c>
      <c r="T1381" s="75" t="str">
        <f aca="false">IF(P1381="","",IFERROR(N(INDEX(T_EGRESO,MATCH(C1381,T_ID,0))),0))</f>
        <v/>
      </c>
      <c r="U1381" s="73" t="str">
        <f aca="false">IF(OR(P1381="",NOT(ISNUMBER(S1381))),"",IF(OR(S1381&gt;EOMONTH(B1381,0),AND(T1381&gt;0,T1381&lt;B1381)),0,IF(AND(S1381&lt;=B1381,OR(T1381=0,T1381&gt;=EOMONTH(B1381,0))),30,MIN(30,IF(T1381=0,EOMONTH(B1381,0),MIN(T1381,EOMONTH(B1381,0)))-MAX(B1381,S1381)+1))))</f>
        <v/>
      </c>
    </row>
    <row r="1382" customFormat="false" ht="15" hidden="false" customHeight="false" outlineLevel="0" collapsed="false">
      <c r="B1382" s="78"/>
      <c r="C1382" s="64"/>
      <c r="D1382" s="70" t="str">
        <f aca="false">IF(C1382="","",IFERROR(INDEX(T_NOMBRE,MATCH(C1382,T_ID,0)),"⚠ ID no existe"))</f>
        <v/>
      </c>
      <c r="E1382" s="69"/>
      <c r="F1382" s="69"/>
      <c r="G1382" s="69"/>
      <c r="H1382" s="69"/>
      <c r="I1382" s="66"/>
      <c r="J1382" s="69"/>
      <c r="K1382" s="67"/>
      <c r="L1382" s="67"/>
      <c r="M1382" s="67"/>
      <c r="N1382" s="67"/>
      <c r="O1382" s="64"/>
      <c r="P1382" s="72" t="str">
        <f aca="false">IF(OR(B1382="",C1382=""),"",C1382&amp;"|"&amp;(YEAR(B1382)*100+MONTH(B1382)))</f>
        <v/>
      </c>
      <c r="Q1382" s="70" t="str">
        <f aca="false">IF(P1382="","",IF(COUNTIF(N_CLAVE,P1382)&gt;1,"⚠ Duplicado","OK"))</f>
        <v/>
      </c>
      <c r="R1382" s="74" t="str">
        <f aca="false">IF(OR(P1382="",U1382=""),"",MAX(0,U1382-N(E1382)-N(F1382)-N(H1382)))</f>
        <v/>
      </c>
      <c r="S1382" s="75" t="str">
        <f aca="false">IF(P1382="","",IFERROR(INDEX(T_INGRESO,MATCH(C1382,T_ID,0)),""))</f>
        <v/>
      </c>
      <c r="T1382" s="75" t="str">
        <f aca="false">IF(P1382="","",IFERROR(N(INDEX(T_EGRESO,MATCH(C1382,T_ID,0))),0))</f>
        <v/>
      </c>
      <c r="U1382" s="73" t="str">
        <f aca="false">IF(OR(P1382="",NOT(ISNUMBER(S1382))),"",IF(OR(S1382&gt;EOMONTH(B1382,0),AND(T1382&gt;0,T1382&lt;B1382)),0,IF(AND(S1382&lt;=B1382,OR(T1382=0,T1382&gt;=EOMONTH(B1382,0))),30,MIN(30,IF(T1382=0,EOMONTH(B1382,0),MIN(T1382,EOMONTH(B1382,0)))-MAX(B1382,S1382)+1))))</f>
        <v/>
      </c>
    </row>
    <row r="1383" customFormat="false" ht="15" hidden="false" customHeight="false" outlineLevel="0" collapsed="false">
      <c r="B1383" s="78"/>
      <c r="C1383" s="64"/>
      <c r="D1383" s="70" t="str">
        <f aca="false">IF(C1383="","",IFERROR(INDEX(T_NOMBRE,MATCH(C1383,T_ID,0)),"⚠ ID no existe"))</f>
        <v/>
      </c>
      <c r="E1383" s="69"/>
      <c r="F1383" s="69"/>
      <c r="G1383" s="69"/>
      <c r="H1383" s="69"/>
      <c r="I1383" s="66"/>
      <c r="J1383" s="69"/>
      <c r="K1383" s="67"/>
      <c r="L1383" s="67"/>
      <c r="M1383" s="67"/>
      <c r="N1383" s="67"/>
      <c r="O1383" s="64"/>
      <c r="P1383" s="72" t="str">
        <f aca="false">IF(OR(B1383="",C1383=""),"",C1383&amp;"|"&amp;(YEAR(B1383)*100+MONTH(B1383)))</f>
        <v/>
      </c>
      <c r="Q1383" s="70" t="str">
        <f aca="false">IF(P1383="","",IF(COUNTIF(N_CLAVE,P1383)&gt;1,"⚠ Duplicado","OK"))</f>
        <v/>
      </c>
      <c r="R1383" s="74" t="str">
        <f aca="false">IF(OR(P1383="",U1383=""),"",MAX(0,U1383-N(E1383)-N(F1383)-N(H1383)))</f>
        <v/>
      </c>
      <c r="S1383" s="75" t="str">
        <f aca="false">IF(P1383="","",IFERROR(INDEX(T_INGRESO,MATCH(C1383,T_ID,0)),""))</f>
        <v/>
      </c>
      <c r="T1383" s="75" t="str">
        <f aca="false">IF(P1383="","",IFERROR(N(INDEX(T_EGRESO,MATCH(C1383,T_ID,0))),0))</f>
        <v/>
      </c>
      <c r="U1383" s="73" t="str">
        <f aca="false">IF(OR(P1383="",NOT(ISNUMBER(S1383))),"",IF(OR(S1383&gt;EOMONTH(B1383,0),AND(T1383&gt;0,T1383&lt;B1383)),0,IF(AND(S1383&lt;=B1383,OR(T1383=0,T1383&gt;=EOMONTH(B1383,0))),30,MIN(30,IF(T1383=0,EOMONTH(B1383,0),MIN(T1383,EOMONTH(B1383,0)))-MAX(B1383,S1383)+1))))</f>
        <v/>
      </c>
    </row>
    <row r="1384" customFormat="false" ht="15" hidden="false" customHeight="false" outlineLevel="0" collapsed="false">
      <c r="B1384" s="78"/>
      <c r="C1384" s="64"/>
      <c r="D1384" s="70" t="str">
        <f aca="false">IF(C1384="","",IFERROR(INDEX(T_NOMBRE,MATCH(C1384,T_ID,0)),"⚠ ID no existe"))</f>
        <v/>
      </c>
      <c r="E1384" s="69"/>
      <c r="F1384" s="69"/>
      <c r="G1384" s="69"/>
      <c r="H1384" s="69"/>
      <c r="I1384" s="66"/>
      <c r="J1384" s="69"/>
      <c r="K1384" s="67"/>
      <c r="L1384" s="67"/>
      <c r="M1384" s="67"/>
      <c r="N1384" s="67"/>
      <c r="O1384" s="64"/>
      <c r="P1384" s="72" t="str">
        <f aca="false">IF(OR(B1384="",C1384=""),"",C1384&amp;"|"&amp;(YEAR(B1384)*100+MONTH(B1384)))</f>
        <v/>
      </c>
      <c r="Q1384" s="70" t="str">
        <f aca="false">IF(P1384="","",IF(COUNTIF(N_CLAVE,P1384)&gt;1,"⚠ Duplicado","OK"))</f>
        <v/>
      </c>
      <c r="R1384" s="74" t="str">
        <f aca="false">IF(OR(P1384="",U1384=""),"",MAX(0,U1384-N(E1384)-N(F1384)-N(H1384)))</f>
        <v/>
      </c>
      <c r="S1384" s="75" t="str">
        <f aca="false">IF(P1384="","",IFERROR(INDEX(T_INGRESO,MATCH(C1384,T_ID,0)),""))</f>
        <v/>
      </c>
      <c r="T1384" s="75" t="str">
        <f aca="false">IF(P1384="","",IFERROR(N(INDEX(T_EGRESO,MATCH(C1384,T_ID,0))),0))</f>
        <v/>
      </c>
      <c r="U1384" s="73" t="str">
        <f aca="false">IF(OR(P1384="",NOT(ISNUMBER(S1384))),"",IF(OR(S1384&gt;EOMONTH(B1384,0),AND(T1384&gt;0,T1384&lt;B1384)),0,IF(AND(S1384&lt;=B1384,OR(T1384=0,T1384&gt;=EOMONTH(B1384,0))),30,MIN(30,IF(T1384=0,EOMONTH(B1384,0),MIN(T1384,EOMONTH(B1384,0)))-MAX(B1384,S1384)+1))))</f>
        <v/>
      </c>
    </row>
    <row r="1385" customFormat="false" ht="15" hidden="false" customHeight="false" outlineLevel="0" collapsed="false">
      <c r="B1385" s="78"/>
      <c r="C1385" s="64"/>
      <c r="D1385" s="70" t="str">
        <f aca="false">IF(C1385="","",IFERROR(INDEX(T_NOMBRE,MATCH(C1385,T_ID,0)),"⚠ ID no existe"))</f>
        <v/>
      </c>
      <c r="E1385" s="69"/>
      <c r="F1385" s="69"/>
      <c r="G1385" s="69"/>
      <c r="H1385" s="69"/>
      <c r="I1385" s="66"/>
      <c r="J1385" s="69"/>
      <c r="K1385" s="67"/>
      <c r="L1385" s="67"/>
      <c r="M1385" s="67"/>
      <c r="N1385" s="67"/>
      <c r="O1385" s="64"/>
      <c r="P1385" s="72" t="str">
        <f aca="false">IF(OR(B1385="",C1385=""),"",C1385&amp;"|"&amp;(YEAR(B1385)*100+MONTH(B1385)))</f>
        <v/>
      </c>
      <c r="Q1385" s="70" t="str">
        <f aca="false">IF(P1385="","",IF(COUNTIF(N_CLAVE,P1385)&gt;1,"⚠ Duplicado","OK"))</f>
        <v/>
      </c>
      <c r="R1385" s="74" t="str">
        <f aca="false">IF(OR(P1385="",U1385=""),"",MAX(0,U1385-N(E1385)-N(F1385)-N(H1385)))</f>
        <v/>
      </c>
      <c r="S1385" s="75" t="str">
        <f aca="false">IF(P1385="","",IFERROR(INDEX(T_INGRESO,MATCH(C1385,T_ID,0)),""))</f>
        <v/>
      </c>
      <c r="T1385" s="75" t="str">
        <f aca="false">IF(P1385="","",IFERROR(N(INDEX(T_EGRESO,MATCH(C1385,T_ID,0))),0))</f>
        <v/>
      </c>
      <c r="U1385" s="73" t="str">
        <f aca="false">IF(OR(P1385="",NOT(ISNUMBER(S1385))),"",IF(OR(S1385&gt;EOMONTH(B1385,0),AND(T1385&gt;0,T1385&lt;B1385)),0,IF(AND(S1385&lt;=B1385,OR(T1385=0,T1385&gt;=EOMONTH(B1385,0))),30,MIN(30,IF(T1385=0,EOMONTH(B1385,0),MIN(T1385,EOMONTH(B1385,0)))-MAX(B1385,S1385)+1))))</f>
        <v/>
      </c>
    </row>
    <row r="1386" customFormat="false" ht="15" hidden="false" customHeight="false" outlineLevel="0" collapsed="false">
      <c r="B1386" s="78"/>
      <c r="C1386" s="64"/>
      <c r="D1386" s="70" t="str">
        <f aca="false">IF(C1386="","",IFERROR(INDEX(T_NOMBRE,MATCH(C1386,T_ID,0)),"⚠ ID no existe"))</f>
        <v/>
      </c>
      <c r="E1386" s="69"/>
      <c r="F1386" s="69"/>
      <c r="G1386" s="69"/>
      <c r="H1386" s="69"/>
      <c r="I1386" s="66"/>
      <c r="J1386" s="69"/>
      <c r="K1386" s="67"/>
      <c r="L1386" s="67"/>
      <c r="M1386" s="67"/>
      <c r="N1386" s="67"/>
      <c r="O1386" s="64"/>
      <c r="P1386" s="72" t="str">
        <f aca="false">IF(OR(B1386="",C1386=""),"",C1386&amp;"|"&amp;(YEAR(B1386)*100+MONTH(B1386)))</f>
        <v/>
      </c>
      <c r="Q1386" s="70" t="str">
        <f aca="false">IF(P1386="","",IF(COUNTIF(N_CLAVE,P1386)&gt;1,"⚠ Duplicado","OK"))</f>
        <v/>
      </c>
      <c r="R1386" s="74" t="str">
        <f aca="false">IF(OR(P1386="",U1386=""),"",MAX(0,U1386-N(E1386)-N(F1386)-N(H1386)))</f>
        <v/>
      </c>
      <c r="S1386" s="75" t="str">
        <f aca="false">IF(P1386="","",IFERROR(INDEX(T_INGRESO,MATCH(C1386,T_ID,0)),""))</f>
        <v/>
      </c>
      <c r="T1386" s="75" t="str">
        <f aca="false">IF(P1386="","",IFERROR(N(INDEX(T_EGRESO,MATCH(C1386,T_ID,0))),0))</f>
        <v/>
      </c>
      <c r="U1386" s="73" t="str">
        <f aca="false">IF(OR(P1386="",NOT(ISNUMBER(S1386))),"",IF(OR(S1386&gt;EOMONTH(B1386,0),AND(T1386&gt;0,T1386&lt;B1386)),0,IF(AND(S1386&lt;=B1386,OR(T1386=0,T1386&gt;=EOMONTH(B1386,0))),30,MIN(30,IF(T1386=0,EOMONTH(B1386,0),MIN(T1386,EOMONTH(B1386,0)))-MAX(B1386,S1386)+1))))</f>
        <v/>
      </c>
    </row>
    <row r="1387" customFormat="false" ht="15" hidden="false" customHeight="false" outlineLevel="0" collapsed="false">
      <c r="B1387" s="78"/>
      <c r="C1387" s="64"/>
      <c r="D1387" s="70" t="str">
        <f aca="false">IF(C1387="","",IFERROR(INDEX(T_NOMBRE,MATCH(C1387,T_ID,0)),"⚠ ID no existe"))</f>
        <v/>
      </c>
      <c r="E1387" s="69"/>
      <c r="F1387" s="69"/>
      <c r="G1387" s="69"/>
      <c r="H1387" s="69"/>
      <c r="I1387" s="66"/>
      <c r="J1387" s="69"/>
      <c r="K1387" s="67"/>
      <c r="L1387" s="67"/>
      <c r="M1387" s="67"/>
      <c r="N1387" s="67"/>
      <c r="O1387" s="64"/>
      <c r="P1387" s="72" t="str">
        <f aca="false">IF(OR(B1387="",C1387=""),"",C1387&amp;"|"&amp;(YEAR(B1387)*100+MONTH(B1387)))</f>
        <v/>
      </c>
      <c r="Q1387" s="70" t="str">
        <f aca="false">IF(P1387="","",IF(COUNTIF(N_CLAVE,P1387)&gt;1,"⚠ Duplicado","OK"))</f>
        <v/>
      </c>
      <c r="R1387" s="74" t="str">
        <f aca="false">IF(OR(P1387="",U1387=""),"",MAX(0,U1387-N(E1387)-N(F1387)-N(H1387)))</f>
        <v/>
      </c>
      <c r="S1387" s="75" t="str">
        <f aca="false">IF(P1387="","",IFERROR(INDEX(T_INGRESO,MATCH(C1387,T_ID,0)),""))</f>
        <v/>
      </c>
      <c r="T1387" s="75" t="str">
        <f aca="false">IF(P1387="","",IFERROR(N(INDEX(T_EGRESO,MATCH(C1387,T_ID,0))),0))</f>
        <v/>
      </c>
      <c r="U1387" s="73" t="str">
        <f aca="false">IF(OR(P1387="",NOT(ISNUMBER(S1387))),"",IF(OR(S1387&gt;EOMONTH(B1387,0),AND(T1387&gt;0,T1387&lt;B1387)),0,IF(AND(S1387&lt;=B1387,OR(T1387=0,T1387&gt;=EOMONTH(B1387,0))),30,MIN(30,IF(T1387=0,EOMONTH(B1387,0),MIN(T1387,EOMONTH(B1387,0)))-MAX(B1387,S1387)+1))))</f>
        <v/>
      </c>
    </row>
    <row r="1388" customFormat="false" ht="15" hidden="false" customHeight="false" outlineLevel="0" collapsed="false">
      <c r="B1388" s="78"/>
      <c r="C1388" s="64"/>
      <c r="D1388" s="70" t="str">
        <f aca="false">IF(C1388="","",IFERROR(INDEX(T_NOMBRE,MATCH(C1388,T_ID,0)),"⚠ ID no existe"))</f>
        <v/>
      </c>
      <c r="E1388" s="69"/>
      <c r="F1388" s="69"/>
      <c r="G1388" s="69"/>
      <c r="H1388" s="69"/>
      <c r="I1388" s="66"/>
      <c r="J1388" s="69"/>
      <c r="K1388" s="67"/>
      <c r="L1388" s="67"/>
      <c r="M1388" s="67"/>
      <c r="N1388" s="67"/>
      <c r="O1388" s="64"/>
      <c r="P1388" s="72" t="str">
        <f aca="false">IF(OR(B1388="",C1388=""),"",C1388&amp;"|"&amp;(YEAR(B1388)*100+MONTH(B1388)))</f>
        <v/>
      </c>
      <c r="Q1388" s="70" t="str">
        <f aca="false">IF(P1388="","",IF(COUNTIF(N_CLAVE,P1388)&gt;1,"⚠ Duplicado","OK"))</f>
        <v/>
      </c>
      <c r="R1388" s="74" t="str">
        <f aca="false">IF(OR(P1388="",U1388=""),"",MAX(0,U1388-N(E1388)-N(F1388)-N(H1388)))</f>
        <v/>
      </c>
      <c r="S1388" s="75" t="str">
        <f aca="false">IF(P1388="","",IFERROR(INDEX(T_INGRESO,MATCH(C1388,T_ID,0)),""))</f>
        <v/>
      </c>
      <c r="T1388" s="75" t="str">
        <f aca="false">IF(P1388="","",IFERROR(N(INDEX(T_EGRESO,MATCH(C1388,T_ID,0))),0))</f>
        <v/>
      </c>
      <c r="U1388" s="73" t="str">
        <f aca="false">IF(OR(P1388="",NOT(ISNUMBER(S1388))),"",IF(OR(S1388&gt;EOMONTH(B1388,0),AND(T1388&gt;0,T1388&lt;B1388)),0,IF(AND(S1388&lt;=B1388,OR(T1388=0,T1388&gt;=EOMONTH(B1388,0))),30,MIN(30,IF(T1388=0,EOMONTH(B1388,0),MIN(T1388,EOMONTH(B1388,0)))-MAX(B1388,S1388)+1))))</f>
        <v/>
      </c>
    </row>
    <row r="1389" customFormat="false" ht="15" hidden="false" customHeight="false" outlineLevel="0" collapsed="false">
      <c r="B1389" s="78"/>
      <c r="C1389" s="64"/>
      <c r="D1389" s="70" t="str">
        <f aca="false">IF(C1389="","",IFERROR(INDEX(T_NOMBRE,MATCH(C1389,T_ID,0)),"⚠ ID no existe"))</f>
        <v/>
      </c>
      <c r="E1389" s="69"/>
      <c r="F1389" s="69"/>
      <c r="G1389" s="69"/>
      <c r="H1389" s="69"/>
      <c r="I1389" s="66"/>
      <c r="J1389" s="69"/>
      <c r="K1389" s="67"/>
      <c r="L1389" s="67"/>
      <c r="M1389" s="67"/>
      <c r="N1389" s="67"/>
      <c r="O1389" s="64"/>
      <c r="P1389" s="72" t="str">
        <f aca="false">IF(OR(B1389="",C1389=""),"",C1389&amp;"|"&amp;(YEAR(B1389)*100+MONTH(B1389)))</f>
        <v/>
      </c>
      <c r="Q1389" s="70" t="str">
        <f aca="false">IF(P1389="","",IF(COUNTIF(N_CLAVE,P1389)&gt;1,"⚠ Duplicado","OK"))</f>
        <v/>
      </c>
      <c r="R1389" s="74" t="str">
        <f aca="false">IF(OR(P1389="",U1389=""),"",MAX(0,U1389-N(E1389)-N(F1389)-N(H1389)))</f>
        <v/>
      </c>
      <c r="S1389" s="75" t="str">
        <f aca="false">IF(P1389="","",IFERROR(INDEX(T_INGRESO,MATCH(C1389,T_ID,0)),""))</f>
        <v/>
      </c>
      <c r="T1389" s="75" t="str">
        <f aca="false">IF(P1389="","",IFERROR(N(INDEX(T_EGRESO,MATCH(C1389,T_ID,0))),0))</f>
        <v/>
      </c>
      <c r="U1389" s="73" t="str">
        <f aca="false">IF(OR(P1389="",NOT(ISNUMBER(S1389))),"",IF(OR(S1389&gt;EOMONTH(B1389,0),AND(T1389&gt;0,T1389&lt;B1389)),0,IF(AND(S1389&lt;=B1389,OR(T1389=0,T1389&gt;=EOMONTH(B1389,0))),30,MIN(30,IF(T1389=0,EOMONTH(B1389,0),MIN(T1389,EOMONTH(B1389,0)))-MAX(B1389,S1389)+1))))</f>
        <v/>
      </c>
    </row>
    <row r="1390" customFormat="false" ht="15" hidden="false" customHeight="false" outlineLevel="0" collapsed="false">
      <c r="B1390" s="78"/>
      <c r="C1390" s="64"/>
      <c r="D1390" s="70" t="str">
        <f aca="false">IF(C1390="","",IFERROR(INDEX(T_NOMBRE,MATCH(C1390,T_ID,0)),"⚠ ID no existe"))</f>
        <v/>
      </c>
      <c r="E1390" s="69"/>
      <c r="F1390" s="69"/>
      <c r="G1390" s="69"/>
      <c r="H1390" s="69"/>
      <c r="I1390" s="66"/>
      <c r="J1390" s="69"/>
      <c r="K1390" s="67"/>
      <c r="L1390" s="67"/>
      <c r="M1390" s="67"/>
      <c r="N1390" s="67"/>
      <c r="O1390" s="64"/>
      <c r="P1390" s="72" t="str">
        <f aca="false">IF(OR(B1390="",C1390=""),"",C1390&amp;"|"&amp;(YEAR(B1390)*100+MONTH(B1390)))</f>
        <v/>
      </c>
      <c r="Q1390" s="70" t="str">
        <f aca="false">IF(P1390="","",IF(COUNTIF(N_CLAVE,P1390)&gt;1,"⚠ Duplicado","OK"))</f>
        <v/>
      </c>
      <c r="R1390" s="74" t="str">
        <f aca="false">IF(OR(P1390="",U1390=""),"",MAX(0,U1390-N(E1390)-N(F1390)-N(H1390)))</f>
        <v/>
      </c>
      <c r="S1390" s="75" t="str">
        <f aca="false">IF(P1390="","",IFERROR(INDEX(T_INGRESO,MATCH(C1390,T_ID,0)),""))</f>
        <v/>
      </c>
      <c r="T1390" s="75" t="str">
        <f aca="false">IF(P1390="","",IFERROR(N(INDEX(T_EGRESO,MATCH(C1390,T_ID,0))),0))</f>
        <v/>
      </c>
      <c r="U1390" s="73" t="str">
        <f aca="false">IF(OR(P1390="",NOT(ISNUMBER(S1390))),"",IF(OR(S1390&gt;EOMONTH(B1390,0),AND(T1390&gt;0,T1390&lt;B1390)),0,IF(AND(S1390&lt;=B1390,OR(T1390=0,T1390&gt;=EOMONTH(B1390,0))),30,MIN(30,IF(T1390=0,EOMONTH(B1390,0),MIN(T1390,EOMONTH(B1390,0)))-MAX(B1390,S1390)+1))))</f>
        <v/>
      </c>
    </row>
    <row r="1391" customFormat="false" ht="15" hidden="false" customHeight="false" outlineLevel="0" collapsed="false">
      <c r="B1391" s="78"/>
      <c r="C1391" s="64"/>
      <c r="D1391" s="70" t="str">
        <f aca="false">IF(C1391="","",IFERROR(INDEX(T_NOMBRE,MATCH(C1391,T_ID,0)),"⚠ ID no existe"))</f>
        <v/>
      </c>
      <c r="E1391" s="69"/>
      <c r="F1391" s="69"/>
      <c r="G1391" s="69"/>
      <c r="H1391" s="69"/>
      <c r="I1391" s="66"/>
      <c r="J1391" s="69"/>
      <c r="K1391" s="67"/>
      <c r="L1391" s="67"/>
      <c r="M1391" s="67"/>
      <c r="N1391" s="67"/>
      <c r="O1391" s="64"/>
      <c r="P1391" s="72" t="str">
        <f aca="false">IF(OR(B1391="",C1391=""),"",C1391&amp;"|"&amp;(YEAR(B1391)*100+MONTH(B1391)))</f>
        <v/>
      </c>
      <c r="Q1391" s="70" t="str">
        <f aca="false">IF(P1391="","",IF(COUNTIF(N_CLAVE,P1391)&gt;1,"⚠ Duplicado","OK"))</f>
        <v/>
      </c>
      <c r="R1391" s="74" t="str">
        <f aca="false">IF(OR(P1391="",U1391=""),"",MAX(0,U1391-N(E1391)-N(F1391)-N(H1391)))</f>
        <v/>
      </c>
      <c r="S1391" s="75" t="str">
        <f aca="false">IF(P1391="","",IFERROR(INDEX(T_INGRESO,MATCH(C1391,T_ID,0)),""))</f>
        <v/>
      </c>
      <c r="T1391" s="75" t="str">
        <f aca="false">IF(P1391="","",IFERROR(N(INDEX(T_EGRESO,MATCH(C1391,T_ID,0))),0))</f>
        <v/>
      </c>
      <c r="U1391" s="73" t="str">
        <f aca="false">IF(OR(P1391="",NOT(ISNUMBER(S1391))),"",IF(OR(S1391&gt;EOMONTH(B1391,0),AND(T1391&gt;0,T1391&lt;B1391)),0,IF(AND(S1391&lt;=B1391,OR(T1391=0,T1391&gt;=EOMONTH(B1391,0))),30,MIN(30,IF(T1391=0,EOMONTH(B1391,0),MIN(T1391,EOMONTH(B1391,0)))-MAX(B1391,S1391)+1))))</f>
        <v/>
      </c>
    </row>
    <row r="1392" customFormat="false" ht="15" hidden="false" customHeight="false" outlineLevel="0" collapsed="false">
      <c r="B1392" s="78"/>
      <c r="C1392" s="64"/>
      <c r="D1392" s="70" t="str">
        <f aca="false">IF(C1392="","",IFERROR(INDEX(T_NOMBRE,MATCH(C1392,T_ID,0)),"⚠ ID no existe"))</f>
        <v/>
      </c>
      <c r="E1392" s="69"/>
      <c r="F1392" s="69"/>
      <c r="G1392" s="69"/>
      <c r="H1392" s="69"/>
      <c r="I1392" s="66"/>
      <c r="J1392" s="69"/>
      <c r="K1392" s="67"/>
      <c r="L1392" s="67"/>
      <c r="M1392" s="67"/>
      <c r="N1392" s="67"/>
      <c r="O1392" s="64"/>
      <c r="P1392" s="72" t="str">
        <f aca="false">IF(OR(B1392="",C1392=""),"",C1392&amp;"|"&amp;(YEAR(B1392)*100+MONTH(B1392)))</f>
        <v/>
      </c>
      <c r="Q1392" s="70" t="str">
        <f aca="false">IF(P1392="","",IF(COUNTIF(N_CLAVE,P1392)&gt;1,"⚠ Duplicado","OK"))</f>
        <v/>
      </c>
      <c r="R1392" s="74" t="str">
        <f aca="false">IF(OR(P1392="",U1392=""),"",MAX(0,U1392-N(E1392)-N(F1392)-N(H1392)))</f>
        <v/>
      </c>
      <c r="S1392" s="75" t="str">
        <f aca="false">IF(P1392="","",IFERROR(INDEX(T_INGRESO,MATCH(C1392,T_ID,0)),""))</f>
        <v/>
      </c>
      <c r="T1392" s="75" t="str">
        <f aca="false">IF(P1392="","",IFERROR(N(INDEX(T_EGRESO,MATCH(C1392,T_ID,0))),0))</f>
        <v/>
      </c>
      <c r="U1392" s="73" t="str">
        <f aca="false">IF(OR(P1392="",NOT(ISNUMBER(S1392))),"",IF(OR(S1392&gt;EOMONTH(B1392,0),AND(T1392&gt;0,T1392&lt;B1392)),0,IF(AND(S1392&lt;=B1392,OR(T1392=0,T1392&gt;=EOMONTH(B1392,0))),30,MIN(30,IF(T1392=0,EOMONTH(B1392,0),MIN(T1392,EOMONTH(B1392,0)))-MAX(B1392,S1392)+1))))</f>
        <v/>
      </c>
    </row>
    <row r="1393" customFormat="false" ht="15" hidden="false" customHeight="false" outlineLevel="0" collapsed="false">
      <c r="B1393" s="78"/>
      <c r="C1393" s="64"/>
      <c r="D1393" s="70" t="str">
        <f aca="false">IF(C1393="","",IFERROR(INDEX(T_NOMBRE,MATCH(C1393,T_ID,0)),"⚠ ID no existe"))</f>
        <v/>
      </c>
      <c r="E1393" s="69"/>
      <c r="F1393" s="69"/>
      <c r="G1393" s="69"/>
      <c r="H1393" s="69"/>
      <c r="I1393" s="66"/>
      <c r="J1393" s="69"/>
      <c r="K1393" s="67"/>
      <c r="L1393" s="67"/>
      <c r="M1393" s="67"/>
      <c r="N1393" s="67"/>
      <c r="O1393" s="64"/>
      <c r="P1393" s="72" t="str">
        <f aca="false">IF(OR(B1393="",C1393=""),"",C1393&amp;"|"&amp;(YEAR(B1393)*100+MONTH(B1393)))</f>
        <v/>
      </c>
      <c r="Q1393" s="70" t="str">
        <f aca="false">IF(P1393="","",IF(COUNTIF(N_CLAVE,P1393)&gt;1,"⚠ Duplicado","OK"))</f>
        <v/>
      </c>
      <c r="R1393" s="74" t="str">
        <f aca="false">IF(OR(P1393="",U1393=""),"",MAX(0,U1393-N(E1393)-N(F1393)-N(H1393)))</f>
        <v/>
      </c>
      <c r="S1393" s="75" t="str">
        <f aca="false">IF(P1393="","",IFERROR(INDEX(T_INGRESO,MATCH(C1393,T_ID,0)),""))</f>
        <v/>
      </c>
      <c r="T1393" s="75" t="str">
        <f aca="false">IF(P1393="","",IFERROR(N(INDEX(T_EGRESO,MATCH(C1393,T_ID,0))),0))</f>
        <v/>
      </c>
      <c r="U1393" s="73" t="str">
        <f aca="false">IF(OR(P1393="",NOT(ISNUMBER(S1393))),"",IF(OR(S1393&gt;EOMONTH(B1393,0),AND(T1393&gt;0,T1393&lt;B1393)),0,IF(AND(S1393&lt;=B1393,OR(T1393=0,T1393&gt;=EOMONTH(B1393,0))),30,MIN(30,IF(T1393=0,EOMONTH(B1393,0),MIN(T1393,EOMONTH(B1393,0)))-MAX(B1393,S1393)+1))))</f>
        <v/>
      </c>
    </row>
    <row r="1394" customFormat="false" ht="15" hidden="false" customHeight="false" outlineLevel="0" collapsed="false">
      <c r="B1394" s="78"/>
      <c r="C1394" s="64"/>
      <c r="D1394" s="70" t="str">
        <f aca="false">IF(C1394="","",IFERROR(INDEX(T_NOMBRE,MATCH(C1394,T_ID,0)),"⚠ ID no existe"))</f>
        <v/>
      </c>
      <c r="E1394" s="69"/>
      <c r="F1394" s="69"/>
      <c r="G1394" s="69"/>
      <c r="H1394" s="69"/>
      <c r="I1394" s="66"/>
      <c r="J1394" s="69"/>
      <c r="K1394" s="67"/>
      <c r="L1394" s="67"/>
      <c r="M1394" s="67"/>
      <c r="N1394" s="67"/>
      <c r="O1394" s="64"/>
      <c r="P1394" s="72" t="str">
        <f aca="false">IF(OR(B1394="",C1394=""),"",C1394&amp;"|"&amp;(YEAR(B1394)*100+MONTH(B1394)))</f>
        <v/>
      </c>
      <c r="Q1394" s="70" t="str">
        <f aca="false">IF(P1394="","",IF(COUNTIF(N_CLAVE,P1394)&gt;1,"⚠ Duplicado","OK"))</f>
        <v/>
      </c>
      <c r="R1394" s="74" t="str">
        <f aca="false">IF(OR(P1394="",U1394=""),"",MAX(0,U1394-N(E1394)-N(F1394)-N(H1394)))</f>
        <v/>
      </c>
      <c r="S1394" s="75" t="str">
        <f aca="false">IF(P1394="","",IFERROR(INDEX(T_INGRESO,MATCH(C1394,T_ID,0)),""))</f>
        <v/>
      </c>
      <c r="T1394" s="75" t="str">
        <f aca="false">IF(P1394="","",IFERROR(N(INDEX(T_EGRESO,MATCH(C1394,T_ID,0))),0))</f>
        <v/>
      </c>
      <c r="U1394" s="73" t="str">
        <f aca="false">IF(OR(P1394="",NOT(ISNUMBER(S1394))),"",IF(OR(S1394&gt;EOMONTH(B1394,0),AND(T1394&gt;0,T1394&lt;B1394)),0,IF(AND(S1394&lt;=B1394,OR(T1394=0,T1394&gt;=EOMONTH(B1394,0))),30,MIN(30,IF(T1394=0,EOMONTH(B1394,0),MIN(T1394,EOMONTH(B1394,0)))-MAX(B1394,S1394)+1))))</f>
        <v/>
      </c>
    </row>
    <row r="1395" customFormat="false" ht="15" hidden="false" customHeight="false" outlineLevel="0" collapsed="false">
      <c r="B1395" s="78"/>
      <c r="C1395" s="64"/>
      <c r="D1395" s="70" t="str">
        <f aca="false">IF(C1395="","",IFERROR(INDEX(T_NOMBRE,MATCH(C1395,T_ID,0)),"⚠ ID no existe"))</f>
        <v/>
      </c>
      <c r="E1395" s="69"/>
      <c r="F1395" s="69"/>
      <c r="G1395" s="69"/>
      <c r="H1395" s="69"/>
      <c r="I1395" s="66"/>
      <c r="J1395" s="69"/>
      <c r="K1395" s="67"/>
      <c r="L1395" s="67"/>
      <c r="M1395" s="67"/>
      <c r="N1395" s="67"/>
      <c r="O1395" s="64"/>
      <c r="P1395" s="72" t="str">
        <f aca="false">IF(OR(B1395="",C1395=""),"",C1395&amp;"|"&amp;(YEAR(B1395)*100+MONTH(B1395)))</f>
        <v/>
      </c>
      <c r="Q1395" s="70" t="str">
        <f aca="false">IF(P1395="","",IF(COUNTIF(N_CLAVE,P1395)&gt;1,"⚠ Duplicado","OK"))</f>
        <v/>
      </c>
      <c r="R1395" s="74" t="str">
        <f aca="false">IF(OR(P1395="",U1395=""),"",MAX(0,U1395-N(E1395)-N(F1395)-N(H1395)))</f>
        <v/>
      </c>
      <c r="S1395" s="75" t="str">
        <f aca="false">IF(P1395="","",IFERROR(INDEX(T_INGRESO,MATCH(C1395,T_ID,0)),""))</f>
        <v/>
      </c>
      <c r="T1395" s="75" t="str">
        <f aca="false">IF(P1395="","",IFERROR(N(INDEX(T_EGRESO,MATCH(C1395,T_ID,0))),0))</f>
        <v/>
      </c>
      <c r="U1395" s="73" t="str">
        <f aca="false">IF(OR(P1395="",NOT(ISNUMBER(S1395))),"",IF(OR(S1395&gt;EOMONTH(B1395,0),AND(T1395&gt;0,T1395&lt;B1395)),0,IF(AND(S1395&lt;=B1395,OR(T1395=0,T1395&gt;=EOMONTH(B1395,0))),30,MIN(30,IF(T1395=0,EOMONTH(B1395,0),MIN(T1395,EOMONTH(B1395,0)))-MAX(B1395,S1395)+1))))</f>
        <v/>
      </c>
    </row>
    <row r="1396" customFormat="false" ht="15" hidden="false" customHeight="false" outlineLevel="0" collapsed="false">
      <c r="B1396" s="78"/>
      <c r="C1396" s="64"/>
      <c r="D1396" s="70" t="str">
        <f aca="false">IF(C1396="","",IFERROR(INDEX(T_NOMBRE,MATCH(C1396,T_ID,0)),"⚠ ID no existe"))</f>
        <v/>
      </c>
      <c r="E1396" s="69"/>
      <c r="F1396" s="69"/>
      <c r="G1396" s="69"/>
      <c r="H1396" s="69"/>
      <c r="I1396" s="66"/>
      <c r="J1396" s="69"/>
      <c r="K1396" s="67"/>
      <c r="L1396" s="67"/>
      <c r="M1396" s="67"/>
      <c r="N1396" s="67"/>
      <c r="O1396" s="64"/>
      <c r="P1396" s="72" t="str">
        <f aca="false">IF(OR(B1396="",C1396=""),"",C1396&amp;"|"&amp;(YEAR(B1396)*100+MONTH(B1396)))</f>
        <v/>
      </c>
      <c r="Q1396" s="70" t="str">
        <f aca="false">IF(P1396="","",IF(COUNTIF(N_CLAVE,P1396)&gt;1,"⚠ Duplicado","OK"))</f>
        <v/>
      </c>
      <c r="R1396" s="74" t="str">
        <f aca="false">IF(OR(P1396="",U1396=""),"",MAX(0,U1396-N(E1396)-N(F1396)-N(H1396)))</f>
        <v/>
      </c>
      <c r="S1396" s="75" t="str">
        <f aca="false">IF(P1396="","",IFERROR(INDEX(T_INGRESO,MATCH(C1396,T_ID,0)),""))</f>
        <v/>
      </c>
      <c r="T1396" s="75" t="str">
        <f aca="false">IF(P1396="","",IFERROR(N(INDEX(T_EGRESO,MATCH(C1396,T_ID,0))),0))</f>
        <v/>
      </c>
      <c r="U1396" s="73" t="str">
        <f aca="false">IF(OR(P1396="",NOT(ISNUMBER(S1396))),"",IF(OR(S1396&gt;EOMONTH(B1396,0),AND(T1396&gt;0,T1396&lt;B1396)),0,IF(AND(S1396&lt;=B1396,OR(T1396=0,T1396&gt;=EOMONTH(B1396,0))),30,MIN(30,IF(T1396=0,EOMONTH(B1396,0),MIN(T1396,EOMONTH(B1396,0)))-MAX(B1396,S1396)+1))))</f>
        <v/>
      </c>
    </row>
    <row r="1397" customFormat="false" ht="15" hidden="false" customHeight="false" outlineLevel="0" collapsed="false">
      <c r="B1397" s="78"/>
      <c r="C1397" s="64"/>
      <c r="D1397" s="70" t="str">
        <f aca="false">IF(C1397="","",IFERROR(INDEX(T_NOMBRE,MATCH(C1397,T_ID,0)),"⚠ ID no existe"))</f>
        <v/>
      </c>
      <c r="E1397" s="69"/>
      <c r="F1397" s="69"/>
      <c r="G1397" s="69"/>
      <c r="H1397" s="69"/>
      <c r="I1397" s="66"/>
      <c r="J1397" s="69"/>
      <c r="K1397" s="67"/>
      <c r="L1397" s="67"/>
      <c r="M1397" s="67"/>
      <c r="N1397" s="67"/>
      <c r="O1397" s="64"/>
      <c r="P1397" s="72" t="str">
        <f aca="false">IF(OR(B1397="",C1397=""),"",C1397&amp;"|"&amp;(YEAR(B1397)*100+MONTH(B1397)))</f>
        <v/>
      </c>
      <c r="Q1397" s="70" t="str">
        <f aca="false">IF(P1397="","",IF(COUNTIF(N_CLAVE,P1397)&gt;1,"⚠ Duplicado","OK"))</f>
        <v/>
      </c>
      <c r="R1397" s="74" t="str">
        <f aca="false">IF(OR(P1397="",U1397=""),"",MAX(0,U1397-N(E1397)-N(F1397)-N(H1397)))</f>
        <v/>
      </c>
      <c r="S1397" s="75" t="str">
        <f aca="false">IF(P1397="","",IFERROR(INDEX(T_INGRESO,MATCH(C1397,T_ID,0)),""))</f>
        <v/>
      </c>
      <c r="T1397" s="75" t="str">
        <f aca="false">IF(P1397="","",IFERROR(N(INDEX(T_EGRESO,MATCH(C1397,T_ID,0))),0))</f>
        <v/>
      </c>
      <c r="U1397" s="73" t="str">
        <f aca="false">IF(OR(P1397="",NOT(ISNUMBER(S1397))),"",IF(OR(S1397&gt;EOMONTH(B1397,0),AND(T1397&gt;0,T1397&lt;B1397)),0,IF(AND(S1397&lt;=B1397,OR(T1397=0,T1397&gt;=EOMONTH(B1397,0))),30,MIN(30,IF(T1397=0,EOMONTH(B1397,0),MIN(T1397,EOMONTH(B1397,0)))-MAX(B1397,S1397)+1))))</f>
        <v/>
      </c>
    </row>
    <row r="1398" customFormat="false" ht="15" hidden="false" customHeight="false" outlineLevel="0" collapsed="false">
      <c r="B1398" s="78"/>
      <c r="C1398" s="64"/>
      <c r="D1398" s="70" t="str">
        <f aca="false">IF(C1398="","",IFERROR(INDEX(T_NOMBRE,MATCH(C1398,T_ID,0)),"⚠ ID no existe"))</f>
        <v/>
      </c>
      <c r="E1398" s="69"/>
      <c r="F1398" s="69"/>
      <c r="G1398" s="69"/>
      <c r="H1398" s="69"/>
      <c r="I1398" s="66"/>
      <c r="J1398" s="69"/>
      <c r="K1398" s="67"/>
      <c r="L1398" s="67"/>
      <c r="M1398" s="67"/>
      <c r="N1398" s="67"/>
      <c r="O1398" s="64"/>
      <c r="P1398" s="72" t="str">
        <f aca="false">IF(OR(B1398="",C1398=""),"",C1398&amp;"|"&amp;(YEAR(B1398)*100+MONTH(B1398)))</f>
        <v/>
      </c>
      <c r="Q1398" s="70" t="str">
        <f aca="false">IF(P1398="","",IF(COUNTIF(N_CLAVE,P1398)&gt;1,"⚠ Duplicado","OK"))</f>
        <v/>
      </c>
      <c r="R1398" s="74" t="str">
        <f aca="false">IF(OR(P1398="",U1398=""),"",MAX(0,U1398-N(E1398)-N(F1398)-N(H1398)))</f>
        <v/>
      </c>
      <c r="S1398" s="75" t="str">
        <f aca="false">IF(P1398="","",IFERROR(INDEX(T_INGRESO,MATCH(C1398,T_ID,0)),""))</f>
        <v/>
      </c>
      <c r="T1398" s="75" t="str">
        <f aca="false">IF(P1398="","",IFERROR(N(INDEX(T_EGRESO,MATCH(C1398,T_ID,0))),0))</f>
        <v/>
      </c>
      <c r="U1398" s="73" t="str">
        <f aca="false">IF(OR(P1398="",NOT(ISNUMBER(S1398))),"",IF(OR(S1398&gt;EOMONTH(B1398,0),AND(T1398&gt;0,T1398&lt;B1398)),0,IF(AND(S1398&lt;=B1398,OR(T1398=0,T1398&gt;=EOMONTH(B1398,0))),30,MIN(30,IF(T1398=0,EOMONTH(B1398,0),MIN(T1398,EOMONTH(B1398,0)))-MAX(B1398,S1398)+1))))</f>
        <v/>
      </c>
    </row>
    <row r="1399" customFormat="false" ht="15" hidden="false" customHeight="false" outlineLevel="0" collapsed="false">
      <c r="B1399" s="78"/>
      <c r="C1399" s="64"/>
      <c r="D1399" s="70" t="str">
        <f aca="false">IF(C1399="","",IFERROR(INDEX(T_NOMBRE,MATCH(C1399,T_ID,0)),"⚠ ID no existe"))</f>
        <v/>
      </c>
      <c r="E1399" s="69"/>
      <c r="F1399" s="69"/>
      <c r="G1399" s="69"/>
      <c r="H1399" s="69"/>
      <c r="I1399" s="66"/>
      <c r="J1399" s="69"/>
      <c r="K1399" s="67"/>
      <c r="L1399" s="67"/>
      <c r="M1399" s="67"/>
      <c r="N1399" s="67"/>
      <c r="O1399" s="64"/>
      <c r="P1399" s="72" t="str">
        <f aca="false">IF(OR(B1399="",C1399=""),"",C1399&amp;"|"&amp;(YEAR(B1399)*100+MONTH(B1399)))</f>
        <v/>
      </c>
      <c r="Q1399" s="70" t="str">
        <f aca="false">IF(P1399="","",IF(COUNTIF(N_CLAVE,P1399)&gt;1,"⚠ Duplicado","OK"))</f>
        <v/>
      </c>
      <c r="R1399" s="74" t="str">
        <f aca="false">IF(OR(P1399="",U1399=""),"",MAX(0,U1399-N(E1399)-N(F1399)-N(H1399)))</f>
        <v/>
      </c>
      <c r="S1399" s="75" t="str">
        <f aca="false">IF(P1399="","",IFERROR(INDEX(T_INGRESO,MATCH(C1399,T_ID,0)),""))</f>
        <v/>
      </c>
      <c r="T1399" s="75" t="str">
        <f aca="false">IF(P1399="","",IFERROR(N(INDEX(T_EGRESO,MATCH(C1399,T_ID,0))),0))</f>
        <v/>
      </c>
      <c r="U1399" s="73" t="str">
        <f aca="false">IF(OR(P1399="",NOT(ISNUMBER(S1399))),"",IF(OR(S1399&gt;EOMONTH(B1399,0),AND(T1399&gt;0,T1399&lt;B1399)),0,IF(AND(S1399&lt;=B1399,OR(T1399=0,T1399&gt;=EOMONTH(B1399,0))),30,MIN(30,IF(T1399=0,EOMONTH(B1399,0),MIN(T1399,EOMONTH(B1399,0)))-MAX(B1399,S1399)+1))))</f>
        <v/>
      </c>
    </row>
    <row r="1400" customFormat="false" ht="15" hidden="false" customHeight="false" outlineLevel="0" collapsed="false">
      <c r="B1400" s="78"/>
      <c r="C1400" s="64"/>
      <c r="D1400" s="70" t="str">
        <f aca="false">IF(C1400="","",IFERROR(INDEX(T_NOMBRE,MATCH(C1400,T_ID,0)),"⚠ ID no existe"))</f>
        <v/>
      </c>
      <c r="E1400" s="69"/>
      <c r="F1400" s="69"/>
      <c r="G1400" s="69"/>
      <c r="H1400" s="69"/>
      <c r="I1400" s="66"/>
      <c r="J1400" s="69"/>
      <c r="K1400" s="67"/>
      <c r="L1400" s="67"/>
      <c r="M1400" s="67"/>
      <c r="N1400" s="67"/>
      <c r="O1400" s="64"/>
      <c r="P1400" s="72" t="str">
        <f aca="false">IF(OR(B1400="",C1400=""),"",C1400&amp;"|"&amp;(YEAR(B1400)*100+MONTH(B1400)))</f>
        <v/>
      </c>
      <c r="Q1400" s="70" t="str">
        <f aca="false">IF(P1400="","",IF(COUNTIF(N_CLAVE,P1400)&gt;1,"⚠ Duplicado","OK"))</f>
        <v/>
      </c>
      <c r="R1400" s="74" t="str">
        <f aca="false">IF(OR(P1400="",U1400=""),"",MAX(0,U1400-N(E1400)-N(F1400)-N(H1400)))</f>
        <v/>
      </c>
      <c r="S1400" s="75" t="str">
        <f aca="false">IF(P1400="","",IFERROR(INDEX(T_INGRESO,MATCH(C1400,T_ID,0)),""))</f>
        <v/>
      </c>
      <c r="T1400" s="75" t="str">
        <f aca="false">IF(P1400="","",IFERROR(N(INDEX(T_EGRESO,MATCH(C1400,T_ID,0))),0))</f>
        <v/>
      </c>
      <c r="U1400" s="73" t="str">
        <f aca="false">IF(OR(P1400="",NOT(ISNUMBER(S1400))),"",IF(OR(S1400&gt;EOMONTH(B1400,0),AND(T1400&gt;0,T1400&lt;B1400)),0,IF(AND(S1400&lt;=B1400,OR(T1400=0,T1400&gt;=EOMONTH(B1400,0))),30,MIN(30,IF(T1400=0,EOMONTH(B1400,0),MIN(T1400,EOMONTH(B1400,0)))-MAX(B1400,S1400)+1))))</f>
        <v/>
      </c>
    </row>
    <row r="1401" customFormat="false" ht="15" hidden="false" customHeight="false" outlineLevel="0" collapsed="false">
      <c r="B1401" s="78"/>
      <c r="C1401" s="64"/>
      <c r="D1401" s="70" t="str">
        <f aca="false">IF(C1401="","",IFERROR(INDEX(T_NOMBRE,MATCH(C1401,T_ID,0)),"⚠ ID no existe"))</f>
        <v/>
      </c>
      <c r="E1401" s="69"/>
      <c r="F1401" s="69"/>
      <c r="G1401" s="69"/>
      <c r="H1401" s="69"/>
      <c r="I1401" s="66"/>
      <c r="J1401" s="69"/>
      <c r="K1401" s="67"/>
      <c r="L1401" s="67"/>
      <c r="M1401" s="67"/>
      <c r="N1401" s="67"/>
      <c r="O1401" s="64"/>
      <c r="P1401" s="72" t="str">
        <f aca="false">IF(OR(B1401="",C1401=""),"",C1401&amp;"|"&amp;(YEAR(B1401)*100+MONTH(B1401)))</f>
        <v/>
      </c>
      <c r="Q1401" s="70" t="str">
        <f aca="false">IF(P1401="","",IF(COUNTIF(N_CLAVE,P1401)&gt;1,"⚠ Duplicado","OK"))</f>
        <v/>
      </c>
      <c r="R1401" s="74" t="str">
        <f aca="false">IF(OR(P1401="",U1401=""),"",MAX(0,U1401-N(E1401)-N(F1401)-N(H1401)))</f>
        <v/>
      </c>
      <c r="S1401" s="75" t="str">
        <f aca="false">IF(P1401="","",IFERROR(INDEX(T_INGRESO,MATCH(C1401,T_ID,0)),""))</f>
        <v/>
      </c>
      <c r="T1401" s="75" t="str">
        <f aca="false">IF(P1401="","",IFERROR(N(INDEX(T_EGRESO,MATCH(C1401,T_ID,0))),0))</f>
        <v/>
      </c>
      <c r="U1401" s="73" t="str">
        <f aca="false">IF(OR(P1401="",NOT(ISNUMBER(S1401))),"",IF(OR(S1401&gt;EOMONTH(B1401,0),AND(T1401&gt;0,T1401&lt;B1401)),0,IF(AND(S1401&lt;=B1401,OR(T1401=0,T1401&gt;=EOMONTH(B1401,0))),30,MIN(30,IF(T1401=0,EOMONTH(B1401,0),MIN(T1401,EOMONTH(B1401,0)))-MAX(B1401,S1401)+1))))</f>
        <v/>
      </c>
    </row>
    <row r="1402" customFormat="false" ht="15" hidden="false" customHeight="false" outlineLevel="0" collapsed="false">
      <c r="B1402" s="78"/>
      <c r="C1402" s="64"/>
      <c r="D1402" s="70" t="str">
        <f aca="false">IF(C1402="","",IFERROR(INDEX(T_NOMBRE,MATCH(C1402,T_ID,0)),"⚠ ID no existe"))</f>
        <v/>
      </c>
      <c r="E1402" s="69"/>
      <c r="F1402" s="69"/>
      <c r="G1402" s="69"/>
      <c r="H1402" s="69"/>
      <c r="I1402" s="66"/>
      <c r="J1402" s="69"/>
      <c r="K1402" s="67"/>
      <c r="L1402" s="67"/>
      <c r="M1402" s="67"/>
      <c r="N1402" s="67"/>
      <c r="O1402" s="64"/>
      <c r="P1402" s="72" t="str">
        <f aca="false">IF(OR(B1402="",C1402=""),"",C1402&amp;"|"&amp;(YEAR(B1402)*100+MONTH(B1402)))</f>
        <v/>
      </c>
      <c r="Q1402" s="70" t="str">
        <f aca="false">IF(P1402="","",IF(COUNTIF(N_CLAVE,P1402)&gt;1,"⚠ Duplicado","OK"))</f>
        <v/>
      </c>
      <c r="R1402" s="74" t="str">
        <f aca="false">IF(OR(P1402="",U1402=""),"",MAX(0,U1402-N(E1402)-N(F1402)-N(H1402)))</f>
        <v/>
      </c>
      <c r="S1402" s="75" t="str">
        <f aca="false">IF(P1402="","",IFERROR(INDEX(T_INGRESO,MATCH(C1402,T_ID,0)),""))</f>
        <v/>
      </c>
      <c r="T1402" s="75" t="str">
        <f aca="false">IF(P1402="","",IFERROR(N(INDEX(T_EGRESO,MATCH(C1402,T_ID,0))),0))</f>
        <v/>
      </c>
      <c r="U1402" s="73" t="str">
        <f aca="false">IF(OR(P1402="",NOT(ISNUMBER(S1402))),"",IF(OR(S1402&gt;EOMONTH(B1402,0),AND(T1402&gt;0,T1402&lt;B1402)),0,IF(AND(S1402&lt;=B1402,OR(T1402=0,T1402&gt;=EOMONTH(B1402,0))),30,MIN(30,IF(T1402=0,EOMONTH(B1402,0),MIN(T1402,EOMONTH(B1402,0)))-MAX(B1402,S1402)+1))))</f>
        <v/>
      </c>
    </row>
    <row r="1403" customFormat="false" ht="15" hidden="false" customHeight="false" outlineLevel="0" collapsed="false">
      <c r="B1403" s="78"/>
      <c r="C1403" s="64"/>
      <c r="D1403" s="70" t="str">
        <f aca="false">IF(C1403="","",IFERROR(INDEX(T_NOMBRE,MATCH(C1403,T_ID,0)),"⚠ ID no existe"))</f>
        <v/>
      </c>
      <c r="E1403" s="69"/>
      <c r="F1403" s="69"/>
      <c r="G1403" s="69"/>
      <c r="H1403" s="69"/>
      <c r="I1403" s="66"/>
      <c r="J1403" s="69"/>
      <c r="K1403" s="67"/>
      <c r="L1403" s="67"/>
      <c r="M1403" s="67"/>
      <c r="N1403" s="67"/>
      <c r="O1403" s="64"/>
      <c r="P1403" s="72" t="str">
        <f aca="false">IF(OR(B1403="",C1403=""),"",C1403&amp;"|"&amp;(YEAR(B1403)*100+MONTH(B1403)))</f>
        <v/>
      </c>
      <c r="Q1403" s="70" t="str">
        <f aca="false">IF(P1403="","",IF(COUNTIF(N_CLAVE,P1403)&gt;1,"⚠ Duplicado","OK"))</f>
        <v/>
      </c>
      <c r="R1403" s="74" t="str">
        <f aca="false">IF(OR(P1403="",U1403=""),"",MAX(0,U1403-N(E1403)-N(F1403)-N(H1403)))</f>
        <v/>
      </c>
      <c r="S1403" s="75" t="str">
        <f aca="false">IF(P1403="","",IFERROR(INDEX(T_INGRESO,MATCH(C1403,T_ID,0)),""))</f>
        <v/>
      </c>
      <c r="T1403" s="75" t="str">
        <f aca="false">IF(P1403="","",IFERROR(N(INDEX(T_EGRESO,MATCH(C1403,T_ID,0))),0))</f>
        <v/>
      </c>
      <c r="U1403" s="73" t="str">
        <f aca="false">IF(OR(P1403="",NOT(ISNUMBER(S1403))),"",IF(OR(S1403&gt;EOMONTH(B1403,0),AND(T1403&gt;0,T1403&lt;B1403)),0,IF(AND(S1403&lt;=B1403,OR(T1403=0,T1403&gt;=EOMONTH(B1403,0))),30,MIN(30,IF(T1403=0,EOMONTH(B1403,0),MIN(T1403,EOMONTH(B1403,0)))-MAX(B1403,S1403)+1))))</f>
        <v/>
      </c>
    </row>
    <row r="1404" customFormat="false" ht="15" hidden="false" customHeight="false" outlineLevel="0" collapsed="false">
      <c r="B1404" s="78"/>
      <c r="C1404" s="64"/>
      <c r="D1404" s="70" t="str">
        <f aca="false">IF(C1404="","",IFERROR(INDEX(T_NOMBRE,MATCH(C1404,T_ID,0)),"⚠ ID no existe"))</f>
        <v/>
      </c>
      <c r="E1404" s="69"/>
      <c r="F1404" s="69"/>
      <c r="G1404" s="69"/>
      <c r="H1404" s="69"/>
      <c r="I1404" s="66"/>
      <c r="J1404" s="69"/>
      <c r="K1404" s="67"/>
      <c r="L1404" s="67"/>
      <c r="M1404" s="67"/>
      <c r="N1404" s="67"/>
      <c r="O1404" s="64"/>
      <c r="P1404" s="72" t="str">
        <f aca="false">IF(OR(B1404="",C1404=""),"",C1404&amp;"|"&amp;(YEAR(B1404)*100+MONTH(B1404)))</f>
        <v/>
      </c>
      <c r="Q1404" s="70" t="str">
        <f aca="false">IF(P1404="","",IF(COUNTIF(N_CLAVE,P1404)&gt;1,"⚠ Duplicado","OK"))</f>
        <v/>
      </c>
      <c r="R1404" s="74" t="str">
        <f aca="false">IF(OR(P1404="",U1404=""),"",MAX(0,U1404-N(E1404)-N(F1404)-N(H1404)))</f>
        <v/>
      </c>
      <c r="S1404" s="75" t="str">
        <f aca="false">IF(P1404="","",IFERROR(INDEX(T_INGRESO,MATCH(C1404,T_ID,0)),""))</f>
        <v/>
      </c>
      <c r="T1404" s="75" t="str">
        <f aca="false">IF(P1404="","",IFERROR(N(INDEX(T_EGRESO,MATCH(C1404,T_ID,0))),0))</f>
        <v/>
      </c>
      <c r="U1404" s="73" t="str">
        <f aca="false">IF(OR(P1404="",NOT(ISNUMBER(S1404))),"",IF(OR(S1404&gt;EOMONTH(B1404,0),AND(T1404&gt;0,T1404&lt;B1404)),0,IF(AND(S1404&lt;=B1404,OR(T1404=0,T1404&gt;=EOMONTH(B1404,0))),30,MIN(30,IF(T1404=0,EOMONTH(B1404,0),MIN(T1404,EOMONTH(B1404,0)))-MAX(B1404,S1404)+1))))</f>
        <v/>
      </c>
    </row>
    <row r="1405" customFormat="false" ht="15" hidden="false" customHeight="false" outlineLevel="0" collapsed="false">
      <c r="B1405" s="78"/>
      <c r="C1405" s="64"/>
      <c r="D1405" s="70" t="str">
        <f aca="false">IF(C1405="","",IFERROR(INDEX(T_NOMBRE,MATCH(C1405,T_ID,0)),"⚠ ID no existe"))</f>
        <v/>
      </c>
      <c r="E1405" s="69"/>
      <c r="F1405" s="69"/>
      <c r="G1405" s="69"/>
      <c r="H1405" s="69"/>
      <c r="I1405" s="66"/>
      <c r="J1405" s="69"/>
      <c r="K1405" s="67"/>
      <c r="L1405" s="67"/>
      <c r="M1405" s="67"/>
      <c r="N1405" s="67"/>
      <c r="O1405" s="64"/>
      <c r="P1405" s="72" t="str">
        <f aca="false">IF(OR(B1405="",C1405=""),"",C1405&amp;"|"&amp;(YEAR(B1405)*100+MONTH(B1405)))</f>
        <v/>
      </c>
      <c r="Q1405" s="70" t="str">
        <f aca="false">IF(P1405="","",IF(COUNTIF(N_CLAVE,P1405)&gt;1,"⚠ Duplicado","OK"))</f>
        <v/>
      </c>
      <c r="R1405" s="74" t="str">
        <f aca="false">IF(OR(P1405="",U1405=""),"",MAX(0,U1405-N(E1405)-N(F1405)-N(H1405)))</f>
        <v/>
      </c>
      <c r="S1405" s="75" t="str">
        <f aca="false">IF(P1405="","",IFERROR(INDEX(T_INGRESO,MATCH(C1405,T_ID,0)),""))</f>
        <v/>
      </c>
      <c r="T1405" s="75" t="str">
        <f aca="false">IF(P1405="","",IFERROR(N(INDEX(T_EGRESO,MATCH(C1405,T_ID,0))),0))</f>
        <v/>
      </c>
      <c r="U1405" s="73" t="str">
        <f aca="false">IF(OR(P1405="",NOT(ISNUMBER(S1405))),"",IF(OR(S1405&gt;EOMONTH(B1405,0),AND(T1405&gt;0,T1405&lt;B1405)),0,IF(AND(S1405&lt;=B1405,OR(T1405=0,T1405&gt;=EOMONTH(B1405,0))),30,MIN(30,IF(T1405=0,EOMONTH(B1405,0),MIN(T1405,EOMONTH(B1405,0)))-MAX(B1405,S1405)+1))))</f>
        <v/>
      </c>
    </row>
    <row r="1406" customFormat="false" ht="15" hidden="false" customHeight="false" outlineLevel="0" collapsed="false">
      <c r="B1406" s="78"/>
      <c r="C1406" s="64"/>
      <c r="D1406" s="70" t="str">
        <f aca="false">IF(C1406="","",IFERROR(INDEX(T_NOMBRE,MATCH(C1406,T_ID,0)),"⚠ ID no existe"))</f>
        <v/>
      </c>
      <c r="E1406" s="69"/>
      <c r="F1406" s="69"/>
      <c r="G1406" s="69"/>
      <c r="H1406" s="69"/>
      <c r="I1406" s="66"/>
      <c r="J1406" s="69"/>
      <c r="K1406" s="67"/>
      <c r="L1406" s="67"/>
      <c r="M1406" s="67"/>
      <c r="N1406" s="67"/>
      <c r="O1406" s="64"/>
      <c r="P1406" s="72" t="str">
        <f aca="false">IF(OR(B1406="",C1406=""),"",C1406&amp;"|"&amp;(YEAR(B1406)*100+MONTH(B1406)))</f>
        <v/>
      </c>
      <c r="Q1406" s="70" t="str">
        <f aca="false">IF(P1406="","",IF(COUNTIF(N_CLAVE,P1406)&gt;1,"⚠ Duplicado","OK"))</f>
        <v/>
      </c>
      <c r="R1406" s="74" t="str">
        <f aca="false">IF(OR(P1406="",U1406=""),"",MAX(0,U1406-N(E1406)-N(F1406)-N(H1406)))</f>
        <v/>
      </c>
      <c r="S1406" s="75" t="str">
        <f aca="false">IF(P1406="","",IFERROR(INDEX(T_INGRESO,MATCH(C1406,T_ID,0)),""))</f>
        <v/>
      </c>
      <c r="T1406" s="75" t="str">
        <f aca="false">IF(P1406="","",IFERROR(N(INDEX(T_EGRESO,MATCH(C1406,T_ID,0))),0))</f>
        <v/>
      </c>
      <c r="U1406" s="73" t="str">
        <f aca="false">IF(OR(P1406="",NOT(ISNUMBER(S1406))),"",IF(OR(S1406&gt;EOMONTH(B1406,0),AND(T1406&gt;0,T1406&lt;B1406)),0,IF(AND(S1406&lt;=B1406,OR(T1406=0,T1406&gt;=EOMONTH(B1406,0))),30,MIN(30,IF(T1406=0,EOMONTH(B1406,0),MIN(T1406,EOMONTH(B1406,0)))-MAX(B1406,S1406)+1))))</f>
        <v/>
      </c>
    </row>
    <row r="1407" customFormat="false" ht="15" hidden="false" customHeight="false" outlineLevel="0" collapsed="false">
      <c r="B1407" s="78"/>
      <c r="C1407" s="64"/>
      <c r="D1407" s="70" t="str">
        <f aca="false">IF(C1407="","",IFERROR(INDEX(T_NOMBRE,MATCH(C1407,T_ID,0)),"⚠ ID no existe"))</f>
        <v/>
      </c>
      <c r="E1407" s="69"/>
      <c r="F1407" s="69"/>
      <c r="G1407" s="69"/>
      <c r="H1407" s="69"/>
      <c r="I1407" s="66"/>
      <c r="J1407" s="69"/>
      <c r="K1407" s="67"/>
      <c r="L1407" s="67"/>
      <c r="M1407" s="67"/>
      <c r="N1407" s="67"/>
      <c r="O1407" s="64"/>
      <c r="P1407" s="72" t="str">
        <f aca="false">IF(OR(B1407="",C1407=""),"",C1407&amp;"|"&amp;(YEAR(B1407)*100+MONTH(B1407)))</f>
        <v/>
      </c>
      <c r="Q1407" s="70" t="str">
        <f aca="false">IF(P1407="","",IF(COUNTIF(N_CLAVE,P1407)&gt;1,"⚠ Duplicado","OK"))</f>
        <v/>
      </c>
      <c r="R1407" s="74" t="str">
        <f aca="false">IF(OR(P1407="",U1407=""),"",MAX(0,U1407-N(E1407)-N(F1407)-N(H1407)))</f>
        <v/>
      </c>
      <c r="S1407" s="75" t="str">
        <f aca="false">IF(P1407="","",IFERROR(INDEX(T_INGRESO,MATCH(C1407,T_ID,0)),""))</f>
        <v/>
      </c>
      <c r="T1407" s="75" t="str">
        <f aca="false">IF(P1407="","",IFERROR(N(INDEX(T_EGRESO,MATCH(C1407,T_ID,0))),0))</f>
        <v/>
      </c>
      <c r="U1407" s="73" t="str">
        <f aca="false">IF(OR(P1407="",NOT(ISNUMBER(S1407))),"",IF(OR(S1407&gt;EOMONTH(B1407,0),AND(T1407&gt;0,T1407&lt;B1407)),0,IF(AND(S1407&lt;=B1407,OR(T1407=0,T1407&gt;=EOMONTH(B1407,0))),30,MIN(30,IF(T1407=0,EOMONTH(B1407,0),MIN(T1407,EOMONTH(B1407,0)))-MAX(B1407,S1407)+1))))</f>
        <v/>
      </c>
    </row>
    <row r="1408" customFormat="false" ht="15" hidden="false" customHeight="false" outlineLevel="0" collapsed="false">
      <c r="B1408" s="78"/>
      <c r="C1408" s="64"/>
      <c r="D1408" s="70" t="str">
        <f aca="false">IF(C1408="","",IFERROR(INDEX(T_NOMBRE,MATCH(C1408,T_ID,0)),"⚠ ID no existe"))</f>
        <v/>
      </c>
      <c r="E1408" s="69"/>
      <c r="F1408" s="69"/>
      <c r="G1408" s="69"/>
      <c r="H1408" s="69"/>
      <c r="I1408" s="66"/>
      <c r="J1408" s="69"/>
      <c r="K1408" s="67"/>
      <c r="L1408" s="67"/>
      <c r="M1408" s="67"/>
      <c r="N1408" s="67"/>
      <c r="O1408" s="64"/>
      <c r="P1408" s="72" t="str">
        <f aca="false">IF(OR(B1408="",C1408=""),"",C1408&amp;"|"&amp;(YEAR(B1408)*100+MONTH(B1408)))</f>
        <v/>
      </c>
      <c r="Q1408" s="70" t="str">
        <f aca="false">IF(P1408="","",IF(COUNTIF(N_CLAVE,P1408)&gt;1,"⚠ Duplicado","OK"))</f>
        <v/>
      </c>
      <c r="R1408" s="74" t="str">
        <f aca="false">IF(OR(P1408="",U1408=""),"",MAX(0,U1408-N(E1408)-N(F1408)-N(H1408)))</f>
        <v/>
      </c>
      <c r="S1408" s="75" t="str">
        <f aca="false">IF(P1408="","",IFERROR(INDEX(T_INGRESO,MATCH(C1408,T_ID,0)),""))</f>
        <v/>
      </c>
      <c r="T1408" s="75" t="str">
        <f aca="false">IF(P1408="","",IFERROR(N(INDEX(T_EGRESO,MATCH(C1408,T_ID,0))),0))</f>
        <v/>
      </c>
      <c r="U1408" s="73" t="str">
        <f aca="false">IF(OR(P1408="",NOT(ISNUMBER(S1408))),"",IF(OR(S1408&gt;EOMONTH(B1408,0),AND(T1408&gt;0,T1408&lt;B1408)),0,IF(AND(S1408&lt;=B1408,OR(T1408=0,T1408&gt;=EOMONTH(B1408,0))),30,MIN(30,IF(T1408=0,EOMONTH(B1408,0),MIN(T1408,EOMONTH(B1408,0)))-MAX(B1408,S1408)+1))))</f>
        <v/>
      </c>
    </row>
    <row r="1409" customFormat="false" ht="15" hidden="false" customHeight="false" outlineLevel="0" collapsed="false">
      <c r="B1409" s="78"/>
      <c r="C1409" s="64"/>
      <c r="D1409" s="70" t="str">
        <f aca="false">IF(C1409="","",IFERROR(INDEX(T_NOMBRE,MATCH(C1409,T_ID,0)),"⚠ ID no existe"))</f>
        <v/>
      </c>
      <c r="E1409" s="69"/>
      <c r="F1409" s="69"/>
      <c r="G1409" s="69"/>
      <c r="H1409" s="69"/>
      <c r="I1409" s="66"/>
      <c r="J1409" s="69"/>
      <c r="K1409" s="67"/>
      <c r="L1409" s="67"/>
      <c r="M1409" s="67"/>
      <c r="N1409" s="67"/>
      <c r="O1409" s="64"/>
      <c r="P1409" s="72" t="str">
        <f aca="false">IF(OR(B1409="",C1409=""),"",C1409&amp;"|"&amp;(YEAR(B1409)*100+MONTH(B1409)))</f>
        <v/>
      </c>
      <c r="Q1409" s="70" t="str">
        <f aca="false">IF(P1409="","",IF(COUNTIF(N_CLAVE,P1409)&gt;1,"⚠ Duplicado","OK"))</f>
        <v/>
      </c>
      <c r="R1409" s="74" t="str">
        <f aca="false">IF(OR(P1409="",U1409=""),"",MAX(0,U1409-N(E1409)-N(F1409)-N(H1409)))</f>
        <v/>
      </c>
      <c r="S1409" s="75" t="str">
        <f aca="false">IF(P1409="","",IFERROR(INDEX(T_INGRESO,MATCH(C1409,T_ID,0)),""))</f>
        <v/>
      </c>
      <c r="T1409" s="75" t="str">
        <f aca="false">IF(P1409="","",IFERROR(N(INDEX(T_EGRESO,MATCH(C1409,T_ID,0))),0))</f>
        <v/>
      </c>
      <c r="U1409" s="73" t="str">
        <f aca="false">IF(OR(P1409="",NOT(ISNUMBER(S1409))),"",IF(OR(S1409&gt;EOMONTH(B1409,0),AND(T1409&gt;0,T1409&lt;B1409)),0,IF(AND(S1409&lt;=B1409,OR(T1409=0,T1409&gt;=EOMONTH(B1409,0))),30,MIN(30,IF(T1409=0,EOMONTH(B1409,0),MIN(T1409,EOMONTH(B1409,0)))-MAX(B1409,S1409)+1))))</f>
        <v/>
      </c>
    </row>
    <row r="1410" customFormat="false" ht="15" hidden="false" customHeight="false" outlineLevel="0" collapsed="false">
      <c r="B1410" s="78"/>
      <c r="C1410" s="64"/>
      <c r="D1410" s="70" t="str">
        <f aca="false">IF(C1410="","",IFERROR(INDEX(T_NOMBRE,MATCH(C1410,T_ID,0)),"⚠ ID no existe"))</f>
        <v/>
      </c>
      <c r="E1410" s="69"/>
      <c r="F1410" s="69"/>
      <c r="G1410" s="69"/>
      <c r="H1410" s="69"/>
      <c r="I1410" s="66"/>
      <c r="J1410" s="69"/>
      <c r="K1410" s="67"/>
      <c r="L1410" s="67"/>
      <c r="M1410" s="67"/>
      <c r="N1410" s="67"/>
      <c r="O1410" s="64"/>
      <c r="P1410" s="72" t="str">
        <f aca="false">IF(OR(B1410="",C1410=""),"",C1410&amp;"|"&amp;(YEAR(B1410)*100+MONTH(B1410)))</f>
        <v/>
      </c>
      <c r="Q1410" s="70" t="str">
        <f aca="false">IF(P1410="","",IF(COUNTIF(N_CLAVE,P1410)&gt;1,"⚠ Duplicado","OK"))</f>
        <v/>
      </c>
      <c r="R1410" s="74" t="str">
        <f aca="false">IF(OR(P1410="",U1410=""),"",MAX(0,U1410-N(E1410)-N(F1410)-N(H1410)))</f>
        <v/>
      </c>
      <c r="S1410" s="75" t="str">
        <f aca="false">IF(P1410="","",IFERROR(INDEX(T_INGRESO,MATCH(C1410,T_ID,0)),""))</f>
        <v/>
      </c>
      <c r="T1410" s="75" t="str">
        <f aca="false">IF(P1410="","",IFERROR(N(INDEX(T_EGRESO,MATCH(C1410,T_ID,0))),0))</f>
        <v/>
      </c>
      <c r="U1410" s="73" t="str">
        <f aca="false">IF(OR(P1410="",NOT(ISNUMBER(S1410))),"",IF(OR(S1410&gt;EOMONTH(B1410,0),AND(T1410&gt;0,T1410&lt;B1410)),0,IF(AND(S1410&lt;=B1410,OR(T1410=0,T1410&gt;=EOMONTH(B1410,0))),30,MIN(30,IF(T1410=0,EOMONTH(B1410,0),MIN(T1410,EOMONTH(B1410,0)))-MAX(B1410,S1410)+1))))</f>
        <v/>
      </c>
    </row>
    <row r="1411" customFormat="false" ht="15" hidden="false" customHeight="false" outlineLevel="0" collapsed="false">
      <c r="B1411" s="78"/>
      <c r="C1411" s="64"/>
      <c r="D1411" s="70" t="str">
        <f aca="false">IF(C1411="","",IFERROR(INDEX(T_NOMBRE,MATCH(C1411,T_ID,0)),"⚠ ID no existe"))</f>
        <v/>
      </c>
      <c r="E1411" s="69"/>
      <c r="F1411" s="69"/>
      <c r="G1411" s="69"/>
      <c r="H1411" s="69"/>
      <c r="I1411" s="66"/>
      <c r="J1411" s="69"/>
      <c r="K1411" s="67"/>
      <c r="L1411" s="67"/>
      <c r="M1411" s="67"/>
      <c r="N1411" s="67"/>
      <c r="O1411" s="64"/>
      <c r="P1411" s="72" t="str">
        <f aca="false">IF(OR(B1411="",C1411=""),"",C1411&amp;"|"&amp;(YEAR(B1411)*100+MONTH(B1411)))</f>
        <v/>
      </c>
      <c r="Q1411" s="70" t="str">
        <f aca="false">IF(P1411="","",IF(COUNTIF(N_CLAVE,P1411)&gt;1,"⚠ Duplicado","OK"))</f>
        <v/>
      </c>
      <c r="R1411" s="74" t="str">
        <f aca="false">IF(OR(P1411="",U1411=""),"",MAX(0,U1411-N(E1411)-N(F1411)-N(H1411)))</f>
        <v/>
      </c>
      <c r="S1411" s="75" t="str">
        <f aca="false">IF(P1411="","",IFERROR(INDEX(T_INGRESO,MATCH(C1411,T_ID,0)),""))</f>
        <v/>
      </c>
      <c r="T1411" s="75" t="str">
        <f aca="false">IF(P1411="","",IFERROR(N(INDEX(T_EGRESO,MATCH(C1411,T_ID,0))),0))</f>
        <v/>
      </c>
      <c r="U1411" s="73" t="str">
        <f aca="false">IF(OR(P1411="",NOT(ISNUMBER(S1411))),"",IF(OR(S1411&gt;EOMONTH(B1411,0),AND(T1411&gt;0,T1411&lt;B1411)),0,IF(AND(S1411&lt;=B1411,OR(T1411=0,T1411&gt;=EOMONTH(B1411,0))),30,MIN(30,IF(T1411=0,EOMONTH(B1411,0),MIN(T1411,EOMONTH(B1411,0)))-MAX(B1411,S1411)+1))))</f>
        <v/>
      </c>
    </row>
    <row r="1412" customFormat="false" ht="15" hidden="false" customHeight="false" outlineLevel="0" collapsed="false">
      <c r="B1412" s="78"/>
      <c r="C1412" s="64"/>
      <c r="D1412" s="70" t="str">
        <f aca="false">IF(C1412="","",IFERROR(INDEX(T_NOMBRE,MATCH(C1412,T_ID,0)),"⚠ ID no existe"))</f>
        <v/>
      </c>
      <c r="E1412" s="69"/>
      <c r="F1412" s="69"/>
      <c r="G1412" s="69"/>
      <c r="H1412" s="69"/>
      <c r="I1412" s="66"/>
      <c r="J1412" s="69"/>
      <c r="K1412" s="67"/>
      <c r="L1412" s="67"/>
      <c r="M1412" s="67"/>
      <c r="N1412" s="67"/>
      <c r="O1412" s="64"/>
      <c r="P1412" s="72" t="str">
        <f aca="false">IF(OR(B1412="",C1412=""),"",C1412&amp;"|"&amp;(YEAR(B1412)*100+MONTH(B1412)))</f>
        <v/>
      </c>
      <c r="Q1412" s="70" t="str">
        <f aca="false">IF(P1412="","",IF(COUNTIF(N_CLAVE,P1412)&gt;1,"⚠ Duplicado","OK"))</f>
        <v/>
      </c>
      <c r="R1412" s="74" t="str">
        <f aca="false">IF(OR(P1412="",U1412=""),"",MAX(0,U1412-N(E1412)-N(F1412)-N(H1412)))</f>
        <v/>
      </c>
      <c r="S1412" s="75" t="str">
        <f aca="false">IF(P1412="","",IFERROR(INDEX(T_INGRESO,MATCH(C1412,T_ID,0)),""))</f>
        <v/>
      </c>
      <c r="T1412" s="75" t="str">
        <f aca="false">IF(P1412="","",IFERROR(N(INDEX(T_EGRESO,MATCH(C1412,T_ID,0))),0))</f>
        <v/>
      </c>
      <c r="U1412" s="73" t="str">
        <f aca="false">IF(OR(P1412="",NOT(ISNUMBER(S1412))),"",IF(OR(S1412&gt;EOMONTH(B1412,0),AND(T1412&gt;0,T1412&lt;B1412)),0,IF(AND(S1412&lt;=B1412,OR(T1412=0,T1412&gt;=EOMONTH(B1412,0))),30,MIN(30,IF(T1412=0,EOMONTH(B1412,0),MIN(T1412,EOMONTH(B1412,0)))-MAX(B1412,S1412)+1))))</f>
        <v/>
      </c>
    </row>
    <row r="1413" customFormat="false" ht="15" hidden="false" customHeight="false" outlineLevel="0" collapsed="false">
      <c r="B1413" s="78"/>
      <c r="C1413" s="64"/>
      <c r="D1413" s="70" t="str">
        <f aca="false">IF(C1413="","",IFERROR(INDEX(T_NOMBRE,MATCH(C1413,T_ID,0)),"⚠ ID no existe"))</f>
        <v/>
      </c>
      <c r="E1413" s="69"/>
      <c r="F1413" s="69"/>
      <c r="G1413" s="69"/>
      <c r="H1413" s="69"/>
      <c r="I1413" s="66"/>
      <c r="J1413" s="69"/>
      <c r="K1413" s="67"/>
      <c r="L1413" s="67"/>
      <c r="M1413" s="67"/>
      <c r="N1413" s="67"/>
      <c r="O1413" s="64"/>
      <c r="P1413" s="72" t="str">
        <f aca="false">IF(OR(B1413="",C1413=""),"",C1413&amp;"|"&amp;(YEAR(B1413)*100+MONTH(B1413)))</f>
        <v/>
      </c>
      <c r="Q1413" s="70" t="str">
        <f aca="false">IF(P1413="","",IF(COUNTIF(N_CLAVE,P1413)&gt;1,"⚠ Duplicado","OK"))</f>
        <v/>
      </c>
      <c r="R1413" s="74" t="str">
        <f aca="false">IF(OR(P1413="",U1413=""),"",MAX(0,U1413-N(E1413)-N(F1413)-N(H1413)))</f>
        <v/>
      </c>
      <c r="S1413" s="75" t="str">
        <f aca="false">IF(P1413="","",IFERROR(INDEX(T_INGRESO,MATCH(C1413,T_ID,0)),""))</f>
        <v/>
      </c>
      <c r="T1413" s="75" t="str">
        <f aca="false">IF(P1413="","",IFERROR(N(INDEX(T_EGRESO,MATCH(C1413,T_ID,0))),0))</f>
        <v/>
      </c>
      <c r="U1413" s="73" t="str">
        <f aca="false">IF(OR(P1413="",NOT(ISNUMBER(S1413))),"",IF(OR(S1413&gt;EOMONTH(B1413,0),AND(T1413&gt;0,T1413&lt;B1413)),0,IF(AND(S1413&lt;=B1413,OR(T1413=0,T1413&gt;=EOMONTH(B1413,0))),30,MIN(30,IF(T1413=0,EOMONTH(B1413,0),MIN(T1413,EOMONTH(B1413,0)))-MAX(B1413,S1413)+1))))</f>
        <v/>
      </c>
    </row>
    <row r="1414" customFormat="false" ht="15" hidden="false" customHeight="false" outlineLevel="0" collapsed="false">
      <c r="B1414" s="78"/>
      <c r="C1414" s="64"/>
      <c r="D1414" s="70" t="str">
        <f aca="false">IF(C1414="","",IFERROR(INDEX(T_NOMBRE,MATCH(C1414,T_ID,0)),"⚠ ID no existe"))</f>
        <v/>
      </c>
      <c r="E1414" s="69"/>
      <c r="F1414" s="69"/>
      <c r="G1414" s="69"/>
      <c r="H1414" s="69"/>
      <c r="I1414" s="66"/>
      <c r="J1414" s="69"/>
      <c r="K1414" s="67"/>
      <c r="L1414" s="67"/>
      <c r="M1414" s="67"/>
      <c r="N1414" s="67"/>
      <c r="O1414" s="64"/>
      <c r="P1414" s="72" t="str">
        <f aca="false">IF(OR(B1414="",C1414=""),"",C1414&amp;"|"&amp;(YEAR(B1414)*100+MONTH(B1414)))</f>
        <v/>
      </c>
      <c r="Q1414" s="70" t="str">
        <f aca="false">IF(P1414="","",IF(COUNTIF(N_CLAVE,P1414)&gt;1,"⚠ Duplicado","OK"))</f>
        <v/>
      </c>
      <c r="R1414" s="74" t="str">
        <f aca="false">IF(OR(P1414="",U1414=""),"",MAX(0,U1414-N(E1414)-N(F1414)-N(H1414)))</f>
        <v/>
      </c>
      <c r="S1414" s="75" t="str">
        <f aca="false">IF(P1414="","",IFERROR(INDEX(T_INGRESO,MATCH(C1414,T_ID,0)),""))</f>
        <v/>
      </c>
      <c r="T1414" s="75" t="str">
        <f aca="false">IF(P1414="","",IFERROR(N(INDEX(T_EGRESO,MATCH(C1414,T_ID,0))),0))</f>
        <v/>
      </c>
      <c r="U1414" s="73" t="str">
        <f aca="false">IF(OR(P1414="",NOT(ISNUMBER(S1414))),"",IF(OR(S1414&gt;EOMONTH(B1414,0),AND(T1414&gt;0,T1414&lt;B1414)),0,IF(AND(S1414&lt;=B1414,OR(T1414=0,T1414&gt;=EOMONTH(B1414,0))),30,MIN(30,IF(T1414=0,EOMONTH(B1414,0),MIN(T1414,EOMONTH(B1414,0)))-MAX(B1414,S1414)+1))))</f>
        <v/>
      </c>
    </row>
    <row r="1415" customFormat="false" ht="15" hidden="false" customHeight="false" outlineLevel="0" collapsed="false">
      <c r="B1415" s="78"/>
      <c r="C1415" s="64"/>
      <c r="D1415" s="70" t="str">
        <f aca="false">IF(C1415="","",IFERROR(INDEX(T_NOMBRE,MATCH(C1415,T_ID,0)),"⚠ ID no existe"))</f>
        <v/>
      </c>
      <c r="E1415" s="69"/>
      <c r="F1415" s="69"/>
      <c r="G1415" s="69"/>
      <c r="H1415" s="69"/>
      <c r="I1415" s="66"/>
      <c r="J1415" s="69"/>
      <c r="K1415" s="67"/>
      <c r="L1415" s="67"/>
      <c r="M1415" s="67"/>
      <c r="N1415" s="67"/>
      <c r="O1415" s="64"/>
      <c r="P1415" s="72" t="str">
        <f aca="false">IF(OR(B1415="",C1415=""),"",C1415&amp;"|"&amp;(YEAR(B1415)*100+MONTH(B1415)))</f>
        <v/>
      </c>
      <c r="Q1415" s="70" t="str">
        <f aca="false">IF(P1415="","",IF(COUNTIF(N_CLAVE,P1415)&gt;1,"⚠ Duplicado","OK"))</f>
        <v/>
      </c>
      <c r="R1415" s="74" t="str">
        <f aca="false">IF(OR(P1415="",U1415=""),"",MAX(0,U1415-N(E1415)-N(F1415)-N(H1415)))</f>
        <v/>
      </c>
      <c r="S1415" s="75" t="str">
        <f aca="false">IF(P1415="","",IFERROR(INDEX(T_INGRESO,MATCH(C1415,T_ID,0)),""))</f>
        <v/>
      </c>
      <c r="T1415" s="75" t="str">
        <f aca="false">IF(P1415="","",IFERROR(N(INDEX(T_EGRESO,MATCH(C1415,T_ID,0))),0))</f>
        <v/>
      </c>
      <c r="U1415" s="73" t="str">
        <f aca="false">IF(OR(P1415="",NOT(ISNUMBER(S1415))),"",IF(OR(S1415&gt;EOMONTH(B1415,0),AND(T1415&gt;0,T1415&lt;B1415)),0,IF(AND(S1415&lt;=B1415,OR(T1415=0,T1415&gt;=EOMONTH(B1415,0))),30,MIN(30,IF(T1415=0,EOMONTH(B1415,0),MIN(T1415,EOMONTH(B1415,0)))-MAX(B1415,S1415)+1))))</f>
        <v/>
      </c>
    </row>
    <row r="1416" customFormat="false" ht="15" hidden="false" customHeight="false" outlineLevel="0" collapsed="false">
      <c r="B1416" s="78"/>
      <c r="C1416" s="64"/>
      <c r="D1416" s="70" t="str">
        <f aca="false">IF(C1416="","",IFERROR(INDEX(T_NOMBRE,MATCH(C1416,T_ID,0)),"⚠ ID no existe"))</f>
        <v/>
      </c>
      <c r="E1416" s="69"/>
      <c r="F1416" s="69"/>
      <c r="G1416" s="69"/>
      <c r="H1416" s="69"/>
      <c r="I1416" s="66"/>
      <c r="J1416" s="69"/>
      <c r="K1416" s="67"/>
      <c r="L1416" s="67"/>
      <c r="M1416" s="67"/>
      <c r="N1416" s="67"/>
      <c r="O1416" s="64"/>
      <c r="P1416" s="72" t="str">
        <f aca="false">IF(OR(B1416="",C1416=""),"",C1416&amp;"|"&amp;(YEAR(B1416)*100+MONTH(B1416)))</f>
        <v/>
      </c>
      <c r="Q1416" s="70" t="str">
        <f aca="false">IF(P1416="","",IF(COUNTIF(N_CLAVE,P1416)&gt;1,"⚠ Duplicado","OK"))</f>
        <v/>
      </c>
      <c r="R1416" s="74" t="str">
        <f aca="false">IF(OR(P1416="",U1416=""),"",MAX(0,U1416-N(E1416)-N(F1416)-N(H1416)))</f>
        <v/>
      </c>
      <c r="S1416" s="75" t="str">
        <f aca="false">IF(P1416="","",IFERROR(INDEX(T_INGRESO,MATCH(C1416,T_ID,0)),""))</f>
        <v/>
      </c>
      <c r="T1416" s="75" t="str">
        <f aca="false">IF(P1416="","",IFERROR(N(INDEX(T_EGRESO,MATCH(C1416,T_ID,0))),0))</f>
        <v/>
      </c>
      <c r="U1416" s="73" t="str">
        <f aca="false">IF(OR(P1416="",NOT(ISNUMBER(S1416))),"",IF(OR(S1416&gt;EOMONTH(B1416,0),AND(T1416&gt;0,T1416&lt;B1416)),0,IF(AND(S1416&lt;=B1416,OR(T1416=0,T1416&gt;=EOMONTH(B1416,0))),30,MIN(30,IF(T1416=0,EOMONTH(B1416,0),MIN(T1416,EOMONTH(B1416,0)))-MAX(B1416,S1416)+1))))</f>
        <v/>
      </c>
    </row>
    <row r="1417" customFormat="false" ht="15" hidden="false" customHeight="false" outlineLevel="0" collapsed="false">
      <c r="B1417" s="78"/>
      <c r="C1417" s="64"/>
      <c r="D1417" s="70" t="str">
        <f aca="false">IF(C1417="","",IFERROR(INDEX(T_NOMBRE,MATCH(C1417,T_ID,0)),"⚠ ID no existe"))</f>
        <v/>
      </c>
      <c r="E1417" s="69"/>
      <c r="F1417" s="69"/>
      <c r="G1417" s="69"/>
      <c r="H1417" s="69"/>
      <c r="I1417" s="66"/>
      <c r="J1417" s="69"/>
      <c r="K1417" s="67"/>
      <c r="L1417" s="67"/>
      <c r="M1417" s="67"/>
      <c r="N1417" s="67"/>
      <c r="O1417" s="64"/>
      <c r="P1417" s="72" t="str">
        <f aca="false">IF(OR(B1417="",C1417=""),"",C1417&amp;"|"&amp;(YEAR(B1417)*100+MONTH(B1417)))</f>
        <v/>
      </c>
      <c r="Q1417" s="70" t="str">
        <f aca="false">IF(P1417="","",IF(COUNTIF(N_CLAVE,P1417)&gt;1,"⚠ Duplicado","OK"))</f>
        <v/>
      </c>
      <c r="R1417" s="74" t="str">
        <f aca="false">IF(OR(P1417="",U1417=""),"",MAX(0,U1417-N(E1417)-N(F1417)-N(H1417)))</f>
        <v/>
      </c>
      <c r="S1417" s="75" t="str">
        <f aca="false">IF(P1417="","",IFERROR(INDEX(T_INGRESO,MATCH(C1417,T_ID,0)),""))</f>
        <v/>
      </c>
      <c r="T1417" s="75" t="str">
        <f aca="false">IF(P1417="","",IFERROR(N(INDEX(T_EGRESO,MATCH(C1417,T_ID,0))),0))</f>
        <v/>
      </c>
      <c r="U1417" s="73" t="str">
        <f aca="false">IF(OR(P1417="",NOT(ISNUMBER(S1417))),"",IF(OR(S1417&gt;EOMONTH(B1417,0),AND(T1417&gt;0,T1417&lt;B1417)),0,IF(AND(S1417&lt;=B1417,OR(T1417=0,T1417&gt;=EOMONTH(B1417,0))),30,MIN(30,IF(T1417=0,EOMONTH(B1417,0),MIN(T1417,EOMONTH(B1417,0)))-MAX(B1417,S1417)+1))))</f>
        <v/>
      </c>
    </row>
    <row r="1418" customFormat="false" ht="15" hidden="false" customHeight="false" outlineLevel="0" collapsed="false">
      <c r="B1418" s="78"/>
      <c r="C1418" s="64"/>
      <c r="D1418" s="70" t="str">
        <f aca="false">IF(C1418="","",IFERROR(INDEX(T_NOMBRE,MATCH(C1418,T_ID,0)),"⚠ ID no existe"))</f>
        <v/>
      </c>
      <c r="E1418" s="69"/>
      <c r="F1418" s="69"/>
      <c r="G1418" s="69"/>
      <c r="H1418" s="69"/>
      <c r="I1418" s="66"/>
      <c r="J1418" s="69"/>
      <c r="K1418" s="67"/>
      <c r="L1418" s="67"/>
      <c r="M1418" s="67"/>
      <c r="N1418" s="67"/>
      <c r="O1418" s="64"/>
      <c r="P1418" s="72" t="str">
        <f aca="false">IF(OR(B1418="",C1418=""),"",C1418&amp;"|"&amp;(YEAR(B1418)*100+MONTH(B1418)))</f>
        <v/>
      </c>
      <c r="Q1418" s="70" t="str">
        <f aca="false">IF(P1418="","",IF(COUNTIF(N_CLAVE,P1418)&gt;1,"⚠ Duplicado","OK"))</f>
        <v/>
      </c>
      <c r="R1418" s="74" t="str">
        <f aca="false">IF(OR(P1418="",U1418=""),"",MAX(0,U1418-N(E1418)-N(F1418)-N(H1418)))</f>
        <v/>
      </c>
      <c r="S1418" s="75" t="str">
        <f aca="false">IF(P1418="","",IFERROR(INDEX(T_INGRESO,MATCH(C1418,T_ID,0)),""))</f>
        <v/>
      </c>
      <c r="T1418" s="75" t="str">
        <f aca="false">IF(P1418="","",IFERROR(N(INDEX(T_EGRESO,MATCH(C1418,T_ID,0))),0))</f>
        <v/>
      </c>
      <c r="U1418" s="73" t="str">
        <f aca="false">IF(OR(P1418="",NOT(ISNUMBER(S1418))),"",IF(OR(S1418&gt;EOMONTH(B1418,0),AND(T1418&gt;0,T1418&lt;B1418)),0,IF(AND(S1418&lt;=B1418,OR(T1418=0,T1418&gt;=EOMONTH(B1418,0))),30,MIN(30,IF(T1418=0,EOMONTH(B1418,0),MIN(T1418,EOMONTH(B1418,0)))-MAX(B1418,S1418)+1))))</f>
        <v/>
      </c>
    </row>
    <row r="1419" customFormat="false" ht="15" hidden="false" customHeight="false" outlineLevel="0" collapsed="false">
      <c r="B1419" s="78"/>
      <c r="C1419" s="64"/>
      <c r="D1419" s="70" t="str">
        <f aca="false">IF(C1419="","",IFERROR(INDEX(T_NOMBRE,MATCH(C1419,T_ID,0)),"⚠ ID no existe"))</f>
        <v/>
      </c>
      <c r="E1419" s="69"/>
      <c r="F1419" s="69"/>
      <c r="G1419" s="69"/>
      <c r="H1419" s="69"/>
      <c r="I1419" s="66"/>
      <c r="J1419" s="69"/>
      <c r="K1419" s="67"/>
      <c r="L1419" s="67"/>
      <c r="M1419" s="67"/>
      <c r="N1419" s="67"/>
      <c r="O1419" s="64"/>
      <c r="P1419" s="72" t="str">
        <f aca="false">IF(OR(B1419="",C1419=""),"",C1419&amp;"|"&amp;(YEAR(B1419)*100+MONTH(B1419)))</f>
        <v/>
      </c>
      <c r="Q1419" s="70" t="str">
        <f aca="false">IF(P1419="","",IF(COUNTIF(N_CLAVE,P1419)&gt;1,"⚠ Duplicado","OK"))</f>
        <v/>
      </c>
      <c r="R1419" s="74" t="str">
        <f aca="false">IF(OR(P1419="",U1419=""),"",MAX(0,U1419-N(E1419)-N(F1419)-N(H1419)))</f>
        <v/>
      </c>
      <c r="S1419" s="75" t="str">
        <f aca="false">IF(P1419="","",IFERROR(INDEX(T_INGRESO,MATCH(C1419,T_ID,0)),""))</f>
        <v/>
      </c>
      <c r="T1419" s="75" t="str">
        <f aca="false">IF(P1419="","",IFERROR(N(INDEX(T_EGRESO,MATCH(C1419,T_ID,0))),0))</f>
        <v/>
      </c>
      <c r="U1419" s="73" t="str">
        <f aca="false">IF(OR(P1419="",NOT(ISNUMBER(S1419))),"",IF(OR(S1419&gt;EOMONTH(B1419,0),AND(T1419&gt;0,T1419&lt;B1419)),0,IF(AND(S1419&lt;=B1419,OR(T1419=0,T1419&gt;=EOMONTH(B1419,0))),30,MIN(30,IF(T1419=0,EOMONTH(B1419,0),MIN(T1419,EOMONTH(B1419,0)))-MAX(B1419,S1419)+1))))</f>
        <v/>
      </c>
    </row>
    <row r="1420" customFormat="false" ht="15" hidden="false" customHeight="false" outlineLevel="0" collapsed="false">
      <c r="B1420" s="78"/>
      <c r="C1420" s="64"/>
      <c r="D1420" s="70" t="str">
        <f aca="false">IF(C1420="","",IFERROR(INDEX(T_NOMBRE,MATCH(C1420,T_ID,0)),"⚠ ID no existe"))</f>
        <v/>
      </c>
      <c r="E1420" s="69"/>
      <c r="F1420" s="69"/>
      <c r="G1420" s="69"/>
      <c r="H1420" s="69"/>
      <c r="I1420" s="66"/>
      <c r="J1420" s="69"/>
      <c r="K1420" s="67"/>
      <c r="L1420" s="67"/>
      <c r="M1420" s="67"/>
      <c r="N1420" s="67"/>
      <c r="O1420" s="64"/>
      <c r="P1420" s="72" t="str">
        <f aca="false">IF(OR(B1420="",C1420=""),"",C1420&amp;"|"&amp;(YEAR(B1420)*100+MONTH(B1420)))</f>
        <v/>
      </c>
      <c r="Q1420" s="70" t="str">
        <f aca="false">IF(P1420="","",IF(COUNTIF(N_CLAVE,P1420)&gt;1,"⚠ Duplicado","OK"))</f>
        <v/>
      </c>
      <c r="R1420" s="74" t="str">
        <f aca="false">IF(OR(P1420="",U1420=""),"",MAX(0,U1420-N(E1420)-N(F1420)-N(H1420)))</f>
        <v/>
      </c>
      <c r="S1420" s="75" t="str">
        <f aca="false">IF(P1420="","",IFERROR(INDEX(T_INGRESO,MATCH(C1420,T_ID,0)),""))</f>
        <v/>
      </c>
      <c r="T1420" s="75" t="str">
        <f aca="false">IF(P1420="","",IFERROR(N(INDEX(T_EGRESO,MATCH(C1420,T_ID,0))),0))</f>
        <v/>
      </c>
      <c r="U1420" s="73" t="str">
        <f aca="false">IF(OR(P1420="",NOT(ISNUMBER(S1420))),"",IF(OR(S1420&gt;EOMONTH(B1420,0),AND(T1420&gt;0,T1420&lt;B1420)),0,IF(AND(S1420&lt;=B1420,OR(T1420=0,T1420&gt;=EOMONTH(B1420,0))),30,MIN(30,IF(T1420=0,EOMONTH(B1420,0),MIN(T1420,EOMONTH(B1420,0)))-MAX(B1420,S1420)+1))))</f>
        <v/>
      </c>
    </row>
    <row r="1421" customFormat="false" ht="15" hidden="false" customHeight="false" outlineLevel="0" collapsed="false">
      <c r="B1421" s="78"/>
      <c r="C1421" s="64"/>
      <c r="D1421" s="70" t="str">
        <f aca="false">IF(C1421="","",IFERROR(INDEX(T_NOMBRE,MATCH(C1421,T_ID,0)),"⚠ ID no existe"))</f>
        <v/>
      </c>
      <c r="E1421" s="69"/>
      <c r="F1421" s="69"/>
      <c r="G1421" s="69"/>
      <c r="H1421" s="69"/>
      <c r="I1421" s="66"/>
      <c r="J1421" s="69"/>
      <c r="K1421" s="67"/>
      <c r="L1421" s="67"/>
      <c r="M1421" s="67"/>
      <c r="N1421" s="67"/>
      <c r="O1421" s="64"/>
      <c r="P1421" s="72" t="str">
        <f aca="false">IF(OR(B1421="",C1421=""),"",C1421&amp;"|"&amp;(YEAR(B1421)*100+MONTH(B1421)))</f>
        <v/>
      </c>
      <c r="Q1421" s="70" t="str">
        <f aca="false">IF(P1421="","",IF(COUNTIF(N_CLAVE,P1421)&gt;1,"⚠ Duplicado","OK"))</f>
        <v/>
      </c>
      <c r="R1421" s="74" t="str">
        <f aca="false">IF(OR(P1421="",U1421=""),"",MAX(0,U1421-N(E1421)-N(F1421)-N(H1421)))</f>
        <v/>
      </c>
      <c r="S1421" s="75" t="str">
        <f aca="false">IF(P1421="","",IFERROR(INDEX(T_INGRESO,MATCH(C1421,T_ID,0)),""))</f>
        <v/>
      </c>
      <c r="T1421" s="75" t="str">
        <f aca="false">IF(P1421="","",IFERROR(N(INDEX(T_EGRESO,MATCH(C1421,T_ID,0))),0))</f>
        <v/>
      </c>
      <c r="U1421" s="73" t="str">
        <f aca="false">IF(OR(P1421="",NOT(ISNUMBER(S1421))),"",IF(OR(S1421&gt;EOMONTH(B1421,0),AND(T1421&gt;0,T1421&lt;B1421)),0,IF(AND(S1421&lt;=B1421,OR(T1421=0,T1421&gt;=EOMONTH(B1421,0))),30,MIN(30,IF(T1421=0,EOMONTH(B1421,0),MIN(T1421,EOMONTH(B1421,0)))-MAX(B1421,S1421)+1))))</f>
        <v/>
      </c>
    </row>
    <row r="1422" customFormat="false" ht="15" hidden="false" customHeight="false" outlineLevel="0" collapsed="false">
      <c r="B1422" s="78"/>
      <c r="C1422" s="64"/>
      <c r="D1422" s="70" t="str">
        <f aca="false">IF(C1422="","",IFERROR(INDEX(T_NOMBRE,MATCH(C1422,T_ID,0)),"⚠ ID no existe"))</f>
        <v/>
      </c>
      <c r="E1422" s="69"/>
      <c r="F1422" s="69"/>
      <c r="G1422" s="69"/>
      <c r="H1422" s="69"/>
      <c r="I1422" s="66"/>
      <c r="J1422" s="69"/>
      <c r="K1422" s="67"/>
      <c r="L1422" s="67"/>
      <c r="M1422" s="67"/>
      <c r="N1422" s="67"/>
      <c r="O1422" s="64"/>
      <c r="P1422" s="72" t="str">
        <f aca="false">IF(OR(B1422="",C1422=""),"",C1422&amp;"|"&amp;(YEAR(B1422)*100+MONTH(B1422)))</f>
        <v/>
      </c>
      <c r="Q1422" s="70" t="str">
        <f aca="false">IF(P1422="","",IF(COUNTIF(N_CLAVE,P1422)&gt;1,"⚠ Duplicado","OK"))</f>
        <v/>
      </c>
      <c r="R1422" s="74" t="str">
        <f aca="false">IF(OR(P1422="",U1422=""),"",MAX(0,U1422-N(E1422)-N(F1422)-N(H1422)))</f>
        <v/>
      </c>
      <c r="S1422" s="75" t="str">
        <f aca="false">IF(P1422="","",IFERROR(INDEX(T_INGRESO,MATCH(C1422,T_ID,0)),""))</f>
        <v/>
      </c>
      <c r="T1422" s="75" t="str">
        <f aca="false">IF(P1422="","",IFERROR(N(INDEX(T_EGRESO,MATCH(C1422,T_ID,0))),0))</f>
        <v/>
      </c>
      <c r="U1422" s="73" t="str">
        <f aca="false">IF(OR(P1422="",NOT(ISNUMBER(S1422))),"",IF(OR(S1422&gt;EOMONTH(B1422,0),AND(T1422&gt;0,T1422&lt;B1422)),0,IF(AND(S1422&lt;=B1422,OR(T1422=0,T1422&gt;=EOMONTH(B1422,0))),30,MIN(30,IF(T1422=0,EOMONTH(B1422,0),MIN(T1422,EOMONTH(B1422,0)))-MAX(B1422,S1422)+1))))</f>
        <v/>
      </c>
    </row>
    <row r="1423" customFormat="false" ht="15" hidden="false" customHeight="false" outlineLevel="0" collapsed="false">
      <c r="B1423" s="78"/>
      <c r="C1423" s="64"/>
      <c r="D1423" s="70" t="str">
        <f aca="false">IF(C1423="","",IFERROR(INDEX(T_NOMBRE,MATCH(C1423,T_ID,0)),"⚠ ID no existe"))</f>
        <v/>
      </c>
      <c r="E1423" s="69"/>
      <c r="F1423" s="69"/>
      <c r="G1423" s="69"/>
      <c r="H1423" s="69"/>
      <c r="I1423" s="66"/>
      <c r="J1423" s="69"/>
      <c r="K1423" s="67"/>
      <c r="L1423" s="67"/>
      <c r="M1423" s="67"/>
      <c r="N1423" s="67"/>
      <c r="O1423" s="64"/>
      <c r="P1423" s="72" t="str">
        <f aca="false">IF(OR(B1423="",C1423=""),"",C1423&amp;"|"&amp;(YEAR(B1423)*100+MONTH(B1423)))</f>
        <v/>
      </c>
      <c r="Q1423" s="70" t="str">
        <f aca="false">IF(P1423="","",IF(COUNTIF(N_CLAVE,P1423)&gt;1,"⚠ Duplicado","OK"))</f>
        <v/>
      </c>
      <c r="R1423" s="74" t="str">
        <f aca="false">IF(OR(P1423="",U1423=""),"",MAX(0,U1423-N(E1423)-N(F1423)-N(H1423)))</f>
        <v/>
      </c>
      <c r="S1423" s="75" t="str">
        <f aca="false">IF(P1423="","",IFERROR(INDEX(T_INGRESO,MATCH(C1423,T_ID,0)),""))</f>
        <v/>
      </c>
      <c r="T1423" s="75" t="str">
        <f aca="false">IF(P1423="","",IFERROR(N(INDEX(T_EGRESO,MATCH(C1423,T_ID,0))),0))</f>
        <v/>
      </c>
      <c r="U1423" s="73" t="str">
        <f aca="false">IF(OR(P1423="",NOT(ISNUMBER(S1423))),"",IF(OR(S1423&gt;EOMONTH(B1423,0),AND(T1423&gt;0,T1423&lt;B1423)),0,IF(AND(S1423&lt;=B1423,OR(T1423=0,T1423&gt;=EOMONTH(B1423,0))),30,MIN(30,IF(T1423=0,EOMONTH(B1423,0),MIN(T1423,EOMONTH(B1423,0)))-MAX(B1423,S1423)+1))))</f>
        <v/>
      </c>
    </row>
    <row r="1424" customFormat="false" ht="15" hidden="false" customHeight="false" outlineLevel="0" collapsed="false">
      <c r="B1424" s="78"/>
      <c r="C1424" s="64"/>
      <c r="D1424" s="70" t="str">
        <f aca="false">IF(C1424="","",IFERROR(INDEX(T_NOMBRE,MATCH(C1424,T_ID,0)),"⚠ ID no existe"))</f>
        <v/>
      </c>
      <c r="E1424" s="69"/>
      <c r="F1424" s="69"/>
      <c r="G1424" s="69"/>
      <c r="H1424" s="69"/>
      <c r="I1424" s="66"/>
      <c r="J1424" s="69"/>
      <c r="K1424" s="67"/>
      <c r="L1424" s="67"/>
      <c r="M1424" s="67"/>
      <c r="N1424" s="67"/>
      <c r="O1424" s="64"/>
      <c r="P1424" s="72" t="str">
        <f aca="false">IF(OR(B1424="",C1424=""),"",C1424&amp;"|"&amp;(YEAR(B1424)*100+MONTH(B1424)))</f>
        <v/>
      </c>
      <c r="Q1424" s="70" t="str">
        <f aca="false">IF(P1424="","",IF(COUNTIF(N_CLAVE,P1424)&gt;1,"⚠ Duplicado","OK"))</f>
        <v/>
      </c>
      <c r="R1424" s="74" t="str">
        <f aca="false">IF(OR(P1424="",U1424=""),"",MAX(0,U1424-N(E1424)-N(F1424)-N(H1424)))</f>
        <v/>
      </c>
      <c r="S1424" s="75" t="str">
        <f aca="false">IF(P1424="","",IFERROR(INDEX(T_INGRESO,MATCH(C1424,T_ID,0)),""))</f>
        <v/>
      </c>
      <c r="T1424" s="75" t="str">
        <f aca="false">IF(P1424="","",IFERROR(N(INDEX(T_EGRESO,MATCH(C1424,T_ID,0))),0))</f>
        <v/>
      </c>
      <c r="U1424" s="73" t="str">
        <f aca="false">IF(OR(P1424="",NOT(ISNUMBER(S1424))),"",IF(OR(S1424&gt;EOMONTH(B1424,0),AND(T1424&gt;0,T1424&lt;B1424)),0,IF(AND(S1424&lt;=B1424,OR(T1424=0,T1424&gt;=EOMONTH(B1424,0))),30,MIN(30,IF(T1424=0,EOMONTH(B1424,0),MIN(T1424,EOMONTH(B1424,0)))-MAX(B1424,S1424)+1))))</f>
        <v/>
      </c>
    </row>
    <row r="1425" customFormat="false" ht="15" hidden="false" customHeight="false" outlineLevel="0" collapsed="false">
      <c r="B1425" s="78"/>
      <c r="C1425" s="64"/>
      <c r="D1425" s="70" t="str">
        <f aca="false">IF(C1425="","",IFERROR(INDEX(T_NOMBRE,MATCH(C1425,T_ID,0)),"⚠ ID no existe"))</f>
        <v/>
      </c>
      <c r="E1425" s="69"/>
      <c r="F1425" s="69"/>
      <c r="G1425" s="69"/>
      <c r="H1425" s="69"/>
      <c r="I1425" s="66"/>
      <c r="J1425" s="69"/>
      <c r="K1425" s="67"/>
      <c r="L1425" s="67"/>
      <c r="M1425" s="67"/>
      <c r="N1425" s="67"/>
      <c r="O1425" s="64"/>
      <c r="P1425" s="72" t="str">
        <f aca="false">IF(OR(B1425="",C1425=""),"",C1425&amp;"|"&amp;(YEAR(B1425)*100+MONTH(B1425)))</f>
        <v/>
      </c>
      <c r="Q1425" s="70" t="str">
        <f aca="false">IF(P1425="","",IF(COUNTIF(N_CLAVE,P1425)&gt;1,"⚠ Duplicado","OK"))</f>
        <v/>
      </c>
      <c r="R1425" s="74" t="str">
        <f aca="false">IF(OR(P1425="",U1425=""),"",MAX(0,U1425-N(E1425)-N(F1425)-N(H1425)))</f>
        <v/>
      </c>
      <c r="S1425" s="75" t="str">
        <f aca="false">IF(P1425="","",IFERROR(INDEX(T_INGRESO,MATCH(C1425,T_ID,0)),""))</f>
        <v/>
      </c>
      <c r="T1425" s="75" t="str">
        <f aca="false">IF(P1425="","",IFERROR(N(INDEX(T_EGRESO,MATCH(C1425,T_ID,0))),0))</f>
        <v/>
      </c>
      <c r="U1425" s="73" t="str">
        <f aca="false">IF(OR(P1425="",NOT(ISNUMBER(S1425))),"",IF(OR(S1425&gt;EOMONTH(B1425,0),AND(T1425&gt;0,T1425&lt;B1425)),0,IF(AND(S1425&lt;=B1425,OR(T1425=0,T1425&gt;=EOMONTH(B1425,0))),30,MIN(30,IF(T1425=0,EOMONTH(B1425,0),MIN(T1425,EOMONTH(B1425,0)))-MAX(B1425,S1425)+1))))</f>
        <v/>
      </c>
    </row>
    <row r="1426" customFormat="false" ht="15" hidden="false" customHeight="false" outlineLevel="0" collapsed="false">
      <c r="B1426" s="78"/>
      <c r="C1426" s="64"/>
      <c r="D1426" s="70" t="str">
        <f aca="false">IF(C1426="","",IFERROR(INDEX(T_NOMBRE,MATCH(C1426,T_ID,0)),"⚠ ID no existe"))</f>
        <v/>
      </c>
      <c r="E1426" s="69"/>
      <c r="F1426" s="69"/>
      <c r="G1426" s="69"/>
      <c r="H1426" s="69"/>
      <c r="I1426" s="66"/>
      <c r="J1426" s="69"/>
      <c r="K1426" s="67"/>
      <c r="L1426" s="67"/>
      <c r="M1426" s="67"/>
      <c r="N1426" s="67"/>
      <c r="O1426" s="64"/>
      <c r="P1426" s="72" t="str">
        <f aca="false">IF(OR(B1426="",C1426=""),"",C1426&amp;"|"&amp;(YEAR(B1426)*100+MONTH(B1426)))</f>
        <v/>
      </c>
      <c r="Q1426" s="70" t="str">
        <f aca="false">IF(P1426="","",IF(COUNTIF(N_CLAVE,P1426)&gt;1,"⚠ Duplicado","OK"))</f>
        <v/>
      </c>
      <c r="R1426" s="74" t="str">
        <f aca="false">IF(OR(P1426="",U1426=""),"",MAX(0,U1426-N(E1426)-N(F1426)-N(H1426)))</f>
        <v/>
      </c>
      <c r="S1426" s="75" t="str">
        <f aca="false">IF(P1426="","",IFERROR(INDEX(T_INGRESO,MATCH(C1426,T_ID,0)),""))</f>
        <v/>
      </c>
      <c r="T1426" s="75" t="str">
        <f aca="false">IF(P1426="","",IFERROR(N(INDEX(T_EGRESO,MATCH(C1426,T_ID,0))),0))</f>
        <v/>
      </c>
      <c r="U1426" s="73" t="str">
        <f aca="false">IF(OR(P1426="",NOT(ISNUMBER(S1426))),"",IF(OR(S1426&gt;EOMONTH(B1426,0),AND(T1426&gt;0,T1426&lt;B1426)),0,IF(AND(S1426&lt;=B1426,OR(T1426=0,T1426&gt;=EOMONTH(B1426,0))),30,MIN(30,IF(T1426=0,EOMONTH(B1426,0),MIN(T1426,EOMONTH(B1426,0)))-MAX(B1426,S1426)+1))))</f>
        <v/>
      </c>
    </row>
    <row r="1427" customFormat="false" ht="15" hidden="false" customHeight="false" outlineLevel="0" collapsed="false">
      <c r="B1427" s="78"/>
      <c r="C1427" s="64"/>
      <c r="D1427" s="70" t="str">
        <f aca="false">IF(C1427="","",IFERROR(INDEX(T_NOMBRE,MATCH(C1427,T_ID,0)),"⚠ ID no existe"))</f>
        <v/>
      </c>
      <c r="E1427" s="69"/>
      <c r="F1427" s="69"/>
      <c r="G1427" s="69"/>
      <c r="H1427" s="69"/>
      <c r="I1427" s="66"/>
      <c r="J1427" s="69"/>
      <c r="K1427" s="67"/>
      <c r="L1427" s="67"/>
      <c r="M1427" s="67"/>
      <c r="N1427" s="67"/>
      <c r="O1427" s="64"/>
      <c r="P1427" s="72" t="str">
        <f aca="false">IF(OR(B1427="",C1427=""),"",C1427&amp;"|"&amp;(YEAR(B1427)*100+MONTH(B1427)))</f>
        <v/>
      </c>
      <c r="Q1427" s="70" t="str">
        <f aca="false">IF(P1427="","",IF(COUNTIF(N_CLAVE,P1427)&gt;1,"⚠ Duplicado","OK"))</f>
        <v/>
      </c>
      <c r="R1427" s="74" t="str">
        <f aca="false">IF(OR(P1427="",U1427=""),"",MAX(0,U1427-N(E1427)-N(F1427)-N(H1427)))</f>
        <v/>
      </c>
      <c r="S1427" s="75" t="str">
        <f aca="false">IF(P1427="","",IFERROR(INDEX(T_INGRESO,MATCH(C1427,T_ID,0)),""))</f>
        <v/>
      </c>
      <c r="T1427" s="75" t="str">
        <f aca="false">IF(P1427="","",IFERROR(N(INDEX(T_EGRESO,MATCH(C1427,T_ID,0))),0))</f>
        <v/>
      </c>
      <c r="U1427" s="73" t="str">
        <f aca="false">IF(OR(P1427="",NOT(ISNUMBER(S1427))),"",IF(OR(S1427&gt;EOMONTH(B1427,0),AND(T1427&gt;0,T1427&lt;B1427)),0,IF(AND(S1427&lt;=B1427,OR(T1427=0,T1427&gt;=EOMONTH(B1427,0))),30,MIN(30,IF(T1427=0,EOMONTH(B1427,0),MIN(T1427,EOMONTH(B1427,0)))-MAX(B1427,S1427)+1))))</f>
        <v/>
      </c>
    </row>
    <row r="1428" customFormat="false" ht="15" hidden="false" customHeight="false" outlineLevel="0" collapsed="false">
      <c r="B1428" s="78"/>
      <c r="C1428" s="64"/>
      <c r="D1428" s="70" t="str">
        <f aca="false">IF(C1428="","",IFERROR(INDEX(T_NOMBRE,MATCH(C1428,T_ID,0)),"⚠ ID no existe"))</f>
        <v/>
      </c>
      <c r="E1428" s="69"/>
      <c r="F1428" s="69"/>
      <c r="G1428" s="69"/>
      <c r="H1428" s="69"/>
      <c r="I1428" s="66"/>
      <c r="J1428" s="69"/>
      <c r="K1428" s="67"/>
      <c r="L1428" s="67"/>
      <c r="M1428" s="67"/>
      <c r="N1428" s="67"/>
      <c r="O1428" s="64"/>
      <c r="P1428" s="72" t="str">
        <f aca="false">IF(OR(B1428="",C1428=""),"",C1428&amp;"|"&amp;(YEAR(B1428)*100+MONTH(B1428)))</f>
        <v/>
      </c>
      <c r="Q1428" s="70" t="str">
        <f aca="false">IF(P1428="","",IF(COUNTIF(N_CLAVE,P1428)&gt;1,"⚠ Duplicado","OK"))</f>
        <v/>
      </c>
      <c r="R1428" s="74" t="str">
        <f aca="false">IF(OR(P1428="",U1428=""),"",MAX(0,U1428-N(E1428)-N(F1428)-N(H1428)))</f>
        <v/>
      </c>
      <c r="S1428" s="75" t="str">
        <f aca="false">IF(P1428="","",IFERROR(INDEX(T_INGRESO,MATCH(C1428,T_ID,0)),""))</f>
        <v/>
      </c>
      <c r="T1428" s="75" t="str">
        <f aca="false">IF(P1428="","",IFERROR(N(INDEX(T_EGRESO,MATCH(C1428,T_ID,0))),0))</f>
        <v/>
      </c>
      <c r="U1428" s="73" t="str">
        <f aca="false">IF(OR(P1428="",NOT(ISNUMBER(S1428))),"",IF(OR(S1428&gt;EOMONTH(B1428,0),AND(T1428&gt;0,T1428&lt;B1428)),0,IF(AND(S1428&lt;=B1428,OR(T1428=0,T1428&gt;=EOMONTH(B1428,0))),30,MIN(30,IF(T1428=0,EOMONTH(B1428,0),MIN(T1428,EOMONTH(B1428,0)))-MAX(B1428,S1428)+1))))</f>
        <v/>
      </c>
    </row>
    <row r="1429" customFormat="false" ht="15" hidden="false" customHeight="false" outlineLevel="0" collapsed="false">
      <c r="B1429" s="78"/>
      <c r="C1429" s="64"/>
      <c r="D1429" s="70" t="str">
        <f aca="false">IF(C1429="","",IFERROR(INDEX(T_NOMBRE,MATCH(C1429,T_ID,0)),"⚠ ID no existe"))</f>
        <v/>
      </c>
      <c r="E1429" s="69"/>
      <c r="F1429" s="69"/>
      <c r="G1429" s="69"/>
      <c r="H1429" s="69"/>
      <c r="I1429" s="66"/>
      <c r="J1429" s="69"/>
      <c r="K1429" s="67"/>
      <c r="L1429" s="67"/>
      <c r="M1429" s="67"/>
      <c r="N1429" s="67"/>
      <c r="O1429" s="64"/>
      <c r="P1429" s="72" t="str">
        <f aca="false">IF(OR(B1429="",C1429=""),"",C1429&amp;"|"&amp;(YEAR(B1429)*100+MONTH(B1429)))</f>
        <v/>
      </c>
      <c r="Q1429" s="70" t="str">
        <f aca="false">IF(P1429="","",IF(COUNTIF(N_CLAVE,P1429)&gt;1,"⚠ Duplicado","OK"))</f>
        <v/>
      </c>
      <c r="R1429" s="74" t="str">
        <f aca="false">IF(OR(P1429="",U1429=""),"",MAX(0,U1429-N(E1429)-N(F1429)-N(H1429)))</f>
        <v/>
      </c>
      <c r="S1429" s="75" t="str">
        <f aca="false">IF(P1429="","",IFERROR(INDEX(T_INGRESO,MATCH(C1429,T_ID,0)),""))</f>
        <v/>
      </c>
      <c r="T1429" s="75" t="str">
        <f aca="false">IF(P1429="","",IFERROR(N(INDEX(T_EGRESO,MATCH(C1429,T_ID,0))),0))</f>
        <v/>
      </c>
      <c r="U1429" s="73" t="str">
        <f aca="false">IF(OR(P1429="",NOT(ISNUMBER(S1429))),"",IF(OR(S1429&gt;EOMONTH(B1429,0),AND(T1429&gt;0,T1429&lt;B1429)),0,IF(AND(S1429&lt;=B1429,OR(T1429=0,T1429&gt;=EOMONTH(B1429,0))),30,MIN(30,IF(T1429=0,EOMONTH(B1429,0),MIN(T1429,EOMONTH(B1429,0)))-MAX(B1429,S1429)+1))))</f>
        <v/>
      </c>
    </row>
    <row r="1430" customFormat="false" ht="15" hidden="false" customHeight="false" outlineLevel="0" collapsed="false">
      <c r="B1430" s="78"/>
      <c r="C1430" s="64"/>
      <c r="D1430" s="70" t="str">
        <f aca="false">IF(C1430="","",IFERROR(INDEX(T_NOMBRE,MATCH(C1430,T_ID,0)),"⚠ ID no existe"))</f>
        <v/>
      </c>
      <c r="E1430" s="69"/>
      <c r="F1430" s="69"/>
      <c r="G1430" s="69"/>
      <c r="H1430" s="69"/>
      <c r="I1430" s="66"/>
      <c r="J1430" s="69"/>
      <c r="K1430" s="67"/>
      <c r="L1430" s="67"/>
      <c r="M1430" s="67"/>
      <c r="N1430" s="67"/>
      <c r="O1430" s="64"/>
      <c r="P1430" s="72" t="str">
        <f aca="false">IF(OR(B1430="",C1430=""),"",C1430&amp;"|"&amp;(YEAR(B1430)*100+MONTH(B1430)))</f>
        <v/>
      </c>
      <c r="Q1430" s="70" t="str">
        <f aca="false">IF(P1430="","",IF(COUNTIF(N_CLAVE,P1430)&gt;1,"⚠ Duplicado","OK"))</f>
        <v/>
      </c>
      <c r="R1430" s="74" t="str">
        <f aca="false">IF(OR(P1430="",U1430=""),"",MAX(0,U1430-N(E1430)-N(F1430)-N(H1430)))</f>
        <v/>
      </c>
      <c r="S1430" s="75" t="str">
        <f aca="false">IF(P1430="","",IFERROR(INDEX(T_INGRESO,MATCH(C1430,T_ID,0)),""))</f>
        <v/>
      </c>
      <c r="T1430" s="75" t="str">
        <f aca="false">IF(P1430="","",IFERROR(N(INDEX(T_EGRESO,MATCH(C1430,T_ID,0))),0))</f>
        <v/>
      </c>
      <c r="U1430" s="73" t="str">
        <f aca="false">IF(OR(P1430="",NOT(ISNUMBER(S1430))),"",IF(OR(S1430&gt;EOMONTH(B1430,0),AND(T1430&gt;0,T1430&lt;B1430)),0,IF(AND(S1430&lt;=B1430,OR(T1430=0,T1430&gt;=EOMONTH(B1430,0))),30,MIN(30,IF(T1430=0,EOMONTH(B1430,0),MIN(T1430,EOMONTH(B1430,0)))-MAX(B1430,S1430)+1))))</f>
        <v/>
      </c>
    </row>
    <row r="1431" customFormat="false" ht="15" hidden="false" customHeight="false" outlineLevel="0" collapsed="false">
      <c r="B1431" s="78"/>
      <c r="C1431" s="64"/>
      <c r="D1431" s="70" t="str">
        <f aca="false">IF(C1431="","",IFERROR(INDEX(T_NOMBRE,MATCH(C1431,T_ID,0)),"⚠ ID no existe"))</f>
        <v/>
      </c>
      <c r="E1431" s="69"/>
      <c r="F1431" s="69"/>
      <c r="G1431" s="69"/>
      <c r="H1431" s="69"/>
      <c r="I1431" s="66"/>
      <c r="J1431" s="69"/>
      <c r="K1431" s="67"/>
      <c r="L1431" s="67"/>
      <c r="M1431" s="67"/>
      <c r="N1431" s="67"/>
      <c r="O1431" s="64"/>
      <c r="P1431" s="72" t="str">
        <f aca="false">IF(OR(B1431="",C1431=""),"",C1431&amp;"|"&amp;(YEAR(B1431)*100+MONTH(B1431)))</f>
        <v/>
      </c>
      <c r="Q1431" s="70" t="str">
        <f aca="false">IF(P1431="","",IF(COUNTIF(N_CLAVE,P1431)&gt;1,"⚠ Duplicado","OK"))</f>
        <v/>
      </c>
      <c r="R1431" s="74" t="str">
        <f aca="false">IF(OR(P1431="",U1431=""),"",MAX(0,U1431-N(E1431)-N(F1431)-N(H1431)))</f>
        <v/>
      </c>
      <c r="S1431" s="75" t="str">
        <f aca="false">IF(P1431="","",IFERROR(INDEX(T_INGRESO,MATCH(C1431,T_ID,0)),""))</f>
        <v/>
      </c>
      <c r="T1431" s="75" t="str">
        <f aca="false">IF(P1431="","",IFERROR(N(INDEX(T_EGRESO,MATCH(C1431,T_ID,0))),0))</f>
        <v/>
      </c>
      <c r="U1431" s="73" t="str">
        <f aca="false">IF(OR(P1431="",NOT(ISNUMBER(S1431))),"",IF(OR(S1431&gt;EOMONTH(B1431,0),AND(T1431&gt;0,T1431&lt;B1431)),0,IF(AND(S1431&lt;=B1431,OR(T1431=0,T1431&gt;=EOMONTH(B1431,0))),30,MIN(30,IF(T1431=0,EOMONTH(B1431,0),MIN(T1431,EOMONTH(B1431,0)))-MAX(B1431,S1431)+1))))</f>
        <v/>
      </c>
    </row>
    <row r="1432" customFormat="false" ht="15" hidden="false" customHeight="false" outlineLevel="0" collapsed="false">
      <c r="B1432" s="78"/>
      <c r="C1432" s="64"/>
      <c r="D1432" s="70" t="str">
        <f aca="false">IF(C1432="","",IFERROR(INDEX(T_NOMBRE,MATCH(C1432,T_ID,0)),"⚠ ID no existe"))</f>
        <v/>
      </c>
      <c r="E1432" s="69"/>
      <c r="F1432" s="69"/>
      <c r="G1432" s="69"/>
      <c r="H1432" s="69"/>
      <c r="I1432" s="66"/>
      <c r="J1432" s="69"/>
      <c r="K1432" s="67"/>
      <c r="L1432" s="67"/>
      <c r="M1432" s="67"/>
      <c r="N1432" s="67"/>
      <c r="O1432" s="64"/>
      <c r="P1432" s="72" t="str">
        <f aca="false">IF(OR(B1432="",C1432=""),"",C1432&amp;"|"&amp;(YEAR(B1432)*100+MONTH(B1432)))</f>
        <v/>
      </c>
      <c r="Q1432" s="70" t="str">
        <f aca="false">IF(P1432="","",IF(COUNTIF(N_CLAVE,P1432)&gt;1,"⚠ Duplicado","OK"))</f>
        <v/>
      </c>
      <c r="R1432" s="74" t="str">
        <f aca="false">IF(OR(P1432="",U1432=""),"",MAX(0,U1432-N(E1432)-N(F1432)-N(H1432)))</f>
        <v/>
      </c>
      <c r="S1432" s="75" t="str">
        <f aca="false">IF(P1432="","",IFERROR(INDEX(T_INGRESO,MATCH(C1432,T_ID,0)),""))</f>
        <v/>
      </c>
      <c r="T1432" s="75" t="str">
        <f aca="false">IF(P1432="","",IFERROR(N(INDEX(T_EGRESO,MATCH(C1432,T_ID,0))),0))</f>
        <v/>
      </c>
      <c r="U1432" s="73" t="str">
        <f aca="false">IF(OR(P1432="",NOT(ISNUMBER(S1432))),"",IF(OR(S1432&gt;EOMONTH(B1432,0),AND(T1432&gt;0,T1432&lt;B1432)),0,IF(AND(S1432&lt;=B1432,OR(T1432=0,T1432&gt;=EOMONTH(B1432,0))),30,MIN(30,IF(T1432=0,EOMONTH(B1432,0),MIN(T1432,EOMONTH(B1432,0)))-MAX(B1432,S1432)+1))))</f>
        <v/>
      </c>
    </row>
    <row r="1433" customFormat="false" ht="15" hidden="false" customHeight="false" outlineLevel="0" collapsed="false">
      <c r="B1433" s="78"/>
      <c r="C1433" s="64"/>
      <c r="D1433" s="70" t="str">
        <f aca="false">IF(C1433="","",IFERROR(INDEX(T_NOMBRE,MATCH(C1433,T_ID,0)),"⚠ ID no existe"))</f>
        <v/>
      </c>
      <c r="E1433" s="69"/>
      <c r="F1433" s="69"/>
      <c r="G1433" s="69"/>
      <c r="H1433" s="69"/>
      <c r="I1433" s="66"/>
      <c r="J1433" s="69"/>
      <c r="K1433" s="67"/>
      <c r="L1433" s="67"/>
      <c r="M1433" s="67"/>
      <c r="N1433" s="67"/>
      <c r="O1433" s="64"/>
      <c r="P1433" s="72" t="str">
        <f aca="false">IF(OR(B1433="",C1433=""),"",C1433&amp;"|"&amp;(YEAR(B1433)*100+MONTH(B1433)))</f>
        <v/>
      </c>
      <c r="Q1433" s="70" t="str">
        <f aca="false">IF(P1433="","",IF(COUNTIF(N_CLAVE,P1433)&gt;1,"⚠ Duplicado","OK"))</f>
        <v/>
      </c>
      <c r="R1433" s="74" t="str">
        <f aca="false">IF(OR(P1433="",U1433=""),"",MAX(0,U1433-N(E1433)-N(F1433)-N(H1433)))</f>
        <v/>
      </c>
      <c r="S1433" s="75" t="str">
        <f aca="false">IF(P1433="","",IFERROR(INDEX(T_INGRESO,MATCH(C1433,T_ID,0)),""))</f>
        <v/>
      </c>
      <c r="T1433" s="75" t="str">
        <f aca="false">IF(P1433="","",IFERROR(N(INDEX(T_EGRESO,MATCH(C1433,T_ID,0))),0))</f>
        <v/>
      </c>
      <c r="U1433" s="73" t="str">
        <f aca="false">IF(OR(P1433="",NOT(ISNUMBER(S1433))),"",IF(OR(S1433&gt;EOMONTH(B1433,0),AND(T1433&gt;0,T1433&lt;B1433)),0,IF(AND(S1433&lt;=B1433,OR(T1433=0,T1433&gt;=EOMONTH(B1433,0))),30,MIN(30,IF(T1433=0,EOMONTH(B1433,0),MIN(T1433,EOMONTH(B1433,0)))-MAX(B1433,S1433)+1))))</f>
        <v/>
      </c>
    </row>
    <row r="1434" customFormat="false" ht="15" hidden="false" customHeight="false" outlineLevel="0" collapsed="false">
      <c r="B1434" s="78"/>
      <c r="C1434" s="64"/>
      <c r="D1434" s="70" t="str">
        <f aca="false">IF(C1434="","",IFERROR(INDEX(T_NOMBRE,MATCH(C1434,T_ID,0)),"⚠ ID no existe"))</f>
        <v/>
      </c>
      <c r="E1434" s="69"/>
      <c r="F1434" s="69"/>
      <c r="G1434" s="69"/>
      <c r="H1434" s="69"/>
      <c r="I1434" s="66"/>
      <c r="J1434" s="69"/>
      <c r="K1434" s="67"/>
      <c r="L1434" s="67"/>
      <c r="M1434" s="67"/>
      <c r="N1434" s="67"/>
      <c r="O1434" s="64"/>
      <c r="P1434" s="72" t="str">
        <f aca="false">IF(OR(B1434="",C1434=""),"",C1434&amp;"|"&amp;(YEAR(B1434)*100+MONTH(B1434)))</f>
        <v/>
      </c>
      <c r="Q1434" s="70" t="str">
        <f aca="false">IF(P1434="","",IF(COUNTIF(N_CLAVE,P1434)&gt;1,"⚠ Duplicado","OK"))</f>
        <v/>
      </c>
      <c r="R1434" s="74" t="str">
        <f aca="false">IF(OR(P1434="",U1434=""),"",MAX(0,U1434-N(E1434)-N(F1434)-N(H1434)))</f>
        <v/>
      </c>
      <c r="S1434" s="75" t="str">
        <f aca="false">IF(P1434="","",IFERROR(INDEX(T_INGRESO,MATCH(C1434,T_ID,0)),""))</f>
        <v/>
      </c>
      <c r="T1434" s="75" t="str">
        <f aca="false">IF(P1434="","",IFERROR(N(INDEX(T_EGRESO,MATCH(C1434,T_ID,0))),0))</f>
        <v/>
      </c>
      <c r="U1434" s="73" t="str">
        <f aca="false">IF(OR(P1434="",NOT(ISNUMBER(S1434))),"",IF(OR(S1434&gt;EOMONTH(B1434,0),AND(T1434&gt;0,T1434&lt;B1434)),0,IF(AND(S1434&lt;=B1434,OR(T1434=0,T1434&gt;=EOMONTH(B1434,0))),30,MIN(30,IF(T1434=0,EOMONTH(B1434,0),MIN(T1434,EOMONTH(B1434,0)))-MAX(B1434,S1434)+1))))</f>
        <v/>
      </c>
    </row>
    <row r="1435" customFormat="false" ht="15" hidden="false" customHeight="false" outlineLevel="0" collapsed="false">
      <c r="B1435" s="78"/>
      <c r="C1435" s="64"/>
      <c r="D1435" s="70" t="str">
        <f aca="false">IF(C1435="","",IFERROR(INDEX(T_NOMBRE,MATCH(C1435,T_ID,0)),"⚠ ID no existe"))</f>
        <v/>
      </c>
      <c r="E1435" s="69"/>
      <c r="F1435" s="69"/>
      <c r="G1435" s="69"/>
      <c r="H1435" s="69"/>
      <c r="I1435" s="66"/>
      <c r="J1435" s="69"/>
      <c r="K1435" s="67"/>
      <c r="L1435" s="67"/>
      <c r="M1435" s="67"/>
      <c r="N1435" s="67"/>
      <c r="O1435" s="64"/>
      <c r="P1435" s="72" t="str">
        <f aca="false">IF(OR(B1435="",C1435=""),"",C1435&amp;"|"&amp;(YEAR(B1435)*100+MONTH(B1435)))</f>
        <v/>
      </c>
      <c r="Q1435" s="70" t="str">
        <f aca="false">IF(P1435="","",IF(COUNTIF(N_CLAVE,P1435)&gt;1,"⚠ Duplicado","OK"))</f>
        <v/>
      </c>
      <c r="R1435" s="74" t="str">
        <f aca="false">IF(OR(P1435="",U1435=""),"",MAX(0,U1435-N(E1435)-N(F1435)-N(H1435)))</f>
        <v/>
      </c>
      <c r="S1435" s="75" t="str">
        <f aca="false">IF(P1435="","",IFERROR(INDEX(T_INGRESO,MATCH(C1435,T_ID,0)),""))</f>
        <v/>
      </c>
      <c r="T1435" s="75" t="str">
        <f aca="false">IF(P1435="","",IFERROR(N(INDEX(T_EGRESO,MATCH(C1435,T_ID,0))),0))</f>
        <v/>
      </c>
      <c r="U1435" s="73" t="str">
        <f aca="false">IF(OR(P1435="",NOT(ISNUMBER(S1435))),"",IF(OR(S1435&gt;EOMONTH(B1435,0),AND(T1435&gt;0,T1435&lt;B1435)),0,IF(AND(S1435&lt;=B1435,OR(T1435=0,T1435&gt;=EOMONTH(B1435,0))),30,MIN(30,IF(T1435=0,EOMONTH(B1435,0),MIN(T1435,EOMONTH(B1435,0)))-MAX(B1435,S1435)+1))))</f>
        <v/>
      </c>
    </row>
    <row r="1436" customFormat="false" ht="15" hidden="false" customHeight="false" outlineLevel="0" collapsed="false">
      <c r="B1436" s="78"/>
      <c r="C1436" s="64"/>
      <c r="D1436" s="70" t="str">
        <f aca="false">IF(C1436="","",IFERROR(INDEX(T_NOMBRE,MATCH(C1436,T_ID,0)),"⚠ ID no existe"))</f>
        <v/>
      </c>
      <c r="E1436" s="69"/>
      <c r="F1436" s="69"/>
      <c r="G1436" s="69"/>
      <c r="H1436" s="69"/>
      <c r="I1436" s="66"/>
      <c r="J1436" s="69"/>
      <c r="K1436" s="67"/>
      <c r="L1436" s="67"/>
      <c r="M1436" s="67"/>
      <c r="N1436" s="67"/>
      <c r="O1436" s="64"/>
      <c r="P1436" s="72" t="str">
        <f aca="false">IF(OR(B1436="",C1436=""),"",C1436&amp;"|"&amp;(YEAR(B1436)*100+MONTH(B1436)))</f>
        <v/>
      </c>
      <c r="Q1436" s="70" t="str">
        <f aca="false">IF(P1436="","",IF(COUNTIF(N_CLAVE,P1436)&gt;1,"⚠ Duplicado","OK"))</f>
        <v/>
      </c>
      <c r="R1436" s="74" t="str">
        <f aca="false">IF(OR(P1436="",U1436=""),"",MAX(0,U1436-N(E1436)-N(F1436)-N(H1436)))</f>
        <v/>
      </c>
      <c r="S1436" s="75" t="str">
        <f aca="false">IF(P1436="","",IFERROR(INDEX(T_INGRESO,MATCH(C1436,T_ID,0)),""))</f>
        <v/>
      </c>
      <c r="T1436" s="75" t="str">
        <f aca="false">IF(P1436="","",IFERROR(N(INDEX(T_EGRESO,MATCH(C1436,T_ID,0))),0))</f>
        <v/>
      </c>
      <c r="U1436" s="73" t="str">
        <f aca="false">IF(OR(P1436="",NOT(ISNUMBER(S1436))),"",IF(OR(S1436&gt;EOMONTH(B1436,0),AND(T1436&gt;0,T1436&lt;B1436)),0,IF(AND(S1436&lt;=B1436,OR(T1436=0,T1436&gt;=EOMONTH(B1436,0))),30,MIN(30,IF(T1436=0,EOMONTH(B1436,0),MIN(T1436,EOMONTH(B1436,0)))-MAX(B1436,S1436)+1))))</f>
        <v/>
      </c>
    </row>
    <row r="1437" customFormat="false" ht="15" hidden="false" customHeight="false" outlineLevel="0" collapsed="false">
      <c r="B1437" s="78"/>
      <c r="C1437" s="64"/>
      <c r="D1437" s="70" t="str">
        <f aca="false">IF(C1437="","",IFERROR(INDEX(T_NOMBRE,MATCH(C1437,T_ID,0)),"⚠ ID no existe"))</f>
        <v/>
      </c>
      <c r="E1437" s="69"/>
      <c r="F1437" s="69"/>
      <c r="G1437" s="69"/>
      <c r="H1437" s="69"/>
      <c r="I1437" s="66"/>
      <c r="J1437" s="69"/>
      <c r="K1437" s="67"/>
      <c r="L1437" s="67"/>
      <c r="M1437" s="67"/>
      <c r="N1437" s="67"/>
      <c r="O1437" s="64"/>
      <c r="P1437" s="72" t="str">
        <f aca="false">IF(OR(B1437="",C1437=""),"",C1437&amp;"|"&amp;(YEAR(B1437)*100+MONTH(B1437)))</f>
        <v/>
      </c>
      <c r="Q1437" s="70" t="str">
        <f aca="false">IF(P1437="","",IF(COUNTIF(N_CLAVE,P1437)&gt;1,"⚠ Duplicado","OK"))</f>
        <v/>
      </c>
      <c r="R1437" s="74" t="str">
        <f aca="false">IF(OR(P1437="",U1437=""),"",MAX(0,U1437-N(E1437)-N(F1437)-N(H1437)))</f>
        <v/>
      </c>
      <c r="S1437" s="75" t="str">
        <f aca="false">IF(P1437="","",IFERROR(INDEX(T_INGRESO,MATCH(C1437,T_ID,0)),""))</f>
        <v/>
      </c>
      <c r="T1437" s="75" t="str">
        <f aca="false">IF(P1437="","",IFERROR(N(INDEX(T_EGRESO,MATCH(C1437,T_ID,0))),0))</f>
        <v/>
      </c>
      <c r="U1437" s="73" t="str">
        <f aca="false">IF(OR(P1437="",NOT(ISNUMBER(S1437))),"",IF(OR(S1437&gt;EOMONTH(B1437,0),AND(T1437&gt;0,T1437&lt;B1437)),0,IF(AND(S1437&lt;=B1437,OR(T1437=0,T1437&gt;=EOMONTH(B1437,0))),30,MIN(30,IF(T1437=0,EOMONTH(B1437,0),MIN(T1437,EOMONTH(B1437,0)))-MAX(B1437,S1437)+1))))</f>
        <v/>
      </c>
    </row>
    <row r="1438" customFormat="false" ht="15" hidden="false" customHeight="false" outlineLevel="0" collapsed="false">
      <c r="B1438" s="78"/>
      <c r="C1438" s="64"/>
      <c r="D1438" s="70" t="str">
        <f aca="false">IF(C1438="","",IFERROR(INDEX(T_NOMBRE,MATCH(C1438,T_ID,0)),"⚠ ID no existe"))</f>
        <v/>
      </c>
      <c r="E1438" s="69"/>
      <c r="F1438" s="69"/>
      <c r="G1438" s="69"/>
      <c r="H1438" s="69"/>
      <c r="I1438" s="66"/>
      <c r="J1438" s="69"/>
      <c r="K1438" s="67"/>
      <c r="L1438" s="67"/>
      <c r="M1438" s="67"/>
      <c r="N1438" s="67"/>
      <c r="O1438" s="64"/>
      <c r="P1438" s="72" t="str">
        <f aca="false">IF(OR(B1438="",C1438=""),"",C1438&amp;"|"&amp;(YEAR(B1438)*100+MONTH(B1438)))</f>
        <v/>
      </c>
      <c r="Q1438" s="70" t="str">
        <f aca="false">IF(P1438="","",IF(COUNTIF(N_CLAVE,P1438)&gt;1,"⚠ Duplicado","OK"))</f>
        <v/>
      </c>
      <c r="R1438" s="74" t="str">
        <f aca="false">IF(OR(P1438="",U1438=""),"",MAX(0,U1438-N(E1438)-N(F1438)-N(H1438)))</f>
        <v/>
      </c>
      <c r="S1438" s="75" t="str">
        <f aca="false">IF(P1438="","",IFERROR(INDEX(T_INGRESO,MATCH(C1438,T_ID,0)),""))</f>
        <v/>
      </c>
      <c r="T1438" s="75" t="str">
        <f aca="false">IF(P1438="","",IFERROR(N(INDEX(T_EGRESO,MATCH(C1438,T_ID,0))),0))</f>
        <v/>
      </c>
      <c r="U1438" s="73" t="str">
        <f aca="false">IF(OR(P1438="",NOT(ISNUMBER(S1438))),"",IF(OR(S1438&gt;EOMONTH(B1438,0),AND(T1438&gt;0,T1438&lt;B1438)),0,IF(AND(S1438&lt;=B1438,OR(T1438=0,T1438&gt;=EOMONTH(B1438,0))),30,MIN(30,IF(T1438=0,EOMONTH(B1438,0),MIN(T1438,EOMONTH(B1438,0)))-MAX(B1438,S1438)+1))))</f>
        <v/>
      </c>
    </row>
    <row r="1439" customFormat="false" ht="15" hidden="false" customHeight="false" outlineLevel="0" collapsed="false">
      <c r="B1439" s="78"/>
      <c r="C1439" s="64"/>
      <c r="D1439" s="70" t="str">
        <f aca="false">IF(C1439="","",IFERROR(INDEX(T_NOMBRE,MATCH(C1439,T_ID,0)),"⚠ ID no existe"))</f>
        <v/>
      </c>
      <c r="E1439" s="69"/>
      <c r="F1439" s="69"/>
      <c r="G1439" s="69"/>
      <c r="H1439" s="69"/>
      <c r="I1439" s="66"/>
      <c r="J1439" s="69"/>
      <c r="K1439" s="67"/>
      <c r="L1439" s="67"/>
      <c r="M1439" s="67"/>
      <c r="N1439" s="67"/>
      <c r="O1439" s="64"/>
      <c r="P1439" s="72" t="str">
        <f aca="false">IF(OR(B1439="",C1439=""),"",C1439&amp;"|"&amp;(YEAR(B1439)*100+MONTH(B1439)))</f>
        <v/>
      </c>
      <c r="Q1439" s="70" t="str">
        <f aca="false">IF(P1439="","",IF(COUNTIF(N_CLAVE,P1439)&gt;1,"⚠ Duplicado","OK"))</f>
        <v/>
      </c>
      <c r="R1439" s="74" t="str">
        <f aca="false">IF(OR(P1439="",U1439=""),"",MAX(0,U1439-N(E1439)-N(F1439)-N(H1439)))</f>
        <v/>
      </c>
      <c r="S1439" s="75" t="str">
        <f aca="false">IF(P1439="","",IFERROR(INDEX(T_INGRESO,MATCH(C1439,T_ID,0)),""))</f>
        <v/>
      </c>
      <c r="T1439" s="75" t="str">
        <f aca="false">IF(P1439="","",IFERROR(N(INDEX(T_EGRESO,MATCH(C1439,T_ID,0))),0))</f>
        <v/>
      </c>
      <c r="U1439" s="73" t="str">
        <f aca="false">IF(OR(P1439="",NOT(ISNUMBER(S1439))),"",IF(OR(S1439&gt;EOMONTH(B1439,0),AND(T1439&gt;0,T1439&lt;B1439)),0,IF(AND(S1439&lt;=B1439,OR(T1439=0,T1439&gt;=EOMONTH(B1439,0))),30,MIN(30,IF(T1439=0,EOMONTH(B1439,0),MIN(T1439,EOMONTH(B1439,0)))-MAX(B1439,S1439)+1))))</f>
        <v/>
      </c>
    </row>
    <row r="1440" customFormat="false" ht="15" hidden="false" customHeight="false" outlineLevel="0" collapsed="false">
      <c r="B1440" s="78"/>
      <c r="C1440" s="64"/>
      <c r="D1440" s="70" t="str">
        <f aca="false">IF(C1440="","",IFERROR(INDEX(T_NOMBRE,MATCH(C1440,T_ID,0)),"⚠ ID no existe"))</f>
        <v/>
      </c>
      <c r="E1440" s="69"/>
      <c r="F1440" s="69"/>
      <c r="G1440" s="69"/>
      <c r="H1440" s="69"/>
      <c r="I1440" s="66"/>
      <c r="J1440" s="69"/>
      <c r="K1440" s="67"/>
      <c r="L1440" s="67"/>
      <c r="M1440" s="67"/>
      <c r="N1440" s="67"/>
      <c r="O1440" s="64"/>
      <c r="P1440" s="72" t="str">
        <f aca="false">IF(OR(B1440="",C1440=""),"",C1440&amp;"|"&amp;(YEAR(B1440)*100+MONTH(B1440)))</f>
        <v/>
      </c>
      <c r="Q1440" s="70" t="str">
        <f aca="false">IF(P1440="","",IF(COUNTIF(N_CLAVE,P1440)&gt;1,"⚠ Duplicado","OK"))</f>
        <v/>
      </c>
      <c r="R1440" s="74" t="str">
        <f aca="false">IF(OR(P1440="",U1440=""),"",MAX(0,U1440-N(E1440)-N(F1440)-N(H1440)))</f>
        <v/>
      </c>
      <c r="S1440" s="75" t="str">
        <f aca="false">IF(P1440="","",IFERROR(INDEX(T_INGRESO,MATCH(C1440,T_ID,0)),""))</f>
        <v/>
      </c>
      <c r="T1440" s="75" t="str">
        <f aca="false">IF(P1440="","",IFERROR(N(INDEX(T_EGRESO,MATCH(C1440,T_ID,0))),0))</f>
        <v/>
      </c>
      <c r="U1440" s="73" t="str">
        <f aca="false">IF(OR(P1440="",NOT(ISNUMBER(S1440))),"",IF(OR(S1440&gt;EOMONTH(B1440,0),AND(T1440&gt;0,T1440&lt;B1440)),0,IF(AND(S1440&lt;=B1440,OR(T1440=0,T1440&gt;=EOMONTH(B1440,0))),30,MIN(30,IF(T1440=0,EOMONTH(B1440,0),MIN(T1440,EOMONTH(B1440,0)))-MAX(B1440,S1440)+1))))</f>
        <v/>
      </c>
    </row>
    <row r="1441" customFormat="false" ht="15" hidden="false" customHeight="false" outlineLevel="0" collapsed="false">
      <c r="B1441" s="78"/>
      <c r="C1441" s="64"/>
      <c r="D1441" s="70" t="str">
        <f aca="false">IF(C1441="","",IFERROR(INDEX(T_NOMBRE,MATCH(C1441,T_ID,0)),"⚠ ID no existe"))</f>
        <v/>
      </c>
      <c r="E1441" s="69"/>
      <c r="F1441" s="69"/>
      <c r="G1441" s="69"/>
      <c r="H1441" s="69"/>
      <c r="I1441" s="66"/>
      <c r="J1441" s="69"/>
      <c r="K1441" s="67"/>
      <c r="L1441" s="67"/>
      <c r="M1441" s="67"/>
      <c r="N1441" s="67"/>
      <c r="O1441" s="64"/>
      <c r="P1441" s="72" t="str">
        <f aca="false">IF(OR(B1441="",C1441=""),"",C1441&amp;"|"&amp;(YEAR(B1441)*100+MONTH(B1441)))</f>
        <v/>
      </c>
      <c r="Q1441" s="70" t="str">
        <f aca="false">IF(P1441="","",IF(COUNTIF(N_CLAVE,P1441)&gt;1,"⚠ Duplicado","OK"))</f>
        <v/>
      </c>
      <c r="R1441" s="74" t="str">
        <f aca="false">IF(OR(P1441="",U1441=""),"",MAX(0,U1441-N(E1441)-N(F1441)-N(H1441)))</f>
        <v/>
      </c>
      <c r="S1441" s="75" t="str">
        <f aca="false">IF(P1441="","",IFERROR(INDEX(T_INGRESO,MATCH(C1441,T_ID,0)),""))</f>
        <v/>
      </c>
      <c r="T1441" s="75" t="str">
        <f aca="false">IF(P1441="","",IFERROR(N(INDEX(T_EGRESO,MATCH(C1441,T_ID,0))),0))</f>
        <v/>
      </c>
      <c r="U1441" s="73" t="str">
        <f aca="false">IF(OR(P1441="",NOT(ISNUMBER(S1441))),"",IF(OR(S1441&gt;EOMONTH(B1441,0),AND(T1441&gt;0,T1441&lt;B1441)),0,IF(AND(S1441&lt;=B1441,OR(T1441=0,T1441&gt;=EOMONTH(B1441,0))),30,MIN(30,IF(T1441=0,EOMONTH(B1441,0),MIN(T1441,EOMONTH(B1441,0)))-MAX(B1441,S1441)+1))))</f>
        <v/>
      </c>
    </row>
    <row r="1442" customFormat="false" ht="15" hidden="false" customHeight="false" outlineLevel="0" collapsed="false">
      <c r="B1442" s="78"/>
      <c r="C1442" s="64"/>
      <c r="D1442" s="70" t="str">
        <f aca="false">IF(C1442="","",IFERROR(INDEX(T_NOMBRE,MATCH(C1442,T_ID,0)),"⚠ ID no existe"))</f>
        <v/>
      </c>
      <c r="E1442" s="69"/>
      <c r="F1442" s="69"/>
      <c r="G1442" s="69"/>
      <c r="H1442" s="69"/>
      <c r="I1442" s="66"/>
      <c r="J1442" s="69"/>
      <c r="K1442" s="67"/>
      <c r="L1442" s="67"/>
      <c r="M1442" s="67"/>
      <c r="N1442" s="67"/>
      <c r="O1442" s="64"/>
      <c r="P1442" s="72" t="str">
        <f aca="false">IF(OR(B1442="",C1442=""),"",C1442&amp;"|"&amp;(YEAR(B1442)*100+MONTH(B1442)))</f>
        <v/>
      </c>
      <c r="Q1442" s="70" t="str">
        <f aca="false">IF(P1442="","",IF(COUNTIF(N_CLAVE,P1442)&gt;1,"⚠ Duplicado","OK"))</f>
        <v/>
      </c>
      <c r="R1442" s="74" t="str">
        <f aca="false">IF(OR(P1442="",U1442=""),"",MAX(0,U1442-N(E1442)-N(F1442)-N(H1442)))</f>
        <v/>
      </c>
      <c r="S1442" s="75" t="str">
        <f aca="false">IF(P1442="","",IFERROR(INDEX(T_INGRESO,MATCH(C1442,T_ID,0)),""))</f>
        <v/>
      </c>
      <c r="T1442" s="75" t="str">
        <f aca="false">IF(P1442="","",IFERROR(N(INDEX(T_EGRESO,MATCH(C1442,T_ID,0))),0))</f>
        <v/>
      </c>
      <c r="U1442" s="73" t="str">
        <f aca="false">IF(OR(P1442="",NOT(ISNUMBER(S1442))),"",IF(OR(S1442&gt;EOMONTH(B1442,0),AND(T1442&gt;0,T1442&lt;B1442)),0,IF(AND(S1442&lt;=B1442,OR(T1442=0,T1442&gt;=EOMONTH(B1442,0))),30,MIN(30,IF(T1442=0,EOMONTH(B1442,0),MIN(T1442,EOMONTH(B1442,0)))-MAX(B1442,S1442)+1))))</f>
        <v/>
      </c>
    </row>
    <row r="1443" customFormat="false" ht="15" hidden="false" customHeight="false" outlineLevel="0" collapsed="false">
      <c r="B1443" s="78"/>
      <c r="C1443" s="64"/>
      <c r="D1443" s="70" t="str">
        <f aca="false">IF(C1443="","",IFERROR(INDEX(T_NOMBRE,MATCH(C1443,T_ID,0)),"⚠ ID no existe"))</f>
        <v/>
      </c>
      <c r="E1443" s="69"/>
      <c r="F1443" s="69"/>
      <c r="G1443" s="69"/>
      <c r="H1443" s="69"/>
      <c r="I1443" s="66"/>
      <c r="J1443" s="69"/>
      <c r="K1443" s="67"/>
      <c r="L1443" s="67"/>
      <c r="M1443" s="67"/>
      <c r="N1443" s="67"/>
      <c r="O1443" s="64"/>
      <c r="P1443" s="72" t="str">
        <f aca="false">IF(OR(B1443="",C1443=""),"",C1443&amp;"|"&amp;(YEAR(B1443)*100+MONTH(B1443)))</f>
        <v/>
      </c>
      <c r="Q1443" s="70" t="str">
        <f aca="false">IF(P1443="","",IF(COUNTIF(N_CLAVE,P1443)&gt;1,"⚠ Duplicado","OK"))</f>
        <v/>
      </c>
      <c r="R1443" s="74" t="str">
        <f aca="false">IF(OR(P1443="",U1443=""),"",MAX(0,U1443-N(E1443)-N(F1443)-N(H1443)))</f>
        <v/>
      </c>
      <c r="S1443" s="75" t="str">
        <f aca="false">IF(P1443="","",IFERROR(INDEX(T_INGRESO,MATCH(C1443,T_ID,0)),""))</f>
        <v/>
      </c>
      <c r="T1443" s="75" t="str">
        <f aca="false">IF(P1443="","",IFERROR(N(INDEX(T_EGRESO,MATCH(C1443,T_ID,0))),0))</f>
        <v/>
      </c>
      <c r="U1443" s="73" t="str">
        <f aca="false">IF(OR(P1443="",NOT(ISNUMBER(S1443))),"",IF(OR(S1443&gt;EOMONTH(B1443,0),AND(T1443&gt;0,T1443&lt;B1443)),0,IF(AND(S1443&lt;=B1443,OR(T1443=0,T1443&gt;=EOMONTH(B1443,0))),30,MIN(30,IF(T1443=0,EOMONTH(B1443,0),MIN(T1443,EOMONTH(B1443,0)))-MAX(B1443,S1443)+1))))</f>
        <v/>
      </c>
    </row>
    <row r="1444" customFormat="false" ht="15" hidden="false" customHeight="false" outlineLevel="0" collapsed="false">
      <c r="B1444" s="78"/>
      <c r="C1444" s="64"/>
      <c r="D1444" s="70" t="str">
        <f aca="false">IF(C1444="","",IFERROR(INDEX(T_NOMBRE,MATCH(C1444,T_ID,0)),"⚠ ID no existe"))</f>
        <v/>
      </c>
      <c r="E1444" s="69"/>
      <c r="F1444" s="69"/>
      <c r="G1444" s="69"/>
      <c r="H1444" s="69"/>
      <c r="I1444" s="66"/>
      <c r="J1444" s="69"/>
      <c r="K1444" s="67"/>
      <c r="L1444" s="67"/>
      <c r="M1444" s="67"/>
      <c r="N1444" s="67"/>
      <c r="O1444" s="64"/>
      <c r="P1444" s="72" t="str">
        <f aca="false">IF(OR(B1444="",C1444=""),"",C1444&amp;"|"&amp;(YEAR(B1444)*100+MONTH(B1444)))</f>
        <v/>
      </c>
      <c r="Q1444" s="70" t="str">
        <f aca="false">IF(P1444="","",IF(COUNTIF(N_CLAVE,P1444)&gt;1,"⚠ Duplicado","OK"))</f>
        <v/>
      </c>
      <c r="R1444" s="74" t="str">
        <f aca="false">IF(OR(P1444="",U1444=""),"",MAX(0,U1444-N(E1444)-N(F1444)-N(H1444)))</f>
        <v/>
      </c>
      <c r="S1444" s="75" t="str">
        <f aca="false">IF(P1444="","",IFERROR(INDEX(T_INGRESO,MATCH(C1444,T_ID,0)),""))</f>
        <v/>
      </c>
      <c r="T1444" s="75" t="str">
        <f aca="false">IF(P1444="","",IFERROR(N(INDEX(T_EGRESO,MATCH(C1444,T_ID,0))),0))</f>
        <v/>
      </c>
      <c r="U1444" s="73" t="str">
        <f aca="false">IF(OR(P1444="",NOT(ISNUMBER(S1444))),"",IF(OR(S1444&gt;EOMONTH(B1444,0),AND(T1444&gt;0,T1444&lt;B1444)),0,IF(AND(S1444&lt;=B1444,OR(T1444=0,T1444&gt;=EOMONTH(B1444,0))),30,MIN(30,IF(T1444=0,EOMONTH(B1444,0),MIN(T1444,EOMONTH(B1444,0)))-MAX(B1444,S1444)+1))))</f>
        <v/>
      </c>
    </row>
    <row r="1445" customFormat="false" ht="15" hidden="false" customHeight="false" outlineLevel="0" collapsed="false">
      <c r="B1445" s="78"/>
      <c r="C1445" s="64"/>
      <c r="D1445" s="70" t="str">
        <f aca="false">IF(C1445="","",IFERROR(INDEX(T_NOMBRE,MATCH(C1445,T_ID,0)),"⚠ ID no existe"))</f>
        <v/>
      </c>
      <c r="E1445" s="69"/>
      <c r="F1445" s="69"/>
      <c r="G1445" s="69"/>
      <c r="H1445" s="69"/>
      <c r="I1445" s="66"/>
      <c r="J1445" s="69"/>
      <c r="K1445" s="67"/>
      <c r="L1445" s="67"/>
      <c r="M1445" s="67"/>
      <c r="N1445" s="67"/>
      <c r="O1445" s="64"/>
      <c r="P1445" s="72" t="str">
        <f aca="false">IF(OR(B1445="",C1445=""),"",C1445&amp;"|"&amp;(YEAR(B1445)*100+MONTH(B1445)))</f>
        <v/>
      </c>
      <c r="Q1445" s="70" t="str">
        <f aca="false">IF(P1445="","",IF(COUNTIF(N_CLAVE,P1445)&gt;1,"⚠ Duplicado","OK"))</f>
        <v/>
      </c>
      <c r="R1445" s="74" t="str">
        <f aca="false">IF(OR(P1445="",U1445=""),"",MAX(0,U1445-N(E1445)-N(F1445)-N(H1445)))</f>
        <v/>
      </c>
      <c r="S1445" s="75" t="str">
        <f aca="false">IF(P1445="","",IFERROR(INDEX(T_INGRESO,MATCH(C1445,T_ID,0)),""))</f>
        <v/>
      </c>
      <c r="T1445" s="75" t="str">
        <f aca="false">IF(P1445="","",IFERROR(N(INDEX(T_EGRESO,MATCH(C1445,T_ID,0))),0))</f>
        <v/>
      </c>
      <c r="U1445" s="73" t="str">
        <f aca="false">IF(OR(P1445="",NOT(ISNUMBER(S1445))),"",IF(OR(S1445&gt;EOMONTH(B1445,0),AND(T1445&gt;0,T1445&lt;B1445)),0,IF(AND(S1445&lt;=B1445,OR(T1445=0,T1445&gt;=EOMONTH(B1445,0))),30,MIN(30,IF(T1445=0,EOMONTH(B1445,0),MIN(T1445,EOMONTH(B1445,0)))-MAX(B1445,S1445)+1))))</f>
        <v/>
      </c>
    </row>
    <row r="1446" customFormat="false" ht="15" hidden="false" customHeight="false" outlineLevel="0" collapsed="false">
      <c r="B1446" s="78"/>
      <c r="C1446" s="64"/>
      <c r="D1446" s="70" t="str">
        <f aca="false">IF(C1446="","",IFERROR(INDEX(T_NOMBRE,MATCH(C1446,T_ID,0)),"⚠ ID no existe"))</f>
        <v/>
      </c>
      <c r="E1446" s="69"/>
      <c r="F1446" s="69"/>
      <c r="G1446" s="69"/>
      <c r="H1446" s="69"/>
      <c r="I1446" s="66"/>
      <c r="J1446" s="69"/>
      <c r="K1446" s="67"/>
      <c r="L1446" s="67"/>
      <c r="M1446" s="67"/>
      <c r="N1446" s="67"/>
      <c r="O1446" s="64"/>
      <c r="P1446" s="72" t="str">
        <f aca="false">IF(OR(B1446="",C1446=""),"",C1446&amp;"|"&amp;(YEAR(B1446)*100+MONTH(B1446)))</f>
        <v/>
      </c>
      <c r="Q1446" s="70" t="str">
        <f aca="false">IF(P1446="","",IF(COUNTIF(N_CLAVE,P1446)&gt;1,"⚠ Duplicado","OK"))</f>
        <v/>
      </c>
      <c r="R1446" s="74" t="str">
        <f aca="false">IF(OR(P1446="",U1446=""),"",MAX(0,U1446-N(E1446)-N(F1446)-N(H1446)))</f>
        <v/>
      </c>
      <c r="S1446" s="75" t="str">
        <f aca="false">IF(P1446="","",IFERROR(INDEX(T_INGRESO,MATCH(C1446,T_ID,0)),""))</f>
        <v/>
      </c>
      <c r="T1446" s="75" t="str">
        <f aca="false">IF(P1446="","",IFERROR(N(INDEX(T_EGRESO,MATCH(C1446,T_ID,0))),0))</f>
        <v/>
      </c>
      <c r="U1446" s="73" t="str">
        <f aca="false">IF(OR(P1446="",NOT(ISNUMBER(S1446))),"",IF(OR(S1446&gt;EOMONTH(B1446,0),AND(T1446&gt;0,T1446&lt;B1446)),0,IF(AND(S1446&lt;=B1446,OR(T1446=0,T1446&gt;=EOMONTH(B1446,0))),30,MIN(30,IF(T1446=0,EOMONTH(B1446,0),MIN(T1446,EOMONTH(B1446,0)))-MAX(B1446,S1446)+1))))</f>
        <v/>
      </c>
    </row>
    <row r="1447" customFormat="false" ht="15" hidden="false" customHeight="false" outlineLevel="0" collapsed="false">
      <c r="B1447" s="78"/>
      <c r="C1447" s="64"/>
      <c r="D1447" s="70" t="str">
        <f aca="false">IF(C1447="","",IFERROR(INDEX(T_NOMBRE,MATCH(C1447,T_ID,0)),"⚠ ID no existe"))</f>
        <v/>
      </c>
      <c r="E1447" s="69"/>
      <c r="F1447" s="69"/>
      <c r="G1447" s="69"/>
      <c r="H1447" s="69"/>
      <c r="I1447" s="66"/>
      <c r="J1447" s="69"/>
      <c r="K1447" s="67"/>
      <c r="L1447" s="67"/>
      <c r="M1447" s="67"/>
      <c r="N1447" s="67"/>
      <c r="O1447" s="64"/>
      <c r="P1447" s="72" t="str">
        <f aca="false">IF(OR(B1447="",C1447=""),"",C1447&amp;"|"&amp;(YEAR(B1447)*100+MONTH(B1447)))</f>
        <v/>
      </c>
      <c r="Q1447" s="70" t="str">
        <f aca="false">IF(P1447="","",IF(COUNTIF(N_CLAVE,P1447)&gt;1,"⚠ Duplicado","OK"))</f>
        <v/>
      </c>
      <c r="R1447" s="74" t="str">
        <f aca="false">IF(OR(P1447="",U1447=""),"",MAX(0,U1447-N(E1447)-N(F1447)-N(H1447)))</f>
        <v/>
      </c>
      <c r="S1447" s="75" t="str">
        <f aca="false">IF(P1447="","",IFERROR(INDEX(T_INGRESO,MATCH(C1447,T_ID,0)),""))</f>
        <v/>
      </c>
      <c r="T1447" s="75" t="str">
        <f aca="false">IF(P1447="","",IFERROR(N(INDEX(T_EGRESO,MATCH(C1447,T_ID,0))),0))</f>
        <v/>
      </c>
      <c r="U1447" s="73" t="str">
        <f aca="false">IF(OR(P1447="",NOT(ISNUMBER(S1447))),"",IF(OR(S1447&gt;EOMONTH(B1447,0),AND(T1447&gt;0,T1447&lt;B1447)),0,IF(AND(S1447&lt;=B1447,OR(T1447=0,T1447&gt;=EOMONTH(B1447,0))),30,MIN(30,IF(T1447=0,EOMONTH(B1447,0),MIN(T1447,EOMONTH(B1447,0)))-MAX(B1447,S1447)+1))))</f>
        <v/>
      </c>
    </row>
    <row r="1448" customFormat="false" ht="15" hidden="false" customHeight="false" outlineLevel="0" collapsed="false">
      <c r="B1448" s="78"/>
      <c r="C1448" s="64"/>
      <c r="D1448" s="70" t="str">
        <f aca="false">IF(C1448="","",IFERROR(INDEX(T_NOMBRE,MATCH(C1448,T_ID,0)),"⚠ ID no existe"))</f>
        <v/>
      </c>
      <c r="E1448" s="69"/>
      <c r="F1448" s="69"/>
      <c r="G1448" s="69"/>
      <c r="H1448" s="69"/>
      <c r="I1448" s="66"/>
      <c r="J1448" s="69"/>
      <c r="K1448" s="67"/>
      <c r="L1448" s="67"/>
      <c r="M1448" s="67"/>
      <c r="N1448" s="67"/>
      <c r="O1448" s="64"/>
      <c r="P1448" s="72" t="str">
        <f aca="false">IF(OR(B1448="",C1448=""),"",C1448&amp;"|"&amp;(YEAR(B1448)*100+MONTH(B1448)))</f>
        <v/>
      </c>
      <c r="Q1448" s="70" t="str">
        <f aca="false">IF(P1448="","",IF(COUNTIF(N_CLAVE,P1448)&gt;1,"⚠ Duplicado","OK"))</f>
        <v/>
      </c>
      <c r="R1448" s="74" t="str">
        <f aca="false">IF(OR(P1448="",U1448=""),"",MAX(0,U1448-N(E1448)-N(F1448)-N(H1448)))</f>
        <v/>
      </c>
      <c r="S1448" s="75" t="str">
        <f aca="false">IF(P1448="","",IFERROR(INDEX(T_INGRESO,MATCH(C1448,T_ID,0)),""))</f>
        <v/>
      </c>
      <c r="T1448" s="75" t="str">
        <f aca="false">IF(P1448="","",IFERROR(N(INDEX(T_EGRESO,MATCH(C1448,T_ID,0))),0))</f>
        <v/>
      </c>
      <c r="U1448" s="73" t="str">
        <f aca="false">IF(OR(P1448="",NOT(ISNUMBER(S1448))),"",IF(OR(S1448&gt;EOMONTH(B1448,0),AND(T1448&gt;0,T1448&lt;B1448)),0,IF(AND(S1448&lt;=B1448,OR(T1448=0,T1448&gt;=EOMONTH(B1448,0))),30,MIN(30,IF(T1448=0,EOMONTH(B1448,0),MIN(T1448,EOMONTH(B1448,0)))-MAX(B1448,S1448)+1))))</f>
        <v/>
      </c>
    </row>
    <row r="1449" customFormat="false" ht="15" hidden="false" customHeight="false" outlineLevel="0" collapsed="false">
      <c r="B1449" s="78"/>
      <c r="C1449" s="64"/>
      <c r="D1449" s="70" t="str">
        <f aca="false">IF(C1449="","",IFERROR(INDEX(T_NOMBRE,MATCH(C1449,T_ID,0)),"⚠ ID no existe"))</f>
        <v/>
      </c>
      <c r="E1449" s="69"/>
      <c r="F1449" s="69"/>
      <c r="G1449" s="69"/>
      <c r="H1449" s="69"/>
      <c r="I1449" s="66"/>
      <c r="J1449" s="69"/>
      <c r="K1449" s="67"/>
      <c r="L1449" s="67"/>
      <c r="M1449" s="67"/>
      <c r="N1449" s="67"/>
      <c r="O1449" s="64"/>
      <c r="P1449" s="72" t="str">
        <f aca="false">IF(OR(B1449="",C1449=""),"",C1449&amp;"|"&amp;(YEAR(B1449)*100+MONTH(B1449)))</f>
        <v/>
      </c>
      <c r="Q1449" s="70" t="str">
        <f aca="false">IF(P1449="","",IF(COUNTIF(N_CLAVE,P1449)&gt;1,"⚠ Duplicado","OK"))</f>
        <v/>
      </c>
      <c r="R1449" s="74" t="str">
        <f aca="false">IF(OR(P1449="",U1449=""),"",MAX(0,U1449-N(E1449)-N(F1449)-N(H1449)))</f>
        <v/>
      </c>
      <c r="S1449" s="75" t="str">
        <f aca="false">IF(P1449="","",IFERROR(INDEX(T_INGRESO,MATCH(C1449,T_ID,0)),""))</f>
        <v/>
      </c>
      <c r="T1449" s="75" t="str">
        <f aca="false">IF(P1449="","",IFERROR(N(INDEX(T_EGRESO,MATCH(C1449,T_ID,0))),0))</f>
        <v/>
      </c>
      <c r="U1449" s="73" t="str">
        <f aca="false">IF(OR(P1449="",NOT(ISNUMBER(S1449))),"",IF(OR(S1449&gt;EOMONTH(B1449,0),AND(T1449&gt;0,T1449&lt;B1449)),0,IF(AND(S1449&lt;=B1449,OR(T1449=0,T1449&gt;=EOMONTH(B1449,0))),30,MIN(30,IF(T1449=0,EOMONTH(B1449,0),MIN(T1449,EOMONTH(B1449,0)))-MAX(B1449,S1449)+1))))</f>
        <v/>
      </c>
    </row>
    <row r="1450" customFormat="false" ht="15" hidden="false" customHeight="false" outlineLevel="0" collapsed="false">
      <c r="B1450" s="78"/>
      <c r="C1450" s="64"/>
      <c r="D1450" s="70" t="str">
        <f aca="false">IF(C1450="","",IFERROR(INDEX(T_NOMBRE,MATCH(C1450,T_ID,0)),"⚠ ID no existe"))</f>
        <v/>
      </c>
      <c r="E1450" s="69"/>
      <c r="F1450" s="69"/>
      <c r="G1450" s="69"/>
      <c r="H1450" s="69"/>
      <c r="I1450" s="66"/>
      <c r="J1450" s="69"/>
      <c r="K1450" s="67"/>
      <c r="L1450" s="67"/>
      <c r="M1450" s="67"/>
      <c r="N1450" s="67"/>
      <c r="O1450" s="64"/>
      <c r="P1450" s="72" t="str">
        <f aca="false">IF(OR(B1450="",C1450=""),"",C1450&amp;"|"&amp;(YEAR(B1450)*100+MONTH(B1450)))</f>
        <v/>
      </c>
      <c r="Q1450" s="70" t="str">
        <f aca="false">IF(P1450="","",IF(COUNTIF(N_CLAVE,P1450)&gt;1,"⚠ Duplicado","OK"))</f>
        <v/>
      </c>
      <c r="R1450" s="74" t="str">
        <f aca="false">IF(OR(P1450="",U1450=""),"",MAX(0,U1450-N(E1450)-N(F1450)-N(H1450)))</f>
        <v/>
      </c>
      <c r="S1450" s="75" t="str">
        <f aca="false">IF(P1450="","",IFERROR(INDEX(T_INGRESO,MATCH(C1450,T_ID,0)),""))</f>
        <v/>
      </c>
      <c r="T1450" s="75" t="str">
        <f aca="false">IF(P1450="","",IFERROR(N(INDEX(T_EGRESO,MATCH(C1450,T_ID,0))),0))</f>
        <v/>
      </c>
      <c r="U1450" s="73" t="str">
        <f aca="false">IF(OR(P1450="",NOT(ISNUMBER(S1450))),"",IF(OR(S1450&gt;EOMONTH(B1450,0),AND(T1450&gt;0,T1450&lt;B1450)),0,IF(AND(S1450&lt;=B1450,OR(T1450=0,T1450&gt;=EOMONTH(B1450,0))),30,MIN(30,IF(T1450=0,EOMONTH(B1450,0),MIN(T1450,EOMONTH(B1450,0)))-MAX(B1450,S1450)+1))))</f>
        <v/>
      </c>
    </row>
    <row r="1451" customFormat="false" ht="15" hidden="false" customHeight="false" outlineLevel="0" collapsed="false">
      <c r="B1451" s="78"/>
      <c r="C1451" s="64"/>
      <c r="D1451" s="70" t="str">
        <f aca="false">IF(C1451="","",IFERROR(INDEX(T_NOMBRE,MATCH(C1451,T_ID,0)),"⚠ ID no existe"))</f>
        <v/>
      </c>
      <c r="E1451" s="69"/>
      <c r="F1451" s="69"/>
      <c r="G1451" s="69"/>
      <c r="H1451" s="69"/>
      <c r="I1451" s="66"/>
      <c r="J1451" s="69"/>
      <c r="K1451" s="67"/>
      <c r="L1451" s="67"/>
      <c r="M1451" s="67"/>
      <c r="N1451" s="67"/>
      <c r="O1451" s="64"/>
      <c r="P1451" s="72" t="str">
        <f aca="false">IF(OR(B1451="",C1451=""),"",C1451&amp;"|"&amp;(YEAR(B1451)*100+MONTH(B1451)))</f>
        <v/>
      </c>
      <c r="Q1451" s="70" t="str">
        <f aca="false">IF(P1451="","",IF(COUNTIF(N_CLAVE,P1451)&gt;1,"⚠ Duplicado","OK"))</f>
        <v/>
      </c>
      <c r="R1451" s="74" t="str">
        <f aca="false">IF(OR(P1451="",U1451=""),"",MAX(0,U1451-N(E1451)-N(F1451)-N(H1451)))</f>
        <v/>
      </c>
      <c r="S1451" s="75" t="str">
        <f aca="false">IF(P1451="","",IFERROR(INDEX(T_INGRESO,MATCH(C1451,T_ID,0)),""))</f>
        <v/>
      </c>
      <c r="T1451" s="75" t="str">
        <f aca="false">IF(P1451="","",IFERROR(N(INDEX(T_EGRESO,MATCH(C1451,T_ID,0))),0))</f>
        <v/>
      </c>
      <c r="U1451" s="73" t="str">
        <f aca="false">IF(OR(P1451="",NOT(ISNUMBER(S1451))),"",IF(OR(S1451&gt;EOMONTH(B1451,0),AND(T1451&gt;0,T1451&lt;B1451)),0,IF(AND(S1451&lt;=B1451,OR(T1451=0,T1451&gt;=EOMONTH(B1451,0))),30,MIN(30,IF(T1451=0,EOMONTH(B1451,0),MIN(T1451,EOMONTH(B1451,0)))-MAX(B1451,S1451)+1))))</f>
        <v/>
      </c>
    </row>
    <row r="1452" customFormat="false" ht="15" hidden="false" customHeight="false" outlineLevel="0" collapsed="false">
      <c r="B1452" s="78"/>
      <c r="C1452" s="64"/>
      <c r="D1452" s="70" t="str">
        <f aca="false">IF(C1452="","",IFERROR(INDEX(T_NOMBRE,MATCH(C1452,T_ID,0)),"⚠ ID no existe"))</f>
        <v/>
      </c>
      <c r="E1452" s="69"/>
      <c r="F1452" s="69"/>
      <c r="G1452" s="69"/>
      <c r="H1452" s="69"/>
      <c r="I1452" s="66"/>
      <c r="J1452" s="69"/>
      <c r="K1452" s="67"/>
      <c r="L1452" s="67"/>
      <c r="M1452" s="67"/>
      <c r="N1452" s="67"/>
      <c r="O1452" s="64"/>
      <c r="P1452" s="72" t="str">
        <f aca="false">IF(OR(B1452="",C1452=""),"",C1452&amp;"|"&amp;(YEAR(B1452)*100+MONTH(B1452)))</f>
        <v/>
      </c>
      <c r="Q1452" s="70" t="str">
        <f aca="false">IF(P1452="","",IF(COUNTIF(N_CLAVE,P1452)&gt;1,"⚠ Duplicado","OK"))</f>
        <v/>
      </c>
      <c r="R1452" s="74" t="str">
        <f aca="false">IF(OR(P1452="",U1452=""),"",MAX(0,U1452-N(E1452)-N(F1452)-N(H1452)))</f>
        <v/>
      </c>
      <c r="S1452" s="75" t="str">
        <f aca="false">IF(P1452="","",IFERROR(INDEX(T_INGRESO,MATCH(C1452,T_ID,0)),""))</f>
        <v/>
      </c>
      <c r="T1452" s="75" t="str">
        <f aca="false">IF(P1452="","",IFERROR(N(INDEX(T_EGRESO,MATCH(C1452,T_ID,0))),0))</f>
        <v/>
      </c>
      <c r="U1452" s="73" t="str">
        <f aca="false">IF(OR(P1452="",NOT(ISNUMBER(S1452))),"",IF(OR(S1452&gt;EOMONTH(B1452,0),AND(T1452&gt;0,T1452&lt;B1452)),0,IF(AND(S1452&lt;=B1452,OR(T1452=0,T1452&gt;=EOMONTH(B1452,0))),30,MIN(30,IF(T1452=0,EOMONTH(B1452,0),MIN(T1452,EOMONTH(B1452,0)))-MAX(B1452,S1452)+1))))</f>
        <v/>
      </c>
    </row>
    <row r="1453" customFormat="false" ht="15" hidden="false" customHeight="false" outlineLevel="0" collapsed="false">
      <c r="B1453" s="78"/>
      <c r="C1453" s="64"/>
      <c r="D1453" s="70" t="str">
        <f aca="false">IF(C1453="","",IFERROR(INDEX(T_NOMBRE,MATCH(C1453,T_ID,0)),"⚠ ID no existe"))</f>
        <v/>
      </c>
      <c r="E1453" s="69"/>
      <c r="F1453" s="69"/>
      <c r="G1453" s="69"/>
      <c r="H1453" s="69"/>
      <c r="I1453" s="66"/>
      <c r="J1453" s="69"/>
      <c r="K1453" s="67"/>
      <c r="L1453" s="67"/>
      <c r="M1453" s="67"/>
      <c r="N1453" s="67"/>
      <c r="O1453" s="64"/>
      <c r="P1453" s="72" t="str">
        <f aca="false">IF(OR(B1453="",C1453=""),"",C1453&amp;"|"&amp;(YEAR(B1453)*100+MONTH(B1453)))</f>
        <v/>
      </c>
      <c r="Q1453" s="70" t="str">
        <f aca="false">IF(P1453="","",IF(COUNTIF(N_CLAVE,P1453)&gt;1,"⚠ Duplicado","OK"))</f>
        <v/>
      </c>
      <c r="R1453" s="74" t="str">
        <f aca="false">IF(OR(P1453="",U1453=""),"",MAX(0,U1453-N(E1453)-N(F1453)-N(H1453)))</f>
        <v/>
      </c>
      <c r="S1453" s="75" t="str">
        <f aca="false">IF(P1453="","",IFERROR(INDEX(T_INGRESO,MATCH(C1453,T_ID,0)),""))</f>
        <v/>
      </c>
      <c r="T1453" s="75" t="str">
        <f aca="false">IF(P1453="","",IFERROR(N(INDEX(T_EGRESO,MATCH(C1453,T_ID,0))),0))</f>
        <v/>
      </c>
      <c r="U1453" s="73" t="str">
        <f aca="false">IF(OR(P1453="",NOT(ISNUMBER(S1453))),"",IF(OR(S1453&gt;EOMONTH(B1453,0),AND(T1453&gt;0,T1453&lt;B1453)),0,IF(AND(S1453&lt;=B1453,OR(T1453=0,T1453&gt;=EOMONTH(B1453,0))),30,MIN(30,IF(T1453=0,EOMONTH(B1453,0),MIN(T1453,EOMONTH(B1453,0)))-MAX(B1453,S1453)+1))))</f>
        <v/>
      </c>
    </row>
    <row r="1454" customFormat="false" ht="15" hidden="false" customHeight="false" outlineLevel="0" collapsed="false">
      <c r="B1454" s="78"/>
      <c r="C1454" s="64"/>
      <c r="D1454" s="70" t="str">
        <f aca="false">IF(C1454="","",IFERROR(INDEX(T_NOMBRE,MATCH(C1454,T_ID,0)),"⚠ ID no existe"))</f>
        <v/>
      </c>
      <c r="E1454" s="69"/>
      <c r="F1454" s="69"/>
      <c r="G1454" s="69"/>
      <c r="H1454" s="69"/>
      <c r="I1454" s="66"/>
      <c r="J1454" s="69"/>
      <c r="K1454" s="67"/>
      <c r="L1454" s="67"/>
      <c r="M1454" s="67"/>
      <c r="N1454" s="67"/>
      <c r="O1454" s="64"/>
      <c r="P1454" s="72" t="str">
        <f aca="false">IF(OR(B1454="",C1454=""),"",C1454&amp;"|"&amp;(YEAR(B1454)*100+MONTH(B1454)))</f>
        <v/>
      </c>
      <c r="Q1454" s="70" t="str">
        <f aca="false">IF(P1454="","",IF(COUNTIF(N_CLAVE,P1454)&gt;1,"⚠ Duplicado","OK"))</f>
        <v/>
      </c>
      <c r="R1454" s="74" t="str">
        <f aca="false">IF(OR(P1454="",U1454=""),"",MAX(0,U1454-N(E1454)-N(F1454)-N(H1454)))</f>
        <v/>
      </c>
      <c r="S1454" s="75" t="str">
        <f aca="false">IF(P1454="","",IFERROR(INDEX(T_INGRESO,MATCH(C1454,T_ID,0)),""))</f>
        <v/>
      </c>
      <c r="T1454" s="75" t="str">
        <f aca="false">IF(P1454="","",IFERROR(N(INDEX(T_EGRESO,MATCH(C1454,T_ID,0))),0))</f>
        <v/>
      </c>
      <c r="U1454" s="73" t="str">
        <f aca="false">IF(OR(P1454="",NOT(ISNUMBER(S1454))),"",IF(OR(S1454&gt;EOMONTH(B1454,0),AND(T1454&gt;0,T1454&lt;B1454)),0,IF(AND(S1454&lt;=B1454,OR(T1454=0,T1454&gt;=EOMONTH(B1454,0))),30,MIN(30,IF(T1454=0,EOMONTH(B1454,0),MIN(T1454,EOMONTH(B1454,0)))-MAX(B1454,S1454)+1))))</f>
        <v/>
      </c>
    </row>
    <row r="1455" customFormat="false" ht="15" hidden="false" customHeight="false" outlineLevel="0" collapsed="false">
      <c r="B1455" s="78"/>
      <c r="C1455" s="64"/>
      <c r="D1455" s="70" t="str">
        <f aca="false">IF(C1455="","",IFERROR(INDEX(T_NOMBRE,MATCH(C1455,T_ID,0)),"⚠ ID no existe"))</f>
        <v/>
      </c>
      <c r="E1455" s="69"/>
      <c r="F1455" s="69"/>
      <c r="G1455" s="69"/>
      <c r="H1455" s="69"/>
      <c r="I1455" s="66"/>
      <c r="J1455" s="69"/>
      <c r="K1455" s="67"/>
      <c r="L1455" s="67"/>
      <c r="M1455" s="67"/>
      <c r="N1455" s="67"/>
      <c r="O1455" s="64"/>
      <c r="P1455" s="72" t="str">
        <f aca="false">IF(OR(B1455="",C1455=""),"",C1455&amp;"|"&amp;(YEAR(B1455)*100+MONTH(B1455)))</f>
        <v/>
      </c>
      <c r="Q1455" s="70" t="str">
        <f aca="false">IF(P1455="","",IF(COUNTIF(N_CLAVE,P1455)&gt;1,"⚠ Duplicado","OK"))</f>
        <v/>
      </c>
      <c r="R1455" s="74" t="str">
        <f aca="false">IF(OR(P1455="",U1455=""),"",MAX(0,U1455-N(E1455)-N(F1455)-N(H1455)))</f>
        <v/>
      </c>
      <c r="S1455" s="75" t="str">
        <f aca="false">IF(P1455="","",IFERROR(INDEX(T_INGRESO,MATCH(C1455,T_ID,0)),""))</f>
        <v/>
      </c>
      <c r="T1455" s="75" t="str">
        <f aca="false">IF(P1455="","",IFERROR(N(INDEX(T_EGRESO,MATCH(C1455,T_ID,0))),0))</f>
        <v/>
      </c>
      <c r="U1455" s="73" t="str">
        <f aca="false">IF(OR(P1455="",NOT(ISNUMBER(S1455))),"",IF(OR(S1455&gt;EOMONTH(B1455,0),AND(T1455&gt;0,T1455&lt;B1455)),0,IF(AND(S1455&lt;=B1455,OR(T1455=0,T1455&gt;=EOMONTH(B1455,0))),30,MIN(30,IF(T1455=0,EOMONTH(B1455,0),MIN(T1455,EOMONTH(B1455,0)))-MAX(B1455,S1455)+1))))</f>
        <v/>
      </c>
    </row>
    <row r="1456" customFormat="false" ht="15" hidden="false" customHeight="false" outlineLevel="0" collapsed="false">
      <c r="B1456" s="78"/>
      <c r="C1456" s="64"/>
      <c r="D1456" s="70" t="str">
        <f aca="false">IF(C1456="","",IFERROR(INDEX(T_NOMBRE,MATCH(C1456,T_ID,0)),"⚠ ID no existe"))</f>
        <v/>
      </c>
      <c r="E1456" s="69"/>
      <c r="F1456" s="69"/>
      <c r="G1456" s="69"/>
      <c r="H1456" s="69"/>
      <c r="I1456" s="66"/>
      <c r="J1456" s="69"/>
      <c r="K1456" s="67"/>
      <c r="L1456" s="67"/>
      <c r="M1456" s="67"/>
      <c r="N1456" s="67"/>
      <c r="O1456" s="64"/>
      <c r="P1456" s="72" t="str">
        <f aca="false">IF(OR(B1456="",C1456=""),"",C1456&amp;"|"&amp;(YEAR(B1456)*100+MONTH(B1456)))</f>
        <v/>
      </c>
      <c r="Q1456" s="70" t="str">
        <f aca="false">IF(P1456="","",IF(COUNTIF(N_CLAVE,P1456)&gt;1,"⚠ Duplicado","OK"))</f>
        <v/>
      </c>
      <c r="R1456" s="74" t="str">
        <f aca="false">IF(OR(P1456="",U1456=""),"",MAX(0,U1456-N(E1456)-N(F1456)-N(H1456)))</f>
        <v/>
      </c>
      <c r="S1456" s="75" t="str">
        <f aca="false">IF(P1456="","",IFERROR(INDEX(T_INGRESO,MATCH(C1456,T_ID,0)),""))</f>
        <v/>
      </c>
      <c r="T1456" s="75" t="str">
        <f aca="false">IF(P1456="","",IFERROR(N(INDEX(T_EGRESO,MATCH(C1456,T_ID,0))),0))</f>
        <v/>
      </c>
      <c r="U1456" s="73" t="str">
        <f aca="false">IF(OR(P1456="",NOT(ISNUMBER(S1456))),"",IF(OR(S1456&gt;EOMONTH(B1456,0),AND(T1456&gt;0,T1456&lt;B1456)),0,IF(AND(S1456&lt;=B1456,OR(T1456=0,T1456&gt;=EOMONTH(B1456,0))),30,MIN(30,IF(T1456=0,EOMONTH(B1456,0),MIN(T1456,EOMONTH(B1456,0)))-MAX(B1456,S1456)+1))))</f>
        <v/>
      </c>
    </row>
    <row r="1457" customFormat="false" ht="15" hidden="false" customHeight="false" outlineLevel="0" collapsed="false">
      <c r="B1457" s="78"/>
      <c r="C1457" s="64"/>
      <c r="D1457" s="70" t="str">
        <f aca="false">IF(C1457="","",IFERROR(INDEX(T_NOMBRE,MATCH(C1457,T_ID,0)),"⚠ ID no existe"))</f>
        <v/>
      </c>
      <c r="E1457" s="69"/>
      <c r="F1457" s="69"/>
      <c r="G1457" s="69"/>
      <c r="H1457" s="69"/>
      <c r="I1457" s="66"/>
      <c r="J1457" s="69"/>
      <c r="K1457" s="67"/>
      <c r="L1457" s="67"/>
      <c r="M1457" s="67"/>
      <c r="N1457" s="67"/>
      <c r="O1457" s="64"/>
      <c r="P1457" s="72" t="str">
        <f aca="false">IF(OR(B1457="",C1457=""),"",C1457&amp;"|"&amp;(YEAR(B1457)*100+MONTH(B1457)))</f>
        <v/>
      </c>
      <c r="Q1457" s="70" t="str">
        <f aca="false">IF(P1457="","",IF(COUNTIF(N_CLAVE,P1457)&gt;1,"⚠ Duplicado","OK"))</f>
        <v/>
      </c>
      <c r="R1457" s="74" t="str">
        <f aca="false">IF(OR(P1457="",U1457=""),"",MAX(0,U1457-N(E1457)-N(F1457)-N(H1457)))</f>
        <v/>
      </c>
      <c r="S1457" s="75" t="str">
        <f aca="false">IF(P1457="","",IFERROR(INDEX(T_INGRESO,MATCH(C1457,T_ID,0)),""))</f>
        <v/>
      </c>
      <c r="T1457" s="75" t="str">
        <f aca="false">IF(P1457="","",IFERROR(N(INDEX(T_EGRESO,MATCH(C1457,T_ID,0))),0))</f>
        <v/>
      </c>
      <c r="U1457" s="73" t="str">
        <f aca="false">IF(OR(P1457="",NOT(ISNUMBER(S1457))),"",IF(OR(S1457&gt;EOMONTH(B1457,0),AND(T1457&gt;0,T1457&lt;B1457)),0,IF(AND(S1457&lt;=B1457,OR(T1457=0,T1457&gt;=EOMONTH(B1457,0))),30,MIN(30,IF(T1457=0,EOMONTH(B1457,0),MIN(T1457,EOMONTH(B1457,0)))-MAX(B1457,S1457)+1))))</f>
        <v/>
      </c>
    </row>
    <row r="1458" customFormat="false" ht="15" hidden="false" customHeight="false" outlineLevel="0" collapsed="false">
      <c r="B1458" s="78"/>
      <c r="C1458" s="64"/>
      <c r="D1458" s="70" t="str">
        <f aca="false">IF(C1458="","",IFERROR(INDEX(T_NOMBRE,MATCH(C1458,T_ID,0)),"⚠ ID no existe"))</f>
        <v/>
      </c>
      <c r="E1458" s="69"/>
      <c r="F1458" s="69"/>
      <c r="G1458" s="69"/>
      <c r="H1458" s="69"/>
      <c r="I1458" s="66"/>
      <c r="J1458" s="69"/>
      <c r="K1458" s="67"/>
      <c r="L1458" s="67"/>
      <c r="M1458" s="67"/>
      <c r="N1458" s="67"/>
      <c r="O1458" s="64"/>
      <c r="P1458" s="72" t="str">
        <f aca="false">IF(OR(B1458="",C1458=""),"",C1458&amp;"|"&amp;(YEAR(B1458)*100+MONTH(B1458)))</f>
        <v/>
      </c>
      <c r="Q1458" s="70" t="str">
        <f aca="false">IF(P1458="","",IF(COUNTIF(N_CLAVE,P1458)&gt;1,"⚠ Duplicado","OK"))</f>
        <v/>
      </c>
      <c r="R1458" s="74" t="str">
        <f aca="false">IF(OR(P1458="",U1458=""),"",MAX(0,U1458-N(E1458)-N(F1458)-N(H1458)))</f>
        <v/>
      </c>
      <c r="S1458" s="75" t="str">
        <f aca="false">IF(P1458="","",IFERROR(INDEX(T_INGRESO,MATCH(C1458,T_ID,0)),""))</f>
        <v/>
      </c>
      <c r="T1458" s="75" t="str">
        <f aca="false">IF(P1458="","",IFERROR(N(INDEX(T_EGRESO,MATCH(C1458,T_ID,0))),0))</f>
        <v/>
      </c>
      <c r="U1458" s="73" t="str">
        <f aca="false">IF(OR(P1458="",NOT(ISNUMBER(S1458))),"",IF(OR(S1458&gt;EOMONTH(B1458,0),AND(T1458&gt;0,T1458&lt;B1458)),0,IF(AND(S1458&lt;=B1458,OR(T1458=0,T1458&gt;=EOMONTH(B1458,0))),30,MIN(30,IF(T1458=0,EOMONTH(B1458,0),MIN(T1458,EOMONTH(B1458,0)))-MAX(B1458,S1458)+1))))</f>
        <v/>
      </c>
    </row>
    <row r="1459" customFormat="false" ht="15" hidden="false" customHeight="false" outlineLevel="0" collapsed="false">
      <c r="B1459" s="78"/>
      <c r="C1459" s="64"/>
      <c r="D1459" s="70" t="str">
        <f aca="false">IF(C1459="","",IFERROR(INDEX(T_NOMBRE,MATCH(C1459,T_ID,0)),"⚠ ID no existe"))</f>
        <v/>
      </c>
      <c r="E1459" s="69"/>
      <c r="F1459" s="69"/>
      <c r="G1459" s="69"/>
      <c r="H1459" s="69"/>
      <c r="I1459" s="66"/>
      <c r="J1459" s="69"/>
      <c r="K1459" s="67"/>
      <c r="L1459" s="67"/>
      <c r="M1459" s="67"/>
      <c r="N1459" s="67"/>
      <c r="O1459" s="64"/>
      <c r="P1459" s="72" t="str">
        <f aca="false">IF(OR(B1459="",C1459=""),"",C1459&amp;"|"&amp;(YEAR(B1459)*100+MONTH(B1459)))</f>
        <v/>
      </c>
      <c r="Q1459" s="70" t="str">
        <f aca="false">IF(P1459="","",IF(COUNTIF(N_CLAVE,P1459)&gt;1,"⚠ Duplicado","OK"))</f>
        <v/>
      </c>
      <c r="R1459" s="74" t="str">
        <f aca="false">IF(OR(P1459="",U1459=""),"",MAX(0,U1459-N(E1459)-N(F1459)-N(H1459)))</f>
        <v/>
      </c>
      <c r="S1459" s="75" t="str">
        <f aca="false">IF(P1459="","",IFERROR(INDEX(T_INGRESO,MATCH(C1459,T_ID,0)),""))</f>
        <v/>
      </c>
      <c r="T1459" s="75" t="str">
        <f aca="false">IF(P1459="","",IFERROR(N(INDEX(T_EGRESO,MATCH(C1459,T_ID,0))),0))</f>
        <v/>
      </c>
      <c r="U1459" s="73" t="str">
        <f aca="false">IF(OR(P1459="",NOT(ISNUMBER(S1459))),"",IF(OR(S1459&gt;EOMONTH(B1459,0),AND(T1459&gt;0,T1459&lt;B1459)),0,IF(AND(S1459&lt;=B1459,OR(T1459=0,T1459&gt;=EOMONTH(B1459,0))),30,MIN(30,IF(T1459=0,EOMONTH(B1459,0),MIN(T1459,EOMONTH(B1459,0)))-MAX(B1459,S1459)+1))))</f>
        <v/>
      </c>
    </row>
    <row r="1460" customFormat="false" ht="15" hidden="false" customHeight="false" outlineLevel="0" collapsed="false">
      <c r="B1460" s="78"/>
      <c r="C1460" s="64"/>
      <c r="D1460" s="70" t="str">
        <f aca="false">IF(C1460="","",IFERROR(INDEX(T_NOMBRE,MATCH(C1460,T_ID,0)),"⚠ ID no existe"))</f>
        <v/>
      </c>
      <c r="E1460" s="69"/>
      <c r="F1460" s="69"/>
      <c r="G1460" s="69"/>
      <c r="H1460" s="69"/>
      <c r="I1460" s="66"/>
      <c r="J1460" s="69"/>
      <c r="K1460" s="67"/>
      <c r="L1460" s="67"/>
      <c r="M1460" s="67"/>
      <c r="N1460" s="67"/>
      <c r="O1460" s="64"/>
      <c r="P1460" s="72" t="str">
        <f aca="false">IF(OR(B1460="",C1460=""),"",C1460&amp;"|"&amp;(YEAR(B1460)*100+MONTH(B1460)))</f>
        <v/>
      </c>
      <c r="Q1460" s="70" t="str">
        <f aca="false">IF(P1460="","",IF(COUNTIF(N_CLAVE,P1460)&gt;1,"⚠ Duplicado","OK"))</f>
        <v/>
      </c>
      <c r="R1460" s="74" t="str">
        <f aca="false">IF(OR(P1460="",U1460=""),"",MAX(0,U1460-N(E1460)-N(F1460)-N(H1460)))</f>
        <v/>
      </c>
      <c r="S1460" s="75" t="str">
        <f aca="false">IF(P1460="","",IFERROR(INDEX(T_INGRESO,MATCH(C1460,T_ID,0)),""))</f>
        <v/>
      </c>
      <c r="T1460" s="75" t="str">
        <f aca="false">IF(P1460="","",IFERROR(N(INDEX(T_EGRESO,MATCH(C1460,T_ID,0))),0))</f>
        <v/>
      </c>
      <c r="U1460" s="73" t="str">
        <f aca="false">IF(OR(P1460="",NOT(ISNUMBER(S1460))),"",IF(OR(S1460&gt;EOMONTH(B1460,0),AND(T1460&gt;0,T1460&lt;B1460)),0,IF(AND(S1460&lt;=B1460,OR(T1460=0,T1460&gt;=EOMONTH(B1460,0))),30,MIN(30,IF(T1460=0,EOMONTH(B1460,0),MIN(T1460,EOMONTH(B1460,0)))-MAX(B1460,S1460)+1))))</f>
        <v/>
      </c>
    </row>
    <row r="1461" customFormat="false" ht="15" hidden="false" customHeight="false" outlineLevel="0" collapsed="false">
      <c r="B1461" s="78"/>
      <c r="C1461" s="64"/>
      <c r="D1461" s="70" t="str">
        <f aca="false">IF(C1461="","",IFERROR(INDEX(T_NOMBRE,MATCH(C1461,T_ID,0)),"⚠ ID no existe"))</f>
        <v/>
      </c>
      <c r="E1461" s="69"/>
      <c r="F1461" s="69"/>
      <c r="G1461" s="69"/>
      <c r="H1461" s="69"/>
      <c r="I1461" s="66"/>
      <c r="J1461" s="69"/>
      <c r="K1461" s="67"/>
      <c r="L1461" s="67"/>
      <c r="M1461" s="67"/>
      <c r="N1461" s="67"/>
      <c r="O1461" s="64"/>
      <c r="P1461" s="72" t="str">
        <f aca="false">IF(OR(B1461="",C1461=""),"",C1461&amp;"|"&amp;(YEAR(B1461)*100+MONTH(B1461)))</f>
        <v/>
      </c>
      <c r="Q1461" s="70" t="str">
        <f aca="false">IF(P1461="","",IF(COUNTIF(N_CLAVE,P1461)&gt;1,"⚠ Duplicado","OK"))</f>
        <v/>
      </c>
      <c r="R1461" s="74" t="str">
        <f aca="false">IF(OR(P1461="",U1461=""),"",MAX(0,U1461-N(E1461)-N(F1461)-N(H1461)))</f>
        <v/>
      </c>
      <c r="S1461" s="75" t="str">
        <f aca="false">IF(P1461="","",IFERROR(INDEX(T_INGRESO,MATCH(C1461,T_ID,0)),""))</f>
        <v/>
      </c>
      <c r="T1461" s="75" t="str">
        <f aca="false">IF(P1461="","",IFERROR(N(INDEX(T_EGRESO,MATCH(C1461,T_ID,0))),0))</f>
        <v/>
      </c>
      <c r="U1461" s="73" t="str">
        <f aca="false">IF(OR(P1461="",NOT(ISNUMBER(S1461))),"",IF(OR(S1461&gt;EOMONTH(B1461,0),AND(T1461&gt;0,T1461&lt;B1461)),0,IF(AND(S1461&lt;=B1461,OR(T1461=0,T1461&gt;=EOMONTH(B1461,0))),30,MIN(30,IF(T1461=0,EOMONTH(B1461,0),MIN(T1461,EOMONTH(B1461,0)))-MAX(B1461,S1461)+1))))</f>
        <v/>
      </c>
    </row>
    <row r="1462" customFormat="false" ht="15" hidden="false" customHeight="false" outlineLevel="0" collapsed="false">
      <c r="B1462" s="78"/>
      <c r="C1462" s="64"/>
      <c r="D1462" s="70" t="str">
        <f aca="false">IF(C1462="","",IFERROR(INDEX(T_NOMBRE,MATCH(C1462,T_ID,0)),"⚠ ID no existe"))</f>
        <v/>
      </c>
      <c r="E1462" s="69"/>
      <c r="F1462" s="69"/>
      <c r="G1462" s="69"/>
      <c r="H1462" s="69"/>
      <c r="I1462" s="66"/>
      <c r="J1462" s="69"/>
      <c r="K1462" s="67"/>
      <c r="L1462" s="67"/>
      <c r="M1462" s="67"/>
      <c r="N1462" s="67"/>
      <c r="O1462" s="64"/>
      <c r="P1462" s="72" t="str">
        <f aca="false">IF(OR(B1462="",C1462=""),"",C1462&amp;"|"&amp;(YEAR(B1462)*100+MONTH(B1462)))</f>
        <v/>
      </c>
      <c r="Q1462" s="70" t="str">
        <f aca="false">IF(P1462="","",IF(COUNTIF(N_CLAVE,P1462)&gt;1,"⚠ Duplicado","OK"))</f>
        <v/>
      </c>
      <c r="R1462" s="74" t="str">
        <f aca="false">IF(OR(P1462="",U1462=""),"",MAX(0,U1462-N(E1462)-N(F1462)-N(H1462)))</f>
        <v/>
      </c>
      <c r="S1462" s="75" t="str">
        <f aca="false">IF(P1462="","",IFERROR(INDEX(T_INGRESO,MATCH(C1462,T_ID,0)),""))</f>
        <v/>
      </c>
      <c r="T1462" s="75" t="str">
        <f aca="false">IF(P1462="","",IFERROR(N(INDEX(T_EGRESO,MATCH(C1462,T_ID,0))),0))</f>
        <v/>
      </c>
      <c r="U1462" s="73" t="str">
        <f aca="false">IF(OR(P1462="",NOT(ISNUMBER(S1462))),"",IF(OR(S1462&gt;EOMONTH(B1462,0),AND(T1462&gt;0,T1462&lt;B1462)),0,IF(AND(S1462&lt;=B1462,OR(T1462=0,T1462&gt;=EOMONTH(B1462,0))),30,MIN(30,IF(T1462=0,EOMONTH(B1462,0),MIN(T1462,EOMONTH(B1462,0)))-MAX(B1462,S1462)+1))))</f>
        <v/>
      </c>
    </row>
    <row r="1463" customFormat="false" ht="15" hidden="false" customHeight="false" outlineLevel="0" collapsed="false">
      <c r="B1463" s="78"/>
      <c r="C1463" s="64"/>
      <c r="D1463" s="70" t="str">
        <f aca="false">IF(C1463="","",IFERROR(INDEX(T_NOMBRE,MATCH(C1463,T_ID,0)),"⚠ ID no existe"))</f>
        <v/>
      </c>
      <c r="E1463" s="69"/>
      <c r="F1463" s="69"/>
      <c r="G1463" s="69"/>
      <c r="H1463" s="69"/>
      <c r="I1463" s="66"/>
      <c r="J1463" s="69"/>
      <c r="K1463" s="67"/>
      <c r="L1463" s="67"/>
      <c r="M1463" s="67"/>
      <c r="N1463" s="67"/>
      <c r="O1463" s="64"/>
      <c r="P1463" s="72" t="str">
        <f aca="false">IF(OR(B1463="",C1463=""),"",C1463&amp;"|"&amp;(YEAR(B1463)*100+MONTH(B1463)))</f>
        <v/>
      </c>
      <c r="Q1463" s="70" t="str">
        <f aca="false">IF(P1463="","",IF(COUNTIF(N_CLAVE,P1463)&gt;1,"⚠ Duplicado","OK"))</f>
        <v/>
      </c>
      <c r="R1463" s="74" t="str">
        <f aca="false">IF(OR(P1463="",U1463=""),"",MAX(0,U1463-N(E1463)-N(F1463)-N(H1463)))</f>
        <v/>
      </c>
      <c r="S1463" s="75" t="str">
        <f aca="false">IF(P1463="","",IFERROR(INDEX(T_INGRESO,MATCH(C1463,T_ID,0)),""))</f>
        <v/>
      </c>
      <c r="T1463" s="75" t="str">
        <f aca="false">IF(P1463="","",IFERROR(N(INDEX(T_EGRESO,MATCH(C1463,T_ID,0))),0))</f>
        <v/>
      </c>
      <c r="U1463" s="73" t="str">
        <f aca="false">IF(OR(P1463="",NOT(ISNUMBER(S1463))),"",IF(OR(S1463&gt;EOMONTH(B1463,0),AND(T1463&gt;0,T1463&lt;B1463)),0,IF(AND(S1463&lt;=B1463,OR(T1463=0,T1463&gt;=EOMONTH(B1463,0))),30,MIN(30,IF(T1463=0,EOMONTH(B1463,0),MIN(T1463,EOMONTH(B1463,0)))-MAX(B1463,S1463)+1))))</f>
        <v/>
      </c>
    </row>
    <row r="1464" customFormat="false" ht="15" hidden="false" customHeight="false" outlineLevel="0" collapsed="false">
      <c r="B1464" s="78"/>
      <c r="C1464" s="64"/>
      <c r="D1464" s="70" t="str">
        <f aca="false">IF(C1464="","",IFERROR(INDEX(T_NOMBRE,MATCH(C1464,T_ID,0)),"⚠ ID no existe"))</f>
        <v/>
      </c>
      <c r="E1464" s="69"/>
      <c r="F1464" s="69"/>
      <c r="G1464" s="69"/>
      <c r="H1464" s="69"/>
      <c r="I1464" s="66"/>
      <c r="J1464" s="69"/>
      <c r="K1464" s="67"/>
      <c r="L1464" s="67"/>
      <c r="M1464" s="67"/>
      <c r="N1464" s="67"/>
      <c r="O1464" s="64"/>
      <c r="P1464" s="72" t="str">
        <f aca="false">IF(OR(B1464="",C1464=""),"",C1464&amp;"|"&amp;(YEAR(B1464)*100+MONTH(B1464)))</f>
        <v/>
      </c>
      <c r="Q1464" s="70" t="str">
        <f aca="false">IF(P1464="","",IF(COUNTIF(N_CLAVE,P1464)&gt;1,"⚠ Duplicado","OK"))</f>
        <v/>
      </c>
      <c r="R1464" s="74" t="str">
        <f aca="false">IF(OR(P1464="",U1464=""),"",MAX(0,U1464-N(E1464)-N(F1464)-N(H1464)))</f>
        <v/>
      </c>
      <c r="S1464" s="75" t="str">
        <f aca="false">IF(P1464="","",IFERROR(INDEX(T_INGRESO,MATCH(C1464,T_ID,0)),""))</f>
        <v/>
      </c>
      <c r="T1464" s="75" t="str">
        <f aca="false">IF(P1464="","",IFERROR(N(INDEX(T_EGRESO,MATCH(C1464,T_ID,0))),0))</f>
        <v/>
      </c>
      <c r="U1464" s="73" t="str">
        <f aca="false">IF(OR(P1464="",NOT(ISNUMBER(S1464))),"",IF(OR(S1464&gt;EOMONTH(B1464,0),AND(T1464&gt;0,T1464&lt;B1464)),0,IF(AND(S1464&lt;=B1464,OR(T1464=0,T1464&gt;=EOMONTH(B1464,0))),30,MIN(30,IF(T1464=0,EOMONTH(B1464,0),MIN(T1464,EOMONTH(B1464,0)))-MAX(B1464,S1464)+1))))</f>
        <v/>
      </c>
    </row>
    <row r="1465" customFormat="false" ht="15" hidden="false" customHeight="false" outlineLevel="0" collapsed="false">
      <c r="B1465" s="78"/>
      <c r="C1465" s="64"/>
      <c r="D1465" s="70" t="str">
        <f aca="false">IF(C1465="","",IFERROR(INDEX(T_NOMBRE,MATCH(C1465,T_ID,0)),"⚠ ID no existe"))</f>
        <v/>
      </c>
      <c r="E1465" s="69"/>
      <c r="F1465" s="69"/>
      <c r="G1465" s="69"/>
      <c r="H1465" s="69"/>
      <c r="I1465" s="66"/>
      <c r="J1465" s="69"/>
      <c r="K1465" s="67"/>
      <c r="L1465" s="67"/>
      <c r="M1465" s="67"/>
      <c r="N1465" s="67"/>
      <c r="O1465" s="64"/>
      <c r="P1465" s="72" t="str">
        <f aca="false">IF(OR(B1465="",C1465=""),"",C1465&amp;"|"&amp;(YEAR(B1465)*100+MONTH(B1465)))</f>
        <v/>
      </c>
      <c r="Q1465" s="70" t="str">
        <f aca="false">IF(P1465="","",IF(COUNTIF(N_CLAVE,P1465)&gt;1,"⚠ Duplicado","OK"))</f>
        <v/>
      </c>
      <c r="R1465" s="74" t="str">
        <f aca="false">IF(OR(P1465="",U1465=""),"",MAX(0,U1465-N(E1465)-N(F1465)-N(H1465)))</f>
        <v/>
      </c>
      <c r="S1465" s="75" t="str">
        <f aca="false">IF(P1465="","",IFERROR(INDEX(T_INGRESO,MATCH(C1465,T_ID,0)),""))</f>
        <v/>
      </c>
      <c r="T1465" s="75" t="str">
        <f aca="false">IF(P1465="","",IFERROR(N(INDEX(T_EGRESO,MATCH(C1465,T_ID,0))),0))</f>
        <v/>
      </c>
      <c r="U1465" s="73" t="str">
        <f aca="false">IF(OR(P1465="",NOT(ISNUMBER(S1465))),"",IF(OR(S1465&gt;EOMONTH(B1465,0),AND(T1465&gt;0,T1465&lt;B1465)),0,IF(AND(S1465&lt;=B1465,OR(T1465=0,T1465&gt;=EOMONTH(B1465,0))),30,MIN(30,IF(T1465=0,EOMONTH(B1465,0),MIN(T1465,EOMONTH(B1465,0)))-MAX(B1465,S1465)+1))))</f>
        <v/>
      </c>
    </row>
    <row r="1466" customFormat="false" ht="15" hidden="false" customHeight="false" outlineLevel="0" collapsed="false">
      <c r="B1466" s="78"/>
      <c r="C1466" s="64"/>
      <c r="D1466" s="70" t="str">
        <f aca="false">IF(C1466="","",IFERROR(INDEX(T_NOMBRE,MATCH(C1466,T_ID,0)),"⚠ ID no existe"))</f>
        <v/>
      </c>
      <c r="E1466" s="69"/>
      <c r="F1466" s="69"/>
      <c r="G1466" s="69"/>
      <c r="H1466" s="69"/>
      <c r="I1466" s="66"/>
      <c r="J1466" s="69"/>
      <c r="K1466" s="67"/>
      <c r="L1466" s="67"/>
      <c r="M1466" s="67"/>
      <c r="N1466" s="67"/>
      <c r="O1466" s="64"/>
      <c r="P1466" s="72" t="str">
        <f aca="false">IF(OR(B1466="",C1466=""),"",C1466&amp;"|"&amp;(YEAR(B1466)*100+MONTH(B1466)))</f>
        <v/>
      </c>
      <c r="Q1466" s="70" t="str">
        <f aca="false">IF(P1466="","",IF(COUNTIF(N_CLAVE,P1466)&gt;1,"⚠ Duplicado","OK"))</f>
        <v/>
      </c>
      <c r="R1466" s="74" t="str">
        <f aca="false">IF(OR(P1466="",U1466=""),"",MAX(0,U1466-N(E1466)-N(F1466)-N(H1466)))</f>
        <v/>
      </c>
      <c r="S1466" s="75" t="str">
        <f aca="false">IF(P1466="","",IFERROR(INDEX(T_INGRESO,MATCH(C1466,T_ID,0)),""))</f>
        <v/>
      </c>
      <c r="T1466" s="75" t="str">
        <f aca="false">IF(P1466="","",IFERROR(N(INDEX(T_EGRESO,MATCH(C1466,T_ID,0))),0))</f>
        <v/>
      </c>
      <c r="U1466" s="73" t="str">
        <f aca="false">IF(OR(P1466="",NOT(ISNUMBER(S1466))),"",IF(OR(S1466&gt;EOMONTH(B1466,0),AND(T1466&gt;0,T1466&lt;B1466)),0,IF(AND(S1466&lt;=B1466,OR(T1466=0,T1466&gt;=EOMONTH(B1466,0))),30,MIN(30,IF(T1466=0,EOMONTH(B1466,0),MIN(T1466,EOMONTH(B1466,0)))-MAX(B1466,S1466)+1))))</f>
        <v/>
      </c>
    </row>
    <row r="1467" customFormat="false" ht="15" hidden="false" customHeight="false" outlineLevel="0" collapsed="false">
      <c r="B1467" s="78"/>
      <c r="C1467" s="64"/>
      <c r="D1467" s="70" t="str">
        <f aca="false">IF(C1467="","",IFERROR(INDEX(T_NOMBRE,MATCH(C1467,T_ID,0)),"⚠ ID no existe"))</f>
        <v/>
      </c>
      <c r="E1467" s="69"/>
      <c r="F1467" s="69"/>
      <c r="G1467" s="69"/>
      <c r="H1467" s="69"/>
      <c r="I1467" s="66"/>
      <c r="J1467" s="69"/>
      <c r="K1467" s="67"/>
      <c r="L1467" s="67"/>
      <c r="M1467" s="67"/>
      <c r="N1467" s="67"/>
      <c r="O1467" s="64"/>
      <c r="P1467" s="72" t="str">
        <f aca="false">IF(OR(B1467="",C1467=""),"",C1467&amp;"|"&amp;(YEAR(B1467)*100+MONTH(B1467)))</f>
        <v/>
      </c>
      <c r="Q1467" s="70" t="str">
        <f aca="false">IF(P1467="","",IF(COUNTIF(N_CLAVE,P1467)&gt;1,"⚠ Duplicado","OK"))</f>
        <v/>
      </c>
      <c r="R1467" s="74" t="str">
        <f aca="false">IF(OR(P1467="",U1467=""),"",MAX(0,U1467-N(E1467)-N(F1467)-N(H1467)))</f>
        <v/>
      </c>
      <c r="S1467" s="75" t="str">
        <f aca="false">IF(P1467="","",IFERROR(INDEX(T_INGRESO,MATCH(C1467,T_ID,0)),""))</f>
        <v/>
      </c>
      <c r="T1467" s="75" t="str">
        <f aca="false">IF(P1467="","",IFERROR(N(INDEX(T_EGRESO,MATCH(C1467,T_ID,0))),0))</f>
        <v/>
      </c>
      <c r="U1467" s="73" t="str">
        <f aca="false">IF(OR(P1467="",NOT(ISNUMBER(S1467))),"",IF(OR(S1467&gt;EOMONTH(B1467,0),AND(T1467&gt;0,T1467&lt;B1467)),0,IF(AND(S1467&lt;=B1467,OR(T1467=0,T1467&gt;=EOMONTH(B1467,0))),30,MIN(30,IF(T1467=0,EOMONTH(B1467,0),MIN(T1467,EOMONTH(B1467,0)))-MAX(B1467,S1467)+1))))</f>
        <v/>
      </c>
    </row>
    <row r="1468" customFormat="false" ht="15" hidden="false" customHeight="false" outlineLevel="0" collapsed="false">
      <c r="B1468" s="78"/>
      <c r="C1468" s="64"/>
      <c r="D1468" s="70" t="str">
        <f aca="false">IF(C1468="","",IFERROR(INDEX(T_NOMBRE,MATCH(C1468,T_ID,0)),"⚠ ID no existe"))</f>
        <v/>
      </c>
      <c r="E1468" s="69"/>
      <c r="F1468" s="69"/>
      <c r="G1468" s="69"/>
      <c r="H1468" s="69"/>
      <c r="I1468" s="66"/>
      <c r="J1468" s="69"/>
      <c r="K1468" s="67"/>
      <c r="L1468" s="67"/>
      <c r="M1468" s="67"/>
      <c r="N1468" s="67"/>
      <c r="O1468" s="64"/>
      <c r="P1468" s="72" t="str">
        <f aca="false">IF(OR(B1468="",C1468=""),"",C1468&amp;"|"&amp;(YEAR(B1468)*100+MONTH(B1468)))</f>
        <v/>
      </c>
      <c r="Q1468" s="70" t="str">
        <f aca="false">IF(P1468="","",IF(COUNTIF(N_CLAVE,P1468)&gt;1,"⚠ Duplicado","OK"))</f>
        <v/>
      </c>
      <c r="R1468" s="74" t="str">
        <f aca="false">IF(OR(P1468="",U1468=""),"",MAX(0,U1468-N(E1468)-N(F1468)-N(H1468)))</f>
        <v/>
      </c>
      <c r="S1468" s="75" t="str">
        <f aca="false">IF(P1468="","",IFERROR(INDEX(T_INGRESO,MATCH(C1468,T_ID,0)),""))</f>
        <v/>
      </c>
      <c r="T1468" s="75" t="str">
        <f aca="false">IF(P1468="","",IFERROR(N(INDEX(T_EGRESO,MATCH(C1468,T_ID,0))),0))</f>
        <v/>
      </c>
      <c r="U1468" s="73" t="str">
        <f aca="false">IF(OR(P1468="",NOT(ISNUMBER(S1468))),"",IF(OR(S1468&gt;EOMONTH(B1468,0),AND(T1468&gt;0,T1468&lt;B1468)),0,IF(AND(S1468&lt;=B1468,OR(T1468=0,T1468&gt;=EOMONTH(B1468,0))),30,MIN(30,IF(T1468=0,EOMONTH(B1468,0),MIN(T1468,EOMONTH(B1468,0)))-MAX(B1468,S1468)+1))))</f>
        <v/>
      </c>
    </row>
    <row r="1469" customFormat="false" ht="15" hidden="false" customHeight="false" outlineLevel="0" collapsed="false">
      <c r="B1469" s="78"/>
      <c r="C1469" s="64"/>
      <c r="D1469" s="70" t="str">
        <f aca="false">IF(C1469="","",IFERROR(INDEX(T_NOMBRE,MATCH(C1469,T_ID,0)),"⚠ ID no existe"))</f>
        <v/>
      </c>
      <c r="E1469" s="69"/>
      <c r="F1469" s="69"/>
      <c r="G1469" s="69"/>
      <c r="H1469" s="69"/>
      <c r="I1469" s="66"/>
      <c r="J1469" s="69"/>
      <c r="K1469" s="67"/>
      <c r="L1469" s="67"/>
      <c r="M1469" s="67"/>
      <c r="N1469" s="67"/>
      <c r="O1469" s="64"/>
      <c r="P1469" s="72" t="str">
        <f aca="false">IF(OR(B1469="",C1469=""),"",C1469&amp;"|"&amp;(YEAR(B1469)*100+MONTH(B1469)))</f>
        <v/>
      </c>
      <c r="Q1469" s="70" t="str">
        <f aca="false">IF(P1469="","",IF(COUNTIF(N_CLAVE,P1469)&gt;1,"⚠ Duplicado","OK"))</f>
        <v/>
      </c>
      <c r="R1469" s="74" t="str">
        <f aca="false">IF(OR(P1469="",U1469=""),"",MAX(0,U1469-N(E1469)-N(F1469)-N(H1469)))</f>
        <v/>
      </c>
      <c r="S1469" s="75" t="str">
        <f aca="false">IF(P1469="","",IFERROR(INDEX(T_INGRESO,MATCH(C1469,T_ID,0)),""))</f>
        <v/>
      </c>
      <c r="T1469" s="75" t="str">
        <f aca="false">IF(P1469="","",IFERROR(N(INDEX(T_EGRESO,MATCH(C1469,T_ID,0))),0))</f>
        <v/>
      </c>
      <c r="U1469" s="73" t="str">
        <f aca="false">IF(OR(P1469="",NOT(ISNUMBER(S1469))),"",IF(OR(S1469&gt;EOMONTH(B1469,0),AND(T1469&gt;0,T1469&lt;B1469)),0,IF(AND(S1469&lt;=B1469,OR(T1469=0,T1469&gt;=EOMONTH(B1469,0))),30,MIN(30,IF(T1469=0,EOMONTH(B1469,0),MIN(T1469,EOMONTH(B1469,0)))-MAX(B1469,S1469)+1))))</f>
        <v/>
      </c>
    </row>
    <row r="1470" customFormat="false" ht="15" hidden="false" customHeight="false" outlineLevel="0" collapsed="false">
      <c r="B1470" s="78"/>
      <c r="C1470" s="64"/>
      <c r="D1470" s="70" t="str">
        <f aca="false">IF(C1470="","",IFERROR(INDEX(T_NOMBRE,MATCH(C1470,T_ID,0)),"⚠ ID no existe"))</f>
        <v/>
      </c>
      <c r="E1470" s="69"/>
      <c r="F1470" s="69"/>
      <c r="G1470" s="69"/>
      <c r="H1470" s="69"/>
      <c r="I1470" s="66"/>
      <c r="J1470" s="69"/>
      <c r="K1470" s="67"/>
      <c r="L1470" s="67"/>
      <c r="M1470" s="67"/>
      <c r="N1470" s="67"/>
      <c r="O1470" s="64"/>
      <c r="P1470" s="72" t="str">
        <f aca="false">IF(OR(B1470="",C1470=""),"",C1470&amp;"|"&amp;(YEAR(B1470)*100+MONTH(B1470)))</f>
        <v/>
      </c>
      <c r="Q1470" s="70" t="str">
        <f aca="false">IF(P1470="","",IF(COUNTIF(N_CLAVE,P1470)&gt;1,"⚠ Duplicado","OK"))</f>
        <v/>
      </c>
      <c r="R1470" s="74" t="str">
        <f aca="false">IF(OR(P1470="",U1470=""),"",MAX(0,U1470-N(E1470)-N(F1470)-N(H1470)))</f>
        <v/>
      </c>
      <c r="S1470" s="75" t="str">
        <f aca="false">IF(P1470="","",IFERROR(INDEX(T_INGRESO,MATCH(C1470,T_ID,0)),""))</f>
        <v/>
      </c>
      <c r="T1470" s="75" t="str">
        <f aca="false">IF(P1470="","",IFERROR(N(INDEX(T_EGRESO,MATCH(C1470,T_ID,0))),0))</f>
        <v/>
      </c>
      <c r="U1470" s="73" t="str">
        <f aca="false">IF(OR(P1470="",NOT(ISNUMBER(S1470))),"",IF(OR(S1470&gt;EOMONTH(B1470,0),AND(T1470&gt;0,T1470&lt;B1470)),0,IF(AND(S1470&lt;=B1470,OR(T1470=0,T1470&gt;=EOMONTH(B1470,0))),30,MIN(30,IF(T1470=0,EOMONTH(B1470,0),MIN(T1470,EOMONTH(B1470,0)))-MAX(B1470,S1470)+1))))</f>
        <v/>
      </c>
    </row>
    <row r="1471" customFormat="false" ht="15" hidden="false" customHeight="false" outlineLevel="0" collapsed="false">
      <c r="B1471" s="78"/>
      <c r="C1471" s="64"/>
      <c r="D1471" s="70" t="str">
        <f aca="false">IF(C1471="","",IFERROR(INDEX(T_NOMBRE,MATCH(C1471,T_ID,0)),"⚠ ID no existe"))</f>
        <v/>
      </c>
      <c r="E1471" s="69"/>
      <c r="F1471" s="69"/>
      <c r="G1471" s="69"/>
      <c r="H1471" s="69"/>
      <c r="I1471" s="66"/>
      <c r="J1471" s="69"/>
      <c r="K1471" s="67"/>
      <c r="L1471" s="67"/>
      <c r="M1471" s="67"/>
      <c r="N1471" s="67"/>
      <c r="O1471" s="64"/>
      <c r="P1471" s="72" t="str">
        <f aca="false">IF(OR(B1471="",C1471=""),"",C1471&amp;"|"&amp;(YEAR(B1471)*100+MONTH(B1471)))</f>
        <v/>
      </c>
      <c r="Q1471" s="70" t="str">
        <f aca="false">IF(P1471="","",IF(COUNTIF(N_CLAVE,P1471)&gt;1,"⚠ Duplicado","OK"))</f>
        <v/>
      </c>
      <c r="R1471" s="74" t="str">
        <f aca="false">IF(OR(P1471="",U1471=""),"",MAX(0,U1471-N(E1471)-N(F1471)-N(H1471)))</f>
        <v/>
      </c>
      <c r="S1471" s="75" t="str">
        <f aca="false">IF(P1471="","",IFERROR(INDEX(T_INGRESO,MATCH(C1471,T_ID,0)),""))</f>
        <v/>
      </c>
      <c r="T1471" s="75" t="str">
        <f aca="false">IF(P1471="","",IFERROR(N(INDEX(T_EGRESO,MATCH(C1471,T_ID,0))),0))</f>
        <v/>
      </c>
      <c r="U1471" s="73" t="str">
        <f aca="false">IF(OR(P1471="",NOT(ISNUMBER(S1471))),"",IF(OR(S1471&gt;EOMONTH(B1471,0),AND(T1471&gt;0,T1471&lt;B1471)),0,IF(AND(S1471&lt;=B1471,OR(T1471=0,T1471&gt;=EOMONTH(B1471,0))),30,MIN(30,IF(T1471=0,EOMONTH(B1471,0),MIN(T1471,EOMONTH(B1471,0)))-MAX(B1471,S1471)+1))))</f>
        <v/>
      </c>
    </row>
    <row r="1472" customFormat="false" ht="15" hidden="false" customHeight="false" outlineLevel="0" collapsed="false">
      <c r="B1472" s="78"/>
      <c r="C1472" s="64"/>
      <c r="D1472" s="70" t="str">
        <f aca="false">IF(C1472="","",IFERROR(INDEX(T_NOMBRE,MATCH(C1472,T_ID,0)),"⚠ ID no existe"))</f>
        <v/>
      </c>
      <c r="E1472" s="69"/>
      <c r="F1472" s="69"/>
      <c r="G1472" s="69"/>
      <c r="H1472" s="69"/>
      <c r="I1472" s="66"/>
      <c r="J1472" s="69"/>
      <c r="K1472" s="67"/>
      <c r="L1472" s="67"/>
      <c r="M1472" s="67"/>
      <c r="N1472" s="67"/>
      <c r="O1472" s="64"/>
      <c r="P1472" s="72" t="str">
        <f aca="false">IF(OR(B1472="",C1472=""),"",C1472&amp;"|"&amp;(YEAR(B1472)*100+MONTH(B1472)))</f>
        <v/>
      </c>
      <c r="Q1472" s="70" t="str">
        <f aca="false">IF(P1472="","",IF(COUNTIF(N_CLAVE,P1472)&gt;1,"⚠ Duplicado","OK"))</f>
        <v/>
      </c>
      <c r="R1472" s="74" t="str">
        <f aca="false">IF(OR(P1472="",U1472=""),"",MAX(0,U1472-N(E1472)-N(F1472)-N(H1472)))</f>
        <v/>
      </c>
      <c r="S1472" s="75" t="str">
        <f aca="false">IF(P1472="","",IFERROR(INDEX(T_INGRESO,MATCH(C1472,T_ID,0)),""))</f>
        <v/>
      </c>
      <c r="T1472" s="75" t="str">
        <f aca="false">IF(P1472="","",IFERROR(N(INDEX(T_EGRESO,MATCH(C1472,T_ID,0))),0))</f>
        <v/>
      </c>
      <c r="U1472" s="73" t="str">
        <f aca="false">IF(OR(P1472="",NOT(ISNUMBER(S1472))),"",IF(OR(S1472&gt;EOMONTH(B1472,0),AND(T1472&gt;0,T1472&lt;B1472)),0,IF(AND(S1472&lt;=B1472,OR(T1472=0,T1472&gt;=EOMONTH(B1472,0))),30,MIN(30,IF(T1472=0,EOMONTH(B1472,0),MIN(T1472,EOMONTH(B1472,0)))-MAX(B1472,S1472)+1))))</f>
        <v/>
      </c>
    </row>
    <row r="1473" customFormat="false" ht="15" hidden="false" customHeight="false" outlineLevel="0" collapsed="false">
      <c r="B1473" s="78"/>
      <c r="C1473" s="64"/>
      <c r="D1473" s="70" t="str">
        <f aca="false">IF(C1473="","",IFERROR(INDEX(T_NOMBRE,MATCH(C1473,T_ID,0)),"⚠ ID no existe"))</f>
        <v/>
      </c>
      <c r="E1473" s="69"/>
      <c r="F1473" s="69"/>
      <c r="G1473" s="69"/>
      <c r="H1473" s="69"/>
      <c r="I1473" s="66"/>
      <c r="J1473" s="69"/>
      <c r="K1473" s="67"/>
      <c r="L1473" s="67"/>
      <c r="M1473" s="67"/>
      <c r="N1473" s="67"/>
      <c r="O1473" s="64"/>
      <c r="P1473" s="72" t="str">
        <f aca="false">IF(OR(B1473="",C1473=""),"",C1473&amp;"|"&amp;(YEAR(B1473)*100+MONTH(B1473)))</f>
        <v/>
      </c>
      <c r="Q1473" s="70" t="str">
        <f aca="false">IF(P1473="","",IF(COUNTIF(N_CLAVE,P1473)&gt;1,"⚠ Duplicado","OK"))</f>
        <v/>
      </c>
      <c r="R1473" s="74" t="str">
        <f aca="false">IF(OR(P1473="",U1473=""),"",MAX(0,U1473-N(E1473)-N(F1473)-N(H1473)))</f>
        <v/>
      </c>
      <c r="S1473" s="75" t="str">
        <f aca="false">IF(P1473="","",IFERROR(INDEX(T_INGRESO,MATCH(C1473,T_ID,0)),""))</f>
        <v/>
      </c>
      <c r="T1473" s="75" t="str">
        <f aca="false">IF(P1473="","",IFERROR(N(INDEX(T_EGRESO,MATCH(C1473,T_ID,0))),0))</f>
        <v/>
      </c>
      <c r="U1473" s="73" t="str">
        <f aca="false">IF(OR(P1473="",NOT(ISNUMBER(S1473))),"",IF(OR(S1473&gt;EOMONTH(B1473,0),AND(T1473&gt;0,T1473&lt;B1473)),0,IF(AND(S1473&lt;=B1473,OR(T1473=0,T1473&gt;=EOMONTH(B1473,0))),30,MIN(30,IF(T1473=0,EOMONTH(B1473,0),MIN(T1473,EOMONTH(B1473,0)))-MAX(B1473,S1473)+1))))</f>
        <v/>
      </c>
    </row>
    <row r="1474" customFormat="false" ht="15" hidden="false" customHeight="false" outlineLevel="0" collapsed="false">
      <c r="B1474" s="78"/>
      <c r="C1474" s="64"/>
      <c r="D1474" s="70" t="str">
        <f aca="false">IF(C1474="","",IFERROR(INDEX(T_NOMBRE,MATCH(C1474,T_ID,0)),"⚠ ID no existe"))</f>
        <v/>
      </c>
      <c r="E1474" s="69"/>
      <c r="F1474" s="69"/>
      <c r="G1474" s="69"/>
      <c r="H1474" s="69"/>
      <c r="I1474" s="66"/>
      <c r="J1474" s="69"/>
      <c r="K1474" s="67"/>
      <c r="L1474" s="67"/>
      <c r="M1474" s="67"/>
      <c r="N1474" s="67"/>
      <c r="O1474" s="64"/>
      <c r="P1474" s="72" t="str">
        <f aca="false">IF(OR(B1474="",C1474=""),"",C1474&amp;"|"&amp;(YEAR(B1474)*100+MONTH(B1474)))</f>
        <v/>
      </c>
      <c r="Q1474" s="70" t="str">
        <f aca="false">IF(P1474="","",IF(COUNTIF(N_CLAVE,P1474)&gt;1,"⚠ Duplicado","OK"))</f>
        <v/>
      </c>
      <c r="R1474" s="74" t="str">
        <f aca="false">IF(OR(P1474="",U1474=""),"",MAX(0,U1474-N(E1474)-N(F1474)-N(H1474)))</f>
        <v/>
      </c>
      <c r="S1474" s="75" t="str">
        <f aca="false">IF(P1474="","",IFERROR(INDEX(T_INGRESO,MATCH(C1474,T_ID,0)),""))</f>
        <v/>
      </c>
      <c r="T1474" s="75" t="str">
        <f aca="false">IF(P1474="","",IFERROR(N(INDEX(T_EGRESO,MATCH(C1474,T_ID,0))),0))</f>
        <v/>
      </c>
      <c r="U1474" s="73" t="str">
        <f aca="false">IF(OR(P1474="",NOT(ISNUMBER(S1474))),"",IF(OR(S1474&gt;EOMONTH(B1474,0),AND(T1474&gt;0,T1474&lt;B1474)),0,IF(AND(S1474&lt;=B1474,OR(T1474=0,T1474&gt;=EOMONTH(B1474,0))),30,MIN(30,IF(T1474=0,EOMONTH(B1474,0),MIN(T1474,EOMONTH(B1474,0)))-MAX(B1474,S1474)+1))))</f>
        <v/>
      </c>
    </row>
    <row r="1475" customFormat="false" ht="15" hidden="false" customHeight="false" outlineLevel="0" collapsed="false">
      <c r="B1475" s="78"/>
      <c r="C1475" s="64"/>
      <c r="D1475" s="70" t="str">
        <f aca="false">IF(C1475="","",IFERROR(INDEX(T_NOMBRE,MATCH(C1475,T_ID,0)),"⚠ ID no existe"))</f>
        <v/>
      </c>
      <c r="E1475" s="69"/>
      <c r="F1475" s="69"/>
      <c r="G1475" s="69"/>
      <c r="H1475" s="69"/>
      <c r="I1475" s="66"/>
      <c r="J1475" s="69"/>
      <c r="K1475" s="67"/>
      <c r="L1475" s="67"/>
      <c r="M1475" s="67"/>
      <c r="N1475" s="67"/>
      <c r="O1475" s="64"/>
      <c r="P1475" s="72" t="str">
        <f aca="false">IF(OR(B1475="",C1475=""),"",C1475&amp;"|"&amp;(YEAR(B1475)*100+MONTH(B1475)))</f>
        <v/>
      </c>
      <c r="Q1475" s="70" t="str">
        <f aca="false">IF(P1475="","",IF(COUNTIF(N_CLAVE,P1475)&gt;1,"⚠ Duplicado","OK"))</f>
        <v/>
      </c>
      <c r="R1475" s="74" t="str">
        <f aca="false">IF(OR(P1475="",U1475=""),"",MAX(0,U1475-N(E1475)-N(F1475)-N(H1475)))</f>
        <v/>
      </c>
      <c r="S1475" s="75" t="str">
        <f aca="false">IF(P1475="","",IFERROR(INDEX(T_INGRESO,MATCH(C1475,T_ID,0)),""))</f>
        <v/>
      </c>
      <c r="T1475" s="75" t="str">
        <f aca="false">IF(P1475="","",IFERROR(N(INDEX(T_EGRESO,MATCH(C1475,T_ID,0))),0))</f>
        <v/>
      </c>
      <c r="U1475" s="73" t="str">
        <f aca="false">IF(OR(P1475="",NOT(ISNUMBER(S1475))),"",IF(OR(S1475&gt;EOMONTH(B1475,0),AND(T1475&gt;0,T1475&lt;B1475)),0,IF(AND(S1475&lt;=B1475,OR(T1475=0,T1475&gt;=EOMONTH(B1475,0))),30,MIN(30,IF(T1475=0,EOMONTH(B1475,0),MIN(T1475,EOMONTH(B1475,0)))-MAX(B1475,S1475)+1))))</f>
        <v/>
      </c>
    </row>
    <row r="1476" customFormat="false" ht="15" hidden="false" customHeight="false" outlineLevel="0" collapsed="false">
      <c r="B1476" s="78"/>
      <c r="C1476" s="64"/>
      <c r="D1476" s="70" t="str">
        <f aca="false">IF(C1476="","",IFERROR(INDEX(T_NOMBRE,MATCH(C1476,T_ID,0)),"⚠ ID no existe"))</f>
        <v/>
      </c>
      <c r="E1476" s="69"/>
      <c r="F1476" s="69"/>
      <c r="G1476" s="69"/>
      <c r="H1476" s="69"/>
      <c r="I1476" s="66"/>
      <c r="J1476" s="69"/>
      <c r="K1476" s="67"/>
      <c r="L1476" s="67"/>
      <c r="M1476" s="67"/>
      <c r="N1476" s="67"/>
      <c r="O1476" s="64"/>
      <c r="P1476" s="72" t="str">
        <f aca="false">IF(OR(B1476="",C1476=""),"",C1476&amp;"|"&amp;(YEAR(B1476)*100+MONTH(B1476)))</f>
        <v/>
      </c>
      <c r="Q1476" s="70" t="str">
        <f aca="false">IF(P1476="","",IF(COUNTIF(N_CLAVE,P1476)&gt;1,"⚠ Duplicado","OK"))</f>
        <v/>
      </c>
      <c r="R1476" s="74" t="str">
        <f aca="false">IF(OR(P1476="",U1476=""),"",MAX(0,U1476-N(E1476)-N(F1476)-N(H1476)))</f>
        <v/>
      </c>
      <c r="S1476" s="75" t="str">
        <f aca="false">IF(P1476="","",IFERROR(INDEX(T_INGRESO,MATCH(C1476,T_ID,0)),""))</f>
        <v/>
      </c>
      <c r="T1476" s="75" t="str">
        <f aca="false">IF(P1476="","",IFERROR(N(INDEX(T_EGRESO,MATCH(C1476,T_ID,0))),0))</f>
        <v/>
      </c>
      <c r="U1476" s="73" t="str">
        <f aca="false">IF(OR(P1476="",NOT(ISNUMBER(S1476))),"",IF(OR(S1476&gt;EOMONTH(B1476,0),AND(T1476&gt;0,T1476&lt;B1476)),0,IF(AND(S1476&lt;=B1476,OR(T1476=0,T1476&gt;=EOMONTH(B1476,0))),30,MIN(30,IF(T1476=0,EOMONTH(B1476,0),MIN(T1476,EOMONTH(B1476,0)))-MAX(B1476,S1476)+1))))</f>
        <v/>
      </c>
    </row>
    <row r="1477" customFormat="false" ht="15" hidden="false" customHeight="false" outlineLevel="0" collapsed="false">
      <c r="B1477" s="78"/>
      <c r="C1477" s="64"/>
      <c r="D1477" s="70" t="str">
        <f aca="false">IF(C1477="","",IFERROR(INDEX(T_NOMBRE,MATCH(C1477,T_ID,0)),"⚠ ID no existe"))</f>
        <v/>
      </c>
      <c r="E1477" s="69"/>
      <c r="F1477" s="69"/>
      <c r="G1477" s="69"/>
      <c r="H1477" s="69"/>
      <c r="I1477" s="66"/>
      <c r="J1477" s="69"/>
      <c r="K1477" s="67"/>
      <c r="L1477" s="67"/>
      <c r="M1477" s="67"/>
      <c r="N1477" s="67"/>
      <c r="O1477" s="64"/>
      <c r="P1477" s="72" t="str">
        <f aca="false">IF(OR(B1477="",C1477=""),"",C1477&amp;"|"&amp;(YEAR(B1477)*100+MONTH(B1477)))</f>
        <v/>
      </c>
      <c r="Q1477" s="70" t="str">
        <f aca="false">IF(P1477="","",IF(COUNTIF(N_CLAVE,P1477)&gt;1,"⚠ Duplicado","OK"))</f>
        <v/>
      </c>
      <c r="R1477" s="74" t="str">
        <f aca="false">IF(OR(P1477="",U1477=""),"",MAX(0,U1477-N(E1477)-N(F1477)-N(H1477)))</f>
        <v/>
      </c>
      <c r="S1477" s="75" t="str">
        <f aca="false">IF(P1477="","",IFERROR(INDEX(T_INGRESO,MATCH(C1477,T_ID,0)),""))</f>
        <v/>
      </c>
      <c r="T1477" s="75" t="str">
        <f aca="false">IF(P1477="","",IFERROR(N(INDEX(T_EGRESO,MATCH(C1477,T_ID,0))),0))</f>
        <v/>
      </c>
      <c r="U1477" s="73" t="str">
        <f aca="false">IF(OR(P1477="",NOT(ISNUMBER(S1477))),"",IF(OR(S1477&gt;EOMONTH(B1477,0),AND(T1477&gt;0,T1477&lt;B1477)),0,IF(AND(S1477&lt;=B1477,OR(T1477=0,T1477&gt;=EOMONTH(B1477,0))),30,MIN(30,IF(T1477=0,EOMONTH(B1477,0),MIN(T1477,EOMONTH(B1477,0)))-MAX(B1477,S1477)+1))))</f>
        <v/>
      </c>
    </row>
    <row r="1478" customFormat="false" ht="15" hidden="false" customHeight="false" outlineLevel="0" collapsed="false">
      <c r="B1478" s="78"/>
      <c r="C1478" s="64"/>
      <c r="D1478" s="70" t="str">
        <f aca="false">IF(C1478="","",IFERROR(INDEX(T_NOMBRE,MATCH(C1478,T_ID,0)),"⚠ ID no existe"))</f>
        <v/>
      </c>
      <c r="E1478" s="69"/>
      <c r="F1478" s="69"/>
      <c r="G1478" s="69"/>
      <c r="H1478" s="69"/>
      <c r="I1478" s="66"/>
      <c r="J1478" s="69"/>
      <c r="K1478" s="67"/>
      <c r="L1478" s="67"/>
      <c r="M1478" s="67"/>
      <c r="N1478" s="67"/>
      <c r="O1478" s="64"/>
      <c r="P1478" s="72" t="str">
        <f aca="false">IF(OR(B1478="",C1478=""),"",C1478&amp;"|"&amp;(YEAR(B1478)*100+MONTH(B1478)))</f>
        <v/>
      </c>
      <c r="Q1478" s="70" t="str">
        <f aca="false">IF(P1478="","",IF(COUNTIF(N_CLAVE,P1478)&gt;1,"⚠ Duplicado","OK"))</f>
        <v/>
      </c>
      <c r="R1478" s="74" t="str">
        <f aca="false">IF(OR(P1478="",U1478=""),"",MAX(0,U1478-N(E1478)-N(F1478)-N(H1478)))</f>
        <v/>
      </c>
      <c r="S1478" s="75" t="str">
        <f aca="false">IF(P1478="","",IFERROR(INDEX(T_INGRESO,MATCH(C1478,T_ID,0)),""))</f>
        <v/>
      </c>
      <c r="T1478" s="75" t="str">
        <f aca="false">IF(P1478="","",IFERROR(N(INDEX(T_EGRESO,MATCH(C1478,T_ID,0))),0))</f>
        <v/>
      </c>
      <c r="U1478" s="73" t="str">
        <f aca="false">IF(OR(P1478="",NOT(ISNUMBER(S1478))),"",IF(OR(S1478&gt;EOMONTH(B1478,0),AND(T1478&gt;0,T1478&lt;B1478)),0,IF(AND(S1478&lt;=B1478,OR(T1478=0,T1478&gt;=EOMONTH(B1478,0))),30,MIN(30,IF(T1478=0,EOMONTH(B1478,0),MIN(T1478,EOMONTH(B1478,0)))-MAX(B1478,S1478)+1))))</f>
        <v/>
      </c>
    </row>
    <row r="1479" customFormat="false" ht="15" hidden="false" customHeight="false" outlineLevel="0" collapsed="false">
      <c r="B1479" s="78"/>
      <c r="C1479" s="64"/>
      <c r="D1479" s="70" t="str">
        <f aca="false">IF(C1479="","",IFERROR(INDEX(T_NOMBRE,MATCH(C1479,T_ID,0)),"⚠ ID no existe"))</f>
        <v/>
      </c>
      <c r="E1479" s="69"/>
      <c r="F1479" s="69"/>
      <c r="G1479" s="69"/>
      <c r="H1479" s="69"/>
      <c r="I1479" s="66"/>
      <c r="J1479" s="69"/>
      <c r="K1479" s="67"/>
      <c r="L1479" s="67"/>
      <c r="M1479" s="67"/>
      <c r="N1479" s="67"/>
      <c r="O1479" s="64"/>
      <c r="P1479" s="72" t="str">
        <f aca="false">IF(OR(B1479="",C1479=""),"",C1479&amp;"|"&amp;(YEAR(B1479)*100+MONTH(B1479)))</f>
        <v/>
      </c>
      <c r="Q1479" s="70" t="str">
        <f aca="false">IF(P1479="","",IF(COUNTIF(N_CLAVE,P1479)&gt;1,"⚠ Duplicado","OK"))</f>
        <v/>
      </c>
      <c r="R1479" s="74" t="str">
        <f aca="false">IF(OR(P1479="",U1479=""),"",MAX(0,U1479-N(E1479)-N(F1479)-N(H1479)))</f>
        <v/>
      </c>
      <c r="S1479" s="75" t="str">
        <f aca="false">IF(P1479="","",IFERROR(INDEX(T_INGRESO,MATCH(C1479,T_ID,0)),""))</f>
        <v/>
      </c>
      <c r="T1479" s="75" t="str">
        <f aca="false">IF(P1479="","",IFERROR(N(INDEX(T_EGRESO,MATCH(C1479,T_ID,0))),0))</f>
        <v/>
      </c>
      <c r="U1479" s="73" t="str">
        <f aca="false">IF(OR(P1479="",NOT(ISNUMBER(S1479))),"",IF(OR(S1479&gt;EOMONTH(B1479,0),AND(T1479&gt;0,T1479&lt;B1479)),0,IF(AND(S1479&lt;=B1479,OR(T1479=0,T1479&gt;=EOMONTH(B1479,0))),30,MIN(30,IF(T1479=0,EOMONTH(B1479,0),MIN(T1479,EOMONTH(B1479,0)))-MAX(B1479,S1479)+1))))</f>
        <v/>
      </c>
    </row>
    <row r="1480" customFormat="false" ht="15" hidden="false" customHeight="false" outlineLevel="0" collapsed="false">
      <c r="B1480" s="78"/>
      <c r="C1480" s="64"/>
      <c r="D1480" s="70" t="str">
        <f aca="false">IF(C1480="","",IFERROR(INDEX(T_NOMBRE,MATCH(C1480,T_ID,0)),"⚠ ID no existe"))</f>
        <v/>
      </c>
      <c r="E1480" s="69"/>
      <c r="F1480" s="69"/>
      <c r="G1480" s="69"/>
      <c r="H1480" s="69"/>
      <c r="I1480" s="66"/>
      <c r="J1480" s="69"/>
      <c r="K1480" s="67"/>
      <c r="L1480" s="67"/>
      <c r="M1480" s="67"/>
      <c r="N1480" s="67"/>
      <c r="O1480" s="64"/>
      <c r="P1480" s="72" t="str">
        <f aca="false">IF(OR(B1480="",C1480=""),"",C1480&amp;"|"&amp;(YEAR(B1480)*100+MONTH(B1480)))</f>
        <v/>
      </c>
      <c r="Q1480" s="70" t="str">
        <f aca="false">IF(P1480="","",IF(COUNTIF(N_CLAVE,P1480)&gt;1,"⚠ Duplicado","OK"))</f>
        <v/>
      </c>
      <c r="R1480" s="74" t="str">
        <f aca="false">IF(OR(P1480="",U1480=""),"",MAX(0,U1480-N(E1480)-N(F1480)-N(H1480)))</f>
        <v/>
      </c>
      <c r="S1480" s="75" t="str">
        <f aca="false">IF(P1480="","",IFERROR(INDEX(T_INGRESO,MATCH(C1480,T_ID,0)),""))</f>
        <v/>
      </c>
      <c r="T1480" s="75" t="str">
        <f aca="false">IF(P1480="","",IFERROR(N(INDEX(T_EGRESO,MATCH(C1480,T_ID,0))),0))</f>
        <v/>
      </c>
      <c r="U1480" s="73" t="str">
        <f aca="false">IF(OR(P1480="",NOT(ISNUMBER(S1480))),"",IF(OR(S1480&gt;EOMONTH(B1480,0),AND(T1480&gt;0,T1480&lt;B1480)),0,IF(AND(S1480&lt;=B1480,OR(T1480=0,T1480&gt;=EOMONTH(B1480,0))),30,MIN(30,IF(T1480=0,EOMONTH(B1480,0),MIN(T1480,EOMONTH(B1480,0)))-MAX(B1480,S1480)+1))))</f>
        <v/>
      </c>
    </row>
    <row r="1481" customFormat="false" ht="15" hidden="false" customHeight="false" outlineLevel="0" collapsed="false">
      <c r="B1481" s="78"/>
      <c r="C1481" s="64"/>
      <c r="D1481" s="70" t="str">
        <f aca="false">IF(C1481="","",IFERROR(INDEX(T_NOMBRE,MATCH(C1481,T_ID,0)),"⚠ ID no existe"))</f>
        <v/>
      </c>
      <c r="E1481" s="69"/>
      <c r="F1481" s="69"/>
      <c r="G1481" s="69"/>
      <c r="H1481" s="69"/>
      <c r="I1481" s="66"/>
      <c r="J1481" s="69"/>
      <c r="K1481" s="67"/>
      <c r="L1481" s="67"/>
      <c r="M1481" s="67"/>
      <c r="N1481" s="67"/>
      <c r="O1481" s="64"/>
      <c r="P1481" s="72" t="str">
        <f aca="false">IF(OR(B1481="",C1481=""),"",C1481&amp;"|"&amp;(YEAR(B1481)*100+MONTH(B1481)))</f>
        <v/>
      </c>
      <c r="Q1481" s="70" t="str">
        <f aca="false">IF(P1481="","",IF(COUNTIF(N_CLAVE,P1481)&gt;1,"⚠ Duplicado","OK"))</f>
        <v/>
      </c>
      <c r="R1481" s="74" t="str">
        <f aca="false">IF(OR(P1481="",U1481=""),"",MAX(0,U1481-N(E1481)-N(F1481)-N(H1481)))</f>
        <v/>
      </c>
      <c r="S1481" s="75" t="str">
        <f aca="false">IF(P1481="","",IFERROR(INDEX(T_INGRESO,MATCH(C1481,T_ID,0)),""))</f>
        <v/>
      </c>
      <c r="T1481" s="75" t="str">
        <f aca="false">IF(P1481="","",IFERROR(N(INDEX(T_EGRESO,MATCH(C1481,T_ID,0))),0))</f>
        <v/>
      </c>
      <c r="U1481" s="73" t="str">
        <f aca="false">IF(OR(P1481="",NOT(ISNUMBER(S1481))),"",IF(OR(S1481&gt;EOMONTH(B1481,0),AND(T1481&gt;0,T1481&lt;B1481)),0,IF(AND(S1481&lt;=B1481,OR(T1481=0,T1481&gt;=EOMONTH(B1481,0))),30,MIN(30,IF(T1481=0,EOMONTH(B1481,0),MIN(T1481,EOMONTH(B1481,0)))-MAX(B1481,S1481)+1))))</f>
        <v/>
      </c>
    </row>
    <row r="1482" customFormat="false" ht="15" hidden="false" customHeight="false" outlineLevel="0" collapsed="false">
      <c r="B1482" s="78"/>
      <c r="C1482" s="64"/>
      <c r="D1482" s="70" t="str">
        <f aca="false">IF(C1482="","",IFERROR(INDEX(T_NOMBRE,MATCH(C1482,T_ID,0)),"⚠ ID no existe"))</f>
        <v/>
      </c>
      <c r="E1482" s="69"/>
      <c r="F1482" s="69"/>
      <c r="G1482" s="69"/>
      <c r="H1482" s="69"/>
      <c r="I1482" s="66"/>
      <c r="J1482" s="69"/>
      <c r="K1482" s="67"/>
      <c r="L1482" s="67"/>
      <c r="M1482" s="67"/>
      <c r="N1482" s="67"/>
      <c r="O1482" s="64"/>
      <c r="P1482" s="72" t="str">
        <f aca="false">IF(OR(B1482="",C1482=""),"",C1482&amp;"|"&amp;(YEAR(B1482)*100+MONTH(B1482)))</f>
        <v/>
      </c>
      <c r="Q1482" s="70" t="str">
        <f aca="false">IF(P1482="","",IF(COUNTIF(N_CLAVE,P1482)&gt;1,"⚠ Duplicado","OK"))</f>
        <v/>
      </c>
      <c r="R1482" s="74" t="str">
        <f aca="false">IF(OR(P1482="",U1482=""),"",MAX(0,U1482-N(E1482)-N(F1482)-N(H1482)))</f>
        <v/>
      </c>
      <c r="S1482" s="75" t="str">
        <f aca="false">IF(P1482="","",IFERROR(INDEX(T_INGRESO,MATCH(C1482,T_ID,0)),""))</f>
        <v/>
      </c>
      <c r="T1482" s="75" t="str">
        <f aca="false">IF(P1482="","",IFERROR(N(INDEX(T_EGRESO,MATCH(C1482,T_ID,0))),0))</f>
        <v/>
      </c>
      <c r="U1482" s="73" t="str">
        <f aca="false">IF(OR(P1482="",NOT(ISNUMBER(S1482))),"",IF(OR(S1482&gt;EOMONTH(B1482,0),AND(T1482&gt;0,T1482&lt;B1482)),0,IF(AND(S1482&lt;=B1482,OR(T1482=0,T1482&gt;=EOMONTH(B1482,0))),30,MIN(30,IF(T1482=0,EOMONTH(B1482,0),MIN(T1482,EOMONTH(B1482,0)))-MAX(B1482,S1482)+1))))</f>
        <v/>
      </c>
    </row>
    <row r="1483" customFormat="false" ht="15" hidden="false" customHeight="false" outlineLevel="0" collapsed="false">
      <c r="B1483" s="78"/>
      <c r="C1483" s="64"/>
      <c r="D1483" s="70" t="str">
        <f aca="false">IF(C1483="","",IFERROR(INDEX(T_NOMBRE,MATCH(C1483,T_ID,0)),"⚠ ID no existe"))</f>
        <v/>
      </c>
      <c r="E1483" s="69"/>
      <c r="F1483" s="69"/>
      <c r="G1483" s="69"/>
      <c r="H1483" s="69"/>
      <c r="I1483" s="66"/>
      <c r="J1483" s="69"/>
      <c r="K1483" s="67"/>
      <c r="L1483" s="67"/>
      <c r="M1483" s="67"/>
      <c r="N1483" s="67"/>
      <c r="O1483" s="64"/>
      <c r="P1483" s="72" t="str">
        <f aca="false">IF(OR(B1483="",C1483=""),"",C1483&amp;"|"&amp;(YEAR(B1483)*100+MONTH(B1483)))</f>
        <v/>
      </c>
      <c r="Q1483" s="70" t="str">
        <f aca="false">IF(P1483="","",IF(COUNTIF(N_CLAVE,P1483)&gt;1,"⚠ Duplicado","OK"))</f>
        <v/>
      </c>
      <c r="R1483" s="74" t="str">
        <f aca="false">IF(OR(P1483="",U1483=""),"",MAX(0,U1483-N(E1483)-N(F1483)-N(H1483)))</f>
        <v/>
      </c>
      <c r="S1483" s="75" t="str">
        <f aca="false">IF(P1483="","",IFERROR(INDEX(T_INGRESO,MATCH(C1483,T_ID,0)),""))</f>
        <v/>
      </c>
      <c r="T1483" s="75" t="str">
        <f aca="false">IF(P1483="","",IFERROR(N(INDEX(T_EGRESO,MATCH(C1483,T_ID,0))),0))</f>
        <v/>
      </c>
      <c r="U1483" s="73" t="str">
        <f aca="false">IF(OR(P1483="",NOT(ISNUMBER(S1483))),"",IF(OR(S1483&gt;EOMONTH(B1483,0),AND(T1483&gt;0,T1483&lt;B1483)),0,IF(AND(S1483&lt;=B1483,OR(T1483=0,T1483&gt;=EOMONTH(B1483,0))),30,MIN(30,IF(T1483=0,EOMONTH(B1483,0),MIN(T1483,EOMONTH(B1483,0)))-MAX(B1483,S1483)+1))))</f>
        <v/>
      </c>
    </row>
    <row r="1484" customFormat="false" ht="15" hidden="false" customHeight="false" outlineLevel="0" collapsed="false">
      <c r="B1484" s="78"/>
      <c r="C1484" s="64"/>
      <c r="D1484" s="70" t="str">
        <f aca="false">IF(C1484="","",IFERROR(INDEX(T_NOMBRE,MATCH(C1484,T_ID,0)),"⚠ ID no existe"))</f>
        <v/>
      </c>
      <c r="E1484" s="69"/>
      <c r="F1484" s="69"/>
      <c r="G1484" s="69"/>
      <c r="H1484" s="69"/>
      <c r="I1484" s="66"/>
      <c r="J1484" s="69"/>
      <c r="K1484" s="67"/>
      <c r="L1484" s="67"/>
      <c r="M1484" s="67"/>
      <c r="N1484" s="67"/>
      <c r="O1484" s="64"/>
      <c r="P1484" s="72" t="str">
        <f aca="false">IF(OR(B1484="",C1484=""),"",C1484&amp;"|"&amp;(YEAR(B1484)*100+MONTH(B1484)))</f>
        <v/>
      </c>
      <c r="Q1484" s="70" t="str">
        <f aca="false">IF(P1484="","",IF(COUNTIF(N_CLAVE,P1484)&gt;1,"⚠ Duplicado","OK"))</f>
        <v/>
      </c>
      <c r="R1484" s="74" t="str">
        <f aca="false">IF(OR(P1484="",U1484=""),"",MAX(0,U1484-N(E1484)-N(F1484)-N(H1484)))</f>
        <v/>
      </c>
      <c r="S1484" s="75" t="str">
        <f aca="false">IF(P1484="","",IFERROR(INDEX(T_INGRESO,MATCH(C1484,T_ID,0)),""))</f>
        <v/>
      </c>
      <c r="T1484" s="75" t="str">
        <f aca="false">IF(P1484="","",IFERROR(N(INDEX(T_EGRESO,MATCH(C1484,T_ID,0))),0))</f>
        <v/>
      </c>
      <c r="U1484" s="73" t="str">
        <f aca="false">IF(OR(P1484="",NOT(ISNUMBER(S1484))),"",IF(OR(S1484&gt;EOMONTH(B1484,0),AND(T1484&gt;0,T1484&lt;B1484)),0,IF(AND(S1484&lt;=B1484,OR(T1484=0,T1484&gt;=EOMONTH(B1484,0))),30,MIN(30,IF(T1484=0,EOMONTH(B1484,0),MIN(T1484,EOMONTH(B1484,0)))-MAX(B1484,S1484)+1))))</f>
        <v/>
      </c>
    </row>
    <row r="1485" customFormat="false" ht="15" hidden="false" customHeight="false" outlineLevel="0" collapsed="false">
      <c r="B1485" s="78"/>
      <c r="C1485" s="64"/>
      <c r="D1485" s="70" t="str">
        <f aca="false">IF(C1485="","",IFERROR(INDEX(T_NOMBRE,MATCH(C1485,T_ID,0)),"⚠ ID no existe"))</f>
        <v/>
      </c>
      <c r="E1485" s="69"/>
      <c r="F1485" s="69"/>
      <c r="G1485" s="69"/>
      <c r="H1485" s="69"/>
      <c r="I1485" s="66"/>
      <c r="J1485" s="69"/>
      <c r="K1485" s="67"/>
      <c r="L1485" s="67"/>
      <c r="M1485" s="67"/>
      <c r="N1485" s="67"/>
      <c r="O1485" s="64"/>
      <c r="P1485" s="72" t="str">
        <f aca="false">IF(OR(B1485="",C1485=""),"",C1485&amp;"|"&amp;(YEAR(B1485)*100+MONTH(B1485)))</f>
        <v/>
      </c>
      <c r="Q1485" s="70" t="str">
        <f aca="false">IF(P1485="","",IF(COUNTIF(N_CLAVE,P1485)&gt;1,"⚠ Duplicado","OK"))</f>
        <v/>
      </c>
      <c r="R1485" s="74" t="str">
        <f aca="false">IF(OR(P1485="",U1485=""),"",MAX(0,U1485-N(E1485)-N(F1485)-N(H1485)))</f>
        <v/>
      </c>
      <c r="S1485" s="75" t="str">
        <f aca="false">IF(P1485="","",IFERROR(INDEX(T_INGRESO,MATCH(C1485,T_ID,0)),""))</f>
        <v/>
      </c>
      <c r="T1485" s="75" t="str">
        <f aca="false">IF(P1485="","",IFERROR(N(INDEX(T_EGRESO,MATCH(C1485,T_ID,0))),0))</f>
        <v/>
      </c>
      <c r="U1485" s="73" t="str">
        <f aca="false">IF(OR(P1485="",NOT(ISNUMBER(S1485))),"",IF(OR(S1485&gt;EOMONTH(B1485,0),AND(T1485&gt;0,T1485&lt;B1485)),0,IF(AND(S1485&lt;=B1485,OR(T1485=0,T1485&gt;=EOMONTH(B1485,0))),30,MIN(30,IF(T1485=0,EOMONTH(B1485,0),MIN(T1485,EOMONTH(B1485,0)))-MAX(B1485,S1485)+1))))</f>
        <v/>
      </c>
    </row>
    <row r="1486" customFormat="false" ht="15" hidden="false" customHeight="false" outlineLevel="0" collapsed="false">
      <c r="B1486" s="78"/>
      <c r="C1486" s="64"/>
      <c r="D1486" s="70" t="str">
        <f aca="false">IF(C1486="","",IFERROR(INDEX(T_NOMBRE,MATCH(C1486,T_ID,0)),"⚠ ID no existe"))</f>
        <v/>
      </c>
      <c r="E1486" s="69"/>
      <c r="F1486" s="69"/>
      <c r="G1486" s="69"/>
      <c r="H1486" s="69"/>
      <c r="I1486" s="66"/>
      <c r="J1486" s="69"/>
      <c r="K1486" s="67"/>
      <c r="L1486" s="67"/>
      <c r="M1486" s="67"/>
      <c r="N1486" s="67"/>
      <c r="O1486" s="64"/>
      <c r="P1486" s="72" t="str">
        <f aca="false">IF(OR(B1486="",C1486=""),"",C1486&amp;"|"&amp;(YEAR(B1486)*100+MONTH(B1486)))</f>
        <v/>
      </c>
      <c r="Q1486" s="70" t="str">
        <f aca="false">IF(P1486="","",IF(COUNTIF(N_CLAVE,P1486)&gt;1,"⚠ Duplicado","OK"))</f>
        <v/>
      </c>
      <c r="R1486" s="74" t="str">
        <f aca="false">IF(OR(P1486="",U1486=""),"",MAX(0,U1486-N(E1486)-N(F1486)-N(H1486)))</f>
        <v/>
      </c>
      <c r="S1486" s="75" t="str">
        <f aca="false">IF(P1486="","",IFERROR(INDEX(T_INGRESO,MATCH(C1486,T_ID,0)),""))</f>
        <v/>
      </c>
      <c r="T1486" s="75" t="str">
        <f aca="false">IF(P1486="","",IFERROR(N(INDEX(T_EGRESO,MATCH(C1486,T_ID,0))),0))</f>
        <v/>
      </c>
      <c r="U1486" s="73" t="str">
        <f aca="false">IF(OR(P1486="",NOT(ISNUMBER(S1486))),"",IF(OR(S1486&gt;EOMONTH(B1486,0),AND(T1486&gt;0,T1486&lt;B1486)),0,IF(AND(S1486&lt;=B1486,OR(T1486=0,T1486&gt;=EOMONTH(B1486,0))),30,MIN(30,IF(T1486=0,EOMONTH(B1486,0),MIN(T1486,EOMONTH(B1486,0)))-MAX(B1486,S1486)+1))))</f>
        <v/>
      </c>
    </row>
    <row r="1487" customFormat="false" ht="15" hidden="false" customHeight="false" outlineLevel="0" collapsed="false">
      <c r="B1487" s="78"/>
      <c r="C1487" s="64"/>
      <c r="D1487" s="70" t="str">
        <f aca="false">IF(C1487="","",IFERROR(INDEX(T_NOMBRE,MATCH(C1487,T_ID,0)),"⚠ ID no existe"))</f>
        <v/>
      </c>
      <c r="E1487" s="69"/>
      <c r="F1487" s="69"/>
      <c r="G1487" s="69"/>
      <c r="H1487" s="69"/>
      <c r="I1487" s="66"/>
      <c r="J1487" s="69"/>
      <c r="K1487" s="67"/>
      <c r="L1487" s="67"/>
      <c r="M1487" s="67"/>
      <c r="N1487" s="67"/>
      <c r="O1487" s="64"/>
      <c r="P1487" s="72" t="str">
        <f aca="false">IF(OR(B1487="",C1487=""),"",C1487&amp;"|"&amp;(YEAR(B1487)*100+MONTH(B1487)))</f>
        <v/>
      </c>
      <c r="Q1487" s="70" t="str">
        <f aca="false">IF(P1487="","",IF(COUNTIF(N_CLAVE,P1487)&gt;1,"⚠ Duplicado","OK"))</f>
        <v/>
      </c>
      <c r="R1487" s="74" t="str">
        <f aca="false">IF(OR(P1487="",U1487=""),"",MAX(0,U1487-N(E1487)-N(F1487)-N(H1487)))</f>
        <v/>
      </c>
      <c r="S1487" s="75" t="str">
        <f aca="false">IF(P1487="","",IFERROR(INDEX(T_INGRESO,MATCH(C1487,T_ID,0)),""))</f>
        <v/>
      </c>
      <c r="T1487" s="75" t="str">
        <f aca="false">IF(P1487="","",IFERROR(N(INDEX(T_EGRESO,MATCH(C1487,T_ID,0))),0))</f>
        <v/>
      </c>
      <c r="U1487" s="73" t="str">
        <f aca="false">IF(OR(P1487="",NOT(ISNUMBER(S1487))),"",IF(OR(S1487&gt;EOMONTH(B1487,0),AND(T1487&gt;0,T1487&lt;B1487)),0,IF(AND(S1487&lt;=B1487,OR(T1487=0,T1487&gt;=EOMONTH(B1487,0))),30,MIN(30,IF(T1487=0,EOMONTH(B1487,0),MIN(T1487,EOMONTH(B1487,0)))-MAX(B1487,S1487)+1))))</f>
        <v/>
      </c>
    </row>
    <row r="1488" customFormat="false" ht="15" hidden="false" customHeight="false" outlineLevel="0" collapsed="false">
      <c r="B1488" s="78"/>
      <c r="C1488" s="64"/>
      <c r="D1488" s="70" t="str">
        <f aca="false">IF(C1488="","",IFERROR(INDEX(T_NOMBRE,MATCH(C1488,T_ID,0)),"⚠ ID no existe"))</f>
        <v/>
      </c>
      <c r="E1488" s="69"/>
      <c r="F1488" s="69"/>
      <c r="G1488" s="69"/>
      <c r="H1488" s="69"/>
      <c r="I1488" s="66"/>
      <c r="J1488" s="69"/>
      <c r="K1488" s="67"/>
      <c r="L1488" s="67"/>
      <c r="M1488" s="67"/>
      <c r="N1488" s="67"/>
      <c r="O1488" s="64"/>
      <c r="P1488" s="72" t="str">
        <f aca="false">IF(OR(B1488="",C1488=""),"",C1488&amp;"|"&amp;(YEAR(B1488)*100+MONTH(B1488)))</f>
        <v/>
      </c>
      <c r="Q1488" s="70" t="str">
        <f aca="false">IF(P1488="","",IF(COUNTIF(N_CLAVE,P1488)&gt;1,"⚠ Duplicado","OK"))</f>
        <v/>
      </c>
      <c r="R1488" s="74" t="str">
        <f aca="false">IF(OR(P1488="",U1488=""),"",MAX(0,U1488-N(E1488)-N(F1488)-N(H1488)))</f>
        <v/>
      </c>
      <c r="S1488" s="75" t="str">
        <f aca="false">IF(P1488="","",IFERROR(INDEX(T_INGRESO,MATCH(C1488,T_ID,0)),""))</f>
        <v/>
      </c>
      <c r="T1488" s="75" t="str">
        <f aca="false">IF(P1488="","",IFERROR(N(INDEX(T_EGRESO,MATCH(C1488,T_ID,0))),0))</f>
        <v/>
      </c>
      <c r="U1488" s="73" t="str">
        <f aca="false">IF(OR(P1488="",NOT(ISNUMBER(S1488))),"",IF(OR(S1488&gt;EOMONTH(B1488,0),AND(T1488&gt;0,T1488&lt;B1488)),0,IF(AND(S1488&lt;=B1488,OR(T1488=0,T1488&gt;=EOMONTH(B1488,0))),30,MIN(30,IF(T1488=0,EOMONTH(B1488,0),MIN(T1488,EOMONTH(B1488,0)))-MAX(B1488,S1488)+1))))</f>
        <v/>
      </c>
    </row>
    <row r="1489" customFormat="false" ht="15" hidden="false" customHeight="false" outlineLevel="0" collapsed="false">
      <c r="B1489" s="78"/>
      <c r="C1489" s="64"/>
      <c r="D1489" s="70" t="str">
        <f aca="false">IF(C1489="","",IFERROR(INDEX(T_NOMBRE,MATCH(C1489,T_ID,0)),"⚠ ID no existe"))</f>
        <v/>
      </c>
      <c r="E1489" s="69"/>
      <c r="F1489" s="69"/>
      <c r="G1489" s="69"/>
      <c r="H1489" s="69"/>
      <c r="I1489" s="66"/>
      <c r="J1489" s="69"/>
      <c r="K1489" s="67"/>
      <c r="L1489" s="67"/>
      <c r="M1489" s="67"/>
      <c r="N1489" s="67"/>
      <c r="O1489" s="64"/>
      <c r="P1489" s="72" t="str">
        <f aca="false">IF(OR(B1489="",C1489=""),"",C1489&amp;"|"&amp;(YEAR(B1489)*100+MONTH(B1489)))</f>
        <v/>
      </c>
      <c r="Q1489" s="70" t="str">
        <f aca="false">IF(P1489="","",IF(COUNTIF(N_CLAVE,P1489)&gt;1,"⚠ Duplicado","OK"))</f>
        <v/>
      </c>
      <c r="R1489" s="74" t="str">
        <f aca="false">IF(OR(P1489="",U1489=""),"",MAX(0,U1489-N(E1489)-N(F1489)-N(H1489)))</f>
        <v/>
      </c>
      <c r="S1489" s="75" t="str">
        <f aca="false">IF(P1489="","",IFERROR(INDEX(T_INGRESO,MATCH(C1489,T_ID,0)),""))</f>
        <v/>
      </c>
      <c r="T1489" s="75" t="str">
        <f aca="false">IF(P1489="","",IFERROR(N(INDEX(T_EGRESO,MATCH(C1489,T_ID,0))),0))</f>
        <v/>
      </c>
      <c r="U1489" s="73" t="str">
        <f aca="false">IF(OR(P1489="",NOT(ISNUMBER(S1489))),"",IF(OR(S1489&gt;EOMONTH(B1489,0),AND(T1489&gt;0,T1489&lt;B1489)),0,IF(AND(S1489&lt;=B1489,OR(T1489=0,T1489&gt;=EOMONTH(B1489,0))),30,MIN(30,IF(T1489=0,EOMONTH(B1489,0),MIN(T1489,EOMONTH(B1489,0)))-MAX(B1489,S1489)+1))))</f>
        <v/>
      </c>
    </row>
    <row r="1490" customFormat="false" ht="15" hidden="false" customHeight="false" outlineLevel="0" collapsed="false">
      <c r="B1490" s="78"/>
      <c r="C1490" s="64"/>
      <c r="D1490" s="70" t="str">
        <f aca="false">IF(C1490="","",IFERROR(INDEX(T_NOMBRE,MATCH(C1490,T_ID,0)),"⚠ ID no existe"))</f>
        <v/>
      </c>
      <c r="E1490" s="69"/>
      <c r="F1490" s="69"/>
      <c r="G1490" s="69"/>
      <c r="H1490" s="69"/>
      <c r="I1490" s="66"/>
      <c r="J1490" s="69"/>
      <c r="K1490" s="67"/>
      <c r="L1490" s="67"/>
      <c r="M1490" s="67"/>
      <c r="N1490" s="67"/>
      <c r="O1490" s="64"/>
      <c r="P1490" s="72" t="str">
        <f aca="false">IF(OR(B1490="",C1490=""),"",C1490&amp;"|"&amp;(YEAR(B1490)*100+MONTH(B1490)))</f>
        <v/>
      </c>
      <c r="Q1490" s="70" t="str">
        <f aca="false">IF(P1490="","",IF(COUNTIF(N_CLAVE,P1490)&gt;1,"⚠ Duplicado","OK"))</f>
        <v/>
      </c>
      <c r="R1490" s="74" t="str">
        <f aca="false">IF(OR(P1490="",U1490=""),"",MAX(0,U1490-N(E1490)-N(F1490)-N(H1490)))</f>
        <v/>
      </c>
      <c r="S1490" s="75" t="str">
        <f aca="false">IF(P1490="","",IFERROR(INDEX(T_INGRESO,MATCH(C1490,T_ID,0)),""))</f>
        <v/>
      </c>
      <c r="T1490" s="75" t="str">
        <f aca="false">IF(P1490="","",IFERROR(N(INDEX(T_EGRESO,MATCH(C1490,T_ID,0))),0))</f>
        <v/>
      </c>
      <c r="U1490" s="73" t="str">
        <f aca="false">IF(OR(P1490="",NOT(ISNUMBER(S1490))),"",IF(OR(S1490&gt;EOMONTH(B1490,0),AND(T1490&gt;0,T1490&lt;B1490)),0,IF(AND(S1490&lt;=B1490,OR(T1490=0,T1490&gt;=EOMONTH(B1490,0))),30,MIN(30,IF(T1490=0,EOMONTH(B1490,0),MIN(T1490,EOMONTH(B1490,0)))-MAX(B1490,S1490)+1))))</f>
        <v/>
      </c>
    </row>
    <row r="1491" customFormat="false" ht="15" hidden="false" customHeight="false" outlineLevel="0" collapsed="false">
      <c r="B1491" s="78"/>
      <c r="C1491" s="64"/>
      <c r="D1491" s="70" t="str">
        <f aca="false">IF(C1491="","",IFERROR(INDEX(T_NOMBRE,MATCH(C1491,T_ID,0)),"⚠ ID no existe"))</f>
        <v/>
      </c>
      <c r="E1491" s="69"/>
      <c r="F1491" s="69"/>
      <c r="G1491" s="69"/>
      <c r="H1491" s="69"/>
      <c r="I1491" s="66"/>
      <c r="J1491" s="69"/>
      <c r="K1491" s="67"/>
      <c r="L1491" s="67"/>
      <c r="M1491" s="67"/>
      <c r="N1491" s="67"/>
      <c r="O1491" s="64"/>
      <c r="P1491" s="72" t="str">
        <f aca="false">IF(OR(B1491="",C1491=""),"",C1491&amp;"|"&amp;(YEAR(B1491)*100+MONTH(B1491)))</f>
        <v/>
      </c>
      <c r="Q1491" s="70" t="str">
        <f aca="false">IF(P1491="","",IF(COUNTIF(N_CLAVE,P1491)&gt;1,"⚠ Duplicado","OK"))</f>
        <v/>
      </c>
      <c r="R1491" s="74" t="str">
        <f aca="false">IF(OR(P1491="",U1491=""),"",MAX(0,U1491-N(E1491)-N(F1491)-N(H1491)))</f>
        <v/>
      </c>
      <c r="S1491" s="75" t="str">
        <f aca="false">IF(P1491="","",IFERROR(INDEX(T_INGRESO,MATCH(C1491,T_ID,0)),""))</f>
        <v/>
      </c>
      <c r="T1491" s="75" t="str">
        <f aca="false">IF(P1491="","",IFERROR(N(INDEX(T_EGRESO,MATCH(C1491,T_ID,0))),0))</f>
        <v/>
      </c>
      <c r="U1491" s="73" t="str">
        <f aca="false">IF(OR(P1491="",NOT(ISNUMBER(S1491))),"",IF(OR(S1491&gt;EOMONTH(B1491,0),AND(T1491&gt;0,T1491&lt;B1491)),0,IF(AND(S1491&lt;=B1491,OR(T1491=0,T1491&gt;=EOMONTH(B1491,0))),30,MIN(30,IF(T1491=0,EOMONTH(B1491,0),MIN(T1491,EOMONTH(B1491,0)))-MAX(B1491,S1491)+1))))</f>
        <v/>
      </c>
    </row>
    <row r="1492" customFormat="false" ht="15" hidden="false" customHeight="false" outlineLevel="0" collapsed="false">
      <c r="B1492" s="78"/>
      <c r="C1492" s="64"/>
      <c r="D1492" s="70" t="str">
        <f aca="false">IF(C1492="","",IFERROR(INDEX(T_NOMBRE,MATCH(C1492,T_ID,0)),"⚠ ID no existe"))</f>
        <v/>
      </c>
      <c r="E1492" s="69"/>
      <c r="F1492" s="69"/>
      <c r="G1492" s="69"/>
      <c r="H1492" s="69"/>
      <c r="I1492" s="66"/>
      <c r="J1492" s="69"/>
      <c r="K1492" s="67"/>
      <c r="L1492" s="67"/>
      <c r="M1492" s="67"/>
      <c r="N1492" s="67"/>
      <c r="O1492" s="64"/>
      <c r="P1492" s="72" t="str">
        <f aca="false">IF(OR(B1492="",C1492=""),"",C1492&amp;"|"&amp;(YEAR(B1492)*100+MONTH(B1492)))</f>
        <v/>
      </c>
      <c r="Q1492" s="70" t="str">
        <f aca="false">IF(P1492="","",IF(COUNTIF(N_CLAVE,P1492)&gt;1,"⚠ Duplicado","OK"))</f>
        <v/>
      </c>
      <c r="R1492" s="74" t="str">
        <f aca="false">IF(OR(P1492="",U1492=""),"",MAX(0,U1492-N(E1492)-N(F1492)-N(H1492)))</f>
        <v/>
      </c>
      <c r="S1492" s="75" t="str">
        <f aca="false">IF(P1492="","",IFERROR(INDEX(T_INGRESO,MATCH(C1492,T_ID,0)),""))</f>
        <v/>
      </c>
      <c r="T1492" s="75" t="str">
        <f aca="false">IF(P1492="","",IFERROR(N(INDEX(T_EGRESO,MATCH(C1492,T_ID,0))),0))</f>
        <v/>
      </c>
      <c r="U1492" s="73" t="str">
        <f aca="false">IF(OR(P1492="",NOT(ISNUMBER(S1492))),"",IF(OR(S1492&gt;EOMONTH(B1492,0),AND(T1492&gt;0,T1492&lt;B1492)),0,IF(AND(S1492&lt;=B1492,OR(T1492=0,T1492&gt;=EOMONTH(B1492,0))),30,MIN(30,IF(T1492=0,EOMONTH(B1492,0),MIN(T1492,EOMONTH(B1492,0)))-MAX(B1492,S1492)+1))))</f>
        <v/>
      </c>
    </row>
    <row r="1493" customFormat="false" ht="15" hidden="false" customHeight="false" outlineLevel="0" collapsed="false">
      <c r="B1493" s="78"/>
      <c r="C1493" s="64"/>
      <c r="D1493" s="70" t="str">
        <f aca="false">IF(C1493="","",IFERROR(INDEX(T_NOMBRE,MATCH(C1493,T_ID,0)),"⚠ ID no existe"))</f>
        <v/>
      </c>
      <c r="E1493" s="69"/>
      <c r="F1493" s="69"/>
      <c r="G1493" s="69"/>
      <c r="H1493" s="69"/>
      <c r="I1493" s="66"/>
      <c r="J1493" s="69"/>
      <c r="K1493" s="67"/>
      <c r="L1493" s="67"/>
      <c r="M1493" s="67"/>
      <c r="N1493" s="67"/>
      <c r="O1493" s="64"/>
      <c r="P1493" s="72" t="str">
        <f aca="false">IF(OR(B1493="",C1493=""),"",C1493&amp;"|"&amp;(YEAR(B1493)*100+MONTH(B1493)))</f>
        <v/>
      </c>
      <c r="Q1493" s="70" t="str">
        <f aca="false">IF(P1493="","",IF(COUNTIF(N_CLAVE,P1493)&gt;1,"⚠ Duplicado","OK"))</f>
        <v/>
      </c>
      <c r="R1493" s="74" t="str">
        <f aca="false">IF(OR(P1493="",U1493=""),"",MAX(0,U1493-N(E1493)-N(F1493)-N(H1493)))</f>
        <v/>
      </c>
      <c r="S1493" s="75" t="str">
        <f aca="false">IF(P1493="","",IFERROR(INDEX(T_INGRESO,MATCH(C1493,T_ID,0)),""))</f>
        <v/>
      </c>
      <c r="T1493" s="75" t="str">
        <f aca="false">IF(P1493="","",IFERROR(N(INDEX(T_EGRESO,MATCH(C1493,T_ID,0))),0))</f>
        <v/>
      </c>
      <c r="U1493" s="73" t="str">
        <f aca="false">IF(OR(P1493="",NOT(ISNUMBER(S1493))),"",IF(OR(S1493&gt;EOMONTH(B1493,0),AND(T1493&gt;0,T1493&lt;B1493)),0,IF(AND(S1493&lt;=B1493,OR(T1493=0,T1493&gt;=EOMONTH(B1493,0))),30,MIN(30,IF(T1493=0,EOMONTH(B1493,0),MIN(T1493,EOMONTH(B1493,0)))-MAX(B1493,S1493)+1))))</f>
        <v/>
      </c>
    </row>
    <row r="1494" customFormat="false" ht="15" hidden="false" customHeight="false" outlineLevel="0" collapsed="false">
      <c r="B1494" s="78"/>
      <c r="C1494" s="64"/>
      <c r="D1494" s="70" t="str">
        <f aca="false">IF(C1494="","",IFERROR(INDEX(T_NOMBRE,MATCH(C1494,T_ID,0)),"⚠ ID no existe"))</f>
        <v/>
      </c>
      <c r="E1494" s="69"/>
      <c r="F1494" s="69"/>
      <c r="G1494" s="69"/>
      <c r="H1494" s="69"/>
      <c r="I1494" s="66"/>
      <c r="J1494" s="69"/>
      <c r="K1494" s="67"/>
      <c r="L1494" s="67"/>
      <c r="M1494" s="67"/>
      <c r="N1494" s="67"/>
      <c r="O1494" s="64"/>
      <c r="P1494" s="72" t="str">
        <f aca="false">IF(OR(B1494="",C1494=""),"",C1494&amp;"|"&amp;(YEAR(B1494)*100+MONTH(B1494)))</f>
        <v/>
      </c>
      <c r="Q1494" s="70" t="str">
        <f aca="false">IF(P1494="","",IF(COUNTIF(N_CLAVE,P1494)&gt;1,"⚠ Duplicado","OK"))</f>
        <v/>
      </c>
      <c r="R1494" s="74" t="str">
        <f aca="false">IF(OR(P1494="",U1494=""),"",MAX(0,U1494-N(E1494)-N(F1494)-N(H1494)))</f>
        <v/>
      </c>
      <c r="S1494" s="75" t="str">
        <f aca="false">IF(P1494="","",IFERROR(INDEX(T_INGRESO,MATCH(C1494,T_ID,0)),""))</f>
        <v/>
      </c>
      <c r="T1494" s="75" t="str">
        <f aca="false">IF(P1494="","",IFERROR(N(INDEX(T_EGRESO,MATCH(C1494,T_ID,0))),0))</f>
        <v/>
      </c>
      <c r="U1494" s="73" t="str">
        <f aca="false">IF(OR(P1494="",NOT(ISNUMBER(S1494))),"",IF(OR(S1494&gt;EOMONTH(B1494,0),AND(T1494&gt;0,T1494&lt;B1494)),0,IF(AND(S1494&lt;=B1494,OR(T1494=0,T1494&gt;=EOMONTH(B1494,0))),30,MIN(30,IF(T1494=0,EOMONTH(B1494,0),MIN(T1494,EOMONTH(B1494,0)))-MAX(B1494,S1494)+1))))</f>
        <v/>
      </c>
    </row>
    <row r="1495" customFormat="false" ht="15" hidden="false" customHeight="false" outlineLevel="0" collapsed="false">
      <c r="B1495" s="78"/>
      <c r="C1495" s="64"/>
      <c r="D1495" s="70" t="str">
        <f aca="false">IF(C1495="","",IFERROR(INDEX(T_NOMBRE,MATCH(C1495,T_ID,0)),"⚠ ID no existe"))</f>
        <v/>
      </c>
      <c r="E1495" s="69"/>
      <c r="F1495" s="69"/>
      <c r="G1495" s="69"/>
      <c r="H1495" s="69"/>
      <c r="I1495" s="66"/>
      <c r="J1495" s="69"/>
      <c r="K1495" s="67"/>
      <c r="L1495" s="67"/>
      <c r="M1495" s="67"/>
      <c r="N1495" s="67"/>
      <c r="O1495" s="64"/>
      <c r="P1495" s="72" t="str">
        <f aca="false">IF(OR(B1495="",C1495=""),"",C1495&amp;"|"&amp;(YEAR(B1495)*100+MONTH(B1495)))</f>
        <v/>
      </c>
      <c r="Q1495" s="70" t="str">
        <f aca="false">IF(P1495="","",IF(COUNTIF(N_CLAVE,P1495)&gt;1,"⚠ Duplicado","OK"))</f>
        <v/>
      </c>
      <c r="R1495" s="74" t="str">
        <f aca="false">IF(OR(P1495="",U1495=""),"",MAX(0,U1495-N(E1495)-N(F1495)-N(H1495)))</f>
        <v/>
      </c>
      <c r="S1495" s="75" t="str">
        <f aca="false">IF(P1495="","",IFERROR(INDEX(T_INGRESO,MATCH(C1495,T_ID,0)),""))</f>
        <v/>
      </c>
      <c r="T1495" s="75" t="str">
        <f aca="false">IF(P1495="","",IFERROR(N(INDEX(T_EGRESO,MATCH(C1495,T_ID,0))),0))</f>
        <v/>
      </c>
      <c r="U1495" s="73" t="str">
        <f aca="false">IF(OR(P1495="",NOT(ISNUMBER(S1495))),"",IF(OR(S1495&gt;EOMONTH(B1495,0),AND(T1495&gt;0,T1495&lt;B1495)),0,IF(AND(S1495&lt;=B1495,OR(T1495=0,T1495&gt;=EOMONTH(B1495,0))),30,MIN(30,IF(T1495=0,EOMONTH(B1495,0),MIN(T1495,EOMONTH(B1495,0)))-MAX(B1495,S1495)+1))))</f>
        <v/>
      </c>
    </row>
    <row r="1496" customFormat="false" ht="15" hidden="false" customHeight="false" outlineLevel="0" collapsed="false">
      <c r="B1496" s="78"/>
      <c r="C1496" s="64"/>
      <c r="D1496" s="70" t="str">
        <f aca="false">IF(C1496="","",IFERROR(INDEX(T_NOMBRE,MATCH(C1496,T_ID,0)),"⚠ ID no existe"))</f>
        <v/>
      </c>
      <c r="E1496" s="69"/>
      <c r="F1496" s="69"/>
      <c r="G1496" s="69"/>
      <c r="H1496" s="69"/>
      <c r="I1496" s="66"/>
      <c r="J1496" s="69"/>
      <c r="K1496" s="67"/>
      <c r="L1496" s="67"/>
      <c r="M1496" s="67"/>
      <c r="N1496" s="67"/>
      <c r="O1496" s="64"/>
      <c r="P1496" s="72" t="str">
        <f aca="false">IF(OR(B1496="",C1496=""),"",C1496&amp;"|"&amp;(YEAR(B1496)*100+MONTH(B1496)))</f>
        <v/>
      </c>
      <c r="Q1496" s="70" t="str">
        <f aca="false">IF(P1496="","",IF(COUNTIF(N_CLAVE,P1496)&gt;1,"⚠ Duplicado","OK"))</f>
        <v/>
      </c>
      <c r="R1496" s="74" t="str">
        <f aca="false">IF(OR(P1496="",U1496=""),"",MAX(0,U1496-N(E1496)-N(F1496)-N(H1496)))</f>
        <v/>
      </c>
      <c r="S1496" s="75" t="str">
        <f aca="false">IF(P1496="","",IFERROR(INDEX(T_INGRESO,MATCH(C1496,T_ID,0)),""))</f>
        <v/>
      </c>
      <c r="T1496" s="75" t="str">
        <f aca="false">IF(P1496="","",IFERROR(N(INDEX(T_EGRESO,MATCH(C1496,T_ID,0))),0))</f>
        <v/>
      </c>
      <c r="U1496" s="73" t="str">
        <f aca="false">IF(OR(P1496="",NOT(ISNUMBER(S1496))),"",IF(OR(S1496&gt;EOMONTH(B1496,0),AND(T1496&gt;0,T1496&lt;B1496)),0,IF(AND(S1496&lt;=B1496,OR(T1496=0,T1496&gt;=EOMONTH(B1496,0))),30,MIN(30,IF(T1496=0,EOMONTH(B1496,0),MIN(T1496,EOMONTH(B1496,0)))-MAX(B1496,S1496)+1))))</f>
        <v/>
      </c>
    </row>
    <row r="1497" customFormat="false" ht="15" hidden="false" customHeight="false" outlineLevel="0" collapsed="false">
      <c r="B1497" s="78"/>
      <c r="C1497" s="64"/>
      <c r="D1497" s="70" t="str">
        <f aca="false">IF(C1497="","",IFERROR(INDEX(T_NOMBRE,MATCH(C1497,T_ID,0)),"⚠ ID no existe"))</f>
        <v/>
      </c>
      <c r="E1497" s="69"/>
      <c r="F1497" s="69"/>
      <c r="G1497" s="69"/>
      <c r="H1497" s="69"/>
      <c r="I1497" s="66"/>
      <c r="J1497" s="69"/>
      <c r="K1497" s="67"/>
      <c r="L1497" s="67"/>
      <c r="M1497" s="67"/>
      <c r="N1497" s="67"/>
      <c r="O1497" s="64"/>
      <c r="P1497" s="72" t="str">
        <f aca="false">IF(OR(B1497="",C1497=""),"",C1497&amp;"|"&amp;(YEAR(B1497)*100+MONTH(B1497)))</f>
        <v/>
      </c>
      <c r="Q1497" s="70" t="str">
        <f aca="false">IF(P1497="","",IF(COUNTIF(N_CLAVE,P1497)&gt;1,"⚠ Duplicado","OK"))</f>
        <v/>
      </c>
      <c r="R1497" s="74" t="str">
        <f aca="false">IF(OR(P1497="",U1497=""),"",MAX(0,U1497-N(E1497)-N(F1497)-N(H1497)))</f>
        <v/>
      </c>
      <c r="S1497" s="75" t="str">
        <f aca="false">IF(P1497="","",IFERROR(INDEX(T_INGRESO,MATCH(C1497,T_ID,0)),""))</f>
        <v/>
      </c>
      <c r="T1497" s="75" t="str">
        <f aca="false">IF(P1497="","",IFERROR(N(INDEX(T_EGRESO,MATCH(C1497,T_ID,0))),0))</f>
        <v/>
      </c>
      <c r="U1497" s="73" t="str">
        <f aca="false">IF(OR(P1497="",NOT(ISNUMBER(S1497))),"",IF(OR(S1497&gt;EOMONTH(B1497,0),AND(T1497&gt;0,T1497&lt;B1497)),0,IF(AND(S1497&lt;=B1497,OR(T1497=0,T1497&gt;=EOMONTH(B1497,0))),30,MIN(30,IF(T1497=0,EOMONTH(B1497,0),MIN(T1497,EOMONTH(B1497,0)))-MAX(B1497,S1497)+1))))</f>
        <v/>
      </c>
    </row>
    <row r="1498" customFormat="false" ht="15" hidden="false" customHeight="false" outlineLevel="0" collapsed="false">
      <c r="B1498" s="78"/>
      <c r="C1498" s="64"/>
      <c r="D1498" s="70" t="str">
        <f aca="false">IF(C1498="","",IFERROR(INDEX(T_NOMBRE,MATCH(C1498,T_ID,0)),"⚠ ID no existe"))</f>
        <v/>
      </c>
      <c r="E1498" s="69"/>
      <c r="F1498" s="69"/>
      <c r="G1498" s="69"/>
      <c r="H1498" s="69"/>
      <c r="I1498" s="66"/>
      <c r="J1498" s="69"/>
      <c r="K1498" s="67"/>
      <c r="L1498" s="67"/>
      <c r="M1498" s="67"/>
      <c r="N1498" s="67"/>
      <c r="O1498" s="64"/>
      <c r="P1498" s="72" t="str">
        <f aca="false">IF(OR(B1498="",C1498=""),"",C1498&amp;"|"&amp;(YEAR(B1498)*100+MONTH(B1498)))</f>
        <v/>
      </c>
      <c r="Q1498" s="70" t="str">
        <f aca="false">IF(P1498="","",IF(COUNTIF(N_CLAVE,P1498)&gt;1,"⚠ Duplicado","OK"))</f>
        <v/>
      </c>
      <c r="R1498" s="74" t="str">
        <f aca="false">IF(OR(P1498="",U1498=""),"",MAX(0,U1498-N(E1498)-N(F1498)-N(H1498)))</f>
        <v/>
      </c>
      <c r="S1498" s="75" t="str">
        <f aca="false">IF(P1498="","",IFERROR(INDEX(T_INGRESO,MATCH(C1498,T_ID,0)),""))</f>
        <v/>
      </c>
      <c r="T1498" s="75" t="str">
        <f aca="false">IF(P1498="","",IFERROR(N(INDEX(T_EGRESO,MATCH(C1498,T_ID,0))),0))</f>
        <v/>
      </c>
      <c r="U1498" s="73" t="str">
        <f aca="false">IF(OR(P1498="",NOT(ISNUMBER(S1498))),"",IF(OR(S1498&gt;EOMONTH(B1498,0),AND(T1498&gt;0,T1498&lt;B1498)),0,IF(AND(S1498&lt;=B1498,OR(T1498=0,T1498&gt;=EOMONTH(B1498,0))),30,MIN(30,IF(T1498=0,EOMONTH(B1498,0),MIN(T1498,EOMONTH(B1498,0)))-MAX(B1498,S1498)+1))))</f>
        <v/>
      </c>
    </row>
    <row r="1499" customFormat="false" ht="15" hidden="false" customHeight="false" outlineLevel="0" collapsed="false">
      <c r="B1499" s="78"/>
      <c r="C1499" s="64"/>
      <c r="D1499" s="70" t="str">
        <f aca="false">IF(C1499="","",IFERROR(INDEX(T_NOMBRE,MATCH(C1499,T_ID,0)),"⚠ ID no existe"))</f>
        <v/>
      </c>
      <c r="E1499" s="69"/>
      <c r="F1499" s="69"/>
      <c r="G1499" s="69"/>
      <c r="H1499" s="69"/>
      <c r="I1499" s="66"/>
      <c r="J1499" s="69"/>
      <c r="K1499" s="67"/>
      <c r="L1499" s="67"/>
      <c r="M1499" s="67"/>
      <c r="N1499" s="67"/>
      <c r="O1499" s="64"/>
      <c r="P1499" s="72" t="str">
        <f aca="false">IF(OR(B1499="",C1499=""),"",C1499&amp;"|"&amp;(YEAR(B1499)*100+MONTH(B1499)))</f>
        <v/>
      </c>
      <c r="Q1499" s="70" t="str">
        <f aca="false">IF(P1499="","",IF(COUNTIF(N_CLAVE,P1499)&gt;1,"⚠ Duplicado","OK"))</f>
        <v/>
      </c>
      <c r="R1499" s="74" t="str">
        <f aca="false">IF(OR(P1499="",U1499=""),"",MAX(0,U1499-N(E1499)-N(F1499)-N(H1499)))</f>
        <v/>
      </c>
      <c r="S1499" s="75" t="str">
        <f aca="false">IF(P1499="","",IFERROR(INDEX(T_INGRESO,MATCH(C1499,T_ID,0)),""))</f>
        <v/>
      </c>
      <c r="T1499" s="75" t="str">
        <f aca="false">IF(P1499="","",IFERROR(N(INDEX(T_EGRESO,MATCH(C1499,T_ID,0))),0))</f>
        <v/>
      </c>
      <c r="U1499" s="73" t="str">
        <f aca="false">IF(OR(P1499="",NOT(ISNUMBER(S1499))),"",IF(OR(S1499&gt;EOMONTH(B1499,0),AND(T1499&gt;0,T1499&lt;B1499)),0,IF(AND(S1499&lt;=B1499,OR(T1499=0,T1499&gt;=EOMONTH(B1499,0))),30,MIN(30,IF(T1499=0,EOMONTH(B1499,0),MIN(T1499,EOMONTH(B1499,0)))-MAX(B1499,S1499)+1))))</f>
        <v/>
      </c>
    </row>
    <row r="1500" customFormat="false" ht="15" hidden="false" customHeight="false" outlineLevel="0" collapsed="false">
      <c r="B1500" s="78"/>
      <c r="C1500" s="64"/>
      <c r="D1500" s="70" t="str">
        <f aca="false">IF(C1500="","",IFERROR(INDEX(T_NOMBRE,MATCH(C1500,T_ID,0)),"⚠ ID no existe"))</f>
        <v/>
      </c>
      <c r="E1500" s="69"/>
      <c r="F1500" s="69"/>
      <c r="G1500" s="69"/>
      <c r="H1500" s="69"/>
      <c r="I1500" s="66"/>
      <c r="J1500" s="69"/>
      <c r="K1500" s="67"/>
      <c r="L1500" s="67"/>
      <c r="M1500" s="67"/>
      <c r="N1500" s="67"/>
      <c r="O1500" s="64"/>
      <c r="P1500" s="72" t="str">
        <f aca="false">IF(OR(B1500="",C1500=""),"",C1500&amp;"|"&amp;(YEAR(B1500)*100+MONTH(B1500)))</f>
        <v/>
      </c>
      <c r="Q1500" s="70" t="str">
        <f aca="false">IF(P1500="","",IF(COUNTIF(N_CLAVE,P1500)&gt;1,"⚠ Duplicado","OK"))</f>
        <v/>
      </c>
      <c r="R1500" s="74" t="str">
        <f aca="false">IF(OR(P1500="",U1500=""),"",MAX(0,U1500-N(E1500)-N(F1500)-N(H1500)))</f>
        <v/>
      </c>
      <c r="S1500" s="75" t="str">
        <f aca="false">IF(P1500="","",IFERROR(INDEX(T_INGRESO,MATCH(C1500,T_ID,0)),""))</f>
        <v/>
      </c>
      <c r="T1500" s="75" t="str">
        <f aca="false">IF(P1500="","",IFERROR(N(INDEX(T_EGRESO,MATCH(C1500,T_ID,0))),0))</f>
        <v/>
      </c>
      <c r="U1500" s="73" t="str">
        <f aca="false">IF(OR(P1500="",NOT(ISNUMBER(S1500))),"",IF(OR(S1500&gt;EOMONTH(B1500,0),AND(T1500&gt;0,T1500&lt;B1500)),0,IF(AND(S1500&lt;=B1500,OR(T1500=0,T1500&gt;=EOMONTH(B1500,0))),30,MIN(30,IF(T1500=0,EOMONTH(B1500,0),MIN(T1500,EOMONTH(B1500,0)))-MAX(B1500,S1500)+1))))</f>
        <v/>
      </c>
    </row>
    <row r="1501" customFormat="false" ht="15" hidden="false" customHeight="false" outlineLevel="0" collapsed="false">
      <c r="B1501" s="78"/>
      <c r="C1501" s="64"/>
      <c r="D1501" s="70" t="str">
        <f aca="false">IF(C1501="","",IFERROR(INDEX(T_NOMBRE,MATCH(C1501,T_ID,0)),"⚠ ID no existe"))</f>
        <v/>
      </c>
      <c r="E1501" s="69"/>
      <c r="F1501" s="69"/>
      <c r="G1501" s="69"/>
      <c r="H1501" s="69"/>
      <c r="I1501" s="66"/>
      <c r="J1501" s="69"/>
      <c r="K1501" s="67"/>
      <c r="L1501" s="67"/>
      <c r="M1501" s="67"/>
      <c r="N1501" s="67"/>
      <c r="O1501" s="64"/>
      <c r="P1501" s="72" t="str">
        <f aca="false">IF(OR(B1501="",C1501=""),"",C1501&amp;"|"&amp;(YEAR(B1501)*100+MONTH(B1501)))</f>
        <v/>
      </c>
      <c r="Q1501" s="70" t="str">
        <f aca="false">IF(P1501="","",IF(COUNTIF(N_CLAVE,P1501)&gt;1,"⚠ Duplicado","OK"))</f>
        <v/>
      </c>
      <c r="R1501" s="74" t="str">
        <f aca="false">IF(OR(P1501="",U1501=""),"",MAX(0,U1501-N(E1501)-N(F1501)-N(H1501)))</f>
        <v/>
      </c>
      <c r="S1501" s="75" t="str">
        <f aca="false">IF(P1501="","",IFERROR(INDEX(T_INGRESO,MATCH(C1501,T_ID,0)),""))</f>
        <v/>
      </c>
      <c r="T1501" s="75" t="str">
        <f aca="false">IF(P1501="","",IFERROR(N(INDEX(T_EGRESO,MATCH(C1501,T_ID,0))),0))</f>
        <v/>
      </c>
      <c r="U1501" s="73" t="str">
        <f aca="false">IF(OR(P1501="",NOT(ISNUMBER(S1501))),"",IF(OR(S1501&gt;EOMONTH(B1501,0),AND(T1501&gt;0,T1501&lt;B1501)),0,IF(AND(S1501&lt;=B1501,OR(T1501=0,T1501&gt;=EOMONTH(B1501,0))),30,MIN(30,IF(T1501=0,EOMONTH(B1501,0),MIN(T1501,EOMONTH(B1501,0)))-MAX(B1501,S1501)+1))))</f>
        <v/>
      </c>
    </row>
    <row r="1502" customFormat="false" ht="15" hidden="false" customHeight="false" outlineLevel="0" collapsed="false">
      <c r="B1502" s="78"/>
      <c r="C1502" s="64"/>
      <c r="D1502" s="70" t="str">
        <f aca="false">IF(C1502="","",IFERROR(INDEX(T_NOMBRE,MATCH(C1502,T_ID,0)),"⚠ ID no existe"))</f>
        <v/>
      </c>
      <c r="E1502" s="69"/>
      <c r="F1502" s="69"/>
      <c r="G1502" s="69"/>
      <c r="H1502" s="69"/>
      <c r="I1502" s="66"/>
      <c r="J1502" s="69"/>
      <c r="K1502" s="67"/>
      <c r="L1502" s="67"/>
      <c r="M1502" s="67"/>
      <c r="N1502" s="67"/>
      <c r="O1502" s="64"/>
      <c r="P1502" s="72" t="str">
        <f aca="false">IF(OR(B1502="",C1502=""),"",C1502&amp;"|"&amp;(YEAR(B1502)*100+MONTH(B1502)))</f>
        <v/>
      </c>
      <c r="Q1502" s="70" t="str">
        <f aca="false">IF(P1502="","",IF(COUNTIF(N_CLAVE,P1502)&gt;1,"⚠ Duplicado","OK"))</f>
        <v/>
      </c>
      <c r="R1502" s="74" t="str">
        <f aca="false">IF(OR(P1502="",U1502=""),"",MAX(0,U1502-N(E1502)-N(F1502)-N(H1502)))</f>
        <v/>
      </c>
      <c r="S1502" s="75" t="str">
        <f aca="false">IF(P1502="","",IFERROR(INDEX(T_INGRESO,MATCH(C1502,T_ID,0)),""))</f>
        <v/>
      </c>
      <c r="T1502" s="75" t="str">
        <f aca="false">IF(P1502="","",IFERROR(N(INDEX(T_EGRESO,MATCH(C1502,T_ID,0))),0))</f>
        <v/>
      </c>
      <c r="U1502" s="73" t="str">
        <f aca="false">IF(OR(P1502="",NOT(ISNUMBER(S1502))),"",IF(OR(S1502&gt;EOMONTH(B1502,0),AND(T1502&gt;0,T1502&lt;B1502)),0,IF(AND(S1502&lt;=B1502,OR(T1502=0,T1502&gt;=EOMONTH(B1502,0))),30,MIN(30,IF(T1502=0,EOMONTH(B1502,0),MIN(T1502,EOMONTH(B1502,0)))-MAX(B1502,S1502)+1))))</f>
        <v/>
      </c>
    </row>
    <row r="1503" customFormat="false" ht="15" hidden="false" customHeight="false" outlineLevel="0" collapsed="false">
      <c r="B1503" s="78"/>
      <c r="C1503" s="64"/>
      <c r="D1503" s="70" t="str">
        <f aca="false">IF(C1503="","",IFERROR(INDEX(T_NOMBRE,MATCH(C1503,T_ID,0)),"⚠ ID no existe"))</f>
        <v/>
      </c>
      <c r="E1503" s="69"/>
      <c r="F1503" s="69"/>
      <c r="G1503" s="69"/>
      <c r="H1503" s="69"/>
      <c r="I1503" s="66"/>
      <c r="J1503" s="69"/>
      <c r="K1503" s="67"/>
      <c r="L1503" s="67"/>
      <c r="M1503" s="67"/>
      <c r="N1503" s="67"/>
      <c r="O1503" s="64"/>
      <c r="P1503" s="72" t="str">
        <f aca="false">IF(OR(B1503="",C1503=""),"",C1503&amp;"|"&amp;(YEAR(B1503)*100+MONTH(B1503)))</f>
        <v/>
      </c>
      <c r="Q1503" s="70" t="str">
        <f aca="false">IF(P1503="","",IF(COUNTIF(N_CLAVE,P1503)&gt;1,"⚠ Duplicado","OK"))</f>
        <v/>
      </c>
      <c r="R1503" s="74" t="str">
        <f aca="false">IF(OR(P1503="",U1503=""),"",MAX(0,U1503-N(E1503)-N(F1503)-N(H1503)))</f>
        <v/>
      </c>
      <c r="S1503" s="75" t="str">
        <f aca="false">IF(P1503="","",IFERROR(INDEX(T_INGRESO,MATCH(C1503,T_ID,0)),""))</f>
        <v/>
      </c>
      <c r="T1503" s="75" t="str">
        <f aca="false">IF(P1503="","",IFERROR(N(INDEX(T_EGRESO,MATCH(C1503,T_ID,0))),0))</f>
        <v/>
      </c>
      <c r="U1503" s="73" t="str">
        <f aca="false">IF(OR(P1503="",NOT(ISNUMBER(S1503))),"",IF(OR(S1503&gt;EOMONTH(B1503,0),AND(T1503&gt;0,T1503&lt;B1503)),0,IF(AND(S1503&lt;=B1503,OR(T1503=0,T1503&gt;=EOMONTH(B1503,0))),30,MIN(30,IF(T1503=0,EOMONTH(B1503,0),MIN(T1503,EOMONTH(B1503,0)))-MAX(B1503,S1503)+1))))</f>
        <v/>
      </c>
    </row>
    <row r="1504" customFormat="false" ht="15" hidden="false" customHeight="false" outlineLevel="0" collapsed="false">
      <c r="B1504" s="78"/>
      <c r="C1504" s="64"/>
      <c r="D1504" s="70" t="str">
        <f aca="false">IF(C1504="","",IFERROR(INDEX(T_NOMBRE,MATCH(C1504,T_ID,0)),"⚠ ID no existe"))</f>
        <v/>
      </c>
      <c r="E1504" s="69"/>
      <c r="F1504" s="69"/>
      <c r="G1504" s="69"/>
      <c r="H1504" s="69"/>
      <c r="I1504" s="66"/>
      <c r="J1504" s="69"/>
      <c r="K1504" s="67"/>
      <c r="L1504" s="67"/>
      <c r="M1504" s="67"/>
      <c r="N1504" s="67"/>
      <c r="O1504" s="64"/>
      <c r="P1504" s="72" t="str">
        <f aca="false">IF(OR(B1504="",C1504=""),"",C1504&amp;"|"&amp;(YEAR(B1504)*100+MONTH(B1504)))</f>
        <v/>
      </c>
      <c r="Q1504" s="70" t="str">
        <f aca="false">IF(P1504="","",IF(COUNTIF(N_CLAVE,P1504)&gt;1,"⚠ Duplicado","OK"))</f>
        <v/>
      </c>
      <c r="R1504" s="74" t="str">
        <f aca="false">IF(OR(P1504="",U1504=""),"",MAX(0,U1504-N(E1504)-N(F1504)-N(H1504)))</f>
        <v/>
      </c>
      <c r="S1504" s="75" t="str">
        <f aca="false">IF(P1504="","",IFERROR(INDEX(T_INGRESO,MATCH(C1504,T_ID,0)),""))</f>
        <v/>
      </c>
      <c r="T1504" s="75" t="str">
        <f aca="false">IF(P1504="","",IFERROR(N(INDEX(T_EGRESO,MATCH(C1504,T_ID,0))),0))</f>
        <v/>
      </c>
      <c r="U1504" s="73" t="str">
        <f aca="false">IF(OR(P1504="",NOT(ISNUMBER(S1504))),"",IF(OR(S1504&gt;EOMONTH(B1504,0),AND(T1504&gt;0,T1504&lt;B1504)),0,IF(AND(S1504&lt;=B1504,OR(T1504=0,T1504&gt;=EOMONTH(B1504,0))),30,MIN(30,IF(T1504=0,EOMONTH(B1504,0),MIN(T1504,EOMONTH(B1504,0)))-MAX(B1504,S1504)+1))))</f>
        <v/>
      </c>
    </row>
    <row r="1505" customFormat="false" ht="15" hidden="false" customHeight="false" outlineLevel="0" collapsed="false">
      <c r="B1505" s="78"/>
      <c r="C1505" s="64"/>
      <c r="D1505" s="70" t="str">
        <f aca="false">IF(C1505="","",IFERROR(INDEX(T_NOMBRE,MATCH(C1505,T_ID,0)),"⚠ ID no existe"))</f>
        <v/>
      </c>
      <c r="E1505" s="69"/>
      <c r="F1505" s="69"/>
      <c r="G1505" s="69"/>
      <c r="H1505" s="69"/>
      <c r="I1505" s="66"/>
      <c r="J1505" s="69"/>
      <c r="K1505" s="67"/>
      <c r="L1505" s="67"/>
      <c r="M1505" s="67"/>
      <c r="N1505" s="67"/>
      <c r="O1505" s="64"/>
      <c r="P1505" s="72" t="str">
        <f aca="false">IF(OR(B1505="",C1505=""),"",C1505&amp;"|"&amp;(YEAR(B1505)*100+MONTH(B1505)))</f>
        <v/>
      </c>
      <c r="Q1505" s="70" t="str">
        <f aca="false">IF(P1505="","",IF(COUNTIF(N_CLAVE,P1505)&gt;1,"⚠ Duplicado","OK"))</f>
        <v/>
      </c>
      <c r="R1505" s="74" t="str">
        <f aca="false">IF(OR(P1505="",U1505=""),"",MAX(0,U1505-N(E1505)-N(F1505)-N(H1505)))</f>
        <v/>
      </c>
      <c r="S1505" s="75" t="str">
        <f aca="false">IF(P1505="","",IFERROR(INDEX(T_INGRESO,MATCH(C1505,T_ID,0)),""))</f>
        <v/>
      </c>
      <c r="T1505" s="75" t="str">
        <f aca="false">IF(P1505="","",IFERROR(N(INDEX(T_EGRESO,MATCH(C1505,T_ID,0))),0))</f>
        <v/>
      </c>
      <c r="U1505" s="73" t="str">
        <f aca="false">IF(OR(P1505="",NOT(ISNUMBER(S1505))),"",IF(OR(S1505&gt;EOMONTH(B1505,0),AND(T1505&gt;0,T1505&lt;B1505)),0,IF(AND(S1505&lt;=B1505,OR(T1505=0,T1505&gt;=EOMONTH(B1505,0))),30,MIN(30,IF(T1505=0,EOMONTH(B1505,0),MIN(T1505,EOMONTH(B1505,0)))-MAX(B1505,S1505)+1))))</f>
        <v/>
      </c>
    </row>
    <row r="1506" customFormat="false" ht="15" hidden="false" customHeight="false" outlineLevel="0" collapsed="false">
      <c r="B1506" s="78"/>
      <c r="C1506" s="64"/>
      <c r="D1506" s="70" t="str">
        <f aca="false">IF(C1506="","",IFERROR(INDEX(T_NOMBRE,MATCH(C1506,T_ID,0)),"⚠ ID no existe"))</f>
        <v/>
      </c>
      <c r="E1506" s="69"/>
      <c r="F1506" s="69"/>
      <c r="G1506" s="69"/>
      <c r="H1506" s="69"/>
      <c r="I1506" s="66"/>
      <c r="J1506" s="69"/>
      <c r="K1506" s="67"/>
      <c r="L1506" s="67"/>
      <c r="M1506" s="67"/>
      <c r="N1506" s="67"/>
      <c r="O1506" s="64"/>
      <c r="P1506" s="72" t="str">
        <f aca="false">IF(OR(B1506="",C1506=""),"",C1506&amp;"|"&amp;(YEAR(B1506)*100+MONTH(B1506)))</f>
        <v/>
      </c>
      <c r="Q1506" s="70" t="str">
        <f aca="false">IF(P1506="","",IF(COUNTIF(N_CLAVE,P1506)&gt;1,"⚠ Duplicado","OK"))</f>
        <v/>
      </c>
      <c r="R1506" s="74" t="str">
        <f aca="false">IF(OR(P1506="",U1506=""),"",MAX(0,U1506-N(E1506)-N(F1506)-N(H1506)))</f>
        <v/>
      </c>
      <c r="S1506" s="75" t="str">
        <f aca="false">IF(P1506="","",IFERROR(INDEX(T_INGRESO,MATCH(C1506,T_ID,0)),""))</f>
        <v/>
      </c>
      <c r="T1506" s="75" t="str">
        <f aca="false">IF(P1506="","",IFERROR(N(INDEX(T_EGRESO,MATCH(C1506,T_ID,0))),0))</f>
        <v/>
      </c>
      <c r="U1506" s="73" t="str">
        <f aca="false">IF(OR(P1506="",NOT(ISNUMBER(S1506))),"",IF(OR(S1506&gt;EOMONTH(B1506,0),AND(T1506&gt;0,T1506&lt;B1506)),0,IF(AND(S1506&lt;=B1506,OR(T1506=0,T1506&gt;=EOMONTH(B1506,0))),30,MIN(30,IF(T1506=0,EOMONTH(B1506,0),MIN(T1506,EOMONTH(B1506,0)))-MAX(B1506,S1506)+1))))</f>
        <v/>
      </c>
    </row>
    <row r="1507" customFormat="false" ht="15" hidden="false" customHeight="false" outlineLevel="0" collapsed="false">
      <c r="B1507" s="78"/>
      <c r="C1507" s="64"/>
      <c r="D1507" s="70" t="str">
        <f aca="false">IF(C1507="","",IFERROR(INDEX(T_NOMBRE,MATCH(C1507,T_ID,0)),"⚠ ID no existe"))</f>
        <v/>
      </c>
      <c r="E1507" s="69"/>
      <c r="F1507" s="69"/>
      <c r="G1507" s="69"/>
      <c r="H1507" s="69"/>
      <c r="I1507" s="66"/>
      <c r="J1507" s="69"/>
      <c r="K1507" s="67"/>
      <c r="L1507" s="67"/>
      <c r="M1507" s="67"/>
      <c r="N1507" s="67"/>
      <c r="O1507" s="64"/>
      <c r="P1507" s="72" t="str">
        <f aca="false">IF(OR(B1507="",C1507=""),"",C1507&amp;"|"&amp;(YEAR(B1507)*100+MONTH(B1507)))</f>
        <v/>
      </c>
      <c r="Q1507" s="70" t="str">
        <f aca="false">IF(P1507="","",IF(COUNTIF(N_CLAVE,P1507)&gt;1,"⚠ Duplicado","OK"))</f>
        <v/>
      </c>
      <c r="R1507" s="74" t="str">
        <f aca="false">IF(OR(P1507="",U1507=""),"",MAX(0,U1507-N(E1507)-N(F1507)-N(H1507)))</f>
        <v/>
      </c>
      <c r="S1507" s="75" t="str">
        <f aca="false">IF(P1507="","",IFERROR(INDEX(T_INGRESO,MATCH(C1507,T_ID,0)),""))</f>
        <v/>
      </c>
      <c r="T1507" s="75" t="str">
        <f aca="false">IF(P1507="","",IFERROR(N(INDEX(T_EGRESO,MATCH(C1507,T_ID,0))),0))</f>
        <v/>
      </c>
      <c r="U1507" s="73" t="str">
        <f aca="false">IF(OR(P1507="",NOT(ISNUMBER(S1507))),"",IF(OR(S1507&gt;EOMONTH(B1507,0),AND(T1507&gt;0,T1507&lt;B1507)),0,IF(AND(S1507&lt;=B1507,OR(T1507=0,T1507&gt;=EOMONTH(B1507,0))),30,MIN(30,IF(T1507=0,EOMONTH(B1507,0),MIN(T1507,EOMONTH(B1507,0)))-MAX(B1507,S1507)+1))))</f>
        <v/>
      </c>
    </row>
    <row r="1508" customFormat="false" ht="15" hidden="false" customHeight="false" outlineLevel="0" collapsed="false">
      <c r="B1508" s="78"/>
      <c r="C1508" s="64"/>
      <c r="D1508" s="70" t="str">
        <f aca="false">IF(C1508="","",IFERROR(INDEX(T_NOMBRE,MATCH(C1508,T_ID,0)),"⚠ ID no existe"))</f>
        <v/>
      </c>
      <c r="E1508" s="69"/>
      <c r="F1508" s="69"/>
      <c r="G1508" s="69"/>
      <c r="H1508" s="69"/>
      <c r="I1508" s="66"/>
      <c r="J1508" s="69"/>
      <c r="K1508" s="67"/>
      <c r="L1508" s="67"/>
      <c r="M1508" s="67"/>
      <c r="N1508" s="67"/>
      <c r="O1508" s="64"/>
      <c r="P1508" s="72" t="str">
        <f aca="false">IF(OR(B1508="",C1508=""),"",C1508&amp;"|"&amp;(YEAR(B1508)*100+MONTH(B1508)))</f>
        <v/>
      </c>
      <c r="Q1508" s="70" t="str">
        <f aca="false">IF(P1508="","",IF(COUNTIF(N_CLAVE,P1508)&gt;1,"⚠ Duplicado","OK"))</f>
        <v/>
      </c>
      <c r="R1508" s="74" t="str">
        <f aca="false">IF(OR(P1508="",U1508=""),"",MAX(0,U1508-N(E1508)-N(F1508)-N(H1508)))</f>
        <v/>
      </c>
      <c r="S1508" s="75" t="str">
        <f aca="false">IF(P1508="","",IFERROR(INDEX(T_INGRESO,MATCH(C1508,T_ID,0)),""))</f>
        <v/>
      </c>
      <c r="T1508" s="75" t="str">
        <f aca="false">IF(P1508="","",IFERROR(N(INDEX(T_EGRESO,MATCH(C1508,T_ID,0))),0))</f>
        <v/>
      </c>
      <c r="U1508" s="73" t="str">
        <f aca="false">IF(OR(P1508="",NOT(ISNUMBER(S1508))),"",IF(OR(S1508&gt;EOMONTH(B1508,0),AND(T1508&gt;0,T1508&lt;B1508)),0,IF(AND(S1508&lt;=B1508,OR(T1508=0,T1508&gt;=EOMONTH(B1508,0))),30,MIN(30,IF(T1508=0,EOMONTH(B1508,0),MIN(T1508,EOMONTH(B1508,0)))-MAX(B1508,S1508)+1))))</f>
        <v/>
      </c>
    </row>
    <row r="1509" customFormat="false" ht="15" hidden="false" customHeight="false" outlineLevel="0" collapsed="false">
      <c r="B1509" s="78"/>
      <c r="C1509" s="64"/>
      <c r="D1509" s="70" t="str">
        <f aca="false">IF(C1509="","",IFERROR(INDEX(T_NOMBRE,MATCH(C1509,T_ID,0)),"⚠ ID no existe"))</f>
        <v/>
      </c>
      <c r="E1509" s="69"/>
      <c r="F1509" s="69"/>
      <c r="G1509" s="69"/>
      <c r="H1509" s="69"/>
      <c r="I1509" s="66"/>
      <c r="J1509" s="69"/>
      <c r="K1509" s="67"/>
      <c r="L1509" s="67"/>
      <c r="M1509" s="67"/>
      <c r="N1509" s="67"/>
      <c r="O1509" s="64"/>
      <c r="P1509" s="72" t="str">
        <f aca="false">IF(OR(B1509="",C1509=""),"",C1509&amp;"|"&amp;(YEAR(B1509)*100+MONTH(B1509)))</f>
        <v/>
      </c>
      <c r="Q1509" s="70" t="str">
        <f aca="false">IF(P1509="","",IF(COUNTIF(N_CLAVE,P1509)&gt;1,"⚠ Duplicado","OK"))</f>
        <v/>
      </c>
      <c r="R1509" s="74" t="str">
        <f aca="false">IF(OR(P1509="",U1509=""),"",MAX(0,U1509-N(E1509)-N(F1509)-N(H1509)))</f>
        <v/>
      </c>
      <c r="S1509" s="75" t="str">
        <f aca="false">IF(P1509="","",IFERROR(INDEX(T_INGRESO,MATCH(C1509,T_ID,0)),""))</f>
        <v/>
      </c>
      <c r="T1509" s="75" t="str">
        <f aca="false">IF(P1509="","",IFERROR(N(INDEX(T_EGRESO,MATCH(C1509,T_ID,0))),0))</f>
        <v/>
      </c>
      <c r="U1509" s="73" t="str">
        <f aca="false">IF(OR(P1509="",NOT(ISNUMBER(S1509))),"",IF(OR(S1509&gt;EOMONTH(B1509,0),AND(T1509&gt;0,T1509&lt;B1509)),0,IF(AND(S1509&lt;=B1509,OR(T1509=0,T1509&gt;=EOMONTH(B1509,0))),30,MIN(30,IF(T1509=0,EOMONTH(B1509,0),MIN(T1509,EOMONTH(B1509,0)))-MAX(B1509,S1509)+1))))</f>
        <v/>
      </c>
    </row>
    <row r="1510" customFormat="false" ht="15" hidden="false" customHeight="false" outlineLevel="0" collapsed="false">
      <c r="B1510" s="78"/>
      <c r="C1510" s="64"/>
      <c r="D1510" s="70" t="str">
        <f aca="false">IF(C1510="","",IFERROR(INDEX(T_NOMBRE,MATCH(C1510,T_ID,0)),"⚠ ID no existe"))</f>
        <v/>
      </c>
      <c r="E1510" s="69"/>
      <c r="F1510" s="69"/>
      <c r="G1510" s="69"/>
      <c r="H1510" s="69"/>
      <c r="I1510" s="66"/>
      <c r="J1510" s="69"/>
      <c r="K1510" s="67"/>
      <c r="L1510" s="67"/>
      <c r="M1510" s="67"/>
      <c r="N1510" s="67"/>
      <c r="O1510" s="64"/>
      <c r="P1510" s="72" t="str">
        <f aca="false">IF(OR(B1510="",C1510=""),"",C1510&amp;"|"&amp;(YEAR(B1510)*100+MONTH(B1510)))</f>
        <v/>
      </c>
      <c r="Q1510" s="70" t="str">
        <f aca="false">IF(P1510="","",IF(COUNTIF(N_CLAVE,P1510)&gt;1,"⚠ Duplicado","OK"))</f>
        <v/>
      </c>
      <c r="R1510" s="74" t="str">
        <f aca="false">IF(OR(P1510="",U1510=""),"",MAX(0,U1510-N(E1510)-N(F1510)-N(H1510)))</f>
        <v/>
      </c>
      <c r="S1510" s="75" t="str">
        <f aca="false">IF(P1510="","",IFERROR(INDEX(T_INGRESO,MATCH(C1510,T_ID,0)),""))</f>
        <v/>
      </c>
      <c r="T1510" s="75" t="str">
        <f aca="false">IF(P1510="","",IFERROR(N(INDEX(T_EGRESO,MATCH(C1510,T_ID,0))),0))</f>
        <v/>
      </c>
      <c r="U1510" s="73" t="str">
        <f aca="false">IF(OR(P1510="",NOT(ISNUMBER(S1510))),"",IF(OR(S1510&gt;EOMONTH(B1510,0),AND(T1510&gt;0,T1510&lt;B1510)),0,IF(AND(S1510&lt;=B1510,OR(T1510=0,T1510&gt;=EOMONTH(B1510,0))),30,MIN(30,IF(T1510=0,EOMONTH(B1510,0),MIN(T1510,EOMONTH(B1510,0)))-MAX(B1510,S1510)+1))))</f>
        <v/>
      </c>
    </row>
    <row r="1511" customFormat="false" ht="15" hidden="false" customHeight="false" outlineLevel="0" collapsed="false">
      <c r="B1511" s="78"/>
      <c r="C1511" s="64"/>
      <c r="D1511" s="70" t="str">
        <f aca="false">IF(C1511="","",IFERROR(INDEX(T_NOMBRE,MATCH(C1511,T_ID,0)),"⚠ ID no existe"))</f>
        <v/>
      </c>
      <c r="E1511" s="69"/>
      <c r="F1511" s="69"/>
      <c r="G1511" s="69"/>
      <c r="H1511" s="69"/>
      <c r="I1511" s="66"/>
      <c r="J1511" s="69"/>
      <c r="K1511" s="67"/>
      <c r="L1511" s="67"/>
      <c r="M1511" s="67"/>
      <c r="N1511" s="67"/>
      <c r="O1511" s="64"/>
      <c r="P1511" s="72" t="str">
        <f aca="false">IF(OR(B1511="",C1511=""),"",C1511&amp;"|"&amp;(YEAR(B1511)*100+MONTH(B1511)))</f>
        <v/>
      </c>
      <c r="Q1511" s="70" t="str">
        <f aca="false">IF(P1511="","",IF(COUNTIF(N_CLAVE,P1511)&gt;1,"⚠ Duplicado","OK"))</f>
        <v/>
      </c>
      <c r="R1511" s="74" t="str">
        <f aca="false">IF(OR(P1511="",U1511=""),"",MAX(0,U1511-N(E1511)-N(F1511)-N(H1511)))</f>
        <v/>
      </c>
      <c r="S1511" s="75" t="str">
        <f aca="false">IF(P1511="","",IFERROR(INDEX(T_INGRESO,MATCH(C1511,T_ID,0)),""))</f>
        <v/>
      </c>
      <c r="T1511" s="75" t="str">
        <f aca="false">IF(P1511="","",IFERROR(N(INDEX(T_EGRESO,MATCH(C1511,T_ID,0))),0))</f>
        <v/>
      </c>
      <c r="U1511" s="73" t="str">
        <f aca="false">IF(OR(P1511="",NOT(ISNUMBER(S1511))),"",IF(OR(S1511&gt;EOMONTH(B1511,0),AND(T1511&gt;0,T1511&lt;B1511)),0,IF(AND(S1511&lt;=B1511,OR(T1511=0,T1511&gt;=EOMONTH(B1511,0))),30,MIN(30,IF(T1511=0,EOMONTH(B1511,0),MIN(T1511,EOMONTH(B1511,0)))-MAX(B1511,S1511)+1))))</f>
        <v/>
      </c>
    </row>
    <row r="1512" customFormat="false" ht="15" hidden="false" customHeight="false" outlineLevel="0" collapsed="false">
      <c r="B1512" s="78"/>
      <c r="C1512" s="64"/>
      <c r="D1512" s="70" t="str">
        <f aca="false">IF(C1512="","",IFERROR(INDEX(T_NOMBRE,MATCH(C1512,T_ID,0)),"⚠ ID no existe"))</f>
        <v/>
      </c>
      <c r="E1512" s="69"/>
      <c r="F1512" s="69"/>
      <c r="G1512" s="69"/>
      <c r="H1512" s="69"/>
      <c r="I1512" s="66"/>
      <c r="J1512" s="69"/>
      <c r="K1512" s="67"/>
      <c r="L1512" s="67"/>
      <c r="M1512" s="67"/>
      <c r="N1512" s="67"/>
      <c r="O1512" s="64"/>
      <c r="P1512" s="72" t="str">
        <f aca="false">IF(OR(B1512="",C1512=""),"",C1512&amp;"|"&amp;(YEAR(B1512)*100+MONTH(B1512)))</f>
        <v/>
      </c>
      <c r="Q1512" s="70" t="str">
        <f aca="false">IF(P1512="","",IF(COUNTIF(N_CLAVE,P1512)&gt;1,"⚠ Duplicado","OK"))</f>
        <v/>
      </c>
      <c r="R1512" s="74" t="str">
        <f aca="false">IF(OR(P1512="",U1512=""),"",MAX(0,U1512-N(E1512)-N(F1512)-N(H1512)))</f>
        <v/>
      </c>
      <c r="S1512" s="75" t="str">
        <f aca="false">IF(P1512="","",IFERROR(INDEX(T_INGRESO,MATCH(C1512,T_ID,0)),""))</f>
        <v/>
      </c>
      <c r="T1512" s="75" t="str">
        <f aca="false">IF(P1512="","",IFERROR(N(INDEX(T_EGRESO,MATCH(C1512,T_ID,0))),0))</f>
        <v/>
      </c>
      <c r="U1512" s="73" t="str">
        <f aca="false">IF(OR(P1512="",NOT(ISNUMBER(S1512))),"",IF(OR(S1512&gt;EOMONTH(B1512,0),AND(T1512&gt;0,T1512&lt;B1512)),0,IF(AND(S1512&lt;=B1512,OR(T1512=0,T1512&gt;=EOMONTH(B1512,0))),30,MIN(30,IF(T1512=0,EOMONTH(B1512,0),MIN(T1512,EOMONTH(B1512,0)))-MAX(B1512,S1512)+1))))</f>
        <v/>
      </c>
    </row>
    <row r="1513" customFormat="false" ht="15" hidden="false" customHeight="false" outlineLevel="0" collapsed="false">
      <c r="B1513" s="78"/>
      <c r="C1513" s="64"/>
      <c r="D1513" s="70" t="str">
        <f aca="false">IF(C1513="","",IFERROR(INDEX(T_NOMBRE,MATCH(C1513,T_ID,0)),"⚠ ID no existe"))</f>
        <v/>
      </c>
      <c r="E1513" s="69"/>
      <c r="F1513" s="69"/>
      <c r="G1513" s="69"/>
      <c r="H1513" s="69"/>
      <c r="I1513" s="66"/>
      <c r="J1513" s="69"/>
      <c r="K1513" s="67"/>
      <c r="L1513" s="67"/>
      <c r="M1513" s="67"/>
      <c r="N1513" s="67"/>
      <c r="O1513" s="64"/>
      <c r="P1513" s="72" t="str">
        <f aca="false">IF(OR(B1513="",C1513=""),"",C1513&amp;"|"&amp;(YEAR(B1513)*100+MONTH(B1513)))</f>
        <v/>
      </c>
      <c r="Q1513" s="70" t="str">
        <f aca="false">IF(P1513="","",IF(COUNTIF(N_CLAVE,P1513)&gt;1,"⚠ Duplicado","OK"))</f>
        <v/>
      </c>
      <c r="R1513" s="74" t="str">
        <f aca="false">IF(OR(P1513="",U1513=""),"",MAX(0,U1513-N(E1513)-N(F1513)-N(H1513)))</f>
        <v/>
      </c>
      <c r="S1513" s="75" t="str">
        <f aca="false">IF(P1513="","",IFERROR(INDEX(T_INGRESO,MATCH(C1513,T_ID,0)),""))</f>
        <v/>
      </c>
      <c r="T1513" s="75" t="str">
        <f aca="false">IF(P1513="","",IFERROR(N(INDEX(T_EGRESO,MATCH(C1513,T_ID,0))),0))</f>
        <v/>
      </c>
      <c r="U1513" s="73" t="str">
        <f aca="false">IF(OR(P1513="",NOT(ISNUMBER(S1513))),"",IF(OR(S1513&gt;EOMONTH(B1513,0),AND(T1513&gt;0,T1513&lt;B1513)),0,IF(AND(S1513&lt;=B1513,OR(T1513=0,T1513&gt;=EOMONTH(B1513,0))),30,MIN(30,IF(T1513=0,EOMONTH(B1513,0),MIN(T1513,EOMONTH(B1513,0)))-MAX(B1513,S1513)+1))))</f>
        <v/>
      </c>
    </row>
    <row r="1514" customFormat="false" ht="15" hidden="false" customHeight="false" outlineLevel="0" collapsed="false">
      <c r="B1514" s="78"/>
      <c r="C1514" s="64"/>
      <c r="D1514" s="70" t="str">
        <f aca="false">IF(C1514="","",IFERROR(INDEX(T_NOMBRE,MATCH(C1514,T_ID,0)),"⚠ ID no existe"))</f>
        <v/>
      </c>
      <c r="E1514" s="69"/>
      <c r="F1514" s="69"/>
      <c r="G1514" s="69"/>
      <c r="H1514" s="69"/>
      <c r="I1514" s="66"/>
      <c r="J1514" s="69"/>
      <c r="K1514" s="67"/>
      <c r="L1514" s="67"/>
      <c r="M1514" s="67"/>
      <c r="N1514" s="67"/>
      <c r="O1514" s="64"/>
      <c r="P1514" s="72" t="str">
        <f aca="false">IF(OR(B1514="",C1514=""),"",C1514&amp;"|"&amp;(YEAR(B1514)*100+MONTH(B1514)))</f>
        <v/>
      </c>
      <c r="Q1514" s="70" t="str">
        <f aca="false">IF(P1514="","",IF(COUNTIF(N_CLAVE,P1514)&gt;1,"⚠ Duplicado","OK"))</f>
        <v/>
      </c>
      <c r="R1514" s="74" t="str">
        <f aca="false">IF(OR(P1514="",U1514=""),"",MAX(0,U1514-N(E1514)-N(F1514)-N(H1514)))</f>
        <v/>
      </c>
      <c r="S1514" s="75" t="str">
        <f aca="false">IF(P1514="","",IFERROR(INDEX(T_INGRESO,MATCH(C1514,T_ID,0)),""))</f>
        <v/>
      </c>
      <c r="T1514" s="75" t="str">
        <f aca="false">IF(P1514="","",IFERROR(N(INDEX(T_EGRESO,MATCH(C1514,T_ID,0))),0))</f>
        <v/>
      </c>
      <c r="U1514" s="73" t="str">
        <f aca="false">IF(OR(P1514="",NOT(ISNUMBER(S1514))),"",IF(OR(S1514&gt;EOMONTH(B1514,0),AND(T1514&gt;0,T1514&lt;B1514)),0,IF(AND(S1514&lt;=B1514,OR(T1514=0,T1514&gt;=EOMONTH(B1514,0))),30,MIN(30,IF(T1514=0,EOMONTH(B1514,0),MIN(T1514,EOMONTH(B1514,0)))-MAX(B1514,S1514)+1))))</f>
        <v/>
      </c>
    </row>
    <row r="1515" customFormat="false" ht="15" hidden="false" customHeight="false" outlineLevel="0" collapsed="false">
      <c r="B1515" s="78"/>
      <c r="C1515" s="64"/>
      <c r="D1515" s="70" t="str">
        <f aca="false">IF(C1515="","",IFERROR(INDEX(T_NOMBRE,MATCH(C1515,T_ID,0)),"⚠ ID no existe"))</f>
        <v/>
      </c>
      <c r="E1515" s="69"/>
      <c r="F1515" s="69"/>
      <c r="G1515" s="69"/>
      <c r="H1515" s="69"/>
      <c r="I1515" s="66"/>
      <c r="J1515" s="69"/>
      <c r="K1515" s="67"/>
      <c r="L1515" s="67"/>
      <c r="M1515" s="67"/>
      <c r="N1515" s="67"/>
      <c r="O1515" s="64"/>
      <c r="P1515" s="72" t="str">
        <f aca="false">IF(OR(B1515="",C1515=""),"",C1515&amp;"|"&amp;(YEAR(B1515)*100+MONTH(B1515)))</f>
        <v/>
      </c>
      <c r="Q1515" s="70" t="str">
        <f aca="false">IF(P1515="","",IF(COUNTIF(N_CLAVE,P1515)&gt;1,"⚠ Duplicado","OK"))</f>
        <v/>
      </c>
      <c r="R1515" s="74" t="str">
        <f aca="false">IF(OR(P1515="",U1515=""),"",MAX(0,U1515-N(E1515)-N(F1515)-N(H1515)))</f>
        <v/>
      </c>
      <c r="S1515" s="75" t="str">
        <f aca="false">IF(P1515="","",IFERROR(INDEX(T_INGRESO,MATCH(C1515,T_ID,0)),""))</f>
        <v/>
      </c>
      <c r="T1515" s="75" t="str">
        <f aca="false">IF(P1515="","",IFERROR(N(INDEX(T_EGRESO,MATCH(C1515,T_ID,0))),0))</f>
        <v/>
      </c>
      <c r="U1515" s="73" t="str">
        <f aca="false">IF(OR(P1515="",NOT(ISNUMBER(S1515))),"",IF(OR(S1515&gt;EOMONTH(B1515,0),AND(T1515&gt;0,T1515&lt;B1515)),0,IF(AND(S1515&lt;=B1515,OR(T1515=0,T1515&gt;=EOMONTH(B1515,0))),30,MIN(30,IF(T1515=0,EOMONTH(B1515,0),MIN(T1515,EOMONTH(B1515,0)))-MAX(B1515,S1515)+1))))</f>
        <v/>
      </c>
    </row>
    <row r="1516" customFormat="false" ht="15" hidden="false" customHeight="false" outlineLevel="0" collapsed="false">
      <c r="B1516" s="78"/>
      <c r="C1516" s="64"/>
      <c r="D1516" s="70" t="str">
        <f aca="false">IF(C1516="","",IFERROR(INDEX(T_NOMBRE,MATCH(C1516,T_ID,0)),"⚠ ID no existe"))</f>
        <v/>
      </c>
      <c r="E1516" s="69"/>
      <c r="F1516" s="69"/>
      <c r="G1516" s="69"/>
      <c r="H1516" s="69"/>
      <c r="I1516" s="66"/>
      <c r="J1516" s="69"/>
      <c r="K1516" s="67"/>
      <c r="L1516" s="67"/>
      <c r="M1516" s="67"/>
      <c r="N1516" s="67"/>
      <c r="O1516" s="64"/>
      <c r="P1516" s="72" t="str">
        <f aca="false">IF(OR(B1516="",C1516=""),"",C1516&amp;"|"&amp;(YEAR(B1516)*100+MONTH(B1516)))</f>
        <v/>
      </c>
      <c r="Q1516" s="70" t="str">
        <f aca="false">IF(P1516="","",IF(COUNTIF(N_CLAVE,P1516)&gt;1,"⚠ Duplicado","OK"))</f>
        <v/>
      </c>
      <c r="R1516" s="74" t="str">
        <f aca="false">IF(OR(P1516="",U1516=""),"",MAX(0,U1516-N(E1516)-N(F1516)-N(H1516)))</f>
        <v/>
      </c>
      <c r="S1516" s="75" t="str">
        <f aca="false">IF(P1516="","",IFERROR(INDEX(T_INGRESO,MATCH(C1516,T_ID,0)),""))</f>
        <v/>
      </c>
      <c r="T1516" s="75" t="str">
        <f aca="false">IF(P1516="","",IFERROR(N(INDEX(T_EGRESO,MATCH(C1516,T_ID,0))),0))</f>
        <v/>
      </c>
      <c r="U1516" s="73" t="str">
        <f aca="false">IF(OR(P1516="",NOT(ISNUMBER(S1516))),"",IF(OR(S1516&gt;EOMONTH(B1516,0),AND(T1516&gt;0,T1516&lt;B1516)),0,IF(AND(S1516&lt;=B1516,OR(T1516=0,T1516&gt;=EOMONTH(B1516,0))),30,MIN(30,IF(T1516=0,EOMONTH(B1516,0),MIN(T1516,EOMONTH(B1516,0)))-MAX(B1516,S1516)+1))))</f>
        <v/>
      </c>
    </row>
    <row r="1517" customFormat="false" ht="15" hidden="false" customHeight="false" outlineLevel="0" collapsed="false">
      <c r="B1517" s="78"/>
      <c r="C1517" s="64"/>
      <c r="D1517" s="70" t="str">
        <f aca="false">IF(C1517="","",IFERROR(INDEX(T_NOMBRE,MATCH(C1517,T_ID,0)),"⚠ ID no existe"))</f>
        <v/>
      </c>
      <c r="E1517" s="69"/>
      <c r="F1517" s="69"/>
      <c r="G1517" s="69"/>
      <c r="H1517" s="69"/>
      <c r="I1517" s="66"/>
      <c r="J1517" s="69"/>
      <c r="K1517" s="67"/>
      <c r="L1517" s="67"/>
      <c r="M1517" s="67"/>
      <c r="N1517" s="67"/>
      <c r="O1517" s="64"/>
      <c r="P1517" s="72" t="str">
        <f aca="false">IF(OR(B1517="",C1517=""),"",C1517&amp;"|"&amp;(YEAR(B1517)*100+MONTH(B1517)))</f>
        <v/>
      </c>
      <c r="Q1517" s="70" t="str">
        <f aca="false">IF(P1517="","",IF(COUNTIF(N_CLAVE,P1517)&gt;1,"⚠ Duplicado","OK"))</f>
        <v/>
      </c>
      <c r="R1517" s="74" t="str">
        <f aca="false">IF(OR(P1517="",U1517=""),"",MAX(0,U1517-N(E1517)-N(F1517)-N(H1517)))</f>
        <v/>
      </c>
      <c r="S1517" s="75" t="str">
        <f aca="false">IF(P1517="","",IFERROR(INDEX(T_INGRESO,MATCH(C1517,T_ID,0)),""))</f>
        <v/>
      </c>
      <c r="T1517" s="75" t="str">
        <f aca="false">IF(P1517="","",IFERROR(N(INDEX(T_EGRESO,MATCH(C1517,T_ID,0))),0))</f>
        <v/>
      </c>
      <c r="U1517" s="73" t="str">
        <f aca="false">IF(OR(P1517="",NOT(ISNUMBER(S1517))),"",IF(OR(S1517&gt;EOMONTH(B1517,0),AND(T1517&gt;0,T1517&lt;B1517)),0,IF(AND(S1517&lt;=B1517,OR(T1517=0,T1517&gt;=EOMONTH(B1517,0))),30,MIN(30,IF(T1517=0,EOMONTH(B1517,0),MIN(T1517,EOMONTH(B1517,0)))-MAX(B1517,S1517)+1))))</f>
        <v/>
      </c>
    </row>
    <row r="1518" customFormat="false" ht="15" hidden="false" customHeight="false" outlineLevel="0" collapsed="false">
      <c r="B1518" s="78"/>
      <c r="C1518" s="64"/>
      <c r="D1518" s="70" t="str">
        <f aca="false">IF(C1518="","",IFERROR(INDEX(T_NOMBRE,MATCH(C1518,T_ID,0)),"⚠ ID no existe"))</f>
        <v/>
      </c>
      <c r="E1518" s="69"/>
      <c r="F1518" s="69"/>
      <c r="G1518" s="69"/>
      <c r="H1518" s="69"/>
      <c r="I1518" s="66"/>
      <c r="J1518" s="69"/>
      <c r="K1518" s="67"/>
      <c r="L1518" s="67"/>
      <c r="M1518" s="67"/>
      <c r="N1518" s="67"/>
      <c r="O1518" s="64"/>
      <c r="P1518" s="72" t="str">
        <f aca="false">IF(OR(B1518="",C1518=""),"",C1518&amp;"|"&amp;(YEAR(B1518)*100+MONTH(B1518)))</f>
        <v/>
      </c>
      <c r="Q1518" s="70" t="str">
        <f aca="false">IF(P1518="","",IF(COUNTIF(N_CLAVE,P1518)&gt;1,"⚠ Duplicado","OK"))</f>
        <v/>
      </c>
      <c r="R1518" s="74" t="str">
        <f aca="false">IF(OR(P1518="",U1518=""),"",MAX(0,U1518-N(E1518)-N(F1518)-N(H1518)))</f>
        <v/>
      </c>
      <c r="S1518" s="75" t="str">
        <f aca="false">IF(P1518="","",IFERROR(INDEX(T_INGRESO,MATCH(C1518,T_ID,0)),""))</f>
        <v/>
      </c>
      <c r="T1518" s="75" t="str">
        <f aca="false">IF(P1518="","",IFERROR(N(INDEX(T_EGRESO,MATCH(C1518,T_ID,0))),0))</f>
        <v/>
      </c>
      <c r="U1518" s="73" t="str">
        <f aca="false">IF(OR(P1518="",NOT(ISNUMBER(S1518))),"",IF(OR(S1518&gt;EOMONTH(B1518,0),AND(T1518&gt;0,T1518&lt;B1518)),0,IF(AND(S1518&lt;=B1518,OR(T1518=0,T1518&gt;=EOMONTH(B1518,0))),30,MIN(30,IF(T1518=0,EOMONTH(B1518,0),MIN(T1518,EOMONTH(B1518,0)))-MAX(B1518,S1518)+1))))</f>
        <v/>
      </c>
    </row>
    <row r="1519" customFormat="false" ht="15" hidden="false" customHeight="false" outlineLevel="0" collapsed="false">
      <c r="B1519" s="78"/>
      <c r="C1519" s="64"/>
      <c r="D1519" s="70" t="str">
        <f aca="false">IF(C1519="","",IFERROR(INDEX(T_NOMBRE,MATCH(C1519,T_ID,0)),"⚠ ID no existe"))</f>
        <v/>
      </c>
      <c r="E1519" s="69"/>
      <c r="F1519" s="69"/>
      <c r="G1519" s="69"/>
      <c r="H1519" s="69"/>
      <c r="I1519" s="66"/>
      <c r="J1519" s="69"/>
      <c r="K1519" s="67"/>
      <c r="L1519" s="67"/>
      <c r="M1519" s="67"/>
      <c r="N1519" s="67"/>
      <c r="O1519" s="64"/>
      <c r="P1519" s="72" t="str">
        <f aca="false">IF(OR(B1519="",C1519=""),"",C1519&amp;"|"&amp;(YEAR(B1519)*100+MONTH(B1519)))</f>
        <v/>
      </c>
      <c r="Q1519" s="70" t="str">
        <f aca="false">IF(P1519="","",IF(COUNTIF(N_CLAVE,P1519)&gt;1,"⚠ Duplicado","OK"))</f>
        <v/>
      </c>
      <c r="R1519" s="74" t="str">
        <f aca="false">IF(OR(P1519="",U1519=""),"",MAX(0,U1519-N(E1519)-N(F1519)-N(H1519)))</f>
        <v/>
      </c>
      <c r="S1519" s="75" t="str">
        <f aca="false">IF(P1519="","",IFERROR(INDEX(T_INGRESO,MATCH(C1519,T_ID,0)),""))</f>
        <v/>
      </c>
      <c r="T1519" s="75" t="str">
        <f aca="false">IF(P1519="","",IFERROR(N(INDEX(T_EGRESO,MATCH(C1519,T_ID,0))),0))</f>
        <v/>
      </c>
      <c r="U1519" s="73" t="str">
        <f aca="false">IF(OR(P1519="",NOT(ISNUMBER(S1519))),"",IF(OR(S1519&gt;EOMONTH(B1519,0),AND(T1519&gt;0,T1519&lt;B1519)),0,IF(AND(S1519&lt;=B1519,OR(T1519=0,T1519&gt;=EOMONTH(B1519,0))),30,MIN(30,IF(T1519=0,EOMONTH(B1519,0),MIN(T1519,EOMONTH(B1519,0)))-MAX(B1519,S1519)+1))))</f>
        <v/>
      </c>
    </row>
    <row r="1520" customFormat="false" ht="15" hidden="false" customHeight="false" outlineLevel="0" collapsed="false">
      <c r="B1520" s="78"/>
      <c r="C1520" s="64"/>
      <c r="D1520" s="70" t="str">
        <f aca="false">IF(C1520="","",IFERROR(INDEX(T_NOMBRE,MATCH(C1520,T_ID,0)),"⚠ ID no existe"))</f>
        <v/>
      </c>
      <c r="E1520" s="69"/>
      <c r="F1520" s="69"/>
      <c r="G1520" s="69"/>
      <c r="H1520" s="69"/>
      <c r="I1520" s="66"/>
      <c r="J1520" s="69"/>
      <c r="K1520" s="67"/>
      <c r="L1520" s="67"/>
      <c r="M1520" s="67"/>
      <c r="N1520" s="67"/>
      <c r="O1520" s="64"/>
      <c r="P1520" s="72" t="str">
        <f aca="false">IF(OR(B1520="",C1520=""),"",C1520&amp;"|"&amp;(YEAR(B1520)*100+MONTH(B1520)))</f>
        <v/>
      </c>
      <c r="Q1520" s="70" t="str">
        <f aca="false">IF(P1520="","",IF(COUNTIF(N_CLAVE,P1520)&gt;1,"⚠ Duplicado","OK"))</f>
        <v/>
      </c>
      <c r="R1520" s="74" t="str">
        <f aca="false">IF(OR(P1520="",U1520=""),"",MAX(0,U1520-N(E1520)-N(F1520)-N(H1520)))</f>
        <v/>
      </c>
      <c r="S1520" s="75" t="str">
        <f aca="false">IF(P1520="","",IFERROR(INDEX(T_INGRESO,MATCH(C1520,T_ID,0)),""))</f>
        <v/>
      </c>
      <c r="T1520" s="75" t="str">
        <f aca="false">IF(P1520="","",IFERROR(N(INDEX(T_EGRESO,MATCH(C1520,T_ID,0))),0))</f>
        <v/>
      </c>
      <c r="U1520" s="73" t="str">
        <f aca="false">IF(OR(P1520="",NOT(ISNUMBER(S1520))),"",IF(OR(S1520&gt;EOMONTH(B1520,0),AND(T1520&gt;0,T1520&lt;B1520)),0,IF(AND(S1520&lt;=B1520,OR(T1520=0,T1520&gt;=EOMONTH(B1520,0))),30,MIN(30,IF(T1520=0,EOMONTH(B1520,0),MIN(T1520,EOMONTH(B1520,0)))-MAX(B1520,S1520)+1))))</f>
        <v/>
      </c>
    </row>
    <row r="1521" customFormat="false" ht="15" hidden="false" customHeight="false" outlineLevel="0" collapsed="false">
      <c r="B1521" s="78"/>
      <c r="C1521" s="64"/>
      <c r="D1521" s="70" t="str">
        <f aca="false">IF(C1521="","",IFERROR(INDEX(T_NOMBRE,MATCH(C1521,T_ID,0)),"⚠ ID no existe"))</f>
        <v/>
      </c>
      <c r="E1521" s="69"/>
      <c r="F1521" s="69"/>
      <c r="G1521" s="69"/>
      <c r="H1521" s="69"/>
      <c r="I1521" s="66"/>
      <c r="J1521" s="69"/>
      <c r="K1521" s="67"/>
      <c r="L1521" s="67"/>
      <c r="M1521" s="67"/>
      <c r="N1521" s="67"/>
      <c r="O1521" s="64"/>
      <c r="P1521" s="72" t="str">
        <f aca="false">IF(OR(B1521="",C1521=""),"",C1521&amp;"|"&amp;(YEAR(B1521)*100+MONTH(B1521)))</f>
        <v/>
      </c>
      <c r="Q1521" s="70" t="str">
        <f aca="false">IF(P1521="","",IF(COUNTIF(N_CLAVE,P1521)&gt;1,"⚠ Duplicado","OK"))</f>
        <v/>
      </c>
      <c r="R1521" s="74" t="str">
        <f aca="false">IF(OR(P1521="",U1521=""),"",MAX(0,U1521-N(E1521)-N(F1521)-N(H1521)))</f>
        <v/>
      </c>
      <c r="S1521" s="75" t="str">
        <f aca="false">IF(P1521="","",IFERROR(INDEX(T_INGRESO,MATCH(C1521,T_ID,0)),""))</f>
        <v/>
      </c>
      <c r="T1521" s="75" t="str">
        <f aca="false">IF(P1521="","",IFERROR(N(INDEX(T_EGRESO,MATCH(C1521,T_ID,0))),0))</f>
        <v/>
      </c>
      <c r="U1521" s="73" t="str">
        <f aca="false">IF(OR(P1521="",NOT(ISNUMBER(S1521))),"",IF(OR(S1521&gt;EOMONTH(B1521,0),AND(T1521&gt;0,T1521&lt;B1521)),0,IF(AND(S1521&lt;=B1521,OR(T1521=0,T1521&gt;=EOMONTH(B1521,0))),30,MIN(30,IF(T1521=0,EOMONTH(B1521,0),MIN(T1521,EOMONTH(B1521,0)))-MAX(B1521,S1521)+1))))</f>
        <v/>
      </c>
    </row>
    <row r="1522" customFormat="false" ht="15" hidden="false" customHeight="false" outlineLevel="0" collapsed="false">
      <c r="B1522" s="78"/>
      <c r="C1522" s="64"/>
      <c r="D1522" s="70" t="str">
        <f aca="false">IF(C1522="","",IFERROR(INDEX(T_NOMBRE,MATCH(C1522,T_ID,0)),"⚠ ID no existe"))</f>
        <v/>
      </c>
      <c r="E1522" s="69"/>
      <c r="F1522" s="69"/>
      <c r="G1522" s="69"/>
      <c r="H1522" s="69"/>
      <c r="I1522" s="66"/>
      <c r="J1522" s="69"/>
      <c r="K1522" s="67"/>
      <c r="L1522" s="67"/>
      <c r="M1522" s="67"/>
      <c r="N1522" s="67"/>
      <c r="O1522" s="64"/>
      <c r="P1522" s="72" t="str">
        <f aca="false">IF(OR(B1522="",C1522=""),"",C1522&amp;"|"&amp;(YEAR(B1522)*100+MONTH(B1522)))</f>
        <v/>
      </c>
      <c r="Q1522" s="70" t="str">
        <f aca="false">IF(P1522="","",IF(COUNTIF(N_CLAVE,P1522)&gt;1,"⚠ Duplicado","OK"))</f>
        <v/>
      </c>
      <c r="R1522" s="74" t="str">
        <f aca="false">IF(OR(P1522="",U1522=""),"",MAX(0,U1522-N(E1522)-N(F1522)-N(H1522)))</f>
        <v/>
      </c>
      <c r="S1522" s="75" t="str">
        <f aca="false">IF(P1522="","",IFERROR(INDEX(T_INGRESO,MATCH(C1522,T_ID,0)),""))</f>
        <v/>
      </c>
      <c r="T1522" s="75" t="str">
        <f aca="false">IF(P1522="","",IFERROR(N(INDEX(T_EGRESO,MATCH(C1522,T_ID,0))),0))</f>
        <v/>
      </c>
      <c r="U1522" s="73" t="str">
        <f aca="false">IF(OR(P1522="",NOT(ISNUMBER(S1522))),"",IF(OR(S1522&gt;EOMONTH(B1522,0),AND(T1522&gt;0,T1522&lt;B1522)),0,IF(AND(S1522&lt;=B1522,OR(T1522=0,T1522&gt;=EOMONTH(B1522,0))),30,MIN(30,IF(T1522=0,EOMONTH(B1522,0),MIN(T1522,EOMONTH(B1522,0)))-MAX(B1522,S1522)+1))))</f>
        <v/>
      </c>
    </row>
    <row r="1523" customFormat="false" ht="15" hidden="false" customHeight="false" outlineLevel="0" collapsed="false">
      <c r="B1523" s="78"/>
      <c r="C1523" s="64"/>
      <c r="D1523" s="70" t="str">
        <f aca="false">IF(C1523="","",IFERROR(INDEX(T_NOMBRE,MATCH(C1523,T_ID,0)),"⚠ ID no existe"))</f>
        <v/>
      </c>
      <c r="E1523" s="69"/>
      <c r="F1523" s="69"/>
      <c r="G1523" s="69"/>
      <c r="H1523" s="69"/>
      <c r="I1523" s="66"/>
      <c r="J1523" s="69"/>
      <c r="K1523" s="67"/>
      <c r="L1523" s="67"/>
      <c r="M1523" s="67"/>
      <c r="N1523" s="67"/>
      <c r="O1523" s="64"/>
      <c r="P1523" s="72" t="str">
        <f aca="false">IF(OR(B1523="",C1523=""),"",C1523&amp;"|"&amp;(YEAR(B1523)*100+MONTH(B1523)))</f>
        <v/>
      </c>
      <c r="Q1523" s="70" t="str">
        <f aca="false">IF(P1523="","",IF(COUNTIF(N_CLAVE,P1523)&gt;1,"⚠ Duplicado","OK"))</f>
        <v/>
      </c>
      <c r="R1523" s="74" t="str">
        <f aca="false">IF(OR(P1523="",U1523=""),"",MAX(0,U1523-N(E1523)-N(F1523)-N(H1523)))</f>
        <v/>
      </c>
      <c r="S1523" s="75" t="str">
        <f aca="false">IF(P1523="","",IFERROR(INDEX(T_INGRESO,MATCH(C1523,T_ID,0)),""))</f>
        <v/>
      </c>
      <c r="T1523" s="75" t="str">
        <f aca="false">IF(P1523="","",IFERROR(N(INDEX(T_EGRESO,MATCH(C1523,T_ID,0))),0))</f>
        <v/>
      </c>
      <c r="U1523" s="73" t="str">
        <f aca="false">IF(OR(P1523="",NOT(ISNUMBER(S1523))),"",IF(OR(S1523&gt;EOMONTH(B1523,0),AND(T1523&gt;0,T1523&lt;B1523)),0,IF(AND(S1523&lt;=B1523,OR(T1523=0,T1523&gt;=EOMONTH(B1523,0))),30,MIN(30,IF(T1523=0,EOMONTH(B1523,0),MIN(T1523,EOMONTH(B1523,0)))-MAX(B1523,S1523)+1))))</f>
        <v/>
      </c>
    </row>
    <row r="1524" customFormat="false" ht="15" hidden="false" customHeight="false" outlineLevel="0" collapsed="false">
      <c r="B1524" s="78"/>
      <c r="C1524" s="64"/>
      <c r="D1524" s="70" t="str">
        <f aca="false">IF(C1524="","",IFERROR(INDEX(T_NOMBRE,MATCH(C1524,T_ID,0)),"⚠ ID no existe"))</f>
        <v/>
      </c>
      <c r="E1524" s="69"/>
      <c r="F1524" s="69"/>
      <c r="G1524" s="69"/>
      <c r="H1524" s="69"/>
      <c r="I1524" s="66"/>
      <c r="J1524" s="69"/>
      <c r="K1524" s="67"/>
      <c r="L1524" s="67"/>
      <c r="M1524" s="67"/>
      <c r="N1524" s="67"/>
      <c r="O1524" s="64"/>
      <c r="P1524" s="72" t="str">
        <f aca="false">IF(OR(B1524="",C1524=""),"",C1524&amp;"|"&amp;(YEAR(B1524)*100+MONTH(B1524)))</f>
        <v/>
      </c>
      <c r="Q1524" s="70" t="str">
        <f aca="false">IF(P1524="","",IF(COUNTIF(N_CLAVE,P1524)&gt;1,"⚠ Duplicado","OK"))</f>
        <v/>
      </c>
      <c r="R1524" s="74" t="str">
        <f aca="false">IF(OR(P1524="",U1524=""),"",MAX(0,U1524-N(E1524)-N(F1524)-N(H1524)))</f>
        <v/>
      </c>
      <c r="S1524" s="75" t="str">
        <f aca="false">IF(P1524="","",IFERROR(INDEX(T_INGRESO,MATCH(C1524,T_ID,0)),""))</f>
        <v/>
      </c>
      <c r="T1524" s="75" t="str">
        <f aca="false">IF(P1524="","",IFERROR(N(INDEX(T_EGRESO,MATCH(C1524,T_ID,0))),0))</f>
        <v/>
      </c>
      <c r="U1524" s="73" t="str">
        <f aca="false">IF(OR(P1524="",NOT(ISNUMBER(S1524))),"",IF(OR(S1524&gt;EOMONTH(B1524,0),AND(T1524&gt;0,T1524&lt;B1524)),0,IF(AND(S1524&lt;=B1524,OR(T1524=0,T1524&gt;=EOMONTH(B1524,0))),30,MIN(30,IF(T1524=0,EOMONTH(B1524,0),MIN(T1524,EOMONTH(B1524,0)))-MAX(B1524,S1524)+1))))</f>
        <v/>
      </c>
    </row>
    <row r="1525" customFormat="false" ht="15" hidden="false" customHeight="false" outlineLevel="0" collapsed="false">
      <c r="B1525" s="78"/>
      <c r="C1525" s="64"/>
      <c r="D1525" s="70" t="str">
        <f aca="false">IF(C1525="","",IFERROR(INDEX(T_NOMBRE,MATCH(C1525,T_ID,0)),"⚠ ID no existe"))</f>
        <v/>
      </c>
      <c r="E1525" s="69"/>
      <c r="F1525" s="69"/>
      <c r="G1525" s="69"/>
      <c r="H1525" s="69"/>
      <c r="I1525" s="66"/>
      <c r="J1525" s="69"/>
      <c r="K1525" s="67"/>
      <c r="L1525" s="67"/>
      <c r="M1525" s="67"/>
      <c r="N1525" s="67"/>
      <c r="O1525" s="64"/>
      <c r="P1525" s="72" t="str">
        <f aca="false">IF(OR(B1525="",C1525=""),"",C1525&amp;"|"&amp;(YEAR(B1525)*100+MONTH(B1525)))</f>
        <v/>
      </c>
      <c r="Q1525" s="70" t="str">
        <f aca="false">IF(P1525="","",IF(COUNTIF(N_CLAVE,P1525)&gt;1,"⚠ Duplicado","OK"))</f>
        <v/>
      </c>
      <c r="R1525" s="74" t="str">
        <f aca="false">IF(OR(P1525="",U1525=""),"",MAX(0,U1525-N(E1525)-N(F1525)-N(H1525)))</f>
        <v/>
      </c>
      <c r="S1525" s="75" t="str">
        <f aca="false">IF(P1525="","",IFERROR(INDEX(T_INGRESO,MATCH(C1525,T_ID,0)),""))</f>
        <v/>
      </c>
      <c r="T1525" s="75" t="str">
        <f aca="false">IF(P1525="","",IFERROR(N(INDEX(T_EGRESO,MATCH(C1525,T_ID,0))),0))</f>
        <v/>
      </c>
      <c r="U1525" s="73" t="str">
        <f aca="false">IF(OR(P1525="",NOT(ISNUMBER(S1525))),"",IF(OR(S1525&gt;EOMONTH(B1525,0),AND(T1525&gt;0,T1525&lt;B1525)),0,IF(AND(S1525&lt;=B1525,OR(T1525=0,T1525&gt;=EOMONTH(B1525,0))),30,MIN(30,IF(T1525=0,EOMONTH(B1525,0),MIN(T1525,EOMONTH(B1525,0)))-MAX(B1525,S1525)+1))))</f>
        <v/>
      </c>
    </row>
    <row r="1526" customFormat="false" ht="15" hidden="false" customHeight="false" outlineLevel="0" collapsed="false">
      <c r="B1526" s="78"/>
      <c r="C1526" s="64"/>
      <c r="D1526" s="70" t="str">
        <f aca="false">IF(C1526="","",IFERROR(INDEX(T_NOMBRE,MATCH(C1526,T_ID,0)),"⚠ ID no existe"))</f>
        <v/>
      </c>
      <c r="E1526" s="69"/>
      <c r="F1526" s="69"/>
      <c r="G1526" s="69"/>
      <c r="H1526" s="69"/>
      <c r="I1526" s="66"/>
      <c r="J1526" s="69"/>
      <c r="K1526" s="67"/>
      <c r="L1526" s="67"/>
      <c r="M1526" s="67"/>
      <c r="N1526" s="67"/>
      <c r="O1526" s="64"/>
      <c r="P1526" s="72" t="str">
        <f aca="false">IF(OR(B1526="",C1526=""),"",C1526&amp;"|"&amp;(YEAR(B1526)*100+MONTH(B1526)))</f>
        <v/>
      </c>
      <c r="Q1526" s="70" t="str">
        <f aca="false">IF(P1526="","",IF(COUNTIF(N_CLAVE,P1526)&gt;1,"⚠ Duplicado","OK"))</f>
        <v/>
      </c>
      <c r="R1526" s="74" t="str">
        <f aca="false">IF(OR(P1526="",U1526=""),"",MAX(0,U1526-N(E1526)-N(F1526)-N(H1526)))</f>
        <v/>
      </c>
      <c r="S1526" s="75" t="str">
        <f aca="false">IF(P1526="","",IFERROR(INDEX(T_INGRESO,MATCH(C1526,T_ID,0)),""))</f>
        <v/>
      </c>
      <c r="T1526" s="75" t="str">
        <f aca="false">IF(P1526="","",IFERROR(N(INDEX(T_EGRESO,MATCH(C1526,T_ID,0))),0))</f>
        <v/>
      </c>
      <c r="U1526" s="73" t="str">
        <f aca="false">IF(OR(P1526="",NOT(ISNUMBER(S1526))),"",IF(OR(S1526&gt;EOMONTH(B1526,0),AND(T1526&gt;0,T1526&lt;B1526)),0,IF(AND(S1526&lt;=B1526,OR(T1526=0,T1526&gt;=EOMONTH(B1526,0))),30,MIN(30,IF(T1526=0,EOMONTH(B1526,0),MIN(T1526,EOMONTH(B1526,0)))-MAX(B1526,S1526)+1))))</f>
        <v/>
      </c>
    </row>
    <row r="1527" customFormat="false" ht="15" hidden="false" customHeight="false" outlineLevel="0" collapsed="false">
      <c r="B1527" s="78"/>
      <c r="C1527" s="64"/>
      <c r="D1527" s="70" t="str">
        <f aca="false">IF(C1527="","",IFERROR(INDEX(T_NOMBRE,MATCH(C1527,T_ID,0)),"⚠ ID no existe"))</f>
        <v/>
      </c>
      <c r="E1527" s="69"/>
      <c r="F1527" s="69"/>
      <c r="G1527" s="69"/>
      <c r="H1527" s="69"/>
      <c r="I1527" s="66"/>
      <c r="J1527" s="69"/>
      <c r="K1527" s="67"/>
      <c r="L1527" s="67"/>
      <c r="M1527" s="67"/>
      <c r="N1527" s="67"/>
      <c r="O1527" s="64"/>
      <c r="P1527" s="72" t="str">
        <f aca="false">IF(OR(B1527="",C1527=""),"",C1527&amp;"|"&amp;(YEAR(B1527)*100+MONTH(B1527)))</f>
        <v/>
      </c>
      <c r="Q1527" s="70" t="str">
        <f aca="false">IF(P1527="","",IF(COUNTIF(N_CLAVE,P1527)&gt;1,"⚠ Duplicado","OK"))</f>
        <v/>
      </c>
      <c r="R1527" s="74" t="str">
        <f aca="false">IF(OR(P1527="",U1527=""),"",MAX(0,U1527-N(E1527)-N(F1527)-N(H1527)))</f>
        <v/>
      </c>
      <c r="S1527" s="75" t="str">
        <f aca="false">IF(P1527="","",IFERROR(INDEX(T_INGRESO,MATCH(C1527,T_ID,0)),""))</f>
        <v/>
      </c>
      <c r="T1527" s="75" t="str">
        <f aca="false">IF(P1527="","",IFERROR(N(INDEX(T_EGRESO,MATCH(C1527,T_ID,0))),0))</f>
        <v/>
      </c>
      <c r="U1527" s="73" t="str">
        <f aca="false">IF(OR(P1527="",NOT(ISNUMBER(S1527))),"",IF(OR(S1527&gt;EOMONTH(B1527,0),AND(T1527&gt;0,T1527&lt;B1527)),0,IF(AND(S1527&lt;=B1527,OR(T1527=0,T1527&gt;=EOMONTH(B1527,0))),30,MIN(30,IF(T1527=0,EOMONTH(B1527,0),MIN(T1527,EOMONTH(B1527,0)))-MAX(B1527,S1527)+1))))</f>
        <v/>
      </c>
    </row>
    <row r="1528" customFormat="false" ht="15" hidden="false" customHeight="false" outlineLevel="0" collapsed="false">
      <c r="B1528" s="78"/>
      <c r="C1528" s="64"/>
      <c r="D1528" s="70" t="str">
        <f aca="false">IF(C1528="","",IFERROR(INDEX(T_NOMBRE,MATCH(C1528,T_ID,0)),"⚠ ID no existe"))</f>
        <v/>
      </c>
      <c r="E1528" s="69"/>
      <c r="F1528" s="69"/>
      <c r="G1528" s="69"/>
      <c r="H1528" s="69"/>
      <c r="I1528" s="66"/>
      <c r="J1528" s="69"/>
      <c r="K1528" s="67"/>
      <c r="L1528" s="67"/>
      <c r="M1528" s="67"/>
      <c r="N1528" s="67"/>
      <c r="O1528" s="64"/>
      <c r="P1528" s="72" t="str">
        <f aca="false">IF(OR(B1528="",C1528=""),"",C1528&amp;"|"&amp;(YEAR(B1528)*100+MONTH(B1528)))</f>
        <v/>
      </c>
      <c r="Q1528" s="70" t="str">
        <f aca="false">IF(P1528="","",IF(COUNTIF(N_CLAVE,P1528)&gt;1,"⚠ Duplicado","OK"))</f>
        <v/>
      </c>
      <c r="R1528" s="74" t="str">
        <f aca="false">IF(OR(P1528="",U1528=""),"",MAX(0,U1528-N(E1528)-N(F1528)-N(H1528)))</f>
        <v/>
      </c>
      <c r="S1528" s="75" t="str">
        <f aca="false">IF(P1528="","",IFERROR(INDEX(T_INGRESO,MATCH(C1528,T_ID,0)),""))</f>
        <v/>
      </c>
      <c r="T1528" s="75" t="str">
        <f aca="false">IF(P1528="","",IFERROR(N(INDEX(T_EGRESO,MATCH(C1528,T_ID,0))),0))</f>
        <v/>
      </c>
      <c r="U1528" s="73" t="str">
        <f aca="false">IF(OR(P1528="",NOT(ISNUMBER(S1528))),"",IF(OR(S1528&gt;EOMONTH(B1528,0),AND(T1528&gt;0,T1528&lt;B1528)),0,IF(AND(S1528&lt;=B1528,OR(T1528=0,T1528&gt;=EOMONTH(B1528,0))),30,MIN(30,IF(T1528=0,EOMONTH(B1528,0),MIN(T1528,EOMONTH(B1528,0)))-MAX(B1528,S1528)+1))))</f>
        <v/>
      </c>
    </row>
    <row r="1529" customFormat="false" ht="15" hidden="false" customHeight="false" outlineLevel="0" collapsed="false">
      <c r="B1529" s="78"/>
      <c r="C1529" s="64"/>
      <c r="D1529" s="70" t="str">
        <f aca="false">IF(C1529="","",IFERROR(INDEX(T_NOMBRE,MATCH(C1529,T_ID,0)),"⚠ ID no existe"))</f>
        <v/>
      </c>
      <c r="E1529" s="69"/>
      <c r="F1529" s="69"/>
      <c r="G1529" s="69"/>
      <c r="H1529" s="69"/>
      <c r="I1529" s="66"/>
      <c r="J1529" s="69"/>
      <c r="K1529" s="67"/>
      <c r="L1529" s="67"/>
      <c r="M1529" s="67"/>
      <c r="N1529" s="67"/>
      <c r="O1529" s="64"/>
      <c r="P1529" s="72" t="str">
        <f aca="false">IF(OR(B1529="",C1529=""),"",C1529&amp;"|"&amp;(YEAR(B1529)*100+MONTH(B1529)))</f>
        <v/>
      </c>
      <c r="Q1529" s="70" t="str">
        <f aca="false">IF(P1529="","",IF(COUNTIF(N_CLAVE,P1529)&gt;1,"⚠ Duplicado","OK"))</f>
        <v/>
      </c>
      <c r="R1529" s="74" t="str">
        <f aca="false">IF(OR(P1529="",U1529=""),"",MAX(0,U1529-N(E1529)-N(F1529)-N(H1529)))</f>
        <v/>
      </c>
      <c r="S1529" s="75" t="str">
        <f aca="false">IF(P1529="","",IFERROR(INDEX(T_INGRESO,MATCH(C1529,T_ID,0)),""))</f>
        <v/>
      </c>
      <c r="T1529" s="75" t="str">
        <f aca="false">IF(P1529="","",IFERROR(N(INDEX(T_EGRESO,MATCH(C1529,T_ID,0))),0))</f>
        <v/>
      </c>
      <c r="U1529" s="73" t="str">
        <f aca="false">IF(OR(P1529="",NOT(ISNUMBER(S1529))),"",IF(OR(S1529&gt;EOMONTH(B1529,0),AND(T1529&gt;0,T1529&lt;B1529)),0,IF(AND(S1529&lt;=B1529,OR(T1529=0,T1529&gt;=EOMONTH(B1529,0))),30,MIN(30,IF(T1529=0,EOMONTH(B1529,0),MIN(T1529,EOMONTH(B1529,0)))-MAX(B1529,S1529)+1))))</f>
        <v/>
      </c>
    </row>
    <row r="1530" customFormat="false" ht="15" hidden="false" customHeight="false" outlineLevel="0" collapsed="false">
      <c r="B1530" s="78"/>
      <c r="C1530" s="64"/>
      <c r="D1530" s="70" t="str">
        <f aca="false">IF(C1530="","",IFERROR(INDEX(T_NOMBRE,MATCH(C1530,T_ID,0)),"⚠ ID no existe"))</f>
        <v/>
      </c>
      <c r="E1530" s="69"/>
      <c r="F1530" s="69"/>
      <c r="G1530" s="69"/>
      <c r="H1530" s="69"/>
      <c r="I1530" s="66"/>
      <c r="J1530" s="69"/>
      <c r="K1530" s="67"/>
      <c r="L1530" s="67"/>
      <c r="M1530" s="67"/>
      <c r="N1530" s="67"/>
      <c r="O1530" s="64"/>
      <c r="P1530" s="72" t="str">
        <f aca="false">IF(OR(B1530="",C1530=""),"",C1530&amp;"|"&amp;(YEAR(B1530)*100+MONTH(B1530)))</f>
        <v/>
      </c>
      <c r="Q1530" s="70" t="str">
        <f aca="false">IF(P1530="","",IF(COUNTIF(N_CLAVE,P1530)&gt;1,"⚠ Duplicado","OK"))</f>
        <v/>
      </c>
      <c r="R1530" s="74" t="str">
        <f aca="false">IF(OR(P1530="",U1530=""),"",MAX(0,U1530-N(E1530)-N(F1530)-N(H1530)))</f>
        <v/>
      </c>
      <c r="S1530" s="75" t="str">
        <f aca="false">IF(P1530="","",IFERROR(INDEX(T_INGRESO,MATCH(C1530,T_ID,0)),""))</f>
        <v/>
      </c>
      <c r="T1530" s="75" t="str">
        <f aca="false">IF(P1530="","",IFERROR(N(INDEX(T_EGRESO,MATCH(C1530,T_ID,0))),0))</f>
        <v/>
      </c>
      <c r="U1530" s="73" t="str">
        <f aca="false">IF(OR(P1530="",NOT(ISNUMBER(S1530))),"",IF(OR(S1530&gt;EOMONTH(B1530,0),AND(T1530&gt;0,T1530&lt;B1530)),0,IF(AND(S1530&lt;=B1530,OR(T1530=0,T1530&gt;=EOMONTH(B1530,0))),30,MIN(30,IF(T1530=0,EOMONTH(B1530,0),MIN(T1530,EOMONTH(B1530,0)))-MAX(B1530,S1530)+1))))</f>
        <v/>
      </c>
    </row>
    <row r="1531" customFormat="false" ht="15" hidden="false" customHeight="false" outlineLevel="0" collapsed="false">
      <c r="B1531" s="78"/>
      <c r="C1531" s="64"/>
      <c r="D1531" s="70" t="str">
        <f aca="false">IF(C1531="","",IFERROR(INDEX(T_NOMBRE,MATCH(C1531,T_ID,0)),"⚠ ID no existe"))</f>
        <v/>
      </c>
      <c r="E1531" s="69"/>
      <c r="F1531" s="69"/>
      <c r="G1531" s="69"/>
      <c r="H1531" s="69"/>
      <c r="I1531" s="66"/>
      <c r="J1531" s="69"/>
      <c r="K1531" s="67"/>
      <c r="L1531" s="67"/>
      <c r="M1531" s="67"/>
      <c r="N1531" s="67"/>
      <c r="O1531" s="64"/>
      <c r="P1531" s="72" t="str">
        <f aca="false">IF(OR(B1531="",C1531=""),"",C1531&amp;"|"&amp;(YEAR(B1531)*100+MONTH(B1531)))</f>
        <v/>
      </c>
      <c r="Q1531" s="70" t="str">
        <f aca="false">IF(P1531="","",IF(COUNTIF(N_CLAVE,P1531)&gt;1,"⚠ Duplicado","OK"))</f>
        <v/>
      </c>
      <c r="R1531" s="74" t="str">
        <f aca="false">IF(OR(P1531="",U1531=""),"",MAX(0,U1531-N(E1531)-N(F1531)-N(H1531)))</f>
        <v/>
      </c>
      <c r="S1531" s="75" t="str">
        <f aca="false">IF(P1531="","",IFERROR(INDEX(T_INGRESO,MATCH(C1531,T_ID,0)),""))</f>
        <v/>
      </c>
      <c r="T1531" s="75" t="str">
        <f aca="false">IF(P1531="","",IFERROR(N(INDEX(T_EGRESO,MATCH(C1531,T_ID,0))),0))</f>
        <v/>
      </c>
      <c r="U1531" s="73" t="str">
        <f aca="false">IF(OR(P1531="",NOT(ISNUMBER(S1531))),"",IF(OR(S1531&gt;EOMONTH(B1531,0),AND(T1531&gt;0,T1531&lt;B1531)),0,IF(AND(S1531&lt;=B1531,OR(T1531=0,T1531&gt;=EOMONTH(B1531,0))),30,MIN(30,IF(T1531=0,EOMONTH(B1531,0),MIN(T1531,EOMONTH(B1531,0)))-MAX(B1531,S1531)+1))))</f>
        <v/>
      </c>
    </row>
    <row r="1532" customFormat="false" ht="15" hidden="false" customHeight="false" outlineLevel="0" collapsed="false">
      <c r="B1532" s="78"/>
      <c r="C1532" s="64"/>
      <c r="D1532" s="70" t="str">
        <f aca="false">IF(C1532="","",IFERROR(INDEX(T_NOMBRE,MATCH(C1532,T_ID,0)),"⚠ ID no existe"))</f>
        <v/>
      </c>
      <c r="E1532" s="69"/>
      <c r="F1532" s="69"/>
      <c r="G1532" s="69"/>
      <c r="H1532" s="69"/>
      <c r="I1532" s="66"/>
      <c r="J1532" s="69"/>
      <c r="K1532" s="67"/>
      <c r="L1532" s="67"/>
      <c r="M1532" s="67"/>
      <c r="N1532" s="67"/>
      <c r="O1532" s="64"/>
      <c r="P1532" s="72" t="str">
        <f aca="false">IF(OR(B1532="",C1532=""),"",C1532&amp;"|"&amp;(YEAR(B1532)*100+MONTH(B1532)))</f>
        <v/>
      </c>
      <c r="Q1532" s="70" t="str">
        <f aca="false">IF(P1532="","",IF(COUNTIF(N_CLAVE,P1532)&gt;1,"⚠ Duplicado","OK"))</f>
        <v/>
      </c>
      <c r="R1532" s="74" t="str">
        <f aca="false">IF(OR(P1532="",U1532=""),"",MAX(0,U1532-N(E1532)-N(F1532)-N(H1532)))</f>
        <v/>
      </c>
      <c r="S1532" s="75" t="str">
        <f aca="false">IF(P1532="","",IFERROR(INDEX(T_INGRESO,MATCH(C1532,T_ID,0)),""))</f>
        <v/>
      </c>
      <c r="T1532" s="75" t="str">
        <f aca="false">IF(P1532="","",IFERROR(N(INDEX(T_EGRESO,MATCH(C1532,T_ID,0))),0))</f>
        <v/>
      </c>
      <c r="U1532" s="73" t="str">
        <f aca="false">IF(OR(P1532="",NOT(ISNUMBER(S1532))),"",IF(OR(S1532&gt;EOMONTH(B1532,0),AND(T1532&gt;0,T1532&lt;B1532)),0,IF(AND(S1532&lt;=B1532,OR(T1532=0,T1532&gt;=EOMONTH(B1532,0))),30,MIN(30,IF(T1532=0,EOMONTH(B1532,0),MIN(T1532,EOMONTH(B1532,0)))-MAX(B1532,S1532)+1))))</f>
        <v/>
      </c>
    </row>
    <row r="1533" customFormat="false" ht="15" hidden="false" customHeight="false" outlineLevel="0" collapsed="false">
      <c r="B1533" s="78"/>
      <c r="C1533" s="64"/>
      <c r="D1533" s="70" t="str">
        <f aca="false">IF(C1533="","",IFERROR(INDEX(T_NOMBRE,MATCH(C1533,T_ID,0)),"⚠ ID no existe"))</f>
        <v/>
      </c>
      <c r="E1533" s="69"/>
      <c r="F1533" s="69"/>
      <c r="G1533" s="69"/>
      <c r="H1533" s="69"/>
      <c r="I1533" s="66"/>
      <c r="J1533" s="69"/>
      <c r="K1533" s="67"/>
      <c r="L1533" s="67"/>
      <c r="M1533" s="67"/>
      <c r="N1533" s="67"/>
      <c r="O1533" s="64"/>
      <c r="P1533" s="72" t="str">
        <f aca="false">IF(OR(B1533="",C1533=""),"",C1533&amp;"|"&amp;(YEAR(B1533)*100+MONTH(B1533)))</f>
        <v/>
      </c>
      <c r="Q1533" s="70" t="str">
        <f aca="false">IF(P1533="","",IF(COUNTIF(N_CLAVE,P1533)&gt;1,"⚠ Duplicado","OK"))</f>
        <v/>
      </c>
      <c r="R1533" s="74" t="str">
        <f aca="false">IF(OR(P1533="",U1533=""),"",MAX(0,U1533-N(E1533)-N(F1533)-N(H1533)))</f>
        <v/>
      </c>
      <c r="S1533" s="75" t="str">
        <f aca="false">IF(P1533="","",IFERROR(INDEX(T_INGRESO,MATCH(C1533,T_ID,0)),""))</f>
        <v/>
      </c>
      <c r="T1533" s="75" t="str">
        <f aca="false">IF(P1533="","",IFERROR(N(INDEX(T_EGRESO,MATCH(C1533,T_ID,0))),0))</f>
        <v/>
      </c>
      <c r="U1533" s="73" t="str">
        <f aca="false">IF(OR(P1533="",NOT(ISNUMBER(S1533))),"",IF(OR(S1533&gt;EOMONTH(B1533,0),AND(T1533&gt;0,T1533&lt;B1533)),0,IF(AND(S1533&lt;=B1533,OR(T1533=0,T1533&gt;=EOMONTH(B1533,0))),30,MIN(30,IF(T1533=0,EOMONTH(B1533,0),MIN(T1533,EOMONTH(B1533,0)))-MAX(B1533,S1533)+1))))</f>
        <v/>
      </c>
    </row>
    <row r="1534" customFormat="false" ht="15" hidden="false" customHeight="false" outlineLevel="0" collapsed="false">
      <c r="B1534" s="78"/>
      <c r="C1534" s="64"/>
      <c r="D1534" s="70" t="str">
        <f aca="false">IF(C1534="","",IFERROR(INDEX(T_NOMBRE,MATCH(C1534,T_ID,0)),"⚠ ID no existe"))</f>
        <v/>
      </c>
      <c r="E1534" s="69"/>
      <c r="F1534" s="69"/>
      <c r="G1534" s="69"/>
      <c r="H1534" s="69"/>
      <c r="I1534" s="66"/>
      <c r="J1534" s="69"/>
      <c r="K1534" s="67"/>
      <c r="L1534" s="67"/>
      <c r="M1534" s="67"/>
      <c r="N1534" s="67"/>
      <c r="O1534" s="64"/>
      <c r="P1534" s="72" t="str">
        <f aca="false">IF(OR(B1534="",C1534=""),"",C1534&amp;"|"&amp;(YEAR(B1534)*100+MONTH(B1534)))</f>
        <v/>
      </c>
      <c r="Q1534" s="70" t="str">
        <f aca="false">IF(P1534="","",IF(COUNTIF(N_CLAVE,P1534)&gt;1,"⚠ Duplicado","OK"))</f>
        <v/>
      </c>
      <c r="R1534" s="74" t="str">
        <f aca="false">IF(OR(P1534="",U1534=""),"",MAX(0,U1534-N(E1534)-N(F1534)-N(H1534)))</f>
        <v/>
      </c>
      <c r="S1534" s="75" t="str">
        <f aca="false">IF(P1534="","",IFERROR(INDEX(T_INGRESO,MATCH(C1534,T_ID,0)),""))</f>
        <v/>
      </c>
      <c r="T1534" s="75" t="str">
        <f aca="false">IF(P1534="","",IFERROR(N(INDEX(T_EGRESO,MATCH(C1534,T_ID,0))),0))</f>
        <v/>
      </c>
      <c r="U1534" s="73" t="str">
        <f aca="false">IF(OR(P1534="",NOT(ISNUMBER(S1534))),"",IF(OR(S1534&gt;EOMONTH(B1534,0),AND(T1534&gt;0,T1534&lt;B1534)),0,IF(AND(S1534&lt;=B1534,OR(T1534=0,T1534&gt;=EOMONTH(B1534,0))),30,MIN(30,IF(T1534=0,EOMONTH(B1534,0),MIN(T1534,EOMONTH(B1534,0)))-MAX(B1534,S1534)+1))))</f>
        <v/>
      </c>
    </row>
    <row r="1535" customFormat="false" ht="15" hidden="false" customHeight="false" outlineLevel="0" collapsed="false">
      <c r="B1535" s="78"/>
      <c r="C1535" s="64"/>
      <c r="D1535" s="70" t="str">
        <f aca="false">IF(C1535="","",IFERROR(INDEX(T_NOMBRE,MATCH(C1535,T_ID,0)),"⚠ ID no existe"))</f>
        <v/>
      </c>
      <c r="E1535" s="69"/>
      <c r="F1535" s="69"/>
      <c r="G1535" s="69"/>
      <c r="H1535" s="69"/>
      <c r="I1535" s="66"/>
      <c r="J1535" s="69"/>
      <c r="K1535" s="67"/>
      <c r="L1535" s="67"/>
      <c r="M1535" s="67"/>
      <c r="N1535" s="67"/>
      <c r="O1535" s="64"/>
      <c r="P1535" s="72" t="str">
        <f aca="false">IF(OR(B1535="",C1535=""),"",C1535&amp;"|"&amp;(YEAR(B1535)*100+MONTH(B1535)))</f>
        <v/>
      </c>
      <c r="Q1535" s="70" t="str">
        <f aca="false">IF(P1535="","",IF(COUNTIF(N_CLAVE,P1535)&gt;1,"⚠ Duplicado","OK"))</f>
        <v/>
      </c>
      <c r="R1535" s="74" t="str">
        <f aca="false">IF(OR(P1535="",U1535=""),"",MAX(0,U1535-N(E1535)-N(F1535)-N(H1535)))</f>
        <v/>
      </c>
      <c r="S1535" s="75" t="str">
        <f aca="false">IF(P1535="","",IFERROR(INDEX(T_INGRESO,MATCH(C1535,T_ID,0)),""))</f>
        <v/>
      </c>
      <c r="T1535" s="75" t="str">
        <f aca="false">IF(P1535="","",IFERROR(N(INDEX(T_EGRESO,MATCH(C1535,T_ID,0))),0))</f>
        <v/>
      </c>
      <c r="U1535" s="73" t="str">
        <f aca="false">IF(OR(P1535="",NOT(ISNUMBER(S1535))),"",IF(OR(S1535&gt;EOMONTH(B1535,0),AND(T1535&gt;0,T1535&lt;B1535)),0,IF(AND(S1535&lt;=B1535,OR(T1535=0,T1535&gt;=EOMONTH(B1535,0))),30,MIN(30,IF(T1535=0,EOMONTH(B1535,0),MIN(T1535,EOMONTH(B1535,0)))-MAX(B1535,S1535)+1))))</f>
        <v/>
      </c>
    </row>
    <row r="1536" customFormat="false" ht="15" hidden="false" customHeight="false" outlineLevel="0" collapsed="false">
      <c r="B1536" s="78"/>
      <c r="C1536" s="64"/>
      <c r="D1536" s="70" t="str">
        <f aca="false">IF(C1536="","",IFERROR(INDEX(T_NOMBRE,MATCH(C1536,T_ID,0)),"⚠ ID no existe"))</f>
        <v/>
      </c>
      <c r="E1536" s="69"/>
      <c r="F1536" s="69"/>
      <c r="G1536" s="69"/>
      <c r="H1536" s="69"/>
      <c r="I1536" s="66"/>
      <c r="J1536" s="69"/>
      <c r="K1536" s="67"/>
      <c r="L1536" s="67"/>
      <c r="M1536" s="67"/>
      <c r="N1536" s="67"/>
      <c r="O1536" s="64"/>
      <c r="P1536" s="72" t="str">
        <f aca="false">IF(OR(B1536="",C1536=""),"",C1536&amp;"|"&amp;(YEAR(B1536)*100+MONTH(B1536)))</f>
        <v/>
      </c>
      <c r="Q1536" s="70" t="str">
        <f aca="false">IF(P1536="","",IF(COUNTIF(N_CLAVE,P1536)&gt;1,"⚠ Duplicado","OK"))</f>
        <v/>
      </c>
      <c r="R1536" s="74" t="str">
        <f aca="false">IF(OR(P1536="",U1536=""),"",MAX(0,U1536-N(E1536)-N(F1536)-N(H1536)))</f>
        <v/>
      </c>
      <c r="S1536" s="75" t="str">
        <f aca="false">IF(P1536="","",IFERROR(INDEX(T_INGRESO,MATCH(C1536,T_ID,0)),""))</f>
        <v/>
      </c>
      <c r="T1536" s="75" t="str">
        <f aca="false">IF(P1536="","",IFERROR(N(INDEX(T_EGRESO,MATCH(C1536,T_ID,0))),0))</f>
        <v/>
      </c>
      <c r="U1536" s="73" t="str">
        <f aca="false">IF(OR(P1536="",NOT(ISNUMBER(S1536))),"",IF(OR(S1536&gt;EOMONTH(B1536,0),AND(T1536&gt;0,T1536&lt;B1536)),0,IF(AND(S1536&lt;=B1536,OR(T1536=0,T1536&gt;=EOMONTH(B1536,0))),30,MIN(30,IF(T1536=0,EOMONTH(B1536,0),MIN(T1536,EOMONTH(B1536,0)))-MAX(B1536,S1536)+1))))</f>
        <v/>
      </c>
    </row>
    <row r="1537" customFormat="false" ht="15" hidden="false" customHeight="false" outlineLevel="0" collapsed="false">
      <c r="B1537" s="78"/>
      <c r="C1537" s="64"/>
      <c r="D1537" s="70" t="str">
        <f aca="false">IF(C1537="","",IFERROR(INDEX(T_NOMBRE,MATCH(C1537,T_ID,0)),"⚠ ID no existe"))</f>
        <v/>
      </c>
      <c r="E1537" s="69"/>
      <c r="F1537" s="69"/>
      <c r="G1537" s="69"/>
      <c r="H1537" s="69"/>
      <c r="I1537" s="66"/>
      <c r="J1537" s="69"/>
      <c r="K1537" s="67"/>
      <c r="L1537" s="67"/>
      <c r="M1537" s="67"/>
      <c r="N1537" s="67"/>
      <c r="O1537" s="64"/>
      <c r="P1537" s="72" t="str">
        <f aca="false">IF(OR(B1537="",C1537=""),"",C1537&amp;"|"&amp;(YEAR(B1537)*100+MONTH(B1537)))</f>
        <v/>
      </c>
      <c r="Q1537" s="70" t="str">
        <f aca="false">IF(P1537="","",IF(COUNTIF(N_CLAVE,P1537)&gt;1,"⚠ Duplicado","OK"))</f>
        <v/>
      </c>
      <c r="R1537" s="74" t="str">
        <f aca="false">IF(OR(P1537="",U1537=""),"",MAX(0,U1537-N(E1537)-N(F1537)-N(H1537)))</f>
        <v/>
      </c>
      <c r="S1537" s="75" t="str">
        <f aca="false">IF(P1537="","",IFERROR(INDEX(T_INGRESO,MATCH(C1537,T_ID,0)),""))</f>
        <v/>
      </c>
      <c r="T1537" s="75" t="str">
        <f aca="false">IF(P1537="","",IFERROR(N(INDEX(T_EGRESO,MATCH(C1537,T_ID,0))),0))</f>
        <v/>
      </c>
      <c r="U1537" s="73" t="str">
        <f aca="false">IF(OR(P1537="",NOT(ISNUMBER(S1537))),"",IF(OR(S1537&gt;EOMONTH(B1537,0),AND(T1537&gt;0,T1537&lt;B1537)),0,IF(AND(S1537&lt;=B1537,OR(T1537=0,T1537&gt;=EOMONTH(B1537,0))),30,MIN(30,IF(T1537=0,EOMONTH(B1537,0),MIN(T1537,EOMONTH(B1537,0)))-MAX(B1537,S1537)+1))))</f>
        <v/>
      </c>
    </row>
    <row r="1538" customFormat="false" ht="15" hidden="false" customHeight="false" outlineLevel="0" collapsed="false">
      <c r="B1538" s="78"/>
      <c r="C1538" s="64"/>
      <c r="D1538" s="70" t="str">
        <f aca="false">IF(C1538="","",IFERROR(INDEX(T_NOMBRE,MATCH(C1538,T_ID,0)),"⚠ ID no existe"))</f>
        <v/>
      </c>
      <c r="E1538" s="69"/>
      <c r="F1538" s="69"/>
      <c r="G1538" s="69"/>
      <c r="H1538" s="69"/>
      <c r="I1538" s="66"/>
      <c r="J1538" s="69"/>
      <c r="K1538" s="67"/>
      <c r="L1538" s="67"/>
      <c r="M1538" s="67"/>
      <c r="N1538" s="67"/>
      <c r="O1538" s="64"/>
      <c r="P1538" s="72" t="str">
        <f aca="false">IF(OR(B1538="",C1538=""),"",C1538&amp;"|"&amp;(YEAR(B1538)*100+MONTH(B1538)))</f>
        <v/>
      </c>
      <c r="Q1538" s="70" t="str">
        <f aca="false">IF(P1538="","",IF(COUNTIF(N_CLAVE,P1538)&gt;1,"⚠ Duplicado","OK"))</f>
        <v/>
      </c>
      <c r="R1538" s="74" t="str">
        <f aca="false">IF(OR(P1538="",U1538=""),"",MAX(0,U1538-N(E1538)-N(F1538)-N(H1538)))</f>
        <v/>
      </c>
      <c r="S1538" s="75" t="str">
        <f aca="false">IF(P1538="","",IFERROR(INDEX(T_INGRESO,MATCH(C1538,T_ID,0)),""))</f>
        <v/>
      </c>
      <c r="T1538" s="75" t="str">
        <f aca="false">IF(P1538="","",IFERROR(N(INDEX(T_EGRESO,MATCH(C1538,T_ID,0))),0))</f>
        <v/>
      </c>
      <c r="U1538" s="73" t="str">
        <f aca="false">IF(OR(P1538="",NOT(ISNUMBER(S1538))),"",IF(OR(S1538&gt;EOMONTH(B1538,0),AND(T1538&gt;0,T1538&lt;B1538)),0,IF(AND(S1538&lt;=B1538,OR(T1538=0,T1538&gt;=EOMONTH(B1538,0))),30,MIN(30,IF(T1538=0,EOMONTH(B1538,0),MIN(T1538,EOMONTH(B1538,0)))-MAX(B1538,S1538)+1))))</f>
        <v/>
      </c>
    </row>
    <row r="1539" customFormat="false" ht="15" hidden="false" customHeight="false" outlineLevel="0" collapsed="false">
      <c r="B1539" s="78"/>
      <c r="C1539" s="64"/>
      <c r="D1539" s="70" t="str">
        <f aca="false">IF(C1539="","",IFERROR(INDEX(T_NOMBRE,MATCH(C1539,T_ID,0)),"⚠ ID no existe"))</f>
        <v/>
      </c>
      <c r="E1539" s="69"/>
      <c r="F1539" s="69"/>
      <c r="G1539" s="69"/>
      <c r="H1539" s="69"/>
      <c r="I1539" s="66"/>
      <c r="J1539" s="69"/>
      <c r="K1539" s="67"/>
      <c r="L1539" s="67"/>
      <c r="M1539" s="67"/>
      <c r="N1539" s="67"/>
      <c r="O1539" s="64"/>
      <c r="P1539" s="72" t="str">
        <f aca="false">IF(OR(B1539="",C1539=""),"",C1539&amp;"|"&amp;(YEAR(B1539)*100+MONTH(B1539)))</f>
        <v/>
      </c>
      <c r="Q1539" s="70" t="str">
        <f aca="false">IF(P1539="","",IF(COUNTIF(N_CLAVE,P1539)&gt;1,"⚠ Duplicado","OK"))</f>
        <v/>
      </c>
      <c r="R1539" s="74" t="str">
        <f aca="false">IF(OR(P1539="",U1539=""),"",MAX(0,U1539-N(E1539)-N(F1539)-N(H1539)))</f>
        <v/>
      </c>
      <c r="S1539" s="75" t="str">
        <f aca="false">IF(P1539="","",IFERROR(INDEX(T_INGRESO,MATCH(C1539,T_ID,0)),""))</f>
        <v/>
      </c>
      <c r="T1539" s="75" t="str">
        <f aca="false">IF(P1539="","",IFERROR(N(INDEX(T_EGRESO,MATCH(C1539,T_ID,0))),0))</f>
        <v/>
      </c>
      <c r="U1539" s="73" t="str">
        <f aca="false">IF(OR(P1539="",NOT(ISNUMBER(S1539))),"",IF(OR(S1539&gt;EOMONTH(B1539,0),AND(T1539&gt;0,T1539&lt;B1539)),0,IF(AND(S1539&lt;=B1539,OR(T1539=0,T1539&gt;=EOMONTH(B1539,0))),30,MIN(30,IF(T1539=0,EOMONTH(B1539,0),MIN(T1539,EOMONTH(B1539,0)))-MAX(B1539,S1539)+1))))</f>
        <v/>
      </c>
    </row>
    <row r="1540" customFormat="false" ht="15" hidden="false" customHeight="false" outlineLevel="0" collapsed="false">
      <c r="B1540" s="78"/>
      <c r="C1540" s="64"/>
      <c r="D1540" s="70" t="str">
        <f aca="false">IF(C1540="","",IFERROR(INDEX(T_NOMBRE,MATCH(C1540,T_ID,0)),"⚠ ID no existe"))</f>
        <v/>
      </c>
      <c r="E1540" s="69"/>
      <c r="F1540" s="69"/>
      <c r="G1540" s="69"/>
      <c r="H1540" s="69"/>
      <c r="I1540" s="66"/>
      <c r="J1540" s="69"/>
      <c r="K1540" s="67"/>
      <c r="L1540" s="67"/>
      <c r="M1540" s="67"/>
      <c r="N1540" s="67"/>
      <c r="O1540" s="64"/>
      <c r="P1540" s="72" t="str">
        <f aca="false">IF(OR(B1540="",C1540=""),"",C1540&amp;"|"&amp;(YEAR(B1540)*100+MONTH(B1540)))</f>
        <v/>
      </c>
      <c r="Q1540" s="70" t="str">
        <f aca="false">IF(P1540="","",IF(COUNTIF(N_CLAVE,P1540)&gt;1,"⚠ Duplicado","OK"))</f>
        <v/>
      </c>
      <c r="R1540" s="74" t="str">
        <f aca="false">IF(OR(P1540="",U1540=""),"",MAX(0,U1540-N(E1540)-N(F1540)-N(H1540)))</f>
        <v/>
      </c>
      <c r="S1540" s="75" t="str">
        <f aca="false">IF(P1540="","",IFERROR(INDEX(T_INGRESO,MATCH(C1540,T_ID,0)),""))</f>
        <v/>
      </c>
      <c r="T1540" s="75" t="str">
        <f aca="false">IF(P1540="","",IFERROR(N(INDEX(T_EGRESO,MATCH(C1540,T_ID,0))),0))</f>
        <v/>
      </c>
      <c r="U1540" s="73" t="str">
        <f aca="false">IF(OR(P1540="",NOT(ISNUMBER(S1540))),"",IF(OR(S1540&gt;EOMONTH(B1540,0),AND(T1540&gt;0,T1540&lt;B1540)),0,IF(AND(S1540&lt;=B1540,OR(T1540=0,T1540&gt;=EOMONTH(B1540,0))),30,MIN(30,IF(T1540=0,EOMONTH(B1540,0),MIN(T1540,EOMONTH(B1540,0)))-MAX(B1540,S1540)+1))))</f>
        <v/>
      </c>
    </row>
    <row r="1541" customFormat="false" ht="15" hidden="false" customHeight="false" outlineLevel="0" collapsed="false">
      <c r="B1541" s="78"/>
      <c r="C1541" s="64"/>
      <c r="D1541" s="70" t="str">
        <f aca="false">IF(C1541="","",IFERROR(INDEX(T_NOMBRE,MATCH(C1541,T_ID,0)),"⚠ ID no existe"))</f>
        <v/>
      </c>
      <c r="E1541" s="69"/>
      <c r="F1541" s="69"/>
      <c r="G1541" s="69"/>
      <c r="H1541" s="69"/>
      <c r="I1541" s="66"/>
      <c r="J1541" s="69"/>
      <c r="K1541" s="67"/>
      <c r="L1541" s="67"/>
      <c r="M1541" s="67"/>
      <c r="N1541" s="67"/>
      <c r="O1541" s="64"/>
      <c r="P1541" s="72" t="str">
        <f aca="false">IF(OR(B1541="",C1541=""),"",C1541&amp;"|"&amp;(YEAR(B1541)*100+MONTH(B1541)))</f>
        <v/>
      </c>
      <c r="Q1541" s="70" t="str">
        <f aca="false">IF(P1541="","",IF(COUNTIF(N_CLAVE,P1541)&gt;1,"⚠ Duplicado","OK"))</f>
        <v/>
      </c>
      <c r="R1541" s="74" t="str">
        <f aca="false">IF(OR(P1541="",U1541=""),"",MAX(0,U1541-N(E1541)-N(F1541)-N(H1541)))</f>
        <v/>
      </c>
      <c r="S1541" s="75" t="str">
        <f aca="false">IF(P1541="","",IFERROR(INDEX(T_INGRESO,MATCH(C1541,T_ID,0)),""))</f>
        <v/>
      </c>
      <c r="T1541" s="75" t="str">
        <f aca="false">IF(P1541="","",IFERROR(N(INDEX(T_EGRESO,MATCH(C1541,T_ID,0))),0))</f>
        <v/>
      </c>
      <c r="U1541" s="73" t="str">
        <f aca="false">IF(OR(P1541="",NOT(ISNUMBER(S1541))),"",IF(OR(S1541&gt;EOMONTH(B1541,0),AND(T1541&gt;0,T1541&lt;B1541)),0,IF(AND(S1541&lt;=B1541,OR(T1541=0,T1541&gt;=EOMONTH(B1541,0))),30,MIN(30,IF(T1541=0,EOMONTH(B1541,0),MIN(T1541,EOMONTH(B1541,0)))-MAX(B1541,S1541)+1))))</f>
        <v/>
      </c>
    </row>
    <row r="1542" customFormat="false" ht="15" hidden="false" customHeight="false" outlineLevel="0" collapsed="false">
      <c r="B1542" s="78"/>
      <c r="C1542" s="64"/>
      <c r="D1542" s="70" t="str">
        <f aca="false">IF(C1542="","",IFERROR(INDEX(T_NOMBRE,MATCH(C1542,T_ID,0)),"⚠ ID no existe"))</f>
        <v/>
      </c>
      <c r="E1542" s="69"/>
      <c r="F1542" s="69"/>
      <c r="G1542" s="69"/>
      <c r="H1542" s="69"/>
      <c r="I1542" s="66"/>
      <c r="J1542" s="69"/>
      <c r="K1542" s="67"/>
      <c r="L1542" s="67"/>
      <c r="M1542" s="67"/>
      <c r="N1542" s="67"/>
      <c r="O1542" s="64"/>
      <c r="P1542" s="72" t="str">
        <f aca="false">IF(OR(B1542="",C1542=""),"",C1542&amp;"|"&amp;(YEAR(B1542)*100+MONTH(B1542)))</f>
        <v/>
      </c>
      <c r="Q1542" s="70" t="str">
        <f aca="false">IF(P1542="","",IF(COUNTIF(N_CLAVE,P1542)&gt;1,"⚠ Duplicado","OK"))</f>
        <v/>
      </c>
      <c r="R1542" s="74" t="str">
        <f aca="false">IF(OR(P1542="",U1542=""),"",MAX(0,U1542-N(E1542)-N(F1542)-N(H1542)))</f>
        <v/>
      </c>
      <c r="S1542" s="75" t="str">
        <f aca="false">IF(P1542="","",IFERROR(INDEX(T_INGRESO,MATCH(C1542,T_ID,0)),""))</f>
        <v/>
      </c>
      <c r="T1542" s="75" t="str">
        <f aca="false">IF(P1542="","",IFERROR(N(INDEX(T_EGRESO,MATCH(C1542,T_ID,0))),0))</f>
        <v/>
      </c>
      <c r="U1542" s="73" t="str">
        <f aca="false">IF(OR(P1542="",NOT(ISNUMBER(S1542))),"",IF(OR(S1542&gt;EOMONTH(B1542,0),AND(T1542&gt;0,T1542&lt;B1542)),0,IF(AND(S1542&lt;=B1542,OR(T1542=0,T1542&gt;=EOMONTH(B1542,0))),30,MIN(30,IF(T1542=0,EOMONTH(B1542,0),MIN(T1542,EOMONTH(B1542,0)))-MAX(B1542,S1542)+1))))</f>
        <v/>
      </c>
    </row>
    <row r="1543" customFormat="false" ht="15" hidden="false" customHeight="false" outlineLevel="0" collapsed="false">
      <c r="B1543" s="78"/>
      <c r="C1543" s="64"/>
      <c r="D1543" s="70" t="str">
        <f aca="false">IF(C1543="","",IFERROR(INDEX(T_NOMBRE,MATCH(C1543,T_ID,0)),"⚠ ID no existe"))</f>
        <v/>
      </c>
      <c r="E1543" s="69"/>
      <c r="F1543" s="69"/>
      <c r="G1543" s="69"/>
      <c r="H1543" s="69"/>
      <c r="I1543" s="66"/>
      <c r="J1543" s="69"/>
      <c r="K1543" s="67"/>
      <c r="L1543" s="67"/>
      <c r="M1543" s="67"/>
      <c r="N1543" s="67"/>
      <c r="O1543" s="64"/>
      <c r="P1543" s="72" t="str">
        <f aca="false">IF(OR(B1543="",C1543=""),"",C1543&amp;"|"&amp;(YEAR(B1543)*100+MONTH(B1543)))</f>
        <v/>
      </c>
      <c r="Q1543" s="70" t="str">
        <f aca="false">IF(P1543="","",IF(COUNTIF(N_CLAVE,P1543)&gt;1,"⚠ Duplicado","OK"))</f>
        <v/>
      </c>
      <c r="R1543" s="74" t="str">
        <f aca="false">IF(OR(P1543="",U1543=""),"",MAX(0,U1543-N(E1543)-N(F1543)-N(H1543)))</f>
        <v/>
      </c>
      <c r="S1543" s="75" t="str">
        <f aca="false">IF(P1543="","",IFERROR(INDEX(T_INGRESO,MATCH(C1543,T_ID,0)),""))</f>
        <v/>
      </c>
      <c r="T1543" s="75" t="str">
        <f aca="false">IF(P1543="","",IFERROR(N(INDEX(T_EGRESO,MATCH(C1543,T_ID,0))),0))</f>
        <v/>
      </c>
      <c r="U1543" s="73" t="str">
        <f aca="false">IF(OR(P1543="",NOT(ISNUMBER(S1543))),"",IF(OR(S1543&gt;EOMONTH(B1543,0),AND(T1543&gt;0,T1543&lt;B1543)),0,IF(AND(S1543&lt;=B1543,OR(T1543=0,T1543&gt;=EOMONTH(B1543,0))),30,MIN(30,IF(T1543=0,EOMONTH(B1543,0),MIN(T1543,EOMONTH(B1543,0)))-MAX(B1543,S1543)+1))))</f>
        <v/>
      </c>
    </row>
    <row r="1544" customFormat="false" ht="15" hidden="false" customHeight="false" outlineLevel="0" collapsed="false">
      <c r="B1544" s="78"/>
      <c r="C1544" s="64"/>
      <c r="D1544" s="70" t="str">
        <f aca="false">IF(C1544="","",IFERROR(INDEX(T_NOMBRE,MATCH(C1544,T_ID,0)),"⚠ ID no existe"))</f>
        <v/>
      </c>
      <c r="E1544" s="69"/>
      <c r="F1544" s="69"/>
      <c r="G1544" s="69"/>
      <c r="H1544" s="69"/>
      <c r="I1544" s="66"/>
      <c r="J1544" s="69"/>
      <c r="K1544" s="67"/>
      <c r="L1544" s="67"/>
      <c r="M1544" s="67"/>
      <c r="N1544" s="67"/>
      <c r="O1544" s="64"/>
      <c r="P1544" s="72" t="str">
        <f aca="false">IF(OR(B1544="",C1544=""),"",C1544&amp;"|"&amp;(YEAR(B1544)*100+MONTH(B1544)))</f>
        <v/>
      </c>
      <c r="Q1544" s="70" t="str">
        <f aca="false">IF(P1544="","",IF(COUNTIF(N_CLAVE,P1544)&gt;1,"⚠ Duplicado","OK"))</f>
        <v/>
      </c>
      <c r="R1544" s="74" t="str">
        <f aca="false">IF(OR(P1544="",U1544=""),"",MAX(0,U1544-N(E1544)-N(F1544)-N(H1544)))</f>
        <v/>
      </c>
      <c r="S1544" s="75" t="str">
        <f aca="false">IF(P1544="","",IFERROR(INDEX(T_INGRESO,MATCH(C1544,T_ID,0)),""))</f>
        <v/>
      </c>
      <c r="T1544" s="75" t="str">
        <f aca="false">IF(P1544="","",IFERROR(N(INDEX(T_EGRESO,MATCH(C1544,T_ID,0))),0))</f>
        <v/>
      </c>
      <c r="U1544" s="73" t="str">
        <f aca="false">IF(OR(P1544="",NOT(ISNUMBER(S1544))),"",IF(OR(S1544&gt;EOMONTH(B1544,0),AND(T1544&gt;0,T1544&lt;B1544)),0,IF(AND(S1544&lt;=B1544,OR(T1544=0,T1544&gt;=EOMONTH(B1544,0))),30,MIN(30,IF(T1544=0,EOMONTH(B1544,0),MIN(T1544,EOMONTH(B1544,0)))-MAX(B1544,S1544)+1))))</f>
        <v/>
      </c>
    </row>
    <row r="1545" customFormat="false" ht="15" hidden="false" customHeight="false" outlineLevel="0" collapsed="false">
      <c r="B1545" s="78"/>
      <c r="C1545" s="64"/>
      <c r="D1545" s="70" t="str">
        <f aca="false">IF(C1545="","",IFERROR(INDEX(T_NOMBRE,MATCH(C1545,T_ID,0)),"⚠ ID no existe"))</f>
        <v/>
      </c>
      <c r="E1545" s="69"/>
      <c r="F1545" s="69"/>
      <c r="G1545" s="69"/>
      <c r="H1545" s="69"/>
      <c r="I1545" s="66"/>
      <c r="J1545" s="69"/>
      <c r="K1545" s="67"/>
      <c r="L1545" s="67"/>
      <c r="M1545" s="67"/>
      <c r="N1545" s="67"/>
      <c r="O1545" s="64"/>
      <c r="P1545" s="72" t="str">
        <f aca="false">IF(OR(B1545="",C1545=""),"",C1545&amp;"|"&amp;(YEAR(B1545)*100+MONTH(B1545)))</f>
        <v/>
      </c>
      <c r="Q1545" s="70" t="str">
        <f aca="false">IF(P1545="","",IF(COUNTIF(N_CLAVE,P1545)&gt;1,"⚠ Duplicado","OK"))</f>
        <v/>
      </c>
      <c r="R1545" s="74" t="str">
        <f aca="false">IF(OR(P1545="",U1545=""),"",MAX(0,U1545-N(E1545)-N(F1545)-N(H1545)))</f>
        <v/>
      </c>
      <c r="S1545" s="75" t="str">
        <f aca="false">IF(P1545="","",IFERROR(INDEX(T_INGRESO,MATCH(C1545,T_ID,0)),""))</f>
        <v/>
      </c>
      <c r="T1545" s="75" t="str">
        <f aca="false">IF(P1545="","",IFERROR(N(INDEX(T_EGRESO,MATCH(C1545,T_ID,0))),0))</f>
        <v/>
      </c>
      <c r="U1545" s="73" t="str">
        <f aca="false">IF(OR(P1545="",NOT(ISNUMBER(S1545))),"",IF(OR(S1545&gt;EOMONTH(B1545,0),AND(T1545&gt;0,T1545&lt;B1545)),0,IF(AND(S1545&lt;=B1545,OR(T1545=0,T1545&gt;=EOMONTH(B1545,0))),30,MIN(30,IF(T1545=0,EOMONTH(B1545,0),MIN(T1545,EOMONTH(B1545,0)))-MAX(B1545,S1545)+1))))</f>
        <v/>
      </c>
    </row>
    <row r="1546" customFormat="false" ht="15" hidden="false" customHeight="false" outlineLevel="0" collapsed="false">
      <c r="B1546" s="78"/>
      <c r="C1546" s="64"/>
      <c r="D1546" s="70" t="str">
        <f aca="false">IF(C1546="","",IFERROR(INDEX(T_NOMBRE,MATCH(C1546,T_ID,0)),"⚠ ID no existe"))</f>
        <v/>
      </c>
      <c r="E1546" s="69"/>
      <c r="F1546" s="69"/>
      <c r="G1546" s="69"/>
      <c r="H1546" s="69"/>
      <c r="I1546" s="66"/>
      <c r="J1546" s="69"/>
      <c r="K1546" s="67"/>
      <c r="L1546" s="67"/>
      <c r="M1546" s="67"/>
      <c r="N1546" s="67"/>
      <c r="O1546" s="64"/>
      <c r="P1546" s="72" t="str">
        <f aca="false">IF(OR(B1546="",C1546=""),"",C1546&amp;"|"&amp;(YEAR(B1546)*100+MONTH(B1546)))</f>
        <v/>
      </c>
      <c r="Q1546" s="70" t="str">
        <f aca="false">IF(P1546="","",IF(COUNTIF(N_CLAVE,P1546)&gt;1,"⚠ Duplicado","OK"))</f>
        <v/>
      </c>
      <c r="R1546" s="74" t="str">
        <f aca="false">IF(OR(P1546="",U1546=""),"",MAX(0,U1546-N(E1546)-N(F1546)-N(H1546)))</f>
        <v/>
      </c>
      <c r="S1546" s="75" t="str">
        <f aca="false">IF(P1546="","",IFERROR(INDEX(T_INGRESO,MATCH(C1546,T_ID,0)),""))</f>
        <v/>
      </c>
      <c r="T1546" s="75" t="str">
        <f aca="false">IF(P1546="","",IFERROR(N(INDEX(T_EGRESO,MATCH(C1546,T_ID,0))),0))</f>
        <v/>
      </c>
      <c r="U1546" s="73" t="str">
        <f aca="false">IF(OR(P1546="",NOT(ISNUMBER(S1546))),"",IF(OR(S1546&gt;EOMONTH(B1546,0),AND(T1546&gt;0,T1546&lt;B1546)),0,IF(AND(S1546&lt;=B1546,OR(T1546=0,T1546&gt;=EOMONTH(B1546,0))),30,MIN(30,IF(T1546=0,EOMONTH(B1546,0),MIN(T1546,EOMONTH(B1546,0)))-MAX(B1546,S1546)+1))))</f>
        <v/>
      </c>
    </row>
    <row r="1547" customFormat="false" ht="15" hidden="false" customHeight="false" outlineLevel="0" collapsed="false">
      <c r="B1547" s="78"/>
      <c r="C1547" s="64"/>
      <c r="D1547" s="70" t="str">
        <f aca="false">IF(C1547="","",IFERROR(INDEX(T_NOMBRE,MATCH(C1547,T_ID,0)),"⚠ ID no existe"))</f>
        <v/>
      </c>
      <c r="E1547" s="69"/>
      <c r="F1547" s="69"/>
      <c r="G1547" s="69"/>
      <c r="H1547" s="69"/>
      <c r="I1547" s="66"/>
      <c r="J1547" s="69"/>
      <c r="K1547" s="67"/>
      <c r="L1547" s="67"/>
      <c r="M1547" s="67"/>
      <c r="N1547" s="67"/>
      <c r="O1547" s="64"/>
      <c r="P1547" s="72" t="str">
        <f aca="false">IF(OR(B1547="",C1547=""),"",C1547&amp;"|"&amp;(YEAR(B1547)*100+MONTH(B1547)))</f>
        <v/>
      </c>
      <c r="Q1547" s="70" t="str">
        <f aca="false">IF(P1547="","",IF(COUNTIF(N_CLAVE,P1547)&gt;1,"⚠ Duplicado","OK"))</f>
        <v/>
      </c>
      <c r="R1547" s="74" t="str">
        <f aca="false">IF(OR(P1547="",U1547=""),"",MAX(0,U1547-N(E1547)-N(F1547)-N(H1547)))</f>
        <v/>
      </c>
      <c r="S1547" s="75" t="str">
        <f aca="false">IF(P1547="","",IFERROR(INDEX(T_INGRESO,MATCH(C1547,T_ID,0)),""))</f>
        <v/>
      </c>
      <c r="T1547" s="75" t="str">
        <f aca="false">IF(P1547="","",IFERROR(N(INDEX(T_EGRESO,MATCH(C1547,T_ID,0))),0))</f>
        <v/>
      </c>
      <c r="U1547" s="73" t="str">
        <f aca="false">IF(OR(P1547="",NOT(ISNUMBER(S1547))),"",IF(OR(S1547&gt;EOMONTH(B1547,0),AND(T1547&gt;0,T1547&lt;B1547)),0,IF(AND(S1547&lt;=B1547,OR(T1547=0,T1547&gt;=EOMONTH(B1547,0))),30,MIN(30,IF(T1547=0,EOMONTH(B1547,0),MIN(T1547,EOMONTH(B1547,0)))-MAX(B1547,S1547)+1))))</f>
        <v/>
      </c>
    </row>
    <row r="1548" customFormat="false" ht="15" hidden="false" customHeight="false" outlineLevel="0" collapsed="false">
      <c r="B1548" s="78"/>
      <c r="C1548" s="64"/>
      <c r="D1548" s="70" t="str">
        <f aca="false">IF(C1548="","",IFERROR(INDEX(T_NOMBRE,MATCH(C1548,T_ID,0)),"⚠ ID no existe"))</f>
        <v/>
      </c>
      <c r="E1548" s="69"/>
      <c r="F1548" s="69"/>
      <c r="G1548" s="69"/>
      <c r="H1548" s="69"/>
      <c r="I1548" s="66"/>
      <c r="J1548" s="69"/>
      <c r="K1548" s="67"/>
      <c r="L1548" s="67"/>
      <c r="M1548" s="67"/>
      <c r="N1548" s="67"/>
      <c r="O1548" s="64"/>
      <c r="P1548" s="72" t="str">
        <f aca="false">IF(OR(B1548="",C1548=""),"",C1548&amp;"|"&amp;(YEAR(B1548)*100+MONTH(B1548)))</f>
        <v/>
      </c>
      <c r="Q1548" s="70" t="str">
        <f aca="false">IF(P1548="","",IF(COUNTIF(N_CLAVE,P1548)&gt;1,"⚠ Duplicado","OK"))</f>
        <v/>
      </c>
      <c r="R1548" s="74" t="str">
        <f aca="false">IF(OR(P1548="",U1548=""),"",MAX(0,U1548-N(E1548)-N(F1548)-N(H1548)))</f>
        <v/>
      </c>
      <c r="S1548" s="75" t="str">
        <f aca="false">IF(P1548="","",IFERROR(INDEX(T_INGRESO,MATCH(C1548,T_ID,0)),""))</f>
        <v/>
      </c>
      <c r="T1548" s="75" t="str">
        <f aca="false">IF(P1548="","",IFERROR(N(INDEX(T_EGRESO,MATCH(C1548,T_ID,0))),0))</f>
        <v/>
      </c>
      <c r="U1548" s="73" t="str">
        <f aca="false">IF(OR(P1548="",NOT(ISNUMBER(S1548))),"",IF(OR(S1548&gt;EOMONTH(B1548,0),AND(T1548&gt;0,T1548&lt;B1548)),0,IF(AND(S1548&lt;=B1548,OR(T1548=0,T1548&gt;=EOMONTH(B1548,0))),30,MIN(30,IF(T1548=0,EOMONTH(B1548,0),MIN(T1548,EOMONTH(B1548,0)))-MAX(B1548,S1548)+1))))</f>
        <v/>
      </c>
    </row>
    <row r="1549" customFormat="false" ht="15" hidden="false" customHeight="false" outlineLevel="0" collapsed="false">
      <c r="B1549" s="78"/>
      <c r="C1549" s="64"/>
      <c r="D1549" s="70" t="str">
        <f aca="false">IF(C1549="","",IFERROR(INDEX(T_NOMBRE,MATCH(C1549,T_ID,0)),"⚠ ID no existe"))</f>
        <v/>
      </c>
      <c r="E1549" s="69"/>
      <c r="F1549" s="69"/>
      <c r="G1549" s="69"/>
      <c r="H1549" s="69"/>
      <c r="I1549" s="66"/>
      <c r="J1549" s="69"/>
      <c r="K1549" s="67"/>
      <c r="L1549" s="67"/>
      <c r="M1549" s="67"/>
      <c r="N1549" s="67"/>
      <c r="O1549" s="64"/>
      <c r="P1549" s="72" t="str">
        <f aca="false">IF(OR(B1549="",C1549=""),"",C1549&amp;"|"&amp;(YEAR(B1549)*100+MONTH(B1549)))</f>
        <v/>
      </c>
      <c r="Q1549" s="70" t="str">
        <f aca="false">IF(P1549="","",IF(COUNTIF(N_CLAVE,P1549)&gt;1,"⚠ Duplicado","OK"))</f>
        <v/>
      </c>
      <c r="R1549" s="74" t="str">
        <f aca="false">IF(OR(P1549="",U1549=""),"",MAX(0,U1549-N(E1549)-N(F1549)-N(H1549)))</f>
        <v/>
      </c>
      <c r="S1549" s="75" t="str">
        <f aca="false">IF(P1549="","",IFERROR(INDEX(T_INGRESO,MATCH(C1549,T_ID,0)),""))</f>
        <v/>
      </c>
      <c r="T1549" s="75" t="str">
        <f aca="false">IF(P1549="","",IFERROR(N(INDEX(T_EGRESO,MATCH(C1549,T_ID,0))),0))</f>
        <v/>
      </c>
      <c r="U1549" s="73" t="str">
        <f aca="false">IF(OR(P1549="",NOT(ISNUMBER(S1549))),"",IF(OR(S1549&gt;EOMONTH(B1549,0),AND(T1549&gt;0,T1549&lt;B1549)),0,IF(AND(S1549&lt;=B1549,OR(T1549=0,T1549&gt;=EOMONTH(B1549,0))),30,MIN(30,IF(T1549=0,EOMONTH(B1549,0),MIN(T1549,EOMONTH(B1549,0)))-MAX(B1549,S1549)+1))))</f>
        <v/>
      </c>
    </row>
    <row r="1550" customFormat="false" ht="15" hidden="false" customHeight="false" outlineLevel="0" collapsed="false">
      <c r="B1550" s="78"/>
      <c r="C1550" s="64"/>
      <c r="D1550" s="70" t="str">
        <f aca="false">IF(C1550="","",IFERROR(INDEX(T_NOMBRE,MATCH(C1550,T_ID,0)),"⚠ ID no existe"))</f>
        <v/>
      </c>
      <c r="E1550" s="69"/>
      <c r="F1550" s="69"/>
      <c r="G1550" s="69"/>
      <c r="H1550" s="69"/>
      <c r="I1550" s="66"/>
      <c r="J1550" s="69"/>
      <c r="K1550" s="67"/>
      <c r="L1550" s="67"/>
      <c r="M1550" s="67"/>
      <c r="N1550" s="67"/>
      <c r="O1550" s="64"/>
      <c r="P1550" s="72" t="str">
        <f aca="false">IF(OR(B1550="",C1550=""),"",C1550&amp;"|"&amp;(YEAR(B1550)*100+MONTH(B1550)))</f>
        <v/>
      </c>
      <c r="Q1550" s="70" t="str">
        <f aca="false">IF(P1550="","",IF(COUNTIF(N_CLAVE,P1550)&gt;1,"⚠ Duplicado","OK"))</f>
        <v/>
      </c>
      <c r="R1550" s="74" t="str">
        <f aca="false">IF(OR(P1550="",U1550=""),"",MAX(0,U1550-N(E1550)-N(F1550)-N(H1550)))</f>
        <v/>
      </c>
      <c r="S1550" s="75" t="str">
        <f aca="false">IF(P1550="","",IFERROR(INDEX(T_INGRESO,MATCH(C1550,T_ID,0)),""))</f>
        <v/>
      </c>
      <c r="T1550" s="75" t="str">
        <f aca="false">IF(P1550="","",IFERROR(N(INDEX(T_EGRESO,MATCH(C1550,T_ID,0))),0))</f>
        <v/>
      </c>
      <c r="U1550" s="73" t="str">
        <f aca="false">IF(OR(P1550="",NOT(ISNUMBER(S1550))),"",IF(OR(S1550&gt;EOMONTH(B1550,0),AND(T1550&gt;0,T1550&lt;B1550)),0,IF(AND(S1550&lt;=B1550,OR(T1550=0,T1550&gt;=EOMONTH(B1550,0))),30,MIN(30,IF(T1550=0,EOMONTH(B1550,0),MIN(T1550,EOMONTH(B1550,0)))-MAX(B1550,S1550)+1))))</f>
        <v/>
      </c>
    </row>
    <row r="1551" customFormat="false" ht="15" hidden="false" customHeight="false" outlineLevel="0" collapsed="false">
      <c r="B1551" s="78"/>
      <c r="C1551" s="64"/>
      <c r="D1551" s="70" t="str">
        <f aca="false">IF(C1551="","",IFERROR(INDEX(T_NOMBRE,MATCH(C1551,T_ID,0)),"⚠ ID no existe"))</f>
        <v/>
      </c>
      <c r="E1551" s="69"/>
      <c r="F1551" s="69"/>
      <c r="G1551" s="69"/>
      <c r="H1551" s="69"/>
      <c r="I1551" s="66"/>
      <c r="J1551" s="69"/>
      <c r="K1551" s="67"/>
      <c r="L1551" s="67"/>
      <c r="M1551" s="67"/>
      <c r="N1551" s="67"/>
      <c r="O1551" s="64"/>
      <c r="P1551" s="72" t="str">
        <f aca="false">IF(OR(B1551="",C1551=""),"",C1551&amp;"|"&amp;(YEAR(B1551)*100+MONTH(B1551)))</f>
        <v/>
      </c>
      <c r="Q1551" s="70" t="str">
        <f aca="false">IF(P1551="","",IF(COUNTIF(N_CLAVE,P1551)&gt;1,"⚠ Duplicado","OK"))</f>
        <v/>
      </c>
      <c r="R1551" s="74" t="str">
        <f aca="false">IF(OR(P1551="",U1551=""),"",MAX(0,U1551-N(E1551)-N(F1551)-N(H1551)))</f>
        <v/>
      </c>
      <c r="S1551" s="75" t="str">
        <f aca="false">IF(P1551="","",IFERROR(INDEX(T_INGRESO,MATCH(C1551,T_ID,0)),""))</f>
        <v/>
      </c>
      <c r="T1551" s="75" t="str">
        <f aca="false">IF(P1551="","",IFERROR(N(INDEX(T_EGRESO,MATCH(C1551,T_ID,0))),0))</f>
        <v/>
      </c>
      <c r="U1551" s="73" t="str">
        <f aca="false">IF(OR(P1551="",NOT(ISNUMBER(S1551))),"",IF(OR(S1551&gt;EOMONTH(B1551,0),AND(T1551&gt;0,T1551&lt;B1551)),0,IF(AND(S1551&lt;=B1551,OR(T1551=0,T1551&gt;=EOMONTH(B1551,0))),30,MIN(30,IF(T1551=0,EOMONTH(B1551,0),MIN(T1551,EOMONTH(B1551,0)))-MAX(B1551,S1551)+1))))</f>
        <v/>
      </c>
    </row>
    <row r="1552" customFormat="false" ht="15" hidden="false" customHeight="false" outlineLevel="0" collapsed="false">
      <c r="B1552" s="78"/>
      <c r="C1552" s="64"/>
      <c r="D1552" s="70" t="str">
        <f aca="false">IF(C1552="","",IFERROR(INDEX(T_NOMBRE,MATCH(C1552,T_ID,0)),"⚠ ID no existe"))</f>
        <v/>
      </c>
      <c r="E1552" s="69"/>
      <c r="F1552" s="69"/>
      <c r="G1552" s="69"/>
      <c r="H1552" s="69"/>
      <c r="I1552" s="66"/>
      <c r="J1552" s="69"/>
      <c r="K1552" s="67"/>
      <c r="L1552" s="67"/>
      <c r="M1552" s="67"/>
      <c r="N1552" s="67"/>
      <c r="O1552" s="64"/>
      <c r="P1552" s="72" t="str">
        <f aca="false">IF(OR(B1552="",C1552=""),"",C1552&amp;"|"&amp;(YEAR(B1552)*100+MONTH(B1552)))</f>
        <v/>
      </c>
      <c r="Q1552" s="70" t="str">
        <f aca="false">IF(P1552="","",IF(COUNTIF(N_CLAVE,P1552)&gt;1,"⚠ Duplicado","OK"))</f>
        <v/>
      </c>
      <c r="R1552" s="74" t="str">
        <f aca="false">IF(OR(P1552="",U1552=""),"",MAX(0,U1552-N(E1552)-N(F1552)-N(H1552)))</f>
        <v/>
      </c>
      <c r="S1552" s="75" t="str">
        <f aca="false">IF(P1552="","",IFERROR(INDEX(T_INGRESO,MATCH(C1552,T_ID,0)),""))</f>
        <v/>
      </c>
      <c r="T1552" s="75" t="str">
        <f aca="false">IF(P1552="","",IFERROR(N(INDEX(T_EGRESO,MATCH(C1552,T_ID,0))),0))</f>
        <v/>
      </c>
      <c r="U1552" s="73" t="str">
        <f aca="false">IF(OR(P1552="",NOT(ISNUMBER(S1552))),"",IF(OR(S1552&gt;EOMONTH(B1552,0),AND(T1552&gt;0,T1552&lt;B1552)),0,IF(AND(S1552&lt;=B1552,OR(T1552=0,T1552&gt;=EOMONTH(B1552,0))),30,MIN(30,IF(T1552=0,EOMONTH(B1552,0),MIN(T1552,EOMONTH(B1552,0)))-MAX(B1552,S1552)+1))))</f>
        <v/>
      </c>
    </row>
    <row r="1553" customFormat="false" ht="15" hidden="false" customHeight="false" outlineLevel="0" collapsed="false">
      <c r="B1553" s="78"/>
      <c r="C1553" s="64"/>
      <c r="D1553" s="70" t="str">
        <f aca="false">IF(C1553="","",IFERROR(INDEX(T_NOMBRE,MATCH(C1553,T_ID,0)),"⚠ ID no existe"))</f>
        <v/>
      </c>
      <c r="E1553" s="69"/>
      <c r="F1553" s="69"/>
      <c r="G1553" s="69"/>
      <c r="H1553" s="69"/>
      <c r="I1553" s="66"/>
      <c r="J1553" s="69"/>
      <c r="K1553" s="67"/>
      <c r="L1553" s="67"/>
      <c r="M1553" s="67"/>
      <c r="N1553" s="67"/>
      <c r="O1553" s="64"/>
      <c r="P1553" s="72" t="str">
        <f aca="false">IF(OR(B1553="",C1553=""),"",C1553&amp;"|"&amp;(YEAR(B1553)*100+MONTH(B1553)))</f>
        <v/>
      </c>
      <c r="Q1553" s="70" t="str">
        <f aca="false">IF(P1553="","",IF(COUNTIF(N_CLAVE,P1553)&gt;1,"⚠ Duplicado","OK"))</f>
        <v/>
      </c>
      <c r="R1553" s="74" t="str">
        <f aca="false">IF(OR(P1553="",U1553=""),"",MAX(0,U1553-N(E1553)-N(F1553)-N(H1553)))</f>
        <v/>
      </c>
      <c r="S1553" s="75" t="str">
        <f aca="false">IF(P1553="","",IFERROR(INDEX(T_INGRESO,MATCH(C1553,T_ID,0)),""))</f>
        <v/>
      </c>
      <c r="T1553" s="75" t="str">
        <f aca="false">IF(P1553="","",IFERROR(N(INDEX(T_EGRESO,MATCH(C1553,T_ID,0))),0))</f>
        <v/>
      </c>
      <c r="U1553" s="73" t="str">
        <f aca="false">IF(OR(P1553="",NOT(ISNUMBER(S1553))),"",IF(OR(S1553&gt;EOMONTH(B1553,0),AND(T1553&gt;0,T1553&lt;B1553)),0,IF(AND(S1553&lt;=B1553,OR(T1553=0,T1553&gt;=EOMONTH(B1553,0))),30,MIN(30,IF(T1553=0,EOMONTH(B1553,0),MIN(T1553,EOMONTH(B1553,0)))-MAX(B1553,S1553)+1))))</f>
        <v/>
      </c>
    </row>
    <row r="1554" customFormat="false" ht="15" hidden="false" customHeight="false" outlineLevel="0" collapsed="false">
      <c r="B1554" s="78"/>
      <c r="C1554" s="64"/>
      <c r="D1554" s="70" t="str">
        <f aca="false">IF(C1554="","",IFERROR(INDEX(T_NOMBRE,MATCH(C1554,T_ID,0)),"⚠ ID no existe"))</f>
        <v/>
      </c>
      <c r="E1554" s="69"/>
      <c r="F1554" s="69"/>
      <c r="G1554" s="69"/>
      <c r="H1554" s="69"/>
      <c r="I1554" s="66"/>
      <c r="J1554" s="69"/>
      <c r="K1554" s="67"/>
      <c r="L1554" s="67"/>
      <c r="M1554" s="67"/>
      <c r="N1554" s="67"/>
      <c r="O1554" s="64"/>
      <c r="P1554" s="72" t="str">
        <f aca="false">IF(OR(B1554="",C1554=""),"",C1554&amp;"|"&amp;(YEAR(B1554)*100+MONTH(B1554)))</f>
        <v/>
      </c>
      <c r="Q1554" s="70" t="str">
        <f aca="false">IF(P1554="","",IF(COUNTIF(N_CLAVE,P1554)&gt;1,"⚠ Duplicado","OK"))</f>
        <v/>
      </c>
      <c r="R1554" s="74" t="str">
        <f aca="false">IF(OR(P1554="",U1554=""),"",MAX(0,U1554-N(E1554)-N(F1554)-N(H1554)))</f>
        <v/>
      </c>
      <c r="S1554" s="75" t="str">
        <f aca="false">IF(P1554="","",IFERROR(INDEX(T_INGRESO,MATCH(C1554,T_ID,0)),""))</f>
        <v/>
      </c>
      <c r="T1554" s="75" t="str">
        <f aca="false">IF(P1554="","",IFERROR(N(INDEX(T_EGRESO,MATCH(C1554,T_ID,0))),0))</f>
        <v/>
      </c>
      <c r="U1554" s="73" t="str">
        <f aca="false">IF(OR(P1554="",NOT(ISNUMBER(S1554))),"",IF(OR(S1554&gt;EOMONTH(B1554,0),AND(T1554&gt;0,T1554&lt;B1554)),0,IF(AND(S1554&lt;=B1554,OR(T1554=0,T1554&gt;=EOMONTH(B1554,0))),30,MIN(30,IF(T1554=0,EOMONTH(B1554,0),MIN(T1554,EOMONTH(B1554,0)))-MAX(B1554,S1554)+1))))</f>
        <v/>
      </c>
    </row>
    <row r="1555" customFormat="false" ht="15" hidden="false" customHeight="false" outlineLevel="0" collapsed="false">
      <c r="B1555" s="78"/>
      <c r="C1555" s="64"/>
      <c r="D1555" s="70" t="str">
        <f aca="false">IF(C1555="","",IFERROR(INDEX(T_NOMBRE,MATCH(C1555,T_ID,0)),"⚠ ID no existe"))</f>
        <v/>
      </c>
      <c r="E1555" s="69"/>
      <c r="F1555" s="69"/>
      <c r="G1555" s="69"/>
      <c r="H1555" s="69"/>
      <c r="I1555" s="66"/>
      <c r="J1555" s="69"/>
      <c r="K1555" s="67"/>
      <c r="L1555" s="67"/>
      <c r="M1555" s="67"/>
      <c r="N1555" s="67"/>
      <c r="O1555" s="64"/>
      <c r="P1555" s="72" t="str">
        <f aca="false">IF(OR(B1555="",C1555=""),"",C1555&amp;"|"&amp;(YEAR(B1555)*100+MONTH(B1555)))</f>
        <v/>
      </c>
      <c r="Q1555" s="70" t="str">
        <f aca="false">IF(P1555="","",IF(COUNTIF(N_CLAVE,P1555)&gt;1,"⚠ Duplicado","OK"))</f>
        <v/>
      </c>
      <c r="R1555" s="74" t="str">
        <f aca="false">IF(OR(P1555="",U1555=""),"",MAX(0,U1555-N(E1555)-N(F1555)-N(H1555)))</f>
        <v/>
      </c>
      <c r="S1555" s="75" t="str">
        <f aca="false">IF(P1555="","",IFERROR(INDEX(T_INGRESO,MATCH(C1555,T_ID,0)),""))</f>
        <v/>
      </c>
      <c r="T1555" s="75" t="str">
        <f aca="false">IF(P1555="","",IFERROR(N(INDEX(T_EGRESO,MATCH(C1555,T_ID,0))),0))</f>
        <v/>
      </c>
      <c r="U1555" s="73" t="str">
        <f aca="false">IF(OR(P1555="",NOT(ISNUMBER(S1555))),"",IF(OR(S1555&gt;EOMONTH(B1555,0),AND(T1555&gt;0,T1555&lt;B1555)),0,IF(AND(S1555&lt;=B1555,OR(T1555=0,T1555&gt;=EOMONTH(B1555,0))),30,MIN(30,IF(T1555=0,EOMONTH(B1555,0),MIN(T1555,EOMONTH(B1555,0)))-MAX(B1555,S1555)+1))))</f>
        <v/>
      </c>
    </row>
    <row r="1556" customFormat="false" ht="15" hidden="false" customHeight="false" outlineLevel="0" collapsed="false">
      <c r="B1556" s="78"/>
      <c r="C1556" s="64"/>
      <c r="D1556" s="70" t="str">
        <f aca="false">IF(C1556="","",IFERROR(INDEX(T_NOMBRE,MATCH(C1556,T_ID,0)),"⚠ ID no existe"))</f>
        <v/>
      </c>
      <c r="E1556" s="69"/>
      <c r="F1556" s="69"/>
      <c r="G1556" s="69"/>
      <c r="H1556" s="69"/>
      <c r="I1556" s="66"/>
      <c r="J1556" s="69"/>
      <c r="K1556" s="67"/>
      <c r="L1556" s="67"/>
      <c r="M1556" s="67"/>
      <c r="N1556" s="67"/>
      <c r="O1556" s="64"/>
      <c r="P1556" s="72" t="str">
        <f aca="false">IF(OR(B1556="",C1556=""),"",C1556&amp;"|"&amp;(YEAR(B1556)*100+MONTH(B1556)))</f>
        <v/>
      </c>
      <c r="Q1556" s="70" t="str">
        <f aca="false">IF(P1556="","",IF(COUNTIF(N_CLAVE,P1556)&gt;1,"⚠ Duplicado","OK"))</f>
        <v/>
      </c>
      <c r="R1556" s="74" t="str">
        <f aca="false">IF(OR(P1556="",U1556=""),"",MAX(0,U1556-N(E1556)-N(F1556)-N(H1556)))</f>
        <v/>
      </c>
      <c r="S1556" s="75" t="str">
        <f aca="false">IF(P1556="","",IFERROR(INDEX(T_INGRESO,MATCH(C1556,T_ID,0)),""))</f>
        <v/>
      </c>
      <c r="T1556" s="75" t="str">
        <f aca="false">IF(P1556="","",IFERROR(N(INDEX(T_EGRESO,MATCH(C1556,T_ID,0))),0))</f>
        <v/>
      </c>
      <c r="U1556" s="73" t="str">
        <f aca="false">IF(OR(P1556="",NOT(ISNUMBER(S1556))),"",IF(OR(S1556&gt;EOMONTH(B1556,0),AND(T1556&gt;0,T1556&lt;B1556)),0,IF(AND(S1556&lt;=B1556,OR(T1556=0,T1556&gt;=EOMONTH(B1556,0))),30,MIN(30,IF(T1556=0,EOMONTH(B1556,0),MIN(T1556,EOMONTH(B1556,0)))-MAX(B1556,S1556)+1))))</f>
        <v/>
      </c>
    </row>
    <row r="1557" customFormat="false" ht="15" hidden="false" customHeight="false" outlineLevel="0" collapsed="false">
      <c r="B1557" s="78"/>
      <c r="C1557" s="64"/>
      <c r="D1557" s="70" t="str">
        <f aca="false">IF(C1557="","",IFERROR(INDEX(T_NOMBRE,MATCH(C1557,T_ID,0)),"⚠ ID no existe"))</f>
        <v/>
      </c>
      <c r="E1557" s="69"/>
      <c r="F1557" s="69"/>
      <c r="G1557" s="69"/>
      <c r="H1557" s="69"/>
      <c r="I1557" s="66"/>
      <c r="J1557" s="69"/>
      <c r="K1557" s="67"/>
      <c r="L1557" s="67"/>
      <c r="M1557" s="67"/>
      <c r="N1557" s="67"/>
      <c r="O1557" s="64"/>
      <c r="P1557" s="72" t="str">
        <f aca="false">IF(OR(B1557="",C1557=""),"",C1557&amp;"|"&amp;(YEAR(B1557)*100+MONTH(B1557)))</f>
        <v/>
      </c>
      <c r="Q1557" s="70" t="str">
        <f aca="false">IF(P1557="","",IF(COUNTIF(N_CLAVE,P1557)&gt;1,"⚠ Duplicado","OK"))</f>
        <v/>
      </c>
      <c r="R1557" s="74" t="str">
        <f aca="false">IF(OR(P1557="",U1557=""),"",MAX(0,U1557-N(E1557)-N(F1557)-N(H1557)))</f>
        <v/>
      </c>
      <c r="S1557" s="75" t="str">
        <f aca="false">IF(P1557="","",IFERROR(INDEX(T_INGRESO,MATCH(C1557,T_ID,0)),""))</f>
        <v/>
      </c>
      <c r="T1557" s="75" t="str">
        <f aca="false">IF(P1557="","",IFERROR(N(INDEX(T_EGRESO,MATCH(C1557,T_ID,0))),0))</f>
        <v/>
      </c>
      <c r="U1557" s="73" t="str">
        <f aca="false">IF(OR(P1557="",NOT(ISNUMBER(S1557))),"",IF(OR(S1557&gt;EOMONTH(B1557,0),AND(T1557&gt;0,T1557&lt;B1557)),0,IF(AND(S1557&lt;=B1557,OR(T1557=0,T1557&gt;=EOMONTH(B1557,0))),30,MIN(30,IF(T1557=0,EOMONTH(B1557,0),MIN(T1557,EOMONTH(B1557,0)))-MAX(B1557,S1557)+1))))</f>
        <v/>
      </c>
    </row>
    <row r="1558" customFormat="false" ht="15" hidden="false" customHeight="false" outlineLevel="0" collapsed="false">
      <c r="B1558" s="78"/>
      <c r="C1558" s="64"/>
      <c r="D1558" s="70" t="str">
        <f aca="false">IF(C1558="","",IFERROR(INDEX(T_NOMBRE,MATCH(C1558,T_ID,0)),"⚠ ID no existe"))</f>
        <v/>
      </c>
      <c r="E1558" s="69"/>
      <c r="F1558" s="69"/>
      <c r="G1558" s="69"/>
      <c r="H1558" s="69"/>
      <c r="I1558" s="66"/>
      <c r="J1558" s="69"/>
      <c r="K1558" s="67"/>
      <c r="L1558" s="67"/>
      <c r="M1558" s="67"/>
      <c r="N1558" s="67"/>
      <c r="O1558" s="64"/>
      <c r="P1558" s="72" t="str">
        <f aca="false">IF(OR(B1558="",C1558=""),"",C1558&amp;"|"&amp;(YEAR(B1558)*100+MONTH(B1558)))</f>
        <v/>
      </c>
      <c r="Q1558" s="70" t="str">
        <f aca="false">IF(P1558="","",IF(COUNTIF(N_CLAVE,P1558)&gt;1,"⚠ Duplicado","OK"))</f>
        <v/>
      </c>
      <c r="R1558" s="74" t="str">
        <f aca="false">IF(OR(P1558="",U1558=""),"",MAX(0,U1558-N(E1558)-N(F1558)-N(H1558)))</f>
        <v/>
      </c>
      <c r="S1558" s="75" t="str">
        <f aca="false">IF(P1558="","",IFERROR(INDEX(T_INGRESO,MATCH(C1558,T_ID,0)),""))</f>
        <v/>
      </c>
      <c r="T1558" s="75" t="str">
        <f aca="false">IF(P1558="","",IFERROR(N(INDEX(T_EGRESO,MATCH(C1558,T_ID,0))),0))</f>
        <v/>
      </c>
      <c r="U1558" s="73" t="str">
        <f aca="false">IF(OR(P1558="",NOT(ISNUMBER(S1558))),"",IF(OR(S1558&gt;EOMONTH(B1558,0),AND(T1558&gt;0,T1558&lt;B1558)),0,IF(AND(S1558&lt;=B1558,OR(T1558=0,T1558&gt;=EOMONTH(B1558,0))),30,MIN(30,IF(T1558=0,EOMONTH(B1558,0),MIN(T1558,EOMONTH(B1558,0)))-MAX(B1558,S1558)+1))))</f>
        <v/>
      </c>
    </row>
    <row r="1559" customFormat="false" ht="15" hidden="false" customHeight="false" outlineLevel="0" collapsed="false">
      <c r="B1559" s="78"/>
      <c r="C1559" s="64"/>
      <c r="D1559" s="70" t="str">
        <f aca="false">IF(C1559="","",IFERROR(INDEX(T_NOMBRE,MATCH(C1559,T_ID,0)),"⚠ ID no existe"))</f>
        <v/>
      </c>
      <c r="E1559" s="69"/>
      <c r="F1559" s="69"/>
      <c r="G1559" s="69"/>
      <c r="H1559" s="69"/>
      <c r="I1559" s="66"/>
      <c r="J1559" s="69"/>
      <c r="K1559" s="67"/>
      <c r="L1559" s="67"/>
      <c r="M1559" s="67"/>
      <c r="N1559" s="67"/>
      <c r="O1559" s="64"/>
      <c r="P1559" s="72" t="str">
        <f aca="false">IF(OR(B1559="",C1559=""),"",C1559&amp;"|"&amp;(YEAR(B1559)*100+MONTH(B1559)))</f>
        <v/>
      </c>
      <c r="Q1559" s="70" t="str">
        <f aca="false">IF(P1559="","",IF(COUNTIF(N_CLAVE,P1559)&gt;1,"⚠ Duplicado","OK"))</f>
        <v/>
      </c>
      <c r="R1559" s="74" t="str">
        <f aca="false">IF(OR(P1559="",U1559=""),"",MAX(0,U1559-N(E1559)-N(F1559)-N(H1559)))</f>
        <v/>
      </c>
      <c r="S1559" s="75" t="str">
        <f aca="false">IF(P1559="","",IFERROR(INDEX(T_INGRESO,MATCH(C1559,T_ID,0)),""))</f>
        <v/>
      </c>
      <c r="T1559" s="75" t="str">
        <f aca="false">IF(P1559="","",IFERROR(N(INDEX(T_EGRESO,MATCH(C1559,T_ID,0))),0))</f>
        <v/>
      </c>
      <c r="U1559" s="73" t="str">
        <f aca="false">IF(OR(P1559="",NOT(ISNUMBER(S1559))),"",IF(OR(S1559&gt;EOMONTH(B1559,0),AND(T1559&gt;0,T1559&lt;B1559)),0,IF(AND(S1559&lt;=B1559,OR(T1559=0,T1559&gt;=EOMONTH(B1559,0))),30,MIN(30,IF(T1559=0,EOMONTH(B1559,0),MIN(T1559,EOMONTH(B1559,0)))-MAX(B1559,S1559)+1))))</f>
        <v/>
      </c>
    </row>
    <row r="1560" customFormat="false" ht="15" hidden="false" customHeight="false" outlineLevel="0" collapsed="false">
      <c r="B1560" s="78"/>
      <c r="C1560" s="64"/>
      <c r="D1560" s="70" t="str">
        <f aca="false">IF(C1560="","",IFERROR(INDEX(T_NOMBRE,MATCH(C1560,T_ID,0)),"⚠ ID no existe"))</f>
        <v/>
      </c>
      <c r="E1560" s="69"/>
      <c r="F1560" s="69"/>
      <c r="G1560" s="69"/>
      <c r="H1560" s="69"/>
      <c r="I1560" s="66"/>
      <c r="J1560" s="69"/>
      <c r="K1560" s="67"/>
      <c r="L1560" s="67"/>
      <c r="M1560" s="67"/>
      <c r="N1560" s="67"/>
      <c r="O1560" s="64"/>
      <c r="P1560" s="72" t="str">
        <f aca="false">IF(OR(B1560="",C1560=""),"",C1560&amp;"|"&amp;(YEAR(B1560)*100+MONTH(B1560)))</f>
        <v/>
      </c>
      <c r="Q1560" s="70" t="str">
        <f aca="false">IF(P1560="","",IF(COUNTIF(N_CLAVE,P1560)&gt;1,"⚠ Duplicado","OK"))</f>
        <v/>
      </c>
      <c r="R1560" s="74" t="str">
        <f aca="false">IF(OR(P1560="",U1560=""),"",MAX(0,U1560-N(E1560)-N(F1560)-N(H1560)))</f>
        <v/>
      </c>
      <c r="S1560" s="75" t="str">
        <f aca="false">IF(P1560="","",IFERROR(INDEX(T_INGRESO,MATCH(C1560,T_ID,0)),""))</f>
        <v/>
      </c>
      <c r="T1560" s="75" t="str">
        <f aca="false">IF(P1560="","",IFERROR(N(INDEX(T_EGRESO,MATCH(C1560,T_ID,0))),0))</f>
        <v/>
      </c>
      <c r="U1560" s="73" t="str">
        <f aca="false">IF(OR(P1560="",NOT(ISNUMBER(S1560))),"",IF(OR(S1560&gt;EOMONTH(B1560,0),AND(T1560&gt;0,T1560&lt;B1560)),0,IF(AND(S1560&lt;=B1560,OR(T1560=0,T1560&gt;=EOMONTH(B1560,0))),30,MIN(30,IF(T1560=0,EOMONTH(B1560,0),MIN(T1560,EOMONTH(B1560,0)))-MAX(B1560,S1560)+1))))</f>
        <v/>
      </c>
    </row>
    <row r="1561" customFormat="false" ht="15" hidden="false" customHeight="false" outlineLevel="0" collapsed="false">
      <c r="B1561" s="78"/>
      <c r="C1561" s="64"/>
      <c r="D1561" s="70" t="str">
        <f aca="false">IF(C1561="","",IFERROR(INDEX(T_NOMBRE,MATCH(C1561,T_ID,0)),"⚠ ID no existe"))</f>
        <v/>
      </c>
      <c r="E1561" s="69"/>
      <c r="F1561" s="69"/>
      <c r="G1561" s="69"/>
      <c r="H1561" s="69"/>
      <c r="I1561" s="66"/>
      <c r="J1561" s="69"/>
      <c r="K1561" s="67"/>
      <c r="L1561" s="67"/>
      <c r="M1561" s="67"/>
      <c r="N1561" s="67"/>
      <c r="O1561" s="64"/>
      <c r="P1561" s="72" t="str">
        <f aca="false">IF(OR(B1561="",C1561=""),"",C1561&amp;"|"&amp;(YEAR(B1561)*100+MONTH(B1561)))</f>
        <v/>
      </c>
      <c r="Q1561" s="70" t="str">
        <f aca="false">IF(P1561="","",IF(COUNTIF(N_CLAVE,P1561)&gt;1,"⚠ Duplicado","OK"))</f>
        <v/>
      </c>
      <c r="R1561" s="74" t="str">
        <f aca="false">IF(OR(P1561="",U1561=""),"",MAX(0,U1561-N(E1561)-N(F1561)-N(H1561)))</f>
        <v/>
      </c>
      <c r="S1561" s="75" t="str">
        <f aca="false">IF(P1561="","",IFERROR(INDEX(T_INGRESO,MATCH(C1561,T_ID,0)),""))</f>
        <v/>
      </c>
      <c r="T1561" s="75" t="str">
        <f aca="false">IF(P1561="","",IFERROR(N(INDEX(T_EGRESO,MATCH(C1561,T_ID,0))),0))</f>
        <v/>
      </c>
      <c r="U1561" s="73" t="str">
        <f aca="false">IF(OR(P1561="",NOT(ISNUMBER(S1561))),"",IF(OR(S1561&gt;EOMONTH(B1561,0),AND(T1561&gt;0,T1561&lt;B1561)),0,IF(AND(S1561&lt;=B1561,OR(T1561=0,T1561&gt;=EOMONTH(B1561,0))),30,MIN(30,IF(T1561=0,EOMONTH(B1561,0),MIN(T1561,EOMONTH(B1561,0)))-MAX(B1561,S1561)+1))))</f>
        <v/>
      </c>
    </row>
    <row r="1562" customFormat="false" ht="15" hidden="false" customHeight="false" outlineLevel="0" collapsed="false">
      <c r="B1562" s="78"/>
      <c r="C1562" s="64"/>
      <c r="D1562" s="70" t="str">
        <f aca="false">IF(C1562="","",IFERROR(INDEX(T_NOMBRE,MATCH(C1562,T_ID,0)),"⚠ ID no existe"))</f>
        <v/>
      </c>
      <c r="E1562" s="69"/>
      <c r="F1562" s="69"/>
      <c r="G1562" s="69"/>
      <c r="H1562" s="69"/>
      <c r="I1562" s="66"/>
      <c r="J1562" s="69"/>
      <c r="K1562" s="67"/>
      <c r="L1562" s="67"/>
      <c r="M1562" s="67"/>
      <c r="N1562" s="67"/>
      <c r="O1562" s="64"/>
      <c r="P1562" s="72" t="str">
        <f aca="false">IF(OR(B1562="",C1562=""),"",C1562&amp;"|"&amp;(YEAR(B1562)*100+MONTH(B1562)))</f>
        <v/>
      </c>
      <c r="Q1562" s="70" t="str">
        <f aca="false">IF(P1562="","",IF(COUNTIF(N_CLAVE,P1562)&gt;1,"⚠ Duplicado","OK"))</f>
        <v/>
      </c>
      <c r="R1562" s="74" t="str">
        <f aca="false">IF(OR(P1562="",U1562=""),"",MAX(0,U1562-N(E1562)-N(F1562)-N(H1562)))</f>
        <v/>
      </c>
      <c r="S1562" s="75" t="str">
        <f aca="false">IF(P1562="","",IFERROR(INDEX(T_INGRESO,MATCH(C1562,T_ID,0)),""))</f>
        <v/>
      </c>
      <c r="T1562" s="75" t="str">
        <f aca="false">IF(P1562="","",IFERROR(N(INDEX(T_EGRESO,MATCH(C1562,T_ID,0))),0))</f>
        <v/>
      </c>
      <c r="U1562" s="73" t="str">
        <f aca="false">IF(OR(P1562="",NOT(ISNUMBER(S1562))),"",IF(OR(S1562&gt;EOMONTH(B1562,0),AND(T1562&gt;0,T1562&lt;B1562)),0,IF(AND(S1562&lt;=B1562,OR(T1562=0,T1562&gt;=EOMONTH(B1562,0))),30,MIN(30,IF(T1562=0,EOMONTH(B1562,0),MIN(T1562,EOMONTH(B1562,0)))-MAX(B1562,S1562)+1))))</f>
        <v/>
      </c>
    </row>
    <row r="1563" customFormat="false" ht="15" hidden="false" customHeight="false" outlineLevel="0" collapsed="false">
      <c r="B1563" s="78"/>
      <c r="C1563" s="64"/>
      <c r="D1563" s="70" t="str">
        <f aca="false">IF(C1563="","",IFERROR(INDEX(T_NOMBRE,MATCH(C1563,T_ID,0)),"⚠ ID no existe"))</f>
        <v/>
      </c>
      <c r="E1563" s="69"/>
      <c r="F1563" s="69"/>
      <c r="G1563" s="69"/>
      <c r="H1563" s="69"/>
      <c r="I1563" s="66"/>
      <c r="J1563" s="69"/>
      <c r="K1563" s="67"/>
      <c r="L1563" s="67"/>
      <c r="M1563" s="67"/>
      <c r="N1563" s="67"/>
      <c r="O1563" s="64"/>
      <c r="P1563" s="72" t="str">
        <f aca="false">IF(OR(B1563="",C1563=""),"",C1563&amp;"|"&amp;(YEAR(B1563)*100+MONTH(B1563)))</f>
        <v/>
      </c>
      <c r="Q1563" s="70" t="str">
        <f aca="false">IF(P1563="","",IF(COUNTIF(N_CLAVE,P1563)&gt;1,"⚠ Duplicado","OK"))</f>
        <v/>
      </c>
      <c r="R1563" s="74" t="str">
        <f aca="false">IF(OR(P1563="",U1563=""),"",MAX(0,U1563-N(E1563)-N(F1563)-N(H1563)))</f>
        <v/>
      </c>
      <c r="S1563" s="75" t="str">
        <f aca="false">IF(P1563="","",IFERROR(INDEX(T_INGRESO,MATCH(C1563,T_ID,0)),""))</f>
        <v/>
      </c>
      <c r="T1563" s="75" t="str">
        <f aca="false">IF(P1563="","",IFERROR(N(INDEX(T_EGRESO,MATCH(C1563,T_ID,0))),0))</f>
        <v/>
      </c>
      <c r="U1563" s="73" t="str">
        <f aca="false">IF(OR(P1563="",NOT(ISNUMBER(S1563))),"",IF(OR(S1563&gt;EOMONTH(B1563,0),AND(T1563&gt;0,T1563&lt;B1563)),0,IF(AND(S1563&lt;=B1563,OR(T1563=0,T1563&gt;=EOMONTH(B1563,0))),30,MIN(30,IF(T1563=0,EOMONTH(B1563,0),MIN(T1563,EOMONTH(B1563,0)))-MAX(B1563,S1563)+1))))</f>
        <v/>
      </c>
    </row>
    <row r="1564" customFormat="false" ht="15" hidden="false" customHeight="false" outlineLevel="0" collapsed="false">
      <c r="B1564" s="78"/>
      <c r="C1564" s="64"/>
      <c r="D1564" s="70" t="str">
        <f aca="false">IF(C1564="","",IFERROR(INDEX(T_NOMBRE,MATCH(C1564,T_ID,0)),"⚠ ID no existe"))</f>
        <v/>
      </c>
      <c r="E1564" s="69"/>
      <c r="F1564" s="69"/>
      <c r="G1564" s="69"/>
      <c r="H1564" s="69"/>
      <c r="I1564" s="66"/>
      <c r="J1564" s="69"/>
      <c r="K1564" s="67"/>
      <c r="L1564" s="67"/>
      <c r="M1564" s="67"/>
      <c r="N1564" s="67"/>
      <c r="O1564" s="64"/>
      <c r="P1564" s="72" t="str">
        <f aca="false">IF(OR(B1564="",C1564=""),"",C1564&amp;"|"&amp;(YEAR(B1564)*100+MONTH(B1564)))</f>
        <v/>
      </c>
      <c r="Q1564" s="70" t="str">
        <f aca="false">IF(P1564="","",IF(COUNTIF(N_CLAVE,P1564)&gt;1,"⚠ Duplicado","OK"))</f>
        <v/>
      </c>
      <c r="R1564" s="74" t="str">
        <f aca="false">IF(OR(P1564="",U1564=""),"",MAX(0,U1564-N(E1564)-N(F1564)-N(H1564)))</f>
        <v/>
      </c>
      <c r="S1564" s="75" t="str">
        <f aca="false">IF(P1564="","",IFERROR(INDEX(T_INGRESO,MATCH(C1564,T_ID,0)),""))</f>
        <v/>
      </c>
      <c r="T1564" s="75" t="str">
        <f aca="false">IF(P1564="","",IFERROR(N(INDEX(T_EGRESO,MATCH(C1564,T_ID,0))),0))</f>
        <v/>
      </c>
      <c r="U1564" s="73" t="str">
        <f aca="false">IF(OR(P1564="",NOT(ISNUMBER(S1564))),"",IF(OR(S1564&gt;EOMONTH(B1564,0),AND(T1564&gt;0,T1564&lt;B1564)),0,IF(AND(S1564&lt;=B1564,OR(T1564=0,T1564&gt;=EOMONTH(B1564,0))),30,MIN(30,IF(T1564=0,EOMONTH(B1564,0),MIN(T1564,EOMONTH(B1564,0)))-MAX(B1564,S1564)+1))))</f>
        <v/>
      </c>
    </row>
    <row r="1565" customFormat="false" ht="15" hidden="false" customHeight="false" outlineLevel="0" collapsed="false">
      <c r="B1565" s="78"/>
      <c r="C1565" s="64"/>
      <c r="D1565" s="70" t="str">
        <f aca="false">IF(C1565="","",IFERROR(INDEX(T_NOMBRE,MATCH(C1565,T_ID,0)),"⚠ ID no existe"))</f>
        <v/>
      </c>
      <c r="E1565" s="69"/>
      <c r="F1565" s="69"/>
      <c r="G1565" s="69"/>
      <c r="H1565" s="69"/>
      <c r="I1565" s="66"/>
      <c r="J1565" s="69"/>
      <c r="K1565" s="67"/>
      <c r="L1565" s="67"/>
      <c r="M1565" s="67"/>
      <c r="N1565" s="67"/>
      <c r="O1565" s="64"/>
      <c r="P1565" s="72" t="str">
        <f aca="false">IF(OR(B1565="",C1565=""),"",C1565&amp;"|"&amp;(YEAR(B1565)*100+MONTH(B1565)))</f>
        <v/>
      </c>
      <c r="Q1565" s="70" t="str">
        <f aca="false">IF(P1565="","",IF(COUNTIF(N_CLAVE,P1565)&gt;1,"⚠ Duplicado","OK"))</f>
        <v/>
      </c>
      <c r="R1565" s="74" t="str">
        <f aca="false">IF(OR(P1565="",U1565=""),"",MAX(0,U1565-N(E1565)-N(F1565)-N(H1565)))</f>
        <v/>
      </c>
      <c r="S1565" s="75" t="str">
        <f aca="false">IF(P1565="","",IFERROR(INDEX(T_INGRESO,MATCH(C1565,T_ID,0)),""))</f>
        <v/>
      </c>
      <c r="T1565" s="75" t="str">
        <f aca="false">IF(P1565="","",IFERROR(N(INDEX(T_EGRESO,MATCH(C1565,T_ID,0))),0))</f>
        <v/>
      </c>
      <c r="U1565" s="73" t="str">
        <f aca="false">IF(OR(P1565="",NOT(ISNUMBER(S1565))),"",IF(OR(S1565&gt;EOMONTH(B1565,0),AND(T1565&gt;0,T1565&lt;B1565)),0,IF(AND(S1565&lt;=B1565,OR(T1565=0,T1565&gt;=EOMONTH(B1565,0))),30,MIN(30,IF(T1565=0,EOMONTH(B1565,0),MIN(T1565,EOMONTH(B1565,0)))-MAX(B1565,S1565)+1))))</f>
        <v/>
      </c>
    </row>
    <row r="1566" customFormat="false" ht="15" hidden="false" customHeight="false" outlineLevel="0" collapsed="false">
      <c r="B1566" s="78"/>
      <c r="C1566" s="64"/>
      <c r="D1566" s="70" t="str">
        <f aca="false">IF(C1566="","",IFERROR(INDEX(T_NOMBRE,MATCH(C1566,T_ID,0)),"⚠ ID no existe"))</f>
        <v/>
      </c>
      <c r="E1566" s="69"/>
      <c r="F1566" s="69"/>
      <c r="G1566" s="69"/>
      <c r="H1566" s="69"/>
      <c r="I1566" s="66"/>
      <c r="J1566" s="69"/>
      <c r="K1566" s="67"/>
      <c r="L1566" s="67"/>
      <c r="M1566" s="67"/>
      <c r="N1566" s="67"/>
      <c r="O1566" s="64"/>
      <c r="P1566" s="72" t="str">
        <f aca="false">IF(OR(B1566="",C1566=""),"",C1566&amp;"|"&amp;(YEAR(B1566)*100+MONTH(B1566)))</f>
        <v/>
      </c>
      <c r="Q1566" s="70" t="str">
        <f aca="false">IF(P1566="","",IF(COUNTIF(N_CLAVE,P1566)&gt;1,"⚠ Duplicado","OK"))</f>
        <v/>
      </c>
      <c r="R1566" s="74" t="str">
        <f aca="false">IF(OR(P1566="",U1566=""),"",MAX(0,U1566-N(E1566)-N(F1566)-N(H1566)))</f>
        <v/>
      </c>
      <c r="S1566" s="75" t="str">
        <f aca="false">IF(P1566="","",IFERROR(INDEX(T_INGRESO,MATCH(C1566,T_ID,0)),""))</f>
        <v/>
      </c>
      <c r="T1566" s="75" t="str">
        <f aca="false">IF(P1566="","",IFERROR(N(INDEX(T_EGRESO,MATCH(C1566,T_ID,0))),0))</f>
        <v/>
      </c>
      <c r="U1566" s="73" t="str">
        <f aca="false">IF(OR(P1566="",NOT(ISNUMBER(S1566))),"",IF(OR(S1566&gt;EOMONTH(B1566,0),AND(T1566&gt;0,T1566&lt;B1566)),0,IF(AND(S1566&lt;=B1566,OR(T1566=0,T1566&gt;=EOMONTH(B1566,0))),30,MIN(30,IF(T1566=0,EOMONTH(B1566,0),MIN(T1566,EOMONTH(B1566,0)))-MAX(B1566,S1566)+1))))</f>
        <v/>
      </c>
    </row>
    <row r="1567" customFormat="false" ht="15" hidden="false" customHeight="false" outlineLevel="0" collapsed="false">
      <c r="B1567" s="78"/>
      <c r="C1567" s="64"/>
      <c r="D1567" s="70" t="str">
        <f aca="false">IF(C1567="","",IFERROR(INDEX(T_NOMBRE,MATCH(C1567,T_ID,0)),"⚠ ID no existe"))</f>
        <v/>
      </c>
      <c r="E1567" s="69"/>
      <c r="F1567" s="69"/>
      <c r="G1567" s="69"/>
      <c r="H1567" s="69"/>
      <c r="I1567" s="66"/>
      <c r="J1567" s="69"/>
      <c r="K1567" s="67"/>
      <c r="L1567" s="67"/>
      <c r="M1567" s="67"/>
      <c r="N1567" s="67"/>
      <c r="O1567" s="64"/>
      <c r="P1567" s="72" t="str">
        <f aca="false">IF(OR(B1567="",C1567=""),"",C1567&amp;"|"&amp;(YEAR(B1567)*100+MONTH(B1567)))</f>
        <v/>
      </c>
      <c r="Q1567" s="70" t="str">
        <f aca="false">IF(P1567="","",IF(COUNTIF(N_CLAVE,P1567)&gt;1,"⚠ Duplicado","OK"))</f>
        <v/>
      </c>
      <c r="R1567" s="74" t="str">
        <f aca="false">IF(OR(P1567="",U1567=""),"",MAX(0,U1567-N(E1567)-N(F1567)-N(H1567)))</f>
        <v/>
      </c>
      <c r="S1567" s="75" t="str">
        <f aca="false">IF(P1567="","",IFERROR(INDEX(T_INGRESO,MATCH(C1567,T_ID,0)),""))</f>
        <v/>
      </c>
      <c r="T1567" s="75" t="str">
        <f aca="false">IF(P1567="","",IFERROR(N(INDEX(T_EGRESO,MATCH(C1567,T_ID,0))),0))</f>
        <v/>
      </c>
      <c r="U1567" s="73" t="str">
        <f aca="false">IF(OR(P1567="",NOT(ISNUMBER(S1567))),"",IF(OR(S1567&gt;EOMONTH(B1567,0),AND(T1567&gt;0,T1567&lt;B1567)),0,IF(AND(S1567&lt;=B1567,OR(T1567=0,T1567&gt;=EOMONTH(B1567,0))),30,MIN(30,IF(T1567=0,EOMONTH(B1567,0),MIN(T1567,EOMONTH(B1567,0)))-MAX(B1567,S1567)+1))))</f>
        <v/>
      </c>
    </row>
    <row r="1568" customFormat="false" ht="15" hidden="false" customHeight="false" outlineLevel="0" collapsed="false">
      <c r="B1568" s="78"/>
      <c r="C1568" s="64"/>
      <c r="D1568" s="70" t="str">
        <f aca="false">IF(C1568="","",IFERROR(INDEX(T_NOMBRE,MATCH(C1568,T_ID,0)),"⚠ ID no existe"))</f>
        <v/>
      </c>
      <c r="E1568" s="69"/>
      <c r="F1568" s="69"/>
      <c r="G1568" s="69"/>
      <c r="H1568" s="69"/>
      <c r="I1568" s="66"/>
      <c r="J1568" s="69"/>
      <c r="K1568" s="67"/>
      <c r="L1568" s="67"/>
      <c r="M1568" s="67"/>
      <c r="N1568" s="67"/>
      <c r="O1568" s="64"/>
      <c r="P1568" s="72" t="str">
        <f aca="false">IF(OR(B1568="",C1568=""),"",C1568&amp;"|"&amp;(YEAR(B1568)*100+MONTH(B1568)))</f>
        <v/>
      </c>
      <c r="Q1568" s="70" t="str">
        <f aca="false">IF(P1568="","",IF(COUNTIF(N_CLAVE,P1568)&gt;1,"⚠ Duplicado","OK"))</f>
        <v/>
      </c>
      <c r="R1568" s="74" t="str">
        <f aca="false">IF(OR(P1568="",U1568=""),"",MAX(0,U1568-N(E1568)-N(F1568)-N(H1568)))</f>
        <v/>
      </c>
      <c r="S1568" s="75" t="str">
        <f aca="false">IF(P1568="","",IFERROR(INDEX(T_INGRESO,MATCH(C1568,T_ID,0)),""))</f>
        <v/>
      </c>
      <c r="T1568" s="75" t="str">
        <f aca="false">IF(P1568="","",IFERROR(N(INDEX(T_EGRESO,MATCH(C1568,T_ID,0))),0))</f>
        <v/>
      </c>
      <c r="U1568" s="73" t="str">
        <f aca="false">IF(OR(P1568="",NOT(ISNUMBER(S1568))),"",IF(OR(S1568&gt;EOMONTH(B1568,0),AND(T1568&gt;0,T1568&lt;B1568)),0,IF(AND(S1568&lt;=B1568,OR(T1568=0,T1568&gt;=EOMONTH(B1568,0))),30,MIN(30,IF(T1568=0,EOMONTH(B1568,0),MIN(T1568,EOMONTH(B1568,0)))-MAX(B1568,S1568)+1))))</f>
        <v/>
      </c>
    </row>
    <row r="1569" customFormat="false" ht="15" hidden="false" customHeight="false" outlineLevel="0" collapsed="false">
      <c r="B1569" s="78"/>
      <c r="C1569" s="64"/>
      <c r="D1569" s="70" t="str">
        <f aca="false">IF(C1569="","",IFERROR(INDEX(T_NOMBRE,MATCH(C1569,T_ID,0)),"⚠ ID no existe"))</f>
        <v/>
      </c>
      <c r="E1569" s="69"/>
      <c r="F1569" s="69"/>
      <c r="G1569" s="69"/>
      <c r="H1569" s="69"/>
      <c r="I1569" s="66"/>
      <c r="J1569" s="69"/>
      <c r="K1569" s="67"/>
      <c r="L1569" s="67"/>
      <c r="M1569" s="67"/>
      <c r="N1569" s="67"/>
      <c r="O1569" s="64"/>
      <c r="P1569" s="72" t="str">
        <f aca="false">IF(OR(B1569="",C1569=""),"",C1569&amp;"|"&amp;(YEAR(B1569)*100+MONTH(B1569)))</f>
        <v/>
      </c>
      <c r="Q1569" s="70" t="str">
        <f aca="false">IF(P1569="","",IF(COUNTIF(N_CLAVE,P1569)&gt;1,"⚠ Duplicado","OK"))</f>
        <v/>
      </c>
      <c r="R1569" s="74" t="str">
        <f aca="false">IF(OR(P1569="",U1569=""),"",MAX(0,U1569-N(E1569)-N(F1569)-N(H1569)))</f>
        <v/>
      </c>
      <c r="S1569" s="75" t="str">
        <f aca="false">IF(P1569="","",IFERROR(INDEX(T_INGRESO,MATCH(C1569,T_ID,0)),""))</f>
        <v/>
      </c>
      <c r="T1569" s="75" t="str">
        <f aca="false">IF(P1569="","",IFERROR(N(INDEX(T_EGRESO,MATCH(C1569,T_ID,0))),0))</f>
        <v/>
      </c>
      <c r="U1569" s="73" t="str">
        <f aca="false">IF(OR(P1569="",NOT(ISNUMBER(S1569))),"",IF(OR(S1569&gt;EOMONTH(B1569,0),AND(T1569&gt;0,T1569&lt;B1569)),0,IF(AND(S1569&lt;=B1569,OR(T1569=0,T1569&gt;=EOMONTH(B1569,0))),30,MIN(30,IF(T1569=0,EOMONTH(B1569,0),MIN(T1569,EOMONTH(B1569,0)))-MAX(B1569,S1569)+1))))</f>
        <v/>
      </c>
    </row>
    <row r="1570" customFormat="false" ht="15" hidden="false" customHeight="false" outlineLevel="0" collapsed="false">
      <c r="B1570" s="78"/>
      <c r="C1570" s="64"/>
      <c r="D1570" s="70" t="str">
        <f aca="false">IF(C1570="","",IFERROR(INDEX(T_NOMBRE,MATCH(C1570,T_ID,0)),"⚠ ID no existe"))</f>
        <v/>
      </c>
      <c r="E1570" s="69"/>
      <c r="F1570" s="69"/>
      <c r="G1570" s="69"/>
      <c r="H1570" s="69"/>
      <c r="I1570" s="66"/>
      <c r="J1570" s="69"/>
      <c r="K1570" s="67"/>
      <c r="L1570" s="67"/>
      <c r="M1570" s="67"/>
      <c r="N1570" s="67"/>
      <c r="O1570" s="64"/>
      <c r="P1570" s="72" t="str">
        <f aca="false">IF(OR(B1570="",C1570=""),"",C1570&amp;"|"&amp;(YEAR(B1570)*100+MONTH(B1570)))</f>
        <v/>
      </c>
      <c r="Q1570" s="70" t="str">
        <f aca="false">IF(P1570="","",IF(COUNTIF(N_CLAVE,P1570)&gt;1,"⚠ Duplicado","OK"))</f>
        <v/>
      </c>
      <c r="R1570" s="74" t="str">
        <f aca="false">IF(OR(P1570="",U1570=""),"",MAX(0,U1570-N(E1570)-N(F1570)-N(H1570)))</f>
        <v/>
      </c>
      <c r="S1570" s="75" t="str">
        <f aca="false">IF(P1570="","",IFERROR(INDEX(T_INGRESO,MATCH(C1570,T_ID,0)),""))</f>
        <v/>
      </c>
      <c r="T1570" s="75" t="str">
        <f aca="false">IF(P1570="","",IFERROR(N(INDEX(T_EGRESO,MATCH(C1570,T_ID,0))),0))</f>
        <v/>
      </c>
      <c r="U1570" s="73" t="str">
        <f aca="false">IF(OR(P1570="",NOT(ISNUMBER(S1570))),"",IF(OR(S1570&gt;EOMONTH(B1570,0),AND(T1570&gt;0,T1570&lt;B1570)),0,IF(AND(S1570&lt;=B1570,OR(T1570=0,T1570&gt;=EOMONTH(B1570,0))),30,MIN(30,IF(T1570=0,EOMONTH(B1570,0),MIN(T1570,EOMONTH(B1570,0)))-MAX(B1570,S1570)+1))))</f>
        <v/>
      </c>
    </row>
    <row r="1571" customFormat="false" ht="15" hidden="false" customHeight="false" outlineLevel="0" collapsed="false">
      <c r="B1571" s="78"/>
      <c r="C1571" s="64"/>
      <c r="D1571" s="70" t="str">
        <f aca="false">IF(C1571="","",IFERROR(INDEX(T_NOMBRE,MATCH(C1571,T_ID,0)),"⚠ ID no existe"))</f>
        <v/>
      </c>
      <c r="E1571" s="69"/>
      <c r="F1571" s="69"/>
      <c r="G1571" s="69"/>
      <c r="H1571" s="69"/>
      <c r="I1571" s="66"/>
      <c r="J1571" s="69"/>
      <c r="K1571" s="67"/>
      <c r="L1571" s="67"/>
      <c r="M1571" s="67"/>
      <c r="N1571" s="67"/>
      <c r="O1571" s="64"/>
      <c r="P1571" s="72" t="str">
        <f aca="false">IF(OR(B1571="",C1571=""),"",C1571&amp;"|"&amp;(YEAR(B1571)*100+MONTH(B1571)))</f>
        <v/>
      </c>
      <c r="Q1571" s="70" t="str">
        <f aca="false">IF(P1571="","",IF(COUNTIF(N_CLAVE,P1571)&gt;1,"⚠ Duplicado","OK"))</f>
        <v/>
      </c>
      <c r="R1571" s="74" t="str">
        <f aca="false">IF(OR(P1571="",U1571=""),"",MAX(0,U1571-N(E1571)-N(F1571)-N(H1571)))</f>
        <v/>
      </c>
      <c r="S1571" s="75" t="str">
        <f aca="false">IF(P1571="","",IFERROR(INDEX(T_INGRESO,MATCH(C1571,T_ID,0)),""))</f>
        <v/>
      </c>
      <c r="T1571" s="75" t="str">
        <f aca="false">IF(P1571="","",IFERROR(N(INDEX(T_EGRESO,MATCH(C1571,T_ID,0))),0))</f>
        <v/>
      </c>
      <c r="U1571" s="73" t="str">
        <f aca="false">IF(OR(P1571="",NOT(ISNUMBER(S1571))),"",IF(OR(S1571&gt;EOMONTH(B1571,0),AND(T1571&gt;0,T1571&lt;B1571)),0,IF(AND(S1571&lt;=B1571,OR(T1571=0,T1571&gt;=EOMONTH(B1571,0))),30,MIN(30,IF(T1571=0,EOMONTH(B1571,0),MIN(T1571,EOMONTH(B1571,0)))-MAX(B1571,S1571)+1))))</f>
        <v/>
      </c>
    </row>
    <row r="1572" customFormat="false" ht="15" hidden="false" customHeight="false" outlineLevel="0" collapsed="false">
      <c r="B1572" s="78"/>
      <c r="C1572" s="64"/>
      <c r="D1572" s="70" t="str">
        <f aca="false">IF(C1572="","",IFERROR(INDEX(T_NOMBRE,MATCH(C1572,T_ID,0)),"⚠ ID no existe"))</f>
        <v/>
      </c>
      <c r="E1572" s="69"/>
      <c r="F1572" s="69"/>
      <c r="G1572" s="69"/>
      <c r="H1572" s="69"/>
      <c r="I1572" s="66"/>
      <c r="J1572" s="69"/>
      <c r="K1572" s="67"/>
      <c r="L1572" s="67"/>
      <c r="M1572" s="67"/>
      <c r="N1572" s="67"/>
      <c r="O1572" s="64"/>
      <c r="P1572" s="72" t="str">
        <f aca="false">IF(OR(B1572="",C1572=""),"",C1572&amp;"|"&amp;(YEAR(B1572)*100+MONTH(B1572)))</f>
        <v/>
      </c>
      <c r="Q1572" s="70" t="str">
        <f aca="false">IF(P1572="","",IF(COUNTIF(N_CLAVE,P1572)&gt;1,"⚠ Duplicado","OK"))</f>
        <v/>
      </c>
      <c r="R1572" s="74" t="str">
        <f aca="false">IF(OR(P1572="",U1572=""),"",MAX(0,U1572-N(E1572)-N(F1572)-N(H1572)))</f>
        <v/>
      </c>
      <c r="S1572" s="75" t="str">
        <f aca="false">IF(P1572="","",IFERROR(INDEX(T_INGRESO,MATCH(C1572,T_ID,0)),""))</f>
        <v/>
      </c>
      <c r="T1572" s="75" t="str">
        <f aca="false">IF(P1572="","",IFERROR(N(INDEX(T_EGRESO,MATCH(C1572,T_ID,0))),0))</f>
        <v/>
      </c>
      <c r="U1572" s="73" t="str">
        <f aca="false">IF(OR(P1572="",NOT(ISNUMBER(S1572))),"",IF(OR(S1572&gt;EOMONTH(B1572,0),AND(T1572&gt;0,T1572&lt;B1572)),0,IF(AND(S1572&lt;=B1572,OR(T1572=0,T1572&gt;=EOMONTH(B1572,0))),30,MIN(30,IF(T1572=0,EOMONTH(B1572,0),MIN(T1572,EOMONTH(B1572,0)))-MAX(B1572,S1572)+1))))</f>
        <v/>
      </c>
    </row>
    <row r="1573" customFormat="false" ht="15" hidden="false" customHeight="false" outlineLevel="0" collapsed="false">
      <c r="B1573" s="78"/>
      <c r="C1573" s="64"/>
      <c r="D1573" s="70" t="str">
        <f aca="false">IF(C1573="","",IFERROR(INDEX(T_NOMBRE,MATCH(C1573,T_ID,0)),"⚠ ID no existe"))</f>
        <v/>
      </c>
      <c r="E1573" s="69"/>
      <c r="F1573" s="69"/>
      <c r="G1573" s="69"/>
      <c r="H1573" s="69"/>
      <c r="I1573" s="66"/>
      <c r="J1573" s="69"/>
      <c r="K1573" s="67"/>
      <c r="L1573" s="67"/>
      <c r="M1573" s="67"/>
      <c r="N1573" s="67"/>
      <c r="O1573" s="64"/>
      <c r="P1573" s="72" t="str">
        <f aca="false">IF(OR(B1573="",C1573=""),"",C1573&amp;"|"&amp;(YEAR(B1573)*100+MONTH(B1573)))</f>
        <v/>
      </c>
      <c r="Q1573" s="70" t="str">
        <f aca="false">IF(P1573="","",IF(COUNTIF(N_CLAVE,P1573)&gt;1,"⚠ Duplicado","OK"))</f>
        <v/>
      </c>
      <c r="R1573" s="74" t="str">
        <f aca="false">IF(OR(P1573="",U1573=""),"",MAX(0,U1573-N(E1573)-N(F1573)-N(H1573)))</f>
        <v/>
      </c>
      <c r="S1573" s="75" t="str">
        <f aca="false">IF(P1573="","",IFERROR(INDEX(T_INGRESO,MATCH(C1573,T_ID,0)),""))</f>
        <v/>
      </c>
      <c r="T1573" s="75" t="str">
        <f aca="false">IF(P1573="","",IFERROR(N(INDEX(T_EGRESO,MATCH(C1573,T_ID,0))),0))</f>
        <v/>
      </c>
      <c r="U1573" s="73" t="str">
        <f aca="false">IF(OR(P1573="",NOT(ISNUMBER(S1573))),"",IF(OR(S1573&gt;EOMONTH(B1573,0),AND(T1573&gt;0,T1573&lt;B1573)),0,IF(AND(S1573&lt;=B1573,OR(T1573=0,T1573&gt;=EOMONTH(B1573,0))),30,MIN(30,IF(T1573=0,EOMONTH(B1573,0),MIN(T1573,EOMONTH(B1573,0)))-MAX(B1573,S1573)+1))))</f>
        <v/>
      </c>
    </row>
    <row r="1574" customFormat="false" ht="15" hidden="false" customHeight="false" outlineLevel="0" collapsed="false">
      <c r="B1574" s="78"/>
      <c r="C1574" s="64"/>
      <c r="D1574" s="70" t="str">
        <f aca="false">IF(C1574="","",IFERROR(INDEX(T_NOMBRE,MATCH(C1574,T_ID,0)),"⚠ ID no existe"))</f>
        <v/>
      </c>
      <c r="E1574" s="69"/>
      <c r="F1574" s="69"/>
      <c r="G1574" s="69"/>
      <c r="H1574" s="69"/>
      <c r="I1574" s="66"/>
      <c r="J1574" s="69"/>
      <c r="K1574" s="67"/>
      <c r="L1574" s="67"/>
      <c r="M1574" s="67"/>
      <c r="N1574" s="67"/>
      <c r="O1574" s="64"/>
      <c r="P1574" s="72" t="str">
        <f aca="false">IF(OR(B1574="",C1574=""),"",C1574&amp;"|"&amp;(YEAR(B1574)*100+MONTH(B1574)))</f>
        <v/>
      </c>
      <c r="Q1574" s="70" t="str">
        <f aca="false">IF(P1574="","",IF(COUNTIF(N_CLAVE,P1574)&gt;1,"⚠ Duplicado","OK"))</f>
        <v/>
      </c>
      <c r="R1574" s="74" t="str">
        <f aca="false">IF(OR(P1574="",U1574=""),"",MAX(0,U1574-N(E1574)-N(F1574)-N(H1574)))</f>
        <v/>
      </c>
      <c r="S1574" s="75" t="str">
        <f aca="false">IF(P1574="","",IFERROR(INDEX(T_INGRESO,MATCH(C1574,T_ID,0)),""))</f>
        <v/>
      </c>
      <c r="T1574" s="75" t="str">
        <f aca="false">IF(P1574="","",IFERROR(N(INDEX(T_EGRESO,MATCH(C1574,T_ID,0))),0))</f>
        <v/>
      </c>
      <c r="U1574" s="73" t="str">
        <f aca="false">IF(OR(P1574="",NOT(ISNUMBER(S1574))),"",IF(OR(S1574&gt;EOMONTH(B1574,0),AND(T1574&gt;0,T1574&lt;B1574)),0,IF(AND(S1574&lt;=B1574,OR(T1574=0,T1574&gt;=EOMONTH(B1574,0))),30,MIN(30,IF(T1574=0,EOMONTH(B1574,0),MIN(T1574,EOMONTH(B1574,0)))-MAX(B1574,S1574)+1))))</f>
        <v/>
      </c>
    </row>
    <row r="1575" customFormat="false" ht="15" hidden="false" customHeight="false" outlineLevel="0" collapsed="false">
      <c r="B1575" s="78"/>
      <c r="C1575" s="64"/>
      <c r="D1575" s="70" t="str">
        <f aca="false">IF(C1575="","",IFERROR(INDEX(T_NOMBRE,MATCH(C1575,T_ID,0)),"⚠ ID no existe"))</f>
        <v/>
      </c>
      <c r="E1575" s="69"/>
      <c r="F1575" s="69"/>
      <c r="G1575" s="69"/>
      <c r="H1575" s="69"/>
      <c r="I1575" s="66"/>
      <c r="J1575" s="69"/>
      <c r="K1575" s="67"/>
      <c r="L1575" s="67"/>
      <c r="M1575" s="67"/>
      <c r="N1575" s="67"/>
      <c r="O1575" s="64"/>
      <c r="P1575" s="72" t="str">
        <f aca="false">IF(OR(B1575="",C1575=""),"",C1575&amp;"|"&amp;(YEAR(B1575)*100+MONTH(B1575)))</f>
        <v/>
      </c>
      <c r="Q1575" s="70" t="str">
        <f aca="false">IF(P1575="","",IF(COUNTIF(N_CLAVE,P1575)&gt;1,"⚠ Duplicado","OK"))</f>
        <v/>
      </c>
      <c r="R1575" s="74" t="str">
        <f aca="false">IF(OR(P1575="",U1575=""),"",MAX(0,U1575-N(E1575)-N(F1575)-N(H1575)))</f>
        <v/>
      </c>
      <c r="S1575" s="75" t="str">
        <f aca="false">IF(P1575="","",IFERROR(INDEX(T_INGRESO,MATCH(C1575,T_ID,0)),""))</f>
        <v/>
      </c>
      <c r="T1575" s="75" t="str">
        <f aca="false">IF(P1575="","",IFERROR(N(INDEX(T_EGRESO,MATCH(C1575,T_ID,0))),0))</f>
        <v/>
      </c>
      <c r="U1575" s="73" t="str">
        <f aca="false">IF(OR(P1575="",NOT(ISNUMBER(S1575))),"",IF(OR(S1575&gt;EOMONTH(B1575,0),AND(T1575&gt;0,T1575&lt;B1575)),0,IF(AND(S1575&lt;=B1575,OR(T1575=0,T1575&gt;=EOMONTH(B1575,0))),30,MIN(30,IF(T1575=0,EOMONTH(B1575,0),MIN(T1575,EOMONTH(B1575,0)))-MAX(B1575,S1575)+1))))</f>
        <v/>
      </c>
    </row>
    <row r="1576" customFormat="false" ht="15" hidden="false" customHeight="false" outlineLevel="0" collapsed="false">
      <c r="B1576" s="78"/>
      <c r="C1576" s="64"/>
      <c r="D1576" s="70" t="str">
        <f aca="false">IF(C1576="","",IFERROR(INDEX(T_NOMBRE,MATCH(C1576,T_ID,0)),"⚠ ID no existe"))</f>
        <v/>
      </c>
      <c r="E1576" s="69"/>
      <c r="F1576" s="69"/>
      <c r="G1576" s="69"/>
      <c r="H1576" s="69"/>
      <c r="I1576" s="66"/>
      <c r="J1576" s="69"/>
      <c r="K1576" s="67"/>
      <c r="L1576" s="67"/>
      <c r="M1576" s="67"/>
      <c r="N1576" s="67"/>
      <c r="O1576" s="64"/>
      <c r="P1576" s="72" t="str">
        <f aca="false">IF(OR(B1576="",C1576=""),"",C1576&amp;"|"&amp;(YEAR(B1576)*100+MONTH(B1576)))</f>
        <v/>
      </c>
      <c r="Q1576" s="70" t="str">
        <f aca="false">IF(P1576="","",IF(COUNTIF(N_CLAVE,P1576)&gt;1,"⚠ Duplicado","OK"))</f>
        <v/>
      </c>
      <c r="R1576" s="74" t="str">
        <f aca="false">IF(OR(P1576="",U1576=""),"",MAX(0,U1576-N(E1576)-N(F1576)-N(H1576)))</f>
        <v/>
      </c>
      <c r="S1576" s="75" t="str">
        <f aca="false">IF(P1576="","",IFERROR(INDEX(T_INGRESO,MATCH(C1576,T_ID,0)),""))</f>
        <v/>
      </c>
      <c r="T1576" s="75" t="str">
        <f aca="false">IF(P1576="","",IFERROR(N(INDEX(T_EGRESO,MATCH(C1576,T_ID,0))),0))</f>
        <v/>
      </c>
      <c r="U1576" s="73" t="str">
        <f aca="false">IF(OR(P1576="",NOT(ISNUMBER(S1576))),"",IF(OR(S1576&gt;EOMONTH(B1576,0),AND(T1576&gt;0,T1576&lt;B1576)),0,IF(AND(S1576&lt;=B1576,OR(T1576=0,T1576&gt;=EOMONTH(B1576,0))),30,MIN(30,IF(T1576=0,EOMONTH(B1576,0),MIN(T1576,EOMONTH(B1576,0)))-MAX(B1576,S1576)+1))))</f>
        <v/>
      </c>
    </row>
    <row r="1577" customFormat="false" ht="15" hidden="false" customHeight="false" outlineLevel="0" collapsed="false">
      <c r="B1577" s="78"/>
      <c r="C1577" s="64"/>
      <c r="D1577" s="70" t="str">
        <f aca="false">IF(C1577="","",IFERROR(INDEX(T_NOMBRE,MATCH(C1577,T_ID,0)),"⚠ ID no existe"))</f>
        <v/>
      </c>
      <c r="E1577" s="69"/>
      <c r="F1577" s="69"/>
      <c r="G1577" s="69"/>
      <c r="H1577" s="69"/>
      <c r="I1577" s="66"/>
      <c r="J1577" s="69"/>
      <c r="K1577" s="67"/>
      <c r="L1577" s="67"/>
      <c r="M1577" s="67"/>
      <c r="N1577" s="67"/>
      <c r="O1577" s="64"/>
      <c r="P1577" s="72" t="str">
        <f aca="false">IF(OR(B1577="",C1577=""),"",C1577&amp;"|"&amp;(YEAR(B1577)*100+MONTH(B1577)))</f>
        <v/>
      </c>
      <c r="Q1577" s="70" t="str">
        <f aca="false">IF(P1577="","",IF(COUNTIF(N_CLAVE,P1577)&gt;1,"⚠ Duplicado","OK"))</f>
        <v/>
      </c>
      <c r="R1577" s="74" t="str">
        <f aca="false">IF(OR(P1577="",U1577=""),"",MAX(0,U1577-N(E1577)-N(F1577)-N(H1577)))</f>
        <v/>
      </c>
      <c r="S1577" s="75" t="str">
        <f aca="false">IF(P1577="","",IFERROR(INDEX(T_INGRESO,MATCH(C1577,T_ID,0)),""))</f>
        <v/>
      </c>
      <c r="T1577" s="75" t="str">
        <f aca="false">IF(P1577="","",IFERROR(N(INDEX(T_EGRESO,MATCH(C1577,T_ID,0))),0))</f>
        <v/>
      </c>
      <c r="U1577" s="73" t="str">
        <f aca="false">IF(OR(P1577="",NOT(ISNUMBER(S1577))),"",IF(OR(S1577&gt;EOMONTH(B1577,0),AND(T1577&gt;0,T1577&lt;B1577)),0,IF(AND(S1577&lt;=B1577,OR(T1577=0,T1577&gt;=EOMONTH(B1577,0))),30,MIN(30,IF(T1577=0,EOMONTH(B1577,0),MIN(T1577,EOMONTH(B1577,0)))-MAX(B1577,S1577)+1))))</f>
        <v/>
      </c>
    </row>
    <row r="1578" customFormat="false" ht="15" hidden="false" customHeight="false" outlineLevel="0" collapsed="false">
      <c r="B1578" s="78"/>
      <c r="C1578" s="64"/>
      <c r="D1578" s="70" t="str">
        <f aca="false">IF(C1578="","",IFERROR(INDEX(T_NOMBRE,MATCH(C1578,T_ID,0)),"⚠ ID no existe"))</f>
        <v/>
      </c>
      <c r="E1578" s="69"/>
      <c r="F1578" s="69"/>
      <c r="G1578" s="69"/>
      <c r="H1578" s="69"/>
      <c r="I1578" s="66"/>
      <c r="J1578" s="69"/>
      <c r="K1578" s="67"/>
      <c r="L1578" s="67"/>
      <c r="M1578" s="67"/>
      <c r="N1578" s="67"/>
      <c r="O1578" s="64"/>
      <c r="P1578" s="72" t="str">
        <f aca="false">IF(OR(B1578="",C1578=""),"",C1578&amp;"|"&amp;(YEAR(B1578)*100+MONTH(B1578)))</f>
        <v/>
      </c>
      <c r="Q1578" s="70" t="str">
        <f aca="false">IF(P1578="","",IF(COUNTIF(N_CLAVE,P1578)&gt;1,"⚠ Duplicado","OK"))</f>
        <v/>
      </c>
      <c r="R1578" s="74" t="str">
        <f aca="false">IF(OR(P1578="",U1578=""),"",MAX(0,U1578-N(E1578)-N(F1578)-N(H1578)))</f>
        <v/>
      </c>
      <c r="S1578" s="75" t="str">
        <f aca="false">IF(P1578="","",IFERROR(INDEX(T_INGRESO,MATCH(C1578,T_ID,0)),""))</f>
        <v/>
      </c>
      <c r="T1578" s="75" t="str">
        <f aca="false">IF(P1578="","",IFERROR(N(INDEX(T_EGRESO,MATCH(C1578,T_ID,0))),0))</f>
        <v/>
      </c>
      <c r="U1578" s="73" t="str">
        <f aca="false">IF(OR(P1578="",NOT(ISNUMBER(S1578))),"",IF(OR(S1578&gt;EOMONTH(B1578,0),AND(T1578&gt;0,T1578&lt;B1578)),0,IF(AND(S1578&lt;=B1578,OR(T1578=0,T1578&gt;=EOMONTH(B1578,0))),30,MIN(30,IF(T1578=0,EOMONTH(B1578,0),MIN(T1578,EOMONTH(B1578,0)))-MAX(B1578,S1578)+1))))</f>
        <v/>
      </c>
    </row>
    <row r="1579" customFormat="false" ht="15" hidden="false" customHeight="false" outlineLevel="0" collapsed="false">
      <c r="B1579" s="78"/>
      <c r="C1579" s="64"/>
      <c r="D1579" s="70" t="str">
        <f aca="false">IF(C1579="","",IFERROR(INDEX(T_NOMBRE,MATCH(C1579,T_ID,0)),"⚠ ID no existe"))</f>
        <v/>
      </c>
      <c r="E1579" s="69"/>
      <c r="F1579" s="69"/>
      <c r="G1579" s="69"/>
      <c r="H1579" s="69"/>
      <c r="I1579" s="66"/>
      <c r="J1579" s="69"/>
      <c r="K1579" s="67"/>
      <c r="L1579" s="67"/>
      <c r="M1579" s="67"/>
      <c r="N1579" s="67"/>
      <c r="O1579" s="64"/>
      <c r="P1579" s="72" t="str">
        <f aca="false">IF(OR(B1579="",C1579=""),"",C1579&amp;"|"&amp;(YEAR(B1579)*100+MONTH(B1579)))</f>
        <v/>
      </c>
      <c r="Q1579" s="70" t="str">
        <f aca="false">IF(P1579="","",IF(COUNTIF(N_CLAVE,P1579)&gt;1,"⚠ Duplicado","OK"))</f>
        <v/>
      </c>
      <c r="R1579" s="74" t="str">
        <f aca="false">IF(OR(P1579="",U1579=""),"",MAX(0,U1579-N(E1579)-N(F1579)-N(H1579)))</f>
        <v/>
      </c>
      <c r="S1579" s="75" t="str">
        <f aca="false">IF(P1579="","",IFERROR(INDEX(T_INGRESO,MATCH(C1579,T_ID,0)),""))</f>
        <v/>
      </c>
      <c r="T1579" s="75" t="str">
        <f aca="false">IF(P1579="","",IFERROR(N(INDEX(T_EGRESO,MATCH(C1579,T_ID,0))),0))</f>
        <v/>
      </c>
      <c r="U1579" s="73" t="str">
        <f aca="false">IF(OR(P1579="",NOT(ISNUMBER(S1579))),"",IF(OR(S1579&gt;EOMONTH(B1579,0),AND(T1579&gt;0,T1579&lt;B1579)),0,IF(AND(S1579&lt;=B1579,OR(T1579=0,T1579&gt;=EOMONTH(B1579,0))),30,MIN(30,IF(T1579=0,EOMONTH(B1579,0),MIN(T1579,EOMONTH(B1579,0)))-MAX(B1579,S1579)+1))))</f>
        <v/>
      </c>
    </row>
    <row r="1580" customFormat="false" ht="15" hidden="false" customHeight="false" outlineLevel="0" collapsed="false">
      <c r="B1580" s="78"/>
      <c r="C1580" s="64"/>
      <c r="D1580" s="70" t="str">
        <f aca="false">IF(C1580="","",IFERROR(INDEX(T_NOMBRE,MATCH(C1580,T_ID,0)),"⚠ ID no existe"))</f>
        <v/>
      </c>
      <c r="E1580" s="69"/>
      <c r="F1580" s="69"/>
      <c r="G1580" s="69"/>
      <c r="H1580" s="69"/>
      <c r="I1580" s="66"/>
      <c r="J1580" s="69"/>
      <c r="K1580" s="67"/>
      <c r="L1580" s="67"/>
      <c r="M1580" s="67"/>
      <c r="N1580" s="67"/>
      <c r="O1580" s="64"/>
      <c r="P1580" s="72" t="str">
        <f aca="false">IF(OR(B1580="",C1580=""),"",C1580&amp;"|"&amp;(YEAR(B1580)*100+MONTH(B1580)))</f>
        <v/>
      </c>
      <c r="Q1580" s="70" t="str">
        <f aca="false">IF(P1580="","",IF(COUNTIF(N_CLAVE,P1580)&gt;1,"⚠ Duplicado","OK"))</f>
        <v/>
      </c>
      <c r="R1580" s="74" t="str">
        <f aca="false">IF(OR(P1580="",U1580=""),"",MAX(0,U1580-N(E1580)-N(F1580)-N(H1580)))</f>
        <v/>
      </c>
      <c r="S1580" s="75" t="str">
        <f aca="false">IF(P1580="","",IFERROR(INDEX(T_INGRESO,MATCH(C1580,T_ID,0)),""))</f>
        <v/>
      </c>
      <c r="T1580" s="75" t="str">
        <f aca="false">IF(P1580="","",IFERROR(N(INDEX(T_EGRESO,MATCH(C1580,T_ID,0))),0))</f>
        <v/>
      </c>
      <c r="U1580" s="73" t="str">
        <f aca="false">IF(OR(P1580="",NOT(ISNUMBER(S1580))),"",IF(OR(S1580&gt;EOMONTH(B1580,0),AND(T1580&gt;0,T1580&lt;B1580)),0,IF(AND(S1580&lt;=B1580,OR(T1580=0,T1580&gt;=EOMONTH(B1580,0))),30,MIN(30,IF(T1580=0,EOMONTH(B1580,0),MIN(T1580,EOMONTH(B1580,0)))-MAX(B1580,S1580)+1))))</f>
        <v/>
      </c>
    </row>
    <row r="1581" customFormat="false" ht="15" hidden="false" customHeight="false" outlineLevel="0" collapsed="false">
      <c r="B1581" s="78"/>
      <c r="C1581" s="64"/>
      <c r="D1581" s="70" t="str">
        <f aca="false">IF(C1581="","",IFERROR(INDEX(T_NOMBRE,MATCH(C1581,T_ID,0)),"⚠ ID no existe"))</f>
        <v/>
      </c>
      <c r="E1581" s="69"/>
      <c r="F1581" s="69"/>
      <c r="G1581" s="69"/>
      <c r="H1581" s="69"/>
      <c r="I1581" s="66"/>
      <c r="J1581" s="69"/>
      <c r="K1581" s="67"/>
      <c r="L1581" s="67"/>
      <c r="M1581" s="67"/>
      <c r="N1581" s="67"/>
      <c r="O1581" s="64"/>
      <c r="P1581" s="72" t="str">
        <f aca="false">IF(OR(B1581="",C1581=""),"",C1581&amp;"|"&amp;(YEAR(B1581)*100+MONTH(B1581)))</f>
        <v/>
      </c>
      <c r="Q1581" s="70" t="str">
        <f aca="false">IF(P1581="","",IF(COUNTIF(N_CLAVE,P1581)&gt;1,"⚠ Duplicado","OK"))</f>
        <v/>
      </c>
      <c r="R1581" s="74" t="str">
        <f aca="false">IF(OR(P1581="",U1581=""),"",MAX(0,U1581-N(E1581)-N(F1581)-N(H1581)))</f>
        <v/>
      </c>
      <c r="S1581" s="75" t="str">
        <f aca="false">IF(P1581="","",IFERROR(INDEX(T_INGRESO,MATCH(C1581,T_ID,0)),""))</f>
        <v/>
      </c>
      <c r="T1581" s="75" t="str">
        <f aca="false">IF(P1581="","",IFERROR(N(INDEX(T_EGRESO,MATCH(C1581,T_ID,0))),0))</f>
        <v/>
      </c>
      <c r="U1581" s="73" t="str">
        <f aca="false">IF(OR(P1581="",NOT(ISNUMBER(S1581))),"",IF(OR(S1581&gt;EOMONTH(B1581,0),AND(T1581&gt;0,T1581&lt;B1581)),0,IF(AND(S1581&lt;=B1581,OR(T1581=0,T1581&gt;=EOMONTH(B1581,0))),30,MIN(30,IF(T1581=0,EOMONTH(B1581,0),MIN(T1581,EOMONTH(B1581,0)))-MAX(B1581,S1581)+1))))</f>
        <v/>
      </c>
    </row>
    <row r="1582" customFormat="false" ht="15" hidden="false" customHeight="false" outlineLevel="0" collapsed="false">
      <c r="B1582" s="78"/>
      <c r="C1582" s="64"/>
      <c r="D1582" s="70" t="str">
        <f aca="false">IF(C1582="","",IFERROR(INDEX(T_NOMBRE,MATCH(C1582,T_ID,0)),"⚠ ID no existe"))</f>
        <v/>
      </c>
      <c r="E1582" s="69"/>
      <c r="F1582" s="69"/>
      <c r="G1582" s="69"/>
      <c r="H1582" s="69"/>
      <c r="I1582" s="66"/>
      <c r="J1582" s="69"/>
      <c r="K1582" s="67"/>
      <c r="L1582" s="67"/>
      <c r="M1582" s="67"/>
      <c r="N1582" s="67"/>
      <c r="O1582" s="64"/>
      <c r="P1582" s="72" t="str">
        <f aca="false">IF(OR(B1582="",C1582=""),"",C1582&amp;"|"&amp;(YEAR(B1582)*100+MONTH(B1582)))</f>
        <v/>
      </c>
      <c r="Q1582" s="70" t="str">
        <f aca="false">IF(P1582="","",IF(COUNTIF(N_CLAVE,P1582)&gt;1,"⚠ Duplicado","OK"))</f>
        <v/>
      </c>
      <c r="R1582" s="74" t="str">
        <f aca="false">IF(OR(P1582="",U1582=""),"",MAX(0,U1582-N(E1582)-N(F1582)-N(H1582)))</f>
        <v/>
      </c>
      <c r="S1582" s="75" t="str">
        <f aca="false">IF(P1582="","",IFERROR(INDEX(T_INGRESO,MATCH(C1582,T_ID,0)),""))</f>
        <v/>
      </c>
      <c r="T1582" s="75" t="str">
        <f aca="false">IF(P1582="","",IFERROR(N(INDEX(T_EGRESO,MATCH(C1582,T_ID,0))),0))</f>
        <v/>
      </c>
      <c r="U1582" s="73" t="str">
        <f aca="false">IF(OR(P1582="",NOT(ISNUMBER(S1582))),"",IF(OR(S1582&gt;EOMONTH(B1582,0),AND(T1582&gt;0,T1582&lt;B1582)),0,IF(AND(S1582&lt;=B1582,OR(T1582=0,T1582&gt;=EOMONTH(B1582,0))),30,MIN(30,IF(T1582=0,EOMONTH(B1582,0),MIN(T1582,EOMONTH(B1582,0)))-MAX(B1582,S1582)+1))))</f>
        <v/>
      </c>
    </row>
    <row r="1583" customFormat="false" ht="15" hidden="false" customHeight="false" outlineLevel="0" collapsed="false">
      <c r="B1583" s="78"/>
      <c r="C1583" s="64"/>
      <c r="D1583" s="70" t="str">
        <f aca="false">IF(C1583="","",IFERROR(INDEX(T_NOMBRE,MATCH(C1583,T_ID,0)),"⚠ ID no existe"))</f>
        <v/>
      </c>
      <c r="E1583" s="69"/>
      <c r="F1583" s="69"/>
      <c r="G1583" s="69"/>
      <c r="H1583" s="69"/>
      <c r="I1583" s="66"/>
      <c r="J1583" s="69"/>
      <c r="K1583" s="67"/>
      <c r="L1583" s="67"/>
      <c r="M1583" s="67"/>
      <c r="N1583" s="67"/>
      <c r="O1583" s="64"/>
      <c r="P1583" s="72" t="str">
        <f aca="false">IF(OR(B1583="",C1583=""),"",C1583&amp;"|"&amp;(YEAR(B1583)*100+MONTH(B1583)))</f>
        <v/>
      </c>
      <c r="Q1583" s="70" t="str">
        <f aca="false">IF(P1583="","",IF(COUNTIF(N_CLAVE,P1583)&gt;1,"⚠ Duplicado","OK"))</f>
        <v/>
      </c>
      <c r="R1583" s="74" t="str">
        <f aca="false">IF(OR(P1583="",U1583=""),"",MAX(0,U1583-N(E1583)-N(F1583)-N(H1583)))</f>
        <v/>
      </c>
      <c r="S1583" s="75" t="str">
        <f aca="false">IF(P1583="","",IFERROR(INDEX(T_INGRESO,MATCH(C1583,T_ID,0)),""))</f>
        <v/>
      </c>
      <c r="T1583" s="75" t="str">
        <f aca="false">IF(P1583="","",IFERROR(N(INDEX(T_EGRESO,MATCH(C1583,T_ID,0))),0))</f>
        <v/>
      </c>
      <c r="U1583" s="73" t="str">
        <f aca="false">IF(OR(P1583="",NOT(ISNUMBER(S1583))),"",IF(OR(S1583&gt;EOMONTH(B1583,0),AND(T1583&gt;0,T1583&lt;B1583)),0,IF(AND(S1583&lt;=B1583,OR(T1583=0,T1583&gt;=EOMONTH(B1583,0))),30,MIN(30,IF(T1583=0,EOMONTH(B1583,0),MIN(T1583,EOMONTH(B1583,0)))-MAX(B1583,S1583)+1))))</f>
        <v/>
      </c>
    </row>
    <row r="1584" customFormat="false" ht="15" hidden="false" customHeight="false" outlineLevel="0" collapsed="false">
      <c r="B1584" s="78"/>
      <c r="C1584" s="64"/>
      <c r="D1584" s="70" t="str">
        <f aca="false">IF(C1584="","",IFERROR(INDEX(T_NOMBRE,MATCH(C1584,T_ID,0)),"⚠ ID no existe"))</f>
        <v/>
      </c>
      <c r="E1584" s="69"/>
      <c r="F1584" s="69"/>
      <c r="G1584" s="69"/>
      <c r="H1584" s="69"/>
      <c r="I1584" s="66"/>
      <c r="J1584" s="69"/>
      <c r="K1584" s="67"/>
      <c r="L1584" s="67"/>
      <c r="M1584" s="67"/>
      <c r="N1584" s="67"/>
      <c r="O1584" s="64"/>
      <c r="P1584" s="72" t="str">
        <f aca="false">IF(OR(B1584="",C1584=""),"",C1584&amp;"|"&amp;(YEAR(B1584)*100+MONTH(B1584)))</f>
        <v/>
      </c>
      <c r="Q1584" s="70" t="str">
        <f aca="false">IF(P1584="","",IF(COUNTIF(N_CLAVE,P1584)&gt;1,"⚠ Duplicado","OK"))</f>
        <v/>
      </c>
      <c r="R1584" s="74" t="str">
        <f aca="false">IF(OR(P1584="",U1584=""),"",MAX(0,U1584-N(E1584)-N(F1584)-N(H1584)))</f>
        <v/>
      </c>
      <c r="S1584" s="75" t="str">
        <f aca="false">IF(P1584="","",IFERROR(INDEX(T_INGRESO,MATCH(C1584,T_ID,0)),""))</f>
        <v/>
      </c>
      <c r="T1584" s="75" t="str">
        <f aca="false">IF(P1584="","",IFERROR(N(INDEX(T_EGRESO,MATCH(C1584,T_ID,0))),0))</f>
        <v/>
      </c>
      <c r="U1584" s="73" t="str">
        <f aca="false">IF(OR(P1584="",NOT(ISNUMBER(S1584))),"",IF(OR(S1584&gt;EOMONTH(B1584,0),AND(T1584&gt;0,T1584&lt;B1584)),0,IF(AND(S1584&lt;=B1584,OR(T1584=0,T1584&gt;=EOMONTH(B1584,0))),30,MIN(30,IF(T1584=0,EOMONTH(B1584,0),MIN(T1584,EOMONTH(B1584,0)))-MAX(B1584,S1584)+1))))</f>
        <v/>
      </c>
    </row>
    <row r="1585" customFormat="false" ht="15" hidden="false" customHeight="false" outlineLevel="0" collapsed="false">
      <c r="B1585" s="78"/>
      <c r="C1585" s="64"/>
      <c r="D1585" s="70" t="str">
        <f aca="false">IF(C1585="","",IFERROR(INDEX(T_NOMBRE,MATCH(C1585,T_ID,0)),"⚠ ID no existe"))</f>
        <v/>
      </c>
      <c r="E1585" s="69"/>
      <c r="F1585" s="69"/>
      <c r="G1585" s="69"/>
      <c r="H1585" s="69"/>
      <c r="I1585" s="66"/>
      <c r="J1585" s="69"/>
      <c r="K1585" s="67"/>
      <c r="L1585" s="67"/>
      <c r="M1585" s="67"/>
      <c r="N1585" s="67"/>
      <c r="O1585" s="64"/>
      <c r="P1585" s="72" t="str">
        <f aca="false">IF(OR(B1585="",C1585=""),"",C1585&amp;"|"&amp;(YEAR(B1585)*100+MONTH(B1585)))</f>
        <v/>
      </c>
      <c r="Q1585" s="70" t="str">
        <f aca="false">IF(P1585="","",IF(COUNTIF(N_CLAVE,P1585)&gt;1,"⚠ Duplicado","OK"))</f>
        <v/>
      </c>
      <c r="R1585" s="74" t="str">
        <f aca="false">IF(OR(P1585="",U1585=""),"",MAX(0,U1585-N(E1585)-N(F1585)-N(H1585)))</f>
        <v/>
      </c>
      <c r="S1585" s="75" t="str">
        <f aca="false">IF(P1585="","",IFERROR(INDEX(T_INGRESO,MATCH(C1585,T_ID,0)),""))</f>
        <v/>
      </c>
      <c r="T1585" s="75" t="str">
        <f aca="false">IF(P1585="","",IFERROR(N(INDEX(T_EGRESO,MATCH(C1585,T_ID,0))),0))</f>
        <v/>
      </c>
      <c r="U1585" s="73" t="str">
        <f aca="false">IF(OR(P1585="",NOT(ISNUMBER(S1585))),"",IF(OR(S1585&gt;EOMONTH(B1585,0),AND(T1585&gt;0,T1585&lt;B1585)),0,IF(AND(S1585&lt;=B1585,OR(T1585=0,T1585&gt;=EOMONTH(B1585,0))),30,MIN(30,IF(T1585=0,EOMONTH(B1585,0),MIN(T1585,EOMONTH(B1585,0)))-MAX(B1585,S1585)+1))))</f>
        <v/>
      </c>
    </row>
    <row r="1586" customFormat="false" ht="15" hidden="false" customHeight="false" outlineLevel="0" collapsed="false">
      <c r="B1586" s="78"/>
      <c r="C1586" s="64"/>
      <c r="D1586" s="70" t="str">
        <f aca="false">IF(C1586="","",IFERROR(INDEX(T_NOMBRE,MATCH(C1586,T_ID,0)),"⚠ ID no existe"))</f>
        <v/>
      </c>
      <c r="E1586" s="69"/>
      <c r="F1586" s="69"/>
      <c r="G1586" s="69"/>
      <c r="H1586" s="69"/>
      <c r="I1586" s="66"/>
      <c r="J1586" s="69"/>
      <c r="K1586" s="67"/>
      <c r="L1586" s="67"/>
      <c r="M1586" s="67"/>
      <c r="N1586" s="67"/>
      <c r="O1586" s="64"/>
      <c r="P1586" s="72" t="str">
        <f aca="false">IF(OR(B1586="",C1586=""),"",C1586&amp;"|"&amp;(YEAR(B1586)*100+MONTH(B1586)))</f>
        <v/>
      </c>
      <c r="Q1586" s="70" t="str">
        <f aca="false">IF(P1586="","",IF(COUNTIF(N_CLAVE,P1586)&gt;1,"⚠ Duplicado","OK"))</f>
        <v/>
      </c>
      <c r="R1586" s="74" t="str">
        <f aca="false">IF(OR(P1586="",U1586=""),"",MAX(0,U1586-N(E1586)-N(F1586)-N(H1586)))</f>
        <v/>
      </c>
      <c r="S1586" s="75" t="str">
        <f aca="false">IF(P1586="","",IFERROR(INDEX(T_INGRESO,MATCH(C1586,T_ID,0)),""))</f>
        <v/>
      </c>
      <c r="T1586" s="75" t="str">
        <f aca="false">IF(P1586="","",IFERROR(N(INDEX(T_EGRESO,MATCH(C1586,T_ID,0))),0))</f>
        <v/>
      </c>
      <c r="U1586" s="73" t="str">
        <f aca="false">IF(OR(P1586="",NOT(ISNUMBER(S1586))),"",IF(OR(S1586&gt;EOMONTH(B1586,0),AND(T1586&gt;0,T1586&lt;B1586)),0,IF(AND(S1586&lt;=B1586,OR(T1586=0,T1586&gt;=EOMONTH(B1586,0))),30,MIN(30,IF(T1586=0,EOMONTH(B1586,0),MIN(T1586,EOMONTH(B1586,0)))-MAX(B1586,S1586)+1))))</f>
        <v/>
      </c>
    </row>
    <row r="1587" customFormat="false" ht="15" hidden="false" customHeight="false" outlineLevel="0" collapsed="false">
      <c r="B1587" s="78"/>
      <c r="C1587" s="64"/>
      <c r="D1587" s="70" t="str">
        <f aca="false">IF(C1587="","",IFERROR(INDEX(T_NOMBRE,MATCH(C1587,T_ID,0)),"⚠ ID no existe"))</f>
        <v/>
      </c>
      <c r="E1587" s="69"/>
      <c r="F1587" s="69"/>
      <c r="G1587" s="69"/>
      <c r="H1587" s="69"/>
      <c r="I1587" s="66"/>
      <c r="J1587" s="69"/>
      <c r="K1587" s="67"/>
      <c r="L1587" s="67"/>
      <c r="M1587" s="67"/>
      <c r="N1587" s="67"/>
      <c r="O1587" s="64"/>
      <c r="P1587" s="72" t="str">
        <f aca="false">IF(OR(B1587="",C1587=""),"",C1587&amp;"|"&amp;(YEAR(B1587)*100+MONTH(B1587)))</f>
        <v/>
      </c>
      <c r="Q1587" s="70" t="str">
        <f aca="false">IF(P1587="","",IF(COUNTIF(N_CLAVE,P1587)&gt;1,"⚠ Duplicado","OK"))</f>
        <v/>
      </c>
      <c r="R1587" s="74" t="str">
        <f aca="false">IF(OR(P1587="",U1587=""),"",MAX(0,U1587-N(E1587)-N(F1587)-N(H1587)))</f>
        <v/>
      </c>
      <c r="S1587" s="75" t="str">
        <f aca="false">IF(P1587="","",IFERROR(INDEX(T_INGRESO,MATCH(C1587,T_ID,0)),""))</f>
        <v/>
      </c>
      <c r="T1587" s="75" t="str">
        <f aca="false">IF(P1587="","",IFERROR(N(INDEX(T_EGRESO,MATCH(C1587,T_ID,0))),0))</f>
        <v/>
      </c>
      <c r="U1587" s="73" t="str">
        <f aca="false">IF(OR(P1587="",NOT(ISNUMBER(S1587))),"",IF(OR(S1587&gt;EOMONTH(B1587,0),AND(T1587&gt;0,T1587&lt;B1587)),0,IF(AND(S1587&lt;=B1587,OR(T1587=0,T1587&gt;=EOMONTH(B1587,0))),30,MIN(30,IF(T1587=0,EOMONTH(B1587,0),MIN(T1587,EOMONTH(B1587,0)))-MAX(B1587,S1587)+1))))</f>
        <v/>
      </c>
    </row>
    <row r="1588" customFormat="false" ht="15" hidden="false" customHeight="false" outlineLevel="0" collapsed="false">
      <c r="B1588" s="78"/>
      <c r="C1588" s="64"/>
      <c r="D1588" s="70" t="str">
        <f aca="false">IF(C1588="","",IFERROR(INDEX(T_NOMBRE,MATCH(C1588,T_ID,0)),"⚠ ID no existe"))</f>
        <v/>
      </c>
      <c r="E1588" s="69"/>
      <c r="F1588" s="69"/>
      <c r="G1588" s="69"/>
      <c r="H1588" s="69"/>
      <c r="I1588" s="66"/>
      <c r="J1588" s="69"/>
      <c r="K1588" s="67"/>
      <c r="L1588" s="67"/>
      <c r="M1588" s="67"/>
      <c r="N1588" s="67"/>
      <c r="O1588" s="64"/>
      <c r="P1588" s="72" t="str">
        <f aca="false">IF(OR(B1588="",C1588=""),"",C1588&amp;"|"&amp;(YEAR(B1588)*100+MONTH(B1588)))</f>
        <v/>
      </c>
      <c r="Q1588" s="70" t="str">
        <f aca="false">IF(P1588="","",IF(COUNTIF(N_CLAVE,P1588)&gt;1,"⚠ Duplicado","OK"))</f>
        <v/>
      </c>
      <c r="R1588" s="74" t="str">
        <f aca="false">IF(OR(P1588="",U1588=""),"",MAX(0,U1588-N(E1588)-N(F1588)-N(H1588)))</f>
        <v/>
      </c>
      <c r="S1588" s="75" t="str">
        <f aca="false">IF(P1588="","",IFERROR(INDEX(T_INGRESO,MATCH(C1588,T_ID,0)),""))</f>
        <v/>
      </c>
      <c r="T1588" s="75" t="str">
        <f aca="false">IF(P1588="","",IFERROR(N(INDEX(T_EGRESO,MATCH(C1588,T_ID,0))),0))</f>
        <v/>
      </c>
      <c r="U1588" s="73" t="str">
        <f aca="false">IF(OR(P1588="",NOT(ISNUMBER(S1588))),"",IF(OR(S1588&gt;EOMONTH(B1588,0),AND(T1588&gt;0,T1588&lt;B1588)),0,IF(AND(S1588&lt;=B1588,OR(T1588=0,T1588&gt;=EOMONTH(B1588,0))),30,MIN(30,IF(T1588=0,EOMONTH(B1588,0),MIN(T1588,EOMONTH(B1588,0)))-MAX(B1588,S1588)+1))))</f>
        <v/>
      </c>
    </row>
    <row r="1589" customFormat="false" ht="15" hidden="false" customHeight="false" outlineLevel="0" collapsed="false">
      <c r="B1589" s="78"/>
      <c r="C1589" s="64"/>
      <c r="D1589" s="70" t="str">
        <f aca="false">IF(C1589="","",IFERROR(INDEX(T_NOMBRE,MATCH(C1589,T_ID,0)),"⚠ ID no existe"))</f>
        <v/>
      </c>
      <c r="E1589" s="69"/>
      <c r="F1589" s="69"/>
      <c r="G1589" s="69"/>
      <c r="H1589" s="69"/>
      <c r="I1589" s="66"/>
      <c r="J1589" s="69"/>
      <c r="K1589" s="67"/>
      <c r="L1589" s="67"/>
      <c r="M1589" s="67"/>
      <c r="N1589" s="67"/>
      <c r="O1589" s="64"/>
      <c r="P1589" s="72" t="str">
        <f aca="false">IF(OR(B1589="",C1589=""),"",C1589&amp;"|"&amp;(YEAR(B1589)*100+MONTH(B1589)))</f>
        <v/>
      </c>
      <c r="Q1589" s="70" t="str">
        <f aca="false">IF(P1589="","",IF(COUNTIF(N_CLAVE,P1589)&gt;1,"⚠ Duplicado","OK"))</f>
        <v/>
      </c>
      <c r="R1589" s="74" t="str">
        <f aca="false">IF(OR(P1589="",U1589=""),"",MAX(0,U1589-N(E1589)-N(F1589)-N(H1589)))</f>
        <v/>
      </c>
      <c r="S1589" s="75" t="str">
        <f aca="false">IF(P1589="","",IFERROR(INDEX(T_INGRESO,MATCH(C1589,T_ID,0)),""))</f>
        <v/>
      </c>
      <c r="T1589" s="75" t="str">
        <f aca="false">IF(P1589="","",IFERROR(N(INDEX(T_EGRESO,MATCH(C1589,T_ID,0))),0))</f>
        <v/>
      </c>
      <c r="U1589" s="73" t="str">
        <f aca="false">IF(OR(P1589="",NOT(ISNUMBER(S1589))),"",IF(OR(S1589&gt;EOMONTH(B1589,0),AND(T1589&gt;0,T1589&lt;B1589)),0,IF(AND(S1589&lt;=B1589,OR(T1589=0,T1589&gt;=EOMONTH(B1589,0))),30,MIN(30,IF(T1589=0,EOMONTH(B1589,0),MIN(T1589,EOMONTH(B1589,0)))-MAX(B1589,S1589)+1))))</f>
        <v/>
      </c>
    </row>
    <row r="1590" customFormat="false" ht="15" hidden="false" customHeight="false" outlineLevel="0" collapsed="false">
      <c r="B1590" s="78"/>
      <c r="C1590" s="64"/>
      <c r="D1590" s="70" t="str">
        <f aca="false">IF(C1590="","",IFERROR(INDEX(T_NOMBRE,MATCH(C1590,T_ID,0)),"⚠ ID no existe"))</f>
        <v/>
      </c>
      <c r="E1590" s="69"/>
      <c r="F1590" s="69"/>
      <c r="G1590" s="69"/>
      <c r="H1590" s="69"/>
      <c r="I1590" s="66"/>
      <c r="J1590" s="69"/>
      <c r="K1590" s="67"/>
      <c r="L1590" s="67"/>
      <c r="M1590" s="67"/>
      <c r="N1590" s="67"/>
      <c r="O1590" s="64"/>
      <c r="P1590" s="72" t="str">
        <f aca="false">IF(OR(B1590="",C1590=""),"",C1590&amp;"|"&amp;(YEAR(B1590)*100+MONTH(B1590)))</f>
        <v/>
      </c>
      <c r="Q1590" s="70" t="str">
        <f aca="false">IF(P1590="","",IF(COUNTIF(N_CLAVE,P1590)&gt;1,"⚠ Duplicado","OK"))</f>
        <v/>
      </c>
      <c r="R1590" s="74" t="str">
        <f aca="false">IF(OR(P1590="",U1590=""),"",MAX(0,U1590-N(E1590)-N(F1590)-N(H1590)))</f>
        <v/>
      </c>
      <c r="S1590" s="75" t="str">
        <f aca="false">IF(P1590="","",IFERROR(INDEX(T_INGRESO,MATCH(C1590,T_ID,0)),""))</f>
        <v/>
      </c>
      <c r="T1590" s="75" t="str">
        <f aca="false">IF(P1590="","",IFERROR(N(INDEX(T_EGRESO,MATCH(C1590,T_ID,0))),0))</f>
        <v/>
      </c>
      <c r="U1590" s="73" t="str">
        <f aca="false">IF(OR(P1590="",NOT(ISNUMBER(S1590))),"",IF(OR(S1590&gt;EOMONTH(B1590,0),AND(T1590&gt;0,T1590&lt;B1590)),0,IF(AND(S1590&lt;=B1590,OR(T1590=0,T1590&gt;=EOMONTH(B1590,0))),30,MIN(30,IF(T1590=0,EOMONTH(B1590,0),MIN(T1590,EOMONTH(B1590,0)))-MAX(B1590,S1590)+1))))</f>
        <v/>
      </c>
    </row>
    <row r="1591" customFormat="false" ht="15" hidden="false" customHeight="false" outlineLevel="0" collapsed="false">
      <c r="B1591" s="78"/>
      <c r="C1591" s="64"/>
      <c r="D1591" s="70" t="str">
        <f aca="false">IF(C1591="","",IFERROR(INDEX(T_NOMBRE,MATCH(C1591,T_ID,0)),"⚠ ID no existe"))</f>
        <v/>
      </c>
      <c r="E1591" s="69"/>
      <c r="F1591" s="69"/>
      <c r="G1591" s="69"/>
      <c r="H1591" s="69"/>
      <c r="I1591" s="66"/>
      <c r="J1591" s="69"/>
      <c r="K1591" s="67"/>
      <c r="L1591" s="67"/>
      <c r="M1591" s="67"/>
      <c r="N1591" s="67"/>
      <c r="O1591" s="64"/>
      <c r="P1591" s="72" t="str">
        <f aca="false">IF(OR(B1591="",C1591=""),"",C1591&amp;"|"&amp;(YEAR(B1591)*100+MONTH(B1591)))</f>
        <v/>
      </c>
      <c r="Q1591" s="70" t="str">
        <f aca="false">IF(P1591="","",IF(COUNTIF(N_CLAVE,P1591)&gt;1,"⚠ Duplicado","OK"))</f>
        <v/>
      </c>
      <c r="R1591" s="74" t="str">
        <f aca="false">IF(OR(P1591="",U1591=""),"",MAX(0,U1591-N(E1591)-N(F1591)-N(H1591)))</f>
        <v/>
      </c>
      <c r="S1591" s="75" t="str">
        <f aca="false">IF(P1591="","",IFERROR(INDEX(T_INGRESO,MATCH(C1591,T_ID,0)),""))</f>
        <v/>
      </c>
      <c r="T1591" s="75" t="str">
        <f aca="false">IF(P1591="","",IFERROR(N(INDEX(T_EGRESO,MATCH(C1591,T_ID,0))),0))</f>
        <v/>
      </c>
      <c r="U1591" s="73" t="str">
        <f aca="false">IF(OR(P1591="",NOT(ISNUMBER(S1591))),"",IF(OR(S1591&gt;EOMONTH(B1591,0),AND(T1591&gt;0,T1591&lt;B1591)),0,IF(AND(S1591&lt;=B1591,OR(T1591=0,T1591&gt;=EOMONTH(B1591,0))),30,MIN(30,IF(T1591=0,EOMONTH(B1591,0),MIN(T1591,EOMONTH(B1591,0)))-MAX(B1591,S1591)+1))))</f>
        <v/>
      </c>
    </row>
    <row r="1592" customFormat="false" ht="15" hidden="false" customHeight="false" outlineLevel="0" collapsed="false">
      <c r="B1592" s="78"/>
      <c r="C1592" s="64"/>
      <c r="D1592" s="70" t="str">
        <f aca="false">IF(C1592="","",IFERROR(INDEX(T_NOMBRE,MATCH(C1592,T_ID,0)),"⚠ ID no existe"))</f>
        <v/>
      </c>
      <c r="E1592" s="69"/>
      <c r="F1592" s="69"/>
      <c r="G1592" s="69"/>
      <c r="H1592" s="69"/>
      <c r="I1592" s="66"/>
      <c r="J1592" s="69"/>
      <c r="K1592" s="67"/>
      <c r="L1592" s="67"/>
      <c r="M1592" s="67"/>
      <c r="N1592" s="67"/>
      <c r="O1592" s="64"/>
      <c r="P1592" s="72" t="str">
        <f aca="false">IF(OR(B1592="",C1592=""),"",C1592&amp;"|"&amp;(YEAR(B1592)*100+MONTH(B1592)))</f>
        <v/>
      </c>
      <c r="Q1592" s="70" t="str">
        <f aca="false">IF(P1592="","",IF(COUNTIF(N_CLAVE,P1592)&gt;1,"⚠ Duplicado","OK"))</f>
        <v/>
      </c>
      <c r="R1592" s="74" t="str">
        <f aca="false">IF(OR(P1592="",U1592=""),"",MAX(0,U1592-N(E1592)-N(F1592)-N(H1592)))</f>
        <v/>
      </c>
      <c r="S1592" s="75" t="str">
        <f aca="false">IF(P1592="","",IFERROR(INDEX(T_INGRESO,MATCH(C1592,T_ID,0)),""))</f>
        <v/>
      </c>
      <c r="T1592" s="75" t="str">
        <f aca="false">IF(P1592="","",IFERROR(N(INDEX(T_EGRESO,MATCH(C1592,T_ID,0))),0))</f>
        <v/>
      </c>
      <c r="U1592" s="73" t="str">
        <f aca="false">IF(OR(P1592="",NOT(ISNUMBER(S1592))),"",IF(OR(S1592&gt;EOMONTH(B1592,0),AND(T1592&gt;0,T1592&lt;B1592)),0,IF(AND(S1592&lt;=B1592,OR(T1592=0,T1592&gt;=EOMONTH(B1592,0))),30,MIN(30,IF(T1592=0,EOMONTH(B1592,0),MIN(T1592,EOMONTH(B1592,0)))-MAX(B1592,S1592)+1))))</f>
        <v/>
      </c>
    </row>
    <row r="1593" customFormat="false" ht="15" hidden="false" customHeight="false" outlineLevel="0" collapsed="false">
      <c r="B1593" s="78"/>
      <c r="C1593" s="64"/>
      <c r="D1593" s="70" t="str">
        <f aca="false">IF(C1593="","",IFERROR(INDEX(T_NOMBRE,MATCH(C1593,T_ID,0)),"⚠ ID no existe"))</f>
        <v/>
      </c>
      <c r="E1593" s="69"/>
      <c r="F1593" s="69"/>
      <c r="G1593" s="69"/>
      <c r="H1593" s="69"/>
      <c r="I1593" s="66"/>
      <c r="J1593" s="69"/>
      <c r="K1593" s="67"/>
      <c r="L1593" s="67"/>
      <c r="M1593" s="67"/>
      <c r="N1593" s="67"/>
      <c r="O1593" s="64"/>
      <c r="P1593" s="72" t="str">
        <f aca="false">IF(OR(B1593="",C1593=""),"",C1593&amp;"|"&amp;(YEAR(B1593)*100+MONTH(B1593)))</f>
        <v/>
      </c>
      <c r="Q1593" s="70" t="str">
        <f aca="false">IF(P1593="","",IF(COUNTIF(N_CLAVE,P1593)&gt;1,"⚠ Duplicado","OK"))</f>
        <v/>
      </c>
      <c r="R1593" s="74" t="str">
        <f aca="false">IF(OR(P1593="",U1593=""),"",MAX(0,U1593-N(E1593)-N(F1593)-N(H1593)))</f>
        <v/>
      </c>
      <c r="S1593" s="75" t="str">
        <f aca="false">IF(P1593="","",IFERROR(INDEX(T_INGRESO,MATCH(C1593,T_ID,0)),""))</f>
        <v/>
      </c>
      <c r="T1593" s="75" t="str">
        <f aca="false">IF(P1593="","",IFERROR(N(INDEX(T_EGRESO,MATCH(C1593,T_ID,0))),0))</f>
        <v/>
      </c>
      <c r="U1593" s="73" t="str">
        <f aca="false">IF(OR(P1593="",NOT(ISNUMBER(S1593))),"",IF(OR(S1593&gt;EOMONTH(B1593,0),AND(T1593&gt;0,T1593&lt;B1593)),0,IF(AND(S1593&lt;=B1593,OR(T1593=0,T1593&gt;=EOMONTH(B1593,0))),30,MIN(30,IF(T1593=0,EOMONTH(B1593,0),MIN(T1593,EOMONTH(B1593,0)))-MAX(B1593,S1593)+1))))</f>
        <v/>
      </c>
    </row>
    <row r="1594" customFormat="false" ht="15" hidden="false" customHeight="false" outlineLevel="0" collapsed="false">
      <c r="B1594" s="78"/>
      <c r="C1594" s="64"/>
      <c r="D1594" s="70" t="str">
        <f aca="false">IF(C1594="","",IFERROR(INDEX(T_NOMBRE,MATCH(C1594,T_ID,0)),"⚠ ID no existe"))</f>
        <v/>
      </c>
      <c r="E1594" s="69"/>
      <c r="F1594" s="69"/>
      <c r="G1594" s="69"/>
      <c r="H1594" s="69"/>
      <c r="I1594" s="66"/>
      <c r="J1594" s="69"/>
      <c r="K1594" s="67"/>
      <c r="L1594" s="67"/>
      <c r="M1594" s="67"/>
      <c r="N1594" s="67"/>
      <c r="O1594" s="64"/>
      <c r="P1594" s="72" t="str">
        <f aca="false">IF(OR(B1594="",C1594=""),"",C1594&amp;"|"&amp;(YEAR(B1594)*100+MONTH(B1594)))</f>
        <v/>
      </c>
      <c r="Q1594" s="70" t="str">
        <f aca="false">IF(P1594="","",IF(COUNTIF(N_CLAVE,P1594)&gt;1,"⚠ Duplicado","OK"))</f>
        <v/>
      </c>
      <c r="R1594" s="74" t="str">
        <f aca="false">IF(OR(P1594="",U1594=""),"",MAX(0,U1594-N(E1594)-N(F1594)-N(H1594)))</f>
        <v/>
      </c>
      <c r="S1594" s="75" t="str">
        <f aca="false">IF(P1594="","",IFERROR(INDEX(T_INGRESO,MATCH(C1594,T_ID,0)),""))</f>
        <v/>
      </c>
      <c r="T1594" s="75" t="str">
        <f aca="false">IF(P1594="","",IFERROR(N(INDEX(T_EGRESO,MATCH(C1594,T_ID,0))),0))</f>
        <v/>
      </c>
      <c r="U1594" s="73" t="str">
        <f aca="false">IF(OR(P1594="",NOT(ISNUMBER(S1594))),"",IF(OR(S1594&gt;EOMONTH(B1594,0),AND(T1594&gt;0,T1594&lt;B1594)),0,IF(AND(S1594&lt;=B1594,OR(T1594=0,T1594&gt;=EOMONTH(B1594,0))),30,MIN(30,IF(T1594=0,EOMONTH(B1594,0),MIN(T1594,EOMONTH(B1594,0)))-MAX(B1594,S1594)+1))))</f>
        <v/>
      </c>
    </row>
    <row r="1595" customFormat="false" ht="15" hidden="false" customHeight="false" outlineLevel="0" collapsed="false">
      <c r="B1595" s="78"/>
      <c r="C1595" s="64"/>
      <c r="D1595" s="70" t="str">
        <f aca="false">IF(C1595="","",IFERROR(INDEX(T_NOMBRE,MATCH(C1595,T_ID,0)),"⚠ ID no existe"))</f>
        <v/>
      </c>
      <c r="E1595" s="69"/>
      <c r="F1595" s="69"/>
      <c r="G1595" s="69"/>
      <c r="H1595" s="69"/>
      <c r="I1595" s="66"/>
      <c r="J1595" s="69"/>
      <c r="K1595" s="67"/>
      <c r="L1595" s="67"/>
      <c r="M1595" s="67"/>
      <c r="N1595" s="67"/>
      <c r="O1595" s="64"/>
      <c r="P1595" s="72" t="str">
        <f aca="false">IF(OR(B1595="",C1595=""),"",C1595&amp;"|"&amp;(YEAR(B1595)*100+MONTH(B1595)))</f>
        <v/>
      </c>
      <c r="Q1595" s="70" t="str">
        <f aca="false">IF(P1595="","",IF(COUNTIF(N_CLAVE,P1595)&gt;1,"⚠ Duplicado","OK"))</f>
        <v/>
      </c>
      <c r="R1595" s="74" t="str">
        <f aca="false">IF(OR(P1595="",U1595=""),"",MAX(0,U1595-N(E1595)-N(F1595)-N(H1595)))</f>
        <v/>
      </c>
      <c r="S1595" s="75" t="str">
        <f aca="false">IF(P1595="","",IFERROR(INDEX(T_INGRESO,MATCH(C1595,T_ID,0)),""))</f>
        <v/>
      </c>
      <c r="T1595" s="75" t="str">
        <f aca="false">IF(P1595="","",IFERROR(N(INDEX(T_EGRESO,MATCH(C1595,T_ID,0))),0))</f>
        <v/>
      </c>
      <c r="U1595" s="73" t="str">
        <f aca="false">IF(OR(P1595="",NOT(ISNUMBER(S1595))),"",IF(OR(S1595&gt;EOMONTH(B1595,0),AND(T1595&gt;0,T1595&lt;B1595)),0,IF(AND(S1595&lt;=B1595,OR(T1595=0,T1595&gt;=EOMONTH(B1595,0))),30,MIN(30,IF(T1595=0,EOMONTH(B1595,0),MIN(T1595,EOMONTH(B1595,0)))-MAX(B1595,S1595)+1))))</f>
        <v/>
      </c>
    </row>
    <row r="1596" customFormat="false" ht="15" hidden="false" customHeight="false" outlineLevel="0" collapsed="false">
      <c r="B1596" s="78"/>
      <c r="C1596" s="64"/>
      <c r="D1596" s="70" t="str">
        <f aca="false">IF(C1596="","",IFERROR(INDEX(T_NOMBRE,MATCH(C1596,T_ID,0)),"⚠ ID no existe"))</f>
        <v/>
      </c>
      <c r="E1596" s="69"/>
      <c r="F1596" s="69"/>
      <c r="G1596" s="69"/>
      <c r="H1596" s="69"/>
      <c r="I1596" s="66"/>
      <c r="J1596" s="69"/>
      <c r="K1596" s="67"/>
      <c r="L1596" s="67"/>
      <c r="M1596" s="67"/>
      <c r="N1596" s="67"/>
      <c r="O1596" s="64"/>
      <c r="P1596" s="72" t="str">
        <f aca="false">IF(OR(B1596="",C1596=""),"",C1596&amp;"|"&amp;(YEAR(B1596)*100+MONTH(B1596)))</f>
        <v/>
      </c>
      <c r="Q1596" s="70" t="str">
        <f aca="false">IF(P1596="","",IF(COUNTIF(N_CLAVE,P1596)&gt;1,"⚠ Duplicado","OK"))</f>
        <v/>
      </c>
      <c r="R1596" s="74" t="str">
        <f aca="false">IF(OR(P1596="",U1596=""),"",MAX(0,U1596-N(E1596)-N(F1596)-N(H1596)))</f>
        <v/>
      </c>
      <c r="S1596" s="75" t="str">
        <f aca="false">IF(P1596="","",IFERROR(INDEX(T_INGRESO,MATCH(C1596,T_ID,0)),""))</f>
        <v/>
      </c>
      <c r="T1596" s="75" t="str">
        <f aca="false">IF(P1596="","",IFERROR(N(INDEX(T_EGRESO,MATCH(C1596,T_ID,0))),0))</f>
        <v/>
      </c>
      <c r="U1596" s="73" t="str">
        <f aca="false">IF(OR(P1596="",NOT(ISNUMBER(S1596))),"",IF(OR(S1596&gt;EOMONTH(B1596,0),AND(T1596&gt;0,T1596&lt;B1596)),0,IF(AND(S1596&lt;=B1596,OR(T1596=0,T1596&gt;=EOMONTH(B1596,0))),30,MIN(30,IF(T1596=0,EOMONTH(B1596,0),MIN(T1596,EOMONTH(B1596,0)))-MAX(B1596,S1596)+1))))</f>
        <v/>
      </c>
    </row>
    <row r="1597" customFormat="false" ht="15" hidden="false" customHeight="false" outlineLevel="0" collapsed="false">
      <c r="B1597" s="78"/>
      <c r="C1597" s="64"/>
      <c r="D1597" s="70" t="str">
        <f aca="false">IF(C1597="","",IFERROR(INDEX(T_NOMBRE,MATCH(C1597,T_ID,0)),"⚠ ID no existe"))</f>
        <v/>
      </c>
      <c r="E1597" s="69"/>
      <c r="F1597" s="69"/>
      <c r="G1597" s="69"/>
      <c r="H1597" s="69"/>
      <c r="I1597" s="66"/>
      <c r="J1597" s="69"/>
      <c r="K1597" s="67"/>
      <c r="L1597" s="67"/>
      <c r="M1597" s="67"/>
      <c r="N1597" s="67"/>
      <c r="O1597" s="64"/>
      <c r="P1597" s="72" t="str">
        <f aca="false">IF(OR(B1597="",C1597=""),"",C1597&amp;"|"&amp;(YEAR(B1597)*100+MONTH(B1597)))</f>
        <v/>
      </c>
      <c r="Q1597" s="70" t="str">
        <f aca="false">IF(P1597="","",IF(COUNTIF(N_CLAVE,P1597)&gt;1,"⚠ Duplicado","OK"))</f>
        <v/>
      </c>
      <c r="R1597" s="74" t="str">
        <f aca="false">IF(OR(P1597="",U1597=""),"",MAX(0,U1597-N(E1597)-N(F1597)-N(H1597)))</f>
        <v/>
      </c>
      <c r="S1597" s="75" t="str">
        <f aca="false">IF(P1597="","",IFERROR(INDEX(T_INGRESO,MATCH(C1597,T_ID,0)),""))</f>
        <v/>
      </c>
      <c r="T1597" s="75" t="str">
        <f aca="false">IF(P1597="","",IFERROR(N(INDEX(T_EGRESO,MATCH(C1597,T_ID,0))),0))</f>
        <v/>
      </c>
      <c r="U1597" s="73" t="str">
        <f aca="false">IF(OR(P1597="",NOT(ISNUMBER(S1597))),"",IF(OR(S1597&gt;EOMONTH(B1597,0),AND(T1597&gt;0,T1597&lt;B1597)),0,IF(AND(S1597&lt;=B1597,OR(T1597=0,T1597&gt;=EOMONTH(B1597,0))),30,MIN(30,IF(T1597=0,EOMONTH(B1597,0),MIN(T1597,EOMONTH(B1597,0)))-MAX(B1597,S1597)+1))))</f>
        <v/>
      </c>
    </row>
    <row r="1598" customFormat="false" ht="15" hidden="false" customHeight="false" outlineLevel="0" collapsed="false">
      <c r="B1598" s="78"/>
      <c r="C1598" s="64"/>
      <c r="D1598" s="70" t="str">
        <f aca="false">IF(C1598="","",IFERROR(INDEX(T_NOMBRE,MATCH(C1598,T_ID,0)),"⚠ ID no existe"))</f>
        <v/>
      </c>
      <c r="E1598" s="69"/>
      <c r="F1598" s="69"/>
      <c r="G1598" s="69"/>
      <c r="H1598" s="69"/>
      <c r="I1598" s="66"/>
      <c r="J1598" s="69"/>
      <c r="K1598" s="67"/>
      <c r="L1598" s="67"/>
      <c r="M1598" s="67"/>
      <c r="N1598" s="67"/>
      <c r="O1598" s="64"/>
      <c r="P1598" s="72" t="str">
        <f aca="false">IF(OR(B1598="",C1598=""),"",C1598&amp;"|"&amp;(YEAR(B1598)*100+MONTH(B1598)))</f>
        <v/>
      </c>
      <c r="Q1598" s="70" t="str">
        <f aca="false">IF(P1598="","",IF(COUNTIF(N_CLAVE,P1598)&gt;1,"⚠ Duplicado","OK"))</f>
        <v/>
      </c>
      <c r="R1598" s="74" t="str">
        <f aca="false">IF(OR(P1598="",U1598=""),"",MAX(0,U1598-N(E1598)-N(F1598)-N(H1598)))</f>
        <v/>
      </c>
      <c r="S1598" s="75" t="str">
        <f aca="false">IF(P1598="","",IFERROR(INDEX(T_INGRESO,MATCH(C1598,T_ID,0)),""))</f>
        <v/>
      </c>
      <c r="T1598" s="75" t="str">
        <f aca="false">IF(P1598="","",IFERROR(N(INDEX(T_EGRESO,MATCH(C1598,T_ID,0))),0))</f>
        <v/>
      </c>
      <c r="U1598" s="73" t="str">
        <f aca="false">IF(OR(P1598="",NOT(ISNUMBER(S1598))),"",IF(OR(S1598&gt;EOMONTH(B1598,0),AND(T1598&gt;0,T1598&lt;B1598)),0,IF(AND(S1598&lt;=B1598,OR(T1598=0,T1598&gt;=EOMONTH(B1598,0))),30,MIN(30,IF(T1598=0,EOMONTH(B1598,0),MIN(T1598,EOMONTH(B1598,0)))-MAX(B1598,S1598)+1))))</f>
        <v/>
      </c>
    </row>
    <row r="1599" customFormat="false" ht="15" hidden="false" customHeight="false" outlineLevel="0" collapsed="false">
      <c r="B1599" s="78"/>
      <c r="C1599" s="64"/>
      <c r="D1599" s="70" t="str">
        <f aca="false">IF(C1599="","",IFERROR(INDEX(T_NOMBRE,MATCH(C1599,T_ID,0)),"⚠ ID no existe"))</f>
        <v/>
      </c>
      <c r="E1599" s="69"/>
      <c r="F1599" s="69"/>
      <c r="G1599" s="69"/>
      <c r="H1599" s="69"/>
      <c r="I1599" s="66"/>
      <c r="J1599" s="69"/>
      <c r="K1599" s="67"/>
      <c r="L1599" s="67"/>
      <c r="M1599" s="67"/>
      <c r="N1599" s="67"/>
      <c r="O1599" s="64"/>
      <c r="P1599" s="72" t="str">
        <f aca="false">IF(OR(B1599="",C1599=""),"",C1599&amp;"|"&amp;(YEAR(B1599)*100+MONTH(B1599)))</f>
        <v/>
      </c>
      <c r="Q1599" s="70" t="str">
        <f aca="false">IF(P1599="","",IF(COUNTIF(N_CLAVE,P1599)&gt;1,"⚠ Duplicado","OK"))</f>
        <v/>
      </c>
      <c r="R1599" s="74" t="str">
        <f aca="false">IF(OR(P1599="",U1599=""),"",MAX(0,U1599-N(E1599)-N(F1599)-N(H1599)))</f>
        <v/>
      </c>
      <c r="S1599" s="75" t="str">
        <f aca="false">IF(P1599="","",IFERROR(INDEX(T_INGRESO,MATCH(C1599,T_ID,0)),""))</f>
        <v/>
      </c>
      <c r="T1599" s="75" t="str">
        <f aca="false">IF(P1599="","",IFERROR(N(INDEX(T_EGRESO,MATCH(C1599,T_ID,0))),0))</f>
        <v/>
      </c>
      <c r="U1599" s="73" t="str">
        <f aca="false">IF(OR(P1599="",NOT(ISNUMBER(S1599))),"",IF(OR(S1599&gt;EOMONTH(B1599,0),AND(T1599&gt;0,T1599&lt;B1599)),0,IF(AND(S1599&lt;=B1599,OR(T1599=0,T1599&gt;=EOMONTH(B1599,0))),30,MIN(30,IF(T1599=0,EOMONTH(B1599,0),MIN(T1599,EOMONTH(B1599,0)))-MAX(B1599,S1599)+1))))</f>
        <v/>
      </c>
    </row>
    <row r="1600" customFormat="false" ht="15" hidden="false" customHeight="false" outlineLevel="0" collapsed="false">
      <c r="B1600" s="78"/>
      <c r="C1600" s="64"/>
      <c r="D1600" s="70" t="str">
        <f aca="false">IF(C1600="","",IFERROR(INDEX(T_NOMBRE,MATCH(C1600,T_ID,0)),"⚠ ID no existe"))</f>
        <v/>
      </c>
      <c r="E1600" s="69"/>
      <c r="F1600" s="69"/>
      <c r="G1600" s="69"/>
      <c r="H1600" s="69"/>
      <c r="I1600" s="66"/>
      <c r="J1600" s="69"/>
      <c r="K1600" s="67"/>
      <c r="L1600" s="67"/>
      <c r="M1600" s="67"/>
      <c r="N1600" s="67"/>
      <c r="O1600" s="64"/>
      <c r="P1600" s="72" t="str">
        <f aca="false">IF(OR(B1600="",C1600=""),"",C1600&amp;"|"&amp;(YEAR(B1600)*100+MONTH(B1600)))</f>
        <v/>
      </c>
      <c r="Q1600" s="70" t="str">
        <f aca="false">IF(P1600="","",IF(COUNTIF(N_CLAVE,P1600)&gt;1,"⚠ Duplicado","OK"))</f>
        <v/>
      </c>
      <c r="R1600" s="74" t="str">
        <f aca="false">IF(OR(P1600="",U1600=""),"",MAX(0,U1600-N(E1600)-N(F1600)-N(H1600)))</f>
        <v/>
      </c>
      <c r="S1600" s="75" t="str">
        <f aca="false">IF(P1600="","",IFERROR(INDEX(T_INGRESO,MATCH(C1600,T_ID,0)),""))</f>
        <v/>
      </c>
      <c r="T1600" s="75" t="str">
        <f aca="false">IF(P1600="","",IFERROR(N(INDEX(T_EGRESO,MATCH(C1600,T_ID,0))),0))</f>
        <v/>
      </c>
      <c r="U1600" s="73" t="str">
        <f aca="false">IF(OR(P1600="",NOT(ISNUMBER(S1600))),"",IF(OR(S1600&gt;EOMONTH(B1600,0),AND(T1600&gt;0,T1600&lt;B1600)),0,IF(AND(S1600&lt;=B1600,OR(T1600=0,T1600&gt;=EOMONTH(B1600,0))),30,MIN(30,IF(T1600=0,EOMONTH(B1600,0),MIN(T1600,EOMONTH(B1600,0)))-MAX(B1600,S1600)+1))))</f>
        <v/>
      </c>
    </row>
    <row r="1601" customFormat="false" ht="15" hidden="false" customHeight="false" outlineLevel="0" collapsed="false">
      <c r="B1601" s="78"/>
      <c r="C1601" s="64"/>
      <c r="D1601" s="70" t="str">
        <f aca="false">IF(C1601="","",IFERROR(INDEX(T_NOMBRE,MATCH(C1601,T_ID,0)),"⚠ ID no existe"))</f>
        <v/>
      </c>
      <c r="E1601" s="69"/>
      <c r="F1601" s="69"/>
      <c r="G1601" s="69"/>
      <c r="H1601" s="69"/>
      <c r="I1601" s="66"/>
      <c r="J1601" s="69"/>
      <c r="K1601" s="67"/>
      <c r="L1601" s="67"/>
      <c r="M1601" s="67"/>
      <c r="N1601" s="67"/>
      <c r="O1601" s="64"/>
      <c r="P1601" s="72" t="str">
        <f aca="false">IF(OR(B1601="",C1601=""),"",C1601&amp;"|"&amp;(YEAR(B1601)*100+MONTH(B1601)))</f>
        <v/>
      </c>
      <c r="Q1601" s="70" t="str">
        <f aca="false">IF(P1601="","",IF(COUNTIF(N_CLAVE,P1601)&gt;1,"⚠ Duplicado","OK"))</f>
        <v/>
      </c>
      <c r="R1601" s="74" t="str">
        <f aca="false">IF(OR(P1601="",U1601=""),"",MAX(0,U1601-N(E1601)-N(F1601)-N(H1601)))</f>
        <v/>
      </c>
      <c r="S1601" s="75" t="str">
        <f aca="false">IF(P1601="","",IFERROR(INDEX(T_INGRESO,MATCH(C1601,T_ID,0)),""))</f>
        <v/>
      </c>
      <c r="T1601" s="75" t="str">
        <f aca="false">IF(P1601="","",IFERROR(N(INDEX(T_EGRESO,MATCH(C1601,T_ID,0))),0))</f>
        <v/>
      </c>
      <c r="U1601" s="73" t="str">
        <f aca="false">IF(OR(P1601="",NOT(ISNUMBER(S1601))),"",IF(OR(S1601&gt;EOMONTH(B1601,0),AND(T1601&gt;0,T1601&lt;B1601)),0,IF(AND(S1601&lt;=B1601,OR(T1601=0,T1601&gt;=EOMONTH(B1601,0))),30,MIN(30,IF(T1601=0,EOMONTH(B1601,0),MIN(T1601,EOMONTH(B1601,0)))-MAX(B1601,S1601)+1))))</f>
        <v/>
      </c>
    </row>
    <row r="1602" customFormat="false" ht="15" hidden="false" customHeight="false" outlineLevel="0" collapsed="false">
      <c r="B1602" s="78"/>
      <c r="C1602" s="64"/>
      <c r="D1602" s="70" t="str">
        <f aca="false">IF(C1602="","",IFERROR(INDEX(T_NOMBRE,MATCH(C1602,T_ID,0)),"⚠ ID no existe"))</f>
        <v/>
      </c>
      <c r="E1602" s="69"/>
      <c r="F1602" s="69"/>
      <c r="G1602" s="69"/>
      <c r="H1602" s="69"/>
      <c r="I1602" s="66"/>
      <c r="J1602" s="69"/>
      <c r="K1602" s="67"/>
      <c r="L1602" s="67"/>
      <c r="M1602" s="67"/>
      <c r="N1602" s="67"/>
      <c r="O1602" s="64"/>
      <c r="P1602" s="72" t="str">
        <f aca="false">IF(OR(B1602="",C1602=""),"",C1602&amp;"|"&amp;(YEAR(B1602)*100+MONTH(B1602)))</f>
        <v/>
      </c>
      <c r="Q1602" s="70" t="str">
        <f aca="false">IF(P1602="","",IF(COUNTIF(N_CLAVE,P1602)&gt;1,"⚠ Duplicado","OK"))</f>
        <v/>
      </c>
      <c r="R1602" s="74" t="str">
        <f aca="false">IF(OR(P1602="",U1602=""),"",MAX(0,U1602-N(E1602)-N(F1602)-N(H1602)))</f>
        <v/>
      </c>
      <c r="S1602" s="75" t="str">
        <f aca="false">IF(P1602="","",IFERROR(INDEX(T_INGRESO,MATCH(C1602,T_ID,0)),""))</f>
        <v/>
      </c>
      <c r="T1602" s="75" t="str">
        <f aca="false">IF(P1602="","",IFERROR(N(INDEX(T_EGRESO,MATCH(C1602,T_ID,0))),0))</f>
        <v/>
      </c>
      <c r="U1602" s="73" t="str">
        <f aca="false">IF(OR(P1602="",NOT(ISNUMBER(S1602))),"",IF(OR(S1602&gt;EOMONTH(B1602,0),AND(T1602&gt;0,T1602&lt;B1602)),0,IF(AND(S1602&lt;=B1602,OR(T1602=0,T1602&gt;=EOMONTH(B1602,0))),30,MIN(30,IF(T1602=0,EOMONTH(B1602,0),MIN(T1602,EOMONTH(B1602,0)))-MAX(B1602,S1602)+1))))</f>
        <v/>
      </c>
    </row>
    <row r="1603" customFormat="false" ht="15" hidden="false" customHeight="false" outlineLevel="0" collapsed="false">
      <c r="B1603" s="78"/>
      <c r="C1603" s="64"/>
      <c r="D1603" s="70" t="str">
        <f aca="false">IF(C1603="","",IFERROR(INDEX(T_NOMBRE,MATCH(C1603,T_ID,0)),"⚠ ID no existe"))</f>
        <v/>
      </c>
      <c r="E1603" s="69"/>
      <c r="F1603" s="69"/>
      <c r="G1603" s="69"/>
      <c r="H1603" s="69"/>
      <c r="I1603" s="66"/>
      <c r="J1603" s="69"/>
      <c r="K1603" s="67"/>
      <c r="L1603" s="67"/>
      <c r="M1603" s="67"/>
      <c r="N1603" s="67"/>
      <c r="O1603" s="64"/>
      <c r="P1603" s="72" t="str">
        <f aca="false">IF(OR(B1603="",C1603=""),"",C1603&amp;"|"&amp;(YEAR(B1603)*100+MONTH(B1603)))</f>
        <v/>
      </c>
      <c r="Q1603" s="70" t="str">
        <f aca="false">IF(P1603="","",IF(COUNTIF(N_CLAVE,P1603)&gt;1,"⚠ Duplicado","OK"))</f>
        <v/>
      </c>
      <c r="R1603" s="74" t="str">
        <f aca="false">IF(OR(P1603="",U1603=""),"",MAX(0,U1603-N(E1603)-N(F1603)-N(H1603)))</f>
        <v/>
      </c>
      <c r="S1603" s="75" t="str">
        <f aca="false">IF(P1603="","",IFERROR(INDEX(T_INGRESO,MATCH(C1603,T_ID,0)),""))</f>
        <v/>
      </c>
      <c r="T1603" s="75" t="str">
        <f aca="false">IF(P1603="","",IFERROR(N(INDEX(T_EGRESO,MATCH(C1603,T_ID,0))),0))</f>
        <v/>
      </c>
      <c r="U1603" s="73" t="str">
        <f aca="false">IF(OR(P1603="",NOT(ISNUMBER(S1603))),"",IF(OR(S1603&gt;EOMONTH(B1603,0),AND(T1603&gt;0,T1603&lt;B1603)),0,IF(AND(S1603&lt;=B1603,OR(T1603=0,T1603&gt;=EOMONTH(B1603,0))),30,MIN(30,IF(T1603=0,EOMONTH(B1603,0),MIN(T1603,EOMONTH(B1603,0)))-MAX(B1603,S1603)+1))))</f>
        <v/>
      </c>
    </row>
    <row r="1604" customFormat="false" ht="15" hidden="false" customHeight="false" outlineLevel="0" collapsed="false">
      <c r="B1604" s="78"/>
      <c r="C1604" s="64"/>
      <c r="D1604" s="70" t="str">
        <f aca="false">IF(C1604="","",IFERROR(INDEX(T_NOMBRE,MATCH(C1604,T_ID,0)),"⚠ ID no existe"))</f>
        <v/>
      </c>
      <c r="E1604" s="69"/>
      <c r="F1604" s="69"/>
      <c r="G1604" s="69"/>
      <c r="H1604" s="69"/>
      <c r="I1604" s="66"/>
      <c r="J1604" s="69"/>
      <c r="K1604" s="67"/>
      <c r="L1604" s="67"/>
      <c r="M1604" s="67"/>
      <c r="N1604" s="67"/>
      <c r="O1604" s="64"/>
      <c r="P1604" s="72" t="str">
        <f aca="false">IF(OR(B1604="",C1604=""),"",C1604&amp;"|"&amp;(YEAR(B1604)*100+MONTH(B1604)))</f>
        <v/>
      </c>
      <c r="Q1604" s="70" t="str">
        <f aca="false">IF(P1604="","",IF(COUNTIF(N_CLAVE,P1604)&gt;1,"⚠ Duplicado","OK"))</f>
        <v/>
      </c>
      <c r="R1604" s="74" t="str">
        <f aca="false">IF(OR(P1604="",U1604=""),"",MAX(0,U1604-N(E1604)-N(F1604)-N(H1604)))</f>
        <v/>
      </c>
      <c r="S1604" s="75" t="str">
        <f aca="false">IF(P1604="","",IFERROR(INDEX(T_INGRESO,MATCH(C1604,T_ID,0)),""))</f>
        <v/>
      </c>
      <c r="T1604" s="75" t="str">
        <f aca="false">IF(P1604="","",IFERROR(N(INDEX(T_EGRESO,MATCH(C1604,T_ID,0))),0))</f>
        <v/>
      </c>
      <c r="U1604" s="73" t="str">
        <f aca="false">IF(OR(P1604="",NOT(ISNUMBER(S1604))),"",IF(OR(S1604&gt;EOMONTH(B1604,0),AND(T1604&gt;0,T1604&lt;B1604)),0,IF(AND(S1604&lt;=B1604,OR(T1604=0,T1604&gt;=EOMONTH(B1604,0))),30,MIN(30,IF(T1604=0,EOMONTH(B1604,0),MIN(T1604,EOMONTH(B1604,0)))-MAX(B1604,S1604)+1))))</f>
        <v/>
      </c>
    </row>
    <row r="1605" customFormat="false" ht="15" hidden="false" customHeight="false" outlineLevel="0" collapsed="false">
      <c r="B1605" s="78"/>
      <c r="C1605" s="64"/>
      <c r="D1605" s="70" t="str">
        <f aca="false">IF(C1605="","",IFERROR(INDEX(T_NOMBRE,MATCH(C1605,T_ID,0)),"⚠ ID no existe"))</f>
        <v/>
      </c>
      <c r="E1605" s="69"/>
      <c r="F1605" s="69"/>
      <c r="G1605" s="69"/>
      <c r="H1605" s="69"/>
      <c r="I1605" s="66"/>
      <c r="J1605" s="69"/>
      <c r="K1605" s="67"/>
      <c r="L1605" s="67"/>
      <c r="M1605" s="67"/>
      <c r="N1605" s="67"/>
      <c r="O1605" s="64"/>
      <c r="P1605" s="72" t="str">
        <f aca="false">IF(OR(B1605="",C1605=""),"",C1605&amp;"|"&amp;(YEAR(B1605)*100+MONTH(B1605)))</f>
        <v/>
      </c>
      <c r="Q1605" s="70" t="str">
        <f aca="false">IF(P1605="","",IF(COUNTIF(N_CLAVE,P1605)&gt;1,"⚠ Duplicado","OK"))</f>
        <v/>
      </c>
      <c r="R1605" s="74" t="str">
        <f aca="false">IF(OR(P1605="",U1605=""),"",MAX(0,U1605-N(E1605)-N(F1605)-N(H1605)))</f>
        <v/>
      </c>
      <c r="S1605" s="75" t="str">
        <f aca="false">IF(P1605="","",IFERROR(INDEX(T_INGRESO,MATCH(C1605,T_ID,0)),""))</f>
        <v/>
      </c>
      <c r="T1605" s="75" t="str">
        <f aca="false">IF(P1605="","",IFERROR(N(INDEX(T_EGRESO,MATCH(C1605,T_ID,0))),0))</f>
        <v/>
      </c>
      <c r="U1605" s="73" t="str">
        <f aca="false">IF(OR(P1605="",NOT(ISNUMBER(S1605))),"",IF(OR(S1605&gt;EOMONTH(B1605,0),AND(T1605&gt;0,T1605&lt;B1605)),0,IF(AND(S1605&lt;=B1605,OR(T1605=0,T1605&gt;=EOMONTH(B1605,0))),30,MIN(30,IF(T1605=0,EOMONTH(B1605,0),MIN(T1605,EOMONTH(B1605,0)))-MAX(B1605,S1605)+1))))</f>
        <v/>
      </c>
    </row>
    <row r="1606" customFormat="false" ht="15" hidden="false" customHeight="false" outlineLevel="0" collapsed="false">
      <c r="B1606" s="78"/>
      <c r="C1606" s="64"/>
      <c r="D1606" s="70" t="str">
        <f aca="false">IF(C1606="","",IFERROR(INDEX(T_NOMBRE,MATCH(C1606,T_ID,0)),"⚠ ID no existe"))</f>
        <v/>
      </c>
      <c r="E1606" s="69"/>
      <c r="F1606" s="69"/>
      <c r="G1606" s="69"/>
      <c r="H1606" s="69"/>
      <c r="I1606" s="66"/>
      <c r="J1606" s="69"/>
      <c r="K1606" s="67"/>
      <c r="L1606" s="67"/>
      <c r="M1606" s="67"/>
      <c r="N1606" s="67"/>
      <c r="O1606" s="64"/>
      <c r="P1606" s="72" t="str">
        <f aca="false">IF(OR(B1606="",C1606=""),"",C1606&amp;"|"&amp;(YEAR(B1606)*100+MONTH(B1606)))</f>
        <v/>
      </c>
      <c r="Q1606" s="70" t="str">
        <f aca="false">IF(P1606="","",IF(COUNTIF(N_CLAVE,P1606)&gt;1,"⚠ Duplicado","OK"))</f>
        <v/>
      </c>
      <c r="R1606" s="74" t="str">
        <f aca="false">IF(OR(P1606="",U1606=""),"",MAX(0,U1606-N(E1606)-N(F1606)-N(H1606)))</f>
        <v/>
      </c>
      <c r="S1606" s="75" t="str">
        <f aca="false">IF(P1606="","",IFERROR(INDEX(T_INGRESO,MATCH(C1606,T_ID,0)),""))</f>
        <v/>
      </c>
      <c r="T1606" s="75" t="str">
        <f aca="false">IF(P1606="","",IFERROR(N(INDEX(T_EGRESO,MATCH(C1606,T_ID,0))),0))</f>
        <v/>
      </c>
      <c r="U1606" s="73" t="str">
        <f aca="false">IF(OR(P1606="",NOT(ISNUMBER(S1606))),"",IF(OR(S1606&gt;EOMONTH(B1606,0),AND(T1606&gt;0,T1606&lt;B1606)),0,IF(AND(S1606&lt;=B1606,OR(T1606=0,T1606&gt;=EOMONTH(B1606,0))),30,MIN(30,IF(T1606=0,EOMONTH(B1606,0),MIN(T1606,EOMONTH(B1606,0)))-MAX(B1606,S1606)+1))))</f>
        <v/>
      </c>
    </row>
    <row r="1607" customFormat="false" ht="15" hidden="false" customHeight="false" outlineLevel="0" collapsed="false">
      <c r="B1607" s="78"/>
      <c r="C1607" s="64"/>
      <c r="D1607" s="70" t="str">
        <f aca="false">IF(C1607="","",IFERROR(INDEX(T_NOMBRE,MATCH(C1607,T_ID,0)),"⚠ ID no existe"))</f>
        <v/>
      </c>
      <c r="E1607" s="69"/>
      <c r="F1607" s="69"/>
      <c r="G1607" s="69"/>
      <c r="H1607" s="69"/>
      <c r="I1607" s="66"/>
      <c r="J1607" s="69"/>
      <c r="K1607" s="67"/>
      <c r="L1607" s="67"/>
      <c r="M1607" s="67"/>
      <c r="N1607" s="67"/>
      <c r="O1607" s="64"/>
      <c r="P1607" s="72" t="str">
        <f aca="false">IF(OR(B1607="",C1607=""),"",C1607&amp;"|"&amp;(YEAR(B1607)*100+MONTH(B1607)))</f>
        <v/>
      </c>
      <c r="Q1607" s="70" t="str">
        <f aca="false">IF(P1607="","",IF(COUNTIF(N_CLAVE,P1607)&gt;1,"⚠ Duplicado","OK"))</f>
        <v/>
      </c>
      <c r="R1607" s="74" t="str">
        <f aca="false">IF(OR(P1607="",U1607=""),"",MAX(0,U1607-N(E1607)-N(F1607)-N(H1607)))</f>
        <v/>
      </c>
      <c r="S1607" s="75" t="str">
        <f aca="false">IF(P1607="","",IFERROR(INDEX(T_INGRESO,MATCH(C1607,T_ID,0)),""))</f>
        <v/>
      </c>
      <c r="T1607" s="75" t="str">
        <f aca="false">IF(P1607="","",IFERROR(N(INDEX(T_EGRESO,MATCH(C1607,T_ID,0))),0))</f>
        <v/>
      </c>
      <c r="U1607" s="73" t="str">
        <f aca="false">IF(OR(P1607="",NOT(ISNUMBER(S1607))),"",IF(OR(S1607&gt;EOMONTH(B1607,0),AND(T1607&gt;0,T1607&lt;B1607)),0,IF(AND(S1607&lt;=B1607,OR(T1607=0,T1607&gt;=EOMONTH(B1607,0))),30,MIN(30,IF(T1607=0,EOMONTH(B1607,0),MIN(T1607,EOMONTH(B1607,0)))-MAX(B1607,S1607)+1))))</f>
        <v/>
      </c>
    </row>
    <row r="1608" customFormat="false" ht="15" hidden="false" customHeight="false" outlineLevel="0" collapsed="false">
      <c r="B1608" s="78"/>
      <c r="C1608" s="64"/>
      <c r="D1608" s="70" t="str">
        <f aca="false">IF(C1608="","",IFERROR(INDEX(T_NOMBRE,MATCH(C1608,T_ID,0)),"⚠ ID no existe"))</f>
        <v/>
      </c>
      <c r="E1608" s="69"/>
      <c r="F1608" s="69"/>
      <c r="G1608" s="69"/>
      <c r="H1608" s="69"/>
      <c r="I1608" s="66"/>
      <c r="J1608" s="69"/>
      <c r="K1608" s="67"/>
      <c r="L1608" s="67"/>
      <c r="M1608" s="67"/>
      <c r="N1608" s="67"/>
      <c r="O1608" s="64"/>
      <c r="P1608" s="72" t="str">
        <f aca="false">IF(OR(B1608="",C1608=""),"",C1608&amp;"|"&amp;(YEAR(B1608)*100+MONTH(B1608)))</f>
        <v/>
      </c>
      <c r="Q1608" s="70" t="str">
        <f aca="false">IF(P1608="","",IF(COUNTIF(N_CLAVE,P1608)&gt;1,"⚠ Duplicado","OK"))</f>
        <v/>
      </c>
      <c r="R1608" s="74" t="str">
        <f aca="false">IF(OR(P1608="",U1608=""),"",MAX(0,U1608-N(E1608)-N(F1608)-N(H1608)))</f>
        <v/>
      </c>
      <c r="S1608" s="75" t="str">
        <f aca="false">IF(P1608="","",IFERROR(INDEX(T_INGRESO,MATCH(C1608,T_ID,0)),""))</f>
        <v/>
      </c>
      <c r="T1608" s="75" t="str">
        <f aca="false">IF(P1608="","",IFERROR(N(INDEX(T_EGRESO,MATCH(C1608,T_ID,0))),0))</f>
        <v/>
      </c>
      <c r="U1608" s="73" t="str">
        <f aca="false">IF(OR(P1608="",NOT(ISNUMBER(S1608))),"",IF(OR(S1608&gt;EOMONTH(B1608,0),AND(T1608&gt;0,T1608&lt;B1608)),0,IF(AND(S1608&lt;=B1608,OR(T1608=0,T1608&gt;=EOMONTH(B1608,0))),30,MIN(30,IF(T1608=0,EOMONTH(B1608,0),MIN(T1608,EOMONTH(B1608,0)))-MAX(B1608,S1608)+1))))</f>
        <v/>
      </c>
    </row>
    <row r="1609" customFormat="false" ht="15" hidden="false" customHeight="false" outlineLevel="0" collapsed="false">
      <c r="B1609" s="78"/>
      <c r="C1609" s="64"/>
      <c r="D1609" s="70" t="str">
        <f aca="false">IF(C1609="","",IFERROR(INDEX(T_NOMBRE,MATCH(C1609,T_ID,0)),"⚠ ID no existe"))</f>
        <v/>
      </c>
      <c r="E1609" s="69"/>
      <c r="F1609" s="69"/>
      <c r="G1609" s="69"/>
      <c r="H1609" s="69"/>
      <c r="I1609" s="66"/>
      <c r="J1609" s="69"/>
      <c r="K1609" s="67"/>
      <c r="L1609" s="67"/>
      <c r="M1609" s="67"/>
      <c r="N1609" s="67"/>
      <c r="O1609" s="64"/>
      <c r="P1609" s="72" t="str">
        <f aca="false">IF(OR(B1609="",C1609=""),"",C1609&amp;"|"&amp;(YEAR(B1609)*100+MONTH(B1609)))</f>
        <v/>
      </c>
      <c r="Q1609" s="70" t="str">
        <f aca="false">IF(P1609="","",IF(COUNTIF(N_CLAVE,P1609)&gt;1,"⚠ Duplicado","OK"))</f>
        <v/>
      </c>
      <c r="R1609" s="74" t="str">
        <f aca="false">IF(OR(P1609="",U1609=""),"",MAX(0,U1609-N(E1609)-N(F1609)-N(H1609)))</f>
        <v/>
      </c>
      <c r="S1609" s="75" t="str">
        <f aca="false">IF(P1609="","",IFERROR(INDEX(T_INGRESO,MATCH(C1609,T_ID,0)),""))</f>
        <v/>
      </c>
      <c r="T1609" s="75" t="str">
        <f aca="false">IF(P1609="","",IFERROR(N(INDEX(T_EGRESO,MATCH(C1609,T_ID,0))),0))</f>
        <v/>
      </c>
      <c r="U1609" s="73" t="str">
        <f aca="false">IF(OR(P1609="",NOT(ISNUMBER(S1609))),"",IF(OR(S1609&gt;EOMONTH(B1609,0),AND(T1609&gt;0,T1609&lt;B1609)),0,IF(AND(S1609&lt;=B1609,OR(T1609=0,T1609&gt;=EOMONTH(B1609,0))),30,MIN(30,IF(T1609=0,EOMONTH(B1609,0),MIN(T1609,EOMONTH(B1609,0)))-MAX(B1609,S1609)+1))))</f>
        <v/>
      </c>
    </row>
    <row r="1610" customFormat="false" ht="15" hidden="false" customHeight="false" outlineLevel="0" collapsed="false">
      <c r="B1610" s="78"/>
      <c r="C1610" s="64"/>
      <c r="D1610" s="70" t="str">
        <f aca="false">IF(C1610="","",IFERROR(INDEX(T_NOMBRE,MATCH(C1610,T_ID,0)),"⚠ ID no existe"))</f>
        <v/>
      </c>
      <c r="E1610" s="69"/>
      <c r="F1610" s="69"/>
      <c r="G1610" s="69"/>
      <c r="H1610" s="69"/>
      <c r="I1610" s="66"/>
      <c r="J1610" s="69"/>
      <c r="K1610" s="67"/>
      <c r="L1610" s="67"/>
      <c r="M1610" s="67"/>
      <c r="N1610" s="67"/>
      <c r="O1610" s="64"/>
      <c r="P1610" s="72" t="str">
        <f aca="false">IF(OR(B1610="",C1610=""),"",C1610&amp;"|"&amp;(YEAR(B1610)*100+MONTH(B1610)))</f>
        <v/>
      </c>
      <c r="Q1610" s="70" t="str">
        <f aca="false">IF(P1610="","",IF(COUNTIF(N_CLAVE,P1610)&gt;1,"⚠ Duplicado","OK"))</f>
        <v/>
      </c>
      <c r="R1610" s="74" t="str">
        <f aca="false">IF(OR(P1610="",U1610=""),"",MAX(0,U1610-N(E1610)-N(F1610)-N(H1610)))</f>
        <v/>
      </c>
      <c r="S1610" s="75" t="str">
        <f aca="false">IF(P1610="","",IFERROR(INDEX(T_INGRESO,MATCH(C1610,T_ID,0)),""))</f>
        <v/>
      </c>
      <c r="T1610" s="75" t="str">
        <f aca="false">IF(P1610="","",IFERROR(N(INDEX(T_EGRESO,MATCH(C1610,T_ID,0))),0))</f>
        <v/>
      </c>
      <c r="U1610" s="73" t="str">
        <f aca="false">IF(OR(P1610="",NOT(ISNUMBER(S1610))),"",IF(OR(S1610&gt;EOMONTH(B1610,0),AND(T1610&gt;0,T1610&lt;B1610)),0,IF(AND(S1610&lt;=B1610,OR(T1610=0,T1610&gt;=EOMONTH(B1610,0))),30,MIN(30,IF(T1610=0,EOMONTH(B1610,0),MIN(T1610,EOMONTH(B1610,0)))-MAX(B1610,S1610)+1))))</f>
        <v/>
      </c>
    </row>
    <row r="1611" customFormat="false" ht="15" hidden="false" customHeight="false" outlineLevel="0" collapsed="false">
      <c r="B1611" s="78"/>
      <c r="C1611" s="64"/>
      <c r="D1611" s="70" t="str">
        <f aca="false">IF(C1611="","",IFERROR(INDEX(T_NOMBRE,MATCH(C1611,T_ID,0)),"⚠ ID no existe"))</f>
        <v/>
      </c>
      <c r="E1611" s="69"/>
      <c r="F1611" s="69"/>
      <c r="G1611" s="69"/>
      <c r="H1611" s="69"/>
      <c r="I1611" s="66"/>
      <c r="J1611" s="69"/>
      <c r="K1611" s="67"/>
      <c r="L1611" s="67"/>
      <c r="M1611" s="67"/>
      <c r="N1611" s="67"/>
      <c r="O1611" s="64"/>
      <c r="P1611" s="72" t="str">
        <f aca="false">IF(OR(B1611="",C1611=""),"",C1611&amp;"|"&amp;(YEAR(B1611)*100+MONTH(B1611)))</f>
        <v/>
      </c>
      <c r="Q1611" s="70" t="str">
        <f aca="false">IF(P1611="","",IF(COUNTIF(N_CLAVE,P1611)&gt;1,"⚠ Duplicado","OK"))</f>
        <v/>
      </c>
      <c r="R1611" s="74" t="str">
        <f aca="false">IF(OR(P1611="",U1611=""),"",MAX(0,U1611-N(E1611)-N(F1611)-N(H1611)))</f>
        <v/>
      </c>
      <c r="S1611" s="75" t="str">
        <f aca="false">IF(P1611="","",IFERROR(INDEX(T_INGRESO,MATCH(C1611,T_ID,0)),""))</f>
        <v/>
      </c>
      <c r="T1611" s="75" t="str">
        <f aca="false">IF(P1611="","",IFERROR(N(INDEX(T_EGRESO,MATCH(C1611,T_ID,0))),0))</f>
        <v/>
      </c>
      <c r="U1611" s="73" t="str">
        <f aca="false">IF(OR(P1611="",NOT(ISNUMBER(S1611))),"",IF(OR(S1611&gt;EOMONTH(B1611,0),AND(T1611&gt;0,T1611&lt;B1611)),0,IF(AND(S1611&lt;=B1611,OR(T1611=0,T1611&gt;=EOMONTH(B1611,0))),30,MIN(30,IF(T1611=0,EOMONTH(B1611,0),MIN(T1611,EOMONTH(B1611,0)))-MAX(B1611,S1611)+1))))</f>
        <v/>
      </c>
    </row>
    <row r="1612" customFormat="false" ht="15" hidden="false" customHeight="false" outlineLevel="0" collapsed="false">
      <c r="B1612" s="78"/>
      <c r="C1612" s="64"/>
      <c r="D1612" s="70" t="str">
        <f aca="false">IF(C1612="","",IFERROR(INDEX(T_NOMBRE,MATCH(C1612,T_ID,0)),"⚠ ID no existe"))</f>
        <v/>
      </c>
      <c r="E1612" s="69"/>
      <c r="F1612" s="69"/>
      <c r="G1612" s="69"/>
      <c r="H1612" s="69"/>
      <c r="I1612" s="66"/>
      <c r="J1612" s="69"/>
      <c r="K1612" s="67"/>
      <c r="L1612" s="67"/>
      <c r="M1612" s="67"/>
      <c r="N1612" s="67"/>
      <c r="O1612" s="64"/>
      <c r="P1612" s="72" t="str">
        <f aca="false">IF(OR(B1612="",C1612=""),"",C1612&amp;"|"&amp;(YEAR(B1612)*100+MONTH(B1612)))</f>
        <v/>
      </c>
      <c r="Q1612" s="70" t="str">
        <f aca="false">IF(P1612="","",IF(COUNTIF(N_CLAVE,P1612)&gt;1,"⚠ Duplicado","OK"))</f>
        <v/>
      </c>
      <c r="R1612" s="74" t="str">
        <f aca="false">IF(OR(P1612="",U1612=""),"",MAX(0,U1612-N(E1612)-N(F1612)-N(H1612)))</f>
        <v/>
      </c>
      <c r="S1612" s="75" t="str">
        <f aca="false">IF(P1612="","",IFERROR(INDEX(T_INGRESO,MATCH(C1612,T_ID,0)),""))</f>
        <v/>
      </c>
      <c r="T1612" s="75" t="str">
        <f aca="false">IF(P1612="","",IFERROR(N(INDEX(T_EGRESO,MATCH(C1612,T_ID,0))),0))</f>
        <v/>
      </c>
      <c r="U1612" s="73" t="str">
        <f aca="false">IF(OR(P1612="",NOT(ISNUMBER(S1612))),"",IF(OR(S1612&gt;EOMONTH(B1612,0),AND(T1612&gt;0,T1612&lt;B1612)),0,IF(AND(S1612&lt;=B1612,OR(T1612=0,T1612&gt;=EOMONTH(B1612,0))),30,MIN(30,IF(T1612=0,EOMONTH(B1612,0),MIN(T1612,EOMONTH(B1612,0)))-MAX(B1612,S1612)+1))))</f>
        <v/>
      </c>
    </row>
    <row r="1613" customFormat="false" ht="15" hidden="false" customHeight="false" outlineLevel="0" collapsed="false">
      <c r="B1613" s="78"/>
      <c r="C1613" s="64"/>
      <c r="D1613" s="70" t="str">
        <f aca="false">IF(C1613="","",IFERROR(INDEX(T_NOMBRE,MATCH(C1613,T_ID,0)),"⚠ ID no existe"))</f>
        <v/>
      </c>
      <c r="E1613" s="69"/>
      <c r="F1613" s="69"/>
      <c r="G1613" s="69"/>
      <c r="H1613" s="69"/>
      <c r="I1613" s="66"/>
      <c r="J1613" s="69"/>
      <c r="K1613" s="67"/>
      <c r="L1613" s="67"/>
      <c r="M1613" s="67"/>
      <c r="N1613" s="67"/>
      <c r="O1613" s="64"/>
      <c r="P1613" s="72" t="str">
        <f aca="false">IF(OR(B1613="",C1613=""),"",C1613&amp;"|"&amp;(YEAR(B1613)*100+MONTH(B1613)))</f>
        <v/>
      </c>
      <c r="Q1613" s="70" t="str">
        <f aca="false">IF(P1613="","",IF(COUNTIF(N_CLAVE,P1613)&gt;1,"⚠ Duplicado","OK"))</f>
        <v/>
      </c>
      <c r="R1613" s="74" t="str">
        <f aca="false">IF(OR(P1613="",U1613=""),"",MAX(0,U1613-N(E1613)-N(F1613)-N(H1613)))</f>
        <v/>
      </c>
      <c r="S1613" s="75" t="str">
        <f aca="false">IF(P1613="","",IFERROR(INDEX(T_INGRESO,MATCH(C1613,T_ID,0)),""))</f>
        <v/>
      </c>
      <c r="T1613" s="75" t="str">
        <f aca="false">IF(P1613="","",IFERROR(N(INDEX(T_EGRESO,MATCH(C1613,T_ID,0))),0))</f>
        <v/>
      </c>
      <c r="U1613" s="73" t="str">
        <f aca="false">IF(OR(P1613="",NOT(ISNUMBER(S1613))),"",IF(OR(S1613&gt;EOMONTH(B1613,0),AND(T1613&gt;0,T1613&lt;B1613)),0,IF(AND(S1613&lt;=B1613,OR(T1613=0,T1613&gt;=EOMONTH(B1613,0))),30,MIN(30,IF(T1613=0,EOMONTH(B1613,0),MIN(T1613,EOMONTH(B1613,0)))-MAX(B1613,S1613)+1))))</f>
        <v/>
      </c>
    </row>
    <row r="1614" customFormat="false" ht="15" hidden="false" customHeight="false" outlineLevel="0" collapsed="false">
      <c r="B1614" s="78"/>
      <c r="C1614" s="64"/>
      <c r="D1614" s="70" t="str">
        <f aca="false">IF(C1614="","",IFERROR(INDEX(T_NOMBRE,MATCH(C1614,T_ID,0)),"⚠ ID no existe"))</f>
        <v/>
      </c>
      <c r="E1614" s="69"/>
      <c r="F1614" s="69"/>
      <c r="G1614" s="69"/>
      <c r="H1614" s="69"/>
      <c r="I1614" s="66"/>
      <c r="J1614" s="69"/>
      <c r="K1614" s="67"/>
      <c r="L1614" s="67"/>
      <c r="M1614" s="67"/>
      <c r="N1614" s="67"/>
      <c r="O1614" s="64"/>
      <c r="P1614" s="72" t="str">
        <f aca="false">IF(OR(B1614="",C1614=""),"",C1614&amp;"|"&amp;(YEAR(B1614)*100+MONTH(B1614)))</f>
        <v/>
      </c>
      <c r="Q1614" s="70" t="str">
        <f aca="false">IF(P1614="","",IF(COUNTIF(N_CLAVE,P1614)&gt;1,"⚠ Duplicado","OK"))</f>
        <v/>
      </c>
      <c r="R1614" s="74" t="str">
        <f aca="false">IF(OR(P1614="",U1614=""),"",MAX(0,U1614-N(E1614)-N(F1614)-N(H1614)))</f>
        <v/>
      </c>
      <c r="S1614" s="75" t="str">
        <f aca="false">IF(P1614="","",IFERROR(INDEX(T_INGRESO,MATCH(C1614,T_ID,0)),""))</f>
        <v/>
      </c>
      <c r="T1614" s="75" t="str">
        <f aca="false">IF(P1614="","",IFERROR(N(INDEX(T_EGRESO,MATCH(C1614,T_ID,0))),0))</f>
        <v/>
      </c>
      <c r="U1614" s="73" t="str">
        <f aca="false">IF(OR(P1614="",NOT(ISNUMBER(S1614))),"",IF(OR(S1614&gt;EOMONTH(B1614,0),AND(T1614&gt;0,T1614&lt;B1614)),0,IF(AND(S1614&lt;=B1614,OR(T1614=0,T1614&gt;=EOMONTH(B1614,0))),30,MIN(30,IF(T1614=0,EOMONTH(B1614,0),MIN(T1614,EOMONTH(B1614,0)))-MAX(B1614,S1614)+1))))</f>
        <v/>
      </c>
    </row>
    <row r="1615" customFormat="false" ht="15" hidden="false" customHeight="false" outlineLevel="0" collapsed="false">
      <c r="B1615" s="78"/>
      <c r="C1615" s="64"/>
      <c r="D1615" s="70" t="str">
        <f aca="false">IF(C1615="","",IFERROR(INDEX(T_NOMBRE,MATCH(C1615,T_ID,0)),"⚠ ID no existe"))</f>
        <v/>
      </c>
      <c r="E1615" s="69"/>
      <c r="F1615" s="69"/>
      <c r="G1615" s="69"/>
      <c r="H1615" s="69"/>
      <c r="I1615" s="66"/>
      <c r="J1615" s="69"/>
      <c r="K1615" s="67"/>
      <c r="L1615" s="67"/>
      <c r="M1615" s="67"/>
      <c r="N1615" s="67"/>
      <c r="O1615" s="64"/>
      <c r="P1615" s="72" t="str">
        <f aca="false">IF(OR(B1615="",C1615=""),"",C1615&amp;"|"&amp;(YEAR(B1615)*100+MONTH(B1615)))</f>
        <v/>
      </c>
      <c r="Q1615" s="70" t="str">
        <f aca="false">IF(P1615="","",IF(COUNTIF(N_CLAVE,P1615)&gt;1,"⚠ Duplicado","OK"))</f>
        <v/>
      </c>
      <c r="R1615" s="74" t="str">
        <f aca="false">IF(OR(P1615="",U1615=""),"",MAX(0,U1615-N(E1615)-N(F1615)-N(H1615)))</f>
        <v/>
      </c>
      <c r="S1615" s="75" t="str">
        <f aca="false">IF(P1615="","",IFERROR(INDEX(T_INGRESO,MATCH(C1615,T_ID,0)),""))</f>
        <v/>
      </c>
      <c r="T1615" s="75" t="str">
        <f aca="false">IF(P1615="","",IFERROR(N(INDEX(T_EGRESO,MATCH(C1615,T_ID,0))),0))</f>
        <v/>
      </c>
      <c r="U1615" s="73" t="str">
        <f aca="false">IF(OR(P1615="",NOT(ISNUMBER(S1615))),"",IF(OR(S1615&gt;EOMONTH(B1615,0),AND(T1615&gt;0,T1615&lt;B1615)),0,IF(AND(S1615&lt;=B1615,OR(T1615=0,T1615&gt;=EOMONTH(B1615,0))),30,MIN(30,IF(T1615=0,EOMONTH(B1615,0),MIN(T1615,EOMONTH(B1615,0)))-MAX(B1615,S1615)+1))))</f>
        <v/>
      </c>
    </row>
    <row r="1616" customFormat="false" ht="15" hidden="false" customHeight="false" outlineLevel="0" collapsed="false">
      <c r="B1616" s="78"/>
      <c r="C1616" s="64"/>
      <c r="D1616" s="70" t="str">
        <f aca="false">IF(C1616="","",IFERROR(INDEX(T_NOMBRE,MATCH(C1616,T_ID,0)),"⚠ ID no existe"))</f>
        <v/>
      </c>
      <c r="E1616" s="69"/>
      <c r="F1616" s="69"/>
      <c r="G1616" s="69"/>
      <c r="H1616" s="69"/>
      <c r="I1616" s="66"/>
      <c r="J1616" s="69"/>
      <c r="K1616" s="67"/>
      <c r="L1616" s="67"/>
      <c r="M1616" s="67"/>
      <c r="N1616" s="67"/>
      <c r="O1616" s="64"/>
      <c r="P1616" s="72" t="str">
        <f aca="false">IF(OR(B1616="",C1616=""),"",C1616&amp;"|"&amp;(YEAR(B1616)*100+MONTH(B1616)))</f>
        <v/>
      </c>
      <c r="Q1616" s="70" t="str">
        <f aca="false">IF(P1616="","",IF(COUNTIF(N_CLAVE,P1616)&gt;1,"⚠ Duplicado","OK"))</f>
        <v/>
      </c>
      <c r="R1616" s="74" t="str">
        <f aca="false">IF(OR(P1616="",U1616=""),"",MAX(0,U1616-N(E1616)-N(F1616)-N(H1616)))</f>
        <v/>
      </c>
      <c r="S1616" s="75" t="str">
        <f aca="false">IF(P1616="","",IFERROR(INDEX(T_INGRESO,MATCH(C1616,T_ID,0)),""))</f>
        <v/>
      </c>
      <c r="T1616" s="75" t="str">
        <f aca="false">IF(P1616="","",IFERROR(N(INDEX(T_EGRESO,MATCH(C1616,T_ID,0))),0))</f>
        <v/>
      </c>
      <c r="U1616" s="73" t="str">
        <f aca="false">IF(OR(P1616="",NOT(ISNUMBER(S1616))),"",IF(OR(S1616&gt;EOMONTH(B1616,0),AND(T1616&gt;0,T1616&lt;B1616)),0,IF(AND(S1616&lt;=B1616,OR(T1616=0,T1616&gt;=EOMONTH(B1616,0))),30,MIN(30,IF(T1616=0,EOMONTH(B1616,0),MIN(T1616,EOMONTH(B1616,0)))-MAX(B1616,S1616)+1))))</f>
        <v/>
      </c>
    </row>
    <row r="1617" customFormat="false" ht="15" hidden="false" customHeight="false" outlineLevel="0" collapsed="false">
      <c r="B1617" s="78"/>
      <c r="C1617" s="64"/>
      <c r="D1617" s="70" t="str">
        <f aca="false">IF(C1617="","",IFERROR(INDEX(T_NOMBRE,MATCH(C1617,T_ID,0)),"⚠ ID no existe"))</f>
        <v/>
      </c>
      <c r="E1617" s="69"/>
      <c r="F1617" s="69"/>
      <c r="G1617" s="69"/>
      <c r="H1617" s="69"/>
      <c r="I1617" s="66"/>
      <c r="J1617" s="69"/>
      <c r="K1617" s="67"/>
      <c r="L1617" s="67"/>
      <c r="M1617" s="67"/>
      <c r="N1617" s="67"/>
      <c r="O1617" s="64"/>
      <c r="P1617" s="72" t="str">
        <f aca="false">IF(OR(B1617="",C1617=""),"",C1617&amp;"|"&amp;(YEAR(B1617)*100+MONTH(B1617)))</f>
        <v/>
      </c>
      <c r="Q1617" s="70" t="str">
        <f aca="false">IF(P1617="","",IF(COUNTIF(N_CLAVE,P1617)&gt;1,"⚠ Duplicado","OK"))</f>
        <v/>
      </c>
      <c r="R1617" s="74" t="str">
        <f aca="false">IF(OR(P1617="",U1617=""),"",MAX(0,U1617-N(E1617)-N(F1617)-N(H1617)))</f>
        <v/>
      </c>
      <c r="S1617" s="75" t="str">
        <f aca="false">IF(P1617="","",IFERROR(INDEX(T_INGRESO,MATCH(C1617,T_ID,0)),""))</f>
        <v/>
      </c>
      <c r="T1617" s="75" t="str">
        <f aca="false">IF(P1617="","",IFERROR(N(INDEX(T_EGRESO,MATCH(C1617,T_ID,0))),0))</f>
        <v/>
      </c>
      <c r="U1617" s="73" t="str">
        <f aca="false">IF(OR(P1617="",NOT(ISNUMBER(S1617))),"",IF(OR(S1617&gt;EOMONTH(B1617,0),AND(T1617&gt;0,T1617&lt;B1617)),0,IF(AND(S1617&lt;=B1617,OR(T1617=0,T1617&gt;=EOMONTH(B1617,0))),30,MIN(30,IF(T1617=0,EOMONTH(B1617,0),MIN(T1617,EOMONTH(B1617,0)))-MAX(B1617,S1617)+1))))</f>
        <v/>
      </c>
    </row>
    <row r="1618" customFormat="false" ht="15" hidden="false" customHeight="false" outlineLevel="0" collapsed="false">
      <c r="B1618" s="78"/>
      <c r="C1618" s="64"/>
      <c r="D1618" s="70" t="str">
        <f aca="false">IF(C1618="","",IFERROR(INDEX(T_NOMBRE,MATCH(C1618,T_ID,0)),"⚠ ID no existe"))</f>
        <v/>
      </c>
      <c r="E1618" s="69"/>
      <c r="F1618" s="69"/>
      <c r="G1618" s="69"/>
      <c r="H1618" s="69"/>
      <c r="I1618" s="66"/>
      <c r="J1618" s="69"/>
      <c r="K1618" s="67"/>
      <c r="L1618" s="67"/>
      <c r="M1618" s="67"/>
      <c r="N1618" s="67"/>
      <c r="O1618" s="64"/>
      <c r="P1618" s="72" t="str">
        <f aca="false">IF(OR(B1618="",C1618=""),"",C1618&amp;"|"&amp;(YEAR(B1618)*100+MONTH(B1618)))</f>
        <v/>
      </c>
      <c r="Q1618" s="70" t="str">
        <f aca="false">IF(P1618="","",IF(COUNTIF(N_CLAVE,P1618)&gt;1,"⚠ Duplicado","OK"))</f>
        <v/>
      </c>
      <c r="R1618" s="74" t="str">
        <f aca="false">IF(OR(P1618="",U1618=""),"",MAX(0,U1618-N(E1618)-N(F1618)-N(H1618)))</f>
        <v/>
      </c>
      <c r="S1618" s="75" t="str">
        <f aca="false">IF(P1618="","",IFERROR(INDEX(T_INGRESO,MATCH(C1618,T_ID,0)),""))</f>
        <v/>
      </c>
      <c r="T1618" s="75" t="str">
        <f aca="false">IF(P1618="","",IFERROR(N(INDEX(T_EGRESO,MATCH(C1618,T_ID,0))),0))</f>
        <v/>
      </c>
      <c r="U1618" s="73" t="str">
        <f aca="false">IF(OR(P1618="",NOT(ISNUMBER(S1618))),"",IF(OR(S1618&gt;EOMONTH(B1618,0),AND(T1618&gt;0,T1618&lt;B1618)),0,IF(AND(S1618&lt;=B1618,OR(T1618=0,T1618&gt;=EOMONTH(B1618,0))),30,MIN(30,IF(T1618=0,EOMONTH(B1618,0),MIN(T1618,EOMONTH(B1618,0)))-MAX(B1618,S1618)+1))))</f>
        <v/>
      </c>
    </row>
    <row r="1619" customFormat="false" ht="15" hidden="false" customHeight="false" outlineLevel="0" collapsed="false">
      <c r="B1619" s="78"/>
      <c r="C1619" s="64"/>
      <c r="D1619" s="70" t="str">
        <f aca="false">IF(C1619="","",IFERROR(INDEX(T_NOMBRE,MATCH(C1619,T_ID,0)),"⚠ ID no existe"))</f>
        <v/>
      </c>
      <c r="E1619" s="69"/>
      <c r="F1619" s="69"/>
      <c r="G1619" s="69"/>
      <c r="H1619" s="69"/>
      <c r="I1619" s="66"/>
      <c r="J1619" s="69"/>
      <c r="K1619" s="67"/>
      <c r="L1619" s="67"/>
      <c r="M1619" s="67"/>
      <c r="N1619" s="67"/>
      <c r="O1619" s="64"/>
      <c r="P1619" s="72" t="str">
        <f aca="false">IF(OR(B1619="",C1619=""),"",C1619&amp;"|"&amp;(YEAR(B1619)*100+MONTH(B1619)))</f>
        <v/>
      </c>
      <c r="Q1619" s="70" t="str">
        <f aca="false">IF(P1619="","",IF(COUNTIF(N_CLAVE,P1619)&gt;1,"⚠ Duplicado","OK"))</f>
        <v/>
      </c>
      <c r="R1619" s="74" t="str">
        <f aca="false">IF(OR(P1619="",U1619=""),"",MAX(0,U1619-N(E1619)-N(F1619)-N(H1619)))</f>
        <v/>
      </c>
      <c r="S1619" s="75" t="str">
        <f aca="false">IF(P1619="","",IFERROR(INDEX(T_INGRESO,MATCH(C1619,T_ID,0)),""))</f>
        <v/>
      </c>
      <c r="T1619" s="75" t="str">
        <f aca="false">IF(P1619="","",IFERROR(N(INDEX(T_EGRESO,MATCH(C1619,T_ID,0))),0))</f>
        <v/>
      </c>
      <c r="U1619" s="73" t="str">
        <f aca="false">IF(OR(P1619="",NOT(ISNUMBER(S1619))),"",IF(OR(S1619&gt;EOMONTH(B1619,0),AND(T1619&gt;0,T1619&lt;B1619)),0,IF(AND(S1619&lt;=B1619,OR(T1619=0,T1619&gt;=EOMONTH(B1619,0))),30,MIN(30,IF(T1619=0,EOMONTH(B1619,0),MIN(T1619,EOMONTH(B1619,0)))-MAX(B1619,S1619)+1))))</f>
        <v/>
      </c>
    </row>
    <row r="1620" customFormat="false" ht="15" hidden="false" customHeight="false" outlineLevel="0" collapsed="false">
      <c r="B1620" s="78"/>
      <c r="C1620" s="64"/>
      <c r="D1620" s="70" t="str">
        <f aca="false">IF(C1620="","",IFERROR(INDEX(T_NOMBRE,MATCH(C1620,T_ID,0)),"⚠ ID no existe"))</f>
        <v/>
      </c>
      <c r="E1620" s="69"/>
      <c r="F1620" s="69"/>
      <c r="G1620" s="69"/>
      <c r="H1620" s="69"/>
      <c r="I1620" s="66"/>
      <c r="J1620" s="69"/>
      <c r="K1620" s="67"/>
      <c r="L1620" s="67"/>
      <c r="M1620" s="67"/>
      <c r="N1620" s="67"/>
      <c r="O1620" s="64"/>
      <c r="P1620" s="72" t="str">
        <f aca="false">IF(OR(B1620="",C1620=""),"",C1620&amp;"|"&amp;(YEAR(B1620)*100+MONTH(B1620)))</f>
        <v/>
      </c>
      <c r="Q1620" s="70" t="str">
        <f aca="false">IF(P1620="","",IF(COUNTIF(N_CLAVE,P1620)&gt;1,"⚠ Duplicado","OK"))</f>
        <v/>
      </c>
      <c r="R1620" s="74" t="str">
        <f aca="false">IF(OR(P1620="",U1620=""),"",MAX(0,U1620-N(E1620)-N(F1620)-N(H1620)))</f>
        <v/>
      </c>
      <c r="S1620" s="75" t="str">
        <f aca="false">IF(P1620="","",IFERROR(INDEX(T_INGRESO,MATCH(C1620,T_ID,0)),""))</f>
        <v/>
      </c>
      <c r="T1620" s="75" t="str">
        <f aca="false">IF(P1620="","",IFERROR(N(INDEX(T_EGRESO,MATCH(C1620,T_ID,0))),0))</f>
        <v/>
      </c>
      <c r="U1620" s="73" t="str">
        <f aca="false">IF(OR(P1620="",NOT(ISNUMBER(S1620))),"",IF(OR(S1620&gt;EOMONTH(B1620,0),AND(T1620&gt;0,T1620&lt;B1620)),0,IF(AND(S1620&lt;=B1620,OR(T1620=0,T1620&gt;=EOMONTH(B1620,0))),30,MIN(30,IF(T1620=0,EOMONTH(B1620,0),MIN(T1620,EOMONTH(B1620,0)))-MAX(B1620,S1620)+1))))</f>
        <v/>
      </c>
    </row>
    <row r="1621" customFormat="false" ht="15" hidden="false" customHeight="false" outlineLevel="0" collapsed="false">
      <c r="B1621" s="78"/>
      <c r="C1621" s="64"/>
      <c r="D1621" s="70" t="str">
        <f aca="false">IF(C1621="","",IFERROR(INDEX(T_NOMBRE,MATCH(C1621,T_ID,0)),"⚠ ID no existe"))</f>
        <v/>
      </c>
      <c r="E1621" s="69"/>
      <c r="F1621" s="69"/>
      <c r="G1621" s="69"/>
      <c r="H1621" s="69"/>
      <c r="I1621" s="66"/>
      <c r="J1621" s="69"/>
      <c r="K1621" s="67"/>
      <c r="L1621" s="67"/>
      <c r="M1621" s="67"/>
      <c r="N1621" s="67"/>
      <c r="O1621" s="64"/>
      <c r="P1621" s="72" t="str">
        <f aca="false">IF(OR(B1621="",C1621=""),"",C1621&amp;"|"&amp;(YEAR(B1621)*100+MONTH(B1621)))</f>
        <v/>
      </c>
      <c r="Q1621" s="70" t="str">
        <f aca="false">IF(P1621="","",IF(COUNTIF(N_CLAVE,P1621)&gt;1,"⚠ Duplicado","OK"))</f>
        <v/>
      </c>
      <c r="R1621" s="74" t="str">
        <f aca="false">IF(OR(P1621="",U1621=""),"",MAX(0,U1621-N(E1621)-N(F1621)-N(H1621)))</f>
        <v/>
      </c>
      <c r="S1621" s="75" t="str">
        <f aca="false">IF(P1621="","",IFERROR(INDEX(T_INGRESO,MATCH(C1621,T_ID,0)),""))</f>
        <v/>
      </c>
      <c r="T1621" s="75" t="str">
        <f aca="false">IF(P1621="","",IFERROR(N(INDEX(T_EGRESO,MATCH(C1621,T_ID,0))),0))</f>
        <v/>
      </c>
      <c r="U1621" s="73" t="str">
        <f aca="false">IF(OR(P1621="",NOT(ISNUMBER(S1621))),"",IF(OR(S1621&gt;EOMONTH(B1621,0),AND(T1621&gt;0,T1621&lt;B1621)),0,IF(AND(S1621&lt;=B1621,OR(T1621=0,T1621&gt;=EOMONTH(B1621,0))),30,MIN(30,IF(T1621=0,EOMONTH(B1621,0),MIN(T1621,EOMONTH(B1621,0)))-MAX(B1621,S1621)+1))))</f>
        <v/>
      </c>
    </row>
    <row r="1622" customFormat="false" ht="15" hidden="false" customHeight="false" outlineLevel="0" collapsed="false">
      <c r="B1622" s="78"/>
      <c r="C1622" s="64"/>
      <c r="D1622" s="70" t="str">
        <f aca="false">IF(C1622="","",IFERROR(INDEX(T_NOMBRE,MATCH(C1622,T_ID,0)),"⚠ ID no existe"))</f>
        <v/>
      </c>
      <c r="E1622" s="69"/>
      <c r="F1622" s="69"/>
      <c r="G1622" s="69"/>
      <c r="H1622" s="69"/>
      <c r="I1622" s="66"/>
      <c r="J1622" s="69"/>
      <c r="K1622" s="67"/>
      <c r="L1622" s="67"/>
      <c r="M1622" s="67"/>
      <c r="N1622" s="67"/>
      <c r="O1622" s="64"/>
      <c r="P1622" s="72" t="str">
        <f aca="false">IF(OR(B1622="",C1622=""),"",C1622&amp;"|"&amp;(YEAR(B1622)*100+MONTH(B1622)))</f>
        <v/>
      </c>
      <c r="Q1622" s="70" t="str">
        <f aca="false">IF(P1622="","",IF(COUNTIF(N_CLAVE,P1622)&gt;1,"⚠ Duplicado","OK"))</f>
        <v/>
      </c>
      <c r="R1622" s="74" t="str">
        <f aca="false">IF(OR(P1622="",U1622=""),"",MAX(0,U1622-N(E1622)-N(F1622)-N(H1622)))</f>
        <v/>
      </c>
      <c r="S1622" s="75" t="str">
        <f aca="false">IF(P1622="","",IFERROR(INDEX(T_INGRESO,MATCH(C1622,T_ID,0)),""))</f>
        <v/>
      </c>
      <c r="T1622" s="75" t="str">
        <f aca="false">IF(P1622="","",IFERROR(N(INDEX(T_EGRESO,MATCH(C1622,T_ID,0))),0))</f>
        <v/>
      </c>
      <c r="U1622" s="73" t="str">
        <f aca="false">IF(OR(P1622="",NOT(ISNUMBER(S1622))),"",IF(OR(S1622&gt;EOMONTH(B1622,0),AND(T1622&gt;0,T1622&lt;B1622)),0,IF(AND(S1622&lt;=B1622,OR(T1622=0,T1622&gt;=EOMONTH(B1622,0))),30,MIN(30,IF(T1622=0,EOMONTH(B1622,0),MIN(T1622,EOMONTH(B1622,0)))-MAX(B1622,S1622)+1))))</f>
        <v/>
      </c>
    </row>
    <row r="1623" customFormat="false" ht="15" hidden="false" customHeight="false" outlineLevel="0" collapsed="false">
      <c r="B1623" s="78"/>
      <c r="C1623" s="64"/>
      <c r="D1623" s="70" t="str">
        <f aca="false">IF(C1623="","",IFERROR(INDEX(T_NOMBRE,MATCH(C1623,T_ID,0)),"⚠ ID no existe"))</f>
        <v/>
      </c>
      <c r="E1623" s="69"/>
      <c r="F1623" s="69"/>
      <c r="G1623" s="69"/>
      <c r="H1623" s="69"/>
      <c r="I1623" s="66"/>
      <c r="J1623" s="69"/>
      <c r="K1623" s="67"/>
      <c r="L1623" s="67"/>
      <c r="M1623" s="67"/>
      <c r="N1623" s="67"/>
      <c r="O1623" s="64"/>
      <c r="P1623" s="72" t="str">
        <f aca="false">IF(OR(B1623="",C1623=""),"",C1623&amp;"|"&amp;(YEAR(B1623)*100+MONTH(B1623)))</f>
        <v/>
      </c>
      <c r="Q1623" s="70" t="str">
        <f aca="false">IF(P1623="","",IF(COUNTIF(N_CLAVE,P1623)&gt;1,"⚠ Duplicado","OK"))</f>
        <v/>
      </c>
      <c r="R1623" s="74" t="str">
        <f aca="false">IF(OR(P1623="",U1623=""),"",MAX(0,U1623-N(E1623)-N(F1623)-N(H1623)))</f>
        <v/>
      </c>
      <c r="S1623" s="75" t="str">
        <f aca="false">IF(P1623="","",IFERROR(INDEX(T_INGRESO,MATCH(C1623,T_ID,0)),""))</f>
        <v/>
      </c>
      <c r="T1623" s="75" t="str">
        <f aca="false">IF(P1623="","",IFERROR(N(INDEX(T_EGRESO,MATCH(C1623,T_ID,0))),0))</f>
        <v/>
      </c>
      <c r="U1623" s="73" t="str">
        <f aca="false">IF(OR(P1623="",NOT(ISNUMBER(S1623))),"",IF(OR(S1623&gt;EOMONTH(B1623,0),AND(T1623&gt;0,T1623&lt;B1623)),0,IF(AND(S1623&lt;=B1623,OR(T1623=0,T1623&gt;=EOMONTH(B1623,0))),30,MIN(30,IF(T1623=0,EOMONTH(B1623,0),MIN(T1623,EOMONTH(B1623,0)))-MAX(B1623,S1623)+1))))</f>
        <v/>
      </c>
    </row>
    <row r="1624" customFormat="false" ht="15" hidden="false" customHeight="false" outlineLevel="0" collapsed="false">
      <c r="B1624" s="78"/>
      <c r="C1624" s="64"/>
      <c r="D1624" s="70" t="str">
        <f aca="false">IF(C1624="","",IFERROR(INDEX(T_NOMBRE,MATCH(C1624,T_ID,0)),"⚠ ID no existe"))</f>
        <v/>
      </c>
      <c r="E1624" s="69"/>
      <c r="F1624" s="69"/>
      <c r="G1624" s="69"/>
      <c r="H1624" s="69"/>
      <c r="I1624" s="66"/>
      <c r="J1624" s="69"/>
      <c r="K1624" s="67"/>
      <c r="L1624" s="67"/>
      <c r="M1624" s="67"/>
      <c r="N1624" s="67"/>
      <c r="O1624" s="64"/>
      <c r="P1624" s="72" t="str">
        <f aca="false">IF(OR(B1624="",C1624=""),"",C1624&amp;"|"&amp;(YEAR(B1624)*100+MONTH(B1624)))</f>
        <v/>
      </c>
      <c r="Q1624" s="70" t="str">
        <f aca="false">IF(P1624="","",IF(COUNTIF(N_CLAVE,P1624)&gt;1,"⚠ Duplicado","OK"))</f>
        <v/>
      </c>
      <c r="R1624" s="74" t="str">
        <f aca="false">IF(OR(P1624="",U1624=""),"",MAX(0,U1624-N(E1624)-N(F1624)-N(H1624)))</f>
        <v/>
      </c>
      <c r="S1624" s="75" t="str">
        <f aca="false">IF(P1624="","",IFERROR(INDEX(T_INGRESO,MATCH(C1624,T_ID,0)),""))</f>
        <v/>
      </c>
      <c r="T1624" s="75" t="str">
        <f aca="false">IF(P1624="","",IFERROR(N(INDEX(T_EGRESO,MATCH(C1624,T_ID,0))),0))</f>
        <v/>
      </c>
      <c r="U1624" s="73" t="str">
        <f aca="false">IF(OR(P1624="",NOT(ISNUMBER(S1624))),"",IF(OR(S1624&gt;EOMONTH(B1624,0),AND(T1624&gt;0,T1624&lt;B1624)),0,IF(AND(S1624&lt;=B1624,OR(T1624=0,T1624&gt;=EOMONTH(B1624,0))),30,MIN(30,IF(T1624=0,EOMONTH(B1624,0),MIN(T1624,EOMONTH(B1624,0)))-MAX(B1624,S1624)+1))))</f>
        <v/>
      </c>
    </row>
    <row r="1625" customFormat="false" ht="15" hidden="false" customHeight="false" outlineLevel="0" collapsed="false">
      <c r="B1625" s="78"/>
      <c r="C1625" s="64"/>
      <c r="D1625" s="70" t="str">
        <f aca="false">IF(C1625="","",IFERROR(INDEX(T_NOMBRE,MATCH(C1625,T_ID,0)),"⚠ ID no existe"))</f>
        <v/>
      </c>
      <c r="E1625" s="69"/>
      <c r="F1625" s="69"/>
      <c r="G1625" s="69"/>
      <c r="H1625" s="69"/>
      <c r="I1625" s="66"/>
      <c r="J1625" s="69"/>
      <c r="K1625" s="67"/>
      <c r="L1625" s="67"/>
      <c r="M1625" s="67"/>
      <c r="N1625" s="67"/>
      <c r="O1625" s="64"/>
      <c r="P1625" s="72" t="str">
        <f aca="false">IF(OR(B1625="",C1625=""),"",C1625&amp;"|"&amp;(YEAR(B1625)*100+MONTH(B1625)))</f>
        <v/>
      </c>
      <c r="Q1625" s="70" t="str">
        <f aca="false">IF(P1625="","",IF(COUNTIF(N_CLAVE,P1625)&gt;1,"⚠ Duplicado","OK"))</f>
        <v/>
      </c>
      <c r="R1625" s="74" t="str">
        <f aca="false">IF(OR(P1625="",U1625=""),"",MAX(0,U1625-N(E1625)-N(F1625)-N(H1625)))</f>
        <v/>
      </c>
      <c r="S1625" s="75" t="str">
        <f aca="false">IF(P1625="","",IFERROR(INDEX(T_INGRESO,MATCH(C1625,T_ID,0)),""))</f>
        <v/>
      </c>
      <c r="T1625" s="75" t="str">
        <f aca="false">IF(P1625="","",IFERROR(N(INDEX(T_EGRESO,MATCH(C1625,T_ID,0))),0))</f>
        <v/>
      </c>
      <c r="U1625" s="73" t="str">
        <f aca="false">IF(OR(P1625="",NOT(ISNUMBER(S1625))),"",IF(OR(S1625&gt;EOMONTH(B1625,0),AND(T1625&gt;0,T1625&lt;B1625)),0,IF(AND(S1625&lt;=B1625,OR(T1625=0,T1625&gt;=EOMONTH(B1625,0))),30,MIN(30,IF(T1625=0,EOMONTH(B1625,0),MIN(T1625,EOMONTH(B1625,0)))-MAX(B1625,S1625)+1))))</f>
        <v/>
      </c>
    </row>
    <row r="1626" customFormat="false" ht="15" hidden="false" customHeight="false" outlineLevel="0" collapsed="false">
      <c r="B1626" s="78"/>
      <c r="C1626" s="64"/>
      <c r="D1626" s="70" t="str">
        <f aca="false">IF(C1626="","",IFERROR(INDEX(T_NOMBRE,MATCH(C1626,T_ID,0)),"⚠ ID no existe"))</f>
        <v/>
      </c>
      <c r="E1626" s="69"/>
      <c r="F1626" s="69"/>
      <c r="G1626" s="69"/>
      <c r="H1626" s="69"/>
      <c r="I1626" s="66"/>
      <c r="J1626" s="69"/>
      <c r="K1626" s="67"/>
      <c r="L1626" s="67"/>
      <c r="M1626" s="67"/>
      <c r="N1626" s="67"/>
      <c r="O1626" s="64"/>
      <c r="P1626" s="72" t="str">
        <f aca="false">IF(OR(B1626="",C1626=""),"",C1626&amp;"|"&amp;(YEAR(B1626)*100+MONTH(B1626)))</f>
        <v/>
      </c>
      <c r="Q1626" s="70" t="str">
        <f aca="false">IF(P1626="","",IF(COUNTIF(N_CLAVE,P1626)&gt;1,"⚠ Duplicado","OK"))</f>
        <v/>
      </c>
      <c r="R1626" s="74" t="str">
        <f aca="false">IF(OR(P1626="",U1626=""),"",MAX(0,U1626-N(E1626)-N(F1626)-N(H1626)))</f>
        <v/>
      </c>
      <c r="S1626" s="75" t="str">
        <f aca="false">IF(P1626="","",IFERROR(INDEX(T_INGRESO,MATCH(C1626,T_ID,0)),""))</f>
        <v/>
      </c>
      <c r="T1626" s="75" t="str">
        <f aca="false">IF(P1626="","",IFERROR(N(INDEX(T_EGRESO,MATCH(C1626,T_ID,0))),0))</f>
        <v/>
      </c>
      <c r="U1626" s="73" t="str">
        <f aca="false">IF(OR(P1626="",NOT(ISNUMBER(S1626))),"",IF(OR(S1626&gt;EOMONTH(B1626,0),AND(T1626&gt;0,T1626&lt;B1626)),0,IF(AND(S1626&lt;=B1626,OR(T1626=0,T1626&gt;=EOMONTH(B1626,0))),30,MIN(30,IF(T1626=0,EOMONTH(B1626,0),MIN(T1626,EOMONTH(B1626,0)))-MAX(B1626,S1626)+1))))</f>
        <v/>
      </c>
    </row>
    <row r="1627" customFormat="false" ht="15" hidden="false" customHeight="false" outlineLevel="0" collapsed="false">
      <c r="B1627" s="78"/>
      <c r="C1627" s="64"/>
      <c r="D1627" s="70" t="str">
        <f aca="false">IF(C1627="","",IFERROR(INDEX(T_NOMBRE,MATCH(C1627,T_ID,0)),"⚠ ID no existe"))</f>
        <v/>
      </c>
      <c r="E1627" s="69"/>
      <c r="F1627" s="69"/>
      <c r="G1627" s="69"/>
      <c r="H1627" s="69"/>
      <c r="I1627" s="66"/>
      <c r="J1627" s="69"/>
      <c r="K1627" s="67"/>
      <c r="L1627" s="67"/>
      <c r="M1627" s="67"/>
      <c r="N1627" s="67"/>
      <c r="O1627" s="64"/>
      <c r="P1627" s="72" t="str">
        <f aca="false">IF(OR(B1627="",C1627=""),"",C1627&amp;"|"&amp;(YEAR(B1627)*100+MONTH(B1627)))</f>
        <v/>
      </c>
      <c r="Q1627" s="70" t="str">
        <f aca="false">IF(P1627="","",IF(COUNTIF(N_CLAVE,P1627)&gt;1,"⚠ Duplicado","OK"))</f>
        <v/>
      </c>
      <c r="R1627" s="74" t="str">
        <f aca="false">IF(OR(P1627="",U1627=""),"",MAX(0,U1627-N(E1627)-N(F1627)-N(H1627)))</f>
        <v/>
      </c>
      <c r="S1627" s="75" t="str">
        <f aca="false">IF(P1627="","",IFERROR(INDEX(T_INGRESO,MATCH(C1627,T_ID,0)),""))</f>
        <v/>
      </c>
      <c r="T1627" s="75" t="str">
        <f aca="false">IF(P1627="","",IFERROR(N(INDEX(T_EGRESO,MATCH(C1627,T_ID,0))),0))</f>
        <v/>
      </c>
      <c r="U1627" s="73" t="str">
        <f aca="false">IF(OR(P1627="",NOT(ISNUMBER(S1627))),"",IF(OR(S1627&gt;EOMONTH(B1627,0),AND(T1627&gt;0,T1627&lt;B1627)),0,IF(AND(S1627&lt;=B1627,OR(T1627=0,T1627&gt;=EOMONTH(B1627,0))),30,MIN(30,IF(T1627=0,EOMONTH(B1627,0),MIN(T1627,EOMONTH(B1627,0)))-MAX(B1627,S1627)+1))))</f>
        <v/>
      </c>
    </row>
    <row r="1628" customFormat="false" ht="15" hidden="false" customHeight="false" outlineLevel="0" collapsed="false">
      <c r="B1628" s="78"/>
      <c r="C1628" s="64"/>
      <c r="D1628" s="70" t="str">
        <f aca="false">IF(C1628="","",IFERROR(INDEX(T_NOMBRE,MATCH(C1628,T_ID,0)),"⚠ ID no existe"))</f>
        <v/>
      </c>
      <c r="E1628" s="69"/>
      <c r="F1628" s="69"/>
      <c r="G1628" s="69"/>
      <c r="H1628" s="69"/>
      <c r="I1628" s="66"/>
      <c r="J1628" s="69"/>
      <c r="K1628" s="67"/>
      <c r="L1628" s="67"/>
      <c r="M1628" s="67"/>
      <c r="N1628" s="67"/>
      <c r="O1628" s="64"/>
      <c r="P1628" s="72" t="str">
        <f aca="false">IF(OR(B1628="",C1628=""),"",C1628&amp;"|"&amp;(YEAR(B1628)*100+MONTH(B1628)))</f>
        <v/>
      </c>
      <c r="Q1628" s="70" t="str">
        <f aca="false">IF(P1628="","",IF(COUNTIF(N_CLAVE,P1628)&gt;1,"⚠ Duplicado","OK"))</f>
        <v/>
      </c>
      <c r="R1628" s="74" t="str">
        <f aca="false">IF(OR(P1628="",U1628=""),"",MAX(0,U1628-N(E1628)-N(F1628)-N(H1628)))</f>
        <v/>
      </c>
      <c r="S1628" s="75" t="str">
        <f aca="false">IF(P1628="","",IFERROR(INDEX(T_INGRESO,MATCH(C1628,T_ID,0)),""))</f>
        <v/>
      </c>
      <c r="T1628" s="75" t="str">
        <f aca="false">IF(P1628="","",IFERROR(N(INDEX(T_EGRESO,MATCH(C1628,T_ID,0))),0))</f>
        <v/>
      </c>
      <c r="U1628" s="73" t="str">
        <f aca="false">IF(OR(P1628="",NOT(ISNUMBER(S1628))),"",IF(OR(S1628&gt;EOMONTH(B1628,0),AND(T1628&gt;0,T1628&lt;B1628)),0,IF(AND(S1628&lt;=B1628,OR(T1628=0,T1628&gt;=EOMONTH(B1628,0))),30,MIN(30,IF(T1628=0,EOMONTH(B1628,0),MIN(T1628,EOMONTH(B1628,0)))-MAX(B1628,S1628)+1))))</f>
        <v/>
      </c>
    </row>
    <row r="1629" customFormat="false" ht="15" hidden="false" customHeight="false" outlineLevel="0" collapsed="false">
      <c r="B1629" s="78"/>
      <c r="C1629" s="64"/>
      <c r="D1629" s="70" t="str">
        <f aca="false">IF(C1629="","",IFERROR(INDEX(T_NOMBRE,MATCH(C1629,T_ID,0)),"⚠ ID no existe"))</f>
        <v/>
      </c>
      <c r="E1629" s="69"/>
      <c r="F1629" s="69"/>
      <c r="G1629" s="69"/>
      <c r="H1629" s="69"/>
      <c r="I1629" s="66"/>
      <c r="J1629" s="69"/>
      <c r="K1629" s="67"/>
      <c r="L1629" s="67"/>
      <c r="M1629" s="67"/>
      <c r="N1629" s="67"/>
      <c r="O1629" s="64"/>
      <c r="P1629" s="72" t="str">
        <f aca="false">IF(OR(B1629="",C1629=""),"",C1629&amp;"|"&amp;(YEAR(B1629)*100+MONTH(B1629)))</f>
        <v/>
      </c>
      <c r="Q1629" s="70" t="str">
        <f aca="false">IF(P1629="","",IF(COUNTIF(N_CLAVE,P1629)&gt;1,"⚠ Duplicado","OK"))</f>
        <v/>
      </c>
      <c r="R1629" s="74" t="str">
        <f aca="false">IF(OR(P1629="",U1629=""),"",MAX(0,U1629-N(E1629)-N(F1629)-N(H1629)))</f>
        <v/>
      </c>
      <c r="S1629" s="75" t="str">
        <f aca="false">IF(P1629="","",IFERROR(INDEX(T_INGRESO,MATCH(C1629,T_ID,0)),""))</f>
        <v/>
      </c>
      <c r="T1629" s="75" t="str">
        <f aca="false">IF(P1629="","",IFERROR(N(INDEX(T_EGRESO,MATCH(C1629,T_ID,0))),0))</f>
        <v/>
      </c>
      <c r="U1629" s="73" t="str">
        <f aca="false">IF(OR(P1629="",NOT(ISNUMBER(S1629))),"",IF(OR(S1629&gt;EOMONTH(B1629,0),AND(T1629&gt;0,T1629&lt;B1629)),0,IF(AND(S1629&lt;=B1629,OR(T1629=0,T1629&gt;=EOMONTH(B1629,0))),30,MIN(30,IF(T1629=0,EOMONTH(B1629,0),MIN(T1629,EOMONTH(B1629,0)))-MAX(B1629,S1629)+1))))</f>
        <v/>
      </c>
    </row>
    <row r="1630" customFormat="false" ht="15" hidden="false" customHeight="false" outlineLevel="0" collapsed="false">
      <c r="B1630" s="78"/>
      <c r="C1630" s="64"/>
      <c r="D1630" s="70" t="str">
        <f aca="false">IF(C1630="","",IFERROR(INDEX(T_NOMBRE,MATCH(C1630,T_ID,0)),"⚠ ID no existe"))</f>
        <v/>
      </c>
      <c r="E1630" s="69"/>
      <c r="F1630" s="69"/>
      <c r="G1630" s="69"/>
      <c r="H1630" s="69"/>
      <c r="I1630" s="66"/>
      <c r="J1630" s="69"/>
      <c r="K1630" s="67"/>
      <c r="L1630" s="67"/>
      <c r="M1630" s="67"/>
      <c r="N1630" s="67"/>
      <c r="O1630" s="64"/>
      <c r="P1630" s="72" t="str">
        <f aca="false">IF(OR(B1630="",C1630=""),"",C1630&amp;"|"&amp;(YEAR(B1630)*100+MONTH(B1630)))</f>
        <v/>
      </c>
      <c r="Q1630" s="70" t="str">
        <f aca="false">IF(P1630="","",IF(COUNTIF(N_CLAVE,P1630)&gt;1,"⚠ Duplicado","OK"))</f>
        <v/>
      </c>
      <c r="R1630" s="74" t="str">
        <f aca="false">IF(OR(P1630="",U1630=""),"",MAX(0,U1630-N(E1630)-N(F1630)-N(H1630)))</f>
        <v/>
      </c>
      <c r="S1630" s="75" t="str">
        <f aca="false">IF(P1630="","",IFERROR(INDEX(T_INGRESO,MATCH(C1630,T_ID,0)),""))</f>
        <v/>
      </c>
      <c r="T1630" s="75" t="str">
        <f aca="false">IF(P1630="","",IFERROR(N(INDEX(T_EGRESO,MATCH(C1630,T_ID,0))),0))</f>
        <v/>
      </c>
      <c r="U1630" s="73" t="str">
        <f aca="false">IF(OR(P1630="",NOT(ISNUMBER(S1630))),"",IF(OR(S1630&gt;EOMONTH(B1630,0),AND(T1630&gt;0,T1630&lt;B1630)),0,IF(AND(S1630&lt;=B1630,OR(T1630=0,T1630&gt;=EOMONTH(B1630,0))),30,MIN(30,IF(T1630=0,EOMONTH(B1630,0),MIN(T1630,EOMONTH(B1630,0)))-MAX(B1630,S1630)+1))))</f>
        <v/>
      </c>
    </row>
    <row r="1631" customFormat="false" ht="15" hidden="false" customHeight="false" outlineLevel="0" collapsed="false">
      <c r="B1631" s="78"/>
      <c r="C1631" s="64"/>
      <c r="D1631" s="70" t="str">
        <f aca="false">IF(C1631="","",IFERROR(INDEX(T_NOMBRE,MATCH(C1631,T_ID,0)),"⚠ ID no existe"))</f>
        <v/>
      </c>
      <c r="E1631" s="69"/>
      <c r="F1631" s="69"/>
      <c r="G1631" s="69"/>
      <c r="H1631" s="69"/>
      <c r="I1631" s="66"/>
      <c r="J1631" s="69"/>
      <c r="K1631" s="67"/>
      <c r="L1631" s="67"/>
      <c r="M1631" s="67"/>
      <c r="N1631" s="67"/>
      <c r="O1631" s="64"/>
      <c r="P1631" s="72" t="str">
        <f aca="false">IF(OR(B1631="",C1631=""),"",C1631&amp;"|"&amp;(YEAR(B1631)*100+MONTH(B1631)))</f>
        <v/>
      </c>
      <c r="Q1631" s="70" t="str">
        <f aca="false">IF(P1631="","",IF(COUNTIF(N_CLAVE,P1631)&gt;1,"⚠ Duplicado","OK"))</f>
        <v/>
      </c>
      <c r="R1631" s="74" t="str">
        <f aca="false">IF(OR(P1631="",U1631=""),"",MAX(0,U1631-N(E1631)-N(F1631)-N(H1631)))</f>
        <v/>
      </c>
      <c r="S1631" s="75" t="str">
        <f aca="false">IF(P1631="","",IFERROR(INDEX(T_INGRESO,MATCH(C1631,T_ID,0)),""))</f>
        <v/>
      </c>
      <c r="T1631" s="75" t="str">
        <f aca="false">IF(P1631="","",IFERROR(N(INDEX(T_EGRESO,MATCH(C1631,T_ID,0))),0))</f>
        <v/>
      </c>
      <c r="U1631" s="73" t="str">
        <f aca="false">IF(OR(P1631="",NOT(ISNUMBER(S1631))),"",IF(OR(S1631&gt;EOMONTH(B1631,0),AND(T1631&gt;0,T1631&lt;B1631)),0,IF(AND(S1631&lt;=B1631,OR(T1631=0,T1631&gt;=EOMONTH(B1631,0))),30,MIN(30,IF(T1631=0,EOMONTH(B1631,0),MIN(T1631,EOMONTH(B1631,0)))-MAX(B1631,S1631)+1))))</f>
        <v/>
      </c>
    </row>
    <row r="1632" customFormat="false" ht="15" hidden="false" customHeight="false" outlineLevel="0" collapsed="false">
      <c r="B1632" s="78"/>
      <c r="C1632" s="64"/>
      <c r="D1632" s="70" t="str">
        <f aca="false">IF(C1632="","",IFERROR(INDEX(T_NOMBRE,MATCH(C1632,T_ID,0)),"⚠ ID no existe"))</f>
        <v/>
      </c>
      <c r="E1632" s="69"/>
      <c r="F1632" s="69"/>
      <c r="G1632" s="69"/>
      <c r="H1632" s="69"/>
      <c r="I1632" s="66"/>
      <c r="J1632" s="69"/>
      <c r="K1632" s="67"/>
      <c r="L1632" s="67"/>
      <c r="M1632" s="67"/>
      <c r="N1632" s="67"/>
      <c r="O1632" s="64"/>
      <c r="P1632" s="72" t="str">
        <f aca="false">IF(OR(B1632="",C1632=""),"",C1632&amp;"|"&amp;(YEAR(B1632)*100+MONTH(B1632)))</f>
        <v/>
      </c>
      <c r="Q1632" s="70" t="str">
        <f aca="false">IF(P1632="","",IF(COUNTIF(N_CLAVE,P1632)&gt;1,"⚠ Duplicado","OK"))</f>
        <v/>
      </c>
      <c r="R1632" s="74" t="str">
        <f aca="false">IF(OR(P1632="",U1632=""),"",MAX(0,U1632-N(E1632)-N(F1632)-N(H1632)))</f>
        <v/>
      </c>
      <c r="S1632" s="75" t="str">
        <f aca="false">IF(P1632="","",IFERROR(INDEX(T_INGRESO,MATCH(C1632,T_ID,0)),""))</f>
        <v/>
      </c>
      <c r="T1632" s="75" t="str">
        <f aca="false">IF(P1632="","",IFERROR(N(INDEX(T_EGRESO,MATCH(C1632,T_ID,0))),0))</f>
        <v/>
      </c>
      <c r="U1632" s="73" t="str">
        <f aca="false">IF(OR(P1632="",NOT(ISNUMBER(S1632))),"",IF(OR(S1632&gt;EOMONTH(B1632,0),AND(T1632&gt;0,T1632&lt;B1632)),0,IF(AND(S1632&lt;=B1632,OR(T1632=0,T1632&gt;=EOMONTH(B1632,0))),30,MIN(30,IF(T1632=0,EOMONTH(B1632,0),MIN(T1632,EOMONTH(B1632,0)))-MAX(B1632,S1632)+1))))</f>
        <v/>
      </c>
    </row>
    <row r="1633" customFormat="false" ht="15" hidden="false" customHeight="false" outlineLevel="0" collapsed="false">
      <c r="B1633" s="78"/>
      <c r="C1633" s="64"/>
      <c r="D1633" s="70" t="str">
        <f aca="false">IF(C1633="","",IFERROR(INDEX(T_NOMBRE,MATCH(C1633,T_ID,0)),"⚠ ID no existe"))</f>
        <v/>
      </c>
      <c r="E1633" s="69"/>
      <c r="F1633" s="69"/>
      <c r="G1633" s="69"/>
      <c r="H1633" s="69"/>
      <c r="I1633" s="66"/>
      <c r="J1633" s="69"/>
      <c r="K1633" s="67"/>
      <c r="L1633" s="67"/>
      <c r="M1633" s="67"/>
      <c r="N1633" s="67"/>
      <c r="O1633" s="64"/>
      <c r="P1633" s="72" t="str">
        <f aca="false">IF(OR(B1633="",C1633=""),"",C1633&amp;"|"&amp;(YEAR(B1633)*100+MONTH(B1633)))</f>
        <v/>
      </c>
      <c r="Q1633" s="70" t="str">
        <f aca="false">IF(P1633="","",IF(COUNTIF(N_CLAVE,P1633)&gt;1,"⚠ Duplicado","OK"))</f>
        <v/>
      </c>
      <c r="R1633" s="74" t="str">
        <f aca="false">IF(OR(P1633="",U1633=""),"",MAX(0,U1633-N(E1633)-N(F1633)-N(H1633)))</f>
        <v/>
      </c>
      <c r="S1633" s="75" t="str">
        <f aca="false">IF(P1633="","",IFERROR(INDEX(T_INGRESO,MATCH(C1633,T_ID,0)),""))</f>
        <v/>
      </c>
      <c r="T1633" s="75" t="str">
        <f aca="false">IF(P1633="","",IFERROR(N(INDEX(T_EGRESO,MATCH(C1633,T_ID,0))),0))</f>
        <v/>
      </c>
      <c r="U1633" s="73" t="str">
        <f aca="false">IF(OR(P1633="",NOT(ISNUMBER(S1633))),"",IF(OR(S1633&gt;EOMONTH(B1633,0),AND(T1633&gt;0,T1633&lt;B1633)),0,IF(AND(S1633&lt;=B1633,OR(T1633=0,T1633&gt;=EOMONTH(B1633,0))),30,MIN(30,IF(T1633=0,EOMONTH(B1633,0),MIN(T1633,EOMONTH(B1633,0)))-MAX(B1633,S1633)+1))))</f>
        <v/>
      </c>
    </row>
    <row r="1634" customFormat="false" ht="15" hidden="false" customHeight="false" outlineLevel="0" collapsed="false">
      <c r="B1634" s="78"/>
      <c r="C1634" s="64"/>
      <c r="D1634" s="70" t="str">
        <f aca="false">IF(C1634="","",IFERROR(INDEX(T_NOMBRE,MATCH(C1634,T_ID,0)),"⚠ ID no existe"))</f>
        <v/>
      </c>
      <c r="E1634" s="69"/>
      <c r="F1634" s="69"/>
      <c r="G1634" s="69"/>
      <c r="H1634" s="69"/>
      <c r="I1634" s="66"/>
      <c r="J1634" s="69"/>
      <c r="K1634" s="67"/>
      <c r="L1634" s="67"/>
      <c r="M1634" s="67"/>
      <c r="N1634" s="67"/>
      <c r="O1634" s="64"/>
      <c r="P1634" s="72" t="str">
        <f aca="false">IF(OR(B1634="",C1634=""),"",C1634&amp;"|"&amp;(YEAR(B1634)*100+MONTH(B1634)))</f>
        <v/>
      </c>
      <c r="Q1634" s="70" t="str">
        <f aca="false">IF(P1634="","",IF(COUNTIF(N_CLAVE,P1634)&gt;1,"⚠ Duplicado","OK"))</f>
        <v/>
      </c>
      <c r="R1634" s="74" t="str">
        <f aca="false">IF(OR(P1634="",U1634=""),"",MAX(0,U1634-N(E1634)-N(F1634)-N(H1634)))</f>
        <v/>
      </c>
      <c r="S1634" s="75" t="str">
        <f aca="false">IF(P1634="","",IFERROR(INDEX(T_INGRESO,MATCH(C1634,T_ID,0)),""))</f>
        <v/>
      </c>
      <c r="T1634" s="75" t="str">
        <f aca="false">IF(P1634="","",IFERROR(N(INDEX(T_EGRESO,MATCH(C1634,T_ID,0))),0))</f>
        <v/>
      </c>
      <c r="U1634" s="73" t="str">
        <f aca="false">IF(OR(P1634="",NOT(ISNUMBER(S1634))),"",IF(OR(S1634&gt;EOMONTH(B1634,0),AND(T1634&gt;0,T1634&lt;B1634)),0,IF(AND(S1634&lt;=B1634,OR(T1634=0,T1634&gt;=EOMONTH(B1634,0))),30,MIN(30,IF(T1634=0,EOMONTH(B1634,0),MIN(T1634,EOMONTH(B1634,0)))-MAX(B1634,S1634)+1))))</f>
        <v/>
      </c>
    </row>
    <row r="1635" customFormat="false" ht="15" hidden="false" customHeight="false" outlineLevel="0" collapsed="false">
      <c r="B1635" s="78"/>
      <c r="C1635" s="64"/>
      <c r="D1635" s="70" t="str">
        <f aca="false">IF(C1635="","",IFERROR(INDEX(T_NOMBRE,MATCH(C1635,T_ID,0)),"⚠ ID no existe"))</f>
        <v/>
      </c>
      <c r="E1635" s="69"/>
      <c r="F1635" s="69"/>
      <c r="G1635" s="69"/>
      <c r="H1635" s="69"/>
      <c r="I1635" s="66"/>
      <c r="J1635" s="69"/>
      <c r="K1635" s="67"/>
      <c r="L1635" s="67"/>
      <c r="M1635" s="67"/>
      <c r="N1635" s="67"/>
      <c r="O1635" s="64"/>
      <c r="P1635" s="72" t="str">
        <f aca="false">IF(OR(B1635="",C1635=""),"",C1635&amp;"|"&amp;(YEAR(B1635)*100+MONTH(B1635)))</f>
        <v/>
      </c>
      <c r="Q1635" s="70" t="str">
        <f aca="false">IF(P1635="","",IF(COUNTIF(N_CLAVE,P1635)&gt;1,"⚠ Duplicado","OK"))</f>
        <v/>
      </c>
      <c r="R1635" s="74" t="str">
        <f aca="false">IF(OR(P1635="",U1635=""),"",MAX(0,U1635-N(E1635)-N(F1635)-N(H1635)))</f>
        <v/>
      </c>
      <c r="S1635" s="75" t="str">
        <f aca="false">IF(P1635="","",IFERROR(INDEX(T_INGRESO,MATCH(C1635,T_ID,0)),""))</f>
        <v/>
      </c>
      <c r="T1635" s="75" t="str">
        <f aca="false">IF(P1635="","",IFERROR(N(INDEX(T_EGRESO,MATCH(C1635,T_ID,0))),0))</f>
        <v/>
      </c>
      <c r="U1635" s="73" t="str">
        <f aca="false">IF(OR(P1635="",NOT(ISNUMBER(S1635))),"",IF(OR(S1635&gt;EOMONTH(B1635,0),AND(T1635&gt;0,T1635&lt;B1635)),0,IF(AND(S1635&lt;=B1635,OR(T1635=0,T1635&gt;=EOMONTH(B1635,0))),30,MIN(30,IF(T1635=0,EOMONTH(B1635,0),MIN(T1635,EOMONTH(B1635,0)))-MAX(B1635,S1635)+1))))</f>
        <v/>
      </c>
    </row>
    <row r="1636" customFormat="false" ht="15" hidden="false" customHeight="false" outlineLevel="0" collapsed="false">
      <c r="B1636" s="78"/>
      <c r="C1636" s="64"/>
      <c r="D1636" s="70" t="str">
        <f aca="false">IF(C1636="","",IFERROR(INDEX(T_NOMBRE,MATCH(C1636,T_ID,0)),"⚠ ID no existe"))</f>
        <v/>
      </c>
      <c r="E1636" s="69"/>
      <c r="F1636" s="69"/>
      <c r="G1636" s="69"/>
      <c r="H1636" s="69"/>
      <c r="I1636" s="66"/>
      <c r="J1636" s="69"/>
      <c r="K1636" s="67"/>
      <c r="L1636" s="67"/>
      <c r="M1636" s="67"/>
      <c r="N1636" s="67"/>
      <c r="O1636" s="64"/>
      <c r="P1636" s="72" t="str">
        <f aca="false">IF(OR(B1636="",C1636=""),"",C1636&amp;"|"&amp;(YEAR(B1636)*100+MONTH(B1636)))</f>
        <v/>
      </c>
      <c r="Q1636" s="70" t="str">
        <f aca="false">IF(P1636="","",IF(COUNTIF(N_CLAVE,P1636)&gt;1,"⚠ Duplicado","OK"))</f>
        <v/>
      </c>
      <c r="R1636" s="74" t="str">
        <f aca="false">IF(OR(P1636="",U1636=""),"",MAX(0,U1636-N(E1636)-N(F1636)-N(H1636)))</f>
        <v/>
      </c>
      <c r="S1636" s="75" t="str">
        <f aca="false">IF(P1636="","",IFERROR(INDEX(T_INGRESO,MATCH(C1636,T_ID,0)),""))</f>
        <v/>
      </c>
      <c r="T1636" s="75" t="str">
        <f aca="false">IF(P1636="","",IFERROR(N(INDEX(T_EGRESO,MATCH(C1636,T_ID,0))),0))</f>
        <v/>
      </c>
      <c r="U1636" s="73" t="str">
        <f aca="false">IF(OR(P1636="",NOT(ISNUMBER(S1636))),"",IF(OR(S1636&gt;EOMONTH(B1636,0),AND(T1636&gt;0,T1636&lt;B1636)),0,IF(AND(S1636&lt;=B1636,OR(T1636=0,T1636&gt;=EOMONTH(B1636,0))),30,MIN(30,IF(T1636=0,EOMONTH(B1636,0),MIN(T1636,EOMONTH(B1636,0)))-MAX(B1636,S1636)+1))))</f>
        <v/>
      </c>
    </row>
    <row r="1637" customFormat="false" ht="15" hidden="false" customHeight="false" outlineLevel="0" collapsed="false">
      <c r="B1637" s="78"/>
      <c r="C1637" s="64"/>
      <c r="D1637" s="70" t="str">
        <f aca="false">IF(C1637="","",IFERROR(INDEX(T_NOMBRE,MATCH(C1637,T_ID,0)),"⚠ ID no existe"))</f>
        <v/>
      </c>
      <c r="E1637" s="69"/>
      <c r="F1637" s="69"/>
      <c r="G1637" s="69"/>
      <c r="H1637" s="69"/>
      <c r="I1637" s="66"/>
      <c r="J1637" s="69"/>
      <c r="K1637" s="67"/>
      <c r="L1637" s="67"/>
      <c r="M1637" s="67"/>
      <c r="N1637" s="67"/>
      <c r="O1637" s="64"/>
      <c r="P1637" s="72" t="str">
        <f aca="false">IF(OR(B1637="",C1637=""),"",C1637&amp;"|"&amp;(YEAR(B1637)*100+MONTH(B1637)))</f>
        <v/>
      </c>
      <c r="Q1637" s="70" t="str">
        <f aca="false">IF(P1637="","",IF(COUNTIF(N_CLAVE,P1637)&gt;1,"⚠ Duplicado","OK"))</f>
        <v/>
      </c>
      <c r="R1637" s="74" t="str">
        <f aca="false">IF(OR(P1637="",U1637=""),"",MAX(0,U1637-N(E1637)-N(F1637)-N(H1637)))</f>
        <v/>
      </c>
      <c r="S1637" s="75" t="str">
        <f aca="false">IF(P1637="","",IFERROR(INDEX(T_INGRESO,MATCH(C1637,T_ID,0)),""))</f>
        <v/>
      </c>
      <c r="T1637" s="75" t="str">
        <f aca="false">IF(P1637="","",IFERROR(N(INDEX(T_EGRESO,MATCH(C1637,T_ID,0))),0))</f>
        <v/>
      </c>
      <c r="U1637" s="73" t="str">
        <f aca="false">IF(OR(P1637="",NOT(ISNUMBER(S1637))),"",IF(OR(S1637&gt;EOMONTH(B1637,0),AND(T1637&gt;0,T1637&lt;B1637)),0,IF(AND(S1637&lt;=B1637,OR(T1637=0,T1637&gt;=EOMONTH(B1637,0))),30,MIN(30,IF(T1637=0,EOMONTH(B1637,0),MIN(T1637,EOMONTH(B1637,0)))-MAX(B1637,S1637)+1))))</f>
        <v/>
      </c>
    </row>
    <row r="1638" customFormat="false" ht="15" hidden="false" customHeight="false" outlineLevel="0" collapsed="false">
      <c r="B1638" s="78"/>
      <c r="C1638" s="64"/>
      <c r="D1638" s="70" t="str">
        <f aca="false">IF(C1638="","",IFERROR(INDEX(T_NOMBRE,MATCH(C1638,T_ID,0)),"⚠ ID no existe"))</f>
        <v/>
      </c>
      <c r="E1638" s="69"/>
      <c r="F1638" s="69"/>
      <c r="G1638" s="69"/>
      <c r="H1638" s="69"/>
      <c r="I1638" s="66"/>
      <c r="J1638" s="69"/>
      <c r="K1638" s="67"/>
      <c r="L1638" s="67"/>
      <c r="M1638" s="67"/>
      <c r="N1638" s="67"/>
      <c r="O1638" s="64"/>
      <c r="P1638" s="72" t="str">
        <f aca="false">IF(OR(B1638="",C1638=""),"",C1638&amp;"|"&amp;(YEAR(B1638)*100+MONTH(B1638)))</f>
        <v/>
      </c>
      <c r="Q1638" s="70" t="str">
        <f aca="false">IF(P1638="","",IF(COUNTIF(N_CLAVE,P1638)&gt;1,"⚠ Duplicado","OK"))</f>
        <v/>
      </c>
      <c r="R1638" s="74" t="str">
        <f aca="false">IF(OR(P1638="",U1638=""),"",MAX(0,U1638-N(E1638)-N(F1638)-N(H1638)))</f>
        <v/>
      </c>
      <c r="S1638" s="75" t="str">
        <f aca="false">IF(P1638="","",IFERROR(INDEX(T_INGRESO,MATCH(C1638,T_ID,0)),""))</f>
        <v/>
      </c>
      <c r="T1638" s="75" t="str">
        <f aca="false">IF(P1638="","",IFERROR(N(INDEX(T_EGRESO,MATCH(C1638,T_ID,0))),0))</f>
        <v/>
      </c>
      <c r="U1638" s="73" t="str">
        <f aca="false">IF(OR(P1638="",NOT(ISNUMBER(S1638))),"",IF(OR(S1638&gt;EOMONTH(B1638,0),AND(T1638&gt;0,T1638&lt;B1638)),0,IF(AND(S1638&lt;=B1638,OR(T1638=0,T1638&gt;=EOMONTH(B1638,0))),30,MIN(30,IF(T1638=0,EOMONTH(B1638,0),MIN(T1638,EOMONTH(B1638,0)))-MAX(B1638,S1638)+1))))</f>
        <v/>
      </c>
    </row>
    <row r="1639" customFormat="false" ht="15" hidden="false" customHeight="false" outlineLevel="0" collapsed="false">
      <c r="B1639" s="78"/>
      <c r="C1639" s="64"/>
      <c r="D1639" s="70" t="str">
        <f aca="false">IF(C1639="","",IFERROR(INDEX(T_NOMBRE,MATCH(C1639,T_ID,0)),"⚠ ID no existe"))</f>
        <v/>
      </c>
      <c r="E1639" s="69"/>
      <c r="F1639" s="69"/>
      <c r="G1639" s="69"/>
      <c r="H1639" s="69"/>
      <c r="I1639" s="66"/>
      <c r="J1639" s="69"/>
      <c r="K1639" s="67"/>
      <c r="L1639" s="67"/>
      <c r="M1639" s="67"/>
      <c r="N1639" s="67"/>
      <c r="O1639" s="64"/>
      <c r="P1639" s="72" t="str">
        <f aca="false">IF(OR(B1639="",C1639=""),"",C1639&amp;"|"&amp;(YEAR(B1639)*100+MONTH(B1639)))</f>
        <v/>
      </c>
      <c r="Q1639" s="70" t="str">
        <f aca="false">IF(P1639="","",IF(COUNTIF(N_CLAVE,P1639)&gt;1,"⚠ Duplicado","OK"))</f>
        <v/>
      </c>
      <c r="R1639" s="74" t="str">
        <f aca="false">IF(OR(P1639="",U1639=""),"",MAX(0,U1639-N(E1639)-N(F1639)-N(H1639)))</f>
        <v/>
      </c>
      <c r="S1639" s="75" t="str">
        <f aca="false">IF(P1639="","",IFERROR(INDEX(T_INGRESO,MATCH(C1639,T_ID,0)),""))</f>
        <v/>
      </c>
      <c r="T1639" s="75" t="str">
        <f aca="false">IF(P1639="","",IFERROR(N(INDEX(T_EGRESO,MATCH(C1639,T_ID,0))),0))</f>
        <v/>
      </c>
      <c r="U1639" s="73" t="str">
        <f aca="false">IF(OR(P1639="",NOT(ISNUMBER(S1639))),"",IF(OR(S1639&gt;EOMONTH(B1639,0),AND(T1639&gt;0,T1639&lt;B1639)),0,IF(AND(S1639&lt;=B1639,OR(T1639=0,T1639&gt;=EOMONTH(B1639,0))),30,MIN(30,IF(T1639=0,EOMONTH(B1639,0),MIN(T1639,EOMONTH(B1639,0)))-MAX(B1639,S1639)+1))))</f>
        <v/>
      </c>
    </row>
    <row r="1640" customFormat="false" ht="15" hidden="false" customHeight="false" outlineLevel="0" collapsed="false">
      <c r="B1640" s="78"/>
      <c r="C1640" s="64"/>
      <c r="D1640" s="70" t="str">
        <f aca="false">IF(C1640="","",IFERROR(INDEX(T_NOMBRE,MATCH(C1640,T_ID,0)),"⚠ ID no existe"))</f>
        <v/>
      </c>
      <c r="E1640" s="69"/>
      <c r="F1640" s="69"/>
      <c r="G1640" s="69"/>
      <c r="H1640" s="69"/>
      <c r="I1640" s="66"/>
      <c r="J1640" s="69"/>
      <c r="K1640" s="67"/>
      <c r="L1640" s="67"/>
      <c r="M1640" s="67"/>
      <c r="N1640" s="67"/>
      <c r="O1640" s="64"/>
      <c r="P1640" s="72" t="str">
        <f aca="false">IF(OR(B1640="",C1640=""),"",C1640&amp;"|"&amp;(YEAR(B1640)*100+MONTH(B1640)))</f>
        <v/>
      </c>
      <c r="Q1640" s="70" t="str">
        <f aca="false">IF(P1640="","",IF(COUNTIF(N_CLAVE,P1640)&gt;1,"⚠ Duplicado","OK"))</f>
        <v/>
      </c>
      <c r="R1640" s="74" t="str">
        <f aca="false">IF(OR(P1640="",U1640=""),"",MAX(0,U1640-N(E1640)-N(F1640)-N(H1640)))</f>
        <v/>
      </c>
      <c r="S1640" s="75" t="str">
        <f aca="false">IF(P1640="","",IFERROR(INDEX(T_INGRESO,MATCH(C1640,T_ID,0)),""))</f>
        <v/>
      </c>
      <c r="T1640" s="75" t="str">
        <f aca="false">IF(P1640="","",IFERROR(N(INDEX(T_EGRESO,MATCH(C1640,T_ID,0))),0))</f>
        <v/>
      </c>
      <c r="U1640" s="73" t="str">
        <f aca="false">IF(OR(P1640="",NOT(ISNUMBER(S1640))),"",IF(OR(S1640&gt;EOMONTH(B1640,0),AND(T1640&gt;0,T1640&lt;B1640)),0,IF(AND(S1640&lt;=B1640,OR(T1640=0,T1640&gt;=EOMONTH(B1640,0))),30,MIN(30,IF(T1640=0,EOMONTH(B1640,0),MIN(T1640,EOMONTH(B1640,0)))-MAX(B1640,S1640)+1))))</f>
        <v/>
      </c>
    </row>
    <row r="1641" customFormat="false" ht="15" hidden="false" customHeight="false" outlineLevel="0" collapsed="false">
      <c r="B1641" s="78"/>
      <c r="C1641" s="64"/>
      <c r="D1641" s="70" t="str">
        <f aca="false">IF(C1641="","",IFERROR(INDEX(T_NOMBRE,MATCH(C1641,T_ID,0)),"⚠ ID no existe"))</f>
        <v/>
      </c>
      <c r="E1641" s="69"/>
      <c r="F1641" s="69"/>
      <c r="G1641" s="69"/>
      <c r="H1641" s="69"/>
      <c r="I1641" s="66"/>
      <c r="J1641" s="69"/>
      <c r="K1641" s="67"/>
      <c r="L1641" s="67"/>
      <c r="M1641" s="67"/>
      <c r="N1641" s="67"/>
      <c r="O1641" s="64"/>
      <c r="P1641" s="72" t="str">
        <f aca="false">IF(OR(B1641="",C1641=""),"",C1641&amp;"|"&amp;(YEAR(B1641)*100+MONTH(B1641)))</f>
        <v/>
      </c>
      <c r="Q1641" s="70" t="str">
        <f aca="false">IF(P1641="","",IF(COUNTIF(N_CLAVE,P1641)&gt;1,"⚠ Duplicado","OK"))</f>
        <v/>
      </c>
      <c r="R1641" s="74" t="str">
        <f aca="false">IF(OR(P1641="",U1641=""),"",MAX(0,U1641-N(E1641)-N(F1641)-N(H1641)))</f>
        <v/>
      </c>
      <c r="S1641" s="75" t="str">
        <f aca="false">IF(P1641="","",IFERROR(INDEX(T_INGRESO,MATCH(C1641,T_ID,0)),""))</f>
        <v/>
      </c>
      <c r="T1641" s="75" t="str">
        <f aca="false">IF(P1641="","",IFERROR(N(INDEX(T_EGRESO,MATCH(C1641,T_ID,0))),0))</f>
        <v/>
      </c>
      <c r="U1641" s="73" t="str">
        <f aca="false">IF(OR(P1641="",NOT(ISNUMBER(S1641))),"",IF(OR(S1641&gt;EOMONTH(B1641,0),AND(T1641&gt;0,T1641&lt;B1641)),0,IF(AND(S1641&lt;=B1641,OR(T1641=0,T1641&gt;=EOMONTH(B1641,0))),30,MIN(30,IF(T1641=0,EOMONTH(B1641,0),MIN(T1641,EOMONTH(B1641,0)))-MAX(B1641,S1641)+1))))</f>
        <v/>
      </c>
    </row>
    <row r="1642" customFormat="false" ht="15" hidden="false" customHeight="false" outlineLevel="0" collapsed="false">
      <c r="B1642" s="78"/>
      <c r="C1642" s="64"/>
      <c r="D1642" s="70" t="str">
        <f aca="false">IF(C1642="","",IFERROR(INDEX(T_NOMBRE,MATCH(C1642,T_ID,0)),"⚠ ID no existe"))</f>
        <v/>
      </c>
      <c r="E1642" s="69"/>
      <c r="F1642" s="69"/>
      <c r="G1642" s="69"/>
      <c r="H1642" s="69"/>
      <c r="I1642" s="66"/>
      <c r="J1642" s="69"/>
      <c r="K1642" s="67"/>
      <c r="L1642" s="67"/>
      <c r="M1642" s="67"/>
      <c r="N1642" s="67"/>
      <c r="O1642" s="64"/>
      <c r="P1642" s="72" t="str">
        <f aca="false">IF(OR(B1642="",C1642=""),"",C1642&amp;"|"&amp;(YEAR(B1642)*100+MONTH(B1642)))</f>
        <v/>
      </c>
      <c r="Q1642" s="70" t="str">
        <f aca="false">IF(P1642="","",IF(COUNTIF(N_CLAVE,P1642)&gt;1,"⚠ Duplicado","OK"))</f>
        <v/>
      </c>
      <c r="R1642" s="74" t="str">
        <f aca="false">IF(OR(P1642="",U1642=""),"",MAX(0,U1642-N(E1642)-N(F1642)-N(H1642)))</f>
        <v/>
      </c>
      <c r="S1642" s="75" t="str">
        <f aca="false">IF(P1642="","",IFERROR(INDEX(T_INGRESO,MATCH(C1642,T_ID,0)),""))</f>
        <v/>
      </c>
      <c r="T1642" s="75" t="str">
        <f aca="false">IF(P1642="","",IFERROR(N(INDEX(T_EGRESO,MATCH(C1642,T_ID,0))),0))</f>
        <v/>
      </c>
      <c r="U1642" s="73" t="str">
        <f aca="false">IF(OR(P1642="",NOT(ISNUMBER(S1642))),"",IF(OR(S1642&gt;EOMONTH(B1642,0),AND(T1642&gt;0,T1642&lt;B1642)),0,IF(AND(S1642&lt;=B1642,OR(T1642=0,T1642&gt;=EOMONTH(B1642,0))),30,MIN(30,IF(T1642=0,EOMONTH(B1642,0),MIN(T1642,EOMONTH(B1642,0)))-MAX(B1642,S1642)+1))))</f>
        <v/>
      </c>
    </row>
    <row r="1643" customFormat="false" ht="15" hidden="false" customHeight="false" outlineLevel="0" collapsed="false">
      <c r="B1643" s="78"/>
      <c r="C1643" s="64"/>
      <c r="D1643" s="70" t="str">
        <f aca="false">IF(C1643="","",IFERROR(INDEX(T_NOMBRE,MATCH(C1643,T_ID,0)),"⚠ ID no existe"))</f>
        <v/>
      </c>
      <c r="E1643" s="69"/>
      <c r="F1643" s="69"/>
      <c r="G1643" s="69"/>
      <c r="H1643" s="69"/>
      <c r="I1643" s="66"/>
      <c r="J1643" s="69"/>
      <c r="K1643" s="67"/>
      <c r="L1643" s="67"/>
      <c r="M1643" s="67"/>
      <c r="N1643" s="67"/>
      <c r="O1643" s="64"/>
      <c r="P1643" s="72" t="str">
        <f aca="false">IF(OR(B1643="",C1643=""),"",C1643&amp;"|"&amp;(YEAR(B1643)*100+MONTH(B1643)))</f>
        <v/>
      </c>
      <c r="Q1643" s="70" t="str">
        <f aca="false">IF(P1643="","",IF(COUNTIF(N_CLAVE,P1643)&gt;1,"⚠ Duplicado","OK"))</f>
        <v/>
      </c>
      <c r="R1643" s="74" t="str">
        <f aca="false">IF(OR(P1643="",U1643=""),"",MAX(0,U1643-N(E1643)-N(F1643)-N(H1643)))</f>
        <v/>
      </c>
      <c r="S1643" s="75" t="str">
        <f aca="false">IF(P1643="","",IFERROR(INDEX(T_INGRESO,MATCH(C1643,T_ID,0)),""))</f>
        <v/>
      </c>
      <c r="T1643" s="75" t="str">
        <f aca="false">IF(P1643="","",IFERROR(N(INDEX(T_EGRESO,MATCH(C1643,T_ID,0))),0))</f>
        <v/>
      </c>
      <c r="U1643" s="73" t="str">
        <f aca="false">IF(OR(P1643="",NOT(ISNUMBER(S1643))),"",IF(OR(S1643&gt;EOMONTH(B1643,0),AND(T1643&gt;0,T1643&lt;B1643)),0,IF(AND(S1643&lt;=B1643,OR(T1643=0,T1643&gt;=EOMONTH(B1643,0))),30,MIN(30,IF(T1643=0,EOMONTH(B1643,0),MIN(T1643,EOMONTH(B1643,0)))-MAX(B1643,S1643)+1))))</f>
        <v/>
      </c>
    </row>
    <row r="1644" customFormat="false" ht="15" hidden="false" customHeight="false" outlineLevel="0" collapsed="false">
      <c r="B1644" s="78"/>
      <c r="C1644" s="64"/>
      <c r="D1644" s="70" t="str">
        <f aca="false">IF(C1644="","",IFERROR(INDEX(T_NOMBRE,MATCH(C1644,T_ID,0)),"⚠ ID no existe"))</f>
        <v/>
      </c>
      <c r="E1644" s="69"/>
      <c r="F1644" s="69"/>
      <c r="G1644" s="69"/>
      <c r="H1644" s="69"/>
      <c r="I1644" s="66"/>
      <c r="J1644" s="69"/>
      <c r="K1644" s="67"/>
      <c r="L1644" s="67"/>
      <c r="M1644" s="67"/>
      <c r="N1644" s="67"/>
      <c r="O1644" s="64"/>
      <c r="P1644" s="72" t="str">
        <f aca="false">IF(OR(B1644="",C1644=""),"",C1644&amp;"|"&amp;(YEAR(B1644)*100+MONTH(B1644)))</f>
        <v/>
      </c>
      <c r="Q1644" s="70" t="str">
        <f aca="false">IF(P1644="","",IF(COUNTIF(N_CLAVE,P1644)&gt;1,"⚠ Duplicado","OK"))</f>
        <v/>
      </c>
      <c r="R1644" s="74" t="str">
        <f aca="false">IF(OR(P1644="",U1644=""),"",MAX(0,U1644-N(E1644)-N(F1644)-N(H1644)))</f>
        <v/>
      </c>
      <c r="S1644" s="75" t="str">
        <f aca="false">IF(P1644="","",IFERROR(INDEX(T_INGRESO,MATCH(C1644,T_ID,0)),""))</f>
        <v/>
      </c>
      <c r="T1644" s="75" t="str">
        <f aca="false">IF(P1644="","",IFERROR(N(INDEX(T_EGRESO,MATCH(C1644,T_ID,0))),0))</f>
        <v/>
      </c>
      <c r="U1644" s="73" t="str">
        <f aca="false">IF(OR(P1644="",NOT(ISNUMBER(S1644))),"",IF(OR(S1644&gt;EOMONTH(B1644,0),AND(T1644&gt;0,T1644&lt;B1644)),0,IF(AND(S1644&lt;=B1644,OR(T1644=0,T1644&gt;=EOMONTH(B1644,0))),30,MIN(30,IF(T1644=0,EOMONTH(B1644,0),MIN(T1644,EOMONTH(B1644,0)))-MAX(B1644,S1644)+1))))</f>
        <v/>
      </c>
    </row>
    <row r="1645" customFormat="false" ht="15" hidden="false" customHeight="false" outlineLevel="0" collapsed="false">
      <c r="B1645" s="78"/>
      <c r="C1645" s="64"/>
      <c r="D1645" s="70" t="str">
        <f aca="false">IF(C1645="","",IFERROR(INDEX(T_NOMBRE,MATCH(C1645,T_ID,0)),"⚠ ID no existe"))</f>
        <v/>
      </c>
      <c r="E1645" s="69"/>
      <c r="F1645" s="69"/>
      <c r="G1645" s="69"/>
      <c r="H1645" s="69"/>
      <c r="I1645" s="66"/>
      <c r="J1645" s="69"/>
      <c r="K1645" s="67"/>
      <c r="L1645" s="67"/>
      <c r="M1645" s="67"/>
      <c r="N1645" s="67"/>
      <c r="O1645" s="64"/>
      <c r="P1645" s="72" t="str">
        <f aca="false">IF(OR(B1645="",C1645=""),"",C1645&amp;"|"&amp;(YEAR(B1645)*100+MONTH(B1645)))</f>
        <v/>
      </c>
      <c r="Q1645" s="70" t="str">
        <f aca="false">IF(P1645="","",IF(COUNTIF(N_CLAVE,P1645)&gt;1,"⚠ Duplicado","OK"))</f>
        <v/>
      </c>
      <c r="R1645" s="74" t="str">
        <f aca="false">IF(OR(P1645="",U1645=""),"",MAX(0,U1645-N(E1645)-N(F1645)-N(H1645)))</f>
        <v/>
      </c>
      <c r="S1645" s="75" t="str">
        <f aca="false">IF(P1645="","",IFERROR(INDEX(T_INGRESO,MATCH(C1645,T_ID,0)),""))</f>
        <v/>
      </c>
      <c r="T1645" s="75" t="str">
        <f aca="false">IF(P1645="","",IFERROR(N(INDEX(T_EGRESO,MATCH(C1645,T_ID,0))),0))</f>
        <v/>
      </c>
      <c r="U1645" s="73" t="str">
        <f aca="false">IF(OR(P1645="",NOT(ISNUMBER(S1645))),"",IF(OR(S1645&gt;EOMONTH(B1645,0),AND(T1645&gt;0,T1645&lt;B1645)),0,IF(AND(S1645&lt;=B1645,OR(T1645=0,T1645&gt;=EOMONTH(B1645,0))),30,MIN(30,IF(T1645=0,EOMONTH(B1645,0),MIN(T1645,EOMONTH(B1645,0)))-MAX(B1645,S1645)+1))))</f>
        <v/>
      </c>
    </row>
    <row r="1646" customFormat="false" ht="15" hidden="false" customHeight="false" outlineLevel="0" collapsed="false">
      <c r="B1646" s="78"/>
      <c r="C1646" s="64"/>
      <c r="D1646" s="70" t="str">
        <f aca="false">IF(C1646="","",IFERROR(INDEX(T_NOMBRE,MATCH(C1646,T_ID,0)),"⚠ ID no existe"))</f>
        <v/>
      </c>
      <c r="E1646" s="69"/>
      <c r="F1646" s="69"/>
      <c r="G1646" s="69"/>
      <c r="H1646" s="69"/>
      <c r="I1646" s="66"/>
      <c r="J1646" s="69"/>
      <c r="K1646" s="67"/>
      <c r="L1646" s="67"/>
      <c r="M1646" s="67"/>
      <c r="N1646" s="67"/>
      <c r="O1646" s="64"/>
      <c r="P1646" s="72" t="str">
        <f aca="false">IF(OR(B1646="",C1646=""),"",C1646&amp;"|"&amp;(YEAR(B1646)*100+MONTH(B1646)))</f>
        <v/>
      </c>
      <c r="Q1646" s="70" t="str">
        <f aca="false">IF(P1646="","",IF(COUNTIF(N_CLAVE,P1646)&gt;1,"⚠ Duplicado","OK"))</f>
        <v/>
      </c>
      <c r="R1646" s="74" t="str">
        <f aca="false">IF(OR(P1646="",U1646=""),"",MAX(0,U1646-N(E1646)-N(F1646)-N(H1646)))</f>
        <v/>
      </c>
      <c r="S1646" s="75" t="str">
        <f aca="false">IF(P1646="","",IFERROR(INDEX(T_INGRESO,MATCH(C1646,T_ID,0)),""))</f>
        <v/>
      </c>
      <c r="T1646" s="75" t="str">
        <f aca="false">IF(P1646="","",IFERROR(N(INDEX(T_EGRESO,MATCH(C1646,T_ID,0))),0))</f>
        <v/>
      </c>
      <c r="U1646" s="73" t="str">
        <f aca="false">IF(OR(P1646="",NOT(ISNUMBER(S1646))),"",IF(OR(S1646&gt;EOMONTH(B1646,0),AND(T1646&gt;0,T1646&lt;B1646)),0,IF(AND(S1646&lt;=B1646,OR(T1646=0,T1646&gt;=EOMONTH(B1646,0))),30,MIN(30,IF(T1646=0,EOMONTH(B1646,0),MIN(T1646,EOMONTH(B1646,0)))-MAX(B1646,S1646)+1))))</f>
        <v/>
      </c>
    </row>
    <row r="1647" customFormat="false" ht="15" hidden="false" customHeight="false" outlineLevel="0" collapsed="false">
      <c r="B1647" s="78"/>
      <c r="C1647" s="64"/>
      <c r="D1647" s="70" t="str">
        <f aca="false">IF(C1647="","",IFERROR(INDEX(T_NOMBRE,MATCH(C1647,T_ID,0)),"⚠ ID no existe"))</f>
        <v/>
      </c>
      <c r="E1647" s="69"/>
      <c r="F1647" s="69"/>
      <c r="G1647" s="69"/>
      <c r="H1647" s="69"/>
      <c r="I1647" s="66"/>
      <c r="J1647" s="69"/>
      <c r="K1647" s="67"/>
      <c r="L1647" s="67"/>
      <c r="M1647" s="67"/>
      <c r="N1647" s="67"/>
      <c r="O1647" s="64"/>
      <c r="P1647" s="72" t="str">
        <f aca="false">IF(OR(B1647="",C1647=""),"",C1647&amp;"|"&amp;(YEAR(B1647)*100+MONTH(B1647)))</f>
        <v/>
      </c>
      <c r="Q1647" s="70" t="str">
        <f aca="false">IF(P1647="","",IF(COUNTIF(N_CLAVE,P1647)&gt;1,"⚠ Duplicado","OK"))</f>
        <v/>
      </c>
      <c r="R1647" s="74" t="str">
        <f aca="false">IF(OR(P1647="",U1647=""),"",MAX(0,U1647-N(E1647)-N(F1647)-N(H1647)))</f>
        <v/>
      </c>
      <c r="S1647" s="75" t="str">
        <f aca="false">IF(P1647="","",IFERROR(INDEX(T_INGRESO,MATCH(C1647,T_ID,0)),""))</f>
        <v/>
      </c>
      <c r="T1647" s="75" t="str">
        <f aca="false">IF(P1647="","",IFERROR(N(INDEX(T_EGRESO,MATCH(C1647,T_ID,0))),0))</f>
        <v/>
      </c>
      <c r="U1647" s="73" t="str">
        <f aca="false">IF(OR(P1647="",NOT(ISNUMBER(S1647))),"",IF(OR(S1647&gt;EOMONTH(B1647,0),AND(T1647&gt;0,T1647&lt;B1647)),0,IF(AND(S1647&lt;=B1647,OR(T1647=0,T1647&gt;=EOMONTH(B1647,0))),30,MIN(30,IF(T1647=0,EOMONTH(B1647,0),MIN(T1647,EOMONTH(B1647,0)))-MAX(B1647,S1647)+1))))</f>
        <v/>
      </c>
    </row>
    <row r="1648" customFormat="false" ht="15" hidden="false" customHeight="false" outlineLevel="0" collapsed="false">
      <c r="B1648" s="78"/>
      <c r="C1648" s="64"/>
      <c r="D1648" s="70" t="str">
        <f aca="false">IF(C1648="","",IFERROR(INDEX(T_NOMBRE,MATCH(C1648,T_ID,0)),"⚠ ID no existe"))</f>
        <v/>
      </c>
      <c r="E1648" s="69"/>
      <c r="F1648" s="69"/>
      <c r="G1648" s="69"/>
      <c r="H1648" s="69"/>
      <c r="I1648" s="66"/>
      <c r="J1648" s="69"/>
      <c r="K1648" s="67"/>
      <c r="L1648" s="67"/>
      <c r="M1648" s="67"/>
      <c r="N1648" s="67"/>
      <c r="O1648" s="64"/>
      <c r="P1648" s="72" t="str">
        <f aca="false">IF(OR(B1648="",C1648=""),"",C1648&amp;"|"&amp;(YEAR(B1648)*100+MONTH(B1648)))</f>
        <v/>
      </c>
      <c r="Q1648" s="70" t="str">
        <f aca="false">IF(P1648="","",IF(COUNTIF(N_CLAVE,P1648)&gt;1,"⚠ Duplicado","OK"))</f>
        <v/>
      </c>
      <c r="R1648" s="74" t="str">
        <f aca="false">IF(OR(P1648="",U1648=""),"",MAX(0,U1648-N(E1648)-N(F1648)-N(H1648)))</f>
        <v/>
      </c>
      <c r="S1648" s="75" t="str">
        <f aca="false">IF(P1648="","",IFERROR(INDEX(T_INGRESO,MATCH(C1648,T_ID,0)),""))</f>
        <v/>
      </c>
      <c r="T1648" s="75" t="str">
        <f aca="false">IF(P1648="","",IFERROR(N(INDEX(T_EGRESO,MATCH(C1648,T_ID,0))),0))</f>
        <v/>
      </c>
      <c r="U1648" s="73" t="str">
        <f aca="false">IF(OR(P1648="",NOT(ISNUMBER(S1648))),"",IF(OR(S1648&gt;EOMONTH(B1648,0),AND(T1648&gt;0,T1648&lt;B1648)),0,IF(AND(S1648&lt;=B1648,OR(T1648=0,T1648&gt;=EOMONTH(B1648,0))),30,MIN(30,IF(T1648=0,EOMONTH(B1648,0),MIN(T1648,EOMONTH(B1648,0)))-MAX(B1648,S1648)+1))))</f>
        <v/>
      </c>
    </row>
    <row r="1649" customFormat="false" ht="15" hidden="false" customHeight="false" outlineLevel="0" collapsed="false">
      <c r="B1649" s="78"/>
      <c r="C1649" s="64"/>
      <c r="D1649" s="70" t="str">
        <f aca="false">IF(C1649="","",IFERROR(INDEX(T_NOMBRE,MATCH(C1649,T_ID,0)),"⚠ ID no existe"))</f>
        <v/>
      </c>
      <c r="E1649" s="69"/>
      <c r="F1649" s="69"/>
      <c r="G1649" s="69"/>
      <c r="H1649" s="69"/>
      <c r="I1649" s="66"/>
      <c r="J1649" s="69"/>
      <c r="K1649" s="67"/>
      <c r="L1649" s="67"/>
      <c r="M1649" s="67"/>
      <c r="N1649" s="67"/>
      <c r="O1649" s="64"/>
      <c r="P1649" s="72" t="str">
        <f aca="false">IF(OR(B1649="",C1649=""),"",C1649&amp;"|"&amp;(YEAR(B1649)*100+MONTH(B1649)))</f>
        <v/>
      </c>
      <c r="Q1649" s="70" t="str">
        <f aca="false">IF(P1649="","",IF(COUNTIF(N_CLAVE,P1649)&gt;1,"⚠ Duplicado","OK"))</f>
        <v/>
      </c>
      <c r="R1649" s="74" t="str">
        <f aca="false">IF(OR(P1649="",U1649=""),"",MAX(0,U1649-N(E1649)-N(F1649)-N(H1649)))</f>
        <v/>
      </c>
      <c r="S1649" s="75" t="str">
        <f aca="false">IF(P1649="","",IFERROR(INDEX(T_INGRESO,MATCH(C1649,T_ID,0)),""))</f>
        <v/>
      </c>
      <c r="T1649" s="75" t="str">
        <f aca="false">IF(P1649="","",IFERROR(N(INDEX(T_EGRESO,MATCH(C1649,T_ID,0))),0))</f>
        <v/>
      </c>
      <c r="U1649" s="73" t="str">
        <f aca="false">IF(OR(P1649="",NOT(ISNUMBER(S1649))),"",IF(OR(S1649&gt;EOMONTH(B1649,0),AND(T1649&gt;0,T1649&lt;B1649)),0,IF(AND(S1649&lt;=B1649,OR(T1649=0,T1649&gt;=EOMONTH(B1649,0))),30,MIN(30,IF(T1649=0,EOMONTH(B1649,0),MIN(T1649,EOMONTH(B1649,0)))-MAX(B1649,S1649)+1))))</f>
        <v/>
      </c>
    </row>
    <row r="1650" customFormat="false" ht="15" hidden="false" customHeight="false" outlineLevel="0" collapsed="false">
      <c r="B1650" s="78"/>
      <c r="C1650" s="64"/>
      <c r="D1650" s="70" t="str">
        <f aca="false">IF(C1650="","",IFERROR(INDEX(T_NOMBRE,MATCH(C1650,T_ID,0)),"⚠ ID no existe"))</f>
        <v/>
      </c>
      <c r="E1650" s="69"/>
      <c r="F1650" s="69"/>
      <c r="G1650" s="69"/>
      <c r="H1650" s="69"/>
      <c r="I1650" s="66"/>
      <c r="J1650" s="69"/>
      <c r="K1650" s="67"/>
      <c r="L1650" s="67"/>
      <c r="M1650" s="67"/>
      <c r="N1650" s="67"/>
      <c r="O1650" s="64"/>
      <c r="P1650" s="72" t="str">
        <f aca="false">IF(OR(B1650="",C1650=""),"",C1650&amp;"|"&amp;(YEAR(B1650)*100+MONTH(B1650)))</f>
        <v/>
      </c>
      <c r="Q1650" s="70" t="str">
        <f aca="false">IF(P1650="","",IF(COUNTIF(N_CLAVE,P1650)&gt;1,"⚠ Duplicado","OK"))</f>
        <v/>
      </c>
      <c r="R1650" s="74" t="str">
        <f aca="false">IF(OR(P1650="",U1650=""),"",MAX(0,U1650-N(E1650)-N(F1650)-N(H1650)))</f>
        <v/>
      </c>
      <c r="S1650" s="75" t="str">
        <f aca="false">IF(P1650="","",IFERROR(INDEX(T_INGRESO,MATCH(C1650,T_ID,0)),""))</f>
        <v/>
      </c>
      <c r="T1650" s="75" t="str">
        <f aca="false">IF(P1650="","",IFERROR(N(INDEX(T_EGRESO,MATCH(C1650,T_ID,0))),0))</f>
        <v/>
      </c>
      <c r="U1650" s="73" t="str">
        <f aca="false">IF(OR(P1650="",NOT(ISNUMBER(S1650))),"",IF(OR(S1650&gt;EOMONTH(B1650,0),AND(T1650&gt;0,T1650&lt;B1650)),0,IF(AND(S1650&lt;=B1650,OR(T1650=0,T1650&gt;=EOMONTH(B1650,0))),30,MIN(30,IF(T1650=0,EOMONTH(B1650,0),MIN(T1650,EOMONTH(B1650,0)))-MAX(B1650,S1650)+1))))</f>
        <v/>
      </c>
    </row>
    <row r="1651" customFormat="false" ht="15" hidden="false" customHeight="false" outlineLevel="0" collapsed="false">
      <c r="B1651" s="78"/>
      <c r="C1651" s="64"/>
      <c r="D1651" s="70" t="str">
        <f aca="false">IF(C1651="","",IFERROR(INDEX(T_NOMBRE,MATCH(C1651,T_ID,0)),"⚠ ID no existe"))</f>
        <v/>
      </c>
      <c r="E1651" s="69"/>
      <c r="F1651" s="69"/>
      <c r="G1651" s="69"/>
      <c r="H1651" s="69"/>
      <c r="I1651" s="66"/>
      <c r="J1651" s="69"/>
      <c r="K1651" s="67"/>
      <c r="L1651" s="67"/>
      <c r="M1651" s="67"/>
      <c r="N1651" s="67"/>
      <c r="O1651" s="64"/>
      <c r="P1651" s="72" t="str">
        <f aca="false">IF(OR(B1651="",C1651=""),"",C1651&amp;"|"&amp;(YEAR(B1651)*100+MONTH(B1651)))</f>
        <v/>
      </c>
      <c r="Q1651" s="70" t="str">
        <f aca="false">IF(P1651="","",IF(COUNTIF(N_CLAVE,P1651)&gt;1,"⚠ Duplicado","OK"))</f>
        <v/>
      </c>
      <c r="R1651" s="74" t="str">
        <f aca="false">IF(OR(P1651="",U1651=""),"",MAX(0,U1651-N(E1651)-N(F1651)-N(H1651)))</f>
        <v/>
      </c>
      <c r="S1651" s="75" t="str">
        <f aca="false">IF(P1651="","",IFERROR(INDEX(T_INGRESO,MATCH(C1651,T_ID,0)),""))</f>
        <v/>
      </c>
      <c r="T1651" s="75" t="str">
        <f aca="false">IF(P1651="","",IFERROR(N(INDEX(T_EGRESO,MATCH(C1651,T_ID,0))),0))</f>
        <v/>
      </c>
      <c r="U1651" s="73" t="str">
        <f aca="false">IF(OR(P1651="",NOT(ISNUMBER(S1651))),"",IF(OR(S1651&gt;EOMONTH(B1651,0),AND(T1651&gt;0,T1651&lt;B1651)),0,IF(AND(S1651&lt;=B1651,OR(T1651=0,T1651&gt;=EOMONTH(B1651,0))),30,MIN(30,IF(T1651=0,EOMONTH(B1651,0),MIN(T1651,EOMONTH(B1651,0)))-MAX(B1651,S1651)+1))))</f>
        <v/>
      </c>
    </row>
    <row r="1652" customFormat="false" ht="15" hidden="false" customHeight="false" outlineLevel="0" collapsed="false">
      <c r="B1652" s="78"/>
      <c r="C1652" s="64"/>
      <c r="D1652" s="70" t="str">
        <f aca="false">IF(C1652="","",IFERROR(INDEX(T_NOMBRE,MATCH(C1652,T_ID,0)),"⚠ ID no existe"))</f>
        <v/>
      </c>
      <c r="E1652" s="69"/>
      <c r="F1652" s="69"/>
      <c r="G1652" s="69"/>
      <c r="H1652" s="69"/>
      <c r="I1652" s="66"/>
      <c r="J1652" s="69"/>
      <c r="K1652" s="67"/>
      <c r="L1652" s="67"/>
      <c r="M1652" s="67"/>
      <c r="N1652" s="67"/>
      <c r="O1652" s="64"/>
      <c r="P1652" s="72" t="str">
        <f aca="false">IF(OR(B1652="",C1652=""),"",C1652&amp;"|"&amp;(YEAR(B1652)*100+MONTH(B1652)))</f>
        <v/>
      </c>
      <c r="Q1652" s="70" t="str">
        <f aca="false">IF(P1652="","",IF(COUNTIF(N_CLAVE,P1652)&gt;1,"⚠ Duplicado","OK"))</f>
        <v/>
      </c>
      <c r="R1652" s="74" t="str">
        <f aca="false">IF(OR(P1652="",U1652=""),"",MAX(0,U1652-N(E1652)-N(F1652)-N(H1652)))</f>
        <v/>
      </c>
      <c r="S1652" s="75" t="str">
        <f aca="false">IF(P1652="","",IFERROR(INDEX(T_INGRESO,MATCH(C1652,T_ID,0)),""))</f>
        <v/>
      </c>
      <c r="T1652" s="75" t="str">
        <f aca="false">IF(P1652="","",IFERROR(N(INDEX(T_EGRESO,MATCH(C1652,T_ID,0))),0))</f>
        <v/>
      </c>
      <c r="U1652" s="73" t="str">
        <f aca="false">IF(OR(P1652="",NOT(ISNUMBER(S1652))),"",IF(OR(S1652&gt;EOMONTH(B1652,0),AND(T1652&gt;0,T1652&lt;B1652)),0,IF(AND(S1652&lt;=B1652,OR(T1652=0,T1652&gt;=EOMONTH(B1652,0))),30,MIN(30,IF(T1652=0,EOMONTH(B1652,0),MIN(T1652,EOMONTH(B1652,0)))-MAX(B1652,S1652)+1))))</f>
        <v/>
      </c>
    </row>
    <row r="1653" customFormat="false" ht="15" hidden="false" customHeight="false" outlineLevel="0" collapsed="false">
      <c r="B1653" s="78"/>
      <c r="C1653" s="64"/>
      <c r="D1653" s="70" t="str">
        <f aca="false">IF(C1653="","",IFERROR(INDEX(T_NOMBRE,MATCH(C1653,T_ID,0)),"⚠ ID no existe"))</f>
        <v/>
      </c>
      <c r="E1653" s="69"/>
      <c r="F1653" s="69"/>
      <c r="G1653" s="69"/>
      <c r="H1653" s="69"/>
      <c r="I1653" s="66"/>
      <c r="J1653" s="69"/>
      <c r="K1653" s="67"/>
      <c r="L1653" s="67"/>
      <c r="M1653" s="67"/>
      <c r="N1653" s="67"/>
      <c r="O1653" s="64"/>
      <c r="P1653" s="72" t="str">
        <f aca="false">IF(OR(B1653="",C1653=""),"",C1653&amp;"|"&amp;(YEAR(B1653)*100+MONTH(B1653)))</f>
        <v/>
      </c>
      <c r="Q1653" s="70" t="str">
        <f aca="false">IF(P1653="","",IF(COUNTIF(N_CLAVE,P1653)&gt;1,"⚠ Duplicado","OK"))</f>
        <v/>
      </c>
      <c r="R1653" s="74" t="str">
        <f aca="false">IF(OR(P1653="",U1653=""),"",MAX(0,U1653-N(E1653)-N(F1653)-N(H1653)))</f>
        <v/>
      </c>
      <c r="S1653" s="75" t="str">
        <f aca="false">IF(P1653="","",IFERROR(INDEX(T_INGRESO,MATCH(C1653,T_ID,0)),""))</f>
        <v/>
      </c>
      <c r="T1653" s="75" t="str">
        <f aca="false">IF(P1653="","",IFERROR(N(INDEX(T_EGRESO,MATCH(C1653,T_ID,0))),0))</f>
        <v/>
      </c>
      <c r="U1653" s="73" t="str">
        <f aca="false">IF(OR(P1653="",NOT(ISNUMBER(S1653))),"",IF(OR(S1653&gt;EOMONTH(B1653,0),AND(T1653&gt;0,T1653&lt;B1653)),0,IF(AND(S1653&lt;=B1653,OR(T1653=0,T1653&gt;=EOMONTH(B1653,0))),30,MIN(30,IF(T1653=0,EOMONTH(B1653,0),MIN(T1653,EOMONTH(B1653,0)))-MAX(B1653,S1653)+1))))</f>
        <v/>
      </c>
    </row>
    <row r="1654" customFormat="false" ht="15" hidden="false" customHeight="false" outlineLevel="0" collapsed="false">
      <c r="B1654" s="78"/>
      <c r="C1654" s="64"/>
      <c r="D1654" s="70" t="str">
        <f aca="false">IF(C1654="","",IFERROR(INDEX(T_NOMBRE,MATCH(C1654,T_ID,0)),"⚠ ID no existe"))</f>
        <v/>
      </c>
      <c r="E1654" s="69"/>
      <c r="F1654" s="69"/>
      <c r="G1654" s="69"/>
      <c r="H1654" s="69"/>
      <c r="I1654" s="66"/>
      <c r="J1654" s="69"/>
      <c r="K1654" s="67"/>
      <c r="L1654" s="67"/>
      <c r="M1654" s="67"/>
      <c r="N1654" s="67"/>
      <c r="O1654" s="64"/>
      <c r="P1654" s="72" t="str">
        <f aca="false">IF(OR(B1654="",C1654=""),"",C1654&amp;"|"&amp;(YEAR(B1654)*100+MONTH(B1654)))</f>
        <v/>
      </c>
      <c r="Q1654" s="70" t="str">
        <f aca="false">IF(P1654="","",IF(COUNTIF(N_CLAVE,P1654)&gt;1,"⚠ Duplicado","OK"))</f>
        <v/>
      </c>
      <c r="R1654" s="74" t="str">
        <f aca="false">IF(OR(P1654="",U1654=""),"",MAX(0,U1654-N(E1654)-N(F1654)-N(H1654)))</f>
        <v/>
      </c>
      <c r="S1654" s="75" t="str">
        <f aca="false">IF(P1654="","",IFERROR(INDEX(T_INGRESO,MATCH(C1654,T_ID,0)),""))</f>
        <v/>
      </c>
      <c r="T1654" s="75" t="str">
        <f aca="false">IF(P1654="","",IFERROR(N(INDEX(T_EGRESO,MATCH(C1654,T_ID,0))),0))</f>
        <v/>
      </c>
      <c r="U1654" s="73" t="str">
        <f aca="false">IF(OR(P1654="",NOT(ISNUMBER(S1654))),"",IF(OR(S1654&gt;EOMONTH(B1654,0),AND(T1654&gt;0,T1654&lt;B1654)),0,IF(AND(S1654&lt;=B1654,OR(T1654=0,T1654&gt;=EOMONTH(B1654,0))),30,MIN(30,IF(T1654=0,EOMONTH(B1654,0),MIN(T1654,EOMONTH(B1654,0)))-MAX(B1654,S1654)+1))))</f>
        <v/>
      </c>
    </row>
    <row r="1655" customFormat="false" ht="15" hidden="false" customHeight="false" outlineLevel="0" collapsed="false">
      <c r="B1655" s="78"/>
      <c r="C1655" s="64"/>
      <c r="D1655" s="70" t="str">
        <f aca="false">IF(C1655="","",IFERROR(INDEX(T_NOMBRE,MATCH(C1655,T_ID,0)),"⚠ ID no existe"))</f>
        <v/>
      </c>
      <c r="E1655" s="69"/>
      <c r="F1655" s="69"/>
      <c r="G1655" s="69"/>
      <c r="H1655" s="69"/>
      <c r="I1655" s="66"/>
      <c r="J1655" s="69"/>
      <c r="K1655" s="67"/>
      <c r="L1655" s="67"/>
      <c r="M1655" s="67"/>
      <c r="N1655" s="67"/>
      <c r="O1655" s="64"/>
      <c r="P1655" s="72" t="str">
        <f aca="false">IF(OR(B1655="",C1655=""),"",C1655&amp;"|"&amp;(YEAR(B1655)*100+MONTH(B1655)))</f>
        <v/>
      </c>
      <c r="Q1655" s="70" t="str">
        <f aca="false">IF(P1655="","",IF(COUNTIF(N_CLAVE,P1655)&gt;1,"⚠ Duplicado","OK"))</f>
        <v/>
      </c>
      <c r="R1655" s="74" t="str">
        <f aca="false">IF(OR(P1655="",U1655=""),"",MAX(0,U1655-N(E1655)-N(F1655)-N(H1655)))</f>
        <v/>
      </c>
      <c r="S1655" s="75" t="str">
        <f aca="false">IF(P1655="","",IFERROR(INDEX(T_INGRESO,MATCH(C1655,T_ID,0)),""))</f>
        <v/>
      </c>
      <c r="T1655" s="75" t="str">
        <f aca="false">IF(P1655="","",IFERROR(N(INDEX(T_EGRESO,MATCH(C1655,T_ID,0))),0))</f>
        <v/>
      </c>
      <c r="U1655" s="73" t="str">
        <f aca="false">IF(OR(P1655="",NOT(ISNUMBER(S1655))),"",IF(OR(S1655&gt;EOMONTH(B1655,0),AND(T1655&gt;0,T1655&lt;B1655)),0,IF(AND(S1655&lt;=B1655,OR(T1655=0,T1655&gt;=EOMONTH(B1655,0))),30,MIN(30,IF(T1655=0,EOMONTH(B1655,0),MIN(T1655,EOMONTH(B1655,0)))-MAX(B1655,S1655)+1))))</f>
        <v/>
      </c>
    </row>
    <row r="1656" customFormat="false" ht="15" hidden="false" customHeight="false" outlineLevel="0" collapsed="false">
      <c r="B1656" s="78"/>
      <c r="C1656" s="64"/>
      <c r="D1656" s="70" t="str">
        <f aca="false">IF(C1656="","",IFERROR(INDEX(T_NOMBRE,MATCH(C1656,T_ID,0)),"⚠ ID no existe"))</f>
        <v/>
      </c>
      <c r="E1656" s="69"/>
      <c r="F1656" s="69"/>
      <c r="G1656" s="69"/>
      <c r="H1656" s="69"/>
      <c r="I1656" s="66"/>
      <c r="J1656" s="69"/>
      <c r="K1656" s="67"/>
      <c r="L1656" s="67"/>
      <c r="M1656" s="67"/>
      <c r="N1656" s="67"/>
      <c r="O1656" s="64"/>
      <c r="P1656" s="72" t="str">
        <f aca="false">IF(OR(B1656="",C1656=""),"",C1656&amp;"|"&amp;(YEAR(B1656)*100+MONTH(B1656)))</f>
        <v/>
      </c>
      <c r="Q1656" s="70" t="str">
        <f aca="false">IF(P1656="","",IF(COUNTIF(N_CLAVE,P1656)&gt;1,"⚠ Duplicado","OK"))</f>
        <v/>
      </c>
      <c r="R1656" s="74" t="str">
        <f aca="false">IF(OR(P1656="",U1656=""),"",MAX(0,U1656-N(E1656)-N(F1656)-N(H1656)))</f>
        <v/>
      </c>
      <c r="S1656" s="75" t="str">
        <f aca="false">IF(P1656="","",IFERROR(INDEX(T_INGRESO,MATCH(C1656,T_ID,0)),""))</f>
        <v/>
      </c>
      <c r="T1656" s="75" t="str">
        <f aca="false">IF(P1656="","",IFERROR(N(INDEX(T_EGRESO,MATCH(C1656,T_ID,0))),0))</f>
        <v/>
      </c>
      <c r="U1656" s="73" t="str">
        <f aca="false">IF(OR(P1656="",NOT(ISNUMBER(S1656))),"",IF(OR(S1656&gt;EOMONTH(B1656,0),AND(T1656&gt;0,T1656&lt;B1656)),0,IF(AND(S1656&lt;=B1656,OR(T1656=0,T1656&gt;=EOMONTH(B1656,0))),30,MIN(30,IF(T1656=0,EOMONTH(B1656,0),MIN(T1656,EOMONTH(B1656,0)))-MAX(B1656,S1656)+1))))</f>
        <v/>
      </c>
    </row>
    <row r="1657" customFormat="false" ht="15" hidden="false" customHeight="false" outlineLevel="0" collapsed="false">
      <c r="B1657" s="78"/>
      <c r="C1657" s="64"/>
      <c r="D1657" s="70" t="str">
        <f aca="false">IF(C1657="","",IFERROR(INDEX(T_NOMBRE,MATCH(C1657,T_ID,0)),"⚠ ID no existe"))</f>
        <v/>
      </c>
      <c r="E1657" s="69"/>
      <c r="F1657" s="69"/>
      <c r="G1657" s="69"/>
      <c r="H1657" s="69"/>
      <c r="I1657" s="66"/>
      <c r="J1657" s="69"/>
      <c r="K1657" s="67"/>
      <c r="L1657" s="67"/>
      <c r="M1657" s="67"/>
      <c r="N1657" s="67"/>
      <c r="O1657" s="64"/>
      <c r="P1657" s="72" t="str">
        <f aca="false">IF(OR(B1657="",C1657=""),"",C1657&amp;"|"&amp;(YEAR(B1657)*100+MONTH(B1657)))</f>
        <v/>
      </c>
      <c r="Q1657" s="70" t="str">
        <f aca="false">IF(P1657="","",IF(COUNTIF(N_CLAVE,P1657)&gt;1,"⚠ Duplicado","OK"))</f>
        <v/>
      </c>
      <c r="R1657" s="74" t="str">
        <f aca="false">IF(OR(P1657="",U1657=""),"",MAX(0,U1657-N(E1657)-N(F1657)-N(H1657)))</f>
        <v/>
      </c>
      <c r="S1657" s="75" t="str">
        <f aca="false">IF(P1657="","",IFERROR(INDEX(T_INGRESO,MATCH(C1657,T_ID,0)),""))</f>
        <v/>
      </c>
      <c r="T1657" s="75" t="str">
        <f aca="false">IF(P1657="","",IFERROR(N(INDEX(T_EGRESO,MATCH(C1657,T_ID,0))),0))</f>
        <v/>
      </c>
      <c r="U1657" s="73" t="str">
        <f aca="false">IF(OR(P1657="",NOT(ISNUMBER(S1657))),"",IF(OR(S1657&gt;EOMONTH(B1657,0),AND(T1657&gt;0,T1657&lt;B1657)),0,IF(AND(S1657&lt;=B1657,OR(T1657=0,T1657&gt;=EOMONTH(B1657,0))),30,MIN(30,IF(T1657=0,EOMONTH(B1657,0),MIN(T1657,EOMONTH(B1657,0)))-MAX(B1657,S1657)+1))))</f>
        <v/>
      </c>
    </row>
    <row r="1658" customFormat="false" ht="15" hidden="false" customHeight="false" outlineLevel="0" collapsed="false">
      <c r="B1658" s="78"/>
      <c r="C1658" s="64"/>
      <c r="D1658" s="70" t="str">
        <f aca="false">IF(C1658="","",IFERROR(INDEX(T_NOMBRE,MATCH(C1658,T_ID,0)),"⚠ ID no existe"))</f>
        <v/>
      </c>
      <c r="E1658" s="69"/>
      <c r="F1658" s="69"/>
      <c r="G1658" s="69"/>
      <c r="H1658" s="69"/>
      <c r="I1658" s="66"/>
      <c r="J1658" s="69"/>
      <c r="K1658" s="67"/>
      <c r="L1658" s="67"/>
      <c r="M1658" s="67"/>
      <c r="N1658" s="67"/>
      <c r="O1658" s="64"/>
      <c r="P1658" s="72" t="str">
        <f aca="false">IF(OR(B1658="",C1658=""),"",C1658&amp;"|"&amp;(YEAR(B1658)*100+MONTH(B1658)))</f>
        <v/>
      </c>
      <c r="Q1658" s="70" t="str">
        <f aca="false">IF(P1658="","",IF(COUNTIF(N_CLAVE,P1658)&gt;1,"⚠ Duplicado","OK"))</f>
        <v/>
      </c>
      <c r="R1658" s="74" t="str">
        <f aca="false">IF(OR(P1658="",U1658=""),"",MAX(0,U1658-N(E1658)-N(F1658)-N(H1658)))</f>
        <v/>
      </c>
      <c r="S1658" s="75" t="str">
        <f aca="false">IF(P1658="","",IFERROR(INDEX(T_INGRESO,MATCH(C1658,T_ID,0)),""))</f>
        <v/>
      </c>
      <c r="T1658" s="75" t="str">
        <f aca="false">IF(P1658="","",IFERROR(N(INDEX(T_EGRESO,MATCH(C1658,T_ID,0))),0))</f>
        <v/>
      </c>
      <c r="U1658" s="73" t="str">
        <f aca="false">IF(OR(P1658="",NOT(ISNUMBER(S1658))),"",IF(OR(S1658&gt;EOMONTH(B1658,0),AND(T1658&gt;0,T1658&lt;B1658)),0,IF(AND(S1658&lt;=B1658,OR(T1658=0,T1658&gt;=EOMONTH(B1658,0))),30,MIN(30,IF(T1658=0,EOMONTH(B1658,0),MIN(T1658,EOMONTH(B1658,0)))-MAX(B1658,S1658)+1))))</f>
        <v/>
      </c>
    </row>
    <row r="1659" customFormat="false" ht="15" hidden="false" customHeight="false" outlineLevel="0" collapsed="false">
      <c r="B1659" s="78"/>
      <c r="C1659" s="64"/>
      <c r="D1659" s="70" t="str">
        <f aca="false">IF(C1659="","",IFERROR(INDEX(T_NOMBRE,MATCH(C1659,T_ID,0)),"⚠ ID no existe"))</f>
        <v/>
      </c>
      <c r="E1659" s="69"/>
      <c r="F1659" s="69"/>
      <c r="G1659" s="69"/>
      <c r="H1659" s="69"/>
      <c r="I1659" s="66"/>
      <c r="J1659" s="69"/>
      <c r="K1659" s="67"/>
      <c r="L1659" s="67"/>
      <c r="M1659" s="67"/>
      <c r="N1659" s="67"/>
      <c r="O1659" s="64"/>
      <c r="P1659" s="72" t="str">
        <f aca="false">IF(OR(B1659="",C1659=""),"",C1659&amp;"|"&amp;(YEAR(B1659)*100+MONTH(B1659)))</f>
        <v/>
      </c>
      <c r="Q1659" s="70" t="str">
        <f aca="false">IF(P1659="","",IF(COUNTIF(N_CLAVE,P1659)&gt;1,"⚠ Duplicado","OK"))</f>
        <v/>
      </c>
      <c r="R1659" s="74" t="str">
        <f aca="false">IF(OR(P1659="",U1659=""),"",MAX(0,U1659-N(E1659)-N(F1659)-N(H1659)))</f>
        <v/>
      </c>
      <c r="S1659" s="75" t="str">
        <f aca="false">IF(P1659="","",IFERROR(INDEX(T_INGRESO,MATCH(C1659,T_ID,0)),""))</f>
        <v/>
      </c>
      <c r="T1659" s="75" t="str">
        <f aca="false">IF(P1659="","",IFERROR(N(INDEX(T_EGRESO,MATCH(C1659,T_ID,0))),0))</f>
        <v/>
      </c>
      <c r="U1659" s="73" t="str">
        <f aca="false">IF(OR(P1659="",NOT(ISNUMBER(S1659))),"",IF(OR(S1659&gt;EOMONTH(B1659,0),AND(T1659&gt;0,T1659&lt;B1659)),0,IF(AND(S1659&lt;=B1659,OR(T1659=0,T1659&gt;=EOMONTH(B1659,0))),30,MIN(30,IF(T1659=0,EOMONTH(B1659,0),MIN(T1659,EOMONTH(B1659,0)))-MAX(B1659,S1659)+1))))</f>
        <v/>
      </c>
    </row>
    <row r="1660" customFormat="false" ht="15" hidden="false" customHeight="false" outlineLevel="0" collapsed="false">
      <c r="B1660" s="78"/>
      <c r="C1660" s="64"/>
      <c r="D1660" s="70" t="str">
        <f aca="false">IF(C1660="","",IFERROR(INDEX(T_NOMBRE,MATCH(C1660,T_ID,0)),"⚠ ID no existe"))</f>
        <v/>
      </c>
      <c r="E1660" s="69"/>
      <c r="F1660" s="69"/>
      <c r="G1660" s="69"/>
      <c r="H1660" s="69"/>
      <c r="I1660" s="66"/>
      <c r="J1660" s="69"/>
      <c r="K1660" s="67"/>
      <c r="L1660" s="67"/>
      <c r="M1660" s="67"/>
      <c r="N1660" s="67"/>
      <c r="O1660" s="64"/>
      <c r="P1660" s="72" t="str">
        <f aca="false">IF(OR(B1660="",C1660=""),"",C1660&amp;"|"&amp;(YEAR(B1660)*100+MONTH(B1660)))</f>
        <v/>
      </c>
      <c r="Q1660" s="70" t="str">
        <f aca="false">IF(P1660="","",IF(COUNTIF(N_CLAVE,P1660)&gt;1,"⚠ Duplicado","OK"))</f>
        <v/>
      </c>
      <c r="R1660" s="74" t="str">
        <f aca="false">IF(OR(P1660="",U1660=""),"",MAX(0,U1660-N(E1660)-N(F1660)-N(H1660)))</f>
        <v/>
      </c>
      <c r="S1660" s="75" t="str">
        <f aca="false">IF(P1660="","",IFERROR(INDEX(T_INGRESO,MATCH(C1660,T_ID,0)),""))</f>
        <v/>
      </c>
      <c r="T1660" s="75" t="str">
        <f aca="false">IF(P1660="","",IFERROR(N(INDEX(T_EGRESO,MATCH(C1660,T_ID,0))),0))</f>
        <v/>
      </c>
      <c r="U1660" s="73" t="str">
        <f aca="false">IF(OR(P1660="",NOT(ISNUMBER(S1660))),"",IF(OR(S1660&gt;EOMONTH(B1660,0),AND(T1660&gt;0,T1660&lt;B1660)),0,IF(AND(S1660&lt;=B1660,OR(T1660=0,T1660&gt;=EOMONTH(B1660,0))),30,MIN(30,IF(T1660=0,EOMONTH(B1660,0),MIN(T1660,EOMONTH(B1660,0)))-MAX(B1660,S1660)+1))))</f>
        <v/>
      </c>
    </row>
    <row r="1661" customFormat="false" ht="15" hidden="false" customHeight="false" outlineLevel="0" collapsed="false">
      <c r="B1661" s="78"/>
      <c r="C1661" s="64"/>
      <c r="D1661" s="70" t="str">
        <f aca="false">IF(C1661="","",IFERROR(INDEX(T_NOMBRE,MATCH(C1661,T_ID,0)),"⚠ ID no existe"))</f>
        <v/>
      </c>
      <c r="E1661" s="69"/>
      <c r="F1661" s="69"/>
      <c r="G1661" s="69"/>
      <c r="H1661" s="69"/>
      <c r="I1661" s="66"/>
      <c r="J1661" s="69"/>
      <c r="K1661" s="67"/>
      <c r="L1661" s="67"/>
      <c r="M1661" s="67"/>
      <c r="N1661" s="67"/>
      <c r="O1661" s="64"/>
      <c r="P1661" s="72" t="str">
        <f aca="false">IF(OR(B1661="",C1661=""),"",C1661&amp;"|"&amp;(YEAR(B1661)*100+MONTH(B1661)))</f>
        <v/>
      </c>
      <c r="Q1661" s="70" t="str">
        <f aca="false">IF(P1661="","",IF(COUNTIF(N_CLAVE,P1661)&gt;1,"⚠ Duplicado","OK"))</f>
        <v/>
      </c>
      <c r="R1661" s="74" t="str">
        <f aca="false">IF(OR(P1661="",U1661=""),"",MAX(0,U1661-N(E1661)-N(F1661)-N(H1661)))</f>
        <v/>
      </c>
      <c r="S1661" s="75" t="str">
        <f aca="false">IF(P1661="","",IFERROR(INDEX(T_INGRESO,MATCH(C1661,T_ID,0)),""))</f>
        <v/>
      </c>
      <c r="T1661" s="75" t="str">
        <f aca="false">IF(P1661="","",IFERROR(N(INDEX(T_EGRESO,MATCH(C1661,T_ID,0))),0))</f>
        <v/>
      </c>
      <c r="U1661" s="73" t="str">
        <f aca="false">IF(OR(P1661="",NOT(ISNUMBER(S1661))),"",IF(OR(S1661&gt;EOMONTH(B1661,0),AND(T1661&gt;0,T1661&lt;B1661)),0,IF(AND(S1661&lt;=B1661,OR(T1661=0,T1661&gt;=EOMONTH(B1661,0))),30,MIN(30,IF(T1661=0,EOMONTH(B1661,0),MIN(T1661,EOMONTH(B1661,0)))-MAX(B1661,S1661)+1))))</f>
        <v/>
      </c>
    </row>
    <row r="1662" customFormat="false" ht="15" hidden="false" customHeight="false" outlineLevel="0" collapsed="false">
      <c r="B1662" s="78"/>
      <c r="C1662" s="64"/>
      <c r="D1662" s="70" t="str">
        <f aca="false">IF(C1662="","",IFERROR(INDEX(T_NOMBRE,MATCH(C1662,T_ID,0)),"⚠ ID no existe"))</f>
        <v/>
      </c>
      <c r="E1662" s="69"/>
      <c r="F1662" s="69"/>
      <c r="G1662" s="69"/>
      <c r="H1662" s="69"/>
      <c r="I1662" s="66"/>
      <c r="J1662" s="69"/>
      <c r="K1662" s="67"/>
      <c r="L1662" s="67"/>
      <c r="M1662" s="67"/>
      <c r="N1662" s="67"/>
      <c r="O1662" s="64"/>
      <c r="P1662" s="72" t="str">
        <f aca="false">IF(OR(B1662="",C1662=""),"",C1662&amp;"|"&amp;(YEAR(B1662)*100+MONTH(B1662)))</f>
        <v/>
      </c>
      <c r="Q1662" s="70" t="str">
        <f aca="false">IF(P1662="","",IF(COUNTIF(N_CLAVE,P1662)&gt;1,"⚠ Duplicado","OK"))</f>
        <v/>
      </c>
      <c r="R1662" s="74" t="str">
        <f aca="false">IF(OR(P1662="",U1662=""),"",MAX(0,U1662-N(E1662)-N(F1662)-N(H1662)))</f>
        <v/>
      </c>
      <c r="S1662" s="75" t="str">
        <f aca="false">IF(P1662="","",IFERROR(INDEX(T_INGRESO,MATCH(C1662,T_ID,0)),""))</f>
        <v/>
      </c>
      <c r="T1662" s="75" t="str">
        <f aca="false">IF(P1662="","",IFERROR(N(INDEX(T_EGRESO,MATCH(C1662,T_ID,0))),0))</f>
        <v/>
      </c>
      <c r="U1662" s="73" t="str">
        <f aca="false">IF(OR(P1662="",NOT(ISNUMBER(S1662))),"",IF(OR(S1662&gt;EOMONTH(B1662,0),AND(T1662&gt;0,T1662&lt;B1662)),0,IF(AND(S1662&lt;=B1662,OR(T1662=0,T1662&gt;=EOMONTH(B1662,0))),30,MIN(30,IF(T1662=0,EOMONTH(B1662,0),MIN(T1662,EOMONTH(B1662,0)))-MAX(B1662,S1662)+1))))</f>
        <v/>
      </c>
    </row>
    <row r="1663" customFormat="false" ht="15" hidden="false" customHeight="false" outlineLevel="0" collapsed="false">
      <c r="B1663" s="78"/>
      <c r="C1663" s="64"/>
      <c r="D1663" s="70" t="str">
        <f aca="false">IF(C1663="","",IFERROR(INDEX(T_NOMBRE,MATCH(C1663,T_ID,0)),"⚠ ID no existe"))</f>
        <v/>
      </c>
      <c r="E1663" s="69"/>
      <c r="F1663" s="69"/>
      <c r="G1663" s="69"/>
      <c r="H1663" s="69"/>
      <c r="I1663" s="66"/>
      <c r="J1663" s="69"/>
      <c r="K1663" s="67"/>
      <c r="L1663" s="67"/>
      <c r="M1663" s="67"/>
      <c r="N1663" s="67"/>
      <c r="O1663" s="64"/>
      <c r="P1663" s="72" t="str">
        <f aca="false">IF(OR(B1663="",C1663=""),"",C1663&amp;"|"&amp;(YEAR(B1663)*100+MONTH(B1663)))</f>
        <v/>
      </c>
      <c r="Q1663" s="70" t="str">
        <f aca="false">IF(P1663="","",IF(COUNTIF(N_CLAVE,P1663)&gt;1,"⚠ Duplicado","OK"))</f>
        <v/>
      </c>
      <c r="R1663" s="74" t="str">
        <f aca="false">IF(OR(P1663="",U1663=""),"",MAX(0,U1663-N(E1663)-N(F1663)-N(H1663)))</f>
        <v/>
      </c>
      <c r="S1663" s="75" t="str">
        <f aca="false">IF(P1663="","",IFERROR(INDEX(T_INGRESO,MATCH(C1663,T_ID,0)),""))</f>
        <v/>
      </c>
      <c r="T1663" s="75" t="str">
        <f aca="false">IF(P1663="","",IFERROR(N(INDEX(T_EGRESO,MATCH(C1663,T_ID,0))),0))</f>
        <v/>
      </c>
      <c r="U1663" s="73" t="str">
        <f aca="false">IF(OR(P1663="",NOT(ISNUMBER(S1663))),"",IF(OR(S1663&gt;EOMONTH(B1663,0),AND(T1663&gt;0,T1663&lt;B1663)),0,IF(AND(S1663&lt;=B1663,OR(T1663=0,T1663&gt;=EOMONTH(B1663,0))),30,MIN(30,IF(T1663=0,EOMONTH(B1663,0),MIN(T1663,EOMONTH(B1663,0)))-MAX(B1663,S1663)+1))))</f>
        <v/>
      </c>
    </row>
    <row r="1664" customFormat="false" ht="15" hidden="false" customHeight="false" outlineLevel="0" collapsed="false">
      <c r="B1664" s="78"/>
      <c r="C1664" s="64"/>
      <c r="D1664" s="70" t="str">
        <f aca="false">IF(C1664="","",IFERROR(INDEX(T_NOMBRE,MATCH(C1664,T_ID,0)),"⚠ ID no existe"))</f>
        <v/>
      </c>
      <c r="E1664" s="69"/>
      <c r="F1664" s="69"/>
      <c r="G1664" s="69"/>
      <c r="H1664" s="69"/>
      <c r="I1664" s="66"/>
      <c r="J1664" s="69"/>
      <c r="K1664" s="67"/>
      <c r="L1664" s="67"/>
      <c r="M1664" s="67"/>
      <c r="N1664" s="67"/>
      <c r="O1664" s="64"/>
      <c r="P1664" s="72" t="str">
        <f aca="false">IF(OR(B1664="",C1664=""),"",C1664&amp;"|"&amp;(YEAR(B1664)*100+MONTH(B1664)))</f>
        <v/>
      </c>
      <c r="Q1664" s="70" t="str">
        <f aca="false">IF(P1664="","",IF(COUNTIF(N_CLAVE,P1664)&gt;1,"⚠ Duplicado","OK"))</f>
        <v/>
      </c>
      <c r="R1664" s="74" t="str">
        <f aca="false">IF(OR(P1664="",U1664=""),"",MAX(0,U1664-N(E1664)-N(F1664)-N(H1664)))</f>
        <v/>
      </c>
      <c r="S1664" s="75" t="str">
        <f aca="false">IF(P1664="","",IFERROR(INDEX(T_INGRESO,MATCH(C1664,T_ID,0)),""))</f>
        <v/>
      </c>
      <c r="T1664" s="75" t="str">
        <f aca="false">IF(P1664="","",IFERROR(N(INDEX(T_EGRESO,MATCH(C1664,T_ID,0))),0))</f>
        <v/>
      </c>
      <c r="U1664" s="73" t="str">
        <f aca="false">IF(OR(P1664="",NOT(ISNUMBER(S1664))),"",IF(OR(S1664&gt;EOMONTH(B1664,0),AND(T1664&gt;0,T1664&lt;B1664)),0,IF(AND(S1664&lt;=B1664,OR(T1664=0,T1664&gt;=EOMONTH(B1664,0))),30,MIN(30,IF(T1664=0,EOMONTH(B1664,0),MIN(T1664,EOMONTH(B1664,0)))-MAX(B1664,S1664)+1))))</f>
        <v/>
      </c>
    </row>
    <row r="1665" customFormat="false" ht="15" hidden="false" customHeight="false" outlineLevel="0" collapsed="false">
      <c r="B1665" s="78"/>
      <c r="C1665" s="64"/>
      <c r="D1665" s="70" t="str">
        <f aca="false">IF(C1665="","",IFERROR(INDEX(T_NOMBRE,MATCH(C1665,T_ID,0)),"⚠ ID no existe"))</f>
        <v/>
      </c>
      <c r="E1665" s="69"/>
      <c r="F1665" s="69"/>
      <c r="G1665" s="69"/>
      <c r="H1665" s="69"/>
      <c r="I1665" s="66"/>
      <c r="J1665" s="69"/>
      <c r="K1665" s="67"/>
      <c r="L1665" s="67"/>
      <c r="M1665" s="67"/>
      <c r="N1665" s="67"/>
      <c r="O1665" s="64"/>
      <c r="P1665" s="72" t="str">
        <f aca="false">IF(OR(B1665="",C1665=""),"",C1665&amp;"|"&amp;(YEAR(B1665)*100+MONTH(B1665)))</f>
        <v/>
      </c>
      <c r="Q1665" s="70" t="str">
        <f aca="false">IF(P1665="","",IF(COUNTIF(N_CLAVE,P1665)&gt;1,"⚠ Duplicado","OK"))</f>
        <v/>
      </c>
      <c r="R1665" s="74" t="str">
        <f aca="false">IF(OR(P1665="",U1665=""),"",MAX(0,U1665-N(E1665)-N(F1665)-N(H1665)))</f>
        <v/>
      </c>
      <c r="S1665" s="75" t="str">
        <f aca="false">IF(P1665="","",IFERROR(INDEX(T_INGRESO,MATCH(C1665,T_ID,0)),""))</f>
        <v/>
      </c>
      <c r="T1665" s="75" t="str">
        <f aca="false">IF(P1665="","",IFERROR(N(INDEX(T_EGRESO,MATCH(C1665,T_ID,0))),0))</f>
        <v/>
      </c>
      <c r="U1665" s="73" t="str">
        <f aca="false">IF(OR(P1665="",NOT(ISNUMBER(S1665))),"",IF(OR(S1665&gt;EOMONTH(B1665,0),AND(T1665&gt;0,T1665&lt;B1665)),0,IF(AND(S1665&lt;=B1665,OR(T1665=0,T1665&gt;=EOMONTH(B1665,0))),30,MIN(30,IF(T1665=0,EOMONTH(B1665,0),MIN(T1665,EOMONTH(B1665,0)))-MAX(B1665,S1665)+1))))</f>
        <v/>
      </c>
    </row>
    <row r="1666" customFormat="false" ht="15" hidden="false" customHeight="false" outlineLevel="0" collapsed="false">
      <c r="B1666" s="78"/>
      <c r="C1666" s="64"/>
      <c r="D1666" s="70" t="str">
        <f aca="false">IF(C1666="","",IFERROR(INDEX(T_NOMBRE,MATCH(C1666,T_ID,0)),"⚠ ID no existe"))</f>
        <v/>
      </c>
      <c r="E1666" s="69"/>
      <c r="F1666" s="69"/>
      <c r="G1666" s="69"/>
      <c r="H1666" s="69"/>
      <c r="I1666" s="66"/>
      <c r="J1666" s="69"/>
      <c r="K1666" s="67"/>
      <c r="L1666" s="67"/>
      <c r="M1666" s="67"/>
      <c r="N1666" s="67"/>
      <c r="O1666" s="64"/>
      <c r="P1666" s="72" t="str">
        <f aca="false">IF(OR(B1666="",C1666=""),"",C1666&amp;"|"&amp;(YEAR(B1666)*100+MONTH(B1666)))</f>
        <v/>
      </c>
      <c r="Q1666" s="70" t="str">
        <f aca="false">IF(P1666="","",IF(COUNTIF(N_CLAVE,P1666)&gt;1,"⚠ Duplicado","OK"))</f>
        <v/>
      </c>
      <c r="R1666" s="74" t="str">
        <f aca="false">IF(OR(P1666="",U1666=""),"",MAX(0,U1666-N(E1666)-N(F1666)-N(H1666)))</f>
        <v/>
      </c>
      <c r="S1666" s="75" t="str">
        <f aca="false">IF(P1666="","",IFERROR(INDEX(T_INGRESO,MATCH(C1666,T_ID,0)),""))</f>
        <v/>
      </c>
      <c r="T1666" s="75" t="str">
        <f aca="false">IF(P1666="","",IFERROR(N(INDEX(T_EGRESO,MATCH(C1666,T_ID,0))),0))</f>
        <v/>
      </c>
      <c r="U1666" s="73" t="str">
        <f aca="false">IF(OR(P1666="",NOT(ISNUMBER(S1666))),"",IF(OR(S1666&gt;EOMONTH(B1666,0),AND(T1666&gt;0,T1666&lt;B1666)),0,IF(AND(S1666&lt;=B1666,OR(T1666=0,T1666&gt;=EOMONTH(B1666,0))),30,MIN(30,IF(T1666=0,EOMONTH(B1666,0),MIN(T1666,EOMONTH(B1666,0)))-MAX(B1666,S1666)+1))))</f>
        <v/>
      </c>
    </row>
    <row r="1667" customFormat="false" ht="15" hidden="false" customHeight="false" outlineLevel="0" collapsed="false">
      <c r="B1667" s="78"/>
      <c r="C1667" s="64"/>
      <c r="D1667" s="70" t="str">
        <f aca="false">IF(C1667="","",IFERROR(INDEX(T_NOMBRE,MATCH(C1667,T_ID,0)),"⚠ ID no existe"))</f>
        <v/>
      </c>
      <c r="E1667" s="69"/>
      <c r="F1667" s="69"/>
      <c r="G1667" s="69"/>
      <c r="H1667" s="69"/>
      <c r="I1667" s="66"/>
      <c r="J1667" s="69"/>
      <c r="K1667" s="67"/>
      <c r="L1667" s="67"/>
      <c r="M1667" s="67"/>
      <c r="N1667" s="67"/>
      <c r="O1667" s="64"/>
      <c r="P1667" s="72" t="str">
        <f aca="false">IF(OR(B1667="",C1667=""),"",C1667&amp;"|"&amp;(YEAR(B1667)*100+MONTH(B1667)))</f>
        <v/>
      </c>
      <c r="Q1667" s="70" t="str">
        <f aca="false">IF(P1667="","",IF(COUNTIF(N_CLAVE,P1667)&gt;1,"⚠ Duplicado","OK"))</f>
        <v/>
      </c>
      <c r="R1667" s="74" t="str">
        <f aca="false">IF(OR(P1667="",U1667=""),"",MAX(0,U1667-N(E1667)-N(F1667)-N(H1667)))</f>
        <v/>
      </c>
      <c r="S1667" s="75" t="str">
        <f aca="false">IF(P1667="","",IFERROR(INDEX(T_INGRESO,MATCH(C1667,T_ID,0)),""))</f>
        <v/>
      </c>
      <c r="T1667" s="75" t="str">
        <f aca="false">IF(P1667="","",IFERROR(N(INDEX(T_EGRESO,MATCH(C1667,T_ID,0))),0))</f>
        <v/>
      </c>
      <c r="U1667" s="73" t="str">
        <f aca="false">IF(OR(P1667="",NOT(ISNUMBER(S1667))),"",IF(OR(S1667&gt;EOMONTH(B1667,0),AND(T1667&gt;0,T1667&lt;B1667)),0,IF(AND(S1667&lt;=B1667,OR(T1667=0,T1667&gt;=EOMONTH(B1667,0))),30,MIN(30,IF(T1667=0,EOMONTH(B1667,0),MIN(T1667,EOMONTH(B1667,0)))-MAX(B1667,S1667)+1))))</f>
        <v/>
      </c>
    </row>
    <row r="1668" customFormat="false" ht="15" hidden="false" customHeight="false" outlineLevel="0" collapsed="false">
      <c r="B1668" s="78"/>
      <c r="C1668" s="64"/>
      <c r="D1668" s="70" t="str">
        <f aca="false">IF(C1668="","",IFERROR(INDEX(T_NOMBRE,MATCH(C1668,T_ID,0)),"⚠ ID no existe"))</f>
        <v/>
      </c>
      <c r="E1668" s="69"/>
      <c r="F1668" s="69"/>
      <c r="G1668" s="69"/>
      <c r="H1668" s="69"/>
      <c r="I1668" s="66"/>
      <c r="J1668" s="69"/>
      <c r="K1668" s="67"/>
      <c r="L1668" s="67"/>
      <c r="M1668" s="67"/>
      <c r="N1668" s="67"/>
      <c r="O1668" s="64"/>
      <c r="P1668" s="72" t="str">
        <f aca="false">IF(OR(B1668="",C1668=""),"",C1668&amp;"|"&amp;(YEAR(B1668)*100+MONTH(B1668)))</f>
        <v/>
      </c>
      <c r="Q1668" s="70" t="str">
        <f aca="false">IF(P1668="","",IF(COUNTIF(N_CLAVE,P1668)&gt;1,"⚠ Duplicado","OK"))</f>
        <v/>
      </c>
      <c r="R1668" s="74" t="str">
        <f aca="false">IF(OR(P1668="",U1668=""),"",MAX(0,U1668-N(E1668)-N(F1668)-N(H1668)))</f>
        <v/>
      </c>
      <c r="S1668" s="75" t="str">
        <f aca="false">IF(P1668="","",IFERROR(INDEX(T_INGRESO,MATCH(C1668,T_ID,0)),""))</f>
        <v/>
      </c>
      <c r="T1668" s="75" t="str">
        <f aca="false">IF(P1668="","",IFERROR(N(INDEX(T_EGRESO,MATCH(C1668,T_ID,0))),0))</f>
        <v/>
      </c>
      <c r="U1668" s="73" t="str">
        <f aca="false">IF(OR(P1668="",NOT(ISNUMBER(S1668))),"",IF(OR(S1668&gt;EOMONTH(B1668,0),AND(T1668&gt;0,T1668&lt;B1668)),0,IF(AND(S1668&lt;=B1668,OR(T1668=0,T1668&gt;=EOMONTH(B1668,0))),30,MIN(30,IF(T1668=0,EOMONTH(B1668,0),MIN(T1668,EOMONTH(B1668,0)))-MAX(B1668,S1668)+1))))</f>
        <v/>
      </c>
    </row>
    <row r="1669" customFormat="false" ht="15" hidden="false" customHeight="false" outlineLevel="0" collapsed="false">
      <c r="B1669" s="78"/>
      <c r="C1669" s="64"/>
      <c r="D1669" s="70" t="str">
        <f aca="false">IF(C1669="","",IFERROR(INDEX(T_NOMBRE,MATCH(C1669,T_ID,0)),"⚠ ID no existe"))</f>
        <v/>
      </c>
      <c r="E1669" s="69"/>
      <c r="F1669" s="69"/>
      <c r="G1669" s="69"/>
      <c r="H1669" s="69"/>
      <c r="I1669" s="66"/>
      <c r="J1669" s="69"/>
      <c r="K1669" s="67"/>
      <c r="L1669" s="67"/>
      <c r="M1669" s="67"/>
      <c r="N1669" s="67"/>
      <c r="O1669" s="64"/>
      <c r="P1669" s="72" t="str">
        <f aca="false">IF(OR(B1669="",C1669=""),"",C1669&amp;"|"&amp;(YEAR(B1669)*100+MONTH(B1669)))</f>
        <v/>
      </c>
      <c r="Q1669" s="70" t="str">
        <f aca="false">IF(P1669="","",IF(COUNTIF(N_CLAVE,P1669)&gt;1,"⚠ Duplicado","OK"))</f>
        <v/>
      </c>
      <c r="R1669" s="74" t="str">
        <f aca="false">IF(OR(P1669="",U1669=""),"",MAX(0,U1669-N(E1669)-N(F1669)-N(H1669)))</f>
        <v/>
      </c>
      <c r="S1669" s="75" t="str">
        <f aca="false">IF(P1669="","",IFERROR(INDEX(T_INGRESO,MATCH(C1669,T_ID,0)),""))</f>
        <v/>
      </c>
      <c r="T1669" s="75" t="str">
        <f aca="false">IF(P1669="","",IFERROR(N(INDEX(T_EGRESO,MATCH(C1669,T_ID,0))),0))</f>
        <v/>
      </c>
      <c r="U1669" s="73" t="str">
        <f aca="false">IF(OR(P1669="",NOT(ISNUMBER(S1669))),"",IF(OR(S1669&gt;EOMONTH(B1669,0),AND(T1669&gt;0,T1669&lt;B1669)),0,IF(AND(S1669&lt;=B1669,OR(T1669=0,T1669&gt;=EOMONTH(B1669,0))),30,MIN(30,IF(T1669=0,EOMONTH(B1669,0),MIN(T1669,EOMONTH(B1669,0)))-MAX(B1669,S1669)+1))))</f>
        <v/>
      </c>
    </row>
    <row r="1670" customFormat="false" ht="15" hidden="false" customHeight="false" outlineLevel="0" collapsed="false">
      <c r="B1670" s="78"/>
      <c r="C1670" s="64"/>
      <c r="D1670" s="70" t="str">
        <f aca="false">IF(C1670="","",IFERROR(INDEX(T_NOMBRE,MATCH(C1670,T_ID,0)),"⚠ ID no existe"))</f>
        <v/>
      </c>
      <c r="E1670" s="69"/>
      <c r="F1670" s="69"/>
      <c r="G1670" s="69"/>
      <c r="H1670" s="69"/>
      <c r="I1670" s="66"/>
      <c r="J1670" s="69"/>
      <c r="K1670" s="67"/>
      <c r="L1670" s="67"/>
      <c r="M1670" s="67"/>
      <c r="N1670" s="67"/>
      <c r="O1670" s="64"/>
      <c r="P1670" s="72" t="str">
        <f aca="false">IF(OR(B1670="",C1670=""),"",C1670&amp;"|"&amp;(YEAR(B1670)*100+MONTH(B1670)))</f>
        <v/>
      </c>
      <c r="Q1670" s="70" t="str">
        <f aca="false">IF(P1670="","",IF(COUNTIF(N_CLAVE,P1670)&gt;1,"⚠ Duplicado","OK"))</f>
        <v/>
      </c>
      <c r="R1670" s="74" t="str">
        <f aca="false">IF(OR(P1670="",U1670=""),"",MAX(0,U1670-N(E1670)-N(F1670)-N(H1670)))</f>
        <v/>
      </c>
      <c r="S1670" s="75" t="str">
        <f aca="false">IF(P1670="","",IFERROR(INDEX(T_INGRESO,MATCH(C1670,T_ID,0)),""))</f>
        <v/>
      </c>
      <c r="T1670" s="75" t="str">
        <f aca="false">IF(P1670="","",IFERROR(N(INDEX(T_EGRESO,MATCH(C1670,T_ID,0))),0))</f>
        <v/>
      </c>
      <c r="U1670" s="73" t="str">
        <f aca="false">IF(OR(P1670="",NOT(ISNUMBER(S1670))),"",IF(OR(S1670&gt;EOMONTH(B1670,0),AND(T1670&gt;0,T1670&lt;B1670)),0,IF(AND(S1670&lt;=B1670,OR(T1670=0,T1670&gt;=EOMONTH(B1670,0))),30,MIN(30,IF(T1670=0,EOMONTH(B1670,0),MIN(T1670,EOMONTH(B1670,0)))-MAX(B1670,S1670)+1))))</f>
        <v/>
      </c>
    </row>
    <row r="1671" customFormat="false" ht="15" hidden="false" customHeight="false" outlineLevel="0" collapsed="false">
      <c r="B1671" s="78"/>
      <c r="C1671" s="64"/>
      <c r="D1671" s="70" t="str">
        <f aca="false">IF(C1671="","",IFERROR(INDEX(T_NOMBRE,MATCH(C1671,T_ID,0)),"⚠ ID no existe"))</f>
        <v/>
      </c>
      <c r="E1671" s="69"/>
      <c r="F1671" s="69"/>
      <c r="G1671" s="69"/>
      <c r="H1671" s="69"/>
      <c r="I1671" s="66"/>
      <c r="J1671" s="69"/>
      <c r="K1671" s="67"/>
      <c r="L1671" s="67"/>
      <c r="M1671" s="67"/>
      <c r="N1671" s="67"/>
      <c r="O1671" s="64"/>
      <c r="P1671" s="72" t="str">
        <f aca="false">IF(OR(B1671="",C1671=""),"",C1671&amp;"|"&amp;(YEAR(B1671)*100+MONTH(B1671)))</f>
        <v/>
      </c>
      <c r="Q1671" s="70" t="str">
        <f aca="false">IF(P1671="","",IF(COUNTIF(N_CLAVE,P1671)&gt;1,"⚠ Duplicado","OK"))</f>
        <v/>
      </c>
      <c r="R1671" s="74" t="str">
        <f aca="false">IF(OR(P1671="",U1671=""),"",MAX(0,U1671-N(E1671)-N(F1671)-N(H1671)))</f>
        <v/>
      </c>
      <c r="S1671" s="75" t="str">
        <f aca="false">IF(P1671="","",IFERROR(INDEX(T_INGRESO,MATCH(C1671,T_ID,0)),""))</f>
        <v/>
      </c>
      <c r="T1671" s="75" t="str">
        <f aca="false">IF(P1671="","",IFERROR(N(INDEX(T_EGRESO,MATCH(C1671,T_ID,0))),0))</f>
        <v/>
      </c>
      <c r="U1671" s="73" t="str">
        <f aca="false">IF(OR(P1671="",NOT(ISNUMBER(S1671))),"",IF(OR(S1671&gt;EOMONTH(B1671,0),AND(T1671&gt;0,T1671&lt;B1671)),0,IF(AND(S1671&lt;=B1671,OR(T1671=0,T1671&gt;=EOMONTH(B1671,0))),30,MIN(30,IF(T1671=0,EOMONTH(B1671,0),MIN(T1671,EOMONTH(B1671,0)))-MAX(B1671,S1671)+1))))</f>
        <v/>
      </c>
    </row>
    <row r="1672" customFormat="false" ht="15" hidden="false" customHeight="false" outlineLevel="0" collapsed="false">
      <c r="B1672" s="78"/>
      <c r="C1672" s="64"/>
      <c r="D1672" s="70" t="str">
        <f aca="false">IF(C1672="","",IFERROR(INDEX(T_NOMBRE,MATCH(C1672,T_ID,0)),"⚠ ID no existe"))</f>
        <v/>
      </c>
      <c r="E1672" s="69"/>
      <c r="F1672" s="69"/>
      <c r="G1672" s="69"/>
      <c r="H1672" s="69"/>
      <c r="I1672" s="66"/>
      <c r="J1672" s="69"/>
      <c r="K1672" s="67"/>
      <c r="L1672" s="67"/>
      <c r="M1672" s="67"/>
      <c r="N1672" s="67"/>
      <c r="O1672" s="64"/>
      <c r="P1672" s="72" t="str">
        <f aca="false">IF(OR(B1672="",C1672=""),"",C1672&amp;"|"&amp;(YEAR(B1672)*100+MONTH(B1672)))</f>
        <v/>
      </c>
      <c r="Q1672" s="70" t="str">
        <f aca="false">IF(P1672="","",IF(COUNTIF(N_CLAVE,P1672)&gt;1,"⚠ Duplicado","OK"))</f>
        <v/>
      </c>
      <c r="R1672" s="74" t="str">
        <f aca="false">IF(OR(P1672="",U1672=""),"",MAX(0,U1672-N(E1672)-N(F1672)-N(H1672)))</f>
        <v/>
      </c>
      <c r="S1672" s="75" t="str">
        <f aca="false">IF(P1672="","",IFERROR(INDEX(T_INGRESO,MATCH(C1672,T_ID,0)),""))</f>
        <v/>
      </c>
      <c r="T1672" s="75" t="str">
        <f aca="false">IF(P1672="","",IFERROR(N(INDEX(T_EGRESO,MATCH(C1672,T_ID,0))),0))</f>
        <v/>
      </c>
      <c r="U1672" s="73" t="str">
        <f aca="false">IF(OR(P1672="",NOT(ISNUMBER(S1672))),"",IF(OR(S1672&gt;EOMONTH(B1672,0),AND(T1672&gt;0,T1672&lt;B1672)),0,IF(AND(S1672&lt;=B1672,OR(T1672=0,T1672&gt;=EOMONTH(B1672,0))),30,MIN(30,IF(T1672=0,EOMONTH(B1672,0),MIN(T1672,EOMONTH(B1672,0)))-MAX(B1672,S1672)+1))))</f>
        <v/>
      </c>
    </row>
    <row r="1673" customFormat="false" ht="15" hidden="false" customHeight="false" outlineLevel="0" collapsed="false">
      <c r="B1673" s="78"/>
      <c r="C1673" s="64"/>
      <c r="D1673" s="70" t="str">
        <f aca="false">IF(C1673="","",IFERROR(INDEX(T_NOMBRE,MATCH(C1673,T_ID,0)),"⚠ ID no existe"))</f>
        <v/>
      </c>
      <c r="E1673" s="69"/>
      <c r="F1673" s="69"/>
      <c r="G1673" s="69"/>
      <c r="H1673" s="69"/>
      <c r="I1673" s="66"/>
      <c r="J1673" s="69"/>
      <c r="K1673" s="67"/>
      <c r="L1673" s="67"/>
      <c r="M1673" s="67"/>
      <c r="N1673" s="67"/>
      <c r="O1673" s="64"/>
      <c r="P1673" s="72" t="str">
        <f aca="false">IF(OR(B1673="",C1673=""),"",C1673&amp;"|"&amp;(YEAR(B1673)*100+MONTH(B1673)))</f>
        <v/>
      </c>
      <c r="Q1673" s="70" t="str">
        <f aca="false">IF(P1673="","",IF(COUNTIF(N_CLAVE,P1673)&gt;1,"⚠ Duplicado","OK"))</f>
        <v/>
      </c>
      <c r="R1673" s="74" t="str">
        <f aca="false">IF(OR(P1673="",U1673=""),"",MAX(0,U1673-N(E1673)-N(F1673)-N(H1673)))</f>
        <v/>
      </c>
      <c r="S1673" s="75" t="str">
        <f aca="false">IF(P1673="","",IFERROR(INDEX(T_INGRESO,MATCH(C1673,T_ID,0)),""))</f>
        <v/>
      </c>
      <c r="T1673" s="75" t="str">
        <f aca="false">IF(P1673="","",IFERROR(N(INDEX(T_EGRESO,MATCH(C1673,T_ID,0))),0))</f>
        <v/>
      </c>
      <c r="U1673" s="73" t="str">
        <f aca="false">IF(OR(P1673="",NOT(ISNUMBER(S1673))),"",IF(OR(S1673&gt;EOMONTH(B1673,0),AND(T1673&gt;0,T1673&lt;B1673)),0,IF(AND(S1673&lt;=B1673,OR(T1673=0,T1673&gt;=EOMONTH(B1673,0))),30,MIN(30,IF(T1673=0,EOMONTH(B1673,0),MIN(T1673,EOMONTH(B1673,0)))-MAX(B1673,S1673)+1))))</f>
        <v/>
      </c>
    </row>
    <row r="1674" customFormat="false" ht="15" hidden="false" customHeight="false" outlineLevel="0" collapsed="false">
      <c r="B1674" s="78"/>
      <c r="C1674" s="64"/>
      <c r="D1674" s="70" t="str">
        <f aca="false">IF(C1674="","",IFERROR(INDEX(T_NOMBRE,MATCH(C1674,T_ID,0)),"⚠ ID no existe"))</f>
        <v/>
      </c>
      <c r="E1674" s="69"/>
      <c r="F1674" s="69"/>
      <c r="G1674" s="69"/>
      <c r="H1674" s="69"/>
      <c r="I1674" s="66"/>
      <c r="J1674" s="69"/>
      <c r="K1674" s="67"/>
      <c r="L1674" s="67"/>
      <c r="M1674" s="67"/>
      <c r="N1674" s="67"/>
      <c r="O1674" s="64"/>
      <c r="P1674" s="72" t="str">
        <f aca="false">IF(OR(B1674="",C1674=""),"",C1674&amp;"|"&amp;(YEAR(B1674)*100+MONTH(B1674)))</f>
        <v/>
      </c>
      <c r="Q1674" s="70" t="str">
        <f aca="false">IF(P1674="","",IF(COUNTIF(N_CLAVE,P1674)&gt;1,"⚠ Duplicado","OK"))</f>
        <v/>
      </c>
      <c r="R1674" s="74" t="str">
        <f aca="false">IF(OR(P1674="",U1674=""),"",MAX(0,U1674-N(E1674)-N(F1674)-N(H1674)))</f>
        <v/>
      </c>
      <c r="S1674" s="75" t="str">
        <f aca="false">IF(P1674="","",IFERROR(INDEX(T_INGRESO,MATCH(C1674,T_ID,0)),""))</f>
        <v/>
      </c>
      <c r="T1674" s="75" t="str">
        <f aca="false">IF(P1674="","",IFERROR(N(INDEX(T_EGRESO,MATCH(C1674,T_ID,0))),0))</f>
        <v/>
      </c>
      <c r="U1674" s="73" t="str">
        <f aca="false">IF(OR(P1674="",NOT(ISNUMBER(S1674))),"",IF(OR(S1674&gt;EOMONTH(B1674,0),AND(T1674&gt;0,T1674&lt;B1674)),0,IF(AND(S1674&lt;=B1674,OR(T1674=0,T1674&gt;=EOMONTH(B1674,0))),30,MIN(30,IF(T1674=0,EOMONTH(B1674,0),MIN(T1674,EOMONTH(B1674,0)))-MAX(B1674,S1674)+1))))</f>
        <v/>
      </c>
    </row>
    <row r="1675" customFormat="false" ht="15" hidden="false" customHeight="false" outlineLevel="0" collapsed="false">
      <c r="B1675" s="78"/>
      <c r="C1675" s="64"/>
      <c r="D1675" s="70" t="str">
        <f aca="false">IF(C1675="","",IFERROR(INDEX(T_NOMBRE,MATCH(C1675,T_ID,0)),"⚠ ID no existe"))</f>
        <v/>
      </c>
      <c r="E1675" s="69"/>
      <c r="F1675" s="69"/>
      <c r="G1675" s="69"/>
      <c r="H1675" s="69"/>
      <c r="I1675" s="66"/>
      <c r="J1675" s="69"/>
      <c r="K1675" s="67"/>
      <c r="L1675" s="67"/>
      <c r="M1675" s="67"/>
      <c r="N1675" s="67"/>
      <c r="O1675" s="64"/>
      <c r="P1675" s="72" t="str">
        <f aca="false">IF(OR(B1675="",C1675=""),"",C1675&amp;"|"&amp;(YEAR(B1675)*100+MONTH(B1675)))</f>
        <v/>
      </c>
      <c r="Q1675" s="70" t="str">
        <f aca="false">IF(P1675="","",IF(COUNTIF(N_CLAVE,P1675)&gt;1,"⚠ Duplicado","OK"))</f>
        <v/>
      </c>
      <c r="R1675" s="74" t="str">
        <f aca="false">IF(OR(P1675="",U1675=""),"",MAX(0,U1675-N(E1675)-N(F1675)-N(H1675)))</f>
        <v/>
      </c>
      <c r="S1675" s="75" t="str">
        <f aca="false">IF(P1675="","",IFERROR(INDEX(T_INGRESO,MATCH(C1675,T_ID,0)),""))</f>
        <v/>
      </c>
      <c r="T1675" s="75" t="str">
        <f aca="false">IF(P1675="","",IFERROR(N(INDEX(T_EGRESO,MATCH(C1675,T_ID,0))),0))</f>
        <v/>
      </c>
      <c r="U1675" s="73" t="str">
        <f aca="false">IF(OR(P1675="",NOT(ISNUMBER(S1675))),"",IF(OR(S1675&gt;EOMONTH(B1675,0),AND(T1675&gt;0,T1675&lt;B1675)),0,IF(AND(S1675&lt;=B1675,OR(T1675=0,T1675&gt;=EOMONTH(B1675,0))),30,MIN(30,IF(T1675=0,EOMONTH(B1675,0),MIN(T1675,EOMONTH(B1675,0)))-MAX(B1675,S1675)+1))))</f>
        <v/>
      </c>
    </row>
    <row r="1676" customFormat="false" ht="15" hidden="false" customHeight="false" outlineLevel="0" collapsed="false">
      <c r="B1676" s="78"/>
      <c r="C1676" s="64"/>
      <c r="D1676" s="70" t="str">
        <f aca="false">IF(C1676="","",IFERROR(INDEX(T_NOMBRE,MATCH(C1676,T_ID,0)),"⚠ ID no existe"))</f>
        <v/>
      </c>
      <c r="E1676" s="69"/>
      <c r="F1676" s="69"/>
      <c r="G1676" s="69"/>
      <c r="H1676" s="69"/>
      <c r="I1676" s="66"/>
      <c r="J1676" s="69"/>
      <c r="K1676" s="67"/>
      <c r="L1676" s="67"/>
      <c r="M1676" s="67"/>
      <c r="N1676" s="67"/>
      <c r="O1676" s="64"/>
      <c r="P1676" s="72" t="str">
        <f aca="false">IF(OR(B1676="",C1676=""),"",C1676&amp;"|"&amp;(YEAR(B1676)*100+MONTH(B1676)))</f>
        <v/>
      </c>
      <c r="Q1676" s="70" t="str">
        <f aca="false">IF(P1676="","",IF(COUNTIF(N_CLAVE,P1676)&gt;1,"⚠ Duplicado","OK"))</f>
        <v/>
      </c>
      <c r="R1676" s="74" t="str">
        <f aca="false">IF(OR(P1676="",U1676=""),"",MAX(0,U1676-N(E1676)-N(F1676)-N(H1676)))</f>
        <v/>
      </c>
      <c r="S1676" s="75" t="str">
        <f aca="false">IF(P1676="","",IFERROR(INDEX(T_INGRESO,MATCH(C1676,T_ID,0)),""))</f>
        <v/>
      </c>
      <c r="T1676" s="75" t="str">
        <f aca="false">IF(P1676="","",IFERROR(N(INDEX(T_EGRESO,MATCH(C1676,T_ID,0))),0))</f>
        <v/>
      </c>
      <c r="U1676" s="73" t="str">
        <f aca="false">IF(OR(P1676="",NOT(ISNUMBER(S1676))),"",IF(OR(S1676&gt;EOMONTH(B1676,0),AND(T1676&gt;0,T1676&lt;B1676)),0,IF(AND(S1676&lt;=B1676,OR(T1676=0,T1676&gt;=EOMONTH(B1676,0))),30,MIN(30,IF(T1676=0,EOMONTH(B1676,0),MIN(T1676,EOMONTH(B1676,0)))-MAX(B1676,S1676)+1))))</f>
        <v/>
      </c>
    </row>
    <row r="1677" customFormat="false" ht="15" hidden="false" customHeight="false" outlineLevel="0" collapsed="false">
      <c r="B1677" s="78"/>
      <c r="C1677" s="64"/>
      <c r="D1677" s="70" t="str">
        <f aca="false">IF(C1677="","",IFERROR(INDEX(T_NOMBRE,MATCH(C1677,T_ID,0)),"⚠ ID no existe"))</f>
        <v/>
      </c>
      <c r="E1677" s="69"/>
      <c r="F1677" s="69"/>
      <c r="G1677" s="69"/>
      <c r="H1677" s="69"/>
      <c r="I1677" s="66"/>
      <c r="J1677" s="69"/>
      <c r="K1677" s="67"/>
      <c r="L1677" s="67"/>
      <c r="M1677" s="67"/>
      <c r="N1677" s="67"/>
      <c r="O1677" s="64"/>
      <c r="P1677" s="72" t="str">
        <f aca="false">IF(OR(B1677="",C1677=""),"",C1677&amp;"|"&amp;(YEAR(B1677)*100+MONTH(B1677)))</f>
        <v/>
      </c>
      <c r="Q1677" s="70" t="str">
        <f aca="false">IF(P1677="","",IF(COUNTIF(N_CLAVE,P1677)&gt;1,"⚠ Duplicado","OK"))</f>
        <v/>
      </c>
      <c r="R1677" s="74" t="str">
        <f aca="false">IF(OR(P1677="",U1677=""),"",MAX(0,U1677-N(E1677)-N(F1677)-N(H1677)))</f>
        <v/>
      </c>
      <c r="S1677" s="75" t="str">
        <f aca="false">IF(P1677="","",IFERROR(INDEX(T_INGRESO,MATCH(C1677,T_ID,0)),""))</f>
        <v/>
      </c>
      <c r="T1677" s="75" t="str">
        <f aca="false">IF(P1677="","",IFERROR(N(INDEX(T_EGRESO,MATCH(C1677,T_ID,0))),0))</f>
        <v/>
      </c>
      <c r="U1677" s="73" t="str">
        <f aca="false">IF(OR(P1677="",NOT(ISNUMBER(S1677))),"",IF(OR(S1677&gt;EOMONTH(B1677,0),AND(T1677&gt;0,T1677&lt;B1677)),0,IF(AND(S1677&lt;=B1677,OR(T1677=0,T1677&gt;=EOMONTH(B1677,0))),30,MIN(30,IF(T1677=0,EOMONTH(B1677,0),MIN(T1677,EOMONTH(B1677,0)))-MAX(B1677,S1677)+1))))</f>
        <v/>
      </c>
    </row>
    <row r="1678" customFormat="false" ht="15" hidden="false" customHeight="false" outlineLevel="0" collapsed="false">
      <c r="B1678" s="78"/>
      <c r="C1678" s="64"/>
      <c r="D1678" s="70" t="str">
        <f aca="false">IF(C1678="","",IFERROR(INDEX(T_NOMBRE,MATCH(C1678,T_ID,0)),"⚠ ID no existe"))</f>
        <v/>
      </c>
      <c r="E1678" s="69"/>
      <c r="F1678" s="69"/>
      <c r="G1678" s="69"/>
      <c r="H1678" s="69"/>
      <c r="I1678" s="66"/>
      <c r="J1678" s="69"/>
      <c r="K1678" s="67"/>
      <c r="L1678" s="67"/>
      <c r="M1678" s="67"/>
      <c r="N1678" s="67"/>
      <c r="O1678" s="64"/>
      <c r="P1678" s="72" t="str">
        <f aca="false">IF(OR(B1678="",C1678=""),"",C1678&amp;"|"&amp;(YEAR(B1678)*100+MONTH(B1678)))</f>
        <v/>
      </c>
      <c r="Q1678" s="70" t="str">
        <f aca="false">IF(P1678="","",IF(COUNTIF(N_CLAVE,P1678)&gt;1,"⚠ Duplicado","OK"))</f>
        <v/>
      </c>
      <c r="R1678" s="74" t="str">
        <f aca="false">IF(OR(P1678="",U1678=""),"",MAX(0,U1678-N(E1678)-N(F1678)-N(H1678)))</f>
        <v/>
      </c>
      <c r="S1678" s="75" t="str">
        <f aca="false">IF(P1678="","",IFERROR(INDEX(T_INGRESO,MATCH(C1678,T_ID,0)),""))</f>
        <v/>
      </c>
      <c r="T1678" s="75" t="str">
        <f aca="false">IF(P1678="","",IFERROR(N(INDEX(T_EGRESO,MATCH(C1678,T_ID,0))),0))</f>
        <v/>
      </c>
      <c r="U1678" s="73" t="str">
        <f aca="false">IF(OR(P1678="",NOT(ISNUMBER(S1678))),"",IF(OR(S1678&gt;EOMONTH(B1678,0),AND(T1678&gt;0,T1678&lt;B1678)),0,IF(AND(S1678&lt;=B1678,OR(T1678=0,T1678&gt;=EOMONTH(B1678,0))),30,MIN(30,IF(T1678=0,EOMONTH(B1678,0),MIN(T1678,EOMONTH(B1678,0)))-MAX(B1678,S1678)+1))))</f>
        <v/>
      </c>
    </row>
    <row r="1679" customFormat="false" ht="15" hidden="false" customHeight="false" outlineLevel="0" collapsed="false">
      <c r="B1679" s="78"/>
      <c r="C1679" s="64"/>
      <c r="D1679" s="70" t="str">
        <f aca="false">IF(C1679="","",IFERROR(INDEX(T_NOMBRE,MATCH(C1679,T_ID,0)),"⚠ ID no existe"))</f>
        <v/>
      </c>
      <c r="E1679" s="69"/>
      <c r="F1679" s="69"/>
      <c r="G1679" s="69"/>
      <c r="H1679" s="69"/>
      <c r="I1679" s="66"/>
      <c r="J1679" s="69"/>
      <c r="K1679" s="67"/>
      <c r="L1679" s="67"/>
      <c r="M1679" s="67"/>
      <c r="N1679" s="67"/>
      <c r="O1679" s="64"/>
      <c r="P1679" s="72" t="str">
        <f aca="false">IF(OR(B1679="",C1679=""),"",C1679&amp;"|"&amp;(YEAR(B1679)*100+MONTH(B1679)))</f>
        <v/>
      </c>
      <c r="Q1679" s="70" t="str">
        <f aca="false">IF(P1679="","",IF(COUNTIF(N_CLAVE,P1679)&gt;1,"⚠ Duplicado","OK"))</f>
        <v/>
      </c>
      <c r="R1679" s="74" t="str">
        <f aca="false">IF(OR(P1679="",U1679=""),"",MAX(0,U1679-N(E1679)-N(F1679)-N(H1679)))</f>
        <v/>
      </c>
      <c r="S1679" s="75" t="str">
        <f aca="false">IF(P1679="","",IFERROR(INDEX(T_INGRESO,MATCH(C1679,T_ID,0)),""))</f>
        <v/>
      </c>
      <c r="T1679" s="75" t="str">
        <f aca="false">IF(P1679="","",IFERROR(N(INDEX(T_EGRESO,MATCH(C1679,T_ID,0))),0))</f>
        <v/>
      </c>
      <c r="U1679" s="73" t="str">
        <f aca="false">IF(OR(P1679="",NOT(ISNUMBER(S1679))),"",IF(OR(S1679&gt;EOMONTH(B1679,0),AND(T1679&gt;0,T1679&lt;B1679)),0,IF(AND(S1679&lt;=B1679,OR(T1679=0,T1679&gt;=EOMONTH(B1679,0))),30,MIN(30,IF(T1679=0,EOMONTH(B1679,0),MIN(T1679,EOMONTH(B1679,0)))-MAX(B1679,S1679)+1))))</f>
        <v/>
      </c>
    </row>
    <row r="1680" customFormat="false" ht="15" hidden="false" customHeight="false" outlineLevel="0" collapsed="false">
      <c r="B1680" s="78"/>
      <c r="C1680" s="64"/>
      <c r="D1680" s="70" t="str">
        <f aca="false">IF(C1680="","",IFERROR(INDEX(T_NOMBRE,MATCH(C1680,T_ID,0)),"⚠ ID no existe"))</f>
        <v/>
      </c>
      <c r="E1680" s="69"/>
      <c r="F1680" s="69"/>
      <c r="G1680" s="69"/>
      <c r="H1680" s="69"/>
      <c r="I1680" s="66"/>
      <c r="J1680" s="69"/>
      <c r="K1680" s="67"/>
      <c r="L1680" s="67"/>
      <c r="M1680" s="67"/>
      <c r="N1680" s="67"/>
      <c r="O1680" s="64"/>
      <c r="P1680" s="72" t="str">
        <f aca="false">IF(OR(B1680="",C1680=""),"",C1680&amp;"|"&amp;(YEAR(B1680)*100+MONTH(B1680)))</f>
        <v/>
      </c>
      <c r="Q1680" s="70" t="str">
        <f aca="false">IF(P1680="","",IF(COUNTIF(N_CLAVE,P1680)&gt;1,"⚠ Duplicado","OK"))</f>
        <v/>
      </c>
      <c r="R1680" s="74" t="str">
        <f aca="false">IF(OR(P1680="",U1680=""),"",MAX(0,U1680-N(E1680)-N(F1680)-N(H1680)))</f>
        <v/>
      </c>
      <c r="S1680" s="75" t="str">
        <f aca="false">IF(P1680="","",IFERROR(INDEX(T_INGRESO,MATCH(C1680,T_ID,0)),""))</f>
        <v/>
      </c>
      <c r="T1680" s="75" t="str">
        <f aca="false">IF(P1680="","",IFERROR(N(INDEX(T_EGRESO,MATCH(C1680,T_ID,0))),0))</f>
        <v/>
      </c>
      <c r="U1680" s="73" t="str">
        <f aca="false">IF(OR(P1680="",NOT(ISNUMBER(S1680))),"",IF(OR(S1680&gt;EOMONTH(B1680,0),AND(T1680&gt;0,T1680&lt;B1680)),0,IF(AND(S1680&lt;=B1680,OR(T1680=0,T1680&gt;=EOMONTH(B1680,0))),30,MIN(30,IF(T1680=0,EOMONTH(B1680,0),MIN(T1680,EOMONTH(B1680,0)))-MAX(B1680,S1680)+1))))</f>
        <v/>
      </c>
    </row>
    <row r="1681" customFormat="false" ht="15" hidden="false" customHeight="false" outlineLevel="0" collapsed="false">
      <c r="B1681" s="78"/>
      <c r="C1681" s="64"/>
      <c r="D1681" s="70" t="str">
        <f aca="false">IF(C1681="","",IFERROR(INDEX(T_NOMBRE,MATCH(C1681,T_ID,0)),"⚠ ID no existe"))</f>
        <v/>
      </c>
      <c r="E1681" s="69"/>
      <c r="F1681" s="69"/>
      <c r="G1681" s="69"/>
      <c r="H1681" s="69"/>
      <c r="I1681" s="66"/>
      <c r="J1681" s="69"/>
      <c r="K1681" s="67"/>
      <c r="L1681" s="67"/>
      <c r="M1681" s="67"/>
      <c r="N1681" s="67"/>
      <c r="O1681" s="64"/>
      <c r="P1681" s="72" t="str">
        <f aca="false">IF(OR(B1681="",C1681=""),"",C1681&amp;"|"&amp;(YEAR(B1681)*100+MONTH(B1681)))</f>
        <v/>
      </c>
      <c r="Q1681" s="70" t="str">
        <f aca="false">IF(P1681="","",IF(COUNTIF(N_CLAVE,P1681)&gt;1,"⚠ Duplicado","OK"))</f>
        <v/>
      </c>
      <c r="R1681" s="74" t="str">
        <f aca="false">IF(OR(P1681="",U1681=""),"",MAX(0,U1681-N(E1681)-N(F1681)-N(H1681)))</f>
        <v/>
      </c>
      <c r="S1681" s="75" t="str">
        <f aca="false">IF(P1681="","",IFERROR(INDEX(T_INGRESO,MATCH(C1681,T_ID,0)),""))</f>
        <v/>
      </c>
      <c r="T1681" s="75" t="str">
        <f aca="false">IF(P1681="","",IFERROR(N(INDEX(T_EGRESO,MATCH(C1681,T_ID,0))),0))</f>
        <v/>
      </c>
      <c r="U1681" s="73" t="str">
        <f aca="false">IF(OR(P1681="",NOT(ISNUMBER(S1681))),"",IF(OR(S1681&gt;EOMONTH(B1681,0),AND(T1681&gt;0,T1681&lt;B1681)),0,IF(AND(S1681&lt;=B1681,OR(T1681=0,T1681&gt;=EOMONTH(B1681,0))),30,MIN(30,IF(T1681=0,EOMONTH(B1681,0),MIN(T1681,EOMONTH(B1681,0)))-MAX(B1681,S1681)+1))))</f>
        <v/>
      </c>
    </row>
    <row r="1682" customFormat="false" ht="15" hidden="false" customHeight="false" outlineLevel="0" collapsed="false">
      <c r="B1682" s="78"/>
      <c r="C1682" s="64"/>
      <c r="D1682" s="70" t="str">
        <f aca="false">IF(C1682="","",IFERROR(INDEX(T_NOMBRE,MATCH(C1682,T_ID,0)),"⚠ ID no existe"))</f>
        <v/>
      </c>
      <c r="E1682" s="69"/>
      <c r="F1682" s="69"/>
      <c r="G1682" s="69"/>
      <c r="H1682" s="69"/>
      <c r="I1682" s="66"/>
      <c r="J1682" s="69"/>
      <c r="K1682" s="67"/>
      <c r="L1682" s="67"/>
      <c r="M1682" s="67"/>
      <c r="N1682" s="67"/>
      <c r="O1682" s="64"/>
      <c r="P1682" s="72" t="str">
        <f aca="false">IF(OR(B1682="",C1682=""),"",C1682&amp;"|"&amp;(YEAR(B1682)*100+MONTH(B1682)))</f>
        <v/>
      </c>
      <c r="Q1682" s="70" t="str">
        <f aca="false">IF(P1682="","",IF(COUNTIF(N_CLAVE,P1682)&gt;1,"⚠ Duplicado","OK"))</f>
        <v/>
      </c>
      <c r="R1682" s="74" t="str">
        <f aca="false">IF(OR(P1682="",U1682=""),"",MAX(0,U1682-N(E1682)-N(F1682)-N(H1682)))</f>
        <v/>
      </c>
      <c r="S1682" s="75" t="str">
        <f aca="false">IF(P1682="","",IFERROR(INDEX(T_INGRESO,MATCH(C1682,T_ID,0)),""))</f>
        <v/>
      </c>
      <c r="T1682" s="75" t="str">
        <f aca="false">IF(P1682="","",IFERROR(N(INDEX(T_EGRESO,MATCH(C1682,T_ID,0))),0))</f>
        <v/>
      </c>
      <c r="U1682" s="73" t="str">
        <f aca="false">IF(OR(P1682="",NOT(ISNUMBER(S1682))),"",IF(OR(S1682&gt;EOMONTH(B1682,0),AND(T1682&gt;0,T1682&lt;B1682)),0,IF(AND(S1682&lt;=B1682,OR(T1682=0,T1682&gt;=EOMONTH(B1682,0))),30,MIN(30,IF(T1682=0,EOMONTH(B1682,0),MIN(T1682,EOMONTH(B1682,0)))-MAX(B1682,S1682)+1))))</f>
        <v/>
      </c>
    </row>
    <row r="1683" customFormat="false" ht="15" hidden="false" customHeight="false" outlineLevel="0" collapsed="false">
      <c r="B1683" s="78"/>
      <c r="C1683" s="64"/>
      <c r="D1683" s="70" t="str">
        <f aca="false">IF(C1683="","",IFERROR(INDEX(T_NOMBRE,MATCH(C1683,T_ID,0)),"⚠ ID no existe"))</f>
        <v/>
      </c>
      <c r="E1683" s="69"/>
      <c r="F1683" s="69"/>
      <c r="G1683" s="69"/>
      <c r="H1683" s="69"/>
      <c r="I1683" s="66"/>
      <c r="J1683" s="69"/>
      <c r="K1683" s="67"/>
      <c r="L1683" s="67"/>
      <c r="M1683" s="67"/>
      <c r="N1683" s="67"/>
      <c r="O1683" s="64"/>
      <c r="P1683" s="72" t="str">
        <f aca="false">IF(OR(B1683="",C1683=""),"",C1683&amp;"|"&amp;(YEAR(B1683)*100+MONTH(B1683)))</f>
        <v/>
      </c>
      <c r="Q1683" s="70" t="str">
        <f aca="false">IF(P1683="","",IF(COUNTIF(N_CLAVE,P1683)&gt;1,"⚠ Duplicado","OK"))</f>
        <v/>
      </c>
      <c r="R1683" s="74" t="str">
        <f aca="false">IF(OR(P1683="",U1683=""),"",MAX(0,U1683-N(E1683)-N(F1683)-N(H1683)))</f>
        <v/>
      </c>
      <c r="S1683" s="75" t="str">
        <f aca="false">IF(P1683="","",IFERROR(INDEX(T_INGRESO,MATCH(C1683,T_ID,0)),""))</f>
        <v/>
      </c>
      <c r="T1683" s="75" t="str">
        <f aca="false">IF(P1683="","",IFERROR(N(INDEX(T_EGRESO,MATCH(C1683,T_ID,0))),0))</f>
        <v/>
      </c>
      <c r="U1683" s="73" t="str">
        <f aca="false">IF(OR(P1683="",NOT(ISNUMBER(S1683))),"",IF(OR(S1683&gt;EOMONTH(B1683,0),AND(T1683&gt;0,T1683&lt;B1683)),0,IF(AND(S1683&lt;=B1683,OR(T1683=0,T1683&gt;=EOMONTH(B1683,0))),30,MIN(30,IF(T1683=0,EOMONTH(B1683,0),MIN(T1683,EOMONTH(B1683,0)))-MAX(B1683,S1683)+1))))</f>
        <v/>
      </c>
    </row>
    <row r="1684" customFormat="false" ht="15" hidden="false" customHeight="false" outlineLevel="0" collapsed="false">
      <c r="B1684" s="78"/>
      <c r="C1684" s="64"/>
      <c r="D1684" s="70" t="str">
        <f aca="false">IF(C1684="","",IFERROR(INDEX(T_NOMBRE,MATCH(C1684,T_ID,0)),"⚠ ID no existe"))</f>
        <v/>
      </c>
      <c r="E1684" s="69"/>
      <c r="F1684" s="69"/>
      <c r="G1684" s="69"/>
      <c r="H1684" s="69"/>
      <c r="I1684" s="66"/>
      <c r="J1684" s="69"/>
      <c r="K1684" s="67"/>
      <c r="L1684" s="67"/>
      <c r="M1684" s="67"/>
      <c r="N1684" s="67"/>
      <c r="O1684" s="64"/>
      <c r="P1684" s="72" t="str">
        <f aca="false">IF(OR(B1684="",C1684=""),"",C1684&amp;"|"&amp;(YEAR(B1684)*100+MONTH(B1684)))</f>
        <v/>
      </c>
      <c r="Q1684" s="70" t="str">
        <f aca="false">IF(P1684="","",IF(COUNTIF(N_CLAVE,P1684)&gt;1,"⚠ Duplicado","OK"))</f>
        <v/>
      </c>
      <c r="R1684" s="74" t="str">
        <f aca="false">IF(OR(P1684="",U1684=""),"",MAX(0,U1684-N(E1684)-N(F1684)-N(H1684)))</f>
        <v/>
      </c>
      <c r="S1684" s="75" t="str">
        <f aca="false">IF(P1684="","",IFERROR(INDEX(T_INGRESO,MATCH(C1684,T_ID,0)),""))</f>
        <v/>
      </c>
      <c r="T1684" s="75" t="str">
        <f aca="false">IF(P1684="","",IFERROR(N(INDEX(T_EGRESO,MATCH(C1684,T_ID,0))),0))</f>
        <v/>
      </c>
      <c r="U1684" s="73" t="str">
        <f aca="false">IF(OR(P1684="",NOT(ISNUMBER(S1684))),"",IF(OR(S1684&gt;EOMONTH(B1684,0),AND(T1684&gt;0,T1684&lt;B1684)),0,IF(AND(S1684&lt;=B1684,OR(T1684=0,T1684&gt;=EOMONTH(B1684,0))),30,MIN(30,IF(T1684=0,EOMONTH(B1684,0),MIN(T1684,EOMONTH(B1684,0)))-MAX(B1684,S1684)+1))))</f>
        <v/>
      </c>
    </row>
    <row r="1685" customFormat="false" ht="15" hidden="false" customHeight="false" outlineLevel="0" collapsed="false">
      <c r="B1685" s="78"/>
      <c r="C1685" s="64"/>
      <c r="D1685" s="70" t="str">
        <f aca="false">IF(C1685="","",IFERROR(INDEX(T_NOMBRE,MATCH(C1685,T_ID,0)),"⚠ ID no existe"))</f>
        <v/>
      </c>
      <c r="E1685" s="69"/>
      <c r="F1685" s="69"/>
      <c r="G1685" s="69"/>
      <c r="H1685" s="69"/>
      <c r="I1685" s="66"/>
      <c r="J1685" s="69"/>
      <c r="K1685" s="67"/>
      <c r="L1685" s="67"/>
      <c r="M1685" s="67"/>
      <c r="N1685" s="67"/>
      <c r="O1685" s="64"/>
      <c r="P1685" s="72" t="str">
        <f aca="false">IF(OR(B1685="",C1685=""),"",C1685&amp;"|"&amp;(YEAR(B1685)*100+MONTH(B1685)))</f>
        <v/>
      </c>
      <c r="Q1685" s="70" t="str">
        <f aca="false">IF(P1685="","",IF(COUNTIF(N_CLAVE,P1685)&gt;1,"⚠ Duplicado","OK"))</f>
        <v/>
      </c>
      <c r="R1685" s="74" t="str">
        <f aca="false">IF(OR(P1685="",U1685=""),"",MAX(0,U1685-N(E1685)-N(F1685)-N(H1685)))</f>
        <v/>
      </c>
      <c r="S1685" s="75" t="str">
        <f aca="false">IF(P1685="","",IFERROR(INDEX(T_INGRESO,MATCH(C1685,T_ID,0)),""))</f>
        <v/>
      </c>
      <c r="T1685" s="75" t="str">
        <f aca="false">IF(P1685="","",IFERROR(N(INDEX(T_EGRESO,MATCH(C1685,T_ID,0))),0))</f>
        <v/>
      </c>
      <c r="U1685" s="73" t="str">
        <f aca="false">IF(OR(P1685="",NOT(ISNUMBER(S1685))),"",IF(OR(S1685&gt;EOMONTH(B1685,0),AND(T1685&gt;0,T1685&lt;B1685)),0,IF(AND(S1685&lt;=B1685,OR(T1685=0,T1685&gt;=EOMONTH(B1685,0))),30,MIN(30,IF(T1685=0,EOMONTH(B1685,0),MIN(T1685,EOMONTH(B1685,0)))-MAX(B1685,S1685)+1))))</f>
        <v/>
      </c>
    </row>
    <row r="1686" customFormat="false" ht="15" hidden="false" customHeight="false" outlineLevel="0" collapsed="false">
      <c r="B1686" s="78"/>
      <c r="C1686" s="64"/>
      <c r="D1686" s="70" t="str">
        <f aca="false">IF(C1686="","",IFERROR(INDEX(T_NOMBRE,MATCH(C1686,T_ID,0)),"⚠ ID no existe"))</f>
        <v/>
      </c>
      <c r="E1686" s="69"/>
      <c r="F1686" s="69"/>
      <c r="G1686" s="69"/>
      <c r="H1686" s="69"/>
      <c r="I1686" s="66"/>
      <c r="J1686" s="69"/>
      <c r="K1686" s="67"/>
      <c r="L1686" s="67"/>
      <c r="M1686" s="67"/>
      <c r="N1686" s="67"/>
      <c r="O1686" s="64"/>
      <c r="P1686" s="72" t="str">
        <f aca="false">IF(OR(B1686="",C1686=""),"",C1686&amp;"|"&amp;(YEAR(B1686)*100+MONTH(B1686)))</f>
        <v/>
      </c>
      <c r="Q1686" s="70" t="str">
        <f aca="false">IF(P1686="","",IF(COUNTIF(N_CLAVE,P1686)&gt;1,"⚠ Duplicado","OK"))</f>
        <v/>
      </c>
      <c r="R1686" s="74" t="str">
        <f aca="false">IF(OR(P1686="",U1686=""),"",MAX(0,U1686-N(E1686)-N(F1686)-N(H1686)))</f>
        <v/>
      </c>
      <c r="S1686" s="75" t="str">
        <f aca="false">IF(P1686="","",IFERROR(INDEX(T_INGRESO,MATCH(C1686,T_ID,0)),""))</f>
        <v/>
      </c>
      <c r="T1686" s="75" t="str">
        <f aca="false">IF(P1686="","",IFERROR(N(INDEX(T_EGRESO,MATCH(C1686,T_ID,0))),0))</f>
        <v/>
      </c>
      <c r="U1686" s="73" t="str">
        <f aca="false">IF(OR(P1686="",NOT(ISNUMBER(S1686))),"",IF(OR(S1686&gt;EOMONTH(B1686,0),AND(T1686&gt;0,T1686&lt;B1686)),0,IF(AND(S1686&lt;=B1686,OR(T1686=0,T1686&gt;=EOMONTH(B1686,0))),30,MIN(30,IF(T1686=0,EOMONTH(B1686,0),MIN(T1686,EOMONTH(B1686,0)))-MAX(B1686,S1686)+1))))</f>
        <v/>
      </c>
    </row>
    <row r="1687" customFormat="false" ht="15" hidden="false" customHeight="false" outlineLevel="0" collapsed="false">
      <c r="B1687" s="78"/>
      <c r="C1687" s="64"/>
      <c r="D1687" s="70" t="str">
        <f aca="false">IF(C1687="","",IFERROR(INDEX(T_NOMBRE,MATCH(C1687,T_ID,0)),"⚠ ID no existe"))</f>
        <v/>
      </c>
      <c r="E1687" s="69"/>
      <c r="F1687" s="69"/>
      <c r="G1687" s="69"/>
      <c r="H1687" s="69"/>
      <c r="I1687" s="66"/>
      <c r="J1687" s="69"/>
      <c r="K1687" s="67"/>
      <c r="L1687" s="67"/>
      <c r="M1687" s="67"/>
      <c r="N1687" s="67"/>
      <c r="O1687" s="64"/>
      <c r="P1687" s="72" t="str">
        <f aca="false">IF(OR(B1687="",C1687=""),"",C1687&amp;"|"&amp;(YEAR(B1687)*100+MONTH(B1687)))</f>
        <v/>
      </c>
      <c r="Q1687" s="70" t="str">
        <f aca="false">IF(P1687="","",IF(COUNTIF(N_CLAVE,P1687)&gt;1,"⚠ Duplicado","OK"))</f>
        <v/>
      </c>
      <c r="R1687" s="74" t="str">
        <f aca="false">IF(OR(P1687="",U1687=""),"",MAX(0,U1687-N(E1687)-N(F1687)-N(H1687)))</f>
        <v/>
      </c>
      <c r="S1687" s="75" t="str">
        <f aca="false">IF(P1687="","",IFERROR(INDEX(T_INGRESO,MATCH(C1687,T_ID,0)),""))</f>
        <v/>
      </c>
      <c r="T1687" s="75" t="str">
        <f aca="false">IF(P1687="","",IFERROR(N(INDEX(T_EGRESO,MATCH(C1687,T_ID,0))),0))</f>
        <v/>
      </c>
      <c r="U1687" s="73" t="str">
        <f aca="false">IF(OR(P1687="",NOT(ISNUMBER(S1687))),"",IF(OR(S1687&gt;EOMONTH(B1687,0),AND(T1687&gt;0,T1687&lt;B1687)),0,IF(AND(S1687&lt;=B1687,OR(T1687=0,T1687&gt;=EOMONTH(B1687,0))),30,MIN(30,IF(T1687=0,EOMONTH(B1687,0),MIN(T1687,EOMONTH(B1687,0)))-MAX(B1687,S1687)+1))))</f>
        <v/>
      </c>
    </row>
    <row r="1688" customFormat="false" ht="15" hidden="false" customHeight="false" outlineLevel="0" collapsed="false">
      <c r="B1688" s="78"/>
      <c r="C1688" s="64"/>
      <c r="D1688" s="70" t="str">
        <f aca="false">IF(C1688="","",IFERROR(INDEX(T_NOMBRE,MATCH(C1688,T_ID,0)),"⚠ ID no existe"))</f>
        <v/>
      </c>
      <c r="E1688" s="69"/>
      <c r="F1688" s="69"/>
      <c r="G1688" s="69"/>
      <c r="H1688" s="69"/>
      <c r="I1688" s="66"/>
      <c r="J1688" s="69"/>
      <c r="K1688" s="67"/>
      <c r="L1688" s="67"/>
      <c r="M1688" s="67"/>
      <c r="N1688" s="67"/>
      <c r="O1688" s="64"/>
      <c r="P1688" s="72" t="str">
        <f aca="false">IF(OR(B1688="",C1688=""),"",C1688&amp;"|"&amp;(YEAR(B1688)*100+MONTH(B1688)))</f>
        <v/>
      </c>
      <c r="Q1688" s="70" t="str">
        <f aca="false">IF(P1688="","",IF(COUNTIF(N_CLAVE,P1688)&gt;1,"⚠ Duplicado","OK"))</f>
        <v/>
      </c>
      <c r="R1688" s="74" t="str">
        <f aca="false">IF(OR(P1688="",U1688=""),"",MAX(0,U1688-N(E1688)-N(F1688)-N(H1688)))</f>
        <v/>
      </c>
      <c r="S1688" s="75" t="str">
        <f aca="false">IF(P1688="","",IFERROR(INDEX(T_INGRESO,MATCH(C1688,T_ID,0)),""))</f>
        <v/>
      </c>
      <c r="T1688" s="75" t="str">
        <f aca="false">IF(P1688="","",IFERROR(N(INDEX(T_EGRESO,MATCH(C1688,T_ID,0))),0))</f>
        <v/>
      </c>
      <c r="U1688" s="73" t="str">
        <f aca="false">IF(OR(P1688="",NOT(ISNUMBER(S1688))),"",IF(OR(S1688&gt;EOMONTH(B1688,0),AND(T1688&gt;0,T1688&lt;B1688)),0,IF(AND(S1688&lt;=B1688,OR(T1688=0,T1688&gt;=EOMONTH(B1688,0))),30,MIN(30,IF(T1688=0,EOMONTH(B1688,0),MIN(T1688,EOMONTH(B1688,0)))-MAX(B1688,S1688)+1))))</f>
        <v/>
      </c>
    </row>
    <row r="1689" customFormat="false" ht="15" hidden="false" customHeight="false" outlineLevel="0" collapsed="false">
      <c r="B1689" s="78"/>
      <c r="C1689" s="64"/>
      <c r="D1689" s="70" t="str">
        <f aca="false">IF(C1689="","",IFERROR(INDEX(T_NOMBRE,MATCH(C1689,T_ID,0)),"⚠ ID no existe"))</f>
        <v/>
      </c>
      <c r="E1689" s="69"/>
      <c r="F1689" s="69"/>
      <c r="G1689" s="69"/>
      <c r="H1689" s="69"/>
      <c r="I1689" s="66"/>
      <c r="J1689" s="69"/>
      <c r="K1689" s="67"/>
      <c r="L1689" s="67"/>
      <c r="M1689" s="67"/>
      <c r="N1689" s="67"/>
      <c r="O1689" s="64"/>
      <c r="P1689" s="72" t="str">
        <f aca="false">IF(OR(B1689="",C1689=""),"",C1689&amp;"|"&amp;(YEAR(B1689)*100+MONTH(B1689)))</f>
        <v/>
      </c>
      <c r="Q1689" s="70" t="str">
        <f aca="false">IF(P1689="","",IF(COUNTIF(N_CLAVE,P1689)&gt;1,"⚠ Duplicado","OK"))</f>
        <v/>
      </c>
      <c r="R1689" s="74" t="str">
        <f aca="false">IF(OR(P1689="",U1689=""),"",MAX(0,U1689-N(E1689)-N(F1689)-N(H1689)))</f>
        <v/>
      </c>
      <c r="S1689" s="75" t="str">
        <f aca="false">IF(P1689="","",IFERROR(INDEX(T_INGRESO,MATCH(C1689,T_ID,0)),""))</f>
        <v/>
      </c>
      <c r="T1689" s="75" t="str">
        <f aca="false">IF(P1689="","",IFERROR(N(INDEX(T_EGRESO,MATCH(C1689,T_ID,0))),0))</f>
        <v/>
      </c>
      <c r="U1689" s="73" t="str">
        <f aca="false">IF(OR(P1689="",NOT(ISNUMBER(S1689))),"",IF(OR(S1689&gt;EOMONTH(B1689,0),AND(T1689&gt;0,T1689&lt;B1689)),0,IF(AND(S1689&lt;=B1689,OR(T1689=0,T1689&gt;=EOMONTH(B1689,0))),30,MIN(30,IF(T1689=0,EOMONTH(B1689,0),MIN(T1689,EOMONTH(B1689,0)))-MAX(B1689,S1689)+1))))</f>
        <v/>
      </c>
    </row>
    <row r="1690" customFormat="false" ht="15" hidden="false" customHeight="false" outlineLevel="0" collapsed="false">
      <c r="B1690" s="78"/>
      <c r="C1690" s="64"/>
      <c r="D1690" s="70" t="str">
        <f aca="false">IF(C1690="","",IFERROR(INDEX(T_NOMBRE,MATCH(C1690,T_ID,0)),"⚠ ID no existe"))</f>
        <v/>
      </c>
      <c r="E1690" s="69"/>
      <c r="F1690" s="69"/>
      <c r="G1690" s="69"/>
      <c r="H1690" s="69"/>
      <c r="I1690" s="66"/>
      <c r="J1690" s="69"/>
      <c r="K1690" s="67"/>
      <c r="L1690" s="67"/>
      <c r="M1690" s="67"/>
      <c r="N1690" s="67"/>
      <c r="O1690" s="64"/>
      <c r="P1690" s="72" t="str">
        <f aca="false">IF(OR(B1690="",C1690=""),"",C1690&amp;"|"&amp;(YEAR(B1690)*100+MONTH(B1690)))</f>
        <v/>
      </c>
      <c r="Q1690" s="70" t="str">
        <f aca="false">IF(P1690="","",IF(COUNTIF(N_CLAVE,P1690)&gt;1,"⚠ Duplicado","OK"))</f>
        <v/>
      </c>
      <c r="R1690" s="74" t="str">
        <f aca="false">IF(OR(P1690="",U1690=""),"",MAX(0,U1690-N(E1690)-N(F1690)-N(H1690)))</f>
        <v/>
      </c>
      <c r="S1690" s="75" t="str">
        <f aca="false">IF(P1690="","",IFERROR(INDEX(T_INGRESO,MATCH(C1690,T_ID,0)),""))</f>
        <v/>
      </c>
      <c r="T1690" s="75" t="str">
        <f aca="false">IF(P1690="","",IFERROR(N(INDEX(T_EGRESO,MATCH(C1690,T_ID,0))),0))</f>
        <v/>
      </c>
      <c r="U1690" s="73" t="str">
        <f aca="false">IF(OR(P1690="",NOT(ISNUMBER(S1690))),"",IF(OR(S1690&gt;EOMONTH(B1690,0),AND(T1690&gt;0,T1690&lt;B1690)),0,IF(AND(S1690&lt;=B1690,OR(T1690=0,T1690&gt;=EOMONTH(B1690,0))),30,MIN(30,IF(T1690=0,EOMONTH(B1690,0),MIN(T1690,EOMONTH(B1690,0)))-MAX(B1690,S1690)+1))))</f>
        <v/>
      </c>
    </row>
    <row r="1691" customFormat="false" ht="15" hidden="false" customHeight="false" outlineLevel="0" collapsed="false">
      <c r="B1691" s="78"/>
      <c r="C1691" s="64"/>
      <c r="D1691" s="70" t="str">
        <f aca="false">IF(C1691="","",IFERROR(INDEX(T_NOMBRE,MATCH(C1691,T_ID,0)),"⚠ ID no existe"))</f>
        <v/>
      </c>
      <c r="E1691" s="69"/>
      <c r="F1691" s="69"/>
      <c r="G1691" s="69"/>
      <c r="H1691" s="69"/>
      <c r="I1691" s="66"/>
      <c r="J1691" s="69"/>
      <c r="K1691" s="67"/>
      <c r="L1691" s="67"/>
      <c r="M1691" s="67"/>
      <c r="N1691" s="67"/>
      <c r="O1691" s="64"/>
      <c r="P1691" s="72" t="str">
        <f aca="false">IF(OR(B1691="",C1691=""),"",C1691&amp;"|"&amp;(YEAR(B1691)*100+MONTH(B1691)))</f>
        <v/>
      </c>
      <c r="Q1691" s="70" t="str">
        <f aca="false">IF(P1691="","",IF(COUNTIF(N_CLAVE,P1691)&gt;1,"⚠ Duplicado","OK"))</f>
        <v/>
      </c>
      <c r="R1691" s="74" t="str">
        <f aca="false">IF(OR(P1691="",U1691=""),"",MAX(0,U1691-N(E1691)-N(F1691)-N(H1691)))</f>
        <v/>
      </c>
      <c r="S1691" s="75" t="str">
        <f aca="false">IF(P1691="","",IFERROR(INDEX(T_INGRESO,MATCH(C1691,T_ID,0)),""))</f>
        <v/>
      </c>
      <c r="T1691" s="75" t="str">
        <f aca="false">IF(P1691="","",IFERROR(N(INDEX(T_EGRESO,MATCH(C1691,T_ID,0))),0))</f>
        <v/>
      </c>
      <c r="U1691" s="73" t="str">
        <f aca="false">IF(OR(P1691="",NOT(ISNUMBER(S1691))),"",IF(OR(S1691&gt;EOMONTH(B1691,0),AND(T1691&gt;0,T1691&lt;B1691)),0,IF(AND(S1691&lt;=B1691,OR(T1691=0,T1691&gt;=EOMONTH(B1691,0))),30,MIN(30,IF(T1691=0,EOMONTH(B1691,0),MIN(T1691,EOMONTH(B1691,0)))-MAX(B1691,S1691)+1))))</f>
        <v/>
      </c>
    </row>
    <row r="1692" customFormat="false" ht="15" hidden="false" customHeight="false" outlineLevel="0" collapsed="false">
      <c r="B1692" s="78"/>
      <c r="C1692" s="64"/>
      <c r="D1692" s="70" t="str">
        <f aca="false">IF(C1692="","",IFERROR(INDEX(T_NOMBRE,MATCH(C1692,T_ID,0)),"⚠ ID no existe"))</f>
        <v/>
      </c>
      <c r="E1692" s="69"/>
      <c r="F1692" s="69"/>
      <c r="G1692" s="69"/>
      <c r="H1692" s="69"/>
      <c r="I1692" s="66"/>
      <c r="J1692" s="69"/>
      <c r="K1692" s="67"/>
      <c r="L1692" s="67"/>
      <c r="M1692" s="67"/>
      <c r="N1692" s="67"/>
      <c r="O1692" s="64"/>
      <c r="P1692" s="72" t="str">
        <f aca="false">IF(OR(B1692="",C1692=""),"",C1692&amp;"|"&amp;(YEAR(B1692)*100+MONTH(B1692)))</f>
        <v/>
      </c>
      <c r="Q1692" s="70" t="str">
        <f aca="false">IF(P1692="","",IF(COUNTIF(N_CLAVE,P1692)&gt;1,"⚠ Duplicado","OK"))</f>
        <v/>
      </c>
      <c r="R1692" s="74" t="str">
        <f aca="false">IF(OR(P1692="",U1692=""),"",MAX(0,U1692-N(E1692)-N(F1692)-N(H1692)))</f>
        <v/>
      </c>
      <c r="S1692" s="75" t="str">
        <f aca="false">IF(P1692="","",IFERROR(INDEX(T_INGRESO,MATCH(C1692,T_ID,0)),""))</f>
        <v/>
      </c>
      <c r="T1692" s="75" t="str">
        <f aca="false">IF(P1692="","",IFERROR(N(INDEX(T_EGRESO,MATCH(C1692,T_ID,0))),0))</f>
        <v/>
      </c>
      <c r="U1692" s="73" t="str">
        <f aca="false">IF(OR(P1692="",NOT(ISNUMBER(S1692))),"",IF(OR(S1692&gt;EOMONTH(B1692,0),AND(T1692&gt;0,T1692&lt;B1692)),0,IF(AND(S1692&lt;=B1692,OR(T1692=0,T1692&gt;=EOMONTH(B1692,0))),30,MIN(30,IF(T1692=0,EOMONTH(B1692,0),MIN(T1692,EOMONTH(B1692,0)))-MAX(B1692,S1692)+1))))</f>
        <v/>
      </c>
    </row>
    <row r="1693" customFormat="false" ht="15" hidden="false" customHeight="false" outlineLevel="0" collapsed="false">
      <c r="B1693" s="78"/>
      <c r="C1693" s="64"/>
      <c r="D1693" s="70" t="str">
        <f aca="false">IF(C1693="","",IFERROR(INDEX(T_NOMBRE,MATCH(C1693,T_ID,0)),"⚠ ID no existe"))</f>
        <v/>
      </c>
      <c r="E1693" s="69"/>
      <c r="F1693" s="69"/>
      <c r="G1693" s="69"/>
      <c r="H1693" s="69"/>
      <c r="I1693" s="66"/>
      <c r="J1693" s="69"/>
      <c r="K1693" s="67"/>
      <c r="L1693" s="67"/>
      <c r="M1693" s="67"/>
      <c r="N1693" s="67"/>
      <c r="O1693" s="64"/>
      <c r="P1693" s="72" t="str">
        <f aca="false">IF(OR(B1693="",C1693=""),"",C1693&amp;"|"&amp;(YEAR(B1693)*100+MONTH(B1693)))</f>
        <v/>
      </c>
      <c r="Q1693" s="70" t="str">
        <f aca="false">IF(P1693="","",IF(COUNTIF(N_CLAVE,P1693)&gt;1,"⚠ Duplicado","OK"))</f>
        <v/>
      </c>
      <c r="R1693" s="74" t="str">
        <f aca="false">IF(OR(P1693="",U1693=""),"",MAX(0,U1693-N(E1693)-N(F1693)-N(H1693)))</f>
        <v/>
      </c>
      <c r="S1693" s="75" t="str">
        <f aca="false">IF(P1693="","",IFERROR(INDEX(T_INGRESO,MATCH(C1693,T_ID,0)),""))</f>
        <v/>
      </c>
      <c r="T1693" s="75" t="str">
        <f aca="false">IF(P1693="","",IFERROR(N(INDEX(T_EGRESO,MATCH(C1693,T_ID,0))),0))</f>
        <v/>
      </c>
      <c r="U1693" s="73" t="str">
        <f aca="false">IF(OR(P1693="",NOT(ISNUMBER(S1693))),"",IF(OR(S1693&gt;EOMONTH(B1693,0),AND(T1693&gt;0,T1693&lt;B1693)),0,IF(AND(S1693&lt;=B1693,OR(T1693=0,T1693&gt;=EOMONTH(B1693,0))),30,MIN(30,IF(T1693=0,EOMONTH(B1693,0),MIN(T1693,EOMONTH(B1693,0)))-MAX(B1693,S1693)+1))))</f>
        <v/>
      </c>
    </row>
    <row r="1694" customFormat="false" ht="15" hidden="false" customHeight="false" outlineLevel="0" collapsed="false">
      <c r="B1694" s="78"/>
      <c r="C1694" s="64"/>
      <c r="D1694" s="70" t="str">
        <f aca="false">IF(C1694="","",IFERROR(INDEX(T_NOMBRE,MATCH(C1694,T_ID,0)),"⚠ ID no existe"))</f>
        <v/>
      </c>
      <c r="E1694" s="69"/>
      <c r="F1694" s="69"/>
      <c r="G1694" s="69"/>
      <c r="H1694" s="69"/>
      <c r="I1694" s="66"/>
      <c r="J1694" s="69"/>
      <c r="K1694" s="67"/>
      <c r="L1694" s="67"/>
      <c r="M1694" s="67"/>
      <c r="N1694" s="67"/>
      <c r="O1694" s="64"/>
      <c r="P1694" s="72" t="str">
        <f aca="false">IF(OR(B1694="",C1694=""),"",C1694&amp;"|"&amp;(YEAR(B1694)*100+MONTH(B1694)))</f>
        <v/>
      </c>
      <c r="Q1694" s="70" t="str">
        <f aca="false">IF(P1694="","",IF(COUNTIF(N_CLAVE,P1694)&gt;1,"⚠ Duplicado","OK"))</f>
        <v/>
      </c>
      <c r="R1694" s="74" t="str">
        <f aca="false">IF(OR(P1694="",U1694=""),"",MAX(0,U1694-N(E1694)-N(F1694)-N(H1694)))</f>
        <v/>
      </c>
      <c r="S1694" s="75" t="str">
        <f aca="false">IF(P1694="","",IFERROR(INDEX(T_INGRESO,MATCH(C1694,T_ID,0)),""))</f>
        <v/>
      </c>
      <c r="T1694" s="75" t="str">
        <f aca="false">IF(P1694="","",IFERROR(N(INDEX(T_EGRESO,MATCH(C1694,T_ID,0))),0))</f>
        <v/>
      </c>
      <c r="U1694" s="73" t="str">
        <f aca="false">IF(OR(P1694="",NOT(ISNUMBER(S1694))),"",IF(OR(S1694&gt;EOMONTH(B1694,0),AND(T1694&gt;0,T1694&lt;B1694)),0,IF(AND(S1694&lt;=B1694,OR(T1694=0,T1694&gt;=EOMONTH(B1694,0))),30,MIN(30,IF(T1694=0,EOMONTH(B1694,0),MIN(T1694,EOMONTH(B1694,0)))-MAX(B1694,S1694)+1))))</f>
        <v/>
      </c>
    </row>
    <row r="1695" customFormat="false" ht="15" hidden="false" customHeight="false" outlineLevel="0" collapsed="false">
      <c r="B1695" s="78"/>
      <c r="C1695" s="64"/>
      <c r="D1695" s="70" t="str">
        <f aca="false">IF(C1695="","",IFERROR(INDEX(T_NOMBRE,MATCH(C1695,T_ID,0)),"⚠ ID no existe"))</f>
        <v/>
      </c>
      <c r="E1695" s="69"/>
      <c r="F1695" s="69"/>
      <c r="G1695" s="69"/>
      <c r="H1695" s="69"/>
      <c r="I1695" s="66"/>
      <c r="J1695" s="69"/>
      <c r="K1695" s="67"/>
      <c r="L1695" s="67"/>
      <c r="M1695" s="67"/>
      <c r="N1695" s="67"/>
      <c r="O1695" s="64"/>
      <c r="P1695" s="72" t="str">
        <f aca="false">IF(OR(B1695="",C1695=""),"",C1695&amp;"|"&amp;(YEAR(B1695)*100+MONTH(B1695)))</f>
        <v/>
      </c>
      <c r="Q1695" s="70" t="str">
        <f aca="false">IF(P1695="","",IF(COUNTIF(N_CLAVE,P1695)&gt;1,"⚠ Duplicado","OK"))</f>
        <v/>
      </c>
      <c r="R1695" s="74" t="str">
        <f aca="false">IF(OR(P1695="",U1695=""),"",MAX(0,U1695-N(E1695)-N(F1695)-N(H1695)))</f>
        <v/>
      </c>
      <c r="S1695" s="75" t="str">
        <f aca="false">IF(P1695="","",IFERROR(INDEX(T_INGRESO,MATCH(C1695,T_ID,0)),""))</f>
        <v/>
      </c>
      <c r="T1695" s="75" t="str">
        <f aca="false">IF(P1695="","",IFERROR(N(INDEX(T_EGRESO,MATCH(C1695,T_ID,0))),0))</f>
        <v/>
      </c>
      <c r="U1695" s="73" t="str">
        <f aca="false">IF(OR(P1695="",NOT(ISNUMBER(S1695))),"",IF(OR(S1695&gt;EOMONTH(B1695,0),AND(T1695&gt;0,T1695&lt;B1695)),0,IF(AND(S1695&lt;=B1695,OR(T1695=0,T1695&gt;=EOMONTH(B1695,0))),30,MIN(30,IF(T1695=0,EOMONTH(B1695,0),MIN(T1695,EOMONTH(B1695,0)))-MAX(B1695,S1695)+1))))</f>
        <v/>
      </c>
    </row>
    <row r="1696" customFormat="false" ht="15" hidden="false" customHeight="false" outlineLevel="0" collapsed="false">
      <c r="B1696" s="78"/>
      <c r="C1696" s="64"/>
      <c r="D1696" s="70" t="str">
        <f aca="false">IF(C1696="","",IFERROR(INDEX(T_NOMBRE,MATCH(C1696,T_ID,0)),"⚠ ID no existe"))</f>
        <v/>
      </c>
      <c r="E1696" s="69"/>
      <c r="F1696" s="69"/>
      <c r="G1696" s="69"/>
      <c r="H1696" s="69"/>
      <c r="I1696" s="66"/>
      <c r="J1696" s="69"/>
      <c r="K1696" s="67"/>
      <c r="L1696" s="67"/>
      <c r="M1696" s="67"/>
      <c r="N1696" s="67"/>
      <c r="O1696" s="64"/>
      <c r="P1696" s="72" t="str">
        <f aca="false">IF(OR(B1696="",C1696=""),"",C1696&amp;"|"&amp;(YEAR(B1696)*100+MONTH(B1696)))</f>
        <v/>
      </c>
      <c r="Q1696" s="70" t="str">
        <f aca="false">IF(P1696="","",IF(COUNTIF(N_CLAVE,P1696)&gt;1,"⚠ Duplicado","OK"))</f>
        <v/>
      </c>
      <c r="R1696" s="74" t="str">
        <f aca="false">IF(OR(P1696="",U1696=""),"",MAX(0,U1696-N(E1696)-N(F1696)-N(H1696)))</f>
        <v/>
      </c>
      <c r="S1696" s="75" t="str">
        <f aca="false">IF(P1696="","",IFERROR(INDEX(T_INGRESO,MATCH(C1696,T_ID,0)),""))</f>
        <v/>
      </c>
      <c r="T1696" s="75" t="str">
        <f aca="false">IF(P1696="","",IFERROR(N(INDEX(T_EGRESO,MATCH(C1696,T_ID,0))),0))</f>
        <v/>
      </c>
      <c r="U1696" s="73" t="str">
        <f aca="false">IF(OR(P1696="",NOT(ISNUMBER(S1696))),"",IF(OR(S1696&gt;EOMONTH(B1696,0),AND(T1696&gt;0,T1696&lt;B1696)),0,IF(AND(S1696&lt;=B1696,OR(T1696=0,T1696&gt;=EOMONTH(B1696,0))),30,MIN(30,IF(T1696=0,EOMONTH(B1696,0),MIN(T1696,EOMONTH(B1696,0)))-MAX(B1696,S1696)+1))))</f>
        <v/>
      </c>
    </row>
    <row r="1697" customFormat="false" ht="15" hidden="false" customHeight="false" outlineLevel="0" collapsed="false">
      <c r="B1697" s="78"/>
      <c r="C1697" s="64"/>
      <c r="D1697" s="70" t="str">
        <f aca="false">IF(C1697="","",IFERROR(INDEX(T_NOMBRE,MATCH(C1697,T_ID,0)),"⚠ ID no existe"))</f>
        <v/>
      </c>
      <c r="E1697" s="69"/>
      <c r="F1697" s="69"/>
      <c r="G1697" s="69"/>
      <c r="H1697" s="69"/>
      <c r="I1697" s="66"/>
      <c r="J1697" s="69"/>
      <c r="K1697" s="67"/>
      <c r="L1697" s="67"/>
      <c r="M1697" s="67"/>
      <c r="N1697" s="67"/>
      <c r="O1697" s="64"/>
      <c r="P1697" s="72" t="str">
        <f aca="false">IF(OR(B1697="",C1697=""),"",C1697&amp;"|"&amp;(YEAR(B1697)*100+MONTH(B1697)))</f>
        <v/>
      </c>
      <c r="Q1697" s="70" t="str">
        <f aca="false">IF(P1697="","",IF(COUNTIF(N_CLAVE,P1697)&gt;1,"⚠ Duplicado","OK"))</f>
        <v/>
      </c>
      <c r="R1697" s="74" t="str">
        <f aca="false">IF(OR(P1697="",U1697=""),"",MAX(0,U1697-N(E1697)-N(F1697)-N(H1697)))</f>
        <v/>
      </c>
      <c r="S1697" s="75" t="str">
        <f aca="false">IF(P1697="","",IFERROR(INDEX(T_INGRESO,MATCH(C1697,T_ID,0)),""))</f>
        <v/>
      </c>
      <c r="T1697" s="75" t="str">
        <f aca="false">IF(P1697="","",IFERROR(N(INDEX(T_EGRESO,MATCH(C1697,T_ID,0))),0))</f>
        <v/>
      </c>
      <c r="U1697" s="73" t="str">
        <f aca="false">IF(OR(P1697="",NOT(ISNUMBER(S1697))),"",IF(OR(S1697&gt;EOMONTH(B1697,0),AND(T1697&gt;0,T1697&lt;B1697)),0,IF(AND(S1697&lt;=B1697,OR(T1697=0,T1697&gt;=EOMONTH(B1697,0))),30,MIN(30,IF(T1697=0,EOMONTH(B1697,0),MIN(T1697,EOMONTH(B1697,0)))-MAX(B1697,S1697)+1))))</f>
        <v/>
      </c>
    </row>
    <row r="1698" customFormat="false" ht="15" hidden="false" customHeight="false" outlineLevel="0" collapsed="false">
      <c r="B1698" s="78"/>
      <c r="C1698" s="64"/>
      <c r="D1698" s="70" t="str">
        <f aca="false">IF(C1698="","",IFERROR(INDEX(T_NOMBRE,MATCH(C1698,T_ID,0)),"⚠ ID no existe"))</f>
        <v/>
      </c>
      <c r="E1698" s="69"/>
      <c r="F1698" s="69"/>
      <c r="G1698" s="69"/>
      <c r="H1698" s="69"/>
      <c r="I1698" s="66"/>
      <c r="J1698" s="69"/>
      <c r="K1698" s="67"/>
      <c r="L1698" s="67"/>
      <c r="M1698" s="67"/>
      <c r="N1698" s="67"/>
      <c r="O1698" s="64"/>
      <c r="P1698" s="72" t="str">
        <f aca="false">IF(OR(B1698="",C1698=""),"",C1698&amp;"|"&amp;(YEAR(B1698)*100+MONTH(B1698)))</f>
        <v/>
      </c>
      <c r="Q1698" s="70" t="str">
        <f aca="false">IF(P1698="","",IF(COUNTIF(N_CLAVE,P1698)&gt;1,"⚠ Duplicado","OK"))</f>
        <v/>
      </c>
      <c r="R1698" s="74" t="str">
        <f aca="false">IF(OR(P1698="",U1698=""),"",MAX(0,U1698-N(E1698)-N(F1698)-N(H1698)))</f>
        <v/>
      </c>
      <c r="S1698" s="75" t="str">
        <f aca="false">IF(P1698="","",IFERROR(INDEX(T_INGRESO,MATCH(C1698,T_ID,0)),""))</f>
        <v/>
      </c>
      <c r="T1698" s="75" t="str">
        <f aca="false">IF(P1698="","",IFERROR(N(INDEX(T_EGRESO,MATCH(C1698,T_ID,0))),0))</f>
        <v/>
      </c>
      <c r="U1698" s="73" t="str">
        <f aca="false">IF(OR(P1698="",NOT(ISNUMBER(S1698))),"",IF(OR(S1698&gt;EOMONTH(B1698,0),AND(T1698&gt;0,T1698&lt;B1698)),0,IF(AND(S1698&lt;=B1698,OR(T1698=0,T1698&gt;=EOMONTH(B1698,0))),30,MIN(30,IF(T1698=0,EOMONTH(B1698,0),MIN(T1698,EOMONTH(B1698,0)))-MAX(B1698,S1698)+1))))</f>
        <v/>
      </c>
    </row>
    <row r="1699" customFormat="false" ht="15" hidden="false" customHeight="false" outlineLevel="0" collapsed="false">
      <c r="B1699" s="78"/>
      <c r="C1699" s="64"/>
      <c r="D1699" s="70" t="str">
        <f aca="false">IF(C1699="","",IFERROR(INDEX(T_NOMBRE,MATCH(C1699,T_ID,0)),"⚠ ID no existe"))</f>
        <v/>
      </c>
      <c r="E1699" s="69"/>
      <c r="F1699" s="69"/>
      <c r="G1699" s="69"/>
      <c r="H1699" s="69"/>
      <c r="I1699" s="66"/>
      <c r="J1699" s="69"/>
      <c r="K1699" s="67"/>
      <c r="L1699" s="67"/>
      <c r="M1699" s="67"/>
      <c r="N1699" s="67"/>
      <c r="O1699" s="64"/>
      <c r="P1699" s="72" t="str">
        <f aca="false">IF(OR(B1699="",C1699=""),"",C1699&amp;"|"&amp;(YEAR(B1699)*100+MONTH(B1699)))</f>
        <v/>
      </c>
      <c r="Q1699" s="70" t="str">
        <f aca="false">IF(P1699="","",IF(COUNTIF(N_CLAVE,P1699)&gt;1,"⚠ Duplicado","OK"))</f>
        <v/>
      </c>
      <c r="R1699" s="74" t="str">
        <f aca="false">IF(OR(P1699="",U1699=""),"",MAX(0,U1699-N(E1699)-N(F1699)-N(H1699)))</f>
        <v/>
      </c>
      <c r="S1699" s="75" t="str">
        <f aca="false">IF(P1699="","",IFERROR(INDEX(T_INGRESO,MATCH(C1699,T_ID,0)),""))</f>
        <v/>
      </c>
      <c r="T1699" s="75" t="str">
        <f aca="false">IF(P1699="","",IFERROR(N(INDEX(T_EGRESO,MATCH(C1699,T_ID,0))),0))</f>
        <v/>
      </c>
      <c r="U1699" s="73" t="str">
        <f aca="false">IF(OR(P1699="",NOT(ISNUMBER(S1699))),"",IF(OR(S1699&gt;EOMONTH(B1699,0),AND(T1699&gt;0,T1699&lt;B1699)),0,IF(AND(S1699&lt;=B1699,OR(T1699=0,T1699&gt;=EOMONTH(B1699,0))),30,MIN(30,IF(T1699=0,EOMONTH(B1699,0),MIN(T1699,EOMONTH(B1699,0)))-MAX(B1699,S1699)+1))))</f>
        <v/>
      </c>
    </row>
    <row r="1700" customFormat="false" ht="15" hidden="false" customHeight="false" outlineLevel="0" collapsed="false">
      <c r="B1700" s="78"/>
      <c r="C1700" s="64"/>
      <c r="D1700" s="70" t="str">
        <f aca="false">IF(C1700="","",IFERROR(INDEX(T_NOMBRE,MATCH(C1700,T_ID,0)),"⚠ ID no existe"))</f>
        <v/>
      </c>
      <c r="E1700" s="69"/>
      <c r="F1700" s="69"/>
      <c r="G1700" s="69"/>
      <c r="H1700" s="69"/>
      <c r="I1700" s="66"/>
      <c r="J1700" s="69"/>
      <c r="K1700" s="67"/>
      <c r="L1700" s="67"/>
      <c r="M1700" s="67"/>
      <c r="N1700" s="67"/>
      <c r="O1700" s="64"/>
      <c r="P1700" s="72" t="str">
        <f aca="false">IF(OR(B1700="",C1700=""),"",C1700&amp;"|"&amp;(YEAR(B1700)*100+MONTH(B1700)))</f>
        <v/>
      </c>
      <c r="Q1700" s="70" t="str">
        <f aca="false">IF(P1700="","",IF(COUNTIF(N_CLAVE,P1700)&gt;1,"⚠ Duplicado","OK"))</f>
        <v/>
      </c>
      <c r="R1700" s="74" t="str">
        <f aca="false">IF(OR(P1700="",U1700=""),"",MAX(0,U1700-N(E1700)-N(F1700)-N(H1700)))</f>
        <v/>
      </c>
      <c r="S1700" s="75" t="str">
        <f aca="false">IF(P1700="","",IFERROR(INDEX(T_INGRESO,MATCH(C1700,T_ID,0)),""))</f>
        <v/>
      </c>
      <c r="T1700" s="75" t="str">
        <f aca="false">IF(P1700="","",IFERROR(N(INDEX(T_EGRESO,MATCH(C1700,T_ID,0))),0))</f>
        <v/>
      </c>
      <c r="U1700" s="73" t="str">
        <f aca="false">IF(OR(P1700="",NOT(ISNUMBER(S1700))),"",IF(OR(S1700&gt;EOMONTH(B1700,0),AND(T1700&gt;0,T1700&lt;B1700)),0,IF(AND(S1700&lt;=B1700,OR(T1700=0,T1700&gt;=EOMONTH(B1700,0))),30,MIN(30,IF(T1700=0,EOMONTH(B1700,0),MIN(T1700,EOMONTH(B1700,0)))-MAX(B1700,S1700)+1))))</f>
        <v/>
      </c>
    </row>
    <row r="1701" customFormat="false" ht="15" hidden="false" customHeight="false" outlineLevel="0" collapsed="false">
      <c r="B1701" s="78"/>
      <c r="C1701" s="64"/>
      <c r="D1701" s="70" t="str">
        <f aca="false">IF(C1701="","",IFERROR(INDEX(T_NOMBRE,MATCH(C1701,T_ID,0)),"⚠ ID no existe"))</f>
        <v/>
      </c>
      <c r="E1701" s="69"/>
      <c r="F1701" s="69"/>
      <c r="G1701" s="69"/>
      <c r="H1701" s="69"/>
      <c r="I1701" s="66"/>
      <c r="J1701" s="69"/>
      <c r="K1701" s="67"/>
      <c r="L1701" s="67"/>
      <c r="M1701" s="67"/>
      <c r="N1701" s="67"/>
      <c r="O1701" s="64"/>
      <c r="P1701" s="72" t="str">
        <f aca="false">IF(OR(B1701="",C1701=""),"",C1701&amp;"|"&amp;(YEAR(B1701)*100+MONTH(B1701)))</f>
        <v/>
      </c>
      <c r="Q1701" s="70" t="str">
        <f aca="false">IF(P1701="","",IF(COUNTIF(N_CLAVE,P1701)&gt;1,"⚠ Duplicado","OK"))</f>
        <v/>
      </c>
      <c r="R1701" s="74" t="str">
        <f aca="false">IF(OR(P1701="",U1701=""),"",MAX(0,U1701-N(E1701)-N(F1701)-N(H1701)))</f>
        <v/>
      </c>
      <c r="S1701" s="75" t="str">
        <f aca="false">IF(P1701="","",IFERROR(INDEX(T_INGRESO,MATCH(C1701,T_ID,0)),""))</f>
        <v/>
      </c>
      <c r="T1701" s="75" t="str">
        <f aca="false">IF(P1701="","",IFERROR(N(INDEX(T_EGRESO,MATCH(C1701,T_ID,0))),0))</f>
        <v/>
      </c>
      <c r="U1701" s="73" t="str">
        <f aca="false">IF(OR(P1701="",NOT(ISNUMBER(S1701))),"",IF(OR(S1701&gt;EOMONTH(B1701,0),AND(T1701&gt;0,T1701&lt;B1701)),0,IF(AND(S1701&lt;=B1701,OR(T1701=0,T1701&gt;=EOMONTH(B1701,0))),30,MIN(30,IF(T1701=0,EOMONTH(B1701,0),MIN(T1701,EOMONTH(B1701,0)))-MAX(B1701,S1701)+1))))</f>
        <v/>
      </c>
    </row>
    <row r="1702" customFormat="false" ht="15" hidden="false" customHeight="false" outlineLevel="0" collapsed="false">
      <c r="B1702" s="78"/>
      <c r="C1702" s="64"/>
      <c r="D1702" s="70" t="str">
        <f aca="false">IF(C1702="","",IFERROR(INDEX(T_NOMBRE,MATCH(C1702,T_ID,0)),"⚠ ID no existe"))</f>
        <v/>
      </c>
      <c r="E1702" s="69"/>
      <c r="F1702" s="69"/>
      <c r="G1702" s="69"/>
      <c r="H1702" s="69"/>
      <c r="I1702" s="66"/>
      <c r="J1702" s="69"/>
      <c r="K1702" s="67"/>
      <c r="L1702" s="67"/>
      <c r="M1702" s="67"/>
      <c r="N1702" s="67"/>
      <c r="O1702" s="64"/>
      <c r="P1702" s="72" t="str">
        <f aca="false">IF(OR(B1702="",C1702=""),"",C1702&amp;"|"&amp;(YEAR(B1702)*100+MONTH(B1702)))</f>
        <v/>
      </c>
      <c r="Q1702" s="70" t="str">
        <f aca="false">IF(P1702="","",IF(COUNTIF(N_CLAVE,P1702)&gt;1,"⚠ Duplicado","OK"))</f>
        <v/>
      </c>
      <c r="R1702" s="74" t="str">
        <f aca="false">IF(OR(P1702="",U1702=""),"",MAX(0,U1702-N(E1702)-N(F1702)-N(H1702)))</f>
        <v/>
      </c>
      <c r="S1702" s="75" t="str">
        <f aca="false">IF(P1702="","",IFERROR(INDEX(T_INGRESO,MATCH(C1702,T_ID,0)),""))</f>
        <v/>
      </c>
      <c r="T1702" s="75" t="str">
        <f aca="false">IF(P1702="","",IFERROR(N(INDEX(T_EGRESO,MATCH(C1702,T_ID,0))),0))</f>
        <v/>
      </c>
      <c r="U1702" s="73" t="str">
        <f aca="false">IF(OR(P1702="",NOT(ISNUMBER(S1702))),"",IF(OR(S1702&gt;EOMONTH(B1702,0),AND(T1702&gt;0,T1702&lt;B1702)),0,IF(AND(S1702&lt;=B1702,OR(T1702=0,T1702&gt;=EOMONTH(B1702,0))),30,MIN(30,IF(T1702=0,EOMONTH(B1702,0),MIN(T1702,EOMONTH(B1702,0)))-MAX(B1702,S1702)+1))))</f>
        <v/>
      </c>
    </row>
    <row r="1703" customFormat="false" ht="15" hidden="false" customHeight="false" outlineLevel="0" collapsed="false">
      <c r="B1703" s="78"/>
      <c r="C1703" s="64"/>
      <c r="D1703" s="70" t="str">
        <f aca="false">IF(C1703="","",IFERROR(INDEX(T_NOMBRE,MATCH(C1703,T_ID,0)),"⚠ ID no existe"))</f>
        <v/>
      </c>
      <c r="E1703" s="69"/>
      <c r="F1703" s="69"/>
      <c r="G1703" s="69"/>
      <c r="H1703" s="69"/>
      <c r="I1703" s="66"/>
      <c r="J1703" s="69"/>
      <c r="K1703" s="67"/>
      <c r="L1703" s="67"/>
      <c r="M1703" s="67"/>
      <c r="N1703" s="67"/>
      <c r="O1703" s="64"/>
      <c r="P1703" s="72" t="str">
        <f aca="false">IF(OR(B1703="",C1703=""),"",C1703&amp;"|"&amp;(YEAR(B1703)*100+MONTH(B1703)))</f>
        <v/>
      </c>
      <c r="Q1703" s="70" t="str">
        <f aca="false">IF(P1703="","",IF(COUNTIF(N_CLAVE,P1703)&gt;1,"⚠ Duplicado","OK"))</f>
        <v/>
      </c>
      <c r="R1703" s="74" t="str">
        <f aca="false">IF(OR(P1703="",U1703=""),"",MAX(0,U1703-N(E1703)-N(F1703)-N(H1703)))</f>
        <v/>
      </c>
      <c r="S1703" s="75" t="str">
        <f aca="false">IF(P1703="","",IFERROR(INDEX(T_INGRESO,MATCH(C1703,T_ID,0)),""))</f>
        <v/>
      </c>
      <c r="T1703" s="75" t="str">
        <f aca="false">IF(P1703="","",IFERROR(N(INDEX(T_EGRESO,MATCH(C1703,T_ID,0))),0))</f>
        <v/>
      </c>
      <c r="U1703" s="73" t="str">
        <f aca="false">IF(OR(P1703="",NOT(ISNUMBER(S1703))),"",IF(OR(S1703&gt;EOMONTH(B1703,0),AND(T1703&gt;0,T1703&lt;B1703)),0,IF(AND(S1703&lt;=B1703,OR(T1703=0,T1703&gt;=EOMONTH(B1703,0))),30,MIN(30,IF(T1703=0,EOMONTH(B1703,0),MIN(T1703,EOMONTH(B1703,0)))-MAX(B1703,S1703)+1))))</f>
        <v/>
      </c>
    </row>
    <row r="1704" customFormat="false" ht="15" hidden="false" customHeight="false" outlineLevel="0" collapsed="false">
      <c r="B1704" s="78"/>
      <c r="C1704" s="64"/>
      <c r="D1704" s="70" t="str">
        <f aca="false">IF(C1704="","",IFERROR(INDEX(T_NOMBRE,MATCH(C1704,T_ID,0)),"⚠ ID no existe"))</f>
        <v/>
      </c>
      <c r="E1704" s="69"/>
      <c r="F1704" s="69"/>
      <c r="G1704" s="69"/>
      <c r="H1704" s="69"/>
      <c r="I1704" s="66"/>
      <c r="J1704" s="69"/>
      <c r="K1704" s="67"/>
      <c r="L1704" s="67"/>
      <c r="M1704" s="67"/>
      <c r="N1704" s="67"/>
      <c r="O1704" s="64"/>
      <c r="P1704" s="72" t="str">
        <f aca="false">IF(OR(B1704="",C1704=""),"",C1704&amp;"|"&amp;(YEAR(B1704)*100+MONTH(B1704)))</f>
        <v/>
      </c>
      <c r="Q1704" s="70" t="str">
        <f aca="false">IF(P1704="","",IF(COUNTIF(N_CLAVE,P1704)&gt;1,"⚠ Duplicado","OK"))</f>
        <v/>
      </c>
      <c r="R1704" s="74" t="str">
        <f aca="false">IF(OR(P1704="",U1704=""),"",MAX(0,U1704-N(E1704)-N(F1704)-N(H1704)))</f>
        <v/>
      </c>
      <c r="S1704" s="75" t="str">
        <f aca="false">IF(P1704="","",IFERROR(INDEX(T_INGRESO,MATCH(C1704,T_ID,0)),""))</f>
        <v/>
      </c>
      <c r="T1704" s="75" t="str">
        <f aca="false">IF(P1704="","",IFERROR(N(INDEX(T_EGRESO,MATCH(C1704,T_ID,0))),0))</f>
        <v/>
      </c>
      <c r="U1704" s="73" t="str">
        <f aca="false">IF(OR(P1704="",NOT(ISNUMBER(S1704))),"",IF(OR(S1704&gt;EOMONTH(B1704,0),AND(T1704&gt;0,T1704&lt;B1704)),0,IF(AND(S1704&lt;=B1704,OR(T1704=0,T1704&gt;=EOMONTH(B1704,0))),30,MIN(30,IF(T1704=0,EOMONTH(B1704,0),MIN(T1704,EOMONTH(B1704,0)))-MAX(B1704,S1704)+1))))</f>
        <v/>
      </c>
    </row>
    <row r="1705" customFormat="false" ht="15" hidden="false" customHeight="false" outlineLevel="0" collapsed="false">
      <c r="B1705" s="78"/>
      <c r="C1705" s="64"/>
      <c r="D1705" s="70" t="str">
        <f aca="false">IF(C1705="","",IFERROR(INDEX(T_NOMBRE,MATCH(C1705,T_ID,0)),"⚠ ID no existe"))</f>
        <v/>
      </c>
      <c r="E1705" s="69"/>
      <c r="F1705" s="69"/>
      <c r="G1705" s="69"/>
      <c r="H1705" s="69"/>
      <c r="I1705" s="66"/>
      <c r="J1705" s="69"/>
      <c r="K1705" s="67"/>
      <c r="L1705" s="67"/>
      <c r="M1705" s="67"/>
      <c r="N1705" s="67"/>
      <c r="O1705" s="64"/>
      <c r="P1705" s="72" t="str">
        <f aca="false">IF(OR(B1705="",C1705=""),"",C1705&amp;"|"&amp;(YEAR(B1705)*100+MONTH(B1705)))</f>
        <v/>
      </c>
      <c r="Q1705" s="70" t="str">
        <f aca="false">IF(P1705="","",IF(COUNTIF(N_CLAVE,P1705)&gt;1,"⚠ Duplicado","OK"))</f>
        <v/>
      </c>
      <c r="R1705" s="74" t="str">
        <f aca="false">IF(OR(P1705="",U1705=""),"",MAX(0,U1705-N(E1705)-N(F1705)-N(H1705)))</f>
        <v/>
      </c>
      <c r="S1705" s="75" t="str">
        <f aca="false">IF(P1705="","",IFERROR(INDEX(T_INGRESO,MATCH(C1705,T_ID,0)),""))</f>
        <v/>
      </c>
      <c r="T1705" s="75" t="str">
        <f aca="false">IF(P1705="","",IFERROR(N(INDEX(T_EGRESO,MATCH(C1705,T_ID,0))),0))</f>
        <v/>
      </c>
      <c r="U1705" s="73" t="str">
        <f aca="false">IF(OR(P1705="",NOT(ISNUMBER(S1705))),"",IF(OR(S1705&gt;EOMONTH(B1705,0),AND(T1705&gt;0,T1705&lt;B1705)),0,IF(AND(S1705&lt;=B1705,OR(T1705=0,T1705&gt;=EOMONTH(B1705,0))),30,MIN(30,IF(T1705=0,EOMONTH(B1705,0),MIN(T1705,EOMONTH(B1705,0)))-MAX(B1705,S1705)+1))))</f>
        <v/>
      </c>
    </row>
    <row r="1706" customFormat="false" ht="15" hidden="false" customHeight="false" outlineLevel="0" collapsed="false">
      <c r="B1706" s="78"/>
      <c r="C1706" s="64"/>
      <c r="D1706" s="70" t="str">
        <f aca="false">IF(C1706="","",IFERROR(INDEX(T_NOMBRE,MATCH(C1706,T_ID,0)),"⚠ ID no existe"))</f>
        <v/>
      </c>
      <c r="E1706" s="69"/>
      <c r="F1706" s="69"/>
      <c r="G1706" s="69"/>
      <c r="H1706" s="69"/>
      <c r="I1706" s="66"/>
      <c r="J1706" s="69"/>
      <c r="K1706" s="67"/>
      <c r="L1706" s="67"/>
      <c r="M1706" s="67"/>
      <c r="N1706" s="67"/>
      <c r="O1706" s="64"/>
      <c r="P1706" s="72" t="str">
        <f aca="false">IF(OR(B1706="",C1706=""),"",C1706&amp;"|"&amp;(YEAR(B1706)*100+MONTH(B1706)))</f>
        <v/>
      </c>
      <c r="Q1706" s="70" t="str">
        <f aca="false">IF(P1706="","",IF(COUNTIF(N_CLAVE,P1706)&gt;1,"⚠ Duplicado","OK"))</f>
        <v/>
      </c>
      <c r="R1706" s="74" t="str">
        <f aca="false">IF(OR(P1706="",U1706=""),"",MAX(0,U1706-N(E1706)-N(F1706)-N(H1706)))</f>
        <v/>
      </c>
      <c r="S1706" s="75" t="str">
        <f aca="false">IF(P1706="","",IFERROR(INDEX(T_INGRESO,MATCH(C1706,T_ID,0)),""))</f>
        <v/>
      </c>
      <c r="T1706" s="75" t="str">
        <f aca="false">IF(P1706="","",IFERROR(N(INDEX(T_EGRESO,MATCH(C1706,T_ID,0))),0))</f>
        <v/>
      </c>
      <c r="U1706" s="73" t="str">
        <f aca="false">IF(OR(P1706="",NOT(ISNUMBER(S1706))),"",IF(OR(S1706&gt;EOMONTH(B1706,0),AND(T1706&gt;0,T1706&lt;B1706)),0,IF(AND(S1706&lt;=B1706,OR(T1706=0,T1706&gt;=EOMONTH(B1706,0))),30,MIN(30,IF(T1706=0,EOMONTH(B1706,0),MIN(T1706,EOMONTH(B1706,0)))-MAX(B1706,S1706)+1))))</f>
        <v/>
      </c>
    </row>
    <row r="1707" customFormat="false" ht="15" hidden="false" customHeight="false" outlineLevel="0" collapsed="false">
      <c r="B1707" s="78"/>
      <c r="C1707" s="64"/>
      <c r="D1707" s="70" t="str">
        <f aca="false">IF(C1707="","",IFERROR(INDEX(T_NOMBRE,MATCH(C1707,T_ID,0)),"⚠ ID no existe"))</f>
        <v/>
      </c>
      <c r="E1707" s="69"/>
      <c r="F1707" s="69"/>
      <c r="G1707" s="69"/>
      <c r="H1707" s="69"/>
      <c r="I1707" s="66"/>
      <c r="J1707" s="69"/>
      <c r="K1707" s="67"/>
      <c r="L1707" s="67"/>
      <c r="M1707" s="67"/>
      <c r="N1707" s="67"/>
      <c r="O1707" s="64"/>
      <c r="P1707" s="72" t="str">
        <f aca="false">IF(OR(B1707="",C1707=""),"",C1707&amp;"|"&amp;(YEAR(B1707)*100+MONTH(B1707)))</f>
        <v/>
      </c>
      <c r="Q1707" s="70" t="str">
        <f aca="false">IF(P1707="","",IF(COUNTIF(N_CLAVE,P1707)&gt;1,"⚠ Duplicado","OK"))</f>
        <v/>
      </c>
      <c r="R1707" s="74" t="str">
        <f aca="false">IF(OR(P1707="",U1707=""),"",MAX(0,U1707-N(E1707)-N(F1707)-N(H1707)))</f>
        <v/>
      </c>
      <c r="S1707" s="75" t="str">
        <f aca="false">IF(P1707="","",IFERROR(INDEX(T_INGRESO,MATCH(C1707,T_ID,0)),""))</f>
        <v/>
      </c>
      <c r="T1707" s="75" t="str">
        <f aca="false">IF(P1707="","",IFERROR(N(INDEX(T_EGRESO,MATCH(C1707,T_ID,0))),0))</f>
        <v/>
      </c>
      <c r="U1707" s="73" t="str">
        <f aca="false">IF(OR(P1707="",NOT(ISNUMBER(S1707))),"",IF(OR(S1707&gt;EOMONTH(B1707,0),AND(T1707&gt;0,T1707&lt;B1707)),0,IF(AND(S1707&lt;=B1707,OR(T1707=0,T1707&gt;=EOMONTH(B1707,0))),30,MIN(30,IF(T1707=0,EOMONTH(B1707,0),MIN(T1707,EOMONTH(B1707,0)))-MAX(B1707,S1707)+1))))</f>
        <v/>
      </c>
    </row>
    <row r="1708" customFormat="false" ht="15" hidden="false" customHeight="false" outlineLevel="0" collapsed="false">
      <c r="B1708" s="78"/>
      <c r="C1708" s="64"/>
      <c r="D1708" s="70" t="str">
        <f aca="false">IF(C1708="","",IFERROR(INDEX(T_NOMBRE,MATCH(C1708,T_ID,0)),"⚠ ID no existe"))</f>
        <v/>
      </c>
      <c r="E1708" s="69"/>
      <c r="F1708" s="69"/>
      <c r="G1708" s="69"/>
      <c r="H1708" s="69"/>
      <c r="I1708" s="66"/>
      <c r="J1708" s="69"/>
      <c r="K1708" s="67"/>
      <c r="L1708" s="67"/>
      <c r="M1708" s="67"/>
      <c r="N1708" s="67"/>
      <c r="O1708" s="64"/>
      <c r="P1708" s="72" t="str">
        <f aca="false">IF(OR(B1708="",C1708=""),"",C1708&amp;"|"&amp;(YEAR(B1708)*100+MONTH(B1708)))</f>
        <v/>
      </c>
      <c r="Q1708" s="70" t="str">
        <f aca="false">IF(P1708="","",IF(COUNTIF(N_CLAVE,P1708)&gt;1,"⚠ Duplicado","OK"))</f>
        <v/>
      </c>
      <c r="R1708" s="74" t="str">
        <f aca="false">IF(OR(P1708="",U1708=""),"",MAX(0,U1708-N(E1708)-N(F1708)-N(H1708)))</f>
        <v/>
      </c>
      <c r="S1708" s="75" t="str">
        <f aca="false">IF(P1708="","",IFERROR(INDEX(T_INGRESO,MATCH(C1708,T_ID,0)),""))</f>
        <v/>
      </c>
      <c r="T1708" s="75" t="str">
        <f aca="false">IF(P1708="","",IFERROR(N(INDEX(T_EGRESO,MATCH(C1708,T_ID,0))),0))</f>
        <v/>
      </c>
      <c r="U1708" s="73" t="str">
        <f aca="false">IF(OR(P1708="",NOT(ISNUMBER(S1708))),"",IF(OR(S1708&gt;EOMONTH(B1708,0),AND(T1708&gt;0,T1708&lt;B1708)),0,IF(AND(S1708&lt;=B1708,OR(T1708=0,T1708&gt;=EOMONTH(B1708,0))),30,MIN(30,IF(T1708=0,EOMONTH(B1708,0),MIN(T1708,EOMONTH(B1708,0)))-MAX(B1708,S1708)+1))))</f>
        <v/>
      </c>
    </row>
    <row r="1709" customFormat="false" ht="15" hidden="false" customHeight="false" outlineLevel="0" collapsed="false">
      <c r="B1709" s="78"/>
      <c r="C1709" s="64"/>
      <c r="D1709" s="70" t="str">
        <f aca="false">IF(C1709="","",IFERROR(INDEX(T_NOMBRE,MATCH(C1709,T_ID,0)),"⚠ ID no existe"))</f>
        <v/>
      </c>
      <c r="E1709" s="69"/>
      <c r="F1709" s="69"/>
      <c r="G1709" s="69"/>
      <c r="H1709" s="69"/>
      <c r="I1709" s="66"/>
      <c r="J1709" s="69"/>
      <c r="K1709" s="67"/>
      <c r="L1709" s="67"/>
      <c r="M1709" s="67"/>
      <c r="N1709" s="67"/>
      <c r="O1709" s="64"/>
      <c r="P1709" s="72" t="str">
        <f aca="false">IF(OR(B1709="",C1709=""),"",C1709&amp;"|"&amp;(YEAR(B1709)*100+MONTH(B1709)))</f>
        <v/>
      </c>
      <c r="Q1709" s="70" t="str">
        <f aca="false">IF(P1709="","",IF(COUNTIF(N_CLAVE,P1709)&gt;1,"⚠ Duplicado","OK"))</f>
        <v/>
      </c>
      <c r="R1709" s="74" t="str">
        <f aca="false">IF(OR(P1709="",U1709=""),"",MAX(0,U1709-N(E1709)-N(F1709)-N(H1709)))</f>
        <v/>
      </c>
      <c r="S1709" s="75" t="str">
        <f aca="false">IF(P1709="","",IFERROR(INDEX(T_INGRESO,MATCH(C1709,T_ID,0)),""))</f>
        <v/>
      </c>
      <c r="T1709" s="75" t="str">
        <f aca="false">IF(P1709="","",IFERROR(N(INDEX(T_EGRESO,MATCH(C1709,T_ID,0))),0))</f>
        <v/>
      </c>
      <c r="U1709" s="73" t="str">
        <f aca="false">IF(OR(P1709="",NOT(ISNUMBER(S1709))),"",IF(OR(S1709&gt;EOMONTH(B1709,0),AND(T1709&gt;0,T1709&lt;B1709)),0,IF(AND(S1709&lt;=B1709,OR(T1709=0,T1709&gt;=EOMONTH(B1709,0))),30,MIN(30,IF(T1709=0,EOMONTH(B1709,0),MIN(T1709,EOMONTH(B1709,0)))-MAX(B1709,S1709)+1))))</f>
        <v/>
      </c>
    </row>
    <row r="1710" customFormat="false" ht="15" hidden="false" customHeight="false" outlineLevel="0" collapsed="false">
      <c r="B1710" s="78"/>
      <c r="C1710" s="64"/>
      <c r="D1710" s="70" t="str">
        <f aca="false">IF(C1710="","",IFERROR(INDEX(T_NOMBRE,MATCH(C1710,T_ID,0)),"⚠ ID no existe"))</f>
        <v/>
      </c>
      <c r="E1710" s="69"/>
      <c r="F1710" s="69"/>
      <c r="G1710" s="69"/>
      <c r="H1710" s="69"/>
      <c r="I1710" s="66"/>
      <c r="J1710" s="69"/>
      <c r="K1710" s="67"/>
      <c r="L1710" s="67"/>
      <c r="M1710" s="67"/>
      <c r="N1710" s="67"/>
      <c r="O1710" s="64"/>
      <c r="P1710" s="72" t="str">
        <f aca="false">IF(OR(B1710="",C1710=""),"",C1710&amp;"|"&amp;(YEAR(B1710)*100+MONTH(B1710)))</f>
        <v/>
      </c>
      <c r="Q1710" s="70" t="str">
        <f aca="false">IF(P1710="","",IF(COUNTIF(N_CLAVE,P1710)&gt;1,"⚠ Duplicado","OK"))</f>
        <v/>
      </c>
      <c r="R1710" s="74" t="str">
        <f aca="false">IF(OR(P1710="",U1710=""),"",MAX(0,U1710-N(E1710)-N(F1710)-N(H1710)))</f>
        <v/>
      </c>
      <c r="S1710" s="75" t="str">
        <f aca="false">IF(P1710="","",IFERROR(INDEX(T_INGRESO,MATCH(C1710,T_ID,0)),""))</f>
        <v/>
      </c>
      <c r="T1710" s="75" t="str">
        <f aca="false">IF(P1710="","",IFERROR(N(INDEX(T_EGRESO,MATCH(C1710,T_ID,0))),0))</f>
        <v/>
      </c>
      <c r="U1710" s="73" t="str">
        <f aca="false">IF(OR(P1710="",NOT(ISNUMBER(S1710))),"",IF(OR(S1710&gt;EOMONTH(B1710,0),AND(T1710&gt;0,T1710&lt;B1710)),0,IF(AND(S1710&lt;=B1710,OR(T1710=0,T1710&gt;=EOMONTH(B1710,0))),30,MIN(30,IF(T1710=0,EOMONTH(B1710,0),MIN(T1710,EOMONTH(B1710,0)))-MAX(B1710,S1710)+1))))</f>
        <v/>
      </c>
    </row>
    <row r="1711" customFormat="false" ht="15" hidden="false" customHeight="false" outlineLevel="0" collapsed="false">
      <c r="B1711" s="78"/>
      <c r="C1711" s="64"/>
      <c r="D1711" s="70" t="str">
        <f aca="false">IF(C1711="","",IFERROR(INDEX(T_NOMBRE,MATCH(C1711,T_ID,0)),"⚠ ID no existe"))</f>
        <v/>
      </c>
      <c r="E1711" s="69"/>
      <c r="F1711" s="69"/>
      <c r="G1711" s="69"/>
      <c r="H1711" s="69"/>
      <c r="I1711" s="66"/>
      <c r="J1711" s="69"/>
      <c r="K1711" s="67"/>
      <c r="L1711" s="67"/>
      <c r="M1711" s="67"/>
      <c r="N1711" s="67"/>
      <c r="O1711" s="64"/>
      <c r="P1711" s="72" t="str">
        <f aca="false">IF(OR(B1711="",C1711=""),"",C1711&amp;"|"&amp;(YEAR(B1711)*100+MONTH(B1711)))</f>
        <v/>
      </c>
      <c r="Q1711" s="70" t="str">
        <f aca="false">IF(P1711="","",IF(COUNTIF(N_CLAVE,P1711)&gt;1,"⚠ Duplicado","OK"))</f>
        <v/>
      </c>
      <c r="R1711" s="74" t="str">
        <f aca="false">IF(OR(P1711="",U1711=""),"",MAX(0,U1711-N(E1711)-N(F1711)-N(H1711)))</f>
        <v/>
      </c>
      <c r="S1711" s="75" t="str">
        <f aca="false">IF(P1711="","",IFERROR(INDEX(T_INGRESO,MATCH(C1711,T_ID,0)),""))</f>
        <v/>
      </c>
      <c r="T1711" s="75" t="str">
        <f aca="false">IF(P1711="","",IFERROR(N(INDEX(T_EGRESO,MATCH(C1711,T_ID,0))),0))</f>
        <v/>
      </c>
      <c r="U1711" s="73" t="str">
        <f aca="false">IF(OR(P1711="",NOT(ISNUMBER(S1711))),"",IF(OR(S1711&gt;EOMONTH(B1711,0),AND(T1711&gt;0,T1711&lt;B1711)),0,IF(AND(S1711&lt;=B1711,OR(T1711=0,T1711&gt;=EOMONTH(B1711,0))),30,MIN(30,IF(T1711=0,EOMONTH(B1711,0),MIN(T1711,EOMONTH(B1711,0)))-MAX(B1711,S1711)+1))))</f>
        <v/>
      </c>
    </row>
    <row r="1712" customFormat="false" ht="15" hidden="false" customHeight="false" outlineLevel="0" collapsed="false">
      <c r="B1712" s="78"/>
      <c r="C1712" s="64"/>
      <c r="D1712" s="70" t="str">
        <f aca="false">IF(C1712="","",IFERROR(INDEX(T_NOMBRE,MATCH(C1712,T_ID,0)),"⚠ ID no existe"))</f>
        <v/>
      </c>
      <c r="E1712" s="69"/>
      <c r="F1712" s="69"/>
      <c r="G1712" s="69"/>
      <c r="H1712" s="69"/>
      <c r="I1712" s="66"/>
      <c r="J1712" s="69"/>
      <c r="K1712" s="67"/>
      <c r="L1712" s="67"/>
      <c r="M1712" s="67"/>
      <c r="N1712" s="67"/>
      <c r="O1712" s="64"/>
      <c r="P1712" s="72" t="str">
        <f aca="false">IF(OR(B1712="",C1712=""),"",C1712&amp;"|"&amp;(YEAR(B1712)*100+MONTH(B1712)))</f>
        <v/>
      </c>
      <c r="Q1712" s="70" t="str">
        <f aca="false">IF(P1712="","",IF(COUNTIF(N_CLAVE,P1712)&gt;1,"⚠ Duplicado","OK"))</f>
        <v/>
      </c>
      <c r="R1712" s="74" t="str">
        <f aca="false">IF(OR(P1712="",U1712=""),"",MAX(0,U1712-N(E1712)-N(F1712)-N(H1712)))</f>
        <v/>
      </c>
      <c r="S1712" s="75" t="str">
        <f aca="false">IF(P1712="","",IFERROR(INDEX(T_INGRESO,MATCH(C1712,T_ID,0)),""))</f>
        <v/>
      </c>
      <c r="T1712" s="75" t="str">
        <f aca="false">IF(P1712="","",IFERROR(N(INDEX(T_EGRESO,MATCH(C1712,T_ID,0))),0))</f>
        <v/>
      </c>
      <c r="U1712" s="73" t="str">
        <f aca="false">IF(OR(P1712="",NOT(ISNUMBER(S1712))),"",IF(OR(S1712&gt;EOMONTH(B1712,0),AND(T1712&gt;0,T1712&lt;B1712)),0,IF(AND(S1712&lt;=B1712,OR(T1712=0,T1712&gt;=EOMONTH(B1712,0))),30,MIN(30,IF(T1712=0,EOMONTH(B1712,0),MIN(T1712,EOMONTH(B1712,0)))-MAX(B1712,S1712)+1))))</f>
        <v/>
      </c>
    </row>
    <row r="1713" customFormat="false" ht="15" hidden="false" customHeight="false" outlineLevel="0" collapsed="false">
      <c r="B1713" s="78"/>
      <c r="C1713" s="64"/>
      <c r="D1713" s="70" t="str">
        <f aca="false">IF(C1713="","",IFERROR(INDEX(T_NOMBRE,MATCH(C1713,T_ID,0)),"⚠ ID no existe"))</f>
        <v/>
      </c>
      <c r="E1713" s="69"/>
      <c r="F1713" s="69"/>
      <c r="G1713" s="69"/>
      <c r="H1713" s="69"/>
      <c r="I1713" s="66"/>
      <c r="J1713" s="69"/>
      <c r="K1713" s="67"/>
      <c r="L1713" s="67"/>
      <c r="M1713" s="67"/>
      <c r="N1713" s="67"/>
      <c r="O1713" s="64"/>
      <c r="P1713" s="72" t="str">
        <f aca="false">IF(OR(B1713="",C1713=""),"",C1713&amp;"|"&amp;(YEAR(B1713)*100+MONTH(B1713)))</f>
        <v/>
      </c>
      <c r="Q1713" s="70" t="str">
        <f aca="false">IF(P1713="","",IF(COUNTIF(N_CLAVE,P1713)&gt;1,"⚠ Duplicado","OK"))</f>
        <v/>
      </c>
      <c r="R1713" s="74" t="str">
        <f aca="false">IF(OR(P1713="",U1713=""),"",MAX(0,U1713-N(E1713)-N(F1713)-N(H1713)))</f>
        <v/>
      </c>
      <c r="S1713" s="75" t="str">
        <f aca="false">IF(P1713="","",IFERROR(INDEX(T_INGRESO,MATCH(C1713,T_ID,0)),""))</f>
        <v/>
      </c>
      <c r="T1713" s="75" t="str">
        <f aca="false">IF(P1713="","",IFERROR(N(INDEX(T_EGRESO,MATCH(C1713,T_ID,0))),0))</f>
        <v/>
      </c>
      <c r="U1713" s="73" t="str">
        <f aca="false">IF(OR(P1713="",NOT(ISNUMBER(S1713))),"",IF(OR(S1713&gt;EOMONTH(B1713,0),AND(T1713&gt;0,T1713&lt;B1713)),0,IF(AND(S1713&lt;=B1713,OR(T1713=0,T1713&gt;=EOMONTH(B1713,0))),30,MIN(30,IF(T1713=0,EOMONTH(B1713,0),MIN(T1713,EOMONTH(B1713,0)))-MAX(B1713,S1713)+1))))</f>
        <v/>
      </c>
    </row>
    <row r="1714" customFormat="false" ht="15" hidden="false" customHeight="false" outlineLevel="0" collapsed="false">
      <c r="B1714" s="78"/>
      <c r="C1714" s="64"/>
      <c r="D1714" s="70" t="str">
        <f aca="false">IF(C1714="","",IFERROR(INDEX(T_NOMBRE,MATCH(C1714,T_ID,0)),"⚠ ID no existe"))</f>
        <v/>
      </c>
      <c r="E1714" s="69"/>
      <c r="F1714" s="69"/>
      <c r="G1714" s="69"/>
      <c r="H1714" s="69"/>
      <c r="I1714" s="66"/>
      <c r="J1714" s="69"/>
      <c r="K1714" s="67"/>
      <c r="L1714" s="67"/>
      <c r="M1714" s="67"/>
      <c r="N1714" s="67"/>
      <c r="O1714" s="64"/>
      <c r="P1714" s="72" t="str">
        <f aca="false">IF(OR(B1714="",C1714=""),"",C1714&amp;"|"&amp;(YEAR(B1714)*100+MONTH(B1714)))</f>
        <v/>
      </c>
      <c r="Q1714" s="70" t="str">
        <f aca="false">IF(P1714="","",IF(COUNTIF(N_CLAVE,P1714)&gt;1,"⚠ Duplicado","OK"))</f>
        <v/>
      </c>
      <c r="R1714" s="74" t="str">
        <f aca="false">IF(OR(P1714="",U1714=""),"",MAX(0,U1714-N(E1714)-N(F1714)-N(H1714)))</f>
        <v/>
      </c>
      <c r="S1714" s="75" t="str">
        <f aca="false">IF(P1714="","",IFERROR(INDEX(T_INGRESO,MATCH(C1714,T_ID,0)),""))</f>
        <v/>
      </c>
      <c r="T1714" s="75" t="str">
        <f aca="false">IF(P1714="","",IFERROR(N(INDEX(T_EGRESO,MATCH(C1714,T_ID,0))),0))</f>
        <v/>
      </c>
      <c r="U1714" s="73" t="str">
        <f aca="false">IF(OR(P1714="",NOT(ISNUMBER(S1714))),"",IF(OR(S1714&gt;EOMONTH(B1714,0),AND(T1714&gt;0,T1714&lt;B1714)),0,IF(AND(S1714&lt;=B1714,OR(T1714=0,T1714&gt;=EOMONTH(B1714,0))),30,MIN(30,IF(T1714=0,EOMONTH(B1714,0),MIN(T1714,EOMONTH(B1714,0)))-MAX(B1714,S1714)+1))))</f>
        <v/>
      </c>
    </row>
    <row r="1715" customFormat="false" ht="15" hidden="false" customHeight="false" outlineLevel="0" collapsed="false">
      <c r="B1715" s="78"/>
      <c r="C1715" s="64"/>
      <c r="D1715" s="70" t="str">
        <f aca="false">IF(C1715="","",IFERROR(INDEX(T_NOMBRE,MATCH(C1715,T_ID,0)),"⚠ ID no existe"))</f>
        <v/>
      </c>
      <c r="E1715" s="69"/>
      <c r="F1715" s="69"/>
      <c r="G1715" s="69"/>
      <c r="H1715" s="69"/>
      <c r="I1715" s="66"/>
      <c r="J1715" s="69"/>
      <c r="K1715" s="67"/>
      <c r="L1715" s="67"/>
      <c r="M1715" s="67"/>
      <c r="N1715" s="67"/>
      <c r="O1715" s="64"/>
      <c r="P1715" s="72" t="str">
        <f aca="false">IF(OR(B1715="",C1715=""),"",C1715&amp;"|"&amp;(YEAR(B1715)*100+MONTH(B1715)))</f>
        <v/>
      </c>
      <c r="Q1715" s="70" t="str">
        <f aca="false">IF(P1715="","",IF(COUNTIF(N_CLAVE,P1715)&gt;1,"⚠ Duplicado","OK"))</f>
        <v/>
      </c>
      <c r="R1715" s="74" t="str">
        <f aca="false">IF(OR(P1715="",U1715=""),"",MAX(0,U1715-N(E1715)-N(F1715)-N(H1715)))</f>
        <v/>
      </c>
      <c r="S1715" s="75" t="str">
        <f aca="false">IF(P1715="","",IFERROR(INDEX(T_INGRESO,MATCH(C1715,T_ID,0)),""))</f>
        <v/>
      </c>
      <c r="T1715" s="75" t="str">
        <f aca="false">IF(P1715="","",IFERROR(N(INDEX(T_EGRESO,MATCH(C1715,T_ID,0))),0))</f>
        <v/>
      </c>
      <c r="U1715" s="73" t="str">
        <f aca="false">IF(OR(P1715="",NOT(ISNUMBER(S1715))),"",IF(OR(S1715&gt;EOMONTH(B1715,0),AND(T1715&gt;0,T1715&lt;B1715)),0,IF(AND(S1715&lt;=B1715,OR(T1715=0,T1715&gt;=EOMONTH(B1715,0))),30,MIN(30,IF(T1715=0,EOMONTH(B1715,0),MIN(T1715,EOMONTH(B1715,0)))-MAX(B1715,S1715)+1))))</f>
        <v/>
      </c>
    </row>
    <row r="1716" customFormat="false" ht="15" hidden="false" customHeight="false" outlineLevel="0" collapsed="false">
      <c r="B1716" s="78"/>
      <c r="C1716" s="64"/>
      <c r="D1716" s="70" t="str">
        <f aca="false">IF(C1716="","",IFERROR(INDEX(T_NOMBRE,MATCH(C1716,T_ID,0)),"⚠ ID no existe"))</f>
        <v/>
      </c>
      <c r="E1716" s="69"/>
      <c r="F1716" s="69"/>
      <c r="G1716" s="69"/>
      <c r="H1716" s="69"/>
      <c r="I1716" s="66"/>
      <c r="J1716" s="69"/>
      <c r="K1716" s="67"/>
      <c r="L1716" s="67"/>
      <c r="M1716" s="67"/>
      <c r="N1716" s="67"/>
      <c r="O1716" s="64"/>
      <c r="P1716" s="72" t="str">
        <f aca="false">IF(OR(B1716="",C1716=""),"",C1716&amp;"|"&amp;(YEAR(B1716)*100+MONTH(B1716)))</f>
        <v/>
      </c>
      <c r="Q1716" s="70" t="str">
        <f aca="false">IF(P1716="","",IF(COUNTIF(N_CLAVE,P1716)&gt;1,"⚠ Duplicado","OK"))</f>
        <v/>
      </c>
      <c r="R1716" s="74" t="str">
        <f aca="false">IF(OR(P1716="",U1716=""),"",MAX(0,U1716-N(E1716)-N(F1716)-N(H1716)))</f>
        <v/>
      </c>
      <c r="S1716" s="75" t="str">
        <f aca="false">IF(P1716="","",IFERROR(INDEX(T_INGRESO,MATCH(C1716,T_ID,0)),""))</f>
        <v/>
      </c>
      <c r="T1716" s="75" t="str">
        <f aca="false">IF(P1716="","",IFERROR(N(INDEX(T_EGRESO,MATCH(C1716,T_ID,0))),0))</f>
        <v/>
      </c>
      <c r="U1716" s="73" t="str">
        <f aca="false">IF(OR(P1716="",NOT(ISNUMBER(S1716))),"",IF(OR(S1716&gt;EOMONTH(B1716,0),AND(T1716&gt;0,T1716&lt;B1716)),0,IF(AND(S1716&lt;=B1716,OR(T1716=0,T1716&gt;=EOMONTH(B1716,0))),30,MIN(30,IF(T1716=0,EOMONTH(B1716,0),MIN(T1716,EOMONTH(B1716,0)))-MAX(B1716,S1716)+1))))</f>
        <v/>
      </c>
    </row>
    <row r="1717" customFormat="false" ht="15" hidden="false" customHeight="false" outlineLevel="0" collapsed="false">
      <c r="B1717" s="78"/>
      <c r="C1717" s="64"/>
      <c r="D1717" s="70" t="str">
        <f aca="false">IF(C1717="","",IFERROR(INDEX(T_NOMBRE,MATCH(C1717,T_ID,0)),"⚠ ID no existe"))</f>
        <v/>
      </c>
      <c r="E1717" s="69"/>
      <c r="F1717" s="69"/>
      <c r="G1717" s="69"/>
      <c r="H1717" s="69"/>
      <c r="I1717" s="66"/>
      <c r="J1717" s="69"/>
      <c r="K1717" s="67"/>
      <c r="L1717" s="67"/>
      <c r="M1717" s="67"/>
      <c r="N1717" s="67"/>
      <c r="O1717" s="64"/>
      <c r="P1717" s="72" t="str">
        <f aca="false">IF(OR(B1717="",C1717=""),"",C1717&amp;"|"&amp;(YEAR(B1717)*100+MONTH(B1717)))</f>
        <v/>
      </c>
      <c r="Q1717" s="70" t="str">
        <f aca="false">IF(P1717="","",IF(COUNTIF(N_CLAVE,P1717)&gt;1,"⚠ Duplicado","OK"))</f>
        <v/>
      </c>
      <c r="R1717" s="74" t="str">
        <f aca="false">IF(OR(P1717="",U1717=""),"",MAX(0,U1717-N(E1717)-N(F1717)-N(H1717)))</f>
        <v/>
      </c>
      <c r="S1717" s="75" t="str">
        <f aca="false">IF(P1717="","",IFERROR(INDEX(T_INGRESO,MATCH(C1717,T_ID,0)),""))</f>
        <v/>
      </c>
      <c r="T1717" s="75" t="str">
        <f aca="false">IF(P1717="","",IFERROR(N(INDEX(T_EGRESO,MATCH(C1717,T_ID,0))),0))</f>
        <v/>
      </c>
      <c r="U1717" s="73" t="str">
        <f aca="false">IF(OR(P1717="",NOT(ISNUMBER(S1717))),"",IF(OR(S1717&gt;EOMONTH(B1717,0),AND(T1717&gt;0,T1717&lt;B1717)),0,IF(AND(S1717&lt;=B1717,OR(T1717=0,T1717&gt;=EOMONTH(B1717,0))),30,MIN(30,IF(T1717=0,EOMONTH(B1717,0),MIN(T1717,EOMONTH(B1717,0)))-MAX(B1717,S1717)+1))))</f>
        <v/>
      </c>
    </row>
    <row r="1718" customFormat="false" ht="15" hidden="false" customHeight="false" outlineLevel="0" collapsed="false">
      <c r="B1718" s="78"/>
      <c r="C1718" s="64"/>
      <c r="D1718" s="70" t="str">
        <f aca="false">IF(C1718="","",IFERROR(INDEX(T_NOMBRE,MATCH(C1718,T_ID,0)),"⚠ ID no existe"))</f>
        <v/>
      </c>
      <c r="E1718" s="69"/>
      <c r="F1718" s="69"/>
      <c r="G1718" s="69"/>
      <c r="H1718" s="69"/>
      <c r="I1718" s="66"/>
      <c r="J1718" s="69"/>
      <c r="K1718" s="67"/>
      <c r="L1718" s="67"/>
      <c r="M1718" s="67"/>
      <c r="N1718" s="67"/>
      <c r="O1718" s="64"/>
      <c r="P1718" s="72" t="str">
        <f aca="false">IF(OR(B1718="",C1718=""),"",C1718&amp;"|"&amp;(YEAR(B1718)*100+MONTH(B1718)))</f>
        <v/>
      </c>
      <c r="Q1718" s="70" t="str">
        <f aca="false">IF(P1718="","",IF(COUNTIF(N_CLAVE,P1718)&gt;1,"⚠ Duplicado","OK"))</f>
        <v/>
      </c>
      <c r="R1718" s="74" t="str">
        <f aca="false">IF(OR(P1718="",U1718=""),"",MAX(0,U1718-N(E1718)-N(F1718)-N(H1718)))</f>
        <v/>
      </c>
      <c r="S1718" s="75" t="str">
        <f aca="false">IF(P1718="","",IFERROR(INDEX(T_INGRESO,MATCH(C1718,T_ID,0)),""))</f>
        <v/>
      </c>
      <c r="T1718" s="75" t="str">
        <f aca="false">IF(P1718="","",IFERROR(N(INDEX(T_EGRESO,MATCH(C1718,T_ID,0))),0))</f>
        <v/>
      </c>
      <c r="U1718" s="73" t="str">
        <f aca="false">IF(OR(P1718="",NOT(ISNUMBER(S1718))),"",IF(OR(S1718&gt;EOMONTH(B1718,0),AND(T1718&gt;0,T1718&lt;B1718)),0,IF(AND(S1718&lt;=B1718,OR(T1718=0,T1718&gt;=EOMONTH(B1718,0))),30,MIN(30,IF(T1718=0,EOMONTH(B1718,0),MIN(T1718,EOMONTH(B1718,0)))-MAX(B1718,S1718)+1))))</f>
        <v/>
      </c>
    </row>
    <row r="1719" customFormat="false" ht="15" hidden="false" customHeight="false" outlineLevel="0" collapsed="false">
      <c r="B1719" s="78"/>
      <c r="C1719" s="64"/>
      <c r="D1719" s="70" t="str">
        <f aca="false">IF(C1719="","",IFERROR(INDEX(T_NOMBRE,MATCH(C1719,T_ID,0)),"⚠ ID no existe"))</f>
        <v/>
      </c>
      <c r="E1719" s="69"/>
      <c r="F1719" s="69"/>
      <c r="G1719" s="69"/>
      <c r="H1719" s="69"/>
      <c r="I1719" s="66"/>
      <c r="J1719" s="69"/>
      <c r="K1719" s="67"/>
      <c r="L1719" s="67"/>
      <c r="M1719" s="67"/>
      <c r="N1719" s="67"/>
      <c r="O1719" s="64"/>
      <c r="P1719" s="72" t="str">
        <f aca="false">IF(OR(B1719="",C1719=""),"",C1719&amp;"|"&amp;(YEAR(B1719)*100+MONTH(B1719)))</f>
        <v/>
      </c>
      <c r="Q1719" s="70" t="str">
        <f aca="false">IF(P1719="","",IF(COUNTIF(N_CLAVE,P1719)&gt;1,"⚠ Duplicado","OK"))</f>
        <v/>
      </c>
      <c r="R1719" s="74" t="str">
        <f aca="false">IF(OR(P1719="",U1719=""),"",MAX(0,U1719-N(E1719)-N(F1719)-N(H1719)))</f>
        <v/>
      </c>
      <c r="S1719" s="75" t="str">
        <f aca="false">IF(P1719="","",IFERROR(INDEX(T_INGRESO,MATCH(C1719,T_ID,0)),""))</f>
        <v/>
      </c>
      <c r="T1719" s="75" t="str">
        <f aca="false">IF(P1719="","",IFERROR(N(INDEX(T_EGRESO,MATCH(C1719,T_ID,0))),0))</f>
        <v/>
      </c>
      <c r="U1719" s="73" t="str">
        <f aca="false">IF(OR(P1719="",NOT(ISNUMBER(S1719))),"",IF(OR(S1719&gt;EOMONTH(B1719,0),AND(T1719&gt;0,T1719&lt;B1719)),0,IF(AND(S1719&lt;=B1719,OR(T1719=0,T1719&gt;=EOMONTH(B1719,0))),30,MIN(30,IF(T1719=0,EOMONTH(B1719,0),MIN(T1719,EOMONTH(B1719,0)))-MAX(B1719,S1719)+1))))</f>
        <v/>
      </c>
    </row>
    <row r="1720" customFormat="false" ht="15" hidden="false" customHeight="false" outlineLevel="0" collapsed="false">
      <c r="B1720" s="78"/>
      <c r="C1720" s="64"/>
      <c r="D1720" s="70" t="str">
        <f aca="false">IF(C1720="","",IFERROR(INDEX(T_NOMBRE,MATCH(C1720,T_ID,0)),"⚠ ID no existe"))</f>
        <v/>
      </c>
      <c r="E1720" s="69"/>
      <c r="F1720" s="69"/>
      <c r="G1720" s="69"/>
      <c r="H1720" s="69"/>
      <c r="I1720" s="66"/>
      <c r="J1720" s="69"/>
      <c r="K1720" s="67"/>
      <c r="L1720" s="67"/>
      <c r="M1720" s="67"/>
      <c r="N1720" s="67"/>
      <c r="O1720" s="64"/>
      <c r="P1720" s="72" t="str">
        <f aca="false">IF(OR(B1720="",C1720=""),"",C1720&amp;"|"&amp;(YEAR(B1720)*100+MONTH(B1720)))</f>
        <v/>
      </c>
      <c r="Q1720" s="70" t="str">
        <f aca="false">IF(P1720="","",IF(COUNTIF(N_CLAVE,P1720)&gt;1,"⚠ Duplicado","OK"))</f>
        <v/>
      </c>
      <c r="R1720" s="74" t="str">
        <f aca="false">IF(OR(P1720="",U1720=""),"",MAX(0,U1720-N(E1720)-N(F1720)-N(H1720)))</f>
        <v/>
      </c>
      <c r="S1720" s="75" t="str">
        <f aca="false">IF(P1720="","",IFERROR(INDEX(T_INGRESO,MATCH(C1720,T_ID,0)),""))</f>
        <v/>
      </c>
      <c r="T1720" s="75" t="str">
        <f aca="false">IF(P1720="","",IFERROR(N(INDEX(T_EGRESO,MATCH(C1720,T_ID,0))),0))</f>
        <v/>
      </c>
      <c r="U1720" s="73" t="str">
        <f aca="false">IF(OR(P1720="",NOT(ISNUMBER(S1720))),"",IF(OR(S1720&gt;EOMONTH(B1720,0),AND(T1720&gt;0,T1720&lt;B1720)),0,IF(AND(S1720&lt;=B1720,OR(T1720=0,T1720&gt;=EOMONTH(B1720,0))),30,MIN(30,IF(T1720=0,EOMONTH(B1720,0),MIN(T1720,EOMONTH(B1720,0)))-MAX(B1720,S1720)+1))))</f>
        <v/>
      </c>
    </row>
    <row r="1721" customFormat="false" ht="15" hidden="false" customHeight="false" outlineLevel="0" collapsed="false">
      <c r="B1721" s="78"/>
      <c r="C1721" s="64"/>
      <c r="D1721" s="70" t="str">
        <f aca="false">IF(C1721="","",IFERROR(INDEX(T_NOMBRE,MATCH(C1721,T_ID,0)),"⚠ ID no existe"))</f>
        <v/>
      </c>
      <c r="E1721" s="69"/>
      <c r="F1721" s="69"/>
      <c r="G1721" s="69"/>
      <c r="H1721" s="69"/>
      <c r="I1721" s="66"/>
      <c r="J1721" s="69"/>
      <c r="K1721" s="67"/>
      <c r="L1721" s="67"/>
      <c r="M1721" s="67"/>
      <c r="N1721" s="67"/>
      <c r="O1721" s="64"/>
      <c r="P1721" s="72" t="str">
        <f aca="false">IF(OR(B1721="",C1721=""),"",C1721&amp;"|"&amp;(YEAR(B1721)*100+MONTH(B1721)))</f>
        <v/>
      </c>
      <c r="Q1721" s="70" t="str">
        <f aca="false">IF(P1721="","",IF(COUNTIF(N_CLAVE,P1721)&gt;1,"⚠ Duplicado","OK"))</f>
        <v/>
      </c>
      <c r="R1721" s="74" t="str">
        <f aca="false">IF(OR(P1721="",U1721=""),"",MAX(0,U1721-N(E1721)-N(F1721)-N(H1721)))</f>
        <v/>
      </c>
      <c r="S1721" s="75" t="str">
        <f aca="false">IF(P1721="","",IFERROR(INDEX(T_INGRESO,MATCH(C1721,T_ID,0)),""))</f>
        <v/>
      </c>
      <c r="T1721" s="75" t="str">
        <f aca="false">IF(P1721="","",IFERROR(N(INDEX(T_EGRESO,MATCH(C1721,T_ID,0))),0))</f>
        <v/>
      </c>
      <c r="U1721" s="73" t="str">
        <f aca="false">IF(OR(P1721="",NOT(ISNUMBER(S1721))),"",IF(OR(S1721&gt;EOMONTH(B1721,0),AND(T1721&gt;0,T1721&lt;B1721)),0,IF(AND(S1721&lt;=B1721,OR(T1721=0,T1721&gt;=EOMONTH(B1721,0))),30,MIN(30,IF(T1721=0,EOMONTH(B1721,0),MIN(T1721,EOMONTH(B1721,0)))-MAX(B1721,S1721)+1))))</f>
        <v/>
      </c>
    </row>
    <row r="1722" customFormat="false" ht="15" hidden="false" customHeight="false" outlineLevel="0" collapsed="false">
      <c r="B1722" s="78"/>
      <c r="C1722" s="64"/>
      <c r="D1722" s="70" t="str">
        <f aca="false">IF(C1722="","",IFERROR(INDEX(T_NOMBRE,MATCH(C1722,T_ID,0)),"⚠ ID no existe"))</f>
        <v/>
      </c>
      <c r="E1722" s="69"/>
      <c r="F1722" s="69"/>
      <c r="G1722" s="69"/>
      <c r="H1722" s="69"/>
      <c r="I1722" s="66"/>
      <c r="J1722" s="69"/>
      <c r="K1722" s="67"/>
      <c r="L1722" s="67"/>
      <c r="M1722" s="67"/>
      <c r="N1722" s="67"/>
      <c r="O1722" s="64"/>
      <c r="P1722" s="72" t="str">
        <f aca="false">IF(OR(B1722="",C1722=""),"",C1722&amp;"|"&amp;(YEAR(B1722)*100+MONTH(B1722)))</f>
        <v/>
      </c>
      <c r="Q1722" s="70" t="str">
        <f aca="false">IF(P1722="","",IF(COUNTIF(N_CLAVE,P1722)&gt;1,"⚠ Duplicado","OK"))</f>
        <v/>
      </c>
      <c r="R1722" s="74" t="str">
        <f aca="false">IF(OR(P1722="",U1722=""),"",MAX(0,U1722-N(E1722)-N(F1722)-N(H1722)))</f>
        <v/>
      </c>
      <c r="S1722" s="75" t="str">
        <f aca="false">IF(P1722="","",IFERROR(INDEX(T_INGRESO,MATCH(C1722,T_ID,0)),""))</f>
        <v/>
      </c>
      <c r="T1722" s="75" t="str">
        <f aca="false">IF(P1722="","",IFERROR(N(INDEX(T_EGRESO,MATCH(C1722,T_ID,0))),0))</f>
        <v/>
      </c>
      <c r="U1722" s="73" t="str">
        <f aca="false">IF(OR(P1722="",NOT(ISNUMBER(S1722))),"",IF(OR(S1722&gt;EOMONTH(B1722,0),AND(T1722&gt;0,T1722&lt;B1722)),0,IF(AND(S1722&lt;=B1722,OR(T1722=0,T1722&gt;=EOMONTH(B1722,0))),30,MIN(30,IF(T1722=0,EOMONTH(B1722,0),MIN(T1722,EOMONTH(B1722,0)))-MAX(B1722,S1722)+1))))</f>
        <v/>
      </c>
    </row>
    <row r="1723" customFormat="false" ht="15" hidden="false" customHeight="false" outlineLevel="0" collapsed="false">
      <c r="B1723" s="78"/>
      <c r="C1723" s="64"/>
      <c r="D1723" s="70" t="str">
        <f aca="false">IF(C1723="","",IFERROR(INDEX(T_NOMBRE,MATCH(C1723,T_ID,0)),"⚠ ID no existe"))</f>
        <v/>
      </c>
      <c r="E1723" s="69"/>
      <c r="F1723" s="69"/>
      <c r="G1723" s="69"/>
      <c r="H1723" s="69"/>
      <c r="I1723" s="66"/>
      <c r="J1723" s="69"/>
      <c r="K1723" s="67"/>
      <c r="L1723" s="67"/>
      <c r="M1723" s="67"/>
      <c r="N1723" s="67"/>
      <c r="O1723" s="64"/>
      <c r="P1723" s="72" t="str">
        <f aca="false">IF(OR(B1723="",C1723=""),"",C1723&amp;"|"&amp;(YEAR(B1723)*100+MONTH(B1723)))</f>
        <v/>
      </c>
      <c r="Q1723" s="70" t="str">
        <f aca="false">IF(P1723="","",IF(COUNTIF(N_CLAVE,P1723)&gt;1,"⚠ Duplicado","OK"))</f>
        <v/>
      </c>
      <c r="R1723" s="74" t="str">
        <f aca="false">IF(OR(P1723="",U1723=""),"",MAX(0,U1723-N(E1723)-N(F1723)-N(H1723)))</f>
        <v/>
      </c>
      <c r="S1723" s="75" t="str">
        <f aca="false">IF(P1723="","",IFERROR(INDEX(T_INGRESO,MATCH(C1723,T_ID,0)),""))</f>
        <v/>
      </c>
      <c r="T1723" s="75" t="str">
        <f aca="false">IF(P1723="","",IFERROR(N(INDEX(T_EGRESO,MATCH(C1723,T_ID,0))),0))</f>
        <v/>
      </c>
      <c r="U1723" s="73" t="str">
        <f aca="false">IF(OR(P1723="",NOT(ISNUMBER(S1723))),"",IF(OR(S1723&gt;EOMONTH(B1723,0),AND(T1723&gt;0,T1723&lt;B1723)),0,IF(AND(S1723&lt;=B1723,OR(T1723=0,T1723&gt;=EOMONTH(B1723,0))),30,MIN(30,IF(T1723=0,EOMONTH(B1723,0),MIN(T1723,EOMONTH(B1723,0)))-MAX(B1723,S1723)+1))))</f>
        <v/>
      </c>
    </row>
    <row r="1724" customFormat="false" ht="15" hidden="false" customHeight="false" outlineLevel="0" collapsed="false">
      <c r="B1724" s="78"/>
      <c r="C1724" s="64"/>
      <c r="D1724" s="70" t="str">
        <f aca="false">IF(C1724="","",IFERROR(INDEX(T_NOMBRE,MATCH(C1724,T_ID,0)),"⚠ ID no existe"))</f>
        <v/>
      </c>
      <c r="E1724" s="69"/>
      <c r="F1724" s="69"/>
      <c r="G1724" s="69"/>
      <c r="H1724" s="69"/>
      <c r="I1724" s="66"/>
      <c r="J1724" s="69"/>
      <c r="K1724" s="67"/>
      <c r="L1724" s="67"/>
      <c r="M1724" s="67"/>
      <c r="N1724" s="67"/>
      <c r="O1724" s="64"/>
      <c r="P1724" s="72" t="str">
        <f aca="false">IF(OR(B1724="",C1724=""),"",C1724&amp;"|"&amp;(YEAR(B1724)*100+MONTH(B1724)))</f>
        <v/>
      </c>
      <c r="Q1724" s="70" t="str">
        <f aca="false">IF(P1724="","",IF(COUNTIF(N_CLAVE,P1724)&gt;1,"⚠ Duplicado","OK"))</f>
        <v/>
      </c>
      <c r="R1724" s="74" t="str">
        <f aca="false">IF(OR(P1724="",U1724=""),"",MAX(0,U1724-N(E1724)-N(F1724)-N(H1724)))</f>
        <v/>
      </c>
      <c r="S1724" s="75" t="str">
        <f aca="false">IF(P1724="","",IFERROR(INDEX(T_INGRESO,MATCH(C1724,T_ID,0)),""))</f>
        <v/>
      </c>
      <c r="T1724" s="75" t="str">
        <f aca="false">IF(P1724="","",IFERROR(N(INDEX(T_EGRESO,MATCH(C1724,T_ID,0))),0))</f>
        <v/>
      </c>
      <c r="U1724" s="73" t="str">
        <f aca="false">IF(OR(P1724="",NOT(ISNUMBER(S1724))),"",IF(OR(S1724&gt;EOMONTH(B1724,0),AND(T1724&gt;0,T1724&lt;B1724)),0,IF(AND(S1724&lt;=B1724,OR(T1724=0,T1724&gt;=EOMONTH(B1724,0))),30,MIN(30,IF(T1724=0,EOMONTH(B1724,0),MIN(T1724,EOMONTH(B1724,0)))-MAX(B1724,S1724)+1))))</f>
        <v/>
      </c>
    </row>
    <row r="1725" customFormat="false" ht="15" hidden="false" customHeight="false" outlineLevel="0" collapsed="false">
      <c r="B1725" s="78"/>
      <c r="C1725" s="64"/>
      <c r="D1725" s="70" t="str">
        <f aca="false">IF(C1725="","",IFERROR(INDEX(T_NOMBRE,MATCH(C1725,T_ID,0)),"⚠ ID no existe"))</f>
        <v/>
      </c>
      <c r="E1725" s="69"/>
      <c r="F1725" s="69"/>
      <c r="G1725" s="69"/>
      <c r="H1725" s="69"/>
      <c r="I1725" s="66"/>
      <c r="J1725" s="69"/>
      <c r="K1725" s="67"/>
      <c r="L1725" s="67"/>
      <c r="M1725" s="67"/>
      <c r="N1725" s="67"/>
      <c r="O1725" s="64"/>
      <c r="P1725" s="72" t="str">
        <f aca="false">IF(OR(B1725="",C1725=""),"",C1725&amp;"|"&amp;(YEAR(B1725)*100+MONTH(B1725)))</f>
        <v/>
      </c>
      <c r="Q1725" s="70" t="str">
        <f aca="false">IF(P1725="","",IF(COUNTIF(N_CLAVE,P1725)&gt;1,"⚠ Duplicado","OK"))</f>
        <v/>
      </c>
      <c r="R1725" s="74" t="str">
        <f aca="false">IF(OR(P1725="",U1725=""),"",MAX(0,U1725-N(E1725)-N(F1725)-N(H1725)))</f>
        <v/>
      </c>
      <c r="S1725" s="75" t="str">
        <f aca="false">IF(P1725="","",IFERROR(INDEX(T_INGRESO,MATCH(C1725,T_ID,0)),""))</f>
        <v/>
      </c>
      <c r="T1725" s="75" t="str">
        <f aca="false">IF(P1725="","",IFERROR(N(INDEX(T_EGRESO,MATCH(C1725,T_ID,0))),0))</f>
        <v/>
      </c>
      <c r="U1725" s="73" t="str">
        <f aca="false">IF(OR(P1725="",NOT(ISNUMBER(S1725))),"",IF(OR(S1725&gt;EOMONTH(B1725,0),AND(T1725&gt;0,T1725&lt;B1725)),0,IF(AND(S1725&lt;=B1725,OR(T1725=0,T1725&gt;=EOMONTH(B1725,0))),30,MIN(30,IF(T1725=0,EOMONTH(B1725,0),MIN(T1725,EOMONTH(B1725,0)))-MAX(B1725,S1725)+1))))</f>
        <v/>
      </c>
    </row>
    <row r="1726" customFormat="false" ht="15" hidden="false" customHeight="false" outlineLevel="0" collapsed="false">
      <c r="B1726" s="78"/>
      <c r="C1726" s="64"/>
      <c r="D1726" s="70" t="str">
        <f aca="false">IF(C1726="","",IFERROR(INDEX(T_NOMBRE,MATCH(C1726,T_ID,0)),"⚠ ID no existe"))</f>
        <v/>
      </c>
      <c r="E1726" s="69"/>
      <c r="F1726" s="69"/>
      <c r="G1726" s="69"/>
      <c r="H1726" s="69"/>
      <c r="I1726" s="66"/>
      <c r="J1726" s="69"/>
      <c r="K1726" s="67"/>
      <c r="L1726" s="67"/>
      <c r="M1726" s="67"/>
      <c r="N1726" s="67"/>
      <c r="O1726" s="64"/>
      <c r="P1726" s="72" t="str">
        <f aca="false">IF(OR(B1726="",C1726=""),"",C1726&amp;"|"&amp;(YEAR(B1726)*100+MONTH(B1726)))</f>
        <v/>
      </c>
      <c r="Q1726" s="70" t="str">
        <f aca="false">IF(P1726="","",IF(COUNTIF(N_CLAVE,P1726)&gt;1,"⚠ Duplicado","OK"))</f>
        <v/>
      </c>
      <c r="R1726" s="74" t="str">
        <f aca="false">IF(OR(P1726="",U1726=""),"",MAX(0,U1726-N(E1726)-N(F1726)-N(H1726)))</f>
        <v/>
      </c>
      <c r="S1726" s="75" t="str">
        <f aca="false">IF(P1726="","",IFERROR(INDEX(T_INGRESO,MATCH(C1726,T_ID,0)),""))</f>
        <v/>
      </c>
      <c r="T1726" s="75" t="str">
        <f aca="false">IF(P1726="","",IFERROR(N(INDEX(T_EGRESO,MATCH(C1726,T_ID,0))),0))</f>
        <v/>
      </c>
      <c r="U1726" s="73" t="str">
        <f aca="false">IF(OR(P1726="",NOT(ISNUMBER(S1726))),"",IF(OR(S1726&gt;EOMONTH(B1726,0),AND(T1726&gt;0,T1726&lt;B1726)),0,IF(AND(S1726&lt;=B1726,OR(T1726=0,T1726&gt;=EOMONTH(B1726,0))),30,MIN(30,IF(T1726=0,EOMONTH(B1726,0),MIN(T1726,EOMONTH(B1726,0)))-MAX(B1726,S1726)+1))))</f>
        <v/>
      </c>
    </row>
    <row r="1727" customFormat="false" ht="15" hidden="false" customHeight="false" outlineLevel="0" collapsed="false">
      <c r="B1727" s="78"/>
      <c r="C1727" s="64"/>
      <c r="D1727" s="70" t="str">
        <f aca="false">IF(C1727="","",IFERROR(INDEX(T_NOMBRE,MATCH(C1727,T_ID,0)),"⚠ ID no existe"))</f>
        <v/>
      </c>
      <c r="E1727" s="69"/>
      <c r="F1727" s="69"/>
      <c r="G1727" s="69"/>
      <c r="H1727" s="69"/>
      <c r="I1727" s="66"/>
      <c r="J1727" s="69"/>
      <c r="K1727" s="67"/>
      <c r="L1727" s="67"/>
      <c r="M1727" s="67"/>
      <c r="N1727" s="67"/>
      <c r="O1727" s="64"/>
      <c r="P1727" s="72" t="str">
        <f aca="false">IF(OR(B1727="",C1727=""),"",C1727&amp;"|"&amp;(YEAR(B1727)*100+MONTH(B1727)))</f>
        <v/>
      </c>
      <c r="Q1727" s="70" t="str">
        <f aca="false">IF(P1727="","",IF(COUNTIF(N_CLAVE,P1727)&gt;1,"⚠ Duplicado","OK"))</f>
        <v/>
      </c>
      <c r="R1727" s="74" t="str">
        <f aca="false">IF(OR(P1727="",U1727=""),"",MAX(0,U1727-N(E1727)-N(F1727)-N(H1727)))</f>
        <v/>
      </c>
      <c r="S1727" s="75" t="str">
        <f aca="false">IF(P1727="","",IFERROR(INDEX(T_INGRESO,MATCH(C1727,T_ID,0)),""))</f>
        <v/>
      </c>
      <c r="T1727" s="75" t="str">
        <f aca="false">IF(P1727="","",IFERROR(N(INDEX(T_EGRESO,MATCH(C1727,T_ID,0))),0))</f>
        <v/>
      </c>
      <c r="U1727" s="73" t="str">
        <f aca="false">IF(OR(P1727="",NOT(ISNUMBER(S1727))),"",IF(OR(S1727&gt;EOMONTH(B1727,0),AND(T1727&gt;0,T1727&lt;B1727)),0,IF(AND(S1727&lt;=B1727,OR(T1727=0,T1727&gt;=EOMONTH(B1727,0))),30,MIN(30,IF(T1727=0,EOMONTH(B1727,0),MIN(T1727,EOMONTH(B1727,0)))-MAX(B1727,S1727)+1))))</f>
        <v/>
      </c>
    </row>
    <row r="1728" customFormat="false" ht="15" hidden="false" customHeight="false" outlineLevel="0" collapsed="false">
      <c r="B1728" s="78"/>
      <c r="C1728" s="64"/>
      <c r="D1728" s="70" t="str">
        <f aca="false">IF(C1728="","",IFERROR(INDEX(T_NOMBRE,MATCH(C1728,T_ID,0)),"⚠ ID no existe"))</f>
        <v/>
      </c>
      <c r="E1728" s="69"/>
      <c r="F1728" s="69"/>
      <c r="G1728" s="69"/>
      <c r="H1728" s="69"/>
      <c r="I1728" s="66"/>
      <c r="J1728" s="69"/>
      <c r="K1728" s="67"/>
      <c r="L1728" s="67"/>
      <c r="M1728" s="67"/>
      <c r="N1728" s="67"/>
      <c r="O1728" s="64"/>
      <c r="P1728" s="72" t="str">
        <f aca="false">IF(OR(B1728="",C1728=""),"",C1728&amp;"|"&amp;(YEAR(B1728)*100+MONTH(B1728)))</f>
        <v/>
      </c>
      <c r="Q1728" s="70" t="str">
        <f aca="false">IF(P1728="","",IF(COUNTIF(N_CLAVE,P1728)&gt;1,"⚠ Duplicado","OK"))</f>
        <v/>
      </c>
      <c r="R1728" s="74" t="str">
        <f aca="false">IF(OR(P1728="",U1728=""),"",MAX(0,U1728-N(E1728)-N(F1728)-N(H1728)))</f>
        <v/>
      </c>
      <c r="S1728" s="75" t="str">
        <f aca="false">IF(P1728="","",IFERROR(INDEX(T_INGRESO,MATCH(C1728,T_ID,0)),""))</f>
        <v/>
      </c>
      <c r="T1728" s="75" t="str">
        <f aca="false">IF(P1728="","",IFERROR(N(INDEX(T_EGRESO,MATCH(C1728,T_ID,0))),0))</f>
        <v/>
      </c>
      <c r="U1728" s="73" t="str">
        <f aca="false">IF(OR(P1728="",NOT(ISNUMBER(S1728))),"",IF(OR(S1728&gt;EOMONTH(B1728,0),AND(T1728&gt;0,T1728&lt;B1728)),0,IF(AND(S1728&lt;=B1728,OR(T1728=0,T1728&gt;=EOMONTH(B1728,0))),30,MIN(30,IF(T1728=0,EOMONTH(B1728,0),MIN(T1728,EOMONTH(B1728,0)))-MAX(B1728,S1728)+1))))</f>
        <v/>
      </c>
    </row>
    <row r="1729" customFormat="false" ht="15" hidden="false" customHeight="false" outlineLevel="0" collapsed="false">
      <c r="B1729" s="78"/>
      <c r="C1729" s="64"/>
      <c r="D1729" s="70" t="str">
        <f aca="false">IF(C1729="","",IFERROR(INDEX(T_NOMBRE,MATCH(C1729,T_ID,0)),"⚠ ID no existe"))</f>
        <v/>
      </c>
      <c r="E1729" s="69"/>
      <c r="F1729" s="69"/>
      <c r="G1729" s="69"/>
      <c r="H1729" s="69"/>
      <c r="I1729" s="66"/>
      <c r="J1729" s="69"/>
      <c r="K1729" s="67"/>
      <c r="L1729" s="67"/>
      <c r="M1729" s="67"/>
      <c r="N1729" s="67"/>
      <c r="O1729" s="64"/>
      <c r="P1729" s="72" t="str">
        <f aca="false">IF(OR(B1729="",C1729=""),"",C1729&amp;"|"&amp;(YEAR(B1729)*100+MONTH(B1729)))</f>
        <v/>
      </c>
      <c r="Q1729" s="70" t="str">
        <f aca="false">IF(P1729="","",IF(COUNTIF(N_CLAVE,P1729)&gt;1,"⚠ Duplicado","OK"))</f>
        <v/>
      </c>
      <c r="R1729" s="74" t="str">
        <f aca="false">IF(OR(P1729="",U1729=""),"",MAX(0,U1729-N(E1729)-N(F1729)-N(H1729)))</f>
        <v/>
      </c>
      <c r="S1729" s="75" t="str">
        <f aca="false">IF(P1729="","",IFERROR(INDEX(T_INGRESO,MATCH(C1729,T_ID,0)),""))</f>
        <v/>
      </c>
      <c r="T1729" s="75" t="str">
        <f aca="false">IF(P1729="","",IFERROR(N(INDEX(T_EGRESO,MATCH(C1729,T_ID,0))),0))</f>
        <v/>
      </c>
      <c r="U1729" s="73" t="str">
        <f aca="false">IF(OR(P1729="",NOT(ISNUMBER(S1729))),"",IF(OR(S1729&gt;EOMONTH(B1729,0),AND(T1729&gt;0,T1729&lt;B1729)),0,IF(AND(S1729&lt;=B1729,OR(T1729=0,T1729&gt;=EOMONTH(B1729,0))),30,MIN(30,IF(T1729=0,EOMONTH(B1729,0),MIN(T1729,EOMONTH(B1729,0)))-MAX(B1729,S1729)+1))))</f>
        <v/>
      </c>
    </row>
    <row r="1730" customFormat="false" ht="15" hidden="false" customHeight="false" outlineLevel="0" collapsed="false">
      <c r="B1730" s="78"/>
      <c r="C1730" s="64"/>
      <c r="D1730" s="70" t="str">
        <f aca="false">IF(C1730="","",IFERROR(INDEX(T_NOMBRE,MATCH(C1730,T_ID,0)),"⚠ ID no existe"))</f>
        <v/>
      </c>
      <c r="E1730" s="69"/>
      <c r="F1730" s="69"/>
      <c r="G1730" s="69"/>
      <c r="H1730" s="69"/>
      <c r="I1730" s="66"/>
      <c r="J1730" s="69"/>
      <c r="K1730" s="67"/>
      <c r="L1730" s="67"/>
      <c r="M1730" s="67"/>
      <c r="N1730" s="67"/>
      <c r="O1730" s="64"/>
      <c r="P1730" s="72" t="str">
        <f aca="false">IF(OR(B1730="",C1730=""),"",C1730&amp;"|"&amp;(YEAR(B1730)*100+MONTH(B1730)))</f>
        <v/>
      </c>
      <c r="Q1730" s="70" t="str">
        <f aca="false">IF(P1730="","",IF(COUNTIF(N_CLAVE,P1730)&gt;1,"⚠ Duplicado","OK"))</f>
        <v/>
      </c>
      <c r="R1730" s="74" t="str">
        <f aca="false">IF(OR(P1730="",U1730=""),"",MAX(0,U1730-N(E1730)-N(F1730)-N(H1730)))</f>
        <v/>
      </c>
      <c r="S1730" s="75" t="str">
        <f aca="false">IF(P1730="","",IFERROR(INDEX(T_INGRESO,MATCH(C1730,T_ID,0)),""))</f>
        <v/>
      </c>
      <c r="T1730" s="75" t="str">
        <f aca="false">IF(P1730="","",IFERROR(N(INDEX(T_EGRESO,MATCH(C1730,T_ID,0))),0))</f>
        <v/>
      </c>
      <c r="U1730" s="73" t="str">
        <f aca="false">IF(OR(P1730="",NOT(ISNUMBER(S1730))),"",IF(OR(S1730&gt;EOMONTH(B1730,0),AND(T1730&gt;0,T1730&lt;B1730)),0,IF(AND(S1730&lt;=B1730,OR(T1730=0,T1730&gt;=EOMONTH(B1730,0))),30,MIN(30,IF(T1730=0,EOMONTH(B1730,0),MIN(T1730,EOMONTH(B1730,0)))-MAX(B1730,S1730)+1))))</f>
        <v/>
      </c>
    </row>
    <row r="1731" customFormat="false" ht="15" hidden="false" customHeight="false" outlineLevel="0" collapsed="false">
      <c r="B1731" s="78"/>
      <c r="C1731" s="64"/>
      <c r="D1731" s="70" t="str">
        <f aca="false">IF(C1731="","",IFERROR(INDEX(T_NOMBRE,MATCH(C1731,T_ID,0)),"⚠ ID no existe"))</f>
        <v/>
      </c>
      <c r="E1731" s="69"/>
      <c r="F1731" s="69"/>
      <c r="G1731" s="69"/>
      <c r="H1731" s="69"/>
      <c r="I1731" s="66"/>
      <c r="J1731" s="69"/>
      <c r="K1731" s="67"/>
      <c r="L1731" s="67"/>
      <c r="M1731" s="67"/>
      <c r="N1731" s="67"/>
      <c r="O1731" s="64"/>
      <c r="P1731" s="72" t="str">
        <f aca="false">IF(OR(B1731="",C1731=""),"",C1731&amp;"|"&amp;(YEAR(B1731)*100+MONTH(B1731)))</f>
        <v/>
      </c>
      <c r="Q1731" s="70" t="str">
        <f aca="false">IF(P1731="","",IF(COUNTIF(N_CLAVE,P1731)&gt;1,"⚠ Duplicado","OK"))</f>
        <v/>
      </c>
      <c r="R1731" s="74" t="str">
        <f aca="false">IF(OR(P1731="",U1731=""),"",MAX(0,U1731-N(E1731)-N(F1731)-N(H1731)))</f>
        <v/>
      </c>
      <c r="S1731" s="75" t="str">
        <f aca="false">IF(P1731="","",IFERROR(INDEX(T_INGRESO,MATCH(C1731,T_ID,0)),""))</f>
        <v/>
      </c>
      <c r="T1731" s="75" t="str">
        <f aca="false">IF(P1731="","",IFERROR(N(INDEX(T_EGRESO,MATCH(C1731,T_ID,0))),0))</f>
        <v/>
      </c>
      <c r="U1731" s="73" t="str">
        <f aca="false">IF(OR(P1731="",NOT(ISNUMBER(S1731))),"",IF(OR(S1731&gt;EOMONTH(B1731,0),AND(T1731&gt;0,T1731&lt;B1731)),0,IF(AND(S1731&lt;=B1731,OR(T1731=0,T1731&gt;=EOMONTH(B1731,0))),30,MIN(30,IF(T1731=0,EOMONTH(B1731,0),MIN(T1731,EOMONTH(B1731,0)))-MAX(B1731,S1731)+1))))</f>
        <v/>
      </c>
    </row>
    <row r="1732" customFormat="false" ht="15" hidden="false" customHeight="false" outlineLevel="0" collapsed="false">
      <c r="B1732" s="78"/>
      <c r="C1732" s="64"/>
      <c r="D1732" s="70" t="str">
        <f aca="false">IF(C1732="","",IFERROR(INDEX(T_NOMBRE,MATCH(C1732,T_ID,0)),"⚠ ID no existe"))</f>
        <v/>
      </c>
      <c r="E1732" s="69"/>
      <c r="F1732" s="69"/>
      <c r="G1732" s="69"/>
      <c r="H1732" s="69"/>
      <c r="I1732" s="66"/>
      <c r="J1732" s="69"/>
      <c r="K1732" s="67"/>
      <c r="L1732" s="67"/>
      <c r="M1732" s="67"/>
      <c r="N1732" s="67"/>
      <c r="O1732" s="64"/>
      <c r="P1732" s="72" t="str">
        <f aca="false">IF(OR(B1732="",C1732=""),"",C1732&amp;"|"&amp;(YEAR(B1732)*100+MONTH(B1732)))</f>
        <v/>
      </c>
      <c r="Q1732" s="70" t="str">
        <f aca="false">IF(P1732="","",IF(COUNTIF(N_CLAVE,P1732)&gt;1,"⚠ Duplicado","OK"))</f>
        <v/>
      </c>
      <c r="R1732" s="74" t="str">
        <f aca="false">IF(OR(P1732="",U1732=""),"",MAX(0,U1732-N(E1732)-N(F1732)-N(H1732)))</f>
        <v/>
      </c>
      <c r="S1732" s="75" t="str">
        <f aca="false">IF(P1732="","",IFERROR(INDEX(T_INGRESO,MATCH(C1732,T_ID,0)),""))</f>
        <v/>
      </c>
      <c r="T1732" s="75" t="str">
        <f aca="false">IF(P1732="","",IFERROR(N(INDEX(T_EGRESO,MATCH(C1732,T_ID,0))),0))</f>
        <v/>
      </c>
      <c r="U1732" s="73" t="str">
        <f aca="false">IF(OR(P1732="",NOT(ISNUMBER(S1732))),"",IF(OR(S1732&gt;EOMONTH(B1732,0),AND(T1732&gt;0,T1732&lt;B1732)),0,IF(AND(S1732&lt;=B1732,OR(T1732=0,T1732&gt;=EOMONTH(B1732,0))),30,MIN(30,IF(T1732=0,EOMONTH(B1732,0),MIN(T1732,EOMONTH(B1732,0)))-MAX(B1732,S1732)+1))))</f>
        <v/>
      </c>
    </row>
    <row r="1733" customFormat="false" ht="15" hidden="false" customHeight="false" outlineLevel="0" collapsed="false">
      <c r="B1733" s="78"/>
      <c r="C1733" s="64"/>
      <c r="D1733" s="70" t="str">
        <f aca="false">IF(C1733="","",IFERROR(INDEX(T_NOMBRE,MATCH(C1733,T_ID,0)),"⚠ ID no existe"))</f>
        <v/>
      </c>
      <c r="E1733" s="69"/>
      <c r="F1733" s="69"/>
      <c r="G1733" s="69"/>
      <c r="H1733" s="69"/>
      <c r="I1733" s="66"/>
      <c r="J1733" s="69"/>
      <c r="K1733" s="67"/>
      <c r="L1733" s="67"/>
      <c r="M1733" s="67"/>
      <c r="N1733" s="67"/>
      <c r="O1733" s="64"/>
      <c r="P1733" s="72" t="str">
        <f aca="false">IF(OR(B1733="",C1733=""),"",C1733&amp;"|"&amp;(YEAR(B1733)*100+MONTH(B1733)))</f>
        <v/>
      </c>
      <c r="Q1733" s="70" t="str">
        <f aca="false">IF(P1733="","",IF(COUNTIF(N_CLAVE,P1733)&gt;1,"⚠ Duplicado","OK"))</f>
        <v/>
      </c>
      <c r="R1733" s="74" t="str">
        <f aca="false">IF(OR(P1733="",U1733=""),"",MAX(0,U1733-N(E1733)-N(F1733)-N(H1733)))</f>
        <v/>
      </c>
      <c r="S1733" s="75" t="str">
        <f aca="false">IF(P1733="","",IFERROR(INDEX(T_INGRESO,MATCH(C1733,T_ID,0)),""))</f>
        <v/>
      </c>
      <c r="T1733" s="75" t="str">
        <f aca="false">IF(P1733="","",IFERROR(N(INDEX(T_EGRESO,MATCH(C1733,T_ID,0))),0))</f>
        <v/>
      </c>
      <c r="U1733" s="73" t="str">
        <f aca="false">IF(OR(P1733="",NOT(ISNUMBER(S1733))),"",IF(OR(S1733&gt;EOMONTH(B1733,0),AND(T1733&gt;0,T1733&lt;B1733)),0,IF(AND(S1733&lt;=B1733,OR(T1733=0,T1733&gt;=EOMONTH(B1733,0))),30,MIN(30,IF(T1733=0,EOMONTH(B1733,0),MIN(T1733,EOMONTH(B1733,0)))-MAX(B1733,S1733)+1))))</f>
        <v/>
      </c>
    </row>
    <row r="1734" customFormat="false" ht="15" hidden="false" customHeight="false" outlineLevel="0" collapsed="false">
      <c r="B1734" s="78"/>
      <c r="C1734" s="64"/>
      <c r="D1734" s="70" t="str">
        <f aca="false">IF(C1734="","",IFERROR(INDEX(T_NOMBRE,MATCH(C1734,T_ID,0)),"⚠ ID no existe"))</f>
        <v/>
      </c>
      <c r="E1734" s="69"/>
      <c r="F1734" s="69"/>
      <c r="G1734" s="69"/>
      <c r="H1734" s="69"/>
      <c r="I1734" s="66"/>
      <c r="J1734" s="69"/>
      <c r="K1734" s="67"/>
      <c r="L1734" s="67"/>
      <c r="M1734" s="67"/>
      <c r="N1734" s="67"/>
      <c r="O1734" s="64"/>
      <c r="P1734" s="72" t="str">
        <f aca="false">IF(OR(B1734="",C1734=""),"",C1734&amp;"|"&amp;(YEAR(B1734)*100+MONTH(B1734)))</f>
        <v/>
      </c>
      <c r="Q1734" s="70" t="str">
        <f aca="false">IF(P1734="","",IF(COUNTIF(N_CLAVE,P1734)&gt;1,"⚠ Duplicado","OK"))</f>
        <v/>
      </c>
      <c r="R1734" s="74" t="str">
        <f aca="false">IF(OR(P1734="",U1734=""),"",MAX(0,U1734-N(E1734)-N(F1734)-N(H1734)))</f>
        <v/>
      </c>
      <c r="S1734" s="75" t="str">
        <f aca="false">IF(P1734="","",IFERROR(INDEX(T_INGRESO,MATCH(C1734,T_ID,0)),""))</f>
        <v/>
      </c>
      <c r="T1734" s="75" t="str">
        <f aca="false">IF(P1734="","",IFERROR(N(INDEX(T_EGRESO,MATCH(C1734,T_ID,0))),0))</f>
        <v/>
      </c>
      <c r="U1734" s="73" t="str">
        <f aca="false">IF(OR(P1734="",NOT(ISNUMBER(S1734))),"",IF(OR(S1734&gt;EOMONTH(B1734,0),AND(T1734&gt;0,T1734&lt;B1734)),0,IF(AND(S1734&lt;=B1734,OR(T1734=0,T1734&gt;=EOMONTH(B1734,0))),30,MIN(30,IF(T1734=0,EOMONTH(B1734,0),MIN(T1734,EOMONTH(B1734,0)))-MAX(B1734,S1734)+1))))</f>
        <v/>
      </c>
    </row>
    <row r="1735" customFormat="false" ht="15" hidden="false" customHeight="false" outlineLevel="0" collapsed="false">
      <c r="B1735" s="78"/>
      <c r="C1735" s="64"/>
      <c r="D1735" s="70" t="str">
        <f aca="false">IF(C1735="","",IFERROR(INDEX(T_NOMBRE,MATCH(C1735,T_ID,0)),"⚠ ID no existe"))</f>
        <v/>
      </c>
      <c r="E1735" s="69"/>
      <c r="F1735" s="69"/>
      <c r="G1735" s="69"/>
      <c r="H1735" s="69"/>
      <c r="I1735" s="66"/>
      <c r="J1735" s="69"/>
      <c r="K1735" s="67"/>
      <c r="L1735" s="67"/>
      <c r="M1735" s="67"/>
      <c r="N1735" s="67"/>
      <c r="O1735" s="64"/>
      <c r="P1735" s="72" t="str">
        <f aca="false">IF(OR(B1735="",C1735=""),"",C1735&amp;"|"&amp;(YEAR(B1735)*100+MONTH(B1735)))</f>
        <v/>
      </c>
      <c r="Q1735" s="70" t="str">
        <f aca="false">IF(P1735="","",IF(COUNTIF(N_CLAVE,P1735)&gt;1,"⚠ Duplicado","OK"))</f>
        <v/>
      </c>
      <c r="R1735" s="74" t="str">
        <f aca="false">IF(OR(P1735="",U1735=""),"",MAX(0,U1735-N(E1735)-N(F1735)-N(H1735)))</f>
        <v/>
      </c>
      <c r="S1735" s="75" t="str">
        <f aca="false">IF(P1735="","",IFERROR(INDEX(T_INGRESO,MATCH(C1735,T_ID,0)),""))</f>
        <v/>
      </c>
      <c r="T1735" s="75" t="str">
        <f aca="false">IF(P1735="","",IFERROR(N(INDEX(T_EGRESO,MATCH(C1735,T_ID,0))),0))</f>
        <v/>
      </c>
      <c r="U1735" s="73" t="str">
        <f aca="false">IF(OR(P1735="",NOT(ISNUMBER(S1735))),"",IF(OR(S1735&gt;EOMONTH(B1735,0),AND(T1735&gt;0,T1735&lt;B1735)),0,IF(AND(S1735&lt;=B1735,OR(T1735=0,T1735&gt;=EOMONTH(B1735,0))),30,MIN(30,IF(T1735=0,EOMONTH(B1735,0),MIN(T1735,EOMONTH(B1735,0)))-MAX(B1735,S1735)+1))))</f>
        <v/>
      </c>
    </row>
    <row r="1736" customFormat="false" ht="15" hidden="false" customHeight="false" outlineLevel="0" collapsed="false">
      <c r="B1736" s="78"/>
      <c r="C1736" s="64"/>
      <c r="D1736" s="70" t="str">
        <f aca="false">IF(C1736="","",IFERROR(INDEX(T_NOMBRE,MATCH(C1736,T_ID,0)),"⚠ ID no existe"))</f>
        <v/>
      </c>
      <c r="E1736" s="69"/>
      <c r="F1736" s="69"/>
      <c r="G1736" s="69"/>
      <c r="H1736" s="69"/>
      <c r="I1736" s="66"/>
      <c r="J1736" s="69"/>
      <c r="K1736" s="67"/>
      <c r="L1736" s="67"/>
      <c r="M1736" s="67"/>
      <c r="N1736" s="67"/>
      <c r="O1736" s="64"/>
      <c r="P1736" s="72" t="str">
        <f aca="false">IF(OR(B1736="",C1736=""),"",C1736&amp;"|"&amp;(YEAR(B1736)*100+MONTH(B1736)))</f>
        <v/>
      </c>
      <c r="Q1736" s="70" t="str">
        <f aca="false">IF(P1736="","",IF(COUNTIF(N_CLAVE,P1736)&gt;1,"⚠ Duplicado","OK"))</f>
        <v/>
      </c>
      <c r="R1736" s="74" t="str">
        <f aca="false">IF(OR(P1736="",U1736=""),"",MAX(0,U1736-N(E1736)-N(F1736)-N(H1736)))</f>
        <v/>
      </c>
      <c r="S1736" s="75" t="str">
        <f aca="false">IF(P1736="","",IFERROR(INDEX(T_INGRESO,MATCH(C1736,T_ID,0)),""))</f>
        <v/>
      </c>
      <c r="T1736" s="75" t="str">
        <f aca="false">IF(P1736="","",IFERROR(N(INDEX(T_EGRESO,MATCH(C1736,T_ID,0))),0))</f>
        <v/>
      </c>
      <c r="U1736" s="73" t="str">
        <f aca="false">IF(OR(P1736="",NOT(ISNUMBER(S1736))),"",IF(OR(S1736&gt;EOMONTH(B1736,0),AND(T1736&gt;0,T1736&lt;B1736)),0,IF(AND(S1736&lt;=B1736,OR(T1736=0,T1736&gt;=EOMONTH(B1736,0))),30,MIN(30,IF(T1736=0,EOMONTH(B1736,0),MIN(T1736,EOMONTH(B1736,0)))-MAX(B1736,S1736)+1))))</f>
        <v/>
      </c>
    </row>
    <row r="1737" customFormat="false" ht="15" hidden="false" customHeight="false" outlineLevel="0" collapsed="false">
      <c r="B1737" s="78"/>
      <c r="C1737" s="64"/>
      <c r="D1737" s="70" t="str">
        <f aca="false">IF(C1737="","",IFERROR(INDEX(T_NOMBRE,MATCH(C1737,T_ID,0)),"⚠ ID no existe"))</f>
        <v/>
      </c>
      <c r="E1737" s="69"/>
      <c r="F1737" s="69"/>
      <c r="G1737" s="69"/>
      <c r="H1737" s="69"/>
      <c r="I1737" s="66"/>
      <c r="J1737" s="69"/>
      <c r="K1737" s="67"/>
      <c r="L1737" s="67"/>
      <c r="M1737" s="67"/>
      <c r="N1737" s="67"/>
      <c r="O1737" s="64"/>
      <c r="P1737" s="72" t="str">
        <f aca="false">IF(OR(B1737="",C1737=""),"",C1737&amp;"|"&amp;(YEAR(B1737)*100+MONTH(B1737)))</f>
        <v/>
      </c>
      <c r="Q1737" s="70" t="str">
        <f aca="false">IF(P1737="","",IF(COUNTIF(N_CLAVE,P1737)&gt;1,"⚠ Duplicado","OK"))</f>
        <v/>
      </c>
      <c r="R1737" s="74" t="str">
        <f aca="false">IF(OR(P1737="",U1737=""),"",MAX(0,U1737-N(E1737)-N(F1737)-N(H1737)))</f>
        <v/>
      </c>
      <c r="S1737" s="75" t="str">
        <f aca="false">IF(P1737="","",IFERROR(INDEX(T_INGRESO,MATCH(C1737,T_ID,0)),""))</f>
        <v/>
      </c>
      <c r="T1737" s="75" t="str">
        <f aca="false">IF(P1737="","",IFERROR(N(INDEX(T_EGRESO,MATCH(C1737,T_ID,0))),0))</f>
        <v/>
      </c>
      <c r="U1737" s="73" t="str">
        <f aca="false">IF(OR(P1737="",NOT(ISNUMBER(S1737))),"",IF(OR(S1737&gt;EOMONTH(B1737,0),AND(T1737&gt;0,T1737&lt;B1737)),0,IF(AND(S1737&lt;=B1737,OR(T1737=0,T1737&gt;=EOMONTH(B1737,0))),30,MIN(30,IF(T1737=0,EOMONTH(B1737,0),MIN(T1737,EOMONTH(B1737,0)))-MAX(B1737,S1737)+1))))</f>
        <v/>
      </c>
    </row>
    <row r="1738" customFormat="false" ht="15" hidden="false" customHeight="false" outlineLevel="0" collapsed="false">
      <c r="B1738" s="78"/>
      <c r="C1738" s="64"/>
      <c r="D1738" s="70" t="str">
        <f aca="false">IF(C1738="","",IFERROR(INDEX(T_NOMBRE,MATCH(C1738,T_ID,0)),"⚠ ID no existe"))</f>
        <v/>
      </c>
      <c r="E1738" s="69"/>
      <c r="F1738" s="69"/>
      <c r="G1738" s="69"/>
      <c r="H1738" s="69"/>
      <c r="I1738" s="66"/>
      <c r="J1738" s="69"/>
      <c r="K1738" s="67"/>
      <c r="L1738" s="67"/>
      <c r="M1738" s="67"/>
      <c r="N1738" s="67"/>
      <c r="O1738" s="64"/>
      <c r="P1738" s="72" t="str">
        <f aca="false">IF(OR(B1738="",C1738=""),"",C1738&amp;"|"&amp;(YEAR(B1738)*100+MONTH(B1738)))</f>
        <v/>
      </c>
      <c r="Q1738" s="70" t="str">
        <f aca="false">IF(P1738="","",IF(COUNTIF(N_CLAVE,P1738)&gt;1,"⚠ Duplicado","OK"))</f>
        <v/>
      </c>
      <c r="R1738" s="74" t="str">
        <f aca="false">IF(OR(P1738="",U1738=""),"",MAX(0,U1738-N(E1738)-N(F1738)-N(H1738)))</f>
        <v/>
      </c>
      <c r="S1738" s="75" t="str">
        <f aca="false">IF(P1738="","",IFERROR(INDEX(T_INGRESO,MATCH(C1738,T_ID,0)),""))</f>
        <v/>
      </c>
      <c r="T1738" s="75" t="str">
        <f aca="false">IF(P1738="","",IFERROR(N(INDEX(T_EGRESO,MATCH(C1738,T_ID,0))),0))</f>
        <v/>
      </c>
      <c r="U1738" s="73" t="str">
        <f aca="false">IF(OR(P1738="",NOT(ISNUMBER(S1738))),"",IF(OR(S1738&gt;EOMONTH(B1738,0),AND(T1738&gt;0,T1738&lt;B1738)),0,IF(AND(S1738&lt;=B1738,OR(T1738=0,T1738&gt;=EOMONTH(B1738,0))),30,MIN(30,IF(T1738=0,EOMONTH(B1738,0),MIN(T1738,EOMONTH(B1738,0)))-MAX(B1738,S1738)+1))))</f>
        <v/>
      </c>
    </row>
    <row r="1739" customFormat="false" ht="15" hidden="false" customHeight="false" outlineLevel="0" collapsed="false">
      <c r="B1739" s="78"/>
      <c r="C1739" s="64"/>
      <c r="D1739" s="70" t="str">
        <f aca="false">IF(C1739="","",IFERROR(INDEX(T_NOMBRE,MATCH(C1739,T_ID,0)),"⚠ ID no existe"))</f>
        <v/>
      </c>
      <c r="E1739" s="69"/>
      <c r="F1739" s="69"/>
      <c r="G1739" s="69"/>
      <c r="H1739" s="69"/>
      <c r="I1739" s="66"/>
      <c r="J1739" s="69"/>
      <c r="K1739" s="67"/>
      <c r="L1739" s="67"/>
      <c r="M1739" s="67"/>
      <c r="N1739" s="67"/>
      <c r="O1739" s="64"/>
      <c r="P1739" s="72" t="str">
        <f aca="false">IF(OR(B1739="",C1739=""),"",C1739&amp;"|"&amp;(YEAR(B1739)*100+MONTH(B1739)))</f>
        <v/>
      </c>
      <c r="Q1739" s="70" t="str">
        <f aca="false">IF(P1739="","",IF(COUNTIF(N_CLAVE,P1739)&gt;1,"⚠ Duplicado","OK"))</f>
        <v/>
      </c>
      <c r="R1739" s="74" t="str">
        <f aca="false">IF(OR(P1739="",U1739=""),"",MAX(0,U1739-N(E1739)-N(F1739)-N(H1739)))</f>
        <v/>
      </c>
      <c r="S1739" s="75" t="str">
        <f aca="false">IF(P1739="","",IFERROR(INDEX(T_INGRESO,MATCH(C1739,T_ID,0)),""))</f>
        <v/>
      </c>
      <c r="T1739" s="75" t="str">
        <f aca="false">IF(P1739="","",IFERROR(N(INDEX(T_EGRESO,MATCH(C1739,T_ID,0))),0))</f>
        <v/>
      </c>
      <c r="U1739" s="73" t="str">
        <f aca="false">IF(OR(P1739="",NOT(ISNUMBER(S1739))),"",IF(OR(S1739&gt;EOMONTH(B1739,0),AND(T1739&gt;0,T1739&lt;B1739)),0,IF(AND(S1739&lt;=B1739,OR(T1739=0,T1739&gt;=EOMONTH(B1739,0))),30,MIN(30,IF(T1739=0,EOMONTH(B1739,0),MIN(T1739,EOMONTH(B1739,0)))-MAX(B1739,S1739)+1))))</f>
        <v/>
      </c>
    </row>
    <row r="1740" customFormat="false" ht="15" hidden="false" customHeight="false" outlineLevel="0" collapsed="false">
      <c r="B1740" s="78"/>
      <c r="C1740" s="64"/>
      <c r="D1740" s="70" t="str">
        <f aca="false">IF(C1740="","",IFERROR(INDEX(T_NOMBRE,MATCH(C1740,T_ID,0)),"⚠ ID no existe"))</f>
        <v/>
      </c>
      <c r="E1740" s="69"/>
      <c r="F1740" s="69"/>
      <c r="G1740" s="69"/>
      <c r="H1740" s="69"/>
      <c r="I1740" s="66"/>
      <c r="J1740" s="69"/>
      <c r="K1740" s="67"/>
      <c r="L1740" s="67"/>
      <c r="M1740" s="67"/>
      <c r="N1740" s="67"/>
      <c r="O1740" s="64"/>
      <c r="P1740" s="72" t="str">
        <f aca="false">IF(OR(B1740="",C1740=""),"",C1740&amp;"|"&amp;(YEAR(B1740)*100+MONTH(B1740)))</f>
        <v/>
      </c>
      <c r="Q1740" s="70" t="str">
        <f aca="false">IF(P1740="","",IF(COUNTIF(N_CLAVE,P1740)&gt;1,"⚠ Duplicado","OK"))</f>
        <v/>
      </c>
      <c r="R1740" s="74" t="str">
        <f aca="false">IF(OR(P1740="",U1740=""),"",MAX(0,U1740-N(E1740)-N(F1740)-N(H1740)))</f>
        <v/>
      </c>
      <c r="S1740" s="75" t="str">
        <f aca="false">IF(P1740="","",IFERROR(INDEX(T_INGRESO,MATCH(C1740,T_ID,0)),""))</f>
        <v/>
      </c>
      <c r="T1740" s="75" t="str">
        <f aca="false">IF(P1740="","",IFERROR(N(INDEX(T_EGRESO,MATCH(C1740,T_ID,0))),0))</f>
        <v/>
      </c>
      <c r="U1740" s="73" t="str">
        <f aca="false">IF(OR(P1740="",NOT(ISNUMBER(S1740))),"",IF(OR(S1740&gt;EOMONTH(B1740,0),AND(T1740&gt;0,T1740&lt;B1740)),0,IF(AND(S1740&lt;=B1740,OR(T1740=0,T1740&gt;=EOMONTH(B1740,0))),30,MIN(30,IF(T1740=0,EOMONTH(B1740,0),MIN(T1740,EOMONTH(B1740,0)))-MAX(B1740,S1740)+1))))</f>
        <v/>
      </c>
    </row>
    <row r="1741" customFormat="false" ht="15" hidden="false" customHeight="false" outlineLevel="0" collapsed="false">
      <c r="B1741" s="78"/>
      <c r="C1741" s="64"/>
      <c r="D1741" s="70" t="str">
        <f aca="false">IF(C1741="","",IFERROR(INDEX(T_NOMBRE,MATCH(C1741,T_ID,0)),"⚠ ID no existe"))</f>
        <v/>
      </c>
      <c r="E1741" s="69"/>
      <c r="F1741" s="69"/>
      <c r="G1741" s="69"/>
      <c r="H1741" s="69"/>
      <c r="I1741" s="66"/>
      <c r="J1741" s="69"/>
      <c r="K1741" s="67"/>
      <c r="L1741" s="67"/>
      <c r="M1741" s="67"/>
      <c r="N1741" s="67"/>
      <c r="O1741" s="64"/>
      <c r="P1741" s="72" t="str">
        <f aca="false">IF(OR(B1741="",C1741=""),"",C1741&amp;"|"&amp;(YEAR(B1741)*100+MONTH(B1741)))</f>
        <v/>
      </c>
      <c r="Q1741" s="70" t="str">
        <f aca="false">IF(P1741="","",IF(COUNTIF(N_CLAVE,P1741)&gt;1,"⚠ Duplicado","OK"))</f>
        <v/>
      </c>
      <c r="R1741" s="74" t="str">
        <f aca="false">IF(OR(P1741="",U1741=""),"",MAX(0,U1741-N(E1741)-N(F1741)-N(H1741)))</f>
        <v/>
      </c>
      <c r="S1741" s="75" t="str">
        <f aca="false">IF(P1741="","",IFERROR(INDEX(T_INGRESO,MATCH(C1741,T_ID,0)),""))</f>
        <v/>
      </c>
      <c r="T1741" s="75" t="str">
        <f aca="false">IF(P1741="","",IFERROR(N(INDEX(T_EGRESO,MATCH(C1741,T_ID,0))),0))</f>
        <v/>
      </c>
      <c r="U1741" s="73" t="str">
        <f aca="false">IF(OR(P1741="",NOT(ISNUMBER(S1741))),"",IF(OR(S1741&gt;EOMONTH(B1741,0),AND(T1741&gt;0,T1741&lt;B1741)),0,IF(AND(S1741&lt;=B1741,OR(T1741=0,T1741&gt;=EOMONTH(B1741,0))),30,MIN(30,IF(T1741=0,EOMONTH(B1741,0),MIN(T1741,EOMONTH(B1741,0)))-MAX(B1741,S1741)+1))))</f>
        <v/>
      </c>
    </row>
    <row r="1742" customFormat="false" ht="15" hidden="false" customHeight="false" outlineLevel="0" collapsed="false">
      <c r="B1742" s="78"/>
      <c r="C1742" s="64"/>
      <c r="D1742" s="70" t="str">
        <f aca="false">IF(C1742="","",IFERROR(INDEX(T_NOMBRE,MATCH(C1742,T_ID,0)),"⚠ ID no existe"))</f>
        <v/>
      </c>
      <c r="E1742" s="69"/>
      <c r="F1742" s="69"/>
      <c r="G1742" s="69"/>
      <c r="H1742" s="69"/>
      <c r="I1742" s="66"/>
      <c r="J1742" s="69"/>
      <c r="K1742" s="67"/>
      <c r="L1742" s="67"/>
      <c r="M1742" s="67"/>
      <c r="N1742" s="67"/>
      <c r="O1742" s="64"/>
      <c r="P1742" s="72" t="str">
        <f aca="false">IF(OR(B1742="",C1742=""),"",C1742&amp;"|"&amp;(YEAR(B1742)*100+MONTH(B1742)))</f>
        <v/>
      </c>
      <c r="Q1742" s="70" t="str">
        <f aca="false">IF(P1742="","",IF(COUNTIF(N_CLAVE,P1742)&gt;1,"⚠ Duplicado","OK"))</f>
        <v/>
      </c>
      <c r="R1742" s="74" t="str">
        <f aca="false">IF(OR(P1742="",U1742=""),"",MAX(0,U1742-N(E1742)-N(F1742)-N(H1742)))</f>
        <v/>
      </c>
      <c r="S1742" s="75" t="str">
        <f aca="false">IF(P1742="","",IFERROR(INDEX(T_INGRESO,MATCH(C1742,T_ID,0)),""))</f>
        <v/>
      </c>
      <c r="T1742" s="75" t="str">
        <f aca="false">IF(P1742="","",IFERROR(N(INDEX(T_EGRESO,MATCH(C1742,T_ID,0))),0))</f>
        <v/>
      </c>
      <c r="U1742" s="73" t="str">
        <f aca="false">IF(OR(P1742="",NOT(ISNUMBER(S1742))),"",IF(OR(S1742&gt;EOMONTH(B1742,0),AND(T1742&gt;0,T1742&lt;B1742)),0,IF(AND(S1742&lt;=B1742,OR(T1742=0,T1742&gt;=EOMONTH(B1742,0))),30,MIN(30,IF(T1742=0,EOMONTH(B1742,0),MIN(T1742,EOMONTH(B1742,0)))-MAX(B1742,S1742)+1))))</f>
        <v/>
      </c>
    </row>
    <row r="1743" customFormat="false" ht="15" hidden="false" customHeight="false" outlineLevel="0" collapsed="false">
      <c r="B1743" s="78"/>
      <c r="C1743" s="64"/>
      <c r="D1743" s="70" t="str">
        <f aca="false">IF(C1743="","",IFERROR(INDEX(T_NOMBRE,MATCH(C1743,T_ID,0)),"⚠ ID no existe"))</f>
        <v/>
      </c>
      <c r="E1743" s="69"/>
      <c r="F1743" s="69"/>
      <c r="G1743" s="69"/>
      <c r="H1743" s="69"/>
      <c r="I1743" s="66"/>
      <c r="J1743" s="69"/>
      <c r="K1743" s="67"/>
      <c r="L1743" s="67"/>
      <c r="M1743" s="67"/>
      <c r="N1743" s="67"/>
      <c r="O1743" s="64"/>
      <c r="P1743" s="72" t="str">
        <f aca="false">IF(OR(B1743="",C1743=""),"",C1743&amp;"|"&amp;(YEAR(B1743)*100+MONTH(B1743)))</f>
        <v/>
      </c>
      <c r="Q1743" s="70" t="str">
        <f aca="false">IF(P1743="","",IF(COUNTIF(N_CLAVE,P1743)&gt;1,"⚠ Duplicado","OK"))</f>
        <v/>
      </c>
      <c r="R1743" s="74" t="str">
        <f aca="false">IF(OR(P1743="",U1743=""),"",MAX(0,U1743-N(E1743)-N(F1743)-N(H1743)))</f>
        <v/>
      </c>
      <c r="S1743" s="75" t="str">
        <f aca="false">IF(P1743="","",IFERROR(INDEX(T_INGRESO,MATCH(C1743,T_ID,0)),""))</f>
        <v/>
      </c>
      <c r="T1743" s="75" t="str">
        <f aca="false">IF(P1743="","",IFERROR(N(INDEX(T_EGRESO,MATCH(C1743,T_ID,0))),0))</f>
        <v/>
      </c>
      <c r="U1743" s="73" t="str">
        <f aca="false">IF(OR(P1743="",NOT(ISNUMBER(S1743))),"",IF(OR(S1743&gt;EOMONTH(B1743,0),AND(T1743&gt;0,T1743&lt;B1743)),0,IF(AND(S1743&lt;=B1743,OR(T1743=0,T1743&gt;=EOMONTH(B1743,0))),30,MIN(30,IF(T1743=0,EOMONTH(B1743,0),MIN(T1743,EOMONTH(B1743,0)))-MAX(B1743,S1743)+1))))</f>
        <v/>
      </c>
    </row>
    <row r="1744" customFormat="false" ht="15" hidden="false" customHeight="false" outlineLevel="0" collapsed="false">
      <c r="B1744" s="78"/>
      <c r="C1744" s="64"/>
      <c r="D1744" s="70" t="str">
        <f aca="false">IF(C1744="","",IFERROR(INDEX(T_NOMBRE,MATCH(C1744,T_ID,0)),"⚠ ID no existe"))</f>
        <v/>
      </c>
      <c r="E1744" s="69"/>
      <c r="F1744" s="69"/>
      <c r="G1744" s="69"/>
      <c r="H1744" s="69"/>
      <c r="I1744" s="66"/>
      <c r="J1744" s="69"/>
      <c r="K1744" s="67"/>
      <c r="L1744" s="67"/>
      <c r="M1744" s="67"/>
      <c r="N1744" s="67"/>
      <c r="O1744" s="64"/>
      <c r="P1744" s="72" t="str">
        <f aca="false">IF(OR(B1744="",C1744=""),"",C1744&amp;"|"&amp;(YEAR(B1744)*100+MONTH(B1744)))</f>
        <v/>
      </c>
      <c r="Q1744" s="70" t="str">
        <f aca="false">IF(P1744="","",IF(COUNTIF(N_CLAVE,P1744)&gt;1,"⚠ Duplicado","OK"))</f>
        <v/>
      </c>
      <c r="R1744" s="74" t="str">
        <f aca="false">IF(OR(P1744="",U1744=""),"",MAX(0,U1744-N(E1744)-N(F1744)-N(H1744)))</f>
        <v/>
      </c>
      <c r="S1744" s="75" t="str">
        <f aca="false">IF(P1744="","",IFERROR(INDEX(T_INGRESO,MATCH(C1744,T_ID,0)),""))</f>
        <v/>
      </c>
      <c r="T1744" s="75" t="str">
        <f aca="false">IF(P1744="","",IFERROR(N(INDEX(T_EGRESO,MATCH(C1744,T_ID,0))),0))</f>
        <v/>
      </c>
      <c r="U1744" s="73" t="str">
        <f aca="false">IF(OR(P1744="",NOT(ISNUMBER(S1744))),"",IF(OR(S1744&gt;EOMONTH(B1744,0),AND(T1744&gt;0,T1744&lt;B1744)),0,IF(AND(S1744&lt;=B1744,OR(T1744=0,T1744&gt;=EOMONTH(B1744,0))),30,MIN(30,IF(T1744=0,EOMONTH(B1744,0),MIN(T1744,EOMONTH(B1744,0)))-MAX(B1744,S1744)+1))))</f>
        <v/>
      </c>
    </row>
    <row r="1745" customFormat="false" ht="15" hidden="false" customHeight="false" outlineLevel="0" collapsed="false">
      <c r="B1745" s="78"/>
      <c r="C1745" s="64"/>
      <c r="D1745" s="70" t="str">
        <f aca="false">IF(C1745="","",IFERROR(INDEX(T_NOMBRE,MATCH(C1745,T_ID,0)),"⚠ ID no existe"))</f>
        <v/>
      </c>
      <c r="E1745" s="69"/>
      <c r="F1745" s="69"/>
      <c r="G1745" s="69"/>
      <c r="H1745" s="69"/>
      <c r="I1745" s="66"/>
      <c r="J1745" s="69"/>
      <c r="K1745" s="67"/>
      <c r="L1745" s="67"/>
      <c r="M1745" s="67"/>
      <c r="N1745" s="67"/>
      <c r="O1745" s="64"/>
      <c r="P1745" s="72" t="str">
        <f aca="false">IF(OR(B1745="",C1745=""),"",C1745&amp;"|"&amp;(YEAR(B1745)*100+MONTH(B1745)))</f>
        <v/>
      </c>
      <c r="Q1745" s="70" t="str">
        <f aca="false">IF(P1745="","",IF(COUNTIF(N_CLAVE,P1745)&gt;1,"⚠ Duplicado","OK"))</f>
        <v/>
      </c>
      <c r="R1745" s="74" t="str">
        <f aca="false">IF(OR(P1745="",U1745=""),"",MAX(0,U1745-N(E1745)-N(F1745)-N(H1745)))</f>
        <v/>
      </c>
      <c r="S1745" s="75" t="str">
        <f aca="false">IF(P1745="","",IFERROR(INDEX(T_INGRESO,MATCH(C1745,T_ID,0)),""))</f>
        <v/>
      </c>
      <c r="T1745" s="75" t="str">
        <f aca="false">IF(P1745="","",IFERROR(N(INDEX(T_EGRESO,MATCH(C1745,T_ID,0))),0))</f>
        <v/>
      </c>
      <c r="U1745" s="73" t="str">
        <f aca="false">IF(OR(P1745="",NOT(ISNUMBER(S1745))),"",IF(OR(S1745&gt;EOMONTH(B1745,0),AND(T1745&gt;0,T1745&lt;B1745)),0,IF(AND(S1745&lt;=B1745,OR(T1745=0,T1745&gt;=EOMONTH(B1745,0))),30,MIN(30,IF(T1745=0,EOMONTH(B1745,0),MIN(T1745,EOMONTH(B1745,0)))-MAX(B1745,S1745)+1))))</f>
        <v/>
      </c>
    </row>
    <row r="1746" customFormat="false" ht="15" hidden="false" customHeight="false" outlineLevel="0" collapsed="false">
      <c r="B1746" s="78"/>
      <c r="C1746" s="64"/>
      <c r="D1746" s="70" t="str">
        <f aca="false">IF(C1746="","",IFERROR(INDEX(T_NOMBRE,MATCH(C1746,T_ID,0)),"⚠ ID no existe"))</f>
        <v/>
      </c>
      <c r="E1746" s="69"/>
      <c r="F1746" s="69"/>
      <c r="G1746" s="69"/>
      <c r="H1746" s="69"/>
      <c r="I1746" s="66"/>
      <c r="J1746" s="69"/>
      <c r="K1746" s="67"/>
      <c r="L1746" s="67"/>
      <c r="M1746" s="67"/>
      <c r="N1746" s="67"/>
      <c r="O1746" s="64"/>
      <c r="P1746" s="72" t="str">
        <f aca="false">IF(OR(B1746="",C1746=""),"",C1746&amp;"|"&amp;(YEAR(B1746)*100+MONTH(B1746)))</f>
        <v/>
      </c>
      <c r="Q1746" s="70" t="str">
        <f aca="false">IF(P1746="","",IF(COUNTIF(N_CLAVE,P1746)&gt;1,"⚠ Duplicado","OK"))</f>
        <v/>
      </c>
      <c r="R1746" s="74" t="str">
        <f aca="false">IF(OR(P1746="",U1746=""),"",MAX(0,U1746-N(E1746)-N(F1746)-N(H1746)))</f>
        <v/>
      </c>
      <c r="S1746" s="75" t="str">
        <f aca="false">IF(P1746="","",IFERROR(INDEX(T_INGRESO,MATCH(C1746,T_ID,0)),""))</f>
        <v/>
      </c>
      <c r="T1746" s="75" t="str">
        <f aca="false">IF(P1746="","",IFERROR(N(INDEX(T_EGRESO,MATCH(C1746,T_ID,0))),0))</f>
        <v/>
      </c>
      <c r="U1746" s="73" t="str">
        <f aca="false">IF(OR(P1746="",NOT(ISNUMBER(S1746))),"",IF(OR(S1746&gt;EOMONTH(B1746,0),AND(T1746&gt;0,T1746&lt;B1746)),0,IF(AND(S1746&lt;=B1746,OR(T1746=0,T1746&gt;=EOMONTH(B1746,0))),30,MIN(30,IF(T1746=0,EOMONTH(B1746,0),MIN(T1746,EOMONTH(B1746,0)))-MAX(B1746,S1746)+1))))</f>
        <v/>
      </c>
    </row>
    <row r="1747" customFormat="false" ht="15" hidden="false" customHeight="false" outlineLevel="0" collapsed="false">
      <c r="B1747" s="78"/>
      <c r="C1747" s="64"/>
      <c r="D1747" s="70" t="str">
        <f aca="false">IF(C1747="","",IFERROR(INDEX(T_NOMBRE,MATCH(C1747,T_ID,0)),"⚠ ID no existe"))</f>
        <v/>
      </c>
      <c r="E1747" s="69"/>
      <c r="F1747" s="69"/>
      <c r="G1747" s="69"/>
      <c r="H1747" s="69"/>
      <c r="I1747" s="66"/>
      <c r="J1747" s="69"/>
      <c r="K1747" s="67"/>
      <c r="L1747" s="67"/>
      <c r="M1747" s="67"/>
      <c r="N1747" s="67"/>
      <c r="O1747" s="64"/>
      <c r="P1747" s="72" t="str">
        <f aca="false">IF(OR(B1747="",C1747=""),"",C1747&amp;"|"&amp;(YEAR(B1747)*100+MONTH(B1747)))</f>
        <v/>
      </c>
      <c r="Q1747" s="70" t="str">
        <f aca="false">IF(P1747="","",IF(COUNTIF(N_CLAVE,P1747)&gt;1,"⚠ Duplicado","OK"))</f>
        <v/>
      </c>
      <c r="R1747" s="74" t="str">
        <f aca="false">IF(OR(P1747="",U1747=""),"",MAX(0,U1747-N(E1747)-N(F1747)-N(H1747)))</f>
        <v/>
      </c>
      <c r="S1747" s="75" t="str">
        <f aca="false">IF(P1747="","",IFERROR(INDEX(T_INGRESO,MATCH(C1747,T_ID,0)),""))</f>
        <v/>
      </c>
      <c r="T1747" s="75" t="str">
        <f aca="false">IF(P1747="","",IFERROR(N(INDEX(T_EGRESO,MATCH(C1747,T_ID,0))),0))</f>
        <v/>
      </c>
      <c r="U1747" s="73" t="str">
        <f aca="false">IF(OR(P1747="",NOT(ISNUMBER(S1747))),"",IF(OR(S1747&gt;EOMONTH(B1747,0),AND(T1747&gt;0,T1747&lt;B1747)),0,IF(AND(S1747&lt;=B1747,OR(T1747=0,T1747&gt;=EOMONTH(B1747,0))),30,MIN(30,IF(T1747=0,EOMONTH(B1747,0),MIN(T1747,EOMONTH(B1747,0)))-MAX(B1747,S1747)+1))))</f>
        <v/>
      </c>
    </row>
    <row r="1748" customFormat="false" ht="15" hidden="false" customHeight="false" outlineLevel="0" collapsed="false">
      <c r="B1748" s="78"/>
      <c r="C1748" s="64"/>
      <c r="D1748" s="70" t="str">
        <f aca="false">IF(C1748="","",IFERROR(INDEX(T_NOMBRE,MATCH(C1748,T_ID,0)),"⚠ ID no existe"))</f>
        <v/>
      </c>
      <c r="E1748" s="69"/>
      <c r="F1748" s="69"/>
      <c r="G1748" s="69"/>
      <c r="H1748" s="69"/>
      <c r="I1748" s="66"/>
      <c r="J1748" s="69"/>
      <c r="K1748" s="67"/>
      <c r="L1748" s="67"/>
      <c r="M1748" s="67"/>
      <c r="N1748" s="67"/>
      <c r="O1748" s="64"/>
      <c r="P1748" s="72" t="str">
        <f aca="false">IF(OR(B1748="",C1748=""),"",C1748&amp;"|"&amp;(YEAR(B1748)*100+MONTH(B1748)))</f>
        <v/>
      </c>
      <c r="Q1748" s="70" t="str">
        <f aca="false">IF(P1748="","",IF(COUNTIF(N_CLAVE,P1748)&gt;1,"⚠ Duplicado","OK"))</f>
        <v/>
      </c>
      <c r="R1748" s="74" t="str">
        <f aca="false">IF(OR(P1748="",U1748=""),"",MAX(0,U1748-N(E1748)-N(F1748)-N(H1748)))</f>
        <v/>
      </c>
      <c r="S1748" s="75" t="str">
        <f aca="false">IF(P1748="","",IFERROR(INDEX(T_INGRESO,MATCH(C1748,T_ID,0)),""))</f>
        <v/>
      </c>
      <c r="T1748" s="75" t="str">
        <f aca="false">IF(P1748="","",IFERROR(N(INDEX(T_EGRESO,MATCH(C1748,T_ID,0))),0))</f>
        <v/>
      </c>
      <c r="U1748" s="73" t="str">
        <f aca="false">IF(OR(P1748="",NOT(ISNUMBER(S1748))),"",IF(OR(S1748&gt;EOMONTH(B1748,0),AND(T1748&gt;0,T1748&lt;B1748)),0,IF(AND(S1748&lt;=B1748,OR(T1748=0,T1748&gt;=EOMONTH(B1748,0))),30,MIN(30,IF(T1748=0,EOMONTH(B1748,0),MIN(T1748,EOMONTH(B1748,0)))-MAX(B1748,S1748)+1))))</f>
        <v/>
      </c>
    </row>
    <row r="1749" customFormat="false" ht="15" hidden="false" customHeight="false" outlineLevel="0" collapsed="false">
      <c r="B1749" s="78"/>
      <c r="C1749" s="64"/>
      <c r="D1749" s="70" t="str">
        <f aca="false">IF(C1749="","",IFERROR(INDEX(T_NOMBRE,MATCH(C1749,T_ID,0)),"⚠ ID no existe"))</f>
        <v/>
      </c>
      <c r="E1749" s="69"/>
      <c r="F1749" s="69"/>
      <c r="G1749" s="69"/>
      <c r="H1749" s="69"/>
      <c r="I1749" s="66"/>
      <c r="J1749" s="69"/>
      <c r="K1749" s="67"/>
      <c r="L1749" s="67"/>
      <c r="M1749" s="67"/>
      <c r="N1749" s="67"/>
      <c r="O1749" s="64"/>
      <c r="P1749" s="72" t="str">
        <f aca="false">IF(OR(B1749="",C1749=""),"",C1749&amp;"|"&amp;(YEAR(B1749)*100+MONTH(B1749)))</f>
        <v/>
      </c>
      <c r="Q1749" s="70" t="str">
        <f aca="false">IF(P1749="","",IF(COUNTIF(N_CLAVE,P1749)&gt;1,"⚠ Duplicado","OK"))</f>
        <v/>
      </c>
      <c r="R1749" s="74" t="str">
        <f aca="false">IF(OR(P1749="",U1749=""),"",MAX(0,U1749-N(E1749)-N(F1749)-N(H1749)))</f>
        <v/>
      </c>
      <c r="S1749" s="75" t="str">
        <f aca="false">IF(P1749="","",IFERROR(INDEX(T_INGRESO,MATCH(C1749,T_ID,0)),""))</f>
        <v/>
      </c>
      <c r="T1749" s="75" t="str">
        <f aca="false">IF(P1749="","",IFERROR(N(INDEX(T_EGRESO,MATCH(C1749,T_ID,0))),0))</f>
        <v/>
      </c>
      <c r="U1749" s="73" t="str">
        <f aca="false">IF(OR(P1749="",NOT(ISNUMBER(S1749))),"",IF(OR(S1749&gt;EOMONTH(B1749,0),AND(T1749&gt;0,T1749&lt;B1749)),0,IF(AND(S1749&lt;=B1749,OR(T1749=0,T1749&gt;=EOMONTH(B1749,0))),30,MIN(30,IF(T1749=0,EOMONTH(B1749,0),MIN(T1749,EOMONTH(B1749,0)))-MAX(B1749,S1749)+1))))</f>
        <v/>
      </c>
    </row>
    <row r="1750" customFormat="false" ht="15" hidden="false" customHeight="false" outlineLevel="0" collapsed="false">
      <c r="B1750" s="78"/>
      <c r="C1750" s="64"/>
      <c r="D1750" s="70" t="str">
        <f aca="false">IF(C1750="","",IFERROR(INDEX(T_NOMBRE,MATCH(C1750,T_ID,0)),"⚠ ID no existe"))</f>
        <v/>
      </c>
      <c r="E1750" s="69"/>
      <c r="F1750" s="69"/>
      <c r="G1750" s="69"/>
      <c r="H1750" s="69"/>
      <c r="I1750" s="66"/>
      <c r="J1750" s="69"/>
      <c r="K1750" s="67"/>
      <c r="L1750" s="67"/>
      <c r="M1750" s="67"/>
      <c r="N1750" s="67"/>
      <c r="O1750" s="64"/>
      <c r="P1750" s="72" t="str">
        <f aca="false">IF(OR(B1750="",C1750=""),"",C1750&amp;"|"&amp;(YEAR(B1750)*100+MONTH(B1750)))</f>
        <v/>
      </c>
      <c r="Q1750" s="70" t="str">
        <f aca="false">IF(P1750="","",IF(COUNTIF(N_CLAVE,P1750)&gt;1,"⚠ Duplicado","OK"))</f>
        <v/>
      </c>
      <c r="R1750" s="74" t="str">
        <f aca="false">IF(OR(P1750="",U1750=""),"",MAX(0,U1750-N(E1750)-N(F1750)-N(H1750)))</f>
        <v/>
      </c>
      <c r="S1750" s="75" t="str">
        <f aca="false">IF(P1750="","",IFERROR(INDEX(T_INGRESO,MATCH(C1750,T_ID,0)),""))</f>
        <v/>
      </c>
      <c r="T1750" s="75" t="str">
        <f aca="false">IF(P1750="","",IFERROR(N(INDEX(T_EGRESO,MATCH(C1750,T_ID,0))),0))</f>
        <v/>
      </c>
      <c r="U1750" s="73" t="str">
        <f aca="false">IF(OR(P1750="",NOT(ISNUMBER(S1750))),"",IF(OR(S1750&gt;EOMONTH(B1750,0),AND(T1750&gt;0,T1750&lt;B1750)),0,IF(AND(S1750&lt;=B1750,OR(T1750=0,T1750&gt;=EOMONTH(B1750,0))),30,MIN(30,IF(T1750=0,EOMONTH(B1750,0),MIN(T1750,EOMONTH(B1750,0)))-MAX(B1750,S1750)+1))))</f>
        <v/>
      </c>
    </row>
    <row r="1751" customFormat="false" ht="15" hidden="false" customHeight="false" outlineLevel="0" collapsed="false">
      <c r="B1751" s="78"/>
      <c r="C1751" s="64"/>
      <c r="D1751" s="70" t="str">
        <f aca="false">IF(C1751="","",IFERROR(INDEX(T_NOMBRE,MATCH(C1751,T_ID,0)),"⚠ ID no existe"))</f>
        <v/>
      </c>
      <c r="E1751" s="69"/>
      <c r="F1751" s="69"/>
      <c r="G1751" s="69"/>
      <c r="H1751" s="69"/>
      <c r="I1751" s="66"/>
      <c r="J1751" s="69"/>
      <c r="K1751" s="67"/>
      <c r="L1751" s="67"/>
      <c r="M1751" s="67"/>
      <c r="N1751" s="67"/>
      <c r="O1751" s="64"/>
      <c r="P1751" s="72" t="str">
        <f aca="false">IF(OR(B1751="",C1751=""),"",C1751&amp;"|"&amp;(YEAR(B1751)*100+MONTH(B1751)))</f>
        <v/>
      </c>
      <c r="Q1751" s="70" t="str">
        <f aca="false">IF(P1751="","",IF(COUNTIF(N_CLAVE,P1751)&gt;1,"⚠ Duplicado","OK"))</f>
        <v/>
      </c>
      <c r="R1751" s="74" t="str">
        <f aca="false">IF(OR(P1751="",U1751=""),"",MAX(0,U1751-N(E1751)-N(F1751)-N(H1751)))</f>
        <v/>
      </c>
      <c r="S1751" s="75" t="str">
        <f aca="false">IF(P1751="","",IFERROR(INDEX(T_INGRESO,MATCH(C1751,T_ID,0)),""))</f>
        <v/>
      </c>
      <c r="T1751" s="75" t="str">
        <f aca="false">IF(P1751="","",IFERROR(N(INDEX(T_EGRESO,MATCH(C1751,T_ID,0))),0))</f>
        <v/>
      </c>
      <c r="U1751" s="73" t="str">
        <f aca="false">IF(OR(P1751="",NOT(ISNUMBER(S1751))),"",IF(OR(S1751&gt;EOMONTH(B1751,0),AND(T1751&gt;0,T1751&lt;B1751)),0,IF(AND(S1751&lt;=B1751,OR(T1751=0,T1751&gt;=EOMONTH(B1751,0))),30,MIN(30,IF(T1751=0,EOMONTH(B1751,0),MIN(T1751,EOMONTH(B1751,0)))-MAX(B1751,S1751)+1))))</f>
        <v/>
      </c>
    </row>
    <row r="1752" customFormat="false" ht="15" hidden="false" customHeight="false" outlineLevel="0" collapsed="false">
      <c r="B1752" s="78"/>
      <c r="C1752" s="64"/>
      <c r="D1752" s="70" t="str">
        <f aca="false">IF(C1752="","",IFERROR(INDEX(T_NOMBRE,MATCH(C1752,T_ID,0)),"⚠ ID no existe"))</f>
        <v/>
      </c>
      <c r="E1752" s="69"/>
      <c r="F1752" s="69"/>
      <c r="G1752" s="69"/>
      <c r="H1752" s="69"/>
      <c r="I1752" s="66"/>
      <c r="J1752" s="69"/>
      <c r="K1752" s="67"/>
      <c r="L1752" s="67"/>
      <c r="M1752" s="67"/>
      <c r="N1752" s="67"/>
      <c r="O1752" s="64"/>
      <c r="P1752" s="72" t="str">
        <f aca="false">IF(OR(B1752="",C1752=""),"",C1752&amp;"|"&amp;(YEAR(B1752)*100+MONTH(B1752)))</f>
        <v/>
      </c>
      <c r="Q1752" s="70" t="str">
        <f aca="false">IF(P1752="","",IF(COUNTIF(N_CLAVE,P1752)&gt;1,"⚠ Duplicado","OK"))</f>
        <v/>
      </c>
      <c r="R1752" s="74" t="str">
        <f aca="false">IF(OR(P1752="",U1752=""),"",MAX(0,U1752-N(E1752)-N(F1752)-N(H1752)))</f>
        <v/>
      </c>
      <c r="S1752" s="75" t="str">
        <f aca="false">IF(P1752="","",IFERROR(INDEX(T_INGRESO,MATCH(C1752,T_ID,0)),""))</f>
        <v/>
      </c>
      <c r="T1752" s="75" t="str">
        <f aca="false">IF(P1752="","",IFERROR(N(INDEX(T_EGRESO,MATCH(C1752,T_ID,0))),0))</f>
        <v/>
      </c>
      <c r="U1752" s="73" t="str">
        <f aca="false">IF(OR(P1752="",NOT(ISNUMBER(S1752))),"",IF(OR(S1752&gt;EOMONTH(B1752,0),AND(T1752&gt;0,T1752&lt;B1752)),0,IF(AND(S1752&lt;=B1752,OR(T1752=0,T1752&gt;=EOMONTH(B1752,0))),30,MIN(30,IF(T1752=0,EOMONTH(B1752,0),MIN(T1752,EOMONTH(B1752,0)))-MAX(B1752,S1752)+1))))</f>
        <v/>
      </c>
    </row>
    <row r="1753" customFormat="false" ht="15" hidden="false" customHeight="false" outlineLevel="0" collapsed="false">
      <c r="B1753" s="78"/>
      <c r="C1753" s="64"/>
      <c r="D1753" s="70" t="str">
        <f aca="false">IF(C1753="","",IFERROR(INDEX(T_NOMBRE,MATCH(C1753,T_ID,0)),"⚠ ID no existe"))</f>
        <v/>
      </c>
      <c r="E1753" s="69"/>
      <c r="F1753" s="69"/>
      <c r="G1753" s="69"/>
      <c r="H1753" s="69"/>
      <c r="I1753" s="66"/>
      <c r="J1753" s="69"/>
      <c r="K1753" s="67"/>
      <c r="L1753" s="67"/>
      <c r="M1753" s="67"/>
      <c r="N1753" s="67"/>
      <c r="O1753" s="64"/>
      <c r="P1753" s="72" t="str">
        <f aca="false">IF(OR(B1753="",C1753=""),"",C1753&amp;"|"&amp;(YEAR(B1753)*100+MONTH(B1753)))</f>
        <v/>
      </c>
      <c r="Q1753" s="70" t="str">
        <f aca="false">IF(P1753="","",IF(COUNTIF(N_CLAVE,P1753)&gt;1,"⚠ Duplicado","OK"))</f>
        <v/>
      </c>
      <c r="R1753" s="74" t="str">
        <f aca="false">IF(OR(P1753="",U1753=""),"",MAX(0,U1753-N(E1753)-N(F1753)-N(H1753)))</f>
        <v/>
      </c>
      <c r="S1753" s="75" t="str">
        <f aca="false">IF(P1753="","",IFERROR(INDEX(T_INGRESO,MATCH(C1753,T_ID,0)),""))</f>
        <v/>
      </c>
      <c r="T1753" s="75" t="str">
        <f aca="false">IF(P1753="","",IFERROR(N(INDEX(T_EGRESO,MATCH(C1753,T_ID,0))),0))</f>
        <v/>
      </c>
      <c r="U1753" s="73" t="str">
        <f aca="false">IF(OR(P1753="",NOT(ISNUMBER(S1753))),"",IF(OR(S1753&gt;EOMONTH(B1753,0),AND(T1753&gt;0,T1753&lt;B1753)),0,IF(AND(S1753&lt;=B1753,OR(T1753=0,T1753&gt;=EOMONTH(B1753,0))),30,MIN(30,IF(T1753=0,EOMONTH(B1753,0),MIN(T1753,EOMONTH(B1753,0)))-MAX(B1753,S1753)+1))))</f>
        <v/>
      </c>
    </row>
    <row r="1754" customFormat="false" ht="15" hidden="false" customHeight="false" outlineLevel="0" collapsed="false">
      <c r="B1754" s="78"/>
      <c r="C1754" s="64"/>
      <c r="D1754" s="70" t="str">
        <f aca="false">IF(C1754="","",IFERROR(INDEX(T_NOMBRE,MATCH(C1754,T_ID,0)),"⚠ ID no existe"))</f>
        <v/>
      </c>
      <c r="E1754" s="69"/>
      <c r="F1754" s="69"/>
      <c r="G1754" s="69"/>
      <c r="H1754" s="69"/>
      <c r="I1754" s="66"/>
      <c r="J1754" s="69"/>
      <c r="K1754" s="67"/>
      <c r="L1754" s="67"/>
      <c r="M1754" s="67"/>
      <c r="N1754" s="67"/>
      <c r="O1754" s="64"/>
      <c r="P1754" s="72" t="str">
        <f aca="false">IF(OR(B1754="",C1754=""),"",C1754&amp;"|"&amp;(YEAR(B1754)*100+MONTH(B1754)))</f>
        <v/>
      </c>
      <c r="Q1754" s="70" t="str">
        <f aca="false">IF(P1754="","",IF(COUNTIF(N_CLAVE,P1754)&gt;1,"⚠ Duplicado","OK"))</f>
        <v/>
      </c>
      <c r="R1754" s="74" t="str">
        <f aca="false">IF(OR(P1754="",U1754=""),"",MAX(0,U1754-N(E1754)-N(F1754)-N(H1754)))</f>
        <v/>
      </c>
      <c r="S1754" s="75" t="str">
        <f aca="false">IF(P1754="","",IFERROR(INDEX(T_INGRESO,MATCH(C1754,T_ID,0)),""))</f>
        <v/>
      </c>
      <c r="T1754" s="75" t="str">
        <f aca="false">IF(P1754="","",IFERROR(N(INDEX(T_EGRESO,MATCH(C1754,T_ID,0))),0))</f>
        <v/>
      </c>
      <c r="U1754" s="73" t="str">
        <f aca="false">IF(OR(P1754="",NOT(ISNUMBER(S1754))),"",IF(OR(S1754&gt;EOMONTH(B1754,0),AND(T1754&gt;0,T1754&lt;B1754)),0,IF(AND(S1754&lt;=B1754,OR(T1754=0,T1754&gt;=EOMONTH(B1754,0))),30,MIN(30,IF(T1754=0,EOMONTH(B1754,0),MIN(T1754,EOMONTH(B1754,0)))-MAX(B1754,S1754)+1))))</f>
        <v/>
      </c>
    </row>
    <row r="1755" customFormat="false" ht="15" hidden="false" customHeight="false" outlineLevel="0" collapsed="false">
      <c r="B1755" s="78"/>
      <c r="C1755" s="64"/>
      <c r="D1755" s="70" t="str">
        <f aca="false">IF(C1755="","",IFERROR(INDEX(T_NOMBRE,MATCH(C1755,T_ID,0)),"⚠ ID no existe"))</f>
        <v/>
      </c>
      <c r="E1755" s="69"/>
      <c r="F1755" s="69"/>
      <c r="G1755" s="69"/>
      <c r="H1755" s="69"/>
      <c r="I1755" s="66"/>
      <c r="J1755" s="69"/>
      <c r="K1755" s="67"/>
      <c r="L1755" s="67"/>
      <c r="M1755" s="67"/>
      <c r="N1755" s="67"/>
      <c r="O1755" s="64"/>
      <c r="P1755" s="72" t="str">
        <f aca="false">IF(OR(B1755="",C1755=""),"",C1755&amp;"|"&amp;(YEAR(B1755)*100+MONTH(B1755)))</f>
        <v/>
      </c>
      <c r="Q1755" s="70" t="str">
        <f aca="false">IF(P1755="","",IF(COUNTIF(N_CLAVE,P1755)&gt;1,"⚠ Duplicado","OK"))</f>
        <v/>
      </c>
      <c r="R1755" s="74" t="str">
        <f aca="false">IF(OR(P1755="",U1755=""),"",MAX(0,U1755-N(E1755)-N(F1755)-N(H1755)))</f>
        <v/>
      </c>
      <c r="S1755" s="75" t="str">
        <f aca="false">IF(P1755="","",IFERROR(INDEX(T_INGRESO,MATCH(C1755,T_ID,0)),""))</f>
        <v/>
      </c>
      <c r="T1755" s="75" t="str">
        <f aca="false">IF(P1755="","",IFERROR(N(INDEX(T_EGRESO,MATCH(C1755,T_ID,0))),0))</f>
        <v/>
      </c>
      <c r="U1755" s="73" t="str">
        <f aca="false">IF(OR(P1755="",NOT(ISNUMBER(S1755))),"",IF(OR(S1755&gt;EOMONTH(B1755,0),AND(T1755&gt;0,T1755&lt;B1755)),0,IF(AND(S1755&lt;=B1755,OR(T1755=0,T1755&gt;=EOMONTH(B1755,0))),30,MIN(30,IF(T1755=0,EOMONTH(B1755,0),MIN(T1755,EOMONTH(B1755,0)))-MAX(B1755,S1755)+1))))</f>
        <v/>
      </c>
    </row>
    <row r="1756" customFormat="false" ht="15" hidden="false" customHeight="false" outlineLevel="0" collapsed="false">
      <c r="B1756" s="78"/>
      <c r="C1756" s="64"/>
      <c r="D1756" s="70" t="str">
        <f aca="false">IF(C1756="","",IFERROR(INDEX(T_NOMBRE,MATCH(C1756,T_ID,0)),"⚠ ID no existe"))</f>
        <v/>
      </c>
      <c r="E1756" s="69"/>
      <c r="F1756" s="69"/>
      <c r="G1756" s="69"/>
      <c r="H1756" s="69"/>
      <c r="I1756" s="66"/>
      <c r="J1756" s="69"/>
      <c r="K1756" s="67"/>
      <c r="L1756" s="67"/>
      <c r="M1756" s="67"/>
      <c r="N1756" s="67"/>
      <c r="O1756" s="64"/>
      <c r="P1756" s="72" t="str">
        <f aca="false">IF(OR(B1756="",C1756=""),"",C1756&amp;"|"&amp;(YEAR(B1756)*100+MONTH(B1756)))</f>
        <v/>
      </c>
      <c r="Q1756" s="70" t="str">
        <f aca="false">IF(P1756="","",IF(COUNTIF(N_CLAVE,P1756)&gt;1,"⚠ Duplicado","OK"))</f>
        <v/>
      </c>
      <c r="R1756" s="74" t="str">
        <f aca="false">IF(OR(P1756="",U1756=""),"",MAX(0,U1756-N(E1756)-N(F1756)-N(H1756)))</f>
        <v/>
      </c>
      <c r="S1756" s="75" t="str">
        <f aca="false">IF(P1756="","",IFERROR(INDEX(T_INGRESO,MATCH(C1756,T_ID,0)),""))</f>
        <v/>
      </c>
      <c r="T1756" s="75" t="str">
        <f aca="false">IF(P1756="","",IFERROR(N(INDEX(T_EGRESO,MATCH(C1756,T_ID,0))),0))</f>
        <v/>
      </c>
      <c r="U1756" s="73" t="str">
        <f aca="false">IF(OR(P1756="",NOT(ISNUMBER(S1756))),"",IF(OR(S1756&gt;EOMONTH(B1756,0),AND(T1756&gt;0,T1756&lt;B1756)),0,IF(AND(S1756&lt;=B1756,OR(T1756=0,T1756&gt;=EOMONTH(B1756,0))),30,MIN(30,IF(T1756=0,EOMONTH(B1756,0),MIN(T1756,EOMONTH(B1756,0)))-MAX(B1756,S1756)+1))))</f>
        <v/>
      </c>
    </row>
    <row r="1757" customFormat="false" ht="15" hidden="false" customHeight="false" outlineLevel="0" collapsed="false">
      <c r="B1757" s="78"/>
      <c r="C1757" s="64"/>
      <c r="D1757" s="70" t="str">
        <f aca="false">IF(C1757="","",IFERROR(INDEX(T_NOMBRE,MATCH(C1757,T_ID,0)),"⚠ ID no existe"))</f>
        <v/>
      </c>
      <c r="E1757" s="69"/>
      <c r="F1757" s="69"/>
      <c r="G1757" s="69"/>
      <c r="H1757" s="69"/>
      <c r="I1757" s="66"/>
      <c r="J1757" s="69"/>
      <c r="K1757" s="67"/>
      <c r="L1757" s="67"/>
      <c r="M1757" s="67"/>
      <c r="N1757" s="67"/>
      <c r="O1757" s="64"/>
      <c r="P1757" s="72" t="str">
        <f aca="false">IF(OR(B1757="",C1757=""),"",C1757&amp;"|"&amp;(YEAR(B1757)*100+MONTH(B1757)))</f>
        <v/>
      </c>
      <c r="Q1757" s="70" t="str">
        <f aca="false">IF(P1757="","",IF(COUNTIF(N_CLAVE,P1757)&gt;1,"⚠ Duplicado","OK"))</f>
        <v/>
      </c>
      <c r="R1757" s="74" t="str">
        <f aca="false">IF(OR(P1757="",U1757=""),"",MAX(0,U1757-N(E1757)-N(F1757)-N(H1757)))</f>
        <v/>
      </c>
      <c r="S1757" s="75" t="str">
        <f aca="false">IF(P1757="","",IFERROR(INDEX(T_INGRESO,MATCH(C1757,T_ID,0)),""))</f>
        <v/>
      </c>
      <c r="T1757" s="75" t="str">
        <f aca="false">IF(P1757="","",IFERROR(N(INDEX(T_EGRESO,MATCH(C1757,T_ID,0))),0))</f>
        <v/>
      </c>
      <c r="U1757" s="73" t="str">
        <f aca="false">IF(OR(P1757="",NOT(ISNUMBER(S1757))),"",IF(OR(S1757&gt;EOMONTH(B1757,0),AND(T1757&gt;0,T1757&lt;B1757)),0,IF(AND(S1757&lt;=B1757,OR(T1757=0,T1757&gt;=EOMONTH(B1757,0))),30,MIN(30,IF(T1757=0,EOMONTH(B1757,0),MIN(T1757,EOMONTH(B1757,0)))-MAX(B1757,S1757)+1))))</f>
        <v/>
      </c>
    </row>
    <row r="1758" customFormat="false" ht="15" hidden="false" customHeight="false" outlineLevel="0" collapsed="false">
      <c r="B1758" s="78"/>
      <c r="C1758" s="64"/>
      <c r="D1758" s="70" t="str">
        <f aca="false">IF(C1758="","",IFERROR(INDEX(T_NOMBRE,MATCH(C1758,T_ID,0)),"⚠ ID no existe"))</f>
        <v/>
      </c>
      <c r="E1758" s="69"/>
      <c r="F1758" s="69"/>
      <c r="G1758" s="69"/>
      <c r="H1758" s="69"/>
      <c r="I1758" s="66"/>
      <c r="J1758" s="69"/>
      <c r="K1758" s="67"/>
      <c r="L1758" s="67"/>
      <c r="M1758" s="67"/>
      <c r="N1758" s="67"/>
      <c r="O1758" s="64"/>
      <c r="P1758" s="72" t="str">
        <f aca="false">IF(OR(B1758="",C1758=""),"",C1758&amp;"|"&amp;(YEAR(B1758)*100+MONTH(B1758)))</f>
        <v/>
      </c>
      <c r="Q1758" s="70" t="str">
        <f aca="false">IF(P1758="","",IF(COUNTIF(N_CLAVE,P1758)&gt;1,"⚠ Duplicado","OK"))</f>
        <v/>
      </c>
      <c r="R1758" s="74" t="str">
        <f aca="false">IF(OR(P1758="",U1758=""),"",MAX(0,U1758-N(E1758)-N(F1758)-N(H1758)))</f>
        <v/>
      </c>
      <c r="S1758" s="75" t="str">
        <f aca="false">IF(P1758="","",IFERROR(INDEX(T_INGRESO,MATCH(C1758,T_ID,0)),""))</f>
        <v/>
      </c>
      <c r="T1758" s="75" t="str">
        <f aca="false">IF(P1758="","",IFERROR(N(INDEX(T_EGRESO,MATCH(C1758,T_ID,0))),0))</f>
        <v/>
      </c>
      <c r="U1758" s="73" t="str">
        <f aca="false">IF(OR(P1758="",NOT(ISNUMBER(S1758))),"",IF(OR(S1758&gt;EOMONTH(B1758,0),AND(T1758&gt;0,T1758&lt;B1758)),0,IF(AND(S1758&lt;=B1758,OR(T1758=0,T1758&gt;=EOMONTH(B1758,0))),30,MIN(30,IF(T1758=0,EOMONTH(B1758,0),MIN(T1758,EOMONTH(B1758,0)))-MAX(B1758,S1758)+1))))</f>
        <v/>
      </c>
    </row>
    <row r="1759" customFormat="false" ht="15" hidden="false" customHeight="false" outlineLevel="0" collapsed="false">
      <c r="B1759" s="78"/>
      <c r="C1759" s="64"/>
      <c r="D1759" s="70" t="str">
        <f aca="false">IF(C1759="","",IFERROR(INDEX(T_NOMBRE,MATCH(C1759,T_ID,0)),"⚠ ID no existe"))</f>
        <v/>
      </c>
      <c r="E1759" s="69"/>
      <c r="F1759" s="69"/>
      <c r="G1759" s="69"/>
      <c r="H1759" s="69"/>
      <c r="I1759" s="66"/>
      <c r="J1759" s="69"/>
      <c r="K1759" s="67"/>
      <c r="L1759" s="67"/>
      <c r="M1759" s="67"/>
      <c r="N1759" s="67"/>
      <c r="O1759" s="64"/>
      <c r="P1759" s="72" t="str">
        <f aca="false">IF(OR(B1759="",C1759=""),"",C1759&amp;"|"&amp;(YEAR(B1759)*100+MONTH(B1759)))</f>
        <v/>
      </c>
      <c r="Q1759" s="70" t="str">
        <f aca="false">IF(P1759="","",IF(COUNTIF(N_CLAVE,P1759)&gt;1,"⚠ Duplicado","OK"))</f>
        <v/>
      </c>
      <c r="R1759" s="74" t="str">
        <f aca="false">IF(OR(P1759="",U1759=""),"",MAX(0,U1759-N(E1759)-N(F1759)-N(H1759)))</f>
        <v/>
      </c>
      <c r="S1759" s="75" t="str">
        <f aca="false">IF(P1759="","",IFERROR(INDEX(T_INGRESO,MATCH(C1759,T_ID,0)),""))</f>
        <v/>
      </c>
      <c r="T1759" s="75" t="str">
        <f aca="false">IF(P1759="","",IFERROR(N(INDEX(T_EGRESO,MATCH(C1759,T_ID,0))),0))</f>
        <v/>
      </c>
      <c r="U1759" s="73" t="str">
        <f aca="false">IF(OR(P1759="",NOT(ISNUMBER(S1759))),"",IF(OR(S1759&gt;EOMONTH(B1759,0),AND(T1759&gt;0,T1759&lt;B1759)),0,IF(AND(S1759&lt;=B1759,OR(T1759=0,T1759&gt;=EOMONTH(B1759,0))),30,MIN(30,IF(T1759=0,EOMONTH(B1759,0),MIN(T1759,EOMONTH(B1759,0)))-MAX(B1759,S1759)+1))))</f>
        <v/>
      </c>
    </row>
    <row r="1760" customFormat="false" ht="15" hidden="false" customHeight="false" outlineLevel="0" collapsed="false">
      <c r="B1760" s="78"/>
      <c r="C1760" s="64"/>
      <c r="D1760" s="70" t="str">
        <f aca="false">IF(C1760="","",IFERROR(INDEX(T_NOMBRE,MATCH(C1760,T_ID,0)),"⚠ ID no existe"))</f>
        <v/>
      </c>
      <c r="E1760" s="69"/>
      <c r="F1760" s="69"/>
      <c r="G1760" s="69"/>
      <c r="H1760" s="69"/>
      <c r="I1760" s="66"/>
      <c r="J1760" s="69"/>
      <c r="K1760" s="67"/>
      <c r="L1760" s="67"/>
      <c r="M1760" s="67"/>
      <c r="N1760" s="67"/>
      <c r="O1760" s="64"/>
      <c r="P1760" s="72" t="str">
        <f aca="false">IF(OR(B1760="",C1760=""),"",C1760&amp;"|"&amp;(YEAR(B1760)*100+MONTH(B1760)))</f>
        <v/>
      </c>
      <c r="Q1760" s="70" t="str">
        <f aca="false">IF(P1760="","",IF(COUNTIF(N_CLAVE,P1760)&gt;1,"⚠ Duplicado","OK"))</f>
        <v/>
      </c>
      <c r="R1760" s="74" t="str">
        <f aca="false">IF(OR(P1760="",U1760=""),"",MAX(0,U1760-N(E1760)-N(F1760)-N(H1760)))</f>
        <v/>
      </c>
      <c r="S1760" s="75" t="str">
        <f aca="false">IF(P1760="","",IFERROR(INDEX(T_INGRESO,MATCH(C1760,T_ID,0)),""))</f>
        <v/>
      </c>
      <c r="T1760" s="75" t="str">
        <f aca="false">IF(P1760="","",IFERROR(N(INDEX(T_EGRESO,MATCH(C1760,T_ID,0))),0))</f>
        <v/>
      </c>
      <c r="U1760" s="73" t="str">
        <f aca="false">IF(OR(P1760="",NOT(ISNUMBER(S1760))),"",IF(OR(S1760&gt;EOMONTH(B1760,0),AND(T1760&gt;0,T1760&lt;B1760)),0,IF(AND(S1760&lt;=B1760,OR(T1760=0,T1760&gt;=EOMONTH(B1760,0))),30,MIN(30,IF(T1760=0,EOMONTH(B1760,0),MIN(T1760,EOMONTH(B1760,0)))-MAX(B1760,S1760)+1))))</f>
        <v/>
      </c>
    </row>
    <row r="1761" customFormat="false" ht="15" hidden="false" customHeight="false" outlineLevel="0" collapsed="false">
      <c r="B1761" s="78"/>
      <c r="C1761" s="64"/>
      <c r="D1761" s="70" t="str">
        <f aca="false">IF(C1761="","",IFERROR(INDEX(T_NOMBRE,MATCH(C1761,T_ID,0)),"⚠ ID no existe"))</f>
        <v/>
      </c>
      <c r="E1761" s="69"/>
      <c r="F1761" s="69"/>
      <c r="G1761" s="69"/>
      <c r="H1761" s="69"/>
      <c r="I1761" s="66"/>
      <c r="J1761" s="69"/>
      <c r="K1761" s="67"/>
      <c r="L1761" s="67"/>
      <c r="M1761" s="67"/>
      <c r="N1761" s="67"/>
      <c r="O1761" s="64"/>
      <c r="P1761" s="72" t="str">
        <f aca="false">IF(OR(B1761="",C1761=""),"",C1761&amp;"|"&amp;(YEAR(B1761)*100+MONTH(B1761)))</f>
        <v/>
      </c>
      <c r="Q1761" s="70" t="str">
        <f aca="false">IF(P1761="","",IF(COUNTIF(N_CLAVE,P1761)&gt;1,"⚠ Duplicado","OK"))</f>
        <v/>
      </c>
      <c r="R1761" s="74" t="str">
        <f aca="false">IF(OR(P1761="",U1761=""),"",MAX(0,U1761-N(E1761)-N(F1761)-N(H1761)))</f>
        <v/>
      </c>
      <c r="S1761" s="75" t="str">
        <f aca="false">IF(P1761="","",IFERROR(INDEX(T_INGRESO,MATCH(C1761,T_ID,0)),""))</f>
        <v/>
      </c>
      <c r="T1761" s="75" t="str">
        <f aca="false">IF(P1761="","",IFERROR(N(INDEX(T_EGRESO,MATCH(C1761,T_ID,0))),0))</f>
        <v/>
      </c>
      <c r="U1761" s="73" t="str">
        <f aca="false">IF(OR(P1761="",NOT(ISNUMBER(S1761))),"",IF(OR(S1761&gt;EOMONTH(B1761,0),AND(T1761&gt;0,T1761&lt;B1761)),0,IF(AND(S1761&lt;=B1761,OR(T1761=0,T1761&gt;=EOMONTH(B1761,0))),30,MIN(30,IF(T1761=0,EOMONTH(B1761,0),MIN(T1761,EOMONTH(B1761,0)))-MAX(B1761,S1761)+1))))</f>
        <v/>
      </c>
    </row>
    <row r="1762" customFormat="false" ht="15" hidden="false" customHeight="false" outlineLevel="0" collapsed="false">
      <c r="B1762" s="78"/>
      <c r="C1762" s="64"/>
      <c r="D1762" s="70" t="str">
        <f aca="false">IF(C1762="","",IFERROR(INDEX(T_NOMBRE,MATCH(C1762,T_ID,0)),"⚠ ID no existe"))</f>
        <v/>
      </c>
      <c r="E1762" s="69"/>
      <c r="F1762" s="69"/>
      <c r="G1762" s="69"/>
      <c r="H1762" s="69"/>
      <c r="I1762" s="66"/>
      <c r="J1762" s="69"/>
      <c r="K1762" s="67"/>
      <c r="L1762" s="67"/>
      <c r="M1762" s="67"/>
      <c r="N1762" s="67"/>
      <c r="O1762" s="64"/>
      <c r="P1762" s="72" t="str">
        <f aca="false">IF(OR(B1762="",C1762=""),"",C1762&amp;"|"&amp;(YEAR(B1762)*100+MONTH(B1762)))</f>
        <v/>
      </c>
      <c r="Q1762" s="70" t="str">
        <f aca="false">IF(P1762="","",IF(COUNTIF(N_CLAVE,P1762)&gt;1,"⚠ Duplicado","OK"))</f>
        <v/>
      </c>
      <c r="R1762" s="74" t="str">
        <f aca="false">IF(OR(P1762="",U1762=""),"",MAX(0,U1762-N(E1762)-N(F1762)-N(H1762)))</f>
        <v/>
      </c>
      <c r="S1762" s="75" t="str">
        <f aca="false">IF(P1762="","",IFERROR(INDEX(T_INGRESO,MATCH(C1762,T_ID,0)),""))</f>
        <v/>
      </c>
      <c r="T1762" s="75" t="str">
        <f aca="false">IF(P1762="","",IFERROR(N(INDEX(T_EGRESO,MATCH(C1762,T_ID,0))),0))</f>
        <v/>
      </c>
      <c r="U1762" s="73" t="str">
        <f aca="false">IF(OR(P1762="",NOT(ISNUMBER(S1762))),"",IF(OR(S1762&gt;EOMONTH(B1762,0),AND(T1762&gt;0,T1762&lt;B1762)),0,IF(AND(S1762&lt;=B1762,OR(T1762=0,T1762&gt;=EOMONTH(B1762,0))),30,MIN(30,IF(T1762=0,EOMONTH(B1762,0),MIN(T1762,EOMONTH(B1762,0)))-MAX(B1762,S1762)+1))))</f>
        <v/>
      </c>
    </row>
    <row r="1763" customFormat="false" ht="15" hidden="false" customHeight="false" outlineLevel="0" collapsed="false">
      <c r="B1763" s="78"/>
      <c r="C1763" s="64"/>
      <c r="D1763" s="70" t="str">
        <f aca="false">IF(C1763="","",IFERROR(INDEX(T_NOMBRE,MATCH(C1763,T_ID,0)),"⚠ ID no existe"))</f>
        <v/>
      </c>
      <c r="E1763" s="69"/>
      <c r="F1763" s="69"/>
      <c r="G1763" s="69"/>
      <c r="H1763" s="69"/>
      <c r="I1763" s="66"/>
      <c r="J1763" s="69"/>
      <c r="K1763" s="67"/>
      <c r="L1763" s="67"/>
      <c r="M1763" s="67"/>
      <c r="N1763" s="67"/>
      <c r="O1763" s="64"/>
      <c r="P1763" s="72" t="str">
        <f aca="false">IF(OR(B1763="",C1763=""),"",C1763&amp;"|"&amp;(YEAR(B1763)*100+MONTH(B1763)))</f>
        <v/>
      </c>
      <c r="Q1763" s="70" t="str">
        <f aca="false">IF(P1763="","",IF(COUNTIF(N_CLAVE,P1763)&gt;1,"⚠ Duplicado","OK"))</f>
        <v/>
      </c>
      <c r="R1763" s="74" t="str">
        <f aca="false">IF(OR(P1763="",U1763=""),"",MAX(0,U1763-N(E1763)-N(F1763)-N(H1763)))</f>
        <v/>
      </c>
      <c r="S1763" s="75" t="str">
        <f aca="false">IF(P1763="","",IFERROR(INDEX(T_INGRESO,MATCH(C1763,T_ID,0)),""))</f>
        <v/>
      </c>
      <c r="T1763" s="75" t="str">
        <f aca="false">IF(P1763="","",IFERROR(N(INDEX(T_EGRESO,MATCH(C1763,T_ID,0))),0))</f>
        <v/>
      </c>
      <c r="U1763" s="73" t="str">
        <f aca="false">IF(OR(P1763="",NOT(ISNUMBER(S1763))),"",IF(OR(S1763&gt;EOMONTH(B1763,0),AND(T1763&gt;0,T1763&lt;B1763)),0,IF(AND(S1763&lt;=B1763,OR(T1763=0,T1763&gt;=EOMONTH(B1763,0))),30,MIN(30,IF(T1763=0,EOMONTH(B1763,0),MIN(T1763,EOMONTH(B1763,0)))-MAX(B1763,S1763)+1))))</f>
        <v/>
      </c>
    </row>
    <row r="1764" customFormat="false" ht="15" hidden="false" customHeight="false" outlineLevel="0" collapsed="false">
      <c r="B1764" s="78"/>
      <c r="C1764" s="64"/>
      <c r="D1764" s="70" t="str">
        <f aca="false">IF(C1764="","",IFERROR(INDEX(T_NOMBRE,MATCH(C1764,T_ID,0)),"⚠ ID no existe"))</f>
        <v/>
      </c>
      <c r="E1764" s="69"/>
      <c r="F1764" s="69"/>
      <c r="G1764" s="69"/>
      <c r="H1764" s="69"/>
      <c r="I1764" s="66"/>
      <c r="J1764" s="69"/>
      <c r="K1764" s="67"/>
      <c r="L1764" s="67"/>
      <c r="M1764" s="67"/>
      <c r="N1764" s="67"/>
      <c r="O1764" s="64"/>
      <c r="P1764" s="72" t="str">
        <f aca="false">IF(OR(B1764="",C1764=""),"",C1764&amp;"|"&amp;(YEAR(B1764)*100+MONTH(B1764)))</f>
        <v/>
      </c>
      <c r="Q1764" s="70" t="str">
        <f aca="false">IF(P1764="","",IF(COUNTIF(N_CLAVE,P1764)&gt;1,"⚠ Duplicado","OK"))</f>
        <v/>
      </c>
      <c r="R1764" s="74" t="str">
        <f aca="false">IF(OR(P1764="",U1764=""),"",MAX(0,U1764-N(E1764)-N(F1764)-N(H1764)))</f>
        <v/>
      </c>
      <c r="S1764" s="75" t="str">
        <f aca="false">IF(P1764="","",IFERROR(INDEX(T_INGRESO,MATCH(C1764,T_ID,0)),""))</f>
        <v/>
      </c>
      <c r="T1764" s="75" t="str">
        <f aca="false">IF(P1764="","",IFERROR(N(INDEX(T_EGRESO,MATCH(C1764,T_ID,0))),0))</f>
        <v/>
      </c>
      <c r="U1764" s="73" t="str">
        <f aca="false">IF(OR(P1764="",NOT(ISNUMBER(S1764))),"",IF(OR(S1764&gt;EOMONTH(B1764,0),AND(T1764&gt;0,T1764&lt;B1764)),0,IF(AND(S1764&lt;=B1764,OR(T1764=0,T1764&gt;=EOMONTH(B1764,0))),30,MIN(30,IF(T1764=0,EOMONTH(B1764,0),MIN(T1764,EOMONTH(B1764,0)))-MAX(B1764,S1764)+1))))</f>
        <v/>
      </c>
    </row>
    <row r="1765" customFormat="false" ht="15" hidden="false" customHeight="false" outlineLevel="0" collapsed="false">
      <c r="B1765" s="78"/>
      <c r="C1765" s="64"/>
      <c r="D1765" s="70" t="str">
        <f aca="false">IF(C1765="","",IFERROR(INDEX(T_NOMBRE,MATCH(C1765,T_ID,0)),"⚠ ID no existe"))</f>
        <v/>
      </c>
      <c r="E1765" s="69"/>
      <c r="F1765" s="69"/>
      <c r="G1765" s="69"/>
      <c r="H1765" s="69"/>
      <c r="I1765" s="66"/>
      <c r="J1765" s="69"/>
      <c r="K1765" s="67"/>
      <c r="L1765" s="67"/>
      <c r="M1765" s="67"/>
      <c r="N1765" s="67"/>
      <c r="O1765" s="64"/>
      <c r="P1765" s="72" t="str">
        <f aca="false">IF(OR(B1765="",C1765=""),"",C1765&amp;"|"&amp;(YEAR(B1765)*100+MONTH(B1765)))</f>
        <v/>
      </c>
      <c r="Q1765" s="70" t="str">
        <f aca="false">IF(P1765="","",IF(COUNTIF(N_CLAVE,P1765)&gt;1,"⚠ Duplicado","OK"))</f>
        <v/>
      </c>
      <c r="R1765" s="74" t="str">
        <f aca="false">IF(OR(P1765="",U1765=""),"",MAX(0,U1765-N(E1765)-N(F1765)-N(H1765)))</f>
        <v/>
      </c>
      <c r="S1765" s="75" t="str">
        <f aca="false">IF(P1765="","",IFERROR(INDEX(T_INGRESO,MATCH(C1765,T_ID,0)),""))</f>
        <v/>
      </c>
      <c r="T1765" s="75" t="str">
        <f aca="false">IF(P1765="","",IFERROR(N(INDEX(T_EGRESO,MATCH(C1765,T_ID,0))),0))</f>
        <v/>
      </c>
      <c r="U1765" s="73" t="str">
        <f aca="false">IF(OR(P1765="",NOT(ISNUMBER(S1765))),"",IF(OR(S1765&gt;EOMONTH(B1765,0),AND(T1765&gt;0,T1765&lt;B1765)),0,IF(AND(S1765&lt;=B1765,OR(T1765=0,T1765&gt;=EOMONTH(B1765,0))),30,MIN(30,IF(T1765=0,EOMONTH(B1765,0),MIN(T1765,EOMONTH(B1765,0)))-MAX(B1765,S1765)+1))))</f>
        <v/>
      </c>
    </row>
    <row r="1766" customFormat="false" ht="15" hidden="false" customHeight="false" outlineLevel="0" collapsed="false">
      <c r="B1766" s="78"/>
      <c r="C1766" s="64"/>
      <c r="D1766" s="70" t="str">
        <f aca="false">IF(C1766="","",IFERROR(INDEX(T_NOMBRE,MATCH(C1766,T_ID,0)),"⚠ ID no existe"))</f>
        <v/>
      </c>
      <c r="E1766" s="69"/>
      <c r="F1766" s="69"/>
      <c r="G1766" s="69"/>
      <c r="H1766" s="69"/>
      <c r="I1766" s="66"/>
      <c r="J1766" s="69"/>
      <c r="K1766" s="67"/>
      <c r="L1766" s="67"/>
      <c r="M1766" s="67"/>
      <c r="N1766" s="67"/>
      <c r="O1766" s="64"/>
      <c r="P1766" s="72" t="str">
        <f aca="false">IF(OR(B1766="",C1766=""),"",C1766&amp;"|"&amp;(YEAR(B1766)*100+MONTH(B1766)))</f>
        <v/>
      </c>
      <c r="Q1766" s="70" t="str">
        <f aca="false">IF(P1766="","",IF(COUNTIF(N_CLAVE,P1766)&gt;1,"⚠ Duplicado","OK"))</f>
        <v/>
      </c>
      <c r="R1766" s="74" t="str">
        <f aca="false">IF(OR(P1766="",U1766=""),"",MAX(0,U1766-N(E1766)-N(F1766)-N(H1766)))</f>
        <v/>
      </c>
      <c r="S1766" s="75" t="str">
        <f aca="false">IF(P1766="","",IFERROR(INDEX(T_INGRESO,MATCH(C1766,T_ID,0)),""))</f>
        <v/>
      </c>
      <c r="T1766" s="75" t="str">
        <f aca="false">IF(P1766="","",IFERROR(N(INDEX(T_EGRESO,MATCH(C1766,T_ID,0))),0))</f>
        <v/>
      </c>
      <c r="U1766" s="73" t="str">
        <f aca="false">IF(OR(P1766="",NOT(ISNUMBER(S1766))),"",IF(OR(S1766&gt;EOMONTH(B1766,0),AND(T1766&gt;0,T1766&lt;B1766)),0,IF(AND(S1766&lt;=B1766,OR(T1766=0,T1766&gt;=EOMONTH(B1766,0))),30,MIN(30,IF(T1766=0,EOMONTH(B1766,0),MIN(T1766,EOMONTH(B1766,0)))-MAX(B1766,S1766)+1))))</f>
        <v/>
      </c>
    </row>
    <row r="1767" customFormat="false" ht="15" hidden="false" customHeight="false" outlineLevel="0" collapsed="false">
      <c r="B1767" s="78"/>
      <c r="C1767" s="64"/>
      <c r="D1767" s="70" t="str">
        <f aca="false">IF(C1767="","",IFERROR(INDEX(T_NOMBRE,MATCH(C1767,T_ID,0)),"⚠ ID no existe"))</f>
        <v/>
      </c>
      <c r="E1767" s="69"/>
      <c r="F1767" s="69"/>
      <c r="G1767" s="69"/>
      <c r="H1767" s="69"/>
      <c r="I1767" s="66"/>
      <c r="J1767" s="69"/>
      <c r="K1767" s="67"/>
      <c r="L1767" s="67"/>
      <c r="M1767" s="67"/>
      <c r="N1767" s="67"/>
      <c r="O1767" s="64"/>
      <c r="P1767" s="72" t="str">
        <f aca="false">IF(OR(B1767="",C1767=""),"",C1767&amp;"|"&amp;(YEAR(B1767)*100+MONTH(B1767)))</f>
        <v/>
      </c>
      <c r="Q1767" s="70" t="str">
        <f aca="false">IF(P1767="","",IF(COUNTIF(N_CLAVE,P1767)&gt;1,"⚠ Duplicado","OK"))</f>
        <v/>
      </c>
      <c r="R1767" s="74" t="str">
        <f aca="false">IF(OR(P1767="",U1767=""),"",MAX(0,U1767-N(E1767)-N(F1767)-N(H1767)))</f>
        <v/>
      </c>
      <c r="S1767" s="75" t="str">
        <f aca="false">IF(P1767="","",IFERROR(INDEX(T_INGRESO,MATCH(C1767,T_ID,0)),""))</f>
        <v/>
      </c>
      <c r="T1767" s="75" t="str">
        <f aca="false">IF(P1767="","",IFERROR(N(INDEX(T_EGRESO,MATCH(C1767,T_ID,0))),0))</f>
        <v/>
      </c>
      <c r="U1767" s="73" t="str">
        <f aca="false">IF(OR(P1767="",NOT(ISNUMBER(S1767))),"",IF(OR(S1767&gt;EOMONTH(B1767,0),AND(T1767&gt;0,T1767&lt;B1767)),0,IF(AND(S1767&lt;=B1767,OR(T1767=0,T1767&gt;=EOMONTH(B1767,0))),30,MIN(30,IF(T1767=0,EOMONTH(B1767,0),MIN(T1767,EOMONTH(B1767,0)))-MAX(B1767,S1767)+1))))</f>
        <v/>
      </c>
    </row>
    <row r="1768" customFormat="false" ht="15" hidden="false" customHeight="false" outlineLevel="0" collapsed="false">
      <c r="B1768" s="78"/>
      <c r="C1768" s="64"/>
      <c r="D1768" s="70" t="str">
        <f aca="false">IF(C1768="","",IFERROR(INDEX(T_NOMBRE,MATCH(C1768,T_ID,0)),"⚠ ID no existe"))</f>
        <v/>
      </c>
      <c r="E1768" s="69"/>
      <c r="F1768" s="69"/>
      <c r="G1768" s="69"/>
      <c r="H1768" s="69"/>
      <c r="I1768" s="66"/>
      <c r="J1768" s="69"/>
      <c r="K1768" s="67"/>
      <c r="L1768" s="67"/>
      <c r="M1768" s="67"/>
      <c r="N1768" s="67"/>
      <c r="O1768" s="64"/>
      <c r="P1768" s="72" t="str">
        <f aca="false">IF(OR(B1768="",C1768=""),"",C1768&amp;"|"&amp;(YEAR(B1768)*100+MONTH(B1768)))</f>
        <v/>
      </c>
      <c r="Q1768" s="70" t="str">
        <f aca="false">IF(P1768="","",IF(COUNTIF(N_CLAVE,P1768)&gt;1,"⚠ Duplicado","OK"))</f>
        <v/>
      </c>
      <c r="R1768" s="74" t="str">
        <f aca="false">IF(OR(P1768="",U1768=""),"",MAX(0,U1768-N(E1768)-N(F1768)-N(H1768)))</f>
        <v/>
      </c>
      <c r="S1768" s="75" t="str">
        <f aca="false">IF(P1768="","",IFERROR(INDEX(T_INGRESO,MATCH(C1768,T_ID,0)),""))</f>
        <v/>
      </c>
      <c r="T1768" s="75" t="str">
        <f aca="false">IF(P1768="","",IFERROR(N(INDEX(T_EGRESO,MATCH(C1768,T_ID,0))),0))</f>
        <v/>
      </c>
      <c r="U1768" s="73" t="str">
        <f aca="false">IF(OR(P1768="",NOT(ISNUMBER(S1768))),"",IF(OR(S1768&gt;EOMONTH(B1768,0),AND(T1768&gt;0,T1768&lt;B1768)),0,IF(AND(S1768&lt;=B1768,OR(T1768=0,T1768&gt;=EOMONTH(B1768,0))),30,MIN(30,IF(T1768=0,EOMONTH(B1768,0),MIN(T1768,EOMONTH(B1768,0)))-MAX(B1768,S1768)+1))))</f>
        <v/>
      </c>
    </row>
    <row r="1769" customFormat="false" ht="15" hidden="false" customHeight="false" outlineLevel="0" collapsed="false">
      <c r="B1769" s="78"/>
      <c r="C1769" s="64"/>
      <c r="D1769" s="70" t="str">
        <f aca="false">IF(C1769="","",IFERROR(INDEX(T_NOMBRE,MATCH(C1769,T_ID,0)),"⚠ ID no existe"))</f>
        <v/>
      </c>
      <c r="E1769" s="69"/>
      <c r="F1769" s="69"/>
      <c r="G1769" s="69"/>
      <c r="H1769" s="69"/>
      <c r="I1769" s="66"/>
      <c r="J1769" s="69"/>
      <c r="K1769" s="67"/>
      <c r="L1769" s="67"/>
      <c r="M1769" s="67"/>
      <c r="N1769" s="67"/>
      <c r="O1769" s="64"/>
      <c r="P1769" s="72" t="str">
        <f aca="false">IF(OR(B1769="",C1769=""),"",C1769&amp;"|"&amp;(YEAR(B1769)*100+MONTH(B1769)))</f>
        <v/>
      </c>
      <c r="Q1769" s="70" t="str">
        <f aca="false">IF(P1769="","",IF(COUNTIF(N_CLAVE,P1769)&gt;1,"⚠ Duplicado","OK"))</f>
        <v/>
      </c>
      <c r="R1769" s="74" t="str">
        <f aca="false">IF(OR(P1769="",U1769=""),"",MAX(0,U1769-N(E1769)-N(F1769)-N(H1769)))</f>
        <v/>
      </c>
      <c r="S1769" s="75" t="str">
        <f aca="false">IF(P1769="","",IFERROR(INDEX(T_INGRESO,MATCH(C1769,T_ID,0)),""))</f>
        <v/>
      </c>
      <c r="T1769" s="75" t="str">
        <f aca="false">IF(P1769="","",IFERROR(N(INDEX(T_EGRESO,MATCH(C1769,T_ID,0))),0))</f>
        <v/>
      </c>
      <c r="U1769" s="73" t="str">
        <f aca="false">IF(OR(P1769="",NOT(ISNUMBER(S1769))),"",IF(OR(S1769&gt;EOMONTH(B1769,0),AND(T1769&gt;0,T1769&lt;B1769)),0,IF(AND(S1769&lt;=B1769,OR(T1769=0,T1769&gt;=EOMONTH(B1769,0))),30,MIN(30,IF(T1769=0,EOMONTH(B1769,0),MIN(T1769,EOMONTH(B1769,0)))-MAX(B1769,S1769)+1))))</f>
        <v/>
      </c>
    </row>
    <row r="1770" customFormat="false" ht="15" hidden="false" customHeight="false" outlineLevel="0" collapsed="false">
      <c r="B1770" s="78"/>
      <c r="C1770" s="64"/>
      <c r="D1770" s="70" t="str">
        <f aca="false">IF(C1770="","",IFERROR(INDEX(T_NOMBRE,MATCH(C1770,T_ID,0)),"⚠ ID no existe"))</f>
        <v/>
      </c>
      <c r="E1770" s="69"/>
      <c r="F1770" s="69"/>
      <c r="G1770" s="69"/>
      <c r="H1770" s="69"/>
      <c r="I1770" s="66"/>
      <c r="J1770" s="69"/>
      <c r="K1770" s="67"/>
      <c r="L1770" s="67"/>
      <c r="M1770" s="67"/>
      <c r="N1770" s="67"/>
      <c r="O1770" s="64"/>
      <c r="P1770" s="72" t="str">
        <f aca="false">IF(OR(B1770="",C1770=""),"",C1770&amp;"|"&amp;(YEAR(B1770)*100+MONTH(B1770)))</f>
        <v/>
      </c>
      <c r="Q1770" s="70" t="str">
        <f aca="false">IF(P1770="","",IF(COUNTIF(N_CLAVE,P1770)&gt;1,"⚠ Duplicado","OK"))</f>
        <v/>
      </c>
      <c r="R1770" s="74" t="str">
        <f aca="false">IF(OR(P1770="",U1770=""),"",MAX(0,U1770-N(E1770)-N(F1770)-N(H1770)))</f>
        <v/>
      </c>
      <c r="S1770" s="75" t="str">
        <f aca="false">IF(P1770="","",IFERROR(INDEX(T_INGRESO,MATCH(C1770,T_ID,0)),""))</f>
        <v/>
      </c>
      <c r="T1770" s="75" t="str">
        <f aca="false">IF(P1770="","",IFERROR(N(INDEX(T_EGRESO,MATCH(C1770,T_ID,0))),0))</f>
        <v/>
      </c>
      <c r="U1770" s="73" t="str">
        <f aca="false">IF(OR(P1770="",NOT(ISNUMBER(S1770))),"",IF(OR(S1770&gt;EOMONTH(B1770,0),AND(T1770&gt;0,T1770&lt;B1770)),0,IF(AND(S1770&lt;=B1770,OR(T1770=0,T1770&gt;=EOMONTH(B1770,0))),30,MIN(30,IF(T1770=0,EOMONTH(B1770,0),MIN(T1770,EOMONTH(B1770,0)))-MAX(B1770,S1770)+1))))</f>
        <v/>
      </c>
    </row>
    <row r="1771" customFormat="false" ht="15" hidden="false" customHeight="false" outlineLevel="0" collapsed="false">
      <c r="B1771" s="78"/>
      <c r="C1771" s="64"/>
      <c r="D1771" s="70" t="str">
        <f aca="false">IF(C1771="","",IFERROR(INDEX(T_NOMBRE,MATCH(C1771,T_ID,0)),"⚠ ID no existe"))</f>
        <v/>
      </c>
      <c r="E1771" s="69"/>
      <c r="F1771" s="69"/>
      <c r="G1771" s="69"/>
      <c r="H1771" s="69"/>
      <c r="I1771" s="66"/>
      <c r="J1771" s="69"/>
      <c r="K1771" s="67"/>
      <c r="L1771" s="67"/>
      <c r="M1771" s="67"/>
      <c r="N1771" s="67"/>
      <c r="O1771" s="64"/>
      <c r="P1771" s="72" t="str">
        <f aca="false">IF(OR(B1771="",C1771=""),"",C1771&amp;"|"&amp;(YEAR(B1771)*100+MONTH(B1771)))</f>
        <v/>
      </c>
      <c r="Q1771" s="70" t="str">
        <f aca="false">IF(P1771="","",IF(COUNTIF(N_CLAVE,P1771)&gt;1,"⚠ Duplicado","OK"))</f>
        <v/>
      </c>
      <c r="R1771" s="74" t="str">
        <f aca="false">IF(OR(P1771="",U1771=""),"",MAX(0,U1771-N(E1771)-N(F1771)-N(H1771)))</f>
        <v/>
      </c>
      <c r="S1771" s="75" t="str">
        <f aca="false">IF(P1771="","",IFERROR(INDEX(T_INGRESO,MATCH(C1771,T_ID,0)),""))</f>
        <v/>
      </c>
      <c r="T1771" s="75" t="str">
        <f aca="false">IF(P1771="","",IFERROR(N(INDEX(T_EGRESO,MATCH(C1771,T_ID,0))),0))</f>
        <v/>
      </c>
      <c r="U1771" s="73" t="str">
        <f aca="false">IF(OR(P1771="",NOT(ISNUMBER(S1771))),"",IF(OR(S1771&gt;EOMONTH(B1771,0),AND(T1771&gt;0,T1771&lt;B1771)),0,IF(AND(S1771&lt;=B1771,OR(T1771=0,T1771&gt;=EOMONTH(B1771,0))),30,MIN(30,IF(T1771=0,EOMONTH(B1771,0),MIN(T1771,EOMONTH(B1771,0)))-MAX(B1771,S1771)+1))))</f>
        <v/>
      </c>
    </row>
    <row r="1772" customFormat="false" ht="15" hidden="false" customHeight="false" outlineLevel="0" collapsed="false">
      <c r="B1772" s="78"/>
      <c r="C1772" s="64"/>
      <c r="D1772" s="70" t="str">
        <f aca="false">IF(C1772="","",IFERROR(INDEX(T_NOMBRE,MATCH(C1772,T_ID,0)),"⚠ ID no existe"))</f>
        <v/>
      </c>
      <c r="E1772" s="69"/>
      <c r="F1772" s="69"/>
      <c r="G1772" s="69"/>
      <c r="H1772" s="69"/>
      <c r="I1772" s="66"/>
      <c r="J1772" s="69"/>
      <c r="K1772" s="67"/>
      <c r="L1772" s="67"/>
      <c r="M1772" s="67"/>
      <c r="N1772" s="67"/>
      <c r="O1772" s="64"/>
      <c r="P1772" s="72" t="str">
        <f aca="false">IF(OR(B1772="",C1772=""),"",C1772&amp;"|"&amp;(YEAR(B1772)*100+MONTH(B1772)))</f>
        <v/>
      </c>
      <c r="Q1772" s="70" t="str">
        <f aca="false">IF(P1772="","",IF(COUNTIF(N_CLAVE,P1772)&gt;1,"⚠ Duplicado","OK"))</f>
        <v/>
      </c>
      <c r="R1772" s="74" t="str">
        <f aca="false">IF(OR(P1772="",U1772=""),"",MAX(0,U1772-N(E1772)-N(F1772)-N(H1772)))</f>
        <v/>
      </c>
      <c r="S1772" s="75" t="str">
        <f aca="false">IF(P1772="","",IFERROR(INDEX(T_INGRESO,MATCH(C1772,T_ID,0)),""))</f>
        <v/>
      </c>
      <c r="T1772" s="75" t="str">
        <f aca="false">IF(P1772="","",IFERROR(N(INDEX(T_EGRESO,MATCH(C1772,T_ID,0))),0))</f>
        <v/>
      </c>
      <c r="U1772" s="73" t="str">
        <f aca="false">IF(OR(P1772="",NOT(ISNUMBER(S1772))),"",IF(OR(S1772&gt;EOMONTH(B1772,0),AND(T1772&gt;0,T1772&lt;B1772)),0,IF(AND(S1772&lt;=B1772,OR(T1772=0,T1772&gt;=EOMONTH(B1772,0))),30,MIN(30,IF(T1772=0,EOMONTH(B1772,0),MIN(T1772,EOMONTH(B1772,0)))-MAX(B1772,S1772)+1))))</f>
        <v/>
      </c>
    </row>
    <row r="1773" customFormat="false" ht="15" hidden="false" customHeight="false" outlineLevel="0" collapsed="false">
      <c r="B1773" s="78"/>
      <c r="C1773" s="64"/>
      <c r="D1773" s="70" t="str">
        <f aca="false">IF(C1773="","",IFERROR(INDEX(T_NOMBRE,MATCH(C1773,T_ID,0)),"⚠ ID no existe"))</f>
        <v/>
      </c>
      <c r="E1773" s="69"/>
      <c r="F1773" s="69"/>
      <c r="G1773" s="69"/>
      <c r="H1773" s="69"/>
      <c r="I1773" s="66"/>
      <c r="J1773" s="69"/>
      <c r="K1773" s="67"/>
      <c r="L1773" s="67"/>
      <c r="M1773" s="67"/>
      <c r="N1773" s="67"/>
      <c r="O1773" s="64"/>
      <c r="P1773" s="72" t="str">
        <f aca="false">IF(OR(B1773="",C1773=""),"",C1773&amp;"|"&amp;(YEAR(B1773)*100+MONTH(B1773)))</f>
        <v/>
      </c>
      <c r="Q1773" s="70" t="str">
        <f aca="false">IF(P1773="","",IF(COUNTIF(N_CLAVE,P1773)&gt;1,"⚠ Duplicado","OK"))</f>
        <v/>
      </c>
      <c r="R1773" s="74" t="str">
        <f aca="false">IF(OR(P1773="",U1773=""),"",MAX(0,U1773-N(E1773)-N(F1773)-N(H1773)))</f>
        <v/>
      </c>
      <c r="S1773" s="75" t="str">
        <f aca="false">IF(P1773="","",IFERROR(INDEX(T_INGRESO,MATCH(C1773,T_ID,0)),""))</f>
        <v/>
      </c>
      <c r="T1773" s="75" t="str">
        <f aca="false">IF(P1773="","",IFERROR(N(INDEX(T_EGRESO,MATCH(C1773,T_ID,0))),0))</f>
        <v/>
      </c>
      <c r="U1773" s="73" t="str">
        <f aca="false">IF(OR(P1773="",NOT(ISNUMBER(S1773))),"",IF(OR(S1773&gt;EOMONTH(B1773,0),AND(T1773&gt;0,T1773&lt;B1773)),0,IF(AND(S1773&lt;=B1773,OR(T1773=0,T1773&gt;=EOMONTH(B1773,0))),30,MIN(30,IF(T1773=0,EOMONTH(B1773,0),MIN(T1773,EOMONTH(B1773,0)))-MAX(B1773,S1773)+1))))</f>
        <v/>
      </c>
    </row>
    <row r="1774" customFormat="false" ht="15" hidden="false" customHeight="false" outlineLevel="0" collapsed="false">
      <c r="B1774" s="78"/>
      <c r="C1774" s="64"/>
      <c r="D1774" s="70" t="str">
        <f aca="false">IF(C1774="","",IFERROR(INDEX(T_NOMBRE,MATCH(C1774,T_ID,0)),"⚠ ID no existe"))</f>
        <v/>
      </c>
      <c r="E1774" s="69"/>
      <c r="F1774" s="69"/>
      <c r="G1774" s="69"/>
      <c r="H1774" s="69"/>
      <c r="I1774" s="66"/>
      <c r="J1774" s="69"/>
      <c r="K1774" s="67"/>
      <c r="L1774" s="67"/>
      <c r="M1774" s="67"/>
      <c r="N1774" s="67"/>
      <c r="O1774" s="64"/>
      <c r="P1774" s="72" t="str">
        <f aca="false">IF(OR(B1774="",C1774=""),"",C1774&amp;"|"&amp;(YEAR(B1774)*100+MONTH(B1774)))</f>
        <v/>
      </c>
      <c r="Q1774" s="70" t="str">
        <f aca="false">IF(P1774="","",IF(COUNTIF(N_CLAVE,P1774)&gt;1,"⚠ Duplicado","OK"))</f>
        <v/>
      </c>
      <c r="R1774" s="74" t="str">
        <f aca="false">IF(OR(P1774="",U1774=""),"",MAX(0,U1774-N(E1774)-N(F1774)-N(H1774)))</f>
        <v/>
      </c>
      <c r="S1774" s="75" t="str">
        <f aca="false">IF(P1774="","",IFERROR(INDEX(T_INGRESO,MATCH(C1774,T_ID,0)),""))</f>
        <v/>
      </c>
      <c r="T1774" s="75" t="str">
        <f aca="false">IF(P1774="","",IFERROR(N(INDEX(T_EGRESO,MATCH(C1774,T_ID,0))),0))</f>
        <v/>
      </c>
      <c r="U1774" s="73" t="str">
        <f aca="false">IF(OR(P1774="",NOT(ISNUMBER(S1774))),"",IF(OR(S1774&gt;EOMONTH(B1774,0),AND(T1774&gt;0,T1774&lt;B1774)),0,IF(AND(S1774&lt;=B1774,OR(T1774=0,T1774&gt;=EOMONTH(B1774,0))),30,MIN(30,IF(T1774=0,EOMONTH(B1774,0),MIN(T1774,EOMONTH(B1774,0)))-MAX(B1774,S1774)+1))))</f>
        <v/>
      </c>
    </row>
    <row r="1775" customFormat="false" ht="15" hidden="false" customHeight="false" outlineLevel="0" collapsed="false">
      <c r="B1775" s="78"/>
      <c r="C1775" s="64"/>
      <c r="D1775" s="70" t="str">
        <f aca="false">IF(C1775="","",IFERROR(INDEX(T_NOMBRE,MATCH(C1775,T_ID,0)),"⚠ ID no existe"))</f>
        <v/>
      </c>
      <c r="E1775" s="69"/>
      <c r="F1775" s="69"/>
      <c r="G1775" s="69"/>
      <c r="H1775" s="69"/>
      <c r="I1775" s="66"/>
      <c r="J1775" s="69"/>
      <c r="K1775" s="67"/>
      <c r="L1775" s="67"/>
      <c r="M1775" s="67"/>
      <c r="N1775" s="67"/>
      <c r="O1775" s="64"/>
      <c r="P1775" s="72" t="str">
        <f aca="false">IF(OR(B1775="",C1775=""),"",C1775&amp;"|"&amp;(YEAR(B1775)*100+MONTH(B1775)))</f>
        <v/>
      </c>
      <c r="Q1775" s="70" t="str">
        <f aca="false">IF(P1775="","",IF(COUNTIF(N_CLAVE,P1775)&gt;1,"⚠ Duplicado","OK"))</f>
        <v/>
      </c>
      <c r="R1775" s="74" t="str">
        <f aca="false">IF(OR(P1775="",U1775=""),"",MAX(0,U1775-N(E1775)-N(F1775)-N(H1775)))</f>
        <v/>
      </c>
      <c r="S1775" s="75" t="str">
        <f aca="false">IF(P1775="","",IFERROR(INDEX(T_INGRESO,MATCH(C1775,T_ID,0)),""))</f>
        <v/>
      </c>
      <c r="T1775" s="75" t="str">
        <f aca="false">IF(P1775="","",IFERROR(N(INDEX(T_EGRESO,MATCH(C1775,T_ID,0))),0))</f>
        <v/>
      </c>
      <c r="U1775" s="73" t="str">
        <f aca="false">IF(OR(P1775="",NOT(ISNUMBER(S1775))),"",IF(OR(S1775&gt;EOMONTH(B1775,0),AND(T1775&gt;0,T1775&lt;B1775)),0,IF(AND(S1775&lt;=B1775,OR(T1775=0,T1775&gt;=EOMONTH(B1775,0))),30,MIN(30,IF(T1775=0,EOMONTH(B1775,0),MIN(T1775,EOMONTH(B1775,0)))-MAX(B1775,S1775)+1))))</f>
        <v/>
      </c>
    </row>
    <row r="1776" customFormat="false" ht="15" hidden="false" customHeight="false" outlineLevel="0" collapsed="false">
      <c r="B1776" s="78"/>
      <c r="C1776" s="64"/>
      <c r="D1776" s="70" t="str">
        <f aca="false">IF(C1776="","",IFERROR(INDEX(T_NOMBRE,MATCH(C1776,T_ID,0)),"⚠ ID no existe"))</f>
        <v/>
      </c>
      <c r="E1776" s="69"/>
      <c r="F1776" s="69"/>
      <c r="G1776" s="69"/>
      <c r="H1776" s="69"/>
      <c r="I1776" s="66"/>
      <c r="J1776" s="69"/>
      <c r="K1776" s="67"/>
      <c r="L1776" s="67"/>
      <c r="M1776" s="67"/>
      <c r="N1776" s="67"/>
      <c r="O1776" s="64"/>
      <c r="P1776" s="72" t="str">
        <f aca="false">IF(OR(B1776="",C1776=""),"",C1776&amp;"|"&amp;(YEAR(B1776)*100+MONTH(B1776)))</f>
        <v/>
      </c>
      <c r="Q1776" s="70" t="str">
        <f aca="false">IF(P1776="","",IF(COUNTIF(N_CLAVE,P1776)&gt;1,"⚠ Duplicado","OK"))</f>
        <v/>
      </c>
      <c r="R1776" s="74" t="str">
        <f aca="false">IF(OR(P1776="",U1776=""),"",MAX(0,U1776-N(E1776)-N(F1776)-N(H1776)))</f>
        <v/>
      </c>
      <c r="S1776" s="75" t="str">
        <f aca="false">IF(P1776="","",IFERROR(INDEX(T_INGRESO,MATCH(C1776,T_ID,0)),""))</f>
        <v/>
      </c>
      <c r="T1776" s="75" t="str">
        <f aca="false">IF(P1776="","",IFERROR(N(INDEX(T_EGRESO,MATCH(C1776,T_ID,0))),0))</f>
        <v/>
      </c>
      <c r="U1776" s="73" t="str">
        <f aca="false">IF(OR(P1776="",NOT(ISNUMBER(S1776))),"",IF(OR(S1776&gt;EOMONTH(B1776,0),AND(T1776&gt;0,T1776&lt;B1776)),0,IF(AND(S1776&lt;=B1776,OR(T1776=0,T1776&gt;=EOMONTH(B1776,0))),30,MIN(30,IF(T1776=0,EOMONTH(B1776,0),MIN(T1776,EOMONTH(B1776,0)))-MAX(B1776,S1776)+1))))</f>
        <v/>
      </c>
    </row>
    <row r="1777" customFormat="false" ht="15" hidden="false" customHeight="false" outlineLevel="0" collapsed="false">
      <c r="B1777" s="78"/>
      <c r="C1777" s="64"/>
      <c r="D1777" s="70" t="str">
        <f aca="false">IF(C1777="","",IFERROR(INDEX(T_NOMBRE,MATCH(C1777,T_ID,0)),"⚠ ID no existe"))</f>
        <v/>
      </c>
      <c r="E1777" s="69"/>
      <c r="F1777" s="69"/>
      <c r="G1777" s="69"/>
      <c r="H1777" s="69"/>
      <c r="I1777" s="66"/>
      <c r="J1777" s="69"/>
      <c r="K1777" s="67"/>
      <c r="L1777" s="67"/>
      <c r="M1777" s="67"/>
      <c r="N1777" s="67"/>
      <c r="O1777" s="64"/>
      <c r="P1777" s="72" t="str">
        <f aca="false">IF(OR(B1777="",C1777=""),"",C1777&amp;"|"&amp;(YEAR(B1777)*100+MONTH(B1777)))</f>
        <v/>
      </c>
      <c r="Q1777" s="70" t="str">
        <f aca="false">IF(P1777="","",IF(COUNTIF(N_CLAVE,P1777)&gt;1,"⚠ Duplicado","OK"))</f>
        <v/>
      </c>
      <c r="R1777" s="74" t="str">
        <f aca="false">IF(OR(P1777="",U1777=""),"",MAX(0,U1777-N(E1777)-N(F1777)-N(H1777)))</f>
        <v/>
      </c>
      <c r="S1777" s="75" t="str">
        <f aca="false">IF(P1777="","",IFERROR(INDEX(T_INGRESO,MATCH(C1777,T_ID,0)),""))</f>
        <v/>
      </c>
      <c r="T1777" s="75" t="str">
        <f aca="false">IF(P1777="","",IFERROR(N(INDEX(T_EGRESO,MATCH(C1777,T_ID,0))),0))</f>
        <v/>
      </c>
      <c r="U1777" s="73" t="str">
        <f aca="false">IF(OR(P1777="",NOT(ISNUMBER(S1777))),"",IF(OR(S1777&gt;EOMONTH(B1777,0),AND(T1777&gt;0,T1777&lt;B1777)),0,IF(AND(S1777&lt;=B1777,OR(T1777=0,T1777&gt;=EOMONTH(B1777,0))),30,MIN(30,IF(T1777=0,EOMONTH(B1777,0),MIN(T1777,EOMONTH(B1777,0)))-MAX(B1777,S1777)+1))))</f>
        <v/>
      </c>
    </row>
    <row r="1778" customFormat="false" ht="15" hidden="false" customHeight="false" outlineLevel="0" collapsed="false">
      <c r="B1778" s="78"/>
      <c r="C1778" s="64"/>
      <c r="D1778" s="70" t="str">
        <f aca="false">IF(C1778="","",IFERROR(INDEX(T_NOMBRE,MATCH(C1778,T_ID,0)),"⚠ ID no existe"))</f>
        <v/>
      </c>
      <c r="E1778" s="69"/>
      <c r="F1778" s="69"/>
      <c r="G1778" s="69"/>
      <c r="H1778" s="69"/>
      <c r="I1778" s="66"/>
      <c r="J1778" s="69"/>
      <c r="K1778" s="67"/>
      <c r="L1778" s="67"/>
      <c r="M1778" s="67"/>
      <c r="N1778" s="67"/>
      <c r="O1778" s="64"/>
      <c r="P1778" s="72" t="str">
        <f aca="false">IF(OR(B1778="",C1778=""),"",C1778&amp;"|"&amp;(YEAR(B1778)*100+MONTH(B1778)))</f>
        <v/>
      </c>
      <c r="Q1778" s="70" t="str">
        <f aca="false">IF(P1778="","",IF(COUNTIF(N_CLAVE,P1778)&gt;1,"⚠ Duplicado","OK"))</f>
        <v/>
      </c>
      <c r="R1778" s="74" t="str">
        <f aca="false">IF(OR(P1778="",U1778=""),"",MAX(0,U1778-N(E1778)-N(F1778)-N(H1778)))</f>
        <v/>
      </c>
      <c r="S1778" s="75" t="str">
        <f aca="false">IF(P1778="","",IFERROR(INDEX(T_INGRESO,MATCH(C1778,T_ID,0)),""))</f>
        <v/>
      </c>
      <c r="T1778" s="75" t="str">
        <f aca="false">IF(P1778="","",IFERROR(N(INDEX(T_EGRESO,MATCH(C1778,T_ID,0))),0))</f>
        <v/>
      </c>
      <c r="U1778" s="73" t="str">
        <f aca="false">IF(OR(P1778="",NOT(ISNUMBER(S1778))),"",IF(OR(S1778&gt;EOMONTH(B1778,0),AND(T1778&gt;0,T1778&lt;B1778)),0,IF(AND(S1778&lt;=B1778,OR(T1778=0,T1778&gt;=EOMONTH(B1778,0))),30,MIN(30,IF(T1778=0,EOMONTH(B1778,0),MIN(T1778,EOMONTH(B1778,0)))-MAX(B1778,S1778)+1))))</f>
        <v/>
      </c>
    </row>
    <row r="1779" customFormat="false" ht="15" hidden="false" customHeight="false" outlineLevel="0" collapsed="false">
      <c r="B1779" s="78"/>
      <c r="C1779" s="64"/>
      <c r="D1779" s="70" t="str">
        <f aca="false">IF(C1779="","",IFERROR(INDEX(T_NOMBRE,MATCH(C1779,T_ID,0)),"⚠ ID no existe"))</f>
        <v/>
      </c>
      <c r="E1779" s="69"/>
      <c r="F1779" s="69"/>
      <c r="G1779" s="69"/>
      <c r="H1779" s="69"/>
      <c r="I1779" s="66"/>
      <c r="J1779" s="69"/>
      <c r="K1779" s="67"/>
      <c r="L1779" s="67"/>
      <c r="M1779" s="67"/>
      <c r="N1779" s="67"/>
      <c r="O1779" s="64"/>
      <c r="P1779" s="72" t="str">
        <f aca="false">IF(OR(B1779="",C1779=""),"",C1779&amp;"|"&amp;(YEAR(B1779)*100+MONTH(B1779)))</f>
        <v/>
      </c>
      <c r="Q1779" s="70" t="str">
        <f aca="false">IF(P1779="","",IF(COUNTIF(N_CLAVE,P1779)&gt;1,"⚠ Duplicado","OK"))</f>
        <v/>
      </c>
      <c r="R1779" s="74" t="str">
        <f aca="false">IF(OR(P1779="",U1779=""),"",MAX(0,U1779-N(E1779)-N(F1779)-N(H1779)))</f>
        <v/>
      </c>
      <c r="S1779" s="75" t="str">
        <f aca="false">IF(P1779="","",IFERROR(INDEX(T_INGRESO,MATCH(C1779,T_ID,0)),""))</f>
        <v/>
      </c>
      <c r="T1779" s="75" t="str">
        <f aca="false">IF(P1779="","",IFERROR(N(INDEX(T_EGRESO,MATCH(C1779,T_ID,0))),0))</f>
        <v/>
      </c>
      <c r="U1779" s="73" t="str">
        <f aca="false">IF(OR(P1779="",NOT(ISNUMBER(S1779))),"",IF(OR(S1779&gt;EOMONTH(B1779,0),AND(T1779&gt;0,T1779&lt;B1779)),0,IF(AND(S1779&lt;=B1779,OR(T1779=0,T1779&gt;=EOMONTH(B1779,0))),30,MIN(30,IF(T1779=0,EOMONTH(B1779,0),MIN(T1779,EOMONTH(B1779,0)))-MAX(B1779,S1779)+1))))</f>
        <v/>
      </c>
    </row>
    <row r="1780" customFormat="false" ht="15" hidden="false" customHeight="false" outlineLevel="0" collapsed="false">
      <c r="B1780" s="78"/>
      <c r="C1780" s="64"/>
      <c r="D1780" s="70" t="str">
        <f aca="false">IF(C1780="","",IFERROR(INDEX(T_NOMBRE,MATCH(C1780,T_ID,0)),"⚠ ID no existe"))</f>
        <v/>
      </c>
      <c r="E1780" s="69"/>
      <c r="F1780" s="69"/>
      <c r="G1780" s="69"/>
      <c r="H1780" s="69"/>
      <c r="I1780" s="66"/>
      <c r="J1780" s="69"/>
      <c r="K1780" s="67"/>
      <c r="L1780" s="67"/>
      <c r="M1780" s="67"/>
      <c r="N1780" s="67"/>
      <c r="O1780" s="64"/>
      <c r="P1780" s="72" t="str">
        <f aca="false">IF(OR(B1780="",C1780=""),"",C1780&amp;"|"&amp;(YEAR(B1780)*100+MONTH(B1780)))</f>
        <v/>
      </c>
      <c r="Q1780" s="70" t="str">
        <f aca="false">IF(P1780="","",IF(COUNTIF(N_CLAVE,P1780)&gt;1,"⚠ Duplicado","OK"))</f>
        <v/>
      </c>
      <c r="R1780" s="74" t="str">
        <f aca="false">IF(OR(P1780="",U1780=""),"",MAX(0,U1780-N(E1780)-N(F1780)-N(H1780)))</f>
        <v/>
      </c>
      <c r="S1780" s="75" t="str">
        <f aca="false">IF(P1780="","",IFERROR(INDEX(T_INGRESO,MATCH(C1780,T_ID,0)),""))</f>
        <v/>
      </c>
      <c r="T1780" s="75" t="str">
        <f aca="false">IF(P1780="","",IFERROR(N(INDEX(T_EGRESO,MATCH(C1780,T_ID,0))),0))</f>
        <v/>
      </c>
      <c r="U1780" s="73" t="str">
        <f aca="false">IF(OR(P1780="",NOT(ISNUMBER(S1780))),"",IF(OR(S1780&gt;EOMONTH(B1780,0),AND(T1780&gt;0,T1780&lt;B1780)),0,IF(AND(S1780&lt;=B1780,OR(T1780=0,T1780&gt;=EOMONTH(B1780,0))),30,MIN(30,IF(T1780=0,EOMONTH(B1780,0),MIN(T1780,EOMONTH(B1780,0)))-MAX(B1780,S1780)+1))))</f>
        <v/>
      </c>
    </row>
    <row r="1781" customFormat="false" ht="15" hidden="false" customHeight="false" outlineLevel="0" collapsed="false">
      <c r="B1781" s="78"/>
      <c r="C1781" s="64"/>
      <c r="D1781" s="70" t="str">
        <f aca="false">IF(C1781="","",IFERROR(INDEX(T_NOMBRE,MATCH(C1781,T_ID,0)),"⚠ ID no existe"))</f>
        <v/>
      </c>
      <c r="E1781" s="69"/>
      <c r="F1781" s="69"/>
      <c r="G1781" s="69"/>
      <c r="H1781" s="69"/>
      <c r="I1781" s="66"/>
      <c r="J1781" s="69"/>
      <c r="K1781" s="67"/>
      <c r="L1781" s="67"/>
      <c r="M1781" s="67"/>
      <c r="N1781" s="67"/>
      <c r="O1781" s="64"/>
      <c r="P1781" s="72" t="str">
        <f aca="false">IF(OR(B1781="",C1781=""),"",C1781&amp;"|"&amp;(YEAR(B1781)*100+MONTH(B1781)))</f>
        <v/>
      </c>
      <c r="Q1781" s="70" t="str">
        <f aca="false">IF(P1781="","",IF(COUNTIF(N_CLAVE,P1781)&gt;1,"⚠ Duplicado","OK"))</f>
        <v/>
      </c>
      <c r="R1781" s="74" t="str">
        <f aca="false">IF(OR(P1781="",U1781=""),"",MAX(0,U1781-N(E1781)-N(F1781)-N(H1781)))</f>
        <v/>
      </c>
      <c r="S1781" s="75" t="str">
        <f aca="false">IF(P1781="","",IFERROR(INDEX(T_INGRESO,MATCH(C1781,T_ID,0)),""))</f>
        <v/>
      </c>
      <c r="T1781" s="75" t="str">
        <f aca="false">IF(P1781="","",IFERROR(N(INDEX(T_EGRESO,MATCH(C1781,T_ID,0))),0))</f>
        <v/>
      </c>
      <c r="U1781" s="73" t="str">
        <f aca="false">IF(OR(P1781="",NOT(ISNUMBER(S1781))),"",IF(OR(S1781&gt;EOMONTH(B1781,0),AND(T1781&gt;0,T1781&lt;B1781)),0,IF(AND(S1781&lt;=B1781,OR(T1781=0,T1781&gt;=EOMONTH(B1781,0))),30,MIN(30,IF(T1781=0,EOMONTH(B1781,0),MIN(T1781,EOMONTH(B1781,0)))-MAX(B1781,S1781)+1))))</f>
        <v/>
      </c>
    </row>
    <row r="1782" customFormat="false" ht="15" hidden="false" customHeight="false" outlineLevel="0" collapsed="false">
      <c r="B1782" s="78"/>
      <c r="C1782" s="64"/>
      <c r="D1782" s="70" t="str">
        <f aca="false">IF(C1782="","",IFERROR(INDEX(T_NOMBRE,MATCH(C1782,T_ID,0)),"⚠ ID no existe"))</f>
        <v/>
      </c>
      <c r="E1782" s="69"/>
      <c r="F1782" s="69"/>
      <c r="G1782" s="69"/>
      <c r="H1782" s="69"/>
      <c r="I1782" s="66"/>
      <c r="J1782" s="69"/>
      <c r="K1782" s="67"/>
      <c r="L1782" s="67"/>
      <c r="M1782" s="67"/>
      <c r="N1782" s="67"/>
      <c r="O1782" s="64"/>
      <c r="P1782" s="72" t="str">
        <f aca="false">IF(OR(B1782="",C1782=""),"",C1782&amp;"|"&amp;(YEAR(B1782)*100+MONTH(B1782)))</f>
        <v/>
      </c>
      <c r="Q1782" s="70" t="str">
        <f aca="false">IF(P1782="","",IF(COUNTIF(N_CLAVE,P1782)&gt;1,"⚠ Duplicado","OK"))</f>
        <v/>
      </c>
      <c r="R1782" s="74" t="str">
        <f aca="false">IF(OR(P1782="",U1782=""),"",MAX(0,U1782-N(E1782)-N(F1782)-N(H1782)))</f>
        <v/>
      </c>
      <c r="S1782" s="75" t="str">
        <f aca="false">IF(P1782="","",IFERROR(INDEX(T_INGRESO,MATCH(C1782,T_ID,0)),""))</f>
        <v/>
      </c>
      <c r="T1782" s="75" t="str">
        <f aca="false">IF(P1782="","",IFERROR(N(INDEX(T_EGRESO,MATCH(C1782,T_ID,0))),0))</f>
        <v/>
      </c>
      <c r="U1782" s="73" t="str">
        <f aca="false">IF(OR(P1782="",NOT(ISNUMBER(S1782))),"",IF(OR(S1782&gt;EOMONTH(B1782,0),AND(T1782&gt;0,T1782&lt;B1782)),0,IF(AND(S1782&lt;=B1782,OR(T1782=0,T1782&gt;=EOMONTH(B1782,0))),30,MIN(30,IF(T1782=0,EOMONTH(B1782,0),MIN(T1782,EOMONTH(B1782,0)))-MAX(B1782,S1782)+1))))</f>
        <v/>
      </c>
    </row>
    <row r="1783" customFormat="false" ht="15" hidden="false" customHeight="false" outlineLevel="0" collapsed="false">
      <c r="B1783" s="78"/>
      <c r="C1783" s="64"/>
      <c r="D1783" s="70" t="str">
        <f aca="false">IF(C1783="","",IFERROR(INDEX(T_NOMBRE,MATCH(C1783,T_ID,0)),"⚠ ID no existe"))</f>
        <v/>
      </c>
      <c r="E1783" s="69"/>
      <c r="F1783" s="69"/>
      <c r="G1783" s="69"/>
      <c r="H1783" s="69"/>
      <c r="I1783" s="66"/>
      <c r="J1783" s="69"/>
      <c r="K1783" s="67"/>
      <c r="L1783" s="67"/>
      <c r="M1783" s="67"/>
      <c r="N1783" s="67"/>
      <c r="O1783" s="64"/>
      <c r="P1783" s="72" t="str">
        <f aca="false">IF(OR(B1783="",C1783=""),"",C1783&amp;"|"&amp;(YEAR(B1783)*100+MONTH(B1783)))</f>
        <v/>
      </c>
      <c r="Q1783" s="70" t="str">
        <f aca="false">IF(P1783="","",IF(COUNTIF(N_CLAVE,P1783)&gt;1,"⚠ Duplicado","OK"))</f>
        <v/>
      </c>
      <c r="R1783" s="74" t="str">
        <f aca="false">IF(OR(P1783="",U1783=""),"",MAX(0,U1783-N(E1783)-N(F1783)-N(H1783)))</f>
        <v/>
      </c>
      <c r="S1783" s="75" t="str">
        <f aca="false">IF(P1783="","",IFERROR(INDEX(T_INGRESO,MATCH(C1783,T_ID,0)),""))</f>
        <v/>
      </c>
      <c r="T1783" s="75" t="str">
        <f aca="false">IF(P1783="","",IFERROR(N(INDEX(T_EGRESO,MATCH(C1783,T_ID,0))),0))</f>
        <v/>
      </c>
      <c r="U1783" s="73" t="str">
        <f aca="false">IF(OR(P1783="",NOT(ISNUMBER(S1783))),"",IF(OR(S1783&gt;EOMONTH(B1783,0),AND(T1783&gt;0,T1783&lt;B1783)),0,IF(AND(S1783&lt;=B1783,OR(T1783=0,T1783&gt;=EOMONTH(B1783,0))),30,MIN(30,IF(T1783=0,EOMONTH(B1783,0),MIN(T1783,EOMONTH(B1783,0)))-MAX(B1783,S1783)+1))))</f>
        <v/>
      </c>
    </row>
    <row r="1784" customFormat="false" ht="15" hidden="false" customHeight="false" outlineLevel="0" collapsed="false">
      <c r="B1784" s="78"/>
      <c r="C1784" s="64"/>
      <c r="D1784" s="70" t="str">
        <f aca="false">IF(C1784="","",IFERROR(INDEX(T_NOMBRE,MATCH(C1784,T_ID,0)),"⚠ ID no existe"))</f>
        <v/>
      </c>
      <c r="E1784" s="69"/>
      <c r="F1784" s="69"/>
      <c r="G1784" s="69"/>
      <c r="H1784" s="69"/>
      <c r="I1784" s="66"/>
      <c r="J1784" s="69"/>
      <c r="K1784" s="67"/>
      <c r="L1784" s="67"/>
      <c r="M1784" s="67"/>
      <c r="N1784" s="67"/>
      <c r="O1784" s="64"/>
      <c r="P1784" s="72" t="str">
        <f aca="false">IF(OR(B1784="",C1784=""),"",C1784&amp;"|"&amp;(YEAR(B1784)*100+MONTH(B1784)))</f>
        <v/>
      </c>
      <c r="Q1784" s="70" t="str">
        <f aca="false">IF(P1784="","",IF(COUNTIF(N_CLAVE,P1784)&gt;1,"⚠ Duplicado","OK"))</f>
        <v/>
      </c>
      <c r="R1784" s="74" t="str">
        <f aca="false">IF(OR(P1784="",U1784=""),"",MAX(0,U1784-N(E1784)-N(F1784)-N(H1784)))</f>
        <v/>
      </c>
      <c r="S1784" s="75" t="str">
        <f aca="false">IF(P1784="","",IFERROR(INDEX(T_INGRESO,MATCH(C1784,T_ID,0)),""))</f>
        <v/>
      </c>
      <c r="T1784" s="75" t="str">
        <f aca="false">IF(P1784="","",IFERROR(N(INDEX(T_EGRESO,MATCH(C1784,T_ID,0))),0))</f>
        <v/>
      </c>
      <c r="U1784" s="73" t="str">
        <f aca="false">IF(OR(P1784="",NOT(ISNUMBER(S1784))),"",IF(OR(S1784&gt;EOMONTH(B1784,0),AND(T1784&gt;0,T1784&lt;B1784)),0,IF(AND(S1784&lt;=B1784,OR(T1784=0,T1784&gt;=EOMONTH(B1784,0))),30,MIN(30,IF(T1784=0,EOMONTH(B1784,0),MIN(T1784,EOMONTH(B1784,0)))-MAX(B1784,S1784)+1))))</f>
        <v/>
      </c>
    </row>
    <row r="1785" customFormat="false" ht="15" hidden="false" customHeight="false" outlineLevel="0" collapsed="false">
      <c r="B1785" s="78"/>
      <c r="C1785" s="64"/>
      <c r="D1785" s="70" t="str">
        <f aca="false">IF(C1785="","",IFERROR(INDEX(T_NOMBRE,MATCH(C1785,T_ID,0)),"⚠ ID no existe"))</f>
        <v/>
      </c>
      <c r="E1785" s="69"/>
      <c r="F1785" s="69"/>
      <c r="G1785" s="69"/>
      <c r="H1785" s="69"/>
      <c r="I1785" s="66"/>
      <c r="J1785" s="69"/>
      <c r="K1785" s="67"/>
      <c r="L1785" s="67"/>
      <c r="M1785" s="67"/>
      <c r="N1785" s="67"/>
      <c r="O1785" s="64"/>
      <c r="P1785" s="72" t="str">
        <f aca="false">IF(OR(B1785="",C1785=""),"",C1785&amp;"|"&amp;(YEAR(B1785)*100+MONTH(B1785)))</f>
        <v/>
      </c>
      <c r="Q1785" s="70" t="str">
        <f aca="false">IF(P1785="","",IF(COUNTIF(N_CLAVE,P1785)&gt;1,"⚠ Duplicado","OK"))</f>
        <v/>
      </c>
      <c r="R1785" s="74" t="str">
        <f aca="false">IF(OR(P1785="",U1785=""),"",MAX(0,U1785-N(E1785)-N(F1785)-N(H1785)))</f>
        <v/>
      </c>
      <c r="S1785" s="75" t="str">
        <f aca="false">IF(P1785="","",IFERROR(INDEX(T_INGRESO,MATCH(C1785,T_ID,0)),""))</f>
        <v/>
      </c>
      <c r="T1785" s="75" t="str">
        <f aca="false">IF(P1785="","",IFERROR(N(INDEX(T_EGRESO,MATCH(C1785,T_ID,0))),0))</f>
        <v/>
      </c>
      <c r="U1785" s="73" t="str">
        <f aca="false">IF(OR(P1785="",NOT(ISNUMBER(S1785))),"",IF(OR(S1785&gt;EOMONTH(B1785,0),AND(T1785&gt;0,T1785&lt;B1785)),0,IF(AND(S1785&lt;=B1785,OR(T1785=0,T1785&gt;=EOMONTH(B1785,0))),30,MIN(30,IF(T1785=0,EOMONTH(B1785,0),MIN(T1785,EOMONTH(B1785,0)))-MAX(B1785,S1785)+1))))</f>
        <v/>
      </c>
    </row>
    <row r="1786" customFormat="false" ht="15" hidden="false" customHeight="false" outlineLevel="0" collapsed="false">
      <c r="B1786" s="78"/>
      <c r="C1786" s="64"/>
      <c r="D1786" s="70" t="str">
        <f aca="false">IF(C1786="","",IFERROR(INDEX(T_NOMBRE,MATCH(C1786,T_ID,0)),"⚠ ID no existe"))</f>
        <v/>
      </c>
      <c r="E1786" s="69"/>
      <c r="F1786" s="69"/>
      <c r="G1786" s="69"/>
      <c r="H1786" s="69"/>
      <c r="I1786" s="66"/>
      <c r="J1786" s="69"/>
      <c r="K1786" s="67"/>
      <c r="L1786" s="67"/>
      <c r="M1786" s="67"/>
      <c r="N1786" s="67"/>
      <c r="O1786" s="64"/>
      <c r="P1786" s="72" t="str">
        <f aca="false">IF(OR(B1786="",C1786=""),"",C1786&amp;"|"&amp;(YEAR(B1786)*100+MONTH(B1786)))</f>
        <v/>
      </c>
      <c r="Q1786" s="70" t="str">
        <f aca="false">IF(P1786="","",IF(COUNTIF(N_CLAVE,P1786)&gt;1,"⚠ Duplicado","OK"))</f>
        <v/>
      </c>
      <c r="R1786" s="74" t="str">
        <f aca="false">IF(OR(P1786="",U1786=""),"",MAX(0,U1786-N(E1786)-N(F1786)-N(H1786)))</f>
        <v/>
      </c>
      <c r="S1786" s="75" t="str">
        <f aca="false">IF(P1786="","",IFERROR(INDEX(T_INGRESO,MATCH(C1786,T_ID,0)),""))</f>
        <v/>
      </c>
      <c r="T1786" s="75" t="str">
        <f aca="false">IF(P1786="","",IFERROR(N(INDEX(T_EGRESO,MATCH(C1786,T_ID,0))),0))</f>
        <v/>
      </c>
      <c r="U1786" s="73" t="str">
        <f aca="false">IF(OR(P1786="",NOT(ISNUMBER(S1786))),"",IF(OR(S1786&gt;EOMONTH(B1786,0),AND(T1786&gt;0,T1786&lt;B1786)),0,IF(AND(S1786&lt;=B1786,OR(T1786=0,T1786&gt;=EOMONTH(B1786,0))),30,MIN(30,IF(T1786=0,EOMONTH(B1786,0),MIN(T1786,EOMONTH(B1786,0)))-MAX(B1786,S1786)+1))))</f>
        <v/>
      </c>
    </row>
    <row r="1787" customFormat="false" ht="15" hidden="false" customHeight="false" outlineLevel="0" collapsed="false">
      <c r="B1787" s="78"/>
      <c r="C1787" s="64"/>
      <c r="D1787" s="70" t="str">
        <f aca="false">IF(C1787="","",IFERROR(INDEX(T_NOMBRE,MATCH(C1787,T_ID,0)),"⚠ ID no existe"))</f>
        <v/>
      </c>
      <c r="E1787" s="69"/>
      <c r="F1787" s="69"/>
      <c r="G1787" s="69"/>
      <c r="H1787" s="69"/>
      <c r="I1787" s="66"/>
      <c r="J1787" s="69"/>
      <c r="K1787" s="67"/>
      <c r="L1787" s="67"/>
      <c r="M1787" s="67"/>
      <c r="N1787" s="67"/>
      <c r="O1787" s="64"/>
      <c r="P1787" s="72" t="str">
        <f aca="false">IF(OR(B1787="",C1787=""),"",C1787&amp;"|"&amp;(YEAR(B1787)*100+MONTH(B1787)))</f>
        <v/>
      </c>
      <c r="Q1787" s="70" t="str">
        <f aca="false">IF(P1787="","",IF(COUNTIF(N_CLAVE,P1787)&gt;1,"⚠ Duplicado","OK"))</f>
        <v/>
      </c>
      <c r="R1787" s="74" t="str">
        <f aca="false">IF(OR(P1787="",U1787=""),"",MAX(0,U1787-N(E1787)-N(F1787)-N(H1787)))</f>
        <v/>
      </c>
      <c r="S1787" s="75" t="str">
        <f aca="false">IF(P1787="","",IFERROR(INDEX(T_INGRESO,MATCH(C1787,T_ID,0)),""))</f>
        <v/>
      </c>
      <c r="T1787" s="75" t="str">
        <f aca="false">IF(P1787="","",IFERROR(N(INDEX(T_EGRESO,MATCH(C1787,T_ID,0))),0))</f>
        <v/>
      </c>
      <c r="U1787" s="73" t="str">
        <f aca="false">IF(OR(P1787="",NOT(ISNUMBER(S1787))),"",IF(OR(S1787&gt;EOMONTH(B1787,0),AND(T1787&gt;0,T1787&lt;B1787)),0,IF(AND(S1787&lt;=B1787,OR(T1787=0,T1787&gt;=EOMONTH(B1787,0))),30,MIN(30,IF(T1787=0,EOMONTH(B1787,0),MIN(T1787,EOMONTH(B1787,0)))-MAX(B1787,S1787)+1))))</f>
        <v/>
      </c>
    </row>
    <row r="1788" customFormat="false" ht="15" hidden="false" customHeight="false" outlineLevel="0" collapsed="false">
      <c r="B1788" s="78"/>
      <c r="C1788" s="64"/>
      <c r="D1788" s="70" t="str">
        <f aca="false">IF(C1788="","",IFERROR(INDEX(T_NOMBRE,MATCH(C1788,T_ID,0)),"⚠ ID no existe"))</f>
        <v/>
      </c>
      <c r="E1788" s="69"/>
      <c r="F1788" s="69"/>
      <c r="G1788" s="69"/>
      <c r="H1788" s="69"/>
      <c r="I1788" s="66"/>
      <c r="J1788" s="69"/>
      <c r="K1788" s="67"/>
      <c r="L1788" s="67"/>
      <c r="M1788" s="67"/>
      <c r="N1788" s="67"/>
      <c r="O1788" s="64"/>
      <c r="P1788" s="72" t="str">
        <f aca="false">IF(OR(B1788="",C1788=""),"",C1788&amp;"|"&amp;(YEAR(B1788)*100+MONTH(B1788)))</f>
        <v/>
      </c>
      <c r="Q1788" s="70" t="str">
        <f aca="false">IF(P1788="","",IF(COUNTIF(N_CLAVE,P1788)&gt;1,"⚠ Duplicado","OK"))</f>
        <v/>
      </c>
      <c r="R1788" s="74" t="str">
        <f aca="false">IF(OR(P1788="",U1788=""),"",MAX(0,U1788-N(E1788)-N(F1788)-N(H1788)))</f>
        <v/>
      </c>
      <c r="S1788" s="75" t="str">
        <f aca="false">IF(P1788="","",IFERROR(INDEX(T_INGRESO,MATCH(C1788,T_ID,0)),""))</f>
        <v/>
      </c>
      <c r="T1788" s="75" t="str">
        <f aca="false">IF(P1788="","",IFERROR(N(INDEX(T_EGRESO,MATCH(C1788,T_ID,0))),0))</f>
        <v/>
      </c>
      <c r="U1788" s="73" t="str">
        <f aca="false">IF(OR(P1788="",NOT(ISNUMBER(S1788))),"",IF(OR(S1788&gt;EOMONTH(B1788,0),AND(T1788&gt;0,T1788&lt;B1788)),0,IF(AND(S1788&lt;=B1788,OR(T1788=0,T1788&gt;=EOMONTH(B1788,0))),30,MIN(30,IF(T1788=0,EOMONTH(B1788,0),MIN(T1788,EOMONTH(B1788,0)))-MAX(B1788,S1788)+1))))</f>
        <v/>
      </c>
    </row>
    <row r="1789" customFormat="false" ht="15" hidden="false" customHeight="false" outlineLevel="0" collapsed="false">
      <c r="B1789" s="78"/>
      <c r="C1789" s="64"/>
      <c r="D1789" s="70" t="str">
        <f aca="false">IF(C1789="","",IFERROR(INDEX(T_NOMBRE,MATCH(C1789,T_ID,0)),"⚠ ID no existe"))</f>
        <v/>
      </c>
      <c r="E1789" s="69"/>
      <c r="F1789" s="69"/>
      <c r="G1789" s="69"/>
      <c r="H1789" s="69"/>
      <c r="I1789" s="66"/>
      <c r="J1789" s="69"/>
      <c r="K1789" s="67"/>
      <c r="L1789" s="67"/>
      <c r="M1789" s="67"/>
      <c r="N1789" s="67"/>
      <c r="O1789" s="64"/>
      <c r="P1789" s="72" t="str">
        <f aca="false">IF(OR(B1789="",C1789=""),"",C1789&amp;"|"&amp;(YEAR(B1789)*100+MONTH(B1789)))</f>
        <v/>
      </c>
      <c r="Q1789" s="70" t="str">
        <f aca="false">IF(P1789="","",IF(COUNTIF(N_CLAVE,P1789)&gt;1,"⚠ Duplicado","OK"))</f>
        <v/>
      </c>
      <c r="R1789" s="74" t="str">
        <f aca="false">IF(OR(P1789="",U1789=""),"",MAX(0,U1789-N(E1789)-N(F1789)-N(H1789)))</f>
        <v/>
      </c>
      <c r="S1789" s="75" t="str">
        <f aca="false">IF(P1789="","",IFERROR(INDEX(T_INGRESO,MATCH(C1789,T_ID,0)),""))</f>
        <v/>
      </c>
      <c r="T1789" s="75" t="str">
        <f aca="false">IF(P1789="","",IFERROR(N(INDEX(T_EGRESO,MATCH(C1789,T_ID,0))),0))</f>
        <v/>
      </c>
      <c r="U1789" s="73" t="str">
        <f aca="false">IF(OR(P1789="",NOT(ISNUMBER(S1789))),"",IF(OR(S1789&gt;EOMONTH(B1789,0),AND(T1789&gt;0,T1789&lt;B1789)),0,IF(AND(S1789&lt;=B1789,OR(T1789=0,T1789&gt;=EOMONTH(B1789,0))),30,MIN(30,IF(T1789=0,EOMONTH(B1789,0),MIN(T1789,EOMONTH(B1789,0)))-MAX(B1789,S1789)+1))))</f>
        <v/>
      </c>
    </row>
    <row r="1790" customFormat="false" ht="15" hidden="false" customHeight="false" outlineLevel="0" collapsed="false">
      <c r="B1790" s="78"/>
      <c r="C1790" s="64"/>
      <c r="D1790" s="70" t="str">
        <f aca="false">IF(C1790="","",IFERROR(INDEX(T_NOMBRE,MATCH(C1790,T_ID,0)),"⚠ ID no existe"))</f>
        <v/>
      </c>
      <c r="E1790" s="69"/>
      <c r="F1790" s="69"/>
      <c r="G1790" s="69"/>
      <c r="H1790" s="69"/>
      <c r="I1790" s="66"/>
      <c r="J1790" s="69"/>
      <c r="K1790" s="67"/>
      <c r="L1790" s="67"/>
      <c r="M1790" s="67"/>
      <c r="N1790" s="67"/>
      <c r="O1790" s="64"/>
      <c r="P1790" s="72" t="str">
        <f aca="false">IF(OR(B1790="",C1790=""),"",C1790&amp;"|"&amp;(YEAR(B1790)*100+MONTH(B1790)))</f>
        <v/>
      </c>
      <c r="Q1790" s="70" t="str">
        <f aca="false">IF(P1790="","",IF(COUNTIF(N_CLAVE,P1790)&gt;1,"⚠ Duplicado","OK"))</f>
        <v/>
      </c>
      <c r="R1790" s="74" t="str">
        <f aca="false">IF(OR(P1790="",U1790=""),"",MAX(0,U1790-N(E1790)-N(F1790)-N(H1790)))</f>
        <v/>
      </c>
      <c r="S1790" s="75" t="str">
        <f aca="false">IF(P1790="","",IFERROR(INDEX(T_INGRESO,MATCH(C1790,T_ID,0)),""))</f>
        <v/>
      </c>
      <c r="T1790" s="75" t="str">
        <f aca="false">IF(P1790="","",IFERROR(N(INDEX(T_EGRESO,MATCH(C1790,T_ID,0))),0))</f>
        <v/>
      </c>
      <c r="U1790" s="73" t="str">
        <f aca="false">IF(OR(P1790="",NOT(ISNUMBER(S1790))),"",IF(OR(S1790&gt;EOMONTH(B1790,0),AND(T1790&gt;0,T1790&lt;B1790)),0,IF(AND(S1790&lt;=B1790,OR(T1790=0,T1790&gt;=EOMONTH(B1790,0))),30,MIN(30,IF(T1790=0,EOMONTH(B1790,0),MIN(T1790,EOMONTH(B1790,0)))-MAX(B1790,S1790)+1))))</f>
        <v/>
      </c>
    </row>
    <row r="1791" customFormat="false" ht="15" hidden="false" customHeight="false" outlineLevel="0" collapsed="false">
      <c r="B1791" s="78"/>
      <c r="C1791" s="64"/>
      <c r="D1791" s="70" t="str">
        <f aca="false">IF(C1791="","",IFERROR(INDEX(T_NOMBRE,MATCH(C1791,T_ID,0)),"⚠ ID no existe"))</f>
        <v/>
      </c>
      <c r="E1791" s="69"/>
      <c r="F1791" s="69"/>
      <c r="G1791" s="69"/>
      <c r="H1791" s="69"/>
      <c r="I1791" s="66"/>
      <c r="J1791" s="69"/>
      <c r="K1791" s="67"/>
      <c r="L1791" s="67"/>
      <c r="M1791" s="67"/>
      <c r="N1791" s="67"/>
      <c r="O1791" s="64"/>
      <c r="P1791" s="72" t="str">
        <f aca="false">IF(OR(B1791="",C1791=""),"",C1791&amp;"|"&amp;(YEAR(B1791)*100+MONTH(B1791)))</f>
        <v/>
      </c>
      <c r="Q1791" s="70" t="str">
        <f aca="false">IF(P1791="","",IF(COUNTIF(N_CLAVE,P1791)&gt;1,"⚠ Duplicado","OK"))</f>
        <v/>
      </c>
      <c r="R1791" s="74" t="str">
        <f aca="false">IF(OR(P1791="",U1791=""),"",MAX(0,U1791-N(E1791)-N(F1791)-N(H1791)))</f>
        <v/>
      </c>
      <c r="S1791" s="75" t="str">
        <f aca="false">IF(P1791="","",IFERROR(INDEX(T_INGRESO,MATCH(C1791,T_ID,0)),""))</f>
        <v/>
      </c>
      <c r="T1791" s="75" t="str">
        <f aca="false">IF(P1791="","",IFERROR(N(INDEX(T_EGRESO,MATCH(C1791,T_ID,0))),0))</f>
        <v/>
      </c>
      <c r="U1791" s="73" t="str">
        <f aca="false">IF(OR(P1791="",NOT(ISNUMBER(S1791))),"",IF(OR(S1791&gt;EOMONTH(B1791,0),AND(T1791&gt;0,T1791&lt;B1791)),0,IF(AND(S1791&lt;=B1791,OR(T1791=0,T1791&gt;=EOMONTH(B1791,0))),30,MIN(30,IF(T1791=0,EOMONTH(B1791,0),MIN(T1791,EOMONTH(B1791,0)))-MAX(B1791,S1791)+1))))</f>
        <v/>
      </c>
    </row>
    <row r="1792" customFormat="false" ht="15" hidden="false" customHeight="false" outlineLevel="0" collapsed="false">
      <c r="B1792" s="78"/>
      <c r="C1792" s="64"/>
      <c r="D1792" s="70" t="str">
        <f aca="false">IF(C1792="","",IFERROR(INDEX(T_NOMBRE,MATCH(C1792,T_ID,0)),"⚠ ID no existe"))</f>
        <v/>
      </c>
      <c r="E1792" s="69"/>
      <c r="F1792" s="69"/>
      <c r="G1792" s="69"/>
      <c r="H1792" s="69"/>
      <c r="I1792" s="66"/>
      <c r="J1792" s="69"/>
      <c r="K1792" s="67"/>
      <c r="L1792" s="67"/>
      <c r="M1792" s="67"/>
      <c r="N1792" s="67"/>
      <c r="O1792" s="64"/>
      <c r="P1792" s="72" t="str">
        <f aca="false">IF(OR(B1792="",C1792=""),"",C1792&amp;"|"&amp;(YEAR(B1792)*100+MONTH(B1792)))</f>
        <v/>
      </c>
      <c r="Q1792" s="70" t="str">
        <f aca="false">IF(P1792="","",IF(COUNTIF(N_CLAVE,P1792)&gt;1,"⚠ Duplicado","OK"))</f>
        <v/>
      </c>
      <c r="R1792" s="74" t="str">
        <f aca="false">IF(OR(P1792="",U1792=""),"",MAX(0,U1792-N(E1792)-N(F1792)-N(H1792)))</f>
        <v/>
      </c>
      <c r="S1792" s="75" t="str">
        <f aca="false">IF(P1792="","",IFERROR(INDEX(T_INGRESO,MATCH(C1792,T_ID,0)),""))</f>
        <v/>
      </c>
      <c r="T1792" s="75" t="str">
        <f aca="false">IF(P1792="","",IFERROR(N(INDEX(T_EGRESO,MATCH(C1792,T_ID,0))),0))</f>
        <v/>
      </c>
      <c r="U1792" s="73" t="str">
        <f aca="false">IF(OR(P1792="",NOT(ISNUMBER(S1792))),"",IF(OR(S1792&gt;EOMONTH(B1792,0),AND(T1792&gt;0,T1792&lt;B1792)),0,IF(AND(S1792&lt;=B1792,OR(T1792=0,T1792&gt;=EOMONTH(B1792,0))),30,MIN(30,IF(T1792=0,EOMONTH(B1792,0),MIN(T1792,EOMONTH(B1792,0)))-MAX(B1792,S1792)+1))))</f>
        <v/>
      </c>
    </row>
    <row r="1793" customFormat="false" ht="15" hidden="false" customHeight="false" outlineLevel="0" collapsed="false">
      <c r="B1793" s="78"/>
      <c r="C1793" s="64"/>
      <c r="D1793" s="70" t="str">
        <f aca="false">IF(C1793="","",IFERROR(INDEX(T_NOMBRE,MATCH(C1793,T_ID,0)),"⚠ ID no existe"))</f>
        <v/>
      </c>
      <c r="E1793" s="69"/>
      <c r="F1793" s="69"/>
      <c r="G1793" s="69"/>
      <c r="H1793" s="69"/>
      <c r="I1793" s="66"/>
      <c r="J1793" s="69"/>
      <c r="K1793" s="67"/>
      <c r="L1793" s="67"/>
      <c r="M1793" s="67"/>
      <c r="N1793" s="67"/>
      <c r="O1793" s="64"/>
      <c r="P1793" s="72" t="str">
        <f aca="false">IF(OR(B1793="",C1793=""),"",C1793&amp;"|"&amp;(YEAR(B1793)*100+MONTH(B1793)))</f>
        <v/>
      </c>
      <c r="Q1793" s="70" t="str">
        <f aca="false">IF(P1793="","",IF(COUNTIF(N_CLAVE,P1793)&gt;1,"⚠ Duplicado","OK"))</f>
        <v/>
      </c>
      <c r="R1793" s="74" t="str">
        <f aca="false">IF(OR(P1793="",U1793=""),"",MAX(0,U1793-N(E1793)-N(F1793)-N(H1793)))</f>
        <v/>
      </c>
      <c r="S1793" s="75" t="str">
        <f aca="false">IF(P1793="","",IFERROR(INDEX(T_INGRESO,MATCH(C1793,T_ID,0)),""))</f>
        <v/>
      </c>
      <c r="T1793" s="75" t="str">
        <f aca="false">IF(P1793="","",IFERROR(N(INDEX(T_EGRESO,MATCH(C1793,T_ID,0))),0))</f>
        <v/>
      </c>
      <c r="U1793" s="73" t="str">
        <f aca="false">IF(OR(P1793="",NOT(ISNUMBER(S1793))),"",IF(OR(S1793&gt;EOMONTH(B1793,0),AND(T1793&gt;0,T1793&lt;B1793)),0,IF(AND(S1793&lt;=B1793,OR(T1793=0,T1793&gt;=EOMONTH(B1793,0))),30,MIN(30,IF(T1793=0,EOMONTH(B1793,0),MIN(T1793,EOMONTH(B1793,0)))-MAX(B1793,S1793)+1))))</f>
        <v/>
      </c>
    </row>
    <row r="1794" customFormat="false" ht="15" hidden="false" customHeight="false" outlineLevel="0" collapsed="false">
      <c r="B1794" s="78"/>
      <c r="C1794" s="64"/>
      <c r="D1794" s="70" t="str">
        <f aca="false">IF(C1794="","",IFERROR(INDEX(T_NOMBRE,MATCH(C1794,T_ID,0)),"⚠ ID no existe"))</f>
        <v/>
      </c>
      <c r="E1794" s="69"/>
      <c r="F1794" s="69"/>
      <c r="G1794" s="69"/>
      <c r="H1794" s="69"/>
      <c r="I1794" s="66"/>
      <c r="J1794" s="69"/>
      <c r="K1794" s="67"/>
      <c r="L1794" s="67"/>
      <c r="M1794" s="67"/>
      <c r="N1794" s="67"/>
      <c r="O1794" s="64"/>
      <c r="P1794" s="72" t="str">
        <f aca="false">IF(OR(B1794="",C1794=""),"",C1794&amp;"|"&amp;(YEAR(B1794)*100+MONTH(B1794)))</f>
        <v/>
      </c>
      <c r="Q1794" s="70" t="str">
        <f aca="false">IF(P1794="","",IF(COUNTIF(N_CLAVE,P1794)&gt;1,"⚠ Duplicado","OK"))</f>
        <v/>
      </c>
      <c r="R1794" s="74" t="str">
        <f aca="false">IF(OR(P1794="",U1794=""),"",MAX(0,U1794-N(E1794)-N(F1794)-N(H1794)))</f>
        <v/>
      </c>
      <c r="S1794" s="75" t="str">
        <f aca="false">IF(P1794="","",IFERROR(INDEX(T_INGRESO,MATCH(C1794,T_ID,0)),""))</f>
        <v/>
      </c>
      <c r="T1794" s="75" t="str">
        <f aca="false">IF(P1794="","",IFERROR(N(INDEX(T_EGRESO,MATCH(C1794,T_ID,0))),0))</f>
        <v/>
      </c>
      <c r="U1794" s="73" t="str">
        <f aca="false">IF(OR(P1794="",NOT(ISNUMBER(S1794))),"",IF(OR(S1794&gt;EOMONTH(B1794,0),AND(T1794&gt;0,T1794&lt;B1794)),0,IF(AND(S1794&lt;=B1794,OR(T1794=0,T1794&gt;=EOMONTH(B1794,0))),30,MIN(30,IF(T1794=0,EOMONTH(B1794,0),MIN(T1794,EOMONTH(B1794,0)))-MAX(B1794,S1794)+1))))</f>
        <v/>
      </c>
    </row>
    <row r="1795" customFormat="false" ht="15" hidden="false" customHeight="false" outlineLevel="0" collapsed="false">
      <c r="B1795" s="78"/>
      <c r="C1795" s="64"/>
      <c r="D1795" s="70" t="str">
        <f aca="false">IF(C1795="","",IFERROR(INDEX(T_NOMBRE,MATCH(C1795,T_ID,0)),"⚠ ID no existe"))</f>
        <v/>
      </c>
      <c r="E1795" s="69"/>
      <c r="F1795" s="69"/>
      <c r="G1795" s="69"/>
      <c r="H1795" s="69"/>
      <c r="I1795" s="66"/>
      <c r="J1795" s="69"/>
      <c r="K1795" s="67"/>
      <c r="L1795" s="67"/>
      <c r="M1795" s="67"/>
      <c r="N1795" s="67"/>
      <c r="O1795" s="64"/>
      <c r="P1795" s="72" t="str">
        <f aca="false">IF(OR(B1795="",C1795=""),"",C1795&amp;"|"&amp;(YEAR(B1795)*100+MONTH(B1795)))</f>
        <v/>
      </c>
      <c r="Q1795" s="70" t="str">
        <f aca="false">IF(P1795="","",IF(COUNTIF(N_CLAVE,P1795)&gt;1,"⚠ Duplicado","OK"))</f>
        <v/>
      </c>
      <c r="R1795" s="74" t="str">
        <f aca="false">IF(OR(P1795="",U1795=""),"",MAX(0,U1795-N(E1795)-N(F1795)-N(H1795)))</f>
        <v/>
      </c>
      <c r="S1795" s="75" t="str">
        <f aca="false">IF(P1795="","",IFERROR(INDEX(T_INGRESO,MATCH(C1795,T_ID,0)),""))</f>
        <v/>
      </c>
      <c r="T1795" s="75" t="str">
        <f aca="false">IF(P1795="","",IFERROR(N(INDEX(T_EGRESO,MATCH(C1795,T_ID,0))),0))</f>
        <v/>
      </c>
      <c r="U1795" s="73" t="str">
        <f aca="false">IF(OR(P1795="",NOT(ISNUMBER(S1795))),"",IF(OR(S1795&gt;EOMONTH(B1795,0),AND(T1795&gt;0,T1795&lt;B1795)),0,IF(AND(S1795&lt;=B1795,OR(T1795=0,T1795&gt;=EOMONTH(B1795,0))),30,MIN(30,IF(T1795=0,EOMONTH(B1795,0),MIN(T1795,EOMONTH(B1795,0)))-MAX(B1795,S1795)+1))))</f>
        <v/>
      </c>
    </row>
    <row r="1796" customFormat="false" ht="15" hidden="false" customHeight="false" outlineLevel="0" collapsed="false">
      <c r="B1796" s="78"/>
      <c r="C1796" s="64"/>
      <c r="D1796" s="70" t="str">
        <f aca="false">IF(C1796="","",IFERROR(INDEX(T_NOMBRE,MATCH(C1796,T_ID,0)),"⚠ ID no existe"))</f>
        <v/>
      </c>
      <c r="E1796" s="69"/>
      <c r="F1796" s="69"/>
      <c r="G1796" s="69"/>
      <c r="H1796" s="69"/>
      <c r="I1796" s="66"/>
      <c r="J1796" s="69"/>
      <c r="K1796" s="67"/>
      <c r="L1796" s="67"/>
      <c r="M1796" s="67"/>
      <c r="N1796" s="67"/>
      <c r="O1796" s="64"/>
      <c r="P1796" s="72" t="str">
        <f aca="false">IF(OR(B1796="",C1796=""),"",C1796&amp;"|"&amp;(YEAR(B1796)*100+MONTH(B1796)))</f>
        <v/>
      </c>
      <c r="Q1796" s="70" t="str">
        <f aca="false">IF(P1796="","",IF(COUNTIF(N_CLAVE,P1796)&gt;1,"⚠ Duplicado","OK"))</f>
        <v/>
      </c>
      <c r="R1796" s="74" t="str">
        <f aca="false">IF(OR(P1796="",U1796=""),"",MAX(0,U1796-N(E1796)-N(F1796)-N(H1796)))</f>
        <v/>
      </c>
      <c r="S1796" s="75" t="str">
        <f aca="false">IF(P1796="","",IFERROR(INDEX(T_INGRESO,MATCH(C1796,T_ID,0)),""))</f>
        <v/>
      </c>
      <c r="T1796" s="75" t="str">
        <f aca="false">IF(P1796="","",IFERROR(N(INDEX(T_EGRESO,MATCH(C1796,T_ID,0))),0))</f>
        <v/>
      </c>
      <c r="U1796" s="73" t="str">
        <f aca="false">IF(OR(P1796="",NOT(ISNUMBER(S1796))),"",IF(OR(S1796&gt;EOMONTH(B1796,0),AND(T1796&gt;0,T1796&lt;B1796)),0,IF(AND(S1796&lt;=B1796,OR(T1796=0,T1796&gt;=EOMONTH(B1796,0))),30,MIN(30,IF(T1796=0,EOMONTH(B1796,0),MIN(T1796,EOMONTH(B1796,0)))-MAX(B1796,S1796)+1))))</f>
        <v/>
      </c>
    </row>
    <row r="1797" customFormat="false" ht="15" hidden="false" customHeight="false" outlineLevel="0" collapsed="false">
      <c r="B1797" s="78"/>
      <c r="C1797" s="64"/>
      <c r="D1797" s="70" t="str">
        <f aca="false">IF(C1797="","",IFERROR(INDEX(T_NOMBRE,MATCH(C1797,T_ID,0)),"⚠ ID no existe"))</f>
        <v/>
      </c>
      <c r="E1797" s="69"/>
      <c r="F1797" s="69"/>
      <c r="G1797" s="69"/>
      <c r="H1797" s="69"/>
      <c r="I1797" s="66"/>
      <c r="J1797" s="69"/>
      <c r="K1797" s="67"/>
      <c r="L1797" s="67"/>
      <c r="M1797" s="67"/>
      <c r="N1797" s="67"/>
      <c r="O1797" s="64"/>
      <c r="P1797" s="72" t="str">
        <f aca="false">IF(OR(B1797="",C1797=""),"",C1797&amp;"|"&amp;(YEAR(B1797)*100+MONTH(B1797)))</f>
        <v/>
      </c>
      <c r="Q1797" s="70" t="str">
        <f aca="false">IF(P1797="","",IF(COUNTIF(N_CLAVE,P1797)&gt;1,"⚠ Duplicado","OK"))</f>
        <v/>
      </c>
      <c r="R1797" s="74" t="str">
        <f aca="false">IF(OR(P1797="",U1797=""),"",MAX(0,U1797-N(E1797)-N(F1797)-N(H1797)))</f>
        <v/>
      </c>
      <c r="S1797" s="75" t="str">
        <f aca="false">IF(P1797="","",IFERROR(INDEX(T_INGRESO,MATCH(C1797,T_ID,0)),""))</f>
        <v/>
      </c>
      <c r="T1797" s="75" t="str">
        <f aca="false">IF(P1797="","",IFERROR(N(INDEX(T_EGRESO,MATCH(C1797,T_ID,0))),0))</f>
        <v/>
      </c>
      <c r="U1797" s="73" t="str">
        <f aca="false">IF(OR(P1797="",NOT(ISNUMBER(S1797))),"",IF(OR(S1797&gt;EOMONTH(B1797,0),AND(T1797&gt;0,T1797&lt;B1797)),0,IF(AND(S1797&lt;=B1797,OR(T1797=0,T1797&gt;=EOMONTH(B1797,0))),30,MIN(30,IF(T1797=0,EOMONTH(B1797,0),MIN(T1797,EOMONTH(B1797,0)))-MAX(B1797,S1797)+1))))</f>
        <v/>
      </c>
    </row>
    <row r="1798" customFormat="false" ht="15" hidden="false" customHeight="false" outlineLevel="0" collapsed="false">
      <c r="B1798" s="78"/>
      <c r="C1798" s="64"/>
      <c r="D1798" s="70" t="str">
        <f aca="false">IF(C1798="","",IFERROR(INDEX(T_NOMBRE,MATCH(C1798,T_ID,0)),"⚠ ID no existe"))</f>
        <v/>
      </c>
      <c r="E1798" s="69"/>
      <c r="F1798" s="69"/>
      <c r="G1798" s="69"/>
      <c r="H1798" s="69"/>
      <c r="I1798" s="66"/>
      <c r="J1798" s="69"/>
      <c r="K1798" s="67"/>
      <c r="L1798" s="67"/>
      <c r="M1798" s="67"/>
      <c r="N1798" s="67"/>
      <c r="O1798" s="64"/>
      <c r="P1798" s="72" t="str">
        <f aca="false">IF(OR(B1798="",C1798=""),"",C1798&amp;"|"&amp;(YEAR(B1798)*100+MONTH(B1798)))</f>
        <v/>
      </c>
      <c r="Q1798" s="70" t="str">
        <f aca="false">IF(P1798="","",IF(COUNTIF(N_CLAVE,P1798)&gt;1,"⚠ Duplicado","OK"))</f>
        <v/>
      </c>
      <c r="R1798" s="74" t="str">
        <f aca="false">IF(OR(P1798="",U1798=""),"",MAX(0,U1798-N(E1798)-N(F1798)-N(H1798)))</f>
        <v/>
      </c>
      <c r="S1798" s="75" t="str">
        <f aca="false">IF(P1798="","",IFERROR(INDEX(T_INGRESO,MATCH(C1798,T_ID,0)),""))</f>
        <v/>
      </c>
      <c r="T1798" s="75" t="str">
        <f aca="false">IF(P1798="","",IFERROR(N(INDEX(T_EGRESO,MATCH(C1798,T_ID,0))),0))</f>
        <v/>
      </c>
      <c r="U1798" s="73" t="str">
        <f aca="false">IF(OR(P1798="",NOT(ISNUMBER(S1798))),"",IF(OR(S1798&gt;EOMONTH(B1798,0),AND(T1798&gt;0,T1798&lt;B1798)),0,IF(AND(S1798&lt;=B1798,OR(T1798=0,T1798&gt;=EOMONTH(B1798,0))),30,MIN(30,IF(T1798=0,EOMONTH(B1798,0),MIN(T1798,EOMONTH(B1798,0)))-MAX(B1798,S1798)+1))))</f>
        <v/>
      </c>
    </row>
    <row r="1799" customFormat="false" ht="15" hidden="false" customHeight="false" outlineLevel="0" collapsed="false">
      <c r="B1799" s="78"/>
      <c r="C1799" s="64"/>
      <c r="D1799" s="70" t="str">
        <f aca="false">IF(C1799="","",IFERROR(INDEX(T_NOMBRE,MATCH(C1799,T_ID,0)),"⚠ ID no existe"))</f>
        <v/>
      </c>
      <c r="E1799" s="69"/>
      <c r="F1799" s="69"/>
      <c r="G1799" s="69"/>
      <c r="H1799" s="69"/>
      <c r="I1799" s="66"/>
      <c r="J1799" s="69"/>
      <c r="K1799" s="67"/>
      <c r="L1799" s="67"/>
      <c r="M1799" s="67"/>
      <c r="N1799" s="67"/>
      <c r="O1799" s="64"/>
      <c r="P1799" s="72" t="str">
        <f aca="false">IF(OR(B1799="",C1799=""),"",C1799&amp;"|"&amp;(YEAR(B1799)*100+MONTH(B1799)))</f>
        <v/>
      </c>
      <c r="Q1799" s="70" t="str">
        <f aca="false">IF(P1799="","",IF(COUNTIF(N_CLAVE,P1799)&gt;1,"⚠ Duplicado","OK"))</f>
        <v/>
      </c>
      <c r="R1799" s="74" t="str">
        <f aca="false">IF(OR(P1799="",U1799=""),"",MAX(0,U1799-N(E1799)-N(F1799)-N(H1799)))</f>
        <v/>
      </c>
      <c r="S1799" s="75" t="str">
        <f aca="false">IF(P1799="","",IFERROR(INDEX(T_INGRESO,MATCH(C1799,T_ID,0)),""))</f>
        <v/>
      </c>
      <c r="T1799" s="75" t="str">
        <f aca="false">IF(P1799="","",IFERROR(N(INDEX(T_EGRESO,MATCH(C1799,T_ID,0))),0))</f>
        <v/>
      </c>
      <c r="U1799" s="73" t="str">
        <f aca="false">IF(OR(P1799="",NOT(ISNUMBER(S1799))),"",IF(OR(S1799&gt;EOMONTH(B1799,0),AND(T1799&gt;0,T1799&lt;B1799)),0,IF(AND(S1799&lt;=B1799,OR(T1799=0,T1799&gt;=EOMONTH(B1799,0))),30,MIN(30,IF(T1799=0,EOMONTH(B1799,0),MIN(T1799,EOMONTH(B1799,0)))-MAX(B1799,S1799)+1))))</f>
        <v/>
      </c>
    </row>
    <row r="1800" customFormat="false" ht="15" hidden="false" customHeight="false" outlineLevel="0" collapsed="false">
      <c r="B1800" s="78"/>
      <c r="C1800" s="64"/>
      <c r="D1800" s="70" t="str">
        <f aca="false">IF(C1800="","",IFERROR(INDEX(T_NOMBRE,MATCH(C1800,T_ID,0)),"⚠ ID no existe"))</f>
        <v/>
      </c>
      <c r="E1800" s="69"/>
      <c r="F1800" s="69"/>
      <c r="G1800" s="69"/>
      <c r="H1800" s="69"/>
      <c r="I1800" s="66"/>
      <c r="J1800" s="69"/>
      <c r="K1800" s="67"/>
      <c r="L1800" s="67"/>
      <c r="M1800" s="67"/>
      <c r="N1800" s="67"/>
      <c r="O1800" s="64"/>
      <c r="P1800" s="72" t="str">
        <f aca="false">IF(OR(B1800="",C1800=""),"",C1800&amp;"|"&amp;(YEAR(B1800)*100+MONTH(B1800)))</f>
        <v/>
      </c>
      <c r="Q1800" s="70" t="str">
        <f aca="false">IF(P1800="","",IF(COUNTIF(N_CLAVE,P1800)&gt;1,"⚠ Duplicado","OK"))</f>
        <v/>
      </c>
      <c r="R1800" s="74" t="str">
        <f aca="false">IF(OR(P1800="",U1800=""),"",MAX(0,U1800-N(E1800)-N(F1800)-N(H1800)))</f>
        <v/>
      </c>
      <c r="S1800" s="75" t="str">
        <f aca="false">IF(P1800="","",IFERROR(INDEX(T_INGRESO,MATCH(C1800,T_ID,0)),""))</f>
        <v/>
      </c>
      <c r="T1800" s="75" t="str">
        <f aca="false">IF(P1800="","",IFERROR(N(INDEX(T_EGRESO,MATCH(C1800,T_ID,0))),0))</f>
        <v/>
      </c>
      <c r="U1800" s="73" t="str">
        <f aca="false">IF(OR(P1800="",NOT(ISNUMBER(S1800))),"",IF(OR(S1800&gt;EOMONTH(B1800,0),AND(T1800&gt;0,T1800&lt;B1800)),0,IF(AND(S1800&lt;=B1800,OR(T1800=0,T1800&gt;=EOMONTH(B1800,0))),30,MIN(30,IF(T1800=0,EOMONTH(B1800,0),MIN(T1800,EOMONTH(B1800,0)))-MAX(B1800,S1800)+1))))</f>
        <v/>
      </c>
    </row>
    <row r="1801" customFormat="false" ht="15" hidden="false" customHeight="false" outlineLevel="0" collapsed="false">
      <c r="B1801" s="78"/>
      <c r="C1801" s="64"/>
      <c r="D1801" s="70" t="str">
        <f aca="false">IF(C1801="","",IFERROR(INDEX(T_NOMBRE,MATCH(C1801,T_ID,0)),"⚠ ID no existe"))</f>
        <v/>
      </c>
      <c r="E1801" s="69"/>
      <c r="F1801" s="69"/>
      <c r="G1801" s="69"/>
      <c r="H1801" s="69"/>
      <c r="I1801" s="66"/>
      <c r="J1801" s="69"/>
      <c r="K1801" s="67"/>
      <c r="L1801" s="67"/>
      <c r="M1801" s="67"/>
      <c r="N1801" s="67"/>
      <c r="O1801" s="64"/>
      <c r="P1801" s="72" t="str">
        <f aca="false">IF(OR(B1801="",C1801=""),"",C1801&amp;"|"&amp;(YEAR(B1801)*100+MONTH(B1801)))</f>
        <v/>
      </c>
      <c r="Q1801" s="70" t="str">
        <f aca="false">IF(P1801="","",IF(COUNTIF(N_CLAVE,P1801)&gt;1,"⚠ Duplicado","OK"))</f>
        <v/>
      </c>
      <c r="R1801" s="74" t="str">
        <f aca="false">IF(OR(P1801="",U1801=""),"",MAX(0,U1801-N(E1801)-N(F1801)-N(H1801)))</f>
        <v/>
      </c>
      <c r="S1801" s="75" t="str">
        <f aca="false">IF(P1801="","",IFERROR(INDEX(T_INGRESO,MATCH(C1801,T_ID,0)),""))</f>
        <v/>
      </c>
      <c r="T1801" s="75" t="str">
        <f aca="false">IF(P1801="","",IFERROR(N(INDEX(T_EGRESO,MATCH(C1801,T_ID,0))),0))</f>
        <v/>
      </c>
      <c r="U1801" s="73" t="str">
        <f aca="false">IF(OR(P1801="",NOT(ISNUMBER(S1801))),"",IF(OR(S1801&gt;EOMONTH(B1801,0),AND(T1801&gt;0,T1801&lt;B1801)),0,IF(AND(S1801&lt;=B1801,OR(T1801=0,T1801&gt;=EOMONTH(B1801,0))),30,MIN(30,IF(T1801=0,EOMONTH(B1801,0),MIN(T1801,EOMONTH(B1801,0)))-MAX(B1801,S1801)+1))))</f>
        <v/>
      </c>
    </row>
    <row r="1802" customFormat="false" ht="15" hidden="false" customHeight="false" outlineLevel="0" collapsed="false">
      <c r="B1802" s="78"/>
      <c r="C1802" s="64"/>
      <c r="D1802" s="70" t="str">
        <f aca="false">IF(C1802="","",IFERROR(INDEX(T_NOMBRE,MATCH(C1802,T_ID,0)),"⚠ ID no existe"))</f>
        <v/>
      </c>
      <c r="E1802" s="69"/>
      <c r="F1802" s="69"/>
      <c r="G1802" s="69"/>
      <c r="H1802" s="69"/>
      <c r="I1802" s="66"/>
      <c r="J1802" s="69"/>
      <c r="K1802" s="67"/>
      <c r="L1802" s="67"/>
      <c r="M1802" s="67"/>
      <c r="N1802" s="67"/>
      <c r="O1802" s="64"/>
      <c r="P1802" s="72" t="str">
        <f aca="false">IF(OR(B1802="",C1802=""),"",C1802&amp;"|"&amp;(YEAR(B1802)*100+MONTH(B1802)))</f>
        <v/>
      </c>
      <c r="Q1802" s="70" t="str">
        <f aca="false">IF(P1802="","",IF(COUNTIF(N_CLAVE,P1802)&gt;1,"⚠ Duplicado","OK"))</f>
        <v/>
      </c>
      <c r="R1802" s="74" t="str">
        <f aca="false">IF(OR(P1802="",U1802=""),"",MAX(0,U1802-N(E1802)-N(F1802)-N(H1802)))</f>
        <v/>
      </c>
      <c r="S1802" s="75" t="str">
        <f aca="false">IF(P1802="","",IFERROR(INDEX(T_INGRESO,MATCH(C1802,T_ID,0)),""))</f>
        <v/>
      </c>
      <c r="T1802" s="75" t="str">
        <f aca="false">IF(P1802="","",IFERROR(N(INDEX(T_EGRESO,MATCH(C1802,T_ID,0))),0))</f>
        <v/>
      </c>
      <c r="U1802" s="73" t="str">
        <f aca="false">IF(OR(P1802="",NOT(ISNUMBER(S1802))),"",IF(OR(S1802&gt;EOMONTH(B1802,0),AND(T1802&gt;0,T1802&lt;B1802)),0,IF(AND(S1802&lt;=B1802,OR(T1802=0,T1802&gt;=EOMONTH(B1802,0))),30,MIN(30,IF(T1802=0,EOMONTH(B1802,0),MIN(T1802,EOMONTH(B1802,0)))-MAX(B1802,S1802)+1))))</f>
        <v/>
      </c>
    </row>
    <row r="1803" customFormat="false" ht="15" hidden="false" customHeight="false" outlineLevel="0" collapsed="false">
      <c r="B1803" s="78"/>
      <c r="C1803" s="64"/>
      <c r="D1803" s="70" t="str">
        <f aca="false">IF(C1803="","",IFERROR(INDEX(T_NOMBRE,MATCH(C1803,T_ID,0)),"⚠ ID no existe"))</f>
        <v/>
      </c>
      <c r="E1803" s="69"/>
      <c r="F1803" s="69"/>
      <c r="G1803" s="69"/>
      <c r="H1803" s="69"/>
      <c r="I1803" s="66"/>
      <c r="J1803" s="69"/>
      <c r="K1803" s="67"/>
      <c r="L1803" s="67"/>
      <c r="M1803" s="67"/>
      <c r="N1803" s="67"/>
      <c r="O1803" s="64"/>
      <c r="P1803" s="72" t="str">
        <f aca="false">IF(OR(B1803="",C1803=""),"",C1803&amp;"|"&amp;(YEAR(B1803)*100+MONTH(B1803)))</f>
        <v/>
      </c>
      <c r="Q1803" s="70" t="str">
        <f aca="false">IF(P1803="","",IF(COUNTIF(N_CLAVE,P1803)&gt;1,"⚠ Duplicado","OK"))</f>
        <v/>
      </c>
      <c r="R1803" s="74" t="str">
        <f aca="false">IF(OR(P1803="",U1803=""),"",MAX(0,U1803-N(E1803)-N(F1803)-N(H1803)))</f>
        <v/>
      </c>
      <c r="S1803" s="75" t="str">
        <f aca="false">IF(P1803="","",IFERROR(INDEX(T_INGRESO,MATCH(C1803,T_ID,0)),""))</f>
        <v/>
      </c>
      <c r="T1803" s="75" t="str">
        <f aca="false">IF(P1803="","",IFERROR(N(INDEX(T_EGRESO,MATCH(C1803,T_ID,0))),0))</f>
        <v/>
      </c>
      <c r="U1803" s="73" t="str">
        <f aca="false">IF(OR(P1803="",NOT(ISNUMBER(S1803))),"",IF(OR(S1803&gt;EOMONTH(B1803,0),AND(T1803&gt;0,T1803&lt;B1803)),0,IF(AND(S1803&lt;=B1803,OR(T1803=0,T1803&gt;=EOMONTH(B1803,0))),30,MIN(30,IF(T1803=0,EOMONTH(B1803,0),MIN(T1803,EOMONTH(B1803,0)))-MAX(B1803,S1803)+1))))</f>
        <v/>
      </c>
    </row>
    <row r="1804" customFormat="false" ht="15" hidden="false" customHeight="false" outlineLevel="0" collapsed="false">
      <c r="B1804" s="78"/>
      <c r="C1804" s="64"/>
      <c r="D1804" s="70" t="str">
        <f aca="false">IF(C1804="","",IFERROR(INDEX(T_NOMBRE,MATCH(C1804,T_ID,0)),"⚠ ID no existe"))</f>
        <v/>
      </c>
      <c r="E1804" s="69"/>
      <c r="F1804" s="69"/>
      <c r="G1804" s="69"/>
      <c r="H1804" s="69"/>
      <c r="I1804" s="66"/>
      <c r="J1804" s="69"/>
      <c r="K1804" s="67"/>
      <c r="L1804" s="67"/>
      <c r="M1804" s="67"/>
      <c r="N1804" s="67"/>
      <c r="O1804" s="64"/>
      <c r="P1804" s="72" t="str">
        <f aca="false">IF(OR(B1804="",C1804=""),"",C1804&amp;"|"&amp;(YEAR(B1804)*100+MONTH(B1804)))</f>
        <v/>
      </c>
      <c r="Q1804" s="70" t="str">
        <f aca="false">IF(P1804="","",IF(COUNTIF(N_CLAVE,P1804)&gt;1,"⚠ Duplicado","OK"))</f>
        <v/>
      </c>
      <c r="R1804" s="74" t="str">
        <f aca="false">IF(OR(P1804="",U1804=""),"",MAX(0,U1804-N(E1804)-N(F1804)-N(H1804)))</f>
        <v/>
      </c>
      <c r="S1804" s="75" t="str">
        <f aca="false">IF(P1804="","",IFERROR(INDEX(T_INGRESO,MATCH(C1804,T_ID,0)),""))</f>
        <v/>
      </c>
      <c r="T1804" s="75" t="str">
        <f aca="false">IF(P1804="","",IFERROR(N(INDEX(T_EGRESO,MATCH(C1804,T_ID,0))),0))</f>
        <v/>
      </c>
      <c r="U1804" s="73" t="str">
        <f aca="false">IF(OR(P1804="",NOT(ISNUMBER(S1804))),"",IF(OR(S1804&gt;EOMONTH(B1804,0),AND(T1804&gt;0,T1804&lt;B1804)),0,IF(AND(S1804&lt;=B1804,OR(T1804=0,T1804&gt;=EOMONTH(B1804,0))),30,MIN(30,IF(T1804=0,EOMONTH(B1804,0),MIN(T1804,EOMONTH(B1804,0)))-MAX(B1804,S1804)+1))))</f>
        <v/>
      </c>
    </row>
    <row r="1805" customFormat="false" ht="15" hidden="false" customHeight="false" outlineLevel="0" collapsed="false">
      <c r="B1805" s="78"/>
      <c r="C1805" s="64"/>
      <c r="D1805" s="70" t="str">
        <f aca="false">IF(C1805="","",IFERROR(INDEX(T_NOMBRE,MATCH(C1805,T_ID,0)),"⚠ ID no existe"))</f>
        <v/>
      </c>
      <c r="E1805" s="69"/>
      <c r="F1805" s="69"/>
      <c r="G1805" s="69"/>
      <c r="H1805" s="69"/>
      <c r="I1805" s="66"/>
      <c r="J1805" s="69"/>
      <c r="K1805" s="67"/>
      <c r="L1805" s="67"/>
      <c r="M1805" s="67"/>
      <c r="N1805" s="67"/>
      <c r="O1805" s="64"/>
      <c r="P1805" s="72" t="str">
        <f aca="false">IF(OR(B1805="",C1805=""),"",C1805&amp;"|"&amp;(YEAR(B1805)*100+MONTH(B1805)))</f>
        <v/>
      </c>
      <c r="Q1805" s="70" t="str">
        <f aca="false">IF(P1805="","",IF(COUNTIF(N_CLAVE,P1805)&gt;1,"⚠ Duplicado","OK"))</f>
        <v/>
      </c>
      <c r="R1805" s="74" t="str">
        <f aca="false">IF(OR(P1805="",U1805=""),"",MAX(0,U1805-N(E1805)-N(F1805)-N(H1805)))</f>
        <v/>
      </c>
      <c r="S1805" s="75" t="str">
        <f aca="false">IF(P1805="","",IFERROR(INDEX(T_INGRESO,MATCH(C1805,T_ID,0)),""))</f>
        <v/>
      </c>
      <c r="T1805" s="75" t="str">
        <f aca="false">IF(P1805="","",IFERROR(N(INDEX(T_EGRESO,MATCH(C1805,T_ID,0))),0))</f>
        <v/>
      </c>
      <c r="U1805" s="73" t="str">
        <f aca="false">IF(OR(P1805="",NOT(ISNUMBER(S1805))),"",IF(OR(S1805&gt;EOMONTH(B1805,0),AND(T1805&gt;0,T1805&lt;B1805)),0,IF(AND(S1805&lt;=B1805,OR(T1805=0,T1805&gt;=EOMONTH(B1805,0))),30,MIN(30,IF(T1805=0,EOMONTH(B1805,0),MIN(T1805,EOMONTH(B1805,0)))-MAX(B1805,S1805)+1))))</f>
        <v/>
      </c>
    </row>
    <row r="1806" customFormat="false" ht="15" hidden="false" customHeight="false" outlineLevel="0" collapsed="false">
      <c r="B1806" s="78"/>
      <c r="C1806" s="64"/>
      <c r="D1806" s="70" t="str">
        <f aca="false">IF(C1806="","",IFERROR(INDEX(T_NOMBRE,MATCH(C1806,T_ID,0)),"⚠ ID no existe"))</f>
        <v/>
      </c>
      <c r="E1806" s="69"/>
      <c r="F1806" s="69"/>
      <c r="G1806" s="69"/>
      <c r="H1806" s="69"/>
      <c r="I1806" s="66"/>
      <c r="J1806" s="69"/>
      <c r="K1806" s="67"/>
      <c r="L1806" s="67"/>
      <c r="M1806" s="67"/>
      <c r="N1806" s="67"/>
      <c r="O1806" s="64"/>
      <c r="P1806" s="72" t="str">
        <f aca="false">IF(OR(B1806="",C1806=""),"",C1806&amp;"|"&amp;(YEAR(B1806)*100+MONTH(B1806)))</f>
        <v/>
      </c>
      <c r="Q1806" s="70" t="str">
        <f aca="false">IF(P1806="","",IF(COUNTIF(N_CLAVE,P1806)&gt;1,"⚠ Duplicado","OK"))</f>
        <v/>
      </c>
      <c r="R1806" s="74" t="str">
        <f aca="false">IF(OR(P1806="",U1806=""),"",MAX(0,U1806-N(E1806)-N(F1806)-N(H1806)))</f>
        <v/>
      </c>
      <c r="S1806" s="75" t="str">
        <f aca="false">IF(P1806="","",IFERROR(INDEX(T_INGRESO,MATCH(C1806,T_ID,0)),""))</f>
        <v/>
      </c>
      <c r="T1806" s="75" t="str">
        <f aca="false">IF(P1806="","",IFERROR(N(INDEX(T_EGRESO,MATCH(C1806,T_ID,0))),0))</f>
        <v/>
      </c>
      <c r="U1806" s="73" t="str">
        <f aca="false">IF(OR(P1806="",NOT(ISNUMBER(S1806))),"",IF(OR(S1806&gt;EOMONTH(B1806,0),AND(T1806&gt;0,T1806&lt;B1806)),0,IF(AND(S1806&lt;=B1806,OR(T1806=0,T1806&gt;=EOMONTH(B1806,0))),30,MIN(30,IF(T1806=0,EOMONTH(B1806,0),MIN(T1806,EOMONTH(B1806,0)))-MAX(B1806,S1806)+1))))</f>
        <v/>
      </c>
    </row>
    <row r="1807" customFormat="false" ht="15" hidden="false" customHeight="false" outlineLevel="0" collapsed="false">
      <c r="B1807" s="78"/>
      <c r="C1807" s="64"/>
      <c r="D1807" s="70" t="str">
        <f aca="false">IF(C1807="","",IFERROR(INDEX(T_NOMBRE,MATCH(C1807,T_ID,0)),"⚠ ID no existe"))</f>
        <v/>
      </c>
      <c r="E1807" s="69"/>
      <c r="F1807" s="69"/>
      <c r="G1807" s="69"/>
      <c r="H1807" s="69"/>
      <c r="I1807" s="66"/>
      <c r="J1807" s="69"/>
      <c r="K1807" s="67"/>
      <c r="L1807" s="67"/>
      <c r="M1807" s="67"/>
      <c r="N1807" s="67"/>
      <c r="O1807" s="64"/>
      <c r="P1807" s="72" t="str">
        <f aca="false">IF(OR(B1807="",C1807=""),"",C1807&amp;"|"&amp;(YEAR(B1807)*100+MONTH(B1807)))</f>
        <v/>
      </c>
      <c r="Q1807" s="70" t="str">
        <f aca="false">IF(P1807="","",IF(COUNTIF(N_CLAVE,P1807)&gt;1,"⚠ Duplicado","OK"))</f>
        <v/>
      </c>
      <c r="R1807" s="74" t="str">
        <f aca="false">IF(OR(P1807="",U1807=""),"",MAX(0,U1807-N(E1807)-N(F1807)-N(H1807)))</f>
        <v/>
      </c>
      <c r="S1807" s="75" t="str">
        <f aca="false">IF(P1807="","",IFERROR(INDEX(T_INGRESO,MATCH(C1807,T_ID,0)),""))</f>
        <v/>
      </c>
      <c r="T1807" s="75" t="str">
        <f aca="false">IF(P1807="","",IFERROR(N(INDEX(T_EGRESO,MATCH(C1807,T_ID,0))),0))</f>
        <v/>
      </c>
      <c r="U1807" s="73" t="str">
        <f aca="false">IF(OR(P1807="",NOT(ISNUMBER(S1807))),"",IF(OR(S1807&gt;EOMONTH(B1807,0),AND(T1807&gt;0,T1807&lt;B1807)),0,IF(AND(S1807&lt;=B1807,OR(T1807=0,T1807&gt;=EOMONTH(B1807,0))),30,MIN(30,IF(T1807=0,EOMONTH(B1807,0),MIN(T1807,EOMONTH(B1807,0)))-MAX(B1807,S1807)+1))))</f>
        <v/>
      </c>
    </row>
    <row r="1808" customFormat="false" ht="15" hidden="false" customHeight="false" outlineLevel="0" collapsed="false">
      <c r="B1808" s="78"/>
      <c r="C1808" s="64"/>
      <c r="D1808" s="70" t="str">
        <f aca="false">IF(C1808="","",IFERROR(INDEX(T_NOMBRE,MATCH(C1808,T_ID,0)),"⚠ ID no existe"))</f>
        <v/>
      </c>
      <c r="E1808" s="69"/>
      <c r="F1808" s="69"/>
      <c r="G1808" s="69"/>
      <c r="H1808" s="69"/>
      <c r="I1808" s="66"/>
      <c r="J1808" s="69"/>
      <c r="K1808" s="67"/>
      <c r="L1808" s="67"/>
      <c r="M1808" s="67"/>
      <c r="N1808" s="67"/>
      <c r="O1808" s="64"/>
      <c r="P1808" s="72" t="str">
        <f aca="false">IF(OR(B1808="",C1808=""),"",C1808&amp;"|"&amp;(YEAR(B1808)*100+MONTH(B1808)))</f>
        <v/>
      </c>
      <c r="Q1808" s="70" t="str">
        <f aca="false">IF(P1808="","",IF(COUNTIF(N_CLAVE,P1808)&gt;1,"⚠ Duplicado","OK"))</f>
        <v/>
      </c>
      <c r="R1808" s="74" t="str">
        <f aca="false">IF(OR(P1808="",U1808=""),"",MAX(0,U1808-N(E1808)-N(F1808)-N(H1808)))</f>
        <v/>
      </c>
      <c r="S1808" s="75" t="str">
        <f aca="false">IF(P1808="","",IFERROR(INDEX(T_INGRESO,MATCH(C1808,T_ID,0)),""))</f>
        <v/>
      </c>
      <c r="T1808" s="75" t="str">
        <f aca="false">IF(P1808="","",IFERROR(N(INDEX(T_EGRESO,MATCH(C1808,T_ID,0))),0))</f>
        <v/>
      </c>
      <c r="U1808" s="73" t="str">
        <f aca="false">IF(OR(P1808="",NOT(ISNUMBER(S1808))),"",IF(OR(S1808&gt;EOMONTH(B1808,0),AND(T1808&gt;0,T1808&lt;B1808)),0,IF(AND(S1808&lt;=B1808,OR(T1808=0,T1808&gt;=EOMONTH(B1808,0))),30,MIN(30,IF(T1808=0,EOMONTH(B1808,0),MIN(T1808,EOMONTH(B1808,0)))-MAX(B1808,S1808)+1))))</f>
        <v/>
      </c>
    </row>
    <row r="1809" customFormat="false" ht="15" hidden="false" customHeight="false" outlineLevel="0" collapsed="false">
      <c r="B1809" s="78"/>
      <c r="C1809" s="64"/>
      <c r="D1809" s="70" t="str">
        <f aca="false">IF(C1809="","",IFERROR(INDEX(T_NOMBRE,MATCH(C1809,T_ID,0)),"⚠ ID no existe"))</f>
        <v/>
      </c>
      <c r="E1809" s="69"/>
      <c r="F1809" s="69"/>
      <c r="G1809" s="69"/>
      <c r="H1809" s="69"/>
      <c r="I1809" s="66"/>
      <c r="J1809" s="69"/>
      <c r="K1809" s="67"/>
      <c r="L1809" s="67"/>
      <c r="M1809" s="67"/>
      <c r="N1809" s="67"/>
      <c r="O1809" s="64"/>
      <c r="P1809" s="72" t="str">
        <f aca="false">IF(OR(B1809="",C1809=""),"",C1809&amp;"|"&amp;(YEAR(B1809)*100+MONTH(B1809)))</f>
        <v/>
      </c>
      <c r="Q1809" s="70" t="str">
        <f aca="false">IF(P1809="","",IF(COUNTIF(N_CLAVE,P1809)&gt;1,"⚠ Duplicado","OK"))</f>
        <v/>
      </c>
      <c r="R1809" s="74" t="str">
        <f aca="false">IF(OR(P1809="",U1809=""),"",MAX(0,U1809-N(E1809)-N(F1809)-N(H1809)))</f>
        <v/>
      </c>
      <c r="S1809" s="75" t="str">
        <f aca="false">IF(P1809="","",IFERROR(INDEX(T_INGRESO,MATCH(C1809,T_ID,0)),""))</f>
        <v/>
      </c>
      <c r="T1809" s="75" t="str">
        <f aca="false">IF(P1809="","",IFERROR(N(INDEX(T_EGRESO,MATCH(C1809,T_ID,0))),0))</f>
        <v/>
      </c>
      <c r="U1809" s="73" t="str">
        <f aca="false">IF(OR(P1809="",NOT(ISNUMBER(S1809))),"",IF(OR(S1809&gt;EOMONTH(B1809,0),AND(T1809&gt;0,T1809&lt;B1809)),0,IF(AND(S1809&lt;=B1809,OR(T1809=0,T1809&gt;=EOMONTH(B1809,0))),30,MIN(30,IF(T1809=0,EOMONTH(B1809,0),MIN(T1809,EOMONTH(B1809,0)))-MAX(B1809,S1809)+1))))</f>
        <v/>
      </c>
    </row>
    <row r="1810" customFormat="false" ht="15" hidden="false" customHeight="false" outlineLevel="0" collapsed="false">
      <c r="B1810" s="78"/>
      <c r="C1810" s="64"/>
      <c r="D1810" s="70" t="str">
        <f aca="false">IF(C1810="","",IFERROR(INDEX(T_NOMBRE,MATCH(C1810,T_ID,0)),"⚠ ID no existe"))</f>
        <v/>
      </c>
      <c r="E1810" s="69"/>
      <c r="F1810" s="69"/>
      <c r="G1810" s="69"/>
      <c r="H1810" s="69"/>
      <c r="I1810" s="66"/>
      <c r="J1810" s="69"/>
      <c r="K1810" s="67"/>
      <c r="L1810" s="67"/>
      <c r="M1810" s="67"/>
      <c r="N1810" s="67"/>
      <c r="O1810" s="64"/>
      <c r="P1810" s="72" t="str">
        <f aca="false">IF(OR(B1810="",C1810=""),"",C1810&amp;"|"&amp;(YEAR(B1810)*100+MONTH(B1810)))</f>
        <v/>
      </c>
      <c r="Q1810" s="70" t="str">
        <f aca="false">IF(P1810="","",IF(COUNTIF(N_CLAVE,P1810)&gt;1,"⚠ Duplicado","OK"))</f>
        <v/>
      </c>
      <c r="R1810" s="74" t="str">
        <f aca="false">IF(OR(P1810="",U1810=""),"",MAX(0,U1810-N(E1810)-N(F1810)-N(H1810)))</f>
        <v/>
      </c>
      <c r="S1810" s="75" t="str">
        <f aca="false">IF(P1810="","",IFERROR(INDEX(T_INGRESO,MATCH(C1810,T_ID,0)),""))</f>
        <v/>
      </c>
      <c r="T1810" s="75" t="str">
        <f aca="false">IF(P1810="","",IFERROR(N(INDEX(T_EGRESO,MATCH(C1810,T_ID,0))),0))</f>
        <v/>
      </c>
      <c r="U1810" s="73" t="str">
        <f aca="false">IF(OR(P1810="",NOT(ISNUMBER(S1810))),"",IF(OR(S1810&gt;EOMONTH(B1810,0),AND(T1810&gt;0,T1810&lt;B1810)),0,IF(AND(S1810&lt;=B1810,OR(T1810=0,T1810&gt;=EOMONTH(B1810,0))),30,MIN(30,IF(T1810=0,EOMONTH(B1810,0),MIN(T1810,EOMONTH(B1810,0)))-MAX(B1810,S1810)+1))))</f>
        <v/>
      </c>
    </row>
    <row r="1811" customFormat="false" ht="15" hidden="false" customHeight="false" outlineLevel="0" collapsed="false">
      <c r="B1811" s="78"/>
      <c r="C1811" s="64"/>
      <c r="D1811" s="70" t="str">
        <f aca="false">IF(C1811="","",IFERROR(INDEX(T_NOMBRE,MATCH(C1811,T_ID,0)),"⚠ ID no existe"))</f>
        <v/>
      </c>
      <c r="E1811" s="69"/>
      <c r="F1811" s="69"/>
      <c r="G1811" s="69"/>
      <c r="H1811" s="69"/>
      <c r="I1811" s="66"/>
      <c r="J1811" s="69"/>
      <c r="K1811" s="67"/>
      <c r="L1811" s="67"/>
      <c r="M1811" s="67"/>
      <c r="N1811" s="67"/>
      <c r="O1811" s="64"/>
      <c r="P1811" s="72" t="str">
        <f aca="false">IF(OR(B1811="",C1811=""),"",C1811&amp;"|"&amp;(YEAR(B1811)*100+MONTH(B1811)))</f>
        <v/>
      </c>
      <c r="Q1811" s="70" t="str">
        <f aca="false">IF(P1811="","",IF(COUNTIF(N_CLAVE,P1811)&gt;1,"⚠ Duplicado","OK"))</f>
        <v/>
      </c>
      <c r="R1811" s="74" t="str">
        <f aca="false">IF(OR(P1811="",U1811=""),"",MAX(0,U1811-N(E1811)-N(F1811)-N(H1811)))</f>
        <v/>
      </c>
      <c r="S1811" s="75" t="str">
        <f aca="false">IF(P1811="","",IFERROR(INDEX(T_INGRESO,MATCH(C1811,T_ID,0)),""))</f>
        <v/>
      </c>
      <c r="T1811" s="75" t="str">
        <f aca="false">IF(P1811="","",IFERROR(N(INDEX(T_EGRESO,MATCH(C1811,T_ID,0))),0))</f>
        <v/>
      </c>
      <c r="U1811" s="73" t="str">
        <f aca="false">IF(OR(P1811="",NOT(ISNUMBER(S1811))),"",IF(OR(S1811&gt;EOMONTH(B1811,0),AND(T1811&gt;0,T1811&lt;B1811)),0,IF(AND(S1811&lt;=B1811,OR(T1811=0,T1811&gt;=EOMONTH(B1811,0))),30,MIN(30,IF(T1811=0,EOMONTH(B1811,0),MIN(T1811,EOMONTH(B1811,0)))-MAX(B1811,S1811)+1))))</f>
        <v/>
      </c>
    </row>
    <row r="1812" customFormat="false" ht="15" hidden="false" customHeight="false" outlineLevel="0" collapsed="false">
      <c r="B1812" s="78"/>
      <c r="C1812" s="64"/>
      <c r="D1812" s="70" t="str">
        <f aca="false">IF(C1812="","",IFERROR(INDEX(T_NOMBRE,MATCH(C1812,T_ID,0)),"⚠ ID no existe"))</f>
        <v/>
      </c>
      <c r="E1812" s="69"/>
      <c r="F1812" s="69"/>
      <c r="G1812" s="69"/>
      <c r="H1812" s="69"/>
      <c r="I1812" s="66"/>
      <c r="J1812" s="69"/>
      <c r="K1812" s="67"/>
      <c r="L1812" s="67"/>
      <c r="M1812" s="67"/>
      <c r="N1812" s="67"/>
      <c r="O1812" s="64"/>
      <c r="P1812" s="72" t="str">
        <f aca="false">IF(OR(B1812="",C1812=""),"",C1812&amp;"|"&amp;(YEAR(B1812)*100+MONTH(B1812)))</f>
        <v/>
      </c>
      <c r="Q1812" s="70" t="str">
        <f aca="false">IF(P1812="","",IF(COUNTIF(N_CLAVE,P1812)&gt;1,"⚠ Duplicado","OK"))</f>
        <v/>
      </c>
      <c r="R1812" s="74" t="str">
        <f aca="false">IF(OR(P1812="",U1812=""),"",MAX(0,U1812-N(E1812)-N(F1812)-N(H1812)))</f>
        <v/>
      </c>
      <c r="S1812" s="75" t="str">
        <f aca="false">IF(P1812="","",IFERROR(INDEX(T_INGRESO,MATCH(C1812,T_ID,0)),""))</f>
        <v/>
      </c>
      <c r="T1812" s="75" t="str">
        <f aca="false">IF(P1812="","",IFERROR(N(INDEX(T_EGRESO,MATCH(C1812,T_ID,0))),0))</f>
        <v/>
      </c>
      <c r="U1812" s="73" t="str">
        <f aca="false">IF(OR(P1812="",NOT(ISNUMBER(S1812))),"",IF(OR(S1812&gt;EOMONTH(B1812,0),AND(T1812&gt;0,T1812&lt;B1812)),0,IF(AND(S1812&lt;=B1812,OR(T1812=0,T1812&gt;=EOMONTH(B1812,0))),30,MIN(30,IF(T1812=0,EOMONTH(B1812,0),MIN(T1812,EOMONTH(B1812,0)))-MAX(B1812,S1812)+1))))</f>
        <v/>
      </c>
    </row>
    <row r="1813" customFormat="false" ht="15" hidden="false" customHeight="false" outlineLevel="0" collapsed="false">
      <c r="B1813" s="78"/>
      <c r="C1813" s="64"/>
      <c r="D1813" s="70" t="str">
        <f aca="false">IF(C1813="","",IFERROR(INDEX(T_NOMBRE,MATCH(C1813,T_ID,0)),"⚠ ID no existe"))</f>
        <v/>
      </c>
      <c r="E1813" s="69"/>
      <c r="F1813" s="69"/>
      <c r="G1813" s="69"/>
      <c r="H1813" s="69"/>
      <c r="I1813" s="66"/>
      <c r="J1813" s="69"/>
      <c r="K1813" s="67"/>
      <c r="L1813" s="67"/>
      <c r="M1813" s="67"/>
      <c r="N1813" s="67"/>
      <c r="O1813" s="64"/>
      <c r="P1813" s="72" t="str">
        <f aca="false">IF(OR(B1813="",C1813=""),"",C1813&amp;"|"&amp;(YEAR(B1813)*100+MONTH(B1813)))</f>
        <v/>
      </c>
      <c r="Q1813" s="70" t="str">
        <f aca="false">IF(P1813="","",IF(COUNTIF(N_CLAVE,P1813)&gt;1,"⚠ Duplicado","OK"))</f>
        <v/>
      </c>
      <c r="R1813" s="74" t="str">
        <f aca="false">IF(OR(P1813="",U1813=""),"",MAX(0,U1813-N(E1813)-N(F1813)-N(H1813)))</f>
        <v/>
      </c>
      <c r="S1813" s="75" t="str">
        <f aca="false">IF(P1813="","",IFERROR(INDEX(T_INGRESO,MATCH(C1813,T_ID,0)),""))</f>
        <v/>
      </c>
      <c r="T1813" s="75" t="str">
        <f aca="false">IF(P1813="","",IFERROR(N(INDEX(T_EGRESO,MATCH(C1813,T_ID,0))),0))</f>
        <v/>
      </c>
      <c r="U1813" s="73" t="str">
        <f aca="false">IF(OR(P1813="",NOT(ISNUMBER(S1813))),"",IF(OR(S1813&gt;EOMONTH(B1813,0),AND(T1813&gt;0,T1813&lt;B1813)),0,IF(AND(S1813&lt;=B1813,OR(T1813=0,T1813&gt;=EOMONTH(B1813,0))),30,MIN(30,IF(T1813=0,EOMONTH(B1813,0),MIN(T1813,EOMONTH(B1813,0)))-MAX(B1813,S1813)+1))))</f>
        <v/>
      </c>
    </row>
    <row r="1814" customFormat="false" ht="15" hidden="false" customHeight="false" outlineLevel="0" collapsed="false">
      <c r="B1814" s="78"/>
      <c r="C1814" s="64"/>
      <c r="D1814" s="70" t="str">
        <f aca="false">IF(C1814="","",IFERROR(INDEX(T_NOMBRE,MATCH(C1814,T_ID,0)),"⚠ ID no existe"))</f>
        <v/>
      </c>
      <c r="E1814" s="69"/>
      <c r="F1814" s="69"/>
      <c r="G1814" s="69"/>
      <c r="H1814" s="69"/>
      <c r="I1814" s="66"/>
      <c r="J1814" s="69"/>
      <c r="K1814" s="67"/>
      <c r="L1814" s="67"/>
      <c r="M1814" s="67"/>
      <c r="N1814" s="67"/>
      <c r="O1814" s="64"/>
      <c r="P1814" s="72" t="str">
        <f aca="false">IF(OR(B1814="",C1814=""),"",C1814&amp;"|"&amp;(YEAR(B1814)*100+MONTH(B1814)))</f>
        <v/>
      </c>
      <c r="Q1814" s="70" t="str">
        <f aca="false">IF(P1814="","",IF(COUNTIF(N_CLAVE,P1814)&gt;1,"⚠ Duplicado","OK"))</f>
        <v/>
      </c>
      <c r="R1814" s="74" t="str">
        <f aca="false">IF(OR(P1814="",U1814=""),"",MAX(0,U1814-N(E1814)-N(F1814)-N(H1814)))</f>
        <v/>
      </c>
      <c r="S1814" s="75" t="str">
        <f aca="false">IF(P1814="","",IFERROR(INDEX(T_INGRESO,MATCH(C1814,T_ID,0)),""))</f>
        <v/>
      </c>
      <c r="T1814" s="75" t="str">
        <f aca="false">IF(P1814="","",IFERROR(N(INDEX(T_EGRESO,MATCH(C1814,T_ID,0))),0))</f>
        <v/>
      </c>
      <c r="U1814" s="73" t="str">
        <f aca="false">IF(OR(P1814="",NOT(ISNUMBER(S1814))),"",IF(OR(S1814&gt;EOMONTH(B1814,0),AND(T1814&gt;0,T1814&lt;B1814)),0,IF(AND(S1814&lt;=B1814,OR(T1814=0,T1814&gt;=EOMONTH(B1814,0))),30,MIN(30,IF(T1814=0,EOMONTH(B1814,0),MIN(T1814,EOMONTH(B1814,0)))-MAX(B1814,S1814)+1))))</f>
        <v/>
      </c>
    </row>
    <row r="1815" customFormat="false" ht="15" hidden="false" customHeight="false" outlineLevel="0" collapsed="false">
      <c r="B1815" s="78"/>
      <c r="C1815" s="64"/>
      <c r="D1815" s="70" t="str">
        <f aca="false">IF(C1815="","",IFERROR(INDEX(T_NOMBRE,MATCH(C1815,T_ID,0)),"⚠ ID no existe"))</f>
        <v/>
      </c>
      <c r="E1815" s="69"/>
      <c r="F1815" s="69"/>
      <c r="G1815" s="69"/>
      <c r="H1815" s="69"/>
      <c r="I1815" s="66"/>
      <c r="J1815" s="69"/>
      <c r="K1815" s="67"/>
      <c r="L1815" s="67"/>
      <c r="M1815" s="67"/>
      <c r="N1815" s="67"/>
      <c r="O1815" s="64"/>
      <c r="P1815" s="72" t="str">
        <f aca="false">IF(OR(B1815="",C1815=""),"",C1815&amp;"|"&amp;(YEAR(B1815)*100+MONTH(B1815)))</f>
        <v/>
      </c>
      <c r="Q1815" s="70" t="str">
        <f aca="false">IF(P1815="","",IF(COUNTIF(N_CLAVE,P1815)&gt;1,"⚠ Duplicado","OK"))</f>
        <v/>
      </c>
      <c r="R1815" s="74" t="str">
        <f aca="false">IF(OR(P1815="",U1815=""),"",MAX(0,U1815-N(E1815)-N(F1815)-N(H1815)))</f>
        <v/>
      </c>
      <c r="S1815" s="75" t="str">
        <f aca="false">IF(P1815="","",IFERROR(INDEX(T_INGRESO,MATCH(C1815,T_ID,0)),""))</f>
        <v/>
      </c>
      <c r="T1815" s="75" t="str">
        <f aca="false">IF(P1815="","",IFERROR(N(INDEX(T_EGRESO,MATCH(C1815,T_ID,0))),0))</f>
        <v/>
      </c>
      <c r="U1815" s="73" t="str">
        <f aca="false">IF(OR(P1815="",NOT(ISNUMBER(S1815))),"",IF(OR(S1815&gt;EOMONTH(B1815,0),AND(T1815&gt;0,T1815&lt;B1815)),0,IF(AND(S1815&lt;=B1815,OR(T1815=0,T1815&gt;=EOMONTH(B1815,0))),30,MIN(30,IF(T1815=0,EOMONTH(B1815,0),MIN(T1815,EOMONTH(B1815,0)))-MAX(B1815,S1815)+1))))</f>
        <v/>
      </c>
    </row>
    <row r="1816" customFormat="false" ht="15" hidden="false" customHeight="false" outlineLevel="0" collapsed="false">
      <c r="B1816" s="78"/>
      <c r="C1816" s="64"/>
      <c r="D1816" s="70" t="str">
        <f aca="false">IF(C1816="","",IFERROR(INDEX(T_NOMBRE,MATCH(C1816,T_ID,0)),"⚠ ID no existe"))</f>
        <v/>
      </c>
      <c r="E1816" s="69"/>
      <c r="F1816" s="69"/>
      <c r="G1816" s="69"/>
      <c r="H1816" s="69"/>
      <c r="I1816" s="66"/>
      <c r="J1816" s="69"/>
      <c r="K1816" s="67"/>
      <c r="L1816" s="67"/>
      <c r="M1816" s="67"/>
      <c r="N1816" s="67"/>
      <c r="O1816" s="64"/>
      <c r="P1816" s="72" t="str">
        <f aca="false">IF(OR(B1816="",C1816=""),"",C1816&amp;"|"&amp;(YEAR(B1816)*100+MONTH(B1816)))</f>
        <v/>
      </c>
      <c r="Q1816" s="70" t="str">
        <f aca="false">IF(P1816="","",IF(COUNTIF(N_CLAVE,P1816)&gt;1,"⚠ Duplicado","OK"))</f>
        <v/>
      </c>
      <c r="R1816" s="74" t="str">
        <f aca="false">IF(OR(P1816="",U1816=""),"",MAX(0,U1816-N(E1816)-N(F1816)-N(H1816)))</f>
        <v/>
      </c>
      <c r="S1816" s="75" t="str">
        <f aca="false">IF(P1816="","",IFERROR(INDEX(T_INGRESO,MATCH(C1816,T_ID,0)),""))</f>
        <v/>
      </c>
      <c r="T1816" s="75" t="str">
        <f aca="false">IF(P1816="","",IFERROR(N(INDEX(T_EGRESO,MATCH(C1816,T_ID,0))),0))</f>
        <v/>
      </c>
      <c r="U1816" s="73" t="str">
        <f aca="false">IF(OR(P1816="",NOT(ISNUMBER(S1816))),"",IF(OR(S1816&gt;EOMONTH(B1816,0),AND(T1816&gt;0,T1816&lt;B1816)),0,IF(AND(S1816&lt;=B1816,OR(T1816=0,T1816&gt;=EOMONTH(B1816,0))),30,MIN(30,IF(T1816=0,EOMONTH(B1816,0),MIN(T1816,EOMONTH(B1816,0)))-MAX(B1816,S1816)+1))))</f>
        <v/>
      </c>
    </row>
    <row r="1817" customFormat="false" ht="15" hidden="false" customHeight="false" outlineLevel="0" collapsed="false">
      <c r="B1817" s="78"/>
      <c r="C1817" s="64"/>
      <c r="D1817" s="70" t="str">
        <f aca="false">IF(C1817="","",IFERROR(INDEX(T_NOMBRE,MATCH(C1817,T_ID,0)),"⚠ ID no existe"))</f>
        <v/>
      </c>
      <c r="E1817" s="69"/>
      <c r="F1817" s="69"/>
      <c r="G1817" s="69"/>
      <c r="H1817" s="69"/>
      <c r="I1817" s="66"/>
      <c r="J1817" s="69"/>
      <c r="K1817" s="67"/>
      <c r="L1817" s="67"/>
      <c r="M1817" s="67"/>
      <c r="N1817" s="67"/>
      <c r="O1817" s="64"/>
      <c r="P1817" s="72" t="str">
        <f aca="false">IF(OR(B1817="",C1817=""),"",C1817&amp;"|"&amp;(YEAR(B1817)*100+MONTH(B1817)))</f>
        <v/>
      </c>
      <c r="Q1817" s="70" t="str">
        <f aca="false">IF(P1817="","",IF(COUNTIF(N_CLAVE,P1817)&gt;1,"⚠ Duplicado","OK"))</f>
        <v/>
      </c>
      <c r="R1817" s="74" t="str">
        <f aca="false">IF(OR(P1817="",U1817=""),"",MAX(0,U1817-N(E1817)-N(F1817)-N(H1817)))</f>
        <v/>
      </c>
      <c r="S1817" s="75" t="str">
        <f aca="false">IF(P1817="","",IFERROR(INDEX(T_INGRESO,MATCH(C1817,T_ID,0)),""))</f>
        <v/>
      </c>
      <c r="T1817" s="75" t="str">
        <f aca="false">IF(P1817="","",IFERROR(N(INDEX(T_EGRESO,MATCH(C1817,T_ID,0))),0))</f>
        <v/>
      </c>
      <c r="U1817" s="73" t="str">
        <f aca="false">IF(OR(P1817="",NOT(ISNUMBER(S1817))),"",IF(OR(S1817&gt;EOMONTH(B1817,0),AND(T1817&gt;0,T1817&lt;B1817)),0,IF(AND(S1817&lt;=B1817,OR(T1817=0,T1817&gt;=EOMONTH(B1817,0))),30,MIN(30,IF(T1817=0,EOMONTH(B1817,0),MIN(T1817,EOMONTH(B1817,0)))-MAX(B1817,S1817)+1))))</f>
        <v/>
      </c>
    </row>
    <row r="1818" customFormat="false" ht="15" hidden="false" customHeight="false" outlineLevel="0" collapsed="false">
      <c r="B1818" s="78"/>
      <c r="C1818" s="64"/>
      <c r="D1818" s="70" t="str">
        <f aca="false">IF(C1818="","",IFERROR(INDEX(T_NOMBRE,MATCH(C1818,T_ID,0)),"⚠ ID no existe"))</f>
        <v/>
      </c>
      <c r="E1818" s="69"/>
      <c r="F1818" s="69"/>
      <c r="G1818" s="69"/>
      <c r="H1818" s="69"/>
      <c r="I1818" s="66"/>
      <c r="J1818" s="69"/>
      <c r="K1818" s="67"/>
      <c r="L1818" s="67"/>
      <c r="M1818" s="67"/>
      <c r="N1818" s="67"/>
      <c r="O1818" s="64"/>
      <c r="P1818" s="72" t="str">
        <f aca="false">IF(OR(B1818="",C1818=""),"",C1818&amp;"|"&amp;(YEAR(B1818)*100+MONTH(B1818)))</f>
        <v/>
      </c>
      <c r="Q1818" s="70" t="str">
        <f aca="false">IF(P1818="","",IF(COUNTIF(N_CLAVE,P1818)&gt;1,"⚠ Duplicado","OK"))</f>
        <v/>
      </c>
      <c r="R1818" s="74" t="str">
        <f aca="false">IF(OR(P1818="",U1818=""),"",MAX(0,U1818-N(E1818)-N(F1818)-N(H1818)))</f>
        <v/>
      </c>
      <c r="S1818" s="75" t="str">
        <f aca="false">IF(P1818="","",IFERROR(INDEX(T_INGRESO,MATCH(C1818,T_ID,0)),""))</f>
        <v/>
      </c>
      <c r="T1818" s="75" t="str">
        <f aca="false">IF(P1818="","",IFERROR(N(INDEX(T_EGRESO,MATCH(C1818,T_ID,0))),0))</f>
        <v/>
      </c>
      <c r="U1818" s="73" t="str">
        <f aca="false">IF(OR(P1818="",NOT(ISNUMBER(S1818))),"",IF(OR(S1818&gt;EOMONTH(B1818,0),AND(T1818&gt;0,T1818&lt;B1818)),0,IF(AND(S1818&lt;=B1818,OR(T1818=0,T1818&gt;=EOMONTH(B1818,0))),30,MIN(30,IF(T1818=0,EOMONTH(B1818,0),MIN(T1818,EOMONTH(B1818,0)))-MAX(B1818,S1818)+1))))</f>
        <v/>
      </c>
    </row>
    <row r="1819" customFormat="false" ht="15" hidden="false" customHeight="false" outlineLevel="0" collapsed="false">
      <c r="B1819" s="78"/>
      <c r="C1819" s="64"/>
      <c r="D1819" s="70" t="str">
        <f aca="false">IF(C1819="","",IFERROR(INDEX(T_NOMBRE,MATCH(C1819,T_ID,0)),"⚠ ID no existe"))</f>
        <v/>
      </c>
      <c r="E1819" s="69"/>
      <c r="F1819" s="69"/>
      <c r="G1819" s="69"/>
      <c r="H1819" s="69"/>
      <c r="I1819" s="66"/>
      <c r="J1819" s="69"/>
      <c r="K1819" s="67"/>
      <c r="L1819" s="67"/>
      <c r="M1819" s="67"/>
      <c r="N1819" s="67"/>
      <c r="O1819" s="64"/>
      <c r="P1819" s="72" t="str">
        <f aca="false">IF(OR(B1819="",C1819=""),"",C1819&amp;"|"&amp;(YEAR(B1819)*100+MONTH(B1819)))</f>
        <v/>
      </c>
      <c r="Q1819" s="70" t="str">
        <f aca="false">IF(P1819="","",IF(COUNTIF(N_CLAVE,P1819)&gt;1,"⚠ Duplicado","OK"))</f>
        <v/>
      </c>
      <c r="R1819" s="74" t="str">
        <f aca="false">IF(OR(P1819="",U1819=""),"",MAX(0,U1819-N(E1819)-N(F1819)-N(H1819)))</f>
        <v/>
      </c>
      <c r="S1819" s="75" t="str">
        <f aca="false">IF(P1819="","",IFERROR(INDEX(T_INGRESO,MATCH(C1819,T_ID,0)),""))</f>
        <v/>
      </c>
      <c r="T1819" s="75" t="str">
        <f aca="false">IF(P1819="","",IFERROR(N(INDEX(T_EGRESO,MATCH(C1819,T_ID,0))),0))</f>
        <v/>
      </c>
      <c r="U1819" s="73" t="str">
        <f aca="false">IF(OR(P1819="",NOT(ISNUMBER(S1819))),"",IF(OR(S1819&gt;EOMONTH(B1819,0),AND(T1819&gt;0,T1819&lt;B1819)),0,IF(AND(S1819&lt;=B1819,OR(T1819=0,T1819&gt;=EOMONTH(B1819,0))),30,MIN(30,IF(T1819=0,EOMONTH(B1819,0),MIN(T1819,EOMONTH(B1819,0)))-MAX(B1819,S1819)+1))))</f>
        <v/>
      </c>
    </row>
    <row r="1820" customFormat="false" ht="15" hidden="false" customHeight="false" outlineLevel="0" collapsed="false">
      <c r="B1820" s="78"/>
      <c r="C1820" s="64"/>
      <c r="D1820" s="70" t="str">
        <f aca="false">IF(C1820="","",IFERROR(INDEX(T_NOMBRE,MATCH(C1820,T_ID,0)),"⚠ ID no existe"))</f>
        <v/>
      </c>
      <c r="E1820" s="69"/>
      <c r="F1820" s="69"/>
      <c r="G1820" s="69"/>
      <c r="H1820" s="69"/>
      <c r="I1820" s="66"/>
      <c r="J1820" s="69"/>
      <c r="K1820" s="67"/>
      <c r="L1820" s="67"/>
      <c r="M1820" s="67"/>
      <c r="N1820" s="67"/>
      <c r="O1820" s="64"/>
      <c r="P1820" s="72" t="str">
        <f aca="false">IF(OR(B1820="",C1820=""),"",C1820&amp;"|"&amp;(YEAR(B1820)*100+MONTH(B1820)))</f>
        <v/>
      </c>
      <c r="Q1820" s="70" t="str">
        <f aca="false">IF(P1820="","",IF(COUNTIF(N_CLAVE,P1820)&gt;1,"⚠ Duplicado","OK"))</f>
        <v/>
      </c>
      <c r="R1820" s="74" t="str">
        <f aca="false">IF(OR(P1820="",U1820=""),"",MAX(0,U1820-N(E1820)-N(F1820)-N(H1820)))</f>
        <v/>
      </c>
      <c r="S1820" s="75" t="str">
        <f aca="false">IF(P1820="","",IFERROR(INDEX(T_INGRESO,MATCH(C1820,T_ID,0)),""))</f>
        <v/>
      </c>
      <c r="T1820" s="75" t="str">
        <f aca="false">IF(P1820="","",IFERROR(N(INDEX(T_EGRESO,MATCH(C1820,T_ID,0))),0))</f>
        <v/>
      </c>
      <c r="U1820" s="73" t="str">
        <f aca="false">IF(OR(P1820="",NOT(ISNUMBER(S1820))),"",IF(OR(S1820&gt;EOMONTH(B1820,0),AND(T1820&gt;0,T1820&lt;B1820)),0,IF(AND(S1820&lt;=B1820,OR(T1820=0,T1820&gt;=EOMONTH(B1820,0))),30,MIN(30,IF(T1820=0,EOMONTH(B1820,0),MIN(T1820,EOMONTH(B1820,0)))-MAX(B1820,S1820)+1))))</f>
        <v/>
      </c>
    </row>
    <row r="1821" customFormat="false" ht="15" hidden="false" customHeight="false" outlineLevel="0" collapsed="false">
      <c r="B1821" s="78"/>
      <c r="C1821" s="64"/>
      <c r="D1821" s="70" t="str">
        <f aca="false">IF(C1821="","",IFERROR(INDEX(T_NOMBRE,MATCH(C1821,T_ID,0)),"⚠ ID no existe"))</f>
        <v/>
      </c>
      <c r="E1821" s="69"/>
      <c r="F1821" s="69"/>
      <c r="G1821" s="69"/>
      <c r="H1821" s="69"/>
      <c r="I1821" s="66"/>
      <c r="J1821" s="69"/>
      <c r="K1821" s="67"/>
      <c r="L1821" s="67"/>
      <c r="M1821" s="67"/>
      <c r="N1821" s="67"/>
      <c r="O1821" s="64"/>
      <c r="P1821" s="72" t="str">
        <f aca="false">IF(OR(B1821="",C1821=""),"",C1821&amp;"|"&amp;(YEAR(B1821)*100+MONTH(B1821)))</f>
        <v/>
      </c>
      <c r="Q1821" s="70" t="str">
        <f aca="false">IF(P1821="","",IF(COUNTIF(N_CLAVE,P1821)&gt;1,"⚠ Duplicado","OK"))</f>
        <v/>
      </c>
      <c r="R1821" s="74" t="str">
        <f aca="false">IF(OR(P1821="",U1821=""),"",MAX(0,U1821-N(E1821)-N(F1821)-N(H1821)))</f>
        <v/>
      </c>
      <c r="S1821" s="75" t="str">
        <f aca="false">IF(P1821="","",IFERROR(INDEX(T_INGRESO,MATCH(C1821,T_ID,0)),""))</f>
        <v/>
      </c>
      <c r="T1821" s="75" t="str">
        <f aca="false">IF(P1821="","",IFERROR(N(INDEX(T_EGRESO,MATCH(C1821,T_ID,0))),0))</f>
        <v/>
      </c>
      <c r="U1821" s="73" t="str">
        <f aca="false">IF(OR(P1821="",NOT(ISNUMBER(S1821))),"",IF(OR(S1821&gt;EOMONTH(B1821,0),AND(T1821&gt;0,T1821&lt;B1821)),0,IF(AND(S1821&lt;=B1821,OR(T1821=0,T1821&gt;=EOMONTH(B1821,0))),30,MIN(30,IF(T1821=0,EOMONTH(B1821,0),MIN(T1821,EOMONTH(B1821,0)))-MAX(B1821,S1821)+1))))</f>
        <v/>
      </c>
    </row>
    <row r="1822" customFormat="false" ht="15" hidden="false" customHeight="false" outlineLevel="0" collapsed="false">
      <c r="B1822" s="78"/>
      <c r="C1822" s="64"/>
      <c r="D1822" s="70" t="str">
        <f aca="false">IF(C1822="","",IFERROR(INDEX(T_NOMBRE,MATCH(C1822,T_ID,0)),"⚠ ID no existe"))</f>
        <v/>
      </c>
      <c r="E1822" s="69"/>
      <c r="F1822" s="69"/>
      <c r="G1822" s="69"/>
      <c r="H1822" s="69"/>
      <c r="I1822" s="66"/>
      <c r="J1822" s="69"/>
      <c r="K1822" s="67"/>
      <c r="L1822" s="67"/>
      <c r="M1822" s="67"/>
      <c r="N1822" s="67"/>
      <c r="O1822" s="64"/>
      <c r="P1822" s="72" t="str">
        <f aca="false">IF(OR(B1822="",C1822=""),"",C1822&amp;"|"&amp;(YEAR(B1822)*100+MONTH(B1822)))</f>
        <v/>
      </c>
      <c r="Q1822" s="70" t="str">
        <f aca="false">IF(P1822="","",IF(COUNTIF(N_CLAVE,P1822)&gt;1,"⚠ Duplicado","OK"))</f>
        <v/>
      </c>
      <c r="R1822" s="74" t="str">
        <f aca="false">IF(OR(P1822="",U1822=""),"",MAX(0,U1822-N(E1822)-N(F1822)-N(H1822)))</f>
        <v/>
      </c>
      <c r="S1822" s="75" t="str">
        <f aca="false">IF(P1822="","",IFERROR(INDEX(T_INGRESO,MATCH(C1822,T_ID,0)),""))</f>
        <v/>
      </c>
      <c r="T1822" s="75" t="str">
        <f aca="false">IF(P1822="","",IFERROR(N(INDEX(T_EGRESO,MATCH(C1822,T_ID,0))),0))</f>
        <v/>
      </c>
      <c r="U1822" s="73" t="str">
        <f aca="false">IF(OR(P1822="",NOT(ISNUMBER(S1822))),"",IF(OR(S1822&gt;EOMONTH(B1822,0),AND(T1822&gt;0,T1822&lt;B1822)),0,IF(AND(S1822&lt;=B1822,OR(T1822=0,T1822&gt;=EOMONTH(B1822,0))),30,MIN(30,IF(T1822=0,EOMONTH(B1822,0),MIN(T1822,EOMONTH(B1822,0)))-MAX(B1822,S1822)+1))))</f>
        <v/>
      </c>
    </row>
    <row r="1823" customFormat="false" ht="15" hidden="false" customHeight="false" outlineLevel="0" collapsed="false">
      <c r="B1823" s="78"/>
      <c r="C1823" s="64"/>
      <c r="D1823" s="70" t="str">
        <f aca="false">IF(C1823="","",IFERROR(INDEX(T_NOMBRE,MATCH(C1823,T_ID,0)),"⚠ ID no existe"))</f>
        <v/>
      </c>
      <c r="E1823" s="69"/>
      <c r="F1823" s="69"/>
      <c r="G1823" s="69"/>
      <c r="H1823" s="69"/>
      <c r="I1823" s="66"/>
      <c r="J1823" s="69"/>
      <c r="K1823" s="67"/>
      <c r="L1823" s="67"/>
      <c r="M1823" s="67"/>
      <c r="N1823" s="67"/>
      <c r="O1823" s="64"/>
      <c r="P1823" s="72" t="str">
        <f aca="false">IF(OR(B1823="",C1823=""),"",C1823&amp;"|"&amp;(YEAR(B1823)*100+MONTH(B1823)))</f>
        <v/>
      </c>
      <c r="Q1823" s="70" t="str">
        <f aca="false">IF(P1823="","",IF(COUNTIF(N_CLAVE,P1823)&gt;1,"⚠ Duplicado","OK"))</f>
        <v/>
      </c>
      <c r="R1823" s="74" t="str">
        <f aca="false">IF(OR(P1823="",U1823=""),"",MAX(0,U1823-N(E1823)-N(F1823)-N(H1823)))</f>
        <v/>
      </c>
      <c r="S1823" s="75" t="str">
        <f aca="false">IF(P1823="","",IFERROR(INDEX(T_INGRESO,MATCH(C1823,T_ID,0)),""))</f>
        <v/>
      </c>
      <c r="T1823" s="75" t="str">
        <f aca="false">IF(P1823="","",IFERROR(N(INDEX(T_EGRESO,MATCH(C1823,T_ID,0))),0))</f>
        <v/>
      </c>
      <c r="U1823" s="73" t="str">
        <f aca="false">IF(OR(P1823="",NOT(ISNUMBER(S1823))),"",IF(OR(S1823&gt;EOMONTH(B1823,0),AND(T1823&gt;0,T1823&lt;B1823)),0,IF(AND(S1823&lt;=B1823,OR(T1823=0,T1823&gt;=EOMONTH(B1823,0))),30,MIN(30,IF(T1823=0,EOMONTH(B1823,0),MIN(T1823,EOMONTH(B1823,0)))-MAX(B1823,S1823)+1))))</f>
        <v/>
      </c>
    </row>
    <row r="1824" customFormat="false" ht="15" hidden="false" customHeight="false" outlineLevel="0" collapsed="false">
      <c r="B1824" s="78"/>
      <c r="C1824" s="64"/>
      <c r="D1824" s="70" t="str">
        <f aca="false">IF(C1824="","",IFERROR(INDEX(T_NOMBRE,MATCH(C1824,T_ID,0)),"⚠ ID no existe"))</f>
        <v/>
      </c>
      <c r="E1824" s="69"/>
      <c r="F1824" s="69"/>
      <c r="G1824" s="69"/>
      <c r="H1824" s="69"/>
      <c r="I1824" s="66"/>
      <c r="J1824" s="69"/>
      <c r="K1824" s="67"/>
      <c r="L1824" s="67"/>
      <c r="M1824" s="67"/>
      <c r="N1824" s="67"/>
      <c r="O1824" s="64"/>
      <c r="P1824" s="72" t="str">
        <f aca="false">IF(OR(B1824="",C1824=""),"",C1824&amp;"|"&amp;(YEAR(B1824)*100+MONTH(B1824)))</f>
        <v/>
      </c>
      <c r="Q1824" s="70" t="str">
        <f aca="false">IF(P1824="","",IF(COUNTIF(N_CLAVE,P1824)&gt;1,"⚠ Duplicado","OK"))</f>
        <v/>
      </c>
      <c r="R1824" s="74" t="str">
        <f aca="false">IF(OR(P1824="",U1824=""),"",MAX(0,U1824-N(E1824)-N(F1824)-N(H1824)))</f>
        <v/>
      </c>
      <c r="S1824" s="75" t="str">
        <f aca="false">IF(P1824="","",IFERROR(INDEX(T_INGRESO,MATCH(C1824,T_ID,0)),""))</f>
        <v/>
      </c>
      <c r="T1824" s="75" t="str">
        <f aca="false">IF(P1824="","",IFERROR(N(INDEX(T_EGRESO,MATCH(C1824,T_ID,0))),0))</f>
        <v/>
      </c>
      <c r="U1824" s="73" t="str">
        <f aca="false">IF(OR(P1824="",NOT(ISNUMBER(S1824))),"",IF(OR(S1824&gt;EOMONTH(B1824,0),AND(T1824&gt;0,T1824&lt;B1824)),0,IF(AND(S1824&lt;=B1824,OR(T1824=0,T1824&gt;=EOMONTH(B1824,0))),30,MIN(30,IF(T1824=0,EOMONTH(B1824,0),MIN(T1824,EOMONTH(B1824,0)))-MAX(B1824,S1824)+1))))</f>
        <v/>
      </c>
    </row>
    <row r="1825" customFormat="false" ht="15" hidden="false" customHeight="false" outlineLevel="0" collapsed="false">
      <c r="B1825" s="78"/>
      <c r="C1825" s="64"/>
      <c r="D1825" s="70" t="str">
        <f aca="false">IF(C1825="","",IFERROR(INDEX(T_NOMBRE,MATCH(C1825,T_ID,0)),"⚠ ID no existe"))</f>
        <v/>
      </c>
      <c r="E1825" s="69"/>
      <c r="F1825" s="69"/>
      <c r="G1825" s="69"/>
      <c r="H1825" s="69"/>
      <c r="I1825" s="66"/>
      <c r="J1825" s="69"/>
      <c r="K1825" s="67"/>
      <c r="L1825" s="67"/>
      <c r="M1825" s="67"/>
      <c r="N1825" s="67"/>
      <c r="O1825" s="64"/>
      <c r="P1825" s="72" t="str">
        <f aca="false">IF(OR(B1825="",C1825=""),"",C1825&amp;"|"&amp;(YEAR(B1825)*100+MONTH(B1825)))</f>
        <v/>
      </c>
      <c r="Q1825" s="70" t="str">
        <f aca="false">IF(P1825="","",IF(COUNTIF(N_CLAVE,P1825)&gt;1,"⚠ Duplicado","OK"))</f>
        <v/>
      </c>
      <c r="R1825" s="74" t="str">
        <f aca="false">IF(OR(P1825="",U1825=""),"",MAX(0,U1825-N(E1825)-N(F1825)-N(H1825)))</f>
        <v/>
      </c>
      <c r="S1825" s="75" t="str">
        <f aca="false">IF(P1825="","",IFERROR(INDEX(T_INGRESO,MATCH(C1825,T_ID,0)),""))</f>
        <v/>
      </c>
      <c r="T1825" s="75" t="str">
        <f aca="false">IF(P1825="","",IFERROR(N(INDEX(T_EGRESO,MATCH(C1825,T_ID,0))),0))</f>
        <v/>
      </c>
      <c r="U1825" s="73" t="str">
        <f aca="false">IF(OR(P1825="",NOT(ISNUMBER(S1825))),"",IF(OR(S1825&gt;EOMONTH(B1825,0),AND(T1825&gt;0,T1825&lt;B1825)),0,IF(AND(S1825&lt;=B1825,OR(T1825=0,T1825&gt;=EOMONTH(B1825,0))),30,MIN(30,IF(T1825=0,EOMONTH(B1825,0),MIN(T1825,EOMONTH(B1825,0)))-MAX(B1825,S1825)+1))))</f>
        <v/>
      </c>
    </row>
    <row r="1826" customFormat="false" ht="15" hidden="false" customHeight="false" outlineLevel="0" collapsed="false">
      <c r="B1826" s="78"/>
      <c r="C1826" s="64"/>
      <c r="D1826" s="70" t="str">
        <f aca="false">IF(C1826="","",IFERROR(INDEX(T_NOMBRE,MATCH(C1826,T_ID,0)),"⚠ ID no existe"))</f>
        <v/>
      </c>
      <c r="E1826" s="69"/>
      <c r="F1826" s="69"/>
      <c r="G1826" s="69"/>
      <c r="H1826" s="69"/>
      <c r="I1826" s="66"/>
      <c r="J1826" s="69"/>
      <c r="K1826" s="67"/>
      <c r="L1826" s="67"/>
      <c r="M1826" s="67"/>
      <c r="N1826" s="67"/>
      <c r="O1826" s="64"/>
      <c r="P1826" s="72" t="str">
        <f aca="false">IF(OR(B1826="",C1826=""),"",C1826&amp;"|"&amp;(YEAR(B1826)*100+MONTH(B1826)))</f>
        <v/>
      </c>
      <c r="Q1826" s="70" t="str">
        <f aca="false">IF(P1826="","",IF(COUNTIF(N_CLAVE,P1826)&gt;1,"⚠ Duplicado","OK"))</f>
        <v/>
      </c>
      <c r="R1826" s="74" t="str">
        <f aca="false">IF(OR(P1826="",U1826=""),"",MAX(0,U1826-N(E1826)-N(F1826)-N(H1826)))</f>
        <v/>
      </c>
      <c r="S1826" s="75" t="str">
        <f aca="false">IF(P1826="","",IFERROR(INDEX(T_INGRESO,MATCH(C1826,T_ID,0)),""))</f>
        <v/>
      </c>
      <c r="T1826" s="75" t="str">
        <f aca="false">IF(P1826="","",IFERROR(N(INDEX(T_EGRESO,MATCH(C1826,T_ID,0))),0))</f>
        <v/>
      </c>
      <c r="U1826" s="73" t="str">
        <f aca="false">IF(OR(P1826="",NOT(ISNUMBER(S1826))),"",IF(OR(S1826&gt;EOMONTH(B1826,0),AND(T1826&gt;0,T1826&lt;B1826)),0,IF(AND(S1826&lt;=B1826,OR(T1826=0,T1826&gt;=EOMONTH(B1826,0))),30,MIN(30,IF(T1826=0,EOMONTH(B1826,0),MIN(T1826,EOMONTH(B1826,0)))-MAX(B1826,S1826)+1))))</f>
        <v/>
      </c>
    </row>
    <row r="1827" customFormat="false" ht="15" hidden="false" customHeight="false" outlineLevel="0" collapsed="false">
      <c r="B1827" s="78"/>
      <c r="C1827" s="64"/>
      <c r="D1827" s="70" t="str">
        <f aca="false">IF(C1827="","",IFERROR(INDEX(T_NOMBRE,MATCH(C1827,T_ID,0)),"⚠ ID no existe"))</f>
        <v/>
      </c>
      <c r="E1827" s="69"/>
      <c r="F1827" s="69"/>
      <c r="G1827" s="69"/>
      <c r="H1827" s="69"/>
      <c r="I1827" s="66"/>
      <c r="J1827" s="69"/>
      <c r="K1827" s="67"/>
      <c r="L1827" s="67"/>
      <c r="M1827" s="67"/>
      <c r="N1827" s="67"/>
      <c r="O1827" s="64"/>
      <c r="P1827" s="72" t="str">
        <f aca="false">IF(OR(B1827="",C1827=""),"",C1827&amp;"|"&amp;(YEAR(B1827)*100+MONTH(B1827)))</f>
        <v/>
      </c>
      <c r="Q1827" s="70" t="str">
        <f aca="false">IF(P1827="","",IF(COUNTIF(N_CLAVE,P1827)&gt;1,"⚠ Duplicado","OK"))</f>
        <v/>
      </c>
      <c r="R1827" s="74" t="str">
        <f aca="false">IF(OR(P1827="",U1827=""),"",MAX(0,U1827-N(E1827)-N(F1827)-N(H1827)))</f>
        <v/>
      </c>
      <c r="S1827" s="75" t="str">
        <f aca="false">IF(P1827="","",IFERROR(INDEX(T_INGRESO,MATCH(C1827,T_ID,0)),""))</f>
        <v/>
      </c>
      <c r="T1827" s="75" t="str">
        <f aca="false">IF(P1827="","",IFERROR(N(INDEX(T_EGRESO,MATCH(C1827,T_ID,0))),0))</f>
        <v/>
      </c>
      <c r="U1827" s="73" t="str">
        <f aca="false">IF(OR(P1827="",NOT(ISNUMBER(S1827))),"",IF(OR(S1827&gt;EOMONTH(B1827,0),AND(T1827&gt;0,T1827&lt;B1827)),0,IF(AND(S1827&lt;=B1827,OR(T1827=0,T1827&gt;=EOMONTH(B1827,0))),30,MIN(30,IF(T1827=0,EOMONTH(B1827,0),MIN(T1827,EOMONTH(B1827,0)))-MAX(B1827,S1827)+1))))</f>
        <v/>
      </c>
    </row>
    <row r="1828" customFormat="false" ht="15" hidden="false" customHeight="false" outlineLevel="0" collapsed="false">
      <c r="B1828" s="78"/>
      <c r="C1828" s="64"/>
      <c r="D1828" s="70" t="str">
        <f aca="false">IF(C1828="","",IFERROR(INDEX(T_NOMBRE,MATCH(C1828,T_ID,0)),"⚠ ID no existe"))</f>
        <v/>
      </c>
      <c r="E1828" s="69"/>
      <c r="F1828" s="69"/>
      <c r="G1828" s="69"/>
      <c r="H1828" s="69"/>
      <c r="I1828" s="66"/>
      <c r="J1828" s="69"/>
      <c r="K1828" s="67"/>
      <c r="L1828" s="67"/>
      <c r="M1828" s="67"/>
      <c r="N1828" s="67"/>
      <c r="O1828" s="64"/>
      <c r="P1828" s="72" t="str">
        <f aca="false">IF(OR(B1828="",C1828=""),"",C1828&amp;"|"&amp;(YEAR(B1828)*100+MONTH(B1828)))</f>
        <v/>
      </c>
      <c r="Q1828" s="70" t="str">
        <f aca="false">IF(P1828="","",IF(COUNTIF(N_CLAVE,P1828)&gt;1,"⚠ Duplicado","OK"))</f>
        <v/>
      </c>
      <c r="R1828" s="74" t="str">
        <f aca="false">IF(OR(P1828="",U1828=""),"",MAX(0,U1828-N(E1828)-N(F1828)-N(H1828)))</f>
        <v/>
      </c>
      <c r="S1828" s="75" t="str">
        <f aca="false">IF(P1828="","",IFERROR(INDEX(T_INGRESO,MATCH(C1828,T_ID,0)),""))</f>
        <v/>
      </c>
      <c r="T1828" s="75" t="str">
        <f aca="false">IF(P1828="","",IFERROR(N(INDEX(T_EGRESO,MATCH(C1828,T_ID,0))),0))</f>
        <v/>
      </c>
      <c r="U1828" s="73" t="str">
        <f aca="false">IF(OR(P1828="",NOT(ISNUMBER(S1828))),"",IF(OR(S1828&gt;EOMONTH(B1828,0),AND(T1828&gt;0,T1828&lt;B1828)),0,IF(AND(S1828&lt;=B1828,OR(T1828=0,T1828&gt;=EOMONTH(B1828,0))),30,MIN(30,IF(T1828=0,EOMONTH(B1828,0),MIN(T1828,EOMONTH(B1828,0)))-MAX(B1828,S1828)+1))))</f>
        <v/>
      </c>
    </row>
    <row r="1829" customFormat="false" ht="15" hidden="false" customHeight="false" outlineLevel="0" collapsed="false">
      <c r="B1829" s="78"/>
      <c r="C1829" s="64"/>
      <c r="D1829" s="70" t="str">
        <f aca="false">IF(C1829="","",IFERROR(INDEX(T_NOMBRE,MATCH(C1829,T_ID,0)),"⚠ ID no existe"))</f>
        <v/>
      </c>
      <c r="E1829" s="69"/>
      <c r="F1829" s="69"/>
      <c r="G1829" s="69"/>
      <c r="H1829" s="69"/>
      <c r="I1829" s="66"/>
      <c r="J1829" s="69"/>
      <c r="K1829" s="67"/>
      <c r="L1829" s="67"/>
      <c r="M1829" s="67"/>
      <c r="N1829" s="67"/>
      <c r="O1829" s="64"/>
      <c r="P1829" s="72" t="str">
        <f aca="false">IF(OR(B1829="",C1829=""),"",C1829&amp;"|"&amp;(YEAR(B1829)*100+MONTH(B1829)))</f>
        <v/>
      </c>
      <c r="Q1829" s="70" t="str">
        <f aca="false">IF(P1829="","",IF(COUNTIF(N_CLAVE,P1829)&gt;1,"⚠ Duplicado","OK"))</f>
        <v/>
      </c>
      <c r="R1829" s="74" t="str">
        <f aca="false">IF(OR(P1829="",U1829=""),"",MAX(0,U1829-N(E1829)-N(F1829)-N(H1829)))</f>
        <v/>
      </c>
      <c r="S1829" s="75" t="str">
        <f aca="false">IF(P1829="","",IFERROR(INDEX(T_INGRESO,MATCH(C1829,T_ID,0)),""))</f>
        <v/>
      </c>
      <c r="T1829" s="75" t="str">
        <f aca="false">IF(P1829="","",IFERROR(N(INDEX(T_EGRESO,MATCH(C1829,T_ID,0))),0))</f>
        <v/>
      </c>
      <c r="U1829" s="73" t="str">
        <f aca="false">IF(OR(P1829="",NOT(ISNUMBER(S1829))),"",IF(OR(S1829&gt;EOMONTH(B1829,0),AND(T1829&gt;0,T1829&lt;B1829)),0,IF(AND(S1829&lt;=B1829,OR(T1829=0,T1829&gt;=EOMONTH(B1829,0))),30,MIN(30,IF(T1829=0,EOMONTH(B1829,0),MIN(T1829,EOMONTH(B1829,0)))-MAX(B1829,S1829)+1))))</f>
        <v/>
      </c>
    </row>
    <row r="1830" customFormat="false" ht="15" hidden="false" customHeight="false" outlineLevel="0" collapsed="false">
      <c r="B1830" s="78"/>
      <c r="C1830" s="64"/>
      <c r="D1830" s="70" t="str">
        <f aca="false">IF(C1830="","",IFERROR(INDEX(T_NOMBRE,MATCH(C1830,T_ID,0)),"⚠ ID no existe"))</f>
        <v/>
      </c>
      <c r="E1830" s="69"/>
      <c r="F1830" s="69"/>
      <c r="G1830" s="69"/>
      <c r="H1830" s="69"/>
      <c r="I1830" s="66"/>
      <c r="J1830" s="69"/>
      <c r="K1830" s="67"/>
      <c r="L1830" s="67"/>
      <c r="M1830" s="67"/>
      <c r="N1830" s="67"/>
      <c r="O1830" s="64"/>
      <c r="P1830" s="72" t="str">
        <f aca="false">IF(OR(B1830="",C1830=""),"",C1830&amp;"|"&amp;(YEAR(B1830)*100+MONTH(B1830)))</f>
        <v/>
      </c>
      <c r="Q1830" s="70" t="str">
        <f aca="false">IF(P1830="","",IF(COUNTIF(N_CLAVE,P1830)&gt;1,"⚠ Duplicado","OK"))</f>
        <v/>
      </c>
      <c r="R1830" s="74" t="str">
        <f aca="false">IF(OR(P1830="",U1830=""),"",MAX(0,U1830-N(E1830)-N(F1830)-N(H1830)))</f>
        <v/>
      </c>
      <c r="S1830" s="75" t="str">
        <f aca="false">IF(P1830="","",IFERROR(INDEX(T_INGRESO,MATCH(C1830,T_ID,0)),""))</f>
        <v/>
      </c>
      <c r="T1830" s="75" t="str">
        <f aca="false">IF(P1830="","",IFERROR(N(INDEX(T_EGRESO,MATCH(C1830,T_ID,0))),0))</f>
        <v/>
      </c>
      <c r="U1830" s="73" t="str">
        <f aca="false">IF(OR(P1830="",NOT(ISNUMBER(S1830))),"",IF(OR(S1830&gt;EOMONTH(B1830,0),AND(T1830&gt;0,T1830&lt;B1830)),0,IF(AND(S1830&lt;=B1830,OR(T1830=0,T1830&gt;=EOMONTH(B1830,0))),30,MIN(30,IF(T1830=0,EOMONTH(B1830,0),MIN(T1830,EOMONTH(B1830,0)))-MAX(B1830,S1830)+1))))</f>
        <v/>
      </c>
    </row>
    <row r="1831" customFormat="false" ht="15" hidden="false" customHeight="false" outlineLevel="0" collapsed="false">
      <c r="B1831" s="78"/>
      <c r="C1831" s="64"/>
      <c r="D1831" s="70" t="str">
        <f aca="false">IF(C1831="","",IFERROR(INDEX(T_NOMBRE,MATCH(C1831,T_ID,0)),"⚠ ID no existe"))</f>
        <v/>
      </c>
      <c r="E1831" s="69"/>
      <c r="F1831" s="69"/>
      <c r="G1831" s="69"/>
      <c r="H1831" s="69"/>
      <c r="I1831" s="66"/>
      <c r="J1831" s="69"/>
      <c r="K1831" s="67"/>
      <c r="L1831" s="67"/>
      <c r="M1831" s="67"/>
      <c r="N1831" s="67"/>
      <c r="O1831" s="64"/>
      <c r="P1831" s="72" t="str">
        <f aca="false">IF(OR(B1831="",C1831=""),"",C1831&amp;"|"&amp;(YEAR(B1831)*100+MONTH(B1831)))</f>
        <v/>
      </c>
      <c r="Q1831" s="70" t="str">
        <f aca="false">IF(P1831="","",IF(COUNTIF(N_CLAVE,P1831)&gt;1,"⚠ Duplicado","OK"))</f>
        <v/>
      </c>
      <c r="R1831" s="74" t="str">
        <f aca="false">IF(OR(P1831="",U1831=""),"",MAX(0,U1831-N(E1831)-N(F1831)-N(H1831)))</f>
        <v/>
      </c>
      <c r="S1831" s="75" t="str">
        <f aca="false">IF(P1831="","",IFERROR(INDEX(T_INGRESO,MATCH(C1831,T_ID,0)),""))</f>
        <v/>
      </c>
      <c r="T1831" s="75" t="str">
        <f aca="false">IF(P1831="","",IFERROR(N(INDEX(T_EGRESO,MATCH(C1831,T_ID,0))),0))</f>
        <v/>
      </c>
      <c r="U1831" s="73" t="str">
        <f aca="false">IF(OR(P1831="",NOT(ISNUMBER(S1831))),"",IF(OR(S1831&gt;EOMONTH(B1831,0),AND(T1831&gt;0,T1831&lt;B1831)),0,IF(AND(S1831&lt;=B1831,OR(T1831=0,T1831&gt;=EOMONTH(B1831,0))),30,MIN(30,IF(T1831=0,EOMONTH(B1831,0),MIN(T1831,EOMONTH(B1831,0)))-MAX(B1831,S1831)+1))))</f>
        <v/>
      </c>
    </row>
    <row r="1832" customFormat="false" ht="15" hidden="false" customHeight="false" outlineLevel="0" collapsed="false">
      <c r="B1832" s="78"/>
      <c r="C1832" s="64"/>
      <c r="D1832" s="70" t="str">
        <f aca="false">IF(C1832="","",IFERROR(INDEX(T_NOMBRE,MATCH(C1832,T_ID,0)),"⚠ ID no existe"))</f>
        <v/>
      </c>
      <c r="E1832" s="69"/>
      <c r="F1832" s="69"/>
      <c r="G1832" s="69"/>
      <c r="H1832" s="69"/>
      <c r="I1832" s="66"/>
      <c r="J1832" s="69"/>
      <c r="K1832" s="67"/>
      <c r="L1832" s="67"/>
      <c r="M1832" s="67"/>
      <c r="N1832" s="67"/>
      <c r="O1832" s="64"/>
      <c r="P1832" s="72" t="str">
        <f aca="false">IF(OR(B1832="",C1832=""),"",C1832&amp;"|"&amp;(YEAR(B1832)*100+MONTH(B1832)))</f>
        <v/>
      </c>
      <c r="Q1832" s="70" t="str">
        <f aca="false">IF(P1832="","",IF(COUNTIF(N_CLAVE,P1832)&gt;1,"⚠ Duplicado","OK"))</f>
        <v/>
      </c>
      <c r="R1832" s="74" t="str">
        <f aca="false">IF(OR(P1832="",U1832=""),"",MAX(0,U1832-N(E1832)-N(F1832)-N(H1832)))</f>
        <v/>
      </c>
      <c r="S1832" s="75" t="str">
        <f aca="false">IF(P1832="","",IFERROR(INDEX(T_INGRESO,MATCH(C1832,T_ID,0)),""))</f>
        <v/>
      </c>
      <c r="T1832" s="75" t="str">
        <f aca="false">IF(P1832="","",IFERROR(N(INDEX(T_EGRESO,MATCH(C1832,T_ID,0))),0))</f>
        <v/>
      </c>
      <c r="U1832" s="73" t="str">
        <f aca="false">IF(OR(P1832="",NOT(ISNUMBER(S1832))),"",IF(OR(S1832&gt;EOMONTH(B1832,0),AND(T1832&gt;0,T1832&lt;B1832)),0,IF(AND(S1832&lt;=B1832,OR(T1832=0,T1832&gt;=EOMONTH(B1832,0))),30,MIN(30,IF(T1832=0,EOMONTH(B1832,0),MIN(T1832,EOMONTH(B1832,0)))-MAX(B1832,S1832)+1))))</f>
        <v/>
      </c>
    </row>
    <row r="1833" customFormat="false" ht="15" hidden="false" customHeight="false" outlineLevel="0" collapsed="false">
      <c r="B1833" s="78"/>
      <c r="C1833" s="64"/>
      <c r="D1833" s="70" t="str">
        <f aca="false">IF(C1833="","",IFERROR(INDEX(T_NOMBRE,MATCH(C1833,T_ID,0)),"⚠ ID no existe"))</f>
        <v/>
      </c>
      <c r="E1833" s="69"/>
      <c r="F1833" s="69"/>
      <c r="G1833" s="69"/>
      <c r="H1833" s="69"/>
      <c r="I1833" s="66"/>
      <c r="J1833" s="69"/>
      <c r="K1833" s="67"/>
      <c r="L1833" s="67"/>
      <c r="M1833" s="67"/>
      <c r="N1833" s="67"/>
      <c r="O1833" s="64"/>
      <c r="P1833" s="72" t="str">
        <f aca="false">IF(OR(B1833="",C1833=""),"",C1833&amp;"|"&amp;(YEAR(B1833)*100+MONTH(B1833)))</f>
        <v/>
      </c>
      <c r="Q1833" s="70" t="str">
        <f aca="false">IF(P1833="","",IF(COUNTIF(N_CLAVE,P1833)&gt;1,"⚠ Duplicado","OK"))</f>
        <v/>
      </c>
      <c r="R1833" s="74" t="str">
        <f aca="false">IF(OR(P1833="",U1833=""),"",MAX(0,U1833-N(E1833)-N(F1833)-N(H1833)))</f>
        <v/>
      </c>
      <c r="S1833" s="75" t="str">
        <f aca="false">IF(P1833="","",IFERROR(INDEX(T_INGRESO,MATCH(C1833,T_ID,0)),""))</f>
        <v/>
      </c>
      <c r="T1833" s="75" t="str">
        <f aca="false">IF(P1833="","",IFERROR(N(INDEX(T_EGRESO,MATCH(C1833,T_ID,0))),0))</f>
        <v/>
      </c>
      <c r="U1833" s="73" t="str">
        <f aca="false">IF(OR(P1833="",NOT(ISNUMBER(S1833))),"",IF(OR(S1833&gt;EOMONTH(B1833,0),AND(T1833&gt;0,T1833&lt;B1833)),0,IF(AND(S1833&lt;=B1833,OR(T1833=0,T1833&gt;=EOMONTH(B1833,0))),30,MIN(30,IF(T1833=0,EOMONTH(B1833,0),MIN(T1833,EOMONTH(B1833,0)))-MAX(B1833,S1833)+1))))</f>
        <v/>
      </c>
    </row>
    <row r="1834" customFormat="false" ht="15" hidden="false" customHeight="false" outlineLevel="0" collapsed="false">
      <c r="B1834" s="78"/>
      <c r="C1834" s="64"/>
      <c r="D1834" s="70" t="str">
        <f aca="false">IF(C1834="","",IFERROR(INDEX(T_NOMBRE,MATCH(C1834,T_ID,0)),"⚠ ID no existe"))</f>
        <v/>
      </c>
      <c r="E1834" s="69"/>
      <c r="F1834" s="69"/>
      <c r="G1834" s="69"/>
      <c r="H1834" s="69"/>
      <c r="I1834" s="66"/>
      <c r="J1834" s="69"/>
      <c r="K1834" s="67"/>
      <c r="L1834" s="67"/>
      <c r="M1834" s="67"/>
      <c r="N1834" s="67"/>
      <c r="O1834" s="64"/>
      <c r="P1834" s="72" t="str">
        <f aca="false">IF(OR(B1834="",C1834=""),"",C1834&amp;"|"&amp;(YEAR(B1834)*100+MONTH(B1834)))</f>
        <v/>
      </c>
      <c r="Q1834" s="70" t="str">
        <f aca="false">IF(P1834="","",IF(COUNTIF(N_CLAVE,P1834)&gt;1,"⚠ Duplicado","OK"))</f>
        <v/>
      </c>
      <c r="R1834" s="74" t="str">
        <f aca="false">IF(OR(P1834="",U1834=""),"",MAX(0,U1834-N(E1834)-N(F1834)-N(H1834)))</f>
        <v/>
      </c>
      <c r="S1834" s="75" t="str">
        <f aca="false">IF(P1834="","",IFERROR(INDEX(T_INGRESO,MATCH(C1834,T_ID,0)),""))</f>
        <v/>
      </c>
      <c r="T1834" s="75" t="str">
        <f aca="false">IF(P1834="","",IFERROR(N(INDEX(T_EGRESO,MATCH(C1834,T_ID,0))),0))</f>
        <v/>
      </c>
      <c r="U1834" s="73" t="str">
        <f aca="false">IF(OR(P1834="",NOT(ISNUMBER(S1834))),"",IF(OR(S1834&gt;EOMONTH(B1834,0),AND(T1834&gt;0,T1834&lt;B1834)),0,IF(AND(S1834&lt;=B1834,OR(T1834=0,T1834&gt;=EOMONTH(B1834,0))),30,MIN(30,IF(T1834=0,EOMONTH(B1834,0),MIN(T1834,EOMONTH(B1834,0)))-MAX(B1834,S1834)+1))))</f>
        <v/>
      </c>
    </row>
    <row r="1835" customFormat="false" ht="15" hidden="false" customHeight="false" outlineLevel="0" collapsed="false">
      <c r="B1835" s="78"/>
      <c r="C1835" s="64"/>
      <c r="D1835" s="70" t="str">
        <f aca="false">IF(C1835="","",IFERROR(INDEX(T_NOMBRE,MATCH(C1835,T_ID,0)),"⚠ ID no existe"))</f>
        <v/>
      </c>
      <c r="E1835" s="69"/>
      <c r="F1835" s="69"/>
      <c r="G1835" s="69"/>
      <c r="H1835" s="69"/>
      <c r="I1835" s="66"/>
      <c r="J1835" s="69"/>
      <c r="K1835" s="67"/>
      <c r="L1835" s="67"/>
      <c r="M1835" s="67"/>
      <c r="N1835" s="67"/>
      <c r="O1835" s="64"/>
      <c r="P1835" s="72" t="str">
        <f aca="false">IF(OR(B1835="",C1835=""),"",C1835&amp;"|"&amp;(YEAR(B1835)*100+MONTH(B1835)))</f>
        <v/>
      </c>
      <c r="Q1835" s="70" t="str">
        <f aca="false">IF(P1835="","",IF(COUNTIF(N_CLAVE,P1835)&gt;1,"⚠ Duplicado","OK"))</f>
        <v/>
      </c>
      <c r="R1835" s="74" t="str">
        <f aca="false">IF(OR(P1835="",U1835=""),"",MAX(0,U1835-N(E1835)-N(F1835)-N(H1835)))</f>
        <v/>
      </c>
      <c r="S1835" s="75" t="str">
        <f aca="false">IF(P1835="","",IFERROR(INDEX(T_INGRESO,MATCH(C1835,T_ID,0)),""))</f>
        <v/>
      </c>
      <c r="T1835" s="75" t="str">
        <f aca="false">IF(P1835="","",IFERROR(N(INDEX(T_EGRESO,MATCH(C1835,T_ID,0))),0))</f>
        <v/>
      </c>
      <c r="U1835" s="73" t="str">
        <f aca="false">IF(OR(P1835="",NOT(ISNUMBER(S1835))),"",IF(OR(S1835&gt;EOMONTH(B1835,0),AND(T1835&gt;0,T1835&lt;B1835)),0,IF(AND(S1835&lt;=B1835,OR(T1835=0,T1835&gt;=EOMONTH(B1835,0))),30,MIN(30,IF(T1835=0,EOMONTH(B1835,0),MIN(T1835,EOMONTH(B1835,0)))-MAX(B1835,S1835)+1))))</f>
        <v/>
      </c>
    </row>
    <row r="1836" customFormat="false" ht="15" hidden="false" customHeight="false" outlineLevel="0" collapsed="false">
      <c r="B1836" s="78"/>
      <c r="C1836" s="64"/>
      <c r="D1836" s="70" t="str">
        <f aca="false">IF(C1836="","",IFERROR(INDEX(T_NOMBRE,MATCH(C1836,T_ID,0)),"⚠ ID no existe"))</f>
        <v/>
      </c>
      <c r="E1836" s="69"/>
      <c r="F1836" s="69"/>
      <c r="G1836" s="69"/>
      <c r="H1836" s="69"/>
      <c r="I1836" s="66"/>
      <c r="J1836" s="69"/>
      <c r="K1836" s="67"/>
      <c r="L1836" s="67"/>
      <c r="M1836" s="67"/>
      <c r="N1836" s="67"/>
      <c r="O1836" s="64"/>
      <c r="P1836" s="72" t="str">
        <f aca="false">IF(OR(B1836="",C1836=""),"",C1836&amp;"|"&amp;(YEAR(B1836)*100+MONTH(B1836)))</f>
        <v/>
      </c>
      <c r="Q1836" s="70" t="str">
        <f aca="false">IF(P1836="","",IF(COUNTIF(N_CLAVE,P1836)&gt;1,"⚠ Duplicado","OK"))</f>
        <v/>
      </c>
      <c r="R1836" s="74" t="str">
        <f aca="false">IF(OR(P1836="",U1836=""),"",MAX(0,U1836-N(E1836)-N(F1836)-N(H1836)))</f>
        <v/>
      </c>
      <c r="S1836" s="75" t="str">
        <f aca="false">IF(P1836="","",IFERROR(INDEX(T_INGRESO,MATCH(C1836,T_ID,0)),""))</f>
        <v/>
      </c>
      <c r="T1836" s="75" t="str">
        <f aca="false">IF(P1836="","",IFERROR(N(INDEX(T_EGRESO,MATCH(C1836,T_ID,0))),0))</f>
        <v/>
      </c>
      <c r="U1836" s="73" t="str">
        <f aca="false">IF(OR(P1836="",NOT(ISNUMBER(S1836))),"",IF(OR(S1836&gt;EOMONTH(B1836,0),AND(T1836&gt;0,T1836&lt;B1836)),0,IF(AND(S1836&lt;=B1836,OR(T1836=0,T1836&gt;=EOMONTH(B1836,0))),30,MIN(30,IF(T1836=0,EOMONTH(B1836,0),MIN(T1836,EOMONTH(B1836,0)))-MAX(B1836,S1836)+1))))</f>
        <v/>
      </c>
    </row>
    <row r="1837" customFormat="false" ht="15" hidden="false" customHeight="false" outlineLevel="0" collapsed="false">
      <c r="B1837" s="78"/>
      <c r="C1837" s="64"/>
      <c r="D1837" s="70" t="str">
        <f aca="false">IF(C1837="","",IFERROR(INDEX(T_NOMBRE,MATCH(C1837,T_ID,0)),"⚠ ID no existe"))</f>
        <v/>
      </c>
      <c r="E1837" s="69"/>
      <c r="F1837" s="69"/>
      <c r="G1837" s="69"/>
      <c r="H1837" s="69"/>
      <c r="I1837" s="66"/>
      <c r="J1837" s="69"/>
      <c r="K1837" s="67"/>
      <c r="L1837" s="67"/>
      <c r="M1837" s="67"/>
      <c r="N1837" s="67"/>
      <c r="O1837" s="64"/>
      <c r="P1837" s="72" t="str">
        <f aca="false">IF(OR(B1837="",C1837=""),"",C1837&amp;"|"&amp;(YEAR(B1837)*100+MONTH(B1837)))</f>
        <v/>
      </c>
      <c r="Q1837" s="70" t="str">
        <f aca="false">IF(P1837="","",IF(COUNTIF(N_CLAVE,P1837)&gt;1,"⚠ Duplicado","OK"))</f>
        <v/>
      </c>
      <c r="R1837" s="74" t="str">
        <f aca="false">IF(OR(P1837="",U1837=""),"",MAX(0,U1837-N(E1837)-N(F1837)-N(H1837)))</f>
        <v/>
      </c>
      <c r="S1837" s="75" t="str">
        <f aca="false">IF(P1837="","",IFERROR(INDEX(T_INGRESO,MATCH(C1837,T_ID,0)),""))</f>
        <v/>
      </c>
      <c r="T1837" s="75" t="str">
        <f aca="false">IF(P1837="","",IFERROR(N(INDEX(T_EGRESO,MATCH(C1837,T_ID,0))),0))</f>
        <v/>
      </c>
      <c r="U1837" s="73" t="str">
        <f aca="false">IF(OR(P1837="",NOT(ISNUMBER(S1837))),"",IF(OR(S1837&gt;EOMONTH(B1837,0),AND(T1837&gt;0,T1837&lt;B1837)),0,IF(AND(S1837&lt;=B1837,OR(T1837=0,T1837&gt;=EOMONTH(B1837,0))),30,MIN(30,IF(T1837=0,EOMONTH(B1837,0),MIN(T1837,EOMONTH(B1837,0)))-MAX(B1837,S1837)+1))))</f>
        <v/>
      </c>
    </row>
    <row r="1838" customFormat="false" ht="15" hidden="false" customHeight="false" outlineLevel="0" collapsed="false">
      <c r="B1838" s="78"/>
      <c r="C1838" s="64"/>
      <c r="D1838" s="70" t="str">
        <f aca="false">IF(C1838="","",IFERROR(INDEX(T_NOMBRE,MATCH(C1838,T_ID,0)),"⚠ ID no existe"))</f>
        <v/>
      </c>
      <c r="E1838" s="69"/>
      <c r="F1838" s="69"/>
      <c r="G1838" s="69"/>
      <c r="H1838" s="69"/>
      <c r="I1838" s="66"/>
      <c r="J1838" s="69"/>
      <c r="K1838" s="67"/>
      <c r="L1838" s="67"/>
      <c r="M1838" s="67"/>
      <c r="N1838" s="67"/>
      <c r="O1838" s="64"/>
      <c r="P1838" s="72" t="str">
        <f aca="false">IF(OR(B1838="",C1838=""),"",C1838&amp;"|"&amp;(YEAR(B1838)*100+MONTH(B1838)))</f>
        <v/>
      </c>
      <c r="Q1838" s="70" t="str">
        <f aca="false">IF(P1838="","",IF(COUNTIF(N_CLAVE,P1838)&gt;1,"⚠ Duplicado","OK"))</f>
        <v/>
      </c>
      <c r="R1838" s="74" t="str">
        <f aca="false">IF(OR(P1838="",U1838=""),"",MAX(0,U1838-N(E1838)-N(F1838)-N(H1838)))</f>
        <v/>
      </c>
      <c r="S1838" s="75" t="str">
        <f aca="false">IF(P1838="","",IFERROR(INDEX(T_INGRESO,MATCH(C1838,T_ID,0)),""))</f>
        <v/>
      </c>
      <c r="T1838" s="75" t="str">
        <f aca="false">IF(P1838="","",IFERROR(N(INDEX(T_EGRESO,MATCH(C1838,T_ID,0))),0))</f>
        <v/>
      </c>
      <c r="U1838" s="73" t="str">
        <f aca="false">IF(OR(P1838="",NOT(ISNUMBER(S1838))),"",IF(OR(S1838&gt;EOMONTH(B1838,0),AND(T1838&gt;0,T1838&lt;B1838)),0,IF(AND(S1838&lt;=B1838,OR(T1838=0,T1838&gt;=EOMONTH(B1838,0))),30,MIN(30,IF(T1838=0,EOMONTH(B1838,0),MIN(T1838,EOMONTH(B1838,0)))-MAX(B1838,S1838)+1))))</f>
        <v/>
      </c>
    </row>
    <row r="1839" customFormat="false" ht="15" hidden="false" customHeight="false" outlineLevel="0" collapsed="false">
      <c r="B1839" s="78"/>
      <c r="C1839" s="64"/>
      <c r="D1839" s="70" t="str">
        <f aca="false">IF(C1839="","",IFERROR(INDEX(T_NOMBRE,MATCH(C1839,T_ID,0)),"⚠ ID no existe"))</f>
        <v/>
      </c>
      <c r="E1839" s="69"/>
      <c r="F1839" s="69"/>
      <c r="G1839" s="69"/>
      <c r="H1839" s="69"/>
      <c r="I1839" s="66"/>
      <c r="J1839" s="69"/>
      <c r="K1839" s="67"/>
      <c r="L1839" s="67"/>
      <c r="M1839" s="67"/>
      <c r="N1839" s="67"/>
      <c r="O1839" s="64"/>
      <c r="P1839" s="72" t="str">
        <f aca="false">IF(OR(B1839="",C1839=""),"",C1839&amp;"|"&amp;(YEAR(B1839)*100+MONTH(B1839)))</f>
        <v/>
      </c>
      <c r="Q1839" s="70" t="str">
        <f aca="false">IF(P1839="","",IF(COUNTIF(N_CLAVE,P1839)&gt;1,"⚠ Duplicado","OK"))</f>
        <v/>
      </c>
      <c r="R1839" s="74" t="str">
        <f aca="false">IF(OR(P1839="",U1839=""),"",MAX(0,U1839-N(E1839)-N(F1839)-N(H1839)))</f>
        <v/>
      </c>
      <c r="S1839" s="75" t="str">
        <f aca="false">IF(P1839="","",IFERROR(INDEX(T_INGRESO,MATCH(C1839,T_ID,0)),""))</f>
        <v/>
      </c>
      <c r="T1839" s="75" t="str">
        <f aca="false">IF(P1839="","",IFERROR(N(INDEX(T_EGRESO,MATCH(C1839,T_ID,0))),0))</f>
        <v/>
      </c>
      <c r="U1839" s="73" t="str">
        <f aca="false">IF(OR(P1839="",NOT(ISNUMBER(S1839))),"",IF(OR(S1839&gt;EOMONTH(B1839,0),AND(T1839&gt;0,T1839&lt;B1839)),0,IF(AND(S1839&lt;=B1839,OR(T1839=0,T1839&gt;=EOMONTH(B1839,0))),30,MIN(30,IF(T1839=0,EOMONTH(B1839,0),MIN(T1839,EOMONTH(B1839,0)))-MAX(B1839,S1839)+1))))</f>
        <v/>
      </c>
    </row>
    <row r="1840" customFormat="false" ht="15" hidden="false" customHeight="false" outlineLevel="0" collapsed="false">
      <c r="B1840" s="78"/>
      <c r="C1840" s="64"/>
      <c r="D1840" s="70" t="str">
        <f aca="false">IF(C1840="","",IFERROR(INDEX(T_NOMBRE,MATCH(C1840,T_ID,0)),"⚠ ID no existe"))</f>
        <v/>
      </c>
      <c r="E1840" s="69"/>
      <c r="F1840" s="69"/>
      <c r="G1840" s="69"/>
      <c r="H1840" s="69"/>
      <c r="I1840" s="66"/>
      <c r="J1840" s="69"/>
      <c r="K1840" s="67"/>
      <c r="L1840" s="67"/>
      <c r="M1840" s="67"/>
      <c r="N1840" s="67"/>
      <c r="O1840" s="64"/>
      <c r="P1840" s="72" t="str">
        <f aca="false">IF(OR(B1840="",C1840=""),"",C1840&amp;"|"&amp;(YEAR(B1840)*100+MONTH(B1840)))</f>
        <v/>
      </c>
      <c r="Q1840" s="70" t="str">
        <f aca="false">IF(P1840="","",IF(COUNTIF(N_CLAVE,P1840)&gt;1,"⚠ Duplicado","OK"))</f>
        <v/>
      </c>
      <c r="R1840" s="74" t="str">
        <f aca="false">IF(OR(P1840="",U1840=""),"",MAX(0,U1840-N(E1840)-N(F1840)-N(H1840)))</f>
        <v/>
      </c>
      <c r="S1840" s="75" t="str">
        <f aca="false">IF(P1840="","",IFERROR(INDEX(T_INGRESO,MATCH(C1840,T_ID,0)),""))</f>
        <v/>
      </c>
      <c r="T1840" s="75" t="str">
        <f aca="false">IF(P1840="","",IFERROR(N(INDEX(T_EGRESO,MATCH(C1840,T_ID,0))),0))</f>
        <v/>
      </c>
      <c r="U1840" s="73" t="str">
        <f aca="false">IF(OR(P1840="",NOT(ISNUMBER(S1840))),"",IF(OR(S1840&gt;EOMONTH(B1840,0),AND(T1840&gt;0,T1840&lt;B1840)),0,IF(AND(S1840&lt;=B1840,OR(T1840=0,T1840&gt;=EOMONTH(B1840,0))),30,MIN(30,IF(T1840=0,EOMONTH(B1840,0),MIN(T1840,EOMONTH(B1840,0)))-MAX(B1840,S1840)+1))))</f>
        <v/>
      </c>
    </row>
    <row r="1841" customFormat="false" ht="15" hidden="false" customHeight="false" outlineLevel="0" collapsed="false">
      <c r="B1841" s="78"/>
      <c r="C1841" s="64"/>
      <c r="D1841" s="70" t="str">
        <f aca="false">IF(C1841="","",IFERROR(INDEX(T_NOMBRE,MATCH(C1841,T_ID,0)),"⚠ ID no existe"))</f>
        <v/>
      </c>
      <c r="E1841" s="69"/>
      <c r="F1841" s="69"/>
      <c r="G1841" s="69"/>
      <c r="H1841" s="69"/>
      <c r="I1841" s="66"/>
      <c r="J1841" s="69"/>
      <c r="K1841" s="67"/>
      <c r="L1841" s="67"/>
      <c r="M1841" s="67"/>
      <c r="N1841" s="67"/>
      <c r="O1841" s="64"/>
      <c r="P1841" s="72" t="str">
        <f aca="false">IF(OR(B1841="",C1841=""),"",C1841&amp;"|"&amp;(YEAR(B1841)*100+MONTH(B1841)))</f>
        <v/>
      </c>
      <c r="Q1841" s="70" t="str">
        <f aca="false">IF(P1841="","",IF(COUNTIF(N_CLAVE,P1841)&gt;1,"⚠ Duplicado","OK"))</f>
        <v/>
      </c>
      <c r="R1841" s="74" t="str">
        <f aca="false">IF(OR(P1841="",U1841=""),"",MAX(0,U1841-N(E1841)-N(F1841)-N(H1841)))</f>
        <v/>
      </c>
      <c r="S1841" s="75" t="str">
        <f aca="false">IF(P1841="","",IFERROR(INDEX(T_INGRESO,MATCH(C1841,T_ID,0)),""))</f>
        <v/>
      </c>
      <c r="T1841" s="75" t="str">
        <f aca="false">IF(P1841="","",IFERROR(N(INDEX(T_EGRESO,MATCH(C1841,T_ID,0))),0))</f>
        <v/>
      </c>
      <c r="U1841" s="73" t="str">
        <f aca="false">IF(OR(P1841="",NOT(ISNUMBER(S1841))),"",IF(OR(S1841&gt;EOMONTH(B1841,0),AND(T1841&gt;0,T1841&lt;B1841)),0,IF(AND(S1841&lt;=B1841,OR(T1841=0,T1841&gt;=EOMONTH(B1841,0))),30,MIN(30,IF(T1841=0,EOMONTH(B1841,0),MIN(T1841,EOMONTH(B1841,0)))-MAX(B1841,S1841)+1))))</f>
        <v/>
      </c>
    </row>
    <row r="1842" customFormat="false" ht="15" hidden="false" customHeight="false" outlineLevel="0" collapsed="false">
      <c r="B1842" s="78"/>
      <c r="C1842" s="64"/>
      <c r="D1842" s="70" t="str">
        <f aca="false">IF(C1842="","",IFERROR(INDEX(T_NOMBRE,MATCH(C1842,T_ID,0)),"⚠ ID no existe"))</f>
        <v/>
      </c>
      <c r="E1842" s="69"/>
      <c r="F1842" s="69"/>
      <c r="G1842" s="69"/>
      <c r="H1842" s="69"/>
      <c r="I1842" s="66"/>
      <c r="J1842" s="69"/>
      <c r="K1842" s="67"/>
      <c r="L1842" s="67"/>
      <c r="M1842" s="67"/>
      <c r="N1842" s="67"/>
      <c r="O1842" s="64"/>
      <c r="P1842" s="72" t="str">
        <f aca="false">IF(OR(B1842="",C1842=""),"",C1842&amp;"|"&amp;(YEAR(B1842)*100+MONTH(B1842)))</f>
        <v/>
      </c>
      <c r="Q1842" s="70" t="str">
        <f aca="false">IF(P1842="","",IF(COUNTIF(N_CLAVE,P1842)&gt;1,"⚠ Duplicado","OK"))</f>
        <v/>
      </c>
      <c r="R1842" s="74" t="str">
        <f aca="false">IF(OR(P1842="",U1842=""),"",MAX(0,U1842-N(E1842)-N(F1842)-N(H1842)))</f>
        <v/>
      </c>
      <c r="S1842" s="75" t="str">
        <f aca="false">IF(P1842="","",IFERROR(INDEX(T_INGRESO,MATCH(C1842,T_ID,0)),""))</f>
        <v/>
      </c>
      <c r="T1842" s="75" t="str">
        <f aca="false">IF(P1842="","",IFERROR(N(INDEX(T_EGRESO,MATCH(C1842,T_ID,0))),0))</f>
        <v/>
      </c>
      <c r="U1842" s="73" t="str">
        <f aca="false">IF(OR(P1842="",NOT(ISNUMBER(S1842))),"",IF(OR(S1842&gt;EOMONTH(B1842,0),AND(T1842&gt;0,T1842&lt;B1842)),0,IF(AND(S1842&lt;=B1842,OR(T1842=0,T1842&gt;=EOMONTH(B1842,0))),30,MIN(30,IF(T1842=0,EOMONTH(B1842,0),MIN(T1842,EOMONTH(B1842,0)))-MAX(B1842,S1842)+1))))</f>
        <v/>
      </c>
    </row>
    <row r="1843" customFormat="false" ht="15" hidden="false" customHeight="false" outlineLevel="0" collapsed="false">
      <c r="B1843" s="78"/>
      <c r="C1843" s="64"/>
      <c r="D1843" s="70" t="str">
        <f aca="false">IF(C1843="","",IFERROR(INDEX(T_NOMBRE,MATCH(C1843,T_ID,0)),"⚠ ID no existe"))</f>
        <v/>
      </c>
      <c r="E1843" s="69"/>
      <c r="F1843" s="69"/>
      <c r="G1843" s="69"/>
      <c r="H1843" s="69"/>
      <c r="I1843" s="66"/>
      <c r="J1843" s="69"/>
      <c r="K1843" s="67"/>
      <c r="L1843" s="67"/>
      <c r="M1843" s="67"/>
      <c r="N1843" s="67"/>
      <c r="O1843" s="64"/>
      <c r="P1843" s="72" t="str">
        <f aca="false">IF(OR(B1843="",C1843=""),"",C1843&amp;"|"&amp;(YEAR(B1843)*100+MONTH(B1843)))</f>
        <v/>
      </c>
      <c r="Q1843" s="70" t="str">
        <f aca="false">IF(P1843="","",IF(COUNTIF(N_CLAVE,P1843)&gt;1,"⚠ Duplicado","OK"))</f>
        <v/>
      </c>
      <c r="R1843" s="74" t="str">
        <f aca="false">IF(OR(P1843="",U1843=""),"",MAX(0,U1843-N(E1843)-N(F1843)-N(H1843)))</f>
        <v/>
      </c>
      <c r="S1843" s="75" t="str">
        <f aca="false">IF(P1843="","",IFERROR(INDEX(T_INGRESO,MATCH(C1843,T_ID,0)),""))</f>
        <v/>
      </c>
      <c r="T1843" s="75" t="str">
        <f aca="false">IF(P1843="","",IFERROR(N(INDEX(T_EGRESO,MATCH(C1843,T_ID,0))),0))</f>
        <v/>
      </c>
      <c r="U1843" s="73" t="str">
        <f aca="false">IF(OR(P1843="",NOT(ISNUMBER(S1843))),"",IF(OR(S1843&gt;EOMONTH(B1843,0),AND(T1843&gt;0,T1843&lt;B1843)),0,IF(AND(S1843&lt;=B1843,OR(T1843=0,T1843&gt;=EOMONTH(B1843,0))),30,MIN(30,IF(T1843=0,EOMONTH(B1843,0),MIN(T1843,EOMONTH(B1843,0)))-MAX(B1843,S1843)+1))))</f>
        <v/>
      </c>
    </row>
    <row r="1844" customFormat="false" ht="15" hidden="false" customHeight="false" outlineLevel="0" collapsed="false">
      <c r="B1844" s="78"/>
      <c r="C1844" s="64"/>
      <c r="D1844" s="70" t="str">
        <f aca="false">IF(C1844="","",IFERROR(INDEX(T_NOMBRE,MATCH(C1844,T_ID,0)),"⚠ ID no existe"))</f>
        <v/>
      </c>
      <c r="E1844" s="69"/>
      <c r="F1844" s="69"/>
      <c r="G1844" s="69"/>
      <c r="H1844" s="69"/>
      <c r="I1844" s="66"/>
      <c r="J1844" s="69"/>
      <c r="K1844" s="67"/>
      <c r="L1844" s="67"/>
      <c r="M1844" s="67"/>
      <c r="N1844" s="67"/>
      <c r="O1844" s="64"/>
      <c r="P1844" s="72" t="str">
        <f aca="false">IF(OR(B1844="",C1844=""),"",C1844&amp;"|"&amp;(YEAR(B1844)*100+MONTH(B1844)))</f>
        <v/>
      </c>
      <c r="Q1844" s="70" t="str">
        <f aca="false">IF(P1844="","",IF(COUNTIF(N_CLAVE,P1844)&gt;1,"⚠ Duplicado","OK"))</f>
        <v/>
      </c>
      <c r="R1844" s="74" t="str">
        <f aca="false">IF(OR(P1844="",U1844=""),"",MAX(0,U1844-N(E1844)-N(F1844)-N(H1844)))</f>
        <v/>
      </c>
      <c r="S1844" s="75" t="str">
        <f aca="false">IF(P1844="","",IFERROR(INDEX(T_INGRESO,MATCH(C1844,T_ID,0)),""))</f>
        <v/>
      </c>
      <c r="T1844" s="75" t="str">
        <f aca="false">IF(P1844="","",IFERROR(N(INDEX(T_EGRESO,MATCH(C1844,T_ID,0))),0))</f>
        <v/>
      </c>
      <c r="U1844" s="73" t="str">
        <f aca="false">IF(OR(P1844="",NOT(ISNUMBER(S1844))),"",IF(OR(S1844&gt;EOMONTH(B1844,0),AND(T1844&gt;0,T1844&lt;B1844)),0,IF(AND(S1844&lt;=B1844,OR(T1844=0,T1844&gt;=EOMONTH(B1844,0))),30,MIN(30,IF(T1844=0,EOMONTH(B1844,0),MIN(T1844,EOMONTH(B1844,0)))-MAX(B1844,S1844)+1))))</f>
        <v/>
      </c>
    </row>
    <row r="1845" customFormat="false" ht="15" hidden="false" customHeight="false" outlineLevel="0" collapsed="false">
      <c r="B1845" s="78"/>
      <c r="C1845" s="64"/>
      <c r="D1845" s="70" t="str">
        <f aca="false">IF(C1845="","",IFERROR(INDEX(T_NOMBRE,MATCH(C1845,T_ID,0)),"⚠ ID no existe"))</f>
        <v/>
      </c>
      <c r="E1845" s="69"/>
      <c r="F1845" s="69"/>
      <c r="G1845" s="69"/>
      <c r="H1845" s="69"/>
      <c r="I1845" s="66"/>
      <c r="J1845" s="69"/>
      <c r="K1845" s="67"/>
      <c r="L1845" s="67"/>
      <c r="M1845" s="67"/>
      <c r="N1845" s="67"/>
      <c r="O1845" s="64"/>
      <c r="P1845" s="72" t="str">
        <f aca="false">IF(OR(B1845="",C1845=""),"",C1845&amp;"|"&amp;(YEAR(B1845)*100+MONTH(B1845)))</f>
        <v/>
      </c>
      <c r="Q1845" s="70" t="str">
        <f aca="false">IF(P1845="","",IF(COUNTIF(N_CLAVE,P1845)&gt;1,"⚠ Duplicado","OK"))</f>
        <v/>
      </c>
      <c r="R1845" s="74" t="str">
        <f aca="false">IF(OR(P1845="",U1845=""),"",MAX(0,U1845-N(E1845)-N(F1845)-N(H1845)))</f>
        <v/>
      </c>
      <c r="S1845" s="75" t="str">
        <f aca="false">IF(P1845="","",IFERROR(INDEX(T_INGRESO,MATCH(C1845,T_ID,0)),""))</f>
        <v/>
      </c>
      <c r="T1845" s="75" t="str">
        <f aca="false">IF(P1845="","",IFERROR(N(INDEX(T_EGRESO,MATCH(C1845,T_ID,0))),0))</f>
        <v/>
      </c>
      <c r="U1845" s="73" t="str">
        <f aca="false">IF(OR(P1845="",NOT(ISNUMBER(S1845))),"",IF(OR(S1845&gt;EOMONTH(B1845,0),AND(T1845&gt;0,T1845&lt;B1845)),0,IF(AND(S1845&lt;=B1845,OR(T1845=0,T1845&gt;=EOMONTH(B1845,0))),30,MIN(30,IF(T1845=0,EOMONTH(B1845,0),MIN(T1845,EOMONTH(B1845,0)))-MAX(B1845,S1845)+1))))</f>
        <v/>
      </c>
    </row>
    <row r="1846" customFormat="false" ht="15" hidden="false" customHeight="false" outlineLevel="0" collapsed="false">
      <c r="B1846" s="78"/>
      <c r="C1846" s="64"/>
      <c r="D1846" s="70" t="str">
        <f aca="false">IF(C1846="","",IFERROR(INDEX(T_NOMBRE,MATCH(C1846,T_ID,0)),"⚠ ID no existe"))</f>
        <v/>
      </c>
      <c r="E1846" s="69"/>
      <c r="F1846" s="69"/>
      <c r="G1846" s="69"/>
      <c r="H1846" s="69"/>
      <c r="I1846" s="66"/>
      <c r="J1846" s="69"/>
      <c r="K1846" s="67"/>
      <c r="L1846" s="67"/>
      <c r="M1846" s="67"/>
      <c r="N1846" s="67"/>
      <c r="O1846" s="64"/>
      <c r="P1846" s="72" t="str">
        <f aca="false">IF(OR(B1846="",C1846=""),"",C1846&amp;"|"&amp;(YEAR(B1846)*100+MONTH(B1846)))</f>
        <v/>
      </c>
      <c r="Q1846" s="70" t="str">
        <f aca="false">IF(P1846="","",IF(COUNTIF(N_CLAVE,P1846)&gt;1,"⚠ Duplicado","OK"))</f>
        <v/>
      </c>
      <c r="R1846" s="74" t="str">
        <f aca="false">IF(OR(P1846="",U1846=""),"",MAX(0,U1846-N(E1846)-N(F1846)-N(H1846)))</f>
        <v/>
      </c>
      <c r="S1846" s="75" t="str">
        <f aca="false">IF(P1846="","",IFERROR(INDEX(T_INGRESO,MATCH(C1846,T_ID,0)),""))</f>
        <v/>
      </c>
      <c r="T1846" s="75" t="str">
        <f aca="false">IF(P1846="","",IFERROR(N(INDEX(T_EGRESO,MATCH(C1846,T_ID,0))),0))</f>
        <v/>
      </c>
      <c r="U1846" s="73" t="str">
        <f aca="false">IF(OR(P1846="",NOT(ISNUMBER(S1846))),"",IF(OR(S1846&gt;EOMONTH(B1846,0),AND(T1846&gt;0,T1846&lt;B1846)),0,IF(AND(S1846&lt;=B1846,OR(T1846=0,T1846&gt;=EOMONTH(B1846,0))),30,MIN(30,IF(T1846=0,EOMONTH(B1846,0),MIN(T1846,EOMONTH(B1846,0)))-MAX(B1846,S1846)+1))))</f>
        <v/>
      </c>
    </row>
    <row r="1847" customFormat="false" ht="15" hidden="false" customHeight="false" outlineLevel="0" collapsed="false">
      <c r="B1847" s="78"/>
      <c r="C1847" s="64"/>
      <c r="D1847" s="70" t="str">
        <f aca="false">IF(C1847="","",IFERROR(INDEX(T_NOMBRE,MATCH(C1847,T_ID,0)),"⚠ ID no existe"))</f>
        <v/>
      </c>
      <c r="E1847" s="69"/>
      <c r="F1847" s="69"/>
      <c r="G1847" s="69"/>
      <c r="H1847" s="69"/>
      <c r="I1847" s="66"/>
      <c r="J1847" s="69"/>
      <c r="K1847" s="67"/>
      <c r="L1847" s="67"/>
      <c r="M1847" s="67"/>
      <c r="N1847" s="67"/>
      <c r="O1847" s="64"/>
      <c r="P1847" s="72" t="str">
        <f aca="false">IF(OR(B1847="",C1847=""),"",C1847&amp;"|"&amp;(YEAR(B1847)*100+MONTH(B1847)))</f>
        <v/>
      </c>
      <c r="Q1847" s="70" t="str">
        <f aca="false">IF(P1847="","",IF(COUNTIF(N_CLAVE,P1847)&gt;1,"⚠ Duplicado","OK"))</f>
        <v/>
      </c>
      <c r="R1847" s="74" t="str">
        <f aca="false">IF(OR(P1847="",U1847=""),"",MAX(0,U1847-N(E1847)-N(F1847)-N(H1847)))</f>
        <v/>
      </c>
      <c r="S1847" s="75" t="str">
        <f aca="false">IF(P1847="","",IFERROR(INDEX(T_INGRESO,MATCH(C1847,T_ID,0)),""))</f>
        <v/>
      </c>
      <c r="T1847" s="75" t="str">
        <f aca="false">IF(P1847="","",IFERROR(N(INDEX(T_EGRESO,MATCH(C1847,T_ID,0))),0))</f>
        <v/>
      </c>
      <c r="U1847" s="73" t="str">
        <f aca="false">IF(OR(P1847="",NOT(ISNUMBER(S1847))),"",IF(OR(S1847&gt;EOMONTH(B1847,0),AND(T1847&gt;0,T1847&lt;B1847)),0,IF(AND(S1847&lt;=B1847,OR(T1847=0,T1847&gt;=EOMONTH(B1847,0))),30,MIN(30,IF(T1847=0,EOMONTH(B1847,0),MIN(T1847,EOMONTH(B1847,0)))-MAX(B1847,S1847)+1))))</f>
        <v/>
      </c>
    </row>
    <row r="1848" customFormat="false" ht="15" hidden="false" customHeight="false" outlineLevel="0" collapsed="false">
      <c r="B1848" s="78"/>
      <c r="C1848" s="64"/>
      <c r="D1848" s="70" t="str">
        <f aca="false">IF(C1848="","",IFERROR(INDEX(T_NOMBRE,MATCH(C1848,T_ID,0)),"⚠ ID no existe"))</f>
        <v/>
      </c>
      <c r="E1848" s="69"/>
      <c r="F1848" s="69"/>
      <c r="G1848" s="69"/>
      <c r="H1848" s="69"/>
      <c r="I1848" s="66"/>
      <c r="J1848" s="69"/>
      <c r="K1848" s="67"/>
      <c r="L1848" s="67"/>
      <c r="M1848" s="67"/>
      <c r="N1848" s="67"/>
      <c r="O1848" s="64"/>
      <c r="P1848" s="72" t="str">
        <f aca="false">IF(OR(B1848="",C1848=""),"",C1848&amp;"|"&amp;(YEAR(B1848)*100+MONTH(B1848)))</f>
        <v/>
      </c>
      <c r="Q1848" s="70" t="str">
        <f aca="false">IF(P1848="","",IF(COUNTIF(N_CLAVE,P1848)&gt;1,"⚠ Duplicado","OK"))</f>
        <v/>
      </c>
      <c r="R1848" s="74" t="str">
        <f aca="false">IF(OR(P1848="",U1848=""),"",MAX(0,U1848-N(E1848)-N(F1848)-N(H1848)))</f>
        <v/>
      </c>
      <c r="S1848" s="75" t="str">
        <f aca="false">IF(P1848="","",IFERROR(INDEX(T_INGRESO,MATCH(C1848,T_ID,0)),""))</f>
        <v/>
      </c>
      <c r="T1848" s="75" t="str">
        <f aca="false">IF(P1848="","",IFERROR(N(INDEX(T_EGRESO,MATCH(C1848,T_ID,0))),0))</f>
        <v/>
      </c>
      <c r="U1848" s="73" t="str">
        <f aca="false">IF(OR(P1848="",NOT(ISNUMBER(S1848))),"",IF(OR(S1848&gt;EOMONTH(B1848,0),AND(T1848&gt;0,T1848&lt;B1848)),0,IF(AND(S1848&lt;=B1848,OR(T1848=0,T1848&gt;=EOMONTH(B1848,0))),30,MIN(30,IF(T1848=0,EOMONTH(B1848,0),MIN(T1848,EOMONTH(B1848,0)))-MAX(B1848,S1848)+1))))</f>
        <v/>
      </c>
    </row>
    <row r="1849" customFormat="false" ht="15" hidden="false" customHeight="false" outlineLevel="0" collapsed="false">
      <c r="B1849" s="78"/>
      <c r="C1849" s="64"/>
      <c r="D1849" s="70" t="str">
        <f aca="false">IF(C1849="","",IFERROR(INDEX(T_NOMBRE,MATCH(C1849,T_ID,0)),"⚠ ID no existe"))</f>
        <v/>
      </c>
      <c r="E1849" s="69"/>
      <c r="F1849" s="69"/>
      <c r="G1849" s="69"/>
      <c r="H1849" s="69"/>
      <c r="I1849" s="66"/>
      <c r="J1849" s="69"/>
      <c r="K1849" s="67"/>
      <c r="L1849" s="67"/>
      <c r="M1849" s="67"/>
      <c r="N1849" s="67"/>
      <c r="O1849" s="64"/>
      <c r="P1849" s="72" t="str">
        <f aca="false">IF(OR(B1849="",C1849=""),"",C1849&amp;"|"&amp;(YEAR(B1849)*100+MONTH(B1849)))</f>
        <v/>
      </c>
      <c r="Q1849" s="70" t="str">
        <f aca="false">IF(P1849="","",IF(COUNTIF(N_CLAVE,P1849)&gt;1,"⚠ Duplicado","OK"))</f>
        <v/>
      </c>
      <c r="R1849" s="74" t="str">
        <f aca="false">IF(OR(P1849="",U1849=""),"",MAX(0,U1849-N(E1849)-N(F1849)-N(H1849)))</f>
        <v/>
      </c>
      <c r="S1849" s="75" t="str">
        <f aca="false">IF(P1849="","",IFERROR(INDEX(T_INGRESO,MATCH(C1849,T_ID,0)),""))</f>
        <v/>
      </c>
      <c r="T1849" s="75" t="str">
        <f aca="false">IF(P1849="","",IFERROR(N(INDEX(T_EGRESO,MATCH(C1849,T_ID,0))),0))</f>
        <v/>
      </c>
      <c r="U1849" s="73" t="str">
        <f aca="false">IF(OR(P1849="",NOT(ISNUMBER(S1849))),"",IF(OR(S1849&gt;EOMONTH(B1849,0),AND(T1849&gt;0,T1849&lt;B1849)),0,IF(AND(S1849&lt;=B1849,OR(T1849=0,T1849&gt;=EOMONTH(B1849,0))),30,MIN(30,IF(T1849=0,EOMONTH(B1849,0),MIN(T1849,EOMONTH(B1849,0)))-MAX(B1849,S1849)+1))))</f>
        <v/>
      </c>
    </row>
    <row r="1850" customFormat="false" ht="15" hidden="false" customHeight="false" outlineLevel="0" collapsed="false">
      <c r="B1850" s="78"/>
      <c r="C1850" s="64"/>
      <c r="D1850" s="70" t="str">
        <f aca="false">IF(C1850="","",IFERROR(INDEX(T_NOMBRE,MATCH(C1850,T_ID,0)),"⚠ ID no existe"))</f>
        <v/>
      </c>
      <c r="E1850" s="69"/>
      <c r="F1850" s="69"/>
      <c r="G1850" s="69"/>
      <c r="H1850" s="69"/>
      <c r="I1850" s="66"/>
      <c r="J1850" s="69"/>
      <c r="K1850" s="67"/>
      <c r="L1850" s="67"/>
      <c r="M1850" s="67"/>
      <c r="N1850" s="67"/>
      <c r="O1850" s="64"/>
      <c r="P1850" s="72" t="str">
        <f aca="false">IF(OR(B1850="",C1850=""),"",C1850&amp;"|"&amp;(YEAR(B1850)*100+MONTH(B1850)))</f>
        <v/>
      </c>
      <c r="Q1850" s="70" t="str">
        <f aca="false">IF(P1850="","",IF(COUNTIF(N_CLAVE,P1850)&gt;1,"⚠ Duplicado","OK"))</f>
        <v/>
      </c>
      <c r="R1850" s="74" t="str">
        <f aca="false">IF(OR(P1850="",U1850=""),"",MAX(0,U1850-N(E1850)-N(F1850)-N(H1850)))</f>
        <v/>
      </c>
      <c r="S1850" s="75" t="str">
        <f aca="false">IF(P1850="","",IFERROR(INDEX(T_INGRESO,MATCH(C1850,T_ID,0)),""))</f>
        <v/>
      </c>
      <c r="T1850" s="75" t="str">
        <f aca="false">IF(P1850="","",IFERROR(N(INDEX(T_EGRESO,MATCH(C1850,T_ID,0))),0))</f>
        <v/>
      </c>
      <c r="U1850" s="73" t="str">
        <f aca="false">IF(OR(P1850="",NOT(ISNUMBER(S1850))),"",IF(OR(S1850&gt;EOMONTH(B1850,0),AND(T1850&gt;0,T1850&lt;B1850)),0,IF(AND(S1850&lt;=B1850,OR(T1850=0,T1850&gt;=EOMONTH(B1850,0))),30,MIN(30,IF(T1850=0,EOMONTH(B1850,0),MIN(T1850,EOMONTH(B1850,0)))-MAX(B1850,S1850)+1))))</f>
        <v/>
      </c>
    </row>
    <row r="1851" customFormat="false" ht="15" hidden="false" customHeight="false" outlineLevel="0" collapsed="false">
      <c r="B1851" s="78"/>
      <c r="C1851" s="64"/>
      <c r="D1851" s="70" t="str">
        <f aca="false">IF(C1851="","",IFERROR(INDEX(T_NOMBRE,MATCH(C1851,T_ID,0)),"⚠ ID no existe"))</f>
        <v/>
      </c>
      <c r="E1851" s="69"/>
      <c r="F1851" s="69"/>
      <c r="G1851" s="69"/>
      <c r="H1851" s="69"/>
      <c r="I1851" s="66"/>
      <c r="J1851" s="69"/>
      <c r="K1851" s="67"/>
      <c r="L1851" s="67"/>
      <c r="M1851" s="67"/>
      <c r="N1851" s="67"/>
      <c r="O1851" s="64"/>
      <c r="P1851" s="72" t="str">
        <f aca="false">IF(OR(B1851="",C1851=""),"",C1851&amp;"|"&amp;(YEAR(B1851)*100+MONTH(B1851)))</f>
        <v/>
      </c>
      <c r="Q1851" s="70" t="str">
        <f aca="false">IF(P1851="","",IF(COUNTIF(N_CLAVE,P1851)&gt;1,"⚠ Duplicado","OK"))</f>
        <v/>
      </c>
      <c r="R1851" s="74" t="str">
        <f aca="false">IF(OR(P1851="",U1851=""),"",MAX(0,U1851-N(E1851)-N(F1851)-N(H1851)))</f>
        <v/>
      </c>
      <c r="S1851" s="75" t="str">
        <f aca="false">IF(P1851="","",IFERROR(INDEX(T_INGRESO,MATCH(C1851,T_ID,0)),""))</f>
        <v/>
      </c>
      <c r="T1851" s="75" t="str">
        <f aca="false">IF(P1851="","",IFERROR(N(INDEX(T_EGRESO,MATCH(C1851,T_ID,0))),0))</f>
        <v/>
      </c>
      <c r="U1851" s="73" t="str">
        <f aca="false">IF(OR(P1851="",NOT(ISNUMBER(S1851))),"",IF(OR(S1851&gt;EOMONTH(B1851,0),AND(T1851&gt;0,T1851&lt;B1851)),0,IF(AND(S1851&lt;=B1851,OR(T1851=0,T1851&gt;=EOMONTH(B1851,0))),30,MIN(30,IF(T1851=0,EOMONTH(B1851,0),MIN(T1851,EOMONTH(B1851,0)))-MAX(B1851,S1851)+1))))</f>
        <v/>
      </c>
    </row>
    <row r="1852" customFormat="false" ht="15" hidden="false" customHeight="false" outlineLevel="0" collapsed="false">
      <c r="B1852" s="78"/>
      <c r="C1852" s="64"/>
      <c r="D1852" s="70" t="str">
        <f aca="false">IF(C1852="","",IFERROR(INDEX(T_NOMBRE,MATCH(C1852,T_ID,0)),"⚠ ID no existe"))</f>
        <v/>
      </c>
      <c r="E1852" s="69"/>
      <c r="F1852" s="69"/>
      <c r="G1852" s="69"/>
      <c r="H1852" s="69"/>
      <c r="I1852" s="66"/>
      <c r="J1852" s="69"/>
      <c r="K1852" s="67"/>
      <c r="L1852" s="67"/>
      <c r="M1852" s="67"/>
      <c r="N1852" s="67"/>
      <c r="O1852" s="64"/>
      <c r="P1852" s="72" t="str">
        <f aca="false">IF(OR(B1852="",C1852=""),"",C1852&amp;"|"&amp;(YEAR(B1852)*100+MONTH(B1852)))</f>
        <v/>
      </c>
      <c r="Q1852" s="70" t="str">
        <f aca="false">IF(P1852="","",IF(COUNTIF(N_CLAVE,P1852)&gt;1,"⚠ Duplicado","OK"))</f>
        <v/>
      </c>
      <c r="R1852" s="74" t="str">
        <f aca="false">IF(OR(P1852="",U1852=""),"",MAX(0,U1852-N(E1852)-N(F1852)-N(H1852)))</f>
        <v/>
      </c>
      <c r="S1852" s="75" t="str">
        <f aca="false">IF(P1852="","",IFERROR(INDEX(T_INGRESO,MATCH(C1852,T_ID,0)),""))</f>
        <v/>
      </c>
      <c r="T1852" s="75" t="str">
        <f aca="false">IF(P1852="","",IFERROR(N(INDEX(T_EGRESO,MATCH(C1852,T_ID,0))),0))</f>
        <v/>
      </c>
      <c r="U1852" s="73" t="str">
        <f aca="false">IF(OR(P1852="",NOT(ISNUMBER(S1852))),"",IF(OR(S1852&gt;EOMONTH(B1852,0),AND(T1852&gt;0,T1852&lt;B1852)),0,IF(AND(S1852&lt;=B1852,OR(T1852=0,T1852&gt;=EOMONTH(B1852,0))),30,MIN(30,IF(T1852=0,EOMONTH(B1852,0),MIN(T1852,EOMONTH(B1852,0)))-MAX(B1852,S1852)+1))))</f>
        <v/>
      </c>
    </row>
    <row r="1853" customFormat="false" ht="15" hidden="false" customHeight="false" outlineLevel="0" collapsed="false">
      <c r="B1853" s="78"/>
      <c r="C1853" s="64"/>
      <c r="D1853" s="70" t="str">
        <f aca="false">IF(C1853="","",IFERROR(INDEX(T_NOMBRE,MATCH(C1853,T_ID,0)),"⚠ ID no existe"))</f>
        <v/>
      </c>
      <c r="E1853" s="69"/>
      <c r="F1853" s="69"/>
      <c r="G1853" s="69"/>
      <c r="H1853" s="69"/>
      <c r="I1853" s="66"/>
      <c r="J1853" s="69"/>
      <c r="K1853" s="67"/>
      <c r="L1853" s="67"/>
      <c r="M1853" s="67"/>
      <c r="N1853" s="67"/>
      <c r="O1853" s="64"/>
      <c r="P1853" s="72" t="str">
        <f aca="false">IF(OR(B1853="",C1853=""),"",C1853&amp;"|"&amp;(YEAR(B1853)*100+MONTH(B1853)))</f>
        <v/>
      </c>
      <c r="Q1853" s="70" t="str">
        <f aca="false">IF(P1853="","",IF(COUNTIF(N_CLAVE,P1853)&gt;1,"⚠ Duplicado","OK"))</f>
        <v/>
      </c>
      <c r="R1853" s="74" t="str">
        <f aca="false">IF(OR(P1853="",U1853=""),"",MAX(0,U1853-N(E1853)-N(F1853)-N(H1853)))</f>
        <v/>
      </c>
      <c r="S1853" s="75" t="str">
        <f aca="false">IF(P1853="","",IFERROR(INDEX(T_INGRESO,MATCH(C1853,T_ID,0)),""))</f>
        <v/>
      </c>
      <c r="T1853" s="75" t="str">
        <f aca="false">IF(P1853="","",IFERROR(N(INDEX(T_EGRESO,MATCH(C1853,T_ID,0))),0))</f>
        <v/>
      </c>
      <c r="U1853" s="73" t="str">
        <f aca="false">IF(OR(P1853="",NOT(ISNUMBER(S1853))),"",IF(OR(S1853&gt;EOMONTH(B1853,0),AND(T1853&gt;0,T1853&lt;B1853)),0,IF(AND(S1853&lt;=B1853,OR(T1853=0,T1853&gt;=EOMONTH(B1853,0))),30,MIN(30,IF(T1853=0,EOMONTH(B1853,0),MIN(T1853,EOMONTH(B1853,0)))-MAX(B1853,S1853)+1))))</f>
        <v/>
      </c>
    </row>
    <row r="1854" customFormat="false" ht="15" hidden="false" customHeight="false" outlineLevel="0" collapsed="false">
      <c r="B1854" s="78"/>
      <c r="C1854" s="64"/>
      <c r="D1854" s="70" t="str">
        <f aca="false">IF(C1854="","",IFERROR(INDEX(T_NOMBRE,MATCH(C1854,T_ID,0)),"⚠ ID no existe"))</f>
        <v/>
      </c>
      <c r="E1854" s="69"/>
      <c r="F1854" s="69"/>
      <c r="G1854" s="69"/>
      <c r="H1854" s="69"/>
      <c r="I1854" s="66"/>
      <c r="J1854" s="69"/>
      <c r="K1854" s="67"/>
      <c r="L1854" s="67"/>
      <c r="M1854" s="67"/>
      <c r="N1854" s="67"/>
      <c r="O1854" s="64"/>
      <c r="P1854" s="72" t="str">
        <f aca="false">IF(OR(B1854="",C1854=""),"",C1854&amp;"|"&amp;(YEAR(B1854)*100+MONTH(B1854)))</f>
        <v/>
      </c>
      <c r="Q1854" s="70" t="str">
        <f aca="false">IF(P1854="","",IF(COUNTIF(N_CLAVE,P1854)&gt;1,"⚠ Duplicado","OK"))</f>
        <v/>
      </c>
      <c r="R1854" s="74" t="str">
        <f aca="false">IF(OR(P1854="",U1854=""),"",MAX(0,U1854-N(E1854)-N(F1854)-N(H1854)))</f>
        <v/>
      </c>
      <c r="S1854" s="75" t="str">
        <f aca="false">IF(P1854="","",IFERROR(INDEX(T_INGRESO,MATCH(C1854,T_ID,0)),""))</f>
        <v/>
      </c>
      <c r="T1854" s="75" t="str">
        <f aca="false">IF(P1854="","",IFERROR(N(INDEX(T_EGRESO,MATCH(C1854,T_ID,0))),0))</f>
        <v/>
      </c>
      <c r="U1854" s="73" t="str">
        <f aca="false">IF(OR(P1854="",NOT(ISNUMBER(S1854))),"",IF(OR(S1854&gt;EOMONTH(B1854,0),AND(T1854&gt;0,T1854&lt;B1854)),0,IF(AND(S1854&lt;=B1854,OR(T1854=0,T1854&gt;=EOMONTH(B1854,0))),30,MIN(30,IF(T1854=0,EOMONTH(B1854,0),MIN(T1854,EOMONTH(B1854,0)))-MAX(B1854,S1854)+1))))</f>
        <v/>
      </c>
    </row>
    <row r="1855" customFormat="false" ht="15" hidden="false" customHeight="false" outlineLevel="0" collapsed="false">
      <c r="B1855" s="78"/>
      <c r="C1855" s="64"/>
      <c r="D1855" s="70" t="str">
        <f aca="false">IF(C1855="","",IFERROR(INDEX(T_NOMBRE,MATCH(C1855,T_ID,0)),"⚠ ID no existe"))</f>
        <v/>
      </c>
      <c r="E1855" s="69"/>
      <c r="F1855" s="69"/>
      <c r="G1855" s="69"/>
      <c r="H1855" s="69"/>
      <c r="I1855" s="66"/>
      <c r="J1855" s="69"/>
      <c r="K1855" s="67"/>
      <c r="L1855" s="67"/>
      <c r="M1855" s="67"/>
      <c r="N1855" s="67"/>
      <c r="O1855" s="64"/>
      <c r="P1855" s="72" t="str">
        <f aca="false">IF(OR(B1855="",C1855=""),"",C1855&amp;"|"&amp;(YEAR(B1855)*100+MONTH(B1855)))</f>
        <v/>
      </c>
      <c r="Q1855" s="70" t="str">
        <f aca="false">IF(P1855="","",IF(COUNTIF(N_CLAVE,P1855)&gt;1,"⚠ Duplicado","OK"))</f>
        <v/>
      </c>
      <c r="R1855" s="74" t="str">
        <f aca="false">IF(OR(P1855="",U1855=""),"",MAX(0,U1855-N(E1855)-N(F1855)-N(H1855)))</f>
        <v/>
      </c>
      <c r="S1855" s="75" t="str">
        <f aca="false">IF(P1855="","",IFERROR(INDEX(T_INGRESO,MATCH(C1855,T_ID,0)),""))</f>
        <v/>
      </c>
      <c r="T1855" s="75" t="str">
        <f aca="false">IF(P1855="","",IFERROR(N(INDEX(T_EGRESO,MATCH(C1855,T_ID,0))),0))</f>
        <v/>
      </c>
      <c r="U1855" s="73" t="str">
        <f aca="false">IF(OR(P1855="",NOT(ISNUMBER(S1855))),"",IF(OR(S1855&gt;EOMONTH(B1855,0),AND(T1855&gt;0,T1855&lt;B1855)),0,IF(AND(S1855&lt;=B1855,OR(T1855=0,T1855&gt;=EOMONTH(B1855,0))),30,MIN(30,IF(T1855=0,EOMONTH(B1855,0),MIN(T1855,EOMONTH(B1855,0)))-MAX(B1855,S1855)+1))))</f>
        <v/>
      </c>
    </row>
    <row r="1856" customFormat="false" ht="15" hidden="false" customHeight="false" outlineLevel="0" collapsed="false">
      <c r="B1856" s="78"/>
      <c r="C1856" s="64"/>
      <c r="D1856" s="70" t="str">
        <f aca="false">IF(C1856="","",IFERROR(INDEX(T_NOMBRE,MATCH(C1856,T_ID,0)),"⚠ ID no existe"))</f>
        <v/>
      </c>
      <c r="E1856" s="69"/>
      <c r="F1856" s="69"/>
      <c r="G1856" s="69"/>
      <c r="H1856" s="69"/>
      <c r="I1856" s="66"/>
      <c r="J1856" s="69"/>
      <c r="K1856" s="67"/>
      <c r="L1856" s="67"/>
      <c r="M1856" s="67"/>
      <c r="N1856" s="67"/>
      <c r="O1856" s="64"/>
      <c r="P1856" s="72" t="str">
        <f aca="false">IF(OR(B1856="",C1856=""),"",C1856&amp;"|"&amp;(YEAR(B1856)*100+MONTH(B1856)))</f>
        <v/>
      </c>
      <c r="Q1856" s="70" t="str">
        <f aca="false">IF(P1856="","",IF(COUNTIF(N_CLAVE,P1856)&gt;1,"⚠ Duplicado","OK"))</f>
        <v/>
      </c>
      <c r="R1856" s="74" t="str">
        <f aca="false">IF(OR(P1856="",U1856=""),"",MAX(0,U1856-N(E1856)-N(F1856)-N(H1856)))</f>
        <v/>
      </c>
      <c r="S1856" s="75" t="str">
        <f aca="false">IF(P1856="","",IFERROR(INDEX(T_INGRESO,MATCH(C1856,T_ID,0)),""))</f>
        <v/>
      </c>
      <c r="T1856" s="75" t="str">
        <f aca="false">IF(P1856="","",IFERROR(N(INDEX(T_EGRESO,MATCH(C1856,T_ID,0))),0))</f>
        <v/>
      </c>
      <c r="U1856" s="73" t="str">
        <f aca="false">IF(OR(P1856="",NOT(ISNUMBER(S1856))),"",IF(OR(S1856&gt;EOMONTH(B1856,0),AND(T1856&gt;0,T1856&lt;B1856)),0,IF(AND(S1856&lt;=B1856,OR(T1856=0,T1856&gt;=EOMONTH(B1856,0))),30,MIN(30,IF(T1856=0,EOMONTH(B1856,0),MIN(T1856,EOMONTH(B1856,0)))-MAX(B1856,S1856)+1))))</f>
        <v/>
      </c>
    </row>
    <row r="1857" customFormat="false" ht="15" hidden="false" customHeight="false" outlineLevel="0" collapsed="false">
      <c r="B1857" s="78"/>
      <c r="C1857" s="64"/>
      <c r="D1857" s="70" t="str">
        <f aca="false">IF(C1857="","",IFERROR(INDEX(T_NOMBRE,MATCH(C1857,T_ID,0)),"⚠ ID no existe"))</f>
        <v/>
      </c>
      <c r="E1857" s="69"/>
      <c r="F1857" s="69"/>
      <c r="G1857" s="69"/>
      <c r="H1857" s="69"/>
      <c r="I1857" s="66"/>
      <c r="J1857" s="69"/>
      <c r="K1857" s="67"/>
      <c r="L1857" s="67"/>
      <c r="M1857" s="67"/>
      <c r="N1857" s="67"/>
      <c r="O1857" s="64"/>
      <c r="P1857" s="72" t="str">
        <f aca="false">IF(OR(B1857="",C1857=""),"",C1857&amp;"|"&amp;(YEAR(B1857)*100+MONTH(B1857)))</f>
        <v/>
      </c>
      <c r="Q1857" s="70" t="str">
        <f aca="false">IF(P1857="","",IF(COUNTIF(N_CLAVE,P1857)&gt;1,"⚠ Duplicado","OK"))</f>
        <v/>
      </c>
      <c r="R1857" s="74" t="str">
        <f aca="false">IF(OR(P1857="",U1857=""),"",MAX(0,U1857-N(E1857)-N(F1857)-N(H1857)))</f>
        <v/>
      </c>
      <c r="S1857" s="75" t="str">
        <f aca="false">IF(P1857="","",IFERROR(INDEX(T_INGRESO,MATCH(C1857,T_ID,0)),""))</f>
        <v/>
      </c>
      <c r="T1857" s="75" t="str">
        <f aca="false">IF(P1857="","",IFERROR(N(INDEX(T_EGRESO,MATCH(C1857,T_ID,0))),0))</f>
        <v/>
      </c>
      <c r="U1857" s="73" t="str">
        <f aca="false">IF(OR(P1857="",NOT(ISNUMBER(S1857))),"",IF(OR(S1857&gt;EOMONTH(B1857,0),AND(T1857&gt;0,T1857&lt;B1857)),0,IF(AND(S1857&lt;=B1857,OR(T1857=0,T1857&gt;=EOMONTH(B1857,0))),30,MIN(30,IF(T1857=0,EOMONTH(B1857,0),MIN(T1857,EOMONTH(B1857,0)))-MAX(B1857,S1857)+1))))</f>
        <v/>
      </c>
    </row>
    <row r="1858" customFormat="false" ht="15" hidden="false" customHeight="false" outlineLevel="0" collapsed="false">
      <c r="B1858" s="78"/>
      <c r="C1858" s="64"/>
      <c r="D1858" s="70" t="str">
        <f aca="false">IF(C1858="","",IFERROR(INDEX(T_NOMBRE,MATCH(C1858,T_ID,0)),"⚠ ID no existe"))</f>
        <v/>
      </c>
      <c r="E1858" s="69"/>
      <c r="F1858" s="69"/>
      <c r="G1858" s="69"/>
      <c r="H1858" s="69"/>
      <c r="I1858" s="66"/>
      <c r="J1858" s="69"/>
      <c r="K1858" s="67"/>
      <c r="L1858" s="67"/>
      <c r="M1858" s="67"/>
      <c r="N1858" s="67"/>
      <c r="O1858" s="64"/>
      <c r="P1858" s="72" t="str">
        <f aca="false">IF(OR(B1858="",C1858=""),"",C1858&amp;"|"&amp;(YEAR(B1858)*100+MONTH(B1858)))</f>
        <v/>
      </c>
      <c r="Q1858" s="70" t="str">
        <f aca="false">IF(P1858="","",IF(COUNTIF(N_CLAVE,P1858)&gt;1,"⚠ Duplicado","OK"))</f>
        <v/>
      </c>
      <c r="R1858" s="74" t="str">
        <f aca="false">IF(OR(P1858="",U1858=""),"",MAX(0,U1858-N(E1858)-N(F1858)-N(H1858)))</f>
        <v/>
      </c>
      <c r="S1858" s="75" t="str">
        <f aca="false">IF(P1858="","",IFERROR(INDEX(T_INGRESO,MATCH(C1858,T_ID,0)),""))</f>
        <v/>
      </c>
      <c r="T1858" s="75" t="str">
        <f aca="false">IF(P1858="","",IFERROR(N(INDEX(T_EGRESO,MATCH(C1858,T_ID,0))),0))</f>
        <v/>
      </c>
      <c r="U1858" s="73" t="str">
        <f aca="false">IF(OR(P1858="",NOT(ISNUMBER(S1858))),"",IF(OR(S1858&gt;EOMONTH(B1858,0),AND(T1858&gt;0,T1858&lt;B1858)),0,IF(AND(S1858&lt;=B1858,OR(T1858=0,T1858&gt;=EOMONTH(B1858,0))),30,MIN(30,IF(T1858=0,EOMONTH(B1858,0),MIN(T1858,EOMONTH(B1858,0)))-MAX(B1858,S1858)+1))))</f>
        <v/>
      </c>
    </row>
    <row r="1859" customFormat="false" ht="15" hidden="false" customHeight="false" outlineLevel="0" collapsed="false">
      <c r="B1859" s="78"/>
      <c r="C1859" s="64"/>
      <c r="D1859" s="70" t="str">
        <f aca="false">IF(C1859="","",IFERROR(INDEX(T_NOMBRE,MATCH(C1859,T_ID,0)),"⚠ ID no existe"))</f>
        <v/>
      </c>
      <c r="E1859" s="69"/>
      <c r="F1859" s="69"/>
      <c r="G1859" s="69"/>
      <c r="H1859" s="69"/>
      <c r="I1859" s="66"/>
      <c r="J1859" s="69"/>
      <c r="K1859" s="67"/>
      <c r="L1859" s="67"/>
      <c r="M1859" s="67"/>
      <c r="N1859" s="67"/>
      <c r="O1859" s="64"/>
      <c r="P1859" s="72" t="str">
        <f aca="false">IF(OR(B1859="",C1859=""),"",C1859&amp;"|"&amp;(YEAR(B1859)*100+MONTH(B1859)))</f>
        <v/>
      </c>
      <c r="Q1859" s="70" t="str">
        <f aca="false">IF(P1859="","",IF(COUNTIF(N_CLAVE,P1859)&gt;1,"⚠ Duplicado","OK"))</f>
        <v/>
      </c>
      <c r="R1859" s="74" t="str">
        <f aca="false">IF(OR(P1859="",U1859=""),"",MAX(0,U1859-N(E1859)-N(F1859)-N(H1859)))</f>
        <v/>
      </c>
      <c r="S1859" s="75" t="str">
        <f aca="false">IF(P1859="","",IFERROR(INDEX(T_INGRESO,MATCH(C1859,T_ID,0)),""))</f>
        <v/>
      </c>
      <c r="T1859" s="75" t="str">
        <f aca="false">IF(P1859="","",IFERROR(N(INDEX(T_EGRESO,MATCH(C1859,T_ID,0))),0))</f>
        <v/>
      </c>
      <c r="U1859" s="73" t="str">
        <f aca="false">IF(OR(P1859="",NOT(ISNUMBER(S1859))),"",IF(OR(S1859&gt;EOMONTH(B1859,0),AND(T1859&gt;0,T1859&lt;B1859)),0,IF(AND(S1859&lt;=B1859,OR(T1859=0,T1859&gt;=EOMONTH(B1859,0))),30,MIN(30,IF(T1859=0,EOMONTH(B1859,0),MIN(T1859,EOMONTH(B1859,0)))-MAX(B1859,S1859)+1))))</f>
        <v/>
      </c>
    </row>
    <row r="1860" customFormat="false" ht="15" hidden="false" customHeight="false" outlineLevel="0" collapsed="false">
      <c r="B1860" s="78"/>
      <c r="C1860" s="64"/>
      <c r="D1860" s="70" t="str">
        <f aca="false">IF(C1860="","",IFERROR(INDEX(T_NOMBRE,MATCH(C1860,T_ID,0)),"⚠ ID no existe"))</f>
        <v/>
      </c>
      <c r="E1860" s="69"/>
      <c r="F1860" s="69"/>
      <c r="G1860" s="69"/>
      <c r="H1860" s="69"/>
      <c r="I1860" s="66"/>
      <c r="J1860" s="69"/>
      <c r="K1860" s="67"/>
      <c r="L1860" s="67"/>
      <c r="M1860" s="67"/>
      <c r="N1860" s="67"/>
      <c r="O1860" s="64"/>
      <c r="P1860" s="72" t="str">
        <f aca="false">IF(OR(B1860="",C1860=""),"",C1860&amp;"|"&amp;(YEAR(B1860)*100+MONTH(B1860)))</f>
        <v/>
      </c>
      <c r="Q1860" s="70" t="str">
        <f aca="false">IF(P1860="","",IF(COUNTIF(N_CLAVE,P1860)&gt;1,"⚠ Duplicado","OK"))</f>
        <v/>
      </c>
      <c r="R1860" s="74" t="str">
        <f aca="false">IF(OR(P1860="",U1860=""),"",MAX(0,U1860-N(E1860)-N(F1860)-N(H1860)))</f>
        <v/>
      </c>
      <c r="S1860" s="75" t="str">
        <f aca="false">IF(P1860="","",IFERROR(INDEX(T_INGRESO,MATCH(C1860,T_ID,0)),""))</f>
        <v/>
      </c>
      <c r="T1860" s="75" t="str">
        <f aca="false">IF(P1860="","",IFERROR(N(INDEX(T_EGRESO,MATCH(C1860,T_ID,0))),0))</f>
        <v/>
      </c>
      <c r="U1860" s="73" t="str">
        <f aca="false">IF(OR(P1860="",NOT(ISNUMBER(S1860))),"",IF(OR(S1860&gt;EOMONTH(B1860,0),AND(T1860&gt;0,T1860&lt;B1860)),0,IF(AND(S1860&lt;=B1860,OR(T1860=0,T1860&gt;=EOMONTH(B1860,0))),30,MIN(30,IF(T1860=0,EOMONTH(B1860,0),MIN(T1860,EOMONTH(B1860,0)))-MAX(B1860,S1860)+1))))</f>
        <v/>
      </c>
    </row>
    <row r="1861" customFormat="false" ht="15" hidden="false" customHeight="false" outlineLevel="0" collapsed="false">
      <c r="B1861" s="78"/>
      <c r="C1861" s="64"/>
      <c r="D1861" s="70" t="str">
        <f aca="false">IF(C1861="","",IFERROR(INDEX(T_NOMBRE,MATCH(C1861,T_ID,0)),"⚠ ID no existe"))</f>
        <v/>
      </c>
      <c r="E1861" s="69"/>
      <c r="F1861" s="69"/>
      <c r="G1861" s="69"/>
      <c r="H1861" s="69"/>
      <c r="I1861" s="66"/>
      <c r="J1861" s="69"/>
      <c r="K1861" s="67"/>
      <c r="L1861" s="67"/>
      <c r="M1861" s="67"/>
      <c r="N1861" s="67"/>
      <c r="O1861" s="64"/>
      <c r="P1861" s="72" t="str">
        <f aca="false">IF(OR(B1861="",C1861=""),"",C1861&amp;"|"&amp;(YEAR(B1861)*100+MONTH(B1861)))</f>
        <v/>
      </c>
      <c r="Q1861" s="70" t="str">
        <f aca="false">IF(P1861="","",IF(COUNTIF(N_CLAVE,P1861)&gt;1,"⚠ Duplicado","OK"))</f>
        <v/>
      </c>
      <c r="R1861" s="74" t="str">
        <f aca="false">IF(OR(P1861="",U1861=""),"",MAX(0,U1861-N(E1861)-N(F1861)-N(H1861)))</f>
        <v/>
      </c>
      <c r="S1861" s="75" t="str">
        <f aca="false">IF(P1861="","",IFERROR(INDEX(T_INGRESO,MATCH(C1861,T_ID,0)),""))</f>
        <v/>
      </c>
      <c r="T1861" s="75" t="str">
        <f aca="false">IF(P1861="","",IFERROR(N(INDEX(T_EGRESO,MATCH(C1861,T_ID,0))),0))</f>
        <v/>
      </c>
      <c r="U1861" s="73" t="str">
        <f aca="false">IF(OR(P1861="",NOT(ISNUMBER(S1861))),"",IF(OR(S1861&gt;EOMONTH(B1861,0),AND(T1861&gt;0,T1861&lt;B1861)),0,IF(AND(S1861&lt;=B1861,OR(T1861=0,T1861&gt;=EOMONTH(B1861,0))),30,MIN(30,IF(T1861=0,EOMONTH(B1861,0),MIN(T1861,EOMONTH(B1861,0)))-MAX(B1861,S1861)+1))))</f>
        <v/>
      </c>
    </row>
    <row r="1862" customFormat="false" ht="15" hidden="false" customHeight="false" outlineLevel="0" collapsed="false">
      <c r="B1862" s="78"/>
      <c r="C1862" s="64"/>
      <c r="D1862" s="70" t="str">
        <f aca="false">IF(C1862="","",IFERROR(INDEX(T_NOMBRE,MATCH(C1862,T_ID,0)),"⚠ ID no existe"))</f>
        <v/>
      </c>
      <c r="E1862" s="69"/>
      <c r="F1862" s="69"/>
      <c r="G1862" s="69"/>
      <c r="H1862" s="69"/>
      <c r="I1862" s="66"/>
      <c r="J1862" s="69"/>
      <c r="K1862" s="67"/>
      <c r="L1862" s="67"/>
      <c r="M1862" s="67"/>
      <c r="N1862" s="67"/>
      <c r="O1862" s="64"/>
      <c r="P1862" s="72" t="str">
        <f aca="false">IF(OR(B1862="",C1862=""),"",C1862&amp;"|"&amp;(YEAR(B1862)*100+MONTH(B1862)))</f>
        <v/>
      </c>
      <c r="Q1862" s="70" t="str">
        <f aca="false">IF(P1862="","",IF(COUNTIF(N_CLAVE,P1862)&gt;1,"⚠ Duplicado","OK"))</f>
        <v/>
      </c>
      <c r="R1862" s="74" t="str">
        <f aca="false">IF(OR(P1862="",U1862=""),"",MAX(0,U1862-N(E1862)-N(F1862)-N(H1862)))</f>
        <v/>
      </c>
      <c r="S1862" s="75" t="str">
        <f aca="false">IF(P1862="","",IFERROR(INDEX(T_INGRESO,MATCH(C1862,T_ID,0)),""))</f>
        <v/>
      </c>
      <c r="T1862" s="75" t="str">
        <f aca="false">IF(P1862="","",IFERROR(N(INDEX(T_EGRESO,MATCH(C1862,T_ID,0))),0))</f>
        <v/>
      </c>
      <c r="U1862" s="73" t="str">
        <f aca="false">IF(OR(P1862="",NOT(ISNUMBER(S1862))),"",IF(OR(S1862&gt;EOMONTH(B1862,0),AND(T1862&gt;0,T1862&lt;B1862)),0,IF(AND(S1862&lt;=B1862,OR(T1862=0,T1862&gt;=EOMONTH(B1862,0))),30,MIN(30,IF(T1862=0,EOMONTH(B1862,0),MIN(T1862,EOMONTH(B1862,0)))-MAX(B1862,S1862)+1))))</f>
        <v/>
      </c>
    </row>
    <row r="1863" customFormat="false" ht="15" hidden="false" customHeight="false" outlineLevel="0" collapsed="false">
      <c r="B1863" s="78"/>
      <c r="C1863" s="64"/>
      <c r="D1863" s="70" t="str">
        <f aca="false">IF(C1863="","",IFERROR(INDEX(T_NOMBRE,MATCH(C1863,T_ID,0)),"⚠ ID no existe"))</f>
        <v/>
      </c>
      <c r="E1863" s="69"/>
      <c r="F1863" s="69"/>
      <c r="G1863" s="69"/>
      <c r="H1863" s="69"/>
      <c r="I1863" s="66"/>
      <c r="J1863" s="69"/>
      <c r="K1863" s="67"/>
      <c r="L1863" s="67"/>
      <c r="M1863" s="67"/>
      <c r="N1863" s="67"/>
      <c r="O1863" s="64"/>
      <c r="P1863" s="72" t="str">
        <f aca="false">IF(OR(B1863="",C1863=""),"",C1863&amp;"|"&amp;(YEAR(B1863)*100+MONTH(B1863)))</f>
        <v/>
      </c>
      <c r="Q1863" s="70" t="str">
        <f aca="false">IF(P1863="","",IF(COUNTIF(N_CLAVE,P1863)&gt;1,"⚠ Duplicado","OK"))</f>
        <v/>
      </c>
      <c r="R1863" s="74" t="str">
        <f aca="false">IF(OR(P1863="",U1863=""),"",MAX(0,U1863-N(E1863)-N(F1863)-N(H1863)))</f>
        <v/>
      </c>
      <c r="S1863" s="75" t="str">
        <f aca="false">IF(P1863="","",IFERROR(INDEX(T_INGRESO,MATCH(C1863,T_ID,0)),""))</f>
        <v/>
      </c>
      <c r="T1863" s="75" t="str">
        <f aca="false">IF(P1863="","",IFERROR(N(INDEX(T_EGRESO,MATCH(C1863,T_ID,0))),0))</f>
        <v/>
      </c>
      <c r="U1863" s="73" t="str">
        <f aca="false">IF(OR(P1863="",NOT(ISNUMBER(S1863))),"",IF(OR(S1863&gt;EOMONTH(B1863,0),AND(T1863&gt;0,T1863&lt;B1863)),0,IF(AND(S1863&lt;=B1863,OR(T1863=0,T1863&gt;=EOMONTH(B1863,0))),30,MIN(30,IF(T1863=0,EOMONTH(B1863,0),MIN(T1863,EOMONTH(B1863,0)))-MAX(B1863,S1863)+1))))</f>
        <v/>
      </c>
    </row>
    <row r="1864" customFormat="false" ht="15" hidden="false" customHeight="false" outlineLevel="0" collapsed="false">
      <c r="B1864" s="78"/>
      <c r="C1864" s="64"/>
      <c r="D1864" s="70" t="str">
        <f aca="false">IF(C1864="","",IFERROR(INDEX(T_NOMBRE,MATCH(C1864,T_ID,0)),"⚠ ID no existe"))</f>
        <v/>
      </c>
      <c r="E1864" s="69"/>
      <c r="F1864" s="69"/>
      <c r="G1864" s="69"/>
      <c r="H1864" s="69"/>
      <c r="I1864" s="66"/>
      <c r="J1864" s="69"/>
      <c r="K1864" s="67"/>
      <c r="L1864" s="67"/>
      <c r="M1864" s="67"/>
      <c r="N1864" s="67"/>
      <c r="O1864" s="64"/>
      <c r="P1864" s="72" t="str">
        <f aca="false">IF(OR(B1864="",C1864=""),"",C1864&amp;"|"&amp;(YEAR(B1864)*100+MONTH(B1864)))</f>
        <v/>
      </c>
      <c r="Q1864" s="70" t="str">
        <f aca="false">IF(P1864="","",IF(COUNTIF(N_CLAVE,P1864)&gt;1,"⚠ Duplicado","OK"))</f>
        <v/>
      </c>
      <c r="R1864" s="74" t="str">
        <f aca="false">IF(OR(P1864="",U1864=""),"",MAX(0,U1864-N(E1864)-N(F1864)-N(H1864)))</f>
        <v/>
      </c>
      <c r="S1864" s="75" t="str">
        <f aca="false">IF(P1864="","",IFERROR(INDEX(T_INGRESO,MATCH(C1864,T_ID,0)),""))</f>
        <v/>
      </c>
      <c r="T1864" s="75" t="str">
        <f aca="false">IF(P1864="","",IFERROR(N(INDEX(T_EGRESO,MATCH(C1864,T_ID,0))),0))</f>
        <v/>
      </c>
      <c r="U1864" s="73" t="str">
        <f aca="false">IF(OR(P1864="",NOT(ISNUMBER(S1864))),"",IF(OR(S1864&gt;EOMONTH(B1864,0),AND(T1864&gt;0,T1864&lt;B1864)),0,IF(AND(S1864&lt;=B1864,OR(T1864=0,T1864&gt;=EOMONTH(B1864,0))),30,MIN(30,IF(T1864=0,EOMONTH(B1864,0),MIN(T1864,EOMONTH(B1864,0)))-MAX(B1864,S1864)+1))))</f>
        <v/>
      </c>
    </row>
    <row r="1865" customFormat="false" ht="15" hidden="false" customHeight="false" outlineLevel="0" collapsed="false">
      <c r="B1865" s="78"/>
      <c r="C1865" s="64"/>
      <c r="D1865" s="70" t="str">
        <f aca="false">IF(C1865="","",IFERROR(INDEX(T_NOMBRE,MATCH(C1865,T_ID,0)),"⚠ ID no existe"))</f>
        <v/>
      </c>
      <c r="E1865" s="69"/>
      <c r="F1865" s="69"/>
      <c r="G1865" s="69"/>
      <c r="H1865" s="69"/>
      <c r="I1865" s="66"/>
      <c r="J1865" s="69"/>
      <c r="K1865" s="67"/>
      <c r="L1865" s="67"/>
      <c r="M1865" s="67"/>
      <c r="N1865" s="67"/>
      <c r="O1865" s="64"/>
      <c r="P1865" s="72" t="str">
        <f aca="false">IF(OR(B1865="",C1865=""),"",C1865&amp;"|"&amp;(YEAR(B1865)*100+MONTH(B1865)))</f>
        <v/>
      </c>
      <c r="Q1865" s="70" t="str">
        <f aca="false">IF(P1865="","",IF(COUNTIF(N_CLAVE,P1865)&gt;1,"⚠ Duplicado","OK"))</f>
        <v/>
      </c>
      <c r="R1865" s="74" t="str">
        <f aca="false">IF(OR(P1865="",U1865=""),"",MAX(0,U1865-N(E1865)-N(F1865)-N(H1865)))</f>
        <v/>
      </c>
      <c r="S1865" s="75" t="str">
        <f aca="false">IF(P1865="","",IFERROR(INDEX(T_INGRESO,MATCH(C1865,T_ID,0)),""))</f>
        <v/>
      </c>
      <c r="T1865" s="75" t="str">
        <f aca="false">IF(P1865="","",IFERROR(N(INDEX(T_EGRESO,MATCH(C1865,T_ID,0))),0))</f>
        <v/>
      </c>
      <c r="U1865" s="73" t="str">
        <f aca="false">IF(OR(P1865="",NOT(ISNUMBER(S1865))),"",IF(OR(S1865&gt;EOMONTH(B1865,0),AND(T1865&gt;0,T1865&lt;B1865)),0,IF(AND(S1865&lt;=B1865,OR(T1865=0,T1865&gt;=EOMONTH(B1865,0))),30,MIN(30,IF(T1865=0,EOMONTH(B1865,0),MIN(T1865,EOMONTH(B1865,0)))-MAX(B1865,S1865)+1))))</f>
        <v/>
      </c>
    </row>
    <row r="1866" customFormat="false" ht="15" hidden="false" customHeight="false" outlineLevel="0" collapsed="false">
      <c r="B1866" s="78"/>
      <c r="C1866" s="64"/>
      <c r="D1866" s="70" t="str">
        <f aca="false">IF(C1866="","",IFERROR(INDEX(T_NOMBRE,MATCH(C1866,T_ID,0)),"⚠ ID no existe"))</f>
        <v/>
      </c>
      <c r="E1866" s="69"/>
      <c r="F1866" s="69"/>
      <c r="G1866" s="69"/>
      <c r="H1866" s="69"/>
      <c r="I1866" s="66"/>
      <c r="J1866" s="69"/>
      <c r="K1866" s="67"/>
      <c r="L1866" s="67"/>
      <c r="M1866" s="67"/>
      <c r="N1866" s="67"/>
      <c r="O1866" s="64"/>
      <c r="P1866" s="72" t="str">
        <f aca="false">IF(OR(B1866="",C1866=""),"",C1866&amp;"|"&amp;(YEAR(B1866)*100+MONTH(B1866)))</f>
        <v/>
      </c>
      <c r="Q1866" s="70" t="str">
        <f aca="false">IF(P1866="","",IF(COUNTIF(N_CLAVE,P1866)&gt;1,"⚠ Duplicado","OK"))</f>
        <v/>
      </c>
      <c r="R1866" s="74" t="str">
        <f aca="false">IF(OR(P1866="",U1866=""),"",MAX(0,U1866-N(E1866)-N(F1866)-N(H1866)))</f>
        <v/>
      </c>
      <c r="S1866" s="75" t="str">
        <f aca="false">IF(P1866="","",IFERROR(INDEX(T_INGRESO,MATCH(C1866,T_ID,0)),""))</f>
        <v/>
      </c>
      <c r="T1866" s="75" t="str">
        <f aca="false">IF(P1866="","",IFERROR(N(INDEX(T_EGRESO,MATCH(C1866,T_ID,0))),0))</f>
        <v/>
      </c>
      <c r="U1866" s="73" t="str">
        <f aca="false">IF(OR(P1866="",NOT(ISNUMBER(S1866))),"",IF(OR(S1866&gt;EOMONTH(B1866,0),AND(T1866&gt;0,T1866&lt;B1866)),0,IF(AND(S1866&lt;=B1866,OR(T1866=0,T1866&gt;=EOMONTH(B1866,0))),30,MIN(30,IF(T1866=0,EOMONTH(B1866,0),MIN(T1866,EOMONTH(B1866,0)))-MAX(B1866,S1866)+1))))</f>
        <v/>
      </c>
    </row>
    <row r="1867" customFormat="false" ht="15" hidden="false" customHeight="false" outlineLevel="0" collapsed="false">
      <c r="B1867" s="78"/>
      <c r="C1867" s="64"/>
      <c r="D1867" s="70" t="str">
        <f aca="false">IF(C1867="","",IFERROR(INDEX(T_NOMBRE,MATCH(C1867,T_ID,0)),"⚠ ID no existe"))</f>
        <v/>
      </c>
      <c r="E1867" s="69"/>
      <c r="F1867" s="69"/>
      <c r="G1867" s="69"/>
      <c r="H1867" s="69"/>
      <c r="I1867" s="66"/>
      <c r="J1867" s="69"/>
      <c r="K1867" s="67"/>
      <c r="L1867" s="67"/>
      <c r="M1867" s="67"/>
      <c r="N1867" s="67"/>
      <c r="O1867" s="64"/>
      <c r="P1867" s="72" t="str">
        <f aca="false">IF(OR(B1867="",C1867=""),"",C1867&amp;"|"&amp;(YEAR(B1867)*100+MONTH(B1867)))</f>
        <v/>
      </c>
      <c r="Q1867" s="70" t="str">
        <f aca="false">IF(P1867="","",IF(COUNTIF(N_CLAVE,P1867)&gt;1,"⚠ Duplicado","OK"))</f>
        <v/>
      </c>
      <c r="R1867" s="74" t="str">
        <f aca="false">IF(OR(P1867="",U1867=""),"",MAX(0,U1867-N(E1867)-N(F1867)-N(H1867)))</f>
        <v/>
      </c>
      <c r="S1867" s="75" t="str">
        <f aca="false">IF(P1867="","",IFERROR(INDEX(T_INGRESO,MATCH(C1867,T_ID,0)),""))</f>
        <v/>
      </c>
      <c r="T1867" s="75" t="str">
        <f aca="false">IF(P1867="","",IFERROR(N(INDEX(T_EGRESO,MATCH(C1867,T_ID,0))),0))</f>
        <v/>
      </c>
      <c r="U1867" s="73" t="str">
        <f aca="false">IF(OR(P1867="",NOT(ISNUMBER(S1867))),"",IF(OR(S1867&gt;EOMONTH(B1867,0),AND(T1867&gt;0,T1867&lt;B1867)),0,IF(AND(S1867&lt;=B1867,OR(T1867=0,T1867&gt;=EOMONTH(B1867,0))),30,MIN(30,IF(T1867=0,EOMONTH(B1867,0),MIN(T1867,EOMONTH(B1867,0)))-MAX(B1867,S1867)+1))))</f>
        <v/>
      </c>
    </row>
    <row r="1868" customFormat="false" ht="15" hidden="false" customHeight="false" outlineLevel="0" collapsed="false">
      <c r="B1868" s="78"/>
      <c r="C1868" s="64"/>
      <c r="D1868" s="70" t="str">
        <f aca="false">IF(C1868="","",IFERROR(INDEX(T_NOMBRE,MATCH(C1868,T_ID,0)),"⚠ ID no existe"))</f>
        <v/>
      </c>
      <c r="E1868" s="69"/>
      <c r="F1868" s="69"/>
      <c r="G1868" s="69"/>
      <c r="H1868" s="69"/>
      <c r="I1868" s="66"/>
      <c r="J1868" s="69"/>
      <c r="K1868" s="67"/>
      <c r="L1868" s="67"/>
      <c r="M1868" s="67"/>
      <c r="N1868" s="67"/>
      <c r="O1868" s="64"/>
      <c r="P1868" s="72" t="str">
        <f aca="false">IF(OR(B1868="",C1868=""),"",C1868&amp;"|"&amp;(YEAR(B1868)*100+MONTH(B1868)))</f>
        <v/>
      </c>
      <c r="Q1868" s="70" t="str">
        <f aca="false">IF(P1868="","",IF(COUNTIF(N_CLAVE,P1868)&gt;1,"⚠ Duplicado","OK"))</f>
        <v/>
      </c>
      <c r="R1868" s="74" t="str">
        <f aca="false">IF(OR(P1868="",U1868=""),"",MAX(0,U1868-N(E1868)-N(F1868)-N(H1868)))</f>
        <v/>
      </c>
      <c r="S1868" s="75" t="str">
        <f aca="false">IF(P1868="","",IFERROR(INDEX(T_INGRESO,MATCH(C1868,T_ID,0)),""))</f>
        <v/>
      </c>
      <c r="T1868" s="75" t="str">
        <f aca="false">IF(P1868="","",IFERROR(N(INDEX(T_EGRESO,MATCH(C1868,T_ID,0))),0))</f>
        <v/>
      </c>
      <c r="U1868" s="73" t="str">
        <f aca="false">IF(OR(P1868="",NOT(ISNUMBER(S1868))),"",IF(OR(S1868&gt;EOMONTH(B1868,0),AND(T1868&gt;0,T1868&lt;B1868)),0,IF(AND(S1868&lt;=B1868,OR(T1868=0,T1868&gt;=EOMONTH(B1868,0))),30,MIN(30,IF(T1868=0,EOMONTH(B1868,0),MIN(T1868,EOMONTH(B1868,0)))-MAX(B1868,S1868)+1))))</f>
        <v/>
      </c>
    </row>
    <row r="1869" customFormat="false" ht="15" hidden="false" customHeight="false" outlineLevel="0" collapsed="false">
      <c r="B1869" s="78"/>
      <c r="C1869" s="64"/>
      <c r="D1869" s="70" t="str">
        <f aca="false">IF(C1869="","",IFERROR(INDEX(T_NOMBRE,MATCH(C1869,T_ID,0)),"⚠ ID no existe"))</f>
        <v/>
      </c>
      <c r="E1869" s="69"/>
      <c r="F1869" s="69"/>
      <c r="G1869" s="69"/>
      <c r="H1869" s="69"/>
      <c r="I1869" s="66"/>
      <c r="J1869" s="69"/>
      <c r="K1869" s="67"/>
      <c r="L1869" s="67"/>
      <c r="M1869" s="67"/>
      <c r="N1869" s="67"/>
      <c r="O1869" s="64"/>
      <c r="P1869" s="72" t="str">
        <f aca="false">IF(OR(B1869="",C1869=""),"",C1869&amp;"|"&amp;(YEAR(B1869)*100+MONTH(B1869)))</f>
        <v/>
      </c>
      <c r="Q1869" s="70" t="str">
        <f aca="false">IF(P1869="","",IF(COUNTIF(N_CLAVE,P1869)&gt;1,"⚠ Duplicado","OK"))</f>
        <v/>
      </c>
      <c r="R1869" s="74" t="str">
        <f aca="false">IF(OR(P1869="",U1869=""),"",MAX(0,U1869-N(E1869)-N(F1869)-N(H1869)))</f>
        <v/>
      </c>
      <c r="S1869" s="75" t="str">
        <f aca="false">IF(P1869="","",IFERROR(INDEX(T_INGRESO,MATCH(C1869,T_ID,0)),""))</f>
        <v/>
      </c>
      <c r="T1869" s="75" t="str">
        <f aca="false">IF(P1869="","",IFERROR(N(INDEX(T_EGRESO,MATCH(C1869,T_ID,0))),0))</f>
        <v/>
      </c>
      <c r="U1869" s="73" t="str">
        <f aca="false">IF(OR(P1869="",NOT(ISNUMBER(S1869))),"",IF(OR(S1869&gt;EOMONTH(B1869,0),AND(T1869&gt;0,T1869&lt;B1869)),0,IF(AND(S1869&lt;=B1869,OR(T1869=0,T1869&gt;=EOMONTH(B1869,0))),30,MIN(30,IF(T1869=0,EOMONTH(B1869,0),MIN(T1869,EOMONTH(B1869,0)))-MAX(B1869,S1869)+1))))</f>
        <v/>
      </c>
    </row>
    <row r="1870" customFormat="false" ht="15" hidden="false" customHeight="false" outlineLevel="0" collapsed="false">
      <c r="B1870" s="78"/>
      <c r="C1870" s="64"/>
      <c r="D1870" s="70" t="str">
        <f aca="false">IF(C1870="","",IFERROR(INDEX(T_NOMBRE,MATCH(C1870,T_ID,0)),"⚠ ID no existe"))</f>
        <v/>
      </c>
      <c r="E1870" s="69"/>
      <c r="F1870" s="69"/>
      <c r="G1870" s="69"/>
      <c r="H1870" s="69"/>
      <c r="I1870" s="66"/>
      <c r="J1870" s="69"/>
      <c r="K1870" s="67"/>
      <c r="L1870" s="67"/>
      <c r="M1870" s="67"/>
      <c r="N1870" s="67"/>
      <c r="O1870" s="64"/>
      <c r="P1870" s="72" t="str">
        <f aca="false">IF(OR(B1870="",C1870=""),"",C1870&amp;"|"&amp;(YEAR(B1870)*100+MONTH(B1870)))</f>
        <v/>
      </c>
      <c r="Q1870" s="70" t="str">
        <f aca="false">IF(P1870="","",IF(COUNTIF(N_CLAVE,P1870)&gt;1,"⚠ Duplicado","OK"))</f>
        <v/>
      </c>
      <c r="R1870" s="74" t="str">
        <f aca="false">IF(OR(P1870="",U1870=""),"",MAX(0,U1870-N(E1870)-N(F1870)-N(H1870)))</f>
        <v/>
      </c>
      <c r="S1870" s="75" t="str">
        <f aca="false">IF(P1870="","",IFERROR(INDEX(T_INGRESO,MATCH(C1870,T_ID,0)),""))</f>
        <v/>
      </c>
      <c r="T1870" s="75" t="str">
        <f aca="false">IF(P1870="","",IFERROR(N(INDEX(T_EGRESO,MATCH(C1870,T_ID,0))),0))</f>
        <v/>
      </c>
      <c r="U1870" s="73" t="str">
        <f aca="false">IF(OR(P1870="",NOT(ISNUMBER(S1870))),"",IF(OR(S1870&gt;EOMONTH(B1870,0),AND(T1870&gt;0,T1870&lt;B1870)),0,IF(AND(S1870&lt;=B1870,OR(T1870=0,T1870&gt;=EOMONTH(B1870,0))),30,MIN(30,IF(T1870=0,EOMONTH(B1870,0),MIN(T1870,EOMONTH(B1870,0)))-MAX(B1870,S1870)+1))))</f>
        <v/>
      </c>
    </row>
    <row r="1871" customFormat="false" ht="15" hidden="false" customHeight="false" outlineLevel="0" collapsed="false">
      <c r="B1871" s="78"/>
      <c r="C1871" s="64"/>
      <c r="D1871" s="70" t="str">
        <f aca="false">IF(C1871="","",IFERROR(INDEX(T_NOMBRE,MATCH(C1871,T_ID,0)),"⚠ ID no existe"))</f>
        <v/>
      </c>
      <c r="E1871" s="69"/>
      <c r="F1871" s="69"/>
      <c r="G1871" s="69"/>
      <c r="H1871" s="69"/>
      <c r="I1871" s="66"/>
      <c r="J1871" s="69"/>
      <c r="K1871" s="67"/>
      <c r="L1871" s="67"/>
      <c r="M1871" s="67"/>
      <c r="N1871" s="67"/>
      <c r="O1871" s="64"/>
      <c r="P1871" s="72" t="str">
        <f aca="false">IF(OR(B1871="",C1871=""),"",C1871&amp;"|"&amp;(YEAR(B1871)*100+MONTH(B1871)))</f>
        <v/>
      </c>
      <c r="Q1871" s="70" t="str">
        <f aca="false">IF(P1871="","",IF(COUNTIF(N_CLAVE,P1871)&gt;1,"⚠ Duplicado","OK"))</f>
        <v/>
      </c>
      <c r="R1871" s="74" t="str">
        <f aca="false">IF(OR(P1871="",U1871=""),"",MAX(0,U1871-N(E1871)-N(F1871)-N(H1871)))</f>
        <v/>
      </c>
      <c r="S1871" s="75" t="str">
        <f aca="false">IF(P1871="","",IFERROR(INDEX(T_INGRESO,MATCH(C1871,T_ID,0)),""))</f>
        <v/>
      </c>
      <c r="T1871" s="75" t="str">
        <f aca="false">IF(P1871="","",IFERROR(N(INDEX(T_EGRESO,MATCH(C1871,T_ID,0))),0))</f>
        <v/>
      </c>
      <c r="U1871" s="73" t="str">
        <f aca="false">IF(OR(P1871="",NOT(ISNUMBER(S1871))),"",IF(OR(S1871&gt;EOMONTH(B1871,0),AND(T1871&gt;0,T1871&lt;B1871)),0,IF(AND(S1871&lt;=B1871,OR(T1871=0,T1871&gt;=EOMONTH(B1871,0))),30,MIN(30,IF(T1871=0,EOMONTH(B1871,0),MIN(T1871,EOMONTH(B1871,0)))-MAX(B1871,S1871)+1))))</f>
        <v/>
      </c>
    </row>
    <row r="1872" customFormat="false" ht="15" hidden="false" customHeight="false" outlineLevel="0" collapsed="false">
      <c r="B1872" s="78"/>
      <c r="C1872" s="64"/>
      <c r="D1872" s="70" t="str">
        <f aca="false">IF(C1872="","",IFERROR(INDEX(T_NOMBRE,MATCH(C1872,T_ID,0)),"⚠ ID no existe"))</f>
        <v/>
      </c>
      <c r="E1872" s="69"/>
      <c r="F1872" s="69"/>
      <c r="G1872" s="69"/>
      <c r="H1872" s="69"/>
      <c r="I1872" s="66"/>
      <c r="J1872" s="69"/>
      <c r="K1872" s="67"/>
      <c r="L1872" s="67"/>
      <c r="M1872" s="67"/>
      <c r="N1872" s="67"/>
      <c r="O1872" s="64"/>
      <c r="P1872" s="72" t="str">
        <f aca="false">IF(OR(B1872="",C1872=""),"",C1872&amp;"|"&amp;(YEAR(B1872)*100+MONTH(B1872)))</f>
        <v/>
      </c>
      <c r="Q1872" s="70" t="str">
        <f aca="false">IF(P1872="","",IF(COUNTIF(N_CLAVE,P1872)&gt;1,"⚠ Duplicado","OK"))</f>
        <v/>
      </c>
      <c r="R1872" s="74" t="str">
        <f aca="false">IF(OR(P1872="",U1872=""),"",MAX(0,U1872-N(E1872)-N(F1872)-N(H1872)))</f>
        <v/>
      </c>
      <c r="S1872" s="75" t="str">
        <f aca="false">IF(P1872="","",IFERROR(INDEX(T_INGRESO,MATCH(C1872,T_ID,0)),""))</f>
        <v/>
      </c>
      <c r="T1872" s="75" t="str">
        <f aca="false">IF(P1872="","",IFERROR(N(INDEX(T_EGRESO,MATCH(C1872,T_ID,0))),0))</f>
        <v/>
      </c>
      <c r="U1872" s="73" t="str">
        <f aca="false">IF(OR(P1872="",NOT(ISNUMBER(S1872))),"",IF(OR(S1872&gt;EOMONTH(B1872,0),AND(T1872&gt;0,T1872&lt;B1872)),0,IF(AND(S1872&lt;=B1872,OR(T1872=0,T1872&gt;=EOMONTH(B1872,0))),30,MIN(30,IF(T1872=0,EOMONTH(B1872,0),MIN(T1872,EOMONTH(B1872,0)))-MAX(B1872,S1872)+1))))</f>
        <v/>
      </c>
    </row>
    <row r="1873" customFormat="false" ht="15" hidden="false" customHeight="false" outlineLevel="0" collapsed="false">
      <c r="B1873" s="78"/>
      <c r="C1873" s="64"/>
      <c r="D1873" s="70" t="str">
        <f aca="false">IF(C1873="","",IFERROR(INDEX(T_NOMBRE,MATCH(C1873,T_ID,0)),"⚠ ID no existe"))</f>
        <v/>
      </c>
      <c r="E1873" s="69"/>
      <c r="F1873" s="69"/>
      <c r="G1873" s="69"/>
      <c r="H1873" s="69"/>
      <c r="I1873" s="66"/>
      <c r="J1873" s="69"/>
      <c r="K1873" s="67"/>
      <c r="L1873" s="67"/>
      <c r="M1873" s="67"/>
      <c r="N1873" s="67"/>
      <c r="O1873" s="64"/>
      <c r="P1873" s="72" t="str">
        <f aca="false">IF(OR(B1873="",C1873=""),"",C1873&amp;"|"&amp;(YEAR(B1873)*100+MONTH(B1873)))</f>
        <v/>
      </c>
      <c r="Q1873" s="70" t="str">
        <f aca="false">IF(P1873="","",IF(COUNTIF(N_CLAVE,P1873)&gt;1,"⚠ Duplicado","OK"))</f>
        <v/>
      </c>
      <c r="R1873" s="74" t="str">
        <f aca="false">IF(OR(P1873="",U1873=""),"",MAX(0,U1873-N(E1873)-N(F1873)-N(H1873)))</f>
        <v/>
      </c>
      <c r="S1873" s="75" t="str">
        <f aca="false">IF(P1873="","",IFERROR(INDEX(T_INGRESO,MATCH(C1873,T_ID,0)),""))</f>
        <v/>
      </c>
      <c r="T1873" s="75" t="str">
        <f aca="false">IF(P1873="","",IFERROR(N(INDEX(T_EGRESO,MATCH(C1873,T_ID,0))),0))</f>
        <v/>
      </c>
      <c r="U1873" s="73" t="str">
        <f aca="false">IF(OR(P1873="",NOT(ISNUMBER(S1873))),"",IF(OR(S1873&gt;EOMONTH(B1873,0),AND(T1873&gt;0,T1873&lt;B1873)),0,IF(AND(S1873&lt;=B1873,OR(T1873=0,T1873&gt;=EOMONTH(B1873,0))),30,MIN(30,IF(T1873=0,EOMONTH(B1873,0),MIN(T1873,EOMONTH(B1873,0)))-MAX(B1873,S1873)+1))))</f>
        <v/>
      </c>
    </row>
    <row r="1874" customFormat="false" ht="15" hidden="false" customHeight="false" outlineLevel="0" collapsed="false">
      <c r="B1874" s="78"/>
      <c r="C1874" s="64"/>
      <c r="D1874" s="70" t="str">
        <f aca="false">IF(C1874="","",IFERROR(INDEX(T_NOMBRE,MATCH(C1874,T_ID,0)),"⚠ ID no existe"))</f>
        <v/>
      </c>
      <c r="E1874" s="69"/>
      <c r="F1874" s="69"/>
      <c r="G1874" s="69"/>
      <c r="H1874" s="69"/>
      <c r="I1874" s="66"/>
      <c r="J1874" s="69"/>
      <c r="K1874" s="67"/>
      <c r="L1874" s="67"/>
      <c r="M1874" s="67"/>
      <c r="N1874" s="67"/>
      <c r="O1874" s="64"/>
      <c r="P1874" s="72" t="str">
        <f aca="false">IF(OR(B1874="",C1874=""),"",C1874&amp;"|"&amp;(YEAR(B1874)*100+MONTH(B1874)))</f>
        <v/>
      </c>
      <c r="Q1874" s="70" t="str">
        <f aca="false">IF(P1874="","",IF(COUNTIF(N_CLAVE,P1874)&gt;1,"⚠ Duplicado","OK"))</f>
        <v/>
      </c>
      <c r="R1874" s="74" t="str">
        <f aca="false">IF(OR(P1874="",U1874=""),"",MAX(0,U1874-N(E1874)-N(F1874)-N(H1874)))</f>
        <v/>
      </c>
      <c r="S1874" s="75" t="str">
        <f aca="false">IF(P1874="","",IFERROR(INDEX(T_INGRESO,MATCH(C1874,T_ID,0)),""))</f>
        <v/>
      </c>
      <c r="T1874" s="75" t="str">
        <f aca="false">IF(P1874="","",IFERROR(N(INDEX(T_EGRESO,MATCH(C1874,T_ID,0))),0))</f>
        <v/>
      </c>
      <c r="U1874" s="73" t="str">
        <f aca="false">IF(OR(P1874="",NOT(ISNUMBER(S1874))),"",IF(OR(S1874&gt;EOMONTH(B1874,0),AND(T1874&gt;0,T1874&lt;B1874)),0,IF(AND(S1874&lt;=B1874,OR(T1874=0,T1874&gt;=EOMONTH(B1874,0))),30,MIN(30,IF(T1874=0,EOMONTH(B1874,0),MIN(T1874,EOMONTH(B1874,0)))-MAX(B1874,S1874)+1))))</f>
        <v/>
      </c>
    </row>
    <row r="1875" customFormat="false" ht="15" hidden="false" customHeight="false" outlineLevel="0" collapsed="false">
      <c r="B1875" s="78"/>
      <c r="C1875" s="64"/>
      <c r="D1875" s="70" t="str">
        <f aca="false">IF(C1875="","",IFERROR(INDEX(T_NOMBRE,MATCH(C1875,T_ID,0)),"⚠ ID no existe"))</f>
        <v/>
      </c>
      <c r="E1875" s="69"/>
      <c r="F1875" s="69"/>
      <c r="G1875" s="69"/>
      <c r="H1875" s="69"/>
      <c r="I1875" s="66"/>
      <c r="J1875" s="69"/>
      <c r="K1875" s="67"/>
      <c r="L1875" s="67"/>
      <c r="M1875" s="67"/>
      <c r="N1875" s="67"/>
      <c r="O1875" s="64"/>
      <c r="P1875" s="72" t="str">
        <f aca="false">IF(OR(B1875="",C1875=""),"",C1875&amp;"|"&amp;(YEAR(B1875)*100+MONTH(B1875)))</f>
        <v/>
      </c>
      <c r="Q1875" s="70" t="str">
        <f aca="false">IF(P1875="","",IF(COUNTIF(N_CLAVE,P1875)&gt;1,"⚠ Duplicado","OK"))</f>
        <v/>
      </c>
      <c r="R1875" s="74" t="str">
        <f aca="false">IF(OR(P1875="",U1875=""),"",MAX(0,U1875-N(E1875)-N(F1875)-N(H1875)))</f>
        <v/>
      </c>
      <c r="S1875" s="75" t="str">
        <f aca="false">IF(P1875="","",IFERROR(INDEX(T_INGRESO,MATCH(C1875,T_ID,0)),""))</f>
        <v/>
      </c>
      <c r="T1875" s="75" t="str">
        <f aca="false">IF(P1875="","",IFERROR(N(INDEX(T_EGRESO,MATCH(C1875,T_ID,0))),0))</f>
        <v/>
      </c>
      <c r="U1875" s="73" t="str">
        <f aca="false">IF(OR(P1875="",NOT(ISNUMBER(S1875))),"",IF(OR(S1875&gt;EOMONTH(B1875,0),AND(T1875&gt;0,T1875&lt;B1875)),0,IF(AND(S1875&lt;=B1875,OR(T1875=0,T1875&gt;=EOMONTH(B1875,0))),30,MIN(30,IF(T1875=0,EOMONTH(B1875,0),MIN(T1875,EOMONTH(B1875,0)))-MAX(B1875,S1875)+1))))</f>
        <v/>
      </c>
    </row>
    <row r="1876" customFormat="false" ht="15" hidden="false" customHeight="false" outlineLevel="0" collapsed="false">
      <c r="B1876" s="78"/>
      <c r="C1876" s="64"/>
      <c r="D1876" s="70" t="str">
        <f aca="false">IF(C1876="","",IFERROR(INDEX(T_NOMBRE,MATCH(C1876,T_ID,0)),"⚠ ID no existe"))</f>
        <v/>
      </c>
      <c r="E1876" s="69"/>
      <c r="F1876" s="69"/>
      <c r="G1876" s="69"/>
      <c r="H1876" s="69"/>
      <c r="I1876" s="66"/>
      <c r="J1876" s="69"/>
      <c r="K1876" s="67"/>
      <c r="L1876" s="67"/>
      <c r="M1876" s="67"/>
      <c r="N1876" s="67"/>
      <c r="O1876" s="64"/>
      <c r="P1876" s="72" t="str">
        <f aca="false">IF(OR(B1876="",C1876=""),"",C1876&amp;"|"&amp;(YEAR(B1876)*100+MONTH(B1876)))</f>
        <v/>
      </c>
      <c r="Q1876" s="70" t="str">
        <f aca="false">IF(P1876="","",IF(COUNTIF(N_CLAVE,P1876)&gt;1,"⚠ Duplicado","OK"))</f>
        <v/>
      </c>
      <c r="R1876" s="74" t="str">
        <f aca="false">IF(OR(P1876="",U1876=""),"",MAX(0,U1876-N(E1876)-N(F1876)-N(H1876)))</f>
        <v/>
      </c>
      <c r="S1876" s="75" t="str">
        <f aca="false">IF(P1876="","",IFERROR(INDEX(T_INGRESO,MATCH(C1876,T_ID,0)),""))</f>
        <v/>
      </c>
      <c r="T1876" s="75" t="str">
        <f aca="false">IF(P1876="","",IFERROR(N(INDEX(T_EGRESO,MATCH(C1876,T_ID,0))),0))</f>
        <v/>
      </c>
      <c r="U1876" s="73" t="str">
        <f aca="false">IF(OR(P1876="",NOT(ISNUMBER(S1876))),"",IF(OR(S1876&gt;EOMONTH(B1876,0),AND(T1876&gt;0,T1876&lt;B1876)),0,IF(AND(S1876&lt;=B1876,OR(T1876=0,T1876&gt;=EOMONTH(B1876,0))),30,MIN(30,IF(T1876=0,EOMONTH(B1876,0),MIN(T1876,EOMONTH(B1876,0)))-MAX(B1876,S1876)+1))))</f>
        <v/>
      </c>
    </row>
    <row r="1877" customFormat="false" ht="15" hidden="false" customHeight="false" outlineLevel="0" collapsed="false">
      <c r="B1877" s="78"/>
      <c r="C1877" s="64"/>
      <c r="D1877" s="70" t="str">
        <f aca="false">IF(C1877="","",IFERROR(INDEX(T_NOMBRE,MATCH(C1877,T_ID,0)),"⚠ ID no existe"))</f>
        <v/>
      </c>
      <c r="E1877" s="69"/>
      <c r="F1877" s="69"/>
      <c r="G1877" s="69"/>
      <c r="H1877" s="69"/>
      <c r="I1877" s="66"/>
      <c r="J1877" s="69"/>
      <c r="K1877" s="67"/>
      <c r="L1877" s="67"/>
      <c r="M1877" s="67"/>
      <c r="N1877" s="67"/>
      <c r="O1877" s="64"/>
      <c r="P1877" s="72" t="str">
        <f aca="false">IF(OR(B1877="",C1877=""),"",C1877&amp;"|"&amp;(YEAR(B1877)*100+MONTH(B1877)))</f>
        <v/>
      </c>
      <c r="Q1877" s="70" t="str">
        <f aca="false">IF(P1877="","",IF(COUNTIF(N_CLAVE,P1877)&gt;1,"⚠ Duplicado","OK"))</f>
        <v/>
      </c>
      <c r="R1877" s="74" t="str">
        <f aca="false">IF(OR(P1877="",U1877=""),"",MAX(0,U1877-N(E1877)-N(F1877)-N(H1877)))</f>
        <v/>
      </c>
      <c r="S1877" s="75" t="str">
        <f aca="false">IF(P1877="","",IFERROR(INDEX(T_INGRESO,MATCH(C1877,T_ID,0)),""))</f>
        <v/>
      </c>
      <c r="T1877" s="75" t="str">
        <f aca="false">IF(P1877="","",IFERROR(N(INDEX(T_EGRESO,MATCH(C1877,T_ID,0))),0))</f>
        <v/>
      </c>
      <c r="U1877" s="73" t="str">
        <f aca="false">IF(OR(P1877="",NOT(ISNUMBER(S1877))),"",IF(OR(S1877&gt;EOMONTH(B1877,0),AND(T1877&gt;0,T1877&lt;B1877)),0,IF(AND(S1877&lt;=B1877,OR(T1877=0,T1877&gt;=EOMONTH(B1877,0))),30,MIN(30,IF(T1877=0,EOMONTH(B1877,0),MIN(T1877,EOMONTH(B1877,0)))-MAX(B1877,S1877)+1))))</f>
        <v/>
      </c>
    </row>
    <row r="1878" customFormat="false" ht="15" hidden="false" customHeight="false" outlineLevel="0" collapsed="false">
      <c r="B1878" s="78"/>
      <c r="C1878" s="64"/>
      <c r="D1878" s="70" t="str">
        <f aca="false">IF(C1878="","",IFERROR(INDEX(T_NOMBRE,MATCH(C1878,T_ID,0)),"⚠ ID no existe"))</f>
        <v/>
      </c>
      <c r="E1878" s="69"/>
      <c r="F1878" s="69"/>
      <c r="G1878" s="69"/>
      <c r="H1878" s="69"/>
      <c r="I1878" s="66"/>
      <c r="J1878" s="69"/>
      <c r="K1878" s="67"/>
      <c r="L1878" s="67"/>
      <c r="M1878" s="67"/>
      <c r="N1878" s="67"/>
      <c r="O1878" s="64"/>
      <c r="P1878" s="72" t="str">
        <f aca="false">IF(OR(B1878="",C1878=""),"",C1878&amp;"|"&amp;(YEAR(B1878)*100+MONTH(B1878)))</f>
        <v/>
      </c>
      <c r="Q1878" s="70" t="str">
        <f aca="false">IF(P1878="","",IF(COUNTIF(N_CLAVE,P1878)&gt;1,"⚠ Duplicado","OK"))</f>
        <v/>
      </c>
      <c r="R1878" s="74" t="str">
        <f aca="false">IF(OR(P1878="",U1878=""),"",MAX(0,U1878-N(E1878)-N(F1878)-N(H1878)))</f>
        <v/>
      </c>
      <c r="S1878" s="75" t="str">
        <f aca="false">IF(P1878="","",IFERROR(INDEX(T_INGRESO,MATCH(C1878,T_ID,0)),""))</f>
        <v/>
      </c>
      <c r="T1878" s="75" t="str">
        <f aca="false">IF(P1878="","",IFERROR(N(INDEX(T_EGRESO,MATCH(C1878,T_ID,0))),0))</f>
        <v/>
      </c>
      <c r="U1878" s="73" t="str">
        <f aca="false">IF(OR(P1878="",NOT(ISNUMBER(S1878))),"",IF(OR(S1878&gt;EOMONTH(B1878,0),AND(T1878&gt;0,T1878&lt;B1878)),0,IF(AND(S1878&lt;=B1878,OR(T1878=0,T1878&gt;=EOMONTH(B1878,0))),30,MIN(30,IF(T1878=0,EOMONTH(B1878,0),MIN(T1878,EOMONTH(B1878,0)))-MAX(B1878,S1878)+1))))</f>
        <v/>
      </c>
    </row>
    <row r="1879" customFormat="false" ht="15" hidden="false" customHeight="false" outlineLevel="0" collapsed="false">
      <c r="B1879" s="78"/>
      <c r="C1879" s="64"/>
      <c r="D1879" s="70" t="str">
        <f aca="false">IF(C1879="","",IFERROR(INDEX(T_NOMBRE,MATCH(C1879,T_ID,0)),"⚠ ID no existe"))</f>
        <v/>
      </c>
      <c r="E1879" s="69"/>
      <c r="F1879" s="69"/>
      <c r="G1879" s="69"/>
      <c r="H1879" s="69"/>
      <c r="I1879" s="66"/>
      <c r="J1879" s="69"/>
      <c r="K1879" s="67"/>
      <c r="L1879" s="67"/>
      <c r="M1879" s="67"/>
      <c r="N1879" s="67"/>
      <c r="O1879" s="64"/>
      <c r="P1879" s="72" t="str">
        <f aca="false">IF(OR(B1879="",C1879=""),"",C1879&amp;"|"&amp;(YEAR(B1879)*100+MONTH(B1879)))</f>
        <v/>
      </c>
      <c r="Q1879" s="70" t="str">
        <f aca="false">IF(P1879="","",IF(COUNTIF(N_CLAVE,P1879)&gt;1,"⚠ Duplicado","OK"))</f>
        <v/>
      </c>
      <c r="R1879" s="74" t="str">
        <f aca="false">IF(OR(P1879="",U1879=""),"",MAX(0,U1879-N(E1879)-N(F1879)-N(H1879)))</f>
        <v/>
      </c>
      <c r="S1879" s="75" t="str">
        <f aca="false">IF(P1879="","",IFERROR(INDEX(T_INGRESO,MATCH(C1879,T_ID,0)),""))</f>
        <v/>
      </c>
      <c r="T1879" s="75" t="str">
        <f aca="false">IF(P1879="","",IFERROR(N(INDEX(T_EGRESO,MATCH(C1879,T_ID,0))),0))</f>
        <v/>
      </c>
      <c r="U1879" s="73" t="str">
        <f aca="false">IF(OR(P1879="",NOT(ISNUMBER(S1879))),"",IF(OR(S1879&gt;EOMONTH(B1879,0),AND(T1879&gt;0,T1879&lt;B1879)),0,IF(AND(S1879&lt;=B1879,OR(T1879=0,T1879&gt;=EOMONTH(B1879,0))),30,MIN(30,IF(T1879=0,EOMONTH(B1879,0),MIN(T1879,EOMONTH(B1879,0)))-MAX(B1879,S1879)+1))))</f>
        <v/>
      </c>
    </row>
    <row r="1880" customFormat="false" ht="15" hidden="false" customHeight="false" outlineLevel="0" collapsed="false">
      <c r="B1880" s="78"/>
      <c r="C1880" s="64"/>
      <c r="D1880" s="70" t="str">
        <f aca="false">IF(C1880="","",IFERROR(INDEX(T_NOMBRE,MATCH(C1880,T_ID,0)),"⚠ ID no existe"))</f>
        <v/>
      </c>
      <c r="E1880" s="69"/>
      <c r="F1880" s="69"/>
      <c r="G1880" s="69"/>
      <c r="H1880" s="69"/>
      <c r="I1880" s="66"/>
      <c r="J1880" s="69"/>
      <c r="K1880" s="67"/>
      <c r="L1880" s="67"/>
      <c r="M1880" s="67"/>
      <c r="N1880" s="67"/>
      <c r="O1880" s="64"/>
      <c r="P1880" s="72" t="str">
        <f aca="false">IF(OR(B1880="",C1880=""),"",C1880&amp;"|"&amp;(YEAR(B1880)*100+MONTH(B1880)))</f>
        <v/>
      </c>
      <c r="Q1880" s="70" t="str">
        <f aca="false">IF(P1880="","",IF(COUNTIF(N_CLAVE,P1880)&gt;1,"⚠ Duplicado","OK"))</f>
        <v/>
      </c>
      <c r="R1880" s="74" t="str">
        <f aca="false">IF(OR(P1880="",U1880=""),"",MAX(0,U1880-N(E1880)-N(F1880)-N(H1880)))</f>
        <v/>
      </c>
      <c r="S1880" s="75" t="str">
        <f aca="false">IF(P1880="","",IFERROR(INDEX(T_INGRESO,MATCH(C1880,T_ID,0)),""))</f>
        <v/>
      </c>
      <c r="T1880" s="75" t="str">
        <f aca="false">IF(P1880="","",IFERROR(N(INDEX(T_EGRESO,MATCH(C1880,T_ID,0))),0))</f>
        <v/>
      </c>
      <c r="U1880" s="73" t="str">
        <f aca="false">IF(OR(P1880="",NOT(ISNUMBER(S1880))),"",IF(OR(S1880&gt;EOMONTH(B1880,0),AND(T1880&gt;0,T1880&lt;B1880)),0,IF(AND(S1880&lt;=B1880,OR(T1880=0,T1880&gt;=EOMONTH(B1880,0))),30,MIN(30,IF(T1880=0,EOMONTH(B1880,0),MIN(T1880,EOMONTH(B1880,0)))-MAX(B1880,S1880)+1))))</f>
        <v/>
      </c>
    </row>
    <row r="1881" customFormat="false" ht="15" hidden="false" customHeight="false" outlineLevel="0" collapsed="false">
      <c r="B1881" s="78"/>
      <c r="C1881" s="64"/>
      <c r="D1881" s="70" t="str">
        <f aca="false">IF(C1881="","",IFERROR(INDEX(T_NOMBRE,MATCH(C1881,T_ID,0)),"⚠ ID no existe"))</f>
        <v/>
      </c>
      <c r="E1881" s="69"/>
      <c r="F1881" s="69"/>
      <c r="G1881" s="69"/>
      <c r="H1881" s="69"/>
      <c r="I1881" s="66"/>
      <c r="J1881" s="69"/>
      <c r="K1881" s="67"/>
      <c r="L1881" s="67"/>
      <c r="M1881" s="67"/>
      <c r="N1881" s="67"/>
      <c r="O1881" s="64"/>
      <c r="P1881" s="72" t="str">
        <f aca="false">IF(OR(B1881="",C1881=""),"",C1881&amp;"|"&amp;(YEAR(B1881)*100+MONTH(B1881)))</f>
        <v/>
      </c>
      <c r="Q1881" s="70" t="str">
        <f aca="false">IF(P1881="","",IF(COUNTIF(N_CLAVE,P1881)&gt;1,"⚠ Duplicado","OK"))</f>
        <v/>
      </c>
      <c r="R1881" s="74" t="str">
        <f aca="false">IF(OR(P1881="",U1881=""),"",MAX(0,U1881-N(E1881)-N(F1881)-N(H1881)))</f>
        <v/>
      </c>
      <c r="S1881" s="75" t="str">
        <f aca="false">IF(P1881="","",IFERROR(INDEX(T_INGRESO,MATCH(C1881,T_ID,0)),""))</f>
        <v/>
      </c>
      <c r="T1881" s="75" t="str">
        <f aca="false">IF(P1881="","",IFERROR(N(INDEX(T_EGRESO,MATCH(C1881,T_ID,0))),0))</f>
        <v/>
      </c>
      <c r="U1881" s="73" t="str">
        <f aca="false">IF(OR(P1881="",NOT(ISNUMBER(S1881))),"",IF(OR(S1881&gt;EOMONTH(B1881,0),AND(T1881&gt;0,T1881&lt;B1881)),0,IF(AND(S1881&lt;=B1881,OR(T1881=0,T1881&gt;=EOMONTH(B1881,0))),30,MIN(30,IF(T1881=0,EOMONTH(B1881,0),MIN(T1881,EOMONTH(B1881,0)))-MAX(B1881,S1881)+1))))</f>
        <v/>
      </c>
    </row>
    <row r="1882" customFormat="false" ht="15" hidden="false" customHeight="false" outlineLevel="0" collapsed="false">
      <c r="B1882" s="78"/>
      <c r="C1882" s="64"/>
      <c r="D1882" s="70" t="str">
        <f aca="false">IF(C1882="","",IFERROR(INDEX(T_NOMBRE,MATCH(C1882,T_ID,0)),"⚠ ID no existe"))</f>
        <v/>
      </c>
      <c r="E1882" s="69"/>
      <c r="F1882" s="69"/>
      <c r="G1882" s="69"/>
      <c r="H1882" s="69"/>
      <c r="I1882" s="66"/>
      <c r="J1882" s="69"/>
      <c r="K1882" s="67"/>
      <c r="L1882" s="67"/>
      <c r="M1882" s="67"/>
      <c r="N1882" s="67"/>
      <c r="O1882" s="64"/>
      <c r="P1882" s="72" t="str">
        <f aca="false">IF(OR(B1882="",C1882=""),"",C1882&amp;"|"&amp;(YEAR(B1882)*100+MONTH(B1882)))</f>
        <v/>
      </c>
      <c r="Q1882" s="70" t="str">
        <f aca="false">IF(P1882="","",IF(COUNTIF(N_CLAVE,P1882)&gt;1,"⚠ Duplicado","OK"))</f>
        <v/>
      </c>
      <c r="R1882" s="74" t="str">
        <f aca="false">IF(OR(P1882="",U1882=""),"",MAX(0,U1882-N(E1882)-N(F1882)-N(H1882)))</f>
        <v/>
      </c>
      <c r="S1882" s="75" t="str">
        <f aca="false">IF(P1882="","",IFERROR(INDEX(T_INGRESO,MATCH(C1882,T_ID,0)),""))</f>
        <v/>
      </c>
      <c r="T1882" s="75" t="str">
        <f aca="false">IF(P1882="","",IFERROR(N(INDEX(T_EGRESO,MATCH(C1882,T_ID,0))),0))</f>
        <v/>
      </c>
      <c r="U1882" s="73" t="str">
        <f aca="false">IF(OR(P1882="",NOT(ISNUMBER(S1882))),"",IF(OR(S1882&gt;EOMONTH(B1882,0),AND(T1882&gt;0,T1882&lt;B1882)),0,IF(AND(S1882&lt;=B1882,OR(T1882=0,T1882&gt;=EOMONTH(B1882,0))),30,MIN(30,IF(T1882=0,EOMONTH(B1882,0),MIN(T1882,EOMONTH(B1882,0)))-MAX(B1882,S1882)+1))))</f>
        <v/>
      </c>
    </row>
    <row r="1883" customFormat="false" ht="15" hidden="false" customHeight="false" outlineLevel="0" collapsed="false">
      <c r="B1883" s="78"/>
      <c r="C1883" s="64"/>
      <c r="D1883" s="70" t="str">
        <f aca="false">IF(C1883="","",IFERROR(INDEX(T_NOMBRE,MATCH(C1883,T_ID,0)),"⚠ ID no existe"))</f>
        <v/>
      </c>
      <c r="E1883" s="69"/>
      <c r="F1883" s="69"/>
      <c r="G1883" s="69"/>
      <c r="H1883" s="69"/>
      <c r="I1883" s="66"/>
      <c r="J1883" s="69"/>
      <c r="K1883" s="67"/>
      <c r="L1883" s="67"/>
      <c r="M1883" s="67"/>
      <c r="N1883" s="67"/>
      <c r="O1883" s="64"/>
      <c r="P1883" s="72" t="str">
        <f aca="false">IF(OR(B1883="",C1883=""),"",C1883&amp;"|"&amp;(YEAR(B1883)*100+MONTH(B1883)))</f>
        <v/>
      </c>
      <c r="Q1883" s="70" t="str">
        <f aca="false">IF(P1883="","",IF(COUNTIF(N_CLAVE,P1883)&gt;1,"⚠ Duplicado","OK"))</f>
        <v/>
      </c>
      <c r="R1883" s="74" t="str">
        <f aca="false">IF(OR(P1883="",U1883=""),"",MAX(0,U1883-N(E1883)-N(F1883)-N(H1883)))</f>
        <v/>
      </c>
      <c r="S1883" s="75" t="str">
        <f aca="false">IF(P1883="","",IFERROR(INDEX(T_INGRESO,MATCH(C1883,T_ID,0)),""))</f>
        <v/>
      </c>
      <c r="T1883" s="75" t="str">
        <f aca="false">IF(P1883="","",IFERROR(N(INDEX(T_EGRESO,MATCH(C1883,T_ID,0))),0))</f>
        <v/>
      </c>
      <c r="U1883" s="73" t="str">
        <f aca="false">IF(OR(P1883="",NOT(ISNUMBER(S1883))),"",IF(OR(S1883&gt;EOMONTH(B1883,0),AND(T1883&gt;0,T1883&lt;B1883)),0,IF(AND(S1883&lt;=B1883,OR(T1883=0,T1883&gt;=EOMONTH(B1883,0))),30,MIN(30,IF(T1883=0,EOMONTH(B1883,0),MIN(T1883,EOMONTH(B1883,0)))-MAX(B1883,S1883)+1))))</f>
        <v/>
      </c>
    </row>
    <row r="1884" customFormat="false" ht="15" hidden="false" customHeight="false" outlineLevel="0" collapsed="false">
      <c r="B1884" s="78"/>
      <c r="C1884" s="64"/>
      <c r="D1884" s="70" t="str">
        <f aca="false">IF(C1884="","",IFERROR(INDEX(T_NOMBRE,MATCH(C1884,T_ID,0)),"⚠ ID no existe"))</f>
        <v/>
      </c>
      <c r="E1884" s="69"/>
      <c r="F1884" s="69"/>
      <c r="G1884" s="69"/>
      <c r="H1884" s="69"/>
      <c r="I1884" s="66"/>
      <c r="J1884" s="69"/>
      <c r="K1884" s="67"/>
      <c r="L1884" s="67"/>
      <c r="M1884" s="67"/>
      <c r="N1884" s="67"/>
      <c r="O1884" s="64"/>
      <c r="P1884" s="72" t="str">
        <f aca="false">IF(OR(B1884="",C1884=""),"",C1884&amp;"|"&amp;(YEAR(B1884)*100+MONTH(B1884)))</f>
        <v/>
      </c>
      <c r="Q1884" s="70" t="str">
        <f aca="false">IF(P1884="","",IF(COUNTIF(N_CLAVE,P1884)&gt;1,"⚠ Duplicado","OK"))</f>
        <v/>
      </c>
      <c r="R1884" s="74" t="str">
        <f aca="false">IF(OR(P1884="",U1884=""),"",MAX(0,U1884-N(E1884)-N(F1884)-N(H1884)))</f>
        <v/>
      </c>
      <c r="S1884" s="75" t="str">
        <f aca="false">IF(P1884="","",IFERROR(INDEX(T_INGRESO,MATCH(C1884,T_ID,0)),""))</f>
        <v/>
      </c>
      <c r="T1884" s="75" t="str">
        <f aca="false">IF(P1884="","",IFERROR(N(INDEX(T_EGRESO,MATCH(C1884,T_ID,0))),0))</f>
        <v/>
      </c>
      <c r="U1884" s="73" t="str">
        <f aca="false">IF(OR(P1884="",NOT(ISNUMBER(S1884))),"",IF(OR(S1884&gt;EOMONTH(B1884,0),AND(T1884&gt;0,T1884&lt;B1884)),0,IF(AND(S1884&lt;=B1884,OR(T1884=0,T1884&gt;=EOMONTH(B1884,0))),30,MIN(30,IF(T1884=0,EOMONTH(B1884,0),MIN(T1884,EOMONTH(B1884,0)))-MAX(B1884,S1884)+1))))</f>
        <v/>
      </c>
    </row>
    <row r="1885" customFormat="false" ht="15" hidden="false" customHeight="false" outlineLevel="0" collapsed="false">
      <c r="B1885" s="78"/>
      <c r="C1885" s="64"/>
      <c r="D1885" s="70" t="str">
        <f aca="false">IF(C1885="","",IFERROR(INDEX(T_NOMBRE,MATCH(C1885,T_ID,0)),"⚠ ID no existe"))</f>
        <v/>
      </c>
      <c r="E1885" s="69"/>
      <c r="F1885" s="69"/>
      <c r="G1885" s="69"/>
      <c r="H1885" s="69"/>
      <c r="I1885" s="66"/>
      <c r="J1885" s="69"/>
      <c r="K1885" s="67"/>
      <c r="L1885" s="67"/>
      <c r="M1885" s="67"/>
      <c r="N1885" s="67"/>
      <c r="O1885" s="64"/>
      <c r="P1885" s="72" t="str">
        <f aca="false">IF(OR(B1885="",C1885=""),"",C1885&amp;"|"&amp;(YEAR(B1885)*100+MONTH(B1885)))</f>
        <v/>
      </c>
      <c r="Q1885" s="70" t="str">
        <f aca="false">IF(P1885="","",IF(COUNTIF(N_CLAVE,P1885)&gt;1,"⚠ Duplicado","OK"))</f>
        <v/>
      </c>
      <c r="R1885" s="74" t="str">
        <f aca="false">IF(OR(P1885="",U1885=""),"",MAX(0,U1885-N(E1885)-N(F1885)-N(H1885)))</f>
        <v/>
      </c>
      <c r="S1885" s="75" t="str">
        <f aca="false">IF(P1885="","",IFERROR(INDEX(T_INGRESO,MATCH(C1885,T_ID,0)),""))</f>
        <v/>
      </c>
      <c r="T1885" s="75" t="str">
        <f aca="false">IF(P1885="","",IFERROR(N(INDEX(T_EGRESO,MATCH(C1885,T_ID,0))),0))</f>
        <v/>
      </c>
      <c r="U1885" s="73" t="str">
        <f aca="false">IF(OR(P1885="",NOT(ISNUMBER(S1885))),"",IF(OR(S1885&gt;EOMONTH(B1885,0),AND(T1885&gt;0,T1885&lt;B1885)),0,IF(AND(S1885&lt;=B1885,OR(T1885=0,T1885&gt;=EOMONTH(B1885,0))),30,MIN(30,IF(T1885=0,EOMONTH(B1885,0),MIN(T1885,EOMONTH(B1885,0)))-MAX(B1885,S1885)+1))))</f>
        <v/>
      </c>
    </row>
    <row r="1886" customFormat="false" ht="15" hidden="false" customHeight="false" outlineLevel="0" collapsed="false">
      <c r="B1886" s="78"/>
      <c r="C1886" s="64"/>
      <c r="D1886" s="70" t="str">
        <f aca="false">IF(C1886="","",IFERROR(INDEX(T_NOMBRE,MATCH(C1886,T_ID,0)),"⚠ ID no existe"))</f>
        <v/>
      </c>
      <c r="E1886" s="69"/>
      <c r="F1886" s="69"/>
      <c r="G1886" s="69"/>
      <c r="H1886" s="69"/>
      <c r="I1886" s="66"/>
      <c r="J1886" s="69"/>
      <c r="K1886" s="67"/>
      <c r="L1886" s="67"/>
      <c r="M1886" s="67"/>
      <c r="N1886" s="67"/>
      <c r="O1886" s="64"/>
      <c r="P1886" s="72" t="str">
        <f aca="false">IF(OR(B1886="",C1886=""),"",C1886&amp;"|"&amp;(YEAR(B1886)*100+MONTH(B1886)))</f>
        <v/>
      </c>
      <c r="Q1886" s="70" t="str">
        <f aca="false">IF(P1886="","",IF(COUNTIF(N_CLAVE,P1886)&gt;1,"⚠ Duplicado","OK"))</f>
        <v/>
      </c>
      <c r="R1886" s="74" t="str">
        <f aca="false">IF(OR(P1886="",U1886=""),"",MAX(0,U1886-N(E1886)-N(F1886)-N(H1886)))</f>
        <v/>
      </c>
      <c r="S1886" s="75" t="str">
        <f aca="false">IF(P1886="","",IFERROR(INDEX(T_INGRESO,MATCH(C1886,T_ID,0)),""))</f>
        <v/>
      </c>
      <c r="T1886" s="75" t="str">
        <f aca="false">IF(P1886="","",IFERROR(N(INDEX(T_EGRESO,MATCH(C1886,T_ID,0))),0))</f>
        <v/>
      </c>
      <c r="U1886" s="73" t="str">
        <f aca="false">IF(OR(P1886="",NOT(ISNUMBER(S1886))),"",IF(OR(S1886&gt;EOMONTH(B1886,0),AND(T1886&gt;0,T1886&lt;B1886)),0,IF(AND(S1886&lt;=B1886,OR(T1886=0,T1886&gt;=EOMONTH(B1886,0))),30,MIN(30,IF(T1886=0,EOMONTH(B1886,0),MIN(T1886,EOMONTH(B1886,0)))-MAX(B1886,S1886)+1))))</f>
        <v/>
      </c>
    </row>
    <row r="1887" customFormat="false" ht="15" hidden="false" customHeight="false" outlineLevel="0" collapsed="false">
      <c r="B1887" s="78"/>
      <c r="C1887" s="64"/>
      <c r="D1887" s="70" t="str">
        <f aca="false">IF(C1887="","",IFERROR(INDEX(T_NOMBRE,MATCH(C1887,T_ID,0)),"⚠ ID no existe"))</f>
        <v/>
      </c>
      <c r="E1887" s="69"/>
      <c r="F1887" s="69"/>
      <c r="G1887" s="69"/>
      <c r="H1887" s="69"/>
      <c r="I1887" s="66"/>
      <c r="J1887" s="69"/>
      <c r="K1887" s="67"/>
      <c r="L1887" s="67"/>
      <c r="M1887" s="67"/>
      <c r="N1887" s="67"/>
      <c r="O1887" s="64"/>
      <c r="P1887" s="72" t="str">
        <f aca="false">IF(OR(B1887="",C1887=""),"",C1887&amp;"|"&amp;(YEAR(B1887)*100+MONTH(B1887)))</f>
        <v/>
      </c>
      <c r="Q1887" s="70" t="str">
        <f aca="false">IF(P1887="","",IF(COUNTIF(N_CLAVE,P1887)&gt;1,"⚠ Duplicado","OK"))</f>
        <v/>
      </c>
      <c r="R1887" s="74" t="str">
        <f aca="false">IF(OR(P1887="",U1887=""),"",MAX(0,U1887-N(E1887)-N(F1887)-N(H1887)))</f>
        <v/>
      </c>
      <c r="S1887" s="75" t="str">
        <f aca="false">IF(P1887="","",IFERROR(INDEX(T_INGRESO,MATCH(C1887,T_ID,0)),""))</f>
        <v/>
      </c>
      <c r="T1887" s="75" t="str">
        <f aca="false">IF(P1887="","",IFERROR(N(INDEX(T_EGRESO,MATCH(C1887,T_ID,0))),0))</f>
        <v/>
      </c>
      <c r="U1887" s="73" t="str">
        <f aca="false">IF(OR(P1887="",NOT(ISNUMBER(S1887))),"",IF(OR(S1887&gt;EOMONTH(B1887,0),AND(T1887&gt;0,T1887&lt;B1887)),0,IF(AND(S1887&lt;=B1887,OR(T1887=0,T1887&gt;=EOMONTH(B1887,0))),30,MIN(30,IF(T1887=0,EOMONTH(B1887,0),MIN(T1887,EOMONTH(B1887,0)))-MAX(B1887,S1887)+1))))</f>
        <v/>
      </c>
    </row>
    <row r="1888" customFormat="false" ht="15" hidden="false" customHeight="false" outlineLevel="0" collapsed="false">
      <c r="B1888" s="78"/>
      <c r="C1888" s="64"/>
      <c r="D1888" s="70" t="str">
        <f aca="false">IF(C1888="","",IFERROR(INDEX(T_NOMBRE,MATCH(C1888,T_ID,0)),"⚠ ID no existe"))</f>
        <v/>
      </c>
      <c r="E1888" s="69"/>
      <c r="F1888" s="69"/>
      <c r="G1888" s="69"/>
      <c r="H1888" s="69"/>
      <c r="I1888" s="66"/>
      <c r="J1888" s="69"/>
      <c r="K1888" s="67"/>
      <c r="L1888" s="67"/>
      <c r="M1888" s="67"/>
      <c r="N1888" s="67"/>
      <c r="O1888" s="64"/>
      <c r="P1888" s="72" t="str">
        <f aca="false">IF(OR(B1888="",C1888=""),"",C1888&amp;"|"&amp;(YEAR(B1888)*100+MONTH(B1888)))</f>
        <v/>
      </c>
      <c r="Q1888" s="70" t="str">
        <f aca="false">IF(P1888="","",IF(COUNTIF(N_CLAVE,P1888)&gt;1,"⚠ Duplicado","OK"))</f>
        <v/>
      </c>
      <c r="R1888" s="74" t="str">
        <f aca="false">IF(OR(P1888="",U1888=""),"",MAX(0,U1888-N(E1888)-N(F1888)-N(H1888)))</f>
        <v/>
      </c>
      <c r="S1888" s="75" t="str">
        <f aca="false">IF(P1888="","",IFERROR(INDEX(T_INGRESO,MATCH(C1888,T_ID,0)),""))</f>
        <v/>
      </c>
      <c r="T1888" s="75" t="str">
        <f aca="false">IF(P1888="","",IFERROR(N(INDEX(T_EGRESO,MATCH(C1888,T_ID,0))),0))</f>
        <v/>
      </c>
      <c r="U1888" s="73" t="str">
        <f aca="false">IF(OR(P1888="",NOT(ISNUMBER(S1888))),"",IF(OR(S1888&gt;EOMONTH(B1888,0),AND(T1888&gt;0,T1888&lt;B1888)),0,IF(AND(S1888&lt;=B1888,OR(T1888=0,T1888&gt;=EOMONTH(B1888,0))),30,MIN(30,IF(T1888=0,EOMONTH(B1888,0),MIN(T1888,EOMONTH(B1888,0)))-MAX(B1888,S1888)+1))))</f>
        <v/>
      </c>
    </row>
    <row r="1889" customFormat="false" ht="15" hidden="false" customHeight="false" outlineLevel="0" collapsed="false">
      <c r="B1889" s="78"/>
      <c r="C1889" s="64"/>
      <c r="D1889" s="70" t="str">
        <f aca="false">IF(C1889="","",IFERROR(INDEX(T_NOMBRE,MATCH(C1889,T_ID,0)),"⚠ ID no existe"))</f>
        <v/>
      </c>
      <c r="E1889" s="69"/>
      <c r="F1889" s="69"/>
      <c r="G1889" s="69"/>
      <c r="H1889" s="69"/>
      <c r="I1889" s="66"/>
      <c r="J1889" s="69"/>
      <c r="K1889" s="67"/>
      <c r="L1889" s="67"/>
      <c r="M1889" s="67"/>
      <c r="N1889" s="67"/>
      <c r="O1889" s="64"/>
      <c r="P1889" s="72" t="str">
        <f aca="false">IF(OR(B1889="",C1889=""),"",C1889&amp;"|"&amp;(YEAR(B1889)*100+MONTH(B1889)))</f>
        <v/>
      </c>
      <c r="Q1889" s="70" t="str">
        <f aca="false">IF(P1889="","",IF(COUNTIF(N_CLAVE,P1889)&gt;1,"⚠ Duplicado","OK"))</f>
        <v/>
      </c>
      <c r="R1889" s="74" t="str">
        <f aca="false">IF(OR(P1889="",U1889=""),"",MAX(0,U1889-N(E1889)-N(F1889)-N(H1889)))</f>
        <v/>
      </c>
      <c r="S1889" s="75" t="str">
        <f aca="false">IF(P1889="","",IFERROR(INDEX(T_INGRESO,MATCH(C1889,T_ID,0)),""))</f>
        <v/>
      </c>
      <c r="T1889" s="75" t="str">
        <f aca="false">IF(P1889="","",IFERROR(N(INDEX(T_EGRESO,MATCH(C1889,T_ID,0))),0))</f>
        <v/>
      </c>
      <c r="U1889" s="73" t="str">
        <f aca="false">IF(OR(P1889="",NOT(ISNUMBER(S1889))),"",IF(OR(S1889&gt;EOMONTH(B1889,0),AND(T1889&gt;0,T1889&lt;B1889)),0,IF(AND(S1889&lt;=B1889,OR(T1889=0,T1889&gt;=EOMONTH(B1889,0))),30,MIN(30,IF(T1889=0,EOMONTH(B1889,0),MIN(T1889,EOMONTH(B1889,0)))-MAX(B1889,S1889)+1))))</f>
        <v/>
      </c>
    </row>
    <row r="1890" customFormat="false" ht="15" hidden="false" customHeight="false" outlineLevel="0" collapsed="false">
      <c r="B1890" s="78"/>
      <c r="C1890" s="64"/>
      <c r="D1890" s="70" t="str">
        <f aca="false">IF(C1890="","",IFERROR(INDEX(T_NOMBRE,MATCH(C1890,T_ID,0)),"⚠ ID no existe"))</f>
        <v/>
      </c>
      <c r="E1890" s="69"/>
      <c r="F1890" s="69"/>
      <c r="G1890" s="69"/>
      <c r="H1890" s="69"/>
      <c r="I1890" s="66"/>
      <c r="J1890" s="69"/>
      <c r="K1890" s="67"/>
      <c r="L1890" s="67"/>
      <c r="M1890" s="67"/>
      <c r="N1890" s="67"/>
      <c r="O1890" s="64"/>
      <c r="P1890" s="72" t="str">
        <f aca="false">IF(OR(B1890="",C1890=""),"",C1890&amp;"|"&amp;(YEAR(B1890)*100+MONTH(B1890)))</f>
        <v/>
      </c>
      <c r="Q1890" s="70" t="str">
        <f aca="false">IF(P1890="","",IF(COUNTIF(N_CLAVE,P1890)&gt;1,"⚠ Duplicado","OK"))</f>
        <v/>
      </c>
      <c r="R1890" s="74" t="str">
        <f aca="false">IF(OR(P1890="",U1890=""),"",MAX(0,U1890-N(E1890)-N(F1890)-N(H1890)))</f>
        <v/>
      </c>
      <c r="S1890" s="75" t="str">
        <f aca="false">IF(P1890="","",IFERROR(INDEX(T_INGRESO,MATCH(C1890,T_ID,0)),""))</f>
        <v/>
      </c>
      <c r="T1890" s="75" t="str">
        <f aca="false">IF(P1890="","",IFERROR(N(INDEX(T_EGRESO,MATCH(C1890,T_ID,0))),0))</f>
        <v/>
      </c>
      <c r="U1890" s="73" t="str">
        <f aca="false">IF(OR(P1890="",NOT(ISNUMBER(S1890))),"",IF(OR(S1890&gt;EOMONTH(B1890,0),AND(T1890&gt;0,T1890&lt;B1890)),0,IF(AND(S1890&lt;=B1890,OR(T1890=0,T1890&gt;=EOMONTH(B1890,0))),30,MIN(30,IF(T1890=0,EOMONTH(B1890,0),MIN(T1890,EOMONTH(B1890,0)))-MAX(B1890,S1890)+1))))</f>
        <v/>
      </c>
    </row>
    <row r="1891" customFormat="false" ht="15" hidden="false" customHeight="false" outlineLevel="0" collapsed="false">
      <c r="B1891" s="78"/>
      <c r="C1891" s="64"/>
      <c r="D1891" s="70" t="str">
        <f aca="false">IF(C1891="","",IFERROR(INDEX(T_NOMBRE,MATCH(C1891,T_ID,0)),"⚠ ID no existe"))</f>
        <v/>
      </c>
      <c r="E1891" s="69"/>
      <c r="F1891" s="69"/>
      <c r="G1891" s="69"/>
      <c r="H1891" s="69"/>
      <c r="I1891" s="66"/>
      <c r="J1891" s="69"/>
      <c r="K1891" s="67"/>
      <c r="L1891" s="67"/>
      <c r="M1891" s="67"/>
      <c r="N1891" s="67"/>
      <c r="O1891" s="64"/>
      <c r="P1891" s="72" t="str">
        <f aca="false">IF(OR(B1891="",C1891=""),"",C1891&amp;"|"&amp;(YEAR(B1891)*100+MONTH(B1891)))</f>
        <v/>
      </c>
      <c r="Q1891" s="70" t="str">
        <f aca="false">IF(P1891="","",IF(COUNTIF(N_CLAVE,P1891)&gt;1,"⚠ Duplicado","OK"))</f>
        <v/>
      </c>
      <c r="R1891" s="74" t="str">
        <f aca="false">IF(OR(P1891="",U1891=""),"",MAX(0,U1891-N(E1891)-N(F1891)-N(H1891)))</f>
        <v/>
      </c>
      <c r="S1891" s="75" t="str">
        <f aca="false">IF(P1891="","",IFERROR(INDEX(T_INGRESO,MATCH(C1891,T_ID,0)),""))</f>
        <v/>
      </c>
      <c r="T1891" s="75" t="str">
        <f aca="false">IF(P1891="","",IFERROR(N(INDEX(T_EGRESO,MATCH(C1891,T_ID,0))),0))</f>
        <v/>
      </c>
      <c r="U1891" s="73" t="str">
        <f aca="false">IF(OR(P1891="",NOT(ISNUMBER(S1891))),"",IF(OR(S1891&gt;EOMONTH(B1891,0),AND(T1891&gt;0,T1891&lt;B1891)),0,IF(AND(S1891&lt;=B1891,OR(T1891=0,T1891&gt;=EOMONTH(B1891,0))),30,MIN(30,IF(T1891=0,EOMONTH(B1891,0),MIN(T1891,EOMONTH(B1891,0)))-MAX(B1891,S1891)+1))))</f>
        <v/>
      </c>
    </row>
    <row r="1892" customFormat="false" ht="15" hidden="false" customHeight="false" outlineLevel="0" collapsed="false">
      <c r="B1892" s="78"/>
      <c r="C1892" s="64"/>
      <c r="D1892" s="70" t="str">
        <f aca="false">IF(C1892="","",IFERROR(INDEX(T_NOMBRE,MATCH(C1892,T_ID,0)),"⚠ ID no existe"))</f>
        <v/>
      </c>
      <c r="E1892" s="69"/>
      <c r="F1892" s="69"/>
      <c r="G1892" s="69"/>
      <c r="H1892" s="69"/>
      <c r="I1892" s="66"/>
      <c r="J1892" s="69"/>
      <c r="K1892" s="67"/>
      <c r="L1892" s="67"/>
      <c r="M1892" s="67"/>
      <c r="N1892" s="67"/>
      <c r="O1892" s="64"/>
      <c r="P1892" s="72" t="str">
        <f aca="false">IF(OR(B1892="",C1892=""),"",C1892&amp;"|"&amp;(YEAR(B1892)*100+MONTH(B1892)))</f>
        <v/>
      </c>
      <c r="Q1892" s="70" t="str">
        <f aca="false">IF(P1892="","",IF(COUNTIF(N_CLAVE,P1892)&gt;1,"⚠ Duplicado","OK"))</f>
        <v/>
      </c>
      <c r="R1892" s="74" t="str">
        <f aca="false">IF(OR(P1892="",U1892=""),"",MAX(0,U1892-N(E1892)-N(F1892)-N(H1892)))</f>
        <v/>
      </c>
      <c r="S1892" s="75" t="str">
        <f aca="false">IF(P1892="","",IFERROR(INDEX(T_INGRESO,MATCH(C1892,T_ID,0)),""))</f>
        <v/>
      </c>
      <c r="T1892" s="75" t="str">
        <f aca="false">IF(P1892="","",IFERROR(N(INDEX(T_EGRESO,MATCH(C1892,T_ID,0))),0))</f>
        <v/>
      </c>
      <c r="U1892" s="73" t="str">
        <f aca="false">IF(OR(P1892="",NOT(ISNUMBER(S1892))),"",IF(OR(S1892&gt;EOMONTH(B1892,0),AND(T1892&gt;0,T1892&lt;B1892)),0,IF(AND(S1892&lt;=B1892,OR(T1892=0,T1892&gt;=EOMONTH(B1892,0))),30,MIN(30,IF(T1892=0,EOMONTH(B1892,0),MIN(T1892,EOMONTH(B1892,0)))-MAX(B1892,S1892)+1))))</f>
        <v/>
      </c>
    </row>
    <row r="1893" customFormat="false" ht="15" hidden="false" customHeight="false" outlineLevel="0" collapsed="false">
      <c r="B1893" s="78"/>
      <c r="C1893" s="64"/>
      <c r="D1893" s="70" t="str">
        <f aca="false">IF(C1893="","",IFERROR(INDEX(T_NOMBRE,MATCH(C1893,T_ID,0)),"⚠ ID no existe"))</f>
        <v/>
      </c>
      <c r="E1893" s="69"/>
      <c r="F1893" s="69"/>
      <c r="G1893" s="69"/>
      <c r="H1893" s="69"/>
      <c r="I1893" s="66"/>
      <c r="J1893" s="69"/>
      <c r="K1893" s="67"/>
      <c r="L1893" s="67"/>
      <c r="M1893" s="67"/>
      <c r="N1893" s="67"/>
      <c r="O1893" s="64"/>
      <c r="P1893" s="72" t="str">
        <f aca="false">IF(OR(B1893="",C1893=""),"",C1893&amp;"|"&amp;(YEAR(B1893)*100+MONTH(B1893)))</f>
        <v/>
      </c>
      <c r="Q1893" s="70" t="str">
        <f aca="false">IF(P1893="","",IF(COUNTIF(N_CLAVE,P1893)&gt;1,"⚠ Duplicado","OK"))</f>
        <v/>
      </c>
      <c r="R1893" s="74" t="str">
        <f aca="false">IF(OR(P1893="",U1893=""),"",MAX(0,U1893-N(E1893)-N(F1893)-N(H1893)))</f>
        <v/>
      </c>
      <c r="S1893" s="75" t="str">
        <f aca="false">IF(P1893="","",IFERROR(INDEX(T_INGRESO,MATCH(C1893,T_ID,0)),""))</f>
        <v/>
      </c>
      <c r="T1893" s="75" t="str">
        <f aca="false">IF(P1893="","",IFERROR(N(INDEX(T_EGRESO,MATCH(C1893,T_ID,0))),0))</f>
        <v/>
      </c>
      <c r="U1893" s="73" t="str">
        <f aca="false">IF(OR(P1893="",NOT(ISNUMBER(S1893))),"",IF(OR(S1893&gt;EOMONTH(B1893,0),AND(T1893&gt;0,T1893&lt;B1893)),0,IF(AND(S1893&lt;=B1893,OR(T1893=0,T1893&gt;=EOMONTH(B1893,0))),30,MIN(30,IF(T1893=0,EOMONTH(B1893,0),MIN(T1893,EOMONTH(B1893,0)))-MAX(B1893,S1893)+1))))</f>
        <v/>
      </c>
    </row>
    <row r="1894" customFormat="false" ht="15" hidden="false" customHeight="false" outlineLevel="0" collapsed="false">
      <c r="B1894" s="78"/>
      <c r="C1894" s="64"/>
      <c r="D1894" s="70" t="str">
        <f aca="false">IF(C1894="","",IFERROR(INDEX(T_NOMBRE,MATCH(C1894,T_ID,0)),"⚠ ID no existe"))</f>
        <v/>
      </c>
      <c r="E1894" s="69"/>
      <c r="F1894" s="69"/>
      <c r="G1894" s="69"/>
      <c r="H1894" s="69"/>
      <c r="I1894" s="66"/>
      <c r="J1894" s="69"/>
      <c r="K1894" s="67"/>
      <c r="L1894" s="67"/>
      <c r="M1894" s="67"/>
      <c r="N1894" s="67"/>
      <c r="O1894" s="64"/>
      <c r="P1894" s="72" t="str">
        <f aca="false">IF(OR(B1894="",C1894=""),"",C1894&amp;"|"&amp;(YEAR(B1894)*100+MONTH(B1894)))</f>
        <v/>
      </c>
      <c r="Q1894" s="70" t="str">
        <f aca="false">IF(P1894="","",IF(COUNTIF(N_CLAVE,P1894)&gt;1,"⚠ Duplicado","OK"))</f>
        <v/>
      </c>
      <c r="R1894" s="74" t="str">
        <f aca="false">IF(OR(P1894="",U1894=""),"",MAX(0,U1894-N(E1894)-N(F1894)-N(H1894)))</f>
        <v/>
      </c>
      <c r="S1894" s="75" t="str">
        <f aca="false">IF(P1894="","",IFERROR(INDEX(T_INGRESO,MATCH(C1894,T_ID,0)),""))</f>
        <v/>
      </c>
      <c r="T1894" s="75" t="str">
        <f aca="false">IF(P1894="","",IFERROR(N(INDEX(T_EGRESO,MATCH(C1894,T_ID,0))),0))</f>
        <v/>
      </c>
      <c r="U1894" s="73" t="str">
        <f aca="false">IF(OR(P1894="",NOT(ISNUMBER(S1894))),"",IF(OR(S1894&gt;EOMONTH(B1894,0),AND(T1894&gt;0,T1894&lt;B1894)),0,IF(AND(S1894&lt;=B1894,OR(T1894=0,T1894&gt;=EOMONTH(B1894,0))),30,MIN(30,IF(T1894=0,EOMONTH(B1894,0),MIN(T1894,EOMONTH(B1894,0)))-MAX(B1894,S1894)+1))))</f>
        <v/>
      </c>
    </row>
    <row r="1895" customFormat="false" ht="15" hidden="false" customHeight="false" outlineLevel="0" collapsed="false">
      <c r="B1895" s="78"/>
      <c r="C1895" s="64"/>
      <c r="D1895" s="70" t="str">
        <f aca="false">IF(C1895="","",IFERROR(INDEX(T_NOMBRE,MATCH(C1895,T_ID,0)),"⚠ ID no existe"))</f>
        <v/>
      </c>
      <c r="E1895" s="69"/>
      <c r="F1895" s="69"/>
      <c r="G1895" s="69"/>
      <c r="H1895" s="69"/>
      <c r="I1895" s="66"/>
      <c r="J1895" s="69"/>
      <c r="K1895" s="67"/>
      <c r="L1895" s="67"/>
      <c r="M1895" s="67"/>
      <c r="N1895" s="67"/>
      <c r="O1895" s="64"/>
      <c r="P1895" s="72" t="str">
        <f aca="false">IF(OR(B1895="",C1895=""),"",C1895&amp;"|"&amp;(YEAR(B1895)*100+MONTH(B1895)))</f>
        <v/>
      </c>
      <c r="Q1895" s="70" t="str">
        <f aca="false">IF(P1895="","",IF(COUNTIF(N_CLAVE,P1895)&gt;1,"⚠ Duplicado","OK"))</f>
        <v/>
      </c>
      <c r="R1895" s="74" t="str">
        <f aca="false">IF(OR(P1895="",U1895=""),"",MAX(0,U1895-N(E1895)-N(F1895)-N(H1895)))</f>
        <v/>
      </c>
      <c r="S1895" s="75" t="str">
        <f aca="false">IF(P1895="","",IFERROR(INDEX(T_INGRESO,MATCH(C1895,T_ID,0)),""))</f>
        <v/>
      </c>
      <c r="T1895" s="75" t="str">
        <f aca="false">IF(P1895="","",IFERROR(N(INDEX(T_EGRESO,MATCH(C1895,T_ID,0))),0))</f>
        <v/>
      </c>
      <c r="U1895" s="73" t="str">
        <f aca="false">IF(OR(P1895="",NOT(ISNUMBER(S1895))),"",IF(OR(S1895&gt;EOMONTH(B1895,0),AND(T1895&gt;0,T1895&lt;B1895)),0,IF(AND(S1895&lt;=B1895,OR(T1895=0,T1895&gt;=EOMONTH(B1895,0))),30,MIN(30,IF(T1895=0,EOMONTH(B1895,0),MIN(T1895,EOMONTH(B1895,0)))-MAX(B1895,S1895)+1))))</f>
        <v/>
      </c>
    </row>
    <row r="1896" customFormat="false" ht="15" hidden="false" customHeight="false" outlineLevel="0" collapsed="false">
      <c r="B1896" s="78"/>
      <c r="C1896" s="64"/>
      <c r="D1896" s="70" t="str">
        <f aca="false">IF(C1896="","",IFERROR(INDEX(T_NOMBRE,MATCH(C1896,T_ID,0)),"⚠ ID no existe"))</f>
        <v/>
      </c>
      <c r="E1896" s="69"/>
      <c r="F1896" s="69"/>
      <c r="G1896" s="69"/>
      <c r="H1896" s="69"/>
      <c r="I1896" s="66"/>
      <c r="J1896" s="69"/>
      <c r="K1896" s="67"/>
      <c r="L1896" s="67"/>
      <c r="M1896" s="67"/>
      <c r="N1896" s="67"/>
      <c r="O1896" s="64"/>
      <c r="P1896" s="72" t="str">
        <f aca="false">IF(OR(B1896="",C1896=""),"",C1896&amp;"|"&amp;(YEAR(B1896)*100+MONTH(B1896)))</f>
        <v/>
      </c>
      <c r="Q1896" s="70" t="str">
        <f aca="false">IF(P1896="","",IF(COUNTIF(N_CLAVE,P1896)&gt;1,"⚠ Duplicado","OK"))</f>
        <v/>
      </c>
      <c r="R1896" s="74" t="str">
        <f aca="false">IF(OR(P1896="",U1896=""),"",MAX(0,U1896-N(E1896)-N(F1896)-N(H1896)))</f>
        <v/>
      </c>
      <c r="S1896" s="75" t="str">
        <f aca="false">IF(P1896="","",IFERROR(INDEX(T_INGRESO,MATCH(C1896,T_ID,0)),""))</f>
        <v/>
      </c>
      <c r="T1896" s="75" t="str">
        <f aca="false">IF(P1896="","",IFERROR(N(INDEX(T_EGRESO,MATCH(C1896,T_ID,0))),0))</f>
        <v/>
      </c>
      <c r="U1896" s="73" t="str">
        <f aca="false">IF(OR(P1896="",NOT(ISNUMBER(S1896))),"",IF(OR(S1896&gt;EOMONTH(B1896,0),AND(T1896&gt;0,T1896&lt;B1896)),0,IF(AND(S1896&lt;=B1896,OR(T1896=0,T1896&gt;=EOMONTH(B1896,0))),30,MIN(30,IF(T1896=0,EOMONTH(B1896,0),MIN(T1896,EOMONTH(B1896,0)))-MAX(B1896,S1896)+1))))</f>
        <v/>
      </c>
    </row>
    <row r="1897" customFormat="false" ht="15" hidden="false" customHeight="false" outlineLevel="0" collapsed="false">
      <c r="B1897" s="78"/>
      <c r="C1897" s="64"/>
      <c r="D1897" s="70" t="str">
        <f aca="false">IF(C1897="","",IFERROR(INDEX(T_NOMBRE,MATCH(C1897,T_ID,0)),"⚠ ID no existe"))</f>
        <v/>
      </c>
      <c r="E1897" s="69"/>
      <c r="F1897" s="69"/>
      <c r="G1897" s="69"/>
      <c r="H1897" s="69"/>
      <c r="I1897" s="66"/>
      <c r="J1897" s="69"/>
      <c r="K1897" s="67"/>
      <c r="L1897" s="67"/>
      <c r="M1897" s="67"/>
      <c r="N1897" s="67"/>
      <c r="O1897" s="64"/>
      <c r="P1897" s="72" t="str">
        <f aca="false">IF(OR(B1897="",C1897=""),"",C1897&amp;"|"&amp;(YEAR(B1897)*100+MONTH(B1897)))</f>
        <v/>
      </c>
      <c r="Q1897" s="70" t="str">
        <f aca="false">IF(P1897="","",IF(COUNTIF(N_CLAVE,P1897)&gt;1,"⚠ Duplicado","OK"))</f>
        <v/>
      </c>
      <c r="R1897" s="74" t="str">
        <f aca="false">IF(OR(P1897="",U1897=""),"",MAX(0,U1897-N(E1897)-N(F1897)-N(H1897)))</f>
        <v/>
      </c>
      <c r="S1897" s="75" t="str">
        <f aca="false">IF(P1897="","",IFERROR(INDEX(T_INGRESO,MATCH(C1897,T_ID,0)),""))</f>
        <v/>
      </c>
      <c r="T1897" s="75" t="str">
        <f aca="false">IF(P1897="","",IFERROR(N(INDEX(T_EGRESO,MATCH(C1897,T_ID,0))),0))</f>
        <v/>
      </c>
      <c r="U1897" s="73" t="str">
        <f aca="false">IF(OR(P1897="",NOT(ISNUMBER(S1897))),"",IF(OR(S1897&gt;EOMONTH(B1897,0),AND(T1897&gt;0,T1897&lt;B1897)),0,IF(AND(S1897&lt;=B1897,OR(T1897=0,T1897&gt;=EOMONTH(B1897,0))),30,MIN(30,IF(T1897=0,EOMONTH(B1897,0),MIN(T1897,EOMONTH(B1897,0)))-MAX(B1897,S1897)+1))))</f>
        <v/>
      </c>
    </row>
    <row r="1898" customFormat="false" ht="15" hidden="false" customHeight="false" outlineLevel="0" collapsed="false">
      <c r="B1898" s="78"/>
      <c r="C1898" s="64"/>
      <c r="D1898" s="70" t="str">
        <f aca="false">IF(C1898="","",IFERROR(INDEX(T_NOMBRE,MATCH(C1898,T_ID,0)),"⚠ ID no existe"))</f>
        <v/>
      </c>
      <c r="E1898" s="69"/>
      <c r="F1898" s="69"/>
      <c r="G1898" s="69"/>
      <c r="H1898" s="69"/>
      <c r="I1898" s="66"/>
      <c r="J1898" s="69"/>
      <c r="K1898" s="67"/>
      <c r="L1898" s="67"/>
      <c r="M1898" s="67"/>
      <c r="N1898" s="67"/>
      <c r="O1898" s="64"/>
      <c r="P1898" s="72" t="str">
        <f aca="false">IF(OR(B1898="",C1898=""),"",C1898&amp;"|"&amp;(YEAR(B1898)*100+MONTH(B1898)))</f>
        <v/>
      </c>
      <c r="Q1898" s="70" t="str">
        <f aca="false">IF(P1898="","",IF(COUNTIF(N_CLAVE,P1898)&gt;1,"⚠ Duplicado","OK"))</f>
        <v/>
      </c>
      <c r="R1898" s="74" t="str">
        <f aca="false">IF(OR(P1898="",U1898=""),"",MAX(0,U1898-N(E1898)-N(F1898)-N(H1898)))</f>
        <v/>
      </c>
      <c r="S1898" s="75" t="str">
        <f aca="false">IF(P1898="","",IFERROR(INDEX(T_INGRESO,MATCH(C1898,T_ID,0)),""))</f>
        <v/>
      </c>
      <c r="T1898" s="75" t="str">
        <f aca="false">IF(P1898="","",IFERROR(N(INDEX(T_EGRESO,MATCH(C1898,T_ID,0))),0))</f>
        <v/>
      </c>
      <c r="U1898" s="73" t="str">
        <f aca="false">IF(OR(P1898="",NOT(ISNUMBER(S1898))),"",IF(OR(S1898&gt;EOMONTH(B1898,0),AND(T1898&gt;0,T1898&lt;B1898)),0,IF(AND(S1898&lt;=B1898,OR(T1898=0,T1898&gt;=EOMONTH(B1898,0))),30,MIN(30,IF(T1898=0,EOMONTH(B1898,0),MIN(T1898,EOMONTH(B1898,0)))-MAX(B1898,S1898)+1))))</f>
        <v/>
      </c>
    </row>
    <row r="1899" customFormat="false" ht="15" hidden="false" customHeight="false" outlineLevel="0" collapsed="false">
      <c r="B1899" s="78"/>
      <c r="C1899" s="64"/>
      <c r="D1899" s="70" t="str">
        <f aca="false">IF(C1899="","",IFERROR(INDEX(T_NOMBRE,MATCH(C1899,T_ID,0)),"⚠ ID no existe"))</f>
        <v/>
      </c>
      <c r="E1899" s="69"/>
      <c r="F1899" s="69"/>
      <c r="G1899" s="69"/>
      <c r="H1899" s="69"/>
      <c r="I1899" s="66"/>
      <c r="J1899" s="69"/>
      <c r="K1899" s="67"/>
      <c r="L1899" s="67"/>
      <c r="M1899" s="67"/>
      <c r="N1899" s="67"/>
      <c r="O1899" s="64"/>
      <c r="P1899" s="72" t="str">
        <f aca="false">IF(OR(B1899="",C1899=""),"",C1899&amp;"|"&amp;(YEAR(B1899)*100+MONTH(B1899)))</f>
        <v/>
      </c>
      <c r="Q1899" s="70" t="str">
        <f aca="false">IF(P1899="","",IF(COUNTIF(N_CLAVE,P1899)&gt;1,"⚠ Duplicado","OK"))</f>
        <v/>
      </c>
      <c r="R1899" s="74" t="str">
        <f aca="false">IF(OR(P1899="",U1899=""),"",MAX(0,U1899-N(E1899)-N(F1899)-N(H1899)))</f>
        <v/>
      </c>
      <c r="S1899" s="75" t="str">
        <f aca="false">IF(P1899="","",IFERROR(INDEX(T_INGRESO,MATCH(C1899,T_ID,0)),""))</f>
        <v/>
      </c>
      <c r="T1899" s="75" t="str">
        <f aca="false">IF(P1899="","",IFERROR(N(INDEX(T_EGRESO,MATCH(C1899,T_ID,0))),0))</f>
        <v/>
      </c>
      <c r="U1899" s="73" t="str">
        <f aca="false">IF(OR(P1899="",NOT(ISNUMBER(S1899))),"",IF(OR(S1899&gt;EOMONTH(B1899,0),AND(T1899&gt;0,T1899&lt;B1899)),0,IF(AND(S1899&lt;=B1899,OR(T1899=0,T1899&gt;=EOMONTH(B1899,0))),30,MIN(30,IF(T1899=0,EOMONTH(B1899,0),MIN(T1899,EOMONTH(B1899,0)))-MAX(B1899,S1899)+1))))</f>
        <v/>
      </c>
    </row>
    <row r="1900" customFormat="false" ht="15" hidden="false" customHeight="false" outlineLevel="0" collapsed="false">
      <c r="B1900" s="78"/>
      <c r="C1900" s="64"/>
      <c r="D1900" s="70" t="str">
        <f aca="false">IF(C1900="","",IFERROR(INDEX(T_NOMBRE,MATCH(C1900,T_ID,0)),"⚠ ID no existe"))</f>
        <v/>
      </c>
      <c r="E1900" s="69"/>
      <c r="F1900" s="69"/>
      <c r="G1900" s="69"/>
      <c r="H1900" s="69"/>
      <c r="I1900" s="66"/>
      <c r="J1900" s="69"/>
      <c r="K1900" s="67"/>
      <c r="L1900" s="67"/>
      <c r="M1900" s="67"/>
      <c r="N1900" s="67"/>
      <c r="O1900" s="64"/>
      <c r="P1900" s="72" t="str">
        <f aca="false">IF(OR(B1900="",C1900=""),"",C1900&amp;"|"&amp;(YEAR(B1900)*100+MONTH(B1900)))</f>
        <v/>
      </c>
      <c r="Q1900" s="70" t="str">
        <f aca="false">IF(P1900="","",IF(COUNTIF(N_CLAVE,P1900)&gt;1,"⚠ Duplicado","OK"))</f>
        <v/>
      </c>
      <c r="R1900" s="74" t="str">
        <f aca="false">IF(OR(P1900="",U1900=""),"",MAX(0,U1900-N(E1900)-N(F1900)-N(H1900)))</f>
        <v/>
      </c>
      <c r="S1900" s="75" t="str">
        <f aca="false">IF(P1900="","",IFERROR(INDEX(T_INGRESO,MATCH(C1900,T_ID,0)),""))</f>
        <v/>
      </c>
      <c r="T1900" s="75" t="str">
        <f aca="false">IF(P1900="","",IFERROR(N(INDEX(T_EGRESO,MATCH(C1900,T_ID,0))),0))</f>
        <v/>
      </c>
      <c r="U1900" s="73" t="str">
        <f aca="false">IF(OR(P1900="",NOT(ISNUMBER(S1900))),"",IF(OR(S1900&gt;EOMONTH(B1900,0),AND(T1900&gt;0,T1900&lt;B1900)),0,IF(AND(S1900&lt;=B1900,OR(T1900=0,T1900&gt;=EOMONTH(B1900,0))),30,MIN(30,IF(T1900=0,EOMONTH(B1900,0),MIN(T1900,EOMONTH(B1900,0)))-MAX(B1900,S1900)+1))))</f>
        <v/>
      </c>
    </row>
    <row r="1901" customFormat="false" ht="15" hidden="false" customHeight="false" outlineLevel="0" collapsed="false">
      <c r="B1901" s="78"/>
      <c r="C1901" s="64"/>
      <c r="D1901" s="70" t="str">
        <f aca="false">IF(C1901="","",IFERROR(INDEX(T_NOMBRE,MATCH(C1901,T_ID,0)),"⚠ ID no existe"))</f>
        <v/>
      </c>
      <c r="E1901" s="69"/>
      <c r="F1901" s="69"/>
      <c r="G1901" s="69"/>
      <c r="H1901" s="69"/>
      <c r="I1901" s="66"/>
      <c r="J1901" s="69"/>
      <c r="K1901" s="67"/>
      <c r="L1901" s="67"/>
      <c r="M1901" s="67"/>
      <c r="N1901" s="67"/>
      <c r="O1901" s="64"/>
      <c r="P1901" s="72" t="str">
        <f aca="false">IF(OR(B1901="",C1901=""),"",C1901&amp;"|"&amp;(YEAR(B1901)*100+MONTH(B1901)))</f>
        <v/>
      </c>
      <c r="Q1901" s="70" t="str">
        <f aca="false">IF(P1901="","",IF(COUNTIF(N_CLAVE,P1901)&gt;1,"⚠ Duplicado","OK"))</f>
        <v/>
      </c>
      <c r="R1901" s="74" t="str">
        <f aca="false">IF(OR(P1901="",U1901=""),"",MAX(0,U1901-N(E1901)-N(F1901)-N(H1901)))</f>
        <v/>
      </c>
      <c r="S1901" s="75" t="str">
        <f aca="false">IF(P1901="","",IFERROR(INDEX(T_INGRESO,MATCH(C1901,T_ID,0)),""))</f>
        <v/>
      </c>
      <c r="T1901" s="75" t="str">
        <f aca="false">IF(P1901="","",IFERROR(N(INDEX(T_EGRESO,MATCH(C1901,T_ID,0))),0))</f>
        <v/>
      </c>
      <c r="U1901" s="73" t="str">
        <f aca="false">IF(OR(P1901="",NOT(ISNUMBER(S1901))),"",IF(OR(S1901&gt;EOMONTH(B1901,0),AND(T1901&gt;0,T1901&lt;B1901)),0,IF(AND(S1901&lt;=B1901,OR(T1901=0,T1901&gt;=EOMONTH(B1901,0))),30,MIN(30,IF(T1901=0,EOMONTH(B1901,0),MIN(T1901,EOMONTH(B1901,0)))-MAX(B1901,S1901)+1))))</f>
        <v/>
      </c>
    </row>
    <row r="1902" customFormat="false" ht="15" hidden="false" customHeight="false" outlineLevel="0" collapsed="false">
      <c r="B1902" s="78"/>
      <c r="C1902" s="64"/>
      <c r="D1902" s="70" t="str">
        <f aca="false">IF(C1902="","",IFERROR(INDEX(T_NOMBRE,MATCH(C1902,T_ID,0)),"⚠ ID no existe"))</f>
        <v/>
      </c>
      <c r="E1902" s="69"/>
      <c r="F1902" s="69"/>
      <c r="G1902" s="69"/>
      <c r="H1902" s="69"/>
      <c r="I1902" s="66"/>
      <c r="J1902" s="69"/>
      <c r="K1902" s="67"/>
      <c r="L1902" s="67"/>
      <c r="M1902" s="67"/>
      <c r="N1902" s="67"/>
      <c r="O1902" s="64"/>
      <c r="P1902" s="72" t="str">
        <f aca="false">IF(OR(B1902="",C1902=""),"",C1902&amp;"|"&amp;(YEAR(B1902)*100+MONTH(B1902)))</f>
        <v/>
      </c>
      <c r="Q1902" s="70" t="str">
        <f aca="false">IF(P1902="","",IF(COUNTIF(N_CLAVE,P1902)&gt;1,"⚠ Duplicado","OK"))</f>
        <v/>
      </c>
      <c r="R1902" s="74" t="str">
        <f aca="false">IF(OR(P1902="",U1902=""),"",MAX(0,U1902-N(E1902)-N(F1902)-N(H1902)))</f>
        <v/>
      </c>
      <c r="S1902" s="75" t="str">
        <f aca="false">IF(P1902="","",IFERROR(INDEX(T_INGRESO,MATCH(C1902,T_ID,0)),""))</f>
        <v/>
      </c>
      <c r="T1902" s="75" t="str">
        <f aca="false">IF(P1902="","",IFERROR(N(INDEX(T_EGRESO,MATCH(C1902,T_ID,0))),0))</f>
        <v/>
      </c>
      <c r="U1902" s="73" t="str">
        <f aca="false">IF(OR(P1902="",NOT(ISNUMBER(S1902))),"",IF(OR(S1902&gt;EOMONTH(B1902,0),AND(T1902&gt;0,T1902&lt;B1902)),0,IF(AND(S1902&lt;=B1902,OR(T1902=0,T1902&gt;=EOMONTH(B1902,0))),30,MIN(30,IF(T1902=0,EOMONTH(B1902,0),MIN(T1902,EOMONTH(B1902,0)))-MAX(B1902,S1902)+1))))</f>
        <v/>
      </c>
    </row>
    <row r="1903" customFormat="false" ht="15" hidden="false" customHeight="false" outlineLevel="0" collapsed="false">
      <c r="B1903" s="78"/>
      <c r="C1903" s="64"/>
      <c r="D1903" s="70" t="str">
        <f aca="false">IF(C1903="","",IFERROR(INDEX(T_NOMBRE,MATCH(C1903,T_ID,0)),"⚠ ID no existe"))</f>
        <v/>
      </c>
      <c r="E1903" s="69"/>
      <c r="F1903" s="69"/>
      <c r="G1903" s="69"/>
      <c r="H1903" s="69"/>
      <c r="I1903" s="66"/>
      <c r="J1903" s="69"/>
      <c r="K1903" s="67"/>
      <c r="L1903" s="67"/>
      <c r="M1903" s="67"/>
      <c r="N1903" s="67"/>
      <c r="O1903" s="64"/>
      <c r="P1903" s="72" t="str">
        <f aca="false">IF(OR(B1903="",C1903=""),"",C1903&amp;"|"&amp;(YEAR(B1903)*100+MONTH(B1903)))</f>
        <v/>
      </c>
      <c r="Q1903" s="70" t="str">
        <f aca="false">IF(P1903="","",IF(COUNTIF(N_CLAVE,P1903)&gt;1,"⚠ Duplicado","OK"))</f>
        <v/>
      </c>
      <c r="R1903" s="74" t="str">
        <f aca="false">IF(OR(P1903="",U1903=""),"",MAX(0,U1903-N(E1903)-N(F1903)-N(H1903)))</f>
        <v/>
      </c>
      <c r="S1903" s="75" t="str">
        <f aca="false">IF(P1903="","",IFERROR(INDEX(T_INGRESO,MATCH(C1903,T_ID,0)),""))</f>
        <v/>
      </c>
      <c r="T1903" s="75" t="str">
        <f aca="false">IF(P1903="","",IFERROR(N(INDEX(T_EGRESO,MATCH(C1903,T_ID,0))),0))</f>
        <v/>
      </c>
      <c r="U1903" s="73" t="str">
        <f aca="false">IF(OR(P1903="",NOT(ISNUMBER(S1903))),"",IF(OR(S1903&gt;EOMONTH(B1903,0),AND(T1903&gt;0,T1903&lt;B1903)),0,IF(AND(S1903&lt;=B1903,OR(T1903=0,T1903&gt;=EOMONTH(B1903,0))),30,MIN(30,IF(T1903=0,EOMONTH(B1903,0),MIN(T1903,EOMONTH(B1903,0)))-MAX(B1903,S1903)+1))))</f>
        <v/>
      </c>
    </row>
    <row r="1904" customFormat="false" ht="15" hidden="false" customHeight="false" outlineLevel="0" collapsed="false">
      <c r="B1904" s="78"/>
      <c r="C1904" s="64"/>
      <c r="D1904" s="70" t="str">
        <f aca="false">IF(C1904="","",IFERROR(INDEX(T_NOMBRE,MATCH(C1904,T_ID,0)),"⚠ ID no existe"))</f>
        <v/>
      </c>
      <c r="E1904" s="69"/>
      <c r="F1904" s="69"/>
      <c r="G1904" s="69"/>
      <c r="H1904" s="69"/>
      <c r="I1904" s="66"/>
      <c r="J1904" s="69"/>
      <c r="K1904" s="67"/>
      <c r="L1904" s="67"/>
      <c r="M1904" s="67"/>
      <c r="N1904" s="67"/>
      <c r="O1904" s="64"/>
      <c r="P1904" s="72" t="str">
        <f aca="false">IF(OR(B1904="",C1904=""),"",C1904&amp;"|"&amp;(YEAR(B1904)*100+MONTH(B1904)))</f>
        <v/>
      </c>
      <c r="Q1904" s="70" t="str">
        <f aca="false">IF(P1904="","",IF(COUNTIF(N_CLAVE,P1904)&gt;1,"⚠ Duplicado","OK"))</f>
        <v/>
      </c>
      <c r="R1904" s="74" t="str">
        <f aca="false">IF(OR(P1904="",U1904=""),"",MAX(0,U1904-N(E1904)-N(F1904)-N(H1904)))</f>
        <v/>
      </c>
      <c r="S1904" s="75" t="str">
        <f aca="false">IF(P1904="","",IFERROR(INDEX(T_INGRESO,MATCH(C1904,T_ID,0)),""))</f>
        <v/>
      </c>
      <c r="T1904" s="75" t="str">
        <f aca="false">IF(P1904="","",IFERROR(N(INDEX(T_EGRESO,MATCH(C1904,T_ID,0))),0))</f>
        <v/>
      </c>
      <c r="U1904" s="73" t="str">
        <f aca="false">IF(OR(P1904="",NOT(ISNUMBER(S1904))),"",IF(OR(S1904&gt;EOMONTH(B1904,0),AND(T1904&gt;0,T1904&lt;B1904)),0,IF(AND(S1904&lt;=B1904,OR(T1904=0,T1904&gt;=EOMONTH(B1904,0))),30,MIN(30,IF(T1904=0,EOMONTH(B1904,0),MIN(T1904,EOMONTH(B1904,0)))-MAX(B1904,S1904)+1))))</f>
        <v/>
      </c>
    </row>
    <row r="1905" customFormat="false" ht="15" hidden="false" customHeight="false" outlineLevel="0" collapsed="false">
      <c r="B1905" s="78"/>
      <c r="C1905" s="64"/>
      <c r="D1905" s="70" t="str">
        <f aca="false">IF(C1905="","",IFERROR(INDEX(T_NOMBRE,MATCH(C1905,T_ID,0)),"⚠ ID no existe"))</f>
        <v/>
      </c>
      <c r="E1905" s="69"/>
      <c r="F1905" s="69"/>
      <c r="G1905" s="69"/>
      <c r="H1905" s="69"/>
      <c r="I1905" s="66"/>
      <c r="J1905" s="69"/>
      <c r="K1905" s="67"/>
      <c r="L1905" s="67"/>
      <c r="M1905" s="67"/>
      <c r="N1905" s="67"/>
      <c r="O1905" s="64"/>
      <c r="P1905" s="72" t="str">
        <f aca="false">IF(OR(B1905="",C1905=""),"",C1905&amp;"|"&amp;(YEAR(B1905)*100+MONTH(B1905)))</f>
        <v/>
      </c>
      <c r="Q1905" s="70" t="str">
        <f aca="false">IF(P1905="","",IF(COUNTIF(N_CLAVE,P1905)&gt;1,"⚠ Duplicado","OK"))</f>
        <v/>
      </c>
      <c r="R1905" s="74" t="str">
        <f aca="false">IF(OR(P1905="",U1905=""),"",MAX(0,U1905-N(E1905)-N(F1905)-N(H1905)))</f>
        <v/>
      </c>
      <c r="S1905" s="75" t="str">
        <f aca="false">IF(P1905="","",IFERROR(INDEX(T_INGRESO,MATCH(C1905,T_ID,0)),""))</f>
        <v/>
      </c>
      <c r="T1905" s="75" t="str">
        <f aca="false">IF(P1905="","",IFERROR(N(INDEX(T_EGRESO,MATCH(C1905,T_ID,0))),0))</f>
        <v/>
      </c>
      <c r="U1905" s="73" t="str">
        <f aca="false">IF(OR(P1905="",NOT(ISNUMBER(S1905))),"",IF(OR(S1905&gt;EOMONTH(B1905,0),AND(T1905&gt;0,T1905&lt;B1905)),0,IF(AND(S1905&lt;=B1905,OR(T1905=0,T1905&gt;=EOMONTH(B1905,0))),30,MIN(30,IF(T1905=0,EOMONTH(B1905,0),MIN(T1905,EOMONTH(B1905,0)))-MAX(B1905,S1905)+1))))</f>
        <v/>
      </c>
    </row>
    <row r="1906" customFormat="false" ht="15" hidden="false" customHeight="false" outlineLevel="0" collapsed="false">
      <c r="B1906" s="78"/>
      <c r="C1906" s="64"/>
      <c r="D1906" s="70" t="str">
        <f aca="false">IF(C1906="","",IFERROR(INDEX(T_NOMBRE,MATCH(C1906,T_ID,0)),"⚠ ID no existe"))</f>
        <v/>
      </c>
      <c r="E1906" s="69"/>
      <c r="F1906" s="69"/>
      <c r="G1906" s="69"/>
      <c r="H1906" s="69"/>
      <c r="I1906" s="66"/>
      <c r="J1906" s="69"/>
      <c r="K1906" s="67"/>
      <c r="L1906" s="67"/>
      <c r="M1906" s="67"/>
      <c r="N1906" s="67"/>
      <c r="O1906" s="64"/>
      <c r="P1906" s="72" t="str">
        <f aca="false">IF(OR(B1906="",C1906=""),"",C1906&amp;"|"&amp;(YEAR(B1906)*100+MONTH(B1906)))</f>
        <v/>
      </c>
      <c r="Q1906" s="70" t="str">
        <f aca="false">IF(P1906="","",IF(COUNTIF(N_CLAVE,P1906)&gt;1,"⚠ Duplicado","OK"))</f>
        <v/>
      </c>
      <c r="R1906" s="74" t="str">
        <f aca="false">IF(OR(P1906="",U1906=""),"",MAX(0,U1906-N(E1906)-N(F1906)-N(H1906)))</f>
        <v/>
      </c>
      <c r="S1906" s="75" t="str">
        <f aca="false">IF(P1906="","",IFERROR(INDEX(T_INGRESO,MATCH(C1906,T_ID,0)),""))</f>
        <v/>
      </c>
      <c r="T1906" s="75" t="str">
        <f aca="false">IF(P1906="","",IFERROR(N(INDEX(T_EGRESO,MATCH(C1906,T_ID,0))),0))</f>
        <v/>
      </c>
      <c r="U1906" s="73" t="str">
        <f aca="false">IF(OR(P1906="",NOT(ISNUMBER(S1906))),"",IF(OR(S1906&gt;EOMONTH(B1906,0),AND(T1906&gt;0,T1906&lt;B1906)),0,IF(AND(S1906&lt;=B1906,OR(T1906=0,T1906&gt;=EOMONTH(B1906,0))),30,MIN(30,IF(T1906=0,EOMONTH(B1906,0),MIN(T1906,EOMONTH(B1906,0)))-MAX(B1906,S1906)+1))))</f>
        <v/>
      </c>
    </row>
    <row r="1907" customFormat="false" ht="15" hidden="false" customHeight="false" outlineLevel="0" collapsed="false">
      <c r="B1907" s="78"/>
      <c r="C1907" s="64"/>
      <c r="D1907" s="70" t="str">
        <f aca="false">IF(C1907="","",IFERROR(INDEX(T_NOMBRE,MATCH(C1907,T_ID,0)),"⚠ ID no existe"))</f>
        <v/>
      </c>
      <c r="E1907" s="69"/>
      <c r="F1907" s="69"/>
      <c r="G1907" s="69"/>
      <c r="H1907" s="69"/>
      <c r="I1907" s="66"/>
      <c r="J1907" s="69"/>
      <c r="K1907" s="67"/>
      <c r="L1907" s="67"/>
      <c r="M1907" s="67"/>
      <c r="N1907" s="67"/>
      <c r="O1907" s="64"/>
      <c r="P1907" s="72" t="str">
        <f aca="false">IF(OR(B1907="",C1907=""),"",C1907&amp;"|"&amp;(YEAR(B1907)*100+MONTH(B1907)))</f>
        <v/>
      </c>
      <c r="Q1907" s="70" t="str">
        <f aca="false">IF(P1907="","",IF(COUNTIF(N_CLAVE,P1907)&gt;1,"⚠ Duplicado","OK"))</f>
        <v/>
      </c>
      <c r="R1907" s="74" t="str">
        <f aca="false">IF(OR(P1907="",U1907=""),"",MAX(0,U1907-N(E1907)-N(F1907)-N(H1907)))</f>
        <v/>
      </c>
      <c r="S1907" s="75" t="str">
        <f aca="false">IF(P1907="","",IFERROR(INDEX(T_INGRESO,MATCH(C1907,T_ID,0)),""))</f>
        <v/>
      </c>
      <c r="T1907" s="75" t="str">
        <f aca="false">IF(P1907="","",IFERROR(N(INDEX(T_EGRESO,MATCH(C1907,T_ID,0))),0))</f>
        <v/>
      </c>
      <c r="U1907" s="73" t="str">
        <f aca="false">IF(OR(P1907="",NOT(ISNUMBER(S1907))),"",IF(OR(S1907&gt;EOMONTH(B1907,0),AND(T1907&gt;0,T1907&lt;B1907)),0,IF(AND(S1907&lt;=B1907,OR(T1907=0,T1907&gt;=EOMONTH(B1907,0))),30,MIN(30,IF(T1907=0,EOMONTH(B1907,0),MIN(T1907,EOMONTH(B1907,0)))-MAX(B1907,S1907)+1))))</f>
        <v/>
      </c>
    </row>
    <row r="1908" customFormat="false" ht="15" hidden="false" customHeight="false" outlineLevel="0" collapsed="false">
      <c r="B1908" s="78"/>
      <c r="C1908" s="64"/>
      <c r="D1908" s="70" t="str">
        <f aca="false">IF(C1908="","",IFERROR(INDEX(T_NOMBRE,MATCH(C1908,T_ID,0)),"⚠ ID no existe"))</f>
        <v/>
      </c>
      <c r="E1908" s="69"/>
      <c r="F1908" s="69"/>
      <c r="G1908" s="69"/>
      <c r="H1908" s="69"/>
      <c r="I1908" s="66"/>
      <c r="J1908" s="69"/>
      <c r="K1908" s="67"/>
      <c r="L1908" s="67"/>
      <c r="M1908" s="67"/>
      <c r="N1908" s="67"/>
      <c r="O1908" s="64"/>
      <c r="P1908" s="72" t="str">
        <f aca="false">IF(OR(B1908="",C1908=""),"",C1908&amp;"|"&amp;(YEAR(B1908)*100+MONTH(B1908)))</f>
        <v/>
      </c>
      <c r="Q1908" s="70" t="str">
        <f aca="false">IF(P1908="","",IF(COUNTIF(N_CLAVE,P1908)&gt;1,"⚠ Duplicado","OK"))</f>
        <v/>
      </c>
      <c r="R1908" s="74" t="str">
        <f aca="false">IF(OR(P1908="",U1908=""),"",MAX(0,U1908-N(E1908)-N(F1908)-N(H1908)))</f>
        <v/>
      </c>
      <c r="S1908" s="75" t="str">
        <f aca="false">IF(P1908="","",IFERROR(INDEX(T_INGRESO,MATCH(C1908,T_ID,0)),""))</f>
        <v/>
      </c>
      <c r="T1908" s="75" t="str">
        <f aca="false">IF(P1908="","",IFERROR(N(INDEX(T_EGRESO,MATCH(C1908,T_ID,0))),0))</f>
        <v/>
      </c>
      <c r="U1908" s="73" t="str">
        <f aca="false">IF(OR(P1908="",NOT(ISNUMBER(S1908))),"",IF(OR(S1908&gt;EOMONTH(B1908,0),AND(T1908&gt;0,T1908&lt;B1908)),0,IF(AND(S1908&lt;=B1908,OR(T1908=0,T1908&gt;=EOMONTH(B1908,0))),30,MIN(30,IF(T1908=0,EOMONTH(B1908,0),MIN(T1908,EOMONTH(B1908,0)))-MAX(B1908,S1908)+1))))</f>
        <v/>
      </c>
    </row>
    <row r="1909" customFormat="false" ht="15" hidden="false" customHeight="false" outlineLevel="0" collapsed="false">
      <c r="B1909" s="78"/>
      <c r="C1909" s="64"/>
      <c r="D1909" s="70" t="str">
        <f aca="false">IF(C1909="","",IFERROR(INDEX(T_NOMBRE,MATCH(C1909,T_ID,0)),"⚠ ID no existe"))</f>
        <v/>
      </c>
      <c r="E1909" s="69"/>
      <c r="F1909" s="69"/>
      <c r="G1909" s="69"/>
      <c r="H1909" s="69"/>
      <c r="I1909" s="66"/>
      <c r="J1909" s="69"/>
      <c r="K1909" s="67"/>
      <c r="L1909" s="67"/>
      <c r="M1909" s="67"/>
      <c r="N1909" s="67"/>
      <c r="O1909" s="64"/>
      <c r="P1909" s="72" t="str">
        <f aca="false">IF(OR(B1909="",C1909=""),"",C1909&amp;"|"&amp;(YEAR(B1909)*100+MONTH(B1909)))</f>
        <v/>
      </c>
      <c r="Q1909" s="70" t="str">
        <f aca="false">IF(P1909="","",IF(COUNTIF(N_CLAVE,P1909)&gt;1,"⚠ Duplicado","OK"))</f>
        <v/>
      </c>
      <c r="R1909" s="74" t="str">
        <f aca="false">IF(OR(P1909="",U1909=""),"",MAX(0,U1909-N(E1909)-N(F1909)-N(H1909)))</f>
        <v/>
      </c>
      <c r="S1909" s="75" t="str">
        <f aca="false">IF(P1909="","",IFERROR(INDEX(T_INGRESO,MATCH(C1909,T_ID,0)),""))</f>
        <v/>
      </c>
      <c r="T1909" s="75" t="str">
        <f aca="false">IF(P1909="","",IFERROR(N(INDEX(T_EGRESO,MATCH(C1909,T_ID,0))),0))</f>
        <v/>
      </c>
      <c r="U1909" s="73" t="str">
        <f aca="false">IF(OR(P1909="",NOT(ISNUMBER(S1909))),"",IF(OR(S1909&gt;EOMONTH(B1909,0),AND(T1909&gt;0,T1909&lt;B1909)),0,IF(AND(S1909&lt;=B1909,OR(T1909=0,T1909&gt;=EOMONTH(B1909,0))),30,MIN(30,IF(T1909=0,EOMONTH(B1909,0),MIN(T1909,EOMONTH(B1909,0)))-MAX(B1909,S1909)+1))))</f>
        <v/>
      </c>
    </row>
    <row r="1910" customFormat="false" ht="15" hidden="false" customHeight="false" outlineLevel="0" collapsed="false">
      <c r="B1910" s="78"/>
      <c r="C1910" s="64"/>
      <c r="D1910" s="70" t="str">
        <f aca="false">IF(C1910="","",IFERROR(INDEX(T_NOMBRE,MATCH(C1910,T_ID,0)),"⚠ ID no existe"))</f>
        <v/>
      </c>
      <c r="E1910" s="69"/>
      <c r="F1910" s="69"/>
      <c r="G1910" s="69"/>
      <c r="H1910" s="69"/>
      <c r="I1910" s="66"/>
      <c r="J1910" s="69"/>
      <c r="K1910" s="67"/>
      <c r="L1910" s="67"/>
      <c r="M1910" s="67"/>
      <c r="N1910" s="67"/>
      <c r="O1910" s="64"/>
      <c r="P1910" s="72" t="str">
        <f aca="false">IF(OR(B1910="",C1910=""),"",C1910&amp;"|"&amp;(YEAR(B1910)*100+MONTH(B1910)))</f>
        <v/>
      </c>
      <c r="Q1910" s="70" t="str">
        <f aca="false">IF(P1910="","",IF(COUNTIF(N_CLAVE,P1910)&gt;1,"⚠ Duplicado","OK"))</f>
        <v/>
      </c>
      <c r="R1910" s="74" t="str">
        <f aca="false">IF(OR(P1910="",U1910=""),"",MAX(0,U1910-N(E1910)-N(F1910)-N(H1910)))</f>
        <v/>
      </c>
      <c r="S1910" s="75" t="str">
        <f aca="false">IF(P1910="","",IFERROR(INDEX(T_INGRESO,MATCH(C1910,T_ID,0)),""))</f>
        <v/>
      </c>
      <c r="T1910" s="75" t="str">
        <f aca="false">IF(P1910="","",IFERROR(N(INDEX(T_EGRESO,MATCH(C1910,T_ID,0))),0))</f>
        <v/>
      </c>
      <c r="U1910" s="73" t="str">
        <f aca="false">IF(OR(P1910="",NOT(ISNUMBER(S1910))),"",IF(OR(S1910&gt;EOMONTH(B1910,0),AND(T1910&gt;0,T1910&lt;B1910)),0,IF(AND(S1910&lt;=B1910,OR(T1910=0,T1910&gt;=EOMONTH(B1910,0))),30,MIN(30,IF(T1910=0,EOMONTH(B1910,0),MIN(T1910,EOMONTH(B1910,0)))-MAX(B1910,S1910)+1))))</f>
        <v/>
      </c>
    </row>
    <row r="1911" customFormat="false" ht="15" hidden="false" customHeight="false" outlineLevel="0" collapsed="false">
      <c r="B1911" s="78"/>
      <c r="C1911" s="64"/>
      <c r="D1911" s="70" t="str">
        <f aca="false">IF(C1911="","",IFERROR(INDEX(T_NOMBRE,MATCH(C1911,T_ID,0)),"⚠ ID no existe"))</f>
        <v/>
      </c>
      <c r="E1911" s="69"/>
      <c r="F1911" s="69"/>
      <c r="G1911" s="69"/>
      <c r="H1911" s="69"/>
      <c r="I1911" s="66"/>
      <c r="J1911" s="69"/>
      <c r="K1911" s="67"/>
      <c r="L1911" s="67"/>
      <c r="M1911" s="67"/>
      <c r="N1911" s="67"/>
      <c r="O1911" s="64"/>
      <c r="P1911" s="72" t="str">
        <f aca="false">IF(OR(B1911="",C1911=""),"",C1911&amp;"|"&amp;(YEAR(B1911)*100+MONTH(B1911)))</f>
        <v/>
      </c>
      <c r="Q1911" s="70" t="str">
        <f aca="false">IF(P1911="","",IF(COUNTIF(N_CLAVE,P1911)&gt;1,"⚠ Duplicado","OK"))</f>
        <v/>
      </c>
      <c r="R1911" s="74" t="str">
        <f aca="false">IF(OR(P1911="",U1911=""),"",MAX(0,U1911-N(E1911)-N(F1911)-N(H1911)))</f>
        <v/>
      </c>
      <c r="S1911" s="75" t="str">
        <f aca="false">IF(P1911="","",IFERROR(INDEX(T_INGRESO,MATCH(C1911,T_ID,0)),""))</f>
        <v/>
      </c>
      <c r="T1911" s="75" t="str">
        <f aca="false">IF(P1911="","",IFERROR(N(INDEX(T_EGRESO,MATCH(C1911,T_ID,0))),0))</f>
        <v/>
      </c>
      <c r="U1911" s="73" t="str">
        <f aca="false">IF(OR(P1911="",NOT(ISNUMBER(S1911))),"",IF(OR(S1911&gt;EOMONTH(B1911,0),AND(T1911&gt;0,T1911&lt;B1911)),0,IF(AND(S1911&lt;=B1911,OR(T1911=0,T1911&gt;=EOMONTH(B1911,0))),30,MIN(30,IF(T1911=0,EOMONTH(B1911,0),MIN(T1911,EOMONTH(B1911,0)))-MAX(B1911,S1911)+1))))</f>
        <v/>
      </c>
    </row>
    <row r="1912" customFormat="false" ht="15" hidden="false" customHeight="false" outlineLevel="0" collapsed="false">
      <c r="B1912" s="78"/>
      <c r="C1912" s="64"/>
      <c r="D1912" s="70" t="str">
        <f aca="false">IF(C1912="","",IFERROR(INDEX(T_NOMBRE,MATCH(C1912,T_ID,0)),"⚠ ID no existe"))</f>
        <v/>
      </c>
      <c r="E1912" s="69"/>
      <c r="F1912" s="69"/>
      <c r="G1912" s="69"/>
      <c r="H1912" s="69"/>
      <c r="I1912" s="66"/>
      <c r="J1912" s="69"/>
      <c r="K1912" s="67"/>
      <c r="L1912" s="67"/>
      <c r="M1912" s="67"/>
      <c r="N1912" s="67"/>
      <c r="O1912" s="64"/>
      <c r="P1912" s="72" t="str">
        <f aca="false">IF(OR(B1912="",C1912=""),"",C1912&amp;"|"&amp;(YEAR(B1912)*100+MONTH(B1912)))</f>
        <v/>
      </c>
      <c r="Q1912" s="70" t="str">
        <f aca="false">IF(P1912="","",IF(COUNTIF(N_CLAVE,P1912)&gt;1,"⚠ Duplicado","OK"))</f>
        <v/>
      </c>
      <c r="R1912" s="74" t="str">
        <f aca="false">IF(OR(P1912="",U1912=""),"",MAX(0,U1912-N(E1912)-N(F1912)-N(H1912)))</f>
        <v/>
      </c>
      <c r="S1912" s="75" t="str">
        <f aca="false">IF(P1912="","",IFERROR(INDEX(T_INGRESO,MATCH(C1912,T_ID,0)),""))</f>
        <v/>
      </c>
      <c r="T1912" s="75" t="str">
        <f aca="false">IF(P1912="","",IFERROR(N(INDEX(T_EGRESO,MATCH(C1912,T_ID,0))),0))</f>
        <v/>
      </c>
      <c r="U1912" s="73" t="str">
        <f aca="false">IF(OR(P1912="",NOT(ISNUMBER(S1912))),"",IF(OR(S1912&gt;EOMONTH(B1912,0),AND(T1912&gt;0,T1912&lt;B1912)),0,IF(AND(S1912&lt;=B1912,OR(T1912=0,T1912&gt;=EOMONTH(B1912,0))),30,MIN(30,IF(T1912=0,EOMONTH(B1912,0),MIN(T1912,EOMONTH(B1912,0)))-MAX(B1912,S1912)+1))))</f>
        <v/>
      </c>
    </row>
    <row r="1913" customFormat="false" ht="15" hidden="false" customHeight="false" outlineLevel="0" collapsed="false">
      <c r="B1913" s="78"/>
      <c r="C1913" s="64"/>
      <c r="D1913" s="70" t="str">
        <f aca="false">IF(C1913="","",IFERROR(INDEX(T_NOMBRE,MATCH(C1913,T_ID,0)),"⚠ ID no existe"))</f>
        <v/>
      </c>
      <c r="E1913" s="69"/>
      <c r="F1913" s="69"/>
      <c r="G1913" s="69"/>
      <c r="H1913" s="69"/>
      <c r="I1913" s="66"/>
      <c r="J1913" s="69"/>
      <c r="K1913" s="67"/>
      <c r="L1913" s="67"/>
      <c r="M1913" s="67"/>
      <c r="N1913" s="67"/>
      <c r="O1913" s="64"/>
      <c r="P1913" s="72" t="str">
        <f aca="false">IF(OR(B1913="",C1913=""),"",C1913&amp;"|"&amp;(YEAR(B1913)*100+MONTH(B1913)))</f>
        <v/>
      </c>
      <c r="Q1913" s="70" t="str">
        <f aca="false">IF(P1913="","",IF(COUNTIF(N_CLAVE,P1913)&gt;1,"⚠ Duplicado","OK"))</f>
        <v/>
      </c>
      <c r="R1913" s="74" t="str">
        <f aca="false">IF(OR(P1913="",U1913=""),"",MAX(0,U1913-N(E1913)-N(F1913)-N(H1913)))</f>
        <v/>
      </c>
      <c r="S1913" s="75" t="str">
        <f aca="false">IF(P1913="","",IFERROR(INDEX(T_INGRESO,MATCH(C1913,T_ID,0)),""))</f>
        <v/>
      </c>
      <c r="T1913" s="75" t="str">
        <f aca="false">IF(P1913="","",IFERROR(N(INDEX(T_EGRESO,MATCH(C1913,T_ID,0))),0))</f>
        <v/>
      </c>
      <c r="U1913" s="73" t="str">
        <f aca="false">IF(OR(P1913="",NOT(ISNUMBER(S1913))),"",IF(OR(S1913&gt;EOMONTH(B1913,0),AND(T1913&gt;0,T1913&lt;B1913)),0,IF(AND(S1913&lt;=B1913,OR(T1913=0,T1913&gt;=EOMONTH(B1913,0))),30,MIN(30,IF(T1913=0,EOMONTH(B1913,0),MIN(T1913,EOMONTH(B1913,0)))-MAX(B1913,S1913)+1))))</f>
        <v/>
      </c>
    </row>
    <row r="1914" customFormat="false" ht="15" hidden="false" customHeight="false" outlineLevel="0" collapsed="false">
      <c r="B1914" s="78"/>
      <c r="C1914" s="64"/>
      <c r="D1914" s="70" t="str">
        <f aca="false">IF(C1914="","",IFERROR(INDEX(T_NOMBRE,MATCH(C1914,T_ID,0)),"⚠ ID no existe"))</f>
        <v/>
      </c>
      <c r="E1914" s="69"/>
      <c r="F1914" s="69"/>
      <c r="G1914" s="69"/>
      <c r="H1914" s="69"/>
      <c r="I1914" s="66"/>
      <c r="J1914" s="69"/>
      <c r="K1914" s="67"/>
      <c r="L1914" s="67"/>
      <c r="M1914" s="67"/>
      <c r="N1914" s="67"/>
      <c r="O1914" s="64"/>
      <c r="P1914" s="72" t="str">
        <f aca="false">IF(OR(B1914="",C1914=""),"",C1914&amp;"|"&amp;(YEAR(B1914)*100+MONTH(B1914)))</f>
        <v/>
      </c>
      <c r="Q1914" s="70" t="str">
        <f aca="false">IF(P1914="","",IF(COUNTIF(N_CLAVE,P1914)&gt;1,"⚠ Duplicado","OK"))</f>
        <v/>
      </c>
      <c r="R1914" s="74" t="str">
        <f aca="false">IF(OR(P1914="",U1914=""),"",MAX(0,U1914-N(E1914)-N(F1914)-N(H1914)))</f>
        <v/>
      </c>
      <c r="S1914" s="75" t="str">
        <f aca="false">IF(P1914="","",IFERROR(INDEX(T_INGRESO,MATCH(C1914,T_ID,0)),""))</f>
        <v/>
      </c>
      <c r="T1914" s="75" t="str">
        <f aca="false">IF(P1914="","",IFERROR(N(INDEX(T_EGRESO,MATCH(C1914,T_ID,0))),0))</f>
        <v/>
      </c>
      <c r="U1914" s="73" t="str">
        <f aca="false">IF(OR(P1914="",NOT(ISNUMBER(S1914))),"",IF(OR(S1914&gt;EOMONTH(B1914,0),AND(T1914&gt;0,T1914&lt;B1914)),0,IF(AND(S1914&lt;=B1914,OR(T1914=0,T1914&gt;=EOMONTH(B1914,0))),30,MIN(30,IF(T1914=0,EOMONTH(B1914,0),MIN(T1914,EOMONTH(B1914,0)))-MAX(B1914,S1914)+1))))</f>
        <v/>
      </c>
    </row>
    <row r="1915" customFormat="false" ht="15" hidden="false" customHeight="false" outlineLevel="0" collapsed="false">
      <c r="B1915" s="78"/>
      <c r="C1915" s="64"/>
      <c r="D1915" s="70" t="str">
        <f aca="false">IF(C1915="","",IFERROR(INDEX(T_NOMBRE,MATCH(C1915,T_ID,0)),"⚠ ID no existe"))</f>
        <v/>
      </c>
      <c r="E1915" s="69"/>
      <c r="F1915" s="69"/>
      <c r="G1915" s="69"/>
      <c r="H1915" s="69"/>
      <c r="I1915" s="66"/>
      <c r="J1915" s="69"/>
      <c r="K1915" s="67"/>
      <c r="L1915" s="67"/>
      <c r="M1915" s="67"/>
      <c r="N1915" s="67"/>
      <c r="O1915" s="64"/>
      <c r="P1915" s="72" t="str">
        <f aca="false">IF(OR(B1915="",C1915=""),"",C1915&amp;"|"&amp;(YEAR(B1915)*100+MONTH(B1915)))</f>
        <v/>
      </c>
      <c r="Q1915" s="70" t="str">
        <f aca="false">IF(P1915="","",IF(COUNTIF(N_CLAVE,P1915)&gt;1,"⚠ Duplicado","OK"))</f>
        <v/>
      </c>
      <c r="R1915" s="74" t="str">
        <f aca="false">IF(OR(P1915="",U1915=""),"",MAX(0,U1915-N(E1915)-N(F1915)-N(H1915)))</f>
        <v/>
      </c>
      <c r="S1915" s="75" t="str">
        <f aca="false">IF(P1915="","",IFERROR(INDEX(T_INGRESO,MATCH(C1915,T_ID,0)),""))</f>
        <v/>
      </c>
      <c r="T1915" s="75" t="str">
        <f aca="false">IF(P1915="","",IFERROR(N(INDEX(T_EGRESO,MATCH(C1915,T_ID,0))),0))</f>
        <v/>
      </c>
      <c r="U1915" s="73" t="str">
        <f aca="false">IF(OR(P1915="",NOT(ISNUMBER(S1915))),"",IF(OR(S1915&gt;EOMONTH(B1915,0),AND(T1915&gt;0,T1915&lt;B1915)),0,IF(AND(S1915&lt;=B1915,OR(T1915=0,T1915&gt;=EOMONTH(B1915,0))),30,MIN(30,IF(T1915=0,EOMONTH(B1915,0),MIN(T1915,EOMONTH(B1915,0)))-MAX(B1915,S1915)+1))))</f>
        <v/>
      </c>
    </row>
    <row r="1916" customFormat="false" ht="15" hidden="false" customHeight="false" outlineLevel="0" collapsed="false">
      <c r="B1916" s="78"/>
      <c r="C1916" s="64"/>
      <c r="D1916" s="70" t="str">
        <f aca="false">IF(C1916="","",IFERROR(INDEX(T_NOMBRE,MATCH(C1916,T_ID,0)),"⚠ ID no existe"))</f>
        <v/>
      </c>
      <c r="E1916" s="69"/>
      <c r="F1916" s="69"/>
      <c r="G1916" s="69"/>
      <c r="H1916" s="69"/>
      <c r="I1916" s="66"/>
      <c r="J1916" s="69"/>
      <c r="K1916" s="67"/>
      <c r="L1916" s="67"/>
      <c r="M1916" s="67"/>
      <c r="N1916" s="67"/>
      <c r="O1916" s="64"/>
      <c r="P1916" s="72" t="str">
        <f aca="false">IF(OR(B1916="",C1916=""),"",C1916&amp;"|"&amp;(YEAR(B1916)*100+MONTH(B1916)))</f>
        <v/>
      </c>
      <c r="Q1916" s="70" t="str">
        <f aca="false">IF(P1916="","",IF(COUNTIF(N_CLAVE,P1916)&gt;1,"⚠ Duplicado","OK"))</f>
        <v/>
      </c>
      <c r="R1916" s="74" t="str">
        <f aca="false">IF(OR(P1916="",U1916=""),"",MAX(0,U1916-N(E1916)-N(F1916)-N(H1916)))</f>
        <v/>
      </c>
      <c r="S1916" s="75" t="str">
        <f aca="false">IF(P1916="","",IFERROR(INDEX(T_INGRESO,MATCH(C1916,T_ID,0)),""))</f>
        <v/>
      </c>
      <c r="T1916" s="75" t="str">
        <f aca="false">IF(P1916="","",IFERROR(N(INDEX(T_EGRESO,MATCH(C1916,T_ID,0))),0))</f>
        <v/>
      </c>
      <c r="U1916" s="73" t="str">
        <f aca="false">IF(OR(P1916="",NOT(ISNUMBER(S1916))),"",IF(OR(S1916&gt;EOMONTH(B1916,0),AND(T1916&gt;0,T1916&lt;B1916)),0,IF(AND(S1916&lt;=B1916,OR(T1916=0,T1916&gt;=EOMONTH(B1916,0))),30,MIN(30,IF(T1916=0,EOMONTH(B1916,0),MIN(T1916,EOMONTH(B1916,0)))-MAX(B1916,S1916)+1))))</f>
        <v/>
      </c>
    </row>
    <row r="1917" customFormat="false" ht="15" hidden="false" customHeight="false" outlineLevel="0" collapsed="false">
      <c r="B1917" s="78"/>
      <c r="C1917" s="64"/>
      <c r="D1917" s="70" t="str">
        <f aca="false">IF(C1917="","",IFERROR(INDEX(T_NOMBRE,MATCH(C1917,T_ID,0)),"⚠ ID no existe"))</f>
        <v/>
      </c>
      <c r="E1917" s="69"/>
      <c r="F1917" s="69"/>
      <c r="G1917" s="69"/>
      <c r="H1917" s="69"/>
      <c r="I1917" s="66"/>
      <c r="J1917" s="69"/>
      <c r="K1917" s="67"/>
      <c r="L1917" s="67"/>
      <c r="M1917" s="67"/>
      <c r="N1917" s="67"/>
      <c r="O1917" s="64"/>
      <c r="P1917" s="72" t="str">
        <f aca="false">IF(OR(B1917="",C1917=""),"",C1917&amp;"|"&amp;(YEAR(B1917)*100+MONTH(B1917)))</f>
        <v/>
      </c>
      <c r="Q1917" s="70" t="str">
        <f aca="false">IF(P1917="","",IF(COUNTIF(N_CLAVE,P1917)&gt;1,"⚠ Duplicado","OK"))</f>
        <v/>
      </c>
      <c r="R1917" s="74" t="str">
        <f aca="false">IF(OR(P1917="",U1917=""),"",MAX(0,U1917-N(E1917)-N(F1917)-N(H1917)))</f>
        <v/>
      </c>
      <c r="S1917" s="75" t="str">
        <f aca="false">IF(P1917="","",IFERROR(INDEX(T_INGRESO,MATCH(C1917,T_ID,0)),""))</f>
        <v/>
      </c>
      <c r="T1917" s="75" t="str">
        <f aca="false">IF(P1917="","",IFERROR(N(INDEX(T_EGRESO,MATCH(C1917,T_ID,0))),0))</f>
        <v/>
      </c>
      <c r="U1917" s="73" t="str">
        <f aca="false">IF(OR(P1917="",NOT(ISNUMBER(S1917))),"",IF(OR(S1917&gt;EOMONTH(B1917,0),AND(T1917&gt;0,T1917&lt;B1917)),0,IF(AND(S1917&lt;=B1917,OR(T1917=0,T1917&gt;=EOMONTH(B1917,0))),30,MIN(30,IF(T1917=0,EOMONTH(B1917,0),MIN(T1917,EOMONTH(B1917,0)))-MAX(B1917,S1917)+1))))</f>
        <v/>
      </c>
    </row>
    <row r="1918" customFormat="false" ht="15" hidden="false" customHeight="false" outlineLevel="0" collapsed="false">
      <c r="B1918" s="78"/>
      <c r="C1918" s="64"/>
      <c r="D1918" s="70" t="str">
        <f aca="false">IF(C1918="","",IFERROR(INDEX(T_NOMBRE,MATCH(C1918,T_ID,0)),"⚠ ID no existe"))</f>
        <v/>
      </c>
      <c r="E1918" s="69"/>
      <c r="F1918" s="69"/>
      <c r="G1918" s="69"/>
      <c r="H1918" s="69"/>
      <c r="I1918" s="66"/>
      <c r="J1918" s="69"/>
      <c r="K1918" s="67"/>
      <c r="L1918" s="67"/>
      <c r="M1918" s="67"/>
      <c r="N1918" s="67"/>
      <c r="O1918" s="64"/>
      <c r="P1918" s="72" t="str">
        <f aca="false">IF(OR(B1918="",C1918=""),"",C1918&amp;"|"&amp;(YEAR(B1918)*100+MONTH(B1918)))</f>
        <v/>
      </c>
      <c r="Q1918" s="70" t="str">
        <f aca="false">IF(P1918="","",IF(COUNTIF(N_CLAVE,P1918)&gt;1,"⚠ Duplicado","OK"))</f>
        <v/>
      </c>
      <c r="R1918" s="74" t="str">
        <f aca="false">IF(OR(P1918="",U1918=""),"",MAX(0,U1918-N(E1918)-N(F1918)-N(H1918)))</f>
        <v/>
      </c>
      <c r="S1918" s="75" t="str">
        <f aca="false">IF(P1918="","",IFERROR(INDEX(T_INGRESO,MATCH(C1918,T_ID,0)),""))</f>
        <v/>
      </c>
      <c r="T1918" s="75" t="str">
        <f aca="false">IF(P1918="","",IFERROR(N(INDEX(T_EGRESO,MATCH(C1918,T_ID,0))),0))</f>
        <v/>
      </c>
      <c r="U1918" s="73" t="str">
        <f aca="false">IF(OR(P1918="",NOT(ISNUMBER(S1918))),"",IF(OR(S1918&gt;EOMONTH(B1918,0),AND(T1918&gt;0,T1918&lt;B1918)),0,IF(AND(S1918&lt;=B1918,OR(T1918=0,T1918&gt;=EOMONTH(B1918,0))),30,MIN(30,IF(T1918=0,EOMONTH(B1918,0),MIN(T1918,EOMONTH(B1918,0)))-MAX(B1918,S1918)+1))))</f>
        <v/>
      </c>
    </row>
    <row r="1919" customFormat="false" ht="15" hidden="false" customHeight="false" outlineLevel="0" collapsed="false">
      <c r="B1919" s="78"/>
      <c r="C1919" s="64"/>
      <c r="D1919" s="70" t="str">
        <f aca="false">IF(C1919="","",IFERROR(INDEX(T_NOMBRE,MATCH(C1919,T_ID,0)),"⚠ ID no existe"))</f>
        <v/>
      </c>
      <c r="E1919" s="69"/>
      <c r="F1919" s="69"/>
      <c r="G1919" s="69"/>
      <c r="H1919" s="69"/>
      <c r="I1919" s="66"/>
      <c r="J1919" s="69"/>
      <c r="K1919" s="67"/>
      <c r="L1919" s="67"/>
      <c r="M1919" s="67"/>
      <c r="N1919" s="67"/>
      <c r="O1919" s="64"/>
      <c r="P1919" s="72" t="str">
        <f aca="false">IF(OR(B1919="",C1919=""),"",C1919&amp;"|"&amp;(YEAR(B1919)*100+MONTH(B1919)))</f>
        <v/>
      </c>
      <c r="Q1919" s="70" t="str">
        <f aca="false">IF(P1919="","",IF(COUNTIF(N_CLAVE,P1919)&gt;1,"⚠ Duplicado","OK"))</f>
        <v/>
      </c>
      <c r="R1919" s="74" t="str">
        <f aca="false">IF(OR(P1919="",U1919=""),"",MAX(0,U1919-N(E1919)-N(F1919)-N(H1919)))</f>
        <v/>
      </c>
      <c r="S1919" s="75" t="str">
        <f aca="false">IF(P1919="","",IFERROR(INDEX(T_INGRESO,MATCH(C1919,T_ID,0)),""))</f>
        <v/>
      </c>
      <c r="T1919" s="75" t="str">
        <f aca="false">IF(P1919="","",IFERROR(N(INDEX(T_EGRESO,MATCH(C1919,T_ID,0))),0))</f>
        <v/>
      </c>
      <c r="U1919" s="73" t="str">
        <f aca="false">IF(OR(P1919="",NOT(ISNUMBER(S1919))),"",IF(OR(S1919&gt;EOMONTH(B1919,0),AND(T1919&gt;0,T1919&lt;B1919)),0,IF(AND(S1919&lt;=B1919,OR(T1919=0,T1919&gt;=EOMONTH(B1919,0))),30,MIN(30,IF(T1919=0,EOMONTH(B1919,0),MIN(T1919,EOMONTH(B1919,0)))-MAX(B1919,S1919)+1))))</f>
        <v/>
      </c>
    </row>
    <row r="1920" customFormat="false" ht="15" hidden="false" customHeight="false" outlineLevel="0" collapsed="false">
      <c r="B1920" s="78"/>
      <c r="C1920" s="64"/>
      <c r="D1920" s="70" t="str">
        <f aca="false">IF(C1920="","",IFERROR(INDEX(T_NOMBRE,MATCH(C1920,T_ID,0)),"⚠ ID no existe"))</f>
        <v/>
      </c>
      <c r="E1920" s="69"/>
      <c r="F1920" s="69"/>
      <c r="G1920" s="69"/>
      <c r="H1920" s="69"/>
      <c r="I1920" s="66"/>
      <c r="J1920" s="69"/>
      <c r="K1920" s="67"/>
      <c r="L1920" s="67"/>
      <c r="M1920" s="67"/>
      <c r="N1920" s="67"/>
      <c r="O1920" s="64"/>
      <c r="P1920" s="72" t="str">
        <f aca="false">IF(OR(B1920="",C1920=""),"",C1920&amp;"|"&amp;(YEAR(B1920)*100+MONTH(B1920)))</f>
        <v/>
      </c>
      <c r="Q1920" s="70" t="str">
        <f aca="false">IF(P1920="","",IF(COUNTIF(N_CLAVE,P1920)&gt;1,"⚠ Duplicado","OK"))</f>
        <v/>
      </c>
      <c r="R1920" s="74" t="str">
        <f aca="false">IF(OR(P1920="",U1920=""),"",MAX(0,U1920-N(E1920)-N(F1920)-N(H1920)))</f>
        <v/>
      </c>
      <c r="S1920" s="75" t="str">
        <f aca="false">IF(P1920="","",IFERROR(INDEX(T_INGRESO,MATCH(C1920,T_ID,0)),""))</f>
        <v/>
      </c>
      <c r="T1920" s="75" t="str">
        <f aca="false">IF(P1920="","",IFERROR(N(INDEX(T_EGRESO,MATCH(C1920,T_ID,0))),0))</f>
        <v/>
      </c>
      <c r="U1920" s="73" t="str">
        <f aca="false">IF(OR(P1920="",NOT(ISNUMBER(S1920))),"",IF(OR(S1920&gt;EOMONTH(B1920,0),AND(T1920&gt;0,T1920&lt;B1920)),0,IF(AND(S1920&lt;=B1920,OR(T1920=0,T1920&gt;=EOMONTH(B1920,0))),30,MIN(30,IF(T1920=0,EOMONTH(B1920,0),MIN(T1920,EOMONTH(B1920,0)))-MAX(B1920,S1920)+1))))</f>
        <v/>
      </c>
    </row>
    <row r="1921" customFormat="false" ht="15" hidden="false" customHeight="false" outlineLevel="0" collapsed="false">
      <c r="B1921" s="78"/>
      <c r="C1921" s="64"/>
      <c r="D1921" s="70" t="str">
        <f aca="false">IF(C1921="","",IFERROR(INDEX(T_NOMBRE,MATCH(C1921,T_ID,0)),"⚠ ID no existe"))</f>
        <v/>
      </c>
      <c r="E1921" s="69"/>
      <c r="F1921" s="69"/>
      <c r="G1921" s="69"/>
      <c r="H1921" s="69"/>
      <c r="I1921" s="66"/>
      <c r="J1921" s="69"/>
      <c r="K1921" s="67"/>
      <c r="L1921" s="67"/>
      <c r="M1921" s="67"/>
      <c r="N1921" s="67"/>
      <c r="O1921" s="64"/>
      <c r="P1921" s="72" t="str">
        <f aca="false">IF(OR(B1921="",C1921=""),"",C1921&amp;"|"&amp;(YEAR(B1921)*100+MONTH(B1921)))</f>
        <v/>
      </c>
      <c r="Q1921" s="70" t="str">
        <f aca="false">IF(P1921="","",IF(COUNTIF(N_CLAVE,P1921)&gt;1,"⚠ Duplicado","OK"))</f>
        <v/>
      </c>
      <c r="R1921" s="74" t="str">
        <f aca="false">IF(OR(P1921="",U1921=""),"",MAX(0,U1921-N(E1921)-N(F1921)-N(H1921)))</f>
        <v/>
      </c>
      <c r="S1921" s="75" t="str">
        <f aca="false">IF(P1921="","",IFERROR(INDEX(T_INGRESO,MATCH(C1921,T_ID,0)),""))</f>
        <v/>
      </c>
      <c r="T1921" s="75" t="str">
        <f aca="false">IF(P1921="","",IFERROR(N(INDEX(T_EGRESO,MATCH(C1921,T_ID,0))),0))</f>
        <v/>
      </c>
      <c r="U1921" s="73" t="str">
        <f aca="false">IF(OR(P1921="",NOT(ISNUMBER(S1921))),"",IF(OR(S1921&gt;EOMONTH(B1921,0),AND(T1921&gt;0,T1921&lt;B1921)),0,IF(AND(S1921&lt;=B1921,OR(T1921=0,T1921&gt;=EOMONTH(B1921,0))),30,MIN(30,IF(T1921=0,EOMONTH(B1921,0),MIN(T1921,EOMONTH(B1921,0)))-MAX(B1921,S1921)+1))))</f>
        <v/>
      </c>
    </row>
    <row r="1922" customFormat="false" ht="15" hidden="false" customHeight="false" outlineLevel="0" collapsed="false">
      <c r="B1922" s="78"/>
      <c r="C1922" s="64"/>
      <c r="D1922" s="70" t="str">
        <f aca="false">IF(C1922="","",IFERROR(INDEX(T_NOMBRE,MATCH(C1922,T_ID,0)),"⚠ ID no existe"))</f>
        <v/>
      </c>
      <c r="E1922" s="69"/>
      <c r="F1922" s="69"/>
      <c r="G1922" s="69"/>
      <c r="H1922" s="69"/>
      <c r="I1922" s="66"/>
      <c r="J1922" s="69"/>
      <c r="K1922" s="67"/>
      <c r="L1922" s="67"/>
      <c r="M1922" s="67"/>
      <c r="N1922" s="67"/>
      <c r="O1922" s="64"/>
      <c r="P1922" s="72" t="str">
        <f aca="false">IF(OR(B1922="",C1922=""),"",C1922&amp;"|"&amp;(YEAR(B1922)*100+MONTH(B1922)))</f>
        <v/>
      </c>
      <c r="Q1922" s="70" t="str">
        <f aca="false">IF(P1922="","",IF(COUNTIF(N_CLAVE,P1922)&gt;1,"⚠ Duplicado","OK"))</f>
        <v/>
      </c>
      <c r="R1922" s="74" t="str">
        <f aca="false">IF(OR(P1922="",U1922=""),"",MAX(0,U1922-N(E1922)-N(F1922)-N(H1922)))</f>
        <v/>
      </c>
      <c r="S1922" s="75" t="str">
        <f aca="false">IF(P1922="","",IFERROR(INDEX(T_INGRESO,MATCH(C1922,T_ID,0)),""))</f>
        <v/>
      </c>
      <c r="T1922" s="75" t="str">
        <f aca="false">IF(P1922="","",IFERROR(N(INDEX(T_EGRESO,MATCH(C1922,T_ID,0))),0))</f>
        <v/>
      </c>
      <c r="U1922" s="73" t="str">
        <f aca="false">IF(OR(P1922="",NOT(ISNUMBER(S1922))),"",IF(OR(S1922&gt;EOMONTH(B1922,0),AND(T1922&gt;0,T1922&lt;B1922)),0,IF(AND(S1922&lt;=B1922,OR(T1922=0,T1922&gt;=EOMONTH(B1922,0))),30,MIN(30,IF(T1922=0,EOMONTH(B1922,0),MIN(T1922,EOMONTH(B1922,0)))-MAX(B1922,S1922)+1))))</f>
        <v/>
      </c>
    </row>
    <row r="1923" customFormat="false" ht="15" hidden="false" customHeight="false" outlineLevel="0" collapsed="false">
      <c r="B1923" s="78"/>
      <c r="C1923" s="64"/>
      <c r="D1923" s="70" t="str">
        <f aca="false">IF(C1923="","",IFERROR(INDEX(T_NOMBRE,MATCH(C1923,T_ID,0)),"⚠ ID no existe"))</f>
        <v/>
      </c>
      <c r="E1923" s="69"/>
      <c r="F1923" s="69"/>
      <c r="G1923" s="69"/>
      <c r="H1923" s="69"/>
      <c r="I1923" s="66"/>
      <c r="J1923" s="69"/>
      <c r="K1923" s="67"/>
      <c r="L1923" s="67"/>
      <c r="M1923" s="67"/>
      <c r="N1923" s="67"/>
      <c r="O1923" s="64"/>
      <c r="P1923" s="72" t="str">
        <f aca="false">IF(OR(B1923="",C1923=""),"",C1923&amp;"|"&amp;(YEAR(B1923)*100+MONTH(B1923)))</f>
        <v/>
      </c>
      <c r="Q1923" s="70" t="str">
        <f aca="false">IF(P1923="","",IF(COUNTIF(N_CLAVE,P1923)&gt;1,"⚠ Duplicado","OK"))</f>
        <v/>
      </c>
      <c r="R1923" s="74" t="str">
        <f aca="false">IF(OR(P1923="",U1923=""),"",MAX(0,U1923-N(E1923)-N(F1923)-N(H1923)))</f>
        <v/>
      </c>
      <c r="S1923" s="75" t="str">
        <f aca="false">IF(P1923="","",IFERROR(INDEX(T_INGRESO,MATCH(C1923,T_ID,0)),""))</f>
        <v/>
      </c>
      <c r="T1923" s="75" t="str">
        <f aca="false">IF(P1923="","",IFERROR(N(INDEX(T_EGRESO,MATCH(C1923,T_ID,0))),0))</f>
        <v/>
      </c>
      <c r="U1923" s="73" t="str">
        <f aca="false">IF(OR(P1923="",NOT(ISNUMBER(S1923))),"",IF(OR(S1923&gt;EOMONTH(B1923,0),AND(T1923&gt;0,T1923&lt;B1923)),0,IF(AND(S1923&lt;=B1923,OR(T1923=0,T1923&gt;=EOMONTH(B1923,0))),30,MIN(30,IF(T1923=0,EOMONTH(B1923,0),MIN(T1923,EOMONTH(B1923,0)))-MAX(B1923,S1923)+1))))</f>
        <v/>
      </c>
    </row>
    <row r="1924" customFormat="false" ht="15" hidden="false" customHeight="false" outlineLevel="0" collapsed="false">
      <c r="B1924" s="78"/>
      <c r="C1924" s="64"/>
      <c r="D1924" s="70" t="str">
        <f aca="false">IF(C1924="","",IFERROR(INDEX(T_NOMBRE,MATCH(C1924,T_ID,0)),"⚠ ID no existe"))</f>
        <v/>
      </c>
      <c r="E1924" s="69"/>
      <c r="F1924" s="69"/>
      <c r="G1924" s="69"/>
      <c r="H1924" s="69"/>
      <c r="I1924" s="66"/>
      <c r="J1924" s="69"/>
      <c r="K1924" s="67"/>
      <c r="L1924" s="67"/>
      <c r="M1924" s="67"/>
      <c r="N1924" s="67"/>
      <c r="O1924" s="64"/>
      <c r="P1924" s="72" t="str">
        <f aca="false">IF(OR(B1924="",C1924=""),"",C1924&amp;"|"&amp;(YEAR(B1924)*100+MONTH(B1924)))</f>
        <v/>
      </c>
      <c r="Q1924" s="70" t="str">
        <f aca="false">IF(P1924="","",IF(COUNTIF(N_CLAVE,P1924)&gt;1,"⚠ Duplicado","OK"))</f>
        <v/>
      </c>
      <c r="R1924" s="74" t="str">
        <f aca="false">IF(OR(P1924="",U1924=""),"",MAX(0,U1924-N(E1924)-N(F1924)-N(H1924)))</f>
        <v/>
      </c>
      <c r="S1924" s="75" t="str">
        <f aca="false">IF(P1924="","",IFERROR(INDEX(T_INGRESO,MATCH(C1924,T_ID,0)),""))</f>
        <v/>
      </c>
      <c r="T1924" s="75" t="str">
        <f aca="false">IF(P1924="","",IFERROR(N(INDEX(T_EGRESO,MATCH(C1924,T_ID,0))),0))</f>
        <v/>
      </c>
      <c r="U1924" s="73" t="str">
        <f aca="false">IF(OR(P1924="",NOT(ISNUMBER(S1924))),"",IF(OR(S1924&gt;EOMONTH(B1924,0),AND(T1924&gt;0,T1924&lt;B1924)),0,IF(AND(S1924&lt;=B1924,OR(T1924=0,T1924&gt;=EOMONTH(B1924,0))),30,MIN(30,IF(T1924=0,EOMONTH(B1924,0),MIN(T1924,EOMONTH(B1924,0)))-MAX(B1924,S1924)+1))))</f>
        <v/>
      </c>
    </row>
    <row r="1925" customFormat="false" ht="15" hidden="false" customHeight="false" outlineLevel="0" collapsed="false">
      <c r="B1925" s="78"/>
      <c r="C1925" s="64"/>
      <c r="D1925" s="70" t="str">
        <f aca="false">IF(C1925="","",IFERROR(INDEX(T_NOMBRE,MATCH(C1925,T_ID,0)),"⚠ ID no existe"))</f>
        <v/>
      </c>
      <c r="E1925" s="69"/>
      <c r="F1925" s="69"/>
      <c r="G1925" s="69"/>
      <c r="H1925" s="69"/>
      <c r="I1925" s="66"/>
      <c r="J1925" s="69"/>
      <c r="K1925" s="67"/>
      <c r="L1925" s="67"/>
      <c r="M1925" s="67"/>
      <c r="N1925" s="67"/>
      <c r="O1925" s="64"/>
      <c r="P1925" s="72" t="str">
        <f aca="false">IF(OR(B1925="",C1925=""),"",C1925&amp;"|"&amp;(YEAR(B1925)*100+MONTH(B1925)))</f>
        <v/>
      </c>
      <c r="Q1925" s="70" t="str">
        <f aca="false">IF(P1925="","",IF(COUNTIF(N_CLAVE,P1925)&gt;1,"⚠ Duplicado","OK"))</f>
        <v/>
      </c>
      <c r="R1925" s="74" t="str">
        <f aca="false">IF(OR(P1925="",U1925=""),"",MAX(0,U1925-N(E1925)-N(F1925)-N(H1925)))</f>
        <v/>
      </c>
      <c r="S1925" s="75" t="str">
        <f aca="false">IF(P1925="","",IFERROR(INDEX(T_INGRESO,MATCH(C1925,T_ID,0)),""))</f>
        <v/>
      </c>
      <c r="T1925" s="75" t="str">
        <f aca="false">IF(P1925="","",IFERROR(N(INDEX(T_EGRESO,MATCH(C1925,T_ID,0))),0))</f>
        <v/>
      </c>
      <c r="U1925" s="73" t="str">
        <f aca="false">IF(OR(P1925="",NOT(ISNUMBER(S1925))),"",IF(OR(S1925&gt;EOMONTH(B1925,0),AND(T1925&gt;0,T1925&lt;B1925)),0,IF(AND(S1925&lt;=B1925,OR(T1925=0,T1925&gt;=EOMONTH(B1925,0))),30,MIN(30,IF(T1925=0,EOMONTH(B1925,0),MIN(T1925,EOMONTH(B1925,0)))-MAX(B1925,S1925)+1))))</f>
        <v/>
      </c>
    </row>
    <row r="1926" customFormat="false" ht="15" hidden="false" customHeight="false" outlineLevel="0" collapsed="false">
      <c r="B1926" s="78"/>
      <c r="C1926" s="64"/>
      <c r="D1926" s="70" t="str">
        <f aca="false">IF(C1926="","",IFERROR(INDEX(T_NOMBRE,MATCH(C1926,T_ID,0)),"⚠ ID no existe"))</f>
        <v/>
      </c>
      <c r="E1926" s="69"/>
      <c r="F1926" s="69"/>
      <c r="G1926" s="69"/>
      <c r="H1926" s="69"/>
      <c r="I1926" s="66"/>
      <c r="J1926" s="69"/>
      <c r="K1926" s="67"/>
      <c r="L1926" s="67"/>
      <c r="M1926" s="67"/>
      <c r="N1926" s="67"/>
      <c r="O1926" s="64"/>
      <c r="P1926" s="72" t="str">
        <f aca="false">IF(OR(B1926="",C1926=""),"",C1926&amp;"|"&amp;(YEAR(B1926)*100+MONTH(B1926)))</f>
        <v/>
      </c>
      <c r="Q1926" s="70" t="str">
        <f aca="false">IF(P1926="","",IF(COUNTIF(N_CLAVE,P1926)&gt;1,"⚠ Duplicado","OK"))</f>
        <v/>
      </c>
      <c r="R1926" s="74" t="str">
        <f aca="false">IF(OR(P1926="",U1926=""),"",MAX(0,U1926-N(E1926)-N(F1926)-N(H1926)))</f>
        <v/>
      </c>
      <c r="S1926" s="75" t="str">
        <f aca="false">IF(P1926="","",IFERROR(INDEX(T_INGRESO,MATCH(C1926,T_ID,0)),""))</f>
        <v/>
      </c>
      <c r="T1926" s="75" t="str">
        <f aca="false">IF(P1926="","",IFERROR(N(INDEX(T_EGRESO,MATCH(C1926,T_ID,0))),0))</f>
        <v/>
      </c>
      <c r="U1926" s="73" t="str">
        <f aca="false">IF(OR(P1926="",NOT(ISNUMBER(S1926))),"",IF(OR(S1926&gt;EOMONTH(B1926,0),AND(T1926&gt;0,T1926&lt;B1926)),0,IF(AND(S1926&lt;=B1926,OR(T1926=0,T1926&gt;=EOMONTH(B1926,0))),30,MIN(30,IF(T1926=0,EOMONTH(B1926,0),MIN(T1926,EOMONTH(B1926,0)))-MAX(B1926,S1926)+1))))</f>
        <v/>
      </c>
    </row>
    <row r="1927" customFormat="false" ht="15" hidden="false" customHeight="false" outlineLevel="0" collapsed="false">
      <c r="B1927" s="78"/>
      <c r="C1927" s="64"/>
      <c r="D1927" s="70" t="str">
        <f aca="false">IF(C1927="","",IFERROR(INDEX(T_NOMBRE,MATCH(C1927,T_ID,0)),"⚠ ID no existe"))</f>
        <v/>
      </c>
      <c r="E1927" s="69"/>
      <c r="F1927" s="69"/>
      <c r="G1927" s="69"/>
      <c r="H1927" s="69"/>
      <c r="I1927" s="66"/>
      <c r="J1927" s="69"/>
      <c r="K1927" s="67"/>
      <c r="L1927" s="67"/>
      <c r="M1927" s="67"/>
      <c r="N1927" s="67"/>
      <c r="O1927" s="64"/>
      <c r="P1927" s="72" t="str">
        <f aca="false">IF(OR(B1927="",C1927=""),"",C1927&amp;"|"&amp;(YEAR(B1927)*100+MONTH(B1927)))</f>
        <v/>
      </c>
      <c r="Q1927" s="70" t="str">
        <f aca="false">IF(P1927="","",IF(COUNTIF(N_CLAVE,P1927)&gt;1,"⚠ Duplicado","OK"))</f>
        <v/>
      </c>
      <c r="R1927" s="74" t="str">
        <f aca="false">IF(OR(P1927="",U1927=""),"",MAX(0,U1927-N(E1927)-N(F1927)-N(H1927)))</f>
        <v/>
      </c>
      <c r="S1927" s="75" t="str">
        <f aca="false">IF(P1927="","",IFERROR(INDEX(T_INGRESO,MATCH(C1927,T_ID,0)),""))</f>
        <v/>
      </c>
      <c r="T1927" s="75" t="str">
        <f aca="false">IF(P1927="","",IFERROR(N(INDEX(T_EGRESO,MATCH(C1927,T_ID,0))),0))</f>
        <v/>
      </c>
      <c r="U1927" s="73" t="str">
        <f aca="false">IF(OR(P1927="",NOT(ISNUMBER(S1927))),"",IF(OR(S1927&gt;EOMONTH(B1927,0),AND(T1927&gt;0,T1927&lt;B1927)),0,IF(AND(S1927&lt;=B1927,OR(T1927=0,T1927&gt;=EOMONTH(B1927,0))),30,MIN(30,IF(T1927=0,EOMONTH(B1927,0),MIN(T1927,EOMONTH(B1927,0)))-MAX(B1927,S1927)+1))))</f>
        <v/>
      </c>
    </row>
    <row r="1928" customFormat="false" ht="15" hidden="false" customHeight="false" outlineLevel="0" collapsed="false">
      <c r="B1928" s="78"/>
      <c r="C1928" s="64"/>
      <c r="D1928" s="70" t="str">
        <f aca="false">IF(C1928="","",IFERROR(INDEX(T_NOMBRE,MATCH(C1928,T_ID,0)),"⚠ ID no existe"))</f>
        <v/>
      </c>
      <c r="E1928" s="69"/>
      <c r="F1928" s="69"/>
      <c r="G1928" s="69"/>
      <c r="H1928" s="69"/>
      <c r="I1928" s="66"/>
      <c r="J1928" s="69"/>
      <c r="K1928" s="67"/>
      <c r="L1928" s="67"/>
      <c r="M1928" s="67"/>
      <c r="N1928" s="67"/>
      <c r="O1928" s="64"/>
      <c r="P1928" s="72" t="str">
        <f aca="false">IF(OR(B1928="",C1928=""),"",C1928&amp;"|"&amp;(YEAR(B1928)*100+MONTH(B1928)))</f>
        <v/>
      </c>
      <c r="Q1928" s="70" t="str">
        <f aca="false">IF(P1928="","",IF(COUNTIF(N_CLAVE,P1928)&gt;1,"⚠ Duplicado","OK"))</f>
        <v/>
      </c>
      <c r="R1928" s="74" t="str">
        <f aca="false">IF(OR(P1928="",U1928=""),"",MAX(0,U1928-N(E1928)-N(F1928)-N(H1928)))</f>
        <v/>
      </c>
      <c r="S1928" s="75" t="str">
        <f aca="false">IF(P1928="","",IFERROR(INDEX(T_INGRESO,MATCH(C1928,T_ID,0)),""))</f>
        <v/>
      </c>
      <c r="T1928" s="75" t="str">
        <f aca="false">IF(P1928="","",IFERROR(N(INDEX(T_EGRESO,MATCH(C1928,T_ID,0))),0))</f>
        <v/>
      </c>
      <c r="U1928" s="73" t="str">
        <f aca="false">IF(OR(P1928="",NOT(ISNUMBER(S1928))),"",IF(OR(S1928&gt;EOMONTH(B1928,0),AND(T1928&gt;0,T1928&lt;B1928)),0,IF(AND(S1928&lt;=B1928,OR(T1928=0,T1928&gt;=EOMONTH(B1928,0))),30,MIN(30,IF(T1928=0,EOMONTH(B1928,0),MIN(T1928,EOMONTH(B1928,0)))-MAX(B1928,S1928)+1))))</f>
        <v/>
      </c>
    </row>
    <row r="1929" customFormat="false" ht="15" hidden="false" customHeight="false" outlineLevel="0" collapsed="false">
      <c r="B1929" s="78"/>
      <c r="C1929" s="64"/>
      <c r="D1929" s="70" t="str">
        <f aca="false">IF(C1929="","",IFERROR(INDEX(T_NOMBRE,MATCH(C1929,T_ID,0)),"⚠ ID no existe"))</f>
        <v/>
      </c>
      <c r="E1929" s="69"/>
      <c r="F1929" s="69"/>
      <c r="G1929" s="69"/>
      <c r="H1929" s="69"/>
      <c r="I1929" s="66"/>
      <c r="J1929" s="69"/>
      <c r="K1929" s="67"/>
      <c r="L1929" s="67"/>
      <c r="M1929" s="67"/>
      <c r="N1929" s="67"/>
      <c r="O1929" s="64"/>
      <c r="P1929" s="72" t="str">
        <f aca="false">IF(OR(B1929="",C1929=""),"",C1929&amp;"|"&amp;(YEAR(B1929)*100+MONTH(B1929)))</f>
        <v/>
      </c>
      <c r="Q1929" s="70" t="str">
        <f aca="false">IF(P1929="","",IF(COUNTIF(N_CLAVE,P1929)&gt;1,"⚠ Duplicado","OK"))</f>
        <v/>
      </c>
      <c r="R1929" s="74" t="str">
        <f aca="false">IF(OR(P1929="",U1929=""),"",MAX(0,U1929-N(E1929)-N(F1929)-N(H1929)))</f>
        <v/>
      </c>
      <c r="S1929" s="75" t="str">
        <f aca="false">IF(P1929="","",IFERROR(INDEX(T_INGRESO,MATCH(C1929,T_ID,0)),""))</f>
        <v/>
      </c>
      <c r="T1929" s="75" t="str">
        <f aca="false">IF(P1929="","",IFERROR(N(INDEX(T_EGRESO,MATCH(C1929,T_ID,0))),0))</f>
        <v/>
      </c>
      <c r="U1929" s="73" t="str">
        <f aca="false">IF(OR(P1929="",NOT(ISNUMBER(S1929))),"",IF(OR(S1929&gt;EOMONTH(B1929,0),AND(T1929&gt;0,T1929&lt;B1929)),0,IF(AND(S1929&lt;=B1929,OR(T1929=0,T1929&gt;=EOMONTH(B1929,0))),30,MIN(30,IF(T1929=0,EOMONTH(B1929,0),MIN(T1929,EOMONTH(B1929,0)))-MAX(B1929,S1929)+1))))</f>
        <v/>
      </c>
    </row>
    <row r="1930" customFormat="false" ht="15" hidden="false" customHeight="false" outlineLevel="0" collapsed="false">
      <c r="B1930" s="78"/>
      <c r="C1930" s="64"/>
      <c r="D1930" s="70" t="str">
        <f aca="false">IF(C1930="","",IFERROR(INDEX(T_NOMBRE,MATCH(C1930,T_ID,0)),"⚠ ID no existe"))</f>
        <v/>
      </c>
      <c r="E1930" s="69"/>
      <c r="F1930" s="69"/>
      <c r="G1930" s="69"/>
      <c r="H1930" s="69"/>
      <c r="I1930" s="66"/>
      <c r="J1930" s="69"/>
      <c r="K1930" s="67"/>
      <c r="L1930" s="67"/>
      <c r="M1930" s="67"/>
      <c r="N1930" s="67"/>
      <c r="O1930" s="64"/>
      <c r="P1930" s="72" t="str">
        <f aca="false">IF(OR(B1930="",C1930=""),"",C1930&amp;"|"&amp;(YEAR(B1930)*100+MONTH(B1930)))</f>
        <v/>
      </c>
      <c r="Q1930" s="70" t="str">
        <f aca="false">IF(P1930="","",IF(COUNTIF(N_CLAVE,P1930)&gt;1,"⚠ Duplicado","OK"))</f>
        <v/>
      </c>
      <c r="R1930" s="74" t="str">
        <f aca="false">IF(OR(P1930="",U1930=""),"",MAX(0,U1930-N(E1930)-N(F1930)-N(H1930)))</f>
        <v/>
      </c>
      <c r="S1930" s="75" t="str">
        <f aca="false">IF(P1930="","",IFERROR(INDEX(T_INGRESO,MATCH(C1930,T_ID,0)),""))</f>
        <v/>
      </c>
      <c r="T1930" s="75" t="str">
        <f aca="false">IF(P1930="","",IFERROR(N(INDEX(T_EGRESO,MATCH(C1930,T_ID,0))),0))</f>
        <v/>
      </c>
      <c r="U1930" s="73" t="str">
        <f aca="false">IF(OR(P1930="",NOT(ISNUMBER(S1930))),"",IF(OR(S1930&gt;EOMONTH(B1930,0),AND(T1930&gt;0,T1930&lt;B1930)),0,IF(AND(S1930&lt;=B1930,OR(T1930=0,T1930&gt;=EOMONTH(B1930,0))),30,MIN(30,IF(T1930=0,EOMONTH(B1930,0),MIN(T1930,EOMONTH(B1930,0)))-MAX(B1930,S1930)+1))))</f>
        <v/>
      </c>
    </row>
    <row r="1931" customFormat="false" ht="15" hidden="false" customHeight="false" outlineLevel="0" collapsed="false">
      <c r="B1931" s="78"/>
      <c r="C1931" s="64"/>
      <c r="D1931" s="70" t="str">
        <f aca="false">IF(C1931="","",IFERROR(INDEX(T_NOMBRE,MATCH(C1931,T_ID,0)),"⚠ ID no existe"))</f>
        <v/>
      </c>
      <c r="E1931" s="69"/>
      <c r="F1931" s="69"/>
      <c r="G1931" s="69"/>
      <c r="H1931" s="69"/>
      <c r="I1931" s="66"/>
      <c r="J1931" s="69"/>
      <c r="K1931" s="67"/>
      <c r="L1931" s="67"/>
      <c r="M1931" s="67"/>
      <c r="N1931" s="67"/>
      <c r="O1931" s="64"/>
      <c r="P1931" s="72" t="str">
        <f aca="false">IF(OR(B1931="",C1931=""),"",C1931&amp;"|"&amp;(YEAR(B1931)*100+MONTH(B1931)))</f>
        <v/>
      </c>
      <c r="Q1931" s="70" t="str">
        <f aca="false">IF(P1931="","",IF(COUNTIF(N_CLAVE,P1931)&gt;1,"⚠ Duplicado","OK"))</f>
        <v/>
      </c>
      <c r="R1931" s="74" t="str">
        <f aca="false">IF(OR(P1931="",U1931=""),"",MAX(0,U1931-N(E1931)-N(F1931)-N(H1931)))</f>
        <v/>
      </c>
      <c r="S1931" s="75" t="str">
        <f aca="false">IF(P1931="","",IFERROR(INDEX(T_INGRESO,MATCH(C1931,T_ID,0)),""))</f>
        <v/>
      </c>
      <c r="T1931" s="75" t="str">
        <f aca="false">IF(P1931="","",IFERROR(N(INDEX(T_EGRESO,MATCH(C1931,T_ID,0))),0))</f>
        <v/>
      </c>
      <c r="U1931" s="73" t="str">
        <f aca="false">IF(OR(P1931="",NOT(ISNUMBER(S1931))),"",IF(OR(S1931&gt;EOMONTH(B1931,0),AND(T1931&gt;0,T1931&lt;B1931)),0,IF(AND(S1931&lt;=B1931,OR(T1931=0,T1931&gt;=EOMONTH(B1931,0))),30,MIN(30,IF(T1931=0,EOMONTH(B1931,0),MIN(T1931,EOMONTH(B1931,0)))-MAX(B1931,S1931)+1))))</f>
        <v/>
      </c>
    </row>
    <row r="1932" customFormat="false" ht="15" hidden="false" customHeight="false" outlineLevel="0" collapsed="false">
      <c r="B1932" s="78"/>
      <c r="C1932" s="64"/>
      <c r="D1932" s="70" t="str">
        <f aca="false">IF(C1932="","",IFERROR(INDEX(T_NOMBRE,MATCH(C1932,T_ID,0)),"⚠ ID no existe"))</f>
        <v/>
      </c>
      <c r="E1932" s="69"/>
      <c r="F1932" s="69"/>
      <c r="G1932" s="69"/>
      <c r="H1932" s="69"/>
      <c r="I1932" s="66"/>
      <c r="J1932" s="69"/>
      <c r="K1932" s="67"/>
      <c r="L1932" s="67"/>
      <c r="M1932" s="67"/>
      <c r="N1932" s="67"/>
      <c r="O1932" s="64"/>
      <c r="P1932" s="72" t="str">
        <f aca="false">IF(OR(B1932="",C1932=""),"",C1932&amp;"|"&amp;(YEAR(B1932)*100+MONTH(B1932)))</f>
        <v/>
      </c>
      <c r="Q1932" s="70" t="str">
        <f aca="false">IF(P1932="","",IF(COUNTIF(N_CLAVE,P1932)&gt;1,"⚠ Duplicado","OK"))</f>
        <v/>
      </c>
      <c r="R1932" s="74" t="str">
        <f aca="false">IF(OR(P1932="",U1932=""),"",MAX(0,U1932-N(E1932)-N(F1932)-N(H1932)))</f>
        <v/>
      </c>
      <c r="S1932" s="75" t="str">
        <f aca="false">IF(P1932="","",IFERROR(INDEX(T_INGRESO,MATCH(C1932,T_ID,0)),""))</f>
        <v/>
      </c>
      <c r="T1932" s="75" t="str">
        <f aca="false">IF(P1932="","",IFERROR(N(INDEX(T_EGRESO,MATCH(C1932,T_ID,0))),0))</f>
        <v/>
      </c>
      <c r="U1932" s="73" t="str">
        <f aca="false">IF(OR(P1932="",NOT(ISNUMBER(S1932))),"",IF(OR(S1932&gt;EOMONTH(B1932,0),AND(T1932&gt;0,T1932&lt;B1932)),0,IF(AND(S1932&lt;=B1932,OR(T1932=0,T1932&gt;=EOMONTH(B1932,0))),30,MIN(30,IF(T1932=0,EOMONTH(B1932,0),MIN(T1932,EOMONTH(B1932,0)))-MAX(B1932,S1932)+1))))</f>
        <v/>
      </c>
    </row>
    <row r="1933" customFormat="false" ht="15" hidden="false" customHeight="false" outlineLevel="0" collapsed="false">
      <c r="B1933" s="78"/>
      <c r="C1933" s="64"/>
      <c r="D1933" s="70" t="str">
        <f aca="false">IF(C1933="","",IFERROR(INDEX(T_NOMBRE,MATCH(C1933,T_ID,0)),"⚠ ID no existe"))</f>
        <v/>
      </c>
      <c r="E1933" s="69"/>
      <c r="F1933" s="69"/>
      <c r="G1933" s="69"/>
      <c r="H1933" s="69"/>
      <c r="I1933" s="66"/>
      <c r="J1933" s="69"/>
      <c r="K1933" s="67"/>
      <c r="L1933" s="67"/>
      <c r="M1933" s="67"/>
      <c r="N1933" s="67"/>
      <c r="O1933" s="64"/>
      <c r="P1933" s="72" t="str">
        <f aca="false">IF(OR(B1933="",C1933=""),"",C1933&amp;"|"&amp;(YEAR(B1933)*100+MONTH(B1933)))</f>
        <v/>
      </c>
      <c r="Q1933" s="70" t="str">
        <f aca="false">IF(P1933="","",IF(COUNTIF(N_CLAVE,P1933)&gt;1,"⚠ Duplicado","OK"))</f>
        <v/>
      </c>
      <c r="R1933" s="74" t="str">
        <f aca="false">IF(OR(P1933="",U1933=""),"",MAX(0,U1933-N(E1933)-N(F1933)-N(H1933)))</f>
        <v/>
      </c>
      <c r="S1933" s="75" t="str">
        <f aca="false">IF(P1933="","",IFERROR(INDEX(T_INGRESO,MATCH(C1933,T_ID,0)),""))</f>
        <v/>
      </c>
      <c r="T1933" s="75" t="str">
        <f aca="false">IF(P1933="","",IFERROR(N(INDEX(T_EGRESO,MATCH(C1933,T_ID,0))),0))</f>
        <v/>
      </c>
      <c r="U1933" s="73" t="str">
        <f aca="false">IF(OR(P1933="",NOT(ISNUMBER(S1933))),"",IF(OR(S1933&gt;EOMONTH(B1933,0),AND(T1933&gt;0,T1933&lt;B1933)),0,IF(AND(S1933&lt;=B1933,OR(T1933=0,T1933&gt;=EOMONTH(B1933,0))),30,MIN(30,IF(T1933=0,EOMONTH(B1933,0),MIN(T1933,EOMONTH(B1933,0)))-MAX(B1933,S1933)+1))))</f>
        <v/>
      </c>
    </row>
    <row r="1934" customFormat="false" ht="15" hidden="false" customHeight="false" outlineLevel="0" collapsed="false">
      <c r="B1934" s="78"/>
      <c r="C1934" s="64"/>
      <c r="D1934" s="70" t="str">
        <f aca="false">IF(C1934="","",IFERROR(INDEX(T_NOMBRE,MATCH(C1934,T_ID,0)),"⚠ ID no existe"))</f>
        <v/>
      </c>
      <c r="E1934" s="69"/>
      <c r="F1934" s="69"/>
      <c r="G1934" s="69"/>
      <c r="H1934" s="69"/>
      <c r="I1934" s="66"/>
      <c r="J1934" s="69"/>
      <c r="K1934" s="67"/>
      <c r="L1934" s="67"/>
      <c r="M1934" s="67"/>
      <c r="N1934" s="67"/>
      <c r="O1934" s="64"/>
      <c r="P1934" s="72" t="str">
        <f aca="false">IF(OR(B1934="",C1934=""),"",C1934&amp;"|"&amp;(YEAR(B1934)*100+MONTH(B1934)))</f>
        <v/>
      </c>
      <c r="Q1934" s="70" t="str">
        <f aca="false">IF(P1934="","",IF(COUNTIF(N_CLAVE,P1934)&gt;1,"⚠ Duplicado","OK"))</f>
        <v/>
      </c>
      <c r="R1934" s="74" t="str">
        <f aca="false">IF(OR(P1934="",U1934=""),"",MAX(0,U1934-N(E1934)-N(F1934)-N(H1934)))</f>
        <v/>
      </c>
      <c r="S1934" s="75" t="str">
        <f aca="false">IF(P1934="","",IFERROR(INDEX(T_INGRESO,MATCH(C1934,T_ID,0)),""))</f>
        <v/>
      </c>
      <c r="T1934" s="75" t="str">
        <f aca="false">IF(P1934="","",IFERROR(N(INDEX(T_EGRESO,MATCH(C1934,T_ID,0))),0))</f>
        <v/>
      </c>
      <c r="U1934" s="73" t="str">
        <f aca="false">IF(OR(P1934="",NOT(ISNUMBER(S1934))),"",IF(OR(S1934&gt;EOMONTH(B1934,0),AND(T1934&gt;0,T1934&lt;B1934)),0,IF(AND(S1934&lt;=B1934,OR(T1934=0,T1934&gt;=EOMONTH(B1934,0))),30,MIN(30,IF(T1934=0,EOMONTH(B1934,0),MIN(T1934,EOMONTH(B1934,0)))-MAX(B1934,S1934)+1))))</f>
        <v/>
      </c>
    </row>
    <row r="1935" customFormat="false" ht="15" hidden="false" customHeight="false" outlineLevel="0" collapsed="false">
      <c r="B1935" s="78"/>
      <c r="C1935" s="64"/>
      <c r="D1935" s="70" t="str">
        <f aca="false">IF(C1935="","",IFERROR(INDEX(T_NOMBRE,MATCH(C1935,T_ID,0)),"⚠ ID no existe"))</f>
        <v/>
      </c>
      <c r="E1935" s="69"/>
      <c r="F1935" s="69"/>
      <c r="G1935" s="69"/>
      <c r="H1935" s="69"/>
      <c r="I1935" s="66"/>
      <c r="J1935" s="69"/>
      <c r="K1935" s="67"/>
      <c r="L1935" s="67"/>
      <c r="M1935" s="67"/>
      <c r="N1935" s="67"/>
      <c r="O1935" s="64"/>
      <c r="P1935" s="72" t="str">
        <f aca="false">IF(OR(B1935="",C1935=""),"",C1935&amp;"|"&amp;(YEAR(B1935)*100+MONTH(B1935)))</f>
        <v/>
      </c>
      <c r="Q1935" s="70" t="str">
        <f aca="false">IF(P1935="","",IF(COUNTIF(N_CLAVE,P1935)&gt;1,"⚠ Duplicado","OK"))</f>
        <v/>
      </c>
      <c r="R1935" s="74" t="str">
        <f aca="false">IF(OR(P1935="",U1935=""),"",MAX(0,U1935-N(E1935)-N(F1935)-N(H1935)))</f>
        <v/>
      </c>
      <c r="S1935" s="75" t="str">
        <f aca="false">IF(P1935="","",IFERROR(INDEX(T_INGRESO,MATCH(C1935,T_ID,0)),""))</f>
        <v/>
      </c>
      <c r="T1935" s="75" t="str">
        <f aca="false">IF(P1935="","",IFERROR(N(INDEX(T_EGRESO,MATCH(C1935,T_ID,0))),0))</f>
        <v/>
      </c>
      <c r="U1935" s="73" t="str">
        <f aca="false">IF(OR(P1935="",NOT(ISNUMBER(S1935))),"",IF(OR(S1935&gt;EOMONTH(B1935,0),AND(T1935&gt;0,T1935&lt;B1935)),0,IF(AND(S1935&lt;=B1935,OR(T1935=0,T1935&gt;=EOMONTH(B1935,0))),30,MIN(30,IF(T1935=0,EOMONTH(B1935,0),MIN(T1935,EOMONTH(B1935,0)))-MAX(B1935,S1935)+1))))</f>
        <v/>
      </c>
    </row>
    <row r="1936" customFormat="false" ht="15" hidden="false" customHeight="false" outlineLevel="0" collapsed="false">
      <c r="B1936" s="78"/>
      <c r="C1936" s="64"/>
      <c r="D1936" s="70" t="str">
        <f aca="false">IF(C1936="","",IFERROR(INDEX(T_NOMBRE,MATCH(C1936,T_ID,0)),"⚠ ID no existe"))</f>
        <v/>
      </c>
      <c r="E1936" s="69"/>
      <c r="F1936" s="69"/>
      <c r="G1936" s="69"/>
      <c r="H1936" s="69"/>
      <c r="I1936" s="66"/>
      <c r="J1936" s="69"/>
      <c r="K1936" s="67"/>
      <c r="L1936" s="67"/>
      <c r="M1936" s="67"/>
      <c r="N1936" s="67"/>
      <c r="O1936" s="64"/>
      <c r="P1936" s="72" t="str">
        <f aca="false">IF(OR(B1936="",C1936=""),"",C1936&amp;"|"&amp;(YEAR(B1936)*100+MONTH(B1936)))</f>
        <v/>
      </c>
      <c r="Q1936" s="70" t="str">
        <f aca="false">IF(P1936="","",IF(COUNTIF(N_CLAVE,P1936)&gt;1,"⚠ Duplicado","OK"))</f>
        <v/>
      </c>
      <c r="R1936" s="74" t="str">
        <f aca="false">IF(OR(P1936="",U1936=""),"",MAX(0,U1936-N(E1936)-N(F1936)-N(H1936)))</f>
        <v/>
      </c>
      <c r="S1936" s="75" t="str">
        <f aca="false">IF(P1936="","",IFERROR(INDEX(T_INGRESO,MATCH(C1936,T_ID,0)),""))</f>
        <v/>
      </c>
      <c r="T1936" s="75" t="str">
        <f aca="false">IF(P1936="","",IFERROR(N(INDEX(T_EGRESO,MATCH(C1936,T_ID,0))),0))</f>
        <v/>
      </c>
      <c r="U1936" s="73" t="str">
        <f aca="false">IF(OR(P1936="",NOT(ISNUMBER(S1936))),"",IF(OR(S1936&gt;EOMONTH(B1936,0),AND(T1936&gt;0,T1936&lt;B1936)),0,IF(AND(S1936&lt;=B1936,OR(T1936=0,T1936&gt;=EOMONTH(B1936,0))),30,MIN(30,IF(T1936=0,EOMONTH(B1936,0),MIN(T1936,EOMONTH(B1936,0)))-MAX(B1936,S1936)+1))))</f>
        <v/>
      </c>
    </row>
    <row r="1937" customFormat="false" ht="15" hidden="false" customHeight="false" outlineLevel="0" collapsed="false">
      <c r="B1937" s="78"/>
      <c r="C1937" s="64"/>
      <c r="D1937" s="70" t="str">
        <f aca="false">IF(C1937="","",IFERROR(INDEX(T_NOMBRE,MATCH(C1937,T_ID,0)),"⚠ ID no existe"))</f>
        <v/>
      </c>
      <c r="E1937" s="69"/>
      <c r="F1937" s="69"/>
      <c r="G1937" s="69"/>
      <c r="H1937" s="69"/>
      <c r="I1937" s="66"/>
      <c r="J1937" s="69"/>
      <c r="K1937" s="67"/>
      <c r="L1937" s="67"/>
      <c r="M1937" s="67"/>
      <c r="N1937" s="67"/>
      <c r="O1937" s="64"/>
      <c r="P1937" s="72" t="str">
        <f aca="false">IF(OR(B1937="",C1937=""),"",C1937&amp;"|"&amp;(YEAR(B1937)*100+MONTH(B1937)))</f>
        <v/>
      </c>
      <c r="Q1937" s="70" t="str">
        <f aca="false">IF(P1937="","",IF(COUNTIF(N_CLAVE,P1937)&gt;1,"⚠ Duplicado","OK"))</f>
        <v/>
      </c>
      <c r="R1937" s="74" t="str">
        <f aca="false">IF(OR(P1937="",U1937=""),"",MAX(0,U1937-N(E1937)-N(F1937)-N(H1937)))</f>
        <v/>
      </c>
      <c r="S1937" s="75" t="str">
        <f aca="false">IF(P1937="","",IFERROR(INDEX(T_INGRESO,MATCH(C1937,T_ID,0)),""))</f>
        <v/>
      </c>
      <c r="T1937" s="75" t="str">
        <f aca="false">IF(P1937="","",IFERROR(N(INDEX(T_EGRESO,MATCH(C1937,T_ID,0))),0))</f>
        <v/>
      </c>
      <c r="U1937" s="73" t="str">
        <f aca="false">IF(OR(P1937="",NOT(ISNUMBER(S1937))),"",IF(OR(S1937&gt;EOMONTH(B1937,0),AND(T1937&gt;0,T1937&lt;B1937)),0,IF(AND(S1937&lt;=B1937,OR(T1937=0,T1937&gt;=EOMONTH(B1937,0))),30,MIN(30,IF(T1937=0,EOMONTH(B1937,0),MIN(T1937,EOMONTH(B1937,0)))-MAX(B1937,S1937)+1))))</f>
        <v/>
      </c>
    </row>
    <row r="1938" customFormat="false" ht="15" hidden="false" customHeight="false" outlineLevel="0" collapsed="false">
      <c r="B1938" s="78"/>
      <c r="C1938" s="64"/>
      <c r="D1938" s="70" t="str">
        <f aca="false">IF(C1938="","",IFERROR(INDEX(T_NOMBRE,MATCH(C1938,T_ID,0)),"⚠ ID no existe"))</f>
        <v/>
      </c>
      <c r="E1938" s="69"/>
      <c r="F1938" s="69"/>
      <c r="G1938" s="69"/>
      <c r="H1938" s="69"/>
      <c r="I1938" s="66"/>
      <c r="J1938" s="69"/>
      <c r="K1938" s="67"/>
      <c r="L1938" s="67"/>
      <c r="M1938" s="67"/>
      <c r="N1938" s="67"/>
      <c r="O1938" s="64"/>
      <c r="P1938" s="72" t="str">
        <f aca="false">IF(OR(B1938="",C1938=""),"",C1938&amp;"|"&amp;(YEAR(B1938)*100+MONTH(B1938)))</f>
        <v/>
      </c>
      <c r="Q1938" s="70" t="str">
        <f aca="false">IF(P1938="","",IF(COUNTIF(N_CLAVE,P1938)&gt;1,"⚠ Duplicado","OK"))</f>
        <v/>
      </c>
      <c r="R1938" s="74" t="str">
        <f aca="false">IF(OR(P1938="",U1938=""),"",MAX(0,U1938-N(E1938)-N(F1938)-N(H1938)))</f>
        <v/>
      </c>
      <c r="S1938" s="75" t="str">
        <f aca="false">IF(P1938="","",IFERROR(INDEX(T_INGRESO,MATCH(C1938,T_ID,0)),""))</f>
        <v/>
      </c>
      <c r="T1938" s="75" t="str">
        <f aca="false">IF(P1938="","",IFERROR(N(INDEX(T_EGRESO,MATCH(C1938,T_ID,0))),0))</f>
        <v/>
      </c>
      <c r="U1938" s="73" t="str">
        <f aca="false">IF(OR(P1938="",NOT(ISNUMBER(S1938))),"",IF(OR(S1938&gt;EOMONTH(B1938,0),AND(T1938&gt;0,T1938&lt;B1938)),0,IF(AND(S1938&lt;=B1938,OR(T1938=0,T1938&gt;=EOMONTH(B1938,0))),30,MIN(30,IF(T1938=0,EOMONTH(B1938,0),MIN(T1938,EOMONTH(B1938,0)))-MAX(B1938,S1938)+1))))</f>
        <v/>
      </c>
    </row>
    <row r="1939" customFormat="false" ht="15" hidden="false" customHeight="false" outlineLevel="0" collapsed="false">
      <c r="B1939" s="78"/>
      <c r="C1939" s="64"/>
      <c r="D1939" s="70" t="str">
        <f aca="false">IF(C1939="","",IFERROR(INDEX(T_NOMBRE,MATCH(C1939,T_ID,0)),"⚠ ID no existe"))</f>
        <v/>
      </c>
      <c r="E1939" s="69"/>
      <c r="F1939" s="69"/>
      <c r="G1939" s="69"/>
      <c r="H1939" s="69"/>
      <c r="I1939" s="66"/>
      <c r="J1939" s="69"/>
      <c r="K1939" s="67"/>
      <c r="L1939" s="67"/>
      <c r="M1939" s="67"/>
      <c r="N1939" s="67"/>
      <c r="O1939" s="64"/>
      <c r="P1939" s="72" t="str">
        <f aca="false">IF(OR(B1939="",C1939=""),"",C1939&amp;"|"&amp;(YEAR(B1939)*100+MONTH(B1939)))</f>
        <v/>
      </c>
      <c r="Q1939" s="70" t="str">
        <f aca="false">IF(P1939="","",IF(COUNTIF(N_CLAVE,P1939)&gt;1,"⚠ Duplicado","OK"))</f>
        <v/>
      </c>
      <c r="R1939" s="74" t="str">
        <f aca="false">IF(OR(P1939="",U1939=""),"",MAX(0,U1939-N(E1939)-N(F1939)-N(H1939)))</f>
        <v/>
      </c>
      <c r="S1939" s="75" t="str">
        <f aca="false">IF(P1939="","",IFERROR(INDEX(T_INGRESO,MATCH(C1939,T_ID,0)),""))</f>
        <v/>
      </c>
      <c r="T1939" s="75" t="str">
        <f aca="false">IF(P1939="","",IFERROR(N(INDEX(T_EGRESO,MATCH(C1939,T_ID,0))),0))</f>
        <v/>
      </c>
      <c r="U1939" s="73" t="str">
        <f aca="false">IF(OR(P1939="",NOT(ISNUMBER(S1939))),"",IF(OR(S1939&gt;EOMONTH(B1939,0),AND(T1939&gt;0,T1939&lt;B1939)),0,IF(AND(S1939&lt;=B1939,OR(T1939=0,T1939&gt;=EOMONTH(B1939,0))),30,MIN(30,IF(T1939=0,EOMONTH(B1939,0),MIN(T1939,EOMONTH(B1939,0)))-MAX(B1939,S1939)+1))))</f>
        <v/>
      </c>
    </row>
    <row r="1940" customFormat="false" ht="15" hidden="false" customHeight="false" outlineLevel="0" collapsed="false">
      <c r="B1940" s="78"/>
      <c r="C1940" s="64"/>
      <c r="D1940" s="70" t="str">
        <f aca="false">IF(C1940="","",IFERROR(INDEX(T_NOMBRE,MATCH(C1940,T_ID,0)),"⚠ ID no existe"))</f>
        <v/>
      </c>
      <c r="E1940" s="69"/>
      <c r="F1940" s="69"/>
      <c r="G1940" s="69"/>
      <c r="H1940" s="69"/>
      <c r="I1940" s="66"/>
      <c r="J1940" s="69"/>
      <c r="K1940" s="67"/>
      <c r="L1940" s="67"/>
      <c r="M1940" s="67"/>
      <c r="N1940" s="67"/>
      <c r="O1940" s="64"/>
      <c r="P1940" s="72" t="str">
        <f aca="false">IF(OR(B1940="",C1940=""),"",C1940&amp;"|"&amp;(YEAR(B1940)*100+MONTH(B1940)))</f>
        <v/>
      </c>
      <c r="Q1940" s="70" t="str">
        <f aca="false">IF(P1940="","",IF(COUNTIF(N_CLAVE,P1940)&gt;1,"⚠ Duplicado","OK"))</f>
        <v/>
      </c>
      <c r="R1940" s="74" t="str">
        <f aca="false">IF(OR(P1940="",U1940=""),"",MAX(0,U1940-N(E1940)-N(F1940)-N(H1940)))</f>
        <v/>
      </c>
      <c r="S1940" s="75" t="str">
        <f aca="false">IF(P1940="","",IFERROR(INDEX(T_INGRESO,MATCH(C1940,T_ID,0)),""))</f>
        <v/>
      </c>
      <c r="T1940" s="75" t="str">
        <f aca="false">IF(P1940="","",IFERROR(N(INDEX(T_EGRESO,MATCH(C1940,T_ID,0))),0))</f>
        <v/>
      </c>
      <c r="U1940" s="73" t="str">
        <f aca="false">IF(OR(P1940="",NOT(ISNUMBER(S1940))),"",IF(OR(S1940&gt;EOMONTH(B1940,0),AND(T1940&gt;0,T1940&lt;B1940)),0,IF(AND(S1940&lt;=B1940,OR(T1940=0,T1940&gt;=EOMONTH(B1940,0))),30,MIN(30,IF(T1940=0,EOMONTH(B1940,0),MIN(T1940,EOMONTH(B1940,0)))-MAX(B1940,S1940)+1))))</f>
        <v/>
      </c>
    </row>
    <row r="1941" customFormat="false" ht="15" hidden="false" customHeight="false" outlineLevel="0" collapsed="false">
      <c r="B1941" s="78"/>
      <c r="C1941" s="64"/>
      <c r="D1941" s="70" t="str">
        <f aca="false">IF(C1941="","",IFERROR(INDEX(T_NOMBRE,MATCH(C1941,T_ID,0)),"⚠ ID no existe"))</f>
        <v/>
      </c>
      <c r="E1941" s="69"/>
      <c r="F1941" s="69"/>
      <c r="G1941" s="69"/>
      <c r="H1941" s="69"/>
      <c r="I1941" s="66"/>
      <c r="J1941" s="69"/>
      <c r="K1941" s="67"/>
      <c r="L1941" s="67"/>
      <c r="M1941" s="67"/>
      <c r="N1941" s="67"/>
      <c r="O1941" s="64"/>
      <c r="P1941" s="72" t="str">
        <f aca="false">IF(OR(B1941="",C1941=""),"",C1941&amp;"|"&amp;(YEAR(B1941)*100+MONTH(B1941)))</f>
        <v/>
      </c>
      <c r="Q1941" s="70" t="str">
        <f aca="false">IF(P1941="","",IF(COUNTIF(N_CLAVE,P1941)&gt;1,"⚠ Duplicado","OK"))</f>
        <v/>
      </c>
      <c r="R1941" s="74" t="str">
        <f aca="false">IF(OR(P1941="",U1941=""),"",MAX(0,U1941-N(E1941)-N(F1941)-N(H1941)))</f>
        <v/>
      </c>
      <c r="S1941" s="75" t="str">
        <f aca="false">IF(P1941="","",IFERROR(INDEX(T_INGRESO,MATCH(C1941,T_ID,0)),""))</f>
        <v/>
      </c>
      <c r="T1941" s="75" t="str">
        <f aca="false">IF(P1941="","",IFERROR(N(INDEX(T_EGRESO,MATCH(C1941,T_ID,0))),0))</f>
        <v/>
      </c>
      <c r="U1941" s="73" t="str">
        <f aca="false">IF(OR(P1941="",NOT(ISNUMBER(S1941))),"",IF(OR(S1941&gt;EOMONTH(B1941,0),AND(T1941&gt;0,T1941&lt;B1941)),0,IF(AND(S1941&lt;=B1941,OR(T1941=0,T1941&gt;=EOMONTH(B1941,0))),30,MIN(30,IF(T1941=0,EOMONTH(B1941,0),MIN(T1941,EOMONTH(B1941,0)))-MAX(B1941,S1941)+1))))</f>
        <v/>
      </c>
    </row>
    <row r="1942" customFormat="false" ht="15" hidden="false" customHeight="false" outlineLevel="0" collapsed="false">
      <c r="B1942" s="78"/>
      <c r="C1942" s="64"/>
      <c r="D1942" s="70" t="str">
        <f aca="false">IF(C1942="","",IFERROR(INDEX(T_NOMBRE,MATCH(C1942,T_ID,0)),"⚠ ID no existe"))</f>
        <v/>
      </c>
      <c r="E1942" s="69"/>
      <c r="F1942" s="69"/>
      <c r="G1942" s="69"/>
      <c r="H1942" s="69"/>
      <c r="I1942" s="66"/>
      <c r="J1942" s="69"/>
      <c r="K1942" s="67"/>
      <c r="L1942" s="67"/>
      <c r="M1942" s="67"/>
      <c r="N1942" s="67"/>
      <c r="O1942" s="64"/>
      <c r="P1942" s="72" t="str">
        <f aca="false">IF(OR(B1942="",C1942=""),"",C1942&amp;"|"&amp;(YEAR(B1942)*100+MONTH(B1942)))</f>
        <v/>
      </c>
      <c r="Q1942" s="70" t="str">
        <f aca="false">IF(P1942="","",IF(COUNTIF(N_CLAVE,P1942)&gt;1,"⚠ Duplicado","OK"))</f>
        <v/>
      </c>
      <c r="R1942" s="74" t="str">
        <f aca="false">IF(OR(P1942="",U1942=""),"",MAX(0,U1942-N(E1942)-N(F1942)-N(H1942)))</f>
        <v/>
      </c>
      <c r="S1942" s="75" t="str">
        <f aca="false">IF(P1942="","",IFERROR(INDEX(T_INGRESO,MATCH(C1942,T_ID,0)),""))</f>
        <v/>
      </c>
      <c r="T1942" s="75" t="str">
        <f aca="false">IF(P1942="","",IFERROR(N(INDEX(T_EGRESO,MATCH(C1942,T_ID,0))),0))</f>
        <v/>
      </c>
      <c r="U1942" s="73" t="str">
        <f aca="false">IF(OR(P1942="",NOT(ISNUMBER(S1942))),"",IF(OR(S1942&gt;EOMONTH(B1942,0),AND(T1942&gt;0,T1942&lt;B1942)),0,IF(AND(S1942&lt;=B1942,OR(T1942=0,T1942&gt;=EOMONTH(B1942,0))),30,MIN(30,IF(T1942=0,EOMONTH(B1942,0),MIN(T1942,EOMONTH(B1942,0)))-MAX(B1942,S1942)+1))))</f>
        <v/>
      </c>
    </row>
    <row r="1943" customFormat="false" ht="15" hidden="false" customHeight="false" outlineLevel="0" collapsed="false">
      <c r="B1943" s="78"/>
      <c r="C1943" s="64"/>
      <c r="D1943" s="70" t="str">
        <f aca="false">IF(C1943="","",IFERROR(INDEX(T_NOMBRE,MATCH(C1943,T_ID,0)),"⚠ ID no existe"))</f>
        <v/>
      </c>
      <c r="E1943" s="69"/>
      <c r="F1943" s="69"/>
      <c r="G1943" s="69"/>
      <c r="H1943" s="69"/>
      <c r="I1943" s="66"/>
      <c r="J1943" s="69"/>
      <c r="K1943" s="67"/>
      <c r="L1943" s="67"/>
      <c r="M1943" s="67"/>
      <c r="N1943" s="67"/>
      <c r="O1943" s="64"/>
      <c r="P1943" s="72" t="str">
        <f aca="false">IF(OR(B1943="",C1943=""),"",C1943&amp;"|"&amp;(YEAR(B1943)*100+MONTH(B1943)))</f>
        <v/>
      </c>
      <c r="Q1943" s="70" t="str">
        <f aca="false">IF(P1943="","",IF(COUNTIF(N_CLAVE,P1943)&gt;1,"⚠ Duplicado","OK"))</f>
        <v/>
      </c>
      <c r="R1943" s="74" t="str">
        <f aca="false">IF(OR(P1943="",U1943=""),"",MAX(0,U1943-N(E1943)-N(F1943)-N(H1943)))</f>
        <v/>
      </c>
      <c r="S1943" s="75" t="str">
        <f aca="false">IF(P1943="","",IFERROR(INDEX(T_INGRESO,MATCH(C1943,T_ID,0)),""))</f>
        <v/>
      </c>
      <c r="T1943" s="75" t="str">
        <f aca="false">IF(P1943="","",IFERROR(N(INDEX(T_EGRESO,MATCH(C1943,T_ID,0))),0))</f>
        <v/>
      </c>
      <c r="U1943" s="73" t="str">
        <f aca="false">IF(OR(P1943="",NOT(ISNUMBER(S1943))),"",IF(OR(S1943&gt;EOMONTH(B1943,0),AND(T1943&gt;0,T1943&lt;B1943)),0,IF(AND(S1943&lt;=B1943,OR(T1943=0,T1943&gt;=EOMONTH(B1943,0))),30,MIN(30,IF(T1943=0,EOMONTH(B1943,0),MIN(T1943,EOMONTH(B1943,0)))-MAX(B1943,S1943)+1))))</f>
        <v/>
      </c>
    </row>
    <row r="1944" customFormat="false" ht="15" hidden="false" customHeight="false" outlineLevel="0" collapsed="false">
      <c r="B1944" s="78"/>
      <c r="C1944" s="64"/>
      <c r="D1944" s="70" t="str">
        <f aca="false">IF(C1944="","",IFERROR(INDEX(T_NOMBRE,MATCH(C1944,T_ID,0)),"⚠ ID no existe"))</f>
        <v/>
      </c>
      <c r="E1944" s="69"/>
      <c r="F1944" s="69"/>
      <c r="G1944" s="69"/>
      <c r="H1944" s="69"/>
      <c r="I1944" s="66"/>
      <c r="J1944" s="69"/>
      <c r="K1944" s="67"/>
      <c r="L1944" s="67"/>
      <c r="M1944" s="67"/>
      <c r="N1944" s="67"/>
      <c r="O1944" s="64"/>
      <c r="P1944" s="72" t="str">
        <f aca="false">IF(OR(B1944="",C1944=""),"",C1944&amp;"|"&amp;(YEAR(B1944)*100+MONTH(B1944)))</f>
        <v/>
      </c>
      <c r="Q1944" s="70" t="str">
        <f aca="false">IF(P1944="","",IF(COUNTIF(N_CLAVE,P1944)&gt;1,"⚠ Duplicado","OK"))</f>
        <v/>
      </c>
      <c r="R1944" s="74" t="str">
        <f aca="false">IF(OR(P1944="",U1944=""),"",MAX(0,U1944-N(E1944)-N(F1944)-N(H1944)))</f>
        <v/>
      </c>
      <c r="S1944" s="75" t="str">
        <f aca="false">IF(P1944="","",IFERROR(INDEX(T_INGRESO,MATCH(C1944,T_ID,0)),""))</f>
        <v/>
      </c>
      <c r="T1944" s="75" t="str">
        <f aca="false">IF(P1944="","",IFERROR(N(INDEX(T_EGRESO,MATCH(C1944,T_ID,0))),0))</f>
        <v/>
      </c>
      <c r="U1944" s="73" t="str">
        <f aca="false">IF(OR(P1944="",NOT(ISNUMBER(S1944))),"",IF(OR(S1944&gt;EOMONTH(B1944,0),AND(T1944&gt;0,T1944&lt;B1944)),0,IF(AND(S1944&lt;=B1944,OR(T1944=0,T1944&gt;=EOMONTH(B1944,0))),30,MIN(30,IF(T1944=0,EOMONTH(B1944,0),MIN(T1944,EOMONTH(B1944,0)))-MAX(B1944,S1944)+1))))</f>
        <v/>
      </c>
    </row>
    <row r="1945" customFormat="false" ht="15" hidden="false" customHeight="false" outlineLevel="0" collapsed="false">
      <c r="B1945" s="78"/>
      <c r="C1945" s="64"/>
      <c r="D1945" s="70" t="str">
        <f aca="false">IF(C1945="","",IFERROR(INDEX(T_NOMBRE,MATCH(C1945,T_ID,0)),"⚠ ID no existe"))</f>
        <v/>
      </c>
      <c r="E1945" s="69"/>
      <c r="F1945" s="69"/>
      <c r="G1945" s="69"/>
      <c r="H1945" s="69"/>
      <c r="I1945" s="66"/>
      <c r="J1945" s="69"/>
      <c r="K1945" s="67"/>
      <c r="L1945" s="67"/>
      <c r="M1945" s="67"/>
      <c r="N1945" s="67"/>
      <c r="O1945" s="64"/>
      <c r="P1945" s="72" t="str">
        <f aca="false">IF(OR(B1945="",C1945=""),"",C1945&amp;"|"&amp;(YEAR(B1945)*100+MONTH(B1945)))</f>
        <v/>
      </c>
      <c r="Q1945" s="70" t="str">
        <f aca="false">IF(P1945="","",IF(COUNTIF(N_CLAVE,P1945)&gt;1,"⚠ Duplicado","OK"))</f>
        <v/>
      </c>
      <c r="R1945" s="74" t="str">
        <f aca="false">IF(OR(P1945="",U1945=""),"",MAX(0,U1945-N(E1945)-N(F1945)-N(H1945)))</f>
        <v/>
      </c>
      <c r="S1945" s="75" t="str">
        <f aca="false">IF(P1945="","",IFERROR(INDEX(T_INGRESO,MATCH(C1945,T_ID,0)),""))</f>
        <v/>
      </c>
      <c r="T1945" s="75" t="str">
        <f aca="false">IF(P1945="","",IFERROR(N(INDEX(T_EGRESO,MATCH(C1945,T_ID,0))),0))</f>
        <v/>
      </c>
      <c r="U1945" s="73" t="str">
        <f aca="false">IF(OR(P1945="",NOT(ISNUMBER(S1945))),"",IF(OR(S1945&gt;EOMONTH(B1945,0),AND(T1945&gt;0,T1945&lt;B1945)),0,IF(AND(S1945&lt;=B1945,OR(T1945=0,T1945&gt;=EOMONTH(B1945,0))),30,MIN(30,IF(T1945=0,EOMONTH(B1945,0),MIN(T1945,EOMONTH(B1945,0)))-MAX(B1945,S1945)+1))))</f>
        <v/>
      </c>
    </row>
    <row r="1946" customFormat="false" ht="15" hidden="false" customHeight="false" outlineLevel="0" collapsed="false">
      <c r="B1946" s="78"/>
      <c r="C1946" s="64"/>
      <c r="D1946" s="70" t="str">
        <f aca="false">IF(C1946="","",IFERROR(INDEX(T_NOMBRE,MATCH(C1946,T_ID,0)),"⚠ ID no existe"))</f>
        <v/>
      </c>
      <c r="E1946" s="69"/>
      <c r="F1946" s="69"/>
      <c r="G1946" s="69"/>
      <c r="H1946" s="69"/>
      <c r="I1946" s="66"/>
      <c r="J1946" s="69"/>
      <c r="K1946" s="67"/>
      <c r="L1946" s="67"/>
      <c r="M1946" s="67"/>
      <c r="N1946" s="67"/>
      <c r="O1946" s="64"/>
      <c r="P1946" s="72" t="str">
        <f aca="false">IF(OR(B1946="",C1946=""),"",C1946&amp;"|"&amp;(YEAR(B1946)*100+MONTH(B1946)))</f>
        <v/>
      </c>
      <c r="Q1946" s="70" t="str">
        <f aca="false">IF(P1946="","",IF(COUNTIF(N_CLAVE,P1946)&gt;1,"⚠ Duplicado","OK"))</f>
        <v/>
      </c>
      <c r="R1946" s="74" t="str">
        <f aca="false">IF(OR(P1946="",U1946=""),"",MAX(0,U1946-N(E1946)-N(F1946)-N(H1946)))</f>
        <v/>
      </c>
      <c r="S1946" s="75" t="str">
        <f aca="false">IF(P1946="","",IFERROR(INDEX(T_INGRESO,MATCH(C1946,T_ID,0)),""))</f>
        <v/>
      </c>
      <c r="T1946" s="75" t="str">
        <f aca="false">IF(P1946="","",IFERROR(N(INDEX(T_EGRESO,MATCH(C1946,T_ID,0))),0))</f>
        <v/>
      </c>
      <c r="U1946" s="73" t="str">
        <f aca="false">IF(OR(P1946="",NOT(ISNUMBER(S1946))),"",IF(OR(S1946&gt;EOMONTH(B1946,0),AND(T1946&gt;0,T1946&lt;B1946)),0,IF(AND(S1946&lt;=B1946,OR(T1946=0,T1946&gt;=EOMONTH(B1946,0))),30,MIN(30,IF(T1946=0,EOMONTH(B1946,0),MIN(T1946,EOMONTH(B1946,0)))-MAX(B1946,S1946)+1))))</f>
        <v/>
      </c>
    </row>
    <row r="1947" customFormat="false" ht="15" hidden="false" customHeight="false" outlineLevel="0" collapsed="false">
      <c r="B1947" s="78"/>
      <c r="C1947" s="64"/>
      <c r="D1947" s="70" t="str">
        <f aca="false">IF(C1947="","",IFERROR(INDEX(T_NOMBRE,MATCH(C1947,T_ID,0)),"⚠ ID no existe"))</f>
        <v/>
      </c>
      <c r="E1947" s="69"/>
      <c r="F1947" s="69"/>
      <c r="G1947" s="69"/>
      <c r="H1947" s="69"/>
      <c r="I1947" s="66"/>
      <c r="J1947" s="69"/>
      <c r="K1947" s="67"/>
      <c r="L1947" s="67"/>
      <c r="M1947" s="67"/>
      <c r="N1947" s="67"/>
      <c r="O1947" s="64"/>
      <c r="P1947" s="72" t="str">
        <f aca="false">IF(OR(B1947="",C1947=""),"",C1947&amp;"|"&amp;(YEAR(B1947)*100+MONTH(B1947)))</f>
        <v/>
      </c>
      <c r="Q1947" s="70" t="str">
        <f aca="false">IF(P1947="","",IF(COUNTIF(N_CLAVE,P1947)&gt;1,"⚠ Duplicado","OK"))</f>
        <v/>
      </c>
      <c r="R1947" s="74" t="str">
        <f aca="false">IF(OR(P1947="",U1947=""),"",MAX(0,U1947-N(E1947)-N(F1947)-N(H1947)))</f>
        <v/>
      </c>
      <c r="S1947" s="75" t="str">
        <f aca="false">IF(P1947="","",IFERROR(INDEX(T_INGRESO,MATCH(C1947,T_ID,0)),""))</f>
        <v/>
      </c>
      <c r="T1947" s="75" t="str">
        <f aca="false">IF(P1947="","",IFERROR(N(INDEX(T_EGRESO,MATCH(C1947,T_ID,0))),0))</f>
        <v/>
      </c>
      <c r="U1947" s="73" t="str">
        <f aca="false">IF(OR(P1947="",NOT(ISNUMBER(S1947))),"",IF(OR(S1947&gt;EOMONTH(B1947,0),AND(T1947&gt;0,T1947&lt;B1947)),0,IF(AND(S1947&lt;=B1947,OR(T1947=0,T1947&gt;=EOMONTH(B1947,0))),30,MIN(30,IF(T1947=0,EOMONTH(B1947,0),MIN(T1947,EOMONTH(B1947,0)))-MAX(B1947,S1947)+1))))</f>
        <v/>
      </c>
    </row>
    <row r="1948" customFormat="false" ht="15" hidden="false" customHeight="false" outlineLevel="0" collapsed="false">
      <c r="B1948" s="78"/>
      <c r="C1948" s="64"/>
      <c r="D1948" s="70" t="str">
        <f aca="false">IF(C1948="","",IFERROR(INDEX(T_NOMBRE,MATCH(C1948,T_ID,0)),"⚠ ID no existe"))</f>
        <v/>
      </c>
      <c r="E1948" s="69"/>
      <c r="F1948" s="69"/>
      <c r="G1948" s="69"/>
      <c r="H1948" s="69"/>
      <c r="I1948" s="66"/>
      <c r="J1948" s="69"/>
      <c r="K1948" s="67"/>
      <c r="L1948" s="67"/>
      <c r="M1948" s="67"/>
      <c r="N1948" s="67"/>
      <c r="O1948" s="64"/>
      <c r="P1948" s="72" t="str">
        <f aca="false">IF(OR(B1948="",C1948=""),"",C1948&amp;"|"&amp;(YEAR(B1948)*100+MONTH(B1948)))</f>
        <v/>
      </c>
      <c r="Q1948" s="70" t="str">
        <f aca="false">IF(P1948="","",IF(COUNTIF(N_CLAVE,P1948)&gt;1,"⚠ Duplicado","OK"))</f>
        <v/>
      </c>
      <c r="R1948" s="74" t="str">
        <f aca="false">IF(OR(P1948="",U1948=""),"",MAX(0,U1948-N(E1948)-N(F1948)-N(H1948)))</f>
        <v/>
      </c>
      <c r="S1948" s="75" t="str">
        <f aca="false">IF(P1948="","",IFERROR(INDEX(T_INGRESO,MATCH(C1948,T_ID,0)),""))</f>
        <v/>
      </c>
      <c r="T1948" s="75" t="str">
        <f aca="false">IF(P1948="","",IFERROR(N(INDEX(T_EGRESO,MATCH(C1948,T_ID,0))),0))</f>
        <v/>
      </c>
      <c r="U1948" s="73" t="str">
        <f aca="false">IF(OR(P1948="",NOT(ISNUMBER(S1948))),"",IF(OR(S1948&gt;EOMONTH(B1948,0),AND(T1948&gt;0,T1948&lt;B1948)),0,IF(AND(S1948&lt;=B1948,OR(T1948=0,T1948&gt;=EOMONTH(B1948,0))),30,MIN(30,IF(T1948=0,EOMONTH(B1948,0),MIN(T1948,EOMONTH(B1948,0)))-MAX(B1948,S1948)+1))))</f>
        <v/>
      </c>
    </row>
    <row r="1949" customFormat="false" ht="15" hidden="false" customHeight="false" outlineLevel="0" collapsed="false">
      <c r="B1949" s="78"/>
      <c r="C1949" s="64"/>
      <c r="D1949" s="70" t="str">
        <f aca="false">IF(C1949="","",IFERROR(INDEX(T_NOMBRE,MATCH(C1949,T_ID,0)),"⚠ ID no existe"))</f>
        <v/>
      </c>
      <c r="E1949" s="69"/>
      <c r="F1949" s="69"/>
      <c r="G1949" s="69"/>
      <c r="H1949" s="69"/>
      <c r="I1949" s="66"/>
      <c r="J1949" s="69"/>
      <c r="K1949" s="67"/>
      <c r="L1949" s="67"/>
      <c r="M1949" s="67"/>
      <c r="N1949" s="67"/>
      <c r="O1949" s="64"/>
      <c r="P1949" s="72" t="str">
        <f aca="false">IF(OR(B1949="",C1949=""),"",C1949&amp;"|"&amp;(YEAR(B1949)*100+MONTH(B1949)))</f>
        <v/>
      </c>
      <c r="Q1949" s="70" t="str">
        <f aca="false">IF(P1949="","",IF(COUNTIF(N_CLAVE,P1949)&gt;1,"⚠ Duplicado","OK"))</f>
        <v/>
      </c>
      <c r="R1949" s="74" t="str">
        <f aca="false">IF(OR(P1949="",U1949=""),"",MAX(0,U1949-N(E1949)-N(F1949)-N(H1949)))</f>
        <v/>
      </c>
      <c r="S1949" s="75" t="str">
        <f aca="false">IF(P1949="","",IFERROR(INDEX(T_INGRESO,MATCH(C1949,T_ID,0)),""))</f>
        <v/>
      </c>
      <c r="T1949" s="75" t="str">
        <f aca="false">IF(P1949="","",IFERROR(N(INDEX(T_EGRESO,MATCH(C1949,T_ID,0))),0))</f>
        <v/>
      </c>
      <c r="U1949" s="73" t="str">
        <f aca="false">IF(OR(P1949="",NOT(ISNUMBER(S1949))),"",IF(OR(S1949&gt;EOMONTH(B1949,0),AND(T1949&gt;0,T1949&lt;B1949)),0,IF(AND(S1949&lt;=B1949,OR(T1949=0,T1949&gt;=EOMONTH(B1949,0))),30,MIN(30,IF(T1949=0,EOMONTH(B1949,0),MIN(T1949,EOMONTH(B1949,0)))-MAX(B1949,S1949)+1))))</f>
        <v/>
      </c>
    </row>
    <row r="1950" customFormat="false" ht="15" hidden="false" customHeight="false" outlineLevel="0" collapsed="false">
      <c r="B1950" s="78"/>
      <c r="C1950" s="64"/>
      <c r="D1950" s="70" t="str">
        <f aca="false">IF(C1950="","",IFERROR(INDEX(T_NOMBRE,MATCH(C1950,T_ID,0)),"⚠ ID no existe"))</f>
        <v/>
      </c>
      <c r="E1950" s="69"/>
      <c r="F1950" s="69"/>
      <c r="G1950" s="69"/>
      <c r="H1950" s="69"/>
      <c r="I1950" s="66"/>
      <c r="J1950" s="69"/>
      <c r="K1950" s="67"/>
      <c r="L1950" s="67"/>
      <c r="M1950" s="67"/>
      <c r="N1950" s="67"/>
      <c r="O1950" s="64"/>
      <c r="P1950" s="72" t="str">
        <f aca="false">IF(OR(B1950="",C1950=""),"",C1950&amp;"|"&amp;(YEAR(B1950)*100+MONTH(B1950)))</f>
        <v/>
      </c>
      <c r="Q1950" s="70" t="str">
        <f aca="false">IF(P1950="","",IF(COUNTIF(N_CLAVE,P1950)&gt;1,"⚠ Duplicado","OK"))</f>
        <v/>
      </c>
      <c r="R1950" s="74" t="str">
        <f aca="false">IF(OR(P1950="",U1950=""),"",MAX(0,U1950-N(E1950)-N(F1950)-N(H1950)))</f>
        <v/>
      </c>
      <c r="S1950" s="75" t="str">
        <f aca="false">IF(P1950="","",IFERROR(INDEX(T_INGRESO,MATCH(C1950,T_ID,0)),""))</f>
        <v/>
      </c>
      <c r="T1950" s="75" t="str">
        <f aca="false">IF(P1950="","",IFERROR(N(INDEX(T_EGRESO,MATCH(C1950,T_ID,0))),0))</f>
        <v/>
      </c>
      <c r="U1950" s="73" t="str">
        <f aca="false">IF(OR(P1950="",NOT(ISNUMBER(S1950))),"",IF(OR(S1950&gt;EOMONTH(B1950,0),AND(T1950&gt;0,T1950&lt;B1950)),0,IF(AND(S1950&lt;=B1950,OR(T1950=0,T1950&gt;=EOMONTH(B1950,0))),30,MIN(30,IF(T1950=0,EOMONTH(B1950,0),MIN(T1950,EOMONTH(B1950,0)))-MAX(B1950,S1950)+1))))</f>
        <v/>
      </c>
    </row>
    <row r="1951" customFormat="false" ht="15" hidden="false" customHeight="false" outlineLevel="0" collapsed="false">
      <c r="B1951" s="78"/>
      <c r="C1951" s="64"/>
      <c r="D1951" s="70" t="str">
        <f aca="false">IF(C1951="","",IFERROR(INDEX(T_NOMBRE,MATCH(C1951,T_ID,0)),"⚠ ID no existe"))</f>
        <v/>
      </c>
      <c r="E1951" s="69"/>
      <c r="F1951" s="69"/>
      <c r="G1951" s="69"/>
      <c r="H1951" s="69"/>
      <c r="I1951" s="66"/>
      <c r="J1951" s="69"/>
      <c r="K1951" s="67"/>
      <c r="L1951" s="67"/>
      <c r="M1951" s="67"/>
      <c r="N1951" s="67"/>
      <c r="O1951" s="64"/>
      <c r="P1951" s="72" t="str">
        <f aca="false">IF(OR(B1951="",C1951=""),"",C1951&amp;"|"&amp;(YEAR(B1951)*100+MONTH(B1951)))</f>
        <v/>
      </c>
      <c r="Q1951" s="70" t="str">
        <f aca="false">IF(P1951="","",IF(COUNTIF(N_CLAVE,P1951)&gt;1,"⚠ Duplicado","OK"))</f>
        <v/>
      </c>
      <c r="R1951" s="74" t="str">
        <f aca="false">IF(OR(P1951="",U1951=""),"",MAX(0,U1951-N(E1951)-N(F1951)-N(H1951)))</f>
        <v/>
      </c>
      <c r="S1951" s="75" t="str">
        <f aca="false">IF(P1951="","",IFERROR(INDEX(T_INGRESO,MATCH(C1951,T_ID,0)),""))</f>
        <v/>
      </c>
      <c r="T1951" s="75" t="str">
        <f aca="false">IF(P1951="","",IFERROR(N(INDEX(T_EGRESO,MATCH(C1951,T_ID,0))),0))</f>
        <v/>
      </c>
      <c r="U1951" s="73" t="str">
        <f aca="false">IF(OR(P1951="",NOT(ISNUMBER(S1951))),"",IF(OR(S1951&gt;EOMONTH(B1951,0),AND(T1951&gt;0,T1951&lt;B1951)),0,IF(AND(S1951&lt;=B1951,OR(T1951=0,T1951&gt;=EOMONTH(B1951,0))),30,MIN(30,IF(T1951=0,EOMONTH(B1951,0),MIN(T1951,EOMONTH(B1951,0)))-MAX(B1951,S1951)+1))))</f>
        <v/>
      </c>
    </row>
    <row r="1952" customFormat="false" ht="15" hidden="false" customHeight="false" outlineLevel="0" collapsed="false">
      <c r="B1952" s="78"/>
      <c r="C1952" s="64"/>
      <c r="D1952" s="70" t="str">
        <f aca="false">IF(C1952="","",IFERROR(INDEX(T_NOMBRE,MATCH(C1952,T_ID,0)),"⚠ ID no existe"))</f>
        <v/>
      </c>
      <c r="E1952" s="69"/>
      <c r="F1952" s="69"/>
      <c r="G1952" s="69"/>
      <c r="H1952" s="69"/>
      <c r="I1952" s="66"/>
      <c r="J1952" s="69"/>
      <c r="K1952" s="67"/>
      <c r="L1952" s="67"/>
      <c r="M1952" s="67"/>
      <c r="N1952" s="67"/>
      <c r="O1952" s="64"/>
      <c r="P1952" s="72" t="str">
        <f aca="false">IF(OR(B1952="",C1952=""),"",C1952&amp;"|"&amp;(YEAR(B1952)*100+MONTH(B1952)))</f>
        <v/>
      </c>
      <c r="Q1952" s="70" t="str">
        <f aca="false">IF(P1952="","",IF(COUNTIF(N_CLAVE,P1952)&gt;1,"⚠ Duplicado","OK"))</f>
        <v/>
      </c>
      <c r="R1952" s="74" t="str">
        <f aca="false">IF(OR(P1952="",U1952=""),"",MAX(0,U1952-N(E1952)-N(F1952)-N(H1952)))</f>
        <v/>
      </c>
      <c r="S1952" s="75" t="str">
        <f aca="false">IF(P1952="","",IFERROR(INDEX(T_INGRESO,MATCH(C1952,T_ID,0)),""))</f>
        <v/>
      </c>
      <c r="T1952" s="75" t="str">
        <f aca="false">IF(P1952="","",IFERROR(N(INDEX(T_EGRESO,MATCH(C1952,T_ID,0))),0))</f>
        <v/>
      </c>
      <c r="U1952" s="73" t="str">
        <f aca="false">IF(OR(P1952="",NOT(ISNUMBER(S1952))),"",IF(OR(S1952&gt;EOMONTH(B1952,0),AND(T1952&gt;0,T1952&lt;B1952)),0,IF(AND(S1952&lt;=B1952,OR(T1952=0,T1952&gt;=EOMONTH(B1952,0))),30,MIN(30,IF(T1952=0,EOMONTH(B1952,0),MIN(T1952,EOMONTH(B1952,0)))-MAX(B1952,S1952)+1))))</f>
        <v/>
      </c>
    </row>
    <row r="1953" customFormat="false" ht="15" hidden="false" customHeight="false" outlineLevel="0" collapsed="false">
      <c r="B1953" s="78"/>
      <c r="C1953" s="64"/>
      <c r="D1953" s="70" t="str">
        <f aca="false">IF(C1953="","",IFERROR(INDEX(T_NOMBRE,MATCH(C1953,T_ID,0)),"⚠ ID no existe"))</f>
        <v/>
      </c>
      <c r="E1953" s="69"/>
      <c r="F1953" s="69"/>
      <c r="G1953" s="69"/>
      <c r="H1953" s="69"/>
      <c r="I1953" s="66"/>
      <c r="J1953" s="69"/>
      <c r="K1953" s="67"/>
      <c r="L1953" s="67"/>
      <c r="M1953" s="67"/>
      <c r="N1953" s="67"/>
      <c r="O1953" s="64"/>
      <c r="P1953" s="72" t="str">
        <f aca="false">IF(OR(B1953="",C1953=""),"",C1953&amp;"|"&amp;(YEAR(B1953)*100+MONTH(B1953)))</f>
        <v/>
      </c>
      <c r="Q1953" s="70" t="str">
        <f aca="false">IF(P1953="","",IF(COUNTIF(N_CLAVE,P1953)&gt;1,"⚠ Duplicado","OK"))</f>
        <v/>
      </c>
      <c r="R1953" s="74" t="str">
        <f aca="false">IF(OR(P1953="",U1953=""),"",MAX(0,U1953-N(E1953)-N(F1953)-N(H1953)))</f>
        <v/>
      </c>
      <c r="S1953" s="75" t="str">
        <f aca="false">IF(P1953="","",IFERROR(INDEX(T_INGRESO,MATCH(C1953,T_ID,0)),""))</f>
        <v/>
      </c>
      <c r="T1953" s="75" t="str">
        <f aca="false">IF(P1953="","",IFERROR(N(INDEX(T_EGRESO,MATCH(C1953,T_ID,0))),0))</f>
        <v/>
      </c>
      <c r="U1953" s="73" t="str">
        <f aca="false">IF(OR(P1953="",NOT(ISNUMBER(S1953))),"",IF(OR(S1953&gt;EOMONTH(B1953,0),AND(T1953&gt;0,T1953&lt;B1953)),0,IF(AND(S1953&lt;=B1953,OR(T1953=0,T1953&gt;=EOMONTH(B1953,0))),30,MIN(30,IF(T1953=0,EOMONTH(B1953,0),MIN(T1953,EOMONTH(B1953,0)))-MAX(B1953,S1953)+1))))</f>
        <v/>
      </c>
    </row>
    <row r="1954" customFormat="false" ht="15" hidden="false" customHeight="false" outlineLevel="0" collapsed="false">
      <c r="B1954" s="78"/>
      <c r="C1954" s="64"/>
      <c r="D1954" s="70" t="str">
        <f aca="false">IF(C1954="","",IFERROR(INDEX(T_NOMBRE,MATCH(C1954,T_ID,0)),"⚠ ID no existe"))</f>
        <v/>
      </c>
      <c r="E1954" s="69"/>
      <c r="F1954" s="69"/>
      <c r="G1954" s="69"/>
      <c r="H1954" s="69"/>
      <c r="I1954" s="66"/>
      <c r="J1954" s="69"/>
      <c r="K1954" s="67"/>
      <c r="L1954" s="67"/>
      <c r="M1954" s="67"/>
      <c r="N1954" s="67"/>
      <c r="O1954" s="64"/>
      <c r="P1954" s="72" t="str">
        <f aca="false">IF(OR(B1954="",C1954=""),"",C1954&amp;"|"&amp;(YEAR(B1954)*100+MONTH(B1954)))</f>
        <v/>
      </c>
      <c r="Q1954" s="70" t="str">
        <f aca="false">IF(P1954="","",IF(COUNTIF(N_CLAVE,P1954)&gt;1,"⚠ Duplicado","OK"))</f>
        <v/>
      </c>
      <c r="R1954" s="74" t="str">
        <f aca="false">IF(OR(P1954="",U1954=""),"",MAX(0,U1954-N(E1954)-N(F1954)-N(H1954)))</f>
        <v/>
      </c>
      <c r="S1954" s="75" t="str">
        <f aca="false">IF(P1954="","",IFERROR(INDEX(T_INGRESO,MATCH(C1954,T_ID,0)),""))</f>
        <v/>
      </c>
      <c r="T1954" s="75" t="str">
        <f aca="false">IF(P1954="","",IFERROR(N(INDEX(T_EGRESO,MATCH(C1954,T_ID,0))),0))</f>
        <v/>
      </c>
      <c r="U1954" s="73" t="str">
        <f aca="false">IF(OR(P1954="",NOT(ISNUMBER(S1954))),"",IF(OR(S1954&gt;EOMONTH(B1954,0),AND(T1954&gt;0,T1954&lt;B1954)),0,IF(AND(S1954&lt;=B1954,OR(T1954=0,T1954&gt;=EOMONTH(B1954,0))),30,MIN(30,IF(T1954=0,EOMONTH(B1954,0),MIN(T1954,EOMONTH(B1954,0)))-MAX(B1954,S1954)+1))))</f>
        <v/>
      </c>
    </row>
    <row r="1955" customFormat="false" ht="15" hidden="false" customHeight="false" outlineLevel="0" collapsed="false">
      <c r="B1955" s="78"/>
      <c r="C1955" s="64"/>
      <c r="D1955" s="70" t="str">
        <f aca="false">IF(C1955="","",IFERROR(INDEX(T_NOMBRE,MATCH(C1955,T_ID,0)),"⚠ ID no existe"))</f>
        <v/>
      </c>
      <c r="E1955" s="69"/>
      <c r="F1955" s="69"/>
      <c r="G1955" s="69"/>
      <c r="H1955" s="69"/>
      <c r="I1955" s="66"/>
      <c r="J1955" s="69"/>
      <c r="K1955" s="67"/>
      <c r="L1955" s="67"/>
      <c r="M1955" s="67"/>
      <c r="N1955" s="67"/>
      <c r="O1955" s="64"/>
      <c r="P1955" s="72" t="str">
        <f aca="false">IF(OR(B1955="",C1955=""),"",C1955&amp;"|"&amp;(YEAR(B1955)*100+MONTH(B1955)))</f>
        <v/>
      </c>
      <c r="Q1955" s="70" t="str">
        <f aca="false">IF(P1955="","",IF(COUNTIF(N_CLAVE,P1955)&gt;1,"⚠ Duplicado","OK"))</f>
        <v/>
      </c>
      <c r="R1955" s="74" t="str">
        <f aca="false">IF(OR(P1955="",U1955=""),"",MAX(0,U1955-N(E1955)-N(F1955)-N(H1955)))</f>
        <v/>
      </c>
      <c r="S1955" s="75" t="str">
        <f aca="false">IF(P1955="","",IFERROR(INDEX(T_INGRESO,MATCH(C1955,T_ID,0)),""))</f>
        <v/>
      </c>
      <c r="T1955" s="75" t="str">
        <f aca="false">IF(P1955="","",IFERROR(N(INDEX(T_EGRESO,MATCH(C1955,T_ID,0))),0))</f>
        <v/>
      </c>
      <c r="U1955" s="73" t="str">
        <f aca="false">IF(OR(P1955="",NOT(ISNUMBER(S1955))),"",IF(OR(S1955&gt;EOMONTH(B1955,0),AND(T1955&gt;0,T1955&lt;B1955)),0,IF(AND(S1955&lt;=B1955,OR(T1955=0,T1955&gt;=EOMONTH(B1955,0))),30,MIN(30,IF(T1955=0,EOMONTH(B1955,0),MIN(T1955,EOMONTH(B1955,0)))-MAX(B1955,S1955)+1))))</f>
        <v/>
      </c>
    </row>
    <row r="1956" customFormat="false" ht="15" hidden="false" customHeight="false" outlineLevel="0" collapsed="false">
      <c r="B1956" s="78"/>
      <c r="C1956" s="64"/>
      <c r="D1956" s="70" t="str">
        <f aca="false">IF(C1956="","",IFERROR(INDEX(T_NOMBRE,MATCH(C1956,T_ID,0)),"⚠ ID no existe"))</f>
        <v/>
      </c>
      <c r="E1956" s="69"/>
      <c r="F1956" s="69"/>
      <c r="G1956" s="69"/>
      <c r="H1956" s="69"/>
      <c r="I1956" s="66"/>
      <c r="J1956" s="69"/>
      <c r="K1956" s="67"/>
      <c r="L1956" s="67"/>
      <c r="M1956" s="67"/>
      <c r="N1956" s="67"/>
      <c r="O1956" s="64"/>
      <c r="P1956" s="72" t="str">
        <f aca="false">IF(OR(B1956="",C1956=""),"",C1956&amp;"|"&amp;(YEAR(B1956)*100+MONTH(B1956)))</f>
        <v/>
      </c>
      <c r="Q1956" s="70" t="str">
        <f aca="false">IF(P1956="","",IF(COUNTIF(N_CLAVE,P1956)&gt;1,"⚠ Duplicado","OK"))</f>
        <v/>
      </c>
      <c r="R1956" s="74" t="str">
        <f aca="false">IF(OR(P1956="",U1956=""),"",MAX(0,U1956-N(E1956)-N(F1956)-N(H1956)))</f>
        <v/>
      </c>
      <c r="S1956" s="75" t="str">
        <f aca="false">IF(P1956="","",IFERROR(INDEX(T_INGRESO,MATCH(C1956,T_ID,0)),""))</f>
        <v/>
      </c>
      <c r="T1956" s="75" t="str">
        <f aca="false">IF(P1956="","",IFERROR(N(INDEX(T_EGRESO,MATCH(C1956,T_ID,0))),0))</f>
        <v/>
      </c>
      <c r="U1956" s="73" t="str">
        <f aca="false">IF(OR(P1956="",NOT(ISNUMBER(S1956))),"",IF(OR(S1956&gt;EOMONTH(B1956,0),AND(T1956&gt;0,T1956&lt;B1956)),0,IF(AND(S1956&lt;=B1956,OR(T1956=0,T1956&gt;=EOMONTH(B1956,0))),30,MIN(30,IF(T1956=0,EOMONTH(B1956,0),MIN(T1956,EOMONTH(B1956,0)))-MAX(B1956,S1956)+1))))</f>
        <v/>
      </c>
    </row>
    <row r="1957" customFormat="false" ht="15" hidden="false" customHeight="false" outlineLevel="0" collapsed="false">
      <c r="B1957" s="78"/>
      <c r="C1957" s="64"/>
      <c r="D1957" s="70" t="str">
        <f aca="false">IF(C1957="","",IFERROR(INDEX(T_NOMBRE,MATCH(C1957,T_ID,0)),"⚠ ID no existe"))</f>
        <v/>
      </c>
      <c r="E1957" s="69"/>
      <c r="F1957" s="69"/>
      <c r="G1957" s="69"/>
      <c r="H1957" s="69"/>
      <c r="I1957" s="66"/>
      <c r="J1957" s="69"/>
      <c r="K1957" s="67"/>
      <c r="L1957" s="67"/>
      <c r="M1957" s="67"/>
      <c r="N1957" s="67"/>
      <c r="O1957" s="64"/>
      <c r="P1957" s="72" t="str">
        <f aca="false">IF(OR(B1957="",C1957=""),"",C1957&amp;"|"&amp;(YEAR(B1957)*100+MONTH(B1957)))</f>
        <v/>
      </c>
      <c r="Q1957" s="70" t="str">
        <f aca="false">IF(P1957="","",IF(COUNTIF(N_CLAVE,P1957)&gt;1,"⚠ Duplicado","OK"))</f>
        <v/>
      </c>
      <c r="R1957" s="74" t="str">
        <f aca="false">IF(OR(P1957="",U1957=""),"",MAX(0,U1957-N(E1957)-N(F1957)-N(H1957)))</f>
        <v/>
      </c>
      <c r="S1957" s="75" t="str">
        <f aca="false">IF(P1957="","",IFERROR(INDEX(T_INGRESO,MATCH(C1957,T_ID,0)),""))</f>
        <v/>
      </c>
      <c r="T1957" s="75" t="str">
        <f aca="false">IF(P1957="","",IFERROR(N(INDEX(T_EGRESO,MATCH(C1957,T_ID,0))),0))</f>
        <v/>
      </c>
      <c r="U1957" s="73" t="str">
        <f aca="false">IF(OR(P1957="",NOT(ISNUMBER(S1957))),"",IF(OR(S1957&gt;EOMONTH(B1957,0),AND(T1957&gt;0,T1957&lt;B1957)),0,IF(AND(S1957&lt;=B1957,OR(T1957=0,T1957&gt;=EOMONTH(B1957,0))),30,MIN(30,IF(T1957=0,EOMONTH(B1957,0),MIN(T1957,EOMONTH(B1957,0)))-MAX(B1957,S1957)+1))))</f>
        <v/>
      </c>
    </row>
    <row r="1958" customFormat="false" ht="15" hidden="false" customHeight="false" outlineLevel="0" collapsed="false">
      <c r="B1958" s="78"/>
      <c r="C1958" s="64"/>
      <c r="D1958" s="70" t="str">
        <f aca="false">IF(C1958="","",IFERROR(INDEX(T_NOMBRE,MATCH(C1958,T_ID,0)),"⚠ ID no existe"))</f>
        <v/>
      </c>
      <c r="E1958" s="69"/>
      <c r="F1958" s="69"/>
      <c r="G1958" s="69"/>
      <c r="H1958" s="69"/>
      <c r="I1958" s="66"/>
      <c r="J1958" s="69"/>
      <c r="K1958" s="67"/>
      <c r="L1958" s="67"/>
      <c r="M1958" s="67"/>
      <c r="N1958" s="67"/>
      <c r="O1958" s="64"/>
      <c r="P1958" s="72" t="str">
        <f aca="false">IF(OR(B1958="",C1958=""),"",C1958&amp;"|"&amp;(YEAR(B1958)*100+MONTH(B1958)))</f>
        <v/>
      </c>
      <c r="Q1958" s="70" t="str">
        <f aca="false">IF(P1958="","",IF(COUNTIF(N_CLAVE,P1958)&gt;1,"⚠ Duplicado","OK"))</f>
        <v/>
      </c>
      <c r="R1958" s="74" t="str">
        <f aca="false">IF(OR(P1958="",U1958=""),"",MAX(0,U1958-N(E1958)-N(F1958)-N(H1958)))</f>
        <v/>
      </c>
      <c r="S1958" s="75" t="str">
        <f aca="false">IF(P1958="","",IFERROR(INDEX(T_INGRESO,MATCH(C1958,T_ID,0)),""))</f>
        <v/>
      </c>
      <c r="T1958" s="75" t="str">
        <f aca="false">IF(P1958="","",IFERROR(N(INDEX(T_EGRESO,MATCH(C1958,T_ID,0))),0))</f>
        <v/>
      </c>
      <c r="U1958" s="73" t="str">
        <f aca="false">IF(OR(P1958="",NOT(ISNUMBER(S1958))),"",IF(OR(S1958&gt;EOMONTH(B1958,0),AND(T1958&gt;0,T1958&lt;B1958)),0,IF(AND(S1958&lt;=B1958,OR(T1958=0,T1958&gt;=EOMONTH(B1958,0))),30,MIN(30,IF(T1958=0,EOMONTH(B1958,0),MIN(T1958,EOMONTH(B1958,0)))-MAX(B1958,S1958)+1))))</f>
        <v/>
      </c>
    </row>
    <row r="1959" customFormat="false" ht="15" hidden="false" customHeight="false" outlineLevel="0" collapsed="false">
      <c r="B1959" s="78"/>
      <c r="C1959" s="64"/>
      <c r="D1959" s="70" t="str">
        <f aca="false">IF(C1959="","",IFERROR(INDEX(T_NOMBRE,MATCH(C1959,T_ID,0)),"⚠ ID no existe"))</f>
        <v/>
      </c>
      <c r="E1959" s="69"/>
      <c r="F1959" s="69"/>
      <c r="G1959" s="69"/>
      <c r="H1959" s="69"/>
      <c r="I1959" s="66"/>
      <c r="J1959" s="69"/>
      <c r="K1959" s="67"/>
      <c r="L1959" s="67"/>
      <c r="M1959" s="67"/>
      <c r="N1959" s="67"/>
      <c r="O1959" s="64"/>
      <c r="P1959" s="72" t="str">
        <f aca="false">IF(OR(B1959="",C1959=""),"",C1959&amp;"|"&amp;(YEAR(B1959)*100+MONTH(B1959)))</f>
        <v/>
      </c>
      <c r="Q1959" s="70" t="str">
        <f aca="false">IF(P1959="","",IF(COUNTIF(N_CLAVE,P1959)&gt;1,"⚠ Duplicado","OK"))</f>
        <v/>
      </c>
      <c r="R1959" s="74" t="str">
        <f aca="false">IF(OR(P1959="",U1959=""),"",MAX(0,U1959-N(E1959)-N(F1959)-N(H1959)))</f>
        <v/>
      </c>
      <c r="S1959" s="75" t="str">
        <f aca="false">IF(P1959="","",IFERROR(INDEX(T_INGRESO,MATCH(C1959,T_ID,0)),""))</f>
        <v/>
      </c>
      <c r="T1959" s="75" t="str">
        <f aca="false">IF(P1959="","",IFERROR(N(INDEX(T_EGRESO,MATCH(C1959,T_ID,0))),0))</f>
        <v/>
      </c>
      <c r="U1959" s="73" t="str">
        <f aca="false">IF(OR(P1959="",NOT(ISNUMBER(S1959))),"",IF(OR(S1959&gt;EOMONTH(B1959,0),AND(T1959&gt;0,T1959&lt;B1959)),0,IF(AND(S1959&lt;=B1959,OR(T1959=0,T1959&gt;=EOMONTH(B1959,0))),30,MIN(30,IF(T1959=0,EOMONTH(B1959,0),MIN(T1959,EOMONTH(B1959,0)))-MAX(B1959,S1959)+1))))</f>
        <v/>
      </c>
    </row>
    <row r="1960" customFormat="false" ht="15" hidden="false" customHeight="false" outlineLevel="0" collapsed="false">
      <c r="B1960" s="78"/>
      <c r="C1960" s="64"/>
      <c r="D1960" s="70" t="str">
        <f aca="false">IF(C1960="","",IFERROR(INDEX(T_NOMBRE,MATCH(C1960,T_ID,0)),"⚠ ID no existe"))</f>
        <v/>
      </c>
      <c r="E1960" s="69"/>
      <c r="F1960" s="69"/>
      <c r="G1960" s="69"/>
      <c r="H1960" s="69"/>
      <c r="I1960" s="66"/>
      <c r="J1960" s="69"/>
      <c r="K1960" s="67"/>
      <c r="L1960" s="67"/>
      <c r="M1960" s="67"/>
      <c r="N1960" s="67"/>
      <c r="O1960" s="64"/>
      <c r="P1960" s="72" t="str">
        <f aca="false">IF(OR(B1960="",C1960=""),"",C1960&amp;"|"&amp;(YEAR(B1960)*100+MONTH(B1960)))</f>
        <v/>
      </c>
      <c r="Q1960" s="70" t="str">
        <f aca="false">IF(P1960="","",IF(COUNTIF(N_CLAVE,P1960)&gt;1,"⚠ Duplicado","OK"))</f>
        <v/>
      </c>
      <c r="R1960" s="74" t="str">
        <f aca="false">IF(OR(P1960="",U1960=""),"",MAX(0,U1960-N(E1960)-N(F1960)-N(H1960)))</f>
        <v/>
      </c>
      <c r="S1960" s="75" t="str">
        <f aca="false">IF(P1960="","",IFERROR(INDEX(T_INGRESO,MATCH(C1960,T_ID,0)),""))</f>
        <v/>
      </c>
      <c r="T1960" s="75" t="str">
        <f aca="false">IF(P1960="","",IFERROR(N(INDEX(T_EGRESO,MATCH(C1960,T_ID,0))),0))</f>
        <v/>
      </c>
      <c r="U1960" s="73" t="str">
        <f aca="false">IF(OR(P1960="",NOT(ISNUMBER(S1960))),"",IF(OR(S1960&gt;EOMONTH(B1960,0),AND(T1960&gt;0,T1960&lt;B1960)),0,IF(AND(S1960&lt;=B1960,OR(T1960=0,T1960&gt;=EOMONTH(B1960,0))),30,MIN(30,IF(T1960=0,EOMONTH(B1960,0),MIN(T1960,EOMONTH(B1960,0)))-MAX(B1960,S1960)+1))))</f>
        <v/>
      </c>
    </row>
    <row r="1961" customFormat="false" ht="15" hidden="false" customHeight="false" outlineLevel="0" collapsed="false">
      <c r="B1961" s="78"/>
      <c r="C1961" s="64"/>
      <c r="D1961" s="70" t="str">
        <f aca="false">IF(C1961="","",IFERROR(INDEX(T_NOMBRE,MATCH(C1961,T_ID,0)),"⚠ ID no existe"))</f>
        <v/>
      </c>
      <c r="E1961" s="69"/>
      <c r="F1961" s="69"/>
      <c r="G1961" s="69"/>
      <c r="H1961" s="69"/>
      <c r="I1961" s="66"/>
      <c r="J1961" s="69"/>
      <c r="K1961" s="67"/>
      <c r="L1961" s="67"/>
      <c r="M1961" s="67"/>
      <c r="N1961" s="67"/>
      <c r="O1961" s="64"/>
      <c r="P1961" s="72" t="str">
        <f aca="false">IF(OR(B1961="",C1961=""),"",C1961&amp;"|"&amp;(YEAR(B1961)*100+MONTH(B1961)))</f>
        <v/>
      </c>
      <c r="Q1961" s="70" t="str">
        <f aca="false">IF(P1961="","",IF(COUNTIF(N_CLAVE,P1961)&gt;1,"⚠ Duplicado","OK"))</f>
        <v/>
      </c>
      <c r="R1961" s="74" t="str">
        <f aca="false">IF(OR(P1961="",U1961=""),"",MAX(0,U1961-N(E1961)-N(F1961)-N(H1961)))</f>
        <v/>
      </c>
      <c r="S1961" s="75" t="str">
        <f aca="false">IF(P1961="","",IFERROR(INDEX(T_INGRESO,MATCH(C1961,T_ID,0)),""))</f>
        <v/>
      </c>
      <c r="T1961" s="75" t="str">
        <f aca="false">IF(P1961="","",IFERROR(N(INDEX(T_EGRESO,MATCH(C1961,T_ID,0))),0))</f>
        <v/>
      </c>
      <c r="U1961" s="73" t="str">
        <f aca="false">IF(OR(P1961="",NOT(ISNUMBER(S1961))),"",IF(OR(S1961&gt;EOMONTH(B1961,0),AND(T1961&gt;0,T1961&lt;B1961)),0,IF(AND(S1961&lt;=B1961,OR(T1961=0,T1961&gt;=EOMONTH(B1961,0))),30,MIN(30,IF(T1961=0,EOMONTH(B1961,0),MIN(T1961,EOMONTH(B1961,0)))-MAX(B1961,S1961)+1))))</f>
        <v/>
      </c>
    </row>
    <row r="1962" customFormat="false" ht="15" hidden="false" customHeight="false" outlineLevel="0" collapsed="false">
      <c r="B1962" s="78"/>
      <c r="C1962" s="64"/>
      <c r="D1962" s="70" t="str">
        <f aca="false">IF(C1962="","",IFERROR(INDEX(T_NOMBRE,MATCH(C1962,T_ID,0)),"⚠ ID no existe"))</f>
        <v/>
      </c>
      <c r="E1962" s="69"/>
      <c r="F1962" s="69"/>
      <c r="G1962" s="69"/>
      <c r="H1962" s="69"/>
      <c r="I1962" s="66"/>
      <c r="J1962" s="69"/>
      <c r="K1962" s="67"/>
      <c r="L1962" s="67"/>
      <c r="M1962" s="67"/>
      <c r="N1962" s="67"/>
      <c r="O1962" s="64"/>
      <c r="P1962" s="72" t="str">
        <f aca="false">IF(OR(B1962="",C1962=""),"",C1962&amp;"|"&amp;(YEAR(B1962)*100+MONTH(B1962)))</f>
        <v/>
      </c>
      <c r="Q1962" s="70" t="str">
        <f aca="false">IF(P1962="","",IF(COUNTIF(N_CLAVE,P1962)&gt;1,"⚠ Duplicado","OK"))</f>
        <v/>
      </c>
      <c r="R1962" s="74" t="str">
        <f aca="false">IF(OR(P1962="",U1962=""),"",MAX(0,U1962-N(E1962)-N(F1962)-N(H1962)))</f>
        <v/>
      </c>
      <c r="S1962" s="75" t="str">
        <f aca="false">IF(P1962="","",IFERROR(INDEX(T_INGRESO,MATCH(C1962,T_ID,0)),""))</f>
        <v/>
      </c>
      <c r="T1962" s="75" t="str">
        <f aca="false">IF(P1962="","",IFERROR(N(INDEX(T_EGRESO,MATCH(C1962,T_ID,0))),0))</f>
        <v/>
      </c>
      <c r="U1962" s="73" t="str">
        <f aca="false">IF(OR(P1962="",NOT(ISNUMBER(S1962))),"",IF(OR(S1962&gt;EOMONTH(B1962,0),AND(T1962&gt;0,T1962&lt;B1962)),0,IF(AND(S1962&lt;=B1962,OR(T1962=0,T1962&gt;=EOMONTH(B1962,0))),30,MIN(30,IF(T1962=0,EOMONTH(B1962,0),MIN(T1962,EOMONTH(B1962,0)))-MAX(B1962,S1962)+1))))</f>
        <v/>
      </c>
    </row>
    <row r="1963" customFormat="false" ht="15" hidden="false" customHeight="false" outlineLevel="0" collapsed="false">
      <c r="B1963" s="78"/>
      <c r="C1963" s="64"/>
      <c r="D1963" s="70" t="str">
        <f aca="false">IF(C1963="","",IFERROR(INDEX(T_NOMBRE,MATCH(C1963,T_ID,0)),"⚠ ID no existe"))</f>
        <v/>
      </c>
      <c r="E1963" s="69"/>
      <c r="F1963" s="69"/>
      <c r="G1963" s="69"/>
      <c r="H1963" s="69"/>
      <c r="I1963" s="66"/>
      <c r="J1963" s="69"/>
      <c r="K1963" s="67"/>
      <c r="L1963" s="67"/>
      <c r="M1963" s="67"/>
      <c r="N1963" s="67"/>
      <c r="O1963" s="64"/>
      <c r="P1963" s="72" t="str">
        <f aca="false">IF(OR(B1963="",C1963=""),"",C1963&amp;"|"&amp;(YEAR(B1963)*100+MONTH(B1963)))</f>
        <v/>
      </c>
      <c r="Q1963" s="70" t="str">
        <f aca="false">IF(P1963="","",IF(COUNTIF(N_CLAVE,P1963)&gt;1,"⚠ Duplicado","OK"))</f>
        <v/>
      </c>
      <c r="R1963" s="74" t="str">
        <f aca="false">IF(OR(P1963="",U1963=""),"",MAX(0,U1963-N(E1963)-N(F1963)-N(H1963)))</f>
        <v/>
      </c>
      <c r="S1963" s="75" t="str">
        <f aca="false">IF(P1963="","",IFERROR(INDEX(T_INGRESO,MATCH(C1963,T_ID,0)),""))</f>
        <v/>
      </c>
      <c r="T1963" s="75" t="str">
        <f aca="false">IF(P1963="","",IFERROR(N(INDEX(T_EGRESO,MATCH(C1963,T_ID,0))),0))</f>
        <v/>
      </c>
      <c r="U1963" s="73" t="str">
        <f aca="false">IF(OR(P1963="",NOT(ISNUMBER(S1963))),"",IF(OR(S1963&gt;EOMONTH(B1963,0),AND(T1963&gt;0,T1963&lt;B1963)),0,IF(AND(S1963&lt;=B1963,OR(T1963=0,T1963&gt;=EOMONTH(B1963,0))),30,MIN(30,IF(T1963=0,EOMONTH(B1963,0),MIN(T1963,EOMONTH(B1963,0)))-MAX(B1963,S1963)+1))))</f>
        <v/>
      </c>
    </row>
    <row r="1964" customFormat="false" ht="15" hidden="false" customHeight="false" outlineLevel="0" collapsed="false">
      <c r="B1964" s="78"/>
      <c r="C1964" s="64"/>
      <c r="D1964" s="70" t="str">
        <f aca="false">IF(C1964="","",IFERROR(INDEX(T_NOMBRE,MATCH(C1964,T_ID,0)),"⚠ ID no existe"))</f>
        <v/>
      </c>
      <c r="E1964" s="69"/>
      <c r="F1964" s="69"/>
      <c r="G1964" s="69"/>
      <c r="H1964" s="69"/>
      <c r="I1964" s="66"/>
      <c r="J1964" s="69"/>
      <c r="K1964" s="67"/>
      <c r="L1964" s="67"/>
      <c r="M1964" s="67"/>
      <c r="N1964" s="67"/>
      <c r="O1964" s="64"/>
      <c r="P1964" s="72" t="str">
        <f aca="false">IF(OR(B1964="",C1964=""),"",C1964&amp;"|"&amp;(YEAR(B1964)*100+MONTH(B1964)))</f>
        <v/>
      </c>
      <c r="Q1964" s="70" t="str">
        <f aca="false">IF(P1964="","",IF(COUNTIF(N_CLAVE,P1964)&gt;1,"⚠ Duplicado","OK"))</f>
        <v/>
      </c>
      <c r="R1964" s="74" t="str">
        <f aca="false">IF(OR(P1964="",U1964=""),"",MAX(0,U1964-N(E1964)-N(F1964)-N(H1964)))</f>
        <v/>
      </c>
      <c r="S1964" s="75" t="str">
        <f aca="false">IF(P1964="","",IFERROR(INDEX(T_INGRESO,MATCH(C1964,T_ID,0)),""))</f>
        <v/>
      </c>
      <c r="T1964" s="75" t="str">
        <f aca="false">IF(P1964="","",IFERROR(N(INDEX(T_EGRESO,MATCH(C1964,T_ID,0))),0))</f>
        <v/>
      </c>
      <c r="U1964" s="73" t="str">
        <f aca="false">IF(OR(P1964="",NOT(ISNUMBER(S1964))),"",IF(OR(S1964&gt;EOMONTH(B1964,0),AND(T1964&gt;0,T1964&lt;B1964)),0,IF(AND(S1964&lt;=B1964,OR(T1964=0,T1964&gt;=EOMONTH(B1964,0))),30,MIN(30,IF(T1964=0,EOMONTH(B1964,0),MIN(T1964,EOMONTH(B1964,0)))-MAX(B1964,S1964)+1))))</f>
        <v/>
      </c>
    </row>
    <row r="1965" customFormat="false" ht="15" hidden="false" customHeight="false" outlineLevel="0" collapsed="false">
      <c r="B1965" s="78"/>
      <c r="C1965" s="64"/>
      <c r="D1965" s="70" t="str">
        <f aca="false">IF(C1965="","",IFERROR(INDEX(T_NOMBRE,MATCH(C1965,T_ID,0)),"⚠ ID no existe"))</f>
        <v/>
      </c>
      <c r="E1965" s="69"/>
      <c r="F1965" s="69"/>
      <c r="G1965" s="69"/>
      <c r="H1965" s="69"/>
      <c r="I1965" s="66"/>
      <c r="J1965" s="69"/>
      <c r="K1965" s="67"/>
      <c r="L1965" s="67"/>
      <c r="M1965" s="67"/>
      <c r="N1965" s="67"/>
      <c r="O1965" s="64"/>
      <c r="P1965" s="72" t="str">
        <f aca="false">IF(OR(B1965="",C1965=""),"",C1965&amp;"|"&amp;(YEAR(B1965)*100+MONTH(B1965)))</f>
        <v/>
      </c>
      <c r="Q1965" s="70" t="str">
        <f aca="false">IF(P1965="","",IF(COUNTIF(N_CLAVE,P1965)&gt;1,"⚠ Duplicado","OK"))</f>
        <v/>
      </c>
      <c r="R1965" s="74" t="str">
        <f aca="false">IF(OR(P1965="",U1965=""),"",MAX(0,U1965-N(E1965)-N(F1965)-N(H1965)))</f>
        <v/>
      </c>
      <c r="S1965" s="75" t="str">
        <f aca="false">IF(P1965="","",IFERROR(INDEX(T_INGRESO,MATCH(C1965,T_ID,0)),""))</f>
        <v/>
      </c>
      <c r="T1965" s="75" t="str">
        <f aca="false">IF(P1965="","",IFERROR(N(INDEX(T_EGRESO,MATCH(C1965,T_ID,0))),0))</f>
        <v/>
      </c>
      <c r="U1965" s="73" t="str">
        <f aca="false">IF(OR(P1965="",NOT(ISNUMBER(S1965))),"",IF(OR(S1965&gt;EOMONTH(B1965,0),AND(T1965&gt;0,T1965&lt;B1965)),0,IF(AND(S1965&lt;=B1965,OR(T1965=0,T1965&gt;=EOMONTH(B1965,0))),30,MIN(30,IF(T1965=0,EOMONTH(B1965,0),MIN(T1965,EOMONTH(B1965,0)))-MAX(B1965,S1965)+1))))</f>
        <v/>
      </c>
    </row>
    <row r="1966" customFormat="false" ht="15" hidden="false" customHeight="false" outlineLevel="0" collapsed="false">
      <c r="B1966" s="78"/>
      <c r="C1966" s="64"/>
      <c r="D1966" s="70" t="str">
        <f aca="false">IF(C1966="","",IFERROR(INDEX(T_NOMBRE,MATCH(C1966,T_ID,0)),"⚠ ID no existe"))</f>
        <v/>
      </c>
      <c r="E1966" s="69"/>
      <c r="F1966" s="69"/>
      <c r="G1966" s="69"/>
      <c r="H1966" s="69"/>
      <c r="I1966" s="66"/>
      <c r="J1966" s="69"/>
      <c r="K1966" s="67"/>
      <c r="L1966" s="67"/>
      <c r="M1966" s="67"/>
      <c r="N1966" s="67"/>
      <c r="O1966" s="64"/>
      <c r="P1966" s="72" t="str">
        <f aca="false">IF(OR(B1966="",C1966=""),"",C1966&amp;"|"&amp;(YEAR(B1966)*100+MONTH(B1966)))</f>
        <v/>
      </c>
      <c r="Q1966" s="70" t="str">
        <f aca="false">IF(P1966="","",IF(COUNTIF(N_CLAVE,P1966)&gt;1,"⚠ Duplicado","OK"))</f>
        <v/>
      </c>
      <c r="R1966" s="74" t="str">
        <f aca="false">IF(OR(P1966="",U1966=""),"",MAX(0,U1966-N(E1966)-N(F1966)-N(H1966)))</f>
        <v/>
      </c>
      <c r="S1966" s="75" t="str">
        <f aca="false">IF(P1966="","",IFERROR(INDEX(T_INGRESO,MATCH(C1966,T_ID,0)),""))</f>
        <v/>
      </c>
      <c r="T1966" s="75" t="str">
        <f aca="false">IF(P1966="","",IFERROR(N(INDEX(T_EGRESO,MATCH(C1966,T_ID,0))),0))</f>
        <v/>
      </c>
      <c r="U1966" s="73" t="str">
        <f aca="false">IF(OR(P1966="",NOT(ISNUMBER(S1966))),"",IF(OR(S1966&gt;EOMONTH(B1966,0),AND(T1966&gt;0,T1966&lt;B1966)),0,IF(AND(S1966&lt;=B1966,OR(T1966=0,T1966&gt;=EOMONTH(B1966,0))),30,MIN(30,IF(T1966=0,EOMONTH(B1966,0),MIN(T1966,EOMONTH(B1966,0)))-MAX(B1966,S1966)+1))))</f>
        <v/>
      </c>
    </row>
    <row r="1967" customFormat="false" ht="15" hidden="false" customHeight="false" outlineLevel="0" collapsed="false">
      <c r="B1967" s="78"/>
      <c r="C1967" s="64"/>
      <c r="D1967" s="70" t="str">
        <f aca="false">IF(C1967="","",IFERROR(INDEX(T_NOMBRE,MATCH(C1967,T_ID,0)),"⚠ ID no existe"))</f>
        <v/>
      </c>
      <c r="E1967" s="69"/>
      <c r="F1967" s="69"/>
      <c r="G1967" s="69"/>
      <c r="H1967" s="69"/>
      <c r="I1967" s="66"/>
      <c r="J1967" s="69"/>
      <c r="K1967" s="67"/>
      <c r="L1967" s="67"/>
      <c r="M1967" s="67"/>
      <c r="N1967" s="67"/>
      <c r="O1967" s="64"/>
      <c r="P1967" s="72" t="str">
        <f aca="false">IF(OR(B1967="",C1967=""),"",C1967&amp;"|"&amp;(YEAR(B1967)*100+MONTH(B1967)))</f>
        <v/>
      </c>
      <c r="Q1967" s="70" t="str">
        <f aca="false">IF(P1967="","",IF(COUNTIF(N_CLAVE,P1967)&gt;1,"⚠ Duplicado","OK"))</f>
        <v/>
      </c>
      <c r="R1967" s="74" t="str">
        <f aca="false">IF(OR(P1967="",U1967=""),"",MAX(0,U1967-N(E1967)-N(F1967)-N(H1967)))</f>
        <v/>
      </c>
      <c r="S1967" s="75" t="str">
        <f aca="false">IF(P1967="","",IFERROR(INDEX(T_INGRESO,MATCH(C1967,T_ID,0)),""))</f>
        <v/>
      </c>
      <c r="T1967" s="75" t="str">
        <f aca="false">IF(P1967="","",IFERROR(N(INDEX(T_EGRESO,MATCH(C1967,T_ID,0))),0))</f>
        <v/>
      </c>
      <c r="U1967" s="73" t="str">
        <f aca="false">IF(OR(P1967="",NOT(ISNUMBER(S1967))),"",IF(OR(S1967&gt;EOMONTH(B1967,0),AND(T1967&gt;0,T1967&lt;B1967)),0,IF(AND(S1967&lt;=B1967,OR(T1967=0,T1967&gt;=EOMONTH(B1967,0))),30,MIN(30,IF(T1967=0,EOMONTH(B1967,0),MIN(T1967,EOMONTH(B1967,0)))-MAX(B1967,S1967)+1))))</f>
        <v/>
      </c>
    </row>
    <row r="1968" customFormat="false" ht="15" hidden="false" customHeight="false" outlineLevel="0" collapsed="false">
      <c r="B1968" s="78"/>
      <c r="C1968" s="64"/>
      <c r="D1968" s="70" t="str">
        <f aca="false">IF(C1968="","",IFERROR(INDEX(T_NOMBRE,MATCH(C1968,T_ID,0)),"⚠ ID no existe"))</f>
        <v/>
      </c>
      <c r="E1968" s="69"/>
      <c r="F1968" s="69"/>
      <c r="G1968" s="69"/>
      <c r="H1968" s="69"/>
      <c r="I1968" s="66"/>
      <c r="J1968" s="69"/>
      <c r="K1968" s="67"/>
      <c r="L1968" s="67"/>
      <c r="M1968" s="67"/>
      <c r="N1968" s="67"/>
      <c r="O1968" s="64"/>
      <c r="P1968" s="72" t="str">
        <f aca="false">IF(OR(B1968="",C1968=""),"",C1968&amp;"|"&amp;(YEAR(B1968)*100+MONTH(B1968)))</f>
        <v/>
      </c>
      <c r="Q1968" s="70" t="str">
        <f aca="false">IF(P1968="","",IF(COUNTIF(N_CLAVE,P1968)&gt;1,"⚠ Duplicado","OK"))</f>
        <v/>
      </c>
      <c r="R1968" s="74" t="str">
        <f aca="false">IF(OR(P1968="",U1968=""),"",MAX(0,U1968-N(E1968)-N(F1968)-N(H1968)))</f>
        <v/>
      </c>
      <c r="S1968" s="75" t="str">
        <f aca="false">IF(P1968="","",IFERROR(INDEX(T_INGRESO,MATCH(C1968,T_ID,0)),""))</f>
        <v/>
      </c>
      <c r="T1968" s="75" t="str">
        <f aca="false">IF(P1968="","",IFERROR(N(INDEX(T_EGRESO,MATCH(C1968,T_ID,0))),0))</f>
        <v/>
      </c>
      <c r="U1968" s="73" t="str">
        <f aca="false">IF(OR(P1968="",NOT(ISNUMBER(S1968))),"",IF(OR(S1968&gt;EOMONTH(B1968,0),AND(T1968&gt;0,T1968&lt;B1968)),0,IF(AND(S1968&lt;=B1968,OR(T1968=0,T1968&gt;=EOMONTH(B1968,0))),30,MIN(30,IF(T1968=0,EOMONTH(B1968,0),MIN(T1968,EOMONTH(B1968,0)))-MAX(B1968,S1968)+1))))</f>
        <v/>
      </c>
    </row>
    <row r="1969" customFormat="false" ht="15" hidden="false" customHeight="false" outlineLevel="0" collapsed="false">
      <c r="B1969" s="78"/>
      <c r="C1969" s="64"/>
      <c r="D1969" s="70" t="str">
        <f aca="false">IF(C1969="","",IFERROR(INDEX(T_NOMBRE,MATCH(C1969,T_ID,0)),"⚠ ID no existe"))</f>
        <v/>
      </c>
      <c r="E1969" s="69"/>
      <c r="F1969" s="69"/>
      <c r="G1969" s="69"/>
      <c r="H1969" s="69"/>
      <c r="I1969" s="66"/>
      <c r="J1969" s="69"/>
      <c r="K1969" s="67"/>
      <c r="L1969" s="67"/>
      <c r="M1969" s="67"/>
      <c r="N1969" s="67"/>
      <c r="O1969" s="64"/>
      <c r="P1969" s="72" t="str">
        <f aca="false">IF(OR(B1969="",C1969=""),"",C1969&amp;"|"&amp;(YEAR(B1969)*100+MONTH(B1969)))</f>
        <v/>
      </c>
      <c r="Q1969" s="70" t="str">
        <f aca="false">IF(P1969="","",IF(COUNTIF(N_CLAVE,P1969)&gt;1,"⚠ Duplicado","OK"))</f>
        <v/>
      </c>
      <c r="R1969" s="74" t="str">
        <f aca="false">IF(OR(P1969="",U1969=""),"",MAX(0,U1969-N(E1969)-N(F1969)-N(H1969)))</f>
        <v/>
      </c>
      <c r="S1969" s="75" t="str">
        <f aca="false">IF(P1969="","",IFERROR(INDEX(T_INGRESO,MATCH(C1969,T_ID,0)),""))</f>
        <v/>
      </c>
      <c r="T1969" s="75" t="str">
        <f aca="false">IF(P1969="","",IFERROR(N(INDEX(T_EGRESO,MATCH(C1969,T_ID,0))),0))</f>
        <v/>
      </c>
      <c r="U1969" s="73" t="str">
        <f aca="false">IF(OR(P1969="",NOT(ISNUMBER(S1969))),"",IF(OR(S1969&gt;EOMONTH(B1969,0),AND(T1969&gt;0,T1969&lt;B1969)),0,IF(AND(S1969&lt;=B1969,OR(T1969=0,T1969&gt;=EOMONTH(B1969,0))),30,MIN(30,IF(T1969=0,EOMONTH(B1969,0),MIN(T1969,EOMONTH(B1969,0)))-MAX(B1969,S1969)+1))))</f>
        <v/>
      </c>
    </row>
    <row r="1970" customFormat="false" ht="15" hidden="false" customHeight="false" outlineLevel="0" collapsed="false">
      <c r="B1970" s="78"/>
      <c r="C1970" s="64"/>
      <c r="D1970" s="70" t="str">
        <f aca="false">IF(C1970="","",IFERROR(INDEX(T_NOMBRE,MATCH(C1970,T_ID,0)),"⚠ ID no existe"))</f>
        <v/>
      </c>
      <c r="E1970" s="69"/>
      <c r="F1970" s="69"/>
      <c r="G1970" s="69"/>
      <c r="H1970" s="69"/>
      <c r="I1970" s="66"/>
      <c r="J1970" s="69"/>
      <c r="K1970" s="67"/>
      <c r="L1970" s="67"/>
      <c r="M1970" s="67"/>
      <c r="N1970" s="67"/>
      <c r="O1970" s="64"/>
      <c r="P1970" s="72" t="str">
        <f aca="false">IF(OR(B1970="",C1970=""),"",C1970&amp;"|"&amp;(YEAR(B1970)*100+MONTH(B1970)))</f>
        <v/>
      </c>
      <c r="Q1970" s="70" t="str">
        <f aca="false">IF(P1970="","",IF(COUNTIF(N_CLAVE,P1970)&gt;1,"⚠ Duplicado","OK"))</f>
        <v/>
      </c>
      <c r="R1970" s="74" t="str">
        <f aca="false">IF(OR(P1970="",U1970=""),"",MAX(0,U1970-N(E1970)-N(F1970)-N(H1970)))</f>
        <v/>
      </c>
      <c r="S1970" s="75" t="str">
        <f aca="false">IF(P1970="","",IFERROR(INDEX(T_INGRESO,MATCH(C1970,T_ID,0)),""))</f>
        <v/>
      </c>
      <c r="T1970" s="75" t="str">
        <f aca="false">IF(P1970="","",IFERROR(N(INDEX(T_EGRESO,MATCH(C1970,T_ID,0))),0))</f>
        <v/>
      </c>
      <c r="U1970" s="73" t="str">
        <f aca="false">IF(OR(P1970="",NOT(ISNUMBER(S1970))),"",IF(OR(S1970&gt;EOMONTH(B1970,0),AND(T1970&gt;0,T1970&lt;B1970)),0,IF(AND(S1970&lt;=B1970,OR(T1970=0,T1970&gt;=EOMONTH(B1970,0))),30,MIN(30,IF(T1970=0,EOMONTH(B1970,0),MIN(T1970,EOMONTH(B1970,0)))-MAX(B1970,S1970)+1))))</f>
        <v/>
      </c>
    </row>
    <row r="1971" customFormat="false" ht="15" hidden="false" customHeight="false" outlineLevel="0" collapsed="false">
      <c r="B1971" s="78"/>
      <c r="C1971" s="64"/>
      <c r="D1971" s="70" t="str">
        <f aca="false">IF(C1971="","",IFERROR(INDEX(T_NOMBRE,MATCH(C1971,T_ID,0)),"⚠ ID no existe"))</f>
        <v/>
      </c>
      <c r="E1971" s="69"/>
      <c r="F1971" s="69"/>
      <c r="G1971" s="69"/>
      <c r="H1971" s="69"/>
      <c r="I1971" s="66"/>
      <c r="J1971" s="69"/>
      <c r="K1971" s="67"/>
      <c r="L1971" s="67"/>
      <c r="M1971" s="67"/>
      <c r="N1971" s="67"/>
      <c r="O1971" s="64"/>
      <c r="P1971" s="72" t="str">
        <f aca="false">IF(OR(B1971="",C1971=""),"",C1971&amp;"|"&amp;(YEAR(B1971)*100+MONTH(B1971)))</f>
        <v/>
      </c>
      <c r="Q1971" s="70" t="str">
        <f aca="false">IF(P1971="","",IF(COUNTIF(N_CLAVE,P1971)&gt;1,"⚠ Duplicado","OK"))</f>
        <v/>
      </c>
      <c r="R1971" s="74" t="str">
        <f aca="false">IF(OR(P1971="",U1971=""),"",MAX(0,U1971-N(E1971)-N(F1971)-N(H1971)))</f>
        <v/>
      </c>
      <c r="S1971" s="75" t="str">
        <f aca="false">IF(P1971="","",IFERROR(INDEX(T_INGRESO,MATCH(C1971,T_ID,0)),""))</f>
        <v/>
      </c>
      <c r="T1971" s="75" t="str">
        <f aca="false">IF(P1971="","",IFERROR(N(INDEX(T_EGRESO,MATCH(C1971,T_ID,0))),0))</f>
        <v/>
      </c>
      <c r="U1971" s="73" t="str">
        <f aca="false">IF(OR(P1971="",NOT(ISNUMBER(S1971))),"",IF(OR(S1971&gt;EOMONTH(B1971,0),AND(T1971&gt;0,T1971&lt;B1971)),0,IF(AND(S1971&lt;=B1971,OR(T1971=0,T1971&gt;=EOMONTH(B1971,0))),30,MIN(30,IF(T1971=0,EOMONTH(B1971,0),MIN(T1971,EOMONTH(B1971,0)))-MAX(B1971,S1971)+1))))</f>
        <v/>
      </c>
    </row>
    <row r="1972" customFormat="false" ht="15" hidden="false" customHeight="false" outlineLevel="0" collapsed="false">
      <c r="B1972" s="78"/>
      <c r="C1972" s="64"/>
      <c r="D1972" s="70" t="str">
        <f aca="false">IF(C1972="","",IFERROR(INDEX(T_NOMBRE,MATCH(C1972,T_ID,0)),"⚠ ID no existe"))</f>
        <v/>
      </c>
      <c r="E1972" s="69"/>
      <c r="F1972" s="69"/>
      <c r="G1972" s="69"/>
      <c r="H1972" s="69"/>
      <c r="I1972" s="66"/>
      <c r="J1972" s="69"/>
      <c r="K1972" s="67"/>
      <c r="L1972" s="67"/>
      <c r="M1972" s="67"/>
      <c r="N1972" s="67"/>
      <c r="O1972" s="64"/>
      <c r="P1972" s="72" t="str">
        <f aca="false">IF(OR(B1972="",C1972=""),"",C1972&amp;"|"&amp;(YEAR(B1972)*100+MONTH(B1972)))</f>
        <v/>
      </c>
      <c r="Q1972" s="70" t="str">
        <f aca="false">IF(P1972="","",IF(COUNTIF(N_CLAVE,P1972)&gt;1,"⚠ Duplicado","OK"))</f>
        <v/>
      </c>
      <c r="R1972" s="74" t="str">
        <f aca="false">IF(OR(P1972="",U1972=""),"",MAX(0,U1972-N(E1972)-N(F1972)-N(H1972)))</f>
        <v/>
      </c>
      <c r="S1972" s="75" t="str">
        <f aca="false">IF(P1972="","",IFERROR(INDEX(T_INGRESO,MATCH(C1972,T_ID,0)),""))</f>
        <v/>
      </c>
      <c r="T1972" s="75" t="str">
        <f aca="false">IF(P1972="","",IFERROR(N(INDEX(T_EGRESO,MATCH(C1972,T_ID,0))),0))</f>
        <v/>
      </c>
      <c r="U1972" s="73" t="str">
        <f aca="false">IF(OR(P1972="",NOT(ISNUMBER(S1972))),"",IF(OR(S1972&gt;EOMONTH(B1972,0),AND(T1972&gt;0,T1972&lt;B1972)),0,IF(AND(S1972&lt;=B1972,OR(T1972=0,T1972&gt;=EOMONTH(B1972,0))),30,MIN(30,IF(T1972=0,EOMONTH(B1972,0),MIN(T1972,EOMONTH(B1972,0)))-MAX(B1972,S1972)+1))))</f>
        <v/>
      </c>
    </row>
    <row r="1973" customFormat="false" ht="15" hidden="false" customHeight="false" outlineLevel="0" collapsed="false">
      <c r="B1973" s="78"/>
      <c r="C1973" s="64"/>
      <c r="D1973" s="70" t="str">
        <f aca="false">IF(C1973="","",IFERROR(INDEX(T_NOMBRE,MATCH(C1973,T_ID,0)),"⚠ ID no existe"))</f>
        <v/>
      </c>
      <c r="E1973" s="69"/>
      <c r="F1973" s="69"/>
      <c r="G1973" s="69"/>
      <c r="H1973" s="69"/>
      <c r="I1973" s="66"/>
      <c r="J1973" s="69"/>
      <c r="K1973" s="67"/>
      <c r="L1973" s="67"/>
      <c r="M1973" s="67"/>
      <c r="N1973" s="67"/>
      <c r="O1973" s="64"/>
      <c r="P1973" s="72" t="str">
        <f aca="false">IF(OR(B1973="",C1973=""),"",C1973&amp;"|"&amp;(YEAR(B1973)*100+MONTH(B1973)))</f>
        <v/>
      </c>
      <c r="Q1973" s="70" t="str">
        <f aca="false">IF(P1973="","",IF(COUNTIF(N_CLAVE,P1973)&gt;1,"⚠ Duplicado","OK"))</f>
        <v/>
      </c>
      <c r="R1973" s="74" t="str">
        <f aca="false">IF(OR(P1973="",U1973=""),"",MAX(0,U1973-N(E1973)-N(F1973)-N(H1973)))</f>
        <v/>
      </c>
      <c r="S1973" s="75" t="str">
        <f aca="false">IF(P1973="","",IFERROR(INDEX(T_INGRESO,MATCH(C1973,T_ID,0)),""))</f>
        <v/>
      </c>
      <c r="T1973" s="75" t="str">
        <f aca="false">IF(P1973="","",IFERROR(N(INDEX(T_EGRESO,MATCH(C1973,T_ID,0))),0))</f>
        <v/>
      </c>
      <c r="U1973" s="73" t="str">
        <f aca="false">IF(OR(P1973="",NOT(ISNUMBER(S1973))),"",IF(OR(S1973&gt;EOMONTH(B1973,0),AND(T1973&gt;0,T1973&lt;B1973)),0,IF(AND(S1973&lt;=B1973,OR(T1973=0,T1973&gt;=EOMONTH(B1973,0))),30,MIN(30,IF(T1973=0,EOMONTH(B1973,0),MIN(T1973,EOMONTH(B1973,0)))-MAX(B1973,S1973)+1))))</f>
        <v/>
      </c>
    </row>
    <row r="1974" customFormat="false" ht="15" hidden="false" customHeight="false" outlineLevel="0" collapsed="false">
      <c r="B1974" s="78"/>
      <c r="C1974" s="64"/>
      <c r="D1974" s="70" t="str">
        <f aca="false">IF(C1974="","",IFERROR(INDEX(T_NOMBRE,MATCH(C1974,T_ID,0)),"⚠ ID no existe"))</f>
        <v/>
      </c>
      <c r="E1974" s="69"/>
      <c r="F1974" s="69"/>
      <c r="G1974" s="69"/>
      <c r="H1974" s="69"/>
      <c r="I1974" s="66"/>
      <c r="J1974" s="69"/>
      <c r="K1974" s="67"/>
      <c r="L1974" s="67"/>
      <c r="M1974" s="67"/>
      <c r="N1974" s="67"/>
      <c r="O1974" s="64"/>
      <c r="P1974" s="72" t="str">
        <f aca="false">IF(OR(B1974="",C1974=""),"",C1974&amp;"|"&amp;(YEAR(B1974)*100+MONTH(B1974)))</f>
        <v/>
      </c>
      <c r="Q1974" s="70" t="str">
        <f aca="false">IF(P1974="","",IF(COUNTIF(N_CLAVE,P1974)&gt;1,"⚠ Duplicado","OK"))</f>
        <v/>
      </c>
      <c r="R1974" s="74" t="str">
        <f aca="false">IF(OR(P1974="",U1974=""),"",MAX(0,U1974-N(E1974)-N(F1974)-N(H1974)))</f>
        <v/>
      </c>
      <c r="S1974" s="75" t="str">
        <f aca="false">IF(P1974="","",IFERROR(INDEX(T_INGRESO,MATCH(C1974,T_ID,0)),""))</f>
        <v/>
      </c>
      <c r="T1974" s="75" t="str">
        <f aca="false">IF(P1974="","",IFERROR(N(INDEX(T_EGRESO,MATCH(C1974,T_ID,0))),0))</f>
        <v/>
      </c>
      <c r="U1974" s="73" t="str">
        <f aca="false">IF(OR(P1974="",NOT(ISNUMBER(S1974))),"",IF(OR(S1974&gt;EOMONTH(B1974,0),AND(T1974&gt;0,T1974&lt;B1974)),0,IF(AND(S1974&lt;=B1974,OR(T1974=0,T1974&gt;=EOMONTH(B1974,0))),30,MIN(30,IF(T1974=0,EOMONTH(B1974,0),MIN(T1974,EOMONTH(B1974,0)))-MAX(B1974,S1974)+1))))</f>
        <v/>
      </c>
    </row>
    <row r="1975" customFormat="false" ht="15" hidden="false" customHeight="false" outlineLevel="0" collapsed="false">
      <c r="B1975" s="78"/>
      <c r="C1975" s="64"/>
      <c r="D1975" s="70" t="str">
        <f aca="false">IF(C1975="","",IFERROR(INDEX(T_NOMBRE,MATCH(C1975,T_ID,0)),"⚠ ID no existe"))</f>
        <v/>
      </c>
      <c r="E1975" s="69"/>
      <c r="F1975" s="69"/>
      <c r="G1975" s="69"/>
      <c r="H1975" s="69"/>
      <c r="I1975" s="66"/>
      <c r="J1975" s="69"/>
      <c r="K1975" s="67"/>
      <c r="L1975" s="67"/>
      <c r="M1975" s="67"/>
      <c r="N1975" s="67"/>
      <c r="O1975" s="64"/>
      <c r="P1975" s="72" t="str">
        <f aca="false">IF(OR(B1975="",C1975=""),"",C1975&amp;"|"&amp;(YEAR(B1975)*100+MONTH(B1975)))</f>
        <v/>
      </c>
      <c r="Q1975" s="70" t="str">
        <f aca="false">IF(P1975="","",IF(COUNTIF(N_CLAVE,P1975)&gt;1,"⚠ Duplicado","OK"))</f>
        <v/>
      </c>
      <c r="R1975" s="74" t="str">
        <f aca="false">IF(OR(P1975="",U1975=""),"",MAX(0,U1975-N(E1975)-N(F1975)-N(H1975)))</f>
        <v/>
      </c>
      <c r="S1975" s="75" t="str">
        <f aca="false">IF(P1975="","",IFERROR(INDEX(T_INGRESO,MATCH(C1975,T_ID,0)),""))</f>
        <v/>
      </c>
      <c r="T1975" s="75" t="str">
        <f aca="false">IF(P1975="","",IFERROR(N(INDEX(T_EGRESO,MATCH(C1975,T_ID,0))),0))</f>
        <v/>
      </c>
      <c r="U1975" s="73" t="str">
        <f aca="false">IF(OR(P1975="",NOT(ISNUMBER(S1975))),"",IF(OR(S1975&gt;EOMONTH(B1975,0),AND(T1975&gt;0,T1975&lt;B1975)),0,IF(AND(S1975&lt;=B1975,OR(T1975=0,T1975&gt;=EOMONTH(B1975,0))),30,MIN(30,IF(T1975=0,EOMONTH(B1975,0),MIN(T1975,EOMONTH(B1975,0)))-MAX(B1975,S1975)+1))))</f>
        <v/>
      </c>
    </row>
    <row r="1976" customFormat="false" ht="15" hidden="false" customHeight="false" outlineLevel="0" collapsed="false">
      <c r="B1976" s="78"/>
      <c r="C1976" s="64"/>
      <c r="D1976" s="70" t="str">
        <f aca="false">IF(C1976="","",IFERROR(INDEX(T_NOMBRE,MATCH(C1976,T_ID,0)),"⚠ ID no existe"))</f>
        <v/>
      </c>
      <c r="E1976" s="69"/>
      <c r="F1976" s="69"/>
      <c r="G1976" s="69"/>
      <c r="H1976" s="69"/>
      <c r="I1976" s="66"/>
      <c r="J1976" s="69"/>
      <c r="K1976" s="67"/>
      <c r="L1976" s="67"/>
      <c r="M1976" s="67"/>
      <c r="N1976" s="67"/>
      <c r="O1976" s="64"/>
      <c r="P1976" s="72" t="str">
        <f aca="false">IF(OR(B1976="",C1976=""),"",C1976&amp;"|"&amp;(YEAR(B1976)*100+MONTH(B1976)))</f>
        <v/>
      </c>
      <c r="Q1976" s="70" t="str">
        <f aca="false">IF(P1976="","",IF(COUNTIF(N_CLAVE,P1976)&gt;1,"⚠ Duplicado","OK"))</f>
        <v/>
      </c>
      <c r="R1976" s="74" t="str">
        <f aca="false">IF(OR(P1976="",U1976=""),"",MAX(0,U1976-N(E1976)-N(F1976)-N(H1976)))</f>
        <v/>
      </c>
      <c r="S1976" s="75" t="str">
        <f aca="false">IF(P1976="","",IFERROR(INDEX(T_INGRESO,MATCH(C1976,T_ID,0)),""))</f>
        <v/>
      </c>
      <c r="T1976" s="75" t="str">
        <f aca="false">IF(P1976="","",IFERROR(N(INDEX(T_EGRESO,MATCH(C1976,T_ID,0))),0))</f>
        <v/>
      </c>
      <c r="U1976" s="73" t="str">
        <f aca="false">IF(OR(P1976="",NOT(ISNUMBER(S1976))),"",IF(OR(S1976&gt;EOMONTH(B1976,0),AND(T1976&gt;0,T1976&lt;B1976)),0,IF(AND(S1976&lt;=B1976,OR(T1976=0,T1976&gt;=EOMONTH(B1976,0))),30,MIN(30,IF(T1976=0,EOMONTH(B1976,0),MIN(T1976,EOMONTH(B1976,0)))-MAX(B1976,S1976)+1))))</f>
        <v/>
      </c>
    </row>
    <row r="1977" customFormat="false" ht="15" hidden="false" customHeight="false" outlineLevel="0" collapsed="false">
      <c r="B1977" s="78"/>
      <c r="C1977" s="64"/>
      <c r="D1977" s="70" t="str">
        <f aca="false">IF(C1977="","",IFERROR(INDEX(T_NOMBRE,MATCH(C1977,T_ID,0)),"⚠ ID no existe"))</f>
        <v/>
      </c>
      <c r="E1977" s="69"/>
      <c r="F1977" s="69"/>
      <c r="G1977" s="69"/>
      <c r="H1977" s="69"/>
      <c r="I1977" s="66"/>
      <c r="J1977" s="69"/>
      <c r="K1977" s="67"/>
      <c r="L1977" s="67"/>
      <c r="M1977" s="67"/>
      <c r="N1977" s="67"/>
      <c r="O1977" s="64"/>
      <c r="P1977" s="72" t="str">
        <f aca="false">IF(OR(B1977="",C1977=""),"",C1977&amp;"|"&amp;(YEAR(B1977)*100+MONTH(B1977)))</f>
        <v/>
      </c>
      <c r="Q1977" s="70" t="str">
        <f aca="false">IF(P1977="","",IF(COUNTIF(N_CLAVE,P1977)&gt;1,"⚠ Duplicado","OK"))</f>
        <v/>
      </c>
      <c r="R1977" s="74" t="str">
        <f aca="false">IF(OR(P1977="",U1977=""),"",MAX(0,U1977-N(E1977)-N(F1977)-N(H1977)))</f>
        <v/>
      </c>
      <c r="S1977" s="75" t="str">
        <f aca="false">IF(P1977="","",IFERROR(INDEX(T_INGRESO,MATCH(C1977,T_ID,0)),""))</f>
        <v/>
      </c>
      <c r="T1977" s="75" t="str">
        <f aca="false">IF(P1977="","",IFERROR(N(INDEX(T_EGRESO,MATCH(C1977,T_ID,0))),0))</f>
        <v/>
      </c>
      <c r="U1977" s="73" t="str">
        <f aca="false">IF(OR(P1977="",NOT(ISNUMBER(S1977))),"",IF(OR(S1977&gt;EOMONTH(B1977,0),AND(T1977&gt;0,T1977&lt;B1977)),0,IF(AND(S1977&lt;=B1977,OR(T1977=0,T1977&gt;=EOMONTH(B1977,0))),30,MIN(30,IF(T1977=0,EOMONTH(B1977,0),MIN(T1977,EOMONTH(B1977,0)))-MAX(B1977,S1977)+1))))</f>
        <v/>
      </c>
    </row>
    <row r="1978" customFormat="false" ht="15" hidden="false" customHeight="false" outlineLevel="0" collapsed="false">
      <c r="B1978" s="78"/>
      <c r="C1978" s="64"/>
      <c r="D1978" s="70" t="str">
        <f aca="false">IF(C1978="","",IFERROR(INDEX(T_NOMBRE,MATCH(C1978,T_ID,0)),"⚠ ID no existe"))</f>
        <v/>
      </c>
      <c r="E1978" s="69"/>
      <c r="F1978" s="69"/>
      <c r="G1978" s="69"/>
      <c r="H1978" s="69"/>
      <c r="I1978" s="66"/>
      <c r="J1978" s="69"/>
      <c r="K1978" s="67"/>
      <c r="L1978" s="67"/>
      <c r="M1978" s="67"/>
      <c r="N1978" s="67"/>
      <c r="O1978" s="64"/>
      <c r="P1978" s="72" t="str">
        <f aca="false">IF(OR(B1978="",C1978=""),"",C1978&amp;"|"&amp;(YEAR(B1978)*100+MONTH(B1978)))</f>
        <v/>
      </c>
      <c r="Q1978" s="70" t="str">
        <f aca="false">IF(P1978="","",IF(COUNTIF(N_CLAVE,P1978)&gt;1,"⚠ Duplicado","OK"))</f>
        <v/>
      </c>
      <c r="R1978" s="74" t="str">
        <f aca="false">IF(OR(P1978="",U1978=""),"",MAX(0,U1978-N(E1978)-N(F1978)-N(H1978)))</f>
        <v/>
      </c>
      <c r="S1978" s="75" t="str">
        <f aca="false">IF(P1978="","",IFERROR(INDEX(T_INGRESO,MATCH(C1978,T_ID,0)),""))</f>
        <v/>
      </c>
      <c r="T1978" s="75" t="str">
        <f aca="false">IF(P1978="","",IFERROR(N(INDEX(T_EGRESO,MATCH(C1978,T_ID,0))),0))</f>
        <v/>
      </c>
      <c r="U1978" s="73" t="str">
        <f aca="false">IF(OR(P1978="",NOT(ISNUMBER(S1978))),"",IF(OR(S1978&gt;EOMONTH(B1978,0),AND(T1978&gt;0,T1978&lt;B1978)),0,IF(AND(S1978&lt;=B1978,OR(T1978=0,T1978&gt;=EOMONTH(B1978,0))),30,MIN(30,IF(T1978=0,EOMONTH(B1978,0),MIN(T1978,EOMONTH(B1978,0)))-MAX(B1978,S1978)+1))))</f>
        <v/>
      </c>
    </row>
    <row r="1979" customFormat="false" ht="15" hidden="false" customHeight="false" outlineLevel="0" collapsed="false">
      <c r="B1979" s="78"/>
      <c r="C1979" s="64"/>
      <c r="D1979" s="70" t="str">
        <f aca="false">IF(C1979="","",IFERROR(INDEX(T_NOMBRE,MATCH(C1979,T_ID,0)),"⚠ ID no existe"))</f>
        <v/>
      </c>
      <c r="E1979" s="69"/>
      <c r="F1979" s="69"/>
      <c r="G1979" s="69"/>
      <c r="H1979" s="69"/>
      <c r="I1979" s="66"/>
      <c r="J1979" s="69"/>
      <c r="K1979" s="67"/>
      <c r="L1979" s="67"/>
      <c r="M1979" s="67"/>
      <c r="N1979" s="67"/>
      <c r="O1979" s="64"/>
      <c r="P1979" s="72" t="str">
        <f aca="false">IF(OR(B1979="",C1979=""),"",C1979&amp;"|"&amp;(YEAR(B1979)*100+MONTH(B1979)))</f>
        <v/>
      </c>
      <c r="Q1979" s="70" t="str">
        <f aca="false">IF(P1979="","",IF(COUNTIF(N_CLAVE,P1979)&gt;1,"⚠ Duplicado","OK"))</f>
        <v/>
      </c>
      <c r="R1979" s="74" t="str">
        <f aca="false">IF(OR(P1979="",U1979=""),"",MAX(0,U1979-N(E1979)-N(F1979)-N(H1979)))</f>
        <v/>
      </c>
      <c r="S1979" s="75" t="str">
        <f aca="false">IF(P1979="","",IFERROR(INDEX(T_INGRESO,MATCH(C1979,T_ID,0)),""))</f>
        <v/>
      </c>
      <c r="T1979" s="75" t="str">
        <f aca="false">IF(P1979="","",IFERROR(N(INDEX(T_EGRESO,MATCH(C1979,T_ID,0))),0))</f>
        <v/>
      </c>
      <c r="U1979" s="73" t="str">
        <f aca="false">IF(OR(P1979="",NOT(ISNUMBER(S1979))),"",IF(OR(S1979&gt;EOMONTH(B1979,0),AND(T1979&gt;0,T1979&lt;B1979)),0,IF(AND(S1979&lt;=B1979,OR(T1979=0,T1979&gt;=EOMONTH(B1979,0))),30,MIN(30,IF(T1979=0,EOMONTH(B1979,0),MIN(T1979,EOMONTH(B1979,0)))-MAX(B1979,S1979)+1))))</f>
        <v/>
      </c>
    </row>
    <row r="1980" customFormat="false" ht="15" hidden="false" customHeight="false" outlineLevel="0" collapsed="false">
      <c r="B1980" s="78"/>
      <c r="C1980" s="64"/>
      <c r="D1980" s="70" t="str">
        <f aca="false">IF(C1980="","",IFERROR(INDEX(T_NOMBRE,MATCH(C1980,T_ID,0)),"⚠ ID no existe"))</f>
        <v/>
      </c>
      <c r="E1980" s="69"/>
      <c r="F1980" s="69"/>
      <c r="G1980" s="69"/>
      <c r="H1980" s="69"/>
      <c r="I1980" s="66"/>
      <c r="J1980" s="69"/>
      <c r="K1980" s="67"/>
      <c r="L1980" s="67"/>
      <c r="M1980" s="67"/>
      <c r="N1980" s="67"/>
      <c r="O1980" s="64"/>
      <c r="P1980" s="72" t="str">
        <f aca="false">IF(OR(B1980="",C1980=""),"",C1980&amp;"|"&amp;(YEAR(B1980)*100+MONTH(B1980)))</f>
        <v/>
      </c>
      <c r="Q1980" s="70" t="str">
        <f aca="false">IF(P1980="","",IF(COUNTIF(N_CLAVE,P1980)&gt;1,"⚠ Duplicado","OK"))</f>
        <v/>
      </c>
      <c r="R1980" s="74" t="str">
        <f aca="false">IF(OR(P1980="",U1980=""),"",MAX(0,U1980-N(E1980)-N(F1980)-N(H1980)))</f>
        <v/>
      </c>
      <c r="S1980" s="75" t="str">
        <f aca="false">IF(P1980="","",IFERROR(INDEX(T_INGRESO,MATCH(C1980,T_ID,0)),""))</f>
        <v/>
      </c>
      <c r="T1980" s="75" t="str">
        <f aca="false">IF(P1980="","",IFERROR(N(INDEX(T_EGRESO,MATCH(C1980,T_ID,0))),0))</f>
        <v/>
      </c>
      <c r="U1980" s="73" t="str">
        <f aca="false">IF(OR(P1980="",NOT(ISNUMBER(S1980))),"",IF(OR(S1980&gt;EOMONTH(B1980,0),AND(T1980&gt;0,T1980&lt;B1980)),0,IF(AND(S1980&lt;=B1980,OR(T1980=0,T1980&gt;=EOMONTH(B1980,0))),30,MIN(30,IF(T1980=0,EOMONTH(B1980,0),MIN(T1980,EOMONTH(B1980,0)))-MAX(B1980,S1980)+1))))</f>
        <v/>
      </c>
    </row>
    <row r="1981" customFormat="false" ht="15" hidden="false" customHeight="false" outlineLevel="0" collapsed="false">
      <c r="B1981" s="78"/>
      <c r="C1981" s="64"/>
      <c r="D1981" s="70" t="str">
        <f aca="false">IF(C1981="","",IFERROR(INDEX(T_NOMBRE,MATCH(C1981,T_ID,0)),"⚠ ID no existe"))</f>
        <v/>
      </c>
      <c r="E1981" s="69"/>
      <c r="F1981" s="69"/>
      <c r="G1981" s="69"/>
      <c r="H1981" s="69"/>
      <c r="I1981" s="66"/>
      <c r="J1981" s="69"/>
      <c r="K1981" s="67"/>
      <c r="L1981" s="67"/>
      <c r="M1981" s="67"/>
      <c r="N1981" s="67"/>
      <c r="O1981" s="64"/>
      <c r="P1981" s="72" t="str">
        <f aca="false">IF(OR(B1981="",C1981=""),"",C1981&amp;"|"&amp;(YEAR(B1981)*100+MONTH(B1981)))</f>
        <v/>
      </c>
      <c r="Q1981" s="70" t="str">
        <f aca="false">IF(P1981="","",IF(COUNTIF(N_CLAVE,P1981)&gt;1,"⚠ Duplicado","OK"))</f>
        <v/>
      </c>
      <c r="R1981" s="74" t="str">
        <f aca="false">IF(OR(P1981="",U1981=""),"",MAX(0,U1981-N(E1981)-N(F1981)-N(H1981)))</f>
        <v/>
      </c>
      <c r="S1981" s="75" t="str">
        <f aca="false">IF(P1981="","",IFERROR(INDEX(T_INGRESO,MATCH(C1981,T_ID,0)),""))</f>
        <v/>
      </c>
      <c r="T1981" s="75" t="str">
        <f aca="false">IF(P1981="","",IFERROR(N(INDEX(T_EGRESO,MATCH(C1981,T_ID,0))),0))</f>
        <v/>
      </c>
      <c r="U1981" s="73" t="str">
        <f aca="false">IF(OR(P1981="",NOT(ISNUMBER(S1981))),"",IF(OR(S1981&gt;EOMONTH(B1981,0),AND(T1981&gt;0,T1981&lt;B1981)),0,IF(AND(S1981&lt;=B1981,OR(T1981=0,T1981&gt;=EOMONTH(B1981,0))),30,MIN(30,IF(T1981=0,EOMONTH(B1981,0),MIN(T1981,EOMONTH(B1981,0)))-MAX(B1981,S1981)+1))))</f>
        <v/>
      </c>
    </row>
    <row r="1982" customFormat="false" ht="15" hidden="false" customHeight="false" outlineLevel="0" collapsed="false">
      <c r="B1982" s="78"/>
      <c r="C1982" s="64"/>
      <c r="D1982" s="70" t="str">
        <f aca="false">IF(C1982="","",IFERROR(INDEX(T_NOMBRE,MATCH(C1982,T_ID,0)),"⚠ ID no existe"))</f>
        <v/>
      </c>
      <c r="E1982" s="69"/>
      <c r="F1982" s="69"/>
      <c r="G1982" s="69"/>
      <c r="H1982" s="69"/>
      <c r="I1982" s="66"/>
      <c r="J1982" s="69"/>
      <c r="K1982" s="67"/>
      <c r="L1982" s="67"/>
      <c r="M1982" s="67"/>
      <c r="N1982" s="67"/>
      <c r="O1982" s="64"/>
      <c r="P1982" s="72" t="str">
        <f aca="false">IF(OR(B1982="",C1982=""),"",C1982&amp;"|"&amp;(YEAR(B1982)*100+MONTH(B1982)))</f>
        <v/>
      </c>
      <c r="Q1982" s="70" t="str">
        <f aca="false">IF(P1982="","",IF(COUNTIF(N_CLAVE,P1982)&gt;1,"⚠ Duplicado","OK"))</f>
        <v/>
      </c>
      <c r="R1982" s="74" t="str">
        <f aca="false">IF(OR(P1982="",U1982=""),"",MAX(0,U1982-N(E1982)-N(F1982)-N(H1982)))</f>
        <v/>
      </c>
      <c r="S1982" s="75" t="str">
        <f aca="false">IF(P1982="","",IFERROR(INDEX(T_INGRESO,MATCH(C1982,T_ID,0)),""))</f>
        <v/>
      </c>
      <c r="T1982" s="75" t="str">
        <f aca="false">IF(P1982="","",IFERROR(N(INDEX(T_EGRESO,MATCH(C1982,T_ID,0))),0))</f>
        <v/>
      </c>
      <c r="U1982" s="73" t="str">
        <f aca="false">IF(OR(P1982="",NOT(ISNUMBER(S1982))),"",IF(OR(S1982&gt;EOMONTH(B1982,0),AND(T1982&gt;0,T1982&lt;B1982)),0,IF(AND(S1982&lt;=B1982,OR(T1982=0,T1982&gt;=EOMONTH(B1982,0))),30,MIN(30,IF(T1982=0,EOMONTH(B1982,0),MIN(T1982,EOMONTH(B1982,0)))-MAX(B1982,S1982)+1))))</f>
        <v/>
      </c>
    </row>
    <row r="1983" customFormat="false" ht="15" hidden="false" customHeight="false" outlineLevel="0" collapsed="false">
      <c r="B1983" s="78"/>
      <c r="C1983" s="64"/>
      <c r="D1983" s="70" t="str">
        <f aca="false">IF(C1983="","",IFERROR(INDEX(T_NOMBRE,MATCH(C1983,T_ID,0)),"⚠ ID no existe"))</f>
        <v/>
      </c>
      <c r="E1983" s="69"/>
      <c r="F1983" s="69"/>
      <c r="G1983" s="69"/>
      <c r="H1983" s="69"/>
      <c r="I1983" s="66"/>
      <c r="J1983" s="69"/>
      <c r="K1983" s="67"/>
      <c r="L1983" s="67"/>
      <c r="M1983" s="67"/>
      <c r="N1983" s="67"/>
      <c r="O1983" s="64"/>
      <c r="P1983" s="72" t="str">
        <f aca="false">IF(OR(B1983="",C1983=""),"",C1983&amp;"|"&amp;(YEAR(B1983)*100+MONTH(B1983)))</f>
        <v/>
      </c>
      <c r="Q1983" s="70" t="str">
        <f aca="false">IF(P1983="","",IF(COUNTIF(N_CLAVE,P1983)&gt;1,"⚠ Duplicado","OK"))</f>
        <v/>
      </c>
      <c r="R1983" s="74" t="str">
        <f aca="false">IF(OR(P1983="",U1983=""),"",MAX(0,U1983-N(E1983)-N(F1983)-N(H1983)))</f>
        <v/>
      </c>
      <c r="S1983" s="75" t="str">
        <f aca="false">IF(P1983="","",IFERROR(INDEX(T_INGRESO,MATCH(C1983,T_ID,0)),""))</f>
        <v/>
      </c>
      <c r="T1983" s="75" t="str">
        <f aca="false">IF(P1983="","",IFERROR(N(INDEX(T_EGRESO,MATCH(C1983,T_ID,0))),0))</f>
        <v/>
      </c>
      <c r="U1983" s="73" t="str">
        <f aca="false">IF(OR(P1983="",NOT(ISNUMBER(S1983))),"",IF(OR(S1983&gt;EOMONTH(B1983,0),AND(T1983&gt;0,T1983&lt;B1983)),0,IF(AND(S1983&lt;=B1983,OR(T1983=0,T1983&gt;=EOMONTH(B1983,0))),30,MIN(30,IF(T1983=0,EOMONTH(B1983,0),MIN(T1983,EOMONTH(B1983,0)))-MAX(B1983,S1983)+1))))</f>
        <v/>
      </c>
    </row>
    <row r="1984" customFormat="false" ht="15" hidden="false" customHeight="false" outlineLevel="0" collapsed="false">
      <c r="B1984" s="78"/>
      <c r="C1984" s="64"/>
      <c r="D1984" s="70" t="str">
        <f aca="false">IF(C1984="","",IFERROR(INDEX(T_NOMBRE,MATCH(C1984,T_ID,0)),"⚠ ID no existe"))</f>
        <v/>
      </c>
      <c r="E1984" s="69"/>
      <c r="F1984" s="69"/>
      <c r="G1984" s="69"/>
      <c r="H1984" s="69"/>
      <c r="I1984" s="66"/>
      <c r="J1984" s="69"/>
      <c r="K1984" s="67"/>
      <c r="L1984" s="67"/>
      <c r="M1984" s="67"/>
      <c r="N1984" s="67"/>
      <c r="O1984" s="64"/>
      <c r="P1984" s="72" t="str">
        <f aca="false">IF(OR(B1984="",C1984=""),"",C1984&amp;"|"&amp;(YEAR(B1984)*100+MONTH(B1984)))</f>
        <v/>
      </c>
      <c r="Q1984" s="70" t="str">
        <f aca="false">IF(P1984="","",IF(COUNTIF(N_CLAVE,P1984)&gt;1,"⚠ Duplicado","OK"))</f>
        <v/>
      </c>
      <c r="R1984" s="74" t="str">
        <f aca="false">IF(OR(P1984="",U1984=""),"",MAX(0,U1984-N(E1984)-N(F1984)-N(H1984)))</f>
        <v/>
      </c>
      <c r="S1984" s="75" t="str">
        <f aca="false">IF(P1984="","",IFERROR(INDEX(T_INGRESO,MATCH(C1984,T_ID,0)),""))</f>
        <v/>
      </c>
      <c r="T1984" s="75" t="str">
        <f aca="false">IF(P1984="","",IFERROR(N(INDEX(T_EGRESO,MATCH(C1984,T_ID,0))),0))</f>
        <v/>
      </c>
      <c r="U1984" s="73" t="str">
        <f aca="false">IF(OR(P1984="",NOT(ISNUMBER(S1984))),"",IF(OR(S1984&gt;EOMONTH(B1984,0),AND(T1984&gt;0,T1984&lt;B1984)),0,IF(AND(S1984&lt;=B1984,OR(T1984=0,T1984&gt;=EOMONTH(B1984,0))),30,MIN(30,IF(T1984=0,EOMONTH(B1984,0),MIN(T1984,EOMONTH(B1984,0)))-MAX(B1984,S1984)+1))))</f>
        <v/>
      </c>
    </row>
    <row r="1985" customFormat="false" ht="15" hidden="false" customHeight="false" outlineLevel="0" collapsed="false">
      <c r="B1985" s="78"/>
      <c r="C1985" s="64"/>
      <c r="D1985" s="70" t="str">
        <f aca="false">IF(C1985="","",IFERROR(INDEX(T_NOMBRE,MATCH(C1985,T_ID,0)),"⚠ ID no existe"))</f>
        <v/>
      </c>
      <c r="E1985" s="69"/>
      <c r="F1985" s="69"/>
      <c r="G1985" s="69"/>
      <c r="H1985" s="69"/>
      <c r="I1985" s="66"/>
      <c r="J1985" s="69"/>
      <c r="K1985" s="67"/>
      <c r="L1985" s="67"/>
      <c r="M1985" s="67"/>
      <c r="N1985" s="67"/>
      <c r="O1985" s="64"/>
      <c r="P1985" s="72" t="str">
        <f aca="false">IF(OR(B1985="",C1985=""),"",C1985&amp;"|"&amp;(YEAR(B1985)*100+MONTH(B1985)))</f>
        <v/>
      </c>
      <c r="Q1985" s="70" t="str">
        <f aca="false">IF(P1985="","",IF(COUNTIF(N_CLAVE,P1985)&gt;1,"⚠ Duplicado","OK"))</f>
        <v/>
      </c>
      <c r="R1985" s="74" t="str">
        <f aca="false">IF(OR(P1985="",U1985=""),"",MAX(0,U1985-N(E1985)-N(F1985)-N(H1985)))</f>
        <v/>
      </c>
      <c r="S1985" s="75" t="str">
        <f aca="false">IF(P1985="","",IFERROR(INDEX(T_INGRESO,MATCH(C1985,T_ID,0)),""))</f>
        <v/>
      </c>
      <c r="T1985" s="75" t="str">
        <f aca="false">IF(P1985="","",IFERROR(N(INDEX(T_EGRESO,MATCH(C1985,T_ID,0))),0))</f>
        <v/>
      </c>
      <c r="U1985" s="73" t="str">
        <f aca="false">IF(OR(P1985="",NOT(ISNUMBER(S1985))),"",IF(OR(S1985&gt;EOMONTH(B1985,0),AND(T1985&gt;0,T1985&lt;B1985)),0,IF(AND(S1985&lt;=B1985,OR(T1985=0,T1985&gt;=EOMONTH(B1985,0))),30,MIN(30,IF(T1985=0,EOMONTH(B1985,0),MIN(T1985,EOMONTH(B1985,0)))-MAX(B1985,S1985)+1))))</f>
        <v/>
      </c>
    </row>
    <row r="1986" customFormat="false" ht="15" hidden="false" customHeight="false" outlineLevel="0" collapsed="false">
      <c r="B1986" s="78"/>
      <c r="C1986" s="64"/>
      <c r="D1986" s="70" t="str">
        <f aca="false">IF(C1986="","",IFERROR(INDEX(T_NOMBRE,MATCH(C1986,T_ID,0)),"⚠ ID no existe"))</f>
        <v/>
      </c>
      <c r="E1986" s="69"/>
      <c r="F1986" s="69"/>
      <c r="G1986" s="69"/>
      <c r="H1986" s="69"/>
      <c r="I1986" s="66"/>
      <c r="J1986" s="69"/>
      <c r="K1986" s="67"/>
      <c r="L1986" s="67"/>
      <c r="M1986" s="67"/>
      <c r="N1986" s="67"/>
      <c r="O1986" s="64"/>
      <c r="P1986" s="72" t="str">
        <f aca="false">IF(OR(B1986="",C1986=""),"",C1986&amp;"|"&amp;(YEAR(B1986)*100+MONTH(B1986)))</f>
        <v/>
      </c>
      <c r="Q1986" s="70" t="str">
        <f aca="false">IF(P1986="","",IF(COUNTIF(N_CLAVE,P1986)&gt;1,"⚠ Duplicado","OK"))</f>
        <v/>
      </c>
      <c r="R1986" s="74" t="str">
        <f aca="false">IF(OR(P1986="",U1986=""),"",MAX(0,U1986-N(E1986)-N(F1986)-N(H1986)))</f>
        <v/>
      </c>
      <c r="S1986" s="75" t="str">
        <f aca="false">IF(P1986="","",IFERROR(INDEX(T_INGRESO,MATCH(C1986,T_ID,0)),""))</f>
        <v/>
      </c>
      <c r="T1986" s="75" t="str">
        <f aca="false">IF(P1986="","",IFERROR(N(INDEX(T_EGRESO,MATCH(C1986,T_ID,0))),0))</f>
        <v/>
      </c>
      <c r="U1986" s="73" t="str">
        <f aca="false">IF(OR(P1986="",NOT(ISNUMBER(S1986))),"",IF(OR(S1986&gt;EOMONTH(B1986,0),AND(T1986&gt;0,T1986&lt;B1986)),0,IF(AND(S1986&lt;=B1986,OR(T1986=0,T1986&gt;=EOMONTH(B1986,0))),30,MIN(30,IF(T1986=0,EOMONTH(B1986,0),MIN(T1986,EOMONTH(B1986,0)))-MAX(B1986,S1986)+1))))</f>
        <v/>
      </c>
    </row>
    <row r="1987" customFormat="false" ht="15" hidden="false" customHeight="false" outlineLevel="0" collapsed="false">
      <c r="B1987" s="78"/>
      <c r="C1987" s="64"/>
      <c r="D1987" s="70" t="str">
        <f aca="false">IF(C1987="","",IFERROR(INDEX(T_NOMBRE,MATCH(C1987,T_ID,0)),"⚠ ID no existe"))</f>
        <v/>
      </c>
      <c r="E1987" s="69"/>
      <c r="F1987" s="69"/>
      <c r="G1987" s="69"/>
      <c r="H1987" s="69"/>
      <c r="I1987" s="66"/>
      <c r="J1987" s="69"/>
      <c r="K1987" s="67"/>
      <c r="L1987" s="67"/>
      <c r="M1987" s="67"/>
      <c r="N1987" s="67"/>
      <c r="O1987" s="64"/>
      <c r="P1987" s="72" t="str">
        <f aca="false">IF(OR(B1987="",C1987=""),"",C1987&amp;"|"&amp;(YEAR(B1987)*100+MONTH(B1987)))</f>
        <v/>
      </c>
      <c r="Q1987" s="70" t="str">
        <f aca="false">IF(P1987="","",IF(COUNTIF(N_CLAVE,P1987)&gt;1,"⚠ Duplicado","OK"))</f>
        <v/>
      </c>
      <c r="R1987" s="74" t="str">
        <f aca="false">IF(OR(P1987="",U1987=""),"",MAX(0,U1987-N(E1987)-N(F1987)-N(H1987)))</f>
        <v/>
      </c>
      <c r="S1987" s="75" t="str">
        <f aca="false">IF(P1987="","",IFERROR(INDEX(T_INGRESO,MATCH(C1987,T_ID,0)),""))</f>
        <v/>
      </c>
      <c r="T1987" s="75" t="str">
        <f aca="false">IF(P1987="","",IFERROR(N(INDEX(T_EGRESO,MATCH(C1987,T_ID,0))),0))</f>
        <v/>
      </c>
      <c r="U1987" s="73" t="str">
        <f aca="false">IF(OR(P1987="",NOT(ISNUMBER(S1987))),"",IF(OR(S1987&gt;EOMONTH(B1987,0),AND(T1987&gt;0,T1987&lt;B1987)),0,IF(AND(S1987&lt;=B1987,OR(T1987=0,T1987&gt;=EOMONTH(B1987,0))),30,MIN(30,IF(T1987=0,EOMONTH(B1987,0),MIN(T1987,EOMONTH(B1987,0)))-MAX(B1987,S1987)+1))))</f>
        <v/>
      </c>
    </row>
    <row r="1988" customFormat="false" ht="15" hidden="false" customHeight="false" outlineLevel="0" collapsed="false">
      <c r="B1988" s="78"/>
      <c r="C1988" s="64"/>
      <c r="D1988" s="70" t="str">
        <f aca="false">IF(C1988="","",IFERROR(INDEX(T_NOMBRE,MATCH(C1988,T_ID,0)),"⚠ ID no existe"))</f>
        <v/>
      </c>
      <c r="E1988" s="69"/>
      <c r="F1988" s="69"/>
      <c r="G1988" s="69"/>
      <c r="H1988" s="69"/>
      <c r="I1988" s="66"/>
      <c r="J1988" s="69"/>
      <c r="K1988" s="67"/>
      <c r="L1988" s="67"/>
      <c r="M1988" s="67"/>
      <c r="N1988" s="67"/>
      <c r="O1988" s="64"/>
      <c r="P1988" s="72" t="str">
        <f aca="false">IF(OR(B1988="",C1988=""),"",C1988&amp;"|"&amp;(YEAR(B1988)*100+MONTH(B1988)))</f>
        <v/>
      </c>
      <c r="Q1988" s="70" t="str">
        <f aca="false">IF(P1988="","",IF(COUNTIF(N_CLAVE,P1988)&gt;1,"⚠ Duplicado","OK"))</f>
        <v/>
      </c>
      <c r="R1988" s="74" t="str">
        <f aca="false">IF(OR(P1988="",U1988=""),"",MAX(0,U1988-N(E1988)-N(F1988)-N(H1988)))</f>
        <v/>
      </c>
      <c r="S1988" s="75" t="str">
        <f aca="false">IF(P1988="","",IFERROR(INDEX(T_INGRESO,MATCH(C1988,T_ID,0)),""))</f>
        <v/>
      </c>
      <c r="T1988" s="75" t="str">
        <f aca="false">IF(P1988="","",IFERROR(N(INDEX(T_EGRESO,MATCH(C1988,T_ID,0))),0))</f>
        <v/>
      </c>
      <c r="U1988" s="73" t="str">
        <f aca="false">IF(OR(P1988="",NOT(ISNUMBER(S1988))),"",IF(OR(S1988&gt;EOMONTH(B1988,0),AND(T1988&gt;0,T1988&lt;B1988)),0,IF(AND(S1988&lt;=B1988,OR(T1988=0,T1988&gt;=EOMONTH(B1988,0))),30,MIN(30,IF(T1988=0,EOMONTH(B1988,0),MIN(T1988,EOMONTH(B1988,0)))-MAX(B1988,S1988)+1))))</f>
        <v/>
      </c>
    </row>
    <row r="1989" customFormat="false" ht="15" hidden="false" customHeight="false" outlineLevel="0" collapsed="false">
      <c r="B1989" s="78"/>
      <c r="C1989" s="64"/>
      <c r="D1989" s="70" t="str">
        <f aca="false">IF(C1989="","",IFERROR(INDEX(T_NOMBRE,MATCH(C1989,T_ID,0)),"⚠ ID no existe"))</f>
        <v/>
      </c>
      <c r="E1989" s="69"/>
      <c r="F1989" s="69"/>
      <c r="G1989" s="69"/>
      <c r="H1989" s="69"/>
      <c r="I1989" s="66"/>
      <c r="J1989" s="69"/>
      <c r="K1989" s="67"/>
      <c r="L1989" s="67"/>
      <c r="M1989" s="67"/>
      <c r="N1989" s="67"/>
      <c r="O1989" s="64"/>
      <c r="P1989" s="72" t="str">
        <f aca="false">IF(OR(B1989="",C1989=""),"",C1989&amp;"|"&amp;(YEAR(B1989)*100+MONTH(B1989)))</f>
        <v/>
      </c>
      <c r="Q1989" s="70" t="str">
        <f aca="false">IF(P1989="","",IF(COUNTIF(N_CLAVE,P1989)&gt;1,"⚠ Duplicado","OK"))</f>
        <v/>
      </c>
      <c r="R1989" s="74" t="str">
        <f aca="false">IF(OR(P1989="",U1989=""),"",MAX(0,U1989-N(E1989)-N(F1989)-N(H1989)))</f>
        <v/>
      </c>
      <c r="S1989" s="75" t="str">
        <f aca="false">IF(P1989="","",IFERROR(INDEX(T_INGRESO,MATCH(C1989,T_ID,0)),""))</f>
        <v/>
      </c>
      <c r="T1989" s="75" t="str">
        <f aca="false">IF(P1989="","",IFERROR(N(INDEX(T_EGRESO,MATCH(C1989,T_ID,0))),0))</f>
        <v/>
      </c>
      <c r="U1989" s="73" t="str">
        <f aca="false">IF(OR(P1989="",NOT(ISNUMBER(S1989))),"",IF(OR(S1989&gt;EOMONTH(B1989,0),AND(T1989&gt;0,T1989&lt;B1989)),0,IF(AND(S1989&lt;=B1989,OR(T1989=0,T1989&gt;=EOMONTH(B1989,0))),30,MIN(30,IF(T1989=0,EOMONTH(B1989,0),MIN(T1989,EOMONTH(B1989,0)))-MAX(B1989,S1989)+1))))</f>
        <v/>
      </c>
    </row>
    <row r="1990" customFormat="false" ht="15" hidden="false" customHeight="false" outlineLevel="0" collapsed="false">
      <c r="B1990" s="78"/>
      <c r="C1990" s="64"/>
      <c r="D1990" s="70" t="str">
        <f aca="false">IF(C1990="","",IFERROR(INDEX(T_NOMBRE,MATCH(C1990,T_ID,0)),"⚠ ID no existe"))</f>
        <v/>
      </c>
      <c r="E1990" s="69"/>
      <c r="F1990" s="69"/>
      <c r="G1990" s="69"/>
      <c r="H1990" s="69"/>
      <c r="I1990" s="66"/>
      <c r="J1990" s="69"/>
      <c r="K1990" s="67"/>
      <c r="L1990" s="67"/>
      <c r="M1990" s="67"/>
      <c r="N1990" s="67"/>
      <c r="O1990" s="64"/>
      <c r="P1990" s="72" t="str">
        <f aca="false">IF(OR(B1990="",C1990=""),"",C1990&amp;"|"&amp;(YEAR(B1990)*100+MONTH(B1990)))</f>
        <v/>
      </c>
      <c r="Q1990" s="70" t="str">
        <f aca="false">IF(P1990="","",IF(COUNTIF(N_CLAVE,P1990)&gt;1,"⚠ Duplicado","OK"))</f>
        <v/>
      </c>
      <c r="R1990" s="74" t="str">
        <f aca="false">IF(OR(P1990="",U1990=""),"",MAX(0,U1990-N(E1990)-N(F1990)-N(H1990)))</f>
        <v/>
      </c>
      <c r="S1990" s="75" t="str">
        <f aca="false">IF(P1990="","",IFERROR(INDEX(T_INGRESO,MATCH(C1990,T_ID,0)),""))</f>
        <v/>
      </c>
      <c r="T1990" s="75" t="str">
        <f aca="false">IF(P1990="","",IFERROR(N(INDEX(T_EGRESO,MATCH(C1990,T_ID,0))),0))</f>
        <v/>
      </c>
      <c r="U1990" s="73" t="str">
        <f aca="false">IF(OR(P1990="",NOT(ISNUMBER(S1990))),"",IF(OR(S1990&gt;EOMONTH(B1990,0),AND(T1990&gt;0,T1990&lt;B1990)),0,IF(AND(S1990&lt;=B1990,OR(T1990=0,T1990&gt;=EOMONTH(B1990,0))),30,MIN(30,IF(T1990=0,EOMONTH(B1990,0),MIN(T1990,EOMONTH(B1990,0)))-MAX(B1990,S1990)+1))))</f>
        <v/>
      </c>
    </row>
    <row r="1991" customFormat="false" ht="15" hidden="false" customHeight="false" outlineLevel="0" collapsed="false">
      <c r="B1991" s="78"/>
      <c r="C1991" s="64"/>
      <c r="D1991" s="70" t="str">
        <f aca="false">IF(C1991="","",IFERROR(INDEX(T_NOMBRE,MATCH(C1991,T_ID,0)),"⚠ ID no existe"))</f>
        <v/>
      </c>
      <c r="E1991" s="69"/>
      <c r="F1991" s="69"/>
      <c r="G1991" s="69"/>
      <c r="H1991" s="69"/>
      <c r="I1991" s="66"/>
      <c r="J1991" s="69"/>
      <c r="K1991" s="67"/>
      <c r="L1991" s="67"/>
      <c r="M1991" s="67"/>
      <c r="N1991" s="67"/>
      <c r="O1991" s="64"/>
      <c r="P1991" s="72" t="str">
        <f aca="false">IF(OR(B1991="",C1991=""),"",C1991&amp;"|"&amp;(YEAR(B1991)*100+MONTH(B1991)))</f>
        <v/>
      </c>
      <c r="Q1991" s="70" t="str">
        <f aca="false">IF(P1991="","",IF(COUNTIF(N_CLAVE,P1991)&gt;1,"⚠ Duplicado","OK"))</f>
        <v/>
      </c>
      <c r="R1991" s="74" t="str">
        <f aca="false">IF(OR(P1991="",U1991=""),"",MAX(0,U1991-N(E1991)-N(F1991)-N(H1991)))</f>
        <v/>
      </c>
      <c r="S1991" s="75" t="str">
        <f aca="false">IF(P1991="","",IFERROR(INDEX(T_INGRESO,MATCH(C1991,T_ID,0)),""))</f>
        <v/>
      </c>
      <c r="T1991" s="75" t="str">
        <f aca="false">IF(P1991="","",IFERROR(N(INDEX(T_EGRESO,MATCH(C1991,T_ID,0))),0))</f>
        <v/>
      </c>
      <c r="U1991" s="73" t="str">
        <f aca="false">IF(OR(P1991="",NOT(ISNUMBER(S1991))),"",IF(OR(S1991&gt;EOMONTH(B1991,0),AND(T1991&gt;0,T1991&lt;B1991)),0,IF(AND(S1991&lt;=B1991,OR(T1991=0,T1991&gt;=EOMONTH(B1991,0))),30,MIN(30,IF(T1991=0,EOMONTH(B1991,0),MIN(T1991,EOMONTH(B1991,0)))-MAX(B1991,S1991)+1))))</f>
        <v/>
      </c>
    </row>
    <row r="1992" customFormat="false" ht="15" hidden="false" customHeight="false" outlineLevel="0" collapsed="false">
      <c r="B1992" s="78"/>
      <c r="C1992" s="64"/>
      <c r="D1992" s="70" t="str">
        <f aca="false">IF(C1992="","",IFERROR(INDEX(T_NOMBRE,MATCH(C1992,T_ID,0)),"⚠ ID no existe"))</f>
        <v/>
      </c>
      <c r="E1992" s="69"/>
      <c r="F1992" s="69"/>
      <c r="G1992" s="69"/>
      <c r="H1992" s="69"/>
      <c r="I1992" s="66"/>
      <c r="J1992" s="69"/>
      <c r="K1992" s="67"/>
      <c r="L1992" s="67"/>
      <c r="M1992" s="67"/>
      <c r="N1992" s="67"/>
      <c r="O1992" s="64"/>
      <c r="P1992" s="72" t="str">
        <f aca="false">IF(OR(B1992="",C1992=""),"",C1992&amp;"|"&amp;(YEAR(B1992)*100+MONTH(B1992)))</f>
        <v/>
      </c>
      <c r="Q1992" s="70" t="str">
        <f aca="false">IF(P1992="","",IF(COUNTIF(N_CLAVE,P1992)&gt;1,"⚠ Duplicado","OK"))</f>
        <v/>
      </c>
      <c r="R1992" s="74" t="str">
        <f aca="false">IF(OR(P1992="",U1992=""),"",MAX(0,U1992-N(E1992)-N(F1992)-N(H1992)))</f>
        <v/>
      </c>
      <c r="S1992" s="75" t="str">
        <f aca="false">IF(P1992="","",IFERROR(INDEX(T_INGRESO,MATCH(C1992,T_ID,0)),""))</f>
        <v/>
      </c>
      <c r="T1992" s="75" t="str">
        <f aca="false">IF(P1992="","",IFERROR(N(INDEX(T_EGRESO,MATCH(C1992,T_ID,0))),0))</f>
        <v/>
      </c>
      <c r="U1992" s="73" t="str">
        <f aca="false">IF(OR(P1992="",NOT(ISNUMBER(S1992))),"",IF(OR(S1992&gt;EOMONTH(B1992,0),AND(T1992&gt;0,T1992&lt;B1992)),0,IF(AND(S1992&lt;=B1992,OR(T1992=0,T1992&gt;=EOMONTH(B1992,0))),30,MIN(30,IF(T1992=0,EOMONTH(B1992,0),MIN(T1992,EOMONTH(B1992,0)))-MAX(B1992,S1992)+1))))</f>
        <v/>
      </c>
    </row>
    <row r="1993" customFormat="false" ht="15" hidden="false" customHeight="false" outlineLevel="0" collapsed="false">
      <c r="B1993" s="78"/>
      <c r="C1993" s="64"/>
      <c r="D1993" s="70" t="str">
        <f aca="false">IF(C1993="","",IFERROR(INDEX(T_NOMBRE,MATCH(C1993,T_ID,0)),"⚠ ID no existe"))</f>
        <v/>
      </c>
      <c r="E1993" s="69"/>
      <c r="F1993" s="69"/>
      <c r="G1993" s="69"/>
      <c r="H1993" s="69"/>
      <c r="I1993" s="66"/>
      <c r="J1993" s="69"/>
      <c r="K1993" s="67"/>
      <c r="L1993" s="67"/>
      <c r="M1993" s="67"/>
      <c r="N1993" s="67"/>
      <c r="O1993" s="64"/>
      <c r="P1993" s="72" t="str">
        <f aca="false">IF(OR(B1993="",C1993=""),"",C1993&amp;"|"&amp;(YEAR(B1993)*100+MONTH(B1993)))</f>
        <v/>
      </c>
      <c r="Q1993" s="70" t="str">
        <f aca="false">IF(P1993="","",IF(COUNTIF(N_CLAVE,P1993)&gt;1,"⚠ Duplicado","OK"))</f>
        <v/>
      </c>
      <c r="R1993" s="74" t="str">
        <f aca="false">IF(OR(P1993="",U1993=""),"",MAX(0,U1993-N(E1993)-N(F1993)-N(H1993)))</f>
        <v/>
      </c>
      <c r="S1993" s="75" t="str">
        <f aca="false">IF(P1993="","",IFERROR(INDEX(T_INGRESO,MATCH(C1993,T_ID,0)),""))</f>
        <v/>
      </c>
      <c r="T1993" s="75" t="str">
        <f aca="false">IF(P1993="","",IFERROR(N(INDEX(T_EGRESO,MATCH(C1993,T_ID,0))),0))</f>
        <v/>
      </c>
      <c r="U1993" s="73" t="str">
        <f aca="false">IF(OR(P1993="",NOT(ISNUMBER(S1993))),"",IF(OR(S1993&gt;EOMONTH(B1993,0),AND(T1993&gt;0,T1993&lt;B1993)),0,IF(AND(S1993&lt;=B1993,OR(T1993=0,T1993&gt;=EOMONTH(B1993,0))),30,MIN(30,IF(T1993=0,EOMONTH(B1993,0),MIN(T1993,EOMONTH(B1993,0)))-MAX(B1993,S1993)+1))))</f>
        <v/>
      </c>
    </row>
    <row r="1994" customFormat="false" ht="15" hidden="false" customHeight="false" outlineLevel="0" collapsed="false">
      <c r="B1994" s="78"/>
      <c r="C1994" s="64"/>
      <c r="D1994" s="70" t="str">
        <f aca="false">IF(C1994="","",IFERROR(INDEX(T_NOMBRE,MATCH(C1994,T_ID,0)),"⚠ ID no existe"))</f>
        <v/>
      </c>
      <c r="E1994" s="69"/>
      <c r="F1994" s="69"/>
      <c r="G1994" s="69"/>
      <c r="H1994" s="69"/>
      <c r="I1994" s="66"/>
      <c r="J1994" s="69"/>
      <c r="K1994" s="67"/>
      <c r="L1994" s="67"/>
      <c r="M1994" s="67"/>
      <c r="N1994" s="67"/>
      <c r="O1994" s="64"/>
      <c r="P1994" s="72" t="str">
        <f aca="false">IF(OR(B1994="",C1994=""),"",C1994&amp;"|"&amp;(YEAR(B1994)*100+MONTH(B1994)))</f>
        <v/>
      </c>
      <c r="Q1994" s="70" t="str">
        <f aca="false">IF(P1994="","",IF(COUNTIF(N_CLAVE,P1994)&gt;1,"⚠ Duplicado","OK"))</f>
        <v/>
      </c>
      <c r="R1994" s="74" t="str">
        <f aca="false">IF(OR(P1994="",U1994=""),"",MAX(0,U1994-N(E1994)-N(F1994)-N(H1994)))</f>
        <v/>
      </c>
      <c r="S1994" s="75" t="str">
        <f aca="false">IF(P1994="","",IFERROR(INDEX(T_INGRESO,MATCH(C1994,T_ID,0)),""))</f>
        <v/>
      </c>
      <c r="T1994" s="75" t="str">
        <f aca="false">IF(P1994="","",IFERROR(N(INDEX(T_EGRESO,MATCH(C1994,T_ID,0))),0))</f>
        <v/>
      </c>
      <c r="U1994" s="73" t="str">
        <f aca="false">IF(OR(P1994="",NOT(ISNUMBER(S1994))),"",IF(OR(S1994&gt;EOMONTH(B1994,0),AND(T1994&gt;0,T1994&lt;B1994)),0,IF(AND(S1994&lt;=B1994,OR(T1994=0,T1994&gt;=EOMONTH(B1994,0))),30,MIN(30,IF(T1994=0,EOMONTH(B1994,0),MIN(T1994,EOMONTH(B1994,0)))-MAX(B1994,S1994)+1))))</f>
        <v/>
      </c>
    </row>
    <row r="1995" customFormat="false" ht="15" hidden="false" customHeight="false" outlineLevel="0" collapsed="false">
      <c r="B1995" s="78"/>
      <c r="C1995" s="64"/>
      <c r="D1995" s="70" t="str">
        <f aca="false">IF(C1995="","",IFERROR(INDEX(T_NOMBRE,MATCH(C1995,T_ID,0)),"⚠ ID no existe"))</f>
        <v/>
      </c>
      <c r="E1995" s="69"/>
      <c r="F1995" s="69"/>
      <c r="G1995" s="69"/>
      <c r="H1995" s="69"/>
      <c r="I1995" s="66"/>
      <c r="J1995" s="69"/>
      <c r="K1995" s="67"/>
      <c r="L1995" s="67"/>
      <c r="M1995" s="67"/>
      <c r="N1995" s="67"/>
      <c r="O1995" s="64"/>
      <c r="P1995" s="72" t="str">
        <f aca="false">IF(OR(B1995="",C1995=""),"",C1995&amp;"|"&amp;(YEAR(B1995)*100+MONTH(B1995)))</f>
        <v/>
      </c>
      <c r="Q1995" s="70" t="str">
        <f aca="false">IF(P1995="","",IF(COUNTIF(N_CLAVE,P1995)&gt;1,"⚠ Duplicado","OK"))</f>
        <v/>
      </c>
      <c r="R1995" s="74" t="str">
        <f aca="false">IF(OR(P1995="",U1995=""),"",MAX(0,U1995-N(E1995)-N(F1995)-N(H1995)))</f>
        <v/>
      </c>
      <c r="S1995" s="75" t="str">
        <f aca="false">IF(P1995="","",IFERROR(INDEX(T_INGRESO,MATCH(C1995,T_ID,0)),""))</f>
        <v/>
      </c>
      <c r="T1995" s="75" t="str">
        <f aca="false">IF(P1995="","",IFERROR(N(INDEX(T_EGRESO,MATCH(C1995,T_ID,0))),0))</f>
        <v/>
      </c>
      <c r="U1995" s="73" t="str">
        <f aca="false">IF(OR(P1995="",NOT(ISNUMBER(S1995))),"",IF(OR(S1995&gt;EOMONTH(B1995,0),AND(T1995&gt;0,T1995&lt;B1995)),0,IF(AND(S1995&lt;=B1995,OR(T1995=0,T1995&gt;=EOMONTH(B1995,0))),30,MIN(30,IF(T1995=0,EOMONTH(B1995,0),MIN(T1995,EOMONTH(B1995,0)))-MAX(B1995,S1995)+1))))</f>
        <v/>
      </c>
    </row>
    <row r="1996" customFormat="false" ht="15" hidden="false" customHeight="false" outlineLevel="0" collapsed="false">
      <c r="B1996" s="78"/>
      <c r="C1996" s="64"/>
      <c r="D1996" s="70" t="str">
        <f aca="false">IF(C1996="","",IFERROR(INDEX(T_NOMBRE,MATCH(C1996,T_ID,0)),"⚠ ID no existe"))</f>
        <v/>
      </c>
      <c r="E1996" s="69"/>
      <c r="F1996" s="69"/>
      <c r="G1996" s="69"/>
      <c r="H1996" s="69"/>
      <c r="I1996" s="66"/>
      <c r="J1996" s="69"/>
      <c r="K1996" s="67"/>
      <c r="L1996" s="67"/>
      <c r="M1996" s="67"/>
      <c r="N1996" s="67"/>
      <c r="O1996" s="64"/>
      <c r="P1996" s="72" t="str">
        <f aca="false">IF(OR(B1996="",C1996=""),"",C1996&amp;"|"&amp;(YEAR(B1996)*100+MONTH(B1996)))</f>
        <v/>
      </c>
      <c r="Q1996" s="70" t="str">
        <f aca="false">IF(P1996="","",IF(COUNTIF(N_CLAVE,P1996)&gt;1,"⚠ Duplicado","OK"))</f>
        <v/>
      </c>
      <c r="R1996" s="74" t="str">
        <f aca="false">IF(OR(P1996="",U1996=""),"",MAX(0,U1996-N(E1996)-N(F1996)-N(H1996)))</f>
        <v/>
      </c>
      <c r="S1996" s="75" t="str">
        <f aca="false">IF(P1996="","",IFERROR(INDEX(T_INGRESO,MATCH(C1996,T_ID,0)),""))</f>
        <v/>
      </c>
      <c r="T1996" s="75" t="str">
        <f aca="false">IF(P1996="","",IFERROR(N(INDEX(T_EGRESO,MATCH(C1996,T_ID,0))),0))</f>
        <v/>
      </c>
      <c r="U1996" s="73" t="str">
        <f aca="false">IF(OR(P1996="",NOT(ISNUMBER(S1996))),"",IF(OR(S1996&gt;EOMONTH(B1996,0),AND(T1996&gt;0,T1996&lt;B1996)),0,IF(AND(S1996&lt;=B1996,OR(T1996=0,T1996&gt;=EOMONTH(B1996,0))),30,MIN(30,IF(T1996=0,EOMONTH(B1996,0),MIN(T1996,EOMONTH(B1996,0)))-MAX(B1996,S1996)+1))))</f>
        <v/>
      </c>
    </row>
    <row r="1997" customFormat="false" ht="15" hidden="false" customHeight="false" outlineLevel="0" collapsed="false">
      <c r="B1997" s="78"/>
      <c r="C1997" s="64"/>
      <c r="D1997" s="70" t="str">
        <f aca="false">IF(C1997="","",IFERROR(INDEX(T_NOMBRE,MATCH(C1997,T_ID,0)),"⚠ ID no existe"))</f>
        <v/>
      </c>
      <c r="E1997" s="69"/>
      <c r="F1997" s="69"/>
      <c r="G1997" s="69"/>
      <c r="H1997" s="69"/>
      <c r="I1997" s="66"/>
      <c r="J1997" s="69"/>
      <c r="K1997" s="67"/>
      <c r="L1997" s="67"/>
      <c r="M1997" s="67"/>
      <c r="N1997" s="67"/>
      <c r="O1997" s="64"/>
      <c r="P1997" s="72" t="str">
        <f aca="false">IF(OR(B1997="",C1997=""),"",C1997&amp;"|"&amp;(YEAR(B1997)*100+MONTH(B1997)))</f>
        <v/>
      </c>
      <c r="Q1997" s="70" t="str">
        <f aca="false">IF(P1997="","",IF(COUNTIF(N_CLAVE,P1997)&gt;1,"⚠ Duplicado","OK"))</f>
        <v/>
      </c>
      <c r="R1997" s="74" t="str">
        <f aca="false">IF(OR(P1997="",U1997=""),"",MAX(0,U1997-N(E1997)-N(F1997)-N(H1997)))</f>
        <v/>
      </c>
      <c r="S1997" s="75" t="str">
        <f aca="false">IF(P1997="","",IFERROR(INDEX(T_INGRESO,MATCH(C1997,T_ID,0)),""))</f>
        <v/>
      </c>
      <c r="T1997" s="75" t="str">
        <f aca="false">IF(P1997="","",IFERROR(N(INDEX(T_EGRESO,MATCH(C1997,T_ID,0))),0))</f>
        <v/>
      </c>
      <c r="U1997" s="73" t="str">
        <f aca="false">IF(OR(P1997="",NOT(ISNUMBER(S1997))),"",IF(OR(S1997&gt;EOMONTH(B1997,0),AND(T1997&gt;0,T1997&lt;B1997)),0,IF(AND(S1997&lt;=B1997,OR(T1997=0,T1997&gt;=EOMONTH(B1997,0))),30,MIN(30,IF(T1997=0,EOMONTH(B1997,0),MIN(T1997,EOMONTH(B1997,0)))-MAX(B1997,S1997)+1))))</f>
        <v/>
      </c>
    </row>
    <row r="1998" customFormat="false" ht="15" hidden="false" customHeight="false" outlineLevel="0" collapsed="false">
      <c r="B1998" s="78"/>
      <c r="C1998" s="64"/>
      <c r="D1998" s="70" t="str">
        <f aca="false">IF(C1998="","",IFERROR(INDEX(T_NOMBRE,MATCH(C1998,T_ID,0)),"⚠ ID no existe"))</f>
        <v/>
      </c>
      <c r="E1998" s="69"/>
      <c r="F1998" s="69"/>
      <c r="G1998" s="69"/>
      <c r="H1998" s="69"/>
      <c r="I1998" s="66"/>
      <c r="J1998" s="69"/>
      <c r="K1998" s="67"/>
      <c r="L1998" s="67"/>
      <c r="M1998" s="67"/>
      <c r="N1998" s="67"/>
      <c r="O1998" s="64"/>
      <c r="P1998" s="72" t="str">
        <f aca="false">IF(OR(B1998="",C1998=""),"",C1998&amp;"|"&amp;(YEAR(B1998)*100+MONTH(B1998)))</f>
        <v/>
      </c>
      <c r="Q1998" s="70" t="str">
        <f aca="false">IF(P1998="","",IF(COUNTIF(N_CLAVE,P1998)&gt;1,"⚠ Duplicado","OK"))</f>
        <v/>
      </c>
      <c r="R1998" s="74" t="str">
        <f aca="false">IF(OR(P1998="",U1998=""),"",MAX(0,U1998-N(E1998)-N(F1998)-N(H1998)))</f>
        <v/>
      </c>
      <c r="S1998" s="75" t="str">
        <f aca="false">IF(P1998="","",IFERROR(INDEX(T_INGRESO,MATCH(C1998,T_ID,0)),""))</f>
        <v/>
      </c>
      <c r="T1998" s="75" t="str">
        <f aca="false">IF(P1998="","",IFERROR(N(INDEX(T_EGRESO,MATCH(C1998,T_ID,0))),0))</f>
        <v/>
      </c>
      <c r="U1998" s="73" t="str">
        <f aca="false">IF(OR(P1998="",NOT(ISNUMBER(S1998))),"",IF(OR(S1998&gt;EOMONTH(B1998,0),AND(T1998&gt;0,T1998&lt;B1998)),0,IF(AND(S1998&lt;=B1998,OR(T1998=0,T1998&gt;=EOMONTH(B1998,0))),30,MIN(30,IF(T1998=0,EOMONTH(B1998,0),MIN(T1998,EOMONTH(B1998,0)))-MAX(B1998,S1998)+1))))</f>
        <v/>
      </c>
    </row>
    <row r="1999" customFormat="false" ht="15" hidden="false" customHeight="false" outlineLevel="0" collapsed="false">
      <c r="B1999" s="78"/>
      <c r="C1999" s="64"/>
      <c r="D1999" s="70" t="str">
        <f aca="false">IF(C1999="","",IFERROR(INDEX(T_NOMBRE,MATCH(C1999,T_ID,0)),"⚠ ID no existe"))</f>
        <v/>
      </c>
      <c r="E1999" s="69"/>
      <c r="F1999" s="69"/>
      <c r="G1999" s="69"/>
      <c r="H1999" s="69"/>
      <c r="I1999" s="66"/>
      <c r="J1999" s="69"/>
      <c r="K1999" s="67"/>
      <c r="L1999" s="67"/>
      <c r="M1999" s="67"/>
      <c r="N1999" s="67"/>
      <c r="O1999" s="64"/>
      <c r="P1999" s="72" t="str">
        <f aca="false">IF(OR(B1999="",C1999=""),"",C1999&amp;"|"&amp;(YEAR(B1999)*100+MONTH(B1999)))</f>
        <v/>
      </c>
      <c r="Q1999" s="70" t="str">
        <f aca="false">IF(P1999="","",IF(COUNTIF(N_CLAVE,P1999)&gt;1,"⚠ Duplicado","OK"))</f>
        <v/>
      </c>
      <c r="R1999" s="74" t="str">
        <f aca="false">IF(OR(P1999="",U1999=""),"",MAX(0,U1999-N(E1999)-N(F1999)-N(H1999)))</f>
        <v/>
      </c>
      <c r="S1999" s="75" t="str">
        <f aca="false">IF(P1999="","",IFERROR(INDEX(T_INGRESO,MATCH(C1999,T_ID,0)),""))</f>
        <v/>
      </c>
      <c r="T1999" s="75" t="str">
        <f aca="false">IF(P1999="","",IFERROR(N(INDEX(T_EGRESO,MATCH(C1999,T_ID,0))),0))</f>
        <v/>
      </c>
      <c r="U1999" s="73" t="str">
        <f aca="false">IF(OR(P1999="",NOT(ISNUMBER(S1999))),"",IF(OR(S1999&gt;EOMONTH(B1999,0),AND(T1999&gt;0,T1999&lt;B1999)),0,IF(AND(S1999&lt;=B1999,OR(T1999=0,T1999&gt;=EOMONTH(B1999,0))),30,MIN(30,IF(T1999=0,EOMONTH(B1999,0),MIN(T1999,EOMONTH(B1999,0)))-MAX(B1999,S1999)+1))))</f>
        <v/>
      </c>
    </row>
    <row r="2000" customFormat="false" ht="15" hidden="false" customHeight="false" outlineLevel="0" collapsed="false">
      <c r="B2000" s="78"/>
      <c r="C2000" s="64"/>
      <c r="D2000" s="70" t="str">
        <f aca="false">IF(C2000="","",IFERROR(INDEX(T_NOMBRE,MATCH(C2000,T_ID,0)),"⚠ ID no existe"))</f>
        <v/>
      </c>
      <c r="E2000" s="69"/>
      <c r="F2000" s="69"/>
      <c r="G2000" s="69"/>
      <c r="H2000" s="69"/>
      <c r="I2000" s="66"/>
      <c r="J2000" s="69"/>
      <c r="K2000" s="67"/>
      <c r="L2000" s="67"/>
      <c r="M2000" s="67"/>
      <c r="N2000" s="67"/>
      <c r="O2000" s="64"/>
      <c r="P2000" s="72" t="str">
        <f aca="false">IF(OR(B2000="",C2000=""),"",C2000&amp;"|"&amp;(YEAR(B2000)*100+MONTH(B2000)))</f>
        <v/>
      </c>
      <c r="Q2000" s="70" t="str">
        <f aca="false">IF(P2000="","",IF(COUNTIF(N_CLAVE,P2000)&gt;1,"⚠ Duplicado","OK"))</f>
        <v/>
      </c>
      <c r="R2000" s="74" t="str">
        <f aca="false">IF(OR(P2000="",U2000=""),"",MAX(0,U2000-N(E2000)-N(F2000)-N(H2000)))</f>
        <v/>
      </c>
      <c r="S2000" s="75" t="str">
        <f aca="false">IF(P2000="","",IFERROR(INDEX(T_INGRESO,MATCH(C2000,T_ID,0)),""))</f>
        <v/>
      </c>
      <c r="T2000" s="75" t="str">
        <f aca="false">IF(P2000="","",IFERROR(N(INDEX(T_EGRESO,MATCH(C2000,T_ID,0))),0))</f>
        <v/>
      </c>
      <c r="U2000" s="73" t="str">
        <f aca="false">IF(OR(P2000="",NOT(ISNUMBER(S2000))),"",IF(OR(S2000&gt;EOMONTH(B2000,0),AND(T2000&gt;0,T2000&lt;B2000)),0,IF(AND(S2000&lt;=B2000,OR(T2000=0,T2000&gt;=EOMONTH(B2000,0))),30,MIN(30,IF(T2000=0,EOMONTH(B2000,0),MIN(T2000,EOMONTH(B2000,0)))-MAX(B2000,S2000)+1))))</f>
        <v/>
      </c>
    </row>
    <row r="2001" customFormat="false" ht="15" hidden="false" customHeight="false" outlineLevel="0" collapsed="false">
      <c r="B2001" s="78"/>
      <c r="C2001" s="64"/>
      <c r="D2001" s="70" t="str">
        <f aca="false">IF(C2001="","",IFERROR(INDEX(T_NOMBRE,MATCH(C2001,T_ID,0)),"⚠ ID no existe"))</f>
        <v/>
      </c>
      <c r="E2001" s="69"/>
      <c r="F2001" s="69"/>
      <c r="G2001" s="69"/>
      <c r="H2001" s="69"/>
      <c r="I2001" s="66"/>
      <c r="J2001" s="69"/>
      <c r="K2001" s="67"/>
      <c r="L2001" s="67"/>
      <c r="M2001" s="67"/>
      <c r="N2001" s="67"/>
      <c r="O2001" s="64"/>
      <c r="P2001" s="72" t="str">
        <f aca="false">IF(OR(B2001="",C2001=""),"",C2001&amp;"|"&amp;(YEAR(B2001)*100+MONTH(B2001)))</f>
        <v/>
      </c>
      <c r="Q2001" s="70" t="str">
        <f aca="false">IF(P2001="","",IF(COUNTIF(N_CLAVE,P2001)&gt;1,"⚠ Duplicado","OK"))</f>
        <v/>
      </c>
      <c r="R2001" s="74" t="str">
        <f aca="false">IF(OR(P2001="",U2001=""),"",MAX(0,U2001-N(E2001)-N(F2001)-N(H2001)))</f>
        <v/>
      </c>
      <c r="S2001" s="75" t="str">
        <f aca="false">IF(P2001="","",IFERROR(INDEX(T_INGRESO,MATCH(C2001,T_ID,0)),""))</f>
        <v/>
      </c>
      <c r="T2001" s="75" t="str">
        <f aca="false">IF(P2001="","",IFERROR(N(INDEX(T_EGRESO,MATCH(C2001,T_ID,0))),0))</f>
        <v/>
      </c>
      <c r="U2001" s="73" t="str">
        <f aca="false">IF(OR(P2001="",NOT(ISNUMBER(S2001))),"",IF(OR(S2001&gt;EOMONTH(B2001,0),AND(T2001&gt;0,T2001&lt;B2001)),0,IF(AND(S2001&lt;=B2001,OR(T2001=0,T2001&gt;=EOMONTH(B2001,0))),30,MIN(30,IF(T2001=0,EOMONTH(B2001,0),MIN(T2001,EOMONTH(B2001,0)))-MAX(B2001,S2001)+1))))</f>
        <v/>
      </c>
    </row>
    <row r="2002" customFormat="false" ht="15" hidden="false" customHeight="false" outlineLevel="0" collapsed="false">
      <c r="B2002" s="78"/>
      <c r="C2002" s="64"/>
      <c r="D2002" s="70" t="str">
        <f aca="false">IF(C2002="","",IFERROR(INDEX(T_NOMBRE,MATCH(C2002,T_ID,0)),"⚠ ID no existe"))</f>
        <v/>
      </c>
      <c r="E2002" s="69"/>
      <c r="F2002" s="69"/>
      <c r="G2002" s="69"/>
      <c r="H2002" s="69"/>
      <c r="I2002" s="66"/>
      <c r="J2002" s="69"/>
      <c r="K2002" s="67"/>
      <c r="L2002" s="67"/>
      <c r="M2002" s="67"/>
      <c r="N2002" s="67"/>
      <c r="O2002" s="64"/>
      <c r="P2002" s="72" t="str">
        <f aca="false">IF(OR(B2002="",C2002=""),"",C2002&amp;"|"&amp;(YEAR(B2002)*100+MONTH(B2002)))</f>
        <v/>
      </c>
      <c r="Q2002" s="70" t="str">
        <f aca="false">IF(P2002="","",IF(COUNTIF(N_CLAVE,P2002)&gt;1,"⚠ Duplicado","OK"))</f>
        <v/>
      </c>
      <c r="R2002" s="74" t="str">
        <f aca="false">IF(OR(P2002="",U2002=""),"",MAX(0,U2002-N(E2002)-N(F2002)-N(H2002)))</f>
        <v/>
      </c>
      <c r="S2002" s="75" t="str">
        <f aca="false">IF(P2002="","",IFERROR(INDEX(T_INGRESO,MATCH(C2002,T_ID,0)),""))</f>
        <v/>
      </c>
      <c r="T2002" s="75" t="str">
        <f aca="false">IF(P2002="","",IFERROR(N(INDEX(T_EGRESO,MATCH(C2002,T_ID,0))),0))</f>
        <v/>
      </c>
      <c r="U2002" s="73" t="str">
        <f aca="false">IF(OR(P2002="",NOT(ISNUMBER(S2002))),"",IF(OR(S2002&gt;EOMONTH(B2002,0),AND(T2002&gt;0,T2002&lt;B2002)),0,IF(AND(S2002&lt;=B2002,OR(T2002=0,T2002&gt;=EOMONTH(B2002,0))),30,MIN(30,IF(T2002=0,EOMONTH(B2002,0),MIN(T2002,EOMONTH(B2002,0)))-MAX(B2002,S2002)+1))))</f>
        <v/>
      </c>
    </row>
    <row r="2003" customFormat="false" ht="15" hidden="false" customHeight="false" outlineLevel="0" collapsed="false">
      <c r="B2003" s="78"/>
      <c r="C2003" s="64"/>
      <c r="D2003" s="70" t="str">
        <f aca="false">IF(C2003="","",IFERROR(INDEX(T_NOMBRE,MATCH(C2003,T_ID,0)),"⚠ ID no existe"))</f>
        <v/>
      </c>
      <c r="E2003" s="69"/>
      <c r="F2003" s="69"/>
      <c r="G2003" s="69"/>
      <c r="H2003" s="69"/>
      <c r="I2003" s="66"/>
      <c r="J2003" s="69"/>
      <c r="K2003" s="67"/>
      <c r="L2003" s="67"/>
      <c r="M2003" s="67"/>
      <c r="N2003" s="67"/>
      <c r="O2003" s="64"/>
      <c r="P2003" s="72" t="str">
        <f aca="false">IF(OR(B2003="",C2003=""),"",C2003&amp;"|"&amp;(YEAR(B2003)*100+MONTH(B2003)))</f>
        <v/>
      </c>
      <c r="Q2003" s="70" t="str">
        <f aca="false">IF(P2003="","",IF(COUNTIF(N_CLAVE,P2003)&gt;1,"⚠ Duplicado","OK"))</f>
        <v/>
      </c>
      <c r="R2003" s="74" t="str">
        <f aca="false">IF(OR(P2003="",U2003=""),"",MAX(0,U2003-N(E2003)-N(F2003)-N(H2003)))</f>
        <v/>
      </c>
      <c r="S2003" s="75" t="str">
        <f aca="false">IF(P2003="","",IFERROR(INDEX(T_INGRESO,MATCH(C2003,T_ID,0)),""))</f>
        <v/>
      </c>
      <c r="T2003" s="75" t="str">
        <f aca="false">IF(P2003="","",IFERROR(N(INDEX(T_EGRESO,MATCH(C2003,T_ID,0))),0))</f>
        <v/>
      </c>
      <c r="U2003" s="73" t="str">
        <f aca="false">IF(OR(P2003="",NOT(ISNUMBER(S2003))),"",IF(OR(S2003&gt;EOMONTH(B2003,0),AND(T2003&gt;0,T2003&lt;B2003)),0,IF(AND(S2003&lt;=B2003,OR(T2003=0,T2003&gt;=EOMONTH(B2003,0))),30,MIN(30,IF(T2003=0,EOMONTH(B2003,0),MIN(T2003,EOMONTH(B2003,0)))-MAX(B2003,S2003)+1))))</f>
        <v/>
      </c>
    </row>
    <row r="2004" customFormat="false" ht="15" hidden="false" customHeight="false" outlineLevel="0" collapsed="false">
      <c r="B2004" s="78"/>
      <c r="C2004" s="64"/>
      <c r="D2004" s="70" t="str">
        <f aca="false">IF(C2004="","",IFERROR(INDEX(T_NOMBRE,MATCH(C2004,T_ID,0)),"⚠ ID no existe"))</f>
        <v/>
      </c>
      <c r="E2004" s="69"/>
      <c r="F2004" s="69"/>
      <c r="G2004" s="69"/>
      <c r="H2004" s="69"/>
      <c r="I2004" s="66"/>
      <c r="J2004" s="69"/>
      <c r="K2004" s="67"/>
      <c r="L2004" s="67"/>
      <c r="M2004" s="67"/>
      <c r="N2004" s="67"/>
      <c r="O2004" s="64"/>
      <c r="P2004" s="72" t="str">
        <f aca="false">IF(OR(B2004="",C2004=""),"",C2004&amp;"|"&amp;(YEAR(B2004)*100+MONTH(B2004)))</f>
        <v/>
      </c>
      <c r="Q2004" s="70" t="str">
        <f aca="false">IF(P2004="","",IF(COUNTIF(N_CLAVE,P2004)&gt;1,"⚠ Duplicado","OK"))</f>
        <v/>
      </c>
      <c r="R2004" s="74" t="str">
        <f aca="false">IF(OR(P2004="",U2004=""),"",MAX(0,U2004-N(E2004)-N(F2004)-N(H2004)))</f>
        <v/>
      </c>
      <c r="S2004" s="75" t="str">
        <f aca="false">IF(P2004="","",IFERROR(INDEX(T_INGRESO,MATCH(C2004,T_ID,0)),""))</f>
        <v/>
      </c>
      <c r="T2004" s="75" t="str">
        <f aca="false">IF(P2004="","",IFERROR(N(INDEX(T_EGRESO,MATCH(C2004,T_ID,0))),0))</f>
        <v/>
      </c>
      <c r="U2004" s="73" t="str">
        <f aca="false">IF(OR(P2004="",NOT(ISNUMBER(S2004))),"",IF(OR(S2004&gt;EOMONTH(B2004,0),AND(T2004&gt;0,T2004&lt;B2004)),0,IF(AND(S2004&lt;=B2004,OR(T2004=0,T2004&gt;=EOMONTH(B2004,0))),30,MIN(30,IF(T2004=0,EOMONTH(B2004,0),MIN(T2004,EOMONTH(B2004,0)))-MAX(B2004,S2004)+1))))</f>
        <v/>
      </c>
    </row>
    <row r="2005" customFormat="false" ht="15" hidden="false" customHeight="false" outlineLevel="0" collapsed="false">
      <c r="B2005" s="78"/>
      <c r="C2005" s="64"/>
      <c r="D2005" s="70" t="str">
        <f aca="false">IF(C2005="","",IFERROR(INDEX(T_NOMBRE,MATCH(C2005,T_ID,0)),"⚠ ID no existe"))</f>
        <v/>
      </c>
      <c r="E2005" s="69"/>
      <c r="F2005" s="69"/>
      <c r="G2005" s="69"/>
      <c r="H2005" s="69"/>
      <c r="I2005" s="66"/>
      <c r="J2005" s="69"/>
      <c r="K2005" s="67"/>
      <c r="L2005" s="67"/>
      <c r="M2005" s="67"/>
      <c r="N2005" s="67"/>
      <c r="O2005" s="64"/>
      <c r="P2005" s="72" t="str">
        <f aca="false">IF(OR(B2005="",C2005=""),"",C2005&amp;"|"&amp;(YEAR(B2005)*100+MONTH(B2005)))</f>
        <v/>
      </c>
      <c r="Q2005" s="70" t="str">
        <f aca="false">IF(P2005="","",IF(COUNTIF(N_CLAVE,P2005)&gt;1,"⚠ Duplicado","OK"))</f>
        <v/>
      </c>
      <c r="R2005" s="74" t="str">
        <f aca="false">IF(OR(P2005="",U2005=""),"",MAX(0,U2005-N(E2005)-N(F2005)-N(H2005)))</f>
        <v/>
      </c>
      <c r="S2005" s="75" t="str">
        <f aca="false">IF(P2005="","",IFERROR(INDEX(T_INGRESO,MATCH(C2005,T_ID,0)),""))</f>
        <v/>
      </c>
      <c r="T2005" s="75" t="str">
        <f aca="false">IF(P2005="","",IFERROR(N(INDEX(T_EGRESO,MATCH(C2005,T_ID,0))),0))</f>
        <v/>
      </c>
      <c r="U2005" s="73" t="str">
        <f aca="false">IF(OR(P2005="",NOT(ISNUMBER(S2005))),"",IF(OR(S2005&gt;EOMONTH(B2005,0),AND(T2005&gt;0,T2005&lt;B2005)),0,IF(AND(S2005&lt;=B2005,OR(T2005=0,T2005&gt;=EOMONTH(B2005,0))),30,MIN(30,IF(T2005=0,EOMONTH(B2005,0),MIN(T2005,EOMONTH(B2005,0)))-MAX(B2005,S2005)+1))))</f>
        <v/>
      </c>
    </row>
    <row r="2006" customFormat="false" ht="15" hidden="false" customHeight="false" outlineLevel="0" collapsed="false">
      <c r="B2006" s="78"/>
      <c r="C2006" s="64"/>
      <c r="D2006" s="70" t="str">
        <f aca="false">IF(C2006="","",IFERROR(INDEX(T_NOMBRE,MATCH(C2006,T_ID,0)),"⚠ ID no existe"))</f>
        <v/>
      </c>
      <c r="E2006" s="69"/>
      <c r="F2006" s="69"/>
      <c r="G2006" s="69"/>
      <c r="H2006" s="69"/>
      <c r="I2006" s="66"/>
      <c r="J2006" s="69"/>
      <c r="K2006" s="67"/>
      <c r="L2006" s="67"/>
      <c r="M2006" s="67"/>
      <c r="N2006" s="67"/>
      <c r="O2006" s="64"/>
      <c r="P2006" s="72" t="str">
        <f aca="false">IF(OR(B2006="",C2006=""),"",C2006&amp;"|"&amp;(YEAR(B2006)*100+MONTH(B2006)))</f>
        <v/>
      </c>
      <c r="Q2006" s="70" t="str">
        <f aca="false">IF(P2006="","",IF(COUNTIF(N_CLAVE,P2006)&gt;1,"⚠ Duplicado","OK"))</f>
        <v/>
      </c>
      <c r="R2006" s="74" t="str">
        <f aca="false">IF(OR(P2006="",U2006=""),"",MAX(0,U2006-N(E2006)-N(F2006)-N(H2006)))</f>
        <v/>
      </c>
      <c r="S2006" s="75" t="str">
        <f aca="false">IF(P2006="","",IFERROR(INDEX(T_INGRESO,MATCH(C2006,T_ID,0)),""))</f>
        <v/>
      </c>
      <c r="T2006" s="75" t="str">
        <f aca="false">IF(P2006="","",IFERROR(N(INDEX(T_EGRESO,MATCH(C2006,T_ID,0))),0))</f>
        <v/>
      </c>
      <c r="U2006" s="73" t="str">
        <f aca="false">IF(OR(P2006="",NOT(ISNUMBER(S2006))),"",IF(OR(S2006&gt;EOMONTH(B2006,0),AND(T2006&gt;0,T2006&lt;B2006)),0,IF(AND(S2006&lt;=B2006,OR(T2006=0,T2006&gt;=EOMONTH(B2006,0))),30,MIN(30,IF(T2006=0,EOMONTH(B2006,0),MIN(T2006,EOMONTH(B2006,0)))-MAX(B2006,S2006)+1))))</f>
        <v/>
      </c>
    </row>
    <row r="2007" customFormat="false" ht="15" hidden="false" customHeight="false" outlineLevel="0" collapsed="false">
      <c r="B2007" s="78"/>
      <c r="C2007" s="64"/>
      <c r="D2007" s="70" t="str">
        <f aca="false">IF(C2007="","",IFERROR(INDEX(T_NOMBRE,MATCH(C2007,T_ID,0)),"⚠ ID no existe"))</f>
        <v/>
      </c>
      <c r="E2007" s="69"/>
      <c r="F2007" s="69"/>
      <c r="G2007" s="69"/>
      <c r="H2007" s="69"/>
      <c r="I2007" s="66"/>
      <c r="J2007" s="69"/>
      <c r="K2007" s="67"/>
      <c r="L2007" s="67"/>
      <c r="M2007" s="67"/>
      <c r="N2007" s="67"/>
      <c r="O2007" s="64"/>
      <c r="P2007" s="72" t="str">
        <f aca="false">IF(OR(B2007="",C2007=""),"",C2007&amp;"|"&amp;(YEAR(B2007)*100+MONTH(B2007)))</f>
        <v/>
      </c>
      <c r="Q2007" s="70" t="str">
        <f aca="false">IF(P2007="","",IF(COUNTIF(N_CLAVE,P2007)&gt;1,"⚠ Duplicado","OK"))</f>
        <v/>
      </c>
      <c r="R2007" s="74" t="str">
        <f aca="false">IF(OR(P2007="",U2007=""),"",MAX(0,U2007-N(E2007)-N(F2007)-N(H2007)))</f>
        <v/>
      </c>
      <c r="S2007" s="75" t="str">
        <f aca="false">IF(P2007="","",IFERROR(INDEX(T_INGRESO,MATCH(C2007,T_ID,0)),""))</f>
        <v/>
      </c>
      <c r="T2007" s="75" t="str">
        <f aca="false">IF(P2007="","",IFERROR(N(INDEX(T_EGRESO,MATCH(C2007,T_ID,0))),0))</f>
        <v/>
      </c>
      <c r="U2007" s="73" t="str">
        <f aca="false">IF(OR(P2007="",NOT(ISNUMBER(S2007))),"",IF(OR(S2007&gt;EOMONTH(B2007,0),AND(T2007&gt;0,T2007&lt;B2007)),0,IF(AND(S2007&lt;=B2007,OR(T2007=0,T2007&gt;=EOMONTH(B2007,0))),30,MIN(30,IF(T2007=0,EOMONTH(B2007,0),MIN(T2007,EOMONTH(B2007,0)))-MAX(B2007,S2007)+1))))</f>
        <v/>
      </c>
    </row>
    <row r="2008" customFormat="false" ht="15" hidden="false" customHeight="false" outlineLevel="0" collapsed="false">
      <c r="B2008" s="78"/>
      <c r="C2008" s="64"/>
      <c r="D2008" s="70" t="str">
        <f aca="false">IF(C2008="","",IFERROR(INDEX(T_NOMBRE,MATCH(C2008,T_ID,0)),"⚠ ID no existe"))</f>
        <v/>
      </c>
      <c r="E2008" s="69"/>
      <c r="F2008" s="69"/>
      <c r="G2008" s="69"/>
      <c r="H2008" s="69"/>
      <c r="I2008" s="66"/>
      <c r="J2008" s="69"/>
      <c r="K2008" s="67"/>
      <c r="L2008" s="67"/>
      <c r="M2008" s="67"/>
      <c r="N2008" s="67"/>
      <c r="O2008" s="64"/>
      <c r="P2008" s="72" t="str">
        <f aca="false">IF(OR(B2008="",C2008=""),"",C2008&amp;"|"&amp;(YEAR(B2008)*100+MONTH(B2008)))</f>
        <v/>
      </c>
      <c r="Q2008" s="70" t="str">
        <f aca="false">IF(P2008="","",IF(COUNTIF(N_CLAVE,P2008)&gt;1,"⚠ Duplicado","OK"))</f>
        <v/>
      </c>
      <c r="R2008" s="74" t="str">
        <f aca="false">IF(OR(P2008="",U2008=""),"",MAX(0,U2008-N(E2008)-N(F2008)-N(H2008)))</f>
        <v/>
      </c>
      <c r="S2008" s="75" t="str">
        <f aca="false">IF(P2008="","",IFERROR(INDEX(T_INGRESO,MATCH(C2008,T_ID,0)),""))</f>
        <v/>
      </c>
      <c r="T2008" s="75" t="str">
        <f aca="false">IF(P2008="","",IFERROR(N(INDEX(T_EGRESO,MATCH(C2008,T_ID,0))),0))</f>
        <v/>
      </c>
      <c r="U2008" s="73" t="str">
        <f aca="false">IF(OR(P2008="",NOT(ISNUMBER(S2008))),"",IF(OR(S2008&gt;EOMONTH(B2008,0),AND(T2008&gt;0,T2008&lt;B2008)),0,IF(AND(S2008&lt;=B2008,OR(T2008=0,T2008&gt;=EOMONTH(B2008,0))),30,MIN(30,IF(T2008=0,EOMONTH(B2008,0),MIN(T2008,EOMONTH(B2008,0)))-MAX(B2008,S2008)+1))))</f>
        <v/>
      </c>
    </row>
    <row r="2009" customFormat="false" ht="15" hidden="false" customHeight="false" outlineLevel="0" collapsed="false">
      <c r="B2009" s="78"/>
      <c r="C2009" s="64"/>
      <c r="D2009" s="70" t="str">
        <f aca="false">IF(C2009="","",IFERROR(INDEX(T_NOMBRE,MATCH(C2009,T_ID,0)),"⚠ ID no existe"))</f>
        <v/>
      </c>
      <c r="E2009" s="69"/>
      <c r="F2009" s="69"/>
      <c r="G2009" s="69"/>
      <c r="H2009" s="69"/>
      <c r="I2009" s="66"/>
      <c r="J2009" s="69"/>
      <c r="K2009" s="67"/>
      <c r="L2009" s="67"/>
      <c r="M2009" s="67"/>
      <c r="N2009" s="67"/>
      <c r="O2009" s="64"/>
      <c r="P2009" s="72" t="str">
        <f aca="false">IF(OR(B2009="",C2009=""),"",C2009&amp;"|"&amp;(YEAR(B2009)*100+MONTH(B2009)))</f>
        <v/>
      </c>
      <c r="Q2009" s="70" t="str">
        <f aca="false">IF(P2009="","",IF(COUNTIF(N_CLAVE,P2009)&gt;1,"⚠ Duplicado","OK"))</f>
        <v/>
      </c>
      <c r="R2009" s="74" t="str">
        <f aca="false">IF(OR(P2009="",U2009=""),"",MAX(0,U2009-N(E2009)-N(F2009)-N(H2009)))</f>
        <v/>
      </c>
      <c r="S2009" s="75" t="str">
        <f aca="false">IF(P2009="","",IFERROR(INDEX(T_INGRESO,MATCH(C2009,T_ID,0)),""))</f>
        <v/>
      </c>
      <c r="T2009" s="75" t="str">
        <f aca="false">IF(P2009="","",IFERROR(N(INDEX(T_EGRESO,MATCH(C2009,T_ID,0))),0))</f>
        <v/>
      </c>
      <c r="U2009" s="73" t="str">
        <f aca="false">IF(OR(P2009="",NOT(ISNUMBER(S2009))),"",IF(OR(S2009&gt;EOMONTH(B2009,0),AND(T2009&gt;0,T2009&lt;B2009)),0,IF(AND(S2009&lt;=B2009,OR(T2009=0,T2009&gt;=EOMONTH(B2009,0))),30,MIN(30,IF(T2009=0,EOMONTH(B2009,0),MIN(T2009,EOMONTH(B2009,0)))-MAX(B2009,S2009)+1))))</f>
        <v/>
      </c>
    </row>
    <row r="2010" customFormat="false" ht="15" hidden="false" customHeight="false" outlineLevel="0" collapsed="false">
      <c r="B2010" s="78"/>
      <c r="C2010" s="64"/>
      <c r="D2010" s="70" t="str">
        <f aca="false">IF(C2010="","",IFERROR(INDEX(T_NOMBRE,MATCH(C2010,T_ID,0)),"⚠ ID no existe"))</f>
        <v/>
      </c>
      <c r="E2010" s="69"/>
      <c r="F2010" s="69"/>
      <c r="G2010" s="69"/>
      <c r="H2010" s="69"/>
      <c r="I2010" s="66"/>
      <c r="J2010" s="69"/>
      <c r="K2010" s="67"/>
      <c r="L2010" s="67"/>
      <c r="M2010" s="67"/>
      <c r="N2010" s="67"/>
      <c r="O2010" s="64"/>
      <c r="P2010" s="72" t="str">
        <f aca="false">IF(OR(B2010="",C2010=""),"",C2010&amp;"|"&amp;(YEAR(B2010)*100+MONTH(B2010)))</f>
        <v/>
      </c>
      <c r="Q2010" s="70" t="str">
        <f aca="false">IF(P2010="","",IF(COUNTIF(N_CLAVE,P2010)&gt;1,"⚠ Duplicado","OK"))</f>
        <v/>
      </c>
      <c r="R2010" s="74" t="str">
        <f aca="false">IF(OR(P2010="",U2010=""),"",MAX(0,U2010-N(E2010)-N(F2010)-N(H2010)))</f>
        <v/>
      </c>
      <c r="S2010" s="75" t="str">
        <f aca="false">IF(P2010="","",IFERROR(INDEX(T_INGRESO,MATCH(C2010,T_ID,0)),""))</f>
        <v/>
      </c>
      <c r="T2010" s="75" t="str">
        <f aca="false">IF(P2010="","",IFERROR(N(INDEX(T_EGRESO,MATCH(C2010,T_ID,0))),0))</f>
        <v/>
      </c>
      <c r="U2010" s="73" t="str">
        <f aca="false">IF(OR(P2010="",NOT(ISNUMBER(S2010))),"",IF(OR(S2010&gt;EOMONTH(B2010,0),AND(T2010&gt;0,T2010&lt;B2010)),0,IF(AND(S2010&lt;=B2010,OR(T2010=0,T2010&gt;=EOMONTH(B2010,0))),30,MIN(30,IF(T2010=0,EOMONTH(B2010,0),MIN(T2010,EOMONTH(B2010,0)))-MAX(B2010,S2010)+1))))</f>
        <v/>
      </c>
    </row>
    <row r="2011" customFormat="false" ht="15" hidden="false" customHeight="false" outlineLevel="0" collapsed="false">
      <c r="B2011" s="78"/>
      <c r="C2011" s="64"/>
      <c r="D2011" s="70" t="str">
        <f aca="false">IF(C2011="","",IFERROR(INDEX(T_NOMBRE,MATCH(C2011,T_ID,0)),"⚠ ID no existe"))</f>
        <v/>
      </c>
      <c r="E2011" s="69"/>
      <c r="F2011" s="69"/>
      <c r="G2011" s="69"/>
      <c r="H2011" s="69"/>
      <c r="I2011" s="66"/>
      <c r="J2011" s="69"/>
      <c r="K2011" s="67"/>
      <c r="L2011" s="67"/>
      <c r="M2011" s="67"/>
      <c r="N2011" s="67"/>
      <c r="O2011" s="64"/>
      <c r="P2011" s="72" t="str">
        <f aca="false">IF(OR(B2011="",C2011=""),"",C2011&amp;"|"&amp;(YEAR(B2011)*100+MONTH(B2011)))</f>
        <v/>
      </c>
      <c r="Q2011" s="70" t="str">
        <f aca="false">IF(P2011="","",IF(COUNTIF(N_CLAVE,P2011)&gt;1,"⚠ Duplicado","OK"))</f>
        <v/>
      </c>
      <c r="R2011" s="74" t="str">
        <f aca="false">IF(OR(P2011="",U2011=""),"",MAX(0,U2011-N(E2011)-N(F2011)-N(H2011)))</f>
        <v/>
      </c>
      <c r="S2011" s="75" t="str">
        <f aca="false">IF(P2011="","",IFERROR(INDEX(T_INGRESO,MATCH(C2011,T_ID,0)),""))</f>
        <v/>
      </c>
      <c r="T2011" s="75" t="str">
        <f aca="false">IF(P2011="","",IFERROR(N(INDEX(T_EGRESO,MATCH(C2011,T_ID,0))),0))</f>
        <v/>
      </c>
      <c r="U2011" s="73" t="str">
        <f aca="false">IF(OR(P2011="",NOT(ISNUMBER(S2011))),"",IF(OR(S2011&gt;EOMONTH(B2011,0),AND(T2011&gt;0,T2011&lt;B2011)),0,IF(AND(S2011&lt;=B2011,OR(T2011=0,T2011&gt;=EOMONTH(B2011,0))),30,MIN(30,IF(T2011=0,EOMONTH(B2011,0),MIN(T2011,EOMONTH(B2011,0)))-MAX(B2011,S2011)+1))))</f>
        <v/>
      </c>
    </row>
    <row r="2012" customFormat="false" ht="15" hidden="false" customHeight="false" outlineLevel="0" collapsed="false">
      <c r="B2012" s="78"/>
      <c r="C2012" s="64"/>
      <c r="D2012" s="70" t="str">
        <f aca="false">IF(C2012="","",IFERROR(INDEX(T_NOMBRE,MATCH(C2012,T_ID,0)),"⚠ ID no existe"))</f>
        <v/>
      </c>
      <c r="E2012" s="69"/>
      <c r="F2012" s="69"/>
      <c r="G2012" s="69"/>
      <c r="H2012" s="69"/>
      <c r="I2012" s="66"/>
      <c r="J2012" s="69"/>
      <c r="K2012" s="67"/>
      <c r="L2012" s="67"/>
      <c r="M2012" s="67"/>
      <c r="N2012" s="67"/>
      <c r="O2012" s="64"/>
      <c r="P2012" s="72" t="str">
        <f aca="false">IF(OR(B2012="",C2012=""),"",C2012&amp;"|"&amp;(YEAR(B2012)*100+MONTH(B2012)))</f>
        <v/>
      </c>
      <c r="Q2012" s="70" t="str">
        <f aca="false">IF(P2012="","",IF(COUNTIF(N_CLAVE,P2012)&gt;1,"⚠ Duplicado","OK"))</f>
        <v/>
      </c>
      <c r="R2012" s="74" t="str">
        <f aca="false">IF(OR(P2012="",U2012=""),"",MAX(0,U2012-N(E2012)-N(F2012)-N(H2012)))</f>
        <v/>
      </c>
      <c r="S2012" s="75" t="str">
        <f aca="false">IF(P2012="","",IFERROR(INDEX(T_INGRESO,MATCH(C2012,T_ID,0)),""))</f>
        <v/>
      </c>
      <c r="T2012" s="75" t="str">
        <f aca="false">IF(P2012="","",IFERROR(N(INDEX(T_EGRESO,MATCH(C2012,T_ID,0))),0))</f>
        <v/>
      </c>
      <c r="U2012" s="73" t="str">
        <f aca="false">IF(OR(P2012="",NOT(ISNUMBER(S2012))),"",IF(OR(S2012&gt;EOMONTH(B2012,0),AND(T2012&gt;0,T2012&lt;B2012)),0,IF(AND(S2012&lt;=B2012,OR(T2012=0,T2012&gt;=EOMONTH(B2012,0))),30,MIN(30,IF(T2012=0,EOMONTH(B2012,0),MIN(T2012,EOMONTH(B2012,0)))-MAX(B2012,S2012)+1))))</f>
        <v/>
      </c>
    </row>
    <row r="2013" customFormat="false" ht="15" hidden="false" customHeight="false" outlineLevel="0" collapsed="false">
      <c r="B2013" s="78"/>
      <c r="C2013" s="64"/>
      <c r="D2013" s="70" t="str">
        <f aca="false">IF(C2013="","",IFERROR(INDEX(T_NOMBRE,MATCH(C2013,T_ID,0)),"⚠ ID no existe"))</f>
        <v/>
      </c>
      <c r="E2013" s="69"/>
      <c r="F2013" s="69"/>
      <c r="G2013" s="69"/>
      <c r="H2013" s="69"/>
      <c r="I2013" s="66"/>
      <c r="J2013" s="69"/>
      <c r="K2013" s="67"/>
      <c r="L2013" s="67"/>
      <c r="M2013" s="67"/>
      <c r="N2013" s="67"/>
      <c r="O2013" s="64"/>
      <c r="P2013" s="72" t="str">
        <f aca="false">IF(OR(B2013="",C2013=""),"",C2013&amp;"|"&amp;(YEAR(B2013)*100+MONTH(B2013)))</f>
        <v/>
      </c>
      <c r="Q2013" s="70" t="str">
        <f aca="false">IF(P2013="","",IF(COUNTIF(N_CLAVE,P2013)&gt;1,"⚠ Duplicado","OK"))</f>
        <v/>
      </c>
      <c r="R2013" s="74" t="str">
        <f aca="false">IF(OR(P2013="",U2013=""),"",MAX(0,U2013-N(E2013)-N(F2013)-N(H2013)))</f>
        <v/>
      </c>
      <c r="S2013" s="75" t="str">
        <f aca="false">IF(P2013="","",IFERROR(INDEX(T_INGRESO,MATCH(C2013,T_ID,0)),""))</f>
        <v/>
      </c>
      <c r="T2013" s="75" t="str">
        <f aca="false">IF(P2013="","",IFERROR(N(INDEX(T_EGRESO,MATCH(C2013,T_ID,0))),0))</f>
        <v/>
      </c>
      <c r="U2013" s="73" t="str">
        <f aca="false">IF(OR(P2013="",NOT(ISNUMBER(S2013))),"",IF(OR(S2013&gt;EOMONTH(B2013,0),AND(T2013&gt;0,T2013&lt;B2013)),0,IF(AND(S2013&lt;=B2013,OR(T2013=0,T2013&gt;=EOMONTH(B2013,0))),30,MIN(30,IF(T2013=0,EOMONTH(B2013,0),MIN(T2013,EOMONTH(B2013,0)))-MAX(B2013,S2013)+1))))</f>
        <v/>
      </c>
    </row>
    <row r="2014" customFormat="false" ht="15" hidden="false" customHeight="false" outlineLevel="0" collapsed="false">
      <c r="B2014" s="78"/>
      <c r="C2014" s="64"/>
      <c r="D2014" s="70" t="str">
        <f aca="false">IF(C2014="","",IFERROR(INDEX(T_NOMBRE,MATCH(C2014,T_ID,0)),"⚠ ID no existe"))</f>
        <v/>
      </c>
      <c r="E2014" s="69"/>
      <c r="F2014" s="69"/>
      <c r="G2014" s="69"/>
      <c r="H2014" s="69"/>
      <c r="I2014" s="66"/>
      <c r="J2014" s="69"/>
      <c r="K2014" s="67"/>
      <c r="L2014" s="67"/>
      <c r="M2014" s="67"/>
      <c r="N2014" s="67"/>
      <c r="O2014" s="64"/>
      <c r="P2014" s="72" t="str">
        <f aca="false">IF(OR(B2014="",C2014=""),"",C2014&amp;"|"&amp;(YEAR(B2014)*100+MONTH(B2014)))</f>
        <v/>
      </c>
      <c r="Q2014" s="70" t="str">
        <f aca="false">IF(P2014="","",IF(COUNTIF(N_CLAVE,P2014)&gt;1,"⚠ Duplicado","OK"))</f>
        <v/>
      </c>
      <c r="R2014" s="74" t="str">
        <f aca="false">IF(OR(P2014="",U2014=""),"",MAX(0,U2014-N(E2014)-N(F2014)-N(H2014)))</f>
        <v/>
      </c>
      <c r="S2014" s="75" t="str">
        <f aca="false">IF(P2014="","",IFERROR(INDEX(T_INGRESO,MATCH(C2014,T_ID,0)),""))</f>
        <v/>
      </c>
      <c r="T2014" s="75" t="str">
        <f aca="false">IF(P2014="","",IFERROR(N(INDEX(T_EGRESO,MATCH(C2014,T_ID,0))),0))</f>
        <v/>
      </c>
      <c r="U2014" s="73" t="str">
        <f aca="false">IF(OR(P2014="",NOT(ISNUMBER(S2014))),"",IF(OR(S2014&gt;EOMONTH(B2014,0),AND(T2014&gt;0,T2014&lt;B2014)),0,IF(AND(S2014&lt;=B2014,OR(T2014=0,T2014&gt;=EOMONTH(B2014,0))),30,MIN(30,IF(T2014=0,EOMONTH(B2014,0),MIN(T2014,EOMONTH(B2014,0)))-MAX(B2014,S2014)+1))))</f>
        <v/>
      </c>
    </row>
    <row r="2015" customFormat="false" ht="15" hidden="false" customHeight="false" outlineLevel="0" collapsed="false">
      <c r="B2015" s="78"/>
      <c r="C2015" s="64"/>
      <c r="D2015" s="70" t="str">
        <f aca="false">IF(C2015="","",IFERROR(INDEX(T_NOMBRE,MATCH(C2015,T_ID,0)),"⚠ ID no existe"))</f>
        <v/>
      </c>
      <c r="E2015" s="69"/>
      <c r="F2015" s="69"/>
      <c r="G2015" s="69"/>
      <c r="H2015" s="69"/>
      <c r="I2015" s="66"/>
      <c r="J2015" s="69"/>
      <c r="K2015" s="67"/>
      <c r="L2015" s="67"/>
      <c r="M2015" s="67"/>
      <c r="N2015" s="67"/>
      <c r="O2015" s="64"/>
      <c r="P2015" s="72" t="str">
        <f aca="false">IF(OR(B2015="",C2015=""),"",C2015&amp;"|"&amp;(YEAR(B2015)*100+MONTH(B2015)))</f>
        <v/>
      </c>
      <c r="Q2015" s="70" t="str">
        <f aca="false">IF(P2015="","",IF(COUNTIF(N_CLAVE,P2015)&gt;1,"⚠ Duplicado","OK"))</f>
        <v/>
      </c>
      <c r="R2015" s="74" t="str">
        <f aca="false">IF(OR(P2015="",U2015=""),"",MAX(0,U2015-N(E2015)-N(F2015)-N(H2015)))</f>
        <v/>
      </c>
      <c r="S2015" s="75" t="str">
        <f aca="false">IF(P2015="","",IFERROR(INDEX(T_INGRESO,MATCH(C2015,T_ID,0)),""))</f>
        <v/>
      </c>
      <c r="T2015" s="75" t="str">
        <f aca="false">IF(P2015="","",IFERROR(N(INDEX(T_EGRESO,MATCH(C2015,T_ID,0))),0))</f>
        <v/>
      </c>
      <c r="U2015" s="73" t="str">
        <f aca="false">IF(OR(P2015="",NOT(ISNUMBER(S2015))),"",IF(OR(S2015&gt;EOMONTH(B2015,0),AND(T2015&gt;0,T2015&lt;B2015)),0,IF(AND(S2015&lt;=B2015,OR(T2015=0,T2015&gt;=EOMONTH(B2015,0))),30,MIN(30,IF(T2015=0,EOMONTH(B2015,0),MIN(T2015,EOMONTH(B2015,0)))-MAX(B2015,S2015)+1))))</f>
        <v/>
      </c>
    </row>
    <row r="2016" customFormat="false" ht="15" hidden="false" customHeight="false" outlineLevel="0" collapsed="false">
      <c r="B2016" s="78"/>
      <c r="C2016" s="64"/>
      <c r="D2016" s="70" t="str">
        <f aca="false">IF(C2016="","",IFERROR(INDEX(T_NOMBRE,MATCH(C2016,T_ID,0)),"⚠ ID no existe"))</f>
        <v/>
      </c>
      <c r="E2016" s="69"/>
      <c r="F2016" s="69"/>
      <c r="G2016" s="69"/>
      <c r="H2016" s="69"/>
      <c r="I2016" s="66"/>
      <c r="J2016" s="69"/>
      <c r="K2016" s="67"/>
      <c r="L2016" s="67"/>
      <c r="M2016" s="67"/>
      <c r="N2016" s="67"/>
      <c r="O2016" s="64"/>
      <c r="P2016" s="72" t="str">
        <f aca="false">IF(OR(B2016="",C2016=""),"",C2016&amp;"|"&amp;(YEAR(B2016)*100+MONTH(B2016)))</f>
        <v/>
      </c>
      <c r="Q2016" s="70" t="str">
        <f aca="false">IF(P2016="","",IF(COUNTIF(N_CLAVE,P2016)&gt;1,"⚠ Duplicado","OK"))</f>
        <v/>
      </c>
      <c r="R2016" s="74" t="str">
        <f aca="false">IF(OR(P2016="",U2016=""),"",MAX(0,U2016-N(E2016)-N(F2016)-N(H2016)))</f>
        <v/>
      </c>
      <c r="S2016" s="75" t="str">
        <f aca="false">IF(P2016="","",IFERROR(INDEX(T_INGRESO,MATCH(C2016,T_ID,0)),""))</f>
        <v/>
      </c>
      <c r="T2016" s="75" t="str">
        <f aca="false">IF(P2016="","",IFERROR(N(INDEX(T_EGRESO,MATCH(C2016,T_ID,0))),0))</f>
        <v/>
      </c>
      <c r="U2016" s="73" t="str">
        <f aca="false">IF(OR(P2016="",NOT(ISNUMBER(S2016))),"",IF(OR(S2016&gt;EOMONTH(B2016,0),AND(T2016&gt;0,T2016&lt;B2016)),0,IF(AND(S2016&lt;=B2016,OR(T2016=0,T2016&gt;=EOMONTH(B2016,0))),30,MIN(30,IF(T2016=0,EOMONTH(B2016,0),MIN(T2016,EOMONTH(B2016,0)))-MAX(B2016,S2016)+1))))</f>
        <v/>
      </c>
    </row>
    <row r="2017" customFormat="false" ht="15" hidden="false" customHeight="false" outlineLevel="0" collapsed="false">
      <c r="B2017" s="78"/>
      <c r="C2017" s="64"/>
      <c r="D2017" s="70" t="str">
        <f aca="false">IF(C2017="","",IFERROR(INDEX(T_NOMBRE,MATCH(C2017,T_ID,0)),"⚠ ID no existe"))</f>
        <v/>
      </c>
      <c r="E2017" s="69"/>
      <c r="F2017" s="69"/>
      <c r="G2017" s="69"/>
      <c r="H2017" s="69"/>
      <c r="I2017" s="66"/>
      <c r="J2017" s="69"/>
      <c r="K2017" s="67"/>
      <c r="L2017" s="67"/>
      <c r="M2017" s="67"/>
      <c r="N2017" s="67"/>
      <c r="O2017" s="64"/>
      <c r="P2017" s="72" t="str">
        <f aca="false">IF(OR(B2017="",C2017=""),"",C2017&amp;"|"&amp;(YEAR(B2017)*100+MONTH(B2017)))</f>
        <v/>
      </c>
      <c r="Q2017" s="70" t="str">
        <f aca="false">IF(P2017="","",IF(COUNTIF(N_CLAVE,P2017)&gt;1,"⚠ Duplicado","OK"))</f>
        <v/>
      </c>
      <c r="R2017" s="74" t="str">
        <f aca="false">IF(OR(P2017="",U2017=""),"",MAX(0,U2017-N(E2017)-N(F2017)-N(H2017)))</f>
        <v/>
      </c>
      <c r="S2017" s="75" t="str">
        <f aca="false">IF(P2017="","",IFERROR(INDEX(T_INGRESO,MATCH(C2017,T_ID,0)),""))</f>
        <v/>
      </c>
      <c r="T2017" s="75" t="str">
        <f aca="false">IF(P2017="","",IFERROR(N(INDEX(T_EGRESO,MATCH(C2017,T_ID,0))),0))</f>
        <v/>
      </c>
      <c r="U2017" s="73" t="str">
        <f aca="false">IF(OR(P2017="",NOT(ISNUMBER(S2017))),"",IF(OR(S2017&gt;EOMONTH(B2017,0),AND(T2017&gt;0,T2017&lt;B2017)),0,IF(AND(S2017&lt;=B2017,OR(T2017=0,T2017&gt;=EOMONTH(B2017,0))),30,MIN(30,IF(T2017=0,EOMONTH(B2017,0),MIN(T2017,EOMONTH(B2017,0)))-MAX(B2017,S2017)+1))))</f>
        <v/>
      </c>
    </row>
    <row r="2018" customFormat="false" ht="15" hidden="false" customHeight="false" outlineLevel="0" collapsed="false">
      <c r="B2018" s="78"/>
      <c r="C2018" s="64"/>
      <c r="D2018" s="70" t="str">
        <f aca="false">IF(C2018="","",IFERROR(INDEX(T_NOMBRE,MATCH(C2018,T_ID,0)),"⚠ ID no existe"))</f>
        <v/>
      </c>
      <c r="E2018" s="69"/>
      <c r="F2018" s="69"/>
      <c r="G2018" s="69"/>
      <c r="H2018" s="69"/>
      <c r="I2018" s="66"/>
      <c r="J2018" s="69"/>
      <c r="K2018" s="67"/>
      <c r="L2018" s="67"/>
      <c r="M2018" s="67"/>
      <c r="N2018" s="67"/>
      <c r="O2018" s="64"/>
      <c r="P2018" s="72" t="str">
        <f aca="false">IF(OR(B2018="",C2018=""),"",C2018&amp;"|"&amp;(YEAR(B2018)*100+MONTH(B2018)))</f>
        <v/>
      </c>
      <c r="Q2018" s="70" t="str">
        <f aca="false">IF(P2018="","",IF(COUNTIF(N_CLAVE,P2018)&gt;1,"⚠ Duplicado","OK"))</f>
        <v/>
      </c>
      <c r="R2018" s="74" t="str">
        <f aca="false">IF(OR(P2018="",U2018=""),"",MAX(0,U2018-N(E2018)-N(F2018)-N(H2018)))</f>
        <v/>
      </c>
      <c r="S2018" s="75" t="str">
        <f aca="false">IF(P2018="","",IFERROR(INDEX(T_INGRESO,MATCH(C2018,T_ID,0)),""))</f>
        <v/>
      </c>
      <c r="T2018" s="75" t="str">
        <f aca="false">IF(P2018="","",IFERROR(N(INDEX(T_EGRESO,MATCH(C2018,T_ID,0))),0))</f>
        <v/>
      </c>
      <c r="U2018" s="73" t="str">
        <f aca="false">IF(OR(P2018="",NOT(ISNUMBER(S2018))),"",IF(OR(S2018&gt;EOMONTH(B2018,0),AND(T2018&gt;0,T2018&lt;B2018)),0,IF(AND(S2018&lt;=B2018,OR(T2018=0,T2018&gt;=EOMONTH(B2018,0))),30,MIN(30,IF(T2018=0,EOMONTH(B2018,0),MIN(T2018,EOMONTH(B2018,0)))-MAX(B2018,S2018)+1))))</f>
        <v/>
      </c>
    </row>
    <row r="2019" customFormat="false" ht="15" hidden="false" customHeight="false" outlineLevel="0" collapsed="false">
      <c r="B2019" s="78"/>
      <c r="C2019" s="64"/>
      <c r="D2019" s="70" t="str">
        <f aca="false">IF(C2019="","",IFERROR(INDEX(T_NOMBRE,MATCH(C2019,T_ID,0)),"⚠ ID no existe"))</f>
        <v/>
      </c>
      <c r="E2019" s="69"/>
      <c r="F2019" s="69"/>
      <c r="G2019" s="69"/>
      <c r="H2019" s="69"/>
      <c r="I2019" s="66"/>
      <c r="J2019" s="69"/>
      <c r="K2019" s="67"/>
      <c r="L2019" s="67"/>
      <c r="M2019" s="67"/>
      <c r="N2019" s="67"/>
      <c r="O2019" s="64"/>
      <c r="P2019" s="72" t="str">
        <f aca="false">IF(OR(B2019="",C2019=""),"",C2019&amp;"|"&amp;(YEAR(B2019)*100+MONTH(B2019)))</f>
        <v/>
      </c>
      <c r="Q2019" s="70" t="str">
        <f aca="false">IF(P2019="","",IF(COUNTIF(N_CLAVE,P2019)&gt;1,"⚠ Duplicado","OK"))</f>
        <v/>
      </c>
      <c r="R2019" s="74" t="str">
        <f aca="false">IF(OR(P2019="",U2019=""),"",MAX(0,U2019-N(E2019)-N(F2019)-N(H2019)))</f>
        <v/>
      </c>
      <c r="S2019" s="75" t="str">
        <f aca="false">IF(P2019="","",IFERROR(INDEX(T_INGRESO,MATCH(C2019,T_ID,0)),""))</f>
        <v/>
      </c>
      <c r="T2019" s="75" t="str">
        <f aca="false">IF(P2019="","",IFERROR(N(INDEX(T_EGRESO,MATCH(C2019,T_ID,0))),0))</f>
        <v/>
      </c>
      <c r="U2019" s="73" t="str">
        <f aca="false">IF(OR(P2019="",NOT(ISNUMBER(S2019))),"",IF(OR(S2019&gt;EOMONTH(B2019,0),AND(T2019&gt;0,T2019&lt;B2019)),0,IF(AND(S2019&lt;=B2019,OR(T2019=0,T2019&gt;=EOMONTH(B2019,0))),30,MIN(30,IF(T2019=0,EOMONTH(B2019,0),MIN(T2019,EOMONTH(B2019,0)))-MAX(B2019,S2019)+1))))</f>
        <v/>
      </c>
    </row>
    <row r="2020" customFormat="false" ht="15" hidden="false" customHeight="false" outlineLevel="0" collapsed="false">
      <c r="B2020" s="78"/>
      <c r="C2020" s="64"/>
      <c r="D2020" s="70" t="str">
        <f aca="false">IF(C2020="","",IFERROR(INDEX(T_NOMBRE,MATCH(C2020,T_ID,0)),"⚠ ID no existe"))</f>
        <v/>
      </c>
      <c r="E2020" s="69"/>
      <c r="F2020" s="69"/>
      <c r="G2020" s="69"/>
      <c r="H2020" s="69"/>
      <c r="I2020" s="66"/>
      <c r="J2020" s="69"/>
      <c r="K2020" s="67"/>
      <c r="L2020" s="67"/>
      <c r="M2020" s="67"/>
      <c r="N2020" s="67"/>
      <c r="O2020" s="64"/>
      <c r="P2020" s="72" t="str">
        <f aca="false">IF(OR(B2020="",C2020=""),"",C2020&amp;"|"&amp;(YEAR(B2020)*100+MONTH(B2020)))</f>
        <v/>
      </c>
      <c r="Q2020" s="70" t="str">
        <f aca="false">IF(P2020="","",IF(COUNTIF(N_CLAVE,P2020)&gt;1,"⚠ Duplicado","OK"))</f>
        <v/>
      </c>
      <c r="R2020" s="74" t="str">
        <f aca="false">IF(OR(P2020="",U2020=""),"",MAX(0,U2020-N(E2020)-N(F2020)-N(H2020)))</f>
        <v/>
      </c>
      <c r="S2020" s="75" t="str">
        <f aca="false">IF(P2020="","",IFERROR(INDEX(T_INGRESO,MATCH(C2020,T_ID,0)),""))</f>
        <v/>
      </c>
      <c r="T2020" s="75" t="str">
        <f aca="false">IF(P2020="","",IFERROR(N(INDEX(T_EGRESO,MATCH(C2020,T_ID,0))),0))</f>
        <v/>
      </c>
      <c r="U2020" s="73" t="str">
        <f aca="false">IF(OR(P2020="",NOT(ISNUMBER(S2020))),"",IF(OR(S2020&gt;EOMONTH(B2020,0),AND(T2020&gt;0,T2020&lt;B2020)),0,IF(AND(S2020&lt;=B2020,OR(T2020=0,T2020&gt;=EOMONTH(B2020,0))),30,MIN(30,IF(T2020=0,EOMONTH(B2020,0),MIN(T2020,EOMONTH(B2020,0)))-MAX(B2020,S2020)+1))))</f>
        <v/>
      </c>
    </row>
    <row r="2021" customFormat="false" ht="15" hidden="false" customHeight="false" outlineLevel="0" collapsed="false">
      <c r="B2021" s="78"/>
      <c r="C2021" s="64"/>
      <c r="D2021" s="70" t="str">
        <f aca="false">IF(C2021="","",IFERROR(INDEX(T_NOMBRE,MATCH(C2021,T_ID,0)),"⚠ ID no existe"))</f>
        <v/>
      </c>
      <c r="E2021" s="69"/>
      <c r="F2021" s="69"/>
      <c r="G2021" s="69"/>
      <c r="H2021" s="69"/>
      <c r="I2021" s="66"/>
      <c r="J2021" s="69"/>
      <c r="K2021" s="67"/>
      <c r="L2021" s="67"/>
      <c r="M2021" s="67"/>
      <c r="N2021" s="67"/>
      <c r="O2021" s="64"/>
      <c r="P2021" s="72" t="str">
        <f aca="false">IF(OR(B2021="",C2021=""),"",C2021&amp;"|"&amp;(YEAR(B2021)*100+MONTH(B2021)))</f>
        <v/>
      </c>
      <c r="Q2021" s="70" t="str">
        <f aca="false">IF(P2021="","",IF(COUNTIF(N_CLAVE,P2021)&gt;1,"⚠ Duplicado","OK"))</f>
        <v/>
      </c>
      <c r="R2021" s="74" t="str">
        <f aca="false">IF(OR(P2021="",U2021=""),"",MAX(0,U2021-N(E2021)-N(F2021)-N(H2021)))</f>
        <v/>
      </c>
      <c r="S2021" s="75" t="str">
        <f aca="false">IF(P2021="","",IFERROR(INDEX(T_INGRESO,MATCH(C2021,T_ID,0)),""))</f>
        <v/>
      </c>
      <c r="T2021" s="75" t="str">
        <f aca="false">IF(P2021="","",IFERROR(N(INDEX(T_EGRESO,MATCH(C2021,T_ID,0))),0))</f>
        <v/>
      </c>
      <c r="U2021" s="73" t="str">
        <f aca="false">IF(OR(P2021="",NOT(ISNUMBER(S2021))),"",IF(OR(S2021&gt;EOMONTH(B2021,0),AND(T2021&gt;0,T2021&lt;B2021)),0,IF(AND(S2021&lt;=B2021,OR(T2021=0,T2021&gt;=EOMONTH(B2021,0))),30,MIN(30,IF(T2021=0,EOMONTH(B2021,0),MIN(T2021,EOMONTH(B2021,0)))-MAX(B2021,S2021)+1))))</f>
        <v/>
      </c>
    </row>
    <row r="2022" customFormat="false" ht="15" hidden="false" customHeight="false" outlineLevel="0" collapsed="false">
      <c r="B2022" s="78"/>
      <c r="C2022" s="64"/>
      <c r="D2022" s="70" t="str">
        <f aca="false">IF(C2022="","",IFERROR(INDEX(T_NOMBRE,MATCH(C2022,T_ID,0)),"⚠ ID no existe"))</f>
        <v/>
      </c>
      <c r="E2022" s="69"/>
      <c r="F2022" s="69"/>
      <c r="G2022" s="69"/>
      <c r="H2022" s="69"/>
      <c r="I2022" s="66"/>
      <c r="J2022" s="69"/>
      <c r="K2022" s="67"/>
      <c r="L2022" s="67"/>
      <c r="M2022" s="67"/>
      <c r="N2022" s="67"/>
      <c r="O2022" s="64"/>
      <c r="P2022" s="72" t="str">
        <f aca="false">IF(OR(B2022="",C2022=""),"",C2022&amp;"|"&amp;(YEAR(B2022)*100+MONTH(B2022)))</f>
        <v/>
      </c>
      <c r="Q2022" s="70" t="str">
        <f aca="false">IF(P2022="","",IF(COUNTIF(N_CLAVE,P2022)&gt;1,"⚠ Duplicado","OK"))</f>
        <v/>
      </c>
      <c r="R2022" s="74" t="str">
        <f aca="false">IF(OR(P2022="",U2022=""),"",MAX(0,U2022-N(E2022)-N(F2022)-N(H2022)))</f>
        <v/>
      </c>
      <c r="S2022" s="75" t="str">
        <f aca="false">IF(P2022="","",IFERROR(INDEX(T_INGRESO,MATCH(C2022,T_ID,0)),""))</f>
        <v/>
      </c>
      <c r="T2022" s="75" t="str">
        <f aca="false">IF(P2022="","",IFERROR(N(INDEX(T_EGRESO,MATCH(C2022,T_ID,0))),0))</f>
        <v/>
      </c>
      <c r="U2022" s="73" t="str">
        <f aca="false">IF(OR(P2022="",NOT(ISNUMBER(S2022))),"",IF(OR(S2022&gt;EOMONTH(B2022,0),AND(T2022&gt;0,T2022&lt;B2022)),0,IF(AND(S2022&lt;=B2022,OR(T2022=0,T2022&gt;=EOMONTH(B2022,0))),30,MIN(30,IF(T2022=0,EOMONTH(B2022,0),MIN(T2022,EOMONTH(B2022,0)))-MAX(B2022,S2022)+1))))</f>
        <v/>
      </c>
    </row>
    <row r="2023" customFormat="false" ht="15" hidden="false" customHeight="false" outlineLevel="0" collapsed="false">
      <c r="B2023" s="78"/>
      <c r="C2023" s="64"/>
      <c r="D2023" s="70" t="str">
        <f aca="false">IF(C2023="","",IFERROR(INDEX(T_NOMBRE,MATCH(C2023,T_ID,0)),"⚠ ID no existe"))</f>
        <v/>
      </c>
      <c r="E2023" s="69"/>
      <c r="F2023" s="69"/>
      <c r="G2023" s="69"/>
      <c r="H2023" s="69"/>
      <c r="I2023" s="66"/>
      <c r="J2023" s="69"/>
      <c r="K2023" s="67"/>
      <c r="L2023" s="67"/>
      <c r="M2023" s="67"/>
      <c r="N2023" s="67"/>
      <c r="O2023" s="64"/>
      <c r="P2023" s="72" t="str">
        <f aca="false">IF(OR(B2023="",C2023=""),"",C2023&amp;"|"&amp;(YEAR(B2023)*100+MONTH(B2023)))</f>
        <v/>
      </c>
      <c r="Q2023" s="70" t="str">
        <f aca="false">IF(P2023="","",IF(COUNTIF(N_CLAVE,P2023)&gt;1,"⚠ Duplicado","OK"))</f>
        <v/>
      </c>
      <c r="R2023" s="74" t="str">
        <f aca="false">IF(OR(P2023="",U2023=""),"",MAX(0,U2023-N(E2023)-N(F2023)-N(H2023)))</f>
        <v/>
      </c>
      <c r="S2023" s="75" t="str">
        <f aca="false">IF(P2023="","",IFERROR(INDEX(T_INGRESO,MATCH(C2023,T_ID,0)),""))</f>
        <v/>
      </c>
      <c r="T2023" s="75" t="str">
        <f aca="false">IF(P2023="","",IFERROR(N(INDEX(T_EGRESO,MATCH(C2023,T_ID,0))),0))</f>
        <v/>
      </c>
      <c r="U2023" s="73" t="str">
        <f aca="false">IF(OR(P2023="",NOT(ISNUMBER(S2023))),"",IF(OR(S2023&gt;EOMONTH(B2023,0),AND(T2023&gt;0,T2023&lt;B2023)),0,IF(AND(S2023&lt;=B2023,OR(T2023=0,T2023&gt;=EOMONTH(B2023,0))),30,MIN(30,IF(T2023=0,EOMONTH(B2023,0),MIN(T2023,EOMONTH(B2023,0)))-MAX(B2023,S2023)+1))))</f>
        <v/>
      </c>
    </row>
    <row r="2024" customFormat="false" ht="15" hidden="false" customHeight="false" outlineLevel="0" collapsed="false">
      <c r="B2024" s="78"/>
      <c r="C2024" s="64"/>
      <c r="D2024" s="70" t="str">
        <f aca="false">IF(C2024="","",IFERROR(INDEX(T_NOMBRE,MATCH(C2024,T_ID,0)),"⚠ ID no existe"))</f>
        <v/>
      </c>
      <c r="E2024" s="69"/>
      <c r="F2024" s="69"/>
      <c r="G2024" s="69"/>
      <c r="H2024" s="69"/>
      <c r="I2024" s="66"/>
      <c r="J2024" s="69"/>
      <c r="K2024" s="67"/>
      <c r="L2024" s="67"/>
      <c r="M2024" s="67"/>
      <c r="N2024" s="67"/>
      <c r="O2024" s="64"/>
      <c r="P2024" s="72" t="str">
        <f aca="false">IF(OR(B2024="",C2024=""),"",C2024&amp;"|"&amp;(YEAR(B2024)*100+MONTH(B2024)))</f>
        <v/>
      </c>
      <c r="Q2024" s="70" t="str">
        <f aca="false">IF(P2024="","",IF(COUNTIF(N_CLAVE,P2024)&gt;1,"⚠ Duplicado","OK"))</f>
        <v/>
      </c>
      <c r="R2024" s="74" t="str">
        <f aca="false">IF(OR(P2024="",U2024=""),"",MAX(0,U2024-N(E2024)-N(F2024)-N(H2024)))</f>
        <v/>
      </c>
      <c r="S2024" s="75" t="str">
        <f aca="false">IF(P2024="","",IFERROR(INDEX(T_INGRESO,MATCH(C2024,T_ID,0)),""))</f>
        <v/>
      </c>
      <c r="T2024" s="75" t="str">
        <f aca="false">IF(P2024="","",IFERROR(N(INDEX(T_EGRESO,MATCH(C2024,T_ID,0))),0))</f>
        <v/>
      </c>
      <c r="U2024" s="73" t="str">
        <f aca="false">IF(OR(P2024="",NOT(ISNUMBER(S2024))),"",IF(OR(S2024&gt;EOMONTH(B2024,0),AND(T2024&gt;0,T2024&lt;B2024)),0,IF(AND(S2024&lt;=B2024,OR(T2024=0,T2024&gt;=EOMONTH(B2024,0))),30,MIN(30,IF(T2024=0,EOMONTH(B2024,0),MIN(T2024,EOMONTH(B2024,0)))-MAX(B2024,S2024)+1))))</f>
        <v/>
      </c>
    </row>
    <row r="2025" customFormat="false" ht="15" hidden="false" customHeight="false" outlineLevel="0" collapsed="false">
      <c r="B2025" s="78"/>
      <c r="C2025" s="64"/>
      <c r="D2025" s="70" t="str">
        <f aca="false">IF(C2025="","",IFERROR(INDEX(T_NOMBRE,MATCH(C2025,T_ID,0)),"⚠ ID no existe"))</f>
        <v/>
      </c>
      <c r="E2025" s="69"/>
      <c r="F2025" s="69"/>
      <c r="G2025" s="69"/>
      <c r="H2025" s="69"/>
      <c r="I2025" s="66"/>
      <c r="J2025" s="69"/>
      <c r="K2025" s="67"/>
      <c r="L2025" s="67"/>
      <c r="M2025" s="67"/>
      <c r="N2025" s="67"/>
      <c r="O2025" s="64"/>
      <c r="P2025" s="72" t="str">
        <f aca="false">IF(OR(B2025="",C2025=""),"",C2025&amp;"|"&amp;(YEAR(B2025)*100+MONTH(B2025)))</f>
        <v/>
      </c>
      <c r="Q2025" s="70" t="str">
        <f aca="false">IF(P2025="","",IF(COUNTIF(N_CLAVE,P2025)&gt;1,"⚠ Duplicado","OK"))</f>
        <v/>
      </c>
      <c r="R2025" s="74" t="str">
        <f aca="false">IF(OR(P2025="",U2025=""),"",MAX(0,U2025-N(E2025)-N(F2025)-N(H2025)))</f>
        <v/>
      </c>
      <c r="S2025" s="75" t="str">
        <f aca="false">IF(P2025="","",IFERROR(INDEX(T_INGRESO,MATCH(C2025,T_ID,0)),""))</f>
        <v/>
      </c>
      <c r="T2025" s="75" t="str">
        <f aca="false">IF(P2025="","",IFERROR(N(INDEX(T_EGRESO,MATCH(C2025,T_ID,0))),0))</f>
        <v/>
      </c>
      <c r="U2025" s="73" t="str">
        <f aca="false">IF(OR(P2025="",NOT(ISNUMBER(S2025))),"",IF(OR(S2025&gt;EOMONTH(B2025,0),AND(T2025&gt;0,T2025&lt;B2025)),0,IF(AND(S2025&lt;=B2025,OR(T2025=0,T2025&gt;=EOMONTH(B2025,0))),30,MIN(30,IF(T2025=0,EOMONTH(B2025,0),MIN(T2025,EOMONTH(B2025,0)))-MAX(B2025,S2025)+1))))</f>
        <v/>
      </c>
    </row>
    <row r="2026" customFormat="false" ht="15" hidden="false" customHeight="false" outlineLevel="0" collapsed="false">
      <c r="B2026" s="78"/>
      <c r="C2026" s="64"/>
      <c r="D2026" s="70" t="str">
        <f aca="false">IF(C2026="","",IFERROR(INDEX(T_NOMBRE,MATCH(C2026,T_ID,0)),"⚠ ID no existe"))</f>
        <v/>
      </c>
      <c r="E2026" s="69"/>
      <c r="F2026" s="69"/>
      <c r="G2026" s="69"/>
      <c r="H2026" s="69"/>
      <c r="I2026" s="66"/>
      <c r="J2026" s="69"/>
      <c r="K2026" s="67"/>
      <c r="L2026" s="67"/>
      <c r="M2026" s="67"/>
      <c r="N2026" s="67"/>
      <c r="O2026" s="64"/>
      <c r="P2026" s="72" t="str">
        <f aca="false">IF(OR(B2026="",C2026=""),"",C2026&amp;"|"&amp;(YEAR(B2026)*100+MONTH(B2026)))</f>
        <v/>
      </c>
      <c r="Q2026" s="70" t="str">
        <f aca="false">IF(P2026="","",IF(COUNTIF(N_CLAVE,P2026)&gt;1,"⚠ Duplicado","OK"))</f>
        <v/>
      </c>
      <c r="R2026" s="74" t="str">
        <f aca="false">IF(OR(P2026="",U2026=""),"",MAX(0,U2026-N(E2026)-N(F2026)-N(H2026)))</f>
        <v/>
      </c>
      <c r="S2026" s="75" t="str">
        <f aca="false">IF(P2026="","",IFERROR(INDEX(T_INGRESO,MATCH(C2026,T_ID,0)),""))</f>
        <v/>
      </c>
      <c r="T2026" s="75" t="str">
        <f aca="false">IF(P2026="","",IFERROR(N(INDEX(T_EGRESO,MATCH(C2026,T_ID,0))),0))</f>
        <v/>
      </c>
      <c r="U2026" s="73" t="str">
        <f aca="false">IF(OR(P2026="",NOT(ISNUMBER(S2026))),"",IF(OR(S2026&gt;EOMONTH(B2026,0),AND(T2026&gt;0,T2026&lt;B2026)),0,IF(AND(S2026&lt;=B2026,OR(T2026=0,T2026&gt;=EOMONTH(B2026,0))),30,MIN(30,IF(T2026=0,EOMONTH(B2026,0),MIN(T2026,EOMONTH(B2026,0)))-MAX(B2026,S2026)+1))))</f>
        <v/>
      </c>
    </row>
    <row r="2027" customFormat="false" ht="15" hidden="false" customHeight="false" outlineLevel="0" collapsed="false">
      <c r="B2027" s="78"/>
      <c r="C2027" s="64"/>
      <c r="D2027" s="70" t="str">
        <f aca="false">IF(C2027="","",IFERROR(INDEX(T_NOMBRE,MATCH(C2027,T_ID,0)),"⚠ ID no existe"))</f>
        <v/>
      </c>
      <c r="E2027" s="69"/>
      <c r="F2027" s="69"/>
      <c r="G2027" s="69"/>
      <c r="H2027" s="69"/>
      <c r="I2027" s="66"/>
      <c r="J2027" s="69"/>
      <c r="K2027" s="67"/>
      <c r="L2027" s="67"/>
      <c r="M2027" s="67"/>
      <c r="N2027" s="67"/>
      <c r="O2027" s="64"/>
      <c r="P2027" s="72" t="str">
        <f aca="false">IF(OR(B2027="",C2027=""),"",C2027&amp;"|"&amp;(YEAR(B2027)*100+MONTH(B2027)))</f>
        <v/>
      </c>
      <c r="Q2027" s="70" t="str">
        <f aca="false">IF(P2027="","",IF(COUNTIF(N_CLAVE,P2027)&gt;1,"⚠ Duplicado","OK"))</f>
        <v/>
      </c>
      <c r="R2027" s="74" t="str">
        <f aca="false">IF(OR(P2027="",U2027=""),"",MAX(0,U2027-N(E2027)-N(F2027)-N(H2027)))</f>
        <v/>
      </c>
      <c r="S2027" s="75" t="str">
        <f aca="false">IF(P2027="","",IFERROR(INDEX(T_INGRESO,MATCH(C2027,T_ID,0)),""))</f>
        <v/>
      </c>
      <c r="T2027" s="75" t="str">
        <f aca="false">IF(P2027="","",IFERROR(N(INDEX(T_EGRESO,MATCH(C2027,T_ID,0))),0))</f>
        <v/>
      </c>
      <c r="U2027" s="73" t="str">
        <f aca="false">IF(OR(P2027="",NOT(ISNUMBER(S2027))),"",IF(OR(S2027&gt;EOMONTH(B2027,0),AND(T2027&gt;0,T2027&lt;B2027)),0,IF(AND(S2027&lt;=B2027,OR(T2027=0,T2027&gt;=EOMONTH(B2027,0))),30,MIN(30,IF(T2027=0,EOMONTH(B2027,0),MIN(T2027,EOMONTH(B2027,0)))-MAX(B2027,S2027)+1))))</f>
        <v/>
      </c>
    </row>
    <row r="2028" customFormat="false" ht="15" hidden="false" customHeight="false" outlineLevel="0" collapsed="false">
      <c r="B2028" s="78"/>
      <c r="C2028" s="64"/>
      <c r="D2028" s="70" t="str">
        <f aca="false">IF(C2028="","",IFERROR(INDEX(T_NOMBRE,MATCH(C2028,T_ID,0)),"⚠ ID no existe"))</f>
        <v/>
      </c>
      <c r="E2028" s="69"/>
      <c r="F2028" s="69"/>
      <c r="G2028" s="69"/>
      <c r="H2028" s="69"/>
      <c r="I2028" s="66"/>
      <c r="J2028" s="69"/>
      <c r="K2028" s="67"/>
      <c r="L2028" s="67"/>
      <c r="M2028" s="67"/>
      <c r="N2028" s="67"/>
      <c r="O2028" s="64"/>
      <c r="P2028" s="72" t="str">
        <f aca="false">IF(OR(B2028="",C2028=""),"",C2028&amp;"|"&amp;(YEAR(B2028)*100+MONTH(B2028)))</f>
        <v/>
      </c>
      <c r="Q2028" s="70" t="str">
        <f aca="false">IF(P2028="","",IF(COUNTIF(N_CLAVE,P2028)&gt;1,"⚠ Duplicado","OK"))</f>
        <v/>
      </c>
      <c r="R2028" s="74" t="str">
        <f aca="false">IF(OR(P2028="",U2028=""),"",MAX(0,U2028-N(E2028)-N(F2028)-N(H2028)))</f>
        <v/>
      </c>
      <c r="S2028" s="75" t="str">
        <f aca="false">IF(P2028="","",IFERROR(INDEX(T_INGRESO,MATCH(C2028,T_ID,0)),""))</f>
        <v/>
      </c>
      <c r="T2028" s="75" t="str">
        <f aca="false">IF(P2028="","",IFERROR(N(INDEX(T_EGRESO,MATCH(C2028,T_ID,0))),0))</f>
        <v/>
      </c>
      <c r="U2028" s="73" t="str">
        <f aca="false">IF(OR(P2028="",NOT(ISNUMBER(S2028))),"",IF(OR(S2028&gt;EOMONTH(B2028,0),AND(T2028&gt;0,T2028&lt;B2028)),0,IF(AND(S2028&lt;=B2028,OR(T2028=0,T2028&gt;=EOMONTH(B2028,0))),30,MIN(30,IF(T2028=0,EOMONTH(B2028,0),MIN(T2028,EOMONTH(B2028,0)))-MAX(B2028,S2028)+1))))</f>
        <v/>
      </c>
    </row>
    <row r="2029" customFormat="false" ht="15" hidden="false" customHeight="false" outlineLevel="0" collapsed="false">
      <c r="B2029" s="78"/>
      <c r="C2029" s="64"/>
      <c r="D2029" s="70" t="str">
        <f aca="false">IF(C2029="","",IFERROR(INDEX(T_NOMBRE,MATCH(C2029,T_ID,0)),"⚠ ID no existe"))</f>
        <v/>
      </c>
      <c r="E2029" s="69"/>
      <c r="F2029" s="69"/>
      <c r="G2029" s="69"/>
      <c r="H2029" s="69"/>
      <c r="I2029" s="66"/>
      <c r="J2029" s="69"/>
      <c r="K2029" s="67"/>
      <c r="L2029" s="67"/>
      <c r="M2029" s="67"/>
      <c r="N2029" s="67"/>
      <c r="O2029" s="64"/>
      <c r="P2029" s="72" t="str">
        <f aca="false">IF(OR(B2029="",C2029=""),"",C2029&amp;"|"&amp;(YEAR(B2029)*100+MONTH(B2029)))</f>
        <v/>
      </c>
      <c r="Q2029" s="70" t="str">
        <f aca="false">IF(P2029="","",IF(COUNTIF(N_CLAVE,P2029)&gt;1,"⚠ Duplicado","OK"))</f>
        <v/>
      </c>
      <c r="R2029" s="74" t="str">
        <f aca="false">IF(OR(P2029="",U2029=""),"",MAX(0,U2029-N(E2029)-N(F2029)-N(H2029)))</f>
        <v/>
      </c>
      <c r="S2029" s="75" t="str">
        <f aca="false">IF(P2029="","",IFERROR(INDEX(T_INGRESO,MATCH(C2029,T_ID,0)),""))</f>
        <v/>
      </c>
      <c r="T2029" s="75" t="str">
        <f aca="false">IF(P2029="","",IFERROR(N(INDEX(T_EGRESO,MATCH(C2029,T_ID,0))),0))</f>
        <v/>
      </c>
      <c r="U2029" s="73" t="str">
        <f aca="false">IF(OR(P2029="",NOT(ISNUMBER(S2029))),"",IF(OR(S2029&gt;EOMONTH(B2029,0),AND(T2029&gt;0,T2029&lt;B2029)),0,IF(AND(S2029&lt;=B2029,OR(T2029=0,T2029&gt;=EOMONTH(B2029,0))),30,MIN(30,IF(T2029=0,EOMONTH(B2029,0),MIN(T2029,EOMONTH(B2029,0)))-MAX(B2029,S2029)+1))))</f>
        <v/>
      </c>
    </row>
    <row r="2030" customFormat="false" ht="15" hidden="false" customHeight="false" outlineLevel="0" collapsed="false">
      <c r="B2030" s="78"/>
      <c r="C2030" s="64"/>
      <c r="D2030" s="70" t="str">
        <f aca="false">IF(C2030="","",IFERROR(INDEX(T_NOMBRE,MATCH(C2030,T_ID,0)),"⚠ ID no existe"))</f>
        <v/>
      </c>
      <c r="E2030" s="69"/>
      <c r="F2030" s="69"/>
      <c r="G2030" s="69"/>
      <c r="H2030" s="69"/>
      <c r="I2030" s="66"/>
      <c r="J2030" s="69"/>
      <c r="K2030" s="67"/>
      <c r="L2030" s="67"/>
      <c r="M2030" s="67"/>
      <c r="N2030" s="67"/>
      <c r="O2030" s="64"/>
      <c r="P2030" s="72" t="str">
        <f aca="false">IF(OR(B2030="",C2030=""),"",C2030&amp;"|"&amp;(YEAR(B2030)*100+MONTH(B2030)))</f>
        <v/>
      </c>
      <c r="Q2030" s="70" t="str">
        <f aca="false">IF(P2030="","",IF(COUNTIF(N_CLAVE,P2030)&gt;1,"⚠ Duplicado","OK"))</f>
        <v/>
      </c>
      <c r="R2030" s="74" t="str">
        <f aca="false">IF(OR(P2030="",U2030=""),"",MAX(0,U2030-N(E2030)-N(F2030)-N(H2030)))</f>
        <v/>
      </c>
      <c r="S2030" s="75" t="str">
        <f aca="false">IF(P2030="","",IFERROR(INDEX(T_INGRESO,MATCH(C2030,T_ID,0)),""))</f>
        <v/>
      </c>
      <c r="T2030" s="75" t="str">
        <f aca="false">IF(P2030="","",IFERROR(N(INDEX(T_EGRESO,MATCH(C2030,T_ID,0))),0))</f>
        <v/>
      </c>
      <c r="U2030" s="73" t="str">
        <f aca="false">IF(OR(P2030="",NOT(ISNUMBER(S2030))),"",IF(OR(S2030&gt;EOMONTH(B2030,0),AND(T2030&gt;0,T2030&lt;B2030)),0,IF(AND(S2030&lt;=B2030,OR(T2030=0,T2030&gt;=EOMONTH(B2030,0))),30,MIN(30,IF(T2030=0,EOMONTH(B2030,0),MIN(T2030,EOMONTH(B2030,0)))-MAX(B2030,S2030)+1))))</f>
        <v/>
      </c>
    </row>
    <row r="2031" customFormat="false" ht="15" hidden="false" customHeight="false" outlineLevel="0" collapsed="false">
      <c r="B2031" s="78"/>
      <c r="C2031" s="64"/>
      <c r="D2031" s="70" t="str">
        <f aca="false">IF(C2031="","",IFERROR(INDEX(T_NOMBRE,MATCH(C2031,T_ID,0)),"⚠ ID no existe"))</f>
        <v/>
      </c>
      <c r="E2031" s="69"/>
      <c r="F2031" s="69"/>
      <c r="G2031" s="69"/>
      <c r="H2031" s="69"/>
      <c r="I2031" s="66"/>
      <c r="J2031" s="69"/>
      <c r="K2031" s="67"/>
      <c r="L2031" s="67"/>
      <c r="M2031" s="67"/>
      <c r="N2031" s="67"/>
      <c r="O2031" s="64"/>
      <c r="P2031" s="72" t="str">
        <f aca="false">IF(OR(B2031="",C2031=""),"",C2031&amp;"|"&amp;(YEAR(B2031)*100+MONTH(B2031)))</f>
        <v/>
      </c>
      <c r="Q2031" s="70" t="str">
        <f aca="false">IF(P2031="","",IF(COUNTIF(N_CLAVE,P2031)&gt;1,"⚠ Duplicado","OK"))</f>
        <v/>
      </c>
      <c r="R2031" s="74" t="str">
        <f aca="false">IF(OR(P2031="",U2031=""),"",MAX(0,U2031-N(E2031)-N(F2031)-N(H2031)))</f>
        <v/>
      </c>
      <c r="S2031" s="75" t="str">
        <f aca="false">IF(P2031="","",IFERROR(INDEX(T_INGRESO,MATCH(C2031,T_ID,0)),""))</f>
        <v/>
      </c>
      <c r="T2031" s="75" t="str">
        <f aca="false">IF(P2031="","",IFERROR(N(INDEX(T_EGRESO,MATCH(C2031,T_ID,0))),0))</f>
        <v/>
      </c>
      <c r="U2031" s="73" t="str">
        <f aca="false">IF(OR(P2031="",NOT(ISNUMBER(S2031))),"",IF(OR(S2031&gt;EOMONTH(B2031,0),AND(T2031&gt;0,T2031&lt;B2031)),0,IF(AND(S2031&lt;=B2031,OR(T2031=0,T2031&gt;=EOMONTH(B2031,0))),30,MIN(30,IF(T2031=0,EOMONTH(B2031,0),MIN(T2031,EOMONTH(B2031,0)))-MAX(B2031,S2031)+1))))</f>
        <v/>
      </c>
    </row>
    <row r="2032" customFormat="false" ht="15" hidden="false" customHeight="false" outlineLevel="0" collapsed="false">
      <c r="B2032" s="78"/>
      <c r="C2032" s="64"/>
      <c r="D2032" s="70" t="str">
        <f aca="false">IF(C2032="","",IFERROR(INDEX(T_NOMBRE,MATCH(C2032,T_ID,0)),"⚠ ID no existe"))</f>
        <v/>
      </c>
      <c r="E2032" s="69"/>
      <c r="F2032" s="69"/>
      <c r="G2032" s="69"/>
      <c r="H2032" s="69"/>
      <c r="I2032" s="66"/>
      <c r="J2032" s="69"/>
      <c r="K2032" s="67"/>
      <c r="L2032" s="67"/>
      <c r="M2032" s="67"/>
      <c r="N2032" s="67"/>
      <c r="O2032" s="64"/>
      <c r="P2032" s="72" t="str">
        <f aca="false">IF(OR(B2032="",C2032=""),"",C2032&amp;"|"&amp;(YEAR(B2032)*100+MONTH(B2032)))</f>
        <v/>
      </c>
      <c r="Q2032" s="70" t="str">
        <f aca="false">IF(P2032="","",IF(COUNTIF(N_CLAVE,P2032)&gt;1,"⚠ Duplicado","OK"))</f>
        <v/>
      </c>
      <c r="R2032" s="74" t="str">
        <f aca="false">IF(OR(P2032="",U2032=""),"",MAX(0,U2032-N(E2032)-N(F2032)-N(H2032)))</f>
        <v/>
      </c>
      <c r="S2032" s="75" t="str">
        <f aca="false">IF(P2032="","",IFERROR(INDEX(T_INGRESO,MATCH(C2032,T_ID,0)),""))</f>
        <v/>
      </c>
      <c r="T2032" s="75" t="str">
        <f aca="false">IF(P2032="","",IFERROR(N(INDEX(T_EGRESO,MATCH(C2032,T_ID,0))),0))</f>
        <v/>
      </c>
      <c r="U2032" s="73" t="str">
        <f aca="false">IF(OR(P2032="",NOT(ISNUMBER(S2032))),"",IF(OR(S2032&gt;EOMONTH(B2032,0),AND(T2032&gt;0,T2032&lt;B2032)),0,IF(AND(S2032&lt;=B2032,OR(T2032=0,T2032&gt;=EOMONTH(B2032,0))),30,MIN(30,IF(T2032=0,EOMONTH(B2032,0),MIN(T2032,EOMONTH(B2032,0)))-MAX(B2032,S2032)+1))))</f>
        <v/>
      </c>
    </row>
    <row r="2033" customFormat="false" ht="15" hidden="false" customHeight="false" outlineLevel="0" collapsed="false">
      <c r="B2033" s="78"/>
      <c r="C2033" s="64"/>
      <c r="D2033" s="70" t="str">
        <f aca="false">IF(C2033="","",IFERROR(INDEX(T_NOMBRE,MATCH(C2033,T_ID,0)),"⚠ ID no existe"))</f>
        <v/>
      </c>
      <c r="E2033" s="69"/>
      <c r="F2033" s="69"/>
      <c r="G2033" s="69"/>
      <c r="H2033" s="69"/>
      <c r="I2033" s="66"/>
      <c r="J2033" s="69"/>
      <c r="K2033" s="67"/>
      <c r="L2033" s="67"/>
      <c r="M2033" s="67"/>
      <c r="N2033" s="67"/>
      <c r="O2033" s="64"/>
      <c r="P2033" s="72" t="str">
        <f aca="false">IF(OR(B2033="",C2033=""),"",C2033&amp;"|"&amp;(YEAR(B2033)*100+MONTH(B2033)))</f>
        <v/>
      </c>
      <c r="Q2033" s="70" t="str">
        <f aca="false">IF(P2033="","",IF(COUNTIF(N_CLAVE,P2033)&gt;1,"⚠ Duplicado","OK"))</f>
        <v/>
      </c>
      <c r="R2033" s="74" t="str">
        <f aca="false">IF(OR(P2033="",U2033=""),"",MAX(0,U2033-N(E2033)-N(F2033)-N(H2033)))</f>
        <v/>
      </c>
      <c r="S2033" s="75" t="str">
        <f aca="false">IF(P2033="","",IFERROR(INDEX(T_INGRESO,MATCH(C2033,T_ID,0)),""))</f>
        <v/>
      </c>
      <c r="T2033" s="75" t="str">
        <f aca="false">IF(P2033="","",IFERROR(N(INDEX(T_EGRESO,MATCH(C2033,T_ID,0))),0))</f>
        <v/>
      </c>
      <c r="U2033" s="73" t="str">
        <f aca="false">IF(OR(P2033="",NOT(ISNUMBER(S2033))),"",IF(OR(S2033&gt;EOMONTH(B2033,0),AND(T2033&gt;0,T2033&lt;B2033)),0,IF(AND(S2033&lt;=B2033,OR(T2033=0,T2033&gt;=EOMONTH(B2033,0))),30,MIN(30,IF(T2033=0,EOMONTH(B2033,0),MIN(T2033,EOMONTH(B2033,0)))-MAX(B2033,S2033)+1))))</f>
        <v/>
      </c>
    </row>
    <row r="2034" customFormat="false" ht="15" hidden="false" customHeight="false" outlineLevel="0" collapsed="false">
      <c r="B2034" s="78"/>
      <c r="C2034" s="64"/>
      <c r="D2034" s="70" t="str">
        <f aca="false">IF(C2034="","",IFERROR(INDEX(T_NOMBRE,MATCH(C2034,T_ID,0)),"⚠ ID no existe"))</f>
        <v/>
      </c>
      <c r="E2034" s="69"/>
      <c r="F2034" s="69"/>
      <c r="G2034" s="69"/>
      <c r="H2034" s="69"/>
      <c r="I2034" s="66"/>
      <c r="J2034" s="69"/>
      <c r="K2034" s="67"/>
      <c r="L2034" s="67"/>
      <c r="M2034" s="67"/>
      <c r="N2034" s="67"/>
      <c r="O2034" s="64"/>
      <c r="P2034" s="72" t="str">
        <f aca="false">IF(OR(B2034="",C2034=""),"",C2034&amp;"|"&amp;(YEAR(B2034)*100+MONTH(B2034)))</f>
        <v/>
      </c>
      <c r="Q2034" s="70" t="str">
        <f aca="false">IF(P2034="","",IF(COUNTIF(N_CLAVE,P2034)&gt;1,"⚠ Duplicado","OK"))</f>
        <v/>
      </c>
      <c r="R2034" s="74" t="str">
        <f aca="false">IF(OR(P2034="",U2034=""),"",MAX(0,U2034-N(E2034)-N(F2034)-N(H2034)))</f>
        <v/>
      </c>
      <c r="S2034" s="75" t="str">
        <f aca="false">IF(P2034="","",IFERROR(INDEX(T_INGRESO,MATCH(C2034,T_ID,0)),""))</f>
        <v/>
      </c>
      <c r="T2034" s="75" t="str">
        <f aca="false">IF(P2034="","",IFERROR(N(INDEX(T_EGRESO,MATCH(C2034,T_ID,0))),0))</f>
        <v/>
      </c>
      <c r="U2034" s="73" t="str">
        <f aca="false">IF(OR(P2034="",NOT(ISNUMBER(S2034))),"",IF(OR(S2034&gt;EOMONTH(B2034,0),AND(T2034&gt;0,T2034&lt;B2034)),0,IF(AND(S2034&lt;=B2034,OR(T2034=0,T2034&gt;=EOMONTH(B2034,0))),30,MIN(30,IF(T2034=0,EOMONTH(B2034,0),MIN(T2034,EOMONTH(B2034,0)))-MAX(B2034,S2034)+1))))</f>
        <v/>
      </c>
    </row>
    <row r="2035" customFormat="false" ht="15" hidden="false" customHeight="false" outlineLevel="0" collapsed="false">
      <c r="B2035" s="78"/>
      <c r="C2035" s="64"/>
      <c r="D2035" s="70" t="str">
        <f aca="false">IF(C2035="","",IFERROR(INDEX(T_NOMBRE,MATCH(C2035,T_ID,0)),"⚠ ID no existe"))</f>
        <v/>
      </c>
      <c r="E2035" s="69"/>
      <c r="F2035" s="69"/>
      <c r="G2035" s="69"/>
      <c r="H2035" s="69"/>
      <c r="I2035" s="66"/>
      <c r="J2035" s="69"/>
      <c r="K2035" s="67"/>
      <c r="L2035" s="67"/>
      <c r="M2035" s="67"/>
      <c r="N2035" s="67"/>
      <c r="O2035" s="64"/>
      <c r="P2035" s="72" t="str">
        <f aca="false">IF(OR(B2035="",C2035=""),"",C2035&amp;"|"&amp;(YEAR(B2035)*100+MONTH(B2035)))</f>
        <v/>
      </c>
      <c r="Q2035" s="70" t="str">
        <f aca="false">IF(P2035="","",IF(COUNTIF(N_CLAVE,P2035)&gt;1,"⚠ Duplicado","OK"))</f>
        <v/>
      </c>
      <c r="R2035" s="74" t="str">
        <f aca="false">IF(OR(P2035="",U2035=""),"",MAX(0,U2035-N(E2035)-N(F2035)-N(H2035)))</f>
        <v/>
      </c>
      <c r="S2035" s="75" t="str">
        <f aca="false">IF(P2035="","",IFERROR(INDEX(T_INGRESO,MATCH(C2035,T_ID,0)),""))</f>
        <v/>
      </c>
      <c r="T2035" s="75" t="str">
        <f aca="false">IF(P2035="","",IFERROR(N(INDEX(T_EGRESO,MATCH(C2035,T_ID,0))),0))</f>
        <v/>
      </c>
      <c r="U2035" s="73" t="str">
        <f aca="false">IF(OR(P2035="",NOT(ISNUMBER(S2035))),"",IF(OR(S2035&gt;EOMONTH(B2035,0),AND(T2035&gt;0,T2035&lt;B2035)),0,IF(AND(S2035&lt;=B2035,OR(T2035=0,T2035&gt;=EOMONTH(B2035,0))),30,MIN(30,IF(T2035=0,EOMONTH(B2035,0),MIN(T2035,EOMONTH(B2035,0)))-MAX(B2035,S2035)+1))))</f>
        <v/>
      </c>
    </row>
    <row r="2036" customFormat="false" ht="15" hidden="false" customHeight="false" outlineLevel="0" collapsed="false">
      <c r="B2036" s="78"/>
      <c r="C2036" s="64"/>
      <c r="D2036" s="70" t="str">
        <f aca="false">IF(C2036="","",IFERROR(INDEX(T_NOMBRE,MATCH(C2036,T_ID,0)),"⚠ ID no existe"))</f>
        <v/>
      </c>
      <c r="E2036" s="69"/>
      <c r="F2036" s="69"/>
      <c r="G2036" s="69"/>
      <c r="H2036" s="69"/>
      <c r="I2036" s="66"/>
      <c r="J2036" s="69"/>
      <c r="K2036" s="67"/>
      <c r="L2036" s="67"/>
      <c r="M2036" s="67"/>
      <c r="N2036" s="67"/>
      <c r="O2036" s="64"/>
      <c r="P2036" s="72" t="str">
        <f aca="false">IF(OR(B2036="",C2036=""),"",C2036&amp;"|"&amp;(YEAR(B2036)*100+MONTH(B2036)))</f>
        <v/>
      </c>
      <c r="Q2036" s="70" t="str">
        <f aca="false">IF(P2036="","",IF(COUNTIF(N_CLAVE,P2036)&gt;1,"⚠ Duplicado","OK"))</f>
        <v/>
      </c>
      <c r="R2036" s="74" t="str">
        <f aca="false">IF(OR(P2036="",U2036=""),"",MAX(0,U2036-N(E2036)-N(F2036)-N(H2036)))</f>
        <v/>
      </c>
      <c r="S2036" s="75" t="str">
        <f aca="false">IF(P2036="","",IFERROR(INDEX(T_INGRESO,MATCH(C2036,T_ID,0)),""))</f>
        <v/>
      </c>
      <c r="T2036" s="75" t="str">
        <f aca="false">IF(P2036="","",IFERROR(N(INDEX(T_EGRESO,MATCH(C2036,T_ID,0))),0))</f>
        <v/>
      </c>
      <c r="U2036" s="73" t="str">
        <f aca="false">IF(OR(P2036="",NOT(ISNUMBER(S2036))),"",IF(OR(S2036&gt;EOMONTH(B2036,0),AND(T2036&gt;0,T2036&lt;B2036)),0,IF(AND(S2036&lt;=B2036,OR(T2036=0,T2036&gt;=EOMONTH(B2036,0))),30,MIN(30,IF(T2036=0,EOMONTH(B2036,0),MIN(T2036,EOMONTH(B2036,0)))-MAX(B2036,S2036)+1))))</f>
        <v/>
      </c>
    </row>
    <row r="2037" customFormat="false" ht="15" hidden="false" customHeight="false" outlineLevel="0" collapsed="false">
      <c r="B2037" s="78"/>
      <c r="C2037" s="64"/>
      <c r="D2037" s="70" t="str">
        <f aca="false">IF(C2037="","",IFERROR(INDEX(T_NOMBRE,MATCH(C2037,T_ID,0)),"⚠ ID no existe"))</f>
        <v/>
      </c>
      <c r="E2037" s="69"/>
      <c r="F2037" s="69"/>
      <c r="G2037" s="69"/>
      <c r="H2037" s="69"/>
      <c r="I2037" s="66"/>
      <c r="J2037" s="69"/>
      <c r="K2037" s="67"/>
      <c r="L2037" s="67"/>
      <c r="M2037" s="67"/>
      <c r="N2037" s="67"/>
      <c r="O2037" s="64"/>
      <c r="P2037" s="72" t="str">
        <f aca="false">IF(OR(B2037="",C2037=""),"",C2037&amp;"|"&amp;(YEAR(B2037)*100+MONTH(B2037)))</f>
        <v/>
      </c>
      <c r="Q2037" s="70" t="str">
        <f aca="false">IF(P2037="","",IF(COUNTIF(N_CLAVE,P2037)&gt;1,"⚠ Duplicado","OK"))</f>
        <v/>
      </c>
      <c r="R2037" s="74" t="str">
        <f aca="false">IF(OR(P2037="",U2037=""),"",MAX(0,U2037-N(E2037)-N(F2037)-N(H2037)))</f>
        <v/>
      </c>
      <c r="S2037" s="75" t="str">
        <f aca="false">IF(P2037="","",IFERROR(INDEX(T_INGRESO,MATCH(C2037,T_ID,0)),""))</f>
        <v/>
      </c>
      <c r="T2037" s="75" t="str">
        <f aca="false">IF(P2037="","",IFERROR(N(INDEX(T_EGRESO,MATCH(C2037,T_ID,0))),0))</f>
        <v/>
      </c>
      <c r="U2037" s="73" t="str">
        <f aca="false">IF(OR(P2037="",NOT(ISNUMBER(S2037))),"",IF(OR(S2037&gt;EOMONTH(B2037,0),AND(T2037&gt;0,T2037&lt;B2037)),0,IF(AND(S2037&lt;=B2037,OR(T2037=0,T2037&gt;=EOMONTH(B2037,0))),30,MIN(30,IF(T2037=0,EOMONTH(B2037,0),MIN(T2037,EOMONTH(B2037,0)))-MAX(B2037,S2037)+1))))</f>
        <v/>
      </c>
    </row>
    <row r="2038" customFormat="false" ht="15" hidden="false" customHeight="false" outlineLevel="0" collapsed="false">
      <c r="B2038" s="78"/>
      <c r="C2038" s="64"/>
      <c r="D2038" s="70" t="str">
        <f aca="false">IF(C2038="","",IFERROR(INDEX(T_NOMBRE,MATCH(C2038,T_ID,0)),"⚠ ID no existe"))</f>
        <v/>
      </c>
      <c r="E2038" s="69"/>
      <c r="F2038" s="69"/>
      <c r="G2038" s="69"/>
      <c r="H2038" s="69"/>
      <c r="I2038" s="66"/>
      <c r="J2038" s="69"/>
      <c r="K2038" s="67"/>
      <c r="L2038" s="67"/>
      <c r="M2038" s="67"/>
      <c r="N2038" s="67"/>
      <c r="O2038" s="64"/>
      <c r="P2038" s="72" t="str">
        <f aca="false">IF(OR(B2038="",C2038=""),"",C2038&amp;"|"&amp;(YEAR(B2038)*100+MONTH(B2038)))</f>
        <v/>
      </c>
      <c r="Q2038" s="70" t="str">
        <f aca="false">IF(P2038="","",IF(COUNTIF(N_CLAVE,P2038)&gt;1,"⚠ Duplicado","OK"))</f>
        <v/>
      </c>
      <c r="R2038" s="74" t="str">
        <f aca="false">IF(OR(P2038="",U2038=""),"",MAX(0,U2038-N(E2038)-N(F2038)-N(H2038)))</f>
        <v/>
      </c>
      <c r="S2038" s="75" t="str">
        <f aca="false">IF(P2038="","",IFERROR(INDEX(T_INGRESO,MATCH(C2038,T_ID,0)),""))</f>
        <v/>
      </c>
      <c r="T2038" s="75" t="str">
        <f aca="false">IF(P2038="","",IFERROR(N(INDEX(T_EGRESO,MATCH(C2038,T_ID,0))),0))</f>
        <v/>
      </c>
      <c r="U2038" s="73" t="str">
        <f aca="false">IF(OR(P2038="",NOT(ISNUMBER(S2038))),"",IF(OR(S2038&gt;EOMONTH(B2038,0),AND(T2038&gt;0,T2038&lt;B2038)),0,IF(AND(S2038&lt;=B2038,OR(T2038=0,T2038&gt;=EOMONTH(B2038,0))),30,MIN(30,IF(T2038=0,EOMONTH(B2038,0),MIN(T2038,EOMONTH(B2038,0)))-MAX(B2038,S2038)+1))))</f>
        <v/>
      </c>
    </row>
    <row r="2039" customFormat="false" ht="15" hidden="false" customHeight="false" outlineLevel="0" collapsed="false">
      <c r="B2039" s="78"/>
      <c r="C2039" s="64"/>
      <c r="D2039" s="70" t="str">
        <f aca="false">IF(C2039="","",IFERROR(INDEX(T_NOMBRE,MATCH(C2039,T_ID,0)),"⚠ ID no existe"))</f>
        <v/>
      </c>
      <c r="E2039" s="69"/>
      <c r="F2039" s="69"/>
      <c r="G2039" s="69"/>
      <c r="H2039" s="69"/>
      <c r="I2039" s="66"/>
      <c r="J2039" s="69"/>
      <c r="K2039" s="67"/>
      <c r="L2039" s="67"/>
      <c r="M2039" s="67"/>
      <c r="N2039" s="67"/>
      <c r="O2039" s="64"/>
      <c r="P2039" s="72" t="str">
        <f aca="false">IF(OR(B2039="",C2039=""),"",C2039&amp;"|"&amp;(YEAR(B2039)*100+MONTH(B2039)))</f>
        <v/>
      </c>
      <c r="Q2039" s="70" t="str">
        <f aca="false">IF(P2039="","",IF(COUNTIF(N_CLAVE,P2039)&gt;1,"⚠ Duplicado","OK"))</f>
        <v/>
      </c>
      <c r="R2039" s="74" t="str">
        <f aca="false">IF(OR(P2039="",U2039=""),"",MAX(0,U2039-N(E2039)-N(F2039)-N(H2039)))</f>
        <v/>
      </c>
      <c r="S2039" s="75" t="str">
        <f aca="false">IF(P2039="","",IFERROR(INDEX(T_INGRESO,MATCH(C2039,T_ID,0)),""))</f>
        <v/>
      </c>
      <c r="T2039" s="75" t="str">
        <f aca="false">IF(P2039="","",IFERROR(N(INDEX(T_EGRESO,MATCH(C2039,T_ID,0))),0))</f>
        <v/>
      </c>
      <c r="U2039" s="73" t="str">
        <f aca="false">IF(OR(P2039="",NOT(ISNUMBER(S2039))),"",IF(OR(S2039&gt;EOMONTH(B2039,0),AND(T2039&gt;0,T2039&lt;B2039)),0,IF(AND(S2039&lt;=B2039,OR(T2039=0,T2039&gt;=EOMONTH(B2039,0))),30,MIN(30,IF(T2039=0,EOMONTH(B2039,0),MIN(T2039,EOMONTH(B2039,0)))-MAX(B2039,S2039)+1))))</f>
        <v/>
      </c>
    </row>
    <row r="2040" customFormat="false" ht="15" hidden="false" customHeight="false" outlineLevel="0" collapsed="false">
      <c r="B2040" s="78"/>
      <c r="C2040" s="64"/>
      <c r="D2040" s="70" t="str">
        <f aca="false">IF(C2040="","",IFERROR(INDEX(T_NOMBRE,MATCH(C2040,T_ID,0)),"⚠ ID no existe"))</f>
        <v/>
      </c>
      <c r="E2040" s="69"/>
      <c r="F2040" s="69"/>
      <c r="G2040" s="69"/>
      <c r="H2040" s="69"/>
      <c r="I2040" s="66"/>
      <c r="J2040" s="69"/>
      <c r="K2040" s="67"/>
      <c r="L2040" s="67"/>
      <c r="M2040" s="67"/>
      <c r="N2040" s="67"/>
      <c r="O2040" s="64"/>
      <c r="P2040" s="72" t="str">
        <f aca="false">IF(OR(B2040="",C2040=""),"",C2040&amp;"|"&amp;(YEAR(B2040)*100+MONTH(B2040)))</f>
        <v/>
      </c>
      <c r="Q2040" s="70" t="str">
        <f aca="false">IF(P2040="","",IF(COUNTIF(N_CLAVE,P2040)&gt;1,"⚠ Duplicado","OK"))</f>
        <v/>
      </c>
      <c r="R2040" s="74" t="str">
        <f aca="false">IF(OR(P2040="",U2040=""),"",MAX(0,U2040-N(E2040)-N(F2040)-N(H2040)))</f>
        <v/>
      </c>
      <c r="S2040" s="75" t="str">
        <f aca="false">IF(P2040="","",IFERROR(INDEX(T_INGRESO,MATCH(C2040,T_ID,0)),""))</f>
        <v/>
      </c>
      <c r="T2040" s="75" t="str">
        <f aca="false">IF(P2040="","",IFERROR(N(INDEX(T_EGRESO,MATCH(C2040,T_ID,0))),0))</f>
        <v/>
      </c>
      <c r="U2040" s="73" t="str">
        <f aca="false">IF(OR(P2040="",NOT(ISNUMBER(S2040))),"",IF(OR(S2040&gt;EOMONTH(B2040,0),AND(T2040&gt;0,T2040&lt;B2040)),0,IF(AND(S2040&lt;=B2040,OR(T2040=0,T2040&gt;=EOMONTH(B2040,0))),30,MIN(30,IF(T2040=0,EOMONTH(B2040,0),MIN(T2040,EOMONTH(B2040,0)))-MAX(B2040,S2040)+1))))</f>
        <v/>
      </c>
    </row>
    <row r="2041" customFormat="false" ht="15" hidden="false" customHeight="false" outlineLevel="0" collapsed="false">
      <c r="B2041" s="78"/>
      <c r="C2041" s="64"/>
      <c r="D2041" s="70" t="str">
        <f aca="false">IF(C2041="","",IFERROR(INDEX(T_NOMBRE,MATCH(C2041,T_ID,0)),"⚠ ID no existe"))</f>
        <v/>
      </c>
      <c r="E2041" s="69"/>
      <c r="F2041" s="69"/>
      <c r="G2041" s="69"/>
      <c r="H2041" s="69"/>
      <c r="I2041" s="66"/>
      <c r="J2041" s="69"/>
      <c r="K2041" s="67"/>
      <c r="L2041" s="67"/>
      <c r="M2041" s="67"/>
      <c r="N2041" s="67"/>
      <c r="O2041" s="64"/>
      <c r="P2041" s="72" t="str">
        <f aca="false">IF(OR(B2041="",C2041=""),"",C2041&amp;"|"&amp;(YEAR(B2041)*100+MONTH(B2041)))</f>
        <v/>
      </c>
      <c r="Q2041" s="70" t="str">
        <f aca="false">IF(P2041="","",IF(COUNTIF(N_CLAVE,P2041)&gt;1,"⚠ Duplicado","OK"))</f>
        <v/>
      </c>
      <c r="R2041" s="74" t="str">
        <f aca="false">IF(OR(P2041="",U2041=""),"",MAX(0,U2041-N(E2041)-N(F2041)-N(H2041)))</f>
        <v/>
      </c>
      <c r="S2041" s="75" t="str">
        <f aca="false">IF(P2041="","",IFERROR(INDEX(T_INGRESO,MATCH(C2041,T_ID,0)),""))</f>
        <v/>
      </c>
      <c r="T2041" s="75" t="str">
        <f aca="false">IF(P2041="","",IFERROR(N(INDEX(T_EGRESO,MATCH(C2041,T_ID,0))),0))</f>
        <v/>
      </c>
      <c r="U2041" s="73" t="str">
        <f aca="false">IF(OR(P2041="",NOT(ISNUMBER(S2041))),"",IF(OR(S2041&gt;EOMONTH(B2041,0),AND(T2041&gt;0,T2041&lt;B2041)),0,IF(AND(S2041&lt;=B2041,OR(T2041=0,T2041&gt;=EOMONTH(B2041,0))),30,MIN(30,IF(T2041=0,EOMONTH(B2041,0),MIN(T2041,EOMONTH(B2041,0)))-MAX(B2041,S2041)+1))))</f>
        <v/>
      </c>
    </row>
    <row r="2042" customFormat="false" ht="15" hidden="false" customHeight="false" outlineLevel="0" collapsed="false">
      <c r="B2042" s="78"/>
      <c r="C2042" s="64"/>
      <c r="D2042" s="70" t="str">
        <f aca="false">IF(C2042="","",IFERROR(INDEX(T_NOMBRE,MATCH(C2042,T_ID,0)),"⚠ ID no existe"))</f>
        <v/>
      </c>
      <c r="E2042" s="69"/>
      <c r="F2042" s="69"/>
      <c r="G2042" s="69"/>
      <c r="H2042" s="69"/>
      <c r="I2042" s="66"/>
      <c r="J2042" s="69"/>
      <c r="K2042" s="67"/>
      <c r="L2042" s="67"/>
      <c r="M2042" s="67"/>
      <c r="N2042" s="67"/>
      <c r="O2042" s="64"/>
      <c r="P2042" s="72" t="str">
        <f aca="false">IF(OR(B2042="",C2042=""),"",C2042&amp;"|"&amp;(YEAR(B2042)*100+MONTH(B2042)))</f>
        <v/>
      </c>
      <c r="Q2042" s="70" t="str">
        <f aca="false">IF(P2042="","",IF(COUNTIF(N_CLAVE,P2042)&gt;1,"⚠ Duplicado","OK"))</f>
        <v/>
      </c>
      <c r="R2042" s="74" t="str">
        <f aca="false">IF(OR(P2042="",U2042=""),"",MAX(0,U2042-N(E2042)-N(F2042)-N(H2042)))</f>
        <v/>
      </c>
      <c r="S2042" s="75" t="str">
        <f aca="false">IF(P2042="","",IFERROR(INDEX(T_INGRESO,MATCH(C2042,T_ID,0)),""))</f>
        <v/>
      </c>
      <c r="T2042" s="75" t="str">
        <f aca="false">IF(P2042="","",IFERROR(N(INDEX(T_EGRESO,MATCH(C2042,T_ID,0))),0))</f>
        <v/>
      </c>
      <c r="U2042" s="73" t="str">
        <f aca="false">IF(OR(P2042="",NOT(ISNUMBER(S2042))),"",IF(OR(S2042&gt;EOMONTH(B2042,0),AND(T2042&gt;0,T2042&lt;B2042)),0,IF(AND(S2042&lt;=B2042,OR(T2042=0,T2042&gt;=EOMONTH(B2042,0))),30,MIN(30,IF(T2042=0,EOMONTH(B2042,0),MIN(T2042,EOMONTH(B2042,0)))-MAX(B2042,S2042)+1))))</f>
        <v/>
      </c>
    </row>
    <row r="2043" customFormat="false" ht="15" hidden="false" customHeight="false" outlineLevel="0" collapsed="false">
      <c r="B2043" s="78"/>
      <c r="C2043" s="64"/>
      <c r="D2043" s="70" t="str">
        <f aca="false">IF(C2043="","",IFERROR(INDEX(T_NOMBRE,MATCH(C2043,T_ID,0)),"⚠ ID no existe"))</f>
        <v/>
      </c>
      <c r="E2043" s="69"/>
      <c r="F2043" s="69"/>
      <c r="G2043" s="69"/>
      <c r="H2043" s="69"/>
      <c r="I2043" s="66"/>
      <c r="J2043" s="69"/>
      <c r="K2043" s="67"/>
      <c r="L2043" s="67"/>
      <c r="M2043" s="67"/>
      <c r="N2043" s="67"/>
      <c r="O2043" s="64"/>
      <c r="P2043" s="72" t="str">
        <f aca="false">IF(OR(B2043="",C2043=""),"",C2043&amp;"|"&amp;(YEAR(B2043)*100+MONTH(B2043)))</f>
        <v/>
      </c>
      <c r="Q2043" s="70" t="str">
        <f aca="false">IF(P2043="","",IF(COUNTIF(N_CLAVE,P2043)&gt;1,"⚠ Duplicado","OK"))</f>
        <v/>
      </c>
      <c r="R2043" s="74" t="str">
        <f aca="false">IF(OR(P2043="",U2043=""),"",MAX(0,U2043-N(E2043)-N(F2043)-N(H2043)))</f>
        <v/>
      </c>
      <c r="S2043" s="75" t="str">
        <f aca="false">IF(P2043="","",IFERROR(INDEX(T_INGRESO,MATCH(C2043,T_ID,0)),""))</f>
        <v/>
      </c>
      <c r="T2043" s="75" t="str">
        <f aca="false">IF(P2043="","",IFERROR(N(INDEX(T_EGRESO,MATCH(C2043,T_ID,0))),0))</f>
        <v/>
      </c>
      <c r="U2043" s="73" t="str">
        <f aca="false">IF(OR(P2043="",NOT(ISNUMBER(S2043))),"",IF(OR(S2043&gt;EOMONTH(B2043,0),AND(T2043&gt;0,T2043&lt;B2043)),0,IF(AND(S2043&lt;=B2043,OR(T2043=0,T2043&gt;=EOMONTH(B2043,0))),30,MIN(30,IF(T2043=0,EOMONTH(B2043,0),MIN(T2043,EOMONTH(B2043,0)))-MAX(B2043,S2043)+1))))</f>
        <v/>
      </c>
    </row>
    <row r="2044" customFormat="false" ht="15" hidden="false" customHeight="false" outlineLevel="0" collapsed="false">
      <c r="B2044" s="78"/>
      <c r="C2044" s="64"/>
      <c r="D2044" s="70" t="str">
        <f aca="false">IF(C2044="","",IFERROR(INDEX(T_NOMBRE,MATCH(C2044,T_ID,0)),"⚠ ID no existe"))</f>
        <v/>
      </c>
      <c r="E2044" s="69"/>
      <c r="F2044" s="69"/>
      <c r="G2044" s="69"/>
      <c r="H2044" s="69"/>
      <c r="I2044" s="66"/>
      <c r="J2044" s="69"/>
      <c r="K2044" s="67"/>
      <c r="L2044" s="67"/>
      <c r="M2044" s="67"/>
      <c r="N2044" s="67"/>
      <c r="O2044" s="64"/>
      <c r="P2044" s="72" t="str">
        <f aca="false">IF(OR(B2044="",C2044=""),"",C2044&amp;"|"&amp;(YEAR(B2044)*100+MONTH(B2044)))</f>
        <v/>
      </c>
      <c r="Q2044" s="70" t="str">
        <f aca="false">IF(P2044="","",IF(COUNTIF(N_CLAVE,P2044)&gt;1,"⚠ Duplicado","OK"))</f>
        <v/>
      </c>
      <c r="R2044" s="74" t="str">
        <f aca="false">IF(OR(P2044="",U2044=""),"",MAX(0,U2044-N(E2044)-N(F2044)-N(H2044)))</f>
        <v/>
      </c>
      <c r="S2044" s="75" t="str">
        <f aca="false">IF(P2044="","",IFERROR(INDEX(T_INGRESO,MATCH(C2044,T_ID,0)),""))</f>
        <v/>
      </c>
      <c r="T2044" s="75" t="str">
        <f aca="false">IF(P2044="","",IFERROR(N(INDEX(T_EGRESO,MATCH(C2044,T_ID,0))),0))</f>
        <v/>
      </c>
      <c r="U2044" s="73" t="str">
        <f aca="false">IF(OR(P2044="",NOT(ISNUMBER(S2044))),"",IF(OR(S2044&gt;EOMONTH(B2044,0),AND(T2044&gt;0,T2044&lt;B2044)),0,IF(AND(S2044&lt;=B2044,OR(T2044=0,T2044&gt;=EOMONTH(B2044,0))),30,MIN(30,IF(T2044=0,EOMONTH(B2044,0),MIN(T2044,EOMONTH(B2044,0)))-MAX(B2044,S2044)+1))))</f>
        <v/>
      </c>
    </row>
    <row r="2045" customFormat="false" ht="15" hidden="false" customHeight="false" outlineLevel="0" collapsed="false">
      <c r="B2045" s="78"/>
      <c r="C2045" s="64"/>
      <c r="D2045" s="70" t="str">
        <f aca="false">IF(C2045="","",IFERROR(INDEX(T_NOMBRE,MATCH(C2045,T_ID,0)),"⚠ ID no existe"))</f>
        <v/>
      </c>
      <c r="E2045" s="69"/>
      <c r="F2045" s="69"/>
      <c r="G2045" s="69"/>
      <c r="H2045" s="69"/>
      <c r="I2045" s="66"/>
      <c r="J2045" s="69"/>
      <c r="K2045" s="67"/>
      <c r="L2045" s="67"/>
      <c r="M2045" s="67"/>
      <c r="N2045" s="67"/>
      <c r="O2045" s="64"/>
      <c r="P2045" s="72" t="str">
        <f aca="false">IF(OR(B2045="",C2045=""),"",C2045&amp;"|"&amp;(YEAR(B2045)*100+MONTH(B2045)))</f>
        <v/>
      </c>
      <c r="Q2045" s="70" t="str">
        <f aca="false">IF(P2045="","",IF(COUNTIF(N_CLAVE,P2045)&gt;1,"⚠ Duplicado","OK"))</f>
        <v/>
      </c>
      <c r="R2045" s="74" t="str">
        <f aca="false">IF(OR(P2045="",U2045=""),"",MAX(0,U2045-N(E2045)-N(F2045)-N(H2045)))</f>
        <v/>
      </c>
      <c r="S2045" s="75" t="str">
        <f aca="false">IF(P2045="","",IFERROR(INDEX(T_INGRESO,MATCH(C2045,T_ID,0)),""))</f>
        <v/>
      </c>
      <c r="T2045" s="75" t="str">
        <f aca="false">IF(P2045="","",IFERROR(N(INDEX(T_EGRESO,MATCH(C2045,T_ID,0))),0))</f>
        <v/>
      </c>
      <c r="U2045" s="73" t="str">
        <f aca="false">IF(OR(P2045="",NOT(ISNUMBER(S2045))),"",IF(OR(S2045&gt;EOMONTH(B2045,0),AND(T2045&gt;0,T2045&lt;B2045)),0,IF(AND(S2045&lt;=B2045,OR(T2045=0,T2045&gt;=EOMONTH(B2045,0))),30,MIN(30,IF(T2045=0,EOMONTH(B2045,0),MIN(T2045,EOMONTH(B2045,0)))-MAX(B2045,S2045)+1))))</f>
        <v/>
      </c>
    </row>
    <row r="2046" customFormat="false" ht="15" hidden="false" customHeight="false" outlineLevel="0" collapsed="false">
      <c r="B2046" s="78"/>
      <c r="C2046" s="64"/>
      <c r="D2046" s="70" t="str">
        <f aca="false">IF(C2046="","",IFERROR(INDEX(T_NOMBRE,MATCH(C2046,T_ID,0)),"⚠ ID no existe"))</f>
        <v/>
      </c>
      <c r="E2046" s="69"/>
      <c r="F2046" s="69"/>
      <c r="G2046" s="69"/>
      <c r="H2046" s="69"/>
      <c r="I2046" s="66"/>
      <c r="J2046" s="69"/>
      <c r="K2046" s="67"/>
      <c r="L2046" s="67"/>
      <c r="M2046" s="67"/>
      <c r="N2046" s="67"/>
      <c r="O2046" s="64"/>
      <c r="P2046" s="72" t="str">
        <f aca="false">IF(OR(B2046="",C2046=""),"",C2046&amp;"|"&amp;(YEAR(B2046)*100+MONTH(B2046)))</f>
        <v/>
      </c>
      <c r="Q2046" s="70" t="str">
        <f aca="false">IF(P2046="","",IF(COUNTIF(N_CLAVE,P2046)&gt;1,"⚠ Duplicado","OK"))</f>
        <v/>
      </c>
      <c r="R2046" s="74" t="str">
        <f aca="false">IF(OR(P2046="",U2046=""),"",MAX(0,U2046-N(E2046)-N(F2046)-N(H2046)))</f>
        <v/>
      </c>
      <c r="S2046" s="75" t="str">
        <f aca="false">IF(P2046="","",IFERROR(INDEX(T_INGRESO,MATCH(C2046,T_ID,0)),""))</f>
        <v/>
      </c>
      <c r="T2046" s="75" t="str">
        <f aca="false">IF(P2046="","",IFERROR(N(INDEX(T_EGRESO,MATCH(C2046,T_ID,0))),0))</f>
        <v/>
      </c>
      <c r="U2046" s="73" t="str">
        <f aca="false">IF(OR(P2046="",NOT(ISNUMBER(S2046))),"",IF(OR(S2046&gt;EOMONTH(B2046,0),AND(T2046&gt;0,T2046&lt;B2046)),0,IF(AND(S2046&lt;=B2046,OR(T2046=0,T2046&gt;=EOMONTH(B2046,0))),30,MIN(30,IF(T2046=0,EOMONTH(B2046,0),MIN(T2046,EOMONTH(B2046,0)))-MAX(B2046,S2046)+1))))</f>
        <v/>
      </c>
    </row>
    <row r="2047" customFormat="false" ht="15" hidden="false" customHeight="false" outlineLevel="0" collapsed="false">
      <c r="B2047" s="78"/>
      <c r="C2047" s="64"/>
      <c r="D2047" s="70" t="str">
        <f aca="false">IF(C2047="","",IFERROR(INDEX(T_NOMBRE,MATCH(C2047,T_ID,0)),"⚠ ID no existe"))</f>
        <v/>
      </c>
      <c r="E2047" s="69"/>
      <c r="F2047" s="69"/>
      <c r="G2047" s="69"/>
      <c r="H2047" s="69"/>
      <c r="I2047" s="66"/>
      <c r="J2047" s="69"/>
      <c r="K2047" s="67"/>
      <c r="L2047" s="67"/>
      <c r="M2047" s="67"/>
      <c r="N2047" s="67"/>
      <c r="O2047" s="64"/>
      <c r="P2047" s="72" t="str">
        <f aca="false">IF(OR(B2047="",C2047=""),"",C2047&amp;"|"&amp;(YEAR(B2047)*100+MONTH(B2047)))</f>
        <v/>
      </c>
      <c r="Q2047" s="70" t="str">
        <f aca="false">IF(P2047="","",IF(COUNTIF(N_CLAVE,P2047)&gt;1,"⚠ Duplicado","OK"))</f>
        <v/>
      </c>
      <c r="R2047" s="74" t="str">
        <f aca="false">IF(OR(P2047="",U2047=""),"",MAX(0,U2047-N(E2047)-N(F2047)-N(H2047)))</f>
        <v/>
      </c>
      <c r="S2047" s="75" t="str">
        <f aca="false">IF(P2047="","",IFERROR(INDEX(T_INGRESO,MATCH(C2047,T_ID,0)),""))</f>
        <v/>
      </c>
      <c r="T2047" s="75" t="str">
        <f aca="false">IF(P2047="","",IFERROR(N(INDEX(T_EGRESO,MATCH(C2047,T_ID,0))),0))</f>
        <v/>
      </c>
      <c r="U2047" s="73" t="str">
        <f aca="false">IF(OR(P2047="",NOT(ISNUMBER(S2047))),"",IF(OR(S2047&gt;EOMONTH(B2047,0),AND(T2047&gt;0,T2047&lt;B2047)),0,IF(AND(S2047&lt;=B2047,OR(T2047=0,T2047&gt;=EOMONTH(B2047,0))),30,MIN(30,IF(T2047=0,EOMONTH(B2047,0),MIN(T2047,EOMONTH(B2047,0)))-MAX(B2047,S2047)+1))))</f>
        <v/>
      </c>
    </row>
    <row r="2048" customFormat="false" ht="15" hidden="false" customHeight="false" outlineLevel="0" collapsed="false">
      <c r="B2048" s="78"/>
      <c r="C2048" s="64"/>
      <c r="D2048" s="70" t="str">
        <f aca="false">IF(C2048="","",IFERROR(INDEX(T_NOMBRE,MATCH(C2048,T_ID,0)),"⚠ ID no existe"))</f>
        <v/>
      </c>
      <c r="E2048" s="69"/>
      <c r="F2048" s="69"/>
      <c r="G2048" s="69"/>
      <c r="H2048" s="69"/>
      <c r="I2048" s="66"/>
      <c r="J2048" s="69"/>
      <c r="K2048" s="67"/>
      <c r="L2048" s="67"/>
      <c r="M2048" s="67"/>
      <c r="N2048" s="67"/>
      <c r="O2048" s="64"/>
      <c r="P2048" s="72" t="str">
        <f aca="false">IF(OR(B2048="",C2048=""),"",C2048&amp;"|"&amp;(YEAR(B2048)*100+MONTH(B2048)))</f>
        <v/>
      </c>
      <c r="Q2048" s="70" t="str">
        <f aca="false">IF(P2048="","",IF(COUNTIF(N_CLAVE,P2048)&gt;1,"⚠ Duplicado","OK"))</f>
        <v/>
      </c>
      <c r="R2048" s="74" t="str">
        <f aca="false">IF(OR(P2048="",U2048=""),"",MAX(0,U2048-N(E2048)-N(F2048)-N(H2048)))</f>
        <v/>
      </c>
      <c r="S2048" s="75" t="str">
        <f aca="false">IF(P2048="","",IFERROR(INDEX(T_INGRESO,MATCH(C2048,T_ID,0)),""))</f>
        <v/>
      </c>
      <c r="T2048" s="75" t="str">
        <f aca="false">IF(P2048="","",IFERROR(N(INDEX(T_EGRESO,MATCH(C2048,T_ID,0))),0))</f>
        <v/>
      </c>
      <c r="U2048" s="73" t="str">
        <f aca="false">IF(OR(P2048="",NOT(ISNUMBER(S2048))),"",IF(OR(S2048&gt;EOMONTH(B2048,0),AND(T2048&gt;0,T2048&lt;B2048)),0,IF(AND(S2048&lt;=B2048,OR(T2048=0,T2048&gt;=EOMONTH(B2048,0))),30,MIN(30,IF(T2048=0,EOMONTH(B2048,0),MIN(T2048,EOMONTH(B2048,0)))-MAX(B2048,S2048)+1))))</f>
        <v/>
      </c>
    </row>
    <row r="2049" customFormat="false" ht="15" hidden="false" customHeight="false" outlineLevel="0" collapsed="false">
      <c r="B2049" s="78"/>
      <c r="C2049" s="64"/>
      <c r="D2049" s="70" t="str">
        <f aca="false">IF(C2049="","",IFERROR(INDEX(T_NOMBRE,MATCH(C2049,T_ID,0)),"⚠ ID no existe"))</f>
        <v/>
      </c>
      <c r="E2049" s="69"/>
      <c r="F2049" s="69"/>
      <c r="G2049" s="69"/>
      <c r="H2049" s="69"/>
      <c r="I2049" s="66"/>
      <c r="J2049" s="69"/>
      <c r="K2049" s="67"/>
      <c r="L2049" s="67"/>
      <c r="M2049" s="67"/>
      <c r="N2049" s="67"/>
      <c r="O2049" s="64"/>
      <c r="P2049" s="72" t="str">
        <f aca="false">IF(OR(B2049="",C2049=""),"",C2049&amp;"|"&amp;(YEAR(B2049)*100+MONTH(B2049)))</f>
        <v/>
      </c>
      <c r="Q2049" s="70" t="str">
        <f aca="false">IF(P2049="","",IF(COUNTIF(N_CLAVE,P2049)&gt;1,"⚠ Duplicado","OK"))</f>
        <v/>
      </c>
      <c r="R2049" s="74" t="str">
        <f aca="false">IF(OR(P2049="",U2049=""),"",MAX(0,U2049-N(E2049)-N(F2049)-N(H2049)))</f>
        <v/>
      </c>
      <c r="S2049" s="75" t="str">
        <f aca="false">IF(P2049="","",IFERROR(INDEX(T_INGRESO,MATCH(C2049,T_ID,0)),""))</f>
        <v/>
      </c>
      <c r="T2049" s="75" t="str">
        <f aca="false">IF(P2049="","",IFERROR(N(INDEX(T_EGRESO,MATCH(C2049,T_ID,0))),0))</f>
        <v/>
      </c>
      <c r="U2049" s="73" t="str">
        <f aca="false">IF(OR(P2049="",NOT(ISNUMBER(S2049))),"",IF(OR(S2049&gt;EOMONTH(B2049,0),AND(T2049&gt;0,T2049&lt;B2049)),0,IF(AND(S2049&lt;=B2049,OR(T2049=0,T2049&gt;=EOMONTH(B2049,0))),30,MIN(30,IF(T2049=0,EOMONTH(B2049,0),MIN(T2049,EOMONTH(B2049,0)))-MAX(B2049,S2049)+1))))</f>
        <v/>
      </c>
    </row>
    <row r="2050" customFormat="false" ht="15" hidden="false" customHeight="false" outlineLevel="0" collapsed="false">
      <c r="B2050" s="78"/>
      <c r="C2050" s="64"/>
      <c r="D2050" s="70" t="str">
        <f aca="false">IF(C2050="","",IFERROR(INDEX(T_NOMBRE,MATCH(C2050,T_ID,0)),"⚠ ID no existe"))</f>
        <v/>
      </c>
      <c r="E2050" s="69"/>
      <c r="F2050" s="69"/>
      <c r="G2050" s="69"/>
      <c r="H2050" s="69"/>
      <c r="I2050" s="66"/>
      <c r="J2050" s="69"/>
      <c r="K2050" s="67"/>
      <c r="L2050" s="67"/>
      <c r="M2050" s="67"/>
      <c r="N2050" s="67"/>
      <c r="O2050" s="64"/>
      <c r="P2050" s="72" t="str">
        <f aca="false">IF(OR(B2050="",C2050=""),"",C2050&amp;"|"&amp;(YEAR(B2050)*100+MONTH(B2050)))</f>
        <v/>
      </c>
      <c r="Q2050" s="70" t="str">
        <f aca="false">IF(P2050="","",IF(COUNTIF(N_CLAVE,P2050)&gt;1,"⚠ Duplicado","OK"))</f>
        <v/>
      </c>
      <c r="R2050" s="74" t="str">
        <f aca="false">IF(OR(P2050="",U2050=""),"",MAX(0,U2050-N(E2050)-N(F2050)-N(H2050)))</f>
        <v/>
      </c>
      <c r="S2050" s="75" t="str">
        <f aca="false">IF(P2050="","",IFERROR(INDEX(T_INGRESO,MATCH(C2050,T_ID,0)),""))</f>
        <v/>
      </c>
      <c r="T2050" s="75" t="str">
        <f aca="false">IF(P2050="","",IFERROR(N(INDEX(T_EGRESO,MATCH(C2050,T_ID,0))),0))</f>
        <v/>
      </c>
      <c r="U2050" s="73" t="str">
        <f aca="false">IF(OR(P2050="",NOT(ISNUMBER(S2050))),"",IF(OR(S2050&gt;EOMONTH(B2050,0),AND(T2050&gt;0,T2050&lt;B2050)),0,IF(AND(S2050&lt;=B2050,OR(T2050=0,T2050&gt;=EOMONTH(B2050,0))),30,MIN(30,IF(T2050=0,EOMONTH(B2050,0),MIN(T2050,EOMONTH(B2050,0)))-MAX(B2050,S2050)+1))))</f>
        <v/>
      </c>
    </row>
    <row r="2051" customFormat="false" ht="15" hidden="false" customHeight="false" outlineLevel="0" collapsed="false">
      <c r="B2051" s="78"/>
      <c r="C2051" s="64"/>
      <c r="D2051" s="70" t="str">
        <f aca="false">IF(C2051="","",IFERROR(INDEX(T_NOMBRE,MATCH(C2051,T_ID,0)),"⚠ ID no existe"))</f>
        <v/>
      </c>
      <c r="E2051" s="69"/>
      <c r="F2051" s="69"/>
      <c r="G2051" s="69"/>
      <c r="H2051" s="69"/>
      <c r="I2051" s="66"/>
      <c r="J2051" s="69"/>
      <c r="K2051" s="67"/>
      <c r="L2051" s="67"/>
      <c r="M2051" s="67"/>
      <c r="N2051" s="67"/>
      <c r="O2051" s="64"/>
      <c r="P2051" s="72" t="str">
        <f aca="false">IF(OR(B2051="",C2051=""),"",C2051&amp;"|"&amp;(YEAR(B2051)*100+MONTH(B2051)))</f>
        <v/>
      </c>
      <c r="Q2051" s="70" t="str">
        <f aca="false">IF(P2051="","",IF(COUNTIF(N_CLAVE,P2051)&gt;1,"⚠ Duplicado","OK"))</f>
        <v/>
      </c>
      <c r="R2051" s="74" t="str">
        <f aca="false">IF(OR(P2051="",U2051=""),"",MAX(0,U2051-N(E2051)-N(F2051)-N(H2051)))</f>
        <v/>
      </c>
      <c r="S2051" s="75" t="str">
        <f aca="false">IF(P2051="","",IFERROR(INDEX(T_INGRESO,MATCH(C2051,T_ID,0)),""))</f>
        <v/>
      </c>
      <c r="T2051" s="75" t="str">
        <f aca="false">IF(P2051="","",IFERROR(N(INDEX(T_EGRESO,MATCH(C2051,T_ID,0))),0))</f>
        <v/>
      </c>
      <c r="U2051" s="73" t="str">
        <f aca="false">IF(OR(P2051="",NOT(ISNUMBER(S2051))),"",IF(OR(S2051&gt;EOMONTH(B2051,0),AND(T2051&gt;0,T2051&lt;B2051)),0,IF(AND(S2051&lt;=B2051,OR(T2051=0,T2051&gt;=EOMONTH(B2051,0))),30,MIN(30,IF(T2051=0,EOMONTH(B2051,0),MIN(T2051,EOMONTH(B2051,0)))-MAX(B2051,S2051)+1))))</f>
        <v/>
      </c>
    </row>
    <row r="2052" customFormat="false" ht="15" hidden="false" customHeight="false" outlineLevel="0" collapsed="false">
      <c r="B2052" s="78"/>
      <c r="C2052" s="64"/>
      <c r="D2052" s="70" t="str">
        <f aca="false">IF(C2052="","",IFERROR(INDEX(T_NOMBRE,MATCH(C2052,T_ID,0)),"⚠ ID no existe"))</f>
        <v/>
      </c>
      <c r="E2052" s="69"/>
      <c r="F2052" s="69"/>
      <c r="G2052" s="69"/>
      <c r="H2052" s="69"/>
      <c r="I2052" s="66"/>
      <c r="J2052" s="69"/>
      <c r="K2052" s="67"/>
      <c r="L2052" s="67"/>
      <c r="M2052" s="67"/>
      <c r="N2052" s="67"/>
      <c r="O2052" s="64"/>
      <c r="P2052" s="72" t="str">
        <f aca="false">IF(OR(B2052="",C2052=""),"",C2052&amp;"|"&amp;(YEAR(B2052)*100+MONTH(B2052)))</f>
        <v/>
      </c>
      <c r="Q2052" s="70" t="str">
        <f aca="false">IF(P2052="","",IF(COUNTIF(N_CLAVE,P2052)&gt;1,"⚠ Duplicado","OK"))</f>
        <v/>
      </c>
      <c r="R2052" s="74" t="str">
        <f aca="false">IF(OR(P2052="",U2052=""),"",MAX(0,U2052-N(E2052)-N(F2052)-N(H2052)))</f>
        <v/>
      </c>
      <c r="S2052" s="75" t="str">
        <f aca="false">IF(P2052="","",IFERROR(INDEX(T_INGRESO,MATCH(C2052,T_ID,0)),""))</f>
        <v/>
      </c>
      <c r="T2052" s="75" t="str">
        <f aca="false">IF(P2052="","",IFERROR(N(INDEX(T_EGRESO,MATCH(C2052,T_ID,0))),0))</f>
        <v/>
      </c>
      <c r="U2052" s="73" t="str">
        <f aca="false">IF(OR(P2052="",NOT(ISNUMBER(S2052))),"",IF(OR(S2052&gt;EOMONTH(B2052,0),AND(T2052&gt;0,T2052&lt;B2052)),0,IF(AND(S2052&lt;=B2052,OR(T2052=0,T2052&gt;=EOMONTH(B2052,0))),30,MIN(30,IF(T2052=0,EOMONTH(B2052,0),MIN(T2052,EOMONTH(B2052,0)))-MAX(B2052,S2052)+1))))</f>
        <v/>
      </c>
    </row>
    <row r="2053" customFormat="false" ht="15" hidden="false" customHeight="false" outlineLevel="0" collapsed="false">
      <c r="B2053" s="78"/>
      <c r="C2053" s="64"/>
      <c r="D2053" s="70" t="str">
        <f aca="false">IF(C2053="","",IFERROR(INDEX(T_NOMBRE,MATCH(C2053,T_ID,0)),"⚠ ID no existe"))</f>
        <v/>
      </c>
      <c r="E2053" s="69"/>
      <c r="F2053" s="69"/>
      <c r="G2053" s="69"/>
      <c r="H2053" s="69"/>
      <c r="I2053" s="66"/>
      <c r="J2053" s="69"/>
      <c r="K2053" s="67"/>
      <c r="L2053" s="67"/>
      <c r="M2053" s="67"/>
      <c r="N2053" s="67"/>
      <c r="O2053" s="64"/>
      <c r="P2053" s="72" t="str">
        <f aca="false">IF(OR(B2053="",C2053=""),"",C2053&amp;"|"&amp;(YEAR(B2053)*100+MONTH(B2053)))</f>
        <v/>
      </c>
      <c r="Q2053" s="70" t="str">
        <f aca="false">IF(P2053="","",IF(COUNTIF(N_CLAVE,P2053)&gt;1,"⚠ Duplicado","OK"))</f>
        <v/>
      </c>
      <c r="R2053" s="74" t="str">
        <f aca="false">IF(OR(P2053="",U2053=""),"",MAX(0,U2053-N(E2053)-N(F2053)-N(H2053)))</f>
        <v/>
      </c>
      <c r="S2053" s="75" t="str">
        <f aca="false">IF(P2053="","",IFERROR(INDEX(T_INGRESO,MATCH(C2053,T_ID,0)),""))</f>
        <v/>
      </c>
      <c r="T2053" s="75" t="str">
        <f aca="false">IF(P2053="","",IFERROR(N(INDEX(T_EGRESO,MATCH(C2053,T_ID,0))),0))</f>
        <v/>
      </c>
      <c r="U2053" s="73" t="str">
        <f aca="false">IF(OR(P2053="",NOT(ISNUMBER(S2053))),"",IF(OR(S2053&gt;EOMONTH(B2053,0),AND(T2053&gt;0,T2053&lt;B2053)),0,IF(AND(S2053&lt;=B2053,OR(T2053=0,T2053&gt;=EOMONTH(B2053,0))),30,MIN(30,IF(T2053=0,EOMONTH(B2053,0),MIN(T2053,EOMONTH(B2053,0)))-MAX(B2053,S2053)+1))))</f>
        <v/>
      </c>
    </row>
    <row r="2054" customFormat="false" ht="15" hidden="false" customHeight="false" outlineLevel="0" collapsed="false">
      <c r="B2054" s="78"/>
      <c r="C2054" s="64"/>
      <c r="D2054" s="70" t="str">
        <f aca="false">IF(C2054="","",IFERROR(INDEX(T_NOMBRE,MATCH(C2054,T_ID,0)),"⚠ ID no existe"))</f>
        <v/>
      </c>
      <c r="E2054" s="69"/>
      <c r="F2054" s="69"/>
      <c r="G2054" s="69"/>
      <c r="H2054" s="69"/>
      <c r="I2054" s="66"/>
      <c r="J2054" s="69"/>
      <c r="K2054" s="67"/>
      <c r="L2054" s="67"/>
      <c r="M2054" s="67"/>
      <c r="N2054" s="67"/>
      <c r="O2054" s="64"/>
      <c r="P2054" s="72" t="str">
        <f aca="false">IF(OR(B2054="",C2054=""),"",C2054&amp;"|"&amp;(YEAR(B2054)*100+MONTH(B2054)))</f>
        <v/>
      </c>
      <c r="Q2054" s="70" t="str">
        <f aca="false">IF(P2054="","",IF(COUNTIF(N_CLAVE,P2054)&gt;1,"⚠ Duplicado","OK"))</f>
        <v/>
      </c>
      <c r="R2054" s="74" t="str">
        <f aca="false">IF(OR(P2054="",U2054=""),"",MAX(0,U2054-N(E2054)-N(F2054)-N(H2054)))</f>
        <v/>
      </c>
      <c r="S2054" s="75" t="str">
        <f aca="false">IF(P2054="","",IFERROR(INDEX(T_INGRESO,MATCH(C2054,T_ID,0)),""))</f>
        <v/>
      </c>
      <c r="T2054" s="75" t="str">
        <f aca="false">IF(P2054="","",IFERROR(N(INDEX(T_EGRESO,MATCH(C2054,T_ID,0))),0))</f>
        <v/>
      </c>
      <c r="U2054" s="73" t="str">
        <f aca="false">IF(OR(P2054="",NOT(ISNUMBER(S2054))),"",IF(OR(S2054&gt;EOMONTH(B2054,0),AND(T2054&gt;0,T2054&lt;B2054)),0,IF(AND(S2054&lt;=B2054,OR(T2054=0,T2054&gt;=EOMONTH(B2054,0))),30,MIN(30,IF(T2054=0,EOMONTH(B2054,0),MIN(T2054,EOMONTH(B2054,0)))-MAX(B2054,S2054)+1))))</f>
        <v/>
      </c>
    </row>
    <row r="2055" customFormat="false" ht="15" hidden="false" customHeight="false" outlineLevel="0" collapsed="false">
      <c r="B2055" s="78"/>
      <c r="C2055" s="64"/>
      <c r="D2055" s="70" t="str">
        <f aca="false">IF(C2055="","",IFERROR(INDEX(T_NOMBRE,MATCH(C2055,T_ID,0)),"⚠ ID no existe"))</f>
        <v/>
      </c>
      <c r="E2055" s="69"/>
      <c r="F2055" s="69"/>
      <c r="G2055" s="69"/>
      <c r="H2055" s="69"/>
      <c r="I2055" s="66"/>
      <c r="J2055" s="69"/>
      <c r="K2055" s="67"/>
      <c r="L2055" s="67"/>
      <c r="M2055" s="67"/>
      <c r="N2055" s="67"/>
      <c r="O2055" s="64"/>
      <c r="P2055" s="72" t="str">
        <f aca="false">IF(OR(B2055="",C2055=""),"",C2055&amp;"|"&amp;(YEAR(B2055)*100+MONTH(B2055)))</f>
        <v/>
      </c>
      <c r="Q2055" s="70" t="str">
        <f aca="false">IF(P2055="","",IF(COUNTIF(N_CLAVE,P2055)&gt;1,"⚠ Duplicado","OK"))</f>
        <v/>
      </c>
      <c r="R2055" s="74" t="str">
        <f aca="false">IF(OR(P2055="",U2055=""),"",MAX(0,U2055-N(E2055)-N(F2055)-N(H2055)))</f>
        <v/>
      </c>
      <c r="S2055" s="75" t="str">
        <f aca="false">IF(P2055="","",IFERROR(INDEX(T_INGRESO,MATCH(C2055,T_ID,0)),""))</f>
        <v/>
      </c>
      <c r="T2055" s="75" t="str">
        <f aca="false">IF(P2055="","",IFERROR(N(INDEX(T_EGRESO,MATCH(C2055,T_ID,0))),0))</f>
        <v/>
      </c>
      <c r="U2055" s="73" t="str">
        <f aca="false">IF(OR(P2055="",NOT(ISNUMBER(S2055))),"",IF(OR(S2055&gt;EOMONTH(B2055,0),AND(T2055&gt;0,T2055&lt;B2055)),0,IF(AND(S2055&lt;=B2055,OR(T2055=0,T2055&gt;=EOMONTH(B2055,0))),30,MIN(30,IF(T2055=0,EOMONTH(B2055,0),MIN(T2055,EOMONTH(B2055,0)))-MAX(B2055,S2055)+1))))</f>
        <v/>
      </c>
    </row>
    <row r="2056" customFormat="false" ht="15" hidden="false" customHeight="false" outlineLevel="0" collapsed="false">
      <c r="B2056" s="78"/>
      <c r="C2056" s="64"/>
      <c r="D2056" s="70" t="str">
        <f aca="false">IF(C2056="","",IFERROR(INDEX(T_NOMBRE,MATCH(C2056,T_ID,0)),"⚠ ID no existe"))</f>
        <v/>
      </c>
      <c r="E2056" s="69"/>
      <c r="F2056" s="69"/>
      <c r="G2056" s="69"/>
      <c r="H2056" s="69"/>
      <c r="I2056" s="66"/>
      <c r="J2056" s="69"/>
      <c r="K2056" s="67"/>
      <c r="L2056" s="67"/>
      <c r="M2056" s="67"/>
      <c r="N2056" s="67"/>
      <c r="O2056" s="64"/>
      <c r="P2056" s="72" t="str">
        <f aca="false">IF(OR(B2056="",C2056=""),"",C2056&amp;"|"&amp;(YEAR(B2056)*100+MONTH(B2056)))</f>
        <v/>
      </c>
      <c r="Q2056" s="70" t="str">
        <f aca="false">IF(P2056="","",IF(COUNTIF(N_CLAVE,P2056)&gt;1,"⚠ Duplicado","OK"))</f>
        <v/>
      </c>
      <c r="R2056" s="74" t="str">
        <f aca="false">IF(OR(P2056="",U2056=""),"",MAX(0,U2056-N(E2056)-N(F2056)-N(H2056)))</f>
        <v/>
      </c>
      <c r="S2056" s="75" t="str">
        <f aca="false">IF(P2056="","",IFERROR(INDEX(T_INGRESO,MATCH(C2056,T_ID,0)),""))</f>
        <v/>
      </c>
      <c r="T2056" s="75" t="str">
        <f aca="false">IF(P2056="","",IFERROR(N(INDEX(T_EGRESO,MATCH(C2056,T_ID,0))),0))</f>
        <v/>
      </c>
      <c r="U2056" s="73" t="str">
        <f aca="false">IF(OR(P2056="",NOT(ISNUMBER(S2056))),"",IF(OR(S2056&gt;EOMONTH(B2056,0),AND(T2056&gt;0,T2056&lt;B2056)),0,IF(AND(S2056&lt;=B2056,OR(T2056=0,T2056&gt;=EOMONTH(B2056,0))),30,MIN(30,IF(T2056=0,EOMONTH(B2056,0),MIN(T2056,EOMONTH(B2056,0)))-MAX(B2056,S2056)+1))))</f>
        <v/>
      </c>
    </row>
    <row r="2057" customFormat="false" ht="15" hidden="false" customHeight="false" outlineLevel="0" collapsed="false">
      <c r="B2057" s="78"/>
      <c r="C2057" s="64"/>
      <c r="D2057" s="70" t="str">
        <f aca="false">IF(C2057="","",IFERROR(INDEX(T_NOMBRE,MATCH(C2057,T_ID,0)),"⚠ ID no existe"))</f>
        <v/>
      </c>
      <c r="E2057" s="69"/>
      <c r="F2057" s="69"/>
      <c r="G2057" s="69"/>
      <c r="H2057" s="69"/>
      <c r="I2057" s="66"/>
      <c r="J2057" s="69"/>
      <c r="K2057" s="67"/>
      <c r="L2057" s="67"/>
      <c r="M2057" s="67"/>
      <c r="N2057" s="67"/>
      <c r="O2057" s="64"/>
      <c r="P2057" s="72" t="str">
        <f aca="false">IF(OR(B2057="",C2057=""),"",C2057&amp;"|"&amp;(YEAR(B2057)*100+MONTH(B2057)))</f>
        <v/>
      </c>
      <c r="Q2057" s="70" t="str">
        <f aca="false">IF(P2057="","",IF(COUNTIF(N_CLAVE,P2057)&gt;1,"⚠ Duplicado","OK"))</f>
        <v/>
      </c>
      <c r="R2057" s="74" t="str">
        <f aca="false">IF(OR(P2057="",U2057=""),"",MAX(0,U2057-N(E2057)-N(F2057)-N(H2057)))</f>
        <v/>
      </c>
      <c r="S2057" s="75" t="str">
        <f aca="false">IF(P2057="","",IFERROR(INDEX(T_INGRESO,MATCH(C2057,T_ID,0)),""))</f>
        <v/>
      </c>
      <c r="T2057" s="75" t="str">
        <f aca="false">IF(P2057="","",IFERROR(N(INDEX(T_EGRESO,MATCH(C2057,T_ID,0))),0))</f>
        <v/>
      </c>
      <c r="U2057" s="73" t="str">
        <f aca="false">IF(OR(P2057="",NOT(ISNUMBER(S2057))),"",IF(OR(S2057&gt;EOMONTH(B2057,0),AND(T2057&gt;0,T2057&lt;B2057)),0,IF(AND(S2057&lt;=B2057,OR(T2057=0,T2057&gt;=EOMONTH(B2057,0))),30,MIN(30,IF(T2057=0,EOMONTH(B2057,0),MIN(T2057,EOMONTH(B2057,0)))-MAX(B2057,S2057)+1))))</f>
        <v/>
      </c>
    </row>
    <row r="2058" customFormat="false" ht="15" hidden="false" customHeight="false" outlineLevel="0" collapsed="false">
      <c r="B2058" s="78"/>
      <c r="C2058" s="64"/>
      <c r="D2058" s="70" t="str">
        <f aca="false">IF(C2058="","",IFERROR(INDEX(T_NOMBRE,MATCH(C2058,T_ID,0)),"⚠ ID no existe"))</f>
        <v/>
      </c>
      <c r="E2058" s="69"/>
      <c r="F2058" s="69"/>
      <c r="G2058" s="69"/>
      <c r="H2058" s="69"/>
      <c r="I2058" s="66"/>
      <c r="J2058" s="69"/>
      <c r="K2058" s="67"/>
      <c r="L2058" s="67"/>
      <c r="M2058" s="67"/>
      <c r="N2058" s="67"/>
      <c r="O2058" s="64"/>
      <c r="P2058" s="72" t="str">
        <f aca="false">IF(OR(B2058="",C2058=""),"",C2058&amp;"|"&amp;(YEAR(B2058)*100+MONTH(B2058)))</f>
        <v/>
      </c>
      <c r="Q2058" s="70" t="str">
        <f aca="false">IF(P2058="","",IF(COUNTIF(N_CLAVE,P2058)&gt;1,"⚠ Duplicado","OK"))</f>
        <v/>
      </c>
      <c r="R2058" s="74" t="str">
        <f aca="false">IF(OR(P2058="",U2058=""),"",MAX(0,U2058-N(E2058)-N(F2058)-N(H2058)))</f>
        <v/>
      </c>
      <c r="S2058" s="75" t="str">
        <f aca="false">IF(P2058="","",IFERROR(INDEX(T_INGRESO,MATCH(C2058,T_ID,0)),""))</f>
        <v/>
      </c>
      <c r="T2058" s="75" t="str">
        <f aca="false">IF(P2058="","",IFERROR(N(INDEX(T_EGRESO,MATCH(C2058,T_ID,0))),0))</f>
        <v/>
      </c>
      <c r="U2058" s="73" t="str">
        <f aca="false">IF(OR(P2058="",NOT(ISNUMBER(S2058))),"",IF(OR(S2058&gt;EOMONTH(B2058,0),AND(T2058&gt;0,T2058&lt;B2058)),0,IF(AND(S2058&lt;=B2058,OR(T2058=0,T2058&gt;=EOMONTH(B2058,0))),30,MIN(30,IF(T2058=0,EOMONTH(B2058,0),MIN(T2058,EOMONTH(B2058,0)))-MAX(B2058,S2058)+1))))</f>
        <v/>
      </c>
    </row>
    <row r="2059" customFormat="false" ht="15" hidden="false" customHeight="false" outlineLevel="0" collapsed="false">
      <c r="B2059" s="78"/>
      <c r="C2059" s="64"/>
      <c r="D2059" s="70" t="str">
        <f aca="false">IF(C2059="","",IFERROR(INDEX(T_NOMBRE,MATCH(C2059,T_ID,0)),"⚠ ID no existe"))</f>
        <v/>
      </c>
      <c r="E2059" s="69"/>
      <c r="F2059" s="69"/>
      <c r="G2059" s="69"/>
      <c r="H2059" s="69"/>
      <c r="I2059" s="66"/>
      <c r="J2059" s="69"/>
      <c r="K2059" s="67"/>
      <c r="L2059" s="67"/>
      <c r="M2059" s="67"/>
      <c r="N2059" s="67"/>
      <c r="O2059" s="64"/>
      <c r="P2059" s="72" t="str">
        <f aca="false">IF(OR(B2059="",C2059=""),"",C2059&amp;"|"&amp;(YEAR(B2059)*100+MONTH(B2059)))</f>
        <v/>
      </c>
      <c r="Q2059" s="70" t="str">
        <f aca="false">IF(P2059="","",IF(COUNTIF(N_CLAVE,P2059)&gt;1,"⚠ Duplicado","OK"))</f>
        <v/>
      </c>
      <c r="R2059" s="74" t="str">
        <f aca="false">IF(OR(P2059="",U2059=""),"",MAX(0,U2059-N(E2059)-N(F2059)-N(H2059)))</f>
        <v/>
      </c>
      <c r="S2059" s="75" t="str">
        <f aca="false">IF(P2059="","",IFERROR(INDEX(T_INGRESO,MATCH(C2059,T_ID,0)),""))</f>
        <v/>
      </c>
      <c r="T2059" s="75" t="str">
        <f aca="false">IF(P2059="","",IFERROR(N(INDEX(T_EGRESO,MATCH(C2059,T_ID,0))),0))</f>
        <v/>
      </c>
      <c r="U2059" s="73" t="str">
        <f aca="false">IF(OR(P2059="",NOT(ISNUMBER(S2059))),"",IF(OR(S2059&gt;EOMONTH(B2059,0),AND(T2059&gt;0,T2059&lt;B2059)),0,IF(AND(S2059&lt;=B2059,OR(T2059=0,T2059&gt;=EOMONTH(B2059,0))),30,MIN(30,IF(T2059=0,EOMONTH(B2059,0),MIN(T2059,EOMONTH(B2059,0)))-MAX(B2059,S2059)+1))))</f>
        <v/>
      </c>
    </row>
    <row r="2060" customFormat="false" ht="15" hidden="false" customHeight="false" outlineLevel="0" collapsed="false">
      <c r="B2060" s="78"/>
      <c r="C2060" s="64"/>
      <c r="D2060" s="70" t="str">
        <f aca="false">IF(C2060="","",IFERROR(INDEX(T_NOMBRE,MATCH(C2060,T_ID,0)),"⚠ ID no existe"))</f>
        <v/>
      </c>
      <c r="E2060" s="69"/>
      <c r="F2060" s="69"/>
      <c r="G2060" s="69"/>
      <c r="H2060" s="69"/>
      <c r="I2060" s="66"/>
      <c r="J2060" s="69"/>
      <c r="K2060" s="67"/>
      <c r="L2060" s="67"/>
      <c r="M2060" s="67"/>
      <c r="N2060" s="67"/>
      <c r="O2060" s="64"/>
      <c r="P2060" s="72" t="str">
        <f aca="false">IF(OR(B2060="",C2060=""),"",C2060&amp;"|"&amp;(YEAR(B2060)*100+MONTH(B2060)))</f>
        <v/>
      </c>
      <c r="Q2060" s="70" t="str">
        <f aca="false">IF(P2060="","",IF(COUNTIF(N_CLAVE,P2060)&gt;1,"⚠ Duplicado","OK"))</f>
        <v/>
      </c>
      <c r="R2060" s="74" t="str">
        <f aca="false">IF(OR(P2060="",U2060=""),"",MAX(0,U2060-N(E2060)-N(F2060)-N(H2060)))</f>
        <v/>
      </c>
      <c r="S2060" s="75" t="str">
        <f aca="false">IF(P2060="","",IFERROR(INDEX(T_INGRESO,MATCH(C2060,T_ID,0)),""))</f>
        <v/>
      </c>
      <c r="T2060" s="75" t="str">
        <f aca="false">IF(P2060="","",IFERROR(N(INDEX(T_EGRESO,MATCH(C2060,T_ID,0))),0))</f>
        <v/>
      </c>
      <c r="U2060" s="73" t="str">
        <f aca="false">IF(OR(P2060="",NOT(ISNUMBER(S2060))),"",IF(OR(S2060&gt;EOMONTH(B2060,0),AND(T2060&gt;0,T2060&lt;B2060)),0,IF(AND(S2060&lt;=B2060,OR(T2060=0,T2060&gt;=EOMONTH(B2060,0))),30,MIN(30,IF(T2060=0,EOMONTH(B2060,0),MIN(T2060,EOMONTH(B2060,0)))-MAX(B2060,S2060)+1))))</f>
        <v/>
      </c>
    </row>
    <row r="2061" customFormat="false" ht="15" hidden="false" customHeight="false" outlineLevel="0" collapsed="false">
      <c r="B2061" s="78"/>
      <c r="C2061" s="64"/>
      <c r="D2061" s="70" t="str">
        <f aca="false">IF(C2061="","",IFERROR(INDEX(T_NOMBRE,MATCH(C2061,T_ID,0)),"⚠ ID no existe"))</f>
        <v/>
      </c>
      <c r="E2061" s="69"/>
      <c r="F2061" s="69"/>
      <c r="G2061" s="69"/>
      <c r="H2061" s="69"/>
      <c r="I2061" s="66"/>
      <c r="J2061" s="69"/>
      <c r="K2061" s="67"/>
      <c r="L2061" s="67"/>
      <c r="M2061" s="67"/>
      <c r="N2061" s="67"/>
      <c r="O2061" s="64"/>
      <c r="P2061" s="72" t="str">
        <f aca="false">IF(OR(B2061="",C2061=""),"",C2061&amp;"|"&amp;(YEAR(B2061)*100+MONTH(B2061)))</f>
        <v/>
      </c>
      <c r="Q2061" s="70" t="str">
        <f aca="false">IF(P2061="","",IF(COUNTIF(N_CLAVE,P2061)&gt;1,"⚠ Duplicado","OK"))</f>
        <v/>
      </c>
      <c r="R2061" s="74" t="str">
        <f aca="false">IF(OR(P2061="",U2061=""),"",MAX(0,U2061-N(E2061)-N(F2061)-N(H2061)))</f>
        <v/>
      </c>
      <c r="S2061" s="75" t="str">
        <f aca="false">IF(P2061="","",IFERROR(INDEX(T_INGRESO,MATCH(C2061,T_ID,0)),""))</f>
        <v/>
      </c>
      <c r="T2061" s="75" t="str">
        <f aca="false">IF(P2061="","",IFERROR(N(INDEX(T_EGRESO,MATCH(C2061,T_ID,0))),0))</f>
        <v/>
      </c>
      <c r="U2061" s="73" t="str">
        <f aca="false">IF(OR(P2061="",NOT(ISNUMBER(S2061))),"",IF(OR(S2061&gt;EOMONTH(B2061,0),AND(T2061&gt;0,T2061&lt;B2061)),0,IF(AND(S2061&lt;=B2061,OR(T2061=0,T2061&gt;=EOMONTH(B2061,0))),30,MIN(30,IF(T2061=0,EOMONTH(B2061,0),MIN(T2061,EOMONTH(B2061,0)))-MAX(B2061,S2061)+1))))</f>
        <v/>
      </c>
    </row>
    <row r="2062" customFormat="false" ht="15" hidden="false" customHeight="false" outlineLevel="0" collapsed="false">
      <c r="B2062" s="78"/>
      <c r="C2062" s="64"/>
      <c r="D2062" s="70" t="str">
        <f aca="false">IF(C2062="","",IFERROR(INDEX(T_NOMBRE,MATCH(C2062,T_ID,0)),"⚠ ID no existe"))</f>
        <v/>
      </c>
      <c r="E2062" s="69"/>
      <c r="F2062" s="69"/>
      <c r="G2062" s="69"/>
      <c r="H2062" s="69"/>
      <c r="I2062" s="66"/>
      <c r="J2062" s="69"/>
      <c r="K2062" s="67"/>
      <c r="L2062" s="67"/>
      <c r="M2062" s="67"/>
      <c r="N2062" s="67"/>
      <c r="O2062" s="64"/>
      <c r="P2062" s="72" t="str">
        <f aca="false">IF(OR(B2062="",C2062=""),"",C2062&amp;"|"&amp;(YEAR(B2062)*100+MONTH(B2062)))</f>
        <v/>
      </c>
      <c r="Q2062" s="70" t="str">
        <f aca="false">IF(P2062="","",IF(COUNTIF(N_CLAVE,P2062)&gt;1,"⚠ Duplicado","OK"))</f>
        <v/>
      </c>
      <c r="R2062" s="74" t="str">
        <f aca="false">IF(OR(P2062="",U2062=""),"",MAX(0,U2062-N(E2062)-N(F2062)-N(H2062)))</f>
        <v/>
      </c>
      <c r="S2062" s="75" t="str">
        <f aca="false">IF(P2062="","",IFERROR(INDEX(T_INGRESO,MATCH(C2062,T_ID,0)),""))</f>
        <v/>
      </c>
      <c r="T2062" s="75" t="str">
        <f aca="false">IF(P2062="","",IFERROR(N(INDEX(T_EGRESO,MATCH(C2062,T_ID,0))),0))</f>
        <v/>
      </c>
      <c r="U2062" s="73" t="str">
        <f aca="false">IF(OR(P2062="",NOT(ISNUMBER(S2062))),"",IF(OR(S2062&gt;EOMONTH(B2062,0),AND(T2062&gt;0,T2062&lt;B2062)),0,IF(AND(S2062&lt;=B2062,OR(T2062=0,T2062&gt;=EOMONTH(B2062,0))),30,MIN(30,IF(T2062=0,EOMONTH(B2062,0),MIN(T2062,EOMONTH(B2062,0)))-MAX(B2062,S2062)+1))))</f>
        <v/>
      </c>
    </row>
    <row r="2063" customFormat="false" ht="15" hidden="false" customHeight="false" outlineLevel="0" collapsed="false">
      <c r="B2063" s="78"/>
      <c r="C2063" s="64"/>
      <c r="D2063" s="70" t="str">
        <f aca="false">IF(C2063="","",IFERROR(INDEX(T_NOMBRE,MATCH(C2063,T_ID,0)),"⚠ ID no existe"))</f>
        <v/>
      </c>
      <c r="E2063" s="69"/>
      <c r="F2063" s="69"/>
      <c r="G2063" s="69"/>
      <c r="H2063" s="69"/>
      <c r="I2063" s="66"/>
      <c r="J2063" s="69"/>
      <c r="K2063" s="67"/>
      <c r="L2063" s="67"/>
      <c r="M2063" s="67"/>
      <c r="N2063" s="67"/>
      <c r="O2063" s="64"/>
      <c r="P2063" s="72" t="str">
        <f aca="false">IF(OR(B2063="",C2063=""),"",C2063&amp;"|"&amp;(YEAR(B2063)*100+MONTH(B2063)))</f>
        <v/>
      </c>
      <c r="Q2063" s="70" t="str">
        <f aca="false">IF(P2063="","",IF(COUNTIF(N_CLAVE,P2063)&gt;1,"⚠ Duplicado","OK"))</f>
        <v/>
      </c>
      <c r="R2063" s="74" t="str">
        <f aca="false">IF(OR(P2063="",U2063=""),"",MAX(0,U2063-N(E2063)-N(F2063)-N(H2063)))</f>
        <v/>
      </c>
      <c r="S2063" s="75" t="str">
        <f aca="false">IF(P2063="","",IFERROR(INDEX(T_INGRESO,MATCH(C2063,T_ID,0)),""))</f>
        <v/>
      </c>
      <c r="T2063" s="75" t="str">
        <f aca="false">IF(P2063="","",IFERROR(N(INDEX(T_EGRESO,MATCH(C2063,T_ID,0))),0))</f>
        <v/>
      </c>
      <c r="U2063" s="73" t="str">
        <f aca="false">IF(OR(P2063="",NOT(ISNUMBER(S2063))),"",IF(OR(S2063&gt;EOMONTH(B2063,0),AND(T2063&gt;0,T2063&lt;B2063)),0,IF(AND(S2063&lt;=B2063,OR(T2063=0,T2063&gt;=EOMONTH(B2063,0))),30,MIN(30,IF(T2063=0,EOMONTH(B2063,0),MIN(T2063,EOMONTH(B2063,0)))-MAX(B2063,S2063)+1))))</f>
        <v/>
      </c>
    </row>
    <row r="2064" customFormat="false" ht="15" hidden="false" customHeight="false" outlineLevel="0" collapsed="false">
      <c r="B2064" s="78"/>
      <c r="C2064" s="64"/>
      <c r="D2064" s="70" t="str">
        <f aca="false">IF(C2064="","",IFERROR(INDEX(T_NOMBRE,MATCH(C2064,T_ID,0)),"⚠ ID no existe"))</f>
        <v/>
      </c>
      <c r="E2064" s="69"/>
      <c r="F2064" s="69"/>
      <c r="G2064" s="69"/>
      <c r="H2064" s="69"/>
      <c r="I2064" s="66"/>
      <c r="J2064" s="69"/>
      <c r="K2064" s="67"/>
      <c r="L2064" s="67"/>
      <c r="M2064" s="67"/>
      <c r="N2064" s="67"/>
      <c r="O2064" s="64"/>
      <c r="P2064" s="72" t="str">
        <f aca="false">IF(OR(B2064="",C2064=""),"",C2064&amp;"|"&amp;(YEAR(B2064)*100+MONTH(B2064)))</f>
        <v/>
      </c>
      <c r="Q2064" s="70" t="str">
        <f aca="false">IF(P2064="","",IF(COUNTIF(N_CLAVE,P2064)&gt;1,"⚠ Duplicado","OK"))</f>
        <v/>
      </c>
      <c r="R2064" s="74" t="str">
        <f aca="false">IF(OR(P2064="",U2064=""),"",MAX(0,U2064-N(E2064)-N(F2064)-N(H2064)))</f>
        <v/>
      </c>
      <c r="S2064" s="75" t="str">
        <f aca="false">IF(P2064="","",IFERROR(INDEX(T_INGRESO,MATCH(C2064,T_ID,0)),""))</f>
        <v/>
      </c>
      <c r="T2064" s="75" t="str">
        <f aca="false">IF(P2064="","",IFERROR(N(INDEX(T_EGRESO,MATCH(C2064,T_ID,0))),0))</f>
        <v/>
      </c>
      <c r="U2064" s="73" t="str">
        <f aca="false">IF(OR(P2064="",NOT(ISNUMBER(S2064))),"",IF(OR(S2064&gt;EOMONTH(B2064,0),AND(T2064&gt;0,T2064&lt;B2064)),0,IF(AND(S2064&lt;=B2064,OR(T2064=0,T2064&gt;=EOMONTH(B2064,0))),30,MIN(30,IF(T2064=0,EOMONTH(B2064,0),MIN(T2064,EOMONTH(B2064,0)))-MAX(B2064,S2064)+1))))</f>
        <v/>
      </c>
    </row>
    <row r="2065" customFormat="false" ht="15" hidden="false" customHeight="false" outlineLevel="0" collapsed="false">
      <c r="B2065" s="78"/>
      <c r="C2065" s="64"/>
      <c r="D2065" s="70" t="str">
        <f aca="false">IF(C2065="","",IFERROR(INDEX(T_NOMBRE,MATCH(C2065,T_ID,0)),"⚠ ID no existe"))</f>
        <v/>
      </c>
      <c r="E2065" s="69"/>
      <c r="F2065" s="69"/>
      <c r="G2065" s="69"/>
      <c r="H2065" s="69"/>
      <c r="I2065" s="66"/>
      <c r="J2065" s="69"/>
      <c r="K2065" s="67"/>
      <c r="L2065" s="67"/>
      <c r="M2065" s="67"/>
      <c r="N2065" s="67"/>
      <c r="O2065" s="64"/>
      <c r="P2065" s="72" t="str">
        <f aca="false">IF(OR(B2065="",C2065=""),"",C2065&amp;"|"&amp;(YEAR(B2065)*100+MONTH(B2065)))</f>
        <v/>
      </c>
      <c r="Q2065" s="70" t="str">
        <f aca="false">IF(P2065="","",IF(COUNTIF(N_CLAVE,P2065)&gt;1,"⚠ Duplicado","OK"))</f>
        <v/>
      </c>
      <c r="R2065" s="74" t="str">
        <f aca="false">IF(OR(P2065="",U2065=""),"",MAX(0,U2065-N(E2065)-N(F2065)-N(H2065)))</f>
        <v/>
      </c>
      <c r="S2065" s="75" t="str">
        <f aca="false">IF(P2065="","",IFERROR(INDEX(T_INGRESO,MATCH(C2065,T_ID,0)),""))</f>
        <v/>
      </c>
      <c r="T2065" s="75" t="str">
        <f aca="false">IF(P2065="","",IFERROR(N(INDEX(T_EGRESO,MATCH(C2065,T_ID,0))),0))</f>
        <v/>
      </c>
      <c r="U2065" s="73" t="str">
        <f aca="false">IF(OR(P2065="",NOT(ISNUMBER(S2065))),"",IF(OR(S2065&gt;EOMONTH(B2065,0),AND(T2065&gt;0,T2065&lt;B2065)),0,IF(AND(S2065&lt;=B2065,OR(T2065=0,T2065&gt;=EOMONTH(B2065,0))),30,MIN(30,IF(T2065=0,EOMONTH(B2065,0),MIN(T2065,EOMONTH(B2065,0)))-MAX(B2065,S2065)+1))))</f>
        <v/>
      </c>
    </row>
    <row r="2066" customFormat="false" ht="15" hidden="false" customHeight="false" outlineLevel="0" collapsed="false">
      <c r="B2066" s="78"/>
      <c r="C2066" s="64"/>
      <c r="D2066" s="70" t="str">
        <f aca="false">IF(C2066="","",IFERROR(INDEX(T_NOMBRE,MATCH(C2066,T_ID,0)),"⚠ ID no existe"))</f>
        <v/>
      </c>
      <c r="E2066" s="69"/>
      <c r="F2066" s="69"/>
      <c r="G2066" s="69"/>
      <c r="H2066" s="69"/>
      <c r="I2066" s="66"/>
      <c r="J2066" s="69"/>
      <c r="K2066" s="67"/>
      <c r="L2066" s="67"/>
      <c r="M2066" s="67"/>
      <c r="N2066" s="67"/>
      <c r="O2066" s="64"/>
      <c r="P2066" s="72" t="str">
        <f aca="false">IF(OR(B2066="",C2066=""),"",C2066&amp;"|"&amp;(YEAR(B2066)*100+MONTH(B2066)))</f>
        <v/>
      </c>
      <c r="Q2066" s="70" t="str">
        <f aca="false">IF(P2066="","",IF(COUNTIF(N_CLAVE,P2066)&gt;1,"⚠ Duplicado","OK"))</f>
        <v/>
      </c>
      <c r="R2066" s="74" t="str">
        <f aca="false">IF(OR(P2066="",U2066=""),"",MAX(0,U2066-N(E2066)-N(F2066)-N(H2066)))</f>
        <v/>
      </c>
      <c r="S2066" s="75" t="str">
        <f aca="false">IF(P2066="","",IFERROR(INDEX(T_INGRESO,MATCH(C2066,T_ID,0)),""))</f>
        <v/>
      </c>
      <c r="T2066" s="75" t="str">
        <f aca="false">IF(P2066="","",IFERROR(N(INDEX(T_EGRESO,MATCH(C2066,T_ID,0))),0))</f>
        <v/>
      </c>
      <c r="U2066" s="73" t="str">
        <f aca="false">IF(OR(P2066="",NOT(ISNUMBER(S2066))),"",IF(OR(S2066&gt;EOMONTH(B2066,0),AND(T2066&gt;0,T2066&lt;B2066)),0,IF(AND(S2066&lt;=B2066,OR(T2066=0,T2066&gt;=EOMONTH(B2066,0))),30,MIN(30,IF(T2066=0,EOMONTH(B2066,0),MIN(T2066,EOMONTH(B2066,0)))-MAX(B2066,S2066)+1))))</f>
        <v/>
      </c>
    </row>
    <row r="2067" customFormat="false" ht="15" hidden="false" customHeight="false" outlineLevel="0" collapsed="false">
      <c r="B2067" s="78"/>
      <c r="C2067" s="64"/>
      <c r="D2067" s="70" t="str">
        <f aca="false">IF(C2067="","",IFERROR(INDEX(T_NOMBRE,MATCH(C2067,T_ID,0)),"⚠ ID no existe"))</f>
        <v/>
      </c>
      <c r="E2067" s="69"/>
      <c r="F2067" s="69"/>
      <c r="G2067" s="69"/>
      <c r="H2067" s="69"/>
      <c r="I2067" s="66"/>
      <c r="J2067" s="69"/>
      <c r="K2067" s="67"/>
      <c r="L2067" s="67"/>
      <c r="M2067" s="67"/>
      <c r="N2067" s="67"/>
      <c r="O2067" s="64"/>
      <c r="P2067" s="72" t="str">
        <f aca="false">IF(OR(B2067="",C2067=""),"",C2067&amp;"|"&amp;(YEAR(B2067)*100+MONTH(B2067)))</f>
        <v/>
      </c>
      <c r="Q2067" s="70" t="str">
        <f aca="false">IF(P2067="","",IF(COUNTIF(N_CLAVE,P2067)&gt;1,"⚠ Duplicado","OK"))</f>
        <v/>
      </c>
      <c r="R2067" s="74" t="str">
        <f aca="false">IF(OR(P2067="",U2067=""),"",MAX(0,U2067-N(E2067)-N(F2067)-N(H2067)))</f>
        <v/>
      </c>
      <c r="S2067" s="75" t="str">
        <f aca="false">IF(P2067="","",IFERROR(INDEX(T_INGRESO,MATCH(C2067,T_ID,0)),""))</f>
        <v/>
      </c>
      <c r="T2067" s="75" t="str">
        <f aca="false">IF(P2067="","",IFERROR(N(INDEX(T_EGRESO,MATCH(C2067,T_ID,0))),0))</f>
        <v/>
      </c>
      <c r="U2067" s="73" t="str">
        <f aca="false">IF(OR(P2067="",NOT(ISNUMBER(S2067))),"",IF(OR(S2067&gt;EOMONTH(B2067,0),AND(T2067&gt;0,T2067&lt;B2067)),0,IF(AND(S2067&lt;=B2067,OR(T2067=0,T2067&gt;=EOMONTH(B2067,0))),30,MIN(30,IF(T2067=0,EOMONTH(B2067,0),MIN(T2067,EOMONTH(B2067,0)))-MAX(B2067,S2067)+1))))</f>
        <v/>
      </c>
    </row>
    <row r="2068" customFormat="false" ht="15" hidden="false" customHeight="false" outlineLevel="0" collapsed="false">
      <c r="B2068" s="78"/>
      <c r="C2068" s="64"/>
      <c r="D2068" s="70" t="str">
        <f aca="false">IF(C2068="","",IFERROR(INDEX(T_NOMBRE,MATCH(C2068,T_ID,0)),"⚠ ID no existe"))</f>
        <v/>
      </c>
      <c r="E2068" s="69"/>
      <c r="F2068" s="69"/>
      <c r="G2068" s="69"/>
      <c r="H2068" s="69"/>
      <c r="I2068" s="66"/>
      <c r="J2068" s="69"/>
      <c r="K2068" s="67"/>
      <c r="L2068" s="67"/>
      <c r="M2068" s="67"/>
      <c r="N2068" s="67"/>
      <c r="O2068" s="64"/>
      <c r="P2068" s="72" t="str">
        <f aca="false">IF(OR(B2068="",C2068=""),"",C2068&amp;"|"&amp;(YEAR(B2068)*100+MONTH(B2068)))</f>
        <v/>
      </c>
      <c r="Q2068" s="70" t="str">
        <f aca="false">IF(P2068="","",IF(COUNTIF(N_CLAVE,P2068)&gt;1,"⚠ Duplicado","OK"))</f>
        <v/>
      </c>
      <c r="R2068" s="74" t="str">
        <f aca="false">IF(OR(P2068="",U2068=""),"",MAX(0,U2068-N(E2068)-N(F2068)-N(H2068)))</f>
        <v/>
      </c>
      <c r="S2068" s="75" t="str">
        <f aca="false">IF(P2068="","",IFERROR(INDEX(T_INGRESO,MATCH(C2068,T_ID,0)),""))</f>
        <v/>
      </c>
      <c r="T2068" s="75" t="str">
        <f aca="false">IF(P2068="","",IFERROR(N(INDEX(T_EGRESO,MATCH(C2068,T_ID,0))),0))</f>
        <v/>
      </c>
      <c r="U2068" s="73" t="str">
        <f aca="false">IF(OR(P2068="",NOT(ISNUMBER(S2068))),"",IF(OR(S2068&gt;EOMONTH(B2068,0),AND(T2068&gt;0,T2068&lt;B2068)),0,IF(AND(S2068&lt;=B2068,OR(T2068=0,T2068&gt;=EOMONTH(B2068,0))),30,MIN(30,IF(T2068=0,EOMONTH(B2068,0),MIN(T2068,EOMONTH(B2068,0)))-MAX(B2068,S2068)+1))))</f>
        <v/>
      </c>
    </row>
    <row r="2069" customFormat="false" ht="15" hidden="false" customHeight="false" outlineLevel="0" collapsed="false">
      <c r="B2069" s="78"/>
      <c r="C2069" s="64"/>
      <c r="D2069" s="70" t="str">
        <f aca="false">IF(C2069="","",IFERROR(INDEX(T_NOMBRE,MATCH(C2069,T_ID,0)),"⚠ ID no existe"))</f>
        <v/>
      </c>
      <c r="E2069" s="69"/>
      <c r="F2069" s="69"/>
      <c r="G2069" s="69"/>
      <c r="H2069" s="69"/>
      <c r="I2069" s="66"/>
      <c r="J2069" s="69"/>
      <c r="K2069" s="67"/>
      <c r="L2069" s="67"/>
      <c r="M2069" s="67"/>
      <c r="N2069" s="67"/>
      <c r="O2069" s="64"/>
      <c r="P2069" s="72" t="str">
        <f aca="false">IF(OR(B2069="",C2069=""),"",C2069&amp;"|"&amp;(YEAR(B2069)*100+MONTH(B2069)))</f>
        <v/>
      </c>
      <c r="Q2069" s="70" t="str">
        <f aca="false">IF(P2069="","",IF(COUNTIF(N_CLAVE,P2069)&gt;1,"⚠ Duplicado","OK"))</f>
        <v/>
      </c>
      <c r="R2069" s="74" t="str">
        <f aca="false">IF(OR(P2069="",U2069=""),"",MAX(0,U2069-N(E2069)-N(F2069)-N(H2069)))</f>
        <v/>
      </c>
      <c r="S2069" s="75" t="str">
        <f aca="false">IF(P2069="","",IFERROR(INDEX(T_INGRESO,MATCH(C2069,T_ID,0)),""))</f>
        <v/>
      </c>
      <c r="T2069" s="75" t="str">
        <f aca="false">IF(P2069="","",IFERROR(N(INDEX(T_EGRESO,MATCH(C2069,T_ID,0))),0))</f>
        <v/>
      </c>
      <c r="U2069" s="73" t="str">
        <f aca="false">IF(OR(P2069="",NOT(ISNUMBER(S2069))),"",IF(OR(S2069&gt;EOMONTH(B2069,0),AND(T2069&gt;0,T2069&lt;B2069)),0,IF(AND(S2069&lt;=B2069,OR(T2069=0,T2069&gt;=EOMONTH(B2069,0))),30,MIN(30,IF(T2069=0,EOMONTH(B2069,0),MIN(T2069,EOMONTH(B2069,0)))-MAX(B2069,S2069)+1))))</f>
        <v/>
      </c>
    </row>
    <row r="2070" customFormat="false" ht="15" hidden="false" customHeight="false" outlineLevel="0" collapsed="false">
      <c r="B2070" s="78"/>
      <c r="C2070" s="64"/>
      <c r="D2070" s="70" t="str">
        <f aca="false">IF(C2070="","",IFERROR(INDEX(T_NOMBRE,MATCH(C2070,T_ID,0)),"⚠ ID no existe"))</f>
        <v/>
      </c>
      <c r="E2070" s="69"/>
      <c r="F2070" s="69"/>
      <c r="G2070" s="69"/>
      <c r="H2070" s="69"/>
      <c r="I2070" s="66"/>
      <c r="J2070" s="69"/>
      <c r="K2070" s="67"/>
      <c r="L2070" s="67"/>
      <c r="M2070" s="67"/>
      <c r="N2070" s="67"/>
      <c r="O2070" s="64"/>
      <c r="P2070" s="72" t="str">
        <f aca="false">IF(OR(B2070="",C2070=""),"",C2070&amp;"|"&amp;(YEAR(B2070)*100+MONTH(B2070)))</f>
        <v/>
      </c>
      <c r="Q2070" s="70" t="str">
        <f aca="false">IF(P2070="","",IF(COUNTIF(N_CLAVE,P2070)&gt;1,"⚠ Duplicado","OK"))</f>
        <v/>
      </c>
      <c r="R2070" s="74" t="str">
        <f aca="false">IF(OR(P2070="",U2070=""),"",MAX(0,U2070-N(E2070)-N(F2070)-N(H2070)))</f>
        <v/>
      </c>
      <c r="S2070" s="75" t="str">
        <f aca="false">IF(P2070="","",IFERROR(INDEX(T_INGRESO,MATCH(C2070,T_ID,0)),""))</f>
        <v/>
      </c>
      <c r="T2070" s="75" t="str">
        <f aca="false">IF(P2070="","",IFERROR(N(INDEX(T_EGRESO,MATCH(C2070,T_ID,0))),0))</f>
        <v/>
      </c>
      <c r="U2070" s="73" t="str">
        <f aca="false">IF(OR(P2070="",NOT(ISNUMBER(S2070))),"",IF(OR(S2070&gt;EOMONTH(B2070,0),AND(T2070&gt;0,T2070&lt;B2070)),0,IF(AND(S2070&lt;=B2070,OR(T2070=0,T2070&gt;=EOMONTH(B2070,0))),30,MIN(30,IF(T2070=0,EOMONTH(B2070,0),MIN(T2070,EOMONTH(B2070,0)))-MAX(B2070,S2070)+1))))</f>
        <v/>
      </c>
    </row>
    <row r="2071" customFormat="false" ht="15" hidden="false" customHeight="false" outlineLevel="0" collapsed="false">
      <c r="B2071" s="78"/>
      <c r="C2071" s="64"/>
      <c r="D2071" s="70" t="str">
        <f aca="false">IF(C2071="","",IFERROR(INDEX(T_NOMBRE,MATCH(C2071,T_ID,0)),"⚠ ID no existe"))</f>
        <v/>
      </c>
      <c r="E2071" s="69"/>
      <c r="F2071" s="69"/>
      <c r="G2071" s="69"/>
      <c r="H2071" s="69"/>
      <c r="I2071" s="66"/>
      <c r="J2071" s="69"/>
      <c r="K2071" s="67"/>
      <c r="L2071" s="67"/>
      <c r="M2071" s="67"/>
      <c r="N2071" s="67"/>
      <c r="O2071" s="64"/>
      <c r="P2071" s="72" t="str">
        <f aca="false">IF(OR(B2071="",C2071=""),"",C2071&amp;"|"&amp;(YEAR(B2071)*100+MONTH(B2071)))</f>
        <v/>
      </c>
      <c r="Q2071" s="70" t="str">
        <f aca="false">IF(P2071="","",IF(COUNTIF(N_CLAVE,P2071)&gt;1,"⚠ Duplicado","OK"))</f>
        <v/>
      </c>
      <c r="R2071" s="74" t="str">
        <f aca="false">IF(OR(P2071="",U2071=""),"",MAX(0,U2071-N(E2071)-N(F2071)-N(H2071)))</f>
        <v/>
      </c>
      <c r="S2071" s="75" t="str">
        <f aca="false">IF(P2071="","",IFERROR(INDEX(T_INGRESO,MATCH(C2071,T_ID,0)),""))</f>
        <v/>
      </c>
      <c r="T2071" s="75" t="str">
        <f aca="false">IF(P2071="","",IFERROR(N(INDEX(T_EGRESO,MATCH(C2071,T_ID,0))),0))</f>
        <v/>
      </c>
      <c r="U2071" s="73" t="str">
        <f aca="false">IF(OR(P2071="",NOT(ISNUMBER(S2071))),"",IF(OR(S2071&gt;EOMONTH(B2071,0),AND(T2071&gt;0,T2071&lt;B2071)),0,IF(AND(S2071&lt;=B2071,OR(T2071=0,T2071&gt;=EOMONTH(B2071,0))),30,MIN(30,IF(T2071=0,EOMONTH(B2071,0),MIN(T2071,EOMONTH(B2071,0)))-MAX(B2071,S2071)+1))))</f>
        <v/>
      </c>
    </row>
    <row r="2072" customFormat="false" ht="15" hidden="false" customHeight="false" outlineLevel="0" collapsed="false">
      <c r="B2072" s="78"/>
      <c r="C2072" s="64"/>
      <c r="D2072" s="70" t="str">
        <f aca="false">IF(C2072="","",IFERROR(INDEX(T_NOMBRE,MATCH(C2072,T_ID,0)),"⚠ ID no existe"))</f>
        <v/>
      </c>
      <c r="E2072" s="69"/>
      <c r="F2072" s="69"/>
      <c r="G2072" s="69"/>
      <c r="H2072" s="69"/>
      <c r="I2072" s="66"/>
      <c r="J2072" s="69"/>
      <c r="K2072" s="67"/>
      <c r="L2072" s="67"/>
      <c r="M2072" s="67"/>
      <c r="N2072" s="67"/>
      <c r="O2072" s="64"/>
      <c r="P2072" s="72" t="str">
        <f aca="false">IF(OR(B2072="",C2072=""),"",C2072&amp;"|"&amp;(YEAR(B2072)*100+MONTH(B2072)))</f>
        <v/>
      </c>
      <c r="Q2072" s="70" t="str">
        <f aca="false">IF(P2072="","",IF(COUNTIF(N_CLAVE,P2072)&gt;1,"⚠ Duplicado","OK"))</f>
        <v/>
      </c>
      <c r="R2072" s="74" t="str">
        <f aca="false">IF(OR(P2072="",U2072=""),"",MAX(0,U2072-N(E2072)-N(F2072)-N(H2072)))</f>
        <v/>
      </c>
      <c r="S2072" s="75" t="str">
        <f aca="false">IF(P2072="","",IFERROR(INDEX(T_INGRESO,MATCH(C2072,T_ID,0)),""))</f>
        <v/>
      </c>
      <c r="T2072" s="75" t="str">
        <f aca="false">IF(P2072="","",IFERROR(N(INDEX(T_EGRESO,MATCH(C2072,T_ID,0))),0))</f>
        <v/>
      </c>
      <c r="U2072" s="73" t="str">
        <f aca="false">IF(OR(P2072="",NOT(ISNUMBER(S2072))),"",IF(OR(S2072&gt;EOMONTH(B2072,0),AND(T2072&gt;0,T2072&lt;B2072)),0,IF(AND(S2072&lt;=B2072,OR(T2072=0,T2072&gt;=EOMONTH(B2072,0))),30,MIN(30,IF(T2072=0,EOMONTH(B2072,0),MIN(T2072,EOMONTH(B2072,0)))-MAX(B2072,S2072)+1))))</f>
        <v/>
      </c>
    </row>
    <row r="2073" customFormat="false" ht="15" hidden="false" customHeight="false" outlineLevel="0" collapsed="false">
      <c r="B2073" s="78"/>
      <c r="C2073" s="64"/>
      <c r="D2073" s="70" t="str">
        <f aca="false">IF(C2073="","",IFERROR(INDEX(T_NOMBRE,MATCH(C2073,T_ID,0)),"⚠ ID no existe"))</f>
        <v/>
      </c>
      <c r="E2073" s="69"/>
      <c r="F2073" s="69"/>
      <c r="G2073" s="69"/>
      <c r="H2073" s="69"/>
      <c r="I2073" s="66"/>
      <c r="J2073" s="69"/>
      <c r="K2073" s="67"/>
      <c r="L2073" s="67"/>
      <c r="M2073" s="67"/>
      <c r="N2073" s="67"/>
      <c r="O2073" s="64"/>
      <c r="P2073" s="72" t="str">
        <f aca="false">IF(OR(B2073="",C2073=""),"",C2073&amp;"|"&amp;(YEAR(B2073)*100+MONTH(B2073)))</f>
        <v/>
      </c>
      <c r="Q2073" s="70" t="str">
        <f aca="false">IF(P2073="","",IF(COUNTIF(N_CLAVE,P2073)&gt;1,"⚠ Duplicado","OK"))</f>
        <v/>
      </c>
      <c r="R2073" s="74" t="str">
        <f aca="false">IF(OR(P2073="",U2073=""),"",MAX(0,U2073-N(E2073)-N(F2073)-N(H2073)))</f>
        <v/>
      </c>
      <c r="S2073" s="75" t="str">
        <f aca="false">IF(P2073="","",IFERROR(INDEX(T_INGRESO,MATCH(C2073,T_ID,0)),""))</f>
        <v/>
      </c>
      <c r="T2073" s="75" t="str">
        <f aca="false">IF(P2073="","",IFERROR(N(INDEX(T_EGRESO,MATCH(C2073,T_ID,0))),0))</f>
        <v/>
      </c>
      <c r="U2073" s="73" t="str">
        <f aca="false">IF(OR(P2073="",NOT(ISNUMBER(S2073))),"",IF(OR(S2073&gt;EOMONTH(B2073,0),AND(T2073&gt;0,T2073&lt;B2073)),0,IF(AND(S2073&lt;=B2073,OR(T2073=0,T2073&gt;=EOMONTH(B2073,0))),30,MIN(30,IF(T2073=0,EOMONTH(B2073,0),MIN(T2073,EOMONTH(B2073,0)))-MAX(B2073,S2073)+1))))</f>
        <v/>
      </c>
    </row>
    <row r="2074" customFormat="false" ht="15" hidden="false" customHeight="false" outlineLevel="0" collapsed="false">
      <c r="B2074" s="78"/>
      <c r="C2074" s="64"/>
      <c r="D2074" s="70" t="str">
        <f aca="false">IF(C2074="","",IFERROR(INDEX(T_NOMBRE,MATCH(C2074,T_ID,0)),"⚠ ID no existe"))</f>
        <v/>
      </c>
      <c r="E2074" s="69"/>
      <c r="F2074" s="69"/>
      <c r="G2074" s="69"/>
      <c r="H2074" s="69"/>
      <c r="I2074" s="66"/>
      <c r="J2074" s="69"/>
      <c r="K2074" s="67"/>
      <c r="L2074" s="67"/>
      <c r="M2074" s="67"/>
      <c r="N2074" s="67"/>
      <c r="O2074" s="64"/>
      <c r="P2074" s="72" t="str">
        <f aca="false">IF(OR(B2074="",C2074=""),"",C2074&amp;"|"&amp;(YEAR(B2074)*100+MONTH(B2074)))</f>
        <v/>
      </c>
      <c r="Q2074" s="70" t="str">
        <f aca="false">IF(P2074="","",IF(COUNTIF(N_CLAVE,P2074)&gt;1,"⚠ Duplicado","OK"))</f>
        <v/>
      </c>
      <c r="R2074" s="74" t="str">
        <f aca="false">IF(OR(P2074="",U2074=""),"",MAX(0,U2074-N(E2074)-N(F2074)-N(H2074)))</f>
        <v/>
      </c>
      <c r="S2074" s="75" t="str">
        <f aca="false">IF(P2074="","",IFERROR(INDEX(T_INGRESO,MATCH(C2074,T_ID,0)),""))</f>
        <v/>
      </c>
      <c r="T2074" s="75" t="str">
        <f aca="false">IF(P2074="","",IFERROR(N(INDEX(T_EGRESO,MATCH(C2074,T_ID,0))),0))</f>
        <v/>
      </c>
      <c r="U2074" s="73" t="str">
        <f aca="false">IF(OR(P2074="",NOT(ISNUMBER(S2074))),"",IF(OR(S2074&gt;EOMONTH(B2074,0),AND(T2074&gt;0,T2074&lt;B2074)),0,IF(AND(S2074&lt;=B2074,OR(T2074=0,T2074&gt;=EOMONTH(B2074,0))),30,MIN(30,IF(T2074=0,EOMONTH(B2074,0),MIN(T2074,EOMONTH(B2074,0)))-MAX(B2074,S2074)+1))))</f>
        <v/>
      </c>
    </row>
    <row r="2075" customFormat="false" ht="15" hidden="false" customHeight="false" outlineLevel="0" collapsed="false">
      <c r="B2075" s="78"/>
      <c r="C2075" s="64"/>
      <c r="D2075" s="70" t="str">
        <f aca="false">IF(C2075="","",IFERROR(INDEX(T_NOMBRE,MATCH(C2075,T_ID,0)),"⚠ ID no existe"))</f>
        <v/>
      </c>
      <c r="E2075" s="69"/>
      <c r="F2075" s="69"/>
      <c r="G2075" s="69"/>
      <c r="H2075" s="69"/>
      <c r="I2075" s="66"/>
      <c r="J2075" s="69"/>
      <c r="K2075" s="67"/>
      <c r="L2075" s="67"/>
      <c r="M2075" s="67"/>
      <c r="N2075" s="67"/>
      <c r="O2075" s="64"/>
      <c r="P2075" s="72" t="str">
        <f aca="false">IF(OR(B2075="",C2075=""),"",C2075&amp;"|"&amp;(YEAR(B2075)*100+MONTH(B2075)))</f>
        <v/>
      </c>
      <c r="Q2075" s="70" t="str">
        <f aca="false">IF(P2075="","",IF(COUNTIF(N_CLAVE,P2075)&gt;1,"⚠ Duplicado","OK"))</f>
        <v/>
      </c>
      <c r="R2075" s="74" t="str">
        <f aca="false">IF(OR(P2075="",U2075=""),"",MAX(0,U2075-N(E2075)-N(F2075)-N(H2075)))</f>
        <v/>
      </c>
      <c r="S2075" s="75" t="str">
        <f aca="false">IF(P2075="","",IFERROR(INDEX(T_INGRESO,MATCH(C2075,T_ID,0)),""))</f>
        <v/>
      </c>
      <c r="T2075" s="75" t="str">
        <f aca="false">IF(P2075="","",IFERROR(N(INDEX(T_EGRESO,MATCH(C2075,T_ID,0))),0))</f>
        <v/>
      </c>
      <c r="U2075" s="73" t="str">
        <f aca="false">IF(OR(P2075="",NOT(ISNUMBER(S2075))),"",IF(OR(S2075&gt;EOMONTH(B2075,0),AND(T2075&gt;0,T2075&lt;B2075)),0,IF(AND(S2075&lt;=B2075,OR(T2075=0,T2075&gt;=EOMONTH(B2075,0))),30,MIN(30,IF(T2075=0,EOMONTH(B2075,0),MIN(T2075,EOMONTH(B2075,0)))-MAX(B2075,S2075)+1))))</f>
        <v/>
      </c>
    </row>
    <row r="2076" customFormat="false" ht="15" hidden="false" customHeight="false" outlineLevel="0" collapsed="false">
      <c r="B2076" s="78"/>
      <c r="C2076" s="64"/>
      <c r="D2076" s="70" t="str">
        <f aca="false">IF(C2076="","",IFERROR(INDEX(T_NOMBRE,MATCH(C2076,T_ID,0)),"⚠ ID no existe"))</f>
        <v/>
      </c>
      <c r="E2076" s="69"/>
      <c r="F2076" s="69"/>
      <c r="G2076" s="69"/>
      <c r="H2076" s="69"/>
      <c r="I2076" s="66"/>
      <c r="J2076" s="69"/>
      <c r="K2076" s="67"/>
      <c r="L2076" s="67"/>
      <c r="M2076" s="67"/>
      <c r="N2076" s="67"/>
      <c r="O2076" s="64"/>
      <c r="P2076" s="72" t="str">
        <f aca="false">IF(OR(B2076="",C2076=""),"",C2076&amp;"|"&amp;(YEAR(B2076)*100+MONTH(B2076)))</f>
        <v/>
      </c>
      <c r="Q2076" s="70" t="str">
        <f aca="false">IF(P2076="","",IF(COUNTIF(N_CLAVE,P2076)&gt;1,"⚠ Duplicado","OK"))</f>
        <v/>
      </c>
      <c r="R2076" s="74" t="str">
        <f aca="false">IF(OR(P2076="",U2076=""),"",MAX(0,U2076-N(E2076)-N(F2076)-N(H2076)))</f>
        <v/>
      </c>
      <c r="S2076" s="75" t="str">
        <f aca="false">IF(P2076="","",IFERROR(INDEX(T_INGRESO,MATCH(C2076,T_ID,0)),""))</f>
        <v/>
      </c>
      <c r="T2076" s="75" t="str">
        <f aca="false">IF(P2076="","",IFERROR(N(INDEX(T_EGRESO,MATCH(C2076,T_ID,0))),0))</f>
        <v/>
      </c>
      <c r="U2076" s="73" t="str">
        <f aca="false">IF(OR(P2076="",NOT(ISNUMBER(S2076))),"",IF(OR(S2076&gt;EOMONTH(B2076,0),AND(T2076&gt;0,T2076&lt;B2076)),0,IF(AND(S2076&lt;=B2076,OR(T2076=0,T2076&gt;=EOMONTH(B2076,0))),30,MIN(30,IF(T2076=0,EOMONTH(B2076,0),MIN(T2076,EOMONTH(B2076,0)))-MAX(B2076,S2076)+1))))</f>
        <v/>
      </c>
    </row>
    <row r="2077" customFormat="false" ht="15" hidden="false" customHeight="false" outlineLevel="0" collapsed="false">
      <c r="B2077" s="78"/>
      <c r="C2077" s="64"/>
      <c r="D2077" s="70" t="str">
        <f aca="false">IF(C2077="","",IFERROR(INDEX(T_NOMBRE,MATCH(C2077,T_ID,0)),"⚠ ID no existe"))</f>
        <v/>
      </c>
      <c r="E2077" s="69"/>
      <c r="F2077" s="69"/>
      <c r="G2077" s="69"/>
      <c r="H2077" s="69"/>
      <c r="I2077" s="66"/>
      <c r="J2077" s="69"/>
      <c r="K2077" s="67"/>
      <c r="L2077" s="67"/>
      <c r="M2077" s="67"/>
      <c r="N2077" s="67"/>
      <c r="O2077" s="64"/>
      <c r="P2077" s="72" t="str">
        <f aca="false">IF(OR(B2077="",C2077=""),"",C2077&amp;"|"&amp;(YEAR(B2077)*100+MONTH(B2077)))</f>
        <v/>
      </c>
      <c r="Q2077" s="70" t="str">
        <f aca="false">IF(P2077="","",IF(COUNTIF(N_CLAVE,P2077)&gt;1,"⚠ Duplicado","OK"))</f>
        <v/>
      </c>
      <c r="R2077" s="74" t="str">
        <f aca="false">IF(OR(P2077="",U2077=""),"",MAX(0,U2077-N(E2077)-N(F2077)-N(H2077)))</f>
        <v/>
      </c>
      <c r="S2077" s="75" t="str">
        <f aca="false">IF(P2077="","",IFERROR(INDEX(T_INGRESO,MATCH(C2077,T_ID,0)),""))</f>
        <v/>
      </c>
      <c r="T2077" s="75" t="str">
        <f aca="false">IF(P2077="","",IFERROR(N(INDEX(T_EGRESO,MATCH(C2077,T_ID,0))),0))</f>
        <v/>
      </c>
      <c r="U2077" s="73" t="str">
        <f aca="false">IF(OR(P2077="",NOT(ISNUMBER(S2077))),"",IF(OR(S2077&gt;EOMONTH(B2077,0),AND(T2077&gt;0,T2077&lt;B2077)),0,IF(AND(S2077&lt;=B2077,OR(T2077=0,T2077&gt;=EOMONTH(B2077,0))),30,MIN(30,IF(T2077=0,EOMONTH(B2077,0),MIN(T2077,EOMONTH(B2077,0)))-MAX(B2077,S2077)+1))))</f>
        <v/>
      </c>
    </row>
    <row r="2078" customFormat="false" ht="15" hidden="false" customHeight="false" outlineLevel="0" collapsed="false">
      <c r="B2078" s="78"/>
      <c r="C2078" s="64"/>
      <c r="D2078" s="70" t="str">
        <f aca="false">IF(C2078="","",IFERROR(INDEX(T_NOMBRE,MATCH(C2078,T_ID,0)),"⚠ ID no existe"))</f>
        <v/>
      </c>
      <c r="E2078" s="69"/>
      <c r="F2078" s="69"/>
      <c r="G2078" s="69"/>
      <c r="H2078" s="69"/>
      <c r="I2078" s="66"/>
      <c r="J2078" s="69"/>
      <c r="K2078" s="67"/>
      <c r="L2078" s="67"/>
      <c r="M2078" s="67"/>
      <c r="N2078" s="67"/>
      <c r="O2078" s="64"/>
      <c r="P2078" s="72" t="str">
        <f aca="false">IF(OR(B2078="",C2078=""),"",C2078&amp;"|"&amp;(YEAR(B2078)*100+MONTH(B2078)))</f>
        <v/>
      </c>
      <c r="Q2078" s="70" t="str">
        <f aca="false">IF(P2078="","",IF(COUNTIF(N_CLAVE,P2078)&gt;1,"⚠ Duplicado","OK"))</f>
        <v/>
      </c>
      <c r="R2078" s="74" t="str">
        <f aca="false">IF(OR(P2078="",U2078=""),"",MAX(0,U2078-N(E2078)-N(F2078)-N(H2078)))</f>
        <v/>
      </c>
      <c r="S2078" s="75" t="str">
        <f aca="false">IF(P2078="","",IFERROR(INDEX(T_INGRESO,MATCH(C2078,T_ID,0)),""))</f>
        <v/>
      </c>
      <c r="T2078" s="75" t="str">
        <f aca="false">IF(P2078="","",IFERROR(N(INDEX(T_EGRESO,MATCH(C2078,T_ID,0))),0))</f>
        <v/>
      </c>
      <c r="U2078" s="73" t="str">
        <f aca="false">IF(OR(P2078="",NOT(ISNUMBER(S2078))),"",IF(OR(S2078&gt;EOMONTH(B2078,0),AND(T2078&gt;0,T2078&lt;B2078)),0,IF(AND(S2078&lt;=B2078,OR(T2078=0,T2078&gt;=EOMONTH(B2078,0))),30,MIN(30,IF(T2078=0,EOMONTH(B2078,0),MIN(T2078,EOMONTH(B2078,0)))-MAX(B2078,S2078)+1))))</f>
        <v/>
      </c>
    </row>
    <row r="2079" customFormat="false" ht="15" hidden="false" customHeight="false" outlineLevel="0" collapsed="false">
      <c r="B2079" s="78"/>
      <c r="C2079" s="64"/>
      <c r="D2079" s="70" t="str">
        <f aca="false">IF(C2079="","",IFERROR(INDEX(T_NOMBRE,MATCH(C2079,T_ID,0)),"⚠ ID no existe"))</f>
        <v/>
      </c>
      <c r="E2079" s="69"/>
      <c r="F2079" s="69"/>
      <c r="G2079" s="69"/>
      <c r="H2079" s="69"/>
      <c r="I2079" s="66"/>
      <c r="J2079" s="69"/>
      <c r="K2079" s="67"/>
      <c r="L2079" s="67"/>
      <c r="M2079" s="67"/>
      <c r="N2079" s="67"/>
      <c r="O2079" s="64"/>
      <c r="P2079" s="72" t="str">
        <f aca="false">IF(OR(B2079="",C2079=""),"",C2079&amp;"|"&amp;(YEAR(B2079)*100+MONTH(B2079)))</f>
        <v/>
      </c>
      <c r="Q2079" s="70" t="str">
        <f aca="false">IF(P2079="","",IF(COUNTIF(N_CLAVE,P2079)&gt;1,"⚠ Duplicado","OK"))</f>
        <v/>
      </c>
      <c r="R2079" s="74" t="str">
        <f aca="false">IF(OR(P2079="",U2079=""),"",MAX(0,U2079-N(E2079)-N(F2079)-N(H2079)))</f>
        <v/>
      </c>
      <c r="S2079" s="75" t="str">
        <f aca="false">IF(P2079="","",IFERROR(INDEX(T_INGRESO,MATCH(C2079,T_ID,0)),""))</f>
        <v/>
      </c>
      <c r="T2079" s="75" t="str">
        <f aca="false">IF(P2079="","",IFERROR(N(INDEX(T_EGRESO,MATCH(C2079,T_ID,0))),0))</f>
        <v/>
      </c>
      <c r="U2079" s="73" t="str">
        <f aca="false">IF(OR(P2079="",NOT(ISNUMBER(S2079))),"",IF(OR(S2079&gt;EOMONTH(B2079,0),AND(T2079&gt;0,T2079&lt;B2079)),0,IF(AND(S2079&lt;=B2079,OR(T2079=0,T2079&gt;=EOMONTH(B2079,0))),30,MIN(30,IF(T2079=0,EOMONTH(B2079,0),MIN(T2079,EOMONTH(B2079,0)))-MAX(B2079,S2079)+1))))</f>
        <v/>
      </c>
    </row>
    <row r="2080" customFormat="false" ht="15" hidden="false" customHeight="false" outlineLevel="0" collapsed="false">
      <c r="B2080" s="78"/>
      <c r="C2080" s="64"/>
      <c r="D2080" s="70" t="str">
        <f aca="false">IF(C2080="","",IFERROR(INDEX(T_NOMBRE,MATCH(C2080,T_ID,0)),"⚠ ID no existe"))</f>
        <v/>
      </c>
      <c r="E2080" s="69"/>
      <c r="F2080" s="69"/>
      <c r="G2080" s="69"/>
      <c r="H2080" s="69"/>
      <c r="I2080" s="66"/>
      <c r="J2080" s="69"/>
      <c r="K2080" s="67"/>
      <c r="L2080" s="67"/>
      <c r="M2080" s="67"/>
      <c r="N2080" s="67"/>
      <c r="O2080" s="64"/>
      <c r="P2080" s="72" t="str">
        <f aca="false">IF(OR(B2080="",C2080=""),"",C2080&amp;"|"&amp;(YEAR(B2080)*100+MONTH(B2080)))</f>
        <v/>
      </c>
      <c r="Q2080" s="70" t="str">
        <f aca="false">IF(P2080="","",IF(COUNTIF(N_CLAVE,P2080)&gt;1,"⚠ Duplicado","OK"))</f>
        <v/>
      </c>
      <c r="R2080" s="74" t="str">
        <f aca="false">IF(OR(P2080="",U2080=""),"",MAX(0,U2080-N(E2080)-N(F2080)-N(H2080)))</f>
        <v/>
      </c>
      <c r="S2080" s="75" t="str">
        <f aca="false">IF(P2080="","",IFERROR(INDEX(T_INGRESO,MATCH(C2080,T_ID,0)),""))</f>
        <v/>
      </c>
      <c r="T2080" s="75" t="str">
        <f aca="false">IF(P2080="","",IFERROR(N(INDEX(T_EGRESO,MATCH(C2080,T_ID,0))),0))</f>
        <v/>
      </c>
      <c r="U2080" s="73" t="str">
        <f aca="false">IF(OR(P2080="",NOT(ISNUMBER(S2080))),"",IF(OR(S2080&gt;EOMONTH(B2080,0),AND(T2080&gt;0,T2080&lt;B2080)),0,IF(AND(S2080&lt;=B2080,OR(T2080=0,T2080&gt;=EOMONTH(B2080,0))),30,MIN(30,IF(T2080=0,EOMONTH(B2080,0),MIN(T2080,EOMONTH(B2080,0)))-MAX(B2080,S2080)+1))))</f>
        <v/>
      </c>
    </row>
    <row r="2081" customFormat="false" ht="15" hidden="false" customHeight="false" outlineLevel="0" collapsed="false">
      <c r="B2081" s="78"/>
      <c r="C2081" s="64"/>
      <c r="D2081" s="70" t="str">
        <f aca="false">IF(C2081="","",IFERROR(INDEX(T_NOMBRE,MATCH(C2081,T_ID,0)),"⚠ ID no existe"))</f>
        <v/>
      </c>
      <c r="E2081" s="69"/>
      <c r="F2081" s="69"/>
      <c r="G2081" s="69"/>
      <c r="H2081" s="69"/>
      <c r="I2081" s="66"/>
      <c r="J2081" s="69"/>
      <c r="K2081" s="67"/>
      <c r="L2081" s="67"/>
      <c r="M2081" s="67"/>
      <c r="N2081" s="67"/>
      <c r="O2081" s="64"/>
      <c r="P2081" s="72" t="str">
        <f aca="false">IF(OR(B2081="",C2081=""),"",C2081&amp;"|"&amp;(YEAR(B2081)*100+MONTH(B2081)))</f>
        <v/>
      </c>
      <c r="Q2081" s="70" t="str">
        <f aca="false">IF(P2081="","",IF(COUNTIF(N_CLAVE,P2081)&gt;1,"⚠ Duplicado","OK"))</f>
        <v/>
      </c>
      <c r="R2081" s="74" t="str">
        <f aca="false">IF(OR(P2081="",U2081=""),"",MAX(0,U2081-N(E2081)-N(F2081)-N(H2081)))</f>
        <v/>
      </c>
      <c r="S2081" s="75" t="str">
        <f aca="false">IF(P2081="","",IFERROR(INDEX(T_INGRESO,MATCH(C2081,T_ID,0)),""))</f>
        <v/>
      </c>
      <c r="T2081" s="75" t="str">
        <f aca="false">IF(P2081="","",IFERROR(N(INDEX(T_EGRESO,MATCH(C2081,T_ID,0))),0))</f>
        <v/>
      </c>
      <c r="U2081" s="73" t="str">
        <f aca="false">IF(OR(P2081="",NOT(ISNUMBER(S2081))),"",IF(OR(S2081&gt;EOMONTH(B2081,0),AND(T2081&gt;0,T2081&lt;B2081)),0,IF(AND(S2081&lt;=B2081,OR(T2081=0,T2081&gt;=EOMONTH(B2081,0))),30,MIN(30,IF(T2081=0,EOMONTH(B2081,0),MIN(T2081,EOMONTH(B2081,0)))-MAX(B2081,S2081)+1))))</f>
        <v/>
      </c>
    </row>
    <row r="2082" customFormat="false" ht="15" hidden="false" customHeight="false" outlineLevel="0" collapsed="false">
      <c r="B2082" s="78"/>
      <c r="C2082" s="64"/>
      <c r="D2082" s="70" t="str">
        <f aca="false">IF(C2082="","",IFERROR(INDEX(T_NOMBRE,MATCH(C2082,T_ID,0)),"⚠ ID no existe"))</f>
        <v/>
      </c>
      <c r="E2082" s="69"/>
      <c r="F2082" s="69"/>
      <c r="G2082" s="69"/>
      <c r="H2082" s="69"/>
      <c r="I2082" s="66"/>
      <c r="J2082" s="69"/>
      <c r="K2082" s="67"/>
      <c r="L2082" s="67"/>
      <c r="M2082" s="67"/>
      <c r="N2082" s="67"/>
      <c r="O2082" s="64"/>
      <c r="P2082" s="72" t="str">
        <f aca="false">IF(OR(B2082="",C2082=""),"",C2082&amp;"|"&amp;(YEAR(B2082)*100+MONTH(B2082)))</f>
        <v/>
      </c>
      <c r="Q2082" s="70" t="str">
        <f aca="false">IF(P2082="","",IF(COUNTIF(N_CLAVE,P2082)&gt;1,"⚠ Duplicado","OK"))</f>
        <v/>
      </c>
      <c r="R2082" s="74" t="str">
        <f aca="false">IF(OR(P2082="",U2082=""),"",MAX(0,U2082-N(E2082)-N(F2082)-N(H2082)))</f>
        <v/>
      </c>
      <c r="S2082" s="75" t="str">
        <f aca="false">IF(P2082="","",IFERROR(INDEX(T_INGRESO,MATCH(C2082,T_ID,0)),""))</f>
        <v/>
      </c>
      <c r="T2082" s="75" t="str">
        <f aca="false">IF(P2082="","",IFERROR(N(INDEX(T_EGRESO,MATCH(C2082,T_ID,0))),0))</f>
        <v/>
      </c>
      <c r="U2082" s="73" t="str">
        <f aca="false">IF(OR(P2082="",NOT(ISNUMBER(S2082))),"",IF(OR(S2082&gt;EOMONTH(B2082,0),AND(T2082&gt;0,T2082&lt;B2082)),0,IF(AND(S2082&lt;=B2082,OR(T2082=0,T2082&gt;=EOMONTH(B2082,0))),30,MIN(30,IF(T2082=0,EOMONTH(B2082,0),MIN(T2082,EOMONTH(B2082,0)))-MAX(B2082,S2082)+1))))</f>
        <v/>
      </c>
    </row>
    <row r="2083" customFormat="false" ht="15" hidden="false" customHeight="false" outlineLevel="0" collapsed="false">
      <c r="B2083" s="78"/>
      <c r="C2083" s="64"/>
      <c r="D2083" s="70" t="str">
        <f aca="false">IF(C2083="","",IFERROR(INDEX(T_NOMBRE,MATCH(C2083,T_ID,0)),"⚠ ID no existe"))</f>
        <v/>
      </c>
      <c r="E2083" s="69"/>
      <c r="F2083" s="69"/>
      <c r="G2083" s="69"/>
      <c r="H2083" s="69"/>
      <c r="I2083" s="66"/>
      <c r="J2083" s="69"/>
      <c r="K2083" s="67"/>
      <c r="L2083" s="67"/>
      <c r="M2083" s="67"/>
      <c r="N2083" s="67"/>
      <c r="O2083" s="64"/>
      <c r="P2083" s="72" t="str">
        <f aca="false">IF(OR(B2083="",C2083=""),"",C2083&amp;"|"&amp;(YEAR(B2083)*100+MONTH(B2083)))</f>
        <v/>
      </c>
      <c r="Q2083" s="70" t="str">
        <f aca="false">IF(P2083="","",IF(COUNTIF(N_CLAVE,P2083)&gt;1,"⚠ Duplicado","OK"))</f>
        <v/>
      </c>
      <c r="R2083" s="74" t="str">
        <f aca="false">IF(OR(P2083="",U2083=""),"",MAX(0,U2083-N(E2083)-N(F2083)-N(H2083)))</f>
        <v/>
      </c>
      <c r="S2083" s="75" t="str">
        <f aca="false">IF(P2083="","",IFERROR(INDEX(T_INGRESO,MATCH(C2083,T_ID,0)),""))</f>
        <v/>
      </c>
      <c r="T2083" s="75" t="str">
        <f aca="false">IF(P2083="","",IFERROR(N(INDEX(T_EGRESO,MATCH(C2083,T_ID,0))),0))</f>
        <v/>
      </c>
      <c r="U2083" s="73" t="str">
        <f aca="false">IF(OR(P2083="",NOT(ISNUMBER(S2083))),"",IF(OR(S2083&gt;EOMONTH(B2083,0),AND(T2083&gt;0,T2083&lt;B2083)),0,IF(AND(S2083&lt;=B2083,OR(T2083=0,T2083&gt;=EOMONTH(B2083,0))),30,MIN(30,IF(T2083=0,EOMONTH(B2083,0),MIN(T2083,EOMONTH(B2083,0)))-MAX(B2083,S2083)+1))))</f>
        <v/>
      </c>
    </row>
    <row r="2084" customFormat="false" ht="15" hidden="false" customHeight="false" outlineLevel="0" collapsed="false">
      <c r="B2084" s="78"/>
      <c r="C2084" s="64"/>
      <c r="D2084" s="70" t="str">
        <f aca="false">IF(C2084="","",IFERROR(INDEX(T_NOMBRE,MATCH(C2084,T_ID,0)),"⚠ ID no existe"))</f>
        <v/>
      </c>
      <c r="E2084" s="69"/>
      <c r="F2084" s="69"/>
      <c r="G2084" s="69"/>
      <c r="H2084" s="69"/>
      <c r="I2084" s="66"/>
      <c r="J2084" s="69"/>
      <c r="K2084" s="67"/>
      <c r="L2084" s="67"/>
      <c r="M2084" s="67"/>
      <c r="N2084" s="67"/>
      <c r="O2084" s="64"/>
      <c r="P2084" s="72" t="str">
        <f aca="false">IF(OR(B2084="",C2084=""),"",C2084&amp;"|"&amp;(YEAR(B2084)*100+MONTH(B2084)))</f>
        <v/>
      </c>
      <c r="Q2084" s="70" t="str">
        <f aca="false">IF(P2084="","",IF(COUNTIF(N_CLAVE,P2084)&gt;1,"⚠ Duplicado","OK"))</f>
        <v/>
      </c>
      <c r="R2084" s="74" t="str">
        <f aca="false">IF(OR(P2084="",U2084=""),"",MAX(0,U2084-N(E2084)-N(F2084)-N(H2084)))</f>
        <v/>
      </c>
      <c r="S2084" s="75" t="str">
        <f aca="false">IF(P2084="","",IFERROR(INDEX(T_INGRESO,MATCH(C2084,T_ID,0)),""))</f>
        <v/>
      </c>
      <c r="T2084" s="75" t="str">
        <f aca="false">IF(P2084="","",IFERROR(N(INDEX(T_EGRESO,MATCH(C2084,T_ID,0))),0))</f>
        <v/>
      </c>
      <c r="U2084" s="73" t="str">
        <f aca="false">IF(OR(P2084="",NOT(ISNUMBER(S2084))),"",IF(OR(S2084&gt;EOMONTH(B2084,0),AND(T2084&gt;0,T2084&lt;B2084)),0,IF(AND(S2084&lt;=B2084,OR(T2084=0,T2084&gt;=EOMONTH(B2084,0))),30,MIN(30,IF(T2084=0,EOMONTH(B2084,0),MIN(T2084,EOMONTH(B2084,0)))-MAX(B2084,S2084)+1))))</f>
        <v/>
      </c>
    </row>
    <row r="2085" customFormat="false" ht="15" hidden="false" customHeight="false" outlineLevel="0" collapsed="false">
      <c r="B2085" s="78"/>
      <c r="C2085" s="64"/>
      <c r="D2085" s="70" t="str">
        <f aca="false">IF(C2085="","",IFERROR(INDEX(T_NOMBRE,MATCH(C2085,T_ID,0)),"⚠ ID no existe"))</f>
        <v/>
      </c>
      <c r="E2085" s="69"/>
      <c r="F2085" s="69"/>
      <c r="G2085" s="69"/>
      <c r="H2085" s="69"/>
      <c r="I2085" s="66"/>
      <c r="J2085" s="69"/>
      <c r="K2085" s="67"/>
      <c r="L2085" s="67"/>
      <c r="M2085" s="67"/>
      <c r="N2085" s="67"/>
      <c r="O2085" s="64"/>
      <c r="P2085" s="72" t="str">
        <f aca="false">IF(OR(B2085="",C2085=""),"",C2085&amp;"|"&amp;(YEAR(B2085)*100+MONTH(B2085)))</f>
        <v/>
      </c>
      <c r="Q2085" s="70" t="str">
        <f aca="false">IF(P2085="","",IF(COUNTIF(N_CLAVE,P2085)&gt;1,"⚠ Duplicado","OK"))</f>
        <v/>
      </c>
      <c r="R2085" s="74" t="str">
        <f aca="false">IF(OR(P2085="",U2085=""),"",MAX(0,U2085-N(E2085)-N(F2085)-N(H2085)))</f>
        <v/>
      </c>
      <c r="S2085" s="75" t="str">
        <f aca="false">IF(P2085="","",IFERROR(INDEX(T_INGRESO,MATCH(C2085,T_ID,0)),""))</f>
        <v/>
      </c>
      <c r="T2085" s="75" t="str">
        <f aca="false">IF(P2085="","",IFERROR(N(INDEX(T_EGRESO,MATCH(C2085,T_ID,0))),0))</f>
        <v/>
      </c>
      <c r="U2085" s="73" t="str">
        <f aca="false">IF(OR(P2085="",NOT(ISNUMBER(S2085))),"",IF(OR(S2085&gt;EOMONTH(B2085,0),AND(T2085&gt;0,T2085&lt;B2085)),0,IF(AND(S2085&lt;=B2085,OR(T2085=0,T2085&gt;=EOMONTH(B2085,0))),30,MIN(30,IF(T2085=0,EOMONTH(B2085,0),MIN(T2085,EOMONTH(B2085,0)))-MAX(B2085,S2085)+1))))</f>
        <v/>
      </c>
    </row>
    <row r="2086" customFormat="false" ht="15" hidden="false" customHeight="false" outlineLevel="0" collapsed="false">
      <c r="B2086" s="78"/>
      <c r="C2086" s="64"/>
      <c r="D2086" s="70" t="str">
        <f aca="false">IF(C2086="","",IFERROR(INDEX(T_NOMBRE,MATCH(C2086,T_ID,0)),"⚠ ID no existe"))</f>
        <v/>
      </c>
      <c r="E2086" s="69"/>
      <c r="F2086" s="69"/>
      <c r="G2086" s="69"/>
      <c r="H2086" s="69"/>
      <c r="I2086" s="66"/>
      <c r="J2086" s="69"/>
      <c r="K2086" s="67"/>
      <c r="L2086" s="67"/>
      <c r="M2086" s="67"/>
      <c r="N2086" s="67"/>
      <c r="O2086" s="64"/>
      <c r="P2086" s="72" t="str">
        <f aca="false">IF(OR(B2086="",C2086=""),"",C2086&amp;"|"&amp;(YEAR(B2086)*100+MONTH(B2086)))</f>
        <v/>
      </c>
      <c r="Q2086" s="70" t="str">
        <f aca="false">IF(P2086="","",IF(COUNTIF(N_CLAVE,P2086)&gt;1,"⚠ Duplicado","OK"))</f>
        <v/>
      </c>
      <c r="R2086" s="74" t="str">
        <f aca="false">IF(OR(P2086="",U2086=""),"",MAX(0,U2086-N(E2086)-N(F2086)-N(H2086)))</f>
        <v/>
      </c>
      <c r="S2086" s="75" t="str">
        <f aca="false">IF(P2086="","",IFERROR(INDEX(T_INGRESO,MATCH(C2086,T_ID,0)),""))</f>
        <v/>
      </c>
      <c r="T2086" s="75" t="str">
        <f aca="false">IF(P2086="","",IFERROR(N(INDEX(T_EGRESO,MATCH(C2086,T_ID,0))),0))</f>
        <v/>
      </c>
      <c r="U2086" s="73" t="str">
        <f aca="false">IF(OR(P2086="",NOT(ISNUMBER(S2086))),"",IF(OR(S2086&gt;EOMONTH(B2086,0),AND(T2086&gt;0,T2086&lt;B2086)),0,IF(AND(S2086&lt;=B2086,OR(T2086=0,T2086&gt;=EOMONTH(B2086,0))),30,MIN(30,IF(T2086=0,EOMONTH(B2086,0),MIN(T2086,EOMONTH(B2086,0)))-MAX(B2086,S2086)+1))))</f>
        <v/>
      </c>
    </row>
    <row r="2087" customFormat="false" ht="15" hidden="false" customHeight="false" outlineLevel="0" collapsed="false">
      <c r="B2087" s="78"/>
      <c r="C2087" s="64"/>
      <c r="D2087" s="70" t="str">
        <f aca="false">IF(C2087="","",IFERROR(INDEX(T_NOMBRE,MATCH(C2087,T_ID,0)),"⚠ ID no existe"))</f>
        <v/>
      </c>
      <c r="E2087" s="69"/>
      <c r="F2087" s="69"/>
      <c r="G2087" s="69"/>
      <c r="H2087" s="69"/>
      <c r="I2087" s="66"/>
      <c r="J2087" s="69"/>
      <c r="K2087" s="67"/>
      <c r="L2087" s="67"/>
      <c r="M2087" s="67"/>
      <c r="N2087" s="67"/>
      <c r="O2087" s="64"/>
      <c r="P2087" s="72" t="str">
        <f aca="false">IF(OR(B2087="",C2087=""),"",C2087&amp;"|"&amp;(YEAR(B2087)*100+MONTH(B2087)))</f>
        <v/>
      </c>
      <c r="Q2087" s="70" t="str">
        <f aca="false">IF(P2087="","",IF(COUNTIF(N_CLAVE,P2087)&gt;1,"⚠ Duplicado","OK"))</f>
        <v/>
      </c>
      <c r="R2087" s="74" t="str">
        <f aca="false">IF(OR(P2087="",U2087=""),"",MAX(0,U2087-N(E2087)-N(F2087)-N(H2087)))</f>
        <v/>
      </c>
      <c r="S2087" s="75" t="str">
        <f aca="false">IF(P2087="","",IFERROR(INDEX(T_INGRESO,MATCH(C2087,T_ID,0)),""))</f>
        <v/>
      </c>
      <c r="T2087" s="75" t="str">
        <f aca="false">IF(P2087="","",IFERROR(N(INDEX(T_EGRESO,MATCH(C2087,T_ID,0))),0))</f>
        <v/>
      </c>
      <c r="U2087" s="73" t="str">
        <f aca="false">IF(OR(P2087="",NOT(ISNUMBER(S2087))),"",IF(OR(S2087&gt;EOMONTH(B2087,0),AND(T2087&gt;0,T2087&lt;B2087)),0,IF(AND(S2087&lt;=B2087,OR(T2087=0,T2087&gt;=EOMONTH(B2087,0))),30,MIN(30,IF(T2087=0,EOMONTH(B2087,0),MIN(T2087,EOMONTH(B2087,0)))-MAX(B2087,S2087)+1))))</f>
        <v/>
      </c>
    </row>
    <row r="2088" customFormat="false" ht="15" hidden="false" customHeight="false" outlineLevel="0" collapsed="false">
      <c r="B2088" s="78"/>
      <c r="C2088" s="64"/>
      <c r="D2088" s="70" t="str">
        <f aca="false">IF(C2088="","",IFERROR(INDEX(T_NOMBRE,MATCH(C2088,T_ID,0)),"⚠ ID no existe"))</f>
        <v/>
      </c>
      <c r="E2088" s="69"/>
      <c r="F2088" s="69"/>
      <c r="G2088" s="69"/>
      <c r="H2088" s="69"/>
      <c r="I2088" s="66"/>
      <c r="J2088" s="69"/>
      <c r="K2088" s="67"/>
      <c r="L2088" s="67"/>
      <c r="M2088" s="67"/>
      <c r="N2088" s="67"/>
      <c r="O2088" s="64"/>
      <c r="P2088" s="72" t="str">
        <f aca="false">IF(OR(B2088="",C2088=""),"",C2088&amp;"|"&amp;(YEAR(B2088)*100+MONTH(B2088)))</f>
        <v/>
      </c>
      <c r="Q2088" s="70" t="str">
        <f aca="false">IF(P2088="","",IF(COUNTIF(N_CLAVE,P2088)&gt;1,"⚠ Duplicado","OK"))</f>
        <v/>
      </c>
      <c r="R2088" s="74" t="str">
        <f aca="false">IF(OR(P2088="",U2088=""),"",MAX(0,U2088-N(E2088)-N(F2088)-N(H2088)))</f>
        <v/>
      </c>
      <c r="S2088" s="75" t="str">
        <f aca="false">IF(P2088="","",IFERROR(INDEX(T_INGRESO,MATCH(C2088,T_ID,0)),""))</f>
        <v/>
      </c>
      <c r="T2088" s="75" t="str">
        <f aca="false">IF(P2088="","",IFERROR(N(INDEX(T_EGRESO,MATCH(C2088,T_ID,0))),0))</f>
        <v/>
      </c>
      <c r="U2088" s="73" t="str">
        <f aca="false">IF(OR(P2088="",NOT(ISNUMBER(S2088))),"",IF(OR(S2088&gt;EOMONTH(B2088,0),AND(T2088&gt;0,T2088&lt;B2088)),0,IF(AND(S2088&lt;=B2088,OR(T2088=0,T2088&gt;=EOMONTH(B2088,0))),30,MIN(30,IF(T2088=0,EOMONTH(B2088,0),MIN(T2088,EOMONTH(B2088,0)))-MAX(B2088,S2088)+1))))</f>
        <v/>
      </c>
    </row>
    <row r="2089" customFormat="false" ht="15" hidden="false" customHeight="false" outlineLevel="0" collapsed="false">
      <c r="B2089" s="78"/>
      <c r="C2089" s="64"/>
      <c r="D2089" s="70" t="str">
        <f aca="false">IF(C2089="","",IFERROR(INDEX(T_NOMBRE,MATCH(C2089,T_ID,0)),"⚠ ID no existe"))</f>
        <v/>
      </c>
      <c r="E2089" s="69"/>
      <c r="F2089" s="69"/>
      <c r="G2089" s="69"/>
      <c r="H2089" s="69"/>
      <c r="I2089" s="66"/>
      <c r="J2089" s="69"/>
      <c r="K2089" s="67"/>
      <c r="L2089" s="67"/>
      <c r="M2089" s="67"/>
      <c r="N2089" s="67"/>
      <c r="O2089" s="64"/>
      <c r="P2089" s="72" t="str">
        <f aca="false">IF(OR(B2089="",C2089=""),"",C2089&amp;"|"&amp;(YEAR(B2089)*100+MONTH(B2089)))</f>
        <v/>
      </c>
      <c r="Q2089" s="70" t="str">
        <f aca="false">IF(P2089="","",IF(COUNTIF(N_CLAVE,P2089)&gt;1,"⚠ Duplicado","OK"))</f>
        <v/>
      </c>
      <c r="R2089" s="74" t="str">
        <f aca="false">IF(OR(P2089="",U2089=""),"",MAX(0,U2089-N(E2089)-N(F2089)-N(H2089)))</f>
        <v/>
      </c>
      <c r="S2089" s="75" t="str">
        <f aca="false">IF(P2089="","",IFERROR(INDEX(T_INGRESO,MATCH(C2089,T_ID,0)),""))</f>
        <v/>
      </c>
      <c r="T2089" s="75" t="str">
        <f aca="false">IF(P2089="","",IFERROR(N(INDEX(T_EGRESO,MATCH(C2089,T_ID,0))),0))</f>
        <v/>
      </c>
      <c r="U2089" s="73" t="str">
        <f aca="false">IF(OR(P2089="",NOT(ISNUMBER(S2089))),"",IF(OR(S2089&gt;EOMONTH(B2089,0),AND(T2089&gt;0,T2089&lt;B2089)),0,IF(AND(S2089&lt;=B2089,OR(T2089=0,T2089&gt;=EOMONTH(B2089,0))),30,MIN(30,IF(T2089=0,EOMONTH(B2089,0),MIN(T2089,EOMONTH(B2089,0)))-MAX(B2089,S2089)+1))))</f>
        <v/>
      </c>
    </row>
    <row r="2090" customFormat="false" ht="15" hidden="false" customHeight="false" outlineLevel="0" collapsed="false">
      <c r="B2090" s="78"/>
      <c r="C2090" s="64"/>
      <c r="D2090" s="70" t="str">
        <f aca="false">IF(C2090="","",IFERROR(INDEX(T_NOMBRE,MATCH(C2090,T_ID,0)),"⚠ ID no existe"))</f>
        <v/>
      </c>
      <c r="E2090" s="69"/>
      <c r="F2090" s="69"/>
      <c r="G2090" s="69"/>
      <c r="H2090" s="69"/>
      <c r="I2090" s="66"/>
      <c r="J2090" s="69"/>
      <c r="K2090" s="67"/>
      <c r="L2090" s="67"/>
      <c r="M2090" s="67"/>
      <c r="N2090" s="67"/>
      <c r="O2090" s="64"/>
      <c r="P2090" s="72" t="str">
        <f aca="false">IF(OR(B2090="",C2090=""),"",C2090&amp;"|"&amp;(YEAR(B2090)*100+MONTH(B2090)))</f>
        <v/>
      </c>
      <c r="Q2090" s="70" t="str">
        <f aca="false">IF(P2090="","",IF(COUNTIF(N_CLAVE,P2090)&gt;1,"⚠ Duplicado","OK"))</f>
        <v/>
      </c>
      <c r="R2090" s="74" t="str">
        <f aca="false">IF(OR(P2090="",U2090=""),"",MAX(0,U2090-N(E2090)-N(F2090)-N(H2090)))</f>
        <v/>
      </c>
      <c r="S2090" s="75" t="str">
        <f aca="false">IF(P2090="","",IFERROR(INDEX(T_INGRESO,MATCH(C2090,T_ID,0)),""))</f>
        <v/>
      </c>
      <c r="T2090" s="75" t="str">
        <f aca="false">IF(P2090="","",IFERROR(N(INDEX(T_EGRESO,MATCH(C2090,T_ID,0))),0))</f>
        <v/>
      </c>
      <c r="U2090" s="73" t="str">
        <f aca="false">IF(OR(P2090="",NOT(ISNUMBER(S2090))),"",IF(OR(S2090&gt;EOMONTH(B2090,0),AND(T2090&gt;0,T2090&lt;B2090)),0,IF(AND(S2090&lt;=B2090,OR(T2090=0,T2090&gt;=EOMONTH(B2090,0))),30,MIN(30,IF(T2090=0,EOMONTH(B2090,0),MIN(T2090,EOMONTH(B2090,0)))-MAX(B2090,S2090)+1))))</f>
        <v/>
      </c>
    </row>
    <row r="2091" customFormat="false" ht="15" hidden="false" customHeight="false" outlineLevel="0" collapsed="false">
      <c r="B2091" s="78"/>
      <c r="C2091" s="64"/>
      <c r="D2091" s="70" t="str">
        <f aca="false">IF(C2091="","",IFERROR(INDEX(T_NOMBRE,MATCH(C2091,T_ID,0)),"⚠ ID no existe"))</f>
        <v/>
      </c>
      <c r="E2091" s="69"/>
      <c r="F2091" s="69"/>
      <c r="G2091" s="69"/>
      <c r="H2091" s="69"/>
      <c r="I2091" s="66"/>
      <c r="J2091" s="69"/>
      <c r="K2091" s="67"/>
      <c r="L2091" s="67"/>
      <c r="M2091" s="67"/>
      <c r="N2091" s="67"/>
      <c r="O2091" s="64"/>
      <c r="P2091" s="72" t="str">
        <f aca="false">IF(OR(B2091="",C2091=""),"",C2091&amp;"|"&amp;(YEAR(B2091)*100+MONTH(B2091)))</f>
        <v/>
      </c>
      <c r="Q2091" s="70" t="str">
        <f aca="false">IF(P2091="","",IF(COUNTIF(N_CLAVE,P2091)&gt;1,"⚠ Duplicado","OK"))</f>
        <v/>
      </c>
      <c r="R2091" s="74" t="str">
        <f aca="false">IF(OR(P2091="",U2091=""),"",MAX(0,U2091-N(E2091)-N(F2091)-N(H2091)))</f>
        <v/>
      </c>
      <c r="S2091" s="75" t="str">
        <f aca="false">IF(P2091="","",IFERROR(INDEX(T_INGRESO,MATCH(C2091,T_ID,0)),""))</f>
        <v/>
      </c>
      <c r="T2091" s="75" t="str">
        <f aca="false">IF(P2091="","",IFERROR(N(INDEX(T_EGRESO,MATCH(C2091,T_ID,0))),0))</f>
        <v/>
      </c>
      <c r="U2091" s="73" t="str">
        <f aca="false">IF(OR(P2091="",NOT(ISNUMBER(S2091))),"",IF(OR(S2091&gt;EOMONTH(B2091,0),AND(T2091&gt;0,T2091&lt;B2091)),0,IF(AND(S2091&lt;=B2091,OR(T2091=0,T2091&gt;=EOMONTH(B2091,0))),30,MIN(30,IF(T2091=0,EOMONTH(B2091,0),MIN(T2091,EOMONTH(B2091,0)))-MAX(B2091,S2091)+1))))</f>
        <v/>
      </c>
    </row>
    <row r="2092" customFormat="false" ht="15" hidden="false" customHeight="false" outlineLevel="0" collapsed="false">
      <c r="B2092" s="78"/>
      <c r="C2092" s="64"/>
      <c r="D2092" s="70" t="str">
        <f aca="false">IF(C2092="","",IFERROR(INDEX(T_NOMBRE,MATCH(C2092,T_ID,0)),"⚠ ID no existe"))</f>
        <v/>
      </c>
      <c r="E2092" s="69"/>
      <c r="F2092" s="69"/>
      <c r="G2092" s="69"/>
      <c r="H2092" s="69"/>
      <c r="I2092" s="66"/>
      <c r="J2092" s="69"/>
      <c r="K2092" s="67"/>
      <c r="L2092" s="67"/>
      <c r="M2092" s="67"/>
      <c r="N2092" s="67"/>
      <c r="O2092" s="64"/>
      <c r="P2092" s="72" t="str">
        <f aca="false">IF(OR(B2092="",C2092=""),"",C2092&amp;"|"&amp;(YEAR(B2092)*100+MONTH(B2092)))</f>
        <v/>
      </c>
      <c r="Q2092" s="70" t="str">
        <f aca="false">IF(P2092="","",IF(COUNTIF(N_CLAVE,P2092)&gt;1,"⚠ Duplicado","OK"))</f>
        <v/>
      </c>
      <c r="R2092" s="74" t="str">
        <f aca="false">IF(OR(P2092="",U2092=""),"",MAX(0,U2092-N(E2092)-N(F2092)-N(H2092)))</f>
        <v/>
      </c>
      <c r="S2092" s="75" t="str">
        <f aca="false">IF(P2092="","",IFERROR(INDEX(T_INGRESO,MATCH(C2092,T_ID,0)),""))</f>
        <v/>
      </c>
      <c r="T2092" s="75" t="str">
        <f aca="false">IF(P2092="","",IFERROR(N(INDEX(T_EGRESO,MATCH(C2092,T_ID,0))),0))</f>
        <v/>
      </c>
      <c r="U2092" s="73" t="str">
        <f aca="false">IF(OR(P2092="",NOT(ISNUMBER(S2092))),"",IF(OR(S2092&gt;EOMONTH(B2092,0),AND(T2092&gt;0,T2092&lt;B2092)),0,IF(AND(S2092&lt;=B2092,OR(T2092=0,T2092&gt;=EOMONTH(B2092,0))),30,MIN(30,IF(T2092=0,EOMONTH(B2092,0),MIN(T2092,EOMONTH(B2092,0)))-MAX(B2092,S2092)+1))))</f>
        <v/>
      </c>
    </row>
    <row r="2093" customFormat="false" ht="15" hidden="false" customHeight="false" outlineLevel="0" collapsed="false">
      <c r="B2093" s="78"/>
      <c r="C2093" s="64"/>
      <c r="D2093" s="70" t="str">
        <f aca="false">IF(C2093="","",IFERROR(INDEX(T_NOMBRE,MATCH(C2093,T_ID,0)),"⚠ ID no existe"))</f>
        <v/>
      </c>
      <c r="E2093" s="69"/>
      <c r="F2093" s="69"/>
      <c r="G2093" s="69"/>
      <c r="H2093" s="69"/>
      <c r="I2093" s="66"/>
      <c r="J2093" s="69"/>
      <c r="K2093" s="67"/>
      <c r="L2093" s="67"/>
      <c r="M2093" s="67"/>
      <c r="N2093" s="67"/>
      <c r="O2093" s="64"/>
      <c r="P2093" s="72" t="str">
        <f aca="false">IF(OR(B2093="",C2093=""),"",C2093&amp;"|"&amp;(YEAR(B2093)*100+MONTH(B2093)))</f>
        <v/>
      </c>
      <c r="Q2093" s="70" t="str">
        <f aca="false">IF(P2093="","",IF(COUNTIF(N_CLAVE,P2093)&gt;1,"⚠ Duplicado","OK"))</f>
        <v/>
      </c>
      <c r="R2093" s="74" t="str">
        <f aca="false">IF(OR(P2093="",U2093=""),"",MAX(0,U2093-N(E2093)-N(F2093)-N(H2093)))</f>
        <v/>
      </c>
      <c r="S2093" s="75" t="str">
        <f aca="false">IF(P2093="","",IFERROR(INDEX(T_INGRESO,MATCH(C2093,T_ID,0)),""))</f>
        <v/>
      </c>
      <c r="T2093" s="75" t="str">
        <f aca="false">IF(P2093="","",IFERROR(N(INDEX(T_EGRESO,MATCH(C2093,T_ID,0))),0))</f>
        <v/>
      </c>
      <c r="U2093" s="73" t="str">
        <f aca="false">IF(OR(P2093="",NOT(ISNUMBER(S2093))),"",IF(OR(S2093&gt;EOMONTH(B2093,0),AND(T2093&gt;0,T2093&lt;B2093)),0,IF(AND(S2093&lt;=B2093,OR(T2093=0,T2093&gt;=EOMONTH(B2093,0))),30,MIN(30,IF(T2093=0,EOMONTH(B2093,0),MIN(T2093,EOMONTH(B2093,0)))-MAX(B2093,S2093)+1))))</f>
        <v/>
      </c>
    </row>
    <row r="2094" customFormat="false" ht="15" hidden="false" customHeight="false" outlineLevel="0" collapsed="false">
      <c r="B2094" s="78"/>
      <c r="C2094" s="64"/>
      <c r="D2094" s="70" t="str">
        <f aca="false">IF(C2094="","",IFERROR(INDEX(T_NOMBRE,MATCH(C2094,T_ID,0)),"⚠ ID no existe"))</f>
        <v/>
      </c>
      <c r="E2094" s="69"/>
      <c r="F2094" s="69"/>
      <c r="G2094" s="69"/>
      <c r="H2094" s="69"/>
      <c r="I2094" s="66"/>
      <c r="J2094" s="69"/>
      <c r="K2094" s="67"/>
      <c r="L2094" s="67"/>
      <c r="M2094" s="67"/>
      <c r="N2094" s="67"/>
      <c r="O2094" s="64"/>
      <c r="P2094" s="72" t="str">
        <f aca="false">IF(OR(B2094="",C2094=""),"",C2094&amp;"|"&amp;(YEAR(B2094)*100+MONTH(B2094)))</f>
        <v/>
      </c>
      <c r="Q2094" s="70" t="str">
        <f aca="false">IF(P2094="","",IF(COUNTIF(N_CLAVE,P2094)&gt;1,"⚠ Duplicado","OK"))</f>
        <v/>
      </c>
      <c r="R2094" s="74" t="str">
        <f aca="false">IF(OR(P2094="",U2094=""),"",MAX(0,U2094-N(E2094)-N(F2094)-N(H2094)))</f>
        <v/>
      </c>
      <c r="S2094" s="75" t="str">
        <f aca="false">IF(P2094="","",IFERROR(INDEX(T_INGRESO,MATCH(C2094,T_ID,0)),""))</f>
        <v/>
      </c>
      <c r="T2094" s="75" t="str">
        <f aca="false">IF(P2094="","",IFERROR(N(INDEX(T_EGRESO,MATCH(C2094,T_ID,0))),0))</f>
        <v/>
      </c>
      <c r="U2094" s="73" t="str">
        <f aca="false">IF(OR(P2094="",NOT(ISNUMBER(S2094))),"",IF(OR(S2094&gt;EOMONTH(B2094,0),AND(T2094&gt;0,T2094&lt;B2094)),0,IF(AND(S2094&lt;=B2094,OR(T2094=0,T2094&gt;=EOMONTH(B2094,0))),30,MIN(30,IF(T2094=0,EOMONTH(B2094,0),MIN(T2094,EOMONTH(B2094,0)))-MAX(B2094,S2094)+1))))</f>
        <v/>
      </c>
    </row>
    <row r="2095" customFormat="false" ht="15" hidden="false" customHeight="false" outlineLevel="0" collapsed="false">
      <c r="B2095" s="78"/>
      <c r="C2095" s="64"/>
      <c r="D2095" s="70" t="str">
        <f aca="false">IF(C2095="","",IFERROR(INDEX(T_NOMBRE,MATCH(C2095,T_ID,0)),"⚠ ID no existe"))</f>
        <v/>
      </c>
      <c r="E2095" s="69"/>
      <c r="F2095" s="69"/>
      <c r="G2095" s="69"/>
      <c r="H2095" s="69"/>
      <c r="I2095" s="66"/>
      <c r="J2095" s="69"/>
      <c r="K2095" s="67"/>
      <c r="L2095" s="67"/>
      <c r="M2095" s="67"/>
      <c r="N2095" s="67"/>
      <c r="O2095" s="64"/>
      <c r="P2095" s="72" t="str">
        <f aca="false">IF(OR(B2095="",C2095=""),"",C2095&amp;"|"&amp;(YEAR(B2095)*100+MONTH(B2095)))</f>
        <v/>
      </c>
      <c r="Q2095" s="70" t="str">
        <f aca="false">IF(P2095="","",IF(COUNTIF(N_CLAVE,P2095)&gt;1,"⚠ Duplicado","OK"))</f>
        <v/>
      </c>
      <c r="R2095" s="74" t="str">
        <f aca="false">IF(OR(P2095="",U2095=""),"",MAX(0,U2095-N(E2095)-N(F2095)-N(H2095)))</f>
        <v/>
      </c>
      <c r="S2095" s="75" t="str">
        <f aca="false">IF(P2095="","",IFERROR(INDEX(T_INGRESO,MATCH(C2095,T_ID,0)),""))</f>
        <v/>
      </c>
      <c r="T2095" s="75" t="str">
        <f aca="false">IF(P2095="","",IFERROR(N(INDEX(T_EGRESO,MATCH(C2095,T_ID,0))),0))</f>
        <v/>
      </c>
      <c r="U2095" s="73" t="str">
        <f aca="false">IF(OR(P2095="",NOT(ISNUMBER(S2095))),"",IF(OR(S2095&gt;EOMONTH(B2095,0),AND(T2095&gt;0,T2095&lt;B2095)),0,IF(AND(S2095&lt;=B2095,OR(T2095=0,T2095&gt;=EOMONTH(B2095,0))),30,MIN(30,IF(T2095=0,EOMONTH(B2095,0),MIN(T2095,EOMONTH(B2095,0)))-MAX(B2095,S2095)+1))))</f>
        <v/>
      </c>
    </row>
    <row r="2096" customFormat="false" ht="15" hidden="false" customHeight="false" outlineLevel="0" collapsed="false">
      <c r="B2096" s="78"/>
      <c r="C2096" s="64"/>
      <c r="D2096" s="70" t="str">
        <f aca="false">IF(C2096="","",IFERROR(INDEX(T_NOMBRE,MATCH(C2096,T_ID,0)),"⚠ ID no existe"))</f>
        <v/>
      </c>
      <c r="E2096" s="69"/>
      <c r="F2096" s="69"/>
      <c r="G2096" s="69"/>
      <c r="H2096" s="69"/>
      <c r="I2096" s="66"/>
      <c r="J2096" s="69"/>
      <c r="K2096" s="67"/>
      <c r="L2096" s="67"/>
      <c r="M2096" s="67"/>
      <c r="N2096" s="67"/>
      <c r="O2096" s="64"/>
      <c r="P2096" s="72" t="str">
        <f aca="false">IF(OR(B2096="",C2096=""),"",C2096&amp;"|"&amp;(YEAR(B2096)*100+MONTH(B2096)))</f>
        <v/>
      </c>
      <c r="Q2096" s="70" t="str">
        <f aca="false">IF(P2096="","",IF(COUNTIF(N_CLAVE,P2096)&gt;1,"⚠ Duplicado","OK"))</f>
        <v/>
      </c>
      <c r="R2096" s="74" t="str">
        <f aca="false">IF(OR(P2096="",U2096=""),"",MAX(0,U2096-N(E2096)-N(F2096)-N(H2096)))</f>
        <v/>
      </c>
      <c r="S2096" s="75" t="str">
        <f aca="false">IF(P2096="","",IFERROR(INDEX(T_INGRESO,MATCH(C2096,T_ID,0)),""))</f>
        <v/>
      </c>
      <c r="T2096" s="75" t="str">
        <f aca="false">IF(P2096="","",IFERROR(N(INDEX(T_EGRESO,MATCH(C2096,T_ID,0))),0))</f>
        <v/>
      </c>
      <c r="U2096" s="73" t="str">
        <f aca="false">IF(OR(P2096="",NOT(ISNUMBER(S2096))),"",IF(OR(S2096&gt;EOMONTH(B2096,0),AND(T2096&gt;0,T2096&lt;B2096)),0,IF(AND(S2096&lt;=B2096,OR(T2096=0,T2096&gt;=EOMONTH(B2096,0))),30,MIN(30,IF(T2096=0,EOMONTH(B2096,0),MIN(T2096,EOMONTH(B2096,0)))-MAX(B2096,S2096)+1))))</f>
        <v/>
      </c>
    </row>
    <row r="2097" customFormat="false" ht="15" hidden="false" customHeight="false" outlineLevel="0" collapsed="false">
      <c r="B2097" s="78"/>
      <c r="C2097" s="64"/>
      <c r="D2097" s="70" t="str">
        <f aca="false">IF(C2097="","",IFERROR(INDEX(T_NOMBRE,MATCH(C2097,T_ID,0)),"⚠ ID no existe"))</f>
        <v/>
      </c>
      <c r="E2097" s="69"/>
      <c r="F2097" s="69"/>
      <c r="G2097" s="69"/>
      <c r="H2097" s="69"/>
      <c r="I2097" s="66"/>
      <c r="J2097" s="69"/>
      <c r="K2097" s="67"/>
      <c r="L2097" s="67"/>
      <c r="M2097" s="67"/>
      <c r="N2097" s="67"/>
      <c r="O2097" s="64"/>
      <c r="P2097" s="72" t="str">
        <f aca="false">IF(OR(B2097="",C2097=""),"",C2097&amp;"|"&amp;(YEAR(B2097)*100+MONTH(B2097)))</f>
        <v/>
      </c>
      <c r="Q2097" s="70" t="str">
        <f aca="false">IF(P2097="","",IF(COUNTIF(N_CLAVE,P2097)&gt;1,"⚠ Duplicado","OK"))</f>
        <v/>
      </c>
      <c r="R2097" s="74" t="str">
        <f aca="false">IF(OR(P2097="",U2097=""),"",MAX(0,U2097-N(E2097)-N(F2097)-N(H2097)))</f>
        <v/>
      </c>
      <c r="S2097" s="75" t="str">
        <f aca="false">IF(P2097="","",IFERROR(INDEX(T_INGRESO,MATCH(C2097,T_ID,0)),""))</f>
        <v/>
      </c>
      <c r="T2097" s="75" t="str">
        <f aca="false">IF(P2097="","",IFERROR(N(INDEX(T_EGRESO,MATCH(C2097,T_ID,0))),0))</f>
        <v/>
      </c>
      <c r="U2097" s="73" t="str">
        <f aca="false">IF(OR(P2097="",NOT(ISNUMBER(S2097))),"",IF(OR(S2097&gt;EOMONTH(B2097,0),AND(T2097&gt;0,T2097&lt;B2097)),0,IF(AND(S2097&lt;=B2097,OR(T2097=0,T2097&gt;=EOMONTH(B2097,0))),30,MIN(30,IF(T2097=0,EOMONTH(B2097,0),MIN(T2097,EOMONTH(B2097,0)))-MAX(B2097,S2097)+1))))</f>
        <v/>
      </c>
    </row>
    <row r="2098" customFormat="false" ht="15" hidden="false" customHeight="false" outlineLevel="0" collapsed="false">
      <c r="B2098" s="78"/>
      <c r="C2098" s="64"/>
      <c r="D2098" s="70" t="str">
        <f aca="false">IF(C2098="","",IFERROR(INDEX(T_NOMBRE,MATCH(C2098,T_ID,0)),"⚠ ID no existe"))</f>
        <v/>
      </c>
      <c r="E2098" s="69"/>
      <c r="F2098" s="69"/>
      <c r="G2098" s="69"/>
      <c r="H2098" s="69"/>
      <c r="I2098" s="66"/>
      <c r="J2098" s="69"/>
      <c r="K2098" s="67"/>
      <c r="L2098" s="67"/>
      <c r="M2098" s="67"/>
      <c r="N2098" s="67"/>
      <c r="O2098" s="64"/>
      <c r="P2098" s="72" t="str">
        <f aca="false">IF(OR(B2098="",C2098=""),"",C2098&amp;"|"&amp;(YEAR(B2098)*100+MONTH(B2098)))</f>
        <v/>
      </c>
      <c r="Q2098" s="70" t="str">
        <f aca="false">IF(P2098="","",IF(COUNTIF(N_CLAVE,P2098)&gt;1,"⚠ Duplicado","OK"))</f>
        <v/>
      </c>
      <c r="R2098" s="74" t="str">
        <f aca="false">IF(OR(P2098="",U2098=""),"",MAX(0,U2098-N(E2098)-N(F2098)-N(H2098)))</f>
        <v/>
      </c>
      <c r="S2098" s="75" t="str">
        <f aca="false">IF(P2098="","",IFERROR(INDEX(T_INGRESO,MATCH(C2098,T_ID,0)),""))</f>
        <v/>
      </c>
      <c r="T2098" s="75" t="str">
        <f aca="false">IF(P2098="","",IFERROR(N(INDEX(T_EGRESO,MATCH(C2098,T_ID,0))),0))</f>
        <v/>
      </c>
      <c r="U2098" s="73" t="str">
        <f aca="false">IF(OR(P2098="",NOT(ISNUMBER(S2098))),"",IF(OR(S2098&gt;EOMONTH(B2098,0),AND(T2098&gt;0,T2098&lt;B2098)),0,IF(AND(S2098&lt;=B2098,OR(T2098=0,T2098&gt;=EOMONTH(B2098,0))),30,MIN(30,IF(T2098=0,EOMONTH(B2098,0),MIN(T2098,EOMONTH(B2098,0)))-MAX(B2098,S2098)+1))))</f>
        <v/>
      </c>
    </row>
    <row r="2099" customFormat="false" ht="15" hidden="false" customHeight="false" outlineLevel="0" collapsed="false">
      <c r="B2099" s="78"/>
      <c r="C2099" s="64"/>
      <c r="D2099" s="70" t="str">
        <f aca="false">IF(C2099="","",IFERROR(INDEX(T_NOMBRE,MATCH(C2099,T_ID,0)),"⚠ ID no existe"))</f>
        <v/>
      </c>
      <c r="E2099" s="69"/>
      <c r="F2099" s="69"/>
      <c r="G2099" s="69"/>
      <c r="H2099" s="69"/>
      <c r="I2099" s="66"/>
      <c r="J2099" s="69"/>
      <c r="K2099" s="67"/>
      <c r="L2099" s="67"/>
      <c r="M2099" s="67"/>
      <c r="N2099" s="67"/>
      <c r="O2099" s="64"/>
      <c r="P2099" s="72" t="str">
        <f aca="false">IF(OR(B2099="",C2099=""),"",C2099&amp;"|"&amp;(YEAR(B2099)*100+MONTH(B2099)))</f>
        <v/>
      </c>
      <c r="Q2099" s="70" t="str">
        <f aca="false">IF(P2099="","",IF(COUNTIF(N_CLAVE,P2099)&gt;1,"⚠ Duplicado","OK"))</f>
        <v/>
      </c>
      <c r="R2099" s="74" t="str">
        <f aca="false">IF(OR(P2099="",U2099=""),"",MAX(0,U2099-N(E2099)-N(F2099)-N(H2099)))</f>
        <v/>
      </c>
      <c r="S2099" s="75" t="str">
        <f aca="false">IF(P2099="","",IFERROR(INDEX(T_INGRESO,MATCH(C2099,T_ID,0)),""))</f>
        <v/>
      </c>
      <c r="T2099" s="75" t="str">
        <f aca="false">IF(P2099="","",IFERROR(N(INDEX(T_EGRESO,MATCH(C2099,T_ID,0))),0))</f>
        <v/>
      </c>
      <c r="U2099" s="73" t="str">
        <f aca="false">IF(OR(P2099="",NOT(ISNUMBER(S2099))),"",IF(OR(S2099&gt;EOMONTH(B2099,0),AND(T2099&gt;0,T2099&lt;B2099)),0,IF(AND(S2099&lt;=B2099,OR(T2099=0,T2099&gt;=EOMONTH(B2099,0))),30,MIN(30,IF(T2099=0,EOMONTH(B2099,0),MIN(T2099,EOMONTH(B2099,0)))-MAX(B2099,S2099)+1))))</f>
        <v/>
      </c>
    </row>
    <row r="2100" customFormat="false" ht="15" hidden="false" customHeight="false" outlineLevel="0" collapsed="false">
      <c r="B2100" s="78"/>
      <c r="C2100" s="64"/>
      <c r="D2100" s="70" t="str">
        <f aca="false">IF(C2100="","",IFERROR(INDEX(T_NOMBRE,MATCH(C2100,T_ID,0)),"⚠ ID no existe"))</f>
        <v/>
      </c>
      <c r="E2100" s="69"/>
      <c r="F2100" s="69"/>
      <c r="G2100" s="69"/>
      <c r="H2100" s="69"/>
      <c r="I2100" s="66"/>
      <c r="J2100" s="69"/>
      <c r="K2100" s="67"/>
      <c r="L2100" s="67"/>
      <c r="M2100" s="67"/>
      <c r="N2100" s="67"/>
      <c r="O2100" s="64"/>
      <c r="P2100" s="72" t="str">
        <f aca="false">IF(OR(B2100="",C2100=""),"",C2100&amp;"|"&amp;(YEAR(B2100)*100+MONTH(B2100)))</f>
        <v/>
      </c>
      <c r="Q2100" s="70" t="str">
        <f aca="false">IF(P2100="","",IF(COUNTIF(N_CLAVE,P2100)&gt;1,"⚠ Duplicado","OK"))</f>
        <v/>
      </c>
      <c r="R2100" s="74" t="str">
        <f aca="false">IF(OR(P2100="",U2100=""),"",MAX(0,U2100-N(E2100)-N(F2100)-N(H2100)))</f>
        <v/>
      </c>
      <c r="S2100" s="75" t="str">
        <f aca="false">IF(P2100="","",IFERROR(INDEX(T_INGRESO,MATCH(C2100,T_ID,0)),""))</f>
        <v/>
      </c>
      <c r="T2100" s="75" t="str">
        <f aca="false">IF(P2100="","",IFERROR(N(INDEX(T_EGRESO,MATCH(C2100,T_ID,0))),0))</f>
        <v/>
      </c>
      <c r="U2100" s="73" t="str">
        <f aca="false">IF(OR(P2100="",NOT(ISNUMBER(S2100))),"",IF(OR(S2100&gt;EOMONTH(B2100,0),AND(T2100&gt;0,T2100&lt;B2100)),0,IF(AND(S2100&lt;=B2100,OR(T2100=0,T2100&gt;=EOMONTH(B2100,0))),30,MIN(30,IF(T2100=0,EOMONTH(B2100,0),MIN(T2100,EOMONTH(B2100,0)))-MAX(B2100,S2100)+1))))</f>
        <v/>
      </c>
    </row>
    <row r="2101" customFormat="false" ht="15" hidden="false" customHeight="false" outlineLevel="0" collapsed="false">
      <c r="B2101" s="78"/>
      <c r="C2101" s="64"/>
      <c r="D2101" s="70" t="str">
        <f aca="false">IF(C2101="","",IFERROR(INDEX(T_NOMBRE,MATCH(C2101,T_ID,0)),"⚠ ID no existe"))</f>
        <v/>
      </c>
      <c r="E2101" s="69"/>
      <c r="F2101" s="69"/>
      <c r="G2101" s="69"/>
      <c r="H2101" s="69"/>
      <c r="I2101" s="66"/>
      <c r="J2101" s="69"/>
      <c r="K2101" s="67"/>
      <c r="L2101" s="67"/>
      <c r="M2101" s="67"/>
      <c r="N2101" s="67"/>
      <c r="O2101" s="64"/>
      <c r="P2101" s="72" t="str">
        <f aca="false">IF(OR(B2101="",C2101=""),"",C2101&amp;"|"&amp;(YEAR(B2101)*100+MONTH(B2101)))</f>
        <v/>
      </c>
      <c r="Q2101" s="70" t="str">
        <f aca="false">IF(P2101="","",IF(COUNTIF(N_CLAVE,P2101)&gt;1,"⚠ Duplicado","OK"))</f>
        <v/>
      </c>
      <c r="R2101" s="74" t="str">
        <f aca="false">IF(OR(P2101="",U2101=""),"",MAX(0,U2101-N(E2101)-N(F2101)-N(H2101)))</f>
        <v/>
      </c>
      <c r="S2101" s="75" t="str">
        <f aca="false">IF(P2101="","",IFERROR(INDEX(T_INGRESO,MATCH(C2101,T_ID,0)),""))</f>
        <v/>
      </c>
      <c r="T2101" s="75" t="str">
        <f aca="false">IF(P2101="","",IFERROR(N(INDEX(T_EGRESO,MATCH(C2101,T_ID,0))),0))</f>
        <v/>
      </c>
      <c r="U2101" s="73" t="str">
        <f aca="false">IF(OR(P2101="",NOT(ISNUMBER(S2101))),"",IF(OR(S2101&gt;EOMONTH(B2101,0),AND(T2101&gt;0,T2101&lt;B2101)),0,IF(AND(S2101&lt;=B2101,OR(T2101=0,T2101&gt;=EOMONTH(B2101,0))),30,MIN(30,IF(T2101=0,EOMONTH(B2101,0),MIN(T2101,EOMONTH(B2101,0)))-MAX(B2101,S2101)+1))))</f>
        <v/>
      </c>
    </row>
    <row r="2102" customFormat="false" ht="15" hidden="false" customHeight="false" outlineLevel="0" collapsed="false">
      <c r="B2102" s="78"/>
      <c r="C2102" s="64"/>
      <c r="D2102" s="70" t="str">
        <f aca="false">IF(C2102="","",IFERROR(INDEX(T_NOMBRE,MATCH(C2102,T_ID,0)),"⚠ ID no existe"))</f>
        <v/>
      </c>
      <c r="E2102" s="69"/>
      <c r="F2102" s="69"/>
      <c r="G2102" s="69"/>
      <c r="H2102" s="69"/>
      <c r="I2102" s="66"/>
      <c r="J2102" s="69"/>
      <c r="K2102" s="67"/>
      <c r="L2102" s="67"/>
      <c r="M2102" s="67"/>
      <c r="N2102" s="67"/>
      <c r="O2102" s="64"/>
      <c r="P2102" s="72" t="str">
        <f aca="false">IF(OR(B2102="",C2102=""),"",C2102&amp;"|"&amp;(YEAR(B2102)*100+MONTH(B2102)))</f>
        <v/>
      </c>
      <c r="Q2102" s="70" t="str">
        <f aca="false">IF(P2102="","",IF(COUNTIF(N_CLAVE,P2102)&gt;1,"⚠ Duplicado","OK"))</f>
        <v/>
      </c>
      <c r="R2102" s="74" t="str">
        <f aca="false">IF(OR(P2102="",U2102=""),"",MAX(0,U2102-N(E2102)-N(F2102)-N(H2102)))</f>
        <v/>
      </c>
      <c r="S2102" s="75" t="str">
        <f aca="false">IF(P2102="","",IFERROR(INDEX(T_INGRESO,MATCH(C2102,T_ID,0)),""))</f>
        <v/>
      </c>
      <c r="T2102" s="75" t="str">
        <f aca="false">IF(P2102="","",IFERROR(N(INDEX(T_EGRESO,MATCH(C2102,T_ID,0))),0))</f>
        <v/>
      </c>
      <c r="U2102" s="73" t="str">
        <f aca="false">IF(OR(P2102="",NOT(ISNUMBER(S2102))),"",IF(OR(S2102&gt;EOMONTH(B2102,0),AND(T2102&gt;0,T2102&lt;B2102)),0,IF(AND(S2102&lt;=B2102,OR(T2102=0,T2102&gt;=EOMONTH(B2102,0))),30,MIN(30,IF(T2102=0,EOMONTH(B2102,0),MIN(T2102,EOMONTH(B2102,0)))-MAX(B2102,S2102)+1))))</f>
        <v/>
      </c>
    </row>
    <row r="2103" customFormat="false" ht="15" hidden="false" customHeight="false" outlineLevel="0" collapsed="false">
      <c r="B2103" s="78"/>
      <c r="C2103" s="64"/>
      <c r="D2103" s="70" t="str">
        <f aca="false">IF(C2103="","",IFERROR(INDEX(T_NOMBRE,MATCH(C2103,T_ID,0)),"⚠ ID no existe"))</f>
        <v/>
      </c>
      <c r="E2103" s="69"/>
      <c r="F2103" s="69"/>
      <c r="G2103" s="69"/>
      <c r="H2103" s="69"/>
      <c r="I2103" s="66"/>
      <c r="J2103" s="69"/>
      <c r="K2103" s="67"/>
      <c r="L2103" s="67"/>
      <c r="M2103" s="67"/>
      <c r="N2103" s="67"/>
      <c r="O2103" s="64"/>
      <c r="P2103" s="72" t="str">
        <f aca="false">IF(OR(B2103="",C2103=""),"",C2103&amp;"|"&amp;(YEAR(B2103)*100+MONTH(B2103)))</f>
        <v/>
      </c>
      <c r="Q2103" s="70" t="str">
        <f aca="false">IF(P2103="","",IF(COUNTIF(N_CLAVE,P2103)&gt;1,"⚠ Duplicado","OK"))</f>
        <v/>
      </c>
      <c r="R2103" s="74" t="str">
        <f aca="false">IF(OR(P2103="",U2103=""),"",MAX(0,U2103-N(E2103)-N(F2103)-N(H2103)))</f>
        <v/>
      </c>
      <c r="S2103" s="75" t="str">
        <f aca="false">IF(P2103="","",IFERROR(INDEX(T_INGRESO,MATCH(C2103,T_ID,0)),""))</f>
        <v/>
      </c>
      <c r="T2103" s="75" t="str">
        <f aca="false">IF(P2103="","",IFERROR(N(INDEX(T_EGRESO,MATCH(C2103,T_ID,0))),0))</f>
        <v/>
      </c>
      <c r="U2103" s="73" t="str">
        <f aca="false">IF(OR(P2103="",NOT(ISNUMBER(S2103))),"",IF(OR(S2103&gt;EOMONTH(B2103,0),AND(T2103&gt;0,T2103&lt;B2103)),0,IF(AND(S2103&lt;=B2103,OR(T2103=0,T2103&gt;=EOMONTH(B2103,0))),30,MIN(30,IF(T2103=0,EOMONTH(B2103,0),MIN(T2103,EOMONTH(B2103,0)))-MAX(B2103,S2103)+1))))</f>
        <v/>
      </c>
    </row>
    <row r="2104" customFormat="false" ht="15" hidden="false" customHeight="false" outlineLevel="0" collapsed="false">
      <c r="B2104" s="78"/>
      <c r="C2104" s="64"/>
      <c r="D2104" s="70" t="str">
        <f aca="false">IF(C2104="","",IFERROR(INDEX(T_NOMBRE,MATCH(C2104,T_ID,0)),"⚠ ID no existe"))</f>
        <v/>
      </c>
      <c r="E2104" s="69"/>
      <c r="F2104" s="69"/>
      <c r="G2104" s="69"/>
      <c r="H2104" s="69"/>
      <c r="I2104" s="66"/>
      <c r="J2104" s="69"/>
      <c r="K2104" s="67"/>
      <c r="L2104" s="67"/>
      <c r="M2104" s="67"/>
      <c r="N2104" s="67"/>
      <c r="O2104" s="64"/>
      <c r="P2104" s="72" t="str">
        <f aca="false">IF(OR(B2104="",C2104=""),"",C2104&amp;"|"&amp;(YEAR(B2104)*100+MONTH(B2104)))</f>
        <v/>
      </c>
      <c r="Q2104" s="70" t="str">
        <f aca="false">IF(P2104="","",IF(COUNTIF(N_CLAVE,P2104)&gt;1,"⚠ Duplicado","OK"))</f>
        <v/>
      </c>
      <c r="R2104" s="74" t="str">
        <f aca="false">IF(OR(P2104="",U2104=""),"",MAX(0,U2104-N(E2104)-N(F2104)-N(H2104)))</f>
        <v/>
      </c>
      <c r="S2104" s="75" t="str">
        <f aca="false">IF(P2104="","",IFERROR(INDEX(T_INGRESO,MATCH(C2104,T_ID,0)),""))</f>
        <v/>
      </c>
      <c r="T2104" s="75" t="str">
        <f aca="false">IF(P2104="","",IFERROR(N(INDEX(T_EGRESO,MATCH(C2104,T_ID,0))),0))</f>
        <v/>
      </c>
      <c r="U2104" s="73" t="str">
        <f aca="false">IF(OR(P2104="",NOT(ISNUMBER(S2104))),"",IF(OR(S2104&gt;EOMONTH(B2104,0),AND(T2104&gt;0,T2104&lt;B2104)),0,IF(AND(S2104&lt;=B2104,OR(T2104=0,T2104&gt;=EOMONTH(B2104,0))),30,MIN(30,IF(T2104=0,EOMONTH(B2104,0),MIN(T2104,EOMONTH(B2104,0)))-MAX(B2104,S2104)+1))))</f>
        <v/>
      </c>
    </row>
    <row r="2105" customFormat="false" ht="15" hidden="false" customHeight="false" outlineLevel="0" collapsed="false">
      <c r="B2105" s="78"/>
      <c r="C2105" s="64"/>
      <c r="D2105" s="70" t="str">
        <f aca="false">IF(C2105="","",IFERROR(INDEX(T_NOMBRE,MATCH(C2105,T_ID,0)),"⚠ ID no existe"))</f>
        <v/>
      </c>
      <c r="E2105" s="69"/>
      <c r="F2105" s="69"/>
      <c r="G2105" s="69"/>
      <c r="H2105" s="69"/>
      <c r="I2105" s="66"/>
      <c r="J2105" s="69"/>
      <c r="K2105" s="67"/>
      <c r="L2105" s="67"/>
      <c r="M2105" s="67"/>
      <c r="N2105" s="67"/>
      <c r="O2105" s="64"/>
      <c r="P2105" s="72" t="str">
        <f aca="false">IF(OR(B2105="",C2105=""),"",C2105&amp;"|"&amp;(YEAR(B2105)*100+MONTH(B2105)))</f>
        <v/>
      </c>
      <c r="Q2105" s="70" t="str">
        <f aca="false">IF(P2105="","",IF(COUNTIF(N_CLAVE,P2105)&gt;1,"⚠ Duplicado","OK"))</f>
        <v/>
      </c>
      <c r="R2105" s="74" t="str">
        <f aca="false">IF(OR(P2105="",U2105=""),"",MAX(0,U2105-N(E2105)-N(F2105)-N(H2105)))</f>
        <v/>
      </c>
      <c r="S2105" s="75" t="str">
        <f aca="false">IF(P2105="","",IFERROR(INDEX(T_INGRESO,MATCH(C2105,T_ID,0)),""))</f>
        <v/>
      </c>
      <c r="T2105" s="75" t="str">
        <f aca="false">IF(P2105="","",IFERROR(N(INDEX(T_EGRESO,MATCH(C2105,T_ID,0))),0))</f>
        <v/>
      </c>
      <c r="U2105" s="73" t="str">
        <f aca="false">IF(OR(P2105="",NOT(ISNUMBER(S2105))),"",IF(OR(S2105&gt;EOMONTH(B2105,0),AND(T2105&gt;0,T2105&lt;B2105)),0,IF(AND(S2105&lt;=B2105,OR(T2105=0,T2105&gt;=EOMONTH(B2105,0))),30,MIN(30,IF(T2105=0,EOMONTH(B2105,0),MIN(T2105,EOMONTH(B2105,0)))-MAX(B2105,S2105)+1))))</f>
        <v/>
      </c>
    </row>
    <row r="2106" customFormat="false" ht="15" hidden="false" customHeight="false" outlineLevel="0" collapsed="false">
      <c r="B2106" s="78"/>
      <c r="C2106" s="64"/>
      <c r="D2106" s="70" t="str">
        <f aca="false">IF(C2106="","",IFERROR(INDEX(T_NOMBRE,MATCH(C2106,T_ID,0)),"⚠ ID no existe"))</f>
        <v/>
      </c>
      <c r="E2106" s="69"/>
      <c r="F2106" s="69"/>
      <c r="G2106" s="69"/>
      <c r="H2106" s="69"/>
      <c r="I2106" s="66"/>
      <c r="J2106" s="69"/>
      <c r="K2106" s="67"/>
      <c r="L2106" s="67"/>
      <c r="M2106" s="67"/>
      <c r="N2106" s="67"/>
      <c r="O2106" s="64"/>
      <c r="P2106" s="72" t="str">
        <f aca="false">IF(OR(B2106="",C2106=""),"",C2106&amp;"|"&amp;(YEAR(B2106)*100+MONTH(B2106)))</f>
        <v/>
      </c>
      <c r="Q2106" s="70" t="str">
        <f aca="false">IF(P2106="","",IF(COUNTIF(N_CLAVE,P2106)&gt;1,"⚠ Duplicado","OK"))</f>
        <v/>
      </c>
      <c r="R2106" s="74" t="str">
        <f aca="false">IF(OR(P2106="",U2106=""),"",MAX(0,U2106-N(E2106)-N(F2106)-N(H2106)))</f>
        <v/>
      </c>
      <c r="S2106" s="75" t="str">
        <f aca="false">IF(P2106="","",IFERROR(INDEX(T_INGRESO,MATCH(C2106,T_ID,0)),""))</f>
        <v/>
      </c>
      <c r="T2106" s="75" t="str">
        <f aca="false">IF(P2106="","",IFERROR(N(INDEX(T_EGRESO,MATCH(C2106,T_ID,0))),0))</f>
        <v/>
      </c>
      <c r="U2106" s="73" t="str">
        <f aca="false">IF(OR(P2106="",NOT(ISNUMBER(S2106))),"",IF(OR(S2106&gt;EOMONTH(B2106,0),AND(T2106&gt;0,T2106&lt;B2106)),0,IF(AND(S2106&lt;=B2106,OR(T2106=0,T2106&gt;=EOMONTH(B2106,0))),30,MIN(30,IF(T2106=0,EOMONTH(B2106,0),MIN(T2106,EOMONTH(B2106,0)))-MAX(B2106,S2106)+1))))</f>
        <v/>
      </c>
    </row>
    <row r="2107" customFormat="false" ht="15" hidden="false" customHeight="false" outlineLevel="0" collapsed="false">
      <c r="B2107" s="78"/>
      <c r="C2107" s="64"/>
      <c r="D2107" s="70" t="str">
        <f aca="false">IF(C2107="","",IFERROR(INDEX(T_NOMBRE,MATCH(C2107,T_ID,0)),"⚠ ID no existe"))</f>
        <v/>
      </c>
      <c r="E2107" s="69"/>
      <c r="F2107" s="69"/>
      <c r="G2107" s="69"/>
      <c r="H2107" s="69"/>
      <c r="I2107" s="66"/>
      <c r="J2107" s="69"/>
      <c r="K2107" s="67"/>
      <c r="L2107" s="67"/>
      <c r="M2107" s="67"/>
      <c r="N2107" s="67"/>
      <c r="O2107" s="64"/>
      <c r="P2107" s="72" t="str">
        <f aca="false">IF(OR(B2107="",C2107=""),"",C2107&amp;"|"&amp;(YEAR(B2107)*100+MONTH(B2107)))</f>
        <v/>
      </c>
      <c r="Q2107" s="70" t="str">
        <f aca="false">IF(P2107="","",IF(COUNTIF(N_CLAVE,P2107)&gt;1,"⚠ Duplicado","OK"))</f>
        <v/>
      </c>
      <c r="R2107" s="74" t="str">
        <f aca="false">IF(OR(P2107="",U2107=""),"",MAX(0,U2107-N(E2107)-N(F2107)-N(H2107)))</f>
        <v/>
      </c>
      <c r="S2107" s="75" t="str">
        <f aca="false">IF(P2107="","",IFERROR(INDEX(T_INGRESO,MATCH(C2107,T_ID,0)),""))</f>
        <v/>
      </c>
      <c r="T2107" s="75" t="str">
        <f aca="false">IF(P2107="","",IFERROR(N(INDEX(T_EGRESO,MATCH(C2107,T_ID,0))),0))</f>
        <v/>
      </c>
      <c r="U2107" s="73" t="str">
        <f aca="false">IF(OR(P2107="",NOT(ISNUMBER(S2107))),"",IF(OR(S2107&gt;EOMONTH(B2107,0),AND(T2107&gt;0,T2107&lt;B2107)),0,IF(AND(S2107&lt;=B2107,OR(T2107=0,T2107&gt;=EOMONTH(B2107,0))),30,MIN(30,IF(T2107=0,EOMONTH(B2107,0),MIN(T2107,EOMONTH(B2107,0)))-MAX(B2107,S2107)+1))))</f>
        <v/>
      </c>
    </row>
    <row r="2108" customFormat="false" ht="15" hidden="false" customHeight="false" outlineLevel="0" collapsed="false">
      <c r="B2108" s="78"/>
      <c r="C2108" s="64"/>
      <c r="D2108" s="70" t="str">
        <f aca="false">IF(C2108="","",IFERROR(INDEX(T_NOMBRE,MATCH(C2108,T_ID,0)),"⚠ ID no existe"))</f>
        <v/>
      </c>
      <c r="E2108" s="69"/>
      <c r="F2108" s="69"/>
      <c r="G2108" s="69"/>
      <c r="H2108" s="69"/>
      <c r="I2108" s="66"/>
      <c r="J2108" s="69"/>
      <c r="K2108" s="67"/>
      <c r="L2108" s="67"/>
      <c r="M2108" s="67"/>
      <c r="N2108" s="67"/>
      <c r="O2108" s="64"/>
      <c r="P2108" s="72" t="str">
        <f aca="false">IF(OR(B2108="",C2108=""),"",C2108&amp;"|"&amp;(YEAR(B2108)*100+MONTH(B2108)))</f>
        <v/>
      </c>
      <c r="Q2108" s="70" t="str">
        <f aca="false">IF(P2108="","",IF(COUNTIF(N_CLAVE,P2108)&gt;1,"⚠ Duplicado","OK"))</f>
        <v/>
      </c>
      <c r="R2108" s="74" t="str">
        <f aca="false">IF(OR(P2108="",U2108=""),"",MAX(0,U2108-N(E2108)-N(F2108)-N(H2108)))</f>
        <v/>
      </c>
      <c r="S2108" s="75" t="str">
        <f aca="false">IF(P2108="","",IFERROR(INDEX(T_INGRESO,MATCH(C2108,T_ID,0)),""))</f>
        <v/>
      </c>
      <c r="T2108" s="75" t="str">
        <f aca="false">IF(P2108="","",IFERROR(N(INDEX(T_EGRESO,MATCH(C2108,T_ID,0))),0))</f>
        <v/>
      </c>
      <c r="U2108" s="73" t="str">
        <f aca="false">IF(OR(P2108="",NOT(ISNUMBER(S2108))),"",IF(OR(S2108&gt;EOMONTH(B2108,0),AND(T2108&gt;0,T2108&lt;B2108)),0,IF(AND(S2108&lt;=B2108,OR(T2108=0,T2108&gt;=EOMONTH(B2108,0))),30,MIN(30,IF(T2108=0,EOMONTH(B2108,0),MIN(T2108,EOMONTH(B2108,0)))-MAX(B2108,S2108)+1))))</f>
        <v/>
      </c>
    </row>
    <row r="2109" customFormat="false" ht="15" hidden="false" customHeight="false" outlineLevel="0" collapsed="false">
      <c r="B2109" s="78"/>
      <c r="C2109" s="64"/>
      <c r="D2109" s="70" t="str">
        <f aca="false">IF(C2109="","",IFERROR(INDEX(T_NOMBRE,MATCH(C2109,T_ID,0)),"⚠ ID no existe"))</f>
        <v/>
      </c>
      <c r="E2109" s="69"/>
      <c r="F2109" s="69"/>
      <c r="G2109" s="69"/>
      <c r="H2109" s="69"/>
      <c r="I2109" s="66"/>
      <c r="J2109" s="69"/>
      <c r="K2109" s="67"/>
      <c r="L2109" s="67"/>
      <c r="M2109" s="67"/>
      <c r="N2109" s="67"/>
      <c r="O2109" s="64"/>
      <c r="P2109" s="72" t="str">
        <f aca="false">IF(OR(B2109="",C2109=""),"",C2109&amp;"|"&amp;(YEAR(B2109)*100+MONTH(B2109)))</f>
        <v/>
      </c>
      <c r="Q2109" s="70" t="str">
        <f aca="false">IF(P2109="","",IF(COUNTIF(N_CLAVE,P2109)&gt;1,"⚠ Duplicado","OK"))</f>
        <v/>
      </c>
      <c r="R2109" s="74" t="str">
        <f aca="false">IF(OR(P2109="",U2109=""),"",MAX(0,U2109-N(E2109)-N(F2109)-N(H2109)))</f>
        <v/>
      </c>
      <c r="S2109" s="75" t="str">
        <f aca="false">IF(P2109="","",IFERROR(INDEX(T_INGRESO,MATCH(C2109,T_ID,0)),""))</f>
        <v/>
      </c>
      <c r="T2109" s="75" t="str">
        <f aca="false">IF(P2109="","",IFERROR(N(INDEX(T_EGRESO,MATCH(C2109,T_ID,0))),0))</f>
        <v/>
      </c>
      <c r="U2109" s="73" t="str">
        <f aca="false">IF(OR(P2109="",NOT(ISNUMBER(S2109))),"",IF(OR(S2109&gt;EOMONTH(B2109,0),AND(T2109&gt;0,T2109&lt;B2109)),0,IF(AND(S2109&lt;=B2109,OR(T2109=0,T2109&gt;=EOMONTH(B2109,0))),30,MIN(30,IF(T2109=0,EOMONTH(B2109,0),MIN(T2109,EOMONTH(B2109,0)))-MAX(B2109,S2109)+1))))</f>
        <v/>
      </c>
    </row>
    <row r="2110" customFormat="false" ht="15" hidden="false" customHeight="false" outlineLevel="0" collapsed="false">
      <c r="B2110" s="78"/>
      <c r="C2110" s="64"/>
      <c r="D2110" s="70" t="str">
        <f aca="false">IF(C2110="","",IFERROR(INDEX(T_NOMBRE,MATCH(C2110,T_ID,0)),"⚠ ID no existe"))</f>
        <v/>
      </c>
      <c r="E2110" s="69"/>
      <c r="F2110" s="69"/>
      <c r="G2110" s="69"/>
      <c r="H2110" s="69"/>
      <c r="I2110" s="66"/>
      <c r="J2110" s="69"/>
      <c r="K2110" s="67"/>
      <c r="L2110" s="67"/>
      <c r="M2110" s="67"/>
      <c r="N2110" s="67"/>
      <c r="O2110" s="64"/>
      <c r="P2110" s="72" t="str">
        <f aca="false">IF(OR(B2110="",C2110=""),"",C2110&amp;"|"&amp;(YEAR(B2110)*100+MONTH(B2110)))</f>
        <v/>
      </c>
      <c r="Q2110" s="70" t="str">
        <f aca="false">IF(P2110="","",IF(COUNTIF(N_CLAVE,P2110)&gt;1,"⚠ Duplicado","OK"))</f>
        <v/>
      </c>
      <c r="R2110" s="74" t="str">
        <f aca="false">IF(OR(P2110="",U2110=""),"",MAX(0,U2110-N(E2110)-N(F2110)-N(H2110)))</f>
        <v/>
      </c>
      <c r="S2110" s="75" t="str">
        <f aca="false">IF(P2110="","",IFERROR(INDEX(T_INGRESO,MATCH(C2110,T_ID,0)),""))</f>
        <v/>
      </c>
      <c r="T2110" s="75" t="str">
        <f aca="false">IF(P2110="","",IFERROR(N(INDEX(T_EGRESO,MATCH(C2110,T_ID,0))),0))</f>
        <v/>
      </c>
      <c r="U2110" s="73" t="str">
        <f aca="false">IF(OR(P2110="",NOT(ISNUMBER(S2110))),"",IF(OR(S2110&gt;EOMONTH(B2110,0),AND(T2110&gt;0,T2110&lt;B2110)),0,IF(AND(S2110&lt;=B2110,OR(T2110=0,T2110&gt;=EOMONTH(B2110,0))),30,MIN(30,IF(T2110=0,EOMONTH(B2110,0),MIN(T2110,EOMONTH(B2110,0)))-MAX(B2110,S2110)+1))))</f>
        <v/>
      </c>
    </row>
    <row r="2111" customFormat="false" ht="15" hidden="false" customHeight="false" outlineLevel="0" collapsed="false">
      <c r="B2111" s="78"/>
      <c r="C2111" s="64"/>
      <c r="D2111" s="70" t="str">
        <f aca="false">IF(C2111="","",IFERROR(INDEX(T_NOMBRE,MATCH(C2111,T_ID,0)),"⚠ ID no existe"))</f>
        <v/>
      </c>
      <c r="E2111" s="69"/>
      <c r="F2111" s="69"/>
      <c r="G2111" s="69"/>
      <c r="H2111" s="69"/>
      <c r="I2111" s="66"/>
      <c r="J2111" s="69"/>
      <c r="K2111" s="67"/>
      <c r="L2111" s="67"/>
      <c r="M2111" s="67"/>
      <c r="N2111" s="67"/>
      <c r="O2111" s="64"/>
      <c r="P2111" s="72" t="str">
        <f aca="false">IF(OR(B2111="",C2111=""),"",C2111&amp;"|"&amp;(YEAR(B2111)*100+MONTH(B2111)))</f>
        <v/>
      </c>
      <c r="Q2111" s="70" t="str">
        <f aca="false">IF(P2111="","",IF(COUNTIF(N_CLAVE,P2111)&gt;1,"⚠ Duplicado","OK"))</f>
        <v/>
      </c>
      <c r="R2111" s="74" t="str">
        <f aca="false">IF(OR(P2111="",U2111=""),"",MAX(0,U2111-N(E2111)-N(F2111)-N(H2111)))</f>
        <v/>
      </c>
      <c r="S2111" s="75" t="str">
        <f aca="false">IF(P2111="","",IFERROR(INDEX(T_INGRESO,MATCH(C2111,T_ID,0)),""))</f>
        <v/>
      </c>
      <c r="T2111" s="75" t="str">
        <f aca="false">IF(P2111="","",IFERROR(N(INDEX(T_EGRESO,MATCH(C2111,T_ID,0))),0))</f>
        <v/>
      </c>
      <c r="U2111" s="73" t="str">
        <f aca="false">IF(OR(P2111="",NOT(ISNUMBER(S2111))),"",IF(OR(S2111&gt;EOMONTH(B2111,0),AND(T2111&gt;0,T2111&lt;B2111)),0,IF(AND(S2111&lt;=B2111,OR(T2111=0,T2111&gt;=EOMONTH(B2111,0))),30,MIN(30,IF(T2111=0,EOMONTH(B2111,0),MIN(T2111,EOMONTH(B2111,0)))-MAX(B2111,S2111)+1))))</f>
        <v/>
      </c>
    </row>
    <row r="2112" customFormat="false" ht="15" hidden="false" customHeight="false" outlineLevel="0" collapsed="false">
      <c r="B2112" s="78"/>
      <c r="C2112" s="64"/>
      <c r="D2112" s="70" t="str">
        <f aca="false">IF(C2112="","",IFERROR(INDEX(T_NOMBRE,MATCH(C2112,T_ID,0)),"⚠ ID no existe"))</f>
        <v/>
      </c>
      <c r="E2112" s="69"/>
      <c r="F2112" s="69"/>
      <c r="G2112" s="69"/>
      <c r="H2112" s="69"/>
      <c r="I2112" s="66"/>
      <c r="J2112" s="69"/>
      <c r="K2112" s="67"/>
      <c r="L2112" s="67"/>
      <c r="M2112" s="67"/>
      <c r="N2112" s="67"/>
      <c r="O2112" s="64"/>
      <c r="P2112" s="72" t="str">
        <f aca="false">IF(OR(B2112="",C2112=""),"",C2112&amp;"|"&amp;(YEAR(B2112)*100+MONTH(B2112)))</f>
        <v/>
      </c>
      <c r="Q2112" s="70" t="str">
        <f aca="false">IF(P2112="","",IF(COUNTIF(N_CLAVE,P2112)&gt;1,"⚠ Duplicado","OK"))</f>
        <v/>
      </c>
      <c r="R2112" s="74" t="str">
        <f aca="false">IF(OR(P2112="",U2112=""),"",MAX(0,U2112-N(E2112)-N(F2112)-N(H2112)))</f>
        <v/>
      </c>
      <c r="S2112" s="75" t="str">
        <f aca="false">IF(P2112="","",IFERROR(INDEX(T_INGRESO,MATCH(C2112,T_ID,0)),""))</f>
        <v/>
      </c>
      <c r="T2112" s="75" t="str">
        <f aca="false">IF(P2112="","",IFERROR(N(INDEX(T_EGRESO,MATCH(C2112,T_ID,0))),0))</f>
        <v/>
      </c>
      <c r="U2112" s="73" t="str">
        <f aca="false">IF(OR(P2112="",NOT(ISNUMBER(S2112))),"",IF(OR(S2112&gt;EOMONTH(B2112,0),AND(T2112&gt;0,T2112&lt;B2112)),0,IF(AND(S2112&lt;=B2112,OR(T2112=0,T2112&gt;=EOMONTH(B2112,0))),30,MIN(30,IF(T2112=0,EOMONTH(B2112,0),MIN(T2112,EOMONTH(B2112,0)))-MAX(B2112,S2112)+1))))</f>
        <v/>
      </c>
    </row>
    <row r="2113" customFormat="false" ht="15" hidden="false" customHeight="false" outlineLevel="0" collapsed="false">
      <c r="B2113" s="78"/>
      <c r="C2113" s="64"/>
      <c r="D2113" s="70" t="str">
        <f aca="false">IF(C2113="","",IFERROR(INDEX(T_NOMBRE,MATCH(C2113,T_ID,0)),"⚠ ID no existe"))</f>
        <v/>
      </c>
      <c r="E2113" s="69"/>
      <c r="F2113" s="69"/>
      <c r="G2113" s="69"/>
      <c r="H2113" s="69"/>
      <c r="I2113" s="66"/>
      <c r="J2113" s="69"/>
      <c r="K2113" s="67"/>
      <c r="L2113" s="67"/>
      <c r="M2113" s="67"/>
      <c r="N2113" s="67"/>
      <c r="O2113" s="64"/>
      <c r="P2113" s="72" t="str">
        <f aca="false">IF(OR(B2113="",C2113=""),"",C2113&amp;"|"&amp;(YEAR(B2113)*100+MONTH(B2113)))</f>
        <v/>
      </c>
      <c r="Q2113" s="70" t="str">
        <f aca="false">IF(P2113="","",IF(COUNTIF(N_CLAVE,P2113)&gt;1,"⚠ Duplicado","OK"))</f>
        <v/>
      </c>
      <c r="R2113" s="74" t="str">
        <f aca="false">IF(OR(P2113="",U2113=""),"",MAX(0,U2113-N(E2113)-N(F2113)-N(H2113)))</f>
        <v/>
      </c>
      <c r="S2113" s="75" t="str">
        <f aca="false">IF(P2113="","",IFERROR(INDEX(T_INGRESO,MATCH(C2113,T_ID,0)),""))</f>
        <v/>
      </c>
      <c r="T2113" s="75" t="str">
        <f aca="false">IF(P2113="","",IFERROR(N(INDEX(T_EGRESO,MATCH(C2113,T_ID,0))),0))</f>
        <v/>
      </c>
      <c r="U2113" s="73" t="str">
        <f aca="false">IF(OR(P2113="",NOT(ISNUMBER(S2113))),"",IF(OR(S2113&gt;EOMONTH(B2113,0),AND(T2113&gt;0,T2113&lt;B2113)),0,IF(AND(S2113&lt;=B2113,OR(T2113=0,T2113&gt;=EOMONTH(B2113,0))),30,MIN(30,IF(T2113=0,EOMONTH(B2113,0),MIN(T2113,EOMONTH(B2113,0)))-MAX(B2113,S2113)+1))))</f>
        <v/>
      </c>
    </row>
    <row r="2114" customFormat="false" ht="15" hidden="false" customHeight="false" outlineLevel="0" collapsed="false">
      <c r="B2114" s="78"/>
      <c r="C2114" s="64"/>
      <c r="D2114" s="70" t="str">
        <f aca="false">IF(C2114="","",IFERROR(INDEX(T_NOMBRE,MATCH(C2114,T_ID,0)),"⚠ ID no existe"))</f>
        <v/>
      </c>
      <c r="E2114" s="69"/>
      <c r="F2114" s="69"/>
      <c r="G2114" s="69"/>
      <c r="H2114" s="69"/>
      <c r="I2114" s="66"/>
      <c r="J2114" s="69"/>
      <c r="K2114" s="67"/>
      <c r="L2114" s="67"/>
      <c r="M2114" s="67"/>
      <c r="N2114" s="67"/>
      <c r="O2114" s="64"/>
      <c r="P2114" s="72" t="str">
        <f aca="false">IF(OR(B2114="",C2114=""),"",C2114&amp;"|"&amp;(YEAR(B2114)*100+MONTH(B2114)))</f>
        <v/>
      </c>
      <c r="Q2114" s="70" t="str">
        <f aca="false">IF(P2114="","",IF(COUNTIF(N_CLAVE,P2114)&gt;1,"⚠ Duplicado","OK"))</f>
        <v/>
      </c>
      <c r="R2114" s="74" t="str">
        <f aca="false">IF(OR(P2114="",U2114=""),"",MAX(0,U2114-N(E2114)-N(F2114)-N(H2114)))</f>
        <v/>
      </c>
      <c r="S2114" s="75" t="str">
        <f aca="false">IF(P2114="","",IFERROR(INDEX(T_INGRESO,MATCH(C2114,T_ID,0)),""))</f>
        <v/>
      </c>
      <c r="T2114" s="75" t="str">
        <f aca="false">IF(P2114="","",IFERROR(N(INDEX(T_EGRESO,MATCH(C2114,T_ID,0))),0))</f>
        <v/>
      </c>
      <c r="U2114" s="73" t="str">
        <f aca="false">IF(OR(P2114="",NOT(ISNUMBER(S2114))),"",IF(OR(S2114&gt;EOMONTH(B2114,0),AND(T2114&gt;0,T2114&lt;B2114)),0,IF(AND(S2114&lt;=B2114,OR(T2114=0,T2114&gt;=EOMONTH(B2114,0))),30,MIN(30,IF(T2114=0,EOMONTH(B2114,0),MIN(T2114,EOMONTH(B2114,0)))-MAX(B2114,S2114)+1))))</f>
        <v/>
      </c>
    </row>
    <row r="2115" customFormat="false" ht="15" hidden="false" customHeight="false" outlineLevel="0" collapsed="false">
      <c r="B2115" s="78"/>
      <c r="C2115" s="64"/>
      <c r="D2115" s="70" t="str">
        <f aca="false">IF(C2115="","",IFERROR(INDEX(T_NOMBRE,MATCH(C2115,T_ID,0)),"⚠ ID no existe"))</f>
        <v/>
      </c>
      <c r="E2115" s="69"/>
      <c r="F2115" s="69"/>
      <c r="G2115" s="69"/>
      <c r="H2115" s="69"/>
      <c r="I2115" s="66"/>
      <c r="J2115" s="69"/>
      <c r="K2115" s="67"/>
      <c r="L2115" s="67"/>
      <c r="M2115" s="67"/>
      <c r="N2115" s="67"/>
      <c r="O2115" s="64"/>
      <c r="P2115" s="72" t="str">
        <f aca="false">IF(OR(B2115="",C2115=""),"",C2115&amp;"|"&amp;(YEAR(B2115)*100+MONTH(B2115)))</f>
        <v/>
      </c>
      <c r="Q2115" s="70" t="str">
        <f aca="false">IF(P2115="","",IF(COUNTIF(N_CLAVE,P2115)&gt;1,"⚠ Duplicado","OK"))</f>
        <v/>
      </c>
      <c r="R2115" s="74" t="str">
        <f aca="false">IF(OR(P2115="",U2115=""),"",MAX(0,U2115-N(E2115)-N(F2115)-N(H2115)))</f>
        <v/>
      </c>
      <c r="S2115" s="75" t="str">
        <f aca="false">IF(P2115="","",IFERROR(INDEX(T_INGRESO,MATCH(C2115,T_ID,0)),""))</f>
        <v/>
      </c>
      <c r="T2115" s="75" t="str">
        <f aca="false">IF(P2115="","",IFERROR(N(INDEX(T_EGRESO,MATCH(C2115,T_ID,0))),0))</f>
        <v/>
      </c>
      <c r="U2115" s="73" t="str">
        <f aca="false">IF(OR(P2115="",NOT(ISNUMBER(S2115))),"",IF(OR(S2115&gt;EOMONTH(B2115,0),AND(T2115&gt;0,T2115&lt;B2115)),0,IF(AND(S2115&lt;=B2115,OR(T2115=0,T2115&gt;=EOMONTH(B2115,0))),30,MIN(30,IF(T2115=0,EOMONTH(B2115,0),MIN(T2115,EOMONTH(B2115,0)))-MAX(B2115,S2115)+1))))</f>
        <v/>
      </c>
    </row>
    <row r="2116" customFormat="false" ht="15" hidden="false" customHeight="false" outlineLevel="0" collapsed="false">
      <c r="B2116" s="78"/>
      <c r="C2116" s="64"/>
      <c r="D2116" s="70" t="str">
        <f aca="false">IF(C2116="","",IFERROR(INDEX(T_NOMBRE,MATCH(C2116,T_ID,0)),"⚠ ID no existe"))</f>
        <v/>
      </c>
      <c r="E2116" s="69"/>
      <c r="F2116" s="69"/>
      <c r="G2116" s="69"/>
      <c r="H2116" s="69"/>
      <c r="I2116" s="66"/>
      <c r="J2116" s="69"/>
      <c r="K2116" s="67"/>
      <c r="L2116" s="67"/>
      <c r="M2116" s="67"/>
      <c r="N2116" s="67"/>
      <c r="O2116" s="64"/>
      <c r="P2116" s="72" t="str">
        <f aca="false">IF(OR(B2116="",C2116=""),"",C2116&amp;"|"&amp;(YEAR(B2116)*100+MONTH(B2116)))</f>
        <v/>
      </c>
      <c r="Q2116" s="70" t="str">
        <f aca="false">IF(P2116="","",IF(COUNTIF(N_CLAVE,P2116)&gt;1,"⚠ Duplicado","OK"))</f>
        <v/>
      </c>
      <c r="R2116" s="74" t="str">
        <f aca="false">IF(OR(P2116="",U2116=""),"",MAX(0,U2116-N(E2116)-N(F2116)-N(H2116)))</f>
        <v/>
      </c>
      <c r="S2116" s="75" t="str">
        <f aca="false">IF(P2116="","",IFERROR(INDEX(T_INGRESO,MATCH(C2116,T_ID,0)),""))</f>
        <v/>
      </c>
      <c r="T2116" s="75" t="str">
        <f aca="false">IF(P2116="","",IFERROR(N(INDEX(T_EGRESO,MATCH(C2116,T_ID,0))),0))</f>
        <v/>
      </c>
      <c r="U2116" s="73" t="str">
        <f aca="false">IF(OR(P2116="",NOT(ISNUMBER(S2116))),"",IF(OR(S2116&gt;EOMONTH(B2116,0),AND(T2116&gt;0,T2116&lt;B2116)),0,IF(AND(S2116&lt;=B2116,OR(T2116=0,T2116&gt;=EOMONTH(B2116,0))),30,MIN(30,IF(T2116=0,EOMONTH(B2116,0),MIN(T2116,EOMONTH(B2116,0)))-MAX(B2116,S2116)+1))))</f>
        <v/>
      </c>
    </row>
    <row r="2117" customFormat="false" ht="15" hidden="false" customHeight="false" outlineLevel="0" collapsed="false">
      <c r="B2117" s="78"/>
      <c r="C2117" s="64"/>
      <c r="D2117" s="70" t="str">
        <f aca="false">IF(C2117="","",IFERROR(INDEX(T_NOMBRE,MATCH(C2117,T_ID,0)),"⚠ ID no existe"))</f>
        <v/>
      </c>
      <c r="E2117" s="69"/>
      <c r="F2117" s="69"/>
      <c r="G2117" s="69"/>
      <c r="H2117" s="69"/>
      <c r="I2117" s="66"/>
      <c r="J2117" s="69"/>
      <c r="K2117" s="67"/>
      <c r="L2117" s="67"/>
      <c r="M2117" s="67"/>
      <c r="N2117" s="67"/>
      <c r="O2117" s="64"/>
      <c r="P2117" s="72" t="str">
        <f aca="false">IF(OR(B2117="",C2117=""),"",C2117&amp;"|"&amp;(YEAR(B2117)*100+MONTH(B2117)))</f>
        <v/>
      </c>
      <c r="Q2117" s="70" t="str">
        <f aca="false">IF(P2117="","",IF(COUNTIF(N_CLAVE,P2117)&gt;1,"⚠ Duplicado","OK"))</f>
        <v/>
      </c>
      <c r="R2117" s="74" t="str">
        <f aca="false">IF(OR(P2117="",U2117=""),"",MAX(0,U2117-N(E2117)-N(F2117)-N(H2117)))</f>
        <v/>
      </c>
      <c r="S2117" s="75" t="str">
        <f aca="false">IF(P2117="","",IFERROR(INDEX(T_INGRESO,MATCH(C2117,T_ID,0)),""))</f>
        <v/>
      </c>
      <c r="T2117" s="75" t="str">
        <f aca="false">IF(P2117="","",IFERROR(N(INDEX(T_EGRESO,MATCH(C2117,T_ID,0))),0))</f>
        <v/>
      </c>
      <c r="U2117" s="73" t="str">
        <f aca="false">IF(OR(P2117="",NOT(ISNUMBER(S2117))),"",IF(OR(S2117&gt;EOMONTH(B2117,0),AND(T2117&gt;0,T2117&lt;B2117)),0,IF(AND(S2117&lt;=B2117,OR(T2117=0,T2117&gt;=EOMONTH(B2117,0))),30,MIN(30,IF(T2117=0,EOMONTH(B2117,0),MIN(T2117,EOMONTH(B2117,0)))-MAX(B2117,S2117)+1))))</f>
        <v/>
      </c>
    </row>
    <row r="2118" customFormat="false" ht="15" hidden="false" customHeight="false" outlineLevel="0" collapsed="false">
      <c r="B2118" s="78"/>
      <c r="C2118" s="64"/>
      <c r="D2118" s="70" t="str">
        <f aca="false">IF(C2118="","",IFERROR(INDEX(T_NOMBRE,MATCH(C2118,T_ID,0)),"⚠ ID no existe"))</f>
        <v/>
      </c>
      <c r="E2118" s="69"/>
      <c r="F2118" s="69"/>
      <c r="G2118" s="69"/>
      <c r="H2118" s="69"/>
      <c r="I2118" s="66"/>
      <c r="J2118" s="69"/>
      <c r="K2118" s="67"/>
      <c r="L2118" s="67"/>
      <c r="M2118" s="67"/>
      <c r="N2118" s="67"/>
      <c r="O2118" s="64"/>
      <c r="P2118" s="72" t="str">
        <f aca="false">IF(OR(B2118="",C2118=""),"",C2118&amp;"|"&amp;(YEAR(B2118)*100+MONTH(B2118)))</f>
        <v/>
      </c>
      <c r="Q2118" s="70" t="str">
        <f aca="false">IF(P2118="","",IF(COUNTIF(N_CLAVE,P2118)&gt;1,"⚠ Duplicado","OK"))</f>
        <v/>
      </c>
      <c r="R2118" s="74" t="str">
        <f aca="false">IF(OR(P2118="",U2118=""),"",MAX(0,U2118-N(E2118)-N(F2118)-N(H2118)))</f>
        <v/>
      </c>
      <c r="S2118" s="75" t="str">
        <f aca="false">IF(P2118="","",IFERROR(INDEX(T_INGRESO,MATCH(C2118,T_ID,0)),""))</f>
        <v/>
      </c>
      <c r="T2118" s="75" t="str">
        <f aca="false">IF(P2118="","",IFERROR(N(INDEX(T_EGRESO,MATCH(C2118,T_ID,0))),0))</f>
        <v/>
      </c>
      <c r="U2118" s="73" t="str">
        <f aca="false">IF(OR(P2118="",NOT(ISNUMBER(S2118))),"",IF(OR(S2118&gt;EOMONTH(B2118,0),AND(T2118&gt;0,T2118&lt;B2118)),0,IF(AND(S2118&lt;=B2118,OR(T2118=0,T2118&gt;=EOMONTH(B2118,0))),30,MIN(30,IF(T2118=0,EOMONTH(B2118,0),MIN(T2118,EOMONTH(B2118,0)))-MAX(B2118,S2118)+1))))</f>
        <v/>
      </c>
    </row>
    <row r="2119" customFormat="false" ht="15" hidden="false" customHeight="false" outlineLevel="0" collapsed="false">
      <c r="B2119" s="78"/>
      <c r="C2119" s="64"/>
      <c r="D2119" s="70" t="str">
        <f aca="false">IF(C2119="","",IFERROR(INDEX(T_NOMBRE,MATCH(C2119,T_ID,0)),"⚠ ID no existe"))</f>
        <v/>
      </c>
      <c r="E2119" s="69"/>
      <c r="F2119" s="69"/>
      <c r="G2119" s="69"/>
      <c r="H2119" s="69"/>
      <c r="I2119" s="66"/>
      <c r="J2119" s="69"/>
      <c r="K2119" s="67"/>
      <c r="L2119" s="67"/>
      <c r="M2119" s="67"/>
      <c r="N2119" s="67"/>
      <c r="O2119" s="64"/>
      <c r="P2119" s="72" t="str">
        <f aca="false">IF(OR(B2119="",C2119=""),"",C2119&amp;"|"&amp;(YEAR(B2119)*100+MONTH(B2119)))</f>
        <v/>
      </c>
      <c r="Q2119" s="70" t="str">
        <f aca="false">IF(P2119="","",IF(COUNTIF(N_CLAVE,P2119)&gt;1,"⚠ Duplicado","OK"))</f>
        <v/>
      </c>
      <c r="R2119" s="74" t="str">
        <f aca="false">IF(OR(P2119="",U2119=""),"",MAX(0,U2119-N(E2119)-N(F2119)-N(H2119)))</f>
        <v/>
      </c>
      <c r="S2119" s="75" t="str">
        <f aca="false">IF(P2119="","",IFERROR(INDEX(T_INGRESO,MATCH(C2119,T_ID,0)),""))</f>
        <v/>
      </c>
      <c r="T2119" s="75" t="str">
        <f aca="false">IF(P2119="","",IFERROR(N(INDEX(T_EGRESO,MATCH(C2119,T_ID,0))),0))</f>
        <v/>
      </c>
      <c r="U2119" s="73" t="str">
        <f aca="false">IF(OR(P2119="",NOT(ISNUMBER(S2119))),"",IF(OR(S2119&gt;EOMONTH(B2119,0),AND(T2119&gt;0,T2119&lt;B2119)),0,IF(AND(S2119&lt;=B2119,OR(T2119=0,T2119&gt;=EOMONTH(B2119,0))),30,MIN(30,IF(T2119=0,EOMONTH(B2119,0),MIN(T2119,EOMONTH(B2119,0)))-MAX(B2119,S2119)+1))))</f>
        <v/>
      </c>
    </row>
    <row r="2120" customFormat="false" ht="15" hidden="false" customHeight="false" outlineLevel="0" collapsed="false">
      <c r="B2120" s="78"/>
      <c r="C2120" s="64"/>
      <c r="D2120" s="70" t="str">
        <f aca="false">IF(C2120="","",IFERROR(INDEX(T_NOMBRE,MATCH(C2120,T_ID,0)),"⚠ ID no existe"))</f>
        <v/>
      </c>
      <c r="E2120" s="69"/>
      <c r="F2120" s="69"/>
      <c r="G2120" s="69"/>
      <c r="H2120" s="69"/>
      <c r="I2120" s="66"/>
      <c r="J2120" s="69"/>
      <c r="K2120" s="67"/>
      <c r="L2120" s="67"/>
      <c r="M2120" s="67"/>
      <c r="N2120" s="67"/>
      <c r="O2120" s="64"/>
      <c r="P2120" s="72" t="str">
        <f aca="false">IF(OR(B2120="",C2120=""),"",C2120&amp;"|"&amp;(YEAR(B2120)*100+MONTH(B2120)))</f>
        <v/>
      </c>
      <c r="Q2120" s="70" t="str">
        <f aca="false">IF(P2120="","",IF(COUNTIF(N_CLAVE,P2120)&gt;1,"⚠ Duplicado","OK"))</f>
        <v/>
      </c>
      <c r="R2120" s="74" t="str">
        <f aca="false">IF(OR(P2120="",U2120=""),"",MAX(0,U2120-N(E2120)-N(F2120)-N(H2120)))</f>
        <v/>
      </c>
      <c r="S2120" s="75" t="str">
        <f aca="false">IF(P2120="","",IFERROR(INDEX(T_INGRESO,MATCH(C2120,T_ID,0)),""))</f>
        <v/>
      </c>
      <c r="T2120" s="75" t="str">
        <f aca="false">IF(P2120="","",IFERROR(N(INDEX(T_EGRESO,MATCH(C2120,T_ID,0))),0))</f>
        <v/>
      </c>
      <c r="U2120" s="73" t="str">
        <f aca="false">IF(OR(P2120="",NOT(ISNUMBER(S2120))),"",IF(OR(S2120&gt;EOMONTH(B2120,0),AND(T2120&gt;0,T2120&lt;B2120)),0,IF(AND(S2120&lt;=B2120,OR(T2120=0,T2120&gt;=EOMONTH(B2120,0))),30,MIN(30,IF(T2120=0,EOMONTH(B2120,0),MIN(T2120,EOMONTH(B2120,0)))-MAX(B2120,S2120)+1))))</f>
        <v/>
      </c>
    </row>
    <row r="2121" customFormat="false" ht="15" hidden="false" customHeight="false" outlineLevel="0" collapsed="false">
      <c r="B2121" s="78"/>
      <c r="C2121" s="64"/>
      <c r="D2121" s="70" t="str">
        <f aca="false">IF(C2121="","",IFERROR(INDEX(T_NOMBRE,MATCH(C2121,T_ID,0)),"⚠ ID no existe"))</f>
        <v/>
      </c>
      <c r="E2121" s="69"/>
      <c r="F2121" s="69"/>
      <c r="G2121" s="69"/>
      <c r="H2121" s="69"/>
      <c r="I2121" s="66"/>
      <c r="J2121" s="69"/>
      <c r="K2121" s="67"/>
      <c r="L2121" s="67"/>
      <c r="M2121" s="67"/>
      <c r="N2121" s="67"/>
      <c r="O2121" s="64"/>
      <c r="P2121" s="72" t="str">
        <f aca="false">IF(OR(B2121="",C2121=""),"",C2121&amp;"|"&amp;(YEAR(B2121)*100+MONTH(B2121)))</f>
        <v/>
      </c>
      <c r="Q2121" s="70" t="str">
        <f aca="false">IF(P2121="","",IF(COUNTIF(N_CLAVE,P2121)&gt;1,"⚠ Duplicado","OK"))</f>
        <v/>
      </c>
      <c r="R2121" s="74" t="str">
        <f aca="false">IF(OR(P2121="",U2121=""),"",MAX(0,U2121-N(E2121)-N(F2121)-N(H2121)))</f>
        <v/>
      </c>
      <c r="S2121" s="75" t="str">
        <f aca="false">IF(P2121="","",IFERROR(INDEX(T_INGRESO,MATCH(C2121,T_ID,0)),""))</f>
        <v/>
      </c>
      <c r="T2121" s="75" t="str">
        <f aca="false">IF(P2121="","",IFERROR(N(INDEX(T_EGRESO,MATCH(C2121,T_ID,0))),0))</f>
        <v/>
      </c>
      <c r="U2121" s="73" t="str">
        <f aca="false">IF(OR(P2121="",NOT(ISNUMBER(S2121))),"",IF(OR(S2121&gt;EOMONTH(B2121,0),AND(T2121&gt;0,T2121&lt;B2121)),0,IF(AND(S2121&lt;=B2121,OR(T2121=0,T2121&gt;=EOMONTH(B2121,0))),30,MIN(30,IF(T2121=0,EOMONTH(B2121,0),MIN(T2121,EOMONTH(B2121,0)))-MAX(B2121,S2121)+1))))</f>
        <v/>
      </c>
    </row>
    <row r="2122" customFormat="false" ht="15" hidden="false" customHeight="false" outlineLevel="0" collapsed="false">
      <c r="B2122" s="78"/>
      <c r="C2122" s="64"/>
      <c r="D2122" s="70" t="str">
        <f aca="false">IF(C2122="","",IFERROR(INDEX(T_NOMBRE,MATCH(C2122,T_ID,0)),"⚠ ID no existe"))</f>
        <v/>
      </c>
      <c r="E2122" s="69"/>
      <c r="F2122" s="69"/>
      <c r="G2122" s="69"/>
      <c r="H2122" s="69"/>
      <c r="I2122" s="66"/>
      <c r="J2122" s="69"/>
      <c r="K2122" s="67"/>
      <c r="L2122" s="67"/>
      <c r="M2122" s="67"/>
      <c r="N2122" s="67"/>
      <c r="O2122" s="64"/>
      <c r="P2122" s="72" t="str">
        <f aca="false">IF(OR(B2122="",C2122=""),"",C2122&amp;"|"&amp;(YEAR(B2122)*100+MONTH(B2122)))</f>
        <v/>
      </c>
      <c r="Q2122" s="70" t="str">
        <f aca="false">IF(P2122="","",IF(COUNTIF(N_CLAVE,P2122)&gt;1,"⚠ Duplicado","OK"))</f>
        <v/>
      </c>
      <c r="R2122" s="74" t="str">
        <f aca="false">IF(OR(P2122="",U2122=""),"",MAX(0,U2122-N(E2122)-N(F2122)-N(H2122)))</f>
        <v/>
      </c>
      <c r="S2122" s="75" t="str">
        <f aca="false">IF(P2122="","",IFERROR(INDEX(T_INGRESO,MATCH(C2122,T_ID,0)),""))</f>
        <v/>
      </c>
      <c r="T2122" s="75" t="str">
        <f aca="false">IF(P2122="","",IFERROR(N(INDEX(T_EGRESO,MATCH(C2122,T_ID,0))),0))</f>
        <v/>
      </c>
      <c r="U2122" s="73" t="str">
        <f aca="false">IF(OR(P2122="",NOT(ISNUMBER(S2122))),"",IF(OR(S2122&gt;EOMONTH(B2122,0),AND(T2122&gt;0,T2122&lt;B2122)),0,IF(AND(S2122&lt;=B2122,OR(T2122=0,T2122&gt;=EOMONTH(B2122,0))),30,MIN(30,IF(T2122=0,EOMONTH(B2122,0),MIN(T2122,EOMONTH(B2122,0)))-MAX(B2122,S2122)+1))))</f>
        <v/>
      </c>
    </row>
    <row r="2123" customFormat="false" ht="15" hidden="false" customHeight="false" outlineLevel="0" collapsed="false">
      <c r="B2123" s="78"/>
      <c r="C2123" s="64"/>
      <c r="D2123" s="70" t="str">
        <f aca="false">IF(C2123="","",IFERROR(INDEX(T_NOMBRE,MATCH(C2123,T_ID,0)),"⚠ ID no existe"))</f>
        <v/>
      </c>
      <c r="E2123" s="69"/>
      <c r="F2123" s="69"/>
      <c r="G2123" s="69"/>
      <c r="H2123" s="69"/>
      <c r="I2123" s="66"/>
      <c r="J2123" s="69"/>
      <c r="K2123" s="67"/>
      <c r="L2123" s="67"/>
      <c r="M2123" s="67"/>
      <c r="N2123" s="67"/>
      <c r="O2123" s="64"/>
      <c r="P2123" s="72" t="str">
        <f aca="false">IF(OR(B2123="",C2123=""),"",C2123&amp;"|"&amp;(YEAR(B2123)*100+MONTH(B2123)))</f>
        <v/>
      </c>
      <c r="Q2123" s="70" t="str">
        <f aca="false">IF(P2123="","",IF(COUNTIF(N_CLAVE,P2123)&gt;1,"⚠ Duplicado","OK"))</f>
        <v/>
      </c>
      <c r="R2123" s="74" t="str">
        <f aca="false">IF(OR(P2123="",U2123=""),"",MAX(0,U2123-N(E2123)-N(F2123)-N(H2123)))</f>
        <v/>
      </c>
      <c r="S2123" s="75" t="str">
        <f aca="false">IF(P2123="","",IFERROR(INDEX(T_INGRESO,MATCH(C2123,T_ID,0)),""))</f>
        <v/>
      </c>
      <c r="T2123" s="75" t="str">
        <f aca="false">IF(P2123="","",IFERROR(N(INDEX(T_EGRESO,MATCH(C2123,T_ID,0))),0))</f>
        <v/>
      </c>
      <c r="U2123" s="73" t="str">
        <f aca="false">IF(OR(P2123="",NOT(ISNUMBER(S2123))),"",IF(OR(S2123&gt;EOMONTH(B2123,0),AND(T2123&gt;0,T2123&lt;B2123)),0,IF(AND(S2123&lt;=B2123,OR(T2123=0,T2123&gt;=EOMONTH(B2123,0))),30,MIN(30,IF(T2123=0,EOMONTH(B2123,0),MIN(T2123,EOMONTH(B2123,0)))-MAX(B2123,S2123)+1))))</f>
        <v/>
      </c>
    </row>
    <row r="2124" customFormat="false" ht="15" hidden="false" customHeight="false" outlineLevel="0" collapsed="false">
      <c r="B2124" s="78"/>
      <c r="C2124" s="64"/>
      <c r="D2124" s="70" t="str">
        <f aca="false">IF(C2124="","",IFERROR(INDEX(T_NOMBRE,MATCH(C2124,T_ID,0)),"⚠ ID no existe"))</f>
        <v/>
      </c>
      <c r="E2124" s="69"/>
      <c r="F2124" s="69"/>
      <c r="G2124" s="69"/>
      <c r="H2124" s="69"/>
      <c r="I2124" s="66"/>
      <c r="J2124" s="69"/>
      <c r="K2124" s="67"/>
      <c r="L2124" s="67"/>
      <c r="M2124" s="67"/>
      <c r="N2124" s="67"/>
      <c r="O2124" s="64"/>
      <c r="P2124" s="72" t="str">
        <f aca="false">IF(OR(B2124="",C2124=""),"",C2124&amp;"|"&amp;(YEAR(B2124)*100+MONTH(B2124)))</f>
        <v/>
      </c>
      <c r="Q2124" s="70" t="str">
        <f aca="false">IF(P2124="","",IF(COUNTIF(N_CLAVE,P2124)&gt;1,"⚠ Duplicado","OK"))</f>
        <v/>
      </c>
      <c r="R2124" s="74" t="str">
        <f aca="false">IF(OR(P2124="",U2124=""),"",MAX(0,U2124-N(E2124)-N(F2124)-N(H2124)))</f>
        <v/>
      </c>
      <c r="S2124" s="75" t="str">
        <f aca="false">IF(P2124="","",IFERROR(INDEX(T_INGRESO,MATCH(C2124,T_ID,0)),""))</f>
        <v/>
      </c>
      <c r="T2124" s="75" t="str">
        <f aca="false">IF(P2124="","",IFERROR(N(INDEX(T_EGRESO,MATCH(C2124,T_ID,0))),0))</f>
        <v/>
      </c>
      <c r="U2124" s="73" t="str">
        <f aca="false">IF(OR(P2124="",NOT(ISNUMBER(S2124))),"",IF(OR(S2124&gt;EOMONTH(B2124,0),AND(T2124&gt;0,T2124&lt;B2124)),0,IF(AND(S2124&lt;=B2124,OR(T2124=0,T2124&gt;=EOMONTH(B2124,0))),30,MIN(30,IF(T2124=0,EOMONTH(B2124,0),MIN(T2124,EOMONTH(B2124,0)))-MAX(B2124,S2124)+1))))</f>
        <v/>
      </c>
    </row>
    <row r="2125" customFormat="false" ht="15" hidden="false" customHeight="false" outlineLevel="0" collapsed="false">
      <c r="B2125" s="78"/>
      <c r="C2125" s="64"/>
      <c r="D2125" s="70" t="str">
        <f aca="false">IF(C2125="","",IFERROR(INDEX(T_NOMBRE,MATCH(C2125,T_ID,0)),"⚠ ID no existe"))</f>
        <v/>
      </c>
      <c r="E2125" s="69"/>
      <c r="F2125" s="69"/>
      <c r="G2125" s="69"/>
      <c r="H2125" s="69"/>
      <c r="I2125" s="66"/>
      <c r="J2125" s="69"/>
      <c r="K2125" s="67"/>
      <c r="L2125" s="67"/>
      <c r="M2125" s="67"/>
      <c r="N2125" s="67"/>
      <c r="O2125" s="64"/>
      <c r="P2125" s="72" t="str">
        <f aca="false">IF(OR(B2125="",C2125=""),"",C2125&amp;"|"&amp;(YEAR(B2125)*100+MONTH(B2125)))</f>
        <v/>
      </c>
      <c r="Q2125" s="70" t="str">
        <f aca="false">IF(P2125="","",IF(COUNTIF(N_CLAVE,P2125)&gt;1,"⚠ Duplicado","OK"))</f>
        <v/>
      </c>
      <c r="R2125" s="74" t="str">
        <f aca="false">IF(OR(P2125="",U2125=""),"",MAX(0,U2125-N(E2125)-N(F2125)-N(H2125)))</f>
        <v/>
      </c>
      <c r="S2125" s="75" t="str">
        <f aca="false">IF(P2125="","",IFERROR(INDEX(T_INGRESO,MATCH(C2125,T_ID,0)),""))</f>
        <v/>
      </c>
      <c r="T2125" s="75" t="str">
        <f aca="false">IF(P2125="","",IFERROR(N(INDEX(T_EGRESO,MATCH(C2125,T_ID,0))),0))</f>
        <v/>
      </c>
      <c r="U2125" s="73" t="str">
        <f aca="false">IF(OR(P2125="",NOT(ISNUMBER(S2125))),"",IF(OR(S2125&gt;EOMONTH(B2125,0),AND(T2125&gt;0,T2125&lt;B2125)),0,IF(AND(S2125&lt;=B2125,OR(T2125=0,T2125&gt;=EOMONTH(B2125,0))),30,MIN(30,IF(T2125=0,EOMONTH(B2125,0),MIN(T2125,EOMONTH(B2125,0)))-MAX(B2125,S2125)+1))))</f>
        <v/>
      </c>
    </row>
    <row r="2126" customFormat="false" ht="15" hidden="false" customHeight="false" outlineLevel="0" collapsed="false">
      <c r="B2126" s="78"/>
      <c r="C2126" s="64"/>
      <c r="D2126" s="70" t="str">
        <f aca="false">IF(C2126="","",IFERROR(INDEX(T_NOMBRE,MATCH(C2126,T_ID,0)),"⚠ ID no existe"))</f>
        <v/>
      </c>
      <c r="E2126" s="69"/>
      <c r="F2126" s="69"/>
      <c r="G2126" s="69"/>
      <c r="H2126" s="69"/>
      <c r="I2126" s="66"/>
      <c r="J2126" s="69"/>
      <c r="K2126" s="67"/>
      <c r="L2126" s="67"/>
      <c r="M2126" s="67"/>
      <c r="N2126" s="67"/>
      <c r="O2126" s="64"/>
      <c r="P2126" s="72" t="str">
        <f aca="false">IF(OR(B2126="",C2126=""),"",C2126&amp;"|"&amp;(YEAR(B2126)*100+MONTH(B2126)))</f>
        <v/>
      </c>
      <c r="Q2126" s="70" t="str">
        <f aca="false">IF(P2126="","",IF(COUNTIF(N_CLAVE,P2126)&gt;1,"⚠ Duplicado","OK"))</f>
        <v/>
      </c>
      <c r="R2126" s="74" t="str">
        <f aca="false">IF(OR(P2126="",U2126=""),"",MAX(0,U2126-N(E2126)-N(F2126)-N(H2126)))</f>
        <v/>
      </c>
      <c r="S2126" s="75" t="str">
        <f aca="false">IF(P2126="","",IFERROR(INDEX(T_INGRESO,MATCH(C2126,T_ID,0)),""))</f>
        <v/>
      </c>
      <c r="T2126" s="75" t="str">
        <f aca="false">IF(P2126="","",IFERROR(N(INDEX(T_EGRESO,MATCH(C2126,T_ID,0))),0))</f>
        <v/>
      </c>
      <c r="U2126" s="73" t="str">
        <f aca="false">IF(OR(P2126="",NOT(ISNUMBER(S2126))),"",IF(OR(S2126&gt;EOMONTH(B2126,0),AND(T2126&gt;0,T2126&lt;B2126)),0,IF(AND(S2126&lt;=B2126,OR(T2126=0,T2126&gt;=EOMONTH(B2126,0))),30,MIN(30,IF(T2126=0,EOMONTH(B2126,0),MIN(T2126,EOMONTH(B2126,0)))-MAX(B2126,S2126)+1))))</f>
        <v/>
      </c>
    </row>
    <row r="2127" customFormat="false" ht="15" hidden="false" customHeight="false" outlineLevel="0" collapsed="false">
      <c r="B2127" s="78"/>
      <c r="C2127" s="64"/>
      <c r="D2127" s="70" t="str">
        <f aca="false">IF(C2127="","",IFERROR(INDEX(T_NOMBRE,MATCH(C2127,T_ID,0)),"⚠ ID no existe"))</f>
        <v/>
      </c>
      <c r="E2127" s="69"/>
      <c r="F2127" s="69"/>
      <c r="G2127" s="69"/>
      <c r="H2127" s="69"/>
      <c r="I2127" s="66"/>
      <c r="J2127" s="69"/>
      <c r="K2127" s="67"/>
      <c r="L2127" s="67"/>
      <c r="M2127" s="67"/>
      <c r="N2127" s="67"/>
      <c r="O2127" s="64"/>
      <c r="P2127" s="72" t="str">
        <f aca="false">IF(OR(B2127="",C2127=""),"",C2127&amp;"|"&amp;(YEAR(B2127)*100+MONTH(B2127)))</f>
        <v/>
      </c>
      <c r="Q2127" s="70" t="str">
        <f aca="false">IF(P2127="","",IF(COUNTIF(N_CLAVE,P2127)&gt;1,"⚠ Duplicado","OK"))</f>
        <v/>
      </c>
      <c r="R2127" s="74" t="str">
        <f aca="false">IF(OR(P2127="",U2127=""),"",MAX(0,U2127-N(E2127)-N(F2127)-N(H2127)))</f>
        <v/>
      </c>
      <c r="S2127" s="75" t="str">
        <f aca="false">IF(P2127="","",IFERROR(INDEX(T_INGRESO,MATCH(C2127,T_ID,0)),""))</f>
        <v/>
      </c>
      <c r="T2127" s="75" t="str">
        <f aca="false">IF(P2127="","",IFERROR(N(INDEX(T_EGRESO,MATCH(C2127,T_ID,0))),0))</f>
        <v/>
      </c>
      <c r="U2127" s="73" t="str">
        <f aca="false">IF(OR(P2127="",NOT(ISNUMBER(S2127))),"",IF(OR(S2127&gt;EOMONTH(B2127,0),AND(T2127&gt;0,T2127&lt;B2127)),0,IF(AND(S2127&lt;=B2127,OR(T2127=0,T2127&gt;=EOMONTH(B2127,0))),30,MIN(30,IF(T2127=0,EOMONTH(B2127,0),MIN(T2127,EOMONTH(B2127,0)))-MAX(B2127,S2127)+1))))</f>
        <v/>
      </c>
    </row>
    <row r="2128" customFormat="false" ht="15" hidden="false" customHeight="false" outlineLevel="0" collapsed="false">
      <c r="B2128" s="78"/>
      <c r="C2128" s="64"/>
      <c r="D2128" s="70" t="str">
        <f aca="false">IF(C2128="","",IFERROR(INDEX(T_NOMBRE,MATCH(C2128,T_ID,0)),"⚠ ID no existe"))</f>
        <v/>
      </c>
      <c r="E2128" s="69"/>
      <c r="F2128" s="69"/>
      <c r="G2128" s="69"/>
      <c r="H2128" s="69"/>
      <c r="I2128" s="66"/>
      <c r="J2128" s="69"/>
      <c r="K2128" s="67"/>
      <c r="L2128" s="67"/>
      <c r="M2128" s="67"/>
      <c r="N2128" s="67"/>
      <c r="O2128" s="64"/>
      <c r="P2128" s="72" t="str">
        <f aca="false">IF(OR(B2128="",C2128=""),"",C2128&amp;"|"&amp;(YEAR(B2128)*100+MONTH(B2128)))</f>
        <v/>
      </c>
      <c r="Q2128" s="70" t="str">
        <f aca="false">IF(P2128="","",IF(COUNTIF(N_CLAVE,P2128)&gt;1,"⚠ Duplicado","OK"))</f>
        <v/>
      </c>
      <c r="R2128" s="74" t="str">
        <f aca="false">IF(OR(P2128="",U2128=""),"",MAX(0,U2128-N(E2128)-N(F2128)-N(H2128)))</f>
        <v/>
      </c>
      <c r="S2128" s="75" t="str">
        <f aca="false">IF(P2128="","",IFERROR(INDEX(T_INGRESO,MATCH(C2128,T_ID,0)),""))</f>
        <v/>
      </c>
      <c r="T2128" s="75" t="str">
        <f aca="false">IF(P2128="","",IFERROR(N(INDEX(T_EGRESO,MATCH(C2128,T_ID,0))),0))</f>
        <v/>
      </c>
      <c r="U2128" s="73" t="str">
        <f aca="false">IF(OR(P2128="",NOT(ISNUMBER(S2128))),"",IF(OR(S2128&gt;EOMONTH(B2128,0),AND(T2128&gt;0,T2128&lt;B2128)),0,IF(AND(S2128&lt;=B2128,OR(T2128=0,T2128&gt;=EOMONTH(B2128,0))),30,MIN(30,IF(T2128=0,EOMONTH(B2128,0),MIN(T2128,EOMONTH(B2128,0)))-MAX(B2128,S2128)+1))))</f>
        <v/>
      </c>
    </row>
    <row r="2129" customFormat="false" ht="15" hidden="false" customHeight="false" outlineLevel="0" collapsed="false">
      <c r="B2129" s="78"/>
      <c r="C2129" s="64"/>
      <c r="D2129" s="70" t="str">
        <f aca="false">IF(C2129="","",IFERROR(INDEX(T_NOMBRE,MATCH(C2129,T_ID,0)),"⚠ ID no existe"))</f>
        <v/>
      </c>
      <c r="E2129" s="69"/>
      <c r="F2129" s="69"/>
      <c r="G2129" s="69"/>
      <c r="H2129" s="69"/>
      <c r="I2129" s="66"/>
      <c r="J2129" s="69"/>
      <c r="K2129" s="67"/>
      <c r="L2129" s="67"/>
      <c r="M2129" s="67"/>
      <c r="N2129" s="67"/>
      <c r="O2129" s="64"/>
      <c r="P2129" s="72" t="str">
        <f aca="false">IF(OR(B2129="",C2129=""),"",C2129&amp;"|"&amp;(YEAR(B2129)*100+MONTH(B2129)))</f>
        <v/>
      </c>
      <c r="Q2129" s="70" t="str">
        <f aca="false">IF(P2129="","",IF(COUNTIF(N_CLAVE,P2129)&gt;1,"⚠ Duplicado","OK"))</f>
        <v/>
      </c>
      <c r="R2129" s="74" t="str">
        <f aca="false">IF(OR(P2129="",U2129=""),"",MAX(0,U2129-N(E2129)-N(F2129)-N(H2129)))</f>
        <v/>
      </c>
      <c r="S2129" s="75" t="str">
        <f aca="false">IF(P2129="","",IFERROR(INDEX(T_INGRESO,MATCH(C2129,T_ID,0)),""))</f>
        <v/>
      </c>
      <c r="T2129" s="75" t="str">
        <f aca="false">IF(P2129="","",IFERROR(N(INDEX(T_EGRESO,MATCH(C2129,T_ID,0))),0))</f>
        <v/>
      </c>
      <c r="U2129" s="73" t="str">
        <f aca="false">IF(OR(P2129="",NOT(ISNUMBER(S2129))),"",IF(OR(S2129&gt;EOMONTH(B2129,0),AND(T2129&gt;0,T2129&lt;B2129)),0,IF(AND(S2129&lt;=B2129,OR(T2129=0,T2129&gt;=EOMONTH(B2129,0))),30,MIN(30,IF(T2129=0,EOMONTH(B2129,0),MIN(T2129,EOMONTH(B2129,0)))-MAX(B2129,S2129)+1))))</f>
        <v/>
      </c>
    </row>
    <row r="2130" customFormat="false" ht="15" hidden="false" customHeight="false" outlineLevel="0" collapsed="false">
      <c r="B2130" s="78"/>
      <c r="C2130" s="64"/>
      <c r="D2130" s="70" t="str">
        <f aca="false">IF(C2130="","",IFERROR(INDEX(T_NOMBRE,MATCH(C2130,T_ID,0)),"⚠ ID no existe"))</f>
        <v/>
      </c>
      <c r="E2130" s="69"/>
      <c r="F2130" s="69"/>
      <c r="G2130" s="69"/>
      <c r="H2130" s="69"/>
      <c r="I2130" s="66"/>
      <c r="J2130" s="69"/>
      <c r="K2130" s="67"/>
      <c r="L2130" s="67"/>
      <c r="M2130" s="67"/>
      <c r="N2130" s="67"/>
      <c r="O2130" s="64"/>
      <c r="P2130" s="72" t="str">
        <f aca="false">IF(OR(B2130="",C2130=""),"",C2130&amp;"|"&amp;(YEAR(B2130)*100+MONTH(B2130)))</f>
        <v/>
      </c>
      <c r="Q2130" s="70" t="str">
        <f aca="false">IF(P2130="","",IF(COUNTIF(N_CLAVE,P2130)&gt;1,"⚠ Duplicado","OK"))</f>
        <v/>
      </c>
      <c r="R2130" s="74" t="str">
        <f aca="false">IF(OR(P2130="",U2130=""),"",MAX(0,U2130-N(E2130)-N(F2130)-N(H2130)))</f>
        <v/>
      </c>
      <c r="S2130" s="75" t="str">
        <f aca="false">IF(P2130="","",IFERROR(INDEX(T_INGRESO,MATCH(C2130,T_ID,0)),""))</f>
        <v/>
      </c>
      <c r="T2130" s="75" t="str">
        <f aca="false">IF(P2130="","",IFERROR(N(INDEX(T_EGRESO,MATCH(C2130,T_ID,0))),0))</f>
        <v/>
      </c>
      <c r="U2130" s="73" t="str">
        <f aca="false">IF(OR(P2130="",NOT(ISNUMBER(S2130))),"",IF(OR(S2130&gt;EOMONTH(B2130,0),AND(T2130&gt;0,T2130&lt;B2130)),0,IF(AND(S2130&lt;=B2130,OR(T2130=0,T2130&gt;=EOMONTH(B2130,0))),30,MIN(30,IF(T2130=0,EOMONTH(B2130,0),MIN(T2130,EOMONTH(B2130,0)))-MAX(B2130,S2130)+1))))</f>
        <v/>
      </c>
    </row>
    <row r="2131" customFormat="false" ht="15" hidden="false" customHeight="false" outlineLevel="0" collapsed="false">
      <c r="B2131" s="78"/>
      <c r="C2131" s="64"/>
      <c r="D2131" s="70" t="str">
        <f aca="false">IF(C2131="","",IFERROR(INDEX(T_NOMBRE,MATCH(C2131,T_ID,0)),"⚠ ID no existe"))</f>
        <v/>
      </c>
      <c r="E2131" s="69"/>
      <c r="F2131" s="69"/>
      <c r="G2131" s="69"/>
      <c r="H2131" s="69"/>
      <c r="I2131" s="66"/>
      <c r="J2131" s="69"/>
      <c r="K2131" s="67"/>
      <c r="L2131" s="67"/>
      <c r="M2131" s="67"/>
      <c r="N2131" s="67"/>
      <c r="O2131" s="64"/>
      <c r="P2131" s="72" t="str">
        <f aca="false">IF(OR(B2131="",C2131=""),"",C2131&amp;"|"&amp;(YEAR(B2131)*100+MONTH(B2131)))</f>
        <v/>
      </c>
      <c r="Q2131" s="70" t="str">
        <f aca="false">IF(P2131="","",IF(COUNTIF(N_CLAVE,P2131)&gt;1,"⚠ Duplicado","OK"))</f>
        <v/>
      </c>
      <c r="R2131" s="74" t="str">
        <f aca="false">IF(OR(P2131="",U2131=""),"",MAX(0,U2131-N(E2131)-N(F2131)-N(H2131)))</f>
        <v/>
      </c>
      <c r="S2131" s="75" t="str">
        <f aca="false">IF(P2131="","",IFERROR(INDEX(T_INGRESO,MATCH(C2131,T_ID,0)),""))</f>
        <v/>
      </c>
      <c r="T2131" s="75" t="str">
        <f aca="false">IF(P2131="","",IFERROR(N(INDEX(T_EGRESO,MATCH(C2131,T_ID,0))),0))</f>
        <v/>
      </c>
      <c r="U2131" s="73" t="str">
        <f aca="false">IF(OR(P2131="",NOT(ISNUMBER(S2131))),"",IF(OR(S2131&gt;EOMONTH(B2131,0),AND(T2131&gt;0,T2131&lt;B2131)),0,IF(AND(S2131&lt;=B2131,OR(T2131=0,T2131&gt;=EOMONTH(B2131,0))),30,MIN(30,IF(T2131=0,EOMONTH(B2131,0),MIN(T2131,EOMONTH(B2131,0)))-MAX(B2131,S2131)+1))))</f>
        <v/>
      </c>
    </row>
    <row r="2132" customFormat="false" ht="15" hidden="false" customHeight="false" outlineLevel="0" collapsed="false">
      <c r="B2132" s="78"/>
      <c r="C2132" s="64"/>
      <c r="D2132" s="70" t="str">
        <f aca="false">IF(C2132="","",IFERROR(INDEX(T_NOMBRE,MATCH(C2132,T_ID,0)),"⚠ ID no existe"))</f>
        <v/>
      </c>
      <c r="E2132" s="69"/>
      <c r="F2132" s="69"/>
      <c r="G2132" s="69"/>
      <c r="H2132" s="69"/>
      <c r="I2132" s="66"/>
      <c r="J2132" s="69"/>
      <c r="K2132" s="67"/>
      <c r="L2132" s="67"/>
      <c r="M2132" s="67"/>
      <c r="N2132" s="67"/>
      <c r="O2132" s="64"/>
      <c r="P2132" s="72" t="str">
        <f aca="false">IF(OR(B2132="",C2132=""),"",C2132&amp;"|"&amp;(YEAR(B2132)*100+MONTH(B2132)))</f>
        <v/>
      </c>
      <c r="Q2132" s="70" t="str">
        <f aca="false">IF(P2132="","",IF(COUNTIF(N_CLAVE,P2132)&gt;1,"⚠ Duplicado","OK"))</f>
        <v/>
      </c>
      <c r="R2132" s="74" t="str">
        <f aca="false">IF(OR(P2132="",U2132=""),"",MAX(0,U2132-N(E2132)-N(F2132)-N(H2132)))</f>
        <v/>
      </c>
      <c r="S2132" s="75" t="str">
        <f aca="false">IF(P2132="","",IFERROR(INDEX(T_INGRESO,MATCH(C2132,T_ID,0)),""))</f>
        <v/>
      </c>
      <c r="T2132" s="75" t="str">
        <f aca="false">IF(P2132="","",IFERROR(N(INDEX(T_EGRESO,MATCH(C2132,T_ID,0))),0))</f>
        <v/>
      </c>
      <c r="U2132" s="73" t="str">
        <f aca="false">IF(OR(P2132="",NOT(ISNUMBER(S2132))),"",IF(OR(S2132&gt;EOMONTH(B2132,0),AND(T2132&gt;0,T2132&lt;B2132)),0,IF(AND(S2132&lt;=B2132,OR(T2132=0,T2132&gt;=EOMONTH(B2132,0))),30,MIN(30,IF(T2132=0,EOMONTH(B2132,0),MIN(T2132,EOMONTH(B2132,0)))-MAX(B2132,S2132)+1))))</f>
        <v/>
      </c>
    </row>
    <row r="2133" customFormat="false" ht="15" hidden="false" customHeight="false" outlineLevel="0" collapsed="false">
      <c r="B2133" s="78"/>
      <c r="C2133" s="64"/>
      <c r="D2133" s="70" t="str">
        <f aca="false">IF(C2133="","",IFERROR(INDEX(T_NOMBRE,MATCH(C2133,T_ID,0)),"⚠ ID no existe"))</f>
        <v/>
      </c>
      <c r="E2133" s="69"/>
      <c r="F2133" s="69"/>
      <c r="G2133" s="69"/>
      <c r="H2133" s="69"/>
      <c r="I2133" s="66"/>
      <c r="J2133" s="69"/>
      <c r="K2133" s="67"/>
      <c r="L2133" s="67"/>
      <c r="M2133" s="67"/>
      <c r="N2133" s="67"/>
      <c r="O2133" s="64"/>
      <c r="P2133" s="72" t="str">
        <f aca="false">IF(OR(B2133="",C2133=""),"",C2133&amp;"|"&amp;(YEAR(B2133)*100+MONTH(B2133)))</f>
        <v/>
      </c>
      <c r="Q2133" s="70" t="str">
        <f aca="false">IF(P2133="","",IF(COUNTIF(N_CLAVE,P2133)&gt;1,"⚠ Duplicado","OK"))</f>
        <v/>
      </c>
      <c r="R2133" s="74" t="str">
        <f aca="false">IF(OR(P2133="",U2133=""),"",MAX(0,U2133-N(E2133)-N(F2133)-N(H2133)))</f>
        <v/>
      </c>
      <c r="S2133" s="75" t="str">
        <f aca="false">IF(P2133="","",IFERROR(INDEX(T_INGRESO,MATCH(C2133,T_ID,0)),""))</f>
        <v/>
      </c>
      <c r="T2133" s="75" t="str">
        <f aca="false">IF(P2133="","",IFERROR(N(INDEX(T_EGRESO,MATCH(C2133,T_ID,0))),0))</f>
        <v/>
      </c>
      <c r="U2133" s="73" t="str">
        <f aca="false">IF(OR(P2133="",NOT(ISNUMBER(S2133))),"",IF(OR(S2133&gt;EOMONTH(B2133,0),AND(T2133&gt;0,T2133&lt;B2133)),0,IF(AND(S2133&lt;=B2133,OR(T2133=0,T2133&gt;=EOMONTH(B2133,0))),30,MIN(30,IF(T2133=0,EOMONTH(B2133,0),MIN(T2133,EOMONTH(B2133,0)))-MAX(B2133,S2133)+1))))</f>
        <v/>
      </c>
    </row>
    <row r="2134" customFormat="false" ht="15" hidden="false" customHeight="false" outlineLevel="0" collapsed="false">
      <c r="B2134" s="78"/>
      <c r="C2134" s="64"/>
      <c r="D2134" s="70" t="str">
        <f aca="false">IF(C2134="","",IFERROR(INDEX(T_NOMBRE,MATCH(C2134,T_ID,0)),"⚠ ID no existe"))</f>
        <v/>
      </c>
      <c r="E2134" s="69"/>
      <c r="F2134" s="69"/>
      <c r="G2134" s="69"/>
      <c r="H2134" s="69"/>
      <c r="I2134" s="66"/>
      <c r="J2134" s="69"/>
      <c r="K2134" s="67"/>
      <c r="L2134" s="67"/>
      <c r="M2134" s="67"/>
      <c r="N2134" s="67"/>
      <c r="O2134" s="64"/>
      <c r="P2134" s="72" t="str">
        <f aca="false">IF(OR(B2134="",C2134=""),"",C2134&amp;"|"&amp;(YEAR(B2134)*100+MONTH(B2134)))</f>
        <v/>
      </c>
      <c r="Q2134" s="70" t="str">
        <f aca="false">IF(P2134="","",IF(COUNTIF(N_CLAVE,P2134)&gt;1,"⚠ Duplicado","OK"))</f>
        <v/>
      </c>
      <c r="R2134" s="74" t="str">
        <f aca="false">IF(OR(P2134="",U2134=""),"",MAX(0,U2134-N(E2134)-N(F2134)-N(H2134)))</f>
        <v/>
      </c>
      <c r="S2134" s="75" t="str">
        <f aca="false">IF(P2134="","",IFERROR(INDEX(T_INGRESO,MATCH(C2134,T_ID,0)),""))</f>
        <v/>
      </c>
      <c r="T2134" s="75" t="str">
        <f aca="false">IF(P2134="","",IFERROR(N(INDEX(T_EGRESO,MATCH(C2134,T_ID,0))),0))</f>
        <v/>
      </c>
      <c r="U2134" s="73" t="str">
        <f aca="false">IF(OR(P2134="",NOT(ISNUMBER(S2134))),"",IF(OR(S2134&gt;EOMONTH(B2134,0),AND(T2134&gt;0,T2134&lt;B2134)),0,IF(AND(S2134&lt;=B2134,OR(T2134=0,T2134&gt;=EOMONTH(B2134,0))),30,MIN(30,IF(T2134=0,EOMONTH(B2134,0),MIN(T2134,EOMONTH(B2134,0)))-MAX(B2134,S2134)+1))))</f>
        <v/>
      </c>
    </row>
    <row r="2135" customFormat="false" ht="15" hidden="false" customHeight="false" outlineLevel="0" collapsed="false">
      <c r="B2135" s="78"/>
      <c r="C2135" s="64"/>
      <c r="D2135" s="70" t="str">
        <f aca="false">IF(C2135="","",IFERROR(INDEX(T_NOMBRE,MATCH(C2135,T_ID,0)),"⚠ ID no existe"))</f>
        <v/>
      </c>
      <c r="E2135" s="69"/>
      <c r="F2135" s="69"/>
      <c r="G2135" s="69"/>
      <c r="H2135" s="69"/>
      <c r="I2135" s="66"/>
      <c r="J2135" s="69"/>
      <c r="K2135" s="67"/>
      <c r="L2135" s="67"/>
      <c r="M2135" s="67"/>
      <c r="N2135" s="67"/>
      <c r="O2135" s="64"/>
      <c r="P2135" s="72" t="str">
        <f aca="false">IF(OR(B2135="",C2135=""),"",C2135&amp;"|"&amp;(YEAR(B2135)*100+MONTH(B2135)))</f>
        <v/>
      </c>
      <c r="Q2135" s="70" t="str">
        <f aca="false">IF(P2135="","",IF(COUNTIF(N_CLAVE,P2135)&gt;1,"⚠ Duplicado","OK"))</f>
        <v/>
      </c>
      <c r="R2135" s="74" t="str">
        <f aca="false">IF(OR(P2135="",U2135=""),"",MAX(0,U2135-N(E2135)-N(F2135)-N(H2135)))</f>
        <v/>
      </c>
      <c r="S2135" s="75" t="str">
        <f aca="false">IF(P2135="","",IFERROR(INDEX(T_INGRESO,MATCH(C2135,T_ID,0)),""))</f>
        <v/>
      </c>
      <c r="T2135" s="75" t="str">
        <f aca="false">IF(P2135="","",IFERROR(N(INDEX(T_EGRESO,MATCH(C2135,T_ID,0))),0))</f>
        <v/>
      </c>
      <c r="U2135" s="73" t="str">
        <f aca="false">IF(OR(P2135="",NOT(ISNUMBER(S2135))),"",IF(OR(S2135&gt;EOMONTH(B2135,0),AND(T2135&gt;0,T2135&lt;B2135)),0,IF(AND(S2135&lt;=B2135,OR(T2135=0,T2135&gt;=EOMONTH(B2135,0))),30,MIN(30,IF(T2135=0,EOMONTH(B2135,0),MIN(T2135,EOMONTH(B2135,0)))-MAX(B2135,S2135)+1))))</f>
        <v/>
      </c>
    </row>
    <row r="2136" customFormat="false" ht="15" hidden="false" customHeight="false" outlineLevel="0" collapsed="false">
      <c r="B2136" s="78"/>
      <c r="C2136" s="64"/>
      <c r="D2136" s="70" t="str">
        <f aca="false">IF(C2136="","",IFERROR(INDEX(T_NOMBRE,MATCH(C2136,T_ID,0)),"⚠ ID no existe"))</f>
        <v/>
      </c>
      <c r="E2136" s="69"/>
      <c r="F2136" s="69"/>
      <c r="G2136" s="69"/>
      <c r="H2136" s="69"/>
      <c r="I2136" s="66"/>
      <c r="J2136" s="69"/>
      <c r="K2136" s="67"/>
      <c r="L2136" s="67"/>
      <c r="M2136" s="67"/>
      <c r="N2136" s="67"/>
      <c r="O2136" s="64"/>
      <c r="P2136" s="72" t="str">
        <f aca="false">IF(OR(B2136="",C2136=""),"",C2136&amp;"|"&amp;(YEAR(B2136)*100+MONTH(B2136)))</f>
        <v/>
      </c>
      <c r="Q2136" s="70" t="str">
        <f aca="false">IF(P2136="","",IF(COUNTIF(N_CLAVE,P2136)&gt;1,"⚠ Duplicado","OK"))</f>
        <v/>
      </c>
      <c r="R2136" s="74" t="str">
        <f aca="false">IF(OR(P2136="",U2136=""),"",MAX(0,U2136-N(E2136)-N(F2136)-N(H2136)))</f>
        <v/>
      </c>
      <c r="S2136" s="75" t="str">
        <f aca="false">IF(P2136="","",IFERROR(INDEX(T_INGRESO,MATCH(C2136,T_ID,0)),""))</f>
        <v/>
      </c>
      <c r="T2136" s="75" t="str">
        <f aca="false">IF(P2136="","",IFERROR(N(INDEX(T_EGRESO,MATCH(C2136,T_ID,0))),0))</f>
        <v/>
      </c>
      <c r="U2136" s="73" t="str">
        <f aca="false">IF(OR(P2136="",NOT(ISNUMBER(S2136))),"",IF(OR(S2136&gt;EOMONTH(B2136,0),AND(T2136&gt;0,T2136&lt;B2136)),0,IF(AND(S2136&lt;=B2136,OR(T2136=0,T2136&gt;=EOMONTH(B2136,0))),30,MIN(30,IF(T2136=0,EOMONTH(B2136,0),MIN(T2136,EOMONTH(B2136,0)))-MAX(B2136,S2136)+1))))</f>
        <v/>
      </c>
    </row>
    <row r="2137" customFormat="false" ht="15" hidden="false" customHeight="false" outlineLevel="0" collapsed="false">
      <c r="B2137" s="78"/>
      <c r="C2137" s="64"/>
      <c r="D2137" s="70" t="str">
        <f aca="false">IF(C2137="","",IFERROR(INDEX(T_NOMBRE,MATCH(C2137,T_ID,0)),"⚠ ID no existe"))</f>
        <v/>
      </c>
      <c r="E2137" s="69"/>
      <c r="F2137" s="69"/>
      <c r="G2137" s="69"/>
      <c r="H2137" s="69"/>
      <c r="I2137" s="66"/>
      <c r="J2137" s="69"/>
      <c r="K2137" s="67"/>
      <c r="L2137" s="67"/>
      <c r="M2137" s="67"/>
      <c r="N2137" s="67"/>
      <c r="O2137" s="64"/>
      <c r="P2137" s="72" t="str">
        <f aca="false">IF(OR(B2137="",C2137=""),"",C2137&amp;"|"&amp;(YEAR(B2137)*100+MONTH(B2137)))</f>
        <v/>
      </c>
      <c r="Q2137" s="70" t="str">
        <f aca="false">IF(P2137="","",IF(COUNTIF(N_CLAVE,P2137)&gt;1,"⚠ Duplicado","OK"))</f>
        <v/>
      </c>
      <c r="R2137" s="74" t="str">
        <f aca="false">IF(OR(P2137="",U2137=""),"",MAX(0,U2137-N(E2137)-N(F2137)-N(H2137)))</f>
        <v/>
      </c>
      <c r="S2137" s="75" t="str">
        <f aca="false">IF(P2137="","",IFERROR(INDEX(T_INGRESO,MATCH(C2137,T_ID,0)),""))</f>
        <v/>
      </c>
      <c r="T2137" s="75" t="str">
        <f aca="false">IF(P2137="","",IFERROR(N(INDEX(T_EGRESO,MATCH(C2137,T_ID,0))),0))</f>
        <v/>
      </c>
      <c r="U2137" s="73" t="str">
        <f aca="false">IF(OR(P2137="",NOT(ISNUMBER(S2137))),"",IF(OR(S2137&gt;EOMONTH(B2137,0),AND(T2137&gt;0,T2137&lt;B2137)),0,IF(AND(S2137&lt;=B2137,OR(T2137=0,T2137&gt;=EOMONTH(B2137,0))),30,MIN(30,IF(T2137=0,EOMONTH(B2137,0),MIN(T2137,EOMONTH(B2137,0)))-MAX(B2137,S2137)+1))))</f>
        <v/>
      </c>
    </row>
    <row r="2138" customFormat="false" ht="15" hidden="false" customHeight="false" outlineLevel="0" collapsed="false">
      <c r="B2138" s="78"/>
      <c r="C2138" s="64"/>
      <c r="D2138" s="70" t="str">
        <f aca="false">IF(C2138="","",IFERROR(INDEX(T_NOMBRE,MATCH(C2138,T_ID,0)),"⚠ ID no existe"))</f>
        <v/>
      </c>
      <c r="E2138" s="69"/>
      <c r="F2138" s="69"/>
      <c r="G2138" s="69"/>
      <c r="H2138" s="69"/>
      <c r="I2138" s="66"/>
      <c r="J2138" s="69"/>
      <c r="K2138" s="67"/>
      <c r="L2138" s="67"/>
      <c r="M2138" s="67"/>
      <c r="N2138" s="67"/>
      <c r="O2138" s="64"/>
      <c r="P2138" s="72" t="str">
        <f aca="false">IF(OR(B2138="",C2138=""),"",C2138&amp;"|"&amp;(YEAR(B2138)*100+MONTH(B2138)))</f>
        <v/>
      </c>
      <c r="Q2138" s="70" t="str">
        <f aca="false">IF(P2138="","",IF(COUNTIF(N_CLAVE,P2138)&gt;1,"⚠ Duplicado","OK"))</f>
        <v/>
      </c>
      <c r="R2138" s="74" t="str">
        <f aca="false">IF(OR(P2138="",U2138=""),"",MAX(0,U2138-N(E2138)-N(F2138)-N(H2138)))</f>
        <v/>
      </c>
      <c r="S2138" s="75" t="str">
        <f aca="false">IF(P2138="","",IFERROR(INDEX(T_INGRESO,MATCH(C2138,T_ID,0)),""))</f>
        <v/>
      </c>
      <c r="T2138" s="75" t="str">
        <f aca="false">IF(P2138="","",IFERROR(N(INDEX(T_EGRESO,MATCH(C2138,T_ID,0))),0))</f>
        <v/>
      </c>
      <c r="U2138" s="73" t="str">
        <f aca="false">IF(OR(P2138="",NOT(ISNUMBER(S2138))),"",IF(OR(S2138&gt;EOMONTH(B2138,0),AND(T2138&gt;0,T2138&lt;B2138)),0,IF(AND(S2138&lt;=B2138,OR(T2138=0,T2138&gt;=EOMONTH(B2138,0))),30,MIN(30,IF(T2138=0,EOMONTH(B2138,0),MIN(T2138,EOMONTH(B2138,0)))-MAX(B2138,S2138)+1))))</f>
        <v/>
      </c>
    </row>
    <row r="2139" customFormat="false" ht="15" hidden="false" customHeight="false" outlineLevel="0" collapsed="false">
      <c r="B2139" s="78"/>
      <c r="C2139" s="64"/>
      <c r="D2139" s="70" t="str">
        <f aca="false">IF(C2139="","",IFERROR(INDEX(T_NOMBRE,MATCH(C2139,T_ID,0)),"⚠ ID no existe"))</f>
        <v/>
      </c>
      <c r="E2139" s="69"/>
      <c r="F2139" s="69"/>
      <c r="G2139" s="69"/>
      <c r="H2139" s="69"/>
      <c r="I2139" s="66"/>
      <c r="J2139" s="69"/>
      <c r="K2139" s="67"/>
      <c r="L2139" s="67"/>
      <c r="M2139" s="67"/>
      <c r="N2139" s="67"/>
      <c r="O2139" s="64"/>
      <c r="P2139" s="72" t="str">
        <f aca="false">IF(OR(B2139="",C2139=""),"",C2139&amp;"|"&amp;(YEAR(B2139)*100+MONTH(B2139)))</f>
        <v/>
      </c>
      <c r="Q2139" s="70" t="str">
        <f aca="false">IF(P2139="","",IF(COUNTIF(N_CLAVE,P2139)&gt;1,"⚠ Duplicado","OK"))</f>
        <v/>
      </c>
      <c r="R2139" s="74" t="str">
        <f aca="false">IF(OR(P2139="",U2139=""),"",MAX(0,U2139-N(E2139)-N(F2139)-N(H2139)))</f>
        <v/>
      </c>
      <c r="S2139" s="75" t="str">
        <f aca="false">IF(P2139="","",IFERROR(INDEX(T_INGRESO,MATCH(C2139,T_ID,0)),""))</f>
        <v/>
      </c>
      <c r="T2139" s="75" t="str">
        <f aca="false">IF(P2139="","",IFERROR(N(INDEX(T_EGRESO,MATCH(C2139,T_ID,0))),0))</f>
        <v/>
      </c>
      <c r="U2139" s="73" t="str">
        <f aca="false">IF(OR(P2139="",NOT(ISNUMBER(S2139))),"",IF(OR(S2139&gt;EOMONTH(B2139,0),AND(T2139&gt;0,T2139&lt;B2139)),0,IF(AND(S2139&lt;=B2139,OR(T2139=0,T2139&gt;=EOMONTH(B2139,0))),30,MIN(30,IF(T2139=0,EOMONTH(B2139,0),MIN(T2139,EOMONTH(B2139,0)))-MAX(B2139,S2139)+1))))</f>
        <v/>
      </c>
    </row>
    <row r="2140" customFormat="false" ht="15" hidden="false" customHeight="false" outlineLevel="0" collapsed="false">
      <c r="B2140" s="78"/>
      <c r="C2140" s="64"/>
      <c r="D2140" s="70" t="str">
        <f aca="false">IF(C2140="","",IFERROR(INDEX(T_NOMBRE,MATCH(C2140,T_ID,0)),"⚠ ID no existe"))</f>
        <v/>
      </c>
      <c r="E2140" s="69"/>
      <c r="F2140" s="69"/>
      <c r="G2140" s="69"/>
      <c r="H2140" s="69"/>
      <c r="I2140" s="66"/>
      <c r="J2140" s="69"/>
      <c r="K2140" s="67"/>
      <c r="L2140" s="67"/>
      <c r="M2140" s="67"/>
      <c r="N2140" s="67"/>
      <c r="O2140" s="64"/>
      <c r="P2140" s="72" t="str">
        <f aca="false">IF(OR(B2140="",C2140=""),"",C2140&amp;"|"&amp;(YEAR(B2140)*100+MONTH(B2140)))</f>
        <v/>
      </c>
      <c r="Q2140" s="70" t="str">
        <f aca="false">IF(P2140="","",IF(COUNTIF(N_CLAVE,P2140)&gt;1,"⚠ Duplicado","OK"))</f>
        <v/>
      </c>
      <c r="R2140" s="74" t="str">
        <f aca="false">IF(OR(P2140="",U2140=""),"",MAX(0,U2140-N(E2140)-N(F2140)-N(H2140)))</f>
        <v/>
      </c>
      <c r="S2140" s="75" t="str">
        <f aca="false">IF(P2140="","",IFERROR(INDEX(T_INGRESO,MATCH(C2140,T_ID,0)),""))</f>
        <v/>
      </c>
      <c r="T2140" s="75" t="str">
        <f aca="false">IF(P2140="","",IFERROR(N(INDEX(T_EGRESO,MATCH(C2140,T_ID,0))),0))</f>
        <v/>
      </c>
      <c r="U2140" s="73" t="str">
        <f aca="false">IF(OR(P2140="",NOT(ISNUMBER(S2140))),"",IF(OR(S2140&gt;EOMONTH(B2140,0),AND(T2140&gt;0,T2140&lt;B2140)),0,IF(AND(S2140&lt;=B2140,OR(T2140=0,T2140&gt;=EOMONTH(B2140,0))),30,MIN(30,IF(T2140=0,EOMONTH(B2140,0),MIN(T2140,EOMONTH(B2140,0)))-MAX(B2140,S2140)+1))))</f>
        <v/>
      </c>
    </row>
    <row r="2141" customFormat="false" ht="15" hidden="false" customHeight="false" outlineLevel="0" collapsed="false">
      <c r="B2141" s="78"/>
      <c r="C2141" s="64"/>
      <c r="D2141" s="70" t="str">
        <f aca="false">IF(C2141="","",IFERROR(INDEX(T_NOMBRE,MATCH(C2141,T_ID,0)),"⚠ ID no existe"))</f>
        <v/>
      </c>
      <c r="E2141" s="69"/>
      <c r="F2141" s="69"/>
      <c r="G2141" s="69"/>
      <c r="H2141" s="69"/>
      <c r="I2141" s="66"/>
      <c r="J2141" s="69"/>
      <c r="K2141" s="67"/>
      <c r="L2141" s="67"/>
      <c r="M2141" s="67"/>
      <c r="N2141" s="67"/>
      <c r="O2141" s="64"/>
      <c r="P2141" s="72" t="str">
        <f aca="false">IF(OR(B2141="",C2141=""),"",C2141&amp;"|"&amp;(YEAR(B2141)*100+MONTH(B2141)))</f>
        <v/>
      </c>
      <c r="Q2141" s="70" t="str">
        <f aca="false">IF(P2141="","",IF(COUNTIF(N_CLAVE,P2141)&gt;1,"⚠ Duplicado","OK"))</f>
        <v/>
      </c>
      <c r="R2141" s="74" t="str">
        <f aca="false">IF(OR(P2141="",U2141=""),"",MAX(0,U2141-N(E2141)-N(F2141)-N(H2141)))</f>
        <v/>
      </c>
      <c r="S2141" s="75" t="str">
        <f aca="false">IF(P2141="","",IFERROR(INDEX(T_INGRESO,MATCH(C2141,T_ID,0)),""))</f>
        <v/>
      </c>
      <c r="T2141" s="75" t="str">
        <f aca="false">IF(P2141="","",IFERROR(N(INDEX(T_EGRESO,MATCH(C2141,T_ID,0))),0))</f>
        <v/>
      </c>
      <c r="U2141" s="73" t="str">
        <f aca="false">IF(OR(P2141="",NOT(ISNUMBER(S2141))),"",IF(OR(S2141&gt;EOMONTH(B2141,0),AND(T2141&gt;0,T2141&lt;B2141)),0,IF(AND(S2141&lt;=B2141,OR(T2141=0,T2141&gt;=EOMONTH(B2141,0))),30,MIN(30,IF(T2141=0,EOMONTH(B2141,0),MIN(T2141,EOMONTH(B2141,0)))-MAX(B2141,S2141)+1))))</f>
        <v/>
      </c>
    </row>
    <row r="2142" customFormat="false" ht="15" hidden="false" customHeight="false" outlineLevel="0" collapsed="false">
      <c r="B2142" s="78"/>
      <c r="C2142" s="64"/>
      <c r="D2142" s="70" t="str">
        <f aca="false">IF(C2142="","",IFERROR(INDEX(T_NOMBRE,MATCH(C2142,T_ID,0)),"⚠ ID no existe"))</f>
        <v/>
      </c>
      <c r="E2142" s="69"/>
      <c r="F2142" s="69"/>
      <c r="G2142" s="69"/>
      <c r="H2142" s="69"/>
      <c r="I2142" s="66"/>
      <c r="J2142" s="69"/>
      <c r="K2142" s="67"/>
      <c r="L2142" s="67"/>
      <c r="M2142" s="67"/>
      <c r="N2142" s="67"/>
      <c r="O2142" s="64"/>
      <c r="P2142" s="72" t="str">
        <f aca="false">IF(OR(B2142="",C2142=""),"",C2142&amp;"|"&amp;(YEAR(B2142)*100+MONTH(B2142)))</f>
        <v/>
      </c>
      <c r="Q2142" s="70" t="str">
        <f aca="false">IF(P2142="","",IF(COUNTIF(N_CLAVE,P2142)&gt;1,"⚠ Duplicado","OK"))</f>
        <v/>
      </c>
      <c r="R2142" s="74" t="str">
        <f aca="false">IF(OR(P2142="",U2142=""),"",MAX(0,U2142-N(E2142)-N(F2142)-N(H2142)))</f>
        <v/>
      </c>
      <c r="S2142" s="75" t="str">
        <f aca="false">IF(P2142="","",IFERROR(INDEX(T_INGRESO,MATCH(C2142,T_ID,0)),""))</f>
        <v/>
      </c>
      <c r="T2142" s="75" t="str">
        <f aca="false">IF(P2142="","",IFERROR(N(INDEX(T_EGRESO,MATCH(C2142,T_ID,0))),0))</f>
        <v/>
      </c>
      <c r="U2142" s="73" t="str">
        <f aca="false">IF(OR(P2142="",NOT(ISNUMBER(S2142))),"",IF(OR(S2142&gt;EOMONTH(B2142,0),AND(T2142&gt;0,T2142&lt;B2142)),0,IF(AND(S2142&lt;=B2142,OR(T2142=0,T2142&gt;=EOMONTH(B2142,0))),30,MIN(30,IF(T2142=0,EOMONTH(B2142,0),MIN(T2142,EOMONTH(B2142,0)))-MAX(B2142,S2142)+1))))</f>
        <v/>
      </c>
    </row>
    <row r="2143" customFormat="false" ht="15" hidden="false" customHeight="false" outlineLevel="0" collapsed="false">
      <c r="B2143" s="78"/>
      <c r="C2143" s="64"/>
      <c r="D2143" s="70" t="str">
        <f aca="false">IF(C2143="","",IFERROR(INDEX(T_NOMBRE,MATCH(C2143,T_ID,0)),"⚠ ID no existe"))</f>
        <v/>
      </c>
      <c r="E2143" s="69"/>
      <c r="F2143" s="69"/>
      <c r="G2143" s="69"/>
      <c r="H2143" s="69"/>
      <c r="I2143" s="66"/>
      <c r="J2143" s="69"/>
      <c r="K2143" s="67"/>
      <c r="L2143" s="67"/>
      <c r="M2143" s="67"/>
      <c r="N2143" s="67"/>
      <c r="O2143" s="64"/>
      <c r="P2143" s="72" t="str">
        <f aca="false">IF(OR(B2143="",C2143=""),"",C2143&amp;"|"&amp;(YEAR(B2143)*100+MONTH(B2143)))</f>
        <v/>
      </c>
      <c r="Q2143" s="70" t="str">
        <f aca="false">IF(P2143="","",IF(COUNTIF(N_CLAVE,P2143)&gt;1,"⚠ Duplicado","OK"))</f>
        <v/>
      </c>
      <c r="R2143" s="74" t="str">
        <f aca="false">IF(OR(P2143="",U2143=""),"",MAX(0,U2143-N(E2143)-N(F2143)-N(H2143)))</f>
        <v/>
      </c>
      <c r="S2143" s="75" t="str">
        <f aca="false">IF(P2143="","",IFERROR(INDEX(T_INGRESO,MATCH(C2143,T_ID,0)),""))</f>
        <v/>
      </c>
      <c r="T2143" s="75" t="str">
        <f aca="false">IF(P2143="","",IFERROR(N(INDEX(T_EGRESO,MATCH(C2143,T_ID,0))),0))</f>
        <v/>
      </c>
      <c r="U2143" s="73" t="str">
        <f aca="false">IF(OR(P2143="",NOT(ISNUMBER(S2143))),"",IF(OR(S2143&gt;EOMONTH(B2143,0),AND(T2143&gt;0,T2143&lt;B2143)),0,IF(AND(S2143&lt;=B2143,OR(T2143=0,T2143&gt;=EOMONTH(B2143,0))),30,MIN(30,IF(T2143=0,EOMONTH(B2143,0),MIN(T2143,EOMONTH(B2143,0)))-MAX(B2143,S2143)+1))))</f>
        <v/>
      </c>
    </row>
    <row r="2144" customFormat="false" ht="15" hidden="false" customHeight="false" outlineLevel="0" collapsed="false">
      <c r="B2144" s="78"/>
      <c r="C2144" s="64"/>
      <c r="D2144" s="70" t="str">
        <f aca="false">IF(C2144="","",IFERROR(INDEX(T_NOMBRE,MATCH(C2144,T_ID,0)),"⚠ ID no existe"))</f>
        <v/>
      </c>
      <c r="E2144" s="69"/>
      <c r="F2144" s="69"/>
      <c r="G2144" s="69"/>
      <c r="H2144" s="69"/>
      <c r="I2144" s="66"/>
      <c r="J2144" s="69"/>
      <c r="K2144" s="67"/>
      <c r="L2144" s="67"/>
      <c r="M2144" s="67"/>
      <c r="N2144" s="67"/>
      <c r="O2144" s="64"/>
      <c r="P2144" s="72" t="str">
        <f aca="false">IF(OR(B2144="",C2144=""),"",C2144&amp;"|"&amp;(YEAR(B2144)*100+MONTH(B2144)))</f>
        <v/>
      </c>
      <c r="Q2144" s="70" t="str">
        <f aca="false">IF(P2144="","",IF(COUNTIF(N_CLAVE,P2144)&gt;1,"⚠ Duplicado","OK"))</f>
        <v/>
      </c>
      <c r="R2144" s="74" t="str">
        <f aca="false">IF(OR(P2144="",U2144=""),"",MAX(0,U2144-N(E2144)-N(F2144)-N(H2144)))</f>
        <v/>
      </c>
      <c r="S2144" s="75" t="str">
        <f aca="false">IF(P2144="","",IFERROR(INDEX(T_INGRESO,MATCH(C2144,T_ID,0)),""))</f>
        <v/>
      </c>
      <c r="T2144" s="75" t="str">
        <f aca="false">IF(P2144="","",IFERROR(N(INDEX(T_EGRESO,MATCH(C2144,T_ID,0))),0))</f>
        <v/>
      </c>
      <c r="U2144" s="73" t="str">
        <f aca="false">IF(OR(P2144="",NOT(ISNUMBER(S2144))),"",IF(OR(S2144&gt;EOMONTH(B2144,0),AND(T2144&gt;0,T2144&lt;B2144)),0,IF(AND(S2144&lt;=B2144,OR(T2144=0,T2144&gt;=EOMONTH(B2144,0))),30,MIN(30,IF(T2144=0,EOMONTH(B2144,0),MIN(T2144,EOMONTH(B2144,0)))-MAX(B2144,S2144)+1))))</f>
        <v/>
      </c>
    </row>
    <row r="2145" customFormat="false" ht="15" hidden="false" customHeight="false" outlineLevel="0" collapsed="false">
      <c r="B2145" s="78"/>
      <c r="C2145" s="64"/>
      <c r="D2145" s="70" t="str">
        <f aca="false">IF(C2145="","",IFERROR(INDEX(T_NOMBRE,MATCH(C2145,T_ID,0)),"⚠ ID no existe"))</f>
        <v/>
      </c>
      <c r="E2145" s="69"/>
      <c r="F2145" s="69"/>
      <c r="G2145" s="69"/>
      <c r="H2145" s="69"/>
      <c r="I2145" s="66"/>
      <c r="J2145" s="69"/>
      <c r="K2145" s="67"/>
      <c r="L2145" s="67"/>
      <c r="M2145" s="67"/>
      <c r="N2145" s="67"/>
      <c r="O2145" s="64"/>
      <c r="P2145" s="72" t="str">
        <f aca="false">IF(OR(B2145="",C2145=""),"",C2145&amp;"|"&amp;(YEAR(B2145)*100+MONTH(B2145)))</f>
        <v/>
      </c>
      <c r="Q2145" s="70" t="str">
        <f aca="false">IF(P2145="","",IF(COUNTIF(N_CLAVE,P2145)&gt;1,"⚠ Duplicado","OK"))</f>
        <v/>
      </c>
      <c r="R2145" s="74" t="str">
        <f aca="false">IF(OR(P2145="",U2145=""),"",MAX(0,U2145-N(E2145)-N(F2145)-N(H2145)))</f>
        <v/>
      </c>
      <c r="S2145" s="75" t="str">
        <f aca="false">IF(P2145="","",IFERROR(INDEX(T_INGRESO,MATCH(C2145,T_ID,0)),""))</f>
        <v/>
      </c>
      <c r="T2145" s="75" t="str">
        <f aca="false">IF(P2145="","",IFERROR(N(INDEX(T_EGRESO,MATCH(C2145,T_ID,0))),0))</f>
        <v/>
      </c>
      <c r="U2145" s="73" t="str">
        <f aca="false">IF(OR(P2145="",NOT(ISNUMBER(S2145))),"",IF(OR(S2145&gt;EOMONTH(B2145,0),AND(T2145&gt;0,T2145&lt;B2145)),0,IF(AND(S2145&lt;=B2145,OR(T2145=0,T2145&gt;=EOMONTH(B2145,0))),30,MIN(30,IF(T2145=0,EOMONTH(B2145,0),MIN(T2145,EOMONTH(B2145,0)))-MAX(B2145,S2145)+1))))</f>
        <v/>
      </c>
    </row>
    <row r="2146" customFormat="false" ht="15" hidden="false" customHeight="false" outlineLevel="0" collapsed="false">
      <c r="B2146" s="78"/>
      <c r="C2146" s="64"/>
      <c r="D2146" s="70" t="str">
        <f aca="false">IF(C2146="","",IFERROR(INDEX(T_NOMBRE,MATCH(C2146,T_ID,0)),"⚠ ID no existe"))</f>
        <v/>
      </c>
      <c r="E2146" s="69"/>
      <c r="F2146" s="69"/>
      <c r="G2146" s="69"/>
      <c r="H2146" s="69"/>
      <c r="I2146" s="66"/>
      <c r="J2146" s="69"/>
      <c r="K2146" s="67"/>
      <c r="L2146" s="67"/>
      <c r="M2146" s="67"/>
      <c r="N2146" s="67"/>
      <c r="O2146" s="64"/>
      <c r="P2146" s="72" t="str">
        <f aca="false">IF(OR(B2146="",C2146=""),"",C2146&amp;"|"&amp;(YEAR(B2146)*100+MONTH(B2146)))</f>
        <v/>
      </c>
      <c r="Q2146" s="70" t="str">
        <f aca="false">IF(P2146="","",IF(COUNTIF(N_CLAVE,P2146)&gt;1,"⚠ Duplicado","OK"))</f>
        <v/>
      </c>
      <c r="R2146" s="74" t="str">
        <f aca="false">IF(OR(P2146="",U2146=""),"",MAX(0,U2146-N(E2146)-N(F2146)-N(H2146)))</f>
        <v/>
      </c>
      <c r="S2146" s="75" t="str">
        <f aca="false">IF(P2146="","",IFERROR(INDEX(T_INGRESO,MATCH(C2146,T_ID,0)),""))</f>
        <v/>
      </c>
      <c r="T2146" s="75" t="str">
        <f aca="false">IF(P2146="","",IFERROR(N(INDEX(T_EGRESO,MATCH(C2146,T_ID,0))),0))</f>
        <v/>
      </c>
      <c r="U2146" s="73" t="str">
        <f aca="false">IF(OR(P2146="",NOT(ISNUMBER(S2146))),"",IF(OR(S2146&gt;EOMONTH(B2146,0),AND(T2146&gt;0,T2146&lt;B2146)),0,IF(AND(S2146&lt;=B2146,OR(T2146=0,T2146&gt;=EOMONTH(B2146,0))),30,MIN(30,IF(T2146=0,EOMONTH(B2146,0),MIN(T2146,EOMONTH(B2146,0)))-MAX(B2146,S2146)+1))))</f>
        <v/>
      </c>
    </row>
    <row r="2147" customFormat="false" ht="15" hidden="false" customHeight="false" outlineLevel="0" collapsed="false">
      <c r="B2147" s="78"/>
      <c r="C2147" s="64"/>
      <c r="D2147" s="70" t="str">
        <f aca="false">IF(C2147="","",IFERROR(INDEX(T_NOMBRE,MATCH(C2147,T_ID,0)),"⚠ ID no existe"))</f>
        <v/>
      </c>
      <c r="E2147" s="69"/>
      <c r="F2147" s="69"/>
      <c r="G2147" s="69"/>
      <c r="H2147" s="69"/>
      <c r="I2147" s="66"/>
      <c r="J2147" s="69"/>
      <c r="K2147" s="67"/>
      <c r="L2147" s="67"/>
      <c r="M2147" s="67"/>
      <c r="N2147" s="67"/>
      <c r="O2147" s="64"/>
      <c r="P2147" s="72" t="str">
        <f aca="false">IF(OR(B2147="",C2147=""),"",C2147&amp;"|"&amp;(YEAR(B2147)*100+MONTH(B2147)))</f>
        <v/>
      </c>
      <c r="Q2147" s="70" t="str">
        <f aca="false">IF(P2147="","",IF(COUNTIF(N_CLAVE,P2147)&gt;1,"⚠ Duplicado","OK"))</f>
        <v/>
      </c>
      <c r="R2147" s="74" t="str">
        <f aca="false">IF(OR(P2147="",U2147=""),"",MAX(0,U2147-N(E2147)-N(F2147)-N(H2147)))</f>
        <v/>
      </c>
      <c r="S2147" s="75" t="str">
        <f aca="false">IF(P2147="","",IFERROR(INDEX(T_INGRESO,MATCH(C2147,T_ID,0)),""))</f>
        <v/>
      </c>
      <c r="T2147" s="75" t="str">
        <f aca="false">IF(P2147="","",IFERROR(N(INDEX(T_EGRESO,MATCH(C2147,T_ID,0))),0))</f>
        <v/>
      </c>
      <c r="U2147" s="73" t="str">
        <f aca="false">IF(OR(P2147="",NOT(ISNUMBER(S2147))),"",IF(OR(S2147&gt;EOMONTH(B2147,0),AND(T2147&gt;0,T2147&lt;B2147)),0,IF(AND(S2147&lt;=B2147,OR(T2147=0,T2147&gt;=EOMONTH(B2147,0))),30,MIN(30,IF(T2147=0,EOMONTH(B2147,0),MIN(T2147,EOMONTH(B2147,0)))-MAX(B2147,S2147)+1))))</f>
        <v/>
      </c>
    </row>
    <row r="2148" customFormat="false" ht="15" hidden="false" customHeight="false" outlineLevel="0" collapsed="false">
      <c r="B2148" s="78"/>
      <c r="C2148" s="64"/>
      <c r="D2148" s="70" t="str">
        <f aca="false">IF(C2148="","",IFERROR(INDEX(T_NOMBRE,MATCH(C2148,T_ID,0)),"⚠ ID no existe"))</f>
        <v/>
      </c>
      <c r="E2148" s="69"/>
      <c r="F2148" s="69"/>
      <c r="G2148" s="69"/>
      <c r="H2148" s="69"/>
      <c r="I2148" s="66"/>
      <c r="J2148" s="69"/>
      <c r="K2148" s="67"/>
      <c r="L2148" s="67"/>
      <c r="M2148" s="67"/>
      <c r="N2148" s="67"/>
      <c r="O2148" s="64"/>
      <c r="P2148" s="72" t="str">
        <f aca="false">IF(OR(B2148="",C2148=""),"",C2148&amp;"|"&amp;(YEAR(B2148)*100+MONTH(B2148)))</f>
        <v/>
      </c>
      <c r="Q2148" s="70" t="str">
        <f aca="false">IF(P2148="","",IF(COUNTIF(N_CLAVE,P2148)&gt;1,"⚠ Duplicado","OK"))</f>
        <v/>
      </c>
      <c r="R2148" s="74" t="str">
        <f aca="false">IF(OR(P2148="",U2148=""),"",MAX(0,U2148-N(E2148)-N(F2148)-N(H2148)))</f>
        <v/>
      </c>
      <c r="S2148" s="75" t="str">
        <f aca="false">IF(P2148="","",IFERROR(INDEX(T_INGRESO,MATCH(C2148,T_ID,0)),""))</f>
        <v/>
      </c>
      <c r="T2148" s="75" t="str">
        <f aca="false">IF(P2148="","",IFERROR(N(INDEX(T_EGRESO,MATCH(C2148,T_ID,0))),0))</f>
        <v/>
      </c>
      <c r="U2148" s="73" t="str">
        <f aca="false">IF(OR(P2148="",NOT(ISNUMBER(S2148))),"",IF(OR(S2148&gt;EOMONTH(B2148,0),AND(T2148&gt;0,T2148&lt;B2148)),0,IF(AND(S2148&lt;=B2148,OR(T2148=0,T2148&gt;=EOMONTH(B2148,0))),30,MIN(30,IF(T2148=0,EOMONTH(B2148,0),MIN(T2148,EOMONTH(B2148,0)))-MAX(B2148,S2148)+1))))</f>
        <v/>
      </c>
    </row>
    <row r="2149" customFormat="false" ht="15" hidden="false" customHeight="false" outlineLevel="0" collapsed="false">
      <c r="B2149" s="78"/>
      <c r="C2149" s="64"/>
      <c r="D2149" s="70" t="str">
        <f aca="false">IF(C2149="","",IFERROR(INDEX(T_NOMBRE,MATCH(C2149,T_ID,0)),"⚠ ID no existe"))</f>
        <v/>
      </c>
      <c r="E2149" s="69"/>
      <c r="F2149" s="69"/>
      <c r="G2149" s="69"/>
      <c r="H2149" s="69"/>
      <c r="I2149" s="66"/>
      <c r="J2149" s="69"/>
      <c r="K2149" s="67"/>
      <c r="L2149" s="67"/>
      <c r="M2149" s="67"/>
      <c r="N2149" s="67"/>
      <c r="O2149" s="64"/>
      <c r="P2149" s="72" t="str">
        <f aca="false">IF(OR(B2149="",C2149=""),"",C2149&amp;"|"&amp;(YEAR(B2149)*100+MONTH(B2149)))</f>
        <v/>
      </c>
      <c r="Q2149" s="70" t="str">
        <f aca="false">IF(P2149="","",IF(COUNTIF(N_CLAVE,P2149)&gt;1,"⚠ Duplicado","OK"))</f>
        <v/>
      </c>
      <c r="R2149" s="74" t="str">
        <f aca="false">IF(OR(P2149="",U2149=""),"",MAX(0,U2149-N(E2149)-N(F2149)-N(H2149)))</f>
        <v/>
      </c>
      <c r="S2149" s="75" t="str">
        <f aca="false">IF(P2149="","",IFERROR(INDEX(T_INGRESO,MATCH(C2149,T_ID,0)),""))</f>
        <v/>
      </c>
      <c r="T2149" s="75" t="str">
        <f aca="false">IF(P2149="","",IFERROR(N(INDEX(T_EGRESO,MATCH(C2149,T_ID,0))),0))</f>
        <v/>
      </c>
      <c r="U2149" s="73" t="str">
        <f aca="false">IF(OR(P2149="",NOT(ISNUMBER(S2149))),"",IF(OR(S2149&gt;EOMONTH(B2149,0),AND(T2149&gt;0,T2149&lt;B2149)),0,IF(AND(S2149&lt;=B2149,OR(T2149=0,T2149&gt;=EOMONTH(B2149,0))),30,MIN(30,IF(T2149=0,EOMONTH(B2149,0),MIN(T2149,EOMONTH(B2149,0)))-MAX(B2149,S2149)+1))))</f>
        <v/>
      </c>
    </row>
    <row r="2150" customFormat="false" ht="15" hidden="false" customHeight="false" outlineLevel="0" collapsed="false">
      <c r="B2150" s="78"/>
      <c r="C2150" s="64"/>
      <c r="D2150" s="70" t="str">
        <f aca="false">IF(C2150="","",IFERROR(INDEX(T_NOMBRE,MATCH(C2150,T_ID,0)),"⚠ ID no existe"))</f>
        <v/>
      </c>
      <c r="E2150" s="69"/>
      <c r="F2150" s="69"/>
      <c r="G2150" s="69"/>
      <c r="H2150" s="69"/>
      <c r="I2150" s="66"/>
      <c r="J2150" s="69"/>
      <c r="K2150" s="67"/>
      <c r="L2150" s="67"/>
      <c r="M2150" s="67"/>
      <c r="N2150" s="67"/>
      <c r="O2150" s="64"/>
      <c r="P2150" s="72" t="str">
        <f aca="false">IF(OR(B2150="",C2150=""),"",C2150&amp;"|"&amp;(YEAR(B2150)*100+MONTH(B2150)))</f>
        <v/>
      </c>
      <c r="Q2150" s="70" t="str">
        <f aca="false">IF(P2150="","",IF(COUNTIF(N_CLAVE,P2150)&gt;1,"⚠ Duplicado","OK"))</f>
        <v/>
      </c>
      <c r="R2150" s="74" t="str">
        <f aca="false">IF(OR(P2150="",U2150=""),"",MAX(0,U2150-N(E2150)-N(F2150)-N(H2150)))</f>
        <v/>
      </c>
      <c r="S2150" s="75" t="str">
        <f aca="false">IF(P2150="","",IFERROR(INDEX(T_INGRESO,MATCH(C2150,T_ID,0)),""))</f>
        <v/>
      </c>
      <c r="T2150" s="75" t="str">
        <f aca="false">IF(P2150="","",IFERROR(N(INDEX(T_EGRESO,MATCH(C2150,T_ID,0))),0))</f>
        <v/>
      </c>
      <c r="U2150" s="73" t="str">
        <f aca="false">IF(OR(P2150="",NOT(ISNUMBER(S2150))),"",IF(OR(S2150&gt;EOMONTH(B2150,0),AND(T2150&gt;0,T2150&lt;B2150)),0,IF(AND(S2150&lt;=B2150,OR(T2150=0,T2150&gt;=EOMONTH(B2150,0))),30,MIN(30,IF(T2150=0,EOMONTH(B2150,0),MIN(T2150,EOMONTH(B2150,0)))-MAX(B2150,S2150)+1))))</f>
        <v/>
      </c>
    </row>
    <row r="2151" customFormat="false" ht="15" hidden="false" customHeight="false" outlineLevel="0" collapsed="false">
      <c r="B2151" s="78"/>
      <c r="C2151" s="64"/>
      <c r="D2151" s="70" t="str">
        <f aca="false">IF(C2151="","",IFERROR(INDEX(T_NOMBRE,MATCH(C2151,T_ID,0)),"⚠ ID no existe"))</f>
        <v/>
      </c>
      <c r="E2151" s="69"/>
      <c r="F2151" s="69"/>
      <c r="G2151" s="69"/>
      <c r="H2151" s="69"/>
      <c r="I2151" s="66"/>
      <c r="J2151" s="69"/>
      <c r="K2151" s="67"/>
      <c r="L2151" s="67"/>
      <c r="M2151" s="67"/>
      <c r="N2151" s="67"/>
      <c r="O2151" s="64"/>
      <c r="P2151" s="72" t="str">
        <f aca="false">IF(OR(B2151="",C2151=""),"",C2151&amp;"|"&amp;(YEAR(B2151)*100+MONTH(B2151)))</f>
        <v/>
      </c>
      <c r="Q2151" s="70" t="str">
        <f aca="false">IF(P2151="","",IF(COUNTIF(N_CLAVE,P2151)&gt;1,"⚠ Duplicado","OK"))</f>
        <v/>
      </c>
      <c r="R2151" s="74" t="str">
        <f aca="false">IF(OR(P2151="",U2151=""),"",MAX(0,U2151-N(E2151)-N(F2151)-N(H2151)))</f>
        <v/>
      </c>
      <c r="S2151" s="75" t="str">
        <f aca="false">IF(P2151="","",IFERROR(INDEX(T_INGRESO,MATCH(C2151,T_ID,0)),""))</f>
        <v/>
      </c>
      <c r="T2151" s="75" t="str">
        <f aca="false">IF(P2151="","",IFERROR(N(INDEX(T_EGRESO,MATCH(C2151,T_ID,0))),0))</f>
        <v/>
      </c>
      <c r="U2151" s="73" t="str">
        <f aca="false">IF(OR(P2151="",NOT(ISNUMBER(S2151))),"",IF(OR(S2151&gt;EOMONTH(B2151,0),AND(T2151&gt;0,T2151&lt;B2151)),0,IF(AND(S2151&lt;=B2151,OR(T2151=0,T2151&gt;=EOMONTH(B2151,0))),30,MIN(30,IF(T2151=0,EOMONTH(B2151,0),MIN(T2151,EOMONTH(B2151,0)))-MAX(B2151,S2151)+1))))</f>
        <v/>
      </c>
    </row>
    <row r="2152" customFormat="false" ht="15" hidden="false" customHeight="false" outlineLevel="0" collapsed="false">
      <c r="B2152" s="78"/>
      <c r="C2152" s="64"/>
      <c r="D2152" s="70" t="str">
        <f aca="false">IF(C2152="","",IFERROR(INDEX(T_NOMBRE,MATCH(C2152,T_ID,0)),"⚠ ID no existe"))</f>
        <v/>
      </c>
      <c r="E2152" s="69"/>
      <c r="F2152" s="69"/>
      <c r="G2152" s="69"/>
      <c r="H2152" s="69"/>
      <c r="I2152" s="66"/>
      <c r="J2152" s="69"/>
      <c r="K2152" s="67"/>
      <c r="L2152" s="67"/>
      <c r="M2152" s="67"/>
      <c r="N2152" s="67"/>
      <c r="O2152" s="64"/>
      <c r="P2152" s="72" t="str">
        <f aca="false">IF(OR(B2152="",C2152=""),"",C2152&amp;"|"&amp;(YEAR(B2152)*100+MONTH(B2152)))</f>
        <v/>
      </c>
      <c r="Q2152" s="70" t="str">
        <f aca="false">IF(P2152="","",IF(COUNTIF(N_CLAVE,P2152)&gt;1,"⚠ Duplicado","OK"))</f>
        <v/>
      </c>
      <c r="R2152" s="74" t="str">
        <f aca="false">IF(OR(P2152="",U2152=""),"",MAX(0,U2152-N(E2152)-N(F2152)-N(H2152)))</f>
        <v/>
      </c>
      <c r="S2152" s="75" t="str">
        <f aca="false">IF(P2152="","",IFERROR(INDEX(T_INGRESO,MATCH(C2152,T_ID,0)),""))</f>
        <v/>
      </c>
      <c r="T2152" s="75" t="str">
        <f aca="false">IF(P2152="","",IFERROR(N(INDEX(T_EGRESO,MATCH(C2152,T_ID,0))),0))</f>
        <v/>
      </c>
      <c r="U2152" s="73" t="str">
        <f aca="false">IF(OR(P2152="",NOT(ISNUMBER(S2152))),"",IF(OR(S2152&gt;EOMONTH(B2152,0),AND(T2152&gt;0,T2152&lt;B2152)),0,IF(AND(S2152&lt;=B2152,OR(T2152=0,T2152&gt;=EOMONTH(B2152,0))),30,MIN(30,IF(T2152=0,EOMONTH(B2152,0),MIN(T2152,EOMONTH(B2152,0)))-MAX(B2152,S2152)+1))))</f>
        <v/>
      </c>
    </row>
    <row r="2153" customFormat="false" ht="15" hidden="false" customHeight="false" outlineLevel="0" collapsed="false">
      <c r="B2153" s="78"/>
      <c r="C2153" s="64"/>
      <c r="D2153" s="70" t="str">
        <f aca="false">IF(C2153="","",IFERROR(INDEX(T_NOMBRE,MATCH(C2153,T_ID,0)),"⚠ ID no existe"))</f>
        <v/>
      </c>
      <c r="E2153" s="69"/>
      <c r="F2153" s="69"/>
      <c r="G2153" s="69"/>
      <c r="H2153" s="69"/>
      <c r="I2153" s="66"/>
      <c r="J2153" s="69"/>
      <c r="K2153" s="67"/>
      <c r="L2153" s="67"/>
      <c r="M2153" s="67"/>
      <c r="N2153" s="67"/>
      <c r="O2153" s="64"/>
      <c r="P2153" s="72" t="str">
        <f aca="false">IF(OR(B2153="",C2153=""),"",C2153&amp;"|"&amp;(YEAR(B2153)*100+MONTH(B2153)))</f>
        <v/>
      </c>
      <c r="Q2153" s="70" t="str">
        <f aca="false">IF(P2153="","",IF(COUNTIF(N_CLAVE,P2153)&gt;1,"⚠ Duplicado","OK"))</f>
        <v/>
      </c>
      <c r="R2153" s="74" t="str">
        <f aca="false">IF(OR(P2153="",U2153=""),"",MAX(0,U2153-N(E2153)-N(F2153)-N(H2153)))</f>
        <v/>
      </c>
      <c r="S2153" s="75" t="str">
        <f aca="false">IF(P2153="","",IFERROR(INDEX(T_INGRESO,MATCH(C2153,T_ID,0)),""))</f>
        <v/>
      </c>
      <c r="T2153" s="75" t="str">
        <f aca="false">IF(P2153="","",IFERROR(N(INDEX(T_EGRESO,MATCH(C2153,T_ID,0))),0))</f>
        <v/>
      </c>
      <c r="U2153" s="73" t="str">
        <f aca="false">IF(OR(P2153="",NOT(ISNUMBER(S2153))),"",IF(OR(S2153&gt;EOMONTH(B2153,0),AND(T2153&gt;0,T2153&lt;B2153)),0,IF(AND(S2153&lt;=B2153,OR(T2153=0,T2153&gt;=EOMONTH(B2153,0))),30,MIN(30,IF(T2153=0,EOMONTH(B2153,0),MIN(T2153,EOMONTH(B2153,0)))-MAX(B2153,S2153)+1))))</f>
        <v/>
      </c>
    </row>
    <row r="2154" customFormat="false" ht="15" hidden="false" customHeight="false" outlineLevel="0" collapsed="false">
      <c r="B2154" s="78"/>
      <c r="C2154" s="64"/>
      <c r="D2154" s="70" t="str">
        <f aca="false">IF(C2154="","",IFERROR(INDEX(T_NOMBRE,MATCH(C2154,T_ID,0)),"⚠ ID no existe"))</f>
        <v/>
      </c>
      <c r="E2154" s="69"/>
      <c r="F2154" s="69"/>
      <c r="G2154" s="69"/>
      <c r="H2154" s="69"/>
      <c r="I2154" s="66"/>
      <c r="J2154" s="69"/>
      <c r="K2154" s="67"/>
      <c r="L2154" s="67"/>
      <c r="M2154" s="67"/>
      <c r="N2154" s="67"/>
      <c r="O2154" s="64"/>
      <c r="P2154" s="72" t="str">
        <f aca="false">IF(OR(B2154="",C2154=""),"",C2154&amp;"|"&amp;(YEAR(B2154)*100+MONTH(B2154)))</f>
        <v/>
      </c>
      <c r="Q2154" s="70" t="str">
        <f aca="false">IF(P2154="","",IF(COUNTIF(N_CLAVE,P2154)&gt;1,"⚠ Duplicado","OK"))</f>
        <v/>
      </c>
      <c r="R2154" s="74" t="str">
        <f aca="false">IF(OR(P2154="",U2154=""),"",MAX(0,U2154-N(E2154)-N(F2154)-N(H2154)))</f>
        <v/>
      </c>
      <c r="S2154" s="75" t="str">
        <f aca="false">IF(P2154="","",IFERROR(INDEX(T_INGRESO,MATCH(C2154,T_ID,0)),""))</f>
        <v/>
      </c>
      <c r="T2154" s="75" t="str">
        <f aca="false">IF(P2154="","",IFERROR(N(INDEX(T_EGRESO,MATCH(C2154,T_ID,0))),0))</f>
        <v/>
      </c>
      <c r="U2154" s="73" t="str">
        <f aca="false">IF(OR(P2154="",NOT(ISNUMBER(S2154))),"",IF(OR(S2154&gt;EOMONTH(B2154,0),AND(T2154&gt;0,T2154&lt;B2154)),0,IF(AND(S2154&lt;=B2154,OR(T2154=0,T2154&gt;=EOMONTH(B2154,0))),30,MIN(30,IF(T2154=0,EOMONTH(B2154,0),MIN(T2154,EOMONTH(B2154,0)))-MAX(B2154,S2154)+1))))</f>
        <v/>
      </c>
    </row>
    <row r="2155" customFormat="false" ht="15" hidden="false" customHeight="false" outlineLevel="0" collapsed="false">
      <c r="B2155" s="78"/>
      <c r="C2155" s="64"/>
      <c r="D2155" s="70" t="str">
        <f aca="false">IF(C2155="","",IFERROR(INDEX(T_NOMBRE,MATCH(C2155,T_ID,0)),"⚠ ID no existe"))</f>
        <v/>
      </c>
      <c r="E2155" s="69"/>
      <c r="F2155" s="69"/>
      <c r="G2155" s="69"/>
      <c r="H2155" s="69"/>
      <c r="I2155" s="66"/>
      <c r="J2155" s="69"/>
      <c r="K2155" s="67"/>
      <c r="L2155" s="67"/>
      <c r="M2155" s="67"/>
      <c r="N2155" s="67"/>
      <c r="O2155" s="64"/>
      <c r="P2155" s="72" t="str">
        <f aca="false">IF(OR(B2155="",C2155=""),"",C2155&amp;"|"&amp;(YEAR(B2155)*100+MONTH(B2155)))</f>
        <v/>
      </c>
      <c r="Q2155" s="70" t="str">
        <f aca="false">IF(P2155="","",IF(COUNTIF(N_CLAVE,P2155)&gt;1,"⚠ Duplicado","OK"))</f>
        <v/>
      </c>
      <c r="R2155" s="74" t="str">
        <f aca="false">IF(OR(P2155="",U2155=""),"",MAX(0,U2155-N(E2155)-N(F2155)-N(H2155)))</f>
        <v/>
      </c>
      <c r="S2155" s="75" t="str">
        <f aca="false">IF(P2155="","",IFERROR(INDEX(T_INGRESO,MATCH(C2155,T_ID,0)),""))</f>
        <v/>
      </c>
      <c r="T2155" s="75" t="str">
        <f aca="false">IF(P2155="","",IFERROR(N(INDEX(T_EGRESO,MATCH(C2155,T_ID,0))),0))</f>
        <v/>
      </c>
      <c r="U2155" s="73" t="str">
        <f aca="false">IF(OR(P2155="",NOT(ISNUMBER(S2155))),"",IF(OR(S2155&gt;EOMONTH(B2155,0),AND(T2155&gt;0,T2155&lt;B2155)),0,IF(AND(S2155&lt;=B2155,OR(T2155=0,T2155&gt;=EOMONTH(B2155,0))),30,MIN(30,IF(T2155=0,EOMONTH(B2155,0),MIN(T2155,EOMONTH(B2155,0)))-MAX(B2155,S2155)+1))))</f>
        <v/>
      </c>
    </row>
    <row r="2156" customFormat="false" ht="15" hidden="false" customHeight="false" outlineLevel="0" collapsed="false">
      <c r="B2156" s="78"/>
      <c r="C2156" s="64"/>
      <c r="D2156" s="70" t="str">
        <f aca="false">IF(C2156="","",IFERROR(INDEX(T_NOMBRE,MATCH(C2156,T_ID,0)),"⚠ ID no existe"))</f>
        <v/>
      </c>
      <c r="E2156" s="69"/>
      <c r="F2156" s="69"/>
      <c r="G2156" s="69"/>
      <c r="H2156" s="69"/>
      <c r="I2156" s="66"/>
      <c r="J2156" s="69"/>
      <c r="K2156" s="67"/>
      <c r="L2156" s="67"/>
      <c r="M2156" s="67"/>
      <c r="N2156" s="67"/>
      <c r="O2156" s="64"/>
      <c r="P2156" s="72" t="str">
        <f aca="false">IF(OR(B2156="",C2156=""),"",C2156&amp;"|"&amp;(YEAR(B2156)*100+MONTH(B2156)))</f>
        <v/>
      </c>
      <c r="Q2156" s="70" t="str">
        <f aca="false">IF(P2156="","",IF(COUNTIF(N_CLAVE,P2156)&gt;1,"⚠ Duplicado","OK"))</f>
        <v/>
      </c>
      <c r="R2156" s="74" t="str">
        <f aca="false">IF(OR(P2156="",U2156=""),"",MAX(0,U2156-N(E2156)-N(F2156)-N(H2156)))</f>
        <v/>
      </c>
      <c r="S2156" s="75" t="str">
        <f aca="false">IF(P2156="","",IFERROR(INDEX(T_INGRESO,MATCH(C2156,T_ID,0)),""))</f>
        <v/>
      </c>
      <c r="T2156" s="75" t="str">
        <f aca="false">IF(P2156="","",IFERROR(N(INDEX(T_EGRESO,MATCH(C2156,T_ID,0))),0))</f>
        <v/>
      </c>
      <c r="U2156" s="73" t="str">
        <f aca="false">IF(OR(P2156="",NOT(ISNUMBER(S2156))),"",IF(OR(S2156&gt;EOMONTH(B2156,0),AND(T2156&gt;0,T2156&lt;B2156)),0,IF(AND(S2156&lt;=B2156,OR(T2156=0,T2156&gt;=EOMONTH(B2156,0))),30,MIN(30,IF(T2156=0,EOMONTH(B2156,0),MIN(T2156,EOMONTH(B2156,0)))-MAX(B2156,S2156)+1))))</f>
        <v/>
      </c>
    </row>
    <row r="2157" customFormat="false" ht="15" hidden="false" customHeight="false" outlineLevel="0" collapsed="false">
      <c r="B2157" s="78"/>
      <c r="C2157" s="64"/>
      <c r="D2157" s="70" t="str">
        <f aca="false">IF(C2157="","",IFERROR(INDEX(T_NOMBRE,MATCH(C2157,T_ID,0)),"⚠ ID no existe"))</f>
        <v/>
      </c>
      <c r="E2157" s="69"/>
      <c r="F2157" s="69"/>
      <c r="G2157" s="69"/>
      <c r="H2157" s="69"/>
      <c r="I2157" s="66"/>
      <c r="J2157" s="69"/>
      <c r="K2157" s="67"/>
      <c r="L2157" s="67"/>
      <c r="M2157" s="67"/>
      <c r="N2157" s="67"/>
      <c r="O2157" s="64"/>
      <c r="P2157" s="72" t="str">
        <f aca="false">IF(OR(B2157="",C2157=""),"",C2157&amp;"|"&amp;(YEAR(B2157)*100+MONTH(B2157)))</f>
        <v/>
      </c>
      <c r="Q2157" s="70" t="str">
        <f aca="false">IF(P2157="","",IF(COUNTIF(N_CLAVE,P2157)&gt;1,"⚠ Duplicado","OK"))</f>
        <v/>
      </c>
      <c r="R2157" s="74" t="str">
        <f aca="false">IF(OR(P2157="",U2157=""),"",MAX(0,U2157-N(E2157)-N(F2157)-N(H2157)))</f>
        <v/>
      </c>
      <c r="S2157" s="75" t="str">
        <f aca="false">IF(P2157="","",IFERROR(INDEX(T_INGRESO,MATCH(C2157,T_ID,0)),""))</f>
        <v/>
      </c>
      <c r="T2157" s="75" t="str">
        <f aca="false">IF(P2157="","",IFERROR(N(INDEX(T_EGRESO,MATCH(C2157,T_ID,0))),0))</f>
        <v/>
      </c>
      <c r="U2157" s="73" t="str">
        <f aca="false">IF(OR(P2157="",NOT(ISNUMBER(S2157))),"",IF(OR(S2157&gt;EOMONTH(B2157,0),AND(T2157&gt;0,T2157&lt;B2157)),0,IF(AND(S2157&lt;=B2157,OR(T2157=0,T2157&gt;=EOMONTH(B2157,0))),30,MIN(30,IF(T2157=0,EOMONTH(B2157,0),MIN(T2157,EOMONTH(B2157,0)))-MAX(B2157,S2157)+1))))</f>
        <v/>
      </c>
    </row>
    <row r="2158" customFormat="false" ht="15" hidden="false" customHeight="false" outlineLevel="0" collapsed="false">
      <c r="B2158" s="78"/>
      <c r="C2158" s="64"/>
      <c r="D2158" s="70" t="str">
        <f aca="false">IF(C2158="","",IFERROR(INDEX(T_NOMBRE,MATCH(C2158,T_ID,0)),"⚠ ID no existe"))</f>
        <v/>
      </c>
      <c r="E2158" s="69"/>
      <c r="F2158" s="69"/>
      <c r="G2158" s="69"/>
      <c r="H2158" s="69"/>
      <c r="I2158" s="66"/>
      <c r="J2158" s="69"/>
      <c r="K2158" s="67"/>
      <c r="L2158" s="67"/>
      <c r="M2158" s="67"/>
      <c r="N2158" s="67"/>
      <c r="O2158" s="64"/>
      <c r="P2158" s="72" t="str">
        <f aca="false">IF(OR(B2158="",C2158=""),"",C2158&amp;"|"&amp;(YEAR(B2158)*100+MONTH(B2158)))</f>
        <v/>
      </c>
      <c r="Q2158" s="70" t="str">
        <f aca="false">IF(P2158="","",IF(COUNTIF(N_CLAVE,P2158)&gt;1,"⚠ Duplicado","OK"))</f>
        <v/>
      </c>
      <c r="R2158" s="74" t="str">
        <f aca="false">IF(OR(P2158="",U2158=""),"",MAX(0,U2158-N(E2158)-N(F2158)-N(H2158)))</f>
        <v/>
      </c>
      <c r="S2158" s="75" t="str">
        <f aca="false">IF(P2158="","",IFERROR(INDEX(T_INGRESO,MATCH(C2158,T_ID,0)),""))</f>
        <v/>
      </c>
      <c r="T2158" s="75" t="str">
        <f aca="false">IF(P2158="","",IFERROR(N(INDEX(T_EGRESO,MATCH(C2158,T_ID,0))),0))</f>
        <v/>
      </c>
      <c r="U2158" s="73" t="str">
        <f aca="false">IF(OR(P2158="",NOT(ISNUMBER(S2158))),"",IF(OR(S2158&gt;EOMONTH(B2158,0),AND(T2158&gt;0,T2158&lt;B2158)),0,IF(AND(S2158&lt;=B2158,OR(T2158=0,T2158&gt;=EOMONTH(B2158,0))),30,MIN(30,IF(T2158=0,EOMONTH(B2158,0),MIN(T2158,EOMONTH(B2158,0)))-MAX(B2158,S2158)+1))))</f>
        <v/>
      </c>
    </row>
    <row r="2159" customFormat="false" ht="15" hidden="false" customHeight="false" outlineLevel="0" collapsed="false">
      <c r="B2159" s="78"/>
      <c r="C2159" s="64"/>
      <c r="D2159" s="70" t="str">
        <f aca="false">IF(C2159="","",IFERROR(INDEX(T_NOMBRE,MATCH(C2159,T_ID,0)),"⚠ ID no existe"))</f>
        <v/>
      </c>
      <c r="E2159" s="69"/>
      <c r="F2159" s="69"/>
      <c r="G2159" s="69"/>
      <c r="H2159" s="69"/>
      <c r="I2159" s="66"/>
      <c r="J2159" s="69"/>
      <c r="K2159" s="67"/>
      <c r="L2159" s="67"/>
      <c r="M2159" s="67"/>
      <c r="N2159" s="67"/>
      <c r="O2159" s="64"/>
      <c r="P2159" s="72" t="str">
        <f aca="false">IF(OR(B2159="",C2159=""),"",C2159&amp;"|"&amp;(YEAR(B2159)*100+MONTH(B2159)))</f>
        <v/>
      </c>
      <c r="Q2159" s="70" t="str">
        <f aca="false">IF(P2159="","",IF(COUNTIF(N_CLAVE,P2159)&gt;1,"⚠ Duplicado","OK"))</f>
        <v/>
      </c>
      <c r="R2159" s="74" t="str">
        <f aca="false">IF(OR(P2159="",U2159=""),"",MAX(0,U2159-N(E2159)-N(F2159)-N(H2159)))</f>
        <v/>
      </c>
      <c r="S2159" s="75" t="str">
        <f aca="false">IF(P2159="","",IFERROR(INDEX(T_INGRESO,MATCH(C2159,T_ID,0)),""))</f>
        <v/>
      </c>
      <c r="T2159" s="75" t="str">
        <f aca="false">IF(P2159="","",IFERROR(N(INDEX(T_EGRESO,MATCH(C2159,T_ID,0))),0))</f>
        <v/>
      </c>
      <c r="U2159" s="73" t="str">
        <f aca="false">IF(OR(P2159="",NOT(ISNUMBER(S2159))),"",IF(OR(S2159&gt;EOMONTH(B2159,0),AND(T2159&gt;0,T2159&lt;B2159)),0,IF(AND(S2159&lt;=B2159,OR(T2159=0,T2159&gt;=EOMONTH(B2159,0))),30,MIN(30,IF(T2159=0,EOMONTH(B2159,0),MIN(T2159,EOMONTH(B2159,0)))-MAX(B2159,S2159)+1))))</f>
        <v/>
      </c>
    </row>
    <row r="2160" customFormat="false" ht="15" hidden="false" customHeight="false" outlineLevel="0" collapsed="false">
      <c r="B2160" s="78"/>
      <c r="C2160" s="64"/>
      <c r="D2160" s="70" t="str">
        <f aca="false">IF(C2160="","",IFERROR(INDEX(T_NOMBRE,MATCH(C2160,T_ID,0)),"⚠ ID no existe"))</f>
        <v/>
      </c>
      <c r="E2160" s="69"/>
      <c r="F2160" s="69"/>
      <c r="G2160" s="69"/>
      <c r="H2160" s="69"/>
      <c r="I2160" s="66"/>
      <c r="J2160" s="69"/>
      <c r="K2160" s="67"/>
      <c r="L2160" s="67"/>
      <c r="M2160" s="67"/>
      <c r="N2160" s="67"/>
      <c r="O2160" s="64"/>
      <c r="P2160" s="72" t="str">
        <f aca="false">IF(OR(B2160="",C2160=""),"",C2160&amp;"|"&amp;(YEAR(B2160)*100+MONTH(B2160)))</f>
        <v/>
      </c>
      <c r="Q2160" s="70" t="str">
        <f aca="false">IF(P2160="","",IF(COUNTIF(N_CLAVE,P2160)&gt;1,"⚠ Duplicado","OK"))</f>
        <v/>
      </c>
      <c r="R2160" s="74" t="str">
        <f aca="false">IF(OR(P2160="",U2160=""),"",MAX(0,U2160-N(E2160)-N(F2160)-N(H2160)))</f>
        <v/>
      </c>
      <c r="S2160" s="75" t="str">
        <f aca="false">IF(P2160="","",IFERROR(INDEX(T_INGRESO,MATCH(C2160,T_ID,0)),""))</f>
        <v/>
      </c>
      <c r="T2160" s="75" t="str">
        <f aca="false">IF(P2160="","",IFERROR(N(INDEX(T_EGRESO,MATCH(C2160,T_ID,0))),0))</f>
        <v/>
      </c>
      <c r="U2160" s="73" t="str">
        <f aca="false">IF(OR(P2160="",NOT(ISNUMBER(S2160))),"",IF(OR(S2160&gt;EOMONTH(B2160,0),AND(T2160&gt;0,T2160&lt;B2160)),0,IF(AND(S2160&lt;=B2160,OR(T2160=0,T2160&gt;=EOMONTH(B2160,0))),30,MIN(30,IF(T2160=0,EOMONTH(B2160,0),MIN(T2160,EOMONTH(B2160,0)))-MAX(B2160,S2160)+1))))</f>
        <v/>
      </c>
    </row>
    <row r="2161" customFormat="false" ht="15" hidden="false" customHeight="false" outlineLevel="0" collapsed="false">
      <c r="B2161" s="78"/>
      <c r="C2161" s="64"/>
      <c r="D2161" s="70" t="str">
        <f aca="false">IF(C2161="","",IFERROR(INDEX(T_NOMBRE,MATCH(C2161,T_ID,0)),"⚠ ID no existe"))</f>
        <v/>
      </c>
      <c r="E2161" s="69"/>
      <c r="F2161" s="69"/>
      <c r="G2161" s="69"/>
      <c r="H2161" s="69"/>
      <c r="I2161" s="66"/>
      <c r="J2161" s="69"/>
      <c r="K2161" s="67"/>
      <c r="L2161" s="67"/>
      <c r="M2161" s="67"/>
      <c r="N2161" s="67"/>
      <c r="O2161" s="64"/>
      <c r="P2161" s="72" t="str">
        <f aca="false">IF(OR(B2161="",C2161=""),"",C2161&amp;"|"&amp;(YEAR(B2161)*100+MONTH(B2161)))</f>
        <v/>
      </c>
      <c r="Q2161" s="70" t="str">
        <f aca="false">IF(P2161="","",IF(COUNTIF(N_CLAVE,P2161)&gt;1,"⚠ Duplicado","OK"))</f>
        <v/>
      </c>
      <c r="R2161" s="74" t="str">
        <f aca="false">IF(OR(P2161="",U2161=""),"",MAX(0,U2161-N(E2161)-N(F2161)-N(H2161)))</f>
        <v/>
      </c>
      <c r="S2161" s="75" t="str">
        <f aca="false">IF(P2161="","",IFERROR(INDEX(T_INGRESO,MATCH(C2161,T_ID,0)),""))</f>
        <v/>
      </c>
      <c r="T2161" s="75" t="str">
        <f aca="false">IF(P2161="","",IFERROR(N(INDEX(T_EGRESO,MATCH(C2161,T_ID,0))),0))</f>
        <v/>
      </c>
      <c r="U2161" s="73" t="str">
        <f aca="false">IF(OR(P2161="",NOT(ISNUMBER(S2161))),"",IF(OR(S2161&gt;EOMONTH(B2161,0),AND(T2161&gt;0,T2161&lt;B2161)),0,IF(AND(S2161&lt;=B2161,OR(T2161=0,T2161&gt;=EOMONTH(B2161,0))),30,MIN(30,IF(T2161=0,EOMONTH(B2161,0),MIN(T2161,EOMONTH(B2161,0)))-MAX(B2161,S2161)+1))))</f>
        <v/>
      </c>
    </row>
    <row r="2162" customFormat="false" ht="15" hidden="false" customHeight="false" outlineLevel="0" collapsed="false">
      <c r="B2162" s="78"/>
      <c r="C2162" s="64"/>
      <c r="D2162" s="70" t="str">
        <f aca="false">IF(C2162="","",IFERROR(INDEX(T_NOMBRE,MATCH(C2162,T_ID,0)),"⚠ ID no existe"))</f>
        <v/>
      </c>
      <c r="E2162" s="69"/>
      <c r="F2162" s="69"/>
      <c r="G2162" s="69"/>
      <c r="H2162" s="69"/>
      <c r="I2162" s="66"/>
      <c r="J2162" s="69"/>
      <c r="K2162" s="67"/>
      <c r="L2162" s="67"/>
      <c r="M2162" s="67"/>
      <c r="N2162" s="67"/>
      <c r="O2162" s="64"/>
      <c r="P2162" s="72" t="str">
        <f aca="false">IF(OR(B2162="",C2162=""),"",C2162&amp;"|"&amp;(YEAR(B2162)*100+MONTH(B2162)))</f>
        <v/>
      </c>
      <c r="Q2162" s="70" t="str">
        <f aca="false">IF(P2162="","",IF(COUNTIF(N_CLAVE,P2162)&gt;1,"⚠ Duplicado","OK"))</f>
        <v/>
      </c>
      <c r="R2162" s="74" t="str">
        <f aca="false">IF(OR(P2162="",U2162=""),"",MAX(0,U2162-N(E2162)-N(F2162)-N(H2162)))</f>
        <v/>
      </c>
      <c r="S2162" s="75" t="str">
        <f aca="false">IF(P2162="","",IFERROR(INDEX(T_INGRESO,MATCH(C2162,T_ID,0)),""))</f>
        <v/>
      </c>
      <c r="T2162" s="75" t="str">
        <f aca="false">IF(P2162="","",IFERROR(N(INDEX(T_EGRESO,MATCH(C2162,T_ID,0))),0))</f>
        <v/>
      </c>
      <c r="U2162" s="73" t="str">
        <f aca="false">IF(OR(P2162="",NOT(ISNUMBER(S2162))),"",IF(OR(S2162&gt;EOMONTH(B2162,0),AND(T2162&gt;0,T2162&lt;B2162)),0,IF(AND(S2162&lt;=B2162,OR(T2162=0,T2162&gt;=EOMONTH(B2162,0))),30,MIN(30,IF(T2162=0,EOMONTH(B2162,0),MIN(T2162,EOMONTH(B2162,0)))-MAX(B2162,S2162)+1))))</f>
        <v/>
      </c>
    </row>
    <row r="2163" customFormat="false" ht="15" hidden="false" customHeight="false" outlineLevel="0" collapsed="false">
      <c r="B2163" s="78"/>
      <c r="C2163" s="64"/>
      <c r="D2163" s="70" t="str">
        <f aca="false">IF(C2163="","",IFERROR(INDEX(T_NOMBRE,MATCH(C2163,T_ID,0)),"⚠ ID no existe"))</f>
        <v/>
      </c>
      <c r="E2163" s="69"/>
      <c r="F2163" s="69"/>
      <c r="G2163" s="69"/>
      <c r="H2163" s="69"/>
      <c r="I2163" s="66"/>
      <c r="J2163" s="69"/>
      <c r="K2163" s="67"/>
      <c r="L2163" s="67"/>
      <c r="M2163" s="67"/>
      <c r="N2163" s="67"/>
      <c r="O2163" s="64"/>
      <c r="P2163" s="72" t="str">
        <f aca="false">IF(OR(B2163="",C2163=""),"",C2163&amp;"|"&amp;(YEAR(B2163)*100+MONTH(B2163)))</f>
        <v/>
      </c>
      <c r="Q2163" s="70" t="str">
        <f aca="false">IF(P2163="","",IF(COUNTIF(N_CLAVE,P2163)&gt;1,"⚠ Duplicado","OK"))</f>
        <v/>
      </c>
      <c r="R2163" s="74" t="str">
        <f aca="false">IF(OR(P2163="",U2163=""),"",MAX(0,U2163-N(E2163)-N(F2163)-N(H2163)))</f>
        <v/>
      </c>
      <c r="S2163" s="75" t="str">
        <f aca="false">IF(P2163="","",IFERROR(INDEX(T_INGRESO,MATCH(C2163,T_ID,0)),""))</f>
        <v/>
      </c>
      <c r="T2163" s="75" t="str">
        <f aca="false">IF(P2163="","",IFERROR(N(INDEX(T_EGRESO,MATCH(C2163,T_ID,0))),0))</f>
        <v/>
      </c>
      <c r="U2163" s="73" t="str">
        <f aca="false">IF(OR(P2163="",NOT(ISNUMBER(S2163))),"",IF(OR(S2163&gt;EOMONTH(B2163,0),AND(T2163&gt;0,T2163&lt;B2163)),0,IF(AND(S2163&lt;=B2163,OR(T2163=0,T2163&gt;=EOMONTH(B2163,0))),30,MIN(30,IF(T2163=0,EOMONTH(B2163,0),MIN(T2163,EOMONTH(B2163,0)))-MAX(B2163,S2163)+1))))</f>
        <v/>
      </c>
    </row>
    <row r="2164" customFormat="false" ht="15" hidden="false" customHeight="false" outlineLevel="0" collapsed="false">
      <c r="B2164" s="78"/>
      <c r="C2164" s="64"/>
      <c r="D2164" s="70" t="str">
        <f aca="false">IF(C2164="","",IFERROR(INDEX(T_NOMBRE,MATCH(C2164,T_ID,0)),"⚠ ID no existe"))</f>
        <v/>
      </c>
      <c r="E2164" s="69"/>
      <c r="F2164" s="69"/>
      <c r="G2164" s="69"/>
      <c r="H2164" s="69"/>
      <c r="I2164" s="66"/>
      <c r="J2164" s="69"/>
      <c r="K2164" s="67"/>
      <c r="L2164" s="67"/>
      <c r="M2164" s="67"/>
      <c r="N2164" s="67"/>
      <c r="O2164" s="64"/>
      <c r="P2164" s="72" t="str">
        <f aca="false">IF(OR(B2164="",C2164=""),"",C2164&amp;"|"&amp;(YEAR(B2164)*100+MONTH(B2164)))</f>
        <v/>
      </c>
      <c r="Q2164" s="70" t="str">
        <f aca="false">IF(P2164="","",IF(COUNTIF(N_CLAVE,P2164)&gt;1,"⚠ Duplicado","OK"))</f>
        <v/>
      </c>
      <c r="R2164" s="74" t="str">
        <f aca="false">IF(OR(P2164="",U2164=""),"",MAX(0,U2164-N(E2164)-N(F2164)-N(H2164)))</f>
        <v/>
      </c>
      <c r="S2164" s="75" t="str">
        <f aca="false">IF(P2164="","",IFERROR(INDEX(T_INGRESO,MATCH(C2164,T_ID,0)),""))</f>
        <v/>
      </c>
      <c r="T2164" s="75" t="str">
        <f aca="false">IF(P2164="","",IFERROR(N(INDEX(T_EGRESO,MATCH(C2164,T_ID,0))),0))</f>
        <v/>
      </c>
      <c r="U2164" s="73" t="str">
        <f aca="false">IF(OR(P2164="",NOT(ISNUMBER(S2164))),"",IF(OR(S2164&gt;EOMONTH(B2164,0),AND(T2164&gt;0,T2164&lt;B2164)),0,IF(AND(S2164&lt;=B2164,OR(T2164=0,T2164&gt;=EOMONTH(B2164,0))),30,MIN(30,IF(T2164=0,EOMONTH(B2164,0),MIN(T2164,EOMONTH(B2164,0)))-MAX(B2164,S2164)+1))))</f>
        <v/>
      </c>
    </row>
    <row r="2165" customFormat="false" ht="15" hidden="false" customHeight="false" outlineLevel="0" collapsed="false">
      <c r="B2165" s="78"/>
      <c r="C2165" s="64"/>
      <c r="D2165" s="70" t="str">
        <f aca="false">IF(C2165="","",IFERROR(INDEX(T_NOMBRE,MATCH(C2165,T_ID,0)),"⚠ ID no existe"))</f>
        <v/>
      </c>
      <c r="E2165" s="69"/>
      <c r="F2165" s="69"/>
      <c r="G2165" s="69"/>
      <c r="H2165" s="69"/>
      <c r="I2165" s="66"/>
      <c r="J2165" s="69"/>
      <c r="K2165" s="67"/>
      <c r="L2165" s="67"/>
      <c r="M2165" s="67"/>
      <c r="N2165" s="67"/>
      <c r="O2165" s="64"/>
      <c r="P2165" s="72" t="str">
        <f aca="false">IF(OR(B2165="",C2165=""),"",C2165&amp;"|"&amp;(YEAR(B2165)*100+MONTH(B2165)))</f>
        <v/>
      </c>
      <c r="Q2165" s="70" t="str">
        <f aca="false">IF(P2165="","",IF(COUNTIF(N_CLAVE,P2165)&gt;1,"⚠ Duplicado","OK"))</f>
        <v/>
      </c>
      <c r="R2165" s="74" t="str">
        <f aca="false">IF(OR(P2165="",U2165=""),"",MAX(0,U2165-N(E2165)-N(F2165)-N(H2165)))</f>
        <v/>
      </c>
      <c r="S2165" s="75" t="str">
        <f aca="false">IF(P2165="","",IFERROR(INDEX(T_INGRESO,MATCH(C2165,T_ID,0)),""))</f>
        <v/>
      </c>
      <c r="T2165" s="75" t="str">
        <f aca="false">IF(P2165="","",IFERROR(N(INDEX(T_EGRESO,MATCH(C2165,T_ID,0))),0))</f>
        <v/>
      </c>
      <c r="U2165" s="73" t="str">
        <f aca="false">IF(OR(P2165="",NOT(ISNUMBER(S2165))),"",IF(OR(S2165&gt;EOMONTH(B2165,0),AND(T2165&gt;0,T2165&lt;B2165)),0,IF(AND(S2165&lt;=B2165,OR(T2165=0,T2165&gt;=EOMONTH(B2165,0))),30,MIN(30,IF(T2165=0,EOMONTH(B2165,0),MIN(T2165,EOMONTH(B2165,0)))-MAX(B2165,S2165)+1))))</f>
        <v/>
      </c>
    </row>
    <row r="2166" customFormat="false" ht="15" hidden="false" customHeight="false" outlineLevel="0" collapsed="false">
      <c r="B2166" s="78"/>
      <c r="C2166" s="64"/>
      <c r="D2166" s="70" t="str">
        <f aca="false">IF(C2166="","",IFERROR(INDEX(T_NOMBRE,MATCH(C2166,T_ID,0)),"⚠ ID no existe"))</f>
        <v/>
      </c>
      <c r="E2166" s="69"/>
      <c r="F2166" s="69"/>
      <c r="G2166" s="69"/>
      <c r="H2166" s="69"/>
      <c r="I2166" s="66"/>
      <c r="J2166" s="69"/>
      <c r="K2166" s="67"/>
      <c r="L2166" s="67"/>
      <c r="M2166" s="67"/>
      <c r="N2166" s="67"/>
      <c r="O2166" s="64"/>
      <c r="P2166" s="72" t="str">
        <f aca="false">IF(OR(B2166="",C2166=""),"",C2166&amp;"|"&amp;(YEAR(B2166)*100+MONTH(B2166)))</f>
        <v/>
      </c>
      <c r="Q2166" s="70" t="str">
        <f aca="false">IF(P2166="","",IF(COUNTIF(N_CLAVE,P2166)&gt;1,"⚠ Duplicado","OK"))</f>
        <v/>
      </c>
      <c r="R2166" s="74" t="str">
        <f aca="false">IF(OR(P2166="",U2166=""),"",MAX(0,U2166-N(E2166)-N(F2166)-N(H2166)))</f>
        <v/>
      </c>
      <c r="S2166" s="75" t="str">
        <f aca="false">IF(P2166="","",IFERROR(INDEX(T_INGRESO,MATCH(C2166,T_ID,0)),""))</f>
        <v/>
      </c>
      <c r="T2166" s="75" t="str">
        <f aca="false">IF(P2166="","",IFERROR(N(INDEX(T_EGRESO,MATCH(C2166,T_ID,0))),0))</f>
        <v/>
      </c>
      <c r="U2166" s="73" t="str">
        <f aca="false">IF(OR(P2166="",NOT(ISNUMBER(S2166))),"",IF(OR(S2166&gt;EOMONTH(B2166,0),AND(T2166&gt;0,T2166&lt;B2166)),0,IF(AND(S2166&lt;=B2166,OR(T2166=0,T2166&gt;=EOMONTH(B2166,0))),30,MIN(30,IF(T2166=0,EOMONTH(B2166,0),MIN(T2166,EOMONTH(B2166,0)))-MAX(B2166,S2166)+1))))</f>
        <v/>
      </c>
    </row>
    <row r="2167" customFormat="false" ht="15" hidden="false" customHeight="false" outlineLevel="0" collapsed="false">
      <c r="B2167" s="78"/>
      <c r="C2167" s="64"/>
      <c r="D2167" s="70" t="str">
        <f aca="false">IF(C2167="","",IFERROR(INDEX(T_NOMBRE,MATCH(C2167,T_ID,0)),"⚠ ID no existe"))</f>
        <v/>
      </c>
      <c r="E2167" s="69"/>
      <c r="F2167" s="69"/>
      <c r="G2167" s="69"/>
      <c r="H2167" s="69"/>
      <c r="I2167" s="66"/>
      <c r="J2167" s="69"/>
      <c r="K2167" s="67"/>
      <c r="L2167" s="67"/>
      <c r="M2167" s="67"/>
      <c r="N2167" s="67"/>
      <c r="O2167" s="64"/>
      <c r="P2167" s="72" t="str">
        <f aca="false">IF(OR(B2167="",C2167=""),"",C2167&amp;"|"&amp;(YEAR(B2167)*100+MONTH(B2167)))</f>
        <v/>
      </c>
      <c r="Q2167" s="70" t="str">
        <f aca="false">IF(P2167="","",IF(COUNTIF(N_CLAVE,P2167)&gt;1,"⚠ Duplicado","OK"))</f>
        <v/>
      </c>
      <c r="R2167" s="74" t="str">
        <f aca="false">IF(OR(P2167="",U2167=""),"",MAX(0,U2167-N(E2167)-N(F2167)-N(H2167)))</f>
        <v/>
      </c>
      <c r="S2167" s="75" t="str">
        <f aca="false">IF(P2167="","",IFERROR(INDEX(T_INGRESO,MATCH(C2167,T_ID,0)),""))</f>
        <v/>
      </c>
      <c r="T2167" s="75" t="str">
        <f aca="false">IF(P2167="","",IFERROR(N(INDEX(T_EGRESO,MATCH(C2167,T_ID,0))),0))</f>
        <v/>
      </c>
      <c r="U2167" s="73" t="str">
        <f aca="false">IF(OR(P2167="",NOT(ISNUMBER(S2167))),"",IF(OR(S2167&gt;EOMONTH(B2167,0),AND(T2167&gt;0,T2167&lt;B2167)),0,IF(AND(S2167&lt;=B2167,OR(T2167=0,T2167&gt;=EOMONTH(B2167,0))),30,MIN(30,IF(T2167=0,EOMONTH(B2167,0),MIN(T2167,EOMONTH(B2167,0)))-MAX(B2167,S2167)+1))))</f>
        <v/>
      </c>
    </row>
    <row r="2168" customFormat="false" ht="15" hidden="false" customHeight="false" outlineLevel="0" collapsed="false">
      <c r="B2168" s="78"/>
      <c r="C2168" s="64"/>
      <c r="D2168" s="70" t="str">
        <f aca="false">IF(C2168="","",IFERROR(INDEX(T_NOMBRE,MATCH(C2168,T_ID,0)),"⚠ ID no existe"))</f>
        <v/>
      </c>
      <c r="E2168" s="69"/>
      <c r="F2168" s="69"/>
      <c r="G2168" s="69"/>
      <c r="H2168" s="69"/>
      <c r="I2168" s="66"/>
      <c r="J2168" s="69"/>
      <c r="K2168" s="67"/>
      <c r="L2168" s="67"/>
      <c r="M2168" s="67"/>
      <c r="N2168" s="67"/>
      <c r="O2168" s="64"/>
      <c r="P2168" s="72" t="str">
        <f aca="false">IF(OR(B2168="",C2168=""),"",C2168&amp;"|"&amp;(YEAR(B2168)*100+MONTH(B2168)))</f>
        <v/>
      </c>
      <c r="Q2168" s="70" t="str">
        <f aca="false">IF(P2168="","",IF(COUNTIF(N_CLAVE,P2168)&gt;1,"⚠ Duplicado","OK"))</f>
        <v/>
      </c>
      <c r="R2168" s="74" t="str">
        <f aca="false">IF(OR(P2168="",U2168=""),"",MAX(0,U2168-N(E2168)-N(F2168)-N(H2168)))</f>
        <v/>
      </c>
      <c r="S2168" s="75" t="str">
        <f aca="false">IF(P2168="","",IFERROR(INDEX(T_INGRESO,MATCH(C2168,T_ID,0)),""))</f>
        <v/>
      </c>
      <c r="T2168" s="75" t="str">
        <f aca="false">IF(P2168="","",IFERROR(N(INDEX(T_EGRESO,MATCH(C2168,T_ID,0))),0))</f>
        <v/>
      </c>
      <c r="U2168" s="73" t="str">
        <f aca="false">IF(OR(P2168="",NOT(ISNUMBER(S2168))),"",IF(OR(S2168&gt;EOMONTH(B2168,0),AND(T2168&gt;0,T2168&lt;B2168)),0,IF(AND(S2168&lt;=B2168,OR(T2168=0,T2168&gt;=EOMONTH(B2168,0))),30,MIN(30,IF(T2168=0,EOMONTH(B2168,0),MIN(T2168,EOMONTH(B2168,0)))-MAX(B2168,S2168)+1))))</f>
        <v/>
      </c>
    </row>
    <row r="2169" customFormat="false" ht="15" hidden="false" customHeight="false" outlineLevel="0" collapsed="false">
      <c r="B2169" s="78"/>
      <c r="C2169" s="64"/>
      <c r="D2169" s="70" t="str">
        <f aca="false">IF(C2169="","",IFERROR(INDEX(T_NOMBRE,MATCH(C2169,T_ID,0)),"⚠ ID no existe"))</f>
        <v/>
      </c>
      <c r="E2169" s="69"/>
      <c r="F2169" s="69"/>
      <c r="G2169" s="69"/>
      <c r="H2169" s="69"/>
      <c r="I2169" s="66"/>
      <c r="J2169" s="69"/>
      <c r="K2169" s="67"/>
      <c r="L2169" s="67"/>
      <c r="M2169" s="67"/>
      <c r="N2169" s="67"/>
      <c r="O2169" s="64"/>
      <c r="P2169" s="72" t="str">
        <f aca="false">IF(OR(B2169="",C2169=""),"",C2169&amp;"|"&amp;(YEAR(B2169)*100+MONTH(B2169)))</f>
        <v/>
      </c>
      <c r="Q2169" s="70" t="str">
        <f aca="false">IF(P2169="","",IF(COUNTIF(N_CLAVE,P2169)&gt;1,"⚠ Duplicado","OK"))</f>
        <v/>
      </c>
      <c r="R2169" s="74" t="str">
        <f aca="false">IF(OR(P2169="",U2169=""),"",MAX(0,U2169-N(E2169)-N(F2169)-N(H2169)))</f>
        <v/>
      </c>
      <c r="S2169" s="75" t="str">
        <f aca="false">IF(P2169="","",IFERROR(INDEX(T_INGRESO,MATCH(C2169,T_ID,0)),""))</f>
        <v/>
      </c>
      <c r="T2169" s="75" t="str">
        <f aca="false">IF(P2169="","",IFERROR(N(INDEX(T_EGRESO,MATCH(C2169,T_ID,0))),0))</f>
        <v/>
      </c>
      <c r="U2169" s="73" t="str">
        <f aca="false">IF(OR(P2169="",NOT(ISNUMBER(S2169))),"",IF(OR(S2169&gt;EOMONTH(B2169,0),AND(T2169&gt;0,T2169&lt;B2169)),0,IF(AND(S2169&lt;=B2169,OR(T2169=0,T2169&gt;=EOMONTH(B2169,0))),30,MIN(30,IF(T2169=0,EOMONTH(B2169,0),MIN(T2169,EOMONTH(B2169,0)))-MAX(B2169,S2169)+1))))</f>
        <v/>
      </c>
    </row>
    <row r="2170" customFormat="false" ht="15" hidden="false" customHeight="false" outlineLevel="0" collapsed="false">
      <c r="B2170" s="78"/>
      <c r="C2170" s="64"/>
      <c r="D2170" s="70" t="str">
        <f aca="false">IF(C2170="","",IFERROR(INDEX(T_NOMBRE,MATCH(C2170,T_ID,0)),"⚠ ID no existe"))</f>
        <v/>
      </c>
      <c r="E2170" s="69"/>
      <c r="F2170" s="69"/>
      <c r="G2170" s="69"/>
      <c r="H2170" s="69"/>
      <c r="I2170" s="66"/>
      <c r="J2170" s="69"/>
      <c r="K2170" s="67"/>
      <c r="L2170" s="67"/>
      <c r="M2170" s="67"/>
      <c r="N2170" s="67"/>
      <c r="O2170" s="64"/>
      <c r="P2170" s="72" t="str">
        <f aca="false">IF(OR(B2170="",C2170=""),"",C2170&amp;"|"&amp;(YEAR(B2170)*100+MONTH(B2170)))</f>
        <v/>
      </c>
      <c r="Q2170" s="70" t="str">
        <f aca="false">IF(P2170="","",IF(COUNTIF(N_CLAVE,P2170)&gt;1,"⚠ Duplicado","OK"))</f>
        <v/>
      </c>
      <c r="R2170" s="74" t="str">
        <f aca="false">IF(OR(P2170="",U2170=""),"",MAX(0,U2170-N(E2170)-N(F2170)-N(H2170)))</f>
        <v/>
      </c>
      <c r="S2170" s="75" t="str">
        <f aca="false">IF(P2170="","",IFERROR(INDEX(T_INGRESO,MATCH(C2170,T_ID,0)),""))</f>
        <v/>
      </c>
      <c r="T2170" s="75" t="str">
        <f aca="false">IF(P2170="","",IFERROR(N(INDEX(T_EGRESO,MATCH(C2170,T_ID,0))),0))</f>
        <v/>
      </c>
      <c r="U2170" s="73" t="str">
        <f aca="false">IF(OR(P2170="",NOT(ISNUMBER(S2170))),"",IF(OR(S2170&gt;EOMONTH(B2170,0),AND(T2170&gt;0,T2170&lt;B2170)),0,IF(AND(S2170&lt;=B2170,OR(T2170=0,T2170&gt;=EOMONTH(B2170,0))),30,MIN(30,IF(T2170=0,EOMONTH(B2170,0),MIN(T2170,EOMONTH(B2170,0)))-MAX(B2170,S2170)+1))))</f>
        <v/>
      </c>
    </row>
    <row r="2171" customFormat="false" ht="15" hidden="false" customHeight="false" outlineLevel="0" collapsed="false">
      <c r="B2171" s="78"/>
      <c r="C2171" s="64"/>
      <c r="D2171" s="70" t="str">
        <f aca="false">IF(C2171="","",IFERROR(INDEX(T_NOMBRE,MATCH(C2171,T_ID,0)),"⚠ ID no existe"))</f>
        <v/>
      </c>
      <c r="E2171" s="69"/>
      <c r="F2171" s="69"/>
      <c r="G2171" s="69"/>
      <c r="H2171" s="69"/>
      <c r="I2171" s="66"/>
      <c r="J2171" s="69"/>
      <c r="K2171" s="67"/>
      <c r="L2171" s="67"/>
      <c r="M2171" s="67"/>
      <c r="N2171" s="67"/>
      <c r="O2171" s="64"/>
      <c r="P2171" s="72" t="str">
        <f aca="false">IF(OR(B2171="",C2171=""),"",C2171&amp;"|"&amp;(YEAR(B2171)*100+MONTH(B2171)))</f>
        <v/>
      </c>
      <c r="Q2171" s="70" t="str">
        <f aca="false">IF(P2171="","",IF(COUNTIF(N_CLAVE,P2171)&gt;1,"⚠ Duplicado","OK"))</f>
        <v/>
      </c>
      <c r="R2171" s="74" t="str">
        <f aca="false">IF(OR(P2171="",U2171=""),"",MAX(0,U2171-N(E2171)-N(F2171)-N(H2171)))</f>
        <v/>
      </c>
      <c r="S2171" s="75" t="str">
        <f aca="false">IF(P2171="","",IFERROR(INDEX(T_INGRESO,MATCH(C2171,T_ID,0)),""))</f>
        <v/>
      </c>
      <c r="T2171" s="75" t="str">
        <f aca="false">IF(P2171="","",IFERROR(N(INDEX(T_EGRESO,MATCH(C2171,T_ID,0))),0))</f>
        <v/>
      </c>
      <c r="U2171" s="73" t="str">
        <f aca="false">IF(OR(P2171="",NOT(ISNUMBER(S2171))),"",IF(OR(S2171&gt;EOMONTH(B2171,0),AND(T2171&gt;0,T2171&lt;B2171)),0,IF(AND(S2171&lt;=B2171,OR(T2171=0,T2171&gt;=EOMONTH(B2171,0))),30,MIN(30,IF(T2171=0,EOMONTH(B2171,0),MIN(T2171,EOMONTH(B2171,0)))-MAX(B2171,S2171)+1))))</f>
        <v/>
      </c>
    </row>
    <row r="2172" customFormat="false" ht="15" hidden="false" customHeight="false" outlineLevel="0" collapsed="false">
      <c r="B2172" s="78"/>
      <c r="C2172" s="64"/>
      <c r="D2172" s="70" t="str">
        <f aca="false">IF(C2172="","",IFERROR(INDEX(T_NOMBRE,MATCH(C2172,T_ID,0)),"⚠ ID no existe"))</f>
        <v/>
      </c>
      <c r="E2172" s="69"/>
      <c r="F2172" s="69"/>
      <c r="G2172" s="69"/>
      <c r="H2172" s="69"/>
      <c r="I2172" s="66"/>
      <c r="J2172" s="69"/>
      <c r="K2172" s="67"/>
      <c r="L2172" s="67"/>
      <c r="M2172" s="67"/>
      <c r="N2172" s="67"/>
      <c r="O2172" s="64"/>
      <c r="P2172" s="72" t="str">
        <f aca="false">IF(OR(B2172="",C2172=""),"",C2172&amp;"|"&amp;(YEAR(B2172)*100+MONTH(B2172)))</f>
        <v/>
      </c>
      <c r="Q2172" s="70" t="str">
        <f aca="false">IF(P2172="","",IF(COUNTIF(N_CLAVE,P2172)&gt;1,"⚠ Duplicado","OK"))</f>
        <v/>
      </c>
      <c r="R2172" s="74" t="str">
        <f aca="false">IF(OR(P2172="",U2172=""),"",MAX(0,U2172-N(E2172)-N(F2172)-N(H2172)))</f>
        <v/>
      </c>
      <c r="S2172" s="75" t="str">
        <f aca="false">IF(P2172="","",IFERROR(INDEX(T_INGRESO,MATCH(C2172,T_ID,0)),""))</f>
        <v/>
      </c>
      <c r="T2172" s="75" t="str">
        <f aca="false">IF(P2172="","",IFERROR(N(INDEX(T_EGRESO,MATCH(C2172,T_ID,0))),0))</f>
        <v/>
      </c>
      <c r="U2172" s="73" t="str">
        <f aca="false">IF(OR(P2172="",NOT(ISNUMBER(S2172))),"",IF(OR(S2172&gt;EOMONTH(B2172,0),AND(T2172&gt;0,T2172&lt;B2172)),0,IF(AND(S2172&lt;=B2172,OR(T2172=0,T2172&gt;=EOMONTH(B2172,0))),30,MIN(30,IF(T2172=0,EOMONTH(B2172,0),MIN(T2172,EOMONTH(B2172,0)))-MAX(B2172,S2172)+1))))</f>
        <v/>
      </c>
    </row>
    <row r="2173" customFormat="false" ht="15" hidden="false" customHeight="false" outlineLevel="0" collapsed="false">
      <c r="B2173" s="78"/>
      <c r="C2173" s="64"/>
      <c r="D2173" s="70" t="str">
        <f aca="false">IF(C2173="","",IFERROR(INDEX(T_NOMBRE,MATCH(C2173,T_ID,0)),"⚠ ID no existe"))</f>
        <v/>
      </c>
      <c r="E2173" s="69"/>
      <c r="F2173" s="69"/>
      <c r="G2173" s="69"/>
      <c r="H2173" s="69"/>
      <c r="I2173" s="66"/>
      <c r="J2173" s="69"/>
      <c r="K2173" s="67"/>
      <c r="L2173" s="67"/>
      <c r="M2173" s="67"/>
      <c r="N2173" s="67"/>
      <c r="O2173" s="64"/>
      <c r="P2173" s="72" t="str">
        <f aca="false">IF(OR(B2173="",C2173=""),"",C2173&amp;"|"&amp;(YEAR(B2173)*100+MONTH(B2173)))</f>
        <v/>
      </c>
      <c r="Q2173" s="70" t="str">
        <f aca="false">IF(P2173="","",IF(COUNTIF(N_CLAVE,P2173)&gt;1,"⚠ Duplicado","OK"))</f>
        <v/>
      </c>
      <c r="R2173" s="74" t="str">
        <f aca="false">IF(OR(P2173="",U2173=""),"",MAX(0,U2173-N(E2173)-N(F2173)-N(H2173)))</f>
        <v/>
      </c>
      <c r="S2173" s="75" t="str">
        <f aca="false">IF(P2173="","",IFERROR(INDEX(T_INGRESO,MATCH(C2173,T_ID,0)),""))</f>
        <v/>
      </c>
      <c r="T2173" s="75" t="str">
        <f aca="false">IF(P2173="","",IFERROR(N(INDEX(T_EGRESO,MATCH(C2173,T_ID,0))),0))</f>
        <v/>
      </c>
      <c r="U2173" s="73" t="str">
        <f aca="false">IF(OR(P2173="",NOT(ISNUMBER(S2173))),"",IF(OR(S2173&gt;EOMONTH(B2173,0),AND(T2173&gt;0,T2173&lt;B2173)),0,IF(AND(S2173&lt;=B2173,OR(T2173=0,T2173&gt;=EOMONTH(B2173,0))),30,MIN(30,IF(T2173=0,EOMONTH(B2173,0),MIN(T2173,EOMONTH(B2173,0)))-MAX(B2173,S2173)+1))))</f>
        <v/>
      </c>
    </row>
    <row r="2174" customFormat="false" ht="15" hidden="false" customHeight="false" outlineLevel="0" collapsed="false">
      <c r="B2174" s="78"/>
      <c r="C2174" s="64"/>
      <c r="D2174" s="70" t="str">
        <f aca="false">IF(C2174="","",IFERROR(INDEX(T_NOMBRE,MATCH(C2174,T_ID,0)),"⚠ ID no existe"))</f>
        <v/>
      </c>
      <c r="E2174" s="69"/>
      <c r="F2174" s="69"/>
      <c r="G2174" s="69"/>
      <c r="H2174" s="69"/>
      <c r="I2174" s="66"/>
      <c r="J2174" s="69"/>
      <c r="K2174" s="67"/>
      <c r="L2174" s="67"/>
      <c r="M2174" s="67"/>
      <c r="N2174" s="67"/>
      <c r="O2174" s="64"/>
      <c r="P2174" s="72" t="str">
        <f aca="false">IF(OR(B2174="",C2174=""),"",C2174&amp;"|"&amp;(YEAR(B2174)*100+MONTH(B2174)))</f>
        <v/>
      </c>
      <c r="Q2174" s="70" t="str">
        <f aca="false">IF(P2174="","",IF(COUNTIF(N_CLAVE,P2174)&gt;1,"⚠ Duplicado","OK"))</f>
        <v/>
      </c>
      <c r="R2174" s="74" t="str">
        <f aca="false">IF(OR(P2174="",U2174=""),"",MAX(0,U2174-N(E2174)-N(F2174)-N(H2174)))</f>
        <v/>
      </c>
      <c r="S2174" s="75" t="str">
        <f aca="false">IF(P2174="","",IFERROR(INDEX(T_INGRESO,MATCH(C2174,T_ID,0)),""))</f>
        <v/>
      </c>
      <c r="T2174" s="75" t="str">
        <f aca="false">IF(P2174="","",IFERROR(N(INDEX(T_EGRESO,MATCH(C2174,T_ID,0))),0))</f>
        <v/>
      </c>
      <c r="U2174" s="73" t="str">
        <f aca="false">IF(OR(P2174="",NOT(ISNUMBER(S2174))),"",IF(OR(S2174&gt;EOMONTH(B2174,0),AND(T2174&gt;0,T2174&lt;B2174)),0,IF(AND(S2174&lt;=B2174,OR(T2174=0,T2174&gt;=EOMONTH(B2174,0))),30,MIN(30,IF(T2174=0,EOMONTH(B2174,0),MIN(T2174,EOMONTH(B2174,0)))-MAX(B2174,S2174)+1))))</f>
        <v/>
      </c>
    </row>
    <row r="2175" customFormat="false" ht="15" hidden="false" customHeight="false" outlineLevel="0" collapsed="false">
      <c r="B2175" s="78"/>
      <c r="C2175" s="64"/>
      <c r="D2175" s="70" t="str">
        <f aca="false">IF(C2175="","",IFERROR(INDEX(T_NOMBRE,MATCH(C2175,T_ID,0)),"⚠ ID no existe"))</f>
        <v/>
      </c>
      <c r="E2175" s="69"/>
      <c r="F2175" s="69"/>
      <c r="G2175" s="69"/>
      <c r="H2175" s="69"/>
      <c r="I2175" s="66"/>
      <c r="J2175" s="69"/>
      <c r="K2175" s="67"/>
      <c r="L2175" s="67"/>
      <c r="M2175" s="67"/>
      <c r="N2175" s="67"/>
      <c r="O2175" s="64"/>
      <c r="P2175" s="72" t="str">
        <f aca="false">IF(OR(B2175="",C2175=""),"",C2175&amp;"|"&amp;(YEAR(B2175)*100+MONTH(B2175)))</f>
        <v/>
      </c>
      <c r="Q2175" s="70" t="str">
        <f aca="false">IF(P2175="","",IF(COUNTIF(N_CLAVE,P2175)&gt;1,"⚠ Duplicado","OK"))</f>
        <v/>
      </c>
      <c r="R2175" s="74" t="str">
        <f aca="false">IF(OR(P2175="",U2175=""),"",MAX(0,U2175-N(E2175)-N(F2175)-N(H2175)))</f>
        <v/>
      </c>
      <c r="S2175" s="75" t="str">
        <f aca="false">IF(P2175="","",IFERROR(INDEX(T_INGRESO,MATCH(C2175,T_ID,0)),""))</f>
        <v/>
      </c>
      <c r="T2175" s="75" t="str">
        <f aca="false">IF(P2175="","",IFERROR(N(INDEX(T_EGRESO,MATCH(C2175,T_ID,0))),0))</f>
        <v/>
      </c>
      <c r="U2175" s="73" t="str">
        <f aca="false">IF(OR(P2175="",NOT(ISNUMBER(S2175))),"",IF(OR(S2175&gt;EOMONTH(B2175,0),AND(T2175&gt;0,T2175&lt;B2175)),0,IF(AND(S2175&lt;=B2175,OR(T2175=0,T2175&gt;=EOMONTH(B2175,0))),30,MIN(30,IF(T2175=0,EOMONTH(B2175,0),MIN(T2175,EOMONTH(B2175,0)))-MAX(B2175,S2175)+1))))</f>
        <v/>
      </c>
    </row>
    <row r="2176" customFormat="false" ht="15" hidden="false" customHeight="false" outlineLevel="0" collapsed="false">
      <c r="B2176" s="78"/>
      <c r="C2176" s="64"/>
      <c r="D2176" s="70" t="str">
        <f aca="false">IF(C2176="","",IFERROR(INDEX(T_NOMBRE,MATCH(C2176,T_ID,0)),"⚠ ID no existe"))</f>
        <v/>
      </c>
      <c r="E2176" s="69"/>
      <c r="F2176" s="69"/>
      <c r="G2176" s="69"/>
      <c r="H2176" s="69"/>
      <c r="I2176" s="66"/>
      <c r="J2176" s="69"/>
      <c r="K2176" s="67"/>
      <c r="L2176" s="67"/>
      <c r="M2176" s="67"/>
      <c r="N2176" s="67"/>
      <c r="O2176" s="64"/>
      <c r="P2176" s="72" t="str">
        <f aca="false">IF(OR(B2176="",C2176=""),"",C2176&amp;"|"&amp;(YEAR(B2176)*100+MONTH(B2176)))</f>
        <v/>
      </c>
      <c r="Q2176" s="70" t="str">
        <f aca="false">IF(P2176="","",IF(COUNTIF(N_CLAVE,P2176)&gt;1,"⚠ Duplicado","OK"))</f>
        <v/>
      </c>
      <c r="R2176" s="74" t="str">
        <f aca="false">IF(OR(P2176="",U2176=""),"",MAX(0,U2176-N(E2176)-N(F2176)-N(H2176)))</f>
        <v/>
      </c>
      <c r="S2176" s="75" t="str">
        <f aca="false">IF(P2176="","",IFERROR(INDEX(T_INGRESO,MATCH(C2176,T_ID,0)),""))</f>
        <v/>
      </c>
      <c r="T2176" s="75" t="str">
        <f aca="false">IF(P2176="","",IFERROR(N(INDEX(T_EGRESO,MATCH(C2176,T_ID,0))),0))</f>
        <v/>
      </c>
      <c r="U2176" s="73" t="str">
        <f aca="false">IF(OR(P2176="",NOT(ISNUMBER(S2176))),"",IF(OR(S2176&gt;EOMONTH(B2176,0),AND(T2176&gt;0,T2176&lt;B2176)),0,IF(AND(S2176&lt;=B2176,OR(T2176=0,T2176&gt;=EOMONTH(B2176,0))),30,MIN(30,IF(T2176=0,EOMONTH(B2176,0),MIN(T2176,EOMONTH(B2176,0)))-MAX(B2176,S2176)+1))))</f>
        <v/>
      </c>
    </row>
    <row r="2177" customFormat="false" ht="15" hidden="false" customHeight="false" outlineLevel="0" collapsed="false">
      <c r="B2177" s="78"/>
      <c r="C2177" s="64"/>
      <c r="D2177" s="70" t="str">
        <f aca="false">IF(C2177="","",IFERROR(INDEX(T_NOMBRE,MATCH(C2177,T_ID,0)),"⚠ ID no existe"))</f>
        <v/>
      </c>
      <c r="E2177" s="69"/>
      <c r="F2177" s="69"/>
      <c r="G2177" s="69"/>
      <c r="H2177" s="69"/>
      <c r="I2177" s="66"/>
      <c r="J2177" s="69"/>
      <c r="K2177" s="67"/>
      <c r="L2177" s="67"/>
      <c r="M2177" s="67"/>
      <c r="N2177" s="67"/>
      <c r="O2177" s="64"/>
      <c r="P2177" s="72" t="str">
        <f aca="false">IF(OR(B2177="",C2177=""),"",C2177&amp;"|"&amp;(YEAR(B2177)*100+MONTH(B2177)))</f>
        <v/>
      </c>
      <c r="Q2177" s="70" t="str">
        <f aca="false">IF(P2177="","",IF(COUNTIF(N_CLAVE,P2177)&gt;1,"⚠ Duplicado","OK"))</f>
        <v/>
      </c>
      <c r="R2177" s="74" t="str">
        <f aca="false">IF(OR(P2177="",U2177=""),"",MAX(0,U2177-N(E2177)-N(F2177)-N(H2177)))</f>
        <v/>
      </c>
      <c r="S2177" s="75" t="str">
        <f aca="false">IF(P2177="","",IFERROR(INDEX(T_INGRESO,MATCH(C2177,T_ID,0)),""))</f>
        <v/>
      </c>
      <c r="T2177" s="75" t="str">
        <f aca="false">IF(P2177="","",IFERROR(N(INDEX(T_EGRESO,MATCH(C2177,T_ID,0))),0))</f>
        <v/>
      </c>
      <c r="U2177" s="73" t="str">
        <f aca="false">IF(OR(P2177="",NOT(ISNUMBER(S2177))),"",IF(OR(S2177&gt;EOMONTH(B2177,0),AND(T2177&gt;0,T2177&lt;B2177)),0,IF(AND(S2177&lt;=B2177,OR(T2177=0,T2177&gt;=EOMONTH(B2177,0))),30,MIN(30,IF(T2177=0,EOMONTH(B2177,0),MIN(T2177,EOMONTH(B2177,0)))-MAX(B2177,S2177)+1))))</f>
        <v/>
      </c>
    </row>
    <row r="2178" customFormat="false" ht="15" hidden="false" customHeight="false" outlineLevel="0" collapsed="false">
      <c r="B2178" s="78"/>
      <c r="C2178" s="64"/>
      <c r="D2178" s="70" t="str">
        <f aca="false">IF(C2178="","",IFERROR(INDEX(T_NOMBRE,MATCH(C2178,T_ID,0)),"⚠ ID no existe"))</f>
        <v/>
      </c>
      <c r="E2178" s="69"/>
      <c r="F2178" s="69"/>
      <c r="G2178" s="69"/>
      <c r="H2178" s="69"/>
      <c r="I2178" s="66"/>
      <c r="J2178" s="69"/>
      <c r="K2178" s="67"/>
      <c r="L2178" s="67"/>
      <c r="M2178" s="67"/>
      <c r="N2178" s="67"/>
      <c r="O2178" s="64"/>
      <c r="P2178" s="72" t="str">
        <f aca="false">IF(OR(B2178="",C2178=""),"",C2178&amp;"|"&amp;(YEAR(B2178)*100+MONTH(B2178)))</f>
        <v/>
      </c>
      <c r="Q2178" s="70" t="str">
        <f aca="false">IF(P2178="","",IF(COUNTIF(N_CLAVE,P2178)&gt;1,"⚠ Duplicado","OK"))</f>
        <v/>
      </c>
      <c r="R2178" s="74" t="str">
        <f aca="false">IF(OR(P2178="",U2178=""),"",MAX(0,U2178-N(E2178)-N(F2178)-N(H2178)))</f>
        <v/>
      </c>
      <c r="S2178" s="75" t="str">
        <f aca="false">IF(P2178="","",IFERROR(INDEX(T_INGRESO,MATCH(C2178,T_ID,0)),""))</f>
        <v/>
      </c>
      <c r="T2178" s="75" t="str">
        <f aca="false">IF(P2178="","",IFERROR(N(INDEX(T_EGRESO,MATCH(C2178,T_ID,0))),0))</f>
        <v/>
      </c>
      <c r="U2178" s="73" t="str">
        <f aca="false">IF(OR(P2178="",NOT(ISNUMBER(S2178))),"",IF(OR(S2178&gt;EOMONTH(B2178,0),AND(T2178&gt;0,T2178&lt;B2178)),0,IF(AND(S2178&lt;=B2178,OR(T2178=0,T2178&gt;=EOMONTH(B2178,0))),30,MIN(30,IF(T2178=0,EOMONTH(B2178,0),MIN(T2178,EOMONTH(B2178,0)))-MAX(B2178,S2178)+1))))</f>
        <v/>
      </c>
    </row>
    <row r="2179" customFormat="false" ht="15" hidden="false" customHeight="false" outlineLevel="0" collapsed="false">
      <c r="B2179" s="78"/>
      <c r="C2179" s="64"/>
      <c r="D2179" s="70" t="str">
        <f aca="false">IF(C2179="","",IFERROR(INDEX(T_NOMBRE,MATCH(C2179,T_ID,0)),"⚠ ID no existe"))</f>
        <v/>
      </c>
      <c r="E2179" s="69"/>
      <c r="F2179" s="69"/>
      <c r="G2179" s="69"/>
      <c r="H2179" s="69"/>
      <c r="I2179" s="66"/>
      <c r="J2179" s="69"/>
      <c r="K2179" s="67"/>
      <c r="L2179" s="67"/>
      <c r="M2179" s="67"/>
      <c r="N2179" s="67"/>
      <c r="O2179" s="64"/>
      <c r="P2179" s="72" t="str">
        <f aca="false">IF(OR(B2179="",C2179=""),"",C2179&amp;"|"&amp;(YEAR(B2179)*100+MONTH(B2179)))</f>
        <v/>
      </c>
      <c r="Q2179" s="70" t="str">
        <f aca="false">IF(P2179="","",IF(COUNTIF(N_CLAVE,P2179)&gt;1,"⚠ Duplicado","OK"))</f>
        <v/>
      </c>
      <c r="R2179" s="74" t="str">
        <f aca="false">IF(OR(P2179="",U2179=""),"",MAX(0,U2179-N(E2179)-N(F2179)-N(H2179)))</f>
        <v/>
      </c>
      <c r="S2179" s="75" t="str">
        <f aca="false">IF(P2179="","",IFERROR(INDEX(T_INGRESO,MATCH(C2179,T_ID,0)),""))</f>
        <v/>
      </c>
      <c r="T2179" s="75" t="str">
        <f aca="false">IF(P2179="","",IFERROR(N(INDEX(T_EGRESO,MATCH(C2179,T_ID,0))),0))</f>
        <v/>
      </c>
      <c r="U2179" s="73" t="str">
        <f aca="false">IF(OR(P2179="",NOT(ISNUMBER(S2179))),"",IF(OR(S2179&gt;EOMONTH(B2179,0),AND(T2179&gt;0,T2179&lt;B2179)),0,IF(AND(S2179&lt;=B2179,OR(T2179=0,T2179&gt;=EOMONTH(B2179,0))),30,MIN(30,IF(T2179=0,EOMONTH(B2179,0),MIN(T2179,EOMONTH(B2179,0)))-MAX(B2179,S2179)+1))))</f>
        <v/>
      </c>
    </row>
    <row r="2180" customFormat="false" ht="15" hidden="false" customHeight="false" outlineLevel="0" collapsed="false">
      <c r="B2180" s="78"/>
      <c r="C2180" s="64"/>
      <c r="D2180" s="70" t="str">
        <f aca="false">IF(C2180="","",IFERROR(INDEX(T_NOMBRE,MATCH(C2180,T_ID,0)),"⚠ ID no existe"))</f>
        <v/>
      </c>
      <c r="E2180" s="69"/>
      <c r="F2180" s="69"/>
      <c r="G2180" s="69"/>
      <c r="H2180" s="69"/>
      <c r="I2180" s="66"/>
      <c r="J2180" s="69"/>
      <c r="K2180" s="67"/>
      <c r="L2180" s="67"/>
      <c r="M2180" s="67"/>
      <c r="N2180" s="67"/>
      <c r="O2180" s="64"/>
      <c r="P2180" s="72" t="str">
        <f aca="false">IF(OR(B2180="",C2180=""),"",C2180&amp;"|"&amp;(YEAR(B2180)*100+MONTH(B2180)))</f>
        <v/>
      </c>
      <c r="Q2180" s="70" t="str">
        <f aca="false">IF(P2180="","",IF(COUNTIF(N_CLAVE,P2180)&gt;1,"⚠ Duplicado","OK"))</f>
        <v/>
      </c>
      <c r="R2180" s="74" t="str">
        <f aca="false">IF(OR(P2180="",U2180=""),"",MAX(0,U2180-N(E2180)-N(F2180)-N(H2180)))</f>
        <v/>
      </c>
      <c r="S2180" s="75" t="str">
        <f aca="false">IF(P2180="","",IFERROR(INDEX(T_INGRESO,MATCH(C2180,T_ID,0)),""))</f>
        <v/>
      </c>
      <c r="T2180" s="75" t="str">
        <f aca="false">IF(P2180="","",IFERROR(N(INDEX(T_EGRESO,MATCH(C2180,T_ID,0))),0))</f>
        <v/>
      </c>
      <c r="U2180" s="73" t="str">
        <f aca="false">IF(OR(P2180="",NOT(ISNUMBER(S2180))),"",IF(OR(S2180&gt;EOMONTH(B2180,0),AND(T2180&gt;0,T2180&lt;B2180)),0,IF(AND(S2180&lt;=B2180,OR(T2180=0,T2180&gt;=EOMONTH(B2180,0))),30,MIN(30,IF(T2180=0,EOMONTH(B2180,0),MIN(T2180,EOMONTH(B2180,0)))-MAX(B2180,S2180)+1))))</f>
        <v/>
      </c>
    </row>
    <row r="2181" customFormat="false" ht="15" hidden="false" customHeight="false" outlineLevel="0" collapsed="false">
      <c r="B2181" s="78"/>
      <c r="C2181" s="64"/>
      <c r="D2181" s="70" t="str">
        <f aca="false">IF(C2181="","",IFERROR(INDEX(T_NOMBRE,MATCH(C2181,T_ID,0)),"⚠ ID no existe"))</f>
        <v/>
      </c>
      <c r="E2181" s="69"/>
      <c r="F2181" s="69"/>
      <c r="G2181" s="69"/>
      <c r="H2181" s="69"/>
      <c r="I2181" s="66"/>
      <c r="J2181" s="69"/>
      <c r="K2181" s="67"/>
      <c r="L2181" s="67"/>
      <c r="M2181" s="67"/>
      <c r="N2181" s="67"/>
      <c r="O2181" s="64"/>
      <c r="P2181" s="72" t="str">
        <f aca="false">IF(OR(B2181="",C2181=""),"",C2181&amp;"|"&amp;(YEAR(B2181)*100+MONTH(B2181)))</f>
        <v/>
      </c>
      <c r="Q2181" s="70" t="str">
        <f aca="false">IF(P2181="","",IF(COUNTIF(N_CLAVE,P2181)&gt;1,"⚠ Duplicado","OK"))</f>
        <v/>
      </c>
      <c r="R2181" s="74" t="str">
        <f aca="false">IF(OR(P2181="",U2181=""),"",MAX(0,U2181-N(E2181)-N(F2181)-N(H2181)))</f>
        <v/>
      </c>
      <c r="S2181" s="75" t="str">
        <f aca="false">IF(P2181="","",IFERROR(INDEX(T_INGRESO,MATCH(C2181,T_ID,0)),""))</f>
        <v/>
      </c>
      <c r="T2181" s="75" t="str">
        <f aca="false">IF(P2181="","",IFERROR(N(INDEX(T_EGRESO,MATCH(C2181,T_ID,0))),0))</f>
        <v/>
      </c>
      <c r="U2181" s="73" t="str">
        <f aca="false">IF(OR(P2181="",NOT(ISNUMBER(S2181))),"",IF(OR(S2181&gt;EOMONTH(B2181,0),AND(T2181&gt;0,T2181&lt;B2181)),0,IF(AND(S2181&lt;=B2181,OR(T2181=0,T2181&gt;=EOMONTH(B2181,0))),30,MIN(30,IF(T2181=0,EOMONTH(B2181,0),MIN(T2181,EOMONTH(B2181,0)))-MAX(B2181,S2181)+1))))</f>
        <v/>
      </c>
    </row>
    <row r="2182" customFormat="false" ht="15" hidden="false" customHeight="false" outlineLevel="0" collapsed="false">
      <c r="B2182" s="78"/>
      <c r="C2182" s="64"/>
      <c r="D2182" s="70" t="str">
        <f aca="false">IF(C2182="","",IFERROR(INDEX(T_NOMBRE,MATCH(C2182,T_ID,0)),"⚠ ID no existe"))</f>
        <v/>
      </c>
      <c r="E2182" s="69"/>
      <c r="F2182" s="69"/>
      <c r="G2182" s="69"/>
      <c r="H2182" s="69"/>
      <c r="I2182" s="66"/>
      <c r="J2182" s="69"/>
      <c r="K2182" s="67"/>
      <c r="L2182" s="67"/>
      <c r="M2182" s="67"/>
      <c r="N2182" s="67"/>
      <c r="O2182" s="64"/>
      <c r="P2182" s="72" t="str">
        <f aca="false">IF(OR(B2182="",C2182=""),"",C2182&amp;"|"&amp;(YEAR(B2182)*100+MONTH(B2182)))</f>
        <v/>
      </c>
      <c r="Q2182" s="70" t="str">
        <f aca="false">IF(P2182="","",IF(COUNTIF(N_CLAVE,P2182)&gt;1,"⚠ Duplicado","OK"))</f>
        <v/>
      </c>
      <c r="R2182" s="74" t="str">
        <f aca="false">IF(OR(P2182="",U2182=""),"",MAX(0,U2182-N(E2182)-N(F2182)-N(H2182)))</f>
        <v/>
      </c>
      <c r="S2182" s="75" t="str">
        <f aca="false">IF(P2182="","",IFERROR(INDEX(T_INGRESO,MATCH(C2182,T_ID,0)),""))</f>
        <v/>
      </c>
      <c r="T2182" s="75" t="str">
        <f aca="false">IF(P2182="","",IFERROR(N(INDEX(T_EGRESO,MATCH(C2182,T_ID,0))),0))</f>
        <v/>
      </c>
      <c r="U2182" s="73" t="str">
        <f aca="false">IF(OR(P2182="",NOT(ISNUMBER(S2182))),"",IF(OR(S2182&gt;EOMONTH(B2182,0),AND(T2182&gt;0,T2182&lt;B2182)),0,IF(AND(S2182&lt;=B2182,OR(T2182=0,T2182&gt;=EOMONTH(B2182,0))),30,MIN(30,IF(T2182=0,EOMONTH(B2182,0),MIN(T2182,EOMONTH(B2182,0)))-MAX(B2182,S2182)+1))))</f>
        <v/>
      </c>
    </row>
    <row r="2183" customFormat="false" ht="15" hidden="false" customHeight="false" outlineLevel="0" collapsed="false">
      <c r="B2183" s="78"/>
      <c r="C2183" s="64"/>
      <c r="D2183" s="70" t="str">
        <f aca="false">IF(C2183="","",IFERROR(INDEX(T_NOMBRE,MATCH(C2183,T_ID,0)),"⚠ ID no existe"))</f>
        <v/>
      </c>
      <c r="E2183" s="69"/>
      <c r="F2183" s="69"/>
      <c r="G2183" s="69"/>
      <c r="H2183" s="69"/>
      <c r="I2183" s="66"/>
      <c r="J2183" s="69"/>
      <c r="K2183" s="67"/>
      <c r="L2183" s="67"/>
      <c r="M2183" s="67"/>
      <c r="N2183" s="67"/>
      <c r="O2183" s="64"/>
      <c r="P2183" s="72" t="str">
        <f aca="false">IF(OR(B2183="",C2183=""),"",C2183&amp;"|"&amp;(YEAR(B2183)*100+MONTH(B2183)))</f>
        <v/>
      </c>
      <c r="Q2183" s="70" t="str">
        <f aca="false">IF(P2183="","",IF(COUNTIF(N_CLAVE,P2183)&gt;1,"⚠ Duplicado","OK"))</f>
        <v/>
      </c>
      <c r="R2183" s="74" t="str">
        <f aca="false">IF(OR(P2183="",U2183=""),"",MAX(0,U2183-N(E2183)-N(F2183)-N(H2183)))</f>
        <v/>
      </c>
      <c r="S2183" s="75" t="str">
        <f aca="false">IF(P2183="","",IFERROR(INDEX(T_INGRESO,MATCH(C2183,T_ID,0)),""))</f>
        <v/>
      </c>
      <c r="T2183" s="75" t="str">
        <f aca="false">IF(P2183="","",IFERROR(N(INDEX(T_EGRESO,MATCH(C2183,T_ID,0))),0))</f>
        <v/>
      </c>
      <c r="U2183" s="73" t="str">
        <f aca="false">IF(OR(P2183="",NOT(ISNUMBER(S2183))),"",IF(OR(S2183&gt;EOMONTH(B2183,0),AND(T2183&gt;0,T2183&lt;B2183)),0,IF(AND(S2183&lt;=B2183,OR(T2183=0,T2183&gt;=EOMONTH(B2183,0))),30,MIN(30,IF(T2183=0,EOMONTH(B2183,0),MIN(T2183,EOMONTH(B2183,0)))-MAX(B2183,S2183)+1))))</f>
        <v/>
      </c>
    </row>
    <row r="2184" customFormat="false" ht="15" hidden="false" customHeight="false" outlineLevel="0" collapsed="false">
      <c r="B2184" s="78"/>
      <c r="C2184" s="64"/>
      <c r="D2184" s="70" t="str">
        <f aca="false">IF(C2184="","",IFERROR(INDEX(T_NOMBRE,MATCH(C2184,T_ID,0)),"⚠ ID no existe"))</f>
        <v/>
      </c>
      <c r="E2184" s="69"/>
      <c r="F2184" s="69"/>
      <c r="G2184" s="69"/>
      <c r="H2184" s="69"/>
      <c r="I2184" s="66"/>
      <c r="J2184" s="69"/>
      <c r="K2184" s="67"/>
      <c r="L2184" s="67"/>
      <c r="M2184" s="67"/>
      <c r="N2184" s="67"/>
      <c r="O2184" s="64"/>
      <c r="P2184" s="72" t="str">
        <f aca="false">IF(OR(B2184="",C2184=""),"",C2184&amp;"|"&amp;(YEAR(B2184)*100+MONTH(B2184)))</f>
        <v/>
      </c>
      <c r="Q2184" s="70" t="str">
        <f aca="false">IF(P2184="","",IF(COUNTIF(N_CLAVE,P2184)&gt;1,"⚠ Duplicado","OK"))</f>
        <v/>
      </c>
      <c r="R2184" s="74" t="str">
        <f aca="false">IF(OR(P2184="",U2184=""),"",MAX(0,U2184-N(E2184)-N(F2184)-N(H2184)))</f>
        <v/>
      </c>
      <c r="S2184" s="75" t="str">
        <f aca="false">IF(P2184="","",IFERROR(INDEX(T_INGRESO,MATCH(C2184,T_ID,0)),""))</f>
        <v/>
      </c>
      <c r="T2184" s="75" t="str">
        <f aca="false">IF(P2184="","",IFERROR(N(INDEX(T_EGRESO,MATCH(C2184,T_ID,0))),0))</f>
        <v/>
      </c>
      <c r="U2184" s="73" t="str">
        <f aca="false">IF(OR(P2184="",NOT(ISNUMBER(S2184))),"",IF(OR(S2184&gt;EOMONTH(B2184,0),AND(T2184&gt;0,T2184&lt;B2184)),0,IF(AND(S2184&lt;=B2184,OR(T2184=0,T2184&gt;=EOMONTH(B2184,0))),30,MIN(30,IF(T2184=0,EOMONTH(B2184,0),MIN(T2184,EOMONTH(B2184,0)))-MAX(B2184,S2184)+1))))</f>
        <v/>
      </c>
    </row>
    <row r="2185" customFormat="false" ht="15" hidden="false" customHeight="false" outlineLevel="0" collapsed="false">
      <c r="B2185" s="78"/>
      <c r="C2185" s="64"/>
      <c r="D2185" s="70" t="str">
        <f aca="false">IF(C2185="","",IFERROR(INDEX(T_NOMBRE,MATCH(C2185,T_ID,0)),"⚠ ID no existe"))</f>
        <v/>
      </c>
      <c r="E2185" s="69"/>
      <c r="F2185" s="69"/>
      <c r="G2185" s="69"/>
      <c r="H2185" s="69"/>
      <c r="I2185" s="66"/>
      <c r="J2185" s="69"/>
      <c r="K2185" s="67"/>
      <c r="L2185" s="67"/>
      <c r="M2185" s="67"/>
      <c r="N2185" s="67"/>
      <c r="O2185" s="64"/>
      <c r="P2185" s="72" t="str">
        <f aca="false">IF(OR(B2185="",C2185=""),"",C2185&amp;"|"&amp;(YEAR(B2185)*100+MONTH(B2185)))</f>
        <v/>
      </c>
      <c r="Q2185" s="70" t="str">
        <f aca="false">IF(P2185="","",IF(COUNTIF(N_CLAVE,P2185)&gt;1,"⚠ Duplicado","OK"))</f>
        <v/>
      </c>
      <c r="R2185" s="74" t="str">
        <f aca="false">IF(OR(P2185="",U2185=""),"",MAX(0,U2185-N(E2185)-N(F2185)-N(H2185)))</f>
        <v/>
      </c>
      <c r="S2185" s="75" t="str">
        <f aca="false">IF(P2185="","",IFERROR(INDEX(T_INGRESO,MATCH(C2185,T_ID,0)),""))</f>
        <v/>
      </c>
      <c r="T2185" s="75" t="str">
        <f aca="false">IF(P2185="","",IFERROR(N(INDEX(T_EGRESO,MATCH(C2185,T_ID,0))),0))</f>
        <v/>
      </c>
      <c r="U2185" s="73" t="str">
        <f aca="false">IF(OR(P2185="",NOT(ISNUMBER(S2185))),"",IF(OR(S2185&gt;EOMONTH(B2185,0),AND(T2185&gt;0,T2185&lt;B2185)),0,IF(AND(S2185&lt;=B2185,OR(T2185=0,T2185&gt;=EOMONTH(B2185,0))),30,MIN(30,IF(T2185=0,EOMONTH(B2185,0),MIN(T2185,EOMONTH(B2185,0)))-MAX(B2185,S2185)+1))))</f>
        <v/>
      </c>
    </row>
    <row r="2186" customFormat="false" ht="15" hidden="false" customHeight="false" outlineLevel="0" collapsed="false">
      <c r="B2186" s="78"/>
      <c r="C2186" s="64"/>
      <c r="D2186" s="70" t="str">
        <f aca="false">IF(C2186="","",IFERROR(INDEX(T_NOMBRE,MATCH(C2186,T_ID,0)),"⚠ ID no existe"))</f>
        <v/>
      </c>
      <c r="E2186" s="69"/>
      <c r="F2186" s="69"/>
      <c r="G2186" s="69"/>
      <c r="H2186" s="69"/>
      <c r="I2186" s="66"/>
      <c r="J2186" s="69"/>
      <c r="K2186" s="67"/>
      <c r="L2186" s="67"/>
      <c r="M2186" s="67"/>
      <c r="N2186" s="67"/>
      <c r="O2186" s="64"/>
      <c r="P2186" s="72" t="str">
        <f aca="false">IF(OR(B2186="",C2186=""),"",C2186&amp;"|"&amp;(YEAR(B2186)*100+MONTH(B2186)))</f>
        <v/>
      </c>
      <c r="Q2186" s="70" t="str">
        <f aca="false">IF(P2186="","",IF(COUNTIF(N_CLAVE,P2186)&gt;1,"⚠ Duplicado","OK"))</f>
        <v/>
      </c>
      <c r="R2186" s="74" t="str">
        <f aca="false">IF(OR(P2186="",U2186=""),"",MAX(0,U2186-N(E2186)-N(F2186)-N(H2186)))</f>
        <v/>
      </c>
      <c r="S2186" s="75" t="str">
        <f aca="false">IF(P2186="","",IFERROR(INDEX(T_INGRESO,MATCH(C2186,T_ID,0)),""))</f>
        <v/>
      </c>
      <c r="T2186" s="75" t="str">
        <f aca="false">IF(P2186="","",IFERROR(N(INDEX(T_EGRESO,MATCH(C2186,T_ID,0))),0))</f>
        <v/>
      </c>
      <c r="U2186" s="73" t="str">
        <f aca="false">IF(OR(P2186="",NOT(ISNUMBER(S2186))),"",IF(OR(S2186&gt;EOMONTH(B2186,0),AND(T2186&gt;0,T2186&lt;B2186)),0,IF(AND(S2186&lt;=B2186,OR(T2186=0,T2186&gt;=EOMONTH(B2186,0))),30,MIN(30,IF(T2186=0,EOMONTH(B2186,0),MIN(T2186,EOMONTH(B2186,0)))-MAX(B2186,S2186)+1))))</f>
        <v/>
      </c>
    </row>
    <row r="2187" customFormat="false" ht="15" hidden="false" customHeight="false" outlineLevel="0" collapsed="false">
      <c r="B2187" s="78"/>
      <c r="C2187" s="64"/>
      <c r="D2187" s="70" t="str">
        <f aca="false">IF(C2187="","",IFERROR(INDEX(T_NOMBRE,MATCH(C2187,T_ID,0)),"⚠ ID no existe"))</f>
        <v/>
      </c>
      <c r="E2187" s="69"/>
      <c r="F2187" s="69"/>
      <c r="G2187" s="69"/>
      <c r="H2187" s="69"/>
      <c r="I2187" s="66"/>
      <c r="J2187" s="69"/>
      <c r="K2187" s="67"/>
      <c r="L2187" s="67"/>
      <c r="M2187" s="67"/>
      <c r="N2187" s="67"/>
      <c r="O2187" s="64"/>
      <c r="P2187" s="72" t="str">
        <f aca="false">IF(OR(B2187="",C2187=""),"",C2187&amp;"|"&amp;(YEAR(B2187)*100+MONTH(B2187)))</f>
        <v/>
      </c>
      <c r="Q2187" s="70" t="str">
        <f aca="false">IF(P2187="","",IF(COUNTIF(N_CLAVE,P2187)&gt;1,"⚠ Duplicado","OK"))</f>
        <v/>
      </c>
      <c r="R2187" s="74" t="str">
        <f aca="false">IF(OR(P2187="",U2187=""),"",MAX(0,U2187-N(E2187)-N(F2187)-N(H2187)))</f>
        <v/>
      </c>
      <c r="S2187" s="75" t="str">
        <f aca="false">IF(P2187="","",IFERROR(INDEX(T_INGRESO,MATCH(C2187,T_ID,0)),""))</f>
        <v/>
      </c>
      <c r="T2187" s="75" t="str">
        <f aca="false">IF(P2187="","",IFERROR(N(INDEX(T_EGRESO,MATCH(C2187,T_ID,0))),0))</f>
        <v/>
      </c>
      <c r="U2187" s="73" t="str">
        <f aca="false">IF(OR(P2187="",NOT(ISNUMBER(S2187))),"",IF(OR(S2187&gt;EOMONTH(B2187,0),AND(T2187&gt;0,T2187&lt;B2187)),0,IF(AND(S2187&lt;=B2187,OR(T2187=0,T2187&gt;=EOMONTH(B2187,0))),30,MIN(30,IF(T2187=0,EOMONTH(B2187,0),MIN(T2187,EOMONTH(B2187,0)))-MAX(B2187,S2187)+1))))</f>
        <v/>
      </c>
    </row>
    <row r="2188" customFormat="false" ht="15" hidden="false" customHeight="false" outlineLevel="0" collapsed="false">
      <c r="B2188" s="78"/>
      <c r="C2188" s="64"/>
      <c r="D2188" s="70" t="str">
        <f aca="false">IF(C2188="","",IFERROR(INDEX(T_NOMBRE,MATCH(C2188,T_ID,0)),"⚠ ID no existe"))</f>
        <v/>
      </c>
      <c r="E2188" s="69"/>
      <c r="F2188" s="69"/>
      <c r="G2188" s="69"/>
      <c r="H2188" s="69"/>
      <c r="I2188" s="66"/>
      <c r="J2188" s="69"/>
      <c r="K2188" s="67"/>
      <c r="L2188" s="67"/>
      <c r="M2188" s="67"/>
      <c r="N2188" s="67"/>
      <c r="O2188" s="64"/>
      <c r="P2188" s="72" t="str">
        <f aca="false">IF(OR(B2188="",C2188=""),"",C2188&amp;"|"&amp;(YEAR(B2188)*100+MONTH(B2188)))</f>
        <v/>
      </c>
      <c r="Q2188" s="70" t="str">
        <f aca="false">IF(P2188="","",IF(COUNTIF(N_CLAVE,P2188)&gt;1,"⚠ Duplicado","OK"))</f>
        <v/>
      </c>
      <c r="R2188" s="74" t="str">
        <f aca="false">IF(OR(P2188="",U2188=""),"",MAX(0,U2188-N(E2188)-N(F2188)-N(H2188)))</f>
        <v/>
      </c>
      <c r="S2188" s="75" t="str">
        <f aca="false">IF(P2188="","",IFERROR(INDEX(T_INGRESO,MATCH(C2188,T_ID,0)),""))</f>
        <v/>
      </c>
      <c r="T2188" s="75" t="str">
        <f aca="false">IF(P2188="","",IFERROR(N(INDEX(T_EGRESO,MATCH(C2188,T_ID,0))),0))</f>
        <v/>
      </c>
      <c r="U2188" s="73" t="str">
        <f aca="false">IF(OR(P2188="",NOT(ISNUMBER(S2188))),"",IF(OR(S2188&gt;EOMONTH(B2188,0),AND(T2188&gt;0,T2188&lt;B2188)),0,IF(AND(S2188&lt;=B2188,OR(T2188=0,T2188&gt;=EOMONTH(B2188,0))),30,MIN(30,IF(T2188=0,EOMONTH(B2188,0),MIN(T2188,EOMONTH(B2188,0)))-MAX(B2188,S2188)+1))))</f>
        <v/>
      </c>
    </row>
    <row r="2189" customFormat="false" ht="15" hidden="false" customHeight="false" outlineLevel="0" collapsed="false">
      <c r="B2189" s="78"/>
      <c r="C2189" s="64"/>
      <c r="D2189" s="70" t="str">
        <f aca="false">IF(C2189="","",IFERROR(INDEX(T_NOMBRE,MATCH(C2189,T_ID,0)),"⚠ ID no existe"))</f>
        <v/>
      </c>
      <c r="E2189" s="69"/>
      <c r="F2189" s="69"/>
      <c r="G2189" s="69"/>
      <c r="H2189" s="69"/>
      <c r="I2189" s="66"/>
      <c r="J2189" s="69"/>
      <c r="K2189" s="67"/>
      <c r="L2189" s="67"/>
      <c r="M2189" s="67"/>
      <c r="N2189" s="67"/>
      <c r="O2189" s="64"/>
      <c r="P2189" s="72" t="str">
        <f aca="false">IF(OR(B2189="",C2189=""),"",C2189&amp;"|"&amp;(YEAR(B2189)*100+MONTH(B2189)))</f>
        <v/>
      </c>
      <c r="Q2189" s="70" t="str">
        <f aca="false">IF(P2189="","",IF(COUNTIF(N_CLAVE,P2189)&gt;1,"⚠ Duplicado","OK"))</f>
        <v/>
      </c>
      <c r="R2189" s="74" t="str">
        <f aca="false">IF(OR(P2189="",U2189=""),"",MAX(0,U2189-N(E2189)-N(F2189)-N(H2189)))</f>
        <v/>
      </c>
      <c r="S2189" s="75" t="str">
        <f aca="false">IF(P2189="","",IFERROR(INDEX(T_INGRESO,MATCH(C2189,T_ID,0)),""))</f>
        <v/>
      </c>
      <c r="T2189" s="75" t="str">
        <f aca="false">IF(P2189="","",IFERROR(N(INDEX(T_EGRESO,MATCH(C2189,T_ID,0))),0))</f>
        <v/>
      </c>
      <c r="U2189" s="73" t="str">
        <f aca="false">IF(OR(P2189="",NOT(ISNUMBER(S2189))),"",IF(OR(S2189&gt;EOMONTH(B2189,0),AND(T2189&gt;0,T2189&lt;B2189)),0,IF(AND(S2189&lt;=B2189,OR(T2189=0,T2189&gt;=EOMONTH(B2189,0))),30,MIN(30,IF(T2189=0,EOMONTH(B2189,0),MIN(T2189,EOMONTH(B2189,0)))-MAX(B2189,S2189)+1))))</f>
        <v/>
      </c>
    </row>
    <row r="2190" customFormat="false" ht="15" hidden="false" customHeight="false" outlineLevel="0" collapsed="false">
      <c r="B2190" s="78"/>
      <c r="C2190" s="64"/>
      <c r="D2190" s="70" t="str">
        <f aca="false">IF(C2190="","",IFERROR(INDEX(T_NOMBRE,MATCH(C2190,T_ID,0)),"⚠ ID no existe"))</f>
        <v/>
      </c>
      <c r="E2190" s="69"/>
      <c r="F2190" s="69"/>
      <c r="G2190" s="69"/>
      <c r="H2190" s="69"/>
      <c r="I2190" s="66"/>
      <c r="J2190" s="69"/>
      <c r="K2190" s="67"/>
      <c r="L2190" s="67"/>
      <c r="M2190" s="67"/>
      <c r="N2190" s="67"/>
      <c r="O2190" s="64"/>
      <c r="P2190" s="72" t="str">
        <f aca="false">IF(OR(B2190="",C2190=""),"",C2190&amp;"|"&amp;(YEAR(B2190)*100+MONTH(B2190)))</f>
        <v/>
      </c>
      <c r="Q2190" s="70" t="str">
        <f aca="false">IF(P2190="","",IF(COUNTIF(N_CLAVE,P2190)&gt;1,"⚠ Duplicado","OK"))</f>
        <v/>
      </c>
      <c r="R2190" s="74" t="str">
        <f aca="false">IF(OR(P2190="",U2190=""),"",MAX(0,U2190-N(E2190)-N(F2190)-N(H2190)))</f>
        <v/>
      </c>
      <c r="S2190" s="75" t="str">
        <f aca="false">IF(P2190="","",IFERROR(INDEX(T_INGRESO,MATCH(C2190,T_ID,0)),""))</f>
        <v/>
      </c>
      <c r="T2190" s="75" t="str">
        <f aca="false">IF(P2190="","",IFERROR(N(INDEX(T_EGRESO,MATCH(C2190,T_ID,0))),0))</f>
        <v/>
      </c>
      <c r="U2190" s="73" t="str">
        <f aca="false">IF(OR(P2190="",NOT(ISNUMBER(S2190))),"",IF(OR(S2190&gt;EOMONTH(B2190,0),AND(T2190&gt;0,T2190&lt;B2190)),0,IF(AND(S2190&lt;=B2190,OR(T2190=0,T2190&gt;=EOMONTH(B2190,0))),30,MIN(30,IF(T2190=0,EOMONTH(B2190,0),MIN(T2190,EOMONTH(B2190,0)))-MAX(B2190,S2190)+1))))</f>
        <v/>
      </c>
    </row>
    <row r="2191" customFormat="false" ht="15" hidden="false" customHeight="false" outlineLevel="0" collapsed="false">
      <c r="B2191" s="78"/>
      <c r="C2191" s="64"/>
      <c r="D2191" s="70" t="str">
        <f aca="false">IF(C2191="","",IFERROR(INDEX(T_NOMBRE,MATCH(C2191,T_ID,0)),"⚠ ID no existe"))</f>
        <v/>
      </c>
      <c r="E2191" s="69"/>
      <c r="F2191" s="69"/>
      <c r="G2191" s="69"/>
      <c r="H2191" s="69"/>
      <c r="I2191" s="66"/>
      <c r="J2191" s="69"/>
      <c r="K2191" s="67"/>
      <c r="L2191" s="67"/>
      <c r="M2191" s="67"/>
      <c r="N2191" s="67"/>
      <c r="O2191" s="64"/>
      <c r="P2191" s="72" t="str">
        <f aca="false">IF(OR(B2191="",C2191=""),"",C2191&amp;"|"&amp;(YEAR(B2191)*100+MONTH(B2191)))</f>
        <v/>
      </c>
      <c r="Q2191" s="70" t="str">
        <f aca="false">IF(P2191="","",IF(COUNTIF(N_CLAVE,P2191)&gt;1,"⚠ Duplicado","OK"))</f>
        <v/>
      </c>
      <c r="R2191" s="74" t="str">
        <f aca="false">IF(OR(P2191="",U2191=""),"",MAX(0,U2191-N(E2191)-N(F2191)-N(H2191)))</f>
        <v/>
      </c>
      <c r="S2191" s="75" t="str">
        <f aca="false">IF(P2191="","",IFERROR(INDEX(T_INGRESO,MATCH(C2191,T_ID,0)),""))</f>
        <v/>
      </c>
      <c r="T2191" s="75" t="str">
        <f aca="false">IF(P2191="","",IFERROR(N(INDEX(T_EGRESO,MATCH(C2191,T_ID,0))),0))</f>
        <v/>
      </c>
      <c r="U2191" s="73" t="str">
        <f aca="false">IF(OR(P2191="",NOT(ISNUMBER(S2191))),"",IF(OR(S2191&gt;EOMONTH(B2191,0),AND(T2191&gt;0,T2191&lt;B2191)),0,IF(AND(S2191&lt;=B2191,OR(T2191=0,T2191&gt;=EOMONTH(B2191,0))),30,MIN(30,IF(T2191=0,EOMONTH(B2191,0),MIN(T2191,EOMONTH(B2191,0)))-MAX(B2191,S2191)+1))))</f>
        <v/>
      </c>
    </row>
    <row r="2192" customFormat="false" ht="15" hidden="false" customHeight="false" outlineLevel="0" collapsed="false">
      <c r="B2192" s="78"/>
      <c r="C2192" s="64"/>
      <c r="D2192" s="70" t="str">
        <f aca="false">IF(C2192="","",IFERROR(INDEX(T_NOMBRE,MATCH(C2192,T_ID,0)),"⚠ ID no existe"))</f>
        <v/>
      </c>
      <c r="E2192" s="69"/>
      <c r="F2192" s="69"/>
      <c r="G2192" s="69"/>
      <c r="H2192" s="69"/>
      <c r="I2192" s="66"/>
      <c r="J2192" s="69"/>
      <c r="K2192" s="67"/>
      <c r="L2192" s="67"/>
      <c r="M2192" s="67"/>
      <c r="N2192" s="67"/>
      <c r="O2192" s="64"/>
      <c r="P2192" s="72" t="str">
        <f aca="false">IF(OR(B2192="",C2192=""),"",C2192&amp;"|"&amp;(YEAR(B2192)*100+MONTH(B2192)))</f>
        <v/>
      </c>
      <c r="Q2192" s="70" t="str">
        <f aca="false">IF(P2192="","",IF(COUNTIF(N_CLAVE,P2192)&gt;1,"⚠ Duplicado","OK"))</f>
        <v/>
      </c>
      <c r="R2192" s="74" t="str">
        <f aca="false">IF(OR(P2192="",U2192=""),"",MAX(0,U2192-N(E2192)-N(F2192)-N(H2192)))</f>
        <v/>
      </c>
      <c r="S2192" s="75" t="str">
        <f aca="false">IF(P2192="","",IFERROR(INDEX(T_INGRESO,MATCH(C2192,T_ID,0)),""))</f>
        <v/>
      </c>
      <c r="T2192" s="75" t="str">
        <f aca="false">IF(P2192="","",IFERROR(N(INDEX(T_EGRESO,MATCH(C2192,T_ID,0))),0))</f>
        <v/>
      </c>
      <c r="U2192" s="73" t="str">
        <f aca="false">IF(OR(P2192="",NOT(ISNUMBER(S2192))),"",IF(OR(S2192&gt;EOMONTH(B2192,0),AND(T2192&gt;0,T2192&lt;B2192)),0,IF(AND(S2192&lt;=B2192,OR(T2192=0,T2192&gt;=EOMONTH(B2192,0))),30,MIN(30,IF(T2192=0,EOMONTH(B2192,0),MIN(T2192,EOMONTH(B2192,0)))-MAX(B2192,S2192)+1))))</f>
        <v/>
      </c>
    </row>
    <row r="2193" customFormat="false" ht="15" hidden="false" customHeight="false" outlineLevel="0" collapsed="false">
      <c r="B2193" s="78"/>
      <c r="C2193" s="64"/>
      <c r="D2193" s="70" t="str">
        <f aca="false">IF(C2193="","",IFERROR(INDEX(T_NOMBRE,MATCH(C2193,T_ID,0)),"⚠ ID no existe"))</f>
        <v/>
      </c>
      <c r="E2193" s="69"/>
      <c r="F2193" s="69"/>
      <c r="G2193" s="69"/>
      <c r="H2193" s="69"/>
      <c r="I2193" s="66"/>
      <c r="J2193" s="69"/>
      <c r="K2193" s="67"/>
      <c r="L2193" s="67"/>
      <c r="M2193" s="67"/>
      <c r="N2193" s="67"/>
      <c r="O2193" s="64"/>
      <c r="P2193" s="72" t="str">
        <f aca="false">IF(OR(B2193="",C2193=""),"",C2193&amp;"|"&amp;(YEAR(B2193)*100+MONTH(B2193)))</f>
        <v/>
      </c>
      <c r="Q2193" s="70" t="str">
        <f aca="false">IF(P2193="","",IF(COUNTIF(N_CLAVE,P2193)&gt;1,"⚠ Duplicado","OK"))</f>
        <v/>
      </c>
      <c r="R2193" s="74" t="str">
        <f aca="false">IF(OR(P2193="",U2193=""),"",MAX(0,U2193-N(E2193)-N(F2193)-N(H2193)))</f>
        <v/>
      </c>
      <c r="S2193" s="75" t="str">
        <f aca="false">IF(P2193="","",IFERROR(INDEX(T_INGRESO,MATCH(C2193,T_ID,0)),""))</f>
        <v/>
      </c>
      <c r="T2193" s="75" t="str">
        <f aca="false">IF(P2193="","",IFERROR(N(INDEX(T_EGRESO,MATCH(C2193,T_ID,0))),0))</f>
        <v/>
      </c>
      <c r="U2193" s="73" t="str">
        <f aca="false">IF(OR(P2193="",NOT(ISNUMBER(S2193))),"",IF(OR(S2193&gt;EOMONTH(B2193,0),AND(T2193&gt;0,T2193&lt;B2193)),0,IF(AND(S2193&lt;=B2193,OR(T2193=0,T2193&gt;=EOMONTH(B2193,0))),30,MIN(30,IF(T2193=0,EOMONTH(B2193,0),MIN(T2193,EOMONTH(B2193,0)))-MAX(B2193,S2193)+1))))</f>
        <v/>
      </c>
    </row>
    <row r="2194" customFormat="false" ht="15" hidden="false" customHeight="false" outlineLevel="0" collapsed="false">
      <c r="B2194" s="78"/>
      <c r="C2194" s="64"/>
      <c r="D2194" s="70" t="str">
        <f aca="false">IF(C2194="","",IFERROR(INDEX(T_NOMBRE,MATCH(C2194,T_ID,0)),"⚠ ID no existe"))</f>
        <v/>
      </c>
      <c r="E2194" s="69"/>
      <c r="F2194" s="69"/>
      <c r="G2194" s="69"/>
      <c r="H2194" s="69"/>
      <c r="I2194" s="66"/>
      <c r="J2194" s="69"/>
      <c r="K2194" s="67"/>
      <c r="L2194" s="67"/>
      <c r="M2194" s="67"/>
      <c r="N2194" s="67"/>
      <c r="O2194" s="64"/>
      <c r="P2194" s="72" t="str">
        <f aca="false">IF(OR(B2194="",C2194=""),"",C2194&amp;"|"&amp;(YEAR(B2194)*100+MONTH(B2194)))</f>
        <v/>
      </c>
      <c r="Q2194" s="70" t="str">
        <f aca="false">IF(P2194="","",IF(COUNTIF(N_CLAVE,P2194)&gt;1,"⚠ Duplicado","OK"))</f>
        <v/>
      </c>
      <c r="R2194" s="74" t="str">
        <f aca="false">IF(OR(P2194="",U2194=""),"",MAX(0,U2194-N(E2194)-N(F2194)-N(H2194)))</f>
        <v/>
      </c>
      <c r="S2194" s="75" t="str">
        <f aca="false">IF(P2194="","",IFERROR(INDEX(T_INGRESO,MATCH(C2194,T_ID,0)),""))</f>
        <v/>
      </c>
      <c r="T2194" s="75" t="str">
        <f aca="false">IF(P2194="","",IFERROR(N(INDEX(T_EGRESO,MATCH(C2194,T_ID,0))),0))</f>
        <v/>
      </c>
      <c r="U2194" s="73" t="str">
        <f aca="false">IF(OR(P2194="",NOT(ISNUMBER(S2194))),"",IF(OR(S2194&gt;EOMONTH(B2194,0),AND(T2194&gt;0,T2194&lt;B2194)),0,IF(AND(S2194&lt;=B2194,OR(T2194=0,T2194&gt;=EOMONTH(B2194,0))),30,MIN(30,IF(T2194=0,EOMONTH(B2194,0),MIN(T2194,EOMONTH(B2194,0)))-MAX(B2194,S2194)+1))))</f>
        <v/>
      </c>
    </row>
    <row r="2195" customFormat="false" ht="15" hidden="false" customHeight="false" outlineLevel="0" collapsed="false">
      <c r="B2195" s="78"/>
      <c r="C2195" s="64"/>
      <c r="D2195" s="70" t="str">
        <f aca="false">IF(C2195="","",IFERROR(INDEX(T_NOMBRE,MATCH(C2195,T_ID,0)),"⚠ ID no existe"))</f>
        <v/>
      </c>
      <c r="E2195" s="69"/>
      <c r="F2195" s="69"/>
      <c r="G2195" s="69"/>
      <c r="H2195" s="69"/>
      <c r="I2195" s="66"/>
      <c r="J2195" s="69"/>
      <c r="K2195" s="67"/>
      <c r="L2195" s="67"/>
      <c r="M2195" s="67"/>
      <c r="N2195" s="67"/>
      <c r="O2195" s="64"/>
      <c r="P2195" s="72" t="str">
        <f aca="false">IF(OR(B2195="",C2195=""),"",C2195&amp;"|"&amp;(YEAR(B2195)*100+MONTH(B2195)))</f>
        <v/>
      </c>
      <c r="Q2195" s="70" t="str">
        <f aca="false">IF(P2195="","",IF(COUNTIF(N_CLAVE,P2195)&gt;1,"⚠ Duplicado","OK"))</f>
        <v/>
      </c>
      <c r="R2195" s="74" t="str">
        <f aca="false">IF(OR(P2195="",U2195=""),"",MAX(0,U2195-N(E2195)-N(F2195)-N(H2195)))</f>
        <v/>
      </c>
      <c r="S2195" s="75" t="str">
        <f aca="false">IF(P2195="","",IFERROR(INDEX(T_INGRESO,MATCH(C2195,T_ID,0)),""))</f>
        <v/>
      </c>
      <c r="T2195" s="75" t="str">
        <f aca="false">IF(P2195="","",IFERROR(N(INDEX(T_EGRESO,MATCH(C2195,T_ID,0))),0))</f>
        <v/>
      </c>
      <c r="U2195" s="73" t="str">
        <f aca="false">IF(OR(P2195="",NOT(ISNUMBER(S2195))),"",IF(OR(S2195&gt;EOMONTH(B2195,0),AND(T2195&gt;0,T2195&lt;B2195)),0,IF(AND(S2195&lt;=B2195,OR(T2195=0,T2195&gt;=EOMONTH(B2195,0))),30,MIN(30,IF(T2195=0,EOMONTH(B2195,0),MIN(T2195,EOMONTH(B2195,0)))-MAX(B2195,S2195)+1))))</f>
        <v/>
      </c>
    </row>
    <row r="2196" customFormat="false" ht="15" hidden="false" customHeight="false" outlineLevel="0" collapsed="false">
      <c r="B2196" s="78"/>
      <c r="C2196" s="64"/>
      <c r="D2196" s="70" t="str">
        <f aca="false">IF(C2196="","",IFERROR(INDEX(T_NOMBRE,MATCH(C2196,T_ID,0)),"⚠ ID no existe"))</f>
        <v/>
      </c>
      <c r="E2196" s="69"/>
      <c r="F2196" s="69"/>
      <c r="G2196" s="69"/>
      <c r="H2196" s="69"/>
      <c r="I2196" s="66"/>
      <c r="J2196" s="69"/>
      <c r="K2196" s="67"/>
      <c r="L2196" s="67"/>
      <c r="M2196" s="67"/>
      <c r="N2196" s="67"/>
      <c r="O2196" s="64"/>
      <c r="P2196" s="72" t="str">
        <f aca="false">IF(OR(B2196="",C2196=""),"",C2196&amp;"|"&amp;(YEAR(B2196)*100+MONTH(B2196)))</f>
        <v/>
      </c>
      <c r="Q2196" s="70" t="str">
        <f aca="false">IF(P2196="","",IF(COUNTIF(N_CLAVE,P2196)&gt;1,"⚠ Duplicado","OK"))</f>
        <v/>
      </c>
      <c r="R2196" s="74" t="str">
        <f aca="false">IF(OR(P2196="",U2196=""),"",MAX(0,U2196-N(E2196)-N(F2196)-N(H2196)))</f>
        <v/>
      </c>
      <c r="S2196" s="75" t="str">
        <f aca="false">IF(P2196="","",IFERROR(INDEX(T_INGRESO,MATCH(C2196,T_ID,0)),""))</f>
        <v/>
      </c>
      <c r="T2196" s="75" t="str">
        <f aca="false">IF(P2196="","",IFERROR(N(INDEX(T_EGRESO,MATCH(C2196,T_ID,0))),0))</f>
        <v/>
      </c>
      <c r="U2196" s="73" t="str">
        <f aca="false">IF(OR(P2196="",NOT(ISNUMBER(S2196))),"",IF(OR(S2196&gt;EOMONTH(B2196,0),AND(T2196&gt;0,T2196&lt;B2196)),0,IF(AND(S2196&lt;=B2196,OR(T2196=0,T2196&gt;=EOMONTH(B2196,0))),30,MIN(30,IF(T2196=0,EOMONTH(B2196,0),MIN(T2196,EOMONTH(B2196,0)))-MAX(B2196,S2196)+1))))</f>
        <v/>
      </c>
    </row>
    <row r="2197" customFormat="false" ht="15" hidden="false" customHeight="false" outlineLevel="0" collapsed="false">
      <c r="B2197" s="78"/>
      <c r="C2197" s="64"/>
      <c r="D2197" s="70" t="str">
        <f aca="false">IF(C2197="","",IFERROR(INDEX(T_NOMBRE,MATCH(C2197,T_ID,0)),"⚠ ID no existe"))</f>
        <v/>
      </c>
      <c r="E2197" s="69"/>
      <c r="F2197" s="69"/>
      <c r="G2197" s="69"/>
      <c r="H2197" s="69"/>
      <c r="I2197" s="66"/>
      <c r="J2197" s="69"/>
      <c r="K2197" s="67"/>
      <c r="L2197" s="67"/>
      <c r="M2197" s="67"/>
      <c r="N2197" s="67"/>
      <c r="O2197" s="64"/>
      <c r="P2197" s="72" t="str">
        <f aca="false">IF(OR(B2197="",C2197=""),"",C2197&amp;"|"&amp;(YEAR(B2197)*100+MONTH(B2197)))</f>
        <v/>
      </c>
      <c r="Q2197" s="70" t="str">
        <f aca="false">IF(P2197="","",IF(COUNTIF(N_CLAVE,P2197)&gt;1,"⚠ Duplicado","OK"))</f>
        <v/>
      </c>
      <c r="R2197" s="74" t="str">
        <f aca="false">IF(OR(P2197="",U2197=""),"",MAX(0,U2197-N(E2197)-N(F2197)-N(H2197)))</f>
        <v/>
      </c>
      <c r="S2197" s="75" t="str">
        <f aca="false">IF(P2197="","",IFERROR(INDEX(T_INGRESO,MATCH(C2197,T_ID,0)),""))</f>
        <v/>
      </c>
      <c r="T2197" s="75" t="str">
        <f aca="false">IF(P2197="","",IFERROR(N(INDEX(T_EGRESO,MATCH(C2197,T_ID,0))),0))</f>
        <v/>
      </c>
      <c r="U2197" s="73" t="str">
        <f aca="false">IF(OR(P2197="",NOT(ISNUMBER(S2197))),"",IF(OR(S2197&gt;EOMONTH(B2197,0),AND(T2197&gt;0,T2197&lt;B2197)),0,IF(AND(S2197&lt;=B2197,OR(T2197=0,T2197&gt;=EOMONTH(B2197,0))),30,MIN(30,IF(T2197=0,EOMONTH(B2197,0),MIN(T2197,EOMONTH(B2197,0)))-MAX(B2197,S2197)+1))))</f>
        <v/>
      </c>
    </row>
    <row r="2198" customFormat="false" ht="15" hidden="false" customHeight="false" outlineLevel="0" collapsed="false">
      <c r="B2198" s="78"/>
      <c r="C2198" s="64"/>
      <c r="D2198" s="70" t="str">
        <f aca="false">IF(C2198="","",IFERROR(INDEX(T_NOMBRE,MATCH(C2198,T_ID,0)),"⚠ ID no existe"))</f>
        <v/>
      </c>
      <c r="E2198" s="69"/>
      <c r="F2198" s="69"/>
      <c r="G2198" s="69"/>
      <c r="H2198" s="69"/>
      <c r="I2198" s="66"/>
      <c r="J2198" s="69"/>
      <c r="K2198" s="67"/>
      <c r="L2198" s="67"/>
      <c r="M2198" s="67"/>
      <c r="N2198" s="67"/>
      <c r="O2198" s="64"/>
      <c r="P2198" s="72" t="str">
        <f aca="false">IF(OR(B2198="",C2198=""),"",C2198&amp;"|"&amp;(YEAR(B2198)*100+MONTH(B2198)))</f>
        <v/>
      </c>
      <c r="Q2198" s="70" t="str">
        <f aca="false">IF(P2198="","",IF(COUNTIF(N_CLAVE,P2198)&gt;1,"⚠ Duplicado","OK"))</f>
        <v/>
      </c>
      <c r="R2198" s="74" t="str">
        <f aca="false">IF(OR(P2198="",U2198=""),"",MAX(0,U2198-N(E2198)-N(F2198)-N(H2198)))</f>
        <v/>
      </c>
      <c r="S2198" s="75" t="str">
        <f aca="false">IF(P2198="","",IFERROR(INDEX(T_INGRESO,MATCH(C2198,T_ID,0)),""))</f>
        <v/>
      </c>
      <c r="T2198" s="75" t="str">
        <f aca="false">IF(P2198="","",IFERROR(N(INDEX(T_EGRESO,MATCH(C2198,T_ID,0))),0))</f>
        <v/>
      </c>
      <c r="U2198" s="73" t="str">
        <f aca="false">IF(OR(P2198="",NOT(ISNUMBER(S2198))),"",IF(OR(S2198&gt;EOMONTH(B2198,0),AND(T2198&gt;0,T2198&lt;B2198)),0,IF(AND(S2198&lt;=B2198,OR(T2198=0,T2198&gt;=EOMONTH(B2198,0))),30,MIN(30,IF(T2198=0,EOMONTH(B2198,0),MIN(T2198,EOMONTH(B2198,0)))-MAX(B2198,S2198)+1))))</f>
        <v/>
      </c>
    </row>
    <row r="2199" customFormat="false" ht="15" hidden="false" customHeight="false" outlineLevel="0" collapsed="false">
      <c r="B2199" s="78"/>
      <c r="C2199" s="64"/>
      <c r="D2199" s="70" t="str">
        <f aca="false">IF(C2199="","",IFERROR(INDEX(T_NOMBRE,MATCH(C2199,T_ID,0)),"⚠ ID no existe"))</f>
        <v/>
      </c>
      <c r="E2199" s="69"/>
      <c r="F2199" s="69"/>
      <c r="G2199" s="69"/>
      <c r="H2199" s="69"/>
      <c r="I2199" s="66"/>
      <c r="J2199" s="69"/>
      <c r="K2199" s="67"/>
      <c r="L2199" s="67"/>
      <c r="M2199" s="67"/>
      <c r="N2199" s="67"/>
      <c r="O2199" s="64"/>
      <c r="P2199" s="72" t="str">
        <f aca="false">IF(OR(B2199="",C2199=""),"",C2199&amp;"|"&amp;(YEAR(B2199)*100+MONTH(B2199)))</f>
        <v/>
      </c>
      <c r="Q2199" s="70" t="str">
        <f aca="false">IF(P2199="","",IF(COUNTIF(N_CLAVE,P2199)&gt;1,"⚠ Duplicado","OK"))</f>
        <v/>
      </c>
      <c r="R2199" s="74" t="str">
        <f aca="false">IF(OR(P2199="",U2199=""),"",MAX(0,U2199-N(E2199)-N(F2199)-N(H2199)))</f>
        <v/>
      </c>
      <c r="S2199" s="75" t="str">
        <f aca="false">IF(P2199="","",IFERROR(INDEX(T_INGRESO,MATCH(C2199,T_ID,0)),""))</f>
        <v/>
      </c>
      <c r="T2199" s="75" t="str">
        <f aca="false">IF(P2199="","",IFERROR(N(INDEX(T_EGRESO,MATCH(C2199,T_ID,0))),0))</f>
        <v/>
      </c>
      <c r="U2199" s="73" t="str">
        <f aca="false">IF(OR(P2199="",NOT(ISNUMBER(S2199))),"",IF(OR(S2199&gt;EOMONTH(B2199,0),AND(T2199&gt;0,T2199&lt;B2199)),0,IF(AND(S2199&lt;=B2199,OR(T2199=0,T2199&gt;=EOMONTH(B2199,0))),30,MIN(30,IF(T2199=0,EOMONTH(B2199,0),MIN(T2199,EOMONTH(B2199,0)))-MAX(B2199,S2199)+1))))</f>
        <v/>
      </c>
    </row>
    <row r="2200" customFormat="false" ht="15" hidden="false" customHeight="false" outlineLevel="0" collapsed="false">
      <c r="B2200" s="78"/>
      <c r="C2200" s="64"/>
      <c r="D2200" s="70" t="str">
        <f aca="false">IF(C2200="","",IFERROR(INDEX(T_NOMBRE,MATCH(C2200,T_ID,0)),"⚠ ID no existe"))</f>
        <v/>
      </c>
      <c r="E2200" s="69"/>
      <c r="F2200" s="69"/>
      <c r="G2200" s="69"/>
      <c r="H2200" s="69"/>
      <c r="I2200" s="66"/>
      <c r="J2200" s="69"/>
      <c r="K2200" s="67"/>
      <c r="L2200" s="67"/>
      <c r="M2200" s="67"/>
      <c r="N2200" s="67"/>
      <c r="O2200" s="64"/>
      <c r="P2200" s="72" t="str">
        <f aca="false">IF(OR(B2200="",C2200=""),"",C2200&amp;"|"&amp;(YEAR(B2200)*100+MONTH(B2200)))</f>
        <v/>
      </c>
      <c r="Q2200" s="70" t="str">
        <f aca="false">IF(P2200="","",IF(COUNTIF(N_CLAVE,P2200)&gt;1,"⚠ Duplicado","OK"))</f>
        <v/>
      </c>
      <c r="R2200" s="74" t="str">
        <f aca="false">IF(OR(P2200="",U2200=""),"",MAX(0,U2200-N(E2200)-N(F2200)-N(H2200)))</f>
        <v/>
      </c>
      <c r="S2200" s="75" t="str">
        <f aca="false">IF(P2200="","",IFERROR(INDEX(T_INGRESO,MATCH(C2200,T_ID,0)),""))</f>
        <v/>
      </c>
      <c r="T2200" s="75" t="str">
        <f aca="false">IF(P2200="","",IFERROR(N(INDEX(T_EGRESO,MATCH(C2200,T_ID,0))),0))</f>
        <v/>
      </c>
      <c r="U2200" s="73" t="str">
        <f aca="false">IF(OR(P2200="",NOT(ISNUMBER(S2200))),"",IF(OR(S2200&gt;EOMONTH(B2200,0),AND(T2200&gt;0,T2200&lt;B2200)),0,IF(AND(S2200&lt;=B2200,OR(T2200=0,T2200&gt;=EOMONTH(B2200,0))),30,MIN(30,IF(T2200=0,EOMONTH(B2200,0),MIN(T2200,EOMONTH(B2200,0)))-MAX(B2200,S2200)+1))))</f>
        <v/>
      </c>
    </row>
    <row r="2201" customFormat="false" ht="15" hidden="false" customHeight="false" outlineLevel="0" collapsed="false">
      <c r="B2201" s="78"/>
      <c r="C2201" s="64"/>
      <c r="D2201" s="70" t="str">
        <f aca="false">IF(C2201="","",IFERROR(INDEX(T_NOMBRE,MATCH(C2201,T_ID,0)),"⚠ ID no existe"))</f>
        <v/>
      </c>
      <c r="E2201" s="69"/>
      <c r="F2201" s="69"/>
      <c r="G2201" s="69"/>
      <c r="H2201" s="69"/>
      <c r="I2201" s="66"/>
      <c r="J2201" s="69"/>
      <c r="K2201" s="67"/>
      <c r="L2201" s="67"/>
      <c r="M2201" s="67"/>
      <c r="N2201" s="67"/>
      <c r="O2201" s="64"/>
      <c r="P2201" s="72" t="str">
        <f aca="false">IF(OR(B2201="",C2201=""),"",C2201&amp;"|"&amp;(YEAR(B2201)*100+MONTH(B2201)))</f>
        <v/>
      </c>
      <c r="Q2201" s="70" t="str">
        <f aca="false">IF(P2201="","",IF(COUNTIF(N_CLAVE,P2201)&gt;1,"⚠ Duplicado","OK"))</f>
        <v/>
      </c>
      <c r="R2201" s="74" t="str">
        <f aca="false">IF(OR(P2201="",U2201=""),"",MAX(0,U2201-N(E2201)-N(F2201)-N(H2201)))</f>
        <v/>
      </c>
      <c r="S2201" s="75" t="str">
        <f aca="false">IF(P2201="","",IFERROR(INDEX(T_INGRESO,MATCH(C2201,T_ID,0)),""))</f>
        <v/>
      </c>
      <c r="T2201" s="75" t="str">
        <f aca="false">IF(P2201="","",IFERROR(N(INDEX(T_EGRESO,MATCH(C2201,T_ID,0))),0))</f>
        <v/>
      </c>
      <c r="U2201" s="73" t="str">
        <f aca="false">IF(OR(P2201="",NOT(ISNUMBER(S2201))),"",IF(OR(S2201&gt;EOMONTH(B2201,0),AND(T2201&gt;0,T2201&lt;B2201)),0,IF(AND(S2201&lt;=B2201,OR(T2201=0,T2201&gt;=EOMONTH(B2201,0))),30,MIN(30,IF(T2201=0,EOMONTH(B2201,0),MIN(T2201,EOMONTH(B2201,0)))-MAX(B2201,S2201)+1))))</f>
        <v/>
      </c>
    </row>
    <row r="2202" customFormat="false" ht="15" hidden="false" customHeight="false" outlineLevel="0" collapsed="false">
      <c r="B2202" s="78"/>
      <c r="C2202" s="64"/>
      <c r="D2202" s="70" t="str">
        <f aca="false">IF(C2202="","",IFERROR(INDEX(T_NOMBRE,MATCH(C2202,T_ID,0)),"⚠ ID no existe"))</f>
        <v/>
      </c>
      <c r="E2202" s="69"/>
      <c r="F2202" s="69"/>
      <c r="G2202" s="69"/>
      <c r="H2202" s="69"/>
      <c r="I2202" s="66"/>
      <c r="J2202" s="69"/>
      <c r="K2202" s="67"/>
      <c r="L2202" s="67"/>
      <c r="M2202" s="67"/>
      <c r="N2202" s="67"/>
      <c r="O2202" s="64"/>
      <c r="P2202" s="72" t="str">
        <f aca="false">IF(OR(B2202="",C2202=""),"",C2202&amp;"|"&amp;(YEAR(B2202)*100+MONTH(B2202)))</f>
        <v/>
      </c>
      <c r="Q2202" s="70" t="str">
        <f aca="false">IF(P2202="","",IF(COUNTIF(N_CLAVE,P2202)&gt;1,"⚠ Duplicado","OK"))</f>
        <v/>
      </c>
      <c r="R2202" s="74" t="str">
        <f aca="false">IF(OR(P2202="",U2202=""),"",MAX(0,U2202-N(E2202)-N(F2202)-N(H2202)))</f>
        <v/>
      </c>
      <c r="S2202" s="75" t="str">
        <f aca="false">IF(P2202="","",IFERROR(INDEX(T_INGRESO,MATCH(C2202,T_ID,0)),""))</f>
        <v/>
      </c>
      <c r="T2202" s="75" t="str">
        <f aca="false">IF(P2202="","",IFERROR(N(INDEX(T_EGRESO,MATCH(C2202,T_ID,0))),0))</f>
        <v/>
      </c>
      <c r="U2202" s="73" t="str">
        <f aca="false">IF(OR(P2202="",NOT(ISNUMBER(S2202))),"",IF(OR(S2202&gt;EOMONTH(B2202,0),AND(T2202&gt;0,T2202&lt;B2202)),0,IF(AND(S2202&lt;=B2202,OR(T2202=0,T2202&gt;=EOMONTH(B2202,0))),30,MIN(30,IF(T2202=0,EOMONTH(B2202,0),MIN(T2202,EOMONTH(B2202,0)))-MAX(B2202,S2202)+1))))</f>
        <v/>
      </c>
    </row>
    <row r="2203" customFormat="false" ht="15" hidden="false" customHeight="false" outlineLevel="0" collapsed="false">
      <c r="B2203" s="78"/>
      <c r="C2203" s="64"/>
      <c r="D2203" s="70" t="str">
        <f aca="false">IF(C2203="","",IFERROR(INDEX(T_NOMBRE,MATCH(C2203,T_ID,0)),"⚠ ID no existe"))</f>
        <v/>
      </c>
      <c r="E2203" s="69"/>
      <c r="F2203" s="69"/>
      <c r="G2203" s="69"/>
      <c r="H2203" s="69"/>
      <c r="I2203" s="66"/>
      <c r="J2203" s="69"/>
      <c r="K2203" s="67"/>
      <c r="L2203" s="67"/>
      <c r="M2203" s="67"/>
      <c r="N2203" s="67"/>
      <c r="O2203" s="64"/>
      <c r="P2203" s="72" t="str">
        <f aca="false">IF(OR(B2203="",C2203=""),"",C2203&amp;"|"&amp;(YEAR(B2203)*100+MONTH(B2203)))</f>
        <v/>
      </c>
      <c r="Q2203" s="70" t="str">
        <f aca="false">IF(P2203="","",IF(COUNTIF(N_CLAVE,P2203)&gt;1,"⚠ Duplicado","OK"))</f>
        <v/>
      </c>
      <c r="R2203" s="74" t="str">
        <f aca="false">IF(OR(P2203="",U2203=""),"",MAX(0,U2203-N(E2203)-N(F2203)-N(H2203)))</f>
        <v/>
      </c>
      <c r="S2203" s="75" t="str">
        <f aca="false">IF(P2203="","",IFERROR(INDEX(T_INGRESO,MATCH(C2203,T_ID,0)),""))</f>
        <v/>
      </c>
      <c r="T2203" s="75" t="str">
        <f aca="false">IF(P2203="","",IFERROR(N(INDEX(T_EGRESO,MATCH(C2203,T_ID,0))),0))</f>
        <v/>
      </c>
      <c r="U2203" s="73" t="str">
        <f aca="false">IF(OR(P2203="",NOT(ISNUMBER(S2203))),"",IF(OR(S2203&gt;EOMONTH(B2203,0),AND(T2203&gt;0,T2203&lt;B2203)),0,IF(AND(S2203&lt;=B2203,OR(T2203=0,T2203&gt;=EOMONTH(B2203,0))),30,MIN(30,IF(T2203=0,EOMONTH(B2203,0),MIN(T2203,EOMONTH(B2203,0)))-MAX(B2203,S2203)+1))))</f>
        <v/>
      </c>
    </row>
    <row r="2204" customFormat="false" ht="15" hidden="false" customHeight="false" outlineLevel="0" collapsed="false">
      <c r="B2204" s="78"/>
      <c r="C2204" s="64"/>
      <c r="D2204" s="70" t="str">
        <f aca="false">IF(C2204="","",IFERROR(INDEX(T_NOMBRE,MATCH(C2204,T_ID,0)),"⚠ ID no existe"))</f>
        <v/>
      </c>
      <c r="E2204" s="69"/>
      <c r="F2204" s="69"/>
      <c r="G2204" s="69"/>
      <c r="H2204" s="69"/>
      <c r="I2204" s="66"/>
      <c r="J2204" s="69"/>
      <c r="K2204" s="67"/>
      <c r="L2204" s="67"/>
      <c r="M2204" s="67"/>
      <c r="N2204" s="67"/>
      <c r="O2204" s="64"/>
      <c r="P2204" s="72" t="str">
        <f aca="false">IF(OR(B2204="",C2204=""),"",C2204&amp;"|"&amp;(YEAR(B2204)*100+MONTH(B2204)))</f>
        <v/>
      </c>
      <c r="Q2204" s="70" t="str">
        <f aca="false">IF(P2204="","",IF(COUNTIF(N_CLAVE,P2204)&gt;1,"⚠ Duplicado","OK"))</f>
        <v/>
      </c>
      <c r="R2204" s="74" t="str">
        <f aca="false">IF(OR(P2204="",U2204=""),"",MAX(0,U2204-N(E2204)-N(F2204)-N(H2204)))</f>
        <v/>
      </c>
      <c r="S2204" s="75" t="str">
        <f aca="false">IF(P2204="","",IFERROR(INDEX(T_INGRESO,MATCH(C2204,T_ID,0)),""))</f>
        <v/>
      </c>
      <c r="T2204" s="75" t="str">
        <f aca="false">IF(P2204="","",IFERROR(N(INDEX(T_EGRESO,MATCH(C2204,T_ID,0))),0))</f>
        <v/>
      </c>
      <c r="U2204" s="73" t="str">
        <f aca="false">IF(OR(P2204="",NOT(ISNUMBER(S2204))),"",IF(OR(S2204&gt;EOMONTH(B2204,0),AND(T2204&gt;0,T2204&lt;B2204)),0,IF(AND(S2204&lt;=B2204,OR(T2204=0,T2204&gt;=EOMONTH(B2204,0))),30,MIN(30,IF(T2204=0,EOMONTH(B2204,0),MIN(T2204,EOMONTH(B2204,0)))-MAX(B2204,S2204)+1))))</f>
        <v/>
      </c>
    </row>
    <row r="2205" customFormat="false" ht="15" hidden="false" customHeight="false" outlineLevel="0" collapsed="false">
      <c r="B2205" s="78"/>
      <c r="C2205" s="64"/>
      <c r="D2205" s="70" t="str">
        <f aca="false">IF(C2205="","",IFERROR(INDEX(T_NOMBRE,MATCH(C2205,T_ID,0)),"⚠ ID no existe"))</f>
        <v/>
      </c>
      <c r="E2205" s="69"/>
      <c r="F2205" s="69"/>
      <c r="G2205" s="69"/>
      <c r="H2205" s="69"/>
      <c r="I2205" s="66"/>
      <c r="J2205" s="69"/>
      <c r="K2205" s="67"/>
      <c r="L2205" s="67"/>
      <c r="M2205" s="67"/>
      <c r="N2205" s="67"/>
      <c r="O2205" s="64"/>
      <c r="P2205" s="72" t="str">
        <f aca="false">IF(OR(B2205="",C2205=""),"",C2205&amp;"|"&amp;(YEAR(B2205)*100+MONTH(B2205)))</f>
        <v/>
      </c>
      <c r="Q2205" s="70" t="str">
        <f aca="false">IF(P2205="","",IF(COUNTIF(N_CLAVE,P2205)&gt;1,"⚠ Duplicado","OK"))</f>
        <v/>
      </c>
      <c r="R2205" s="74" t="str">
        <f aca="false">IF(OR(P2205="",U2205=""),"",MAX(0,U2205-N(E2205)-N(F2205)-N(H2205)))</f>
        <v/>
      </c>
      <c r="S2205" s="75" t="str">
        <f aca="false">IF(P2205="","",IFERROR(INDEX(T_INGRESO,MATCH(C2205,T_ID,0)),""))</f>
        <v/>
      </c>
      <c r="T2205" s="75" t="str">
        <f aca="false">IF(P2205="","",IFERROR(N(INDEX(T_EGRESO,MATCH(C2205,T_ID,0))),0))</f>
        <v/>
      </c>
      <c r="U2205" s="73" t="str">
        <f aca="false">IF(OR(P2205="",NOT(ISNUMBER(S2205))),"",IF(OR(S2205&gt;EOMONTH(B2205,0),AND(T2205&gt;0,T2205&lt;B2205)),0,IF(AND(S2205&lt;=B2205,OR(T2205=0,T2205&gt;=EOMONTH(B2205,0))),30,MIN(30,IF(T2205=0,EOMONTH(B2205,0),MIN(T2205,EOMONTH(B2205,0)))-MAX(B2205,S2205)+1))))</f>
        <v/>
      </c>
    </row>
    <row r="2206" customFormat="false" ht="15" hidden="false" customHeight="false" outlineLevel="0" collapsed="false">
      <c r="B2206" s="78"/>
      <c r="C2206" s="64"/>
      <c r="D2206" s="70" t="str">
        <f aca="false">IF(C2206="","",IFERROR(INDEX(T_NOMBRE,MATCH(C2206,T_ID,0)),"⚠ ID no existe"))</f>
        <v/>
      </c>
      <c r="E2206" s="69"/>
      <c r="F2206" s="69"/>
      <c r="G2206" s="69"/>
      <c r="H2206" s="69"/>
      <c r="I2206" s="66"/>
      <c r="J2206" s="69"/>
      <c r="K2206" s="67"/>
      <c r="L2206" s="67"/>
      <c r="M2206" s="67"/>
      <c r="N2206" s="67"/>
      <c r="O2206" s="64"/>
      <c r="P2206" s="72" t="str">
        <f aca="false">IF(OR(B2206="",C2206=""),"",C2206&amp;"|"&amp;(YEAR(B2206)*100+MONTH(B2206)))</f>
        <v/>
      </c>
      <c r="Q2206" s="70" t="str">
        <f aca="false">IF(P2206="","",IF(COUNTIF(N_CLAVE,P2206)&gt;1,"⚠ Duplicado","OK"))</f>
        <v/>
      </c>
      <c r="R2206" s="74" t="str">
        <f aca="false">IF(OR(P2206="",U2206=""),"",MAX(0,U2206-N(E2206)-N(F2206)-N(H2206)))</f>
        <v/>
      </c>
      <c r="S2206" s="75" t="str">
        <f aca="false">IF(P2206="","",IFERROR(INDEX(T_INGRESO,MATCH(C2206,T_ID,0)),""))</f>
        <v/>
      </c>
      <c r="T2206" s="75" t="str">
        <f aca="false">IF(P2206="","",IFERROR(N(INDEX(T_EGRESO,MATCH(C2206,T_ID,0))),0))</f>
        <v/>
      </c>
      <c r="U2206" s="73" t="str">
        <f aca="false">IF(OR(P2206="",NOT(ISNUMBER(S2206))),"",IF(OR(S2206&gt;EOMONTH(B2206,0),AND(T2206&gt;0,T2206&lt;B2206)),0,IF(AND(S2206&lt;=B2206,OR(T2206=0,T2206&gt;=EOMONTH(B2206,0))),30,MIN(30,IF(T2206=0,EOMONTH(B2206,0),MIN(T2206,EOMONTH(B2206,0)))-MAX(B2206,S2206)+1))))</f>
        <v/>
      </c>
    </row>
    <row r="2207" customFormat="false" ht="15" hidden="false" customHeight="false" outlineLevel="0" collapsed="false">
      <c r="B2207" s="78"/>
      <c r="C2207" s="64"/>
      <c r="D2207" s="70" t="str">
        <f aca="false">IF(C2207="","",IFERROR(INDEX(T_NOMBRE,MATCH(C2207,T_ID,0)),"⚠ ID no existe"))</f>
        <v/>
      </c>
      <c r="E2207" s="69"/>
      <c r="F2207" s="69"/>
      <c r="G2207" s="69"/>
      <c r="H2207" s="69"/>
      <c r="I2207" s="66"/>
      <c r="J2207" s="69"/>
      <c r="K2207" s="67"/>
      <c r="L2207" s="67"/>
      <c r="M2207" s="67"/>
      <c r="N2207" s="67"/>
      <c r="O2207" s="64"/>
      <c r="P2207" s="72" t="str">
        <f aca="false">IF(OR(B2207="",C2207=""),"",C2207&amp;"|"&amp;(YEAR(B2207)*100+MONTH(B2207)))</f>
        <v/>
      </c>
      <c r="Q2207" s="70" t="str">
        <f aca="false">IF(P2207="","",IF(COUNTIF(N_CLAVE,P2207)&gt;1,"⚠ Duplicado","OK"))</f>
        <v/>
      </c>
      <c r="R2207" s="74" t="str">
        <f aca="false">IF(OR(P2207="",U2207=""),"",MAX(0,U2207-N(E2207)-N(F2207)-N(H2207)))</f>
        <v/>
      </c>
      <c r="S2207" s="75" t="str">
        <f aca="false">IF(P2207="","",IFERROR(INDEX(T_INGRESO,MATCH(C2207,T_ID,0)),""))</f>
        <v/>
      </c>
      <c r="T2207" s="75" t="str">
        <f aca="false">IF(P2207="","",IFERROR(N(INDEX(T_EGRESO,MATCH(C2207,T_ID,0))),0))</f>
        <v/>
      </c>
      <c r="U2207" s="73" t="str">
        <f aca="false">IF(OR(P2207="",NOT(ISNUMBER(S2207))),"",IF(OR(S2207&gt;EOMONTH(B2207,0),AND(T2207&gt;0,T2207&lt;B2207)),0,IF(AND(S2207&lt;=B2207,OR(T2207=0,T2207&gt;=EOMONTH(B2207,0))),30,MIN(30,IF(T2207=0,EOMONTH(B2207,0),MIN(T2207,EOMONTH(B2207,0)))-MAX(B2207,S2207)+1))))</f>
        <v/>
      </c>
    </row>
    <row r="2208" customFormat="false" ht="15" hidden="false" customHeight="false" outlineLevel="0" collapsed="false">
      <c r="B2208" s="78"/>
      <c r="C2208" s="64"/>
      <c r="D2208" s="70" t="str">
        <f aca="false">IF(C2208="","",IFERROR(INDEX(T_NOMBRE,MATCH(C2208,T_ID,0)),"⚠ ID no existe"))</f>
        <v/>
      </c>
      <c r="E2208" s="69"/>
      <c r="F2208" s="69"/>
      <c r="G2208" s="69"/>
      <c r="H2208" s="69"/>
      <c r="I2208" s="66"/>
      <c r="J2208" s="69"/>
      <c r="K2208" s="67"/>
      <c r="L2208" s="67"/>
      <c r="M2208" s="67"/>
      <c r="N2208" s="67"/>
      <c r="O2208" s="64"/>
      <c r="P2208" s="72" t="str">
        <f aca="false">IF(OR(B2208="",C2208=""),"",C2208&amp;"|"&amp;(YEAR(B2208)*100+MONTH(B2208)))</f>
        <v/>
      </c>
      <c r="Q2208" s="70" t="str">
        <f aca="false">IF(P2208="","",IF(COUNTIF(N_CLAVE,P2208)&gt;1,"⚠ Duplicado","OK"))</f>
        <v/>
      </c>
      <c r="R2208" s="74" t="str">
        <f aca="false">IF(OR(P2208="",U2208=""),"",MAX(0,U2208-N(E2208)-N(F2208)-N(H2208)))</f>
        <v/>
      </c>
      <c r="S2208" s="75" t="str">
        <f aca="false">IF(P2208="","",IFERROR(INDEX(T_INGRESO,MATCH(C2208,T_ID,0)),""))</f>
        <v/>
      </c>
      <c r="T2208" s="75" t="str">
        <f aca="false">IF(P2208="","",IFERROR(N(INDEX(T_EGRESO,MATCH(C2208,T_ID,0))),0))</f>
        <v/>
      </c>
      <c r="U2208" s="73" t="str">
        <f aca="false">IF(OR(P2208="",NOT(ISNUMBER(S2208))),"",IF(OR(S2208&gt;EOMONTH(B2208,0),AND(T2208&gt;0,T2208&lt;B2208)),0,IF(AND(S2208&lt;=B2208,OR(T2208=0,T2208&gt;=EOMONTH(B2208,0))),30,MIN(30,IF(T2208=0,EOMONTH(B2208,0),MIN(T2208,EOMONTH(B2208,0)))-MAX(B2208,S2208)+1))))</f>
        <v/>
      </c>
    </row>
    <row r="2209" customFormat="false" ht="15" hidden="false" customHeight="false" outlineLevel="0" collapsed="false">
      <c r="B2209" s="78"/>
      <c r="C2209" s="64"/>
      <c r="D2209" s="70" t="str">
        <f aca="false">IF(C2209="","",IFERROR(INDEX(T_NOMBRE,MATCH(C2209,T_ID,0)),"⚠ ID no existe"))</f>
        <v/>
      </c>
      <c r="E2209" s="69"/>
      <c r="F2209" s="69"/>
      <c r="G2209" s="69"/>
      <c r="H2209" s="69"/>
      <c r="I2209" s="66"/>
      <c r="J2209" s="69"/>
      <c r="K2209" s="67"/>
      <c r="L2209" s="67"/>
      <c r="M2209" s="67"/>
      <c r="N2209" s="67"/>
      <c r="O2209" s="64"/>
      <c r="P2209" s="72" t="str">
        <f aca="false">IF(OR(B2209="",C2209=""),"",C2209&amp;"|"&amp;(YEAR(B2209)*100+MONTH(B2209)))</f>
        <v/>
      </c>
      <c r="Q2209" s="70" t="str">
        <f aca="false">IF(P2209="","",IF(COUNTIF(N_CLAVE,P2209)&gt;1,"⚠ Duplicado","OK"))</f>
        <v/>
      </c>
      <c r="R2209" s="74" t="str">
        <f aca="false">IF(OR(P2209="",U2209=""),"",MAX(0,U2209-N(E2209)-N(F2209)-N(H2209)))</f>
        <v/>
      </c>
      <c r="S2209" s="75" t="str">
        <f aca="false">IF(P2209="","",IFERROR(INDEX(T_INGRESO,MATCH(C2209,T_ID,0)),""))</f>
        <v/>
      </c>
      <c r="T2209" s="75" t="str">
        <f aca="false">IF(P2209="","",IFERROR(N(INDEX(T_EGRESO,MATCH(C2209,T_ID,0))),0))</f>
        <v/>
      </c>
      <c r="U2209" s="73" t="str">
        <f aca="false">IF(OR(P2209="",NOT(ISNUMBER(S2209))),"",IF(OR(S2209&gt;EOMONTH(B2209,0),AND(T2209&gt;0,T2209&lt;B2209)),0,IF(AND(S2209&lt;=B2209,OR(T2209=0,T2209&gt;=EOMONTH(B2209,0))),30,MIN(30,IF(T2209=0,EOMONTH(B2209,0),MIN(T2209,EOMONTH(B2209,0)))-MAX(B2209,S2209)+1))))</f>
        <v/>
      </c>
    </row>
    <row r="2210" customFormat="false" ht="15" hidden="false" customHeight="false" outlineLevel="0" collapsed="false">
      <c r="B2210" s="78"/>
      <c r="C2210" s="64"/>
      <c r="D2210" s="70" t="str">
        <f aca="false">IF(C2210="","",IFERROR(INDEX(T_NOMBRE,MATCH(C2210,T_ID,0)),"⚠ ID no existe"))</f>
        <v/>
      </c>
      <c r="E2210" s="69"/>
      <c r="F2210" s="69"/>
      <c r="G2210" s="69"/>
      <c r="H2210" s="69"/>
      <c r="I2210" s="66"/>
      <c r="J2210" s="69"/>
      <c r="K2210" s="67"/>
      <c r="L2210" s="67"/>
      <c r="M2210" s="67"/>
      <c r="N2210" s="67"/>
      <c r="O2210" s="64"/>
      <c r="P2210" s="72" t="str">
        <f aca="false">IF(OR(B2210="",C2210=""),"",C2210&amp;"|"&amp;(YEAR(B2210)*100+MONTH(B2210)))</f>
        <v/>
      </c>
      <c r="Q2210" s="70" t="str">
        <f aca="false">IF(P2210="","",IF(COUNTIF(N_CLAVE,P2210)&gt;1,"⚠ Duplicado","OK"))</f>
        <v/>
      </c>
      <c r="R2210" s="74" t="str">
        <f aca="false">IF(OR(P2210="",U2210=""),"",MAX(0,U2210-N(E2210)-N(F2210)-N(H2210)))</f>
        <v/>
      </c>
      <c r="S2210" s="75" t="str">
        <f aca="false">IF(P2210="","",IFERROR(INDEX(T_INGRESO,MATCH(C2210,T_ID,0)),""))</f>
        <v/>
      </c>
      <c r="T2210" s="75" t="str">
        <f aca="false">IF(P2210="","",IFERROR(N(INDEX(T_EGRESO,MATCH(C2210,T_ID,0))),0))</f>
        <v/>
      </c>
      <c r="U2210" s="73" t="str">
        <f aca="false">IF(OR(P2210="",NOT(ISNUMBER(S2210))),"",IF(OR(S2210&gt;EOMONTH(B2210,0),AND(T2210&gt;0,T2210&lt;B2210)),0,IF(AND(S2210&lt;=B2210,OR(T2210=0,T2210&gt;=EOMONTH(B2210,0))),30,MIN(30,IF(T2210=0,EOMONTH(B2210,0),MIN(T2210,EOMONTH(B2210,0)))-MAX(B2210,S2210)+1))))</f>
        <v/>
      </c>
    </row>
    <row r="2211" customFormat="false" ht="15" hidden="false" customHeight="false" outlineLevel="0" collapsed="false">
      <c r="B2211" s="78"/>
      <c r="C2211" s="64"/>
      <c r="D2211" s="70" t="str">
        <f aca="false">IF(C2211="","",IFERROR(INDEX(T_NOMBRE,MATCH(C2211,T_ID,0)),"⚠ ID no existe"))</f>
        <v/>
      </c>
      <c r="E2211" s="69"/>
      <c r="F2211" s="69"/>
      <c r="G2211" s="69"/>
      <c r="H2211" s="69"/>
      <c r="I2211" s="66"/>
      <c r="J2211" s="69"/>
      <c r="K2211" s="67"/>
      <c r="L2211" s="67"/>
      <c r="M2211" s="67"/>
      <c r="N2211" s="67"/>
      <c r="O2211" s="64"/>
      <c r="P2211" s="72" t="str">
        <f aca="false">IF(OR(B2211="",C2211=""),"",C2211&amp;"|"&amp;(YEAR(B2211)*100+MONTH(B2211)))</f>
        <v/>
      </c>
      <c r="Q2211" s="70" t="str">
        <f aca="false">IF(P2211="","",IF(COUNTIF(N_CLAVE,P2211)&gt;1,"⚠ Duplicado","OK"))</f>
        <v/>
      </c>
      <c r="R2211" s="74" t="str">
        <f aca="false">IF(OR(P2211="",U2211=""),"",MAX(0,U2211-N(E2211)-N(F2211)-N(H2211)))</f>
        <v/>
      </c>
      <c r="S2211" s="75" t="str">
        <f aca="false">IF(P2211="","",IFERROR(INDEX(T_INGRESO,MATCH(C2211,T_ID,0)),""))</f>
        <v/>
      </c>
      <c r="T2211" s="75" t="str">
        <f aca="false">IF(P2211="","",IFERROR(N(INDEX(T_EGRESO,MATCH(C2211,T_ID,0))),0))</f>
        <v/>
      </c>
      <c r="U2211" s="73" t="str">
        <f aca="false">IF(OR(P2211="",NOT(ISNUMBER(S2211))),"",IF(OR(S2211&gt;EOMONTH(B2211,0),AND(T2211&gt;0,T2211&lt;B2211)),0,IF(AND(S2211&lt;=B2211,OR(T2211=0,T2211&gt;=EOMONTH(B2211,0))),30,MIN(30,IF(T2211=0,EOMONTH(B2211,0),MIN(T2211,EOMONTH(B2211,0)))-MAX(B2211,S2211)+1))))</f>
        <v/>
      </c>
    </row>
    <row r="2212" customFormat="false" ht="15" hidden="false" customHeight="false" outlineLevel="0" collapsed="false">
      <c r="B2212" s="78"/>
      <c r="C2212" s="64"/>
      <c r="D2212" s="70" t="str">
        <f aca="false">IF(C2212="","",IFERROR(INDEX(T_NOMBRE,MATCH(C2212,T_ID,0)),"⚠ ID no existe"))</f>
        <v/>
      </c>
      <c r="E2212" s="69"/>
      <c r="F2212" s="69"/>
      <c r="G2212" s="69"/>
      <c r="H2212" s="69"/>
      <c r="I2212" s="66"/>
      <c r="J2212" s="69"/>
      <c r="K2212" s="67"/>
      <c r="L2212" s="67"/>
      <c r="M2212" s="67"/>
      <c r="N2212" s="67"/>
      <c r="O2212" s="64"/>
      <c r="P2212" s="72" t="str">
        <f aca="false">IF(OR(B2212="",C2212=""),"",C2212&amp;"|"&amp;(YEAR(B2212)*100+MONTH(B2212)))</f>
        <v/>
      </c>
      <c r="Q2212" s="70" t="str">
        <f aca="false">IF(P2212="","",IF(COUNTIF(N_CLAVE,P2212)&gt;1,"⚠ Duplicado","OK"))</f>
        <v/>
      </c>
      <c r="R2212" s="74" t="str">
        <f aca="false">IF(OR(P2212="",U2212=""),"",MAX(0,U2212-N(E2212)-N(F2212)-N(H2212)))</f>
        <v/>
      </c>
      <c r="S2212" s="75" t="str">
        <f aca="false">IF(P2212="","",IFERROR(INDEX(T_INGRESO,MATCH(C2212,T_ID,0)),""))</f>
        <v/>
      </c>
      <c r="T2212" s="75" t="str">
        <f aca="false">IF(P2212="","",IFERROR(N(INDEX(T_EGRESO,MATCH(C2212,T_ID,0))),0))</f>
        <v/>
      </c>
      <c r="U2212" s="73" t="str">
        <f aca="false">IF(OR(P2212="",NOT(ISNUMBER(S2212))),"",IF(OR(S2212&gt;EOMONTH(B2212,0),AND(T2212&gt;0,T2212&lt;B2212)),0,IF(AND(S2212&lt;=B2212,OR(T2212=0,T2212&gt;=EOMONTH(B2212,0))),30,MIN(30,IF(T2212=0,EOMONTH(B2212,0),MIN(T2212,EOMONTH(B2212,0)))-MAX(B2212,S2212)+1))))</f>
        <v/>
      </c>
    </row>
    <row r="2213" customFormat="false" ht="15" hidden="false" customHeight="false" outlineLevel="0" collapsed="false">
      <c r="B2213" s="78"/>
      <c r="C2213" s="64"/>
      <c r="D2213" s="70" t="str">
        <f aca="false">IF(C2213="","",IFERROR(INDEX(T_NOMBRE,MATCH(C2213,T_ID,0)),"⚠ ID no existe"))</f>
        <v/>
      </c>
      <c r="E2213" s="69"/>
      <c r="F2213" s="69"/>
      <c r="G2213" s="69"/>
      <c r="H2213" s="69"/>
      <c r="I2213" s="66"/>
      <c r="J2213" s="69"/>
      <c r="K2213" s="67"/>
      <c r="L2213" s="67"/>
      <c r="M2213" s="67"/>
      <c r="N2213" s="67"/>
      <c r="O2213" s="64"/>
      <c r="P2213" s="72" t="str">
        <f aca="false">IF(OR(B2213="",C2213=""),"",C2213&amp;"|"&amp;(YEAR(B2213)*100+MONTH(B2213)))</f>
        <v/>
      </c>
      <c r="Q2213" s="70" t="str">
        <f aca="false">IF(P2213="","",IF(COUNTIF(N_CLAVE,P2213)&gt;1,"⚠ Duplicado","OK"))</f>
        <v/>
      </c>
      <c r="R2213" s="74" t="str">
        <f aca="false">IF(OR(P2213="",U2213=""),"",MAX(0,U2213-N(E2213)-N(F2213)-N(H2213)))</f>
        <v/>
      </c>
      <c r="S2213" s="75" t="str">
        <f aca="false">IF(P2213="","",IFERROR(INDEX(T_INGRESO,MATCH(C2213,T_ID,0)),""))</f>
        <v/>
      </c>
      <c r="T2213" s="75" t="str">
        <f aca="false">IF(P2213="","",IFERROR(N(INDEX(T_EGRESO,MATCH(C2213,T_ID,0))),0))</f>
        <v/>
      </c>
      <c r="U2213" s="73" t="str">
        <f aca="false">IF(OR(P2213="",NOT(ISNUMBER(S2213))),"",IF(OR(S2213&gt;EOMONTH(B2213,0),AND(T2213&gt;0,T2213&lt;B2213)),0,IF(AND(S2213&lt;=B2213,OR(T2213=0,T2213&gt;=EOMONTH(B2213,0))),30,MIN(30,IF(T2213=0,EOMONTH(B2213,0),MIN(T2213,EOMONTH(B2213,0)))-MAX(B2213,S2213)+1))))</f>
        <v/>
      </c>
    </row>
    <row r="2214" customFormat="false" ht="15" hidden="false" customHeight="false" outlineLevel="0" collapsed="false">
      <c r="B2214" s="78"/>
      <c r="C2214" s="64"/>
      <c r="D2214" s="70" t="str">
        <f aca="false">IF(C2214="","",IFERROR(INDEX(T_NOMBRE,MATCH(C2214,T_ID,0)),"⚠ ID no existe"))</f>
        <v/>
      </c>
      <c r="E2214" s="69"/>
      <c r="F2214" s="69"/>
      <c r="G2214" s="69"/>
      <c r="H2214" s="69"/>
      <c r="I2214" s="66"/>
      <c r="J2214" s="69"/>
      <c r="K2214" s="67"/>
      <c r="L2214" s="67"/>
      <c r="M2214" s="67"/>
      <c r="N2214" s="67"/>
      <c r="O2214" s="64"/>
      <c r="P2214" s="72" t="str">
        <f aca="false">IF(OR(B2214="",C2214=""),"",C2214&amp;"|"&amp;(YEAR(B2214)*100+MONTH(B2214)))</f>
        <v/>
      </c>
      <c r="Q2214" s="70" t="str">
        <f aca="false">IF(P2214="","",IF(COUNTIF(N_CLAVE,P2214)&gt;1,"⚠ Duplicado","OK"))</f>
        <v/>
      </c>
      <c r="R2214" s="74" t="str">
        <f aca="false">IF(OR(P2214="",U2214=""),"",MAX(0,U2214-N(E2214)-N(F2214)-N(H2214)))</f>
        <v/>
      </c>
      <c r="S2214" s="75" t="str">
        <f aca="false">IF(P2214="","",IFERROR(INDEX(T_INGRESO,MATCH(C2214,T_ID,0)),""))</f>
        <v/>
      </c>
      <c r="T2214" s="75" t="str">
        <f aca="false">IF(P2214="","",IFERROR(N(INDEX(T_EGRESO,MATCH(C2214,T_ID,0))),0))</f>
        <v/>
      </c>
      <c r="U2214" s="73" t="str">
        <f aca="false">IF(OR(P2214="",NOT(ISNUMBER(S2214))),"",IF(OR(S2214&gt;EOMONTH(B2214,0),AND(T2214&gt;0,T2214&lt;B2214)),0,IF(AND(S2214&lt;=B2214,OR(T2214=0,T2214&gt;=EOMONTH(B2214,0))),30,MIN(30,IF(T2214=0,EOMONTH(B2214,0),MIN(T2214,EOMONTH(B2214,0)))-MAX(B2214,S2214)+1))))</f>
        <v/>
      </c>
    </row>
    <row r="2215" customFormat="false" ht="15" hidden="false" customHeight="false" outlineLevel="0" collapsed="false">
      <c r="B2215" s="78"/>
      <c r="C2215" s="64"/>
      <c r="D2215" s="70" t="str">
        <f aca="false">IF(C2215="","",IFERROR(INDEX(T_NOMBRE,MATCH(C2215,T_ID,0)),"⚠ ID no existe"))</f>
        <v/>
      </c>
      <c r="E2215" s="69"/>
      <c r="F2215" s="69"/>
      <c r="G2215" s="69"/>
      <c r="H2215" s="69"/>
      <c r="I2215" s="66"/>
      <c r="J2215" s="69"/>
      <c r="K2215" s="67"/>
      <c r="L2215" s="67"/>
      <c r="M2215" s="67"/>
      <c r="N2215" s="67"/>
      <c r="O2215" s="64"/>
      <c r="P2215" s="72" t="str">
        <f aca="false">IF(OR(B2215="",C2215=""),"",C2215&amp;"|"&amp;(YEAR(B2215)*100+MONTH(B2215)))</f>
        <v/>
      </c>
      <c r="Q2215" s="70" t="str">
        <f aca="false">IF(P2215="","",IF(COUNTIF(N_CLAVE,P2215)&gt;1,"⚠ Duplicado","OK"))</f>
        <v/>
      </c>
      <c r="R2215" s="74" t="str">
        <f aca="false">IF(OR(P2215="",U2215=""),"",MAX(0,U2215-N(E2215)-N(F2215)-N(H2215)))</f>
        <v/>
      </c>
      <c r="S2215" s="75" t="str">
        <f aca="false">IF(P2215="","",IFERROR(INDEX(T_INGRESO,MATCH(C2215,T_ID,0)),""))</f>
        <v/>
      </c>
      <c r="T2215" s="75" t="str">
        <f aca="false">IF(P2215="","",IFERROR(N(INDEX(T_EGRESO,MATCH(C2215,T_ID,0))),0))</f>
        <v/>
      </c>
      <c r="U2215" s="73" t="str">
        <f aca="false">IF(OR(P2215="",NOT(ISNUMBER(S2215))),"",IF(OR(S2215&gt;EOMONTH(B2215,0),AND(T2215&gt;0,T2215&lt;B2215)),0,IF(AND(S2215&lt;=B2215,OR(T2215=0,T2215&gt;=EOMONTH(B2215,0))),30,MIN(30,IF(T2215=0,EOMONTH(B2215,0),MIN(T2215,EOMONTH(B2215,0)))-MAX(B2215,S2215)+1))))</f>
        <v/>
      </c>
    </row>
    <row r="2216" customFormat="false" ht="15" hidden="false" customHeight="false" outlineLevel="0" collapsed="false">
      <c r="B2216" s="78"/>
      <c r="C2216" s="64"/>
      <c r="D2216" s="70" t="str">
        <f aca="false">IF(C2216="","",IFERROR(INDEX(T_NOMBRE,MATCH(C2216,T_ID,0)),"⚠ ID no existe"))</f>
        <v/>
      </c>
      <c r="E2216" s="69"/>
      <c r="F2216" s="69"/>
      <c r="G2216" s="69"/>
      <c r="H2216" s="69"/>
      <c r="I2216" s="66"/>
      <c r="J2216" s="69"/>
      <c r="K2216" s="67"/>
      <c r="L2216" s="67"/>
      <c r="M2216" s="67"/>
      <c r="N2216" s="67"/>
      <c r="O2216" s="64"/>
      <c r="P2216" s="72" t="str">
        <f aca="false">IF(OR(B2216="",C2216=""),"",C2216&amp;"|"&amp;(YEAR(B2216)*100+MONTH(B2216)))</f>
        <v/>
      </c>
      <c r="Q2216" s="70" t="str">
        <f aca="false">IF(P2216="","",IF(COUNTIF(N_CLAVE,P2216)&gt;1,"⚠ Duplicado","OK"))</f>
        <v/>
      </c>
      <c r="R2216" s="74" t="str">
        <f aca="false">IF(OR(P2216="",U2216=""),"",MAX(0,U2216-N(E2216)-N(F2216)-N(H2216)))</f>
        <v/>
      </c>
      <c r="S2216" s="75" t="str">
        <f aca="false">IF(P2216="","",IFERROR(INDEX(T_INGRESO,MATCH(C2216,T_ID,0)),""))</f>
        <v/>
      </c>
      <c r="T2216" s="75" t="str">
        <f aca="false">IF(P2216="","",IFERROR(N(INDEX(T_EGRESO,MATCH(C2216,T_ID,0))),0))</f>
        <v/>
      </c>
      <c r="U2216" s="73" t="str">
        <f aca="false">IF(OR(P2216="",NOT(ISNUMBER(S2216))),"",IF(OR(S2216&gt;EOMONTH(B2216,0),AND(T2216&gt;0,T2216&lt;B2216)),0,IF(AND(S2216&lt;=B2216,OR(T2216=0,T2216&gt;=EOMONTH(B2216,0))),30,MIN(30,IF(T2216=0,EOMONTH(B2216,0),MIN(T2216,EOMONTH(B2216,0)))-MAX(B2216,S2216)+1))))</f>
        <v/>
      </c>
    </row>
    <row r="2217" customFormat="false" ht="15" hidden="false" customHeight="false" outlineLevel="0" collapsed="false">
      <c r="B2217" s="78"/>
      <c r="C2217" s="64"/>
      <c r="D2217" s="70" t="str">
        <f aca="false">IF(C2217="","",IFERROR(INDEX(T_NOMBRE,MATCH(C2217,T_ID,0)),"⚠ ID no existe"))</f>
        <v/>
      </c>
      <c r="E2217" s="69"/>
      <c r="F2217" s="69"/>
      <c r="G2217" s="69"/>
      <c r="H2217" s="69"/>
      <c r="I2217" s="66"/>
      <c r="J2217" s="69"/>
      <c r="K2217" s="67"/>
      <c r="L2217" s="67"/>
      <c r="M2217" s="67"/>
      <c r="N2217" s="67"/>
      <c r="O2217" s="64"/>
      <c r="P2217" s="72" t="str">
        <f aca="false">IF(OR(B2217="",C2217=""),"",C2217&amp;"|"&amp;(YEAR(B2217)*100+MONTH(B2217)))</f>
        <v/>
      </c>
      <c r="Q2217" s="70" t="str">
        <f aca="false">IF(P2217="","",IF(COUNTIF(N_CLAVE,P2217)&gt;1,"⚠ Duplicado","OK"))</f>
        <v/>
      </c>
      <c r="R2217" s="74" t="str">
        <f aca="false">IF(OR(P2217="",U2217=""),"",MAX(0,U2217-N(E2217)-N(F2217)-N(H2217)))</f>
        <v/>
      </c>
      <c r="S2217" s="75" t="str">
        <f aca="false">IF(P2217="","",IFERROR(INDEX(T_INGRESO,MATCH(C2217,T_ID,0)),""))</f>
        <v/>
      </c>
      <c r="T2217" s="75" t="str">
        <f aca="false">IF(P2217="","",IFERROR(N(INDEX(T_EGRESO,MATCH(C2217,T_ID,0))),0))</f>
        <v/>
      </c>
      <c r="U2217" s="73" t="str">
        <f aca="false">IF(OR(P2217="",NOT(ISNUMBER(S2217))),"",IF(OR(S2217&gt;EOMONTH(B2217,0),AND(T2217&gt;0,T2217&lt;B2217)),0,IF(AND(S2217&lt;=B2217,OR(T2217=0,T2217&gt;=EOMONTH(B2217,0))),30,MIN(30,IF(T2217=0,EOMONTH(B2217,0),MIN(T2217,EOMONTH(B2217,0)))-MAX(B2217,S2217)+1))))</f>
        <v/>
      </c>
    </row>
    <row r="2218" customFormat="false" ht="15" hidden="false" customHeight="false" outlineLevel="0" collapsed="false">
      <c r="B2218" s="78"/>
      <c r="C2218" s="64"/>
      <c r="D2218" s="70" t="str">
        <f aca="false">IF(C2218="","",IFERROR(INDEX(T_NOMBRE,MATCH(C2218,T_ID,0)),"⚠ ID no existe"))</f>
        <v/>
      </c>
      <c r="E2218" s="69"/>
      <c r="F2218" s="69"/>
      <c r="G2218" s="69"/>
      <c r="H2218" s="69"/>
      <c r="I2218" s="66"/>
      <c r="J2218" s="69"/>
      <c r="K2218" s="67"/>
      <c r="L2218" s="67"/>
      <c r="M2218" s="67"/>
      <c r="N2218" s="67"/>
      <c r="O2218" s="64"/>
      <c r="P2218" s="72" t="str">
        <f aca="false">IF(OR(B2218="",C2218=""),"",C2218&amp;"|"&amp;(YEAR(B2218)*100+MONTH(B2218)))</f>
        <v/>
      </c>
      <c r="Q2218" s="70" t="str">
        <f aca="false">IF(P2218="","",IF(COUNTIF(N_CLAVE,P2218)&gt;1,"⚠ Duplicado","OK"))</f>
        <v/>
      </c>
      <c r="R2218" s="74" t="str">
        <f aca="false">IF(OR(P2218="",U2218=""),"",MAX(0,U2218-N(E2218)-N(F2218)-N(H2218)))</f>
        <v/>
      </c>
      <c r="S2218" s="75" t="str">
        <f aca="false">IF(P2218="","",IFERROR(INDEX(T_INGRESO,MATCH(C2218,T_ID,0)),""))</f>
        <v/>
      </c>
      <c r="T2218" s="75" t="str">
        <f aca="false">IF(P2218="","",IFERROR(N(INDEX(T_EGRESO,MATCH(C2218,T_ID,0))),0))</f>
        <v/>
      </c>
      <c r="U2218" s="73" t="str">
        <f aca="false">IF(OR(P2218="",NOT(ISNUMBER(S2218))),"",IF(OR(S2218&gt;EOMONTH(B2218,0),AND(T2218&gt;0,T2218&lt;B2218)),0,IF(AND(S2218&lt;=B2218,OR(T2218=0,T2218&gt;=EOMONTH(B2218,0))),30,MIN(30,IF(T2218=0,EOMONTH(B2218,0),MIN(T2218,EOMONTH(B2218,0)))-MAX(B2218,S2218)+1))))</f>
        <v/>
      </c>
    </row>
    <row r="2219" customFormat="false" ht="15" hidden="false" customHeight="false" outlineLevel="0" collapsed="false">
      <c r="B2219" s="78"/>
      <c r="C2219" s="64"/>
      <c r="D2219" s="70" t="str">
        <f aca="false">IF(C2219="","",IFERROR(INDEX(T_NOMBRE,MATCH(C2219,T_ID,0)),"⚠ ID no existe"))</f>
        <v/>
      </c>
      <c r="E2219" s="69"/>
      <c r="F2219" s="69"/>
      <c r="G2219" s="69"/>
      <c r="H2219" s="69"/>
      <c r="I2219" s="66"/>
      <c r="J2219" s="69"/>
      <c r="K2219" s="67"/>
      <c r="L2219" s="67"/>
      <c r="M2219" s="67"/>
      <c r="N2219" s="67"/>
      <c r="O2219" s="64"/>
      <c r="P2219" s="72" t="str">
        <f aca="false">IF(OR(B2219="",C2219=""),"",C2219&amp;"|"&amp;(YEAR(B2219)*100+MONTH(B2219)))</f>
        <v/>
      </c>
      <c r="Q2219" s="70" t="str">
        <f aca="false">IF(P2219="","",IF(COUNTIF(N_CLAVE,P2219)&gt;1,"⚠ Duplicado","OK"))</f>
        <v/>
      </c>
      <c r="R2219" s="74" t="str">
        <f aca="false">IF(OR(P2219="",U2219=""),"",MAX(0,U2219-N(E2219)-N(F2219)-N(H2219)))</f>
        <v/>
      </c>
      <c r="S2219" s="75" t="str">
        <f aca="false">IF(P2219="","",IFERROR(INDEX(T_INGRESO,MATCH(C2219,T_ID,0)),""))</f>
        <v/>
      </c>
      <c r="T2219" s="75" t="str">
        <f aca="false">IF(P2219="","",IFERROR(N(INDEX(T_EGRESO,MATCH(C2219,T_ID,0))),0))</f>
        <v/>
      </c>
      <c r="U2219" s="73" t="str">
        <f aca="false">IF(OR(P2219="",NOT(ISNUMBER(S2219))),"",IF(OR(S2219&gt;EOMONTH(B2219,0),AND(T2219&gt;0,T2219&lt;B2219)),0,IF(AND(S2219&lt;=B2219,OR(T2219=0,T2219&gt;=EOMONTH(B2219,0))),30,MIN(30,IF(T2219=0,EOMONTH(B2219,0),MIN(T2219,EOMONTH(B2219,0)))-MAX(B2219,S2219)+1))))</f>
        <v/>
      </c>
    </row>
    <row r="2220" customFormat="false" ht="15" hidden="false" customHeight="false" outlineLevel="0" collapsed="false">
      <c r="B2220" s="78"/>
      <c r="C2220" s="64"/>
      <c r="D2220" s="70" t="str">
        <f aca="false">IF(C2220="","",IFERROR(INDEX(T_NOMBRE,MATCH(C2220,T_ID,0)),"⚠ ID no existe"))</f>
        <v/>
      </c>
      <c r="E2220" s="69"/>
      <c r="F2220" s="69"/>
      <c r="G2220" s="69"/>
      <c r="H2220" s="69"/>
      <c r="I2220" s="66"/>
      <c r="J2220" s="69"/>
      <c r="K2220" s="67"/>
      <c r="L2220" s="67"/>
      <c r="M2220" s="67"/>
      <c r="N2220" s="67"/>
      <c r="O2220" s="64"/>
      <c r="P2220" s="72" t="str">
        <f aca="false">IF(OR(B2220="",C2220=""),"",C2220&amp;"|"&amp;(YEAR(B2220)*100+MONTH(B2220)))</f>
        <v/>
      </c>
      <c r="Q2220" s="70" t="str">
        <f aca="false">IF(P2220="","",IF(COUNTIF(N_CLAVE,P2220)&gt;1,"⚠ Duplicado","OK"))</f>
        <v/>
      </c>
      <c r="R2220" s="74" t="str">
        <f aca="false">IF(OR(P2220="",U2220=""),"",MAX(0,U2220-N(E2220)-N(F2220)-N(H2220)))</f>
        <v/>
      </c>
      <c r="S2220" s="75" t="str">
        <f aca="false">IF(P2220="","",IFERROR(INDEX(T_INGRESO,MATCH(C2220,T_ID,0)),""))</f>
        <v/>
      </c>
      <c r="T2220" s="75" t="str">
        <f aca="false">IF(P2220="","",IFERROR(N(INDEX(T_EGRESO,MATCH(C2220,T_ID,0))),0))</f>
        <v/>
      </c>
      <c r="U2220" s="73" t="str">
        <f aca="false">IF(OR(P2220="",NOT(ISNUMBER(S2220))),"",IF(OR(S2220&gt;EOMONTH(B2220,0),AND(T2220&gt;0,T2220&lt;B2220)),0,IF(AND(S2220&lt;=B2220,OR(T2220=0,T2220&gt;=EOMONTH(B2220,0))),30,MIN(30,IF(T2220=0,EOMONTH(B2220,0),MIN(T2220,EOMONTH(B2220,0)))-MAX(B2220,S2220)+1))))</f>
        <v/>
      </c>
    </row>
    <row r="2221" customFormat="false" ht="15" hidden="false" customHeight="false" outlineLevel="0" collapsed="false">
      <c r="B2221" s="78"/>
      <c r="C2221" s="64"/>
      <c r="D2221" s="70" t="str">
        <f aca="false">IF(C2221="","",IFERROR(INDEX(T_NOMBRE,MATCH(C2221,T_ID,0)),"⚠ ID no existe"))</f>
        <v/>
      </c>
      <c r="E2221" s="69"/>
      <c r="F2221" s="69"/>
      <c r="G2221" s="69"/>
      <c r="H2221" s="69"/>
      <c r="I2221" s="66"/>
      <c r="J2221" s="69"/>
      <c r="K2221" s="67"/>
      <c r="L2221" s="67"/>
      <c r="M2221" s="67"/>
      <c r="N2221" s="67"/>
      <c r="O2221" s="64"/>
      <c r="P2221" s="72" t="str">
        <f aca="false">IF(OR(B2221="",C2221=""),"",C2221&amp;"|"&amp;(YEAR(B2221)*100+MONTH(B2221)))</f>
        <v/>
      </c>
      <c r="Q2221" s="70" t="str">
        <f aca="false">IF(P2221="","",IF(COUNTIF(N_CLAVE,P2221)&gt;1,"⚠ Duplicado","OK"))</f>
        <v/>
      </c>
      <c r="R2221" s="74" t="str">
        <f aca="false">IF(OR(P2221="",U2221=""),"",MAX(0,U2221-N(E2221)-N(F2221)-N(H2221)))</f>
        <v/>
      </c>
      <c r="S2221" s="75" t="str">
        <f aca="false">IF(P2221="","",IFERROR(INDEX(T_INGRESO,MATCH(C2221,T_ID,0)),""))</f>
        <v/>
      </c>
      <c r="T2221" s="75" t="str">
        <f aca="false">IF(P2221="","",IFERROR(N(INDEX(T_EGRESO,MATCH(C2221,T_ID,0))),0))</f>
        <v/>
      </c>
      <c r="U2221" s="73" t="str">
        <f aca="false">IF(OR(P2221="",NOT(ISNUMBER(S2221))),"",IF(OR(S2221&gt;EOMONTH(B2221,0),AND(T2221&gt;0,T2221&lt;B2221)),0,IF(AND(S2221&lt;=B2221,OR(T2221=0,T2221&gt;=EOMONTH(B2221,0))),30,MIN(30,IF(T2221=0,EOMONTH(B2221,0),MIN(T2221,EOMONTH(B2221,0)))-MAX(B2221,S2221)+1))))</f>
        <v/>
      </c>
    </row>
    <row r="2222" customFormat="false" ht="15" hidden="false" customHeight="false" outlineLevel="0" collapsed="false">
      <c r="B2222" s="78"/>
      <c r="C2222" s="64"/>
      <c r="D2222" s="70" t="str">
        <f aca="false">IF(C2222="","",IFERROR(INDEX(T_NOMBRE,MATCH(C2222,T_ID,0)),"⚠ ID no existe"))</f>
        <v/>
      </c>
      <c r="E2222" s="69"/>
      <c r="F2222" s="69"/>
      <c r="G2222" s="69"/>
      <c r="H2222" s="69"/>
      <c r="I2222" s="66"/>
      <c r="J2222" s="69"/>
      <c r="K2222" s="67"/>
      <c r="L2222" s="67"/>
      <c r="M2222" s="67"/>
      <c r="N2222" s="67"/>
      <c r="O2222" s="64"/>
      <c r="P2222" s="72" t="str">
        <f aca="false">IF(OR(B2222="",C2222=""),"",C2222&amp;"|"&amp;(YEAR(B2222)*100+MONTH(B2222)))</f>
        <v/>
      </c>
      <c r="Q2222" s="70" t="str">
        <f aca="false">IF(P2222="","",IF(COUNTIF(N_CLAVE,P2222)&gt;1,"⚠ Duplicado","OK"))</f>
        <v/>
      </c>
      <c r="R2222" s="74" t="str">
        <f aca="false">IF(OR(P2222="",U2222=""),"",MAX(0,U2222-N(E2222)-N(F2222)-N(H2222)))</f>
        <v/>
      </c>
      <c r="S2222" s="75" t="str">
        <f aca="false">IF(P2222="","",IFERROR(INDEX(T_INGRESO,MATCH(C2222,T_ID,0)),""))</f>
        <v/>
      </c>
      <c r="T2222" s="75" t="str">
        <f aca="false">IF(P2222="","",IFERROR(N(INDEX(T_EGRESO,MATCH(C2222,T_ID,0))),0))</f>
        <v/>
      </c>
      <c r="U2222" s="73" t="str">
        <f aca="false">IF(OR(P2222="",NOT(ISNUMBER(S2222))),"",IF(OR(S2222&gt;EOMONTH(B2222,0),AND(T2222&gt;0,T2222&lt;B2222)),0,IF(AND(S2222&lt;=B2222,OR(T2222=0,T2222&gt;=EOMONTH(B2222,0))),30,MIN(30,IF(T2222=0,EOMONTH(B2222,0),MIN(T2222,EOMONTH(B2222,0)))-MAX(B2222,S2222)+1))))</f>
        <v/>
      </c>
    </row>
    <row r="2223" customFormat="false" ht="15" hidden="false" customHeight="false" outlineLevel="0" collapsed="false">
      <c r="B2223" s="78"/>
      <c r="C2223" s="64"/>
      <c r="D2223" s="70" t="str">
        <f aca="false">IF(C2223="","",IFERROR(INDEX(T_NOMBRE,MATCH(C2223,T_ID,0)),"⚠ ID no existe"))</f>
        <v/>
      </c>
      <c r="E2223" s="69"/>
      <c r="F2223" s="69"/>
      <c r="G2223" s="69"/>
      <c r="H2223" s="69"/>
      <c r="I2223" s="66"/>
      <c r="J2223" s="69"/>
      <c r="K2223" s="67"/>
      <c r="L2223" s="67"/>
      <c r="M2223" s="67"/>
      <c r="N2223" s="67"/>
      <c r="O2223" s="64"/>
      <c r="P2223" s="72" t="str">
        <f aca="false">IF(OR(B2223="",C2223=""),"",C2223&amp;"|"&amp;(YEAR(B2223)*100+MONTH(B2223)))</f>
        <v/>
      </c>
      <c r="Q2223" s="70" t="str">
        <f aca="false">IF(P2223="","",IF(COUNTIF(N_CLAVE,P2223)&gt;1,"⚠ Duplicado","OK"))</f>
        <v/>
      </c>
      <c r="R2223" s="74" t="str">
        <f aca="false">IF(OR(P2223="",U2223=""),"",MAX(0,U2223-N(E2223)-N(F2223)-N(H2223)))</f>
        <v/>
      </c>
      <c r="S2223" s="75" t="str">
        <f aca="false">IF(P2223="","",IFERROR(INDEX(T_INGRESO,MATCH(C2223,T_ID,0)),""))</f>
        <v/>
      </c>
      <c r="T2223" s="75" t="str">
        <f aca="false">IF(P2223="","",IFERROR(N(INDEX(T_EGRESO,MATCH(C2223,T_ID,0))),0))</f>
        <v/>
      </c>
      <c r="U2223" s="73" t="str">
        <f aca="false">IF(OR(P2223="",NOT(ISNUMBER(S2223))),"",IF(OR(S2223&gt;EOMONTH(B2223,0),AND(T2223&gt;0,T2223&lt;B2223)),0,IF(AND(S2223&lt;=B2223,OR(T2223=0,T2223&gt;=EOMONTH(B2223,0))),30,MIN(30,IF(T2223=0,EOMONTH(B2223,0),MIN(T2223,EOMONTH(B2223,0)))-MAX(B2223,S2223)+1))))</f>
        <v/>
      </c>
    </row>
    <row r="2224" customFormat="false" ht="15" hidden="false" customHeight="false" outlineLevel="0" collapsed="false">
      <c r="B2224" s="78"/>
      <c r="C2224" s="64"/>
      <c r="D2224" s="70" t="str">
        <f aca="false">IF(C2224="","",IFERROR(INDEX(T_NOMBRE,MATCH(C2224,T_ID,0)),"⚠ ID no existe"))</f>
        <v/>
      </c>
      <c r="E2224" s="69"/>
      <c r="F2224" s="69"/>
      <c r="G2224" s="69"/>
      <c r="H2224" s="69"/>
      <c r="I2224" s="66"/>
      <c r="J2224" s="69"/>
      <c r="K2224" s="67"/>
      <c r="L2224" s="67"/>
      <c r="M2224" s="67"/>
      <c r="N2224" s="67"/>
      <c r="O2224" s="64"/>
      <c r="P2224" s="72" t="str">
        <f aca="false">IF(OR(B2224="",C2224=""),"",C2224&amp;"|"&amp;(YEAR(B2224)*100+MONTH(B2224)))</f>
        <v/>
      </c>
      <c r="Q2224" s="70" t="str">
        <f aca="false">IF(P2224="","",IF(COUNTIF(N_CLAVE,P2224)&gt;1,"⚠ Duplicado","OK"))</f>
        <v/>
      </c>
      <c r="R2224" s="74" t="str">
        <f aca="false">IF(OR(P2224="",U2224=""),"",MAX(0,U2224-N(E2224)-N(F2224)-N(H2224)))</f>
        <v/>
      </c>
      <c r="S2224" s="75" t="str">
        <f aca="false">IF(P2224="","",IFERROR(INDEX(T_INGRESO,MATCH(C2224,T_ID,0)),""))</f>
        <v/>
      </c>
      <c r="T2224" s="75" t="str">
        <f aca="false">IF(P2224="","",IFERROR(N(INDEX(T_EGRESO,MATCH(C2224,T_ID,0))),0))</f>
        <v/>
      </c>
      <c r="U2224" s="73" t="str">
        <f aca="false">IF(OR(P2224="",NOT(ISNUMBER(S2224))),"",IF(OR(S2224&gt;EOMONTH(B2224,0),AND(T2224&gt;0,T2224&lt;B2224)),0,IF(AND(S2224&lt;=B2224,OR(T2224=0,T2224&gt;=EOMONTH(B2224,0))),30,MIN(30,IF(T2224=0,EOMONTH(B2224,0),MIN(T2224,EOMONTH(B2224,0)))-MAX(B2224,S2224)+1))))</f>
        <v/>
      </c>
    </row>
    <row r="2225" customFormat="false" ht="15" hidden="false" customHeight="false" outlineLevel="0" collapsed="false">
      <c r="B2225" s="78"/>
      <c r="C2225" s="64"/>
      <c r="D2225" s="70" t="str">
        <f aca="false">IF(C2225="","",IFERROR(INDEX(T_NOMBRE,MATCH(C2225,T_ID,0)),"⚠ ID no existe"))</f>
        <v/>
      </c>
      <c r="E2225" s="69"/>
      <c r="F2225" s="69"/>
      <c r="G2225" s="69"/>
      <c r="H2225" s="69"/>
      <c r="I2225" s="66"/>
      <c r="J2225" s="69"/>
      <c r="K2225" s="67"/>
      <c r="L2225" s="67"/>
      <c r="M2225" s="67"/>
      <c r="N2225" s="67"/>
      <c r="O2225" s="64"/>
      <c r="P2225" s="72" t="str">
        <f aca="false">IF(OR(B2225="",C2225=""),"",C2225&amp;"|"&amp;(YEAR(B2225)*100+MONTH(B2225)))</f>
        <v/>
      </c>
      <c r="Q2225" s="70" t="str">
        <f aca="false">IF(P2225="","",IF(COUNTIF(N_CLAVE,P2225)&gt;1,"⚠ Duplicado","OK"))</f>
        <v/>
      </c>
      <c r="R2225" s="74" t="str">
        <f aca="false">IF(OR(P2225="",U2225=""),"",MAX(0,U2225-N(E2225)-N(F2225)-N(H2225)))</f>
        <v/>
      </c>
      <c r="S2225" s="75" t="str">
        <f aca="false">IF(P2225="","",IFERROR(INDEX(T_INGRESO,MATCH(C2225,T_ID,0)),""))</f>
        <v/>
      </c>
      <c r="T2225" s="75" t="str">
        <f aca="false">IF(P2225="","",IFERROR(N(INDEX(T_EGRESO,MATCH(C2225,T_ID,0))),0))</f>
        <v/>
      </c>
      <c r="U2225" s="73" t="str">
        <f aca="false">IF(OR(P2225="",NOT(ISNUMBER(S2225))),"",IF(OR(S2225&gt;EOMONTH(B2225,0),AND(T2225&gt;0,T2225&lt;B2225)),0,IF(AND(S2225&lt;=B2225,OR(T2225=0,T2225&gt;=EOMONTH(B2225,0))),30,MIN(30,IF(T2225=0,EOMONTH(B2225,0),MIN(T2225,EOMONTH(B2225,0)))-MAX(B2225,S2225)+1))))</f>
        <v/>
      </c>
    </row>
    <row r="2226" customFormat="false" ht="15" hidden="false" customHeight="false" outlineLevel="0" collapsed="false">
      <c r="B2226" s="78"/>
      <c r="C2226" s="64"/>
      <c r="D2226" s="70" t="str">
        <f aca="false">IF(C2226="","",IFERROR(INDEX(T_NOMBRE,MATCH(C2226,T_ID,0)),"⚠ ID no existe"))</f>
        <v/>
      </c>
      <c r="E2226" s="69"/>
      <c r="F2226" s="69"/>
      <c r="G2226" s="69"/>
      <c r="H2226" s="69"/>
      <c r="I2226" s="66"/>
      <c r="J2226" s="69"/>
      <c r="K2226" s="67"/>
      <c r="L2226" s="67"/>
      <c r="M2226" s="67"/>
      <c r="N2226" s="67"/>
      <c r="O2226" s="64"/>
      <c r="P2226" s="72" t="str">
        <f aca="false">IF(OR(B2226="",C2226=""),"",C2226&amp;"|"&amp;(YEAR(B2226)*100+MONTH(B2226)))</f>
        <v/>
      </c>
      <c r="Q2226" s="70" t="str">
        <f aca="false">IF(P2226="","",IF(COUNTIF(N_CLAVE,P2226)&gt;1,"⚠ Duplicado","OK"))</f>
        <v/>
      </c>
      <c r="R2226" s="74" t="str">
        <f aca="false">IF(OR(P2226="",U2226=""),"",MAX(0,U2226-N(E2226)-N(F2226)-N(H2226)))</f>
        <v/>
      </c>
      <c r="S2226" s="75" t="str">
        <f aca="false">IF(P2226="","",IFERROR(INDEX(T_INGRESO,MATCH(C2226,T_ID,0)),""))</f>
        <v/>
      </c>
      <c r="T2226" s="75" t="str">
        <f aca="false">IF(P2226="","",IFERROR(N(INDEX(T_EGRESO,MATCH(C2226,T_ID,0))),0))</f>
        <v/>
      </c>
      <c r="U2226" s="73" t="str">
        <f aca="false">IF(OR(P2226="",NOT(ISNUMBER(S2226))),"",IF(OR(S2226&gt;EOMONTH(B2226,0),AND(T2226&gt;0,T2226&lt;B2226)),0,IF(AND(S2226&lt;=B2226,OR(T2226=0,T2226&gt;=EOMONTH(B2226,0))),30,MIN(30,IF(T2226=0,EOMONTH(B2226,0),MIN(T2226,EOMONTH(B2226,0)))-MAX(B2226,S2226)+1))))</f>
        <v/>
      </c>
    </row>
    <row r="2227" customFormat="false" ht="15" hidden="false" customHeight="false" outlineLevel="0" collapsed="false">
      <c r="B2227" s="78"/>
      <c r="C2227" s="64"/>
      <c r="D2227" s="70" t="str">
        <f aca="false">IF(C2227="","",IFERROR(INDEX(T_NOMBRE,MATCH(C2227,T_ID,0)),"⚠ ID no existe"))</f>
        <v/>
      </c>
      <c r="E2227" s="69"/>
      <c r="F2227" s="69"/>
      <c r="G2227" s="69"/>
      <c r="H2227" s="69"/>
      <c r="I2227" s="66"/>
      <c r="J2227" s="69"/>
      <c r="K2227" s="67"/>
      <c r="L2227" s="67"/>
      <c r="M2227" s="67"/>
      <c r="N2227" s="67"/>
      <c r="O2227" s="64"/>
      <c r="P2227" s="72" t="str">
        <f aca="false">IF(OR(B2227="",C2227=""),"",C2227&amp;"|"&amp;(YEAR(B2227)*100+MONTH(B2227)))</f>
        <v/>
      </c>
      <c r="Q2227" s="70" t="str">
        <f aca="false">IF(P2227="","",IF(COUNTIF(N_CLAVE,P2227)&gt;1,"⚠ Duplicado","OK"))</f>
        <v/>
      </c>
      <c r="R2227" s="74" t="str">
        <f aca="false">IF(OR(P2227="",U2227=""),"",MAX(0,U2227-N(E2227)-N(F2227)-N(H2227)))</f>
        <v/>
      </c>
      <c r="S2227" s="75" t="str">
        <f aca="false">IF(P2227="","",IFERROR(INDEX(T_INGRESO,MATCH(C2227,T_ID,0)),""))</f>
        <v/>
      </c>
      <c r="T2227" s="75" t="str">
        <f aca="false">IF(P2227="","",IFERROR(N(INDEX(T_EGRESO,MATCH(C2227,T_ID,0))),0))</f>
        <v/>
      </c>
      <c r="U2227" s="73" t="str">
        <f aca="false">IF(OR(P2227="",NOT(ISNUMBER(S2227))),"",IF(OR(S2227&gt;EOMONTH(B2227,0),AND(T2227&gt;0,T2227&lt;B2227)),0,IF(AND(S2227&lt;=B2227,OR(T2227=0,T2227&gt;=EOMONTH(B2227,0))),30,MIN(30,IF(T2227=0,EOMONTH(B2227,0),MIN(T2227,EOMONTH(B2227,0)))-MAX(B2227,S2227)+1))))</f>
        <v/>
      </c>
    </row>
    <row r="2228" customFormat="false" ht="15" hidden="false" customHeight="false" outlineLevel="0" collapsed="false">
      <c r="B2228" s="78"/>
      <c r="C2228" s="64"/>
      <c r="D2228" s="70" t="str">
        <f aca="false">IF(C2228="","",IFERROR(INDEX(T_NOMBRE,MATCH(C2228,T_ID,0)),"⚠ ID no existe"))</f>
        <v/>
      </c>
      <c r="E2228" s="69"/>
      <c r="F2228" s="69"/>
      <c r="G2228" s="69"/>
      <c r="H2228" s="69"/>
      <c r="I2228" s="66"/>
      <c r="J2228" s="69"/>
      <c r="K2228" s="67"/>
      <c r="L2228" s="67"/>
      <c r="M2228" s="67"/>
      <c r="N2228" s="67"/>
      <c r="O2228" s="64"/>
      <c r="P2228" s="72" t="str">
        <f aca="false">IF(OR(B2228="",C2228=""),"",C2228&amp;"|"&amp;(YEAR(B2228)*100+MONTH(B2228)))</f>
        <v/>
      </c>
      <c r="Q2228" s="70" t="str">
        <f aca="false">IF(P2228="","",IF(COUNTIF(N_CLAVE,P2228)&gt;1,"⚠ Duplicado","OK"))</f>
        <v/>
      </c>
      <c r="R2228" s="74" t="str">
        <f aca="false">IF(OR(P2228="",U2228=""),"",MAX(0,U2228-N(E2228)-N(F2228)-N(H2228)))</f>
        <v/>
      </c>
      <c r="S2228" s="75" t="str">
        <f aca="false">IF(P2228="","",IFERROR(INDEX(T_INGRESO,MATCH(C2228,T_ID,0)),""))</f>
        <v/>
      </c>
      <c r="T2228" s="75" t="str">
        <f aca="false">IF(P2228="","",IFERROR(N(INDEX(T_EGRESO,MATCH(C2228,T_ID,0))),0))</f>
        <v/>
      </c>
      <c r="U2228" s="73" t="str">
        <f aca="false">IF(OR(P2228="",NOT(ISNUMBER(S2228))),"",IF(OR(S2228&gt;EOMONTH(B2228,0),AND(T2228&gt;0,T2228&lt;B2228)),0,IF(AND(S2228&lt;=B2228,OR(T2228=0,T2228&gt;=EOMONTH(B2228,0))),30,MIN(30,IF(T2228=0,EOMONTH(B2228,0),MIN(T2228,EOMONTH(B2228,0)))-MAX(B2228,S2228)+1))))</f>
        <v/>
      </c>
    </row>
    <row r="2229" customFormat="false" ht="15" hidden="false" customHeight="false" outlineLevel="0" collapsed="false">
      <c r="B2229" s="78"/>
      <c r="C2229" s="64"/>
      <c r="D2229" s="70" t="str">
        <f aca="false">IF(C2229="","",IFERROR(INDEX(T_NOMBRE,MATCH(C2229,T_ID,0)),"⚠ ID no existe"))</f>
        <v/>
      </c>
      <c r="E2229" s="69"/>
      <c r="F2229" s="69"/>
      <c r="G2229" s="69"/>
      <c r="H2229" s="69"/>
      <c r="I2229" s="66"/>
      <c r="J2229" s="69"/>
      <c r="K2229" s="67"/>
      <c r="L2229" s="67"/>
      <c r="M2229" s="67"/>
      <c r="N2229" s="67"/>
      <c r="O2229" s="64"/>
      <c r="P2229" s="72" t="str">
        <f aca="false">IF(OR(B2229="",C2229=""),"",C2229&amp;"|"&amp;(YEAR(B2229)*100+MONTH(B2229)))</f>
        <v/>
      </c>
      <c r="Q2229" s="70" t="str">
        <f aca="false">IF(P2229="","",IF(COUNTIF(N_CLAVE,P2229)&gt;1,"⚠ Duplicado","OK"))</f>
        <v/>
      </c>
      <c r="R2229" s="74" t="str">
        <f aca="false">IF(OR(P2229="",U2229=""),"",MAX(0,U2229-N(E2229)-N(F2229)-N(H2229)))</f>
        <v/>
      </c>
      <c r="S2229" s="75" t="str">
        <f aca="false">IF(P2229="","",IFERROR(INDEX(T_INGRESO,MATCH(C2229,T_ID,0)),""))</f>
        <v/>
      </c>
      <c r="T2229" s="75" t="str">
        <f aca="false">IF(P2229="","",IFERROR(N(INDEX(T_EGRESO,MATCH(C2229,T_ID,0))),0))</f>
        <v/>
      </c>
      <c r="U2229" s="73" t="str">
        <f aca="false">IF(OR(P2229="",NOT(ISNUMBER(S2229))),"",IF(OR(S2229&gt;EOMONTH(B2229,0),AND(T2229&gt;0,T2229&lt;B2229)),0,IF(AND(S2229&lt;=B2229,OR(T2229=0,T2229&gt;=EOMONTH(B2229,0))),30,MIN(30,IF(T2229=0,EOMONTH(B2229,0),MIN(T2229,EOMONTH(B2229,0)))-MAX(B2229,S2229)+1))))</f>
        <v/>
      </c>
    </row>
    <row r="2230" customFormat="false" ht="15" hidden="false" customHeight="false" outlineLevel="0" collapsed="false">
      <c r="B2230" s="78"/>
      <c r="C2230" s="64"/>
      <c r="D2230" s="70" t="str">
        <f aca="false">IF(C2230="","",IFERROR(INDEX(T_NOMBRE,MATCH(C2230,T_ID,0)),"⚠ ID no existe"))</f>
        <v/>
      </c>
      <c r="E2230" s="69"/>
      <c r="F2230" s="69"/>
      <c r="G2230" s="69"/>
      <c r="H2230" s="69"/>
      <c r="I2230" s="66"/>
      <c r="J2230" s="69"/>
      <c r="K2230" s="67"/>
      <c r="L2230" s="67"/>
      <c r="M2230" s="67"/>
      <c r="N2230" s="67"/>
      <c r="O2230" s="64"/>
      <c r="P2230" s="72" t="str">
        <f aca="false">IF(OR(B2230="",C2230=""),"",C2230&amp;"|"&amp;(YEAR(B2230)*100+MONTH(B2230)))</f>
        <v/>
      </c>
      <c r="Q2230" s="70" t="str">
        <f aca="false">IF(P2230="","",IF(COUNTIF(N_CLAVE,P2230)&gt;1,"⚠ Duplicado","OK"))</f>
        <v/>
      </c>
      <c r="R2230" s="74" t="str">
        <f aca="false">IF(OR(P2230="",U2230=""),"",MAX(0,U2230-N(E2230)-N(F2230)-N(H2230)))</f>
        <v/>
      </c>
      <c r="S2230" s="75" t="str">
        <f aca="false">IF(P2230="","",IFERROR(INDEX(T_INGRESO,MATCH(C2230,T_ID,0)),""))</f>
        <v/>
      </c>
      <c r="T2230" s="75" t="str">
        <f aca="false">IF(P2230="","",IFERROR(N(INDEX(T_EGRESO,MATCH(C2230,T_ID,0))),0))</f>
        <v/>
      </c>
      <c r="U2230" s="73" t="str">
        <f aca="false">IF(OR(P2230="",NOT(ISNUMBER(S2230))),"",IF(OR(S2230&gt;EOMONTH(B2230,0),AND(T2230&gt;0,T2230&lt;B2230)),0,IF(AND(S2230&lt;=B2230,OR(T2230=0,T2230&gt;=EOMONTH(B2230,0))),30,MIN(30,IF(T2230=0,EOMONTH(B2230,0),MIN(T2230,EOMONTH(B2230,0)))-MAX(B2230,S2230)+1))))</f>
        <v/>
      </c>
    </row>
    <row r="2231" customFormat="false" ht="15" hidden="false" customHeight="false" outlineLevel="0" collapsed="false">
      <c r="B2231" s="78"/>
      <c r="C2231" s="64"/>
      <c r="D2231" s="70" t="str">
        <f aca="false">IF(C2231="","",IFERROR(INDEX(T_NOMBRE,MATCH(C2231,T_ID,0)),"⚠ ID no existe"))</f>
        <v/>
      </c>
      <c r="E2231" s="69"/>
      <c r="F2231" s="69"/>
      <c r="G2231" s="69"/>
      <c r="H2231" s="69"/>
      <c r="I2231" s="66"/>
      <c r="J2231" s="69"/>
      <c r="K2231" s="67"/>
      <c r="L2231" s="67"/>
      <c r="M2231" s="67"/>
      <c r="N2231" s="67"/>
      <c r="O2231" s="64"/>
      <c r="P2231" s="72" t="str">
        <f aca="false">IF(OR(B2231="",C2231=""),"",C2231&amp;"|"&amp;(YEAR(B2231)*100+MONTH(B2231)))</f>
        <v/>
      </c>
      <c r="Q2231" s="70" t="str">
        <f aca="false">IF(P2231="","",IF(COUNTIF(N_CLAVE,P2231)&gt;1,"⚠ Duplicado","OK"))</f>
        <v/>
      </c>
      <c r="R2231" s="74" t="str">
        <f aca="false">IF(OR(P2231="",U2231=""),"",MAX(0,U2231-N(E2231)-N(F2231)-N(H2231)))</f>
        <v/>
      </c>
      <c r="S2231" s="75" t="str">
        <f aca="false">IF(P2231="","",IFERROR(INDEX(T_INGRESO,MATCH(C2231,T_ID,0)),""))</f>
        <v/>
      </c>
      <c r="T2231" s="75" t="str">
        <f aca="false">IF(P2231="","",IFERROR(N(INDEX(T_EGRESO,MATCH(C2231,T_ID,0))),0))</f>
        <v/>
      </c>
      <c r="U2231" s="73" t="str">
        <f aca="false">IF(OR(P2231="",NOT(ISNUMBER(S2231))),"",IF(OR(S2231&gt;EOMONTH(B2231,0),AND(T2231&gt;0,T2231&lt;B2231)),0,IF(AND(S2231&lt;=B2231,OR(T2231=0,T2231&gt;=EOMONTH(B2231,0))),30,MIN(30,IF(T2231=0,EOMONTH(B2231,0),MIN(T2231,EOMONTH(B2231,0)))-MAX(B2231,S2231)+1))))</f>
        <v/>
      </c>
    </row>
    <row r="2232" customFormat="false" ht="15" hidden="false" customHeight="false" outlineLevel="0" collapsed="false">
      <c r="B2232" s="78"/>
      <c r="C2232" s="64"/>
      <c r="D2232" s="70" t="str">
        <f aca="false">IF(C2232="","",IFERROR(INDEX(T_NOMBRE,MATCH(C2232,T_ID,0)),"⚠ ID no existe"))</f>
        <v/>
      </c>
      <c r="E2232" s="69"/>
      <c r="F2232" s="69"/>
      <c r="G2232" s="69"/>
      <c r="H2232" s="69"/>
      <c r="I2232" s="66"/>
      <c r="J2232" s="69"/>
      <c r="K2232" s="67"/>
      <c r="L2232" s="67"/>
      <c r="M2232" s="67"/>
      <c r="N2232" s="67"/>
      <c r="O2232" s="64"/>
      <c r="P2232" s="72" t="str">
        <f aca="false">IF(OR(B2232="",C2232=""),"",C2232&amp;"|"&amp;(YEAR(B2232)*100+MONTH(B2232)))</f>
        <v/>
      </c>
      <c r="Q2232" s="70" t="str">
        <f aca="false">IF(P2232="","",IF(COUNTIF(N_CLAVE,P2232)&gt;1,"⚠ Duplicado","OK"))</f>
        <v/>
      </c>
      <c r="R2232" s="74" t="str">
        <f aca="false">IF(OR(P2232="",U2232=""),"",MAX(0,U2232-N(E2232)-N(F2232)-N(H2232)))</f>
        <v/>
      </c>
      <c r="S2232" s="75" t="str">
        <f aca="false">IF(P2232="","",IFERROR(INDEX(T_INGRESO,MATCH(C2232,T_ID,0)),""))</f>
        <v/>
      </c>
      <c r="T2232" s="75" t="str">
        <f aca="false">IF(P2232="","",IFERROR(N(INDEX(T_EGRESO,MATCH(C2232,T_ID,0))),0))</f>
        <v/>
      </c>
      <c r="U2232" s="73" t="str">
        <f aca="false">IF(OR(P2232="",NOT(ISNUMBER(S2232))),"",IF(OR(S2232&gt;EOMONTH(B2232,0),AND(T2232&gt;0,T2232&lt;B2232)),0,IF(AND(S2232&lt;=B2232,OR(T2232=0,T2232&gt;=EOMONTH(B2232,0))),30,MIN(30,IF(T2232=0,EOMONTH(B2232,0),MIN(T2232,EOMONTH(B2232,0)))-MAX(B2232,S2232)+1))))</f>
        <v/>
      </c>
    </row>
    <row r="2233" customFormat="false" ht="15" hidden="false" customHeight="false" outlineLevel="0" collapsed="false">
      <c r="B2233" s="78"/>
      <c r="C2233" s="64"/>
      <c r="D2233" s="70" t="str">
        <f aca="false">IF(C2233="","",IFERROR(INDEX(T_NOMBRE,MATCH(C2233,T_ID,0)),"⚠ ID no existe"))</f>
        <v/>
      </c>
      <c r="E2233" s="69"/>
      <c r="F2233" s="69"/>
      <c r="G2233" s="69"/>
      <c r="H2233" s="69"/>
      <c r="I2233" s="66"/>
      <c r="J2233" s="69"/>
      <c r="K2233" s="67"/>
      <c r="L2233" s="67"/>
      <c r="M2233" s="67"/>
      <c r="N2233" s="67"/>
      <c r="O2233" s="64"/>
      <c r="P2233" s="72" t="str">
        <f aca="false">IF(OR(B2233="",C2233=""),"",C2233&amp;"|"&amp;(YEAR(B2233)*100+MONTH(B2233)))</f>
        <v/>
      </c>
      <c r="Q2233" s="70" t="str">
        <f aca="false">IF(P2233="","",IF(COUNTIF(N_CLAVE,P2233)&gt;1,"⚠ Duplicado","OK"))</f>
        <v/>
      </c>
      <c r="R2233" s="74" t="str">
        <f aca="false">IF(OR(P2233="",U2233=""),"",MAX(0,U2233-N(E2233)-N(F2233)-N(H2233)))</f>
        <v/>
      </c>
      <c r="S2233" s="75" t="str">
        <f aca="false">IF(P2233="","",IFERROR(INDEX(T_INGRESO,MATCH(C2233,T_ID,0)),""))</f>
        <v/>
      </c>
      <c r="T2233" s="75" t="str">
        <f aca="false">IF(P2233="","",IFERROR(N(INDEX(T_EGRESO,MATCH(C2233,T_ID,0))),0))</f>
        <v/>
      </c>
      <c r="U2233" s="73" t="str">
        <f aca="false">IF(OR(P2233="",NOT(ISNUMBER(S2233))),"",IF(OR(S2233&gt;EOMONTH(B2233,0),AND(T2233&gt;0,T2233&lt;B2233)),0,IF(AND(S2233&lt;=B2233,OR(T2233=0,T2233&gt;=EOMONTH(B2233,0))),30,MIN(30,IF(T2233=0,EOMONTH(B2233,0),MIN(T2233,EOMONTH(B2233,0)))-MAX(B2233,S2233)+1))))</f>
        <v/>
      </c>
    </row>
    <row r="2234" customFormat="false" ht="15" hidden="false" customHeight="false" outlineLevel="0" collapsed="false">
      <c r="B2234" s="78"/>
      <c r="C2234" s="64"/>
      <c r="D2234" s="70" t="str">
        <f aca="false">IF(C2234="","",IFERROR(INDEX(T_NOMBRE,MATCH(C2234,T_ID,0)),"⚠ ID no existe"))</f>
        <v/>
      </c>
      <c r="E2234" s="69"/>
      <c r="F2234" s="69"/>
      <c r="G2234" s="69"/>
      <c r="H2234" s="69"/>
      <c r="I2234" s="66"/>
      <c r="J2234" s="69"/>
      <c r="K2234" s="67"/>
      <c r="L2234" s="67"/>
      <c r="M2234" s="67"/>
      <c r="N2234" s="67"/>
      <c r="O2234" s="64"/>
      <c r="P2234" s="72" t="str">
        <f aca="false">IF(OR(B2234="",C2234=""),"",C2234&amp;"|"&amp;(YEAR(B2234)*100+MONTH(B2234)))</f>
        <v/>
      </c>
      <c r="Q2234" s="70" t="str">
        <f aca="false">IF(P2234="","",IF(COUNTIF(N_CLAVE,P2234)&gt;1,"⚠ Duplicado","OK"))</f>
        <v/>
      </c>
      <c r="R2234" s="74" t="str">
        <f aca="false">IF(OR(P2234="",U2234=""),"",MAX(0,U2234-N(E2234)-N(F2234)-N(H2234)))</f>
        <v/>
      </c>
      <c r="S2234" s="75" t="str">
        <f aca="false">IF(P2234="","",IFERROR(INDEX(T_INGRESO,MATCH(C2234,T_ID,0)),""))</f>
        <v/>
      </c>
      <c r="T2234" s="75" t="str">
        <f aca="false">IF(P2234="","",IFERROR(N(INDEX(T_EGRESO,MATCH(C2234,T_ID,0))),0))</f>
        <v/>
      </c>
      <c r="U2234" s="73" t="str">
        <f aca="false">IF(OR(P2234="",NOT(ISNUMBER(S2234))),"",IF(OR(S2234&gt;EOMONTH(B2234,0),AND(T2234&gt;0,T2234&lt;B2234)),0,IF(AND(S2234&lt;=B2234,OR(T2234=0,T2234&gt;=EOMONTH(B2234,0))),30,MIN(30,IF(T2234=0,EOMONTH(B2234,0),MIN(T2234,EOMONTH(B2234,0)))-MAX(B2234,S2234)+1))))</f>
        <v/>
      </c>
    </row>
    <row r="2235" customFormat="false" ht="15" hidden="false" customHeight="false" outlineLevel="0" collapsed="false">
      <c r="B2235" s="78"/>
      <c r="C2235" s="64"/>
      <c r="D2235" s="70" t="str">
        <f aca="false">IF(C2235="","",IFERROR(INDEX(T_NOMBRE,MATCH(C2235,T_ID,0)),"⚠ ID no existe"))</f>
        <v/>
      </c>
      <c r="E2235" s="69"/>
      <c r="F2235" s="69"/>
      <c r="G2235" s="69"/>
      <c r="H2235" s="69"/>
      <c r="I2235" s="66"/>
      <c r="J2235" s="69"/>
      <c r="K2235" s="67"/>
      <c r="L2235" s="67"/>
      <c r="M2235" s="67"/>
      <c r="N2235" s="67"/>
      <c r="O2235" s="64"/>
      <c r="P2235" s="72" t="str">
        <f aca="false">IF(OR(B2235="",C2235=""),"",C2235&amp;"|"&amp;(YEAR(B2235)*100+MONTH(B2235)))</f>
        <v/>
      </c>
      <c r="Q2235" s="70" t="str">
        <f aca="false">IF(P2235="","",IF(COUNTIF(N_CLAVE,P2235)&gt;1,"⚠ Duplicado","OK"))</f>
        <v/>
      </c>
      <c r="R2235" s="74" t="str">
        <f aca="false">IF(OR(P2235="",U2235=""),"",MAX(0,U2235-N(E2235)-N(F2235)-N(H2235)))</f>
        <v/>
      </c>
      <c r="S2235" s="75" t="str">
        <f aca="false">IF(P2235="","",IFERROR(INDEX(T_INGRESO,MATCH(C2235,T_ID,0)),""))</f>
        <v/>
      </c>
      <c r="T2235" s="75" t="str">
        <f aca="false">IF(P2235="","",IFERROR(N(INDEX(T_EGRESO,MATCH(C2235,T_ID,0))),0))</f>
        <v/>
      </c>
      <c r="U2235" s="73" t="str">
        <f aca="false">IF(OR(P2235="",NOT(ISNUMBER(S2235))),"",IF(OR(S2235&gt;EOMONTH(B2235,0),AND(T2235&gt;0,T2235&lt;B2235)),0,IF(AND(S2235&lt;=B2235,OR(T2235=0,T2235&gt;=EOMONTH(B2235,0))),30,MIN(30,IF(T2235=0,EOMONTH(B2235,0),MIN(T2235,EOMONTH(B2235,0)))-MAX(B2235,S2235)+1))))</f>
        <v/>
      </c>
    </row>
    <row r="2236" customFormat="false" ht="15" hidden="false" customHeight="false" outlineLevel="0" collapsed="false">
      <c r="B2236" s="78"/>
      <c r="C2236" s="64"/>
      <c r="D2236" s="70" t="str">
        <f aca="false">IF(C2236="","",IFERROR(INDEX(T_NOMBRE,MATCH(C2236,T_ID,0)),"⚠ ID no existe"))</f>
        <v/>
      </c>
      <c r="E2236" s="69"/>
      <c r="F2236" s="69"/>
      <c r="G2236" s="69"/>
      <c r="H2236" s="69"/>
      <c r="I2236" s="66"/>
      <c r="J2236" s="69"/>
      <c r="K2236" s="67"/>
      <c r="L2236" s="67"/>
      <c r="M2236" s="67"/>
      <c r="N2236" s="67"/>
      <c r="O2236" s="64"/>
      <c r="P2236" s="72" t="str">
        <f aca="false">IF(OR(B2236="",C2236=""),"",C2236&amp;"|"&amp;(YEAR(B2236)*100+MONTH(B2236)))</f>
        <v/>
      </c>
      <c r="Q2236" s="70" t="str">
        <f aca="false">IF(P2236="","",IF(COUNTIF(N_CLAVE,P2236)&gt;1,"⚠ Duplicado","OK"))</f>
        <v/>
      </c>
      <c r="R2236" s="74" t="str">
        <f aca="false">IF(OR(P2236="",U2236=""),"",MAX(0,U2236-N(E2236)-N(F2236)-N(H2236)))</f>
        <v/>
      </c>
      <c r="S2236" s="75" t="str">
        <f aca="false">IF(P2236="","",IFERROR(INDEX(T_INGRESO,MATCH(C2236,T_ID,0)),""))</f>
        <v/>
      </c>
      <c r="T2236" s="75" t="str">
        <f aca="false">IF(P2236="","",IFERROR(N(INDEX(T_EGRESO,MATCH(C2236,T_ID,0))),0))</f>
        <v/>
      </c>
      <c r="U2236" s="73" t="str">
        <f aca="false">IF(OR(P2236="",NOT(ISNUMBER(S2236))),"",IF(OR(S2236&gt;EOMONTH(B2236,0),AND(T2236&gt;0,T2236&lt;B2236)),0,IF(AND(S2236&lt;=B2236,OR(T2236=0,T2236&gt;=EOMONTH(B2236,0))),30,MIN(30,IF(T2236=0,EOMONTH(B2236,0),MIN(T2236,EOMONTH(B2236,0)))-MAX(B2236,S2236)+1))))</f>
        <v/>
      </c>
    </row>
    <row r="2237" customFormat="false" ht="15" hidden="false" customHeight="false" outlineLevel="0" collapsed="false">
      <c r="B2237" s="78"/>
      <c r="C2237" s="64"/>
      <c r="D2237" s="70" t="str">
        <f aca="false">IF(C2237="","",IFERROR(INDEX(T_NOMBRE,MATCH(C2237,T_ID,0)),"⚠ ID no existe"))</f>
        <v/>
      </c>
      <c r="E2237" s="69"/>
      <c r="F2237" s="69"/>
      <c r="G2237" s="69"/>
      <c r="H2237" s="69"/>
      <c r="I2237" s="66"/>
      <c r="J2237" s="69"/>
      <c r="K2237" s="67"/>
      <c r="L2237" s="67"/>
      <c r="M2237" s="67"/>
      <c r="N2237" s="67"/>
      <c r="O2237" s="64"/>
      <c r="P2237" s="72" t="str">
        <f aca="false">IF(OR(B2237="",C2237=""),"",C2237&amp;"|"&amp;(YEAR(B2237)*100+MONTH(B2237)))</f>
        <v/>
      </c>
      <c r="Q2237" s="70" t="str">
        <f aca="false">IF(P2237="","",IF(COUNTIF(N_CLAVE,P2237)&gt;1,"⚠ Duplicado","OK"))</f>
        <v/>
      </c>
      <c r="R2237" s="74" t="str">
        <f aca="false">IF(OR(P2237="",U2237=""),"",MAX(0,U2237-N(E2237)-N(F2237)-N(H2237)))</f>
        <v/>
      </c>
      <c r="S2237" s="75" t="str">
        <f aca="false">IF(P2237="","",IFERROR(INDEX(T_INGRESO,MATCH(C2237,T_ID,0)),""))</f>
        <v/>
      </c>
      <c r="T2237" s="75" t="str">
        <f aca="false">IF(P2237="","",IFERROR(N(INDEX(T_EGRESO,MATCH(C2237,T_ID,0))),0))</f>
        <v/>
      </c>
      <c r="U2237" s="73" t="str">
        <f aca="false">IF(OR(P2237="",NOT(ISNUMBER(S2237))),"",IF(OR(S2237&gt;EOMONTH(B2237,0),AND(T2237&gt;0,T2237&lt;B2237)),0,IF(AND(S2237&lt;=B2237,OR(T2237=0,T2237&gt;=EOMONTH(B2237,0))),30,MIN(30,IF(T2237=0,EOMONTH(B2237,0),MIN(T2237,EOMONTH(B2237,0)))-MAX(B2237,S2237)+1))))</f>
        <v/>
      </c>
    </row>
    <row r="2238" customFormat="false" ht="15" hidden="false" customHeight="false" outlineLevel="0" collapsed="false">
      <c r="B2238" s="78"/>
      <c r="C2238" s="64"/>
      <c r="D2238" s="70" t="str">
        <f aca="false">IF(C2238="","",IFERROR(INDEX(T_NOMBRE,MATCH(C2238,T_ID,0)),"⚠ ID no existe"))</f>
        <v/>
      </c>
      <c r="E2238" s="69"/>
      <c r="F2238" s="69"/>
      <c r="G2238" s="69"/>
      <c r="H2238" s="69"/>
      <c r="I2238" s="66"/>
      <c r="J2238" s="69"/>
      <c r="K2238" s="67"/>
      <c r="L2238" s="67"/>
      <c r="M2238" s="67"/>
      <c r="N2238" s="67"/>
      <c r="O2238" s="64"/>
      <c r="P2238" s="72" t="str">
        <f aca="false">IF(OR(B2238="",C2238=""),"",C2238&amp;"|"&amp;(YEAR(B2238)*100+MONTH(B2238)))</f>
        <v/>
      </c>
      <c r="Q2238" s="70" t="str">
        <f aca="false">IF(P2238="","",IF(COUNTIF(N_CLAVE,P2238)&gt;1,"⚠ Duplicado","OK"))</f>
        <v/>
      </c>
      <c r="R2238" s="74" t="str">
        <f aca="false">IF(OR(P2238="",U2238=""),"",MAX(0,U2238-N(E2238)-N(F2238)-N(H2238)))</f>
        <v/>
      </c>
      <c r="S2238" s="75" t="str">
        <f aca="false">IF(P2238="","",IFERROR(INDEX(T_INGRESO,MATCH(C2238,T_ID,0)),""))</f>
        <v/>
      </c>
      <c r="T2238" s="75" t="str">
        <f aca="false">IF(P2238="","",IFERROR(N(INDEX(T_EGRESO,MATCH(C2238,T_ID,0))),0))</f>
        <v/>
      </c>
      <c r="U2238" s="73" t="str">
        <f aca="false">IF(OR(P2238="",NOT(ISNUMBER(S2238))),"",IF(OR(S2238&gt;EOMONTH(B2238,0),AND(T2238&gt;0,T2238&lt;B2238)),0,IF(AND(S2238&lt;=B2238,OR(T2238=0,T2238&gt;=EOMONTH(B2238,0))),30,MIN(30,IF(T2238=0,EOMONTH(B2238,0),MIN(T2238,EOMONTH(B2238,0)))-MAX(B2238,S2238)+1))))</f>
        <v/>
      </c>
    </row>
    <row r="2239" customFormat="false" ht="15" hidden="false" customHeight="false" outlineLevel="0" collapsed="false">
      <c r="B2239" s="78"/>
      <c r="C2239" s="64"/>
      <c r="D2239" s="70" t="str">
        <f aca="false">IF(C2239="","",IFERROR(INDEX(T_NOMBRE,MATCH(C2239,T_ID,0)),"⚠ ID no existe"))</f>
        <v/>
      </c>
      <c r="E2239" s="69"/>
      <c r="F2239" s="69"/>
      <c r="G2239" s="69"/>
      <c r="H2239" s="69"/>
      <c r="I2239" s="66"/>
      <c r="J2239" s="69"/>
      <c r="K2239" s="67"/>
      <c r="L2239" s="67"/>
      <c r="M2239" s="67"/>
      <c r="N2239" s="67"/>
      <c r="O2239" s="64"/>
      <c r="P2239" s="72" t="str">
        <f aca="false">IF(OR(B2239="",C2239=""),"",C2239&amp;"|"&amp;(YEAR(B2239)*100+MONTH(B2239)))</f>
        <v/>
      </c>
      <c r="Q2239" s="70" t="str">
        <f aca="false">IF(P2239="","",IF(COUNTIF(N_CLAVE,P2239)&gt;1,"⚠ Duplicado","OK"))</f>
        <v/>
      </c>
      <c r="R2239" s="74" t="str">
        <f aca="false">IF(OR(P2239="",U2239=""),"",MAX(0,U2239-N(E2239)-N(F2239)-N(H2239)))</f>
        <v/>
      </c>
      <c r="S2239" s="75" t="str">
        <f aca="false">IF(P2239="","",IFERROR(INDEX(T_INGRESO,MATCH(C2239,T_ID,0)),""))</f>
        <v/>
      </c>
      <c r="T2239" s="75" t="str">
        <f aca="false">IF(P2239="","",IFERROR(N(INDEX(T_EGRESO,MATCH(C2239,T_ID,0))),0))</f>
        <v/>
      </c>
      <c r="U2239" s="73" t="str">
        <f aca="false">IF(OR(P2239="",NOT(ISNUMBER(S2239))),"",IF(OR(S2239&gt;EOMONTH(B2239,0),AND(T2239&gt;0,T2239&lt;B2239)),0,IF(AND(S2239&lt;=B2239,OR(T2239=0,T2239&gt;=EOMONTH(B2239,0))),30,MIN(30,IF(T2239=0,EOMONTH(B2239,0),MIN(T2239,EOMONTH(B2239,0)))-MAX(B2239,S2239)+1))))</f>
        <v/>
      </c>
    </row>
    <row r="2240" customFormat="false" ht="15" hidden="false" customHeight="false" outlineLevel="0" collapsed="false">
      <c r="B2240" s="78"/>
      <c r="C2240" s="64"/>
      <c r="D2240" s="70" t="str">
        <f aca="false">IF(C2240="","",IFERROR(INDEX(T_NOMBRE,MATCH(C2240,T_ID,0)),"⚠ ID no existe"))</f>
        <v/>
      </c>
      <c r="E2240" s="69"/>
      <c r="F2240" s="69"/>
      <c r="G2240" s="69"/>
      <c r="H2240" s="69"/>
      <c r="I2240" s="66"/>
      <c r="J2240" s="69"/>
      <c r="K2240" s="67"/>
      <c r="L2240" s="67"/>
      <c r="M2240" s="67"/>
      <c r="N2240" s="67"/>
      <c r="O2240" s="64"/>
      <c r="P2240" s="72" t="str">
        <f aca="false">IF(OR(B2240="",C2240=""),"",C2240&amp;"|"&amp;(YEAR(B2240)*100+MONTH(B2240)))</f>
        <v/>
      </c>
      <c r="Q2240" s="70" t="str">
        <f aca="false">IF(P2240="","",IF(COUNTIF(N_CLAVE,P2240)&gt;1,"⚠ Duplicado","OK"))</f>
        <v/>
      </c>
      <c r="R2240" s="74" t="str">
        <f aca="false">IF(OR(P2240="",U2240=""),"",MAX(0,U2240-N(E2240)-N(F2240)-N(H2240)))</f>
        <v/>
      </c>
      <c r="S2240" s="75" t="str">
        <f aca="false">IF(P2240="","",IFERROR(INDEX(T_INGRESO,MATCH(C2240,T_ID,0)),""))</f>
        <v/>
      </c>
      <c r="T2240" s="75" t="str">
        <f aca="false">IF(P2240="","",IFERROR(N(INDEX(T_EGRESO,MATCH(C2240,T_ID,0))),0))</f>
        <v/>
      </c>
      <c r="U2240" s="73" t="str">
        <f aca="false">IF(OR(P2240="",NOT(ISNUMBER(S2240))),"",IF(OR(S2240&gt;EOMONTH(B2240,0),AND(T2240&gt;0,T2240&lt;B2240)),0,IF(AND(S2240&lt;=B2240,OR(T2240=0,T2240&gt;=EOMONTH(B2240,0))),30,MIN(30,IF(T2240=0,EOMONTH(B2240,0),MIN(T2240,EOMONTH(B2240,0)))-MAX(B2240,S2240)+1))))</f>
        <v/>
      </c>
    </row>
    <row r="2241" customFormat="false" ht="15" hidden="false" customHeight="false" outlineLevel="0" collapsed="false">
      <c r="B2241" s="78"/>
      <c r="C2241" s="64"/>
      <c r="D2241" s="70" t="str">
        <f aca="false">IF(C2241="","",IFERROR(INDEX(T_NOMBRE,MATCH(C2241,T_ID,0)),"⚠ ID no existe"))</f>
        <v/>
      </c>
      <c r="E2241" s="69"/>
      <c r="F2241" s="69"/>
      <c r="G2241" s="69"/>
      <c r="H2241" s="69"/>
      <c r="I2241" s="66"/>
      <c r="J2241" s="69"/>
      <c r="K2241" s="67"/>
      <c r="L2241" s="67"/>
      <c r="M2241" s="67"/>
      <c r="N2241" s="67"/>
      <c r="O2241" s="64"/>
      <c r="P2241" s="72" t="str">
        <f aca="false">IF(OR(B2241="",C2241=""),"",C2241&amp;"|"&amp;(YEAR(B2241)*100+MONTH(B2241)))</f>
        <v/>
      </c>
      <c r="Q2241" s="70" t="str">
        <f aca="false">IF(P2241="","",IF(COUNTIF(N_CLAVE,P2241)&gt;1,"⚠ Duplicado","OK"))</f>
        <v/>
      </c>
      <c r="R2241" s="74" t="str">
        <f aca="false">IF(OR(P2241="",U2241=""),"",MAX(0,U2241-N(E2241)-N(F2241)-N(H2241)))</f>
        <v/>
      </c>
      <c r="S2241" s="75" t="str">
        <f aca="false">IF(P2241="","",IFERROR(INDEX(T_INGRESO,MATCH(C2241,T_ID,0)),""))</f>
        <v/>
      </c>
      <c r="T2241" s="75" t="str">
        <f aca="false">IF(P2241="","",IFERROR(N(INDEX(T_EGRESO,MATCH(C2241,T_ID,0))),0))</f>
        <v/>
      </c>
      <c r="U2241" s="73" t="str">
        <f aca="false">IF(OR(P2241="",NOT(ISNUMBER(S2241))),"",IF(OR(S2241&gt;EOMONTH(B2241,0),AND(T2241&gt;0,T2241&lt;B2241)),0,IF(AND(S2241&lt;=B2241,OR(T2241=0,T2241&gt;=EOMONTH(B2241,0))),30,MIN(30,IF(T2241=0,EOMONTH(B2241,0),MIN(T2241,EOMONTH(B2241,0)))-MAX(B2241,S2241)+1))))</f>
        <v/>
      </c>
    </row>
    <row r="2242" customFormat="false" ht="15" hidden="false" customHeight="false" outlineLevel="0" collapsed="false">
      <c r="B2242" s="78"/>
      <c r="C2242" s="64"/>
      <c r="D2242" s="70" t="str">
        <f aca="false">IF(C2242="","",IFERROR(INDEX(T_NOMBRE,MATCH(C2242,T_ID,0)),"⚠ ID no existe"))</f>
        <v/>
      </c>
      <c r="E2242" s="69"/>
      <c r="F2242" s="69"/>
      <c r="G2242" s="69"/>
      <c r="H2242" s="69"/>
      <c r="I2242" s="66"/>
      <c r="J2242" s="69"/>
      <c r="K2242" s="67"/>
      <c r="L2242" s="67"/>
      <c r="M2242" s="67"/>
      <c r="N2242" s="67"/>
      <c r="O2242" s="64"/>
      <c r="P2242" s="72" t="str">
        <f aca="false">IF(OR(B2242="",C2242=""),"",C2242&amp;"|"&amp;(YEAR(B2242)*100+MONTH(B2242)))</f>
        <v/>
      </c>
      <c r="Q2242" s="70" t="str">
        <f aca="false">IF(P2242="","",IF(COUNTIF(N_CLAVE,P2242)&gt;1,"⚠ Duplicado","OK"))</f>
        <v/>
      </c>
      <c r="R2242" s="74" t="str">
        <f aca="false">IF(OR(P2242="",U2242=""),"",MAX(0,U2242-N(E2242)-N(F2242)-N(H2242)))</f>
        <v/>
      </c>
      <c r="S2242" s="75" t="str">
        <f aca="false">IF(P2242="","",IFERROR(INDEX(T_INGRESO,MATCH(C2242,T_ID,0)),""))</f>
        <v/>
      </c>
      <c r="T2242" s="75" t="str">
        <f aca="false">IF(P2242="","",IFERROR(N(INDEX(T_EGRESO,MATCH(C2242,T_ID,0))),0))</f>
        <v/>
      </c>
      <c r="U2242" s="73" t="str">
        <f aca="false">IF(OR(P2242="",NOT(ISNUMBER(S2242))),"",IF(OR(S2242&gt;EOMONTH(B2242,0),AND(T2242&gt;0,T2242&lt;B2242)),0,IF(AND(S2242&lt;=B2242,OR(T2242=0,T2242&gt;=EOMONTH(B2242,0))),30,MIN(30,IF(T2242=0,EOMONTH(B2242,0),MIN(T2242,EOMONTH(B2242,0)))-MAX(B2242,S2242)+1))))</f>
        <v/>
      </c>
    </row>
    <row r="2243" customFormat="false" ht="15" hidden="false" customHeight="false" outlineLevel="0" collapsed="false">
      <c r="B2243" s="78"/>
      <c r="C2243" s="64"/>
      <c r="D2243" s="70" t="str">
        <f aca="false">IF(C2243="","",IFERROR(INDEX(T_NOMBRE,MATCH(C2243,T_ID,0)),"⚠ ID no existe"))</f>
        <v/>
      </c>
      <c r="E2243" s="69"/>
      <c r="F2243" s="69"/>
      <c r="G2243" s="69"/>
      <c r="H2243" s="69"/>
      <c r="I2243" s="66"/>
      <c r="J2243" s="69"/>
      <c r="K2243" s="67"/>
      <c r="L2243" s="67"/>
      <c r="M2243" s="67"/>
      <c r="N2243" s="67"/>
      <c r="O2243" s="64"/>
      <c r="P2243" s="72" t="str">
        <f aca="false">IF(OR(B2243="",C2243=""),"",C2243&amp;"|"&amp;(YEAR(B2243)*100+MONTH(B2243)))</f>
        <v/>
      </c>
      <c r="Q2243" s="70" t="str">
        <f aca="false">IF(P2243="","",IF(COUNTIF(N_CLAVE,P2243)&gt;1,"⚠ Duplicado","OK"))</f>
        <v/>
      </c>
      <c r="R2243" s="74" t="str">
        <f aca="false">IF(OR(P2243="",U2243=""),"",MAX(0,U2243-N(E2243)-N(F2243)-N(H2243)))</f>
        <v/>
      </c>
      <c r="S2243" s="75" t="str">
        <f aca="false">IF(P2243="","",IFERROR(INDEX(T_INGRESO,MATCH(C2243,T_ID,0)),""))</f>
        <v/>
      </c>
      <c r="T2243" s="75" t="str">
        <f aca="false">IF(P2243="","",IFERROR(N(INDEX(T_EGRESO,MATCH(C2243,T_ID,0))),0))</f>
        <v/>
      </c>
      <c r="U2243" s="73" t="str">
        <f aca="false">IF(OR(P2243="",NOT(ISNUMBER(S2243))),"",IF(OR(S2243&gt;EOMONTH(B2243,0),AND(T2243&gt;0,T2243&lt;B2243)),0,IF(AND(S2243&lt;=B2243,OR(T2243=0,T2243&gt;=EOMONTH(B2243,0))),30,MIN(30,IF(T2243=0,EOMONTH(B2243,0),MIN(T2243,EOMONTH(B2243,0)))-MAX(B2243,S2243)+1))))</f>
        <v/>
      </c>
    </row>
    <row r="2244" customFormat="false" ht="15" hidden="false" customHeight="false" outlineLevel="0" collapsed="false">
      <c r="B2244" s="78"/>
      <c r="C2244" s="64"/>
      <c r="D2244" s="70" t="str">
        <f aca="false">IF(C2244="","",IFERROR(INDEX(T_NOMBRE,MATCH(C2244,T_ID,0)),"⚠ ID no existe"))</f>
        <v/>
      </c>
      <c r="E2244" s="69"/>
      <c r="F2244" s="69"/>
      <c r="G2244" s="69"/>
      <c r="H2244" s="69"/>
      <c r="I2244" s="66"/>
      <c r="J2244" s="69"/>
      <c r="K2244" s="67"/>
      <c r="L2244" s="67"/>
      <c r="M2244" s="67"/>
      <c r="N2244" s="67"/>
      <c r="O2244" s="64"/>
      <c r="P2244" s="72" t="str">
        <f aca="false">IF(OR(B2244="",C2244=""),"",C2244&amp;"|"&amp;(YEAR(B2244)*100+MONTH(B2244)))</f>
        <v/>
      </c>
      <c r="Q2244" s="70" t="str">
        <f aca="false">IF(P2244="","",IF(COUNTIF(N_CLAVE,P2244)&gt;1,"⚠ Duplicado","OK"))</f>
        <v/>
      </c>
      <c r="R2244" s="74" t="str">
        <f aca="false">IF(OR(P2244="",U2244=""),"",MAX(0,U2244-N(E2244)-N(F2244)-N(H2244)))</f>
        <v/>
      </c>
      <c r="S2244" s="75" t="str">
        <f aca="false">IF(P2244="","",IFERROR(INDEX(T_INGRESO,MATCH(C2244,T_ID,0)),""))</f>
        <v/>
      </c>
      <c r="T2244" s="75" t="str">
        <f aca="false">IF(P2244="","",IFERROR(N(INDEX(T_EGRESO,MATCH(C2244,T_ID,0))),0))</f>
        <v/>
      </c>
      <c r="U2244" s="73" t="str">
        <f aca="false">IF(OR(P2244="",NOT(ISNUMBER(S2244))),"",IF(OR(S2244&gt;EOMONTH(B2244,0),AND(T2244&gt;0,T2244&lt;B2244)),0,IF(AND(S2244&lt;=B2244,OR(T2244=0,T2244&gt;=EOMONTH(B2244,0))),30,MIN(30,IF(T2244=0,EOMONTH(B2244,0),MIN(T2244,EOMONTH(B2244,0)))-MAX(B2244,S2244)+1))))</f>
        <v/>
      </c>
    </row>
    <row r="2245" customFormat="false" ht="15" hidden="false" customHeight="false" outlineLevel="0" collapsed="false">
      <c r="B2245" s="78"/>
      <c r="C2245" s="64"/>
      <c r="D2245" s="70" t="str">
        <f aca="false">IF(C2245="","",IFERROR(INDEX(T_NOMBRE,MATCH(C2245,T_ID,0)),"⚠ ID no existe"))</f>
        <v/>
      </c>
      <c r="E2245" s="69"/>
      <c r="F2245" s="69"/>
      <c r="G2245" s="69"/>
      <c r="H2245" s="69"/>
      <c r="I2245" s="66"/>
      <c r="J2245" s="69"/>
      <c r="K2245" s="67"/>
      <c r="L2245" s="67"/>
      <c r="M2245" s="67"/>
      <c r="N2245" s="67"/>
      <c r="O2245" s="64"/>
      <c r="P2245" s="72" t="str">
        <f aca="false">IF(OR(B2245="",C2245=""),"",C2245&amp;"|"&amp;(YEAR(B2245)*100+MONTH(B2245)))</f>
        <v/>
      </c>
      <c r="Q2245" s="70" t="str">
        <f aca="false">IF(P2245="","",IF(COUNTIF(N_CLAVE,P2245)&gt;1,"⚠ Duplicado","OK"))</f>
        <v/>
      </c>
      <c r="R2245" s="74" t="str">
        <f aca="false">IF(OR(P2245="",U2245=""),"",MAX(0,U2245-N(E2245)-N(F2245)-N(H2245)))</f>
        <v/>
      </c>
      <c r="S2245" s="75" t="str">
        <f aca="false">IF(P2245="","",IFERROR(INDEX(T_INGRESO,MATCH(C2245,T_ID,0)),""))</f>
        <v/>
      </c>
      <c r="T2245" s="75" t="str">
        <f aca="false">IF(P2245="","",IFERROR(N(INDEX(T_EGRESO,MATCH(C2245,T_ID,0))),0))</f>
        <v/>
      </c>
      <c r="U2245" s="73" t="str">
        <f aca="false">IF(OR(P2245="",NOT(ISNUMBER(S2245))),"",IF(OR(S2245&gt;EOMONTH(B2245,0),AND(T2245&gt;0,T2245&lt;B2245)),0,IF(AND(S2245&lt;=B2245,OR(T2245=0,T2245&gt;=EOMONTH(B2245,0))),30,MIN(30,IF(T2245=0,EOMONTH(B2245,0),MIN(T2245,EOMONTH(B2245,0)))-MAX(B2245,S2245)+1))))</f>
        <v/>
      </c>
    </row>
    <row r="2246" customFormat="false" ht="15" hidden="false" customHeight="false" outlineLevel="0" collapsed="false">
      <c r="B2246" s="78"/>
      <c r="C2246" s="64"/>
      <c r="D2246" s="70" t="str">
        <f aca="false">IF(C2246="","",IFERROR(INDEX(T_NOMBRE,MATCH(C2246,T_ID,0)),"⚠ ID no existe"))</f>
        <v/>
      </c>
      <c r="E2246" s="69"/>
      <c r="F2246" s="69"/>
      <c r="G2246" s="69"/>
      <c r="H2246" s="69"/>
      <c r="I2246" s="66"/>
      <c r="J2246" s="69"/>
      <c r="K2246" s="67"/>
      <c r="L2246" s="67"/>
      <c r="M2246" s="67"/>
      <c r="N2246" s="67"/>
      <c r="O2246" s="64"/>
      <c r="P2246" s="72" t="str">
        <f aca="false">IF(OR(B2246="",C2246=""),"",C2246&amp;"|"&amp;(YEAR(B2246)*100+MONTH(B2246)))</f>
        <v/>
      </c>
      <c r="Q2246" s="70" t="str">
        <f aca="false">IF(P2246="","",IF(COUNTIF(N_CLAVE,P2246)&gt;1,"⚠ Duplicado","OK"))</f>
        <v/>
      </c>
      <c r="R2246" s="74" t="str">
        <f aca="false">IF(OR(P2246="",U2246=""),"",MAX(0,U2246-N(E2246)-N(F2246)-N(H2246)))</f>
        <v/>
      </c>
      <c r="S2246" s="75" t="str">
        <f aca="false">IF(P2246="","",IFERROR(INDEX(T_INGRESO,MATCH(C2246,T_ID,0)),""))</f>
        <v/>
      </c>
      <c r="T2246" s="75" t="str">
        <f aca="false">IF(P2246="","",IFERROR(N(INDEX(T_EGRESO,MATCH(C2246,T_ID,0))),0))</f>
        <v/>
      </c>
      <c r="U2246" s="73" t="str">
        <f aca="false">IF(OR(P2246="",NOT(ISNUMBER(S2246))),"",IF(OR(S2246&gt;EOMONTH(B2246,0),AND(T2246&gt;0,T2246&lt;B2246)),0,IF(AND(S2246&lt;=B2246,OR(T2246=0,T2246&gt;=EOMONTH(B2246,0))),30,MIN(30,IF(T2246=0,EOMONTH(B2246,0),MIN(T2246,EOMONTH(B2246,0)))-MAX(B2246,S2246)+1))))</f>
        <v/>
      </c>
    </row>
    <row r="2247" customFormat="false" ht="15" hidden="false" customHeight="false" outlineLevel="0" collapsed="false">
      <c r="B2247" s="78"/>
      <c r="C2247" s="64"/>
      <c r="D2247" s="70" t="str">
        <f aca="false">IF(C2247="","",IFERROR(INDEX(T_NOMBRE,MATCH(C2247,T_ID,0)),"⚠ ID no existe"))</f>
        <v/>
      </c>
      <c r="E2247" s="69"/>
      <c r="F2247" s="69"/>
      <c r="G2247" s="69"/>
      <c r="H2247" s="69"/>
      <c r="I2247" s="66"/>
      <c r="J2247" s="69"/>
      <c r="K2247" s="67"/>
      <c r="L2247" s="67"/>
      <c r="M2247" s="67"/>
      <c r="N2247" s="67"/>
      <c r="O2247" s="64"/>
      <c r="P2247" s="72" t="str">
        <f aca="false">IF(OR(B2247="",C2247=""),"",C2247&amp;"|"&amp;(YEAR(B2247)*100+MONTH(B2247)))</f>
        <v/>
      </c>
      <c r="Q2247" s="70" t="str">
        <f aca="false">IF(P2247="","",IF(COUNTIF(N_CLAVE,P2247)&gt;1,"⚠ Duplicado","OK"))</f>
        <v/>
      </c>
      <c r="R2247" s="74" t="str">
        <f aca="false">IF(OR(P2247="",U2247=""),"",MAX(0,U2247-N(E2247)-N(F2247)-N(H2247)))</f>
        <v/>
      </c>
      <c r="S2247" s="75" t="str">
        <f aca="false">IF(P2247="","",IFERROR(INDEX(T_INGRESO,MATCH(C2247,T_ID,0)),""))</f>
        <v/>
      </c>
      <c r="T2247" s="75" t="str">
        <f aca="false">IF(P2247="","",IFERROR(N(INDEX(T_EGRESO,MATCH(C2247,T_ID,0))),0))</f>
        <v/>
      </c>
      <c r="U2247" s="73" t="str">
        <f aca="false">IF(OR(P2247="",NOT(ISNUMBER(S2247))),"",IF(OR(S2247&gt;EOMONTH(B2247,0),AND(T2247&gt;0,T2247&lt;B2247)),0,IF(AND(S2247&lt;=B2247,OR(T2247=0,T2247&gt;=EOMONTH(B2247,0))),30,MIN(30,IF(T2247=0,EOMONTH(B2247,0),MIN(T2247,EOMONTH(B2247,0)))-MAX(B2247,S2247)+1))))</f>
        <v/>
      </c>
    </row>
    <row r="2248" customFormat="false" ht="15" hidden="false" customHeight="false" outlineLevel="0" collapsed="false">
      <c r="B2248" s="78"/>
      <c r="C2248" s="64"/>
      <c r="D2248" s="70" t="str">
        <f aca="false">IF(C2248="","",IFERROR(INDEX(T_NOMBRE,MATCH(C2248,T_ID,0)),"⚠ ID no existe"))</f>
        <v/>
      </c>
      <c r="E2248" s="69"/>
      <c r="F2248" s="69"/>
      <c r="G2248" s="69"/>
      <c r="H2248" s="69"/>
      <c r="I2248" s="66"/>
      <c r="J2248" s="69"/>
      <c r="K2248" s="67"/>
      <c r="L2248" s="67"/>
      <c r="M2248" s="67"/>
      <c r="N2248" s="67"/>
      <c r="O2248" s="64"/>
      <c r="P2248" s="72" t="str">
        <f aca="false">IF(OR(B2248="",C2248=""),"",C2248&amp;"|"&amp;(YEAR(B2248)*100+MONTH(B2248)))</f>
        <v/>
      </c>
      <c r="Q2248" s="70" t="str">
        <f aca="false">IF(P2248="","",IF(COUNTIF(N_CLAVE,P2248)&gt;1,"⚠ Duplicado","OK"))</f>
        <v/>
      </c>
      <c r="R2248" s="74" t="str">
        <f aca="false">IF(OR(P2248="",U2248=""),"",MAX(0,U2248-N(E2248)-N(F2248)-N(H2248)))</f>
        <v/>
      </c>
      <c r="S2248" s="75" t="str">
        <f aca="false">IF(P2248="","",IFERROR(INDEX(T_INGRESO,MATCH(C2248,T_ID,0)),""))</f>
        <v/>
      </c>
      <c r="T2248" s="75" t="str">
        <f aca="false">IF(P2248="","",IFERROR(N(INDEX(T_EGRESO,MATCH(C2248,T_ID,0))),0))</f>
        <v/>
      </c>
      <c r="U2248" s="73" t="str">
        <f aca="false">IF(OR(P2248="",NOT(ISNUMBER(S2248))),"",IF(OR(S2248&gt;EOMONTH(B2248,0),AND(T2248&gt;0,T2248&lt;B2248)),0,IF(AND(S2248&lt;=B2248,OR(T2248=0,T2248&gt;=EOMONTH(B2248,0))),30,MIN(30,IF(T2248=0,EOMONTH(B2248,0),MIN(T2248,EOMONTH(B2248,0)))-MAX(B2248,S2248)+1))))</f>
        <v/>
      </c>
    </row>
    <row r="2249" customFormat="false" ht="15" hidden="false" customHeight="false" outlineLevel="0" collapsed="false">
      <c r="B2249" s="78"/>
      <c r="C2249" s="64"/>
      <c r="D2249" s="70" t="str">
        <f aca="false">IF(C2249="","",IFERROR(INDEX(T_NOMBRE,MATCH(C2249,T_ID,0)),"⚠ ID no existe"))</f>
        <v/>
      </c>
      <c r="E2249" s="69"/>
      <c r="F2249" s="69"/>
      <c r="G2249" s="69"/>
      <c r="H2249" s="69"/>
      <c r="I2249" s="66"/>
      <c r="J2249" s="69"/>
      <c r="K2249" s="67"/>
      <c r="L2249" s="67"/>
      <c r="M2249" s="67"/>
      <c r="N2249" s="67"/>
      <c r="O2249" s="64"/>
      <c r="P2249" s="72" t="str">
        <f aca="false">IF(OR(B2249="",C2249=""),"",C2249&amp;"|"&amp;(YEAR(B2249)*100+MONTH(B2249)))</f>
        <v/>
      </c>
      <c r="Q2249" s="70" t="str">
        <f aca="false">IF(P2249="","",IF(COUNTIF(N_CLAVE,P2249)&gt;1,"⚠ Duplicado","OK"))</f>
        <v/>
      </c>
      <c r="R2249" s="74" t="str">
        <f aca="false">IF(OR(P2249="",U2249=""),"",MAX(0,U2249-N(E2249)-N(F2249)-N(H2249)))</f>
        <v/>
      </c>
      <c r="S2249" s="75" t="str">
        <f aca="false">IF(P2249="","",IFERROR(INDEX(T_INGRESO,MATCH(C2249,T_ID,0)),""))</f>
        <v/>
      </c>
      <c r="T2249" s="75" t="str">
        <f aca="false">IF(P2249="","",IFERROR(N(INDEX(T_EGRESO,MATCH(C2249,T_ID,0))),0))</f>
        <v/>
      </c>
      <c r="U2249" s="73" t="str">
        <f aca="false">IF(OR(P2249="",NOT(ISNUMBER(S2249))),"",IF(OR(S2249&gt;EOMONTH(B2249,0),AND(T2249&gt;0,T2249&lt;B2249)),0,IF(AND(S2249&lt;=B2249,OR(T2249=0,T2249&gt;=EOMONTH(B2249,0))),30,MIN(30,IF(T2249=0,EOMONTH(B2249,0),MIN(T2249,EOMONTH(B2249,0)))-MAX(B2249,S2249)+1))))</f>
        <v/>
      </c>
    </row>
    <row r="2250" customFormat="false" ht="15" hidden="false" customHeight="false" outlineLevel="0" collapsed="false">
      <c r="B2250" s="78"/>
      <c r="C2250" s="64"/>
      <c r="D2250" s="70" t="str">
        <f aca="false">IF(C2250="","",IFERROR(INDEX(T_NOMBRE,MATCH(C2250,T_ID,0)),"⚠ ID no existe"))</f>
        <v/>
      </c>
      <c r="E2250" s="69"/>
      <c r="F2250" s="69"/>
      <c r="G2250" s="69"/>
      <c r="H2250" s="69"/>
      <c r="I2250" s="66"/>
      <c r="J2250" s="69"/>
      <c r="K2250" s="67"/>
      <c r="L2250" s="67"/>
      <c r="M2250" s="67"/>
      <c r="N2250" s="67"/>
      <c r="O2250" s="64"/>
      <c r="P2250" s="72" t="str">
        <f aca="false">IF(OR(B2250="",C2250=""),"",C2250&amp;"|"&amp;(YEAR(B2250)*100+MONTH(B2250)))</f>
        <v/>
      </c>
      <c r="Q2250" s="70" t="str">
        <f aca="false">IF(P2250="","",IF(COUNTIF(N_CLAVE,P2250)&gt;1,"⚠ Duplicado","OK"))</f>
        <v/>
      </c>
      <c r="R2250" s="74" t="str">
        <f aca="false">IF(OR(P2250="",U2250=""),"",MAX(0,U2250-N(E2250)-N(F2250)-N(H2250)))</f>
        <v/>
      </c>
      <c r="S2250" s="75" t="str">
        <f aca="false">IF(P2250="","",IFERROR(INDEX(T_INGRESO,MATCH(C2250,T_ID,0)),""))</f>
        <v/>
      </c>
      <c r="T2250" s="75" t="str">
        <f aca="false">IF(P2250="","",IFERROR(N(INDEX(T_EGRESO,MATCH(C2250,T_ID,0))),0))</f>
        <v/>
      </c>
      <c r="U2250" s="73" t="str">
        <f aca="false">IF(OR(P2250="",NOT(ISNUMBER(S2250))),"",IF(OR(S2250&gt;EOMONTH(B2250,0),AND(T2250&gt;0,T2250&lt;B2250)),0,IF(AND(S2250&lt;=B2250,OR(T2250=0,T2250&gt;=EOMONTH(B2250,0))),30,MIN(30,IF(T2250=0,EOMONTH(B2250,0),MIN(T2250,EOMONTH(B2250,0)))-MAX(B2250,S2250)+1))))</f>
        <v/>
      </c>
    </row>
    <row r="2251" customFormat="false" ht="15" hidden="false" customHeight="false" outlineLevel="0" collapsed="false">
      <c r="B2251" s="78"/>
      <c r="C2251" s="64"/>
      <c r="D2251" s="70" t="str">
        <f aca="false">IF(C2251="","",IFERROR(INDEX(T_NOMBRE,MATCH(C2251,T_ID,0)),"⚠ ID no existe"))</f>
        <v/>
      </c>
      <c r="E2251" s="69"/>
      <c r="F2251" s="69"/>
      <c r="G2251" s="69"/>
      <c r="H2251" s="69"/>
      <c r="I2251" s="66"/>
      <c r="J2251" s="69"/>
      <c r="K2251" s="67"/>
      <c r="L2251" s="67"/>
      <c r="M2251" s="67"/>
      <c r="N2251" s="67"/>
      <c r="O2251" s="64"/>
      <c r="P2251" s="72" t="str">
        <f aca="false">IF(OR(B2251="",C2251=""),"",C2251&amp;"|"&amp;(YEAR(B2251)*100+MONTH(B2251)))</f>
        <v/>
      </c>
      <c r="Q2251" s="70" t="str">
        <f aca="false">IF(P2251="","",IF(COUNTIF(N_CLAVE,P2251)&gt;1,"⚠ Duplicado","OK"))</f>
        <v/>
      </c>
      <c r="R2251" s="74" t="str">
        <f aca="false">IF(OR(P2251="",U2251=""),"",MAX(0,U2251-N(E2251)-N(F2251)-N(H2251)))</f>
        <v/>
      </c>
      <c r="S2251" s="75" t="str">
        <f aca="false">IF(P2251="","",IFERROR(INDEX(T_INGRESO,MATCH(C2251,T_ID,0)),""))</f>
        <v/>
      </c>
      <c r="T2251" s="75" t="str">
        <f aca="false">IF(P2251="","",IFERROR(N(INDEX(T_EGRESO,MATCH(C2251,T_ID,0))),0))</f>
        <v/>
      </c>
      <c r="U2251" s="73" t="str">
        <f aca="false">IF(OR(P2251="",NOT(ISNUMBER(S2251))),"",IF(OR(S2251&gt;EOMONTH(B2251,0),AND(T2251&gt;0,T2251&lt;B2251)),0,IF(AND(S2251&lt;=B2251,OR(T2251=0,T2251&gt;=EOMONTH(B2251,0))),30,MIN(30,IF(T2251=0,EOMONTH(B2251,0),MIN(T2251,EOMONTH(B2251,0)))-MAX(B2251,S2251)+1))))</f>
        <v/>
      </c>
    </row>
    <row r="2252" customFormat="false" ht="15" hidden="false" customHeight="false" outlineLevel="0" collapsed="false">
      <c r="B2252" s="78"/>
      <c r="C2252" s="64"/>
      <c r="D2252" s="70" t="str">
        <f aca="false">IF(C2252="","",IFERROR(INDEX(T_NOMBRE,MATCH(C2252,T_ID,0)),"⚠ ID no existe"))</f>
        <v/>
      </c>
      <c r="E2252" s="69"/>
      <c r="F2252" s="69"/>
      <c r="G2252" s="69"/>
      <c r="H2252" s="69"/>
      <c r="I2252" s="66"/>
      <c r="J2252" s="69"/>
      <c r="K2252" s="67"/>
      <c r="L2252" s="67"/>
      <c r="M2252" s="67"/>
      <c r="N2252" s="67"/>
      <c r="O2252" s="64"/>
      <c r="P2252" s="72" t="str">
        <f aca="false">IF(OR(B2252="",C2252=""),"",C2252&amp;"|"&amp;(YEAR(B2252)*100+MONTH(B2252)))</f>
        <v/>
      </c>
      <c r="Q2252" s="70" t="str">
        <f aca="false">IF(P2252="","",IF(COUNTIF(N_CLAVE,P2252)&gt;1,"⚠ Duplicado","OK"))</f>
        <v/>
      </c>
      <c r="R2252" s="74" t="str">
        <f aca="false">IF(OR(P2252="",U2252=""),"",MAX(0,U2252-N(E2252)-N(F2252)-N(H2252)))</f>
        <v/>
      </c>
      <c r="S2252" s="75" t="str">
        <f aca="false">IF(P2252="","",IFERROR(INDEX(T_INGRESO,MATCH(C2252,T_ID,0)),""))</f>
        <v/>
      </c>
      <c r="T2252" s="75" t="str">
        <f aca="false">IF(P2252="","",IFERROR(N(INDEX(T_EGRESO,MATCH(C2252,T_ID,0))),0))</f>
        <v/>
      </c>
      <c r="U2252" s="73" t="str">
        <f aca="false">IF(OR(P2252="",NOT(ISNUMBER(S2252))),"",IF(OR(S2252&gt;EOMONTH(B2252,0),AND(T2252&gt;0,T2252&lt;B2252)),0,IF(AND(S2252&lt;=B2252,OR(T2252=0,T2252&gt;=EOMONTH(B2252,0))),30,MIN(30,IF(T2252=0,EOMONTH(B2252,0),MIN(T2252,EOMONTH(B2252,0)))-MAX(B2252,S2252)+1))))</f>
        <v/>
      </c>
    </row>
    <row r="2253" customFormat="false" ht="15" hidden="false" customHeight="false" outlineLevel="0" collapsed="false">
      <c r="B2253" s="78"/>
      <c r="C2253" s="64"/>
      <c r="D2253" s="70" t="str">
        <f aca="false">IF(C2253="","",IFERROR(INDEX(T_NOMBRE,MATCH(C2253,T_ID,0)),"⚠ ID no existe"))</f>
        <v/>
      </c>
      <c r="E2253" s="69"/>
      <c r="F2253" s="69"/>
      <c r="G2253" s="69"/>
      <c r="H2253" s="69"/>
      <c r="I2253" s="66"/>
      <c r="J2253" s="69"/>
      <c r="K2253" s="67"/>
      <c r="L2253" s="67"/>
      <c r="M2253" s="67"/>
      <c r="N2253" s="67"/>
      <c r="O2253" s="64"/>
      <c r="P2253" s="72" t="str">
        <f aca="false">IF(OR(B2253="",C2253=""),"",C2253&amp;"|"&amp;(YEAR(B2253)*100+MONTH(B2253)))</f>
        <v/>
      </c>
      <c r="Q2253" s="70" t="str">
        <f aca="false">IF(P2253="","",IF(COUNTIF(N_CLAVE,P2253)&gt;1,"⚠ Duplicado","OK"))</f>
        <v/>
      </c>
      <c r="R2253" s="74" t="str">
        <f aca="false">IF(OR(P2253="",U2253=""),"",MAX(0,U2253-N(E2253)-N(F2253)-N(H2253)))</f>
        <v/>
      </c>
      <c r="S2253" s="75" t="str">
        <f aca="false">IF(P2253="","",IFERROR(INDEX(T_INGRESO,MATCH(C2253,T_ID,0)),""))</f>
        <v/>
      </c>
      <c r="T2253" s="75" t="str">
        <f aca="false">IF(P2253="","",IFERROR(N(INDEX(T_EGRESO,MATCH(C2253,T_ID,0))),0))</f>
        <v/>
      </c>
      <c r="U2253" s="73" t="str">
        <f aca="false">IF(OR(P2253="",NOT(ISNUMBER(S2253))),"",IF(OR(S2253&gt;EOMONTH(B2253,0),AND(T2253&gt;0,T2253&lt;B2253)),0,IF(AND(S2253&lt;=B2253,OR(T2253=0,T2253&gt;=EOMONTH(B2253,0))),30,MIN(30,IF(T2253=0,EOMONTH(B2253,0),MIN(T2253,EOMONTH(B2253,0)))-MAX(B2253,S2253)+1))))</f>
        <v/>
      </c>
    </row>
    <row r="2254" customFormat="false" ht="15" hidden="false" customHeight="false" outlineLevel="0" collapsed="false">
      <c r="B2254" s="78"/>
      <c r="C2254" s="64"/>
      <c r="D2254" s="70" t="str">
        <f aca="false">IF(C2254="","",IFERROR(INDEX(T_NOMBRE,MATCH(C2254,T_ID,0)),"⚠ ID no existe"))</f>
        <v/>
      </c>
      <c r="E2254" s="69"/>
      <c r="F2254" s="69"/>
      <c r="G2254" s="69"/>
      <c r="H2254" s="69"/>
      <c r="I2254" s="66"/>
      <c r="J2254" s="69"/>
      <c r="K2254" s="67"/>
      <c r="L2254" s="67"/>
      <c r="M2254" s="67"/>
      <c r="N2254" s="67"/>
      <c r="O2254" s="64"/>
      <c r="P2254" s="72" t="str">
        <f aca="false">IF(OR(B2254="",C2254=""),"",C2254&amp;"|"&amp;(YEAR(B2254)*100+MONTH(B2254)))</f>
        <v/>
      </c>
      <c r="Q2254" s="70" t="str">
        <f aca="false">IF(P2254="","",IF(COUNTIF(N_CLAVE,P2254)&gt;1,"⚠ Duplicado","OK"))</f>
        <v/>
      </c>
      <c r="R2254" s="74" t="str">
        <f aca="false">IF(OR(P2254="",U2254=""),"",MAX(0,U2254-N(E2254)-N(F2254)-N(H2254)))</f>
        <v/>
      </c>
      <c r="S2254" s="75" t="str">
        <f aca="false">IF(P2254="","",IFERROR(INDEX(T_INGRESO,MATCH(C2254,T_ID,0)),""))</f>
        <v/>
      </c>
      <c r="T2254" s="75" t="str">
        <f aca="false">IF(P2254="","",IFERROR(N(INDEX(T_EGRESO,MATCH(C2254,T_ID,0))),0))</f>
        <v/>
      </c>
      <c r="U2254" s="73" t="str">
        <f aca="false">IF(OR(P2254="",NOT(ISNUMBER(S2254))),"",IF(OR(S2254&gt;EOMONTH(B2254,0),AND(T2254&gt;0,T2254&lt;B2254)),0,IF(AND(S2254&lt;=B2254,OR(T2254=0,T2254&gt;=EOMONTH(B2254,0))),30,MIN(30,IF(T2254=0,EOMONTH(B2254,0),MIN(T2254,EOMONTH(B2254,0)))-MAX(B2254,S2254)+1))))</f>
        <v/>
      </c>
    </row>
    <row r="2255" customFormat="false" ht="15" hidden="false" customHeight="false" outlineLevel="0" collapsed="false">
      <c r="B2255" s="78"/>
      <c r="C2255" s="64"/>
      <c r="D2255" s="70" t="str">
        <f aca="false">IF(C2255="","",IFERROR(INDEX(T_NOMBRE,MATCH(C2255,T_ID,0)),"⚠ ID no existe"))</f>
        <v/>
      </c>
      <c r="E2255" s="69"/>
      <c r="F2255" s="69"/>
      <c r="G2255" s="69"/>
      <c r="H2255" s="69"/>
      <c r="I2255" s="66"/>
      <c r="J2255" s="69"/>
      <c r="K2255" s="67"/>
      <c r="L2255" s="67"/>
      <c r="M2255" s="67"/>
      <c r="N2255" s="67"/>
      <c r="O2255" s="64"/>
      <c r="P2255" s="72" t="str">
        <f aca="false">IF(OR(B2255="",C2255=""),"",C2255&amp;"|"&amp;(YEAR(B2255)*100+MONTH(B2255)))</f>
        <v/>
      </c>
      <c r="Q2255" s="70" t="str">
        <f aca="false">IF(P2255="","",IF(COUNTIF(N_CLAVE,P2255)&gt;1,"⚠ Duplicado","OK"))</f>
        <v/>
      </c>
      <c r="R2255" s="74" t="str">
        <f aca="false">IF(OR(P2255="",U2255=""),"",MAX(0,U2255-N(E2255)-N(F2255)-N(H2255)))</f>
        <v/>
      </c>
      <c r="S2255" s="75" t="str">
        <f aca="false">IF(P2255="","",IFERROR(INDEX(T_INGRESO,MATCH(C2255,T_ID,0)),""))</f>
        <v/>
      </c>
      <c r="T2255" s="75" t="str">
        <f aca="false">IF(P2255="","",IFERROR(N(INDEX(T_EGRESO,MATCH(C2255,T_ID,0))),0))</f>
        <v/>
      </c>
      <c r="U2255" s="73" t="str">
        <f aca="false">IF(OR(P2255="",NOT(ISNUMBER(S2255))),"",IF(OR(S2255&gt;EOMONTH(B2255,0),AND(T2255&gt;0,T2255&lt;B2255)),0,IF(AND(S2255&lt;=B2255,OR(T2255=0,T2255&gt;=EOMONTH(B2255,0))),30,MIN(30,IF(T2255=0,EOMONTH(B2255,0),MIN(T2255,EOMONTH(B2255,0)))-MAX(B2255,S2255)+1))))</f>
        <v/>
      </c>
    </row>
    <row r="2256" customFormat="false" ht="15" hidden="false" customHeight="false" outlineLevel="0" collapsed="false">
      <c r="B2256" s="78"/>
      <c r="C2256" s="64"/>
      <c r="D2256" s="70" t="str">
        <f aca="false">IF(C2256="","",IFERROR(INDEX(T_NOMBRE,MATCH(C2256,T_ID,0)),"⚠ ID no existe"))</f>
        <v/>
      </c>
      <c r="E2256" s="69"/>
      <c r="F2256" s="69"/>
      <c r="G2256" s="69"/>
      <c r="H2256" s="69"/>
      <c r="I2256" s="66"/>
      <c r="J2256" s="69"/>
      <c r="K2256" s="67"/>
      <c r="L2256" s="67"/>
      <c r="M2256" s="67"/>
      <c r="N2256" s="67"/>
      <c r="O2256" s="64"/>
      <c r="P2256" s="72" t="str">
        <f aca="false">IF(OR(B2256="",C2256=""),"",C2256&amp;"|"&amp;(YEAR(B2256)*100+MONTH(B2256)))</f>
        <v/>
      </c>
      <c r="Q2256" s="70" t="str">
        <f aca="false">IF(P2256="","",IF(COUNTIF(N_CLAVE,P2256)&gt;1,"⚠ Duplicado","OK"))</f>
        <v/>
      </c>
      <c r="R2256" s="74" t="str">
        <f aca="false">IF(OR(P2256="",U2256=""),"",MAX(0,U2256-N(E2256)-N(F2256)-N(H2256)))</f>
        <v/>
      </c>
      <c r="S2256" s="75" t="str">
        <f aca="false">IF(P2256="","",IFERROR(INDEX(T_INGRESO,MATCH(C2256,T_ID,0)),""))</f>
        <v/>
      </c>
      <c r="T2256" s="75" t="str">
        <f aca="false">IF(P2256="","",IFERROR(N(INDEX(T_EGRESO,MATCH(C2256,T_ID,0))),0))</f>
        <v/>
      </c>
      <c r="U2256" s="73" t="str">
        <f aca="false">IF(OR(P2256="",NOT(ISNUMBER(S2256))),"",IF(OR(S2256&gt;EOMONTH(B2256,0),AND(T2256&gt;0,T2256&lt;B2256)),0,IF(AND(S2256&lt;=B2256,OR(T2256=0,T2256&gt;=EOMONTH(B2256,0))),30,MIN(30,IF(T2256=0,EOMONTH(B2256,0),MIN(T2256,EOMONTH(B2256,0)))-MAX(B2256,S2256)+1))))</f>
        <v/>
      </c>
    </row>
    <row r="2257" customFormat="false" ht="15" hidden="false" customHeight="false" outlineLevel="0" collapsed="false">
      <c r="B2257" s="78"/>
      <c r="C2257" s="64"/>
      <c r="D2257" s="70" t="str">
        <f aca="false">IF(C2257="","",IFERROR(INDEX(T_NOMBRE,MATCH(C2257,T_ID,0)),"⚠ ID no existe"))</f>
        <v/>
      </c>
      <c r="E2257" s="69"/>
      <c r="F2257" s="69"/>
      <c r="G2257" s="69"/>
      <c r="H2257" s="69"/>
      <c r="I2257" s="66"/>
      <c r="J2257" s="69"/>
      <c r="K2257" s="67"/>
      <c r="L2257" s="67"/>
      <c r="M2257" s="67"/>
      <c r="N2257" s="67"/>
      <c r="O2257" s="64"/>
      <c r="P2257" s="72" t="str">
        <f aca="false">IF(OR(B2257="",C2257=""),"",C2257&amp;"|"&amp;(YEAR(B2257)*100+MONTH(B2257)))</f>
        <v/>
      </c>
      <c r="Q2257" s="70" t="str">
        <f aca="false">IF(P2257="","",IF(COUNTIF(N_CLAVE,P2257)&gt;1,"⚠ Duplicado","OK"))</f>
        <v/>
      </c>
      <c r="R2257" s="74" t="str">
        <f aca="false">IF(OR(P2257="",U2257=""),"",MAX(0,U2257-N(E2257)-N(F2257)-N(H2257)))</f>
        <v/>
      </c>
      <c r="S2257" s="75" t="str">
        <f aca="false">IF(P2257="","",IFERROR(INDEX(T_INGRESO,MATCH(C2257,T_ID,0)),""))</f>
        <v/>
      </c>
      <c r="T2257" s="75" t="str">
        <f aca="false">IF(P2257="","",IFERROR(N(INDEX(T_EGRESO,MATCH(C2257,T_ID,0))),0))</f>
        <v/>
      </c>
      <c r="U2257" s="73" t="str">
        <f aca="false">IF(OR(P2257="",NOT(ISNUMBER(S2257))),"",IF(OR(S2257&gt;EOMONTH(B2257,0),AND(T2257&gt;0,T2257&lt;B2257)),0,IF(AND(S2257&lt;=B2257,OR(T2257=0,T2257&gt;=EOMONTH(B2257,0))),30,MIN(30,IF(T2257=0,EOMONTH(B2257,0),MIN(T2257,EOMONTH(B2257,0)))-MAX(B2257,S2257)+1))))</f>
        <v/>
      </c>
    </row>
    <row r="2258" customFormat="false" ht="15" hidden="false" customHeight="false" outlineLevel="0" collapsed="false">
      <c r="B2258" s="78"/>
      <c r="C2258" s="64"/>
      <c r="D2258" s="70" t="str">
        <f aca="false">IF(C2258="","",IFERROR(INDEX(T_NOMBRE,MATCH(C2258,T_ID,0)),"⚠ ID no existe"))</f>
        <v/>
      </c>
      <c r="E2258" s="69"/>
      <c r="F2258" s="69"/>
      <c r="G2258" s="69"/>
      <c r="H2258" s="69"/>
      <c r="I2258" s="66"/>
      <c r="J2258" s="69"/>
      <c r="K2258" s="67"/>
      <c r="L2258" s="67"/>
      <c r="M2258" s="67"/>
      <c r="N2258" s="67"/>
      <c r="O2258" s="64"/>
      <c r="P2258" s="72" t="str">
        <f aca="false">IF(OR(B2258="",C2258=""),"",C2258&amp;"|"&amp;(YEAR(B2258)*100+MONTH(B2258)))</f>
        <v/>
      </c>
      <c r="Q2258" s="70" t="str">
        <f aca="false">IF(P2258="","",IF(COUNTIF(N_CLAVE,P2258)&gt;1,"⚠ Duplicado","OK"))</f>
        <v/>
      </c>
      <c r="R2258" s="74" t="str">
        <f aca="false">IF(OR(P2258="",U2258=""),"",MAX(0,U2258-N(E2258)-N(F2258)-N(H2258)))</f>
        <v/>
      </c>
      <c r="S2258" s="75" t="str">
        <f aca="false">IF(P2258="","",IFERROR(INDEX(T_INGRESO,MATCH(C2258,T_ID,0)),""))</f>
        <v/>
      </c>
      <c r="T2258" s="75" t="str">
        <f aca="false">IF(P2258="","",IFERROR(N(INDEX(T_EGRESO,MATCH(C2258,T_ID,0))),0))</f>
        <v/>
      </c>
      <c r="U2258" s="73" t="str">
        <f aca="false">IF(OR(P2258="",NOT(ISNUMBER(S2258))),"",IF(OR(S2258&gt;EOMONTH(B2258,0),AND(T2258&gt;0,T2258&lt;B2258)),0,IF(AND(S2258&lt;=B2258,OR(T2258=0,T2258&gt;=EOMONTH(B2258,0))),30,MIN(30,IF(T2258=0,EOMONTH(B2258,0),MIN(T2258,EOMONTH(B2258,0)))-MAX(B2258,S2258)+1))))</f>
        <v/>
      </c>
    </row>
    <row r="2259" customFormat="false" ht="15" hidden="false" customHeight="false" outlineLevel="0" collapsed="false">
      <c r="B2259" s="78"/>
      <c r="C2259" s="64"/>
      <c r="D2259" s="70" t="str">
        <f aca="false">IF(C2259="","",IFERROR(INDEX(T_NOMBRE,MATCH(C2259,T_ID,0)),"⚠ ID no existe"))</f>
        <v/>
      </c>
      <c r="E2259" s="69"/>
      <c r="F2259" s="69"/>
      <c r="G2259" s="69"/>
      <c r="H2259" s="69"/>
      <c r="I2259" s="66"/>
      <c r="J2259" s="69"/>
      <c r="K2259" s="67"/>
      <c r="L2259" s="67"/>
      <c r="M2259" s="67"/>
      <c r="N2259" s="67"/>
      <c r="O2259" s="64"/>
      <c r="P2259" s="72" t="str">
        <f aca="false">IF(OR(B2259="",C2259=""),"",C2259&amp;"|"&amp;(YEAR(B2259)*100+MONTH(B2259)))</f>
        <v/>
      </c>
      <c r="Q2259" s="70" t="str">
        <f aca="false">IF(P2259="","",IF(COUNTIF(N_CLAVE,P2259)&gt;1,"⚠ Duplicado","OK"))</f>
        <v/>
      </c>
      <c r="R2259" s="74" t="str">
        <f aca="false">IF(OR(P2259="",U2259=""),"",MAX(0,U2259-N(E2259)-N(F2259)-N(H2259)))</f>
        <v/>
      </c>
      <c r="S2259" s="75" t="str">
        <f aca="false">IF(P2259="","",IFERROR(INDEX(T_INGRESO,MATCH(C2259,T_ID,0)),""))</f>
        <v/>
      </c>
      <c r="T2259" s="75" t="str">
        <f aca="false">IF(P2259="","",IFERROR(N(INDEX(T_EGRESO,MATCH(C2259,T_ID,0))),0))</f>
        <v/>
      </c>
      <c r="U2259" s="73" t="str">
        <f aca="false">IF(OR(P2259="",NOT(ISNUMBER(S2259))),"",IF(OR(S2259&gt;EOMONTH(B2259,0),AND(T2259&gt;0,T2259&lt;B2259)),0,IF(AND(S2259&lt;=B2259,OR(T2259=0,T2259&gt;=EOMONTH(B2259,0))),30,MIN(30,IF(T2259=0,EOMONTH(B2259,0),MIN(T2259,EOMONTH(B2259,0)))-MAX(B2259,S2259)+1))))</f>
        <v/>
      </c>
    </row>
    <row r="2260" customFormat="false" ht="15" hidden="false" customHeight="false" outlineLevel="0" collapsed="false">
      <c r="B2260" s="78"/>
      <c r="C2260" s="64"/>
      <c r="D2260" s="70" t="str">
        <f aca="false">IF(C2260="","",IFERROR(INDEX(T_NOMBRE,MATCH(C2260,T_ID,0)),"⚠ ID no existe"))</f>
        <v/>
      </c>
      <c r="E2260" s="69"/>
      <c r="F2260" s="69"/>
      <c r="G2260" s="69"/>
      <c r="H2260" s="69"/>
      <c r="I2260" s="66"/>
      <c r="J2260" s="69"/>
      <c r="K2260" s="67"/>
      <c r="L2260" s="67"/>
      <c r="M2260" s="67"/>
      <c r="N2260" s="67"/>
      <c r="O2260" s="64"/>
      <c r="P2260" s="72" t="str">
        <f aca="false">IF(OR(B2260="",C2260=""),"",C2260&amp;"|"&amp;(YEAR(B2260)*100+MONTH(B2260)))</f>
        <v/>
      </c>
      <c r="Q2260" s="70" t="str">
        <f aca="false">IF(P2260="","",IF(COUNTIF(N_CLAVE,P2260)&gt;1,"⚠ Duplicado","OK"))</f>
        <v/>
      </c>
      <c r="R2260" s="74" t="str">
        <f aca="false">IF(OR(P2260="",U2260=""),"",MAX(0,U2260-N(E2260)-N(F2260)-N(H2260)))</f>
        <v/>
      </c>
      <c r="S2260" s="75" t="str">
        <f aca="false">IF(P2260="","",IFERROR(INDEX(T_INGRESO,MATCH(C2260,T_ID,0)),""))</f>
        <v/>
      </c>
      <c r="T2260" s="75" t="str">
        <f aca="false">IF(P2260="","",IFERROR(N(INDEX(T_EGRESO,MATCH(C2260,T_ID,0))),0))</f>
        <v/>
      </c>
      <c r="U2260" s="73" t="str">
        <f aca="false">IF(OR(P2260="",NOT(ISNUMBER(S2260))),"",IF(OR(S2260&gt;EOMONTH(B2260,0),AND(T2260&gt;0,T2260&lt;B2260)),0,IF(AND(S2260&lt;=B2260,OR(T2260=0,T2260&gt;=EOMONTH(B2260,0))),30,MIN(30,IF(T2260=0,EOMONTH(B2260,0),MIN(T2260,EOMONTH(B2260,0)))-MAX(B2260,S2260)+1))))</f>
        <v/>
      </c>
    </row>
    <row r="2261" customFormat="false" ht="15" hidden="false" customHeight="false" outlineLevel="0" collapsed="false">
      <c r="B2261" s="78"/>
      <c r="C2261" s="64"/>
      <c r="D2261" s="70" t="str">
        <f aca="false">IF(C2261="","",IFERROR(INDEX(T_NOMBRE,MATCH(C2261,T_ID,0)),"⚠ ID no existe"))</f>
        <v/>
      </c>
      <c r="E2261" s="69"/>
      <c r="F2261" s="69"/>
      <c r="G2261" s="69"/>
      <c r="H2261" s="69"/>
      <c r="I2261" s="66"/>
      <c r="J2261" s="69"/>
      <c r="K2261" s="67"/>
      <c r="L2261" s="67"/>
      <c r="M2261" s="67"/>
      <c r="N2261" s="67"/>
      <c r="O2261" s="64"/>
      <c r="P2261" s="72" t="str">
        <f aca="false">IF(OR(B2261="",C2261=""),"",C2261&amp;"|"&amp;(YEAR(B2261)*100+MONTH(B2261)))</f>
        <v/>
      </c>
      <c r="Q2261" s="70" t="str">
        <f aca="false">IF(P2261="","",IF(COUNTIF(N_CLAVE,P2261)&gt;1,"⚠ Duplicado","OK"))</f>
        <v/>
      </c>
      <c r="R2261" s="74" t="str">
        <f aca="false">IF(OR(P2261="",U2261=""),"",MAX(0,U2261-N(E2261)-N(F2261)-N(H2261)))</f>
        <v/>
      </c>
      <c r="S2261" s="75" t="str">
        <f aca="false">IF(P2261="","",IFERROR(INDEX(T_INGRESO,MATCH(C2261,T_ID,0)),""))</f>
        <v/>
      </c>
      <c r="T2261" s="75" t="str">
        <f aca="false">IF(P2261="","",IFERROR(N(INDEX(T_EGRESO,MATCH(C2261,T_ID,0))),0))</f>
        <v/>
      </c>
      <c r="U2261" s="73" t="str">
        <f aca="false">IF(OR(P2261="",NOT(ISNUMBER(S2261))),"",IF(OR(S2261&gt;EOMONTH(B2261,0),AND(T2261&gt;0,T2261&lt;B2261)),0,IF(AND(S2261&lt;=B2261,OR(T2261=0,T2261&gt;=EOMONTH(B2261,0))),30,MIN(30,IF(T2261=0,EOMONTH(B2261,0),MIN(T2261,EOMONTH(B2261,0)))-MAX(B2261,S2261)+1))))</f>
        <v/>
      </c>
    </row>
    <row r="2262" customFormat="false" ht="15" hidden="false" customHeight="false" outlineLevel="0" collapsed="false">
      <c r="B2262" s="78"/>
      <c r="C2262" s="64"/>
      <c r="D2262" s="70" t="str">
        <f aca="false">IF(C2262="","",IFERROR(INDEX(T_NOMBRE,MATCH(C2262,T_ID,0)),"⚠ ID no existe"))</f>
        <v/>
      </c>
      <c r="E2262" s="69"/>
      <c r="F2262" s="69"/>
      <c r="G2262" s="69"/>
      <c r="H2262" s="69"/>
      <c r="I2262" s="66"/>
      <c r="J2262" s="69"/>
      <c r="K2262" s="67"/>
      <c r="L2262" s="67"/>
      <c r="M2262" s="67"/>
      <c r="N2262" s="67"/>
      <c r="O2262" s="64"/>
      <c r="P2262" s="72" t="str">
        <f aca="false">IF(OR(B2262="",C2262=""),"",C2262&amp;"|"&amp;(YEAR(B2262)*100+MONTH(B2262)))</f>
        <v/>
      </c>
      <c r="Q2262" s="70" t="str">
        <f aca="false">IF(P2262="","",IF(COUNTIF(N_CLAVE,P2262)&gt;1,"⚠ Duplicado","OK"))</f>
        <v/>
      </c>
      <c r="R2262" s="74" t="str">
        <f aca="false">IF(OR(P2262="",U2262=""),"",MAX(0,U2262-N(E2262)-N(F2262)-N(H2262)))</f>
        <v/>
      </c>
      <c r="S2262" s="75" t="str">
        <f aca="false">IF(P2262="","",IFERROR(INDEX(T_INGRESO,MATCH(C2262,T_ID,0)),""))</f>
        <v/>
      </c>
      <c r="T2262" s="75" t="str">
        <f aca="false">IF(P2262="","",IFERROR(N(INDEX(T_EGRESO,MATCH(C2262,T_ID,0))),0))</f>
        <v/>
      </c>
      <c r="U2262" s="73" t="str">
        <f aca="false">IF(OR(P2262="",NOT(ISNUMBER(S2262))),"",IF(OR(S2262&gt;EOMONTH(B2262,0),AND(T2262&gt;0,T2262&lt;B2262)),0,IF(AND(S2262&lt;=B2262,OR(T2262=0,T2262&gt;=EOMONTH(B2262,0))),30,MIN(30,IF(T2262=0,EOMONTH(B2262,0),MIN(T2262,EOMONTH(B2262,0)))-MAX(B2262,S2262)+1))))</f>
        <v/>
      </c>
    </row>
    <row r="2263" customFormat="false" ht="15" hidden="false" customHeight="false" outlineLevel="0" collapsed="false">
      <c r="B2263" s="78"/>
      <c r="C2263" s="64"/>
      <c r="D2263" s="70" t="str">
        <f aca="false">IF(C2263="","",IFERROR(INDEX(T_NOMBRE,MATCH(C2263,T_ID,0)),"⚠ ID no existe"))</f>
        <v/>
      </c>
      <c r="E2263" s="69"/>
      <c r="F2263" s="69"/>
      <c r="G2263" s="69"/>
      <c r="H2263" s="69"/>
      <c r="I2263" s="66"/>
      <c r="J2263" s="69"/>
      <c r="K2263" s="67"/>
      <c r="L2263" s="67"/>
      <c r="M2263" s="67"/>
      <c r="N2263" s="67"/>
      <c r="O2263" s="64"/>
      <c r="P2263" s="72" t="str">
        <f aca="false">IF(OR(B2263="",C2263=""),"",C2263&amp;"|"&amp;(YEAR(B2263)*100+MONTH(B2263)))</f>
        <v/>
      </c>
      <c r="Q2263" s="70" t="str">
        <f aca="false">IF(P2263="","",IF(COUNTIF(N_CLAVE,P2263)&gt;1,"⚠ Duplicado","OK"))</f>
        <v/>
      </c>
      <c r="R2263" s="74" t="str">
        <f aca="false">IF(OR(P2263="",U2263=""),"",MAX(0,U2263-N(E2263)-N(F2263)-N(H2263)))</f>
        <v/>
      </c>
      <c r="S2263" s="75" t="str">
        <f aca="false">IF(P2263="","",IFERROR(INDEX(T_INGRESO,MATCH(C2263,T_ID,0)),""))</f>
        <v/>
      </c>
      <c r="T2263" s="75" t="str">
        <f aca="false">IF(P2263="","",IFERROR(N(INDEX(T_EGRESO,MATCH(C2263,T_ID,0))),0))</f>
        <v/>
      </c>
      <c r="U2263" s="73" t="str">
        <f aca="false">IF(OR(P2263="",NOT(ISNUMBER(S2263))),"",IF(OR(S2263&gt;EOMONTH(B2263,0),AND(T2263&gt;0,T2263&lt;B2263)),0,IF(AND(S2263&lt;=B2263,OR(T2263=0,T2263&gt;=EOMONTH(B2263,0))),30,MIN(30,IF(T2263=0,EOMONTH(B2263,0),MIN(T2263,EOMONTH(B2263,0)))-MAX(B2263,S2263)+1))))</f>
        <v/>
      </c>
    </row>
    <row r="2264" customFormat="false" ht="15" hidden="false" customHeight="false" outlineLevel="0" collapsed="false">
      <c r="B2264" s="78"/>
      <c r="C2264" s="64"/>
      <c r="D2264" s="70" t="str">
        <f aca="false">IF(C2264="","",IFERROR(INDEX(T_NOMBRE,MATCH(C2264,T_ID,0)),"⚠ ID no existe"))</f>
        <v/>
      </c>
      <c r="E2264" s="69"/>
      <c r="F2264" s="69"/>
      <c r="G2264" s="69"/>
      <c r="H2264" s="69"/>
      <c r="I2264" s="66"/>
      <c r="J2264" s="69"/>
      <c r="K2264" s="67"/>
      <c r="L2264" s="67"/>
      <c r="M2264" s="67"/>
      <c r="N2264" s="67"/>
      <c r="O2264" s="64"/>
      <c r="P2264" s="72" t="str">
        <f aca="false">IF(OR(B2264="",C2264=""),"",C2264&amp;"|"&amp;(YEAR(B2264)*100+MONTH(B2264)))</f>
        <v/>
      </c>
      <c r="Q2264" s="70" t="str">
        <f aca="false">IF(P2264="","",IF(COUNTIF(N_CLAVE,P2264)&gt;1,"⚠ Duplicado","OK"))</f>
        <v/>
      </c>
      <c r="R2264" s="74" t="str">
        <f aca="false">IF(OR(P2264="",U2264=""),"",MAX(0,U2264-N(E2264)-N(F2264)-N(H2264)))</f>
        <v/>
      </c>
      <c r="S2264" s="75" t="str">
        <f aca="false">IF(P2264="","",IFERROR(INDEX(T_INGRESO,MATCH(C2264,T_ID,0)),""))</f>
        <v/>
      </c>
      <c r="T2264" s="75" t="str">
        <f aca="false">IF(P2264="","",IFERROR(N(INDEX(T_EGRESO,MATCH(C2264,T_ID,0))),0))</f>
        <v/>
      </c>
      <c r="U2264" s="73" t="str">
        <f aca="false">IF(OR(P2264="",NOT(ISNUMBER(S2264))),"",IF(OR(S2264&gt;EOMONTH(B2264,0),AND(T2264&gt;0,T2264&lt;B2264)),0,IF(AND(S2264&lt;=B2264,OR(T2264=0,T2264&gt;=EOMONTH(B2264,0))),30,MIN(30,IF(T2264=0,EOMONTH(B2264,0),MIN(T2264,EOMONTH(B2264,0)))-MAX(B2264,S2264)+1))))</f>
        <v/>
      </c>
    </row>
    <row r="2265" customFormat="false" ht="15" hidden="false" customHeight="false" outlineLevel="0" collapsed="false">
      <c r="B2265" s="78"/>
      <c r="C2265" s="64"/>
      <c r="D2265" s="70" t="str">
        <f aca="false">IF(C2265="","",IFERROR(INDEX(T_NOMBRE,MATCH(C2265,T_ID,0)),"⚠ ID no existe"))</f>
        <v/>
      </c>
      <c r="E2265" s="69"/>
      <c r="F2265" s="69"/>
      <c r="G2265" s="69"/>
      <c r="H2265" s="69"/>
      <c r="I2265" s="66"/>
      <c r="J2265" s="69"/>
      <c r="K2265" s="67"/>
      <c r="L2265" s="67"/>
      <c r="M2265" s="67"/>
      <c r="N2265" s="67"/>
      <c r="O2265" s="64"/>
      <c r="P2265" s="72" t="str">
        <f aca="false">IF(OR(B2265="",C2265=""),"",C2265&amp;"|"&amp;(YEAR(B2265)*100+MONTH(B2265)))</f>
        <v/>
      </c>
      <c r="Q2265" s="70" t="str">
        <f aca="false">IF(P2265="","",IF(COUNTIF(N_CLAVE,P2265)&gt;1,"⚠ Duplicado","OK"))</f>
        <v/>
      </c>
      <c r="R2265" s="74" t="str">
        <f aca="false">IF(OR(P2265="",U2265=""),"",MAX(0,U2265-N(E2265)-N(F2265)-N(H2265)))</f>
        <v/>
      </c>
      <c r="S2265" s="75" t="str">
        <f aca="false">IF(P2265="","",IFERROR(INDEX(T_INGRESO,MATCH(C2265,T_ID,0)),""))</f>
        <v/>
      </c>
      <c r="T2265" s="75" t="str">
        <f aca="false">IF(P2265="","",IFERROR(N(INDEX(T_EGRESO,MATCH(C2265,T_ID,0))),0))</f>
        <v/>
      </c>
      <c r="U2265" s="73" t="str">
        <f aca="false">IF(OR(P2265="",NOT(ISNUMBER(S2265))),"",IF(OR(S2265&gt;EOMONTH(B2265,0),AND(T2265&gt;0,T2265&lt;B2265)),0,IF(AND(S2265&lt;=B2265,OR(T2265=0,T2265&gt;=EOMONTH(B2265,0))),30,MIN(30,IF(T2265=0,EOMONTH(B2265,0),MIN(T2265,EOMONTH(B2265,0)))-MAX(B2265,S2265)+1))))</f>
        <v/>
      </c>
    </row>
    <row r="2266" customFormat="false" ht="15" hidden="false" customHeight="false" outlineLevel="0" collapsed="false">
      <c r="B2266" s="78"/>
      <c r="C2266" s="64"/>
      <c r="D2266" s="70" t="str">
        <f aca="false">IF(C2266="","",IFERROR(INDEX(T_NOMBRE,MATCH(C2266,T_ID,0)),"⚠ ID no existe"))</f>
        <v/>
      </c>
      <c r="E2266" s="69"/>
      <c r="F2266" s="69"/>
      <c r="G2266" s="69"/>
      <c r="H2266" s="69"/>
      <c r="I2266" s="66"/>
      <c r="J2266" s="69"/>
      <c r="K2266" s="67"/>
      <c r="L2266" s="67"/>
      <c r="M2266" s="67"/>
      <c r="N2266" s="67"/>
      <c r="O2266" s="64"/>
      <c r="P2266" s="72" t="str">
        <f aca="false">IF(OR(B2266="",C2266=""),"",C2266&amp;"|"&amp;(YEAR(B2266)*100+MONTH(B2266)))</f>
        <v/>
      </c>
      <c r="Q2266" s="70" t="str">
        <f aca="false">IF(P2266="","",IF(COUNTIF(N_CLAVE,P2266)&gt;1,"⚠ Duplicado","OK"))</f>
        <v/>
      </c>
      <c r="R2266" s="74" t="str">
        <f aca="false">IF(OR(P2266="",U2266=""),"",MAX(0,U2266-N(E2266)-N(F2266)-N(H2266)))</f>
        <v/>
      </c>
      <c r="S2266" s="75" t="str">
        <f aca="false">IF(P2266="","",IFERROR(INDEX(T_INGRESO,MATCH(C2266,T_ID,0)),""))</f>
        <v/>
      </c>
      <c r="T2266" s="75" t="str">
        <f aca="false">IF(P2266="","",IFERROR(N(INDEX(T_EGRESO,MATCH(C2266,T_ID,0))),0))</f>
        <v/>
      </c>
      <c r="U2266" s="73" t="str">
        <f aca="false">IF(OR(P2266="",NOT(ISNUMBER(S2266))),"",IF(OR(S2266&gt;EOMONTH(B2266,0),AND(T2266&gt;0,T2266&lt;B2266)),0,IF(AND(S2266&lt;=B2266,OR(T2266=0,T2266&gt;=EOMONTH(B2266,0))),30,MIN(30,IF(T2266=0,EOMONTH(B2266,0),MIN(T2266,EOMONTH(B2266,0)))-MAX(B2266,S2266)+1))))</f>
        <v/>
      </c>
    </row>
    <row r="2267" customFormat="false" ht="15" hidden="false" customHeight="false" outlineLevel="0" collapsed="false">
      <c r="B2267" s="78"/>
      <c r="C2267" s="64"/>
      <c r="D2267" s="70" t="str">
        <f aca="false">IF(C2267="","",IFERROR(INDEX(T_NOMBRE,MATCH(C2267,T_ID,0)),"⚠ ID no existe"))</f>
        <v/>
      </c>
      <c r="E2267" s="69"/>
      <c r="F2267" s="69"/>
      <c r="G2267" s="69"/>
      <c r="H2267" s="69"/>
      <c r="I2267" s="66"/>
      <c r="J2267" s="69"/>
      <c r="K2267" s="67"/>
      <c r="L2267" s="67"/>
      <c r="M2267" s="67"/>
      <c r="N2267" s="67"/>
      <c r="O2267" s="64"/>
      <c r="P2267" s="72" t="str">
        <f aca="false">IF(OR(B2267="",C2267=""),"",C2267&amp;"|"&amp;(YEAR(B2267)*100+MONTH(B2267)))</f>
        <v/>
      </c>
      <c r="Q2267" s="70" t="str">
        <f aca="false">IF(P2267="","",IF(COUNTIF(N_CLAVE,P2267)&gt;1,"⚠ Duplicado","OK"))</f>
        <v/>
      </c>
      <c r="R2267" s="74" t="str">
        <f aca="false">IF(OR(P2267="",U2267=""),"",MAX(0,U2267-N(E2267)-N(F2267)-N(H2267)))</f>
        <v/>
      </c>
      <c r="S2267" s="75" t="str">
        <f aca="false">IF(P2267="","",IFERROR(INDEX(T_INGRESO,MATCH(C2267,T_ID,0)),""))</f>
        <v/>
      </c>
      <c r="T2267" s="75" t="str">
        <f aca="false">IF(P2267="","",IFERROR(N(INDEX(T_EGRESO,MATCH(C2267,T_ID,0))),0))</f>
        <v/>
      </c>
      <c r="U2267" s="73" t="str">
        <f aca="false">IF(OR(P2267="",NOT(ISNUMBER(S2267))),"",IF(OR(S2267&gt;EOMONTH(B2267,0),AND(T2267&gt;0,T2267&lt;B2267)),0,IF(AND(S2267&lt;=B2267,OR(T2267=0,T2267&gt;=EOMONTH(B2267,0))),30,MIN(30,IF(T2267=0,EOMONTH(B2267,0),MIN(T2267,EOMONTH(B2267,0)))-MAX(B2267,S2267)+1))))</f>
        <v/>
      </c>
    </row>
    <row r="2268" customFormat="false" ht="15" hidden="false" customHeight="false" outlineLevel="0" collapsed="false">
      <c r="B2268" s="78"/>
      <c r="C2268" s="64"/>
      <c r="D2268" s="70" t="str">
        <f aca="false">IF(C2268="","",IFERROR(INDEX(T_NOMBRE,MATCH(C2268,T_ID,0)),"⚠ ID no existe"))</f>
        <v/>
      </c>
      <c r="E2268" s="69"/>
      <c r="F2268" s="69"/>
      <c r="G2268" s="69"/>
      <c r="H2268" s="69"/>
      <c r="I2268" s="66"/>
      <c r="J2268" s="69"/>
      <c r="K2268" s="67"/>
      <c r="L2268" s="67"/>
      <c r="M2268" s="67"/>
      <c r="N2268" s="67"/>
      <c r="O2268" s="64"/>
      <c r="P2268" s="72" t="str">
        <f aca="false">IF(OR(B2268="",C2268=""),"",C2268&amp;"|"&amp;(YEAR(B2268)*100+MONTH(B2268)))</f>
        <v/>
      </c>
      <c r="Q2268" s="70" t="str">
        <f aca="false">IF(P2268="","",IF(COUNTIF(N_CLAVE,P2268)&gt;1,"⚠ Duplicado","OK"))</f>
        <v/>
      </c>
      <c r="R2268" s="74" t="str">
        <f aca="false">IF(OR(P2268="",U2268=""),"",MAX(0,U2268-N(E2268)-N(F2268)-N(H2268)))</f>
        <v/>
      </c>
      <c r="S2268" s="75" t="str">
        <f aca="false">IF(P2268="","",IFERROR(INDEX(T_INGRESO,MATCH(C2268,T_ID,0)),""))</f>
        <v/>
      </c>
      <c r="T2268" s="75" t="str">
        <f aca="false">IF(P2268="","",IFERROR(N(INDEX(T_EGRESO,MATCH(C2268,T_ID,0))),0))</f>
        <v/>
      </c>
      <c r="U2268" s="73" t="str">
        <f aca="false">IF(OR(P2268="",NOT(ISNUMBER(S2268))),"",IF(OR(S2268&gt;EOMONTH(B2268,0),AND(T2268&gt;0,T2268&lt;B2268)),0,IF(AND(S2268&lt;=B2268,OR(T2268=0,T2268&gt;=EOMONTH(B2268,0))),30,MIN(30,IF(T2268=0,EOMONTH(B2268,0),MIN(T2268,EOMONTH(B2268,0)))-MAX(B2268,S2268)+1))))</f>
        <v/>
      </c>
    </row>
    <row r="2269" customFormat="false" ht="15" hidden="false" customHeight="false" outlineLevel="0" collapsed="false">
      <c r="B2269" s="78"/>
      <c r="C2269" s="64"/>
      <c r="D2269" s="70" t="str">
        <f aca="false">IF(C2269="","",IFERROR(INDEX(T_NOMBRE,MATCH(C2269,T_ID,0)),"⚠ ID no existe"))</f>
        <v/>
      </c>
      <c r="E2269" s="69"/>
      <c r="F2269" s="69"/>
      <c r="G2269" s="69"/>
      <c r="H2269" s="69"/>
      <c r="I2269" s="66"/>
      <c r="J2269" s="69"/>
      <c r="K2269" s="67"/>
      <c r="L2269" s="67"/>
      <c r="M2269" s="67"/>
      <c r="N2269" s="67"/>
      <c r="O2269" s="64"/>
      <c r="P2269" s="72" t="str">
        <f aca="false">IF(OR(B2269="",C2269=""),"",C2269&amp;"|"&amp;(YEAR(B2269)*100+MONTH(B2269)))</f>
        <v/>
      </c>
      <c r="Q2269" s="70" t="str">
        <f aca="false">IF(P2269="","",IF(COUNTIF(N_CLAVE,P2269)&gt;1,"⚠ Duplicado","OK"))</f>
        <v/>
      </c>
      <c r="R2269" s="74" t="str">
        <f aca="false">IF(OR(P2269="",U2269=""),"",MAX(0,U2269-N(E2269)-N(F2269)-N(H2269)))</f>
        <v/>
      </c>
      <c r="S2269" s="75" t="str">
        <f aca="false">IF(P2269="","",IFERROR(INDEX(T_INGRESO,MATCH(C2269,T_ID,0)),""))</f>
        <v/>
      </c>
      <c r="T2269" s="75" t="str">
        <f aca="false">IF(P2269="","",IFERROR(N(INDEX(T_EGRESO,MATCH(C2269,T_ID,0))),0))</f>
        <v/>
      </c>
      <c r="U2269" s="73" t="str">
        <f aca="false">IF(OR(P2269="",NOT(ISNUMBER(S2269))),"",IF(OR(S2269&gt;EOMONTH(B2269,0),AND(T2269&gt;0,T2269&lt;B2269)),0,IF(AND(S2269&lt;=B2269,OR(T2269=0,T2269&gt;=EOMONTH(B2269,0))),30,MIN(30,IF(T2269=0,EOMONTH(B2269,0),MIN(T2269,EOMONTH(B2269,0)))-MAX(B2269,S2269)+1))))</f>
        <v/>
      </c>
    </row>
    <row r="2270" customFormat="false" ht="15" hidden="false" customHeight="false" outlineLevel="0" collapsed="false">
      <c r="B2270" s="78"/>
      <c r="C2270" s="64"/>
      <c r="D2270" s="70" t="str">
        <f aca="false">IF(C2270="","",IFERROR(INDEX(T_NOMBRE,MATCH(C2270,T_ID,0)),"⚠ ID no existe"))</f>
        <v/>
      </c>
      <c r="E2270" s="69"/>
      <c r="F2270" s="69"/>
      <c r="G2270" s="69"/>
      <c r="H2270" s="69"/>
      <c r="I2270" s="66"/>
      <c r="J2270" s="69"/>
      <c r="K2270" s="67"/>
      <c r="L2270" s="67"/>
      <c r="M2270" s="67"/>
      <c r="N2270" s="67"/>
      <c r="O2270" s="64"/>
      <c r="P2270" s="72" t="str">
        <f aca="false">IF(OR(B2270="",C2270=""),"",C2270&amp;"|"&amp;(YEAR(B2270)*100+MONTH(B2270)))</f>
        <v/>
      </c>
      <c r="Q2270" s="70" t="str">
        <f aca="false">IF(P2270="","",IF(COUNTIF(N_CLAVE,P2270)&gt;1,"⚠ Duplicado","OK"))</f>
        <v/>
      </c>
      <c r="R2270" s="74" t="str">
        <f aca="false">IF(OR(P2270="",U2270=""),"",MAX(0,U2270-N(E2270)-N(F2270)-N(H2270)))</f>
        <v/>
      </c>
      <c r="S2270" s="75" t="str">
        <f aca="false">IF(P2270="","",IFERROR(INDEX(T_INGRESO,MATCH(C2270,T_ID,0)),""))</f>
        <v/>
      </c>
      <c r="T2270" s="75" t="str">
        <f aca="false">IF(P2270="","",IFERROR(N(INDEX(T_EGRESO,MATCH(C2270,T_ID,0))),0))</f>
        <v/>
      </c>
      <c r="U2270" s="73" t="str">
        <f aca="false">IF(OR(P2270="",NOT(ISNUMBER(S2270))),"",IF(OR(S2270&gt;EOMONTH(B2270,0),AND(T2270&gt;0,T2270&lt;B2270)),0,IF(AND(S2270&lt;=B2270,OR(T2270=0,T2270&gt;=EOMONTH(B2270,0))),30,MIN(30,IF(T2270=0,EOMONTH(B2270,0),MIN(T2270,EOMONTH(B2270,0)))-MAX(B2270,S2270)+1))))</f>
        <v/>
      </c>
    </row>
    <row r="2271" customFormat="false" ht="15" hidden="false" customHeight="false" outlineLevel="0" collapsed="false">
      <c r="B2271" s="78"/>
      <c r="C2271" s="64"/>
      <c r="D2271" s="70" t="str">
        <f aca="false">IF(C2271="","",IFERROR(INDEX(T_NOMBRE,MATCH(C2271,T_ID,0)),"⚠ ID no existe"))</f>
        <v/>
      </c>
      <c r="E2271" s="69"/>
      <c r="F2271" s="69"/>
      <c r="G2271" s="69"/>
      <c r="H2271" s="69"/>
      <c r="I2271" s="66"/>
      <c r="J2271" s="69"/>
      <c r="K2271" s="67"/>
      <c r="L2271" s="67"/>
      <c r="M2271" s="67"/>
      <c r="N2271" s="67"/>
      <c r="O2271" s="64"/>
      <c r="P2271" s="72" t="str">
        <f aca="false">IF(OR(B2271="",C2271=""),"",C2271&amp;"|"&amp;(YEAR(B2271)*100+MONTH(B2271)))</f>
        <v/>
      </c>
      <c r="Q2271" s="70" t="str">
        <f aca="false">IF(P2271="","",IF(COUNTIF(N_CLAVE,P2271)&gt;1,"⚠ Duplicado","OK"))</f>
        <v/>
      </c>
      <c r="R2271" s="74" t="str">
        <f aca="false">IF(OR(P2271="",U2271=""),"",MAX(0,U2271-N(E2271)-N(F2271)-N(H2271)))</f>
        <v/>
      </c>
      <c r="S2271" s="75" t="str">
        <f aca="false">IF(P2271="","",IFERROR(INDEX(T_INGRESO,MATCH(C2271,T_ID,0)),""))</f>
        <v/>
      </c>
      <c r="T2271" s="75" t="str">
        <f aca="false">IF(P2271="","",IFERROR(N(INDEX(T_EGRESO,MATCH(C2271,T_ID,0))),0))</f>
        <v/>
      </c>
      <c r="U2271" s="73" t="str">
        <f aca="false">IF(OR(P2271="",NOT(ISNUMBER(S2271))),"",IF(OR(S2271&gt;EOMONTH(B2271,0),AND(T2271&gt;0,T2271&lt;B2271)),0,IF(AND(S2271&lt;=B2271,OR(T2271=0,T2271&gt;=EOMONTH(B2271,0))),30,MIN(30,IF(T2271=0,EOMONTH(B2271,0),MIN(T2271,EOMONTH(B2271,0)))-MAX(B2271,S2271)+1))))</f>
        <v/>
      </c>
    </row>
    <row r="2272" customFormat="false" ht="15" hidden="false" customHeight="false" outlineLevel="0" collapsed="false">
      <c r="B2272" s="78"/>
      <c r="C2272" s="64"/>
      <c r="D2272" s="70" t="str">
        <f aca="false">IF(C2272="","",IFERROR(INDEX(T_NOMBRE,MATCH(C2272,T_ID,0)),"⚠ ID no existe"))</f>
        <v/>
      </c>
      <c r="E2272" s="69"/>
      <c r="F2272" s="69"/>
      <c r="G2272" s="69"/>
      <c r="H2272" s="69"/>
      <c r="I2272" s="66"/>
      <c r="J2272" s="69"/>
      <c r="K2272" s="67"/>
      <c r="L2272" s="67"/>
      <c r="M2272" s="67"/>
      <c r="N2272" s="67"/>
      <c r="O2272" s="64"/>
      <c r="P2272" s="72" t="str">
        <f aca="false">IF(OR(B2272="",C2272=""),"",C2272&amp;"|"&amp;(YEAR(B2272)*100+MONTH(B2272)))</f>
        <v/>
      </c>
      <c r="Q2272" s="70" t="str">
        <f aca="false">IF(P2272="","",IF(COUNTIF(N_CLAVE,P2272)&gt;1,"⚠ Duplicado","OK"))</f>
        <v/>
      </c>
      <c r="R2272" s="74" t="str">
        <f aca="false">IF(OR(P2272="",U2272=""),"",MAX(0,U2272-N(E2272)-N(F2272)-N(H2272)))</f>
        <v/>
      </c>
      <c r="S2272" s="75" t="str">
        <f aca="false">IF(P2272="","",IFERROR(INDEX(T_INGRESO,MATCH(C2272,T_ID,0)),""))</f>
        <v/>
      </c>
      <c r="T2272" s="75" t="str">
        <f aca="false">IF(P2272="","",IFERROR(N(INDEX(T_EGRESO,MATCH(C2272,T_ID,0))),0))</f>
        <v/>
      </c>
      <c r="U2272" s="73" t="str">
        <f aca="false">IF(OR(P2272="",NOT(ISNUMBER(S2272))),"",IF(OR(S2272&gt;EOMONTH(B2272,0),AND(T2272&gt;0,T2272&lt;B2272)),0,IF(AND(S2272&lt;=B2272,OR(T2272=0,T2272&gt;=EOMONTH(B2272,0))),30,MIN(30,IF(T2272=0,EOMONTH(B2272,0),MIN(T2272,EOMONTH(B2272,0)))-MAX(B2272,S2272)+1))))</f>
        <v/>
      </c>
    </row>
    <row r="2273" customFormat="false" ht="15" hidden="false" customHeight="false" outlineLevel="0" collapsed="false">
      <c r="B2273" s="78"/>
      <c r="C2273" s="64"/>
      <c r="D2273" s="70" t="str">
        <f aca="false">IF(C2273="","",IFERROR(INDEX(T_NOMBRE,MATCH(C2273,T_ID,0)),"⚠ ID no existe"))</f>
        <v/>
      </c>
      <c r="E2273" s="69"/>
      <c r="F2273" s="69"/>
      <c r="G2273" s="69"/>
      <c r="H2273" s="69"/>
      <c r="I2273" s="66"/>
      <c r="J2273" s="69"/>
      <c r="K2273" s="67"/>
      <c r="L2273" s="67"/>
      <c r="M2273" s="67"/>
      <c r="N2273" s="67"/>
      <c r="O2273" s="64"/>
      <c r="P2273" s="72" t="str">
        <f aca="false">IF(OR(B2273="",C2273=""),"",C2273&amp;"|"&amp;(YEAR(B2273)*100+MONTH(B2273)))</f>
        <v/>
      </c>
      <c r="Q2273" s="70" t="str">
        <f aca="false">IF(P2273="","",IF(COUNTIF(N_CLAVE,P2273)&gt;1,"⚠ Duplicado","OK"))</f>
        <v/>
      </c>
      <c r="R2273" s="74" t="str">
        <f aca="false">IF(OR(P2273="",U2273=""),"",MAX(0,U2273-N(E2273)-N(F2273)-N(H2273)))</f>
        <v/>
      </c>
      <c r="S2273" s="75" t="str">
        <f aca="false">IF(P2273="","",IFERROR(INDEX(T_INGRESO,MATCH(C2273,T_ID,0)),""))</f>
        <v/>
      </c>
      <c r="T2273" s="75" t="str">
        <f aca="false">IF(P2273="","",IFERROR(N(INDEX(T_EGRESO,MATCH(C2273,T_ID,0))),0))</f>
        <v/>
      </c>
      <c r="U2273" s="73" t="str">
        <f aca="false">IF(OR(P2273="",NOT(ISNUMBER(S2273))),"",IF(OR(S2273&gt;EOMONTH(B2273,0),AND(T2273&gt;0,T2273&lt;B2273)),0,IF(AND(S2273&lt;=B2273,OR(T2273=0,T2273&gt;=EOMONTH(B2273,0))),30,MIN(30,IF(T2273=0,EOMONTH(B2273,0),MIN(T2273,EOMONTH(B2273,0)))-MAX(B2273,S2273)+1))))</f>
        <v/>
      </c>
    </row>
    <row r="2274" customFormat="false" ht="15" hidden="false" customHeight="false" outlineLevel="0" collapsed="false">
      <c r="B2274" s="78"/>
      <c r="C2274" s="64"/>
      <c r="D2274" s="70" t="str">
        <f aca="false">IF(C2274="","",IFERROR(INDEX(T_NOMBRE,MATCH(C2274,T_ID,0)),"⚠ ID no existe"))</f>
        <v/>
      </c>
      <c r="E2274" s="69"/>
      <c r="F2274" s="69"/>
      <c r="G2274" s="69"/>
      <c r="H2274" s="69"/>
      <c r="I2274" s="66"/>
      <c r="J2274" s="69"/>
      <c r="K2274" s="67"/>
      <c r="L2274" s="67"/>
      <c r="M2274" s="67"/>
      <c r="N2274" s="67"/>
      <c r="O2274" s="64"/>
      <c r="P2274" s="72" t="str">
        <f aca="false">IF(OR(B2274="",C2274=""),"",C2274&amp;"|"&amp;(YEAR(B2274)*100+MONTH(B2274)))</f>
        <v/>
      </c>
      <c r="Q2274" s="70" t="str">
        <f aca="false">IF(P2274="","",IF(COUNTIF(N_CLAVE,P2274)&gt;1,"⚠ Duplicado","OK"))</f>
        <v/>
      </c>
      <c r="R2274" s="74" t="str">
        <f aca="false">IF(OR(P2274="",U2274=""),"",MAX(0,U2274-N(E2274)-N(F2274)-N(H2274)))</f>
        <v/>
      </c>
      <c r="S2274" s="75" t="str">
        <f aca="false">IF(P2274="","",IFERROR(INDEX(T_INGRESO,MATCH(C2274,T_ID,0)),""))</f>
        <v/>
      </c>
      <c r="T2274" s="75" t="str">
        <f aca="false">IF(P2274="","",IFERROR(N(INDEX(T_EGRESO,MATCH(C2274,T_ID,0))),0))</f>
        <v/>
      </c>
      <c r="U2274" s="73" t="str">
        <f aca="false">IF(OR(P2274="",NOT(ISNUMBER(S2274))),"",IF(OR(S2274&gt;EOMONTH(B2274,0),AND(T2274&gt;0,T2274&lt;B2274)),0,IF(AND(S2274&lt;=B2274,OR(T2274=0,T2274&gt;=EOMONTH(B2274,0))),30,MIN(30,IF(T2274=0,EOMONTH(B2274,0),MIN(T2274,EOMONTH(B2274,0)))-MAX(B2274,S2274)+1))))</f>
        <v/>
      </c>
    </row>
    <row r="2275" customFormat="false" ht="15" hidden="false" customHeight="false" outlineLevel="0" collapsed="false">
      <c r="B2275" s="78"/>
      <c r="C2275" s="64"/>
      <c r="D2275" s="70" t="str">
        <f aca="false">IF(C2275="","",IFERROR(INDEX(T_NOMBRE,MATCH(C2275,T_ID,0)),"⚠ ID no existe"))</f>
        <v/>
      </c>
      <c r="E2275" s="69"/>
      <c r="F2275" s="69"/>
      <c r="G2275" s="69"/>
      <c r="H2275" s="69"/>
      <c r="I2275" s="66"/>
      <c r="J2275" s="69"/>
      <c r="K2275" s="67"/>
      <c r="L2275" s="67"/>
      <c r="M2275" s="67"/>
      <c r="N2275" s="67"/>
      <c r="O2275" s="64"/>
      <c r="P2275" s="72" t="str">
        <f aca="false">IF(OR(B2275="",C2275=""),"",C2275&amp;"|"&amp;(YEAR(B2275)*100+MONTH(B2275)))</f>
        <v/>
      </c>
      <c r="Q2275" s="70" t="str">
        <f aca="false">IF(P2275="","",IF(COUNTIF(N_CLAVE,P2275)&gt;1,"⚠ Duplicado","OK"))</f>
        <v/>
      </c>
      <c r="R2275" s="74" t="str">
        <f aca="false">IF(OR(P2275="",U2275=""),"",MAX(0,U2275-N(E2275)-N(F2275)-N(H2275)))</f>
        <v/>
      </c>
      <c r="S2275" s="75" t="str">
        <f aca="false">IF(P2275="","",IFERROR(INDEX(T_INGRESO,MATCH(C2275,T_ID,0)),""))</f>
        <v/>
      </c>
      <c r="T2275" s="75" t="str">
        <f aca="false">IF(P2275="","",IFERROR(N(INDEX(T_EGRESO,MATCH(C2275,T_ID,0))),0))</f>
        <v/>
      </c>
      <c r="U2275" s="73" t="str">
        <f aca="false">IF(OR(P2275="",NOT(ISNUMBER(S2275))),"",IF(OR(S2275&gt;EOMONTH(B2275,0),AND(T2275&gt;0,T2275&lt;B2275)),0,IF(AND(S2275&lt;=B2275,OR(T2275=0,T2275&gt;=EOMONTH(B2275,0))),30,MIN(30,IF(T2275=0,EOMONTH(B2275,0),MIN(T2275,EOMONTH(B2275,0)))-MAX(B2275,S2275)+1))))</f>
        <v/>
      </c>
    </row>
    <row r="2276" customFormat="false" ht="15" hidden="false" customHeight="false" outlineLevel="0" collapsed="false">
      <c r="B2276" s="78"/>
      <c r="C2276" s="64"/>
      <c r="D2276" s="70" t="str">
        <f aca="false">IF(C2276="","",IFERROR(INDEX(T_NOMBRE,MATCH(C2276,T_ID,0)),"⚠ ID no existe"))</f>
        <v/>
      </c>
      <c r="E2276" s="69"/>
      <c r="F2276" s="69"/>
      <c r="G2276" s="69"/>
      <c r="H2276" s="69"/>
      <c r="I2276" s="66"/>
      <c r="J2276" s="69"/>
      <c r="K2276" s="67"/>
      <c r="L2276" s="67"/>
      <c r="M2276" s="67"/>
      <c r="N2276" s="67"/>
      <c r="O2276" s="64"/>
      <c r="P2276" s="72" t="str">
        <f aca="false">IF(OR(B2276="",C2276=""),"",C2276&amp;"|"&amp;(YEAR(B2276)*100+MONTH(B2276)))</f>
        <v/>
      </c>
      <c r="Q2276" s="70" t="str">
        <f aca="false">IF(P2276="","",IF(COUNTIF(N_CLAVE,P2276)&gt;1,"⚠ Duplicado","OK"))</f>
        <v/>
      </c>
      <c r="R2276" s="74" t="str">
        <f aca="false">IF(OR(P2276="",U2276=""),"",MAX(0,U2276-N(E2276)-N(F2276)-N(H2276)))</f>
        <v/>
      </c>
      <c r="S2276" s="75" t="str">
        <f aca="false">IF(P2276="","",IFERROR(INDEX(T_INGRESO,MATCH(C2276,T_ID,0)),""))</f>
        <v/>
      </c>
      <c r="T2276" s="75" t="str">
        <f aca="false">IF(P2276="","",IFERROR(N(INDEX(T_EGRESO,MATCH(C2276,T_ID,0))),0))</f>
        <v/>
      </c>
      <c r="U2276" s="73" t="str">
        <f aca="false">IF(OR(P2276="",NOT(ISNUMBER(S2276))),"",IF(OR(S2276&gt;EOMONTH(B2276,0),AND(T2276&gt;0,T2276&lt;B2276)),0,IF(AND(S2276&lt;=B2276,OR(T2276=0,T2276&gt;=EOMONTH(B2276,0))),30,MIN(30,IF(T2276=0,EOMONTH(B2276,0),MIN(T2276,EOMONTH(B2276,0)))-MAX(B2276,S2276)+1))))</f>
        <v/>
      </c>
    </row>
    <row r="2277" customFormat="false" ht="15" hidden="false" customHeight="false" outlineLevel="0" collapsed="false">
      <c r="B2277" s="78"/>
      <c r="C2277" s="64"/>
      <c r="D2277" s="70" t="str">
        <f aca="false">IF(C2277="","",IFERROR(INDEX(T_NOMBRE,MATCH(C2277,T_ID,0)),"⚠ ID no existe"))</f>
        <v/>
      </c>
      <c r="E2277" s="69"/>
      <c r="F2277" s="69"/>
      <c r="G2277" s="69"/>
      <c r="H2277" s="69"/>
      <c r="I2277" s="66"/>
      <c r="J2277" s="69"/>
      <c r="K2277" s="67"/>
      <c r="L2277" s="67"/>
      <c r="M2277" s="67"/>
      <c r="N2277" s="67"/>
      <c r="O2277" s="64"/>
      <c r="P2277" s="72" t="str">
        <f aca="false">IF(OR(B2277="",C2277=""),"",C2277&amp;"|"&amp;(YEAR(B2277)*100+MONTH(B2277)))</f>
        <v/>
      </c>
      <c r="Q2277" s="70" t="str">
        <f aca="false">IF(P2277="","",IF(COUNTIF(N_CLAVE,P2277)&gt;1,"⚠ Duplicado","OK"))</f>
        <v/>
      </c>
      <c r="R2277" s="74" t="str">
        <f aca="false">IF(OR(P2277="",U2277=""),"",MAX(0,U2277-N(E2277)-N(F2277)-N(H2277)))</f>
        <v/>
      </c>
      <c r="S2277" s="75" t="str">
        <f aca="false">IF(P2277="","",IFERROR(INDEX(T_INGRESO,MATCH(C2277,T_ID,0)),""))</f>
        <v/>
      </c>
      <c r="T2277" s="75" t="str">
        <f aca="false">IF(P2277="","",IFERROR(N(INDEX(T_EGRESO,MATCH(C2277,T_ID,0))),0))</f>
        <v/>
      </c>
      <c r="U2277" s="73" t="str">
        <f aca="false">IF(OR(P2277="",NOT(ISNUMBER(S2277))),"",IF(OR(S2277&gt;EOMONTH(B2277,0),AND(T2277&gt;0,T2277&lt;B2277)),0,IF(AND(S2277&lt;=B2277,OR(T2277=0,T2277&gt;=EOMONTH(B2277,0))),30,MIN(30,IF(T2277=0,EOMONTH(B2277,0),MIN(T2277,EOMONTH(B2277,0)))-MAX(B2277,S2277)+1))))</f>
        <v/>
      </c>
    </row>
    <row r="2278" customFormat="false" ht="15" hidden="false" customHeight="false" outlineLevel="0" collapsed="false">
      <c r="B2278" s="78"/>
      <c r="C2278" s="64"/>
      <c r="D2278" s="70" t="str">
        <f aca="false">IF(C2278="","",IFERROR(INDEX(T_NOMBRE,MATCH(C2278,T_ID,0)),"⚠ ID no existe"))</f>
        <v/>
      </c>
      <c r="E2278" s="69"/>
      <c r="F2278" s="69"/>
      <c r="G2278" s="69"/>
      <c r="H2278" s="69"/>
      <c r="I2278" s="66"/>
      <c r="J2278" s="69"/>
      <c r="K2278" s="67"/>
      <c r="L2278" s="67"/>
      <c r="M2278" s="67"/>
      <c r="N2278" s="67"/>
      <c r="O2278" s="64"/>
      <c r="P2278" s="72" t="str">
        <f aca="false">IF(OR(B2278="",C2278=""),"",C2278&amp;"|"&amp;(YEAR(B2278)*100+MONTH(B2278)))</f>
        <v/>
      </c>
      <c r="Q2278" s="70" t="str">
        <f aca="false">IF(P2278="","",IF(COUNTIF(N_CLAVE,P2278)&gt;1,"⚠ Duplicado","OK"))</f>
        <v/>
      </c>
      <c r="R2278" s="74" t="str">
        <f aca="false">IF(OR(P2278="",U2278=""),"",MAX(0,U2278-N(E2278)-N(F2278)-N(H2278)))</f>
        <v/>
      </c>
      <c r="S2278" s="75" t="str">
        <f aca="false">IF(P2278="","",IFERROR(INDEX(T_INGRESO,MATCH(C2278,T_ID,0)),""))</f>
        <v/>
      </c>
      <c r="T2278" s="75" t="str">
        <f aca="false">IF(P2278="","",IFERROR(N(INDEX(T_EGRESO,MATCH(C2278,T_ID,0))),0))</f>
        <v/>
      </c>
      <c r="U2278" s="73" t="str">
        <f aca="false">IF(OR(P2278="",NOT(ISNUMBER(S2278))),"",IF(OR(S2278&gt;EOMONTH(B2278,0),AND(T2278&gt;0,T2278&lt;B2278)),0,IF(AND(S2278&lt;=B2278,OR(T2278=0,T2278&gt;=EOMONTH(B2278,0))),30,MIN(30,IF(T2278=0,EOMONTH(B2278,0),MIN(T2278,EOMONTH(B2278,0)))-MAX(B2278,S2278)+1))))</f>
        <v/>
      </c>
    </row>
    <row r="2279" customFormat="false" ht="15" hidden="false" customHeight="false" outlineLevel="0" collapsed="false">
      <c r="B2279" s="78"/>
      <c r="C2279" s="64"/>
      <c r="D2279" s="70" t="str">
        <f aca="false">IF(C2279="","",IFERROR(INDEX(T_NOMBRE,MATCH(C2279,T_ID,0)),"⚠ ID no existe"))</f>
        <v/>
      </c>
      <c r="E2279" s="69"/>
      <c r="F2279" s="69"/>
      <c r="G2279" s="69"/>
      <c r="H2279" s="69"/>
      <c r="I2279" s="66"/>
      <c r="J2279" s="69"/>
      <c r="K2279" s="67"/>
      <c r="L2279" s="67"/>
      <c r="M2279" s="67"/>
      <c r="N2279" s="67"/>
      <c r="O2279" s="64"/>
      <c r="P2279" s="72" t="str">
        <f aca="false">IF(OR(B2279="",C2279=""),"",C2279&amp;"|"&amp;(YEAR(B2279)*100+MONTH(B2279)))</f>
        <v/>
      </c>
      <c r="Q2279" s="70" t="str">
        <f aca="false">IF(P2279="","",IF(COUNTIF(N_CLAVE,P2279)&gt;1,"⚠ Duplicado","OK"))</f>
        <v/>
      </c>
      <c r="R2279" s="74" t="str">
        <f aca="false">IF(OR(P2279="",U2279=""),"",MAX(0,U2279-N(E2279)-N(F2279)-N(H2279)))</f>
        <v/>
      </c>
      <c r="S2279" s="75" t="str">
        <f aca="false">IF(P2279="","",IFERROR(INDEX(T_INGRESO,MATCH(C2279,T_ID,0)),""))</f>
        <v/>
      </c>
      <c r="T2279" s="75" t="str">
        <f aca="false">IF(P2279="","",IFERROR(N(INDEX(T_EGRESO,MATCH(C2279,T_ID,0))),0))</f>
        <v/>
      </c>
      <c r="U2279" s="73" t="str">
        <f aca="false">IF(OR(P2279="",NOT(ISNUMBER(S2279))),"",IF(OR(S2279&gt;EOMONTH(B2279,0),AND(T2279&gt;0,T2279&lt;B2279)),0,IF(AND(S2279&lt;=B2279,OR(T2279=0,T2279&gt;=EOMONTH(B2279,0))),30,MIN(30,IF(T2279=0,EOMONTH(B2279,0),MIN(T2279,EOMONTH(B2279,0)))-MAX(B2279,S2279)+1))))</f>
        <v/>
      </c>
    </row>
    <row r="2280" customFormat="false" ht="15" hidden="false" customHeight="false" outlineLevel="0" collapsed="false">
      <c r="B2280" s="78"/>
      <c r="C2280" s="64"/>
      <c r="D2280" s="70" t="str">
        <f aca="false">IF(C2280="","",IFERROR(INDEX(T_NOMBRE,MATCH(C2280,T_ID,0)),"⚠ ID no existe"))</f>
        <v/>
      </c>
      <c r="E2280" s="69"/>
      <c r="F2280" s="69"/>
      <c r="G2280" s="69"/>
      <c r="H2280" s="69"/>
      <c r="I2280" s="66"/>
      <c r="J2280" s="69"/>
      <c r="K2280" s="67"/>
      <c r="L2280" s="67"/>
      <c r="M2280" s="67"/>
      <c r="N2280" s="67"/>
      <c r="O2280" s="64"/>
      <c r="P2280" s="72" t="str">
        <f aca="false">IF(OR(B2280="",C2280=""),"",C2280&amp;"|"&amp;(YEAR(B2280)*100+MONTH(B2280)))</f>
        <v/>
      </c>
      <c r="Q2280" s="70" t="str">
        <f aca="false">IF(P2280="","",IF(COUNTIF(N_CLAVE,P2280)&gt;1,"⚠ Duplicado","OK"))</f>
        <v/>
      </c>
      <c r="R2280" s="74" t="str">
        <f aca="false">IF(OR(P2280="",U2280=""),"",MAX(0,U2280-N(E2280)-N(F2280)-N(H2280)))</f>
        <v/>
      </c>
      <c r="S2280" s="75" t="str">
        <f aca="false">IF(P2280="","",IFERROR(INDEX(T_INGRESO,MATCH(C2280,T_ID,0)),""))</f>
        <v/>
      </c>
      <c r="T2280" s="75" t="str">
        <f aca="false">IF(P2280="","",IFERROR(N(INDEX(T_EGRESO,MATCH(C2280,T_ID,0))),0))</f>
        <v/>
      </c>
      <c r="U2280" s="73" t="str">
        <f aca="false">IF(OR(P2280="",NOT(ISNUMBER(S2280))),"",IF(OR(S2280&gt;EOMONTH(B2280,0),AND(T2280&gt;0,T2280&lt;B2280)),0,IF(AND(S2280&lt;=B2280,OR(T2280=0,T2280&gt;=EOMONTH(B2280,0))),30,MIN(30,IF(T2280=0,EOMONTH(B2280,0),MIN(T2280,EOMONTH(B2280,0)))-MAX(B2280,S2280)+1))))</f>
        <v/>
      </c>
    </row>
    <row r="2281" customFormat="false" ht="15" hidden="false" customHeight="false" outlineLevel="0" collapsed="false">
      <c r="B2281" s="78"/>
      <c r="C2281" s="64"/>
      <c r="D2281" s="70" t="str">
        <f aca="false">IF(C2281="","",IFERROR(INDEX(T_NOMBRE,MATCH(C2281,T_ID,0)),"⚠ ID no existe"))</f>
        <v/>
      </c>
      <c r="E2281" s="69"/>
      <c r="F2281" s="69"/>
      <c r="G2281" s="69"/>
      <c r="H2281" s="69"/>
      <c r="I2281" s="66"/>
      <c r="J2281" s="69"/>
      <c r="K2281" s="67"/>
      <c r="L2281" s="67"/>
      <c r="M2281" s="67"/>
      <c r="N2281" s="67"/>
      <c r="O2281" s="64"/>
      <c r="P2281" s="72" t="str">
        <f aca="false">IF(OR(B2281="",C2281=""),"",C2281&amp;"|"&amp;(YEAR(B2281)*100+MONTH(B2281)))</f>
        <v/>
      </c>
      <c r="Q2281" s="70" t="str">
        <f aca="false">IF(P2281="","",IF(COUNTIF(N_CLAVE,P2281)&gt;1,"⚠ Duplicado","OK"))</f>
        <v/>
      </c>
      <c r="R2281" s="74" t="str">
        <f aca="false">IF(OR(P2281="",U2281=""),"",MAX(0,U2281-N(E2281)-N(F2281)-N(H2281)))</f>
        <v/>
      </c>
      <c r="S2281" s="75" t="str">
        <f aca="false">IF(P2281="","",IFERROR(INDEX(T_INGRESO,MATCH(C2281,T_ID,0)),""))</f>
        <v/>
      </c>
      <c r="T2281" s="75" t="str">
        <f aca="false">IF(P2281="","",IFERROR(N(INDEX(T_EGRESO,MATCH(C2281,T_ID,0))),0))</f>
        <v/>
      </c>
      <c r="U2281" s="73" t="str">
        <f aca="false">IF(OR(P2281="",NOT(ISNUMBER(S2281))),"",IF(OR(S2281&gt;EOMONTH(B2281,0),AND(T2281&gt;0,T2281&lt;B2281)),0,IF(AND(S2281&lt;=B2281,OR(T2281=0,T2281&gt;=EOMONTH(B2281,0))),30,MIN(30,IF(T2281=0,EOMONTH(B2281,0),MIN(T2281,EOMONTH(B2281,0)))-MAX(B2281,S2281)+1))))</f>
        <v/>
      </c>
    </row>
    <row r="2282" customFormat="false" ht="15" hidden="false" customHeight="false" outlineLevel="0" collapsed="false">
      <c r="B2282" s="78"/>
      <c r="C2282" s="64"/>
      <c r="D2282" s="70" t="str">
        <f aca="false">IF(C2282="","",IFERROR(INDEX(T_NOMBRE,MATCH(C2282,T_ID,0)),"⚠ ID no existe"))</f>
        <v/>
      </c>
      <c r="E2282" s="69"/>
      <c r="F2282" s="69"/>
      <c r="G2282" s="69"/>
      <c r="H2282" s="69"/>
      <c r="I2282" s="66"/>
      <c r="J2282" s="69"/>
      <c r="K2282" s="67"/>
      <c r="L2282" s="67"/>
      <c r="M2282" s="67"/>
      <c r="N2282" s="67"/>
      <c r="O2282" s="64"/>
      <c r="P2282" s="72" t="str">
        <f aca="false">IF(OR(B2282="",C2282=""),"",C2282&amp;"|"&amp;(YEAR(B2282)*100+MONTH(B2282)))</f>
        <v/>
      </c>
      <c r="Q2282" s="70" t="str">
        <f aca="false">IF(P2282="","",IF(COUNTIF(N_CLAVE,P2282)&gt;1,"⚠ Duplicado","OK"))</f>
        <v/>
      </c>
      <c r="R2282" s="74" t="str">
        <f aca="false">IF(OR(P2282="",U2282=""),"",MAX(0,U2282-N(E2282)-N(F2282)-N(H2282)))</f>
        <v/>
      </c>
      <c r="S2282" s="75" t="str">
        <f aca="false">IF(P2282="","",IFERROR(INDEX(T_INGRESO,MATCH(C2282,T_ID,0)),""))</f>
        <v/>
      </c>
      <c r="T2282" s="75" t="str">
        <f aca="false">IF(P2282="","",IFERROR(N(INDEX(T_EGRESO,MATCH(C2282,T_ID,0))),0))</f>
        <v/>
      </c>
      <c r="U2282" s="73" t="str">
        <f aca="false">IF(OR(P2282="",NOT(ISNUMBER(S2282))),"",IF(OR(S2282&gt;EOMONTH(B2282,0),AND(T2282&gt;0,T2282&lt;B2282)),0,IF(AND(S2282&lt;=B2282,OR(T2282=0,T2282&gt;=EOMONTH(B2282,0))),30,MIN(30,IF(T2282=0,EOMONTH(B2282,0),MIN(T2282,EOMONTH(B2282,0)))-MAX(B2282,S2282)+1))))</f>
        <v/>
      </c>
    </row>
    <row r="2283" customFormat="false" ht="15" hidden="false" customHeight="false" outlineLevel="0" collapsed="false">
      <c r="B2283" s="78"/>
      <c r="C2283" s="64"/>
      <c r="D2283" s="70" t="str">
        <f aca="false">IF(C2283="","",IFERROR(INDEX(T_NOMBRE,MATCH(C2283,T_ID,0)),"⚠ ID no existe"))</f>
        <v/>
      </c>
      <c r="E2283" s="69"/>
      <c r="F2283" s="69"/>
      <c r="G2283" s="69"/>
      <c r="H2283" s="69"/>
      <c r="I2283" s="66"/>
      <c r="J2283" s="69"/>
      <c r="K2283" s="67"/>
      <c r="L2283" s="67"/>
      <c r="M2283" s="67"/>
      <c r="N2283" s="67"/>
      <c r="O2283" s="64"/>
      <c r="P2283" s="72" t="str">
        <f aca="false">IF(OR(B2283="",C2283=""),"",C2283&amp;"|"&amp;(YEAR(B2283)*100+MONTH(B2283)))</f>
        <v/>
      </c>
      <c r="Q2283" s="70" t="str">
        <f aca="false">IF(P2283="","",IF(COUNTIF(N_CLAVE,P2283)&gt;1,"⚠ Duplicado","OK"))</f>
        <v/>
      </c>
      <c r="R2283" s="74" t="str">
        <f aca="false">IF(OR(P2283="",U2283=""),"",MAX(0,U2283-N(E2283)-N(F2283)-N(H2283)))</f>
        <v/>
      </c>
      <c r="S2283" s="75" t="str">
        <f aca="false">IF(P2283="","",IFERROR(INDEX(T_INGRESO,MATCH(C2283,T_ID,0)),""))</f>
        <v/>
      </c>
      <c r="T2283" s="75" t="str">
        <f aca="false">IF(P2283="","",IFERROR(N(INDEX(T_EGRESO,MATCH(C2283,T_ID,0))),0))</f>
        <v/>
      </c>
      <c r="U2283" s="73" t="str">
        <f aca="false">IF(OR(P2283="",NOT(ISNUMBER(S2283))),"",IF(OR(S2283&gt;EOMONTH(B2283,0),AND(T2283&gt;0,T2283&lt;B2283)),0,IF(AND(S2283&lt;=B2283,OR(T2283=0,T2283&gt;=EOMONTH(B2283,0))),30,MIN(30,IF(T2283=0,EOMONTH(B2283,0),MIN(T2283,EOMONTH(B2283,0)))-MAX(B2283,S2283)+1))))</f>
        <v/>
      </c>
    </row>
    <row r="2284" customFormat="false" ht="15" hidden="false" customHeight="false" outlineLevel="0" collapsed="false">
      <c r="B2284" s="78"/>
      <c r="C2284" s="64"/>
      <c r="D2284" s="70" t="str">
        <f aca="false">IF(C2284="","",IFERROR(INDEX(T_NOMBRE,MATCH(C2284,T_ID,0)),"⚠ ID no existe"))</f>
        <v/>
      </c>
      <c r="E2284" s="69"/>
      <c r="F2284" s="69"/>
      <c r="G2284" s="69"/>
      <c r="H2284" s="69"/>
      <c r="I2284" s="66"/>
      <c r="J2284" s="69"/>
      <c r="K2284" s="67"/>
      <c r="L2284" s="67"/>
      <c r="M2284" s="67"/>
      <c r="N2284" s="67"/>
      <c r="O2284" s="64"/>
      <c r="P2284" s="72" t="str">
        <f aca="false">IF(OR(B2284="",C2284=""),"",C2284&amp;"|"&amp;(YEAR(B2284)*100+MONTH(B2284)))</f>
        <v/>
      </c>
      <c r="Q2284" s="70" t="str">
        <f aca="false">IF(P2284="","",IF(COUNTIF(N_CLAVE,P2284)&gt;1,"⚠ Duplicado","OK"))</f>
        <v/>
      </c>
      <c r="R2284" s="74" t="str">
        <f aca="false">IF(OR(P2284="",U2284=""),"",MAX(0,U2284-N(E2284)-N(F2284)-N(H2284)))</f>
        <v/>
      </c>
      <c r="S2284" s="75" t="str">
        <f aca="false">IF(P2284="","",IFERROR(INDEX(T_INGRESO,MATCH(C2284,T_ID,0)),""))</f>
        <v/>
      </c>
      <c r="T2284" s="75" t="str">
        <f aca="false">IF(P2284="","",IFERROR(N(INDEX(T_EGRESO,MATCH(C2284,T_ID,0))),0))</f>
        <v/>
      </c>
      <c r="U2284" s="73" t="str">
        <f aca="false">IF(OR(P2284="",NOT(ISNUMBER(S2284))),"",IF(OR(S2284&gt;EOMONTH(B2284,0),AND(T2284&gt;0,T2284&lt;B2284)),0,IF(AND(S2284&lt;=B2284,OR(T2284=0,T2284&gt;=EOMONTH(B2284,0))),30,MIN(30,IF(T2284=0,EOMONTH(B2284,0),MIN(T2284,EOMONTH(B2284,0)))-MAX(B2284,S2284)+1))))</f>
        <v/>
      </c>
    </row>
    <row r="2285" customFormat="false" ht="15" hidden="false" customHeight="false" outlineLevel="0" collapsed="false">
      <c r="B2285" s="78"/>
      <c r="C2285" s="64"/>
      <c r="D2285" s="70" t="str">
        <f aca="false">IF(C2285="","",IFERROR(INDEX(T_NOMBRE,MATCH(C2285,T_ID,0)),"⚠ ID no existe"))</f>
        <v/>
      </c>
      <c r="E2285" s="69"/>
      <c r="F2285" s="69"/>
      <c r="G2285" s="69"/>
      <c r="H2285" s="69"/>
      <c r="I2285" s="66"/>
      <c r="J2285" s="69"/>
      <c r="K2285" s="67"/>
      <c r="L2285" s="67"/>
      <c r="M2285" s="67"/>
      <c r="N2285" s="67"/>
      <c r="O2285" s="64"/>
      <c r="P2285" s="72" t="str">
        <f aca="false">IF(OR(B2285="",C2285=""),"",C2285&amp;"|"&amp;(YEAR(B2285)*100+MONTH(B2285)))</f>
        <v/>
      </c>
      <c r="Q2285" s="70" t="str">
        <f aca="false">IF(P2285="","",IF(COUNTIF(N_CLAVE,P2285)&gt;1,"⚠ Duplicado","OK"))</f>
        <v/>
      </c>
      <c r="R2285" s="74" t="str">
        <f aca="false">IF(OR(P2285="",U2285=""),"",MAX(0,U2285-N(E2285)-N(F2285)-N(H2285)))</f>
        <v/>
      </c>
      <c r="S2285" s="75" t="str">
        <f aca="false">IF(P2285="","",IFERROR(INDEX(T_INGRESO,MATCH(C2285,T_ID,0)),""))</f>
        <v/>
      </c>
      <c r="T2285" s="75" t="str">
        <f aca="false">IF(P2285="","",IFERROR(N(INDEX(T_EGRESO,MATCH(C2285,T_ID,0))),0))</f>
        <v/>
      </c>
      <c r="U2285" s="73" t="str">
        <f aca="false">IF(OR(P2285="",NOT(ISNUMBER(S2285))),"",IF(OR(S2285&gt;EOMONTH(B2285,0),AND(T2285&gt;0,T2285&lt;B2285)),0,IF(AND(S2285&lt;=B2285,OR(T2285=0,T2285&gt;=EOMONTH(B2285,0))),30,MIN(30,IF(T2285=0,EOMONTH(B2285,0),MIN(T2285,EOMONTH(B2285,0)))-MAX(B2285,S2285)+1))))</f>
        <v/>
      </c>
    </row>
    <row r="2286" customFormat="false" ht="15" hidden="false" customHeight="false" outlineLevel="0" collapsed="false">
      <c r="B2286" s="78"/>
      <c r="C2286" s="64"/>
      <c r="D2286" s="70" t="str">
        <f aca="false">IF(C2286="","",IFERROR(INDEX(T_NOMBRE,MATCH(C2286,T_ID,0)),"⚠ ID no existe"))</f>
        <v/>
      </c>
      <c r="E2286" s="69"/>
      <c r="F2286" s="69"/>
      <c r="G2286" s="69"/>
      <c r="H2286" s="69"/>
      <c r="I2286" s="66"/>
      <c r="J2286" s="69"/>
      <c r="K2286" s="67"/>
      <c r="L2286" s="67"/>
      <c r="M2286" s="67"/>
      <c r="N2286" s="67"/>
      <c r="O2286" s="64"/>
      <c r="P2286" s="72" t="str">
        <f aca="false">IF(OR(B2286="",C2286=""),"",C2286&amp;"|"&amp;(YEAR(B2286)*100+MONTH(B2286)))</f>
        <v/>
      </c>
      <c r="Q2286" s="70" t="str">
        <f aca="false">IF(P2286="","",IF(COUNTIF(N_CLAVE,P2286)&gt;1,"⚠ Duplicado","OK"))</f>
        <v/>
      </c>
      <c r="R2286" s="74" t="str">
        <f aca="false">IF(OR(P2286="",U2286=""),"",MAX(0,U2286-N(E2286)-N(F2286)-N(H2286)))</f>
        <v/>
      </c>
      <c r="S2286" s="75" t="str">
        <f aca="false">IF(P2286="","",IFERROR(INDEX(T_INGRESO,MATCH(C2286,T_ID,0)),""))</f>
        <v/>
      </c>
      <c r="T2286" s="75" t="str">
        <f aca="false">IF(P2286="","",IFERROR(N(INDEX(T_EGRESO,MATCH(C2286,T_ID,0))),0))</f>
        <v/>
      </c>
      <c r="U2286" s="73" t="str">
        <f aca="false">IF(OR(P2286="",NOT(ISNUMBER(S2286))),"",IF(OR(S2286&gt;EOMONTH(B2286,0),AND(T2286&gt;0,T2286&lt;B2286)),0,IF(AND(S2286&lt;=B2286,OR(T2286=0,T2286&gt;=EOMONTH(B2286,0))),30,MIN(30,IF(T2286=0,EOMONTH(B2286,0),MIN(T2286,EOMONTH(B2286,0)))-MAX(B2286,S2286)+1))))</f>
        <v/>
      </c>
    </row>
    <row r="2287" customFormat="false" ht="15" hidden="false" customHeight="false" outlineLevel="0" collapsed="false">
      <c r="B2287" s="78"/>
      <c r="C2287" s="64"/>
      <c r="D2287" s="70" t="str">
        <f aca="false">IF(C2287="","",IFERROR(INDEX(T_NOMBRE,MATCH(C2287,T_ID,0)),"⚠ ID no existe"))</f>
        <v/>
      </c>
      <c r="E2287" s="69"/>
      <c r="F2287" s="69"/>
      <c r="G2287" s="69"/>
      <c r="H2287" s="69"/>
      <c r="I2287" s="66"/>
      <c r="J2287" s="69"/>
      <c r="K2287" s="67"/>
      <c r="L2287" s="67"/>
      <c r="M2287" s="67"/>
      <c r="N2287" s="67"/>
      <c r="O2287" s="64"/>
      <c r="P2287" s="72" t="str">
        <f aca="false">IF(OR(B2287="",C2287=""),"",C2287&amp;"|"&amp;(YEAR(B2287)*100+MONTH(B2287)))</f>
        <v/>
      </c>
      <c r="Q2287" s="70" t="str">
        <f aca="false">IF(P2287="","",IF(COUNTIF(N_CLAVE,P2287)&gt;1,"⚠ Duplicado","OK"))</f>
        <v/>
      </c>
      <c r="R2287" s="74" t="str">
        <f aca="false">IF(OR(P2287="",U2287=""),"",MAX(0,U2287-N(E2287)-N(F2287)-N(H2287)))</f>
        <v/>
      </c>
      <c r="S2287" s="75" t="str">
        <f aca="false">IF(P2287="","",IFERROR(INDEX(T_INGRESO,MATCH(C2287,T_ID,0)),""))</f>
        <v/>
      </c>
      <c r="T2287" s="75" t="str">
        <f aca="false">IF(P2287="","",IFERROR(N(INDEX(T_EGRESO,MATCH(C2287,T_ID,0))),0))</f>
        <v/>
      </c>
      <c r="U2287" s="73" t="str">
        <f aca="false">IF(OR(P2287="",NOT(ISNUMBER(S2287))),"",IF(OR(S2287&gt;EOMONTH(B2287,0),AND(T2287&gt;0,T2287&lt;B2287)),0,IF(AND(S2287&lt;=B2287,OR(T2287=0,T2287&gt;=EOMONTH(B2287,0))),30,MIN(30,IF(T2287=0,EOMONTH(B2287,0),MIN(T2287,EOMONTH(B2287,0)))-MAX(B2287,S2287)+1))))</f>
        <v/>
      </c>
    </row>
    <row r="2288" customFormat="false" ht="15" hidden="false" customHeight="false" outlineLevel="0" collapsed="false">
      <c r="B2288" s="78"/>
      <c r="C2288" s="64"/>
      <c r="D2288" s="70" t="str">
        <f aca="false">IF(C2288="","",IFERROR(INDEX(T_NOMBRE,MATCH(C2288,T_ID,0)),"⚠ ID no existe"))</f>
        <v/>
      </c>
      <c r="E2288" s="69"/>
      <c r="F2288" s="69"/>
      <c r="G2288" s="69"/>
      <c r="H2288" s="69"/>
      <c r="I2288" s="66"/>
      <c r="J2288" s="69"/>
      <c r="K2288" s="67"/>
      <c r="L2288" s="67"/>
      <c r="M2288" s="67"/>
      <c r="N2288" s="67"/>
      <c r="O2288" s="64"/>
      <c r="P2288" s="72" t="str">
        <f aca="false">IF(OR(B2288="",C2288=""),"",C2288&amp;"|"&amp;(YEAR(B2288)*100+MONTH(B2288)))</f>
        <v/>
      </c>
      <c r="Q2288" s="70" t="str">
        <f aca="false">IF(P2288="","",IF(COUNTIF(N_CLAVE,P2288)&gt;1,"⚠ Duplicado","OK"))</f>
        <v/>
      </c>
      <c r="R2288" s="74" t="str">
        <f aca="false">IF(OR(P2288="",U2288=""),"",MAX(0,U2288-N(E2288)-N(F2288)-N(H2288)))</f>
        <v/>
      </c>
      <c r="S2288" s="75" t="str">
        <f aca="false">IF(P2288="","",IFERROR(INDEX(T_INGRESO,MATCH(C2288,T_ID,0)),""))</f>
        <v/>
      </c>
      <c r="T2288" s="75" t="str">
        <f aca="false">IF(P2288="","",IFERROR(N(INDEX(T_EGRESO,MATCH(C2288,T_ID,0))),0))</f>
        <v/>
      </c>
      <c r="U2288" s="73" t="str">
        <f aca="false">IF(OR(P2288="",NOT(ISNUMBER(S2288))),"",IF(OR(S2288&gt;EOMONTH(B2288,0),AND(T2288&gt;0,T2288&lt;B2288)),0,IF(AND(S2288&lt;=B2288,OR(T2288=0,T2288&gt;=EOMONTH(B2288,0))),30,MIN(30,IF(T2288=0,EOMONTH(B2288,0),MIN(T2288,EOMONTH(B2288,0)))-MAX(B2288,S2288)+1))))</f>
        <v/>
      </c>
    </row>
    <row r="2289" customFormat="false" ht="15" hidden="false" customHeight="false" outlineLevel="0" collapsed="false">
      <c r="B2289" s="78"/>
      <c r="C2289" s="64"/>
      <c r="D2289" s="70" t="str">
        <f aca="false">IF(C2289="","",IFERROR(INDEX(T_NOMBRE,MATCH(C2289,T_ID,0)),"⚠ ID no existe"))</f>
        <v/>
      </c>
      <c r="E2289" s="69"/>
      <c r="F2289" s="69"/>
      <c r="G2289" s="69"/>
      <c r="H2289" s="69"/>
      <c r="I2289" s="66"/>
      <c r="J2289" s="69"/>
      <c r="K2289" s="67"/>
      <c r="L2289" s="67"/>
      <c r="M2289" s="67"/>
      <c r="N2289" s="67"/>
      <c r="O2289" s="64"/>
      <c r="P2289" s="72" t="str">
        <f aca="false">IF(OR(B2289="",C2289=""),"",C2289&amp;"|"&amp;(YEAR(B2289)*100+MONTH(B2289)))</f>
        <v/>
      </c>
      <c r="Q2289" s="70" t="str">
        <f aca="false">IF(P2289="","",IF(COUNTIF(N_CLAVE,P2289)&gt;1,"⚠ Duplicado","OK"))</f>
        <v/>
      </c>
      <c r="R2289" s="74" t="str">
        <f aca="false">IF(OR(P2289="",U2289=""),"",MAX(0,U2289-N(E2289)-N(F2289)-N(H2289)))</f>
        <v/>
      </c>
      <c r="S2289" s="75" t="str">
        <f aca="false">IF(P2289="","",IFERROR(INDEX(T_INGRESO,MATCH(C2289,T_ID,0)),""))</f>
        <v/>
      </c>
      <c r="T2289" s="75" t="str">
        <f aca="false">IF(P2289="","",IFERROR(N(INDEX(T_EGRESO,MATCH(C2289,T_ID,0))),0))</f>
        <v/>
      </c>
      <c r="U2289" s="73" t="str">
        <f aca="false">IF(OR(P2289="",NOT(ISNUMBER(S2289))),"",IF(OR(S2289&gt;EOMONTH(B2289,0),AND(T2289&gt;0,T2289&lt;B2289)),0,IF(AND(S2289&lt;=B2289,OR(T2289=0,T2289&gt;=EOMONTH(B2289,0))),30,MIN(30,IF(T2289=0,EOMONTH(B2289,0),MIN(T2289,EOMONTH(B2289,0)))-MAX(B2289,S2289)+1))))</f>
        <v/>
      </c>
    </row>
    <row r="2290" customFormat="false" ht="15" hidden="false" customHeight="false" outlineLevel="0" collapsed="false">
      <c r="B2290" s="78"/>
      <c r="C2290" s="64"/>
      <c r="D2290" s="70" t="str">
        <f aca="false">IF(C2290="","",IFERROR(INDEX(T_NOMBRE,MATCH(C2290,T_ID,0)),"⚠ ID no existe"))</f>
        <v/>
      </c>
      <c r="E2290" s="69"/>
      <c r="F2290" s="69"/>
      <c r="G2290" s="69"/>
      <c r="H2290" s="69"/>
      <c r="I2290" s="66"/>
      <c r="J2290" s="69"/>
      <c r="K2290" s="67"/>
      <c r="L2290" s="67"/>
      <c r="M2290" s="67"/>
      <c r="N2290" s="67"/>
      <c r="O2290" s="64"/>
      <c r="P2290" s="72" t="str">
        <f aca="false">IF(OR(B2290="",C2290=""),"",C2290&amp;"|"&amp;(YEAR(B2290)*100+MONTH(B2290)))</f>
        <v/>
      </c>
      <c r="Q2290" s="70" t="str">
        <f aca="false">IF(P2290="","",IF(COUNTIF(N_CLAVE,P2290)&gt;1,"⚠ Duplicado","OK"))</f>
        <v/>
      </c>
      <c r="R2290" s="74" t="str">
        <f aca="false">IF(OR(P2290="",U2290=""),"",MAX(0,U2290-N(E2290)-N(F2290)-N(H2290)))</f>
        <v/>
      </c>
      <c r="S2290" s="75" t="str">
        <f aca="false">IF(P2290="","",IFERROR(INDEX(T_INGRESO,MATCH(C2290,T_ID,0)),""))</f>
        <v/>
      </c>
      <c r="T2290" s="75" t="str">
        <f aca="false">IF(P2290="","",IFERROR(N(INDEX(T_EGRESO,MATCH(C2290,T_ID,0))),0))</f>
        <v/>
      </c>
      <c r="U2290" s="73" t="str">
        <f aca="false">IF(OR(P2290="",NOT(ISNUMBER(S2290))),"",IF(OR(S2290&gt;EOMONTH(B2290,0),AND(T2290&gt;0,T2290&lt;B2290)),0,IF(AND(S2290&lt;=B2290,OR(T2290=0,T2290&gt;=EOMONTH(B2290,0))),30,MIN(30,IF(T2290=0,EOMONTH(B2290,0),MIN(T2290,EOMONTH(B2290,0)))-MAX(B2290,S2290)+1))))</f>
        <v/>
      </c>
    </row>
    <row r="2291" customFormat="false" ht="15" hidden="false" customHeight="false" outlineLevel="0" collapsed="false">
      <c r="B2291" s="78"/>
      <c r="C2291" s="64"/>
      <c r="D2291" s="70" t="str">
        <f aca="false">IF(C2291="","",IFERROR(INDEX(T_NOMBRE,MATCH(C2291,T_ID,0)),"⚠ ID no existe"))</f>
        <v/>
      </c>
      <c r="E2291" s="69"/>
      <c r="F2291" s="69"/>
      <c r="G2291" s="69"/>
      <c r="H2291" s="69"/>
      <c r="I2291" s="66"/>
      <c r="J2291" s="69"/>
      <c r="K2291" s="67"/>
      <c r="L2291" s="67"/>
      <c r="M2291" s="67"/>
      <c r="N2291" s="67"/>
      <c r="O2291" s="64"/>
      <c r="P2291" s="72" t="str">
        <f aca="false">IF(OR(B2291="",C2291=""),"",C2291&amp;"|"&amp;(YEAR(B2291)*100+MONTH(B2291)))</f>
        <v/>
      </c>
      <c r="Q2291" s="70" t="str">
        <f aca="false">IF(P2291="","",IF(COUNTIF(N_CLAVE,P2291)&gt;1,"⚠ Duplicado","OK"))</f>
        <v/>
      </c>
      <c r="R2291" s="74" t="str">
        <f aca="false">IF(OR(P2291="",U2291=""),"",MAX(0,U2291-N(E2291)-N(F2291)-N(H2291)))</f>
        <v/>
      </c>
      <c r="S2291" s="75" t="str">
        <f aca="false">IF(P2291="","",IFERROR(INDEX(T_INGRESO,MATCH(C2291,T_ID,0)),""))</f>
        <v/>
      </c>
      <c r="T2291" s="75" t="str">
        <f aca="false">IF(P2291="","",IFERROR(N(INDEX(T_EGRESO,MATCH(C2291,T_ID,0))),0))</f>
        <v/>
      </c>
      <c r="U2291" s="73" t="str">
        <f aca="false">IF(OR(P2291="",NOT(ISNUMBER(S2291))),"",IF(OR(S2291&gt;EOMONTH(B2291,0),AND(T2291&gt;0,T2291&lt;B2291)),0,IF(AND(S2291&lt;=B2291,OR(T2291=0,T2291&gt;=EOMONTH(B2291,0))),30,MIN(30,IF(T2291=0,EOMONTH(B2291,0),MIN(T2291,EOMONTH(B2291,0)))-MAX(B2291,S2291)+1))))</f>
        <v/>
      </c>
    </row>
    <row r="2292" customFormat="false" ht="15" hidden="false" customHeight="false" outlineLevel="0" collapsed="false">
      <c r="B2292" s="78"/>
      <c r="C2292" s="64"/>
      <c r="D2292" s="70" t="str">
        <f aca="false">IF(C2292="","",IFERROR(INDEX(T_NOMBRE,MATCH(C2292,T_ID,0)),"⚠ ID no existe"))</f>
        <v/>
      </c>
      <c r="E2292" s="69"/>
      <c r="F2292" s="69"/>
      <c r="G2292" s="69"/>
      <c r="H2292" s="69"/>
      <c r="I2292" s="66"/>
      <c r="J2292" s="69"/>
      <c r="K2292" s="67"/>
      <c r="L2292" s="67"/>
      <c r="M2292" s="67"/>
      <c r="N2292" s="67"/>
      <c r="O2292" s="64"/>
      <c r="P2292" s="72" t="str">
        <f aca="false">IF(OR(B2292="",C2292=""),"",C2292&amp;"|"&amp;(YEAR(B2292)*100+MONTH(B2292)))</f>
        <v/>
      </c>
      <c r="Q2292" s="70" t="str">
        <f aca="false">IF(P2292="","",IF(COUNTIF(N_CLAVE,P2292)&gt;1,"⚠ Duplicado","OK"))</f>
        <v/>
      </c>
      <c r="R2292" s="74" t="str">
        <f aca="false">IF(OR(P2292="",U2292=""),"",MAX(0,U2292-N(E2292)-N(F2292)-N(H2292)))</f>
        <v/>
      </c>
      <c r="S2292" s="75" t="str">
        <f aca="false">IF(P2292="","",IFERROR(INDEX(T_INGRESO,MATCH(C2292,T_ID,0)),""))</f>
        <v/>
      </c>
      <c r="T2292" s="75" t="str">
        <f aca="false">IF(P2292="","",IFERROR(N(INDEX(T_EGRESO,MATCH(C2292,T_ID,0))),0))</f>
        <v/>
      </c>
      <c r="U2292" s="73" t="str">
        <f aca="false">IF(OR(P2292="",NOT(ISNUMBER(S2292))),"",IF(OR(S2292&gt;EOMONTH(B2292,0),AND(T2292&gt;0,T2292&lt;B2292)),0,IF(AND(S2292&lt;=B2292,OR(T2292=0,T2292&gt;=EOMONTH(B2292,0))),30,MIN(30,IF(T2292=0,EOMONTH(B2292,0),MIN(T2292,EOMONTH(B2292,0)))-MAX(B2292,S2292)+1))))</f>
        <v/>
      </c>
    </row>
    <row r="2293" customFormat="false" ht="15" hidden="false" customHeight="false" outlineLevel="0" collapsed="false">
      <c r="B2293" s="78"/>
      <c r="C2293" s="64"/>
      <c r="D2293" s="70" t="str">
        <f aca="false">IF(C2293="","",IFERROR(INDEX(T_NOMBRE,MATCH(C2293,T_ID,0)),"⚠ ID no existe"))</f>
        <v/>
      </c>
      <c r="E2293" s="69"/>
      <c r="F2293" s="69"/>
      <c r="G2293" s="69"/>
      <c r="H2293" s="69"/>
      <c r="I2293" s="66"/>
      <c r="J2293" s="69"/>
      <c r="K2293" s="67"/>
      <c r="L2293" s="67"/>
      <c r="M2293" s="67"/>
      <c r="N2293" s="67"/>
      <c r="O2293" s="64"/>
      <c r="P2293" s="72" t="str">
        <f aca="false">IF(OR(B2293="",C2293=""),"",C2293&amp;"|"&amp;(YEAR(B2293)*100+MONTH(B2293)))</f>
        <v/>
      </c>
      <c r="Q2293" s="70" t="str">
        <f aca="false">IF(P2293="","",IF(COUNTIF(N_CLAVE,P2293)&gt;1,"⚠ Duplicado","OK"))</f>
        <v/>
      </c>
      <c r="R2293" s="74" t="str">
        <f aca="false">IF(OR(P2293="",U2293=""),"",MAX(0,U2293-N(E2293)-N(F2293)-N(H2293)))</f>
        <v/>
      </c>
      <c r="S2293" s="75" t="str">
        <f aca="false">IF(P2293="","",IFERROR(INDEX(T_INGRESO,MATCH(C2293,T_ID,0)),""))</f>
        <v/>
      </c>
      <c r="T2293" s="75" t="str">
        <f aca="false">IF(P2293="","",IFERROR(N(INDEX(T_EGRESO,MATCH(C2293,T_ID,0))),0))</f>
        <v/>
      </c>
      <c r="U2293" s="73" t="str">
        <f aca="false">IF(OR(P2293="",NOT(ISNUMBER(S2293))),"",IF(OR(S2293&gt;EOMONTH(B2293,0),AND(T2293&gt;0,T2293&lt;B2293)),0,IF(AND(S2293&lt;=B2293,OR(T2293=0,T2293&gt;=EOMONTH(B2293,0))),30,MIN(30,IF(T2293=0,EOMONTH(B2293,0),MIN(T2293,EOMONTH(B2293,0)))-MAX(B2293,S2293)+1))))</f>
        <v/>
      </c>
    </row>
    <row r="2294" customFormat="false" ht="15" hidden="false" customHeight="false" outlineLevel="0" collapsed="false">
      <c r="B2294" s="78"/>
      <c r="C2294" s="64"/>
      <c r="D2294" s="70" t="str">
        <f aca="false">IF(C2294="","",IFERROR(INDEX(T_NOMBRE,MATCH(C2294,T_ID,0)),"⚠ ID no existe"))</f>
        <v/>
      </c>
      <c r="E2294" s="69"/>
      <c r="F2294" s="69"/>
      <c r="G2294" s="69"/>
      <c r="H2294" s="69"/>
      <c r="I2294" s="66"/>
      <c r="J2294" s="69"/>
      <c r="K2294" s="67"/>
      <c r="L2294" s="67"/>
      <c r="M2294" s="67"/>
      <c r="N2294" s="67"/>
      <c r="O2294" s="64"/>
      <c r="P2294" s="72" t="str">
        <f aca="false">IF(OR(B2294="",C2294=""),"",C2294&amp;"|"&amp;(YEAR(B2294)*100+MONTH(B2294)))</f>
        <v/>
      </c>
      <c r="Q2294" s="70" t="str">
        <f aca="false">IF(P2294="","",IF(COUNTIF(N_CLAVE,P2294)&gt;1,"⚠ Duplicado","OK"))</f>
        <v/>
      </c>
      <c r="R2294" s="74" t="str">
        <f aca="false">IF(OR(P2294="",U2294=""),"",MAX(0,U2294-N(E2294)-N(F2294)-N(H2294)))</f>
        <v/>
      </c>
      <c r="S2294" s="75" t="str">
        <f aca="false">IF(P2294="","",IFERROR(INDEX(T_INGRESO,MATCH(C2294,T_ID,0)),""))</f>
        <v/>
      </c>
      <c r="T2294" s="75" t="str">
        <f aca="false">IF(P2294="","",IFERROR(N(INDEX(T_EGRESO,MATCH(C2294,T_ID,0))),0))</f>
        <v/>
      </c>
      <c r="U2294" s="73" t="str">
        <f aca="false">IF(OR(P2294="",NOT(ISNUMBER(S2294))),"",IF(OR(S2294&gt;EOMONTH(B2294,0),AND(T2294&gt;0,T2294&lt;B2294)),0,IF(AND(S2294&lt;=B2294,OR(T2294=0,T2294&gt;=EOMONTH(B2294,0))),30,MIN(30,IF(T2294=0,EOMONTH(B2294,0),MIN(T2294,EOMONTH(B2294,0)))-MAX(B2294,S2294)+1))))</f>
        <v/>
      </c>
    </row>
    <row r="2295" customFormat="false" ht="15" hidden="false" customHeight="false" outlineLevel="0" collapsed="false">
      <c r="B2295" s="78"/>
      <c r="C2295" s="64"/>
      <c r="D2295" s="70" t="str">
        <f aca="false">IF(C2295="","",IFERROR(INDEX(T_NOMBRE,MATCH(C2295,T_ID,0)),"⚠ ID no existe"))</f>
        <v/>
      </c>
      <c r="E2295" s="69"/>
      <c r="F2295" s="69"/>
      <c r="G2295" s="69"/>
      <c r="H2295" s="69"/>
      <c r="I2295" s="66"/>
      <c r="J2295" s="69"/>
      <c r="K2295" s="67"/>
      <c r="L2295" s="67"/>
      <c r="M2295" s="67"/>
      <c r="N2295" s="67"/>
      <c r="O2295" s="64"/>
      <c r="P2295" s="72" t="str">
        <f aca="false">IF(OR(B2295="",C2295=""),"",C2295&amp;"|"&amp;(YEAR(B2295)*100+MONTH(B2295)))</f>
        <v/>
      </c>
      <c r="Q2295" s="70" t="str">
        <f aca="false">IF(P2295="","",IF(COUNTIF(N_CLAVE,P2295)&gt;1,"⚠ Duplicado","OK"))</f>
        <v/>
      </c>
      <c r="R2295" s="74" t="str">
        <f aca="false">IF(OR(P2295="",U2295=""),"",MAX(0,U2295-N(E2295)-N(F2295)-N(H2295)))</f>
        <v/>
      </c>
      <c r="S2295" s="75" t="str">
        <f aca="false">IF(P2295="","",IFERROR(INDEX(T_INGRESO,MATCH(C2295,T_ID,0)),""))</f>
        <v/>
      </c>
      <c r="T2295" s="75" t="str">
        <f aca="false">IF(P2295="","",IFERROR(N(INDEX(T_EGRESO,MATCH(C2295,T_ID,0))),0))</f>
        <v/>
      </c>
      <c r="U2295" s="73" t="str">
        <f aca="false">IF(OR(P2295="",NOT(ISNUMBER(S2295))),"",IF(OR(S2295&gt;EOMONTH(B2295,0),AND(T2295&gt;0,T2295&lt;B2295)),0,IF(AND(S2295&lt;=B2295,OR(T2295=0,T2295&gt;=EOMONTH(B2295,0))),30,MIN(30,IF(T2295=0,EOMONTH(B2295,0),MIN(T2295,EOMONTH(B2295,0)))-MAX(B2295,S2295)+1))))</f>
        <v/>
      </c>
    </row>
    <row r="2296" customFormat="false" ht="15" hidden="false" customHeight="false" outlineLevel="0" collapsed="false">
      <c r="B2296" s="78"/>
      <c r="C2296" s="64"/>
      <c r="D2296" s="70" t="str">
        <f aca="false">IF(C2296="","",IFERROR(INDEX(T_NOMBRE,MATCH(C2296,T_ID,0)),"⚠ ID no existe"))</f>
        <v/>
      </c>
      <c r="E2296" s="69"/>
      <c r="F2296" s="69"/>
      <c r="G2296" s="69"/>
      <c r="H2296" s="69"/>
      <c r="I2296" s="66"/>
      <c r="J2296" s="69"/>
      <c r="K2296" s="67"/>
      <c r="L2296" s="67"/>
      <c r="M2296" s="67"/>
      <c r="N2296" s="67"/>
      <c r="O2296" s="64"/>
      <c r="P2296" s="72" t="str">
        <f aca="false">IF(OR(B2296="",C2296=""),"",C2296&amp;"|"&amp;(YEAR(B2296)*100+MONTH(B2296)))</f>
        <v/>
      </c>
      <c r="Q2296" s="70" t="str">
        <f aca="false">IF(P2296="","",IF(COUNTIF(N_CLAVE,P2296)&gt;1,"⚠ Duplicado","OK"))</f>
        <v/>
      </c>
      <c r="R2296" s="74" t="str">
        <f aca="false">IF(OR(P2296="",U2296=""),"",MAX(0,U2296-N(E2296)-N(F2296)-N(H2296)))</f>
        <v/>
      </c>
      <c r="S2296" s="75" t="str">
        <f aca="false">IF(P2296="","",IFERROR(INDEX(T_INGRESO,MATCH(C2296,T_ID,0)),""))</f>
        <v/>
      </c>
      <c r="T2296" s="75" t="str">
        <f aca="false">IF(P2296="","",IFERROR(N(INDEX(T_EGRESO,MATCH(C2296,T_ID,0))),0))</f>
        <v/>
      </c>
      <c r="U2296" s="73" t="str">
        <f aca="false">IF(OR(P2296="",NOT(ISNUMBER(S2296))),"",IF(OR(S2296&gt;EOMONTH(B2296,0),AND(T2296&gt;0,T2296&lt;B2296)),0,IF(AND(S2296&lt;=B2296,OR(T2296=0,T2296&gt;=EOMONTH(B2296,0))),30,MIN(30,IF(T2296=0,EOMONTH(B2296,0),MIN(T2296,EOMONTH(B2296,0)))-MAX(B2296,S2296)+1))))</f>
        <v/>
      </c>
    </row>
    <row r="2297" customFormat="false" ht="15" hidden="false" customHeight="false" outlineLevel="0" collapsed="false">
      <c r="B2297" s="78"/>
      <c r="C2297" s="64"/>
      <c r="D2297" s="70" t="str">
        <f aca="false">IF(C2297="","",IFERROR(INDEX(T_NOMBRE,MATCH(C2297,T_ID,0)),"⚠ ID no existe"))</f>
        <v/>
      </c>
      <c r="E2297" s="69"/>
      <c r="F2297" s="69"/>
      <c r="G2297" s="69"/>
      <c r="H2297" s="69"/>
      <c r="I2297" s="66"/>
      <c r="J2297" s="69"/>
      <c r="K2297" s="67"/>
      <c r="L2297" s="67"/>
      <c r="M2297" s="67"/>
      <c r="N2297" s="67"/>
      <c r="O2297" s="64"/>
      <c r="P2297" s="72" t="str">
        <f aca="false">IF(OR(B2297="",C2297=""),"",C2297&amp;"|"&amp;(YEAR(B2297)*100+MONTH(B2297)))</f>
        <v/>
      </c>
      <c r="Q2297" s="70" t="str">
        <f aca="false">IF(P2297="","",IF(COUNTIF(N_CLAVE,P2297)&gt;1,"⚠ Duplicado","OK"))</f>
        <v/>
      </c>
      <c r="R2297" s="74" t="str">
        <f aca="false">IF(OR(P2297="",U2297=""),"",MAX(0,U2297-N(E2297)-N(F2297)-N(H2297)))</f>
        <v/>
      </c>
      <c r="S2297" s="75" t="str">
        <f aca="false">IF(P2297="","",IFERROR(INDEX(T_INGRESO,MATCH(C2297,T_ID,0)),""))</f>
        <v/>
      </c>
      <c r="T2297" s="75" t="str">
        <f aca="false">IF(P2297="","",IFERROR(N(INDEX(T_EGRESO,MATCH(C2297,T_ID,0))),0))</f>
        <v/>
      </c>
      <c r="U2297" s="73" t="str">
        <f aca="false">IF(OR(P2297="",NOT(ISNUMBER(S2297))),"",IF(OR(S2297&gt;EOMONTH(B2297,0),AND(T2297&gt;0,T2297&lt;B2297)),0,IF(AND(S2297&lt;=B2297,OR(T2297=0,T2297&gt;=EOMONTH(B2297,0))),30,MIN(30,IF(T2297=0,EOMONTH(B2297,0),MIN(T2297,EOMONTH(B2297,0)))-MAX(B2297,S2297)+1))))</f>
        <v/>
      </c>
    </row>
    <row r="2298" customFormat="false" ht="15" hidden="false" customHeight="false" outlineLevel="0" collapsed="false">
      <c r="B2298" s="78"/>
      <c r="C2298" s="64"/>
      <c r="D2298" s="70" t="str">
        <f aca="false">IF(C2298="","",IFERROR(INDEX(T_NOMBRE,MATCH(C2298,T_ID,0)),"⚠ ID no existe"))</f>
        <v/>
      </c>
      <c r="E2298" s="69"/>
      <c r="F2298" s="69"/>
      <c r="G2298" s="69"/>
      <c r="H2298" s="69"/>
      <c r="I2298" s="66"/>
      <c r="J2298" s="69"/>
      <c r="K2298" s="67"/>
      <c r="L2298" s="67"/>
      <c r="M2298" s="67"/>
      <c r="N2298" s="67"/>
      <c r="O2298" s="64"/>
      <c r="P2298" s="72" t="str">
        <f aca="false">IF(OR(B2298="",C2298=""),"",C2298&amp;"|"&amp;(YEAR(B2298)*100+MONTH(B2298)))</f>
        <v/>
      </c>
      <c r="Q2298" s="70" t="str">
        <f aca="false">IF(P2298="","",IF(COUNTIF(N_CLAVE,P2298)&gt;1,"⚠ Duplicado","OK"))</f>
        <v/>
      </c>
      <c r="R2298" s="74" t="str">
        <f aca="false">IF(OR(P2298="",U2298=""),"",MAX(0,U2298-N(E2298)-N(F2298)-N(H2298)))</f>
        <v/>
      </c>
      <c r="S2298" s="75" t="str">
        <f aca="false">IF(P2298="","",IFERROR(INDEX(T_INGRESO,MATCH(C2298,T_ID,0)),""))</f>
        <v/>
      </c>
      <c r="T2298" s="75" t="str">
        <f aca="false">IF(P2298="","",IFERROR(N(INDEX(T_EGRESO,MATCH(C2298,T_ID,0))),0))</f>
        <v/>
      </c>
      <c r="U2298" s="73" t="str">
        <f aca="false">IF(OR(P2298="",NOT(ISNUMBER(S2298))),"",IF(OR(S2298&gt;EOMONTH(B2298,0),AND(T2298&gt;0,T2298&lt;B2298)),0,IF(AND(S2298&lt;=B2298,OR(T2298=0,T2298&gt;=EOMONTH(B2298,0))),30,MIN(30,IF(T2298=0,EOMONTH(B2298,0),MIN(T2298,EOMONTH(B2298,0)))-MAX(B2298,S2298)+1))))</f>
        <v/>
      </c>
    </row>
    <row r="2299" customFormat="false" ht="15" hidden="false" customHeight="false" outlineLevel="0" collapsed="false">
      <c r="B2299" s="78"/>
      <c r="C2299" s="64"/>
      <c r="D2299" s="70" t="str">
        <f aca="false">IF(C2299="","",IFERROR(INDEX(T_NOMBRE,MATCH(C2299,T_ID,0)),"⚠ ID no existe"))</f>
        <v/>
      </c>
      <c r="E2299" s="69"/>
      <c r="F2299" s="69"/>
      <c r="G2299" s="69"/>
      <c r="H2299" s="69"/>
      <c r="I2299" s="66"/>
      <c r="J2299" s="69"/>
      <c r="K2299" s="67"/>
      <c r="L2299" s="67"/>
      <c r="M2299" s="67"/>
      <c r="N2299" s="67"/>
      <c r="O2299" s="64"/>
      <c r="P2299" s="72" t="str">
        <f aca="false">IF(OR(B2299="",C2299=""),"",C2299&amp;"|"&amp;(YEAR(B2299)*100+MONTH(B2299)))</f>
        <v/>
      </c>
      <c r="Q2299" s="70" t="str">
        <f aca="false">IF(P2299="","",IF(COUNTIF(N_CLAVE,P2299)&gt;1,"⚠ Duplicado","OK"))</f>
        <v/>
      </c>
      <c r="R2299" s="74" t="str">
        <f aca="false">IF(OR(P2299="",U2299=""),"",MAX(0,U2299-N(E2299)-N(F2299)-N(H2299)))</f>
        <v/>
      </c>
      <c r="S2299" s="75" t="str">
        <f aca="false">IF(P2299="","",IFERROR(INDEX(T_INGRESO,MATCH(C2299,T_ID,0)),""))</f>
        <v/>
      </c>
      <c r="T2299" s="75" t="str">
        <f aca="false">IF(P2299="","",IFERROR(N(INDEX(T_EGRESO,MATCH(C2299,T_ID,0))),0))</f>
        <v/>
      </c>
      <c r="U2299" s="73" t="str">
        <f aca="false">IF(OR(P2299="",NOT(ISNUMBER(S2299))),"",IF(OR(S2299&gt;EOMONTH(B2299,0),AND(T2299&gt;0,T2299&lt;B2299)),0,IF(AND(S2299&lt;=B2299,OR(T2299=0,T2299&gt;=EOMONTH(B2299,0))),30,MIN(30,IF(T2299=0,EOMONTH(B2299,0),MIN(T2299,EOMONTH(B2299,0)))-MAX(B2299,S2299)+1))))</f>
        <v/>
      </c>
    </row>
    <row r="2300" customFormat="false" ht="15" hidden="false" customHeight="false" outlineLevel="0" collapsed="false">
      <c r="B2300" s="78"/>
      <c r="C2300" s="64"/>
      <c r="D2300" s="70" t="str">
        <f aca="false">IF(C2300="","",IFERROR(INDEX(T_NOMBRE,MATCH(C2300,T_ID,0)),"⚠ ID no existe"))</f>
        <v/>
      </c>
      <c r="E2300" s="69"/>
      <c r="F2300" s="69"/>
      <c r="G2300" s="69"/>
      <c r="H2300" s="69"/>
      <c r="I2300" s="66"/>
      <c r="J2300" s="69"/>
      <c r="K2300" s="67"/>
      <c r="L2300" s="67"/>
      <c r="M2300" s="67"/>
      <c r="N2300" s="67"/>
      <c r="O2300" s="64"/>
      <c r="P2300" s="72" t="str">
        <f aca="false">IF(OR(B2300="",C2300=""),"",C2300&amp;"|"&amp;(YEAR(B2300)*100+MONTH(B2300)))</f>
        <v/>
      </c>
      <c r="Q2300" s="70" t="str">
        <f aca="false">IF(P2300="","",IF(COUNTIF(N_CLAVE,P2300)&gt;1,"⚠ Duplicado","OK"))</f>
        <v/>
      </c>
      <c r="R2300" s="74" t="str">
        <f aca="false">IF(OR(P2300="",U2300=""),"",MAX(0,U2300-N(E2300)-N(F2300)-N(H2300)))</f>
        <v/>
      </c>
      <c r="S2300" s="75" t="str">
        <f aca="false">IF(P2300="","",IFERROR(INDEX(T_INGRESO,MATCH(C2300,T_ID,0)),""))</f>
        <v/>
      </c>
      <c r="T2300" s="75" t="str">
        <f aca="false">IF(P2300="","",IFERROR(N(INDEX(T_EGRESO,MATCH(C2300,T_ID,0))),0))</f>
        <v/>
      </c>
      <c r="U2300" s="73" t="str">
        <f aca="false">IF(OR(P2300="",NOT(ISNUMBER(S2300))),"",IF(OR(S2300&gt;EOMONTH(B2300,0),AND(T2300&gt;0,T2300&lt;B2300)),0,IF(AND(S2300&lt;=B2300,OR(T2300=0,T2300&gt;=EOMONTH(B2300,0))),30,MIN(30,IF(T2300=0,EOMONTH(B2300,0),MIN(T2300,EOMONTH(B2300,0)))-MAX(B2300,S2300)+1))))</f>
        <v/>
      </c>
    </row>
    <row r="2301" customFormat="false" ht="15" hidden="false" customHeight="false" outlineLevel="0" collapsed="false">
      <c r="B2301" s="78"/>
      <c r="C2301" s="64"/>
      <c r="D2301" s="70" t="str">
        <f aca="false">IF(C2301="","",IFERROR(INDEX(T_NOMBRE,MATCH(C2301,T_ID,0)),"⚠ ID no existe"))</f>
        <v/>
      </c>
      <c r="E2301" s="69"/>
      <c r="F2301" s="69"/>
      <c r="G2301" s="69"/>
      <c r="H2301" s="69"/>
      <c r="I2301" s="66"/>
      <c r="J2301" s="69"/>
      <c r="K2301" s="67"/>
      <c r="L2301" s="67"/>
      <c r="M2301" s="67"/>
      <c r="N2301" s="67"/>
      <c r="O2301" s="64"/>
      <c r="P2301" s="72" t="str">
        <f aca="false">IF(OR(B2301="",C2301=""),"",C2301&amp;"|"&amp;(YEAR(B2301)*100+MONTH(B2301)))</f>
        <v/>
      </c>
      <c r="Q2301" s="70" t="str">
        <f aca="false">IF(P2301="","",IF(COUNTIF(N_CLAVE,P2301)&gt;1,"⚠ Duplicado","OK"))</f>
        <v/>
      </c>
      <c r="R2301" s="74" t="str">
        <f aca="false">IF(OR(P2301="",U2301=""),"",MAX(0,U2301-N(E2301)-N(F2301)-N(H2301)))</f>
        <v/>
      </c>
      <c r="S2301" s="75" t="str">
        <f aca="false">IF(P2301="","",IFERROR(INDEX(T_INGRESO,MATCH(C2301,T_ID,0)),""))</f>
        <v/>
      </c>
      <c r="T2301" s="75" t="str">
        <f aca="false">IF(P2301="","",IFERROR(N(INDEX(T_EGRESO,MATCH(C2301,T_ID,0))),0))</f>
        <v/>
      </c>
      <c r="U2301" s="73" t="str">
        <f aca="false">IF(OR(P2301="",NOT(ISNUMBER(S2301))),"",IF(OR(S2301&gt;EOMONTH(B2301,0),AND(T2301&gt;0,T2301&lt;B2301)),0,IF(AND(S2301&lt;=B2301,OR(T2301=0,T2301&gt;=EOMONTH(B2301,0))),30,MIN(30,IF(T2301=0,EOMONTH(B2301,0),MIN(T2301,EOMONTH(B2301,0)))-MAX(B2301,S2301)+1))))</f>
        <v/>
      </c>
    </row>
    <row r="2302" customFormat="false" ht="15" hidden="false" customHeight="false" outlineLevel="0" collapsed="false">
      <c r="B2302" s="78"/>
      <c r="C2302" s="64"/>
      <c r="D2302" s="70" t="str">
        <f aca="false">IF(C2302="","",IFERROR(INDEX(T_NOMBRE,MATCH(C2302,T_ID,0)),"⚠ ID no existe"))</f>
        <v/>
      </c>
      <c r="E2302" s="69"/>
      <c r="F2302" s="69"/>
      <c r="G2302" s="69"/>
      <c r="H2302" s="69"/>
      <c r="I2302" s="66"/>
      <c r="J2302" s="69"/>
      <c r="K2302" s="67"/>
      <c r="L2302" s="67"/>
      <c r="M2302" s="67"/>
      <c r="N2302" s="67"/>
      <c r="O2302" s="64"/>
      <c r="P2302" s="72" t="str">
        <f aca="false">IF(OR(B2302="",C2302=""),"",C2302&amp;"|"&amp;(YEAR(B2302)*100+MONTH(B2302)))</f>
        <v/>
      </c>
      <c r="Q2302" s="70" t="str">
        <f aca="false">IF(P2302="","",IF(COUNTIF(N_CLAVE,P2302)&gt;1,"⚠ Duplicado","OK"))</f>
        <v/>
      </c>
      <c r="R2302" s="74" t="str">
        <f aca="false">IF(OR(P2302="",U2302=""),"",MAX(0,U2302-N(E2302)-N(F2302)-N(H2302)))</f>
        <v/>
      </c>
      <c r="S2302" s="75" t="str">
        <f aca="false">IF(P2302="","",IFERROR(INDEX(T_INGRESO,MATCH(C2302,T_ID,0)),""))</f>
        <v/>
      </c>
      <c r="T2302" s="75" t="str">
        <f aca="false">IF(P2302="","",IFERROR(N(INDEX(T_EGRESO,MATCH(C2302,T_ID,0))),0))</f>
        <v/>
      </c>
      <c r="U2302" s="73" t="str">
        <f aca="false">IF(OR(P2302="",NOT(ISNUMBER(S2302))),"",IF(OR(S2302&gt;EOMONTH(B2302,0),AND(T2302&gt;0,T2302&lt;B2302)),0,IF(AND(S2302&lt;=B2302,OR(T2302=0,T2302&gt;=EOMONTH(B2302,0))),30,MIN(30,IF(T2302=0,EOMONTH(B2302,0),MIN(T2302,EOMONTH(B2302,0)))-MAX(B2302,S2302)+1))))</f>
        <v/>
      </c>
    </row>
    <row r="2303" customFormat="false" ht="15" hidden="false" customHeight="false" outlineLevel="0" collapsed="false">
      <c r="B2303" s="78"/>
      <c r="C2303" s="64"/>
      <c r="D2303" s="70" t="str">
        <f aca="false">IF(C2303="","",IFERROR(INDEX(T_NOMBRE,MATCH(C2303,T_ID,0)),"⚠ ID no existe"))</f>
        <v/>
      </c>
      <c r="E2303" s="69"/>
      <c r="F2303" s="69"/>
      <c r="G2303" s="69"/>
      <c r="H2303" s="69"/>
      <c r="I2303" s="66"/>
      <c r="J2303" s="69"/>
      <c r="K2303" s="67"/>
      <c r="L2303" s="67"/>
      <c r="M2303" s="67"/>
      <c r="N2303" s="67"/>
      <c r="O2303" s="64"/>
      <c r="P2303" s="72" t="str">
        <f aca="false">IF(OR(B2303="",C2303=""),"",C2303&amp;"|"&amp;(YEAR(B2303)*100+MONTH(B2303)))</f>
        <v/>
      </c>
      <c r="Q2303" s="70" t="str">
        <f aca="false">IF(P2303="","",IF(COUNTIF(N_CLAVE,P2303)&gt;1,"⚠ Duplicado","OK"))</f>
        <v/>
      </c>
      <c r="R2303" s="74" t="str">
        <f aca="false">IF(OR(P2303="",U2303=""),"",MAX(0,U2303-N(E2303)-N(F2303)-N(H2303)))</f>
        <v/>
      </c>
      <c r="S2303" s="75" t="str">
        <f aca="false">IF(P2303="","",IFERROR(INDEX(T_INGRESO,MATCH(C2303,T_ID,0)),""))</f>
        <v/>
      </c>
      <c r="T2303" s="75" t="str">
        <f aca="false">IF(P2303="","",IFERROR(N(INDEX(T_EGRESO,MATCH(C2303,T_ID,0))),0))</f>
        <v/>
      </c>
      <c r="U2303" s="73" t="str">
        <f aca="false">IF(OR(P2303="",NOT(ISNUMBER(S2303))),"",IF(OR(S2303&gt;EOMONTH(B2303,0),AND(T2303&gt;0,T2303&lt;B2303)),0,IF(AND(S2303&lt;=B2303,OR(T2303=0,T2303&gt;=EOMONTH(B2303,0))),30,MIN(30,IF(T2303=0,EOMONTH(B2303,0),MIN(T2303,EOMONTH(B2303,0)))-MAX(B2303,S2303)+1))))</f>
        <v/>
      </c>
    </row>
    <row r="2304" customFormat="false" ht="15" hidden="false" customHeight="false" outlineLevel="0" collapsed="false">
      <c r="B2304" s="78"/>
      <c r="C2304" s="64"/>
      <c r="D2304" s="70" t="str">
        <f aca="false">IF(C2304="","",IFERROR(INDEX(T_NOMBRE,MATCH(C2304,T_ID,0)),"⚠ ID no existe"))</f>
        <v/>
      </c>
      <c r="E2304" s="69"/>
      <c r="F2304" s="69"/>
      <c r="G2304" s="69"/>
      <c r="H2304" s="69"/>
      <c r="I2304" s="66"/>
      <c r="J2304" s="69"/>
      <c r="K2304" s="67"/>
      <c r="L2304" s="67"/>
      <c r="M2304" s="67"/>
      <c r="N2304" s="67"/>
      <c r="O2304" s="64"/>
      <c r="P2304" s="72" t="str">
        <f aca="false">IF(OR(B2304="",C2304=""),"",C2304&amp;"|"&amp;(YEAR(B2304)*100+MONTH(B2304)))</f>
        <v/>
      </c>
      <c r="Q2304" s="70" t="str">
        <f aca="false">IF(P2304="","",IF(COUNTIF(N_CLAVE,P2304)&gt;1,"⚠ Duplicado","OK"))</f>
        <v/>
      </c>
      <c r="R2304" s="74" t="str">
        <f aca="false">IF(OR(P2304="",U2304=""),"",MAX(0,U2304-N(E2304)-N(F2304)-N(H2304)))</f>
        <v/>
      </c>
      <c r="S2304" s="75" t="str">
        <f aca="false">IF(P2304="","",IFERROR(INDEX(T_INGRESO,MATCH(C2304,T_ID,0)),""))</f>
        <v/>
      </c>
      <c r="T2304" s="75" t="str">
        <f aca="false">IF(P2304="","",IFERROR(N(INDEX(T_EGRESO,MATCH(C2304,T_ID,0))),0))</f>
        <v/>
      </c>
      <c r="U2304" s="73" t="str">
        <f aca="false">IF(OR(P2304="",NOT(ISNUMBER(S2304))),"",IF(OR(S2304&gt;EOMONTH(B2304,0),AND(T2304&gt;0,T2304&lt;B2304)),0,IF(AND(S2304&lt;=B2304,OR(T2304=0,T2304&gt;=EOMONTH(B2304,0))),30,MIN(30,IF(T2304=0,EOMONTH(B2304,0),MIN(T2304,EOMONTH(B2304,0)))-MAX(B2304,S2304)+1))))</f>
        <v/>
      </c>
    </row>
    <row r="2305" customFormat="false" ht="15" hidden="false" customHeight="false" outlineLevel="0" collapsed="false">
      <c r="B2305" s="78"/>
      <c r="C2305" s="64"/>
      <c r="D2305" s="70" t="str">
        <f aca="false">IF(C2305="","",IFERROR(INDEX(T_NOMBRE,MATCH(C2305,T_ID,0)),"⚠ ID no existe"))</f>
        <v/>
      </c>
      <c r="E2305" s="69"/>
      <c r="F2305" s="69"/>
      <c r="G2305" s="69"/>
      <c r="H2305" s="69"/>
      <c r="I2305" s="66"/>
      <c r="J2305" s="69"/>
      <c r="K2305" s="67"/>
      <c r="L2305" s="67"/>
      <c r="M2305" s="67"/>
      <c r="N2305" s="67"/>
      <c r="O2305" s="64"/>
      <c r="P2305" s="72" t="str">
        <f aca="false">IF(OR(B2305="",C2305=""),"",C2305&amp;"|"&amp;(YEAR(B2305)*100+MONTH(B2305)))</f>
        <v/>
      </c>
      <c r="Q2305" s="70" t="str">
        <f aca="false">IF(P2305="","",IF(COUNTIF(N_CLAVE,P2305)&gt;1,"⚠ Duplicado","OK"))</f>
        <v/>
      </c>
      <c r="R2305" s="74" t="str">
        <f aca="false">IF(OR(P2305="",U2305=""),"",MAX(0,U2305-N(E2305)-N(F2305)-N(H2305)))</f>
        <v/>
      </c>
      <c r="S2305" s="75" t="str">
        <f aca="false">IF(P2305="","",IFERROR(INDEX(T_INGRESO,MATCH(C2305,T_ID,0)),""))</f>
        <v/>
      </c>
      <c r="T2305" s="75" t="str">
        <f aca="false">IF(P2305="","",IFERROR(N(INDEX(T_EGRESO,MATCH(C2305,T_ID,0))),0))</f>
        <v/>
      </c>
      <c r="U2305" s="73" t="str">
        <f aca="false">IF(OR(P2305="",NOT(ISNUMBER(S2305))),"",IF(OR(S2305&gt;EOMONTH(B2305,0),AND(T2305&gt;0,T2305&lt;B2305)),0,IF(AND(S2305&lt;=B2305,OR(T2305=0,T2305&gt;=EOMONTH(B2305,0))),30,MIN(30,IF(T2305=0,EOMONTH(B2305,0),MIN(T2305,EOMONTH(B2305,0)))-MAX(B2305,S2305)+1))))</f>
        <v/>
      </c>
    </row>
    <row r="2306" customFormat="false" ht="15" hidden="false" customHeight="false" outlineLevel="0" collapsed="false">
      <c r="B2306" s="78"/>
      <c r="C2306" s="64"/>
      <c r="D2306" s="70" t="str">
        <f aca="false">IF(C2306="","",IFERROR(INDEX(T_NOMBRE,MATCH(C2306,T_ID,0)),"⚠ ID no existe"))</f>
        <v/>
      </c>
      <c r="E2306" s="69"/>
      <c r="F2306" s="69"/>
      <c r="G2306" s="69"/>
      <c r="H2306" s="69"/>
      <c r="I2306" s="66"/>
      <c r="J2306" s="69"/>
      <c r="K2306" s="67"/>
      <c r="L2306" s="67"/>
      <c r="M2306" s="67"/>
      <c r="N2306" s="67"/>
      <c r="O2306" s="64"/>
      <c r="P2306" s="72" t="str">
        <f aca="false">IF(OR(B2306="",C2306=""),"",C2306&amp;"|"&amp;(YEAR(B2306)*100+MONTH(B2306)))</f>
        <v/>
      </c>
      <c r="Q2306" s="70" t="str">
        <f aca="false">IF(P2306="","",IF(COUNTIF(N_CLAVE,P2306)&gt;1,"⚠ Duplicado","OK"))</f>
        <v/>
      </c>
      <c r="R2306" s="74" t="str">
        <f aca="false">IF(OR(P2306="",U2306=""),"",MAX(0,U2306-N(E2306)-N(F2306)-N(H2306)))</f>
        <v/>
      </c>
      <c r="S2306" s="75" t="str">
        <f aca="false">IF(P2306="","",IFERROR(INDEX(T_INGRESO,MATCH(C2306,T_ID,0)),""))</f>
        <v/>
      </c>
      <c r="T2306" s="75" t="str">
        <f aca="false">IF(P2306="","",IFERROR(N(INDEX(T_EGRESO,MATCH(C2306,T_ID,0))),0))</f>
        <v/>
      </c>
      <c r="U2306" s="73" t="str">
        <f aca="false">IF(OR(P2306="",NOT(ISNUMBER(S2306))),"",IF(OR(S2306&gt;EOMONTH(B2306,0),AND(T2306&gt;0,T2306&lt;B2306)),0,IF(AND(S2306&lt;=B2306,OR(T2306=0,T2306&gt;=EOMONTH(B2306,0))),30,MIN(30,IF(T2306=0,EOMONTH(B2306,0),MIN(T2306,EOMONTH(B2306,0)))-MAX(B2306,S2306)+1))))</f>
        <v/>
      </c>
    </row>
    <row r="2307" customFormat="false" ht="15" hidden="false" customHeight="false" outlineLevel="0" collapsed="false">
      <c r="B2307" s="78"/>
      <c r="C2307" s="64"/>
      <c r="D2307" s="70" t="str">
        <f aca="false">IF(C2307="","",IFERROR(INDEX(T_NOMBRE,MATCH(C2307,T_ID,0)),"⚠ ID no existe"))</f>
        <v/>
      </c>
      <c r="E2307" s="69"/>
      <c r="F2307" s="69"/>
      <c r="G2307" s="69"/>
      <c r="H2307" s="69"/>
      <c r="I2307" s="66"/>
      <c r="J2307" s="69"/>
      <c r="K2307" s="67"/>
      <c r="L2307" s="67"/>
      <c r="M2307" s="67"/>
      <c r="N2307" s="67"/>
      <c r="O2307" s="64"/>
      <c r="P2307" s="72" t="str">
        <f aca="false">IF(OR(B2307="",C2307=""),"",C2307&amp;"|"&amp;(YEAR(B2307)*100+MONTH(B2307)))</f>
        <v/>
      </c>
      <c r="Q2307" s="70" t="str">
        <f aca="false">IF(P2307="","",IF(COUNTIF(N_CLAVE,P2307)&gt;1,"⚠ Duplicado","OK"))</f>
        <v/>
      </c>
      <c r="R2307" s="74" t="str">
        <f aca="false">IF(OR(P2307="",U2307=""),"",MAX(0,U2307-N(E2307)-N(F2307)-N(H2307)))</f>
        <v/>
      </c>
      <c r="S2307" s="75" t="str">
        <f aca="false">IF(P2307="","",IFERROR(INDEX(T_INGRESO,MATCH(C2307,T_ID,0)),""))</f>
        <v/>
      </c>
      <c r="T2307" s="75" t="str">
        <f aca="false">IF(P2307="","",IFERROR(N(INDEX(T_EGRESO,MATCH(C2307,T_ID,0))),0))</f>
        <v/>
      </c>
      <c r="U2307" s="73" t="str">
        <f aca="false">IF(OR(P2307="",NOT(ISNUMBER(S2307))),"",IF(OR(S2307&gt;EOMONTH(B2307,0),AND(T2307&gt;0,T2307&lt;B2307)),0,IF(AND(S2307&lt;=B2307,OR(T2307=0,T2307&gt;=EOMONTH(B2307,0))),30,MIN(30,IF(T2307=0,EOMONTH(B2307,0),MIN(T2307,EOMONTH(B2307,0)))-MAX(B2307,S2307)+1))))</f>
        <v/>
      </c>
    </row>
    <row r="2308" customFormat="false" ht="15" hidden="false" customHeight="false" outlineLevel="0" collapsed="false">
      <c r="B2308" s="78"/>
      <c r="C2308" s="64"/>
      <c r="D2308" s="70" t="str">
        <f aca="false">IF(C2308="","",IFERROR(INDEX(T_NOMBRE,MATCH(C2308,T_ID,0)),"⚠ ID no existe"))</f>
        <v/>
      </c>
      <c r="E2308" s="69"/>
      <c r="F2308" s="69"/>
      <c r="G2308" s="69"/>
      <c r="H2308" s="69"/>
      <c r="I2308" s="66"/>
      <c r="J2308" s="69"/>
      <c r="K2308" s="67"/>
      <c r="L2308" s="67"/>
      <c r="M2308" s="67"/>
      <c r="N2308" s="67"/>
      <c r="O2308" s="64"/>
      <c r="P2308" s="72" t="str">
        <f aca="false">IF(OR(B2308="",C2308=""),"",C2308&amp;"|"&amp;(YEAR(B2308)*100+MONTH(B2308)))</f>
        <v/>
      </c>
      <c r="Q2308" s="70" t="str">
        <f aca="false">IF(P2308="","",IF(COUNTIF(N_CLAVE,P2308)&gt;1,"⚠ Duplicado","OK"))</f>
        <v/>
      </c>
      <c r="R2308" s="74" t="str">
        <f aca="false">IF(OR(P2308="",U2308=""),"",MAX(0,U2308-N(E2308)-N(F2308)-N(H2308)))</f>
        <v/>
      </c>
      <c r="S2308" s="75" t="str">
        <f aca="false">IF(P2308="","",IFERROR(INDEX(T_INGRESO,MATCH(C2308,T_ID,0)),""))</f>
        <v/>
      </c>
      <c r="T2308" s="75" t="str">
        <f aca="false">IF(P2308="","",IFERROR(N(INDEX(T_EGRESO,MATCH(C2308,T_ID,0))),0))</f>
        <v/>
      </c>
      <c r="U2308" s="73" t="str">
        <f aca="false">IF(OR(P2308="",NOT(ISNUMBER(S2308))),"",IF(OR(S2308&gt;EOMONTH(B2308,0),AND(T2308&gt;0,T2308&lt;B2308)),0,IF(AND(S2308&lt;=B2308,OR(T2308=0,T2308&gt;=EOMONTH(B2308,0))),30,MIN(30,IF(T2308=0,EOMONTH(B2308,0),MIN(T2308,EOMONTH(B2308,0)))-MAX(B2308,S2308)+1))))</f>
        <v/>
      </c>
    </row>
    <row r="2309" customFormat="false" ht="15" hidden="false" customHeight="false" outlineLevel="0" collapsed="false">
      <c r="B2309" s="78"/>
      <c r="C2309" s="64"/>
      <c r="D2309" s="70" t="str">
        <f aca="false">IF(C2309="","",IFERROR(INDEX(T_NOMBRE,MATCH(C2309,T_ID,0)),"⚠ ID no existe"))</f>
        <v/>
      </c>
      <c r="E2309" s="69"/>
      <c r="F2309" s="69"/>
      <c r="G2309" s="69"/>
      <c r="H2309" s="69"/>
      <c r="I2309" s="66"/>
      <c r="J2309" s="69"/>
      <c r="K2309" s="67"/>
      <c r="L2309" s="67"/>
      <c r="M2309" s="67"/>
      <c r="N2309" s="67"/>
      <c r="O2309" s="64"/>
      <c r="P2309" s="72" t="str">
        <f aca="false">IF(OR(B2309="",C2309=""),"",C2309&amp;"|"&amp;(YEAR(B2309)*100+MONTH(B2309)))</f>
        <v/>
      </c>
      <c r="Q2309" s="70" t="str">
        <f aca="false">IF(P2309="","",IF(COUNTIF(N_CLAVE,P2309)&gt;1,"⚠ Duplicado","OK"))</f>
        <v/>
      </c>
      <c r="R2309" s="74" t="str">
        <f aca="false">IF(OR(P2309="",U2309=""),"",MAX(0,U2309-N(E2309)-N(F2309)-N(H2309)))</f>
        <v/>
      </c>
      <c r="S2309" s="75" t="str">
        <f aca="false">IF(P2309="","",IFERROR(INDEX(T_INGRESO,MATCH(C2309,T_ID,0)),""))</f>
        <v/>
      </c>
      <c r="T2309" s="75" t="str">
        <f aca="false">IF(P2309="","",IFERROR(N(INDEX(T_EGRESO,MATCH(C2309,T_ID,0))),0))</f>
        <v/>
      </c>
      <c r="U2309" s="73" t="str">
        <f aca="false">IF(OR(P2309="",NOT(ISNUMBER(S2309))),"",IF(OR(S2309&gt;EOMONTH(B2309,0),AND(T2309&gt;0,T2309&lt;B2309)),0,IF(AND(S2309&lt;=B2309,OR(T2309=0,T2309&gt;=EOMONTH(B2309,0))),30,MIN(30,IF(T2309=0,EOMONTH(B2309,0),MIN(T2309,EOMONTH(B2309,0)))-MAX(B2309,S2309)+1))))</f>
        <v/>
      </c>
    </row>
    <row r="2310" customFormat="false" ht="15" hidden="false" customHeight="false" outlineLevel="0" collapsed="false">
      <c r="B2310" s="78"/>
      <c r="C2310" s="64"/>
      <c r="D2310" s="70" t="str">
        <f aca="false">IF(C2310="","",IFERROR(INDEX(T_NOMBRE,MATCH(C2310,T_ID,0)),"⚠ ID no existe"))</f>
        <v/>
      </c>
      <c r="E2310" s="69"/>
      <c r="F2310" s="69"/>
      <c r="G2310" s="69"/>
      <c r="H2310" s="69"/>
      <c r="I2310" s="66"/>
      <c r="J2310" s="69"/>
      <c r="K2310" s="67"/>
      <c r="L2310" s="67"/>
      <c r="M2310" s="67"/>
      <c r="N2310" s="67"/>
      <c r="O2310" s="64"/>
      <c r="P2310" s="72" t="str">
        <f aca="false">IF(OR(B2310="",C2310=""),"",C2310&amp;"|"&amp;(YEAR(B2310)*100+MONTH(B2310)))</f>
        <v/>
      </c>
      <c r="Q2310" s="70" t="str">
        <f aca="false">IF(P2310="","",IF(COUNTIF(N_CLAVE,P2310)&gt;1,"⚠ Duplicado","OK"))</f>
        <v/>
      </c>
      <c r="R2310" s="74" t="str">
        <f aca="false">IF(OR(P2310="",U2310=""),"",MAX(0,U2310-N(E2310)-N(F2310)-N(H2310)))</f>
        <v/>
      </c>
      <c r="S2310" s="75" t="str">
        <f aca="false">IF(P2310="","",IFERROR(INDEX(T_INGRESO,MATCH(C2310,T_ID,0)),""))</f>
        <v/>
      </c>
      <c r="T2310" s="75" t="str">
        <f aca="false">IF(P2310="","",IFERROR(N(INDEX(T_EGRESO,MATCH(C2310,T_ID,0))),0))</f>
        <v/>
      </c>
      <c r="U2310" s="73" t="str">
        <f aca="false">IF(OR(P2310="",NOT(ISNUMBER(S2310))),"",IF(OR(S2310&gt;EOMONTH(B2310,0),AND(T2310&gt;0,T2310&lt;B2310)),0,IF(AND(S2310&lt;=B2310,OR(T2310=0,T2310&gt;=EOMONTH(B2310,0))),30,MIN(30,IF(T2310=0,EOMONTH(B2310,0),MIN(T2310,EOMONTH(B2310,0)))-MAX(B2310,S2310)+1))))</f>
        <v/>
      </c>
    </row>
    <row r="2311" customFormat="false" ht="15" hidden="false" customHeight="false" outlineLevel="0" collapsed="false">
      <c r="B2311" s="78"/>
      <c r="C2311" s="64"/>
      <c r="D2311" s="70" t="str">
        <f aca="false">IF(C2311="","",IFERROR(INDEX(T_NOMBRE,MATCH(C2311,T_ID,0)),"⚠ ID no existe"))</f>
        <v/>
      </c>
      <c r="E2311" s="69"/>
      <c r="F2311" s="69"/>
      <c r="G2311" s="69"/>
      <c r="H2311" s="69"/>
      <c r="I2311" s="66"/>
      <c r="J2311" s="69"/>
      <c r="K2311" s="67"/>
      <c r="L2311" s="67"/>
      <c r="M2311" s="67"/>
      <c r="N2311" s="67"/>
      <c r="O2311" s="64"/>
      <c r="P2311" s="72" t="str">
        <f aca="false">IF(OR(B2311="",C2311=""),"",C2311&amp;"|"&amp;(YEAR(B2311)*100+MONTH(B2311)))</f>
        <v/>
      </c>
      <c r="Q2311" s="70" t="str">
        <f aca="false">IF(P2311="","",IF(COUNTIF(N_CLAVE,P2311)&gt;1,"⚠ Duplicado","OK"))</f>
        <v/>
      </c>
      <c r="R2311" s="74" t="str">
        <f aca="false">IF(OR(P2311="",U2311=""),"",MAX(0,U2311-N(E2311)-N(F2311)-N(H2311)))</f>
        <v/>
      </c>
      <c r="S2311" s="75" t="str">
        <f aca="false">IF(P2311="","",IFERROR(INDEX(T_INGRESO,MATCH(C2311,T_ID,0)),""))</f>
        <v/>
      </c>
      <c r="T2311" s="75" t="str">
        <f aca="false">IF(P2311="","",IFERROR(N(INDEX(T_EGRESO,MATCH(C2311,T_ID,0))),0))</f>
        <v/>
      </c>
      <c r="U2311" s="73" t="str">
        <f aca="false">IF(OR(P2311="",NOT(ISNUMBER(S2311))),"",IF(OR(S2311&gt;EOMONTH(B2311,0),AND(T2311&gt;0,T2311&lt;B2311)),0,IF(AND(S2311&lt;=B2311,OR(T2311=0,T2311&gt;=EOMONTH(B2311,0))),30,MIN(30,IF(T2311=0,EOMONTH(B2311,0),MIN(T2311,EOMONTH(B2311,0)))-MAX(B2311,S2311)+1))))</f>
        <v/>
      </c>
    </row>
    <row r="2312" customFormat="false" ht="15" hidden="false" customHeight="false" outlineLevel="0" collapsed="false">
      <c r="B2312" s="78"/>
      <c r="C2312" s="64"/>
      <c r="D2312" s="70" t="str">
        <f aca="false">IF(C2312="","",IFERROR(INDEX(T_NOMBRE,MATCH(C2312,T_ID,0)),"⚠ ID no existe"))</f>
        <v/>
      </c>
      <c r="E2312" s="69"/>
      <c r="F2312" s="69"/>
      <c r="G2312" s="69"/>
      <c r="H2312" s="69"/>
      <c r="I2312" s="66"/>
      <c r="J2312" s="69"/>
      <c r="K2312" s="67"/>
      <c r="L2312" s="67"/>
      <c r="M2312" s="67"/>
      <c r="N2312" s="67"/>
      <c r="O2312" s="64"/>
      <c r="P2312" s="72" t="str">
        <f aca="false">IF(OR(B2312="",C2312=""),"",C2312&amp;"|"&amp;(YEAR(B2312)*100+MONTH(B2312)))</f>
        <v/>
      </c>
      <c r="Q2312" s="70" t="str">
        <f aca="false">IF(P2312="","",IF(COUNTIF(N_CLAVE,P2312)&gt;1,"⚠ Duplicado","OK"))</f>
        <v/>
      </c>
      <c r="R2312" s="74" t="str">
        <f aca="false">IF(OR(P2312="",U2312=""),"",MAX(0,U2312-N(E2312)-N(F2312)-N(H2312)))</f>
        <v/>
      </c>
      <c r="S2312" s="75" t="str">
        <f aca="false">IF(P2312="","",IFERROR(INDEX(T_INGRESO,MATCH(C2312,T_ID,0)),""))</f>
        <v/>
      </c>
      <c r="T2312" s="75" t="str">
        <f aca="false">IF(P2312="","",IFERROR(N(INDEX(T_EGRESO,MATCH(C2312,T_ID,0))),0))</f>
        <v/>
      </c>
      <c r="U2312" s="73" t="str">
        <f aca="false">IF(OR(P2312="",NOT(ISNUMBER(S2312))),"",IF(OR(S2312&gt;EOMONTH(B2312,0),AND(T2312&gt;0,T2312&lt;B2312)),0,IF(AND(S2312&lt;=B2312,OR(T2312=0,T2312&gt;=EOMONTH(B2312,0))),30,MIN(30,IF(T2312=0,EOMONTH(B2312,0),MIN(T2312,EOMONTH(B2312,0)))-MAX(B2312,S2312)+1))))</f>
        <v/>
      </c>
    </row>
    <row r="2313" customFormat="false" ht="15" hidden="false" customHeight="false" outlineLevel="0" collapsed="false">
      <c r="B2313" s="78"/>
      <c r="C2313" s="64"/>
      <c r="D2313" s="70" t="str">
        <f aca="false">IF(C2313="","",IFERROR(INDEX(T_NOMBRE,MATCH(C2313,T_ID,0)),"⚠ ID no existe"))</f>
        <v/>
      </c>
      <c r="E2313" s="69"/>
      <c r="F2313" s="69"/>
      <c r="G2313" s="69"/>
      <c r="H2313" s="69"/>
      <c r="I2313" s="66"/>
      <c r="J2313" s="69"/>
      <c r="K2313" s="67"/>
      <c r="L2313" s="67"/>
      <c r="M2313" s="67"/>
      <c r="N2313" s="67"/>
      <c r="O2313" s="64"/>
      <c r="P2313" s="72" t="str">
        <f aca="false">IF(OR(B2313="",C2313=""),"",C2313&amp;"|"&amp;(YEAR(B2313)*100+MONTH(B2313)))</f>
        <v/>
      </c>
      <c r="Q2313" s="70" t="str">
        <f aca="false">IF(P2313="","",IF(COUNTIF(N_CLAVE,P2313)&gt;1,"⚠ Duplicado","OK"))</f>
        <v/>
      </c>
      <c r="R2313" s="74" t="str">
        <f aca="false">IF(OR(P2313="",U2313=""),"",MAX(0,U2313-N(E2313)-N(F2313)-N(H2313)))</f>
        <v/>
      </c>
      <c r="S2313" s="75" t="str">
        <f aca="false">IF(P2313="","",IFERROR(INDEX(T_INGRESO,MATCH(C2313,T_ID,0)),""))</f>
        <v/>
      </c>
      <c r="T2313" s="75" t="str">
        <f aca="false">IF(P2313="","",IFERROR(N(INDEX(T_EGRESO,MATCH(C2313,T_ID,0))),0))</f>
        <v/>
      </c>
      <c r="U2313" s="73" t="str">
        <f aca="false">IF(OR(P2313="",NOT(ISNUMBER(S2313))),"",IF(OR(S2313&gt;EOMONTH(B2313,0),AND(T2313&gt;0,T2313&lt;B2313)),0,IF(AND(S2313&lt;=B2313,OR(T2313=0,T2313&gt;=EOMONTH(B2313,0))),30,MIN(30,IF(T2313=0,EOMONTH(B2313,0),MIN(T2313,EOMONTH(B2313,0)))-MAX(B2313,S2313)+1))))</f>
        <v/>
      </c>
    </row>
    <row r="2314" customFormat="false" ht="15" hidden="false" customHeight="false" outlineLevel="0" collapsed="false">
      <c r="B2314" s="78"/>
      <c r="C2314" s="64"/>
      <c r="D2314" s="70" t="str">
        <f aca="false">IF(C2314="","",IFERROR(INDEX(T_NOMBRE,MATCH(C2314,T_ID,0)),"⚠ ID no existe"))</f>
        <v/>
      </c>
      <c r="E2314" s="69"/>
      <c r="F2314" s="69"/>
      <c r="G2314" s="69"/>
      <c r="H2314" s="69"/>
      <c r="I2314" s="66"/>
      <c r="J2314" s="69"/>
      <c r="K2314" s="67"/>
      <c r="L2314" s="67"/>
      <c r="M2314" s="67"/>
      <c r="N2314" s="67"/>
      <c r="O2314" s="64"/>
      <c r="P2314" s="72" t="str">
        <f aca="false">IF(OR(B2314="",C2314=""),"",C2314&amp;"|"&amp;(YEAR(B2314)*100+MONTH(B2314)))</f>
        <v/>
      </c>
      <c r="Q2314" s="70" t="str">
        <f aca="false">IF(P2314="","",IF(COUNTIF(N_CLAVE,P2314)&gt;1,"⚠ Duplicado","OK"))</f>
        <v/>
      </c>
      <c r="R2314" s="74" t="str">
        <f aca="false">IF(OR(P2314="",U2314=""),"",MAX(0,U2314-N(E2314)-N(F2314)-N(H2314)))</f>
        <v/>
      </c>
      <c r="S2314" s="75" t="str">
        <f aca="false">IF(P2314="","",IFERROR(INDEX(T_INGRESO,MATCH(C2314,T_ID,0)),""))</f>
        <v/>
      </c>
      <c r="T2314" s="75" t="str">
        <f aca="false">IF(P2314="","",IFERROR(N(INDEX(T_EGRESO,MATCH(C2314,T_ID,0))),0))</f>
        <v/>
      </c>
      <c r="U2314" s="73" t="str">
        <f aca="false">IF(OR(P2314="",NOT(ISNUMBER(S2314))),"",IF(OR(S2314&gt;EOMONTH(B2314,0),AND(T2314&gt;0,T2314&lt;B2314)),0,IF(AND(S2314&lt;=B2314,OR(T2314=0,T2314&gt;=EOMONTH(B2314,0))),30,MIN(30,IF(T2314=0,EOMONTH(B2314,0),MIN(T2314,EOMONTH(B2314,0)))-MAX(B2314,S2314)+1))))</f>
        <v/>
      </c>
    </row>
    <row r="2315" customFormat="false" ht="15" hidden="false" customHeight="false" outlineLevel="0" collapsed="false">
      <c r="B2315" s="78"/>
      <c r="C2315" s="64"/>
      <c r="D2315" s="70" t="str">
        <f aca="false">IF(C2315="","",IFERROR(INDEX(T_NOMBRE,MATCH(C2315,T_ID,0)),"⚠ ID no existe"))</f>
        <v/>
      </c>
      <c r="E2315" s="69"/>
      <c r="F2315" s="69"/>
      <c r="G2315" s="69"/>
      <c r="H2315" s="69"/>
      <c r="I2315" s="66"/>
      <c r="J2315" s="69"/>
      <c r="K2315" s="67"/>
      <c r="L2315" s="67"/>
      <c r="M2315" s="67"/>
      <c r="N2315" s="67"/>
      <c r="O2315" s="64"/>
      <c r="P2315" s="72" t="str">
        <f aca="false">IF(OR(B2315="",C2315=""),"",C2315&amp;"|"&amp;(YEAR(B2315)*100+MONTH(B2315)))</f>
        <v/>
      </c>
      <c r="Q2315" s="70" t="str">
        <f aca="false">IF(P2315="","",IF(COUNTIF(N_CLAVE,P2315)&gt;1,"⚠ Duplicado","OK"))</f>
        <v/>
      </c>
      <c r="R2315" s="74" t="str">
        <f aca="false">IF(OR(P2315="",U2315=""),"",MAX(0,U2315-N(E2315)-N(F2315)-N(H2315)))</f>
        <v/>
      </c>
      <c r="S2315" s="75" t="str">
        <f aca="false">IF(P2315="","",IFERROR(INDEX(T_INGRESO,MATCH(C2315,T_ID,0)),""))</f>
        <v/>
      </c>
      <c r="T2315" s="75" t="str">
        <f aca="false">IF(P2315="","",IFERROR(N(INDEX(T_EGRESO,MATCH(C2315,T_ID,0))),0))</f>
        <v/>
      </c>
      <c r="U2315" s="73" t="str">
        <f aca="false">IF(OR(P2315="",NOT(ISNUMBER(S2315))),"",IF(OR(S2315&gt;EOMONTH(B2315,0),AND(T2315&gt;0,T2315&lt;B2315)),0,IF(AND(S2315&lt;=B2315,OR(T2315=0,T2315&gt;=EOMONTH(B2315,0))),30,MIN(30,IF(T2315=0,EOMONTH(B2315,0),MIN(T2315,EOMONTH(B2315,0)))-MAX(B2315,S2315)+1))))</f>
        <v/>
      </c>
    </row>
    <row r="2316" customFormat="false" ht="15" hidden="false" customHeight="false" outlineLevel="0" collapsed="false">
      <c r="B2316" s="78"/>
      <c r="C2316" s="64"/>
      <c r="D2316" s="70" t="str">
        <f aca="false">IF(C2316="","",IFERROR(INDEX(T_NOMBRE,MATCH(C2316,T_ID,0)),"⚠ ID no existe"))</f>
        <v/>
      </c>
      <c r="E2316" s="69"/>
      <c r="F2316" s="69"/>
      <c r="G2316" s="69"/>
      <c r="H2316" s="69"/>
      <c r="I2316" s="66"/>
      <c r="J2316" s="69"/>
      <c r="K2316" s="67"/>
      <c r="L2316" s="67"/>
      <c r="M2316" s="67"/>
      <c r="N2316" s="67"/>
      <c r="O2316" s="64"/>
      <c r="P2316" s="72" t="str">
        <f aca="false">IF(OR(B2316="",C2316=""),"",C2316&amp;"|"&amp;(YEAR(B2316)*100+MONTH(B2316)))</f>
        <v/>
      </c>
      <c r="Q2316" s="70" t="str">
        <f aca="false">IF(P2316="","",IF(COUNTIF(N_CLAVE,P2316)&gt;1,"⚠ Duplicado","OK"))</f>
        <v/>
      </c>
      <c r="R2316" s="74" t="str">
        <f aca="false">IF(OR(P2316="",U2316=""),"",MAX(0,U2316-N(E2316)-N(F2316)-N(H2316)))</f>
        <v/>
      </c>
      <c r="S2316" s="75" t="str">
        <f aca="false">IF(P2316="","",IFERROR(INDEX(T_INGRESO,MATCH(C2316,T_ID,0)),""))</f>
        <v/>
      </c>
      <c r="T2316" s="75" t="str">
        <f aca="false">IF(P2316="","",IFERROR(N(INDEX(T_EGRESO,MATCH(C2316,T_ID,0))),0))</f>
        <v/>
      </c>
      <c r="U2316" s="73" t="str">
        <f aca="false">IF(OR(P2316="",NOT(ISNUMBER(S2316))),"",IF(OR(S2316&gt;EOMONTH(B2316,0),AND(T2316&gt;0,T2316&lt;B2316)),0,IF(AND(S2316&lt;=B2316,OR(T2316=0,T2316&gt;=EOMONTH(B2316,0))),30,MIN(30,IF(T2316=0,EOMONTH(B2316,0),MIN(T2316,EOMONTH(B2316,0)))-MAX(B2316,S2316)+1))))</f>
        <v/>
      </c>
    </row>
    <row r="2317" customFormat="false" ht="15" hidden="false" customHeight="false" outlineLevel="0" collapsed="false">
      <c r="B2317" s="78"/>
      <c r="C2317" s="64"/>
      <c r="D2317" s="70" t="str">
        <f aca="false">IF(C2317="","",IFERROR(INDEX(T_NOMBRE,MATCH(C2317,T_ID,0)),"⚠ ID no existe"))</f>
        <v/>
      </c>
      <c r="E2317" s="69"/>
      <c r="F2317" s="69"/>
      <c r="G2317" s="69"/>
      <c r="H2317" s="69"/>
      <c r="I2317" s="66"/>
      <c r="J2317" s="69"/>
      <c r="K2317" s="67"/>
      <c r="L2317" s="67"/>
      <c r="M2317" s="67"/>
      <c r="N2317" s="67"/>
      <c r="O2317" s="64"/>
      <c r="P2317" s="72" t="str">
        <f aca="false">IF(OR(B2317="",C2317=""),"",C2317&amp;"|"&amp;(YEAR(B2317)*100+MONTH(B2317)))</f>
        <v/>
      </c>
      <c r="Q2317" s="70" t="str">
        <f aca="false">IF(P2317="","",IF(COUNTIF(N_CLAVE,P2317)&gt;1,"⚠ Duplicado","OK"))</f>
        <v/>
      </c>
      <c r="R2317" s="74" t="str">
        <f aca="false">IF(OR(P2317="",U2317=""),"",MAX(0,U2317-N(E2317)-N(F2317)-N(H2317)))</f>
        <v/>
      </c>
      <c r="S2317" s="75" t="str">
        <f aca="false">IF(P2317="","",IFERROR(INDEX(T_INGRESO,MATCH(C2317,T_ID,0)),""))</f>
        <v/>
      </c>
      <c r="T2317" s="75" t="str">
        <f aca="false">IF(P2317="","",IFERROR(N(INDEX(T_EGRESO,MATCH(C2317,T_ID,0))),0))</f>
        <v/>
      </c>
      <c r="U2317" s="73" t="str">
        <f aca="false">IF(OR(P2317="",NOT(ISNUMBER(S2317))),"",IF(OR(S2317&gt;EOMONTH(B2317,0),AND(T2317&gt;0,T2317&lt;B2317)),0,IF(AND(S2317&lt;=B2317,OR(T2317=0,T2317&gt;=EOMONTH(B2317,0))),30,MIN(30,IF(T2317=0,EOMONTH(B2317,0),MIN(T2317,EOMONTH(B2317,0)))-MAX(B2317,S2317)+1))))</f>
        <v/>
      </c>
    </row>
    <row r="2318" customFormat="false" ht="15" hidden="false" customHeight="false" outlineLevel="0" collapsed="false">
      <c r="B2318" s="78"/>
      <c r="C2318" s="64"/>
      <c r="D2318" s="70" t="str">
        <f aca="false">IF(C2318="","",IFERROR(INDEX(T_NOMBRE,MATCH(C2318,T_ID,0)),"⚠ ID no existe"))</f>
        <v/>
      </c>
      <c r="E2318" s="69"/>
      <c r="F2318" s="69"/>
      <c r="G2318" s="69"/>
      <c r="H2318" s="69"/>
      <c r="I2318" s="66"/>
      <c r="J2318" s="69"/>
      <c r="K2318" s="67"/>
      <c r="L2318" s="67"/>
      <c r="M2318" s="67"/>
      <c r="N2318" s="67"/>
      <c r="O2318" s="64"/>
      <c r="P2318" s="72" t="str">
        <f aca="false">IF(OR(B2318="",C2318=""),"",C2318&amp;"|"&amp;(YEAR(B2318)*100+MONTH(B2318)))</f>
        <v/>
      </c>
      <c r="Q2318" s="70" t="str">
        <f aca="false">IF(P2318="","",IF(COUNTIF(N_CLAVE,P2318)&gt;1,"⚠ Duplicado","OK"))</f>
        <v/>
      </c>
      <c r="R2318" s="74" t="str">
        <f aca="false">IF(OR(P2318="",U2318=""),"",MAX(0,U2318-N(E2318)-N(F2318)-N(H2318)))</f>
        <v/>
      </c>
      <c r="S2318" s="75" t="str">
        <f aca="false">IF(P2318="","",IFERROR(INDEX(T_INGRESO,MATCH(C2318,T_ID,0)),""))</f>
        <v/>
      </c>
      <c r="T2318" s="75" t="str">
        <f aca="false">IF(P2318="","",IFERROR(N(INDEX(T_EGRESO,MATCH(C2318,T_ID,0))),0))</f>
        <v/>
      </c>
      <c r="U2318" s="73" t="str">
        <f aca="false">IF(OR(P2318="",NOT(ISNUMBER(S2318))),"",IF(OR(S2318&gt;EOMONTH(B2318,0),AND(T2318&gt;0,T2318&lt;B2318)),0,IF(AND(S2318&lt;=B2318,OR(T2318=0,T2318&gt;=EOMONTH(B2318,0))),30,MIN(30,IF(T2318=0,EOMONTH(B2318,0),MIN(T2318,EOMONTH(B2318,0)))-MAX(B2318,S2318)+1))))</f>
        <v/>
      </c>
    </row>
    <row r="2319" customFormat="false" ht="15" hidden="false" customHeight="false" outlineLevel="0" collapsed="false">
      <c r="B2319" s="78"/>
      <c r="C2319" s="64"/>
      <c r="D2319" s="70" t="str">
        <f aca="false">IF(C2319="","",IFERROR(INDEX(T_NOMBRE,MATCH(C2319,T_ID,0)),"⚠ ID no existe"))</f>
        <v/>
      </c>
      <c r="E2319" s="69"/>
      <c r="F2319" s="69"/>
      <c r="G2319" s="69"/>
      <c r="H2319" s="69"/>
      <c r="I2319" s="66"/>
      <c r="J2319" s="69"/>
      <c r="K2319" s="67"/>
      <c r="L2319" s="67"/>
      <c r="M2319" s="67"/>
      <c r="N2319" s="67"/>
      <c r="O2319" s="64"/>
      <c r="P2319" s="72" t="str">
        <f aca="false">IF(OR(B2319="",C2319=""),"",C2319&amp;"|"&amp;(YEAR(B2319)*100+MONTH(B2319)))</f>
        <v/>
      </c>
      <c r="Q2319" s="70" t="str">
        <f aca="false">IF(P2319="","",IF(COUNTIF(N_CLAVE,P2319)&gt;1,"⚠ Duplicado","OK"))</f>
        <v/>
      </c>
      <c r="R2319" s="74" t="str">
        <f aca="false">IF(OR(P2319="",U2319=""),"",MAX(0,U2319-N(E2319)-N(F2319)-N(H2319)))</f>
        <v/>
      </c>
      <c r="S2319" s="75" t="str">
        <f aca="false">IF(P2319="","",IFERROR(INDEX(T_INGRESO,MATCH(C2319,T_ID,0)),""))</f>
        <v/>
      </c>
      <c r="T2319" s="75" t="str">
        <f aca="false">IF(P2319="","",IFERROR(N(INDEX(T_EGRESO,MATCH(C2319,T_ID,0))),0))</f>
        <v/>
      </c>
      <c r="U2319" s="73" t="str">
        <f aca="false">IF(OR(P2319="",NOT(ISNUMBER(S2319))),"",IF(OR(S2319&gt;EOMONTH(B2319,0),AND(T2319&gt;0,T2319&lt;B2319)),0,IF(AND(S2319&lt;=B2319,OR(T2319=0,T2319&gt;=EOMONTH(B2319,0))),30,MIN(30,IF(T2319=0,EOMONTH(B2319,0),MIN(T2319,EOMONTH(B2319,0)))-MAX(B2319,S2319)+1))))</f>
        <v/>
      </c>
    </row>
    <row r="2320" customFormat="false" ht="15" hidden="false" customHeight="false" outlineLevel="0" collapsed="false">
      <c r="B2320" s="78"/>
      <c r="C2320" s="64"/>
      <c r="D2320" s="70" t="str">
        <f aca="false">IF(C2320="","",IFERROR(INDEX(T_NOMBRE,MATCH(C2320,T_ID,0)),"⚠ ID no existe"))</f>
        <v/>
      </c>
      <c r="E2320" s="69"/>
      <c r="F2320" s="69"/>
      <c r="G2320" s="69"/>
      <c r="H2320" s="69"/>
      <c r="I2320" s="66"/>
      <c r="J2320" s="69"/>
      <c r="K2320" s="67"/>
      <c r="L2320" s="67"/>
      <c r="M2320" s="67"/>
      <c r="N2320" s="67"/>
      <c r="O2320" s="64"/>
      <c r="P2320" s="72" t="str">
        <f aca="false">IF(OR(B2320="",C2320=""),"",C2320&amp;"|"&amp;(YEAR(B2320)*100+MONTH(B2320)))</f>
        <v/>
      </c>
      <c r="Q2320" s="70" t="str">
        <f aca="false">IF(P2320="","",IF(COUNTIF(N_CLAVE,P2320)&gt;1,"⚠ Duplicado","OK"))</f>
        <v/>
      </c>
      <c r="R2320" s="74" t="str">
        <f aca="false">IF(OR(P2320="",U2320=""),"",MAX(0,U2320-N(E2320)-N(F2320)-N(H2320)))</f>
        <v/>
      </c>
      <c r="S2320" s="75" t="str">
        <f aca="false">IF(P2320="","",IFERROR(INDEX(T_INGRESO,MATCH(C2320,T_ID,0)),""))</f>
        <v/>
      </c>
      <c r="T2320" s="75" t="str">
        <f aca="false">IF(P2320="","",IFERROR(N(INDEX(T_EGRESO,MATCH(C2320,T_ID,0))),0))</f>
        <v/>
      </c>
      <c r="U2320" s="73" t="str">
        <f aca="false">IF(OR(P2320="",NOT(ISNUMBER(S2320))),"",IF(OR(S2320&gt;EOMONTH(B2320,0),AND(T2320&gt;0,T2320&lt;B2320)),0,IF(AND(S2320&lt;=B2320,OR(T2320=0,T2320&gt;=EOMONTH(B2320,0))),30,MIN(30,IF(T2320=0,EOMONTH(B2320,0),MIN(T2320,EOMONTH(B2320,0)))-MAX(B2320,S2320)+1))))</f>
        <v/>
      </c>
    </row>
    <row r="2321" customFormat="false" ht="15" hidden="false" customHeight="false" outlineLevel="0" collapsed="false">
      <c r="B2321" s="78"/>
      <c r="C2321" s="64"/>
      <c r="D2321" s="70" t="str">
        <f aca="false">IF(C2321="","",IFERROR(INDEX(T_NOMBRE,MATCH(C2321,T_ID,0)),"⚠ ID no existe"))</f>
        <v/>
      </c>
      <c r="E2321" s="69"/>
      <c r="F2321" s="69"/>
      <c r="G2321" s="69"/>
      <c r="H2321" s="69"/>
      <c r="I2321" s="66"/>
      <c r="J2321" s="69"/>
      <c r="K2321" s="67"/>
      <c r="L2321" s="67"/>
      <c r="M2321" s="67"/>
      <c r="N2321" s="67"/>
      <c r="O2321" s="64"/>
      <c r="P2321" s="72" t="str">
        <f aca="false">IF(OR(B2321="",C2321=""),"",C2321&amp;"|"&amp;(YEAR(B2321)*100+MONTH(B2321)))</f>
        <v/>
      </c>
      <c r="Q2321" s="70" t="str">
        <f aca="false">IF(P2321="","",IF(COUNTIF(N_CLAVE,P2321)&gt;1,"⚠ Duplicado","OK"))</f>
        <v/>
      </c>
      <c r="R2321" s="74" t="str">
        <f aca="false">IF(OR(P2321="",U2321=""),"",MAX(0,U2321-N(E2321)-N(F2321)-N(H2321)))</f>
        <v/>
      </c>
      <c r="S2321" s="75" t="str">
        <f aca="false">IF(P2321="","",IFERROR(INDEX(T_INGRESO,MATCH(C2321,T_ID,0)),""))</f>
        <v/>
      </c>
      <c r="T2321" s="75" t="str">
        <f aca="false">IF(P2321="","",IFERROR(N(INDEX(T_EGRESO,MATCH(C2321,T_ID,0))),0))</f>
        <v/>
      </c>
      <c r="U2321" s="73" t="str">
        <f aca="false">IF(OR(P2321="",NOT(ISNUMBER(S2321))),"",IF(OR(S2321&gt;EOMONTH(B2321,0),AND(T2321&gt;0,T2321&lt;B2321)),0,IF(AND(S2321&lt;=B2321,OR(T2321=0,T2321&gt;=EOMONTH(B2321,0))),30,MIN(30,IF(T2321=0,EOMONTH(B2321,0),MIN(T2321,EOMONTH(B2321,0)))-MAX(B2321,S2321)+1))))</f>
        <v/>
      </c>
    </row>
    <row r="2322" customFormat="false" ht="15" hidden="false" customHeight="false" outlineLevel="0" collapsed="false">
      <c r="B2322" s="78"/>
      <c r="C2322" s="64"/>
      <c r="D2322" s="70" t="str">
        <f aca="false">IF(C2322="","",IFERROR(INDEX(T_NOMBRE,MATCH(C2322,T_ID,0)),"⚠ ID no existe"))</f>
        <v/>
      </c>
      <c r="E2322" s="69"/>
      <c r="F2322" s="69"/>
      <c r="G2322" s="69"/>
      <c r="H2322" s="69"/>
      <c r="I2322" s="66"/>
      <c r="J2322" s="69"/>
      <c r="K2322" s="67"/>
      <c r="L2322" s="67"/>
      <c r="M2322" s="67"/>
      <c r="N2322" s="67"/>
      <c r="O2322" s="64"/>
      <c r="P2322" s="72" t="str">
        <f aca="false">IF(OR(B2322="",C2322=""),"",C2322&amp;"|"&amp;(YEAR(B2322)*100+MONTH(B2322)))</f>
        <v/>
      </c>
      <c r="Q2322" s="70" t="str">
        <f aca="false">IF(P2322="","",IF(COUNTIF(N_CLAVE,P2322)&gt;1,"⚠ Duplicado","OK"))</f>
        <v/>
      </c>
      <c r="R2322" s="74" t="str">
        <f aca="false">IF(OR(P2322="",U2322=""),"",MAX(0,U2322-N(E2322)-N(F2322)-N(H2322)))</f>
        <v/>
      </c>
      <c r="S2322" s="75" t="str">
        <f aca="false">IF(P2322="","",IFERROR(INDEX(T_INGRESO,MATCH(C2322,T_ID,0)),""))</f>
        <v/>
      </c>
      <c r="T2322" s="75" t="str">
        <f aca="false">IF(P2322="","",IFERROR(N(INDEX(T_EGRESO,MATCH(C2322,T_ID,0))),0))</f>
        <v/>
      </c>
      <c r="U2322" s="73" t="str">
        <f aca="false">IF(OR(P2322="",NOT(ISNUMBER(S2322))),"",IF(OR(S2322&gt;EOMONTH(B2322,0),AND(T2322&gt;0,T2322&lt;B2322)),0,IF(AND(S2322&lt;=B2322,OR(T2322=0,T2322&gt;=EOMONTH(B2322,0))),30,MIN(30,IF(T2322=0,EOMONTH(B2322,0),MIN(T2322,EOMONTH(B2322,0)))-MAX(B2322,S2322)+1))))</f>
        <v/>
      </c>
    </row>
    <row r="2323" customFormat="false" ht="15" hidden="false" customHeight="false" outlineLevel="0" collapsed="false">
      <c r="B2323" s="78"/>
      <c r="C2323" s="64"/>
      <c r="D2323" s="70" t="str">
        <f aca="false">IF(C2323="","",IFERROR(INDEX(T_NOMBRE,MATCH(C2323,T_ID,0)),"⚠ ID no existe"))</f>
        <v/>
      </c>
      <c r="E2323" s="69"/>
      <c r="F2323" s="69"/>
      <c r="G2323" s="69"/>
      <c r="H2323" s="69"/>
      <c r="I2323" s="66"/>
      <c r="J2323" s="69"/>
      <c r="K2323" s="67"/>
      <c r="L2323" s="67"/>
      <c r="M2323" s="67"/>
      <c r="N2323" s="67"/>
      <c r="O2323" s="64"/>
      <c r="P2323" s="72" t="str">
        <f aca="false">IF(OR(B2323="",C2323=""),"",C2323&amp;"|"&amp;(YEAR(B2323)*100+MONTH(B2323)))</f>
        <v/>
      </c>
      <c r="Q2323" s="70" t="str">
        <f aca="false">IF(P2323="","",IF(COUNTIF(N_CLAVE,P2323)&gt;1,"⚠ Duplicado","OK"))</f>
        <v/>
      </c>
      <c r="R2323" s="74" t="str">
        <f aca="false">IF(OR(P2323="",U2323=""),"",MAX(0,U2323-N(E2323)-N(F2323)-N(H2323)))</f>
        <v/>
      </c>
      <c r="S2323" s="75" t="str">
        <f aca="false">IF(P2323="","",IFERROR(INDEX(T_INGRESO,MATCH(C2323,T_ID,0)),""))</f>
        <v/>
      </c>
      <c r="T2323" s="75" t="str">
        <f aca="false">IF(P2323="","",IFERROR(N(INDEX(T_EGRESO,MATCH(C2323,T_ID,0))),0))</f>
        <v/>
      </c>
      <c r="U2323" s="73" t="str">
        <f aca="false">IF(OR(P2323="",NOT(ISNUMBER(S2323))),"",IF(OR(S2323&gt;EOMONTH(B2323,0),AND(T2323&gt;0,T2323&lt;B2323)),0,IF(AND(S2323&lt;=B2323,OR(T2323=0,T2323&gt;=EOMONTH(B2323,0))),30,MIN(30,IF(T2323=0,EOMONTH(B2323,0),MIN(T2323,EOMONTH(B2323,0)))-MAX(B2323,S2323)+1))))</f>
        <v/>
      </c>
    </row>
    <row r="2324" customFormat="false" ht="15" hidden="false" customHeight="false" outlineLevel="0" collapsed="false">
      <c r="B2324" s="78"/>
      <c r="C2324" s="64"/>
      <c r="D2324" s="70" t="str">
        <f aca="false">IF(C2324="","",IFERROR(INDEX(T_NOMBRE,MATCH(C2324,T_ID,0)),"⚠ ID no existe"))</f>
        <v/>
      </c>
      <c r="E2324" s="69"/>
      <c r="F2324" s="69"/>
      <c r="G2324" s="69"/>
      <c r="H2324" s="69"/>
      <c r="I2324" s="66"/>
      <c r="J2324" s="69"/>
      <c r="K2324" s="67"/>
      <c r="L2324" s="67"/>
      <c r="M2324" s="67"/>
      <c r="N2324" s="67"/>
      <c r="O2324" s="64"/>
      <c r="P2324" s="72" t="str">
        <f aca="false">IF(OR(B2324="",C2324=""),"",C2324&amp;"|"&amp;(YEAR(B2324)*100+MONTH(B2324)))</f>
        <v/>
      </c>
      <c r="Q2324" s="70" t="str">
        <f aca="false">IF(P2324="","",IF(COUNTIF(N_CLAVE,P2324)&gt;1,"⚠ Duplicado","OK"))</f>
        <v/>
      </c>
      <c r="R2324" s="74" t="str">
        <f aca="false">IF(OR(P2324="",U2324=""),"",MAX(0,U2324-N(E2324)-N(F2324)-N(H2324)))</f>
        <v/>
      </c>
      <c r="S2324" s="75" t="str">
        <f aca="false">IF(P2324="","",IFERROR(INDEX(T_INGRESO,MATCH(C2324,T_ID,0)),""))</f>
        <v/>
      </c>
      <c r="T2324" s="75" t="str">
        <f aca="false">IF(P2324="","",IFERROR(N(INDEX(T_EGRESO,MATCH(C2324,T_ID,0))),0))</f>
        <v/>
      </c>
      <c r="U2324" s="73" t="str">
        <f aca="false">IF(OR(P2324="",NOT(ISNUMBER(S2324))),"",IF(OR(S2324&gt;EOMONTH(B2324,0),AND(T2324&gt;0,T2324&lt;B2324)),0,IF(AND(S2324&lt;=B2324,OR(T2324=0,T2324&gt;=EOMONTH(B2324,0))),30,MIN(30,IF(T2324=0,EOMONTH(B2324,0),MIN(T2324,EOMONTH(B2324,0)))-MAX(B2324,S2324)+1))))</f>
        <v/>
      </c>
    </row>
    <row r="2325" customFormat="false" ht="15" hidden="false" customHeight="false" outlineLevel="0" collapsed="false">
      <c r="B2325" s="78"/>
      <c r="C2325" s="64"/>
      <c r="D2325" s="70" t="str">
        <f aca="false">IF(C2325="","",IFERROR(INDEX(T_NOMBRE,MATCH(C2325,T_ID,0)),"⚠ ID no existe"))</f>
        <v/>
      </c>
      <c r="E2325" s="69"/>
      <c r="F2325" s="69"/>
      <c r="G2325" s="69"/>
      <c r="H2325" s="69"/>
      <c r="I2325" s="66"/>
      <c r="J2325" s="69"/>
      <c r="K2325" s="67"/>
      <c r="L2325" s="67"/>
      <c r="M2325" s="67"/>
      <c r="N2325" s="67"/>
      <c r="O2325" s="64"/>
      <c r="P2325" s="72" t="str">
        <f aca="false">IF(OR(B2325="",C2325=""),"",C2325&amp;"|"&amp;(YEAR(B2325)*100+MONTH(B2325)))</f>
        <v/>
      </c>
      <c r="Q2325" s="70" t="str">
        <f aca="false">IF(P2325="","",IF(COUNTIF(N_CLAVE,P2325)&gt;1,"⚠ Duplicado","OK"))</f>
        <v/>
      </c>
      <c r="R2325" s="74" t="str">
        <f aca="false">IF(OR(P2325="",U2325=""),"",MAX(0,U2325-N(E2325)-N(F2325)-N(H2325)))</f>
        <v/>
      </c>
      <c r="S2325" s="75" t="str">
        <f aca="false">IF(P2325="","",IFERROR(INDEX(T_INGRESO,MATCH(C2325,T_ID,0)),""))</f>
        <v/>
      </c>
      <c r="T2325" s="75" t="str">
        <f aca="false">IF(P2325="","",IFERROR(N(INDEX(T_EGRESO,MATCH(C2325,T_ID,0))),0))</f>
        <v/>
      </c>
      <c r="U2325" s="73" t="str">
        <f aca="false">IF(OR(P2325="",NOT(ISNUMBER(S2325))),"",IF(OR(S2325&gt;EOMONTH(B2325,0),AND(T2325&gt;0,T2325&lt;B2325)),0,IF(AND(S2325&lt;=B2325,OR(T2325=0,T2325&gt;=EOMONTH(B2325,0))),30,MIN(30,IF(T2325=0,EOMONTH(B2325,0),MIN(T2325,EOMONTH(B2325,0)))-MAX(B2325,S2325)+1))))</f>
        <v/>
      </c>
    </row>
    <row r="2326" customFormat="false" ht="15" hidden="false" customHeight="false" outlineLevel="0" collapsed="false">
      <c r="B2326" s="78"/>
      <c r="C2326" s="64"/>
      <c r="D2326" s="70" t="str">
        <f aca="false">IF(C2326="","",IFERROR(INDEX(T_NOMBRE,MATCH(C2326,T_ID,0)),"⚠ ID no existe"))</f>
        <v/>
      </c>
      <c r="E2326" s="69"/>
      <c r="F2326" s="69"/>
      <c r="G2326" s="69"/>
      <c r="H2326" s="69"/>
      <c r="I2326" s="66"/>
      <c r="J2326" s="69"/>
      <c r="K2326" s="67"/>
      <c r="L2326" s="67"/>
      <c r="M2326" s="67"/>
      <c r="N2326" s="67"/>
      <c r="O2326" s="64"/>
      <c r="P2326" s="72" t="str">
        <f aca="false">IF(OR(B2326="",C2326=""),"",C2326&amp;"|"&amp;(YEAR(B2326)*100+MONTH(B2326)))</f>
        <v/>
      </c>
      <c r="Q2326" s="70" t="str">
        <f aca="false">IF(P2326="","",IF(COUNTIF(N_CLAVE,P2326)&gt;1,"⚠ Duplicado","OK"))</f>
        <v/>
      </c>
      <c r="R2326" s="74" t="str">
        <f aca="false">IF(OR(P2326="",U2326=""),"",MAX(0,U2326-N(E2326)-N(F2326)-N(H2326)))</f>
        <v/>
      </c>
      <c r="S2326" s="75" t="str">
        <f aca="false">IF(P2326="","",IFERROR(INDEX(T_INGRESO,MATCH(C2326,T_ID,0)),""))</f>
        <v/>
      </c>
      <c r="T2326" s="75" t="str">
        <f aca="false">IF(P2326="","",IFERROR(N(INDEX(T_EGRESO,MATCH(C2326,T_ID,0))),0))</f>
        <v/>
      </c>
      <c r="U2326" s="73" t="str">
        <f aca="false">IF(OR(P2326="",NOT(ISNUMBER(S2326))),"",IF(OR(S2326&gt;EOMONTH(B2326,0),AND(T2326&gt;0,T2326&lt;B2326)),0,IF(AND(S2326&lt;=B2326,OR(T2326=0,T2326&gt;=EOMONTH(B2326,0))),30,MIN(30,IF(T2326=0,EOMONTH(B2326,0),MIN(T2326,EOMONTH(B2326,0)))-MAX(B2326,S2326)+1))))</f>
        <v/>
      </c>
    </row>
    <row r="2327" customFormat="false" ht="15" hidden="false" customHeight="false" outlineLevel="0" collapsed="false">
      <c r="B2327" s="78"/>
      <c r="C2327" s="64"/>
      <c r="D2327" s="70" t="str">
        <f aca="false">IF(C2327="","",IFERROR(INDEX(T_NOMBRE,MATCH(C2327,T_ID,0)),"⚠ ID no existe"))</f>
        <v/>
      </c>
      <c r="E2327" s="69"/>
      <c r="F2327" s="69"/>
      <c r="G2327" s="69"/>
      <c r="H2327" s="69"/>
      <c r="I2327" s="66"/>
      <c r="J2327" s="69"/>
      <c r="K2327" s="67"/>
      <c r="L2327" s="67"/>
      <c r="M2327" s="67"/>
      <c r="N2327" s="67"/>
      <c r="O2327" s="64"/>
      <c r="P2327" s="72" t="str">
        <f aca="false">IF(OR(B2327="",C2327=""),"",C2327&amp;"|"&amp;(YEAR(B2327)*100+MONTH(B2327)))</f>
        <v/>
      </c>
      <c r="Q2327" s="70" t="str">
        <f aca="false">IF(P2327="","",IF(COUNTIF(N_CLAVE,P2327)&gt;1,"⚠ Duplicado","OK"))</f>
        <v/>
      </c>
      <c r="R2327" s="74" t="str">
        <f aca="false">IF(OR(P2327="",U2327=""),"",MAX(0,U2327-N(E2327)-N(F2327)-N(H2327)))</f>
        <v/>
      </c>
      <c r="S2327" s="75" t="str">
        <f aca="false">IF(P2327="","",IFERROR(INDEX(T_INGRESO,MATCH(C2327,T_ID,0)),""))</f>
        <v/>
      </c>
      <c r="T2327" s="75" t="str">
        <f aca="false">IF(P2327="","",IFERROR(N(INDEX(T_EGRESO,MATCH(C2327,T_ID,0))),0))</f>
        <v/>
      </c>
      <c r="U2327" s="73" t="str">
        <f aca="false">IF(OR(P2327="",NOT(ISNUMBER(S2327))),"",IF(OR(S2327&gt;EOMONTH(B2327,0),AND(T2327&gt;0,T2327&lt;B2327)),0,IF(AND(S2327&lt;=B2327,OR(T2327=0,T2327&gt;=EOMONTH(B2327,0))),30,MIN(30,IF(T2327=0,EOMONTH(B2327,0),MIN(T2327,EOMONTH(B2327,0)))-MAX(B2327,S2327)+1))))</f>
        <v/>
      </c>
    </row>
    <row r="2328" customFormat="false" ht="15" hidden="false" customHeight="false" outlineLevel="0" collapsed="false">
      <c r="B2328" s="78"/>
      <c r="C2328" s="64"/>
      <c r="D2328" s="70" t="str">
        <f aca="false">IF(C2328="","",IFERROR(INDEX(T_NOMBRE,MATCH(C2328,T_ID,0)),"⚠ ID no existe"))</f>
        <v/>
      </c>
      <c r="E2328" s="69"/>
      <c r="F2328" s="69"/>
      <c r="G2328" s="69"/>
      <c r="H2328" s="69"/>
      <c r="I2328" s="66"/>
      <c r="J2328" s="69"/>
      <c r="K2328" s="67"/>
      <c r="L2328" s="67"/>
      <c r="M2328" s="67"/>
      <c r="N2328" s="67"/>
      <c r="O2328" s="64"/>
      <c r="P2328" s="72" t="str">
        <f aca="false">IF(OR(B2328="",C2328=""),"",C2328&amp;"|"&amp;(YEAR(B2328)*100+MONTH(B2328)))</f>
        <v/>
      </c>
      <c r="Q2328" s="70" t="str">
        <f aca="false">IF(P2328="","",IF(COUNTIF(N_CLAVE,P2328)&gt;1,"⚠ Duplicado","OK"))</f>
        <v/>
      </c>
      <c r="R2328" s="74" t="str">
        <f aca="false">IF(OR(P2328="",U2328=""),"",MAX(0,U2328-N(E2328)-N(F2328)-N(H2328)))</f>
        <v/>
      </c>
      <c r="S2328" s="75" t="str">
        <f aca="false">IF(P2328="","",IFERROR(INDEX(T_INGRESO,MATCH(C2328,T_ID,0)),""))</f>
        <v/>
      </c>
      <c r="T2328" s="75" t="str">
        <f aca="false">IF(P2328="","",IFERROR(N(INDEX(T_EGRESO,MATCH(C2328,T_ID,0))),0))</f>
        <v/>
      </c>
      <c r="U2328" s="73" t="str">
        <f aca="false">IF(OR(P2328="",NOT(ISNUMBER(S2328))),"",IF(OR(S2328&gt;EOMONTH(B2328,0),AND(T2328&gt;0,T2328&lt;B2328)),0,IF(AND(S2328&lt;=B2328,OR(T2328=0,T2328&gt;=EOMONTH(B2328,0))),30,MIN(30,IF(T2328=0,EOMONTH(B2328,0),MIN(T2328,EOMONTH(B2328,0)))-MAX(B2328,S2328)+1))))</f>
        <v/>
      </c>
    </row>
    <row r="2329" customFormat="false" ht="15" hidden="false" customHeight="false" outlineLevel="0" collapsed="false">
      <c r="B2329" s="78"/>
      <c r="C2329" s="64"/>
      <c r="D2329" s="70" t="str">
        <f aca="false">IF(C2329="","",IFERROR(INDEX(T_NOMBRE,MATCH(C2329,T_ID,0)),"⚠ ID no existe"))</f>
        <v/>
      </c>
      <c r="E2329" s="69"/>
      <c r="F2329" s="69"/>
      <c r="G2329" s="69"/>
      <c r="H2329" s="69"/>
      <c r="I2329" s="66"/>
      <c r="J2329" s="69"/>
      <c r="K2329" s="67"/>
      <c r="L2329" s="67"/>
      <c r="M2329" s="67"/>
      <c r="N2329" s="67"/>
      <c r="O2329" s="64"/>
      <c r="P2329" s="72" t="str">
        <f aca="false">IF(OR(B2329="",C2329=""),"",C2329&amp;"|"&amp;(YEAR(B2329)*100+MONTH(B2329)))</f>
        <v/>
      </c>
      <c r="Q2329" s="70" t="str">
        <f aca="false">IF(P2329="","",IF(COUNTIF(N_CLAVE,P2329)&gt;1,"⚠ Duplicado","OK"))</f>
        <v/>
      </c>
      <c r="R2329" s="74" t="str">
        <f aca="false">IF(OR(P2329="",U2329=""),"",MAX(0,U2329-N(E2329)-N(F2329)-N(H2329)))</f>
        <v/>
      </c>
      <c r="S2329" s="75" t="str">
        <f aca="false">IF(P2329="","",IFERROR(INDEX(T_INGRESO,MATCH(C2329,T_ID,0)),""))</f>
        <v/>
      </c>
      <c r="T2329" s="75" t="str">
        <f aca="false">IF(P2329="","",IFERROR(N(INDEX(T_EGRESO,MATCH(C2329,T_ID,0))),0))</f>
        <v/>
      </c>
      <c r="U2329" s="73" t="str">
        <f aca="false">IF(OR(P2329="",NOT(ISNUMBER(S2329))),"",IF(OR(S2329&gt;EOMONTH(B2329,0),AND(T2329&gt;0,T2329&lt;B2329)),0,IF(AND(S2329&lt;=B2329,OR(T2329=0,T2329&gt;=EOMONTH(B2329,0))),30,MIN(30,IF(T2329=0,EOMONTH(B2329,0),MIN(T2329,EOMONTH(B2329,0)))-MAX(B2329,S2329)+1))))</f>
        <v/>
      </c>
    </row>
    <row r="2330" customFormat="false" ht="15" hidden="false" customHeight="false" outlineLevel="0" collapsed="false">
      <c r="B2330" s="78"/>
      <c r="C2330" s="64"/>
      <c r="D2330" s="70" t="str">
        <f aca="false">IF(C2330="","",IFERROR(INDEX(T_NOMBRE,MATCH(C2330,T_ID,0)),"⚠ ID no existe"))</f>
        <v/>
      </c>
      <c r="E2330" s="69"/>
      <c r="F2330" s="69"/>
      <c r="G2330" s="69"/>
      <c r="H2330" s="69"/>
      <c r="I2330" s="66"/>
      <c r="J2330" s="69"/>
      <c r="K2330" s="67"/>
      <c r="L2330" s="67"/>
      <c r="M2330" s="67"/>
      <c r="N2330" s="67"/>
      <c r="O2330" s="64"/>
      <c r="P2330" s="72" t="str">
        <f aca="false">IF(OR(B2330="",C2330=""),"",C2330&amp;"|"&amp;(YEAR(B2330)*100+MONTH(B2330)))</f>
        <v/>
      </c>
      <c r="Q2330" s="70" t="str">
        <f aca="false">IF(P2330="","",IF(COUNTIF(N_CLAVE,P2330)&gt;1,"⚠ Duplicado","OK"))</f>
        <v/>
      </c>
      <c r="R2330" s="74" t="str">
        <f aca="false">IF(OR(P2330="",U2330=""),"",MAX(0,U2330-N(E2330)-N(F2330)-N(H2330)))</f>
        <v/>
      </c>
      <c r="S2330" s="75" t="str">
        <f aca="false">IF(P2330="","",IFERROR(INDEX(T_INGRESO,MATCH(C2330,T_ID,0)),""))</f>
        <v/>
      </c>
      <c r="T2330" s="75" t="str">
        <f aca="false">IF(P2330="","",IFERROR(N(INDEX(T_EGRESO,MATCH(C2330,T_ID,0))),0))</f>
        <v/>
      </c>
      <c r="U2330" s="73" t="str">
        <f aca="false">IF(OR(P2330="",NOT(ISNUMBER(S2330))),"",IF(OR(S2330&gt;EOMONTH(B2330,0),AND(T2330&gt;0,T2330&lt;B2330)),0,IF(AND(S2330&lt;=B2330,OR(T2330=0,T2330&gt;=EOMONTH(B2330,0))),30,MIN(30,IF(T2330=0,EOMONTH(B2330,0),MIN(T2330,EOMONTH(B2330,0)))-MAX(B2330,S2330)+1))))</f>
        <v/>
      </c>
    </row>
    <row r="2331" customFormat="false" ht="15" hidden="false" customHeight="false" outlineLevel="0" collapsed="false">
      <c r="B2331" s="78"/>
      <c r="C2331" s="64"/>
      <c r="D2331" s="70" t="str">
        <f aca="false">IF(C2331="","",IFERROR(INDEX(T_NOMBRE,MATCH(C2331,T_ID,0)),"⚠ ID no existe"))</f>
        <v/>
      </c>
      <c r="E2331" s="69"/>
      <c r="F2331" s="69"/>
      <c r="G2331" s="69"/>
      <c r="H2331" s="69"/>
      <c r="I2331" s="66"/>
      <c r="J2331" s="69"/>
      <c r="K2331" s="67"/>
      <c r="L2331" s="67"/>
      <c r="M2331" s="67"/>
      <c r="N2331" s="67"/>
      <c r="O2331" s="64"/>
      <c r="P2331" s="72" t="str">
        <f aca="false">IF(OR(B2331="",C2331=""),"",C2331&amp;"|"&amp;(YEAR(B2331)*100+MONTH(B2331)))</f>
        <v/>
      </c>
      <c r="Q2331" s="70" t="str">
        <f aca="false">IF(P2331="","",IF(COUNTIF(N_CLAVE,P2331)&gt;1,"⚠ Duplicado","OK"))</f>
        <v/>
      </c>
      <c r="R2331" s="74" t="str">
        <f aca="false">IF(OR(P2331="",U2331=""),"",MAX(0,U2331-N(E2331)-N(F2331)-N(H2331)))</f>
        <v/>
      </c>
      <c r="S2331" s="75" t="str">
        <f aca="false">IF(P2331="","",IFERROR(INDEX(T_INGRESO,MATCH(C2331,T_ID,0)),""))</f>
        <v/>
      </c>
      <c r="T2331" s="75" t="str">
        <f aca="false">IF(P2331="","",IFERROR(N(INDEX(T_EGRESO,MATCH(C2331,T_ID,0))),0))</f>
        <v/>
      </c>
      <c r="U2331" s="73" t="str">
        <f aca="false">IF(OR(P2331="",NOT(ISNUMBER(S2331))),"",IF(OR(S2331&gt;EOMONTH(B2331,0),AND(T2331&gt;0,T2331&lt;B2331)),0,IF(AND(S2331&lt;=B2331,OR(T2331=0,T2331&gt;=EOMONTH(B2331,0))),30,MIN(30,IF(T2331=0,EOMONTH(B2331,0),MIN(T2331,EOMONTH(B2331,0)))-MAX(B2331,S2331)+1))))</f>
        <v/>
      </c>
    </row>
    <row r="2332" customFormat="false" ht="15" hidden="false" customHeight="false" outlineLevel="0" collapsed="false">
      <c r="B2332" s="78"/>
      <c r="C2332" s="64"/>
      <c r="D2332" s="70" t="str">
        <f aca="false">IF(C2332="","",IFERROR(INDEX(T_NOMBRE,MATCH(C2332,T_ID,0)),"⚠ ID no existe"))</f>
        <v/>
      </c>
      <c r="E2332" s="69"/>
      <c r="F2332" s="69"/>
      <c r="G2332" s="69"/>
      <c r="H2332" s="69"/>
      <c r="I2332" s="66"/>
      <c r="J2332" s="69"/>
      <c r="K2332" s="67"/>
      <c r="L2332" s="67"/>
      <c r="M2332" s="67"/>
      <c r="N2332" s="67"/>
      <c r="O2332" s="64"/>
      <c r="P2332" s="72" t="str">
        <f aca="false">IF(OR(B2332="",C2332=""),"",C2332&amp;"|"&amp;(YEAR(B2332)*100+MONTH(B2332)))</f>
        <v/>
      </c>
      <c r="Q2332" s="70" t="str">
        <f aca="false">IF(P2332="","",IF(COUNTIF(N_CLAVE,P2332)&gt;1,"⚠ Duplicado","OK"))</f>
        <v/>
      </c>
      <c r="R2332" s="74" t="str">
        <f aca="false">IF(OR(P2332="",U2332=""),"",MAX(0,U2332-N(E2332)-N(F2332)-N(H2332)))</f>
        <v/>
      </c>
      <c r="S2332" s="75" t="str">
        <f aca="false">IF(P2332="","",IFERROR(INDEX(T_INGRESO,MATCH(C2332,T_ID,0)),""))</f>
        <v/>
      </c>
      <c r="T2332" s="75" t="str">
        <f aca="false">IF(P2332="","",IFERROR(N(INDEX(T_EGRESO,MATCH(C2332,T_ID,0))),0))</f>
        <v/>
      </c>
      <c r="U2332" s="73" t="str">
        <f aca="false">IF(OR(P2332="",NOT(ISNUMBER(S2332))),"",IF(OR(S2332&gt;EOMONTH(B2332,0),AND(T2332&gt;0,T2332&lt;B2332)),0,IF(AND(S2332&lt;=B2332,OR(T2332=0,T2332&gt;=EOMONTH(B2332,0))),30,MIN(30,IF(T2332=0,EOMONTH(B2332,0),MIN(T2332,EOMONTH(B2332,0)))-MAX(B2332,S2332)+1))))</f>
        <v/>
      </c>
    </row>
    <row r="2333" customFormat="false" ht="15" hidden="false" customHeight="false" outlineLevel="0" collapsed="false">
      <c r="B2333" s="78"/>
      <c r="C2333" s="64"/>
      <c r="D2333" s="70" t="str">
        <f aca="false">IF(C2333="","",IFERROR(INDEX(T_NOMBRE,MATCH(C2333,T_ID,0)),"⚠ ID no existe"))</f>
        <v/>
      </c>
      <c r="E2333" s="69"/>
      <c r="F2333" s="69"/>
      <c r="G2333" s="69"/>
      <c r="H2333" s="69"/>
      <c r="I2333" s="66"/>
      <c r="J2333" s="69"/>
      <c r="K2333" s="67"/>
      <c r="L2333" s="67"/>
      <c r="M2333" s="67"/>
      <c r="N2333" s="67"/>
      <c r="O2333" s="64"/>
      <c r="P2333" s="72" t="str">
        <f aca="false">IF(OR(B2333="",C2333=""),"",C2333&amp;"|"&amp;(YEAR(B2333)*100+MONTH(B2333)))</f>
        <v/>
      </c>
      <c r="Q2333" s="70" t="str">
        <f aca="false">IF(P2333="","",IF(COUNTIF(N_CLAVE,P2333)&gt;1,"⚠ Duplicado","OK"))</f>
        <v/>
      </c>
      <c r="R2333" s="74" t="str">
        <f aca="false">IF(OR(P2333="",U2333=""),"",MAX(0,U2333-N(E2333)-N(F2333)-N(H2333)))</f>
        <v/>
      </c>
      <c r="S2333" s="75" t="str">
        <f aca="false">IF(P2333="","",IFERROR(INDEX(T_INGRESO,MATCH(C2333,T_ID,0)),""))</f>
        <v/>
      </c>
      <c r="T2333" s="75" t="str">
        <f aca="false">IF(P2333="","",IFERROR(N(INDEX(T_EGRESO,MATCH(C2333,T_ID,0))),0))</f>
        <v/>
      </c>
      <c r="U2333" s="73" t="str">
        <f aca="false">IF(OR(P2333="",NOT(ISNUMBER(S2333))),"",IF(OR(S2333&gt;EOMONTH(B2333,0),AND(T2333&gt;0,T2333&lt;B2333)),0,IF(AND(S2333&lt;=B2333,OR(T2333=0,T2333&gt;=EOMONTH(B2333,0))),30,MIN(30,IF(T2333=0,EOMONTH(B2333,0),MIN(T2333,EOMONTH(B2333,0)))-MAX(B2333,S2333)+1))))</f>
        <v/>
      </c>
    </row>
    <row r="2334" customFormat="false" ht="15" hidden="false" customHeight="false" outlineLevel="0" collapsed="false">
      <c r="B2334" s="78"/>
      <c r="C2334" s="64"/>
      <c r="D2334" s="70" t="str">
        <f aca="false">IF(C2334="","",IFERROR(INDEX(T_NOMBRE,MATCH(C2334,T_ID,0)),"⚠ ID no existe"))</f>
        <v/>
      </c>
      <c r="E2334" s="69"/>
      <c r="F2334" s="69"/>
      <c r="G2334" s="69"/>
      <c r="H2334" s="69"/>
      <c r="I2334" s="66"/>
      <c r="J2334" s="69"/>
      <c r="K2334" s="67"/>
      <c r="L2334" s="67"/>
      <c r="M2334" s="67"/>
      <c r="N2334" s="67"/>
      <c r="O2334" s="64"/>
      <c r="P2334" s="72" t="str">
        <f aca="false">IF(OR(B2334="",C2334=""),"",C2334&amp;"|"&amp;(YEAR(B2334)*100+MONTH(B2334)))</f>
        <v/>
      </c>
      <c r="Q2334" s="70" t="str">
        <f aca="false">IF(P2334="","",IF(COUNTIF(N_CLAVE,P2334)&gt;1,"⚠ Duplicado","OK"))</f>
        <v/>
      </c>
      <c r="R2334" s="74" t="str">
        <f aca="false">IF(OR(P2334="",U2334=""),"",MAX(0,U2334-N(E2334)-N(F2334)-N(H2334)))</f>
        <v/>
      </c>
      <c r="S2334" s="75" t="str">
        <f aca="false">IF(P2334="","",IFERROR(INDEX(T_INGRESO,MATCH(C2334,T_ID,0)),""))</f>
        <v/>
      </c>
      <c r="T2334" s="75" t="str">
        <f aca="false">IF(P2334="","",IFERROR(N(INDEX(T_EGRESO,MATCH(C2334,T_ID,0))),0))</f>
        <v/>
      </c>
      <c r="U2334" s="73" t="str">
        <f aca="false">IF(OR(P2334="",NOT(ISNUMBER(S2334))),"",IF(OR(S2334&gt;EOMONTH(B2334,0),AND(T2334&gt;0,T2334&lt;B2334)),0,IF(AND(S2334&lt;=B2334,OR(T2334=0,T2334&gt;=EOMONTH(B2334,0))),30,MIN(30,IF(T2334=0,EOMONTH(B2334,0),MIN(T2334,EOMONTH(B2334,0)))-MAX(B2334,S2334)+1))))</f>
        <v/>
      </c>
    </row>
    <row r="2335" customFormat="false" ht="15" hidden="false" customHeight="false" outlineLevel="0" collapsed="false">
      <c r="B2335" s="78"/>
      <c r="C2335" s="64"/>
      <c r="D2335" s="70" t="str">
        <f aca="false">IF(C2335="","",IFERROR(INDEX(T_NOMBRE,MATCH(C2335,T_ID,0)),"⚠ ID no existe"))</f>
        <v/>
      </c>
      <c r="E2335" s="69"/>
      <c r="F2335" s="69"/>
      <c r="G2335" s="69"/>
      <c r="H2335" s="69"/>
      <c r="I2335" s="66"/>
      <c r="J2335" s="69"/>
      <c r="K2335" s="67"/>
      <c r="L2335" s="67"/>
      <c r="M2335" s="67"/>
      <c r="N2335" s="67"/>
      <c r="O2335" s="64"/>
      <c r="P2335" s="72" t="str">
        <f aca="false">IF(OR(B2335="",C2335=""),"",C2335&amp;"|"&amp;(YEAR(B2335)*100+MONTH(B2335)))</f>
        <v/>
      </c>
      <c r="Q2335" s="70" t="str">
        <f aca="false">IF(P2335="","",IF(COUNTIF(N_CLAVE,P2335)&gt;1,"⚠ Duplicado","OK"))</f>
        <v/>
      </c>
      <c r="R2335" s="74" t="str">
        <f aca="false">IF(OR(P2335="",U2335=""),"",MAX(0,U2335-N(E2335)-N(F2335)-N(H2335)))</f>
        <v/>
      </c>
      <c r="S2335" s="75" t="str">
        <f aca="false">IF(P2335="","",IFERROR(INDEX(T_INGRESO,MATCH(C2335,T_ID,0)),""))</f>
        <v/>
      </c>
      <c r="T2335" s="75" t="str">
        <f aca="false">IF(P2335="","",IFERROR(N(INDEX(T_EGRESO,MATCH(C2335,T_ID,0))),0))</f>
        <v/>
      </c>
      <c r="U2335" s="73" t="str">
        <f aca="false">IF(OR(P2335="",NOT(ISNUMBER(S2335))),"",IF(OR(S2335&gt;EOMONTH(B2335,0),AND(T2335&gt;0,T2335&lt;B2335)),0,IF(AND(S2335&lt;=B2335,OR(T2335=0,T2335&gt;=EOMONTH(B2335,0))),30,MIN(30,IF(T2335=0,EOMONTH(B2335,0),MIN(T2335,EOMONTH(B2335,0)))-MAX(B2335,S2335)+1))))</f>
        <v/>
      </c>
    </row>
    <row r="2336" customFormat="false" ht="15" hidden="false" customHeight="false" outlineLevel="0" collapsed="false">
      <c r="B2336" s="78"/>
      <c r="C2336" s="64"/>
      <c r="D2336" s="70" t="str">
        <f aca="false">IF(C2336="","",IFERROR(INDEX(T_NOMBRE,MATCH(C2336,T_ID,0)),"⚠ ID no existe"))</f>
        <v/>
      </c>
      <c r="E2336" s="69"/>
      <c r="F2336" s="69"/>
      <c r="G2336" s="69"/>
      <c r="H2336" s="69"/>
      <c r="I2336" s="66"/>
      <c r="J2336" s="69"/>
      <c r="K2336" s="67"/>
      <c r="L2336" s="67"/>
      <c r="M2336" s="67"/>
      <c r="N2336" s="67"/>
      <c r="O2336" s="64"/>
      <c r="P2336" s="72" t="str">
        <f aca="false">IF(OR(B2336="",C2336=""),"",C2336&amp;"|"&amp;(YEAR(B2336)*100+MONTH(B2336)))</f>
        <v/>
      </c>
      <c r="Q2336" s="70" t="str">
        <f aca="false">IF(P2336="","",IF(COUNTIF(N_CLAVE,P2336)&gt;1,"⚠ Duplicado","OK"))</f>
        <v/>
      </c>
      <c r="R2336" s="74" t="str">
        <f aca="false">IF(OR(P2336="",U2336=""),"",MAX(0,U2336-N(E2336)-N(F2336)-N(H2336)))</f>
        <v/>
      </c>
      <c r="S2336" s="75" t="str">
        <f aca="false">IF(P2336="","",IFERROR(INDEX(T_INGRESO,MATCH(C2336,T_ID,0)),""))</f>
        <v/>
      </c>
      <c r="T2336" s="75" t="str">
        <f aca="false">IF(P2336="","",IFERROR(N(INDEX(T_EGRESO,MATCH(C2336,T_ID,0))),0))</f>
        <v/>
      </c>
      <c r="U2336" s="73" t="str">
        <f aca="false">IF(OR(P2336="",NOT(ISNUMBER(S2336))),"",IF(OR(S2336&gt;EOMONTH(B2336,0),AND(T2336&gt;0,T2336&lt;B2336)),0,IF(AND(S2336&lt;=B2336,OR(T2336=0,T2336&gt;=EOMONTH(B2336,0))),30,MIN(30,IF(T2336=0,EOMONTH(B2336,0),MIN(T2336,EOMONTH(B2336,0)))-MAX(B2336,S2336)+1))))</f>
        <v/>
      </c>
    </row>
    <row r="2337" customFormat="false" ht="15" hidden="false" customHeight="false" outlineLevel="0" collapsed="false">
      <c r="B2337" s="78"/>
      <c r="C2337" s="64"/>
      <c r="D2337" s="70" t="str">
        <f aca="false">IF(C2337="","",IFERROR(INDEX(T_NOMBRE,MATCH(C2337,T_ID,0)),"⚠ ID no existe"))</f>
        <v/>
      </c>
      <c r="E2337" s="69"/>
      <c r="F2337" s="69"/>
      <c r="G2337" s="69"/>
      <c r="H2337" s="69"/>
      <c r="I2337" s="66"/>
      <c r="J2337" s="69"/>
      <c r="K2337" s="67"/>
      <c r="L2337" s="67"/>
      <c r="M2337" s="67"/>
      <c r="N2337" s="67"/>
      <c r="O2337" s="64"/>
      <c r="P2337" s="72" t="str">
        <f aca="false">IF(OR(B2337="",C2337=""),"",C2337&amp;"|"&amp;(YEAR(B2337)*100+MONTH(B2337)))</f>
        <v/>
      </c>
      <c r="Q2337" s="70" t="str">
        <f aca="false">IF(P2337="","",IF(COUNTIF(N_CLAVE,P2337)&gt;1,"⚠ Duplicado","OK"))</f>
        <v/>
      </c>
      <c r="R2337" s="74" t="str">
        <f aca="false">IF(OR(P2337="",U2337=""),"",MAX(0,U2337-N(E2337)-N(F2337)-N(H2337)))</f>
        <v/>
      </c>
      <c r="S2337" s="75" t="str">
        <f aca="false">IF(P2337="","",IFERROR(INDEX(T_INGRESO,MATCH(C2337,T_ID,0)),""))</f>
        <v/>
      </c>
      <c r="T2337" s="75" t="str">
        <f aca="false">IF(P2337="","",IFERROR(N(INDEX(T_EGRESO,MATCH(C2337,T_ID,0))),0))</f>
        <v/>
      </c>
      <c r="U2337" s="73" t="str">
        <f aca="false">IF(OR(P2337="",NOT(ISNUMBER(S2337))),"",IF(OR(S2337&gt;EOMONTH(B2337,0),AND(T2337&gt;0,T2337&lt;B2337)),0,IF(AND(S2337&lt;=B2337,OR(T2337=0,T2337&gt;=EOMONTH(B2337,0))),30,MIN(30,IF(T2337=0,EOMONTH(B2337,0),MIN(T2337,EOMONTH(B2337,0)))-MAX(B2337,S2337)+1))))</f>
        <v/>
      </c>
    </row>
    <row r="2338" customFormat="false" ht="15" hidden="false" customHeight="false" outlineLevel="0" collapsed="false">
      <c r="B2338" s="78"/>
      <c r="C2338" s="64"/>
      <c r="D2338" s="70" t="str">
        <f aca="false">IF(C2338="","",IFERROR(INDEX(T_NOMBRE,MATCH(C2338,T_ID,0)),"⚠ ID no existe"))</f>
        <v/>
      </c>
      <c r="E2338" s="69"/>
      <c r="F2338" s="69"/>
      <c r="G2338" s="69"/>
      <c r="H2338" s="69"/>
      <c r="I2338" s="66"/>
      <c r="J2338" s="69"/>
      <c r="K2338" s="67"/>
      <c r="L2338" s="67"/>
      <c r="M2338" s="67"/>
      <c r="N2338" s="67"/>
      <c r="O2338" s="64"/>
      <c r="P2338" s="72" t="str">
        <f aca="false">IF(OR(B2338="",C2338=""),"",C2338&amp;"|"&amp;(YEAR(B2338)*100+MONTH(B2338)))</f>
        <v/>
      </c>
      <c r="Q2338" s="70" t="str">
        <f aca="false">IF(P2338="","",IF(COUNTIF(N_CLAVE,P2338)&gt;1,"⚠ Duplicado","OK"))</f>
        <v/>
      </c>
      <c r="R2338" s="74" t="str">
        <f aca="false">IF(OR(P2338="",U2338=""),"",MAX(0,U2338-N(E2338)-N(F2338)-N(H2338)))</f>
        <v/>
      </c>
      <c r="S2338" s="75" t="str">
        <f aca="false">IF(P2338="","",IFERROR(INDEX(T_INGRESO,MATCH(C2338,T_ID,0)),""))</f>
        <v/>
      </c>
      <c r="T2338" s="75" t="str">
        <f aca="false">IF(P2338="","",IFERROR(N(INDEX(T_EGRESO,MATCH(C2338,T_ID,0))),0))</f>
        <v/>
      </c>
      <c r="U2338" s="73" t="str">
        <f aca="false">IF(OR(P2338="",NOT(ISNUMBER(S2338))),"",IF(OR(S2338&gt;EOMONTH(B2338,0),AND(T2338&gt;0,T2338&lt;B2338)),0,IF(AND(S2338&lt;=B2338,OR(T2338=0,T2338&gt;=EOMONTH(B2338,0))),30,MIN(30,IF(T2338=0,EOMONTH(B2338,0),MIN(T2338,EOMONTH(B2338,0)))-MAX(B2338,S2338)+1))))</f>
        <v/>
      </c>
    </row>
    <row r="2339" customFormat="false" ht="15" hidden="false" customHeight="false" outlineLevel="0" collapsed="false">
      <c r="B2339" s="78"/>
      <c r="C2339" s="64"/>
      <c r="D2339" s="70" t="str">
        <f aca="false">IF(C2339="","",IFERROR(INDEX(T_NOMBRE,MATCH(C2339,T_ID,0)),"⚠ ID no existe"))</f>
        <v/>
      </c>
      <c r="E2339" s="69"/>
      <c r="F2339" s="69"/>
      <c r="G2339" s="69"/>
      <c r="H2339" s="69"/>
      <c r="I2339" s="66"/>
      <c r="J2339" s="69"/>
      <c r="K2339" s="67"/>
      <c r="L2339" s="67"/>
      <c r="M2339" s="67"/>
      <c r="N2339" s="67"/>
      <c r="O2339" s="64"/>
      <c r="P2339" s="72" t="str">
        <f aca="false">IF(OR(B2339="",C2339=""),"",C2339&amp;"|"&amp;(YEAR(B2339)*100+MONTH(B2339)))</f>
        <v/>
      </c>
      <c r="Q2339" s="70" t="str">
        <f aca="false">IF(P2339="","",IF(COUNTIF(N_CLAVE,P2339)&gt;1,"⚠ Duplicado","OK"))</f>
        <v/>
      </c>
      <c r="R2339" s="74" t="str">
        <f aca="false">IF(OR(P2339="",U2339=""),"",MAX(0,U2339-N(E2339)-N(F2339)-N(H2339)))</f>
        <v/>
      </c>
      <c r="S2339" s="75" t="str">
        <f aca="false">IF(P2339="","",IFERROR(INDEX(T_INGRESO,MATCH(C2339,T_ID,0)),""))</f>
        <v/>
      </c>
      <c r="T2339" s="75" t="str">
        <f aca="false">IF(P2339="","",IFERROR(N(INDEX(T_EGRESO,MATCH(C2339,T_ID,0))),0))</f>
        <v/>
      </c>
      <c r="U2339" s="73" t="str">
        <f aca="false">IF(OR(P2339="",NOT(ISNUMBER(S2339))),"",IF(OR(S2339&gt;EOMONTH(B2339,0),AND(T2339&gt;0,T2339&lt;B2339)),0,IF(AND(S2339&lt;=B2339,OR(T2339=0,T2339&gt;=EOMONTH(B2339,0))),30,MIN(30,IF(T2339=0,EOMONTH(B2339,0),MIN(T2339,EOMONTH(B2339,0)))-MAX(B2339,S2339)+1))))</f>
        <v/>
      </c>
    </row>
    <row r="2340" customFormat="false" ht="15" hidden="false" customHeight="false" outlineLevel="0" collapsed="false">
      <c r="B2340" s="78"/>
      <c r="C2340" s="64"/>
      <c r="D2340" s="70" t="str">
        <f aca="false">IF(C2340="","",IFERROR(INDEX(T_NOMBRE,MATCH(C2340,T_ID,0)),"⚠ ID no existe"))</f>
        <v/>
      </c>
      <c r="E2340" s="69"/>
      <c r="F2340" s="69"/>
      <c r="G2340" s="69"/>
      <c r="H2340" s="69"/>
      <c r="I2340" s="66"/>
      <c r="J2340" s="69"/>
      <c r="K2340" s="67"/>
      <c r="L2340" s="67"/>
      <c r="M2340" s="67"/>
      <c r="N2340" s="67"/>
      <c r="O2340" s="64"/>
      <c r="P2340" s="72" t="str">
        <f aca="false">IF(OR(B2340="",C2340=""),"",C2340&amp;"|"&amp;(YEAR(B2340)*100+MONTH(B2340)))</f>
        <v/>
      </c>
      <c r="Q2340" s="70" t="str">
        <f aca="false">IF(P2340="","",IF(COUNTIF(N_CLAVE,P2340)&gt;1,"⚠ Duplicado","OK"))</f>
        <v/>
      </c>
      <c r="R2340" s="74" t="str">
        <f aca="false">IF(OR(P2340="",U2340=""),"",MAX(0,U2340-N(E2340)-N(F2340)-N(H2340)))</f>
        <v/>
      </c>
      <c r="S2340" s="75" t="str">
        <f aca="false">IF(P2340="","",IFERROR(INDEX(T_INGRESO,MATCH(C2340,T_ID,0)),""))</f>
        <v/>
      </c>
      <c r="T2340" s="75" t="str">
        <f aca="false">IF(P2340="","",IFERROR(N(INDEX(T_EGRESO,MATCH(C2340,T_ID,0))),0))</f>
        <v/>
      </c>
      <c r="U2340" s="73" t="str">
        <f aca="false">IF(OR(P2340="",NOT(ISNUMBER(S2340))),"",IF(OR(S2340&gt;EOMONTH(B2340,0),AND(T2340&gt;0,T2340&lt;B2340)),0,IF(AND(S2340&lt;=B2340,OR(T2340=0,T2340&gt;=EOMONTH(B2340,0))),30,MIN(30,IF(T2340=0,EOMONTH(B2340,0),MIN(T2340,EOMONTH(B2340,0)))-MAX(B2340,S2340)+1))))</f>
        <v/>
      </c>
    </row>
    <row r="2341" customFormat="false" ht="15" hidden="false" customHeight="false" outlineLevel="0" collapsed="false">
      <c r="B2341" s="78"/>
      <c r="C2341" s="64"/>
      <c r="D2341" s="70" t="str">
        <f aca="false">IF(C2341="","",IFERROR(INDEX(T_NOMBRE,MATCH(C2341,T_ID,0)),"⚠ ID no existe"))</f>
        <v/>
      </c>
      <c r="E2341" s="69"/>
      <c r="F2341" s="69"/>
      <c r="G2341" s="69"/>
      <c r="H2341" s="69"/>
      <c r="I2341" s="66"/>
      <c r="J2341" s="69"/>
      <c r="K2341" s="67"/>
      <c r="L2341" s="67"/>
      <c r="M2341" s="67"/>
      <c r="N2341" s="67"/>
      <c r="O2341" s="64"/>
      <c r="P2341" s="72" t="str">
        <f aca="false">IF(OR(B2341="",C2341=""),"",C2341&amp;"|"&amp;(YEAR(B2341)*100+MONTH(B2341)))</f>
        <v/>
      </c>
      <c r="Q2341" s="70" t="str">
        <f aca="false">IF(P2341="","",IF(COUNTIF(N_CLAVE,P2341)&gt;1,"⚠ Duplicado","OK"))</f>
        <v/>
      </c>
      <c r="R2341" s="74" t="str">
        <f aca="false">IF(OR(P2341="",U2341=""),"",MAX(0,U2341-N(E2341)-N(F2341)-N(H2341)))</f>
        <v/>
      </c>
      <c r="S2341" s="75" t="str">
        <f aca="false">IF(P2341="","",IFERROR(INDEX(T_INGRESO,MATCH(C2341,T_ID,0)),""))</f>
        <v/>
      </c>
      <c r="T2341" s="75" t="str">
        <f aca="false">IF(P2341="","",IFERROR(N(INDEX(T_EGRESO,MATCH(C2341,T_ID,0))),0))</f>
        <v/>
      </c>
      <c r="U2341" s="73" t="str">
        <f aca="false">IF(OR(P2341="",NOT(ISNUMBER(S2341))),"",IF(OR(S2341&gt;EOMONTH(B2341,0),AND(T2341&gt;0,T2341&lt;B2341)),0,IF(AND(S2341&lt;=B2341,OR(T2341=0,T2341&gt;=EOMONTH(B2341,0))),30,MIN(30,IF(T2341=0,EOMONTH(B2341,0),MIN(T2341,EOMONTH(B2341,0)))-MAX(B2341,S2341)+1))))</f>
        <v/>
      </c>
    </row>
    <row r="2342" customFormat="false" ht="15" hidden="false" customHeight="false" outlineLevel="0" collapsed="false">
      <c r="B2342" s="78"/>
      <c r="C2342" s="64"/>
      <c r="D2342" s="70" t="str">
        <f aca="false">IF(C2342="","",IFERROR(INDEX(T_NOMBRE,MATCH(C2342,T_ID,0)),"⚠ ID no existe"))</f>
        <v/>
      </c>
      <c r="E2342" s="69"/>
      <c r="F2342" s="69"/>
      <c r="G2342" s="69"/>
      <c r="H2342" s="69"/>
      <c r="I2342" s="66"/>
      <c r="J2342" s="69"/>
      <c r="K2342" s="67"/>
      <c r="L2342" s="67"/>
      <c r="M2342" s="67"/>
      <c r="N2342" s="67"/>
      <c r="O2342" s="64"/>
      <c r="P2342" s="72" t="str">
        <f aca="false">IF(OR(B2342="",C2342=""),"",C2342&amp;"|"&amp;(YEAR(B2342)*100+MONTH(B2342)))</f>
        <v/>
      </c>
      <c r="Q2342" s="70" t="str">
        <f aca="false">IF(P2342="","",IF(COUNTIF(N_CLAVE,P2342)&gt;1,"⚠ Duplicado","OK"))</f>
        <v/>
      </c>
      <c r="R2342" s="74" t="str">
        <f aca="false">IF(OR(P2342="",U2342=""),"",MAX(0,U2342-N(E2342)-N(F2342)-N(H2342)))</f>
        <v/>
      </c>
      <c r="S2342" s="75" t="str">
        <f aca="false">IF(P2342="","",IFERROR(INDEX(T_INGRESO,MATCH(C2342,T_ID,0)),""))</f>
        <v/>
      </c>
      <c r="T2342" s="75" t="str">
        <f aca="false">IF(P2342="","",IFERROR(N(INDEX(T_EGRESO,MATCH(C2342,T_ID,0))),0))</f>
        <v/>
      </c>
      <c r="U2342" s="73" t="str">
        <f aca="false">IF(OR(P2342="",NOT(ISNUMBER(S2342))),"",IF(OR(S2342&gt;EOMONTH(B2342,0),AND(T2342&gt;0,T2342&lt;B2342)),0,IF(AND(S2342&lt;=B2342,OR(T2342=0,T2342&gt;=EOMONTH(B2342,0))),30,MIN(30,IF(T2342=0,EOMONTH(B2342,0),MIN(T2342,EOMONTH(B2342,0)))-MAX(B2342,S2342)+1))))</f>
        <v/>
      </c>
    </row>
    <row r="2343" customFormat="false" ht="15" hidden="false" customHeight="false" outlineLevel="0" collapsed="false">
      <c r="B2343" s="78"/>
      <c r="C2343" s="64"/>
      <c r="D2343" s="70" t="str">
        <f aca="false">IF(C2343="","",IFERROR(INDEX(T_NOMBRE,MATCH(C2343,T_ID,0)),"⚠ ID no existe"))</f>
        <v/>
      </c>
      <c r="E2343" s="69"/>
      <c r="F2343" s="69"/>
      <c r="G2343" s="69"/>
      <c r="H2343" s="69"/>
      <c r="I2343" s="66"/>
      <c r="J2343" s="69"/>
      <c r="K2343" s="67"/>
      <c r="L2343" s="67"/>
      <c r="M2343" s="67"/>
      <c r="N2343" s="67"/>
      <c r="O2343" s="64"/>
      <c r="P2343" s="72" t="str">
        <f aca="false">IF(OR(B2343="",C2343=""),"",C2343&amp;"|"&amp;(YEAR(B2343)*100+MONTH(B2343)))</f>
        <v/>
      </c>
      <c r="Q2343" s="70" t="str">
        <f aca="false">IF(P2343="","",IF(COUNTIF(N_CLAVE,P2343)&gt;1,"⚠ Duplicado","OK"))</f>
        <v/>
      </c>
      <c r="R2343" s="74" t="str">
        <f aca="false">IF(OR(P2343="",U2343=""),"",MAX(0,U2343-N(E2343)-N(F2343)-N(H2343)))</f>
        <v/>
      </c>
      <c r="S2343" s="75" t="str">
        <f aca="false">IF(P2343="","",IFERROR(INDEX(T_INGRESO,MATCH(C2343,T_ID,0)),""))</f>
        <v/>
      </c>
      <c r="T2343" s="75" t="str">
        <f aca="false">IF(P2343="","",IFERROR(N(INDEX(T_EGRESO,MATCH(C2343,T_ID,0))),0))</f>
        <v/>
      </c>
      <c r="U2343" s="73" t="str">
        <f aca="false">IF(OR(P2343="",NOT(ISNUMBER(S2343))),"",IF(OR(S2343&gt;EOMONTH(B2343,0),AND(T2343&gt;0,T2343&lt;B2343)),0,IF(AND(S2343&lt;=B2343,OR(T2343=0,T2343&gt;=EOMONTH(B2343,0))),30,MIN(30,IF(T2343=0,EOMONTH(B2343,0),MIN(T2343,EOMONTH(B2343,0)))-MAX(B2343,S2343)+1))))</f>
        <v/>
      </c>
    </row>
    <row r="2344" customFormat="false" ht="15" hidden="false" customHeight="false" outlineLevel="0" collapsed="false">
      <c r="B2344" s="78"/>
      <c r="C2344" s="64"/>
      <c r="D2344" s="70" t="str">
        <f aca="false">IF(C2344="","",IFERROR(INDEX(T_NOMBRE,MATCH(C2344,T_ID,0)),"⚠ ID no existe"))</f>
        <v/>
      </c>
      <c r="E2344" s="69"/>
      <c r="F2344" s="69"/>
      <c r="G2344" s="69"/>
      <c r="H2344" s="69"/>
      <c r="I2344" s="66"/>
      <c r="J2344" s="69"/>
      <c r="K2344" s="67"/>
      <c r="L2344" s="67"/>
      <c r="M2344" s="67"/>
      <c r="N2344" s="67"/>
      <c r="O2344" s="64"/>
      <c r="P2344" s="72" t="str">
        <f aca="false">IF(OR(B2344="",C2344=""),"",C2344&amp;"|"&amp;(YEAR(B2344)*100+MONTH(B2344)))</f>
        <v/>
      </c>
      <c r="Q2344" s="70" t="str">
        <f aca="false">IF(P2344="","",IF(COUNTIF(N_CLAVE,P2344)&gt;1,"⚠ Duplicado","OK"))</f>
        <v/>
      </c>
      <c r="R2344" s="74" t="str">
        <f aca="false">IF(OR(P2344="",U2344=""),"",MAX(0,U2344-N(E2344)-N(F2344)-N(H2344)))</f>
        <v/>
      </c>
      <c r="S2344" s="75" t="str">
        <f aca="false">IF(P2344="","",IFERROR(INDEX(T_INGRESO,MATCH(C2344,T_ID,0)),""))</f>
        <v/>
      </c>
      <c r="T2344" s="75" t="str">
        <f aca="false">IF(P2344="","",IFERROR(N(INDEX(T_EGRESO,MATCH(C2344,T_ID,0))),0))</f>
        <v/>
      </c>
      <c r="U2344" s="73" t="str">
        <f aca="false">IF(OR(P2344="",NOT(ISNUMBER(S2344))),"",IF(OR(S2344&gt;EOMONTH(B2344,0),AND(T2344&gt;0,T2344&lt;B2344)),0,IF(AND(S2344&lt;=B2344,OR(T2344=0,T2344&gt;=EOMONTH(B2344,0))),30,MIN(30,IF(T2344=0,EOMONTH(B2344,0),MIN(T2344,EOMONTH(B2344,0)))-MAX(B2344,S2344)+1))))</f>
        <v/>
      </c>
    </row>
    <row r="2345" customFormat="false" ht="15" hidden="false" customHeight="false" outlineLevel="0" collapsed="false">
      <c r="B2345" s="78"/>
      <c r="C2345" s="64"/>
      <c r="D2345" s="70" t="str">
        <f aca="false">IF(C2345="","",IFERROR(INDEX(T_NOMBRE,MATCH(C2345,T_ID,0)),"⚠ ID no existe"))</f>
        <v/>
      </c>
      <c r="E2345" s="69"/>
      <c r="F2345" s="69"/>
      <c r="G2345" s="69"/>
      <c r="H2345" s="69"/>
      <c r="I2345" s="66"/>
      <c r="J2345" s="69"/>
      <c r="K2345" s="67"/>
      <c r="L2345" s="67"/>
      <c r="M2345" s="67"/>
      <c r="N2345" s="67"/>
      <c r="O2345" s="64"/>
      <c r="P2345" s="72" t="str">
        <f aca="false">IF(OR(B2345="",C2345=""),"",C2345&amp;"|"&amp;(YEAR(B2345)*100+MONTH(B2345)))</f>
        <v/>
      </c>
      <c r="Q2345" s="70" t="str">
        <f aca="false">IF(P2345="","",IF(COUNTIF(N_CLAVE,P2345)&gt;1,"⚠ Duplicado","OK"))</f>
        <v/>
      </c>
      <c r="R2345" s="74" t="str">
        <f aca="false">IF(OR(P2345="",U2345=""),"",MAX(0,U2345-N(E2345)-N(F2345)-N(H2345)))</f>
        <v/>
      </c>
      <c r="S2345" s="75" t="str">
        <f aca="false">IF(P2345="","",IFERROR(INDEX(T_INGRESO,MATCH(C2345,T_ID,0)),""))</f>
        <v/>
      </c>
      <c r="T2345" s="75" t="str">
        <f aca="false">IF(P2345="","",IFERROR(N(INDEX(T_EGRESO,MATCH(C2345,T_ID,0))),0))</f>
        <v/>
      </c>
      <c r="U2345" s="73" t="str">
        <f aca="false">IF(OR(P2345="",NOT(ISNUMBER(S2345))),"",IF(OR(S2345&gt;EOMONTH(B2345,0),AND(T2345&gt;0,T2345&lt;B2345)),0,IF(AND(S2345&lt;=B2345,OR(T2345=0,T2345&gt;=EOMONTH(B2345,0))),30,MIN(30,IF(T2345=0,EOMONTH(B2345,0),MIN(T2345,EOMONTH(B2345,0)))-MAX(B2345,S2345)+1))))</f>
        <v/>
      </c>
    </row>
    <row r="2346" customFormat="false" ht="15" hidden="false" customHeight="false" outlineLevel="0" collapsed="false">
      <c r="B2346" s="78"/>
      <c r="C2346" s="64"/>
      <c r="D2346" s="70" t="str">
        <f aca="false">IF(C2346="","",IFERROR(INDEX(T_NOMBRE,MATCH(C2346,T_ID,0)),"⚠ ID no existe"))</f>
        <v/>
      </c>
      <c r="E2346" s="69"/>
      <c r="F2346" s="69"/>
      <c r="G2346" s="69"/>
      <c r="H2346" s="69"/>
      <c r="I2346" s="66"/>
      <c r="J2346" s="69"/>
      <c r="K2346" s="67"/>
      <c r="L2346" s="67"/>
      <c r="M2346" s="67"/>
      <c r="N2346" s="67"/>
      <c r="O2346" s="64"/>
      <c r="P2346" s="72" t="str">
        <f aca="false">IF(OR(B2346="",C2346=""),"",C2346&amp;"|"&amp;(YEAR(B2346)*100+MONTH(B2346)))</f>
        <v/>
      </c>
      <c r="Q2346" s="70" t="str">
        <f aca="false">IF(P2346="","",IF(COUNTIF(N_CLAVE,P2346)&gt;1,"⚠ Duplicado","OK"))</f>
        <v/>
      </c>
      <c r="R2346" s="74" t="str">
        <f aca="false">IF(OR(P2346="",U2346=""),"",MAX(0,U2346-N(E2346)-N(F2346)-N(H2346)))</f>
        <v/>
      </c>
      <c r="S2346" s="75" t="str">
        <f aca="false">IF(P2346="","",IFERROR(INDEX(T_INGRESO,MATCH(C2346,T_ID,0)),""))</f>
        <v/>
      </c>
      <c r="T2346" s="75" t="str">
        <f aca="false">IF(P2346="","",IFERROR(N(INDEX(T_EGRESO,MATCH(C2346,T_ID,0))),0))</f>
        <v/>
      </c>
      <c r="U2346" s="73" t="str">
        <f aca="false">IF(OR(P2346="",NOT(ISNUMBER(S2346))),"",IF(OR(S2346&gt;EOMONTH(B2346,0),AND(T2346&gt;0,T2346&lt;B2346)),0,IF(AND(S2346&lt;=B2346,OR(T2346=0,T2346&gt;=EOMONTH(B2346,0))),30,MIN(30,IF(T2346=0,EOMONTH(B2346,0),MIN(T2346,EOMONTH(B2346,0)))-MAX(B2346,S2346)+1))))</f>
        <v/>
      </c>
    </row>
    <row r="2347" customFormat="false" ht="15" hidden="false" customHeight="false" outlineLevel="0" collapsed="false">
      <c r="B2347" s="78"/>
      <c r="C2347" s="64"/>
      <c r="D2347" s="70" t="str">
        <f aca="false">IF(C2347="","",IFERROR(INDEX(T_NOMBRE,MATCH(C2347,T_ID,0)),"⚠ ID no existe"))</f>
        <v/>
      </c>
      <c r="E2347" s="69"/>
      <c r="F2347" s="69"/>
      <c r="G2347" s="69"/>
      <c r="H2347" s="69"/>
      <c r="I2347" s="66"/>
      <c r="J2347" s="69"/>
      <c r="K2347" s="67"/>
      <c r="L2347" s="67"/>
      <c r="M2347" s="67"/>
      <c r="N2347" s="67"/>
      <c r="O2347" s="64"/>
      <c r="P2347" s="72" t="str">
        <f aca="false">IF(OR(B2347="",C2347=""),"",C2347&amp;"|"&amp;(YEAR(B2347)*100+MONTH(B2347)))</f>
        <v/>
      </c>
      <c r="Q2347" s="70" t="str">
        <f aca="false">IF(P2347="","",IF(COUNTIF(N_CLAVE,P2347)&gt;1,"⚠ Duplicado","OK"))</f>
        <v/>
      </c>
      <c r="R2347" s="74" t="str">
        <f aca="false">IF(OR(P2347="",U2347=""),"",MAX(0,U2347-N(E2347)-N(F2347)-N(H2347)))</f>
        <v/>
      </c>
      <c r="S2347" s="75" t="str">
        <f aca="false">IF(P2347="","",IFERROR(INDEX(T_INGRESO,MATCH(C2347,T_ID,0)),""))</f>
        <v/>
      </c>
      <c r="T2347" s="75" t="str">
        <f aca="false">IF(P2347="","",IFERROR(N(INDEX(T_EGRESO,MATCH(C2347,T_ID,0))),0))</f>
        <v/>
      </c>
      <c r="U2347" s="73" t="str">
        <f aca="false">IF(OR(P2347="",NOT(ISNUMBER(S2347))),"",IF(OR(S2347&gt;EOMONTH(B2347,0),AND(T2347&gt;0,T2347&lt;B2347)),0,IF(AND(S2347&lt;=B2347,OR(T2347=0,T2347&gt;=EOMONTH(B2347,0))),30,MIN(30,IF(T2347=0,EOMONTH(B2347,0),MIN(T2347,EOMONTH(B2347,0)))-MAX(B2347,S2347)+1))))</f>
        <v/>
      </c>
    </row>
    <row r="2348" customFormat="false" ht="15" hidden="false" customHeight="false" outlineLevel="0" collapsed="false">
      <c r="B2348" s="78"/>
      <c r="C2348" s="64"/>
      <c r="D2348" s="70" t="str">
        <f aca="false">IF(C2348="","",IFERROR(INDEX(T_NOMBRE,MATCH(C2348,T_ID,0)),"⚠ ID no existe"))</f>
        <v/>
      </c>
      <c r="E2348" s="69"/>
      <c r="F2348" s="69"/>
      <c r="G2348" s="69"/>
      <c r="H2348" s="69"/>
      <c r="I2348" s="66"/>
      <c r="J2348" s="69"/>
      <c r="K2348" s="67"/>
      <c r="L2348" s="67"/>
      <c r="M2348" s="67"/>
      <c r="N2348" s="67"/>
      <c r="O2348" s="64"/>
      <c r="P2348" s="72" t="str">
        <f aca="false">IF(OR(B2348="",C2348=""),"",C2348&amp;"|"&amp;(YEAR(B2348)*100+MONTH(B2348)))</f>
        <v/>
      </c>
      <c r="Q2348" s="70" t="str">
        <f aca="false">IF(P2348="","",IF(COUNTIF(N_CLAVE,P2348)&gt;1,"⚠ Duplicado","OK"))</f>
        <v/>
      </c>
      <c r="R2348" s="74" t="str">
        <f aca="false">IF(OR(P2348="",U2348=""),"",MAX(0,U2348-N(E2348)-N(F2348)-N(H2348)))</f>
        <v/>
      </c>
      <c r="S2348" s="75" t="str">
        <f aca="false">IF(P2348="","",IFERROR(INDEX(T_INGRESO,MATCH(C2348,T_ID,0)),""))</f>
        <v/>
      </c>
      <c r="T2348" s="75" t="str">
        <f aca="false">IF(P2348="","",IFERROR(N(INDEX(T_EGRESO,MATCH(C2348,T_ID,0))),0))</f>
        <v/>
      </c>
      <c r="U2348" s="73" t="str">
        <f aca="false">IF(OR(P2348="",NOT(ISNUMBER(S2348))),"",IF(OR(S2348&gt;EOMONTH(B2348,0),AND(T2348&gt;0,T2348&lt;B2348)),0,IF(AND(S2348&lt;=B2348,OR(T2348=0,T2348&gt;=EOMONTH(B2348,0))),30,MIN(30,IF(T2348=0,EOMONTH(B2348,0),MIN(T2348,EOMONTH(B2348,0)))-MAX(B2348,S2348)+1))))</f>
        <v/>
      </c>
    </row>
    <row r="2349" customFormat="false" ht="15" hidden="false" customHeight="false" outlineLevel="0" collapsed="false">
      <c r="B2349" s="78"/>
      <c r="C2349" s="64"/>
      <c r="D2349" s="70" t="str">
        <f aca="false">IF(C2349="","",IFERROR(INDEX(T_NOMBRE,MATCH(C2349,T_ID,0)),"⚠ ID no existe"))</f>
        <v/>
      </c>
      <c r="E2349" s="69"/>
      <c r="F2349" s="69"/>
      <c r="G2349" s="69"/>
      <c r="H2349" s="69"/>
      <c r="I2349" s="66"/>
      <c r="J2349" s="69"/>
      <c r="K2349" s="67"/>
      <c r="L2349" s="67"/>
      <c r="M2349" s="67"/>
      <c r="N2349" s="67"/>
      <c r="O2349" s="64"/>
      <c r="P2349" s="72" t="str">
        <f aca="false">IF(OR(B2349="",C2349=""),"",C2349&amp;"|"&amp;(YEAR(B2349)*100+MONTH(B2349)))</f>
        <v/>
      </c>
      <c r="Q2349" s="70" t="str">
        <f aca="false">IF(P2349="","",IF(COUNTIF(N_CLAVE,P2349)&gt;1,"⚠ Duplicado","OK"))</f>
        <v/>
      </c>
      <c r="R2349" s="74" t="str">
        <f aca="false">IF(OR(P2349="",U2349=""),"",MAX(0,U2349-N(E2349)-N(F2349)-N(H2349)))</f>
        <v/>
      </c>
      <c r="S2349" s="75" t="str">
        <f aca="false">IF(P2349="","",IFERROR(INDEX(T_INGRESO,MATCH(C2349,T_ID,0)),""))</f>
        <v/>
      </c>
      <c r="T2349" s="75" t="str">
        <f aca="false">IF(P2349="","",IFERROR(N(INDEX(T_EGRESO,MATCH(C2349,T_ID,0))),0))</f>
        <v/>
      </c>
      <c r="U2349" s="73" t="str">
        <f aca="false">IF(OR(P2349="",NOT(ISNUMBER(S2349))),"",IF(OR(S2349&gt;EOMONTH(B2349,0),AND(T2349&gt;0,T2349&lt;B2349)),0,IF(AND(S2349&lt;=B2349,OR(T2349=0,T2349&gt;=EOMONTH(B2349,0))),30,MIN(30,IF(T2349=0,EOMONTH(B2349,0),MIN(T2349,EOMONTH(B2349,0)))-MAX(B2349,S2349)+1))))</f>
        <v/>
      </c>
    </row>
    <row r="2350" customFormat="false" ht="15" hidden="false" customHeight="false" outlineLevel="0" collapsed="false">
      <c r="B2350" s="78"/>
      <c r="C2350" s="64"/>
      <c r="D2350" s="70" t="str">
        <f aca="false">IF(C2350="","",IFERROR(INDEX(T_NOMBRE,MATCH(C2350,T_ID,0)),"⚠ ID no existe"))</f>
        <v/>
      </c>
      <c r="E2350" s="69"/>
      <c r="F2350" s="69"/>
      <c r="G2350" s="69"/>
      <c r="H2350" s="69"/>
      <c r="I2350" s="66"/>
      <c r="J2350" s="69"/>
      <c r="K2350" s="67"/>
      <c r="L2350" s="67"/>
      <c r="M2350" s="67"/>
      <c r="N2350" s="67"/>
      <c r="O2350" s="64"/>
      <c r="P2350" s="72" t="str">
        <f aca="false">IF(OR(B2350="",C2350=""),"",C2350&amp;"|"&amp;(YEAR(B2350)*100+MONTH(B2350)))</f>
        <v/>
      </c>
      <c r="Q2350" s="70" t="str">
        <f aca="false">IF(P2350="","",IF(COUNTIF(N_CLAVE,P2350)&gt;1,"⚠ Duplicado","OK"))</f>
        <v/>
      </c>
      <c r="R2350" s="74" t="str">
        <f aca="false">IF(OR(P2350="",U2350=""),"",MAX(0,U2350-N(E2350)-N(F2350)-N(H2350)))</f>
        <v/>
      </c>
      <c r="S2350" s="75" t="str">
        <f aca="false">IF(P2350="","",IFERROR(INDEX(T_INGRESO,MATCH(C2350,T_ID,0)),""))</f>
        <v/>
      </c>
      <c r="T2350" s="75" t="str">
        <f aca="false">IF(P2350="","",IFERROR(N(INDEX(T_EGRESO,MATCH(C2350,T_ID,0))),0))</f>
        <v/>
      </c>
      <c r="U2350" s="73" t="str">
        <f aca="false">IF(OR(P2350="",NOT(ISNUMBER(S2350))),"",IF(OR(S2350&gt;EOMONTH(B2350,0),AND(T2350&gt;0,T2350&lt;B2350)),0,IF(AND(S2350&lt;=B2350,OR(T2350=0,T2350&gt;=EOMONTH(B2350,0))),30,MIN(30,IF(T2350=0,EOMONTH(B2350,0),MIN(T2350,EOMONTH(B2350,0)))-MAX(B2350,S2350)+1))))</f>
        <v/>
      </c>
    </row>
    <row r="2351" customFormat="false" ht="15" hidden="false" customHeight="false" outlineLevel="0" collapsed="false">
      <c r="B2351" s="78"/>
      <c r="C2351" s="64"/>
      <c r="D2351" s="70" t="str">
        <f aca="false">IF(C2351="","",IFERROR(INDEX(T_NOMBRE,MATCH(C2351,T_ID,0)),"⚠ ID no existe"))</f>
        <v/>
      </c>
      <c r="E2351" s="69"/>
      <c r="F2351" s="69"/>
      <c r="G2351" s="69"/>
      <c r="H2351" s="69"/>
      <c r="I2351" s="66"/>
      <c r="J2351" s="69"/>
      <c r="K2351" s="67"/>
      <c r="L2351" s="67"/>
      <c r="M2351" s="67"/>
      <c r="N2351" s="67"/>
      <c r="O2351" s="64"/>
      <c r="P2351" s="72" t="str">
        <f aca="false">IF(OR(B2351="",C2351=""),"",C2351&amp;"|"&amp;(YEAR(B2351)*100+MONTH(B2351)))</f>
        <v/>
      </c>
      <c r="Q2351" s="70" t="str">
        <f aca="false">IF(P2351="","",IF(COUNTIF(N_CLAVE,P2351)&gt;1,"⚠ Duplicado","OK"))</f>
        <v/>
      </c>
      <c r="R2351" s="74" t="str">
        <f aca="false">IF(OR(P2351="",U2351=""),"",MAX(0,U2351-N(E2351)-N(F2351)-N(H2351)))</f>
        <v/>
      </c>
      <c r="S2351" s="75" t="str">
        <f aca="false">IF(P2351="","",IFERROR(INDEX(T_INGRESO,MATCH(C2351,T_ID,0)),""))</f>
        <v/>
      </c>
      <c r="T2351" s="75" t="str">
        <f aca="false">IF(P2351="","",IFERROR(N(INDEX(T_EGRESO,MATCH(C2351,T_ID,0))),0))</f>
        <v/>
      </c>
      <c r="U2351" s="73" t="str">
        <f aca="false">IF(OR(P2351="",NOT(ISNUMBER(S2351))),"",IF(OR(S2351&gt;EOMONTH(B2351,0),AND(T2351&gt;0,T2351&lt;B2351)),0,IF(AND(S2351&lt;=B2351,OR(T2351=0,T2351&gt;=EOMONTH(B2351,0))),30,MIN(30,IF(T2351=0,EOMONTH(B2351,0),MIN(T2351,EOMONTH(B2351,0)))-MAX(B2351,S2351)+1))))</f>
        <v/>
      </c>
    </row>
    <row r="2352" customFormat="false" ht="15" hidden="false" customHeight="false" outlineLevel="0" collapsed="false">
      <c r="B2352" s="78"/>
      <c r="C2352" s="64"/>
      <c r="D2352" s="70" t="str">
        <f aca="false">IF(C2352="","",IFERROR(INDEX(T_NOMBRE,MATCH(C2352,T_ID,0)),"⚠ ID no existe"))</f>
        <v/>
      </c>
      <c r="E2352" s="69"/>
      <c r="F2352" s="69"/>
      <c r="G2352" s="69"/>
      <c r="H2352" s="69"/>
      <c r="I2352" s="66"/>
      <c r="J2352" s="69"/>
      <c r="K2352" s="67"/>
      <c r="L2352" s="67"/>
      <c r="M2352" s="67"/>
      <c r="N2352" s="67"/>
      <c r="O2352" s="64"/>
      <c r="P2352" s="72" t="str">
        <f aca="false">IF(OR(B2352="",C2352=""),"",C2352&amp;"|"&amp;(YEAR(B2352)*100+MONTH(B2352)))</f>
        <v/>
      </c>
      <c r="Q2352" s="70" t="str">
        <f aca="false">IF(P2352="","",IF(COUNTIF(N_CLAVE,P2352)&gt;1,"⚠ Duplicado","OK"))</f>
        <v/>
      </c>
      <c r="R2352" s="74" t="str">
        <f aca="false">IF(OR(P2352="",U2352=""),"",MAX(0,U2352-N(E2352)-N(F2352)-N(H2352)))</f>
        <v/>
      </c>
      <c r="S2352" s="75" t="str">
        <f aca="false">IF(P2352="","",IFERROR(INDEX(T_INGRESO,MATCH(C2352,T_ID,0)),""))</f>
        <v/>
      </c>
      <c r="T2352" s="75" t="str">
        <f aca="false">IF(P2352="","",IFERROR(N(INDEX(T_EGRESO,MATCH(C2352,T_ID,0))),0))</f>
        <v/>
      </c>
      <c r="U2352" s="73" t="str">
        <f aca="false">IF(OR(P2352="",NOT(ISNUMBER(S2352))),"",IF(OR(S2352&gt;EOMONTH(B2352,0),AND(T2352&gt;0,T2352&lt;B2352)),0,IF(AND(S2352&lt;=B2352,OR(T2352=0,T2352&gt;=EOMONTH(B2352,0))),30,MIN(30,IF(T2352=0,EOMONTH(B2352,0),MIN(T2352,EOMONTH(B2352,0)))-MAX(B2352,S2352)+1))))</f>
        <v/>
      </c>
    </row>
    <row r="2353" customFormat="false" ht="15" hidden="false" customHeight="false" outlineLevel="0" collapsed="false">
      <c r="B2353" s="78"/>
      <c r="C2353" s="64"/>
      <c r="D2353" s="70" t="str">
        <f aca="false">IF(C2353="","",IFERROR(INDEX(T_NOMBRE,MATCH(C2353,T_ID,0)),"⚠ ID no existe"))</f>
        <v/>
      </c>
      <c r="E2353" s="69"/>
      <c r="F2353" s="69"/>
      <c r="G2353" s="69"/>
      <c r="H2353" s="69"/>
      <c r="I2353" s="66"/>
      <c r="J2353" s="69"/>
      <c r="K2353" s="67"/>
      <c r="L2353" s="67"/>
      <c r="M2353" s="67"/>
      <c r="N2353" s="67"/>
      <c r="O2353" s="64"/>
      <c r="P2353" s="72" t="str">
        <f aca="false">IF(OR(B2353="",C2353=""),"",C2353&amp;"|"&amp;(YEAR(B2353)*100+MONTH(B2353)))</f>
        <v/>
      </c>
      <c r="Q2353" s="70" t="str">
        <f aca="false">IF(P2353="","",IF(COUNTIF(N_CLAVE,P2353)&gt;1,"⚠ Duplicado","OK"))</f>
        <v/>
      </c>
      <c r="R2353" s="74" t="str">
        <f aca="false">IF(OR(P2353="",U2353=""),"",MAX(0,U2353-N(E2353)-N(F2353)-N(H2353)))</f>
        <v/>
      </c>
      <c r="S2353" s="75" t="str">
        <f aca="false">IF(P2353="","",IFERROR(INDEX(T_INGRESO,MATCH(C2353,T_ID,0)),""))</f>
        <v/>
      </c>
      <c r="T2353" s="75" t="str">
        <f aca="false">IF(P2353="","",IFERROR(N(INDEX(T_EGRESO,MATCH(C2353,T_ID,0))),0))</f>
        <v/>
      </c>
      <c r="U2353" s="73" t="str">
        <f aca="false">IF(OR(P2353="",NOT(ISNUMBER(S2353))),"",IF(OR(S2353&gt;EOMONTH(B2353,0),AND(T2353&gt;0,T2353&lt;B2353)),0,IF(AND(S2353&lt;=B2353,OR(T2353=0,T2353&gt;=EOMONTH(B2353,0))),30,MIN(30,IF(T2353=0,EOMONTH(B2353,0),MIN(T2353,EOMONTH(B2353,0)))-MAX(B2353,S2353)+1))))</f>
        <v/>
      </c>
    </row>
    <row r="2354" customFormat="false" ht="15" hidden="false" customHeight="false" outlineLevel="0" collapsed="false">
      <c r="B2354" s="78"/>
      <c r="C2354" s="64"/>
      <c r="D2354" s="70" t="str">
        <f aca="false">IF(C2354="","",IFERROR(INDEX(T_NOMBRE,MATCH(C2354,T_ID,0)),"⚠ ID no existe"))</f>
        <v/>
      </c>
      <c r="E2354" s="69"/>
      <c r="F2354" s="69"/>
      <c r="G2354" s="69"/>
      <c r="H2354" s="69"/>
      <c r="I2354" s="66"/>
      <c r="J2354" s="69"/>
      <c r="K2354" s="67"/>
      <c r="L2354" s="67"/>
      <c r="M2354" s="67"/>
      <c r="N2354" s="67"/>
      <c r="O2354" s="64"/>
      <c r="P2354" s="72" t="str">
        <f aca="false">IF(OR(B2354="",C2354=""),"",C2354&amp;"|"&amp;(YEAR(B2354)*100+MONTH(B2354)))</f>
        <v/>
      </c>
      <c r="Q2354" s="70" t="str">
        <f aca="false">IF(P2354="","",IF(COUNTIF(N_CLAVE,P2354)&gt;1,"⚠ Duplicado","OK"))</f>
        <v/>
      </c>
      <c r="R2354" s="74" t="str">
        <f aca="false">IF(OR(P2354="",U2354=""),"",MAX(0,U2354-N(E2354)-N(F2354)-N(H2354)))</f>
        <v/>
      </c>
      <c r="S2354" s="75" t="str">
        <f aca="false">IF(P2354="","",IFERROR(INDEX(T_INGRESO,MATCH(C2354,T_ID,0)),""))</f>
        <v/>
      </c>
      <c r="T2354" s="75" t="str">
        <f aca="false">IF(P2354="","",IFERROR(N(INDEX(T_EGRESO,MATCH(C2354,T_ID,0))),0))</f>
        <v/>
      </c>
      <c r="U2354" s="73" t="str">
        <f aca="false">IF(OR(P2354="",NOT(ISNUMBER(S2354))),"",IF(OR(S2354&gt;EOMONTH(B2354,0),AND(T2354&gt;0,T2354&lt;B2354)),0,IF(AND(S2354&lt;=B2354,OR(T2354=0,T2354&gt;=EOMONTH(B2354,0))),30,MIN(30,IF(T2354=0,EOMONTH(B2354,0),MIN(T2354,EOMONTH(B2354,0)))-MAX(B2354,S2354)+1))))</f>
        <v/>
      </c>
    </row>
    <row r="2355" customFormat="false" ht="15" hidden="false" customHeight="false" outlineLevel="0" collapsed="false">
      <c r="B2355" s="78"/>
      <c r="C2355" s="64"/>
      <c r="D2355" s="70" t="str">
        <f aca="false">IF(C2355="","",IFERROR(INDEX(T_NOMBRE,MATCH(C2355,T_ID,0)),"⚠ ID no existe"))</f>
        <v/>
      </c>
      <c r="E2355" s="69"/>
      <c r="F2355" s="69"/>
      <c r="G2355" s="69"/>
      <c r="H2355" s="69"/>
      <c r="I2355" s="66"/>
      <c r="J2355" s="69"/>
      <c r="K2355" s="67"/>
      <c r="L2355" s="67"/>
      <c r="M2355" s="67"/>
      <c r="N2355" s="67"/>
      <c r="O2355" s="64"/>
      <c r="P2355" s="72" t="str">
        <f aca="false">IF(OR(B2355="",C2355=""),"",C2355&amp;"|"&amp;(YEAR(B2355)*100+MONTH(B2355)))</f>
        <v/>
      </c>
      <c r="Q2355" s="70" t="str">
        <f aca="false">IF(P2355="","",IF(COUNTIF(N_CLAVE,P2355)&gt;1,"⚠ Duplicado","OK"))</f>
        <v/>
      </c>
      <c r="R2355" s="74" t="str">
        <f aca="false">IF(OR(P2355="",U2355=""),"",MAX(0,U2355-N(E2355)-N(F2355)-N(H2355)))</f>
        <v/>
      </c>
      <c r="S2355" s="75" t="str">
        <f aca="false">IF(P2355="","",IFERROR(INDEX(T_INGRESO,MATCH(C2355,T_ID,0)),""))</f>
        <v/>
      </c>
      <c r="T2355" s="75" t="str">
        <f aca="false">IF(P2355="","",IFERROR(N(INDEX(T_EGRESO,MATCH(C2355,T_ID,0))),0))</f>
        <v/>
      </c>
      <c r="U2355" s="73" t="str">
        <f aca="false">IF(OR(P2355="",NOT(ISNUMBER(S2355))),"",IF(OR(S2355&gt;EOMONTH(B2355,0),AND(T2355&gt;0,T2355&lt;B2355)),0,IF(AND(S2355&lt;=B2355,OR(T2355=0,T2355&gt;=EOMONTH(B2355,0))),30,MIN(30,IF(T2355=0,EOMONTH(B2355,0),MIN(T2355,EOMONTH(B2355,0)))-MAX(B2355,S2355)+1))))</f>
        <v/>
      </c>
    </row>
    <row r="2356" customFormat="false" ht="15" hidden="false" customHeight="false" outlineLevel="0" collapsed="false">
      <c r="B2356" s="78"/>
      <c r="C2356" s="64"/>
      <c r="D2356" s="70" t="str">
        <f aca="false">IF(C2356="","",IFERROR(INDEX(T_NOMBRE,MATCH(C2356,T_ID,0)),"⚠ ID no existe"))</f>
        <v/>
      </c>
      <c r="E2356" s="69"/>
      <c r="F2356" s="69"/>
      <c r="G2356" s="69"/>
      <c r="H2356" s="69"/>
      <c r="I2356" s="66"/>
      <c r="J2356" s="69"/>
      <c r="K2356" s="67"/>
      <c r="L2356" s="67"/>
      <c r="M2356" s="67"/>
      <c r="N2356" s="67"/>
      <c r="O2356" s="64"/>
      <c r="P2356" s="72" t="str">
        <f aca="false">IF(OR(B2356="",C2356=""),"",C2356&amp;"|"&amp;(YEAR(B2356)*100+MONTH(B2356)))</f>
        <v/>
      </c>
      <c r="Q2356" s="70" t="str">
        <f aca="false">IF(P2356="","",IF(COUNTIF(N_CLAVE,P2356)&gt;1,"⚠ Duplicado","OK"))</f>
        <v/>
      </c>
      <c r="R2356" s="74" t="str">
        <f aca="false">IF(OR(P2356="",U2356=""),"",MAX(0,U2356-N(E2356)-N(F2356)-N(H2356)))</f>
        <v/>
      </c>
      <c r="S2356" s="75" t="str">
        <f aca="false">IF(P2356="","",IFERROR(INDEX(T_INGRESO,MATCH(C2356,T_ID,0)),""))</f>
        <v/>
      </c>
      <c r="T2356" s="75" t="str">
        <f aca="false">IF(P2356="","",IFERROR(N(INDEX(T_EGRESO,MATCH(C2356,T_ID,0))),0))</f>
        <v/>
      </c>
      <c r="U2356" s="73" t="str">
        <f aca="false">IF(OR(P2356="",NOT(ISNUMBER(S2356))),"",IF(OR(S2356&gt;EOMONTH(B2356,0),AND(T2356&gt;0,T2356&lt;B2356)),0,IF(AND(S2356&lt;=B2356,OR(T2356=0,T2356&gt;=EOMONTH(B2356,0))),30,MIN(30,IF(T2356=0,EOMONTH(B2356,0),MIN(T2356,EOMONTH(B2356,0)))-MAX(B2356,S2356)+1))))</f>
        <v/>
      </c>
    </row>
    <row r="2357" customFormat="false" ht="15" hidden="false" customHeight="false" outlineLevel="0" collapsed="false">
      <c r="B2357" s="78"/>
      <c r="C2357" s="64"/>
      <c r="D2357" s="70" t="str">
        <f aca="false">IF(C2357="","",IFERROR(INDEX(T_NOMBRE,MATCH(C2357,T_ID,0)),"⚠ ID no existe"))</f>
        <v/>
      </c>
      <c r="E2357" s="69"/>
      <c r="F2357" s="69"/>
      <c r="G2357" s="69"/>
      <c r="H2357" s="69"/>
      <c r="I2357" s="66"/>
      <c r="J2357" s="69"/>
      <c r="K2357" s="67"/>
      <c r="L2357" s="67"/>
      <c r="M2357" s="67"/>
      <c r="N2357" s="67"/>
      <c r="O2357" s="64"/>
      <c r="P2357" s="72" t="str">
        <f aca="false">IF(OR(B2357="",C2357=""),"",C2357&amp;"|"&amp;(YEAR(B2357)*100+MONTH(B2357)))</f>
        <v/>
      </c>
      <c r="Q2357" s="70" t="str">
        <f aca="false">IF(P2357="","",IF(COUNTIF(N_CLAVE,P2357)&gt;1,"⚠ Duplicado","OK"))</f>
        <v/>
      </c>
      <c r="R2357" s="74" t="str">
        <f aca="false">IF(OR(P2357="",U2357=""),"",MAX(0,U2357-N(E2357)-N(F2357)-N(H2357)))</f>
        <v/>
      </c>
      <c r="S2357" s="75" t="str">
        <f aca="false">IF(P2357="","",IFERROR(INDEX(T_INGRESO,MATCH(C2357,T_ID,0)),""))</f>
        <v/>
      </c>
      <c r="T2357" s="75" t="str">
        <f aca="false">IF(P2357="","",IFERROR(N(INDEX(T_EGRESO,MATCH(C2357,T_ID,0))),0))</f>
        <v/>
      </c>
      <c r="U2357" s="73" t="str">
        <f aca="false">IF(OR(P2357="",NOT(ISNUMBER(S2357))),"",IF(OR(S2357&gt;EOMONTH(B2357,0),AND(T2357&gt;0,T2357&lt;B2357)),0,IF(AND(S2357&lt;=B2357,OR(T2357=0,T2357&gt;=EOMONTH(B2357,0))),30,MIN(30,IF(T2357=0,EOMONTH(B2357,0),MIN(T2357,EOMONTH(B2357,0)))-MAX(B2357,S2357)+1))))</f>
        <v/>
      </c>
    </row>
    <row r="2358" customFormat="false" ht="15" hidden="false" customHeight="false" outlineLevel="0" collapsed="false">
      <c r="B2358" s="78"/>
      <c r="C2358" s="64"/>
      <c r="D2358" s="70" t="str">
        <f aca="false">IF(C2358="","",IFERROR(INDEX(T_NOMBRE,MATCH(C2358,T_ID,0)),"⚠ ID no existe"))</f>
        <v/>
      </c>
      <c r="E2358" s="69"/>
      <c r="F2358" s="69"/>
      <c r="G2358" s="69"/>
      <c r="H2358" s="69"/>
      <c r="I2358" s="66"/>
      <c r="J2358" s="69"/>
      <c r="K2358" s="67"/>
      <c r="L2358" s="67"/>
      <c r="M2358" s="67"/>
      <c r="N2358" s="67"/>
      <c r="O2358" s="64"/>
      <c r="P2358" s="72" t="str">
        <f aca="false">IF(OR(B2358="",C2358=""),"",C2358&amp;"|"&amp;(YEAR(B2358)*100+MONTH(B2358)))</f>
        <v/>
      </c>
      <c r="Q2358" s="70" t="str">
        <f aca="false">IF(P2358="","",IF(COUNTIF(N_CLAVE,P2358)&gt;1,"⚠ Duplicado","OK"))</f>
        <v/>
      </c>
      <c r="R2358" s="74" t="str">
        <f aca="false">IF(OR(P2358="",U2358=""),"",MAX(0,U2358-N(E2358)-N(F2358)-N(H2358)))</f>
        <v/>
      </c>
      <c r="S2358" s="75" t="str">
        <f aca="false">IF(P2358="","",IFERROR(INDEX(T_INGRESO,MATCH(C2358,T_ID,0)),""))</f>
        <v/>
      </c>
      <c r="T2358" s="75" t="str">
        <f aca="false">IF(P2358="","",IFERROR(N(INDEX(T_EGRESO,MATCH(C2358,T_ID,0))),0))</f>
        <v/>
      </c>
      <c r="U2358" s="73" t="str">
        <f aca="false">IF(OR(P2358="",NOT(ISNUMBER(S2358))),"",IF(OR(S2358&gt;EOMONTH(B2358,0),AND(T2358&gt;0,T2358&lt;B2358)),0,IF(AND(S2358&lt;=B2358,OR(T2358=0,T2358&gt;=EOMONTH(B2358,0))),30,MIN(30,IF(T2358=0,EOMONTH(B2358,0),MIN(T2358,EOMONTH(B2358,0)))-MAX(B2358,S2358)+1))))</f>
        <v/>
      </c>
    </row>
    <row r="2359" customFormat="false" ht="15" hidden="false" customHeight="false" outlineLevel="0" collapsed="false">
      <c r="B2359" s="78"/>
      <c r="C2359" s="64"/>
      <c r="D2359" s="70" t="str">
        <f aca="false">IF(C2359="","",IFERROR(INDEX(T_NOMBRE,MATCH(C2359,T_ID,0)),"⚠ ID no existe"))</f>
        <v/>
      </c>
      <c r="E2359" s="69"/>
      <c r="F2359" s="69"/>
      <c r="G2359" s="69"/>
      <c r="H2359" s="69"/>
      <c r="I2359" s="66"/>
      <c r="J2359" s="69"/>
      <c r="K2359" s="67"/>
      <c r="L2359" s="67"/>
      <c r="M2359" s="67"/>
      <c r="N2359" s="67"/>
      <c r="O2359" s="64"/>
      <c r="P2359" s="72" t="str">
        <f aca="false">IF(OR(B2359="",C2359=""),"",C2359&amp;"|"&amp;(YEAR(B2359)*100+MONTH(B2359)))</f>
        <v/>
      </c>
      <c r="Q2359" s="70" t="str">
        <f aca="false">IF(P2359="","",IF(COUNTIF(N_CLAVE,P2359)&gt;1,"⚠ Duplicado","OK"))</f>
        <v/>
      </c>
      <c r="R2359" s="74" t="str">
        <f aca="false">IF(OR(P2359="",U2359=""),"",MAX(0,U2359-N(E2359)-N(F2359)-N(H2359)))</f>
        <v/>
      </c>
      <c r="S2359" s="75" t="str">
        <f aca="false">IF(P2359="","",IFERROR(INDEX(T_INGRESO,MATCH(C2359,T_ID,0)),""))</f>
        <v/>
      </c>
      <c r="T2359" s="75" t="str">
        <f aca="false">IF(P2359="","",IFERROR(N(INDEX(T_EGRESO,MATCH(C2359,T_ID,0))),0))</f>
        <v/>
      </c>
      <c r="U2359" s="73" t="str">
        <f aca="false">IF(OR(P2359="",NOT(ISNUMBER(S2359))),"",IF(OR(S2359&gt;EOMONTH(B2359,0),AND(T2359&gt;0,T2359&lt;B2359)),0,IF(AND(S2359&lt;=B2359,OR(T2359=0,T2359&gt;=EOMONTH(B2359,0))),30,MIN(30,IF(T2359=0,EOMONTH(B2359,0),MIN(T2359,EOMONTH(B2359,0)))-MAX(B2359,S2359)+1))))</f>
        <v/>
      </c>
    </row>
    <row r="2360" customFormat="false" ht="15" hidden="false" customHeight="false" outlineLevel="0" collapsed="false">
      <c r="B2360" s="78"/>
      <c r="C2360" s="64"/>
      <c r="D2360" s="70" t="str">
        <f aca="false">IF(C2360="","",IFERROR(INDEX(T_NOMBRE,MATCH(C2360,T_ID,0)),"⚠ ID no existe"))</f>
        <v/>
      </c>
      <c r="E2360" s="69"/>
      <c r="F2360" s="69"/>
      <c r="G2360" s="69"/>
      <c r="H2360" s="69"/>
      <c r="I2360" s="66"/>
      <c r="J2360" s="69"/>
      <c r="K2360" s="67"/>
      <c r="L2360" s="67"/>
      <c r="M2360" s="67"/>
      <c r="N2360" s="67"/>
      <c r="O2360" s="64"/>
      <c r="P2360" s="72" t="str">
        <f aca="false">IF(OR(B2360="",C2360=""),"",C2360&amp;"|"&amp;(YEAR(B2360)*100+MONTH(B2360)))</f>
        <v/>
      </c>
      <c r="Q2360" s="70" t="str">
        <f aca="false">IF(P2360="","",IF(COUNTIF(N_CLAVE,P2360)&gt;1,"⚠ Duplicado","OK"))</f>
        <v/>
      </c>
      <c r="R2360" s="74" t="str">
        <f aca="false">IF(OR(P2360="",U2360=""),"",MAX(0,U2360-N(E2360)-N(F2360)-N(H2360)))</f>
        <v/>
      </c>
      <c r="S2360" s="75" t="str">
        <f aca="false">IF(P2360="","",IFERROR(INDEX(T_INGRESO,MATCH(C2360,T_ID,0)),""))</f>
        <v/>
      </c>
      <c r="T2360" s="75" t="str">
        <f aca="false">IF(P2360="","",IFERROR(N(INDEX(T_EGRESO,MATCH(C2360,T_ID,0))),0))</f>
        <v/>
      </c>
      <c r="U2360" s="73" t="str">
        <f aca="false">IF(OR(P2360="",NOT(ISNUMBER(S2360))),"",IF(OR(S2360&gt;EOMONTH(B2360,0),AND(T2360&gt;0,T2360&lt;B2360)),0,IF(AND(S2360&lt;=B2360,OR(T2360=0,T2360&gt;=EOMONTH(B2360,0))),30,MIN(30,IF(T2360=0,EOMONTH(B2360,0),MIN(T2360,EOMONTH(B2360,0)))-MAX(B2360,S2360)+1))))</f>
        <v/>
      </c>
    </row>
    <row r="2361" customFormat="false" ht="15" hidden="false" customHeight="false" outlineLevel="0" collapsed="false">
      <c r="B2361" s="78"/>
      <c r="C2361" s="64"/>
      <c r="D2361" s="70" t="str">
        <f aca="false">IF(C2361="","",IFERROR(INDEX(T_NOMBRE,MATCH(C2361,T_ID,0)),"⚠ ID no existe"))</f>
        <v/>
      </c>
      <c r="E2361" s="69"/>
      <c r="F2361" s="69"/>
      <c r="G2361" s="69"/>
      <c r="H2361" s="69"/>
      <c r="I2361" s="66"/>
      <c r="J2361" s="69"/>
      <c r="K2361" s="67"/>
      <c r="L2361" s="67"/>
      <c r="M2361" s="67"/>
      <c r="N2361" s="67"/>
      <c r="O2361" s="64"/>
      <c r="P2361" s="72" t="str">
        <f aca="false">IF(OR(B2361="",C2361=""),"",C2361&amp;"|"&amp;(YEAR(B2361)*100+MONTH(B2361)))</f>
        <v/>
      </c>
      <c r="Q2361" s="70" t="str">
        <f aca="false">IF(P2361="","",IF(COUNTIF(N_CLAVE,P2361)&gt;1,"⚠ Duplicado","OK"))</f>
        <v/>
      </c>
      <c r="R2361" s="74" t="str">
        <f aca="false">IF(OR(P2361="",U2361=""),"",MAX(0,U2361-N(E2361)-N(F2361)-N(H2361)))</f>
        <v/>
      </c>
      <c r="S2361" s="75" t="str">
        <f aca="false">IF(P2361="","",IFERROR(INDEX(T_INGRESO,MATCH(C2361,T_ID,0)),""))</f>
        <v/>
      </c>
      <c r="T2361" s="75" t="str">
        <f aca="false">IF(P2361="","",IFERROR(N(INDEX(T_EGRESO,MATCH(C2361,T_ID,0))),0))</f>
        <v/>
      </c>
      <c r="U2361" s="73" t="str">
        <f aca="false">IF(OR(P2361="",NOT(ISNUMBER(S2361))),"",IF(OR(S2361&gt;EOMONTH(B2361,0),AND(T2361&gt;0,T2361&lt;B2361)),0,IF(AND(S2361&lt;=B2361,OR(T2361=0,T2361&gt;=EOMONTH(B2361,0))),30,MIN(30,IF(T2361=0,EOMONTH(B2361,0),MIN(T2361,EOMONTH(B2361,0)))-MAX(B2361,S2361)+1))))</f>
        <v/>
      </c>
    </row>
    <row r="2362" customFormat="false" ht="15" hidden="false" customHeight="false" outlineLevel="0" collapsed="false">
      <c r="B2362" s="78"/>
      <c r="C2362" s="64"/>
      <c r="D2362" s="70" t="str">
        <f aca="false">IF(C2362="","",IFERROR(INDEX(T_NOMBRE,MATCH(C2362,T_ID,0)),"⚠ ID no existe"))</f>
        <v/>
      </c>
      <c r="E2362" s="69"/>
      <c r="F2362" s="69"/>
      <c r="G2362" s="69"/>
      <c r="H2362" s="69"/>
      <c r="I2362" s="66"/>
      <c r="J2362" s="69"/>
      <c r="K2362" s="67"/>
      <c r="L2362" s="67"/>
      <c r="M2362" s="67"/>
      <c r="N2362" s="67"/>
      <c r="O2362" s="64"/>
      <c r="P2362" s="72" t="str">
        <f aca="false">IF(OR(B2362="",C2362=""),"",C2362&amp;"|"&amp;(YEAR(B2362)*100+MONTH(B2362)))</f>
        <v/>
      </c>
      <c r="Q2362" s="70" t="str">
        <f aca="false">IF(P2362="","",IF(COUNTIF(N_CLAVE,P2362)&gt;1,"⚠ Duplicado","OK"))</f>
        <v/>
      </c>
      <c r="R2362" s="74" t="str">
        <f aca="false">IF(OR(P2362="",U2362=""),"",MAX(0,U2362-N(E2362)-N(F2362)-N(H2362)))</f>
        <v/>
      </c>
      <c r="S2362" s="75" t="str">
        <f aca="false">IF(P2362="","",IFERROR(INDEX(T_INGRESO,MATCH(C2362,T_ID,0)),""))</f>
        <v/>
      </c>
      <c r="T2362" s="75" t="str">
        <f aca="false">IF(P2362="","",IFERROR(N(INDEX(T_EGRESO,MATCH(C2362,T_ID,0))),0))</f>
        <v/>
      </c>
      <c r="U2362" s="73" t="str">
        <f aca="false">IF(OR(P2362="",NOT(ISNUMBER(S2362))),"",IF(OR(S2362&gt;EOMONTH(B2362,0),AND(T2362&gt;0,T2362&lt;B2362)),0,IF(AND(S2362&lt;=B2362,OR(T2362=0,T2362&gt;=EOMONTH(B2362,0))),30,MIN(30,IF(T2362=0,EOMONTH(B2362,0),MIN(T2362,EOMONTH(B2362,0)))-MAX(B2362,S2362)+1))))</f>
        <v/>
      </c>
    </row>
    <row r="2363" customFormat="false" ht="15" hidden="false" customHeight="false" outlineLevel="0" collapsed="false">
      <c r="B2363" s="78"/>
      <c r="C2363" s="64"/>
      <c r="D2363" s="70" t="str">
        <f aca="false">IF(C2363="","",IFERROR(INDEX(T_NOMBRE,MATCH(C2363,T_ID,0)),"⚠ ID no existe"))</f>
        <v/>
      </c>
      <c r="E2363" s="69"/>
      <c r="F2363" s="69"/>
      <c r="G2363" s="69"/>
      <c r="H2363" s="69"/>
      <c r="I2363" s="66"/>
      <c r="J2363" s="69"/>
      <c r="K2363" s="67"/>
      <c r="L2363" s="67"/>
      <c r="M2363" s="67"/>
      <c r="N2363" s="67"/>
      <c r="O2363" s="64"/>
      <c r="P2363" s="72" t="str">
        <f aca="false">IF(OR(B2363="",C2363=""),"",C2363&amp;"|"&amp;(YEAR(B2363)*100+MONTH(B2363)))</f>
        <v/>
      </c>
      <c r="Q2363" s="70" t="str">
        <f aca="false">IF(P2363="","",IF(COUNTIF(N_CLAVE,P2363)&gt;1,"⚠ Duplicado","OK"))</f>
        <v/>
      </c>
      <c r="R2363" s="74" t="str">
        <f aca="false">IF(OR(P2363="",U2363=""),"",MAX(0,U2363-N(E2363)-N(F2363)-N(H2363)))</f>
        <v/>
      </c>
      <c r="S2363" s="75" t="str">
        <f aca="false">IF(P2363="","",IFERROR(INDEX(T_INGRESO,MATCH(C2363,T_ID,0)),""))</f>
        <v/>
      </c>
      <c r="T2363" s="75" t="str">
        <f aca="false">IF(P2363="","",IFERROR(N(INDEX(T_EGRESO,MATCH(C2363,T_ID,0))),0))</f>
        <v/>
      </c>
      <c r="U2363" s="73" t="str">
        <f aca="false">IF(OR(P2363="",NOT(ISNUMBER(S2363))),"",IF(OR(S2363&gt;EOMONTH(B2363,0),AND(T2363&gt;0,T2363&lt;B2363)),0,IF(AND(S2363&lt;=B2363,OR(T2363=0,T2363&gt;=EOMONTH(B2363,0))),30,MIN(30,IF(T2363=0,EOMONTH(B2363,0),MIN(T2363,EOMONTH(B2363,0)))-MAX(B2363,S2363)+1))))</f>
        <v/>
      </c>
    </row>
    <row r="2364" customFormat="false" ht="15" hidden="false" customHeight="false" outlineLevel="0" collapsed="false">
      <c r="B2364" s="78"/>
      <c r="C2364" s="64"/>
      <c r="D2364" s="70" t="str">
        <f aca="false">IF(C2364="","",IFERROR(INDEX(T_NOMBRE,MATCH(C2364,T_ID,0)),"⚠ ID no existe"))</f>
        <v/>
      </c>
      <c r="E2364" s="69"/>
      <c r="F2364" s="69"/>
      <c r="G2364" s="69"/>
      <c r="H2364" s="69"/>
      <c r="I2364" s="66"/>
      <c r="J2364" s="69"/>
      <c r="K2364" s="67"/>
      <c r="L2364" s="67"/>
      <c r="M2364" s="67"/>
      <c r="N2364" s="67"/>
      <c r="O2364" s="64"/>
      <c r="P2364" s="72" t="str">
        <f aca="false">IF(OR(B2364="",C2364=""),"",C2364&amp;"|"&amp;(YEAR(B2364)*100+MONTH(B2364)))</f>
        <v/>
      </c>
      <c r="Q2364" s="70" t="str">
        <f aca="false">IF(P2364="","",IF(COUNTIF(N_CLAVE,P2364)&gt;1,"⚠ Duplicado","OK"))</f>
        <v/>
      </c>
      <c r="R2364" s="74" t="str">
        <f aca="false">IF(OR(P2364="",U2364=""),"",MAX(0,U2364-N(E2364)-N(F2364)-N(H2364)))</f>
        <v/>
      </c>
      <c r="S2364" s="75" t="str">
        <f aca="false">IF(P2364="","",IFERROR(INDEX(T_INGRESO,MATCH(C2364,T_ID,0)),""))</f>
        <v/>
      </c>
      <c r="T2364" s="75" t="str">
        <f aca="false">IF(P2364="","",IFERROR(N(INDEX(T_EGRESO,MATCH(C2364,T_ID,0))),0))</f>
        <v/>
      </c>
      <c r="U2364" s="73" t="str">
        <f aca="false">IF(OR(P2364="",NOT(ISNUMBER(S2364))),"",IF(OR(S2364&gt;EOMONTH(B2364,0),AND(T2364&gt;0,T2364&lt;B2364)),0,IF(AND(S2364&lt;=B2364,OR(T2364=0,T2364&gt;=EOMONTH(B2364,0))),30,MIN(30,IF(T2364=0,EOMONTH(B2364,0),MIN(T2364,EOMONTH(B2364,0)))-MAX(B2364,S2364)+1))))</f>
        <v/>
      </c>
    </row>
    <row r="2365" customFormat="false" ht="15" hidden="false" customHeight="false" outlineLevel="0" collapsed="false">
      <c r="B2365" s="78"/>
      <c r="C2365" s="64"/>
      <c r="D2365" s="70" t="str">
        <f aca="false">IF(C2365="","",IFERROR(INDEX(T_NOMBRE,MATCH(C2365,T_ID,0)),"⚠ ID no existe"))</f>
        <v/>
      </c>
      <c r="E2365" s="69"/>
      <c r="F2365" s="69"/>
      <c r="G2365" s="69"/>
      <c r="H2365" s="69"/>
      <c r="I2365" s="66"/>
      <c r="J2365" s="69"/>
      <c r="K2365" s="67"/>
      <c r="L2365" s="67"/>
      <c r="M2365" s="67"/>
      <c r="N2365" s="67"/>
      <c r="O2365" s="64"/>
      <c r="P2365" s="72" t="str">
        <f aca="false">IF(OR(B2365="",C2365=""),"",C2365&amp;"|"&amp;(YEAR(B2365)*100+MONTH(B2365)))</f>
        <v/>
      </c>
      <c r="Q2365" s="70" t="str">
        <f aca="false">IF(P2365="","",IF(COUNTIF(N_CLAVE,P2365)&gt;1,"⚠ Duplicado","OK"))</f>
        <v/>
      </c>
      <c r="R2365" s="74" t="str">
        <f aca="false">IF(OR(P2365="",U2365=""),"",MAX(0,U2365-N(E2365)-N(F2365)-N(H2365)))</f>
        <v/>
      </c>
      <c r="S2365" s="75" t="str">
        <f aca="false">IF(P2365="","",IFERROR(INDEX(T_INGRESO,MATCH(C2365,T_ID,0)),""))</f>
        <v/>
      </c>
      <c r="T2365" s="75" t="str">
        <f aca="false">IF(P2365="","",IFERROR(N(INDEX(T_EGRESO,MATCH(C2365,T_ID,0))),0))</f>
        <v/>
      </c>
      <c r="U2365" s="73" t="str">
        <f aca="false">IF(OR(P2365="",NOT(ISNUMBER(S2365))),"",IF(OR(S2365&gt;EOMONTH(B2365,0),AND(T2365&gt;0,T2365&lt;B2365)),0,IF(AND(S2365&lt;=B2365,OR(T2365=0,T2365&gt;=EOMONTH(B2365,0))),30,MIN(30,IF(T2365=0,EOMONTH(B2365,0),MIN(T2365,EOMONTH(B2365,0)))-MAX(B2365,S2365)+1))))</f>
        <v/>
      </c>
    </row>
    <row r="2366" customFormat="false" ht="15" hidden="false" customHeight="false" outlineLevel="0" collapsed="false">
      <c r="B2366" s="78"/>
      <c r="C2366" s="64"/>
      <c r="D2366" s="70" t="str">
        <f aca="false">IF(C2366="","",IFERROR(INDEX(T_NOMBRE,MATCH(C2366,T_ID,0)),"⚠ ID no existe"))</f>
        <v/>
      </c>
      <c r="E2366" s="69"/>
      <c r="F2366" s="69"/>
      <c r="G2366" s="69"/>
      <c r="H2366" s="69"/>
      <c r="I2366" s="66"/>
      <c r="J2366" s="69"/>
      <c r="K2366" s="67"/>
      <c r="L2366" s="67"/>
      <c r="M2366" s="67"/>
      <c r="N2366" s="67"/>
      <c r="O2366" s="64"/>
      <c r="P2366" s="72" t="str">
        <f aca="false">IF(OR(B2366="",C2366=""),"",C2366&amp;"|"&amp;(YEAR(B2366)*100+MONTH(B2366)))</f>
        <v/>
      </c>
      <c r="Q2366" s="70" t="str">
        <f aca="false">IF(P2366="","",IF(COUNTIF(N_CLAVE,P2366)&gt;1,"⚠ Duplicado","OK"))</f>
        <v/>
      </c>
      <c r="R2366" s="74" t="str">
        <f aca="false">IF(OR(P2366="",U2366=""),"",MAX(0,U2366-N(E2366)-N(F2366)-N(H2366)))</f>
        <v/>
      </c>
      <c r="S2366" s="75" t="str">
        <f aca="false">IF(P2366="","",IFERROR(INDEX(T_INGRESO,MATCH(C2366,T_ID,0)),""))</f>
        <v/>
      </c>
      <c r="T2366" s="75" t="str">
        <f aca="false">IF(P2366="","",IFERROR(N(INDEX(T_EGRESO,MATCH(C2366,T_ID,0))),0))</f>
        <v/>
      </c>
      <c r="U2366" s="73" t="str">
        <f aca="false">IF(OR(P2366="",NOT(ISNUMBER(S2366))),"",IF(OR(S2366&gt;EOMONTH(B2366,0),AND(T2366&gt;0,T2366&lt;B2366)),0,IF(AND(S2366&lt;=B2366,OR(T2366=0,T2366&gt;=EOMONTH(B2366,0))),30,MIN(30,IF(T2366=0,EOMONTH(B2366,0),MIN(T2366,EOMONTH(B2366,0)))-MAX(B2366,S2366)+1))))</f>
        <v/>
      </c>
    </row>
    <row r="2367" customFormat="false" ht="15" hidden="false" customHeight="false" outlineLevel="0" collapsed="false">
      <c r="B2367" s="78"/>
      <c r="C2367" s="64"/>
      <c r="D2367" s="70" t="str">
        <f aca="false">IF(C2367="","",IFERROR(INDEX(T_NOMBRE,MATCH(C2367,T_ID,0)),"⚠ ID no existe"))</f>
        <v/>
      </c>
      <c r="E2367" s="69"/>
      <c r="F2367" s="69"/>
      <c r="G2367" s="69"/>
      <c r="H2367" s="69"/>
      <c r="I2367" s="66"/>
      <c r="J2367" s="69"/>
      <c r="K2367" s="67"/>
      <c r="L2367" s="67"/>
      <c r="M2367" s="67"/>
      <c r="N2367" s="67"/>
      <c r="O2367" s="64"/>
      <c r="P2367" s="72" t="str">
        <f aca="false">IF(OR(B2367="",C2367=""),"",C2367&amp;"|"&amp;(YEAR(B2367)*100+MONTH(B2367)))</f>
        <v/>
      </c>
      <c r="Q2367" s="70" t="str">
        <f aca="false">IF(P2367="","",IF(COUNTIF(N_CLAVE,P2367)&gt;1,"⚠ Duplicado","OK"))</f>
        <v/>
      </c>
      <c r="R2367" s="74" t="str">
        <f aca="false">IF(OR(P2367="",U2367=""),"",MAX(0,U2367-N(E2367)-N(F2367)-N(H2367)))</f>
        <v/>
      </c>
      <c r="S2367" s="75" t="str">
        <f aca="false">IF(P2367="","",IFERROR(INDEX(T_INGRESO,MATCH(C2367,T_ID,0)),""))</f>
        <v/>
      </c>
      <c r="T2367" s="75" t="str">
        <f aca="false">IF(P2367="","",IFERROR(N(INDEX(T_EGRESO,MATCH(C2367,T_ID,0))),0))</f>
        <v/>
      </c>
      <c r="U2367" s="73" t="str">
        <f aca="false">IF(OR(P2367="",NOT(ISNUMBER(S2367))),"",IF(OR(S2367&gt;EOMONTH(B2367,0),AND(T2367&gt;0,T2367&lt;B2367)),0,IF(AND(S2367&lt;=B2367,OR(T2367=0,T2367&gt;=EOMONTH(B2367,0))),30,MIN(30,IF(T2367=0,EOMONTH(B2367,0),MIN(T2367,EOMONTH(B2367,0)))-MAX(B2367,S2367)+1))))</f>
        <v/>
      </c>
    </row>
    <row r="2368" customFormat="false" ht="15" hidden="false" customHeight="false" outlineLevel="0" collapsed="false">
      <c r="B2368" s="78"/>
      <c r="C2368" s="64"/>
      <c r="D2368" s="70" t="str">
        <f aca="false">IF(C2368="","",IFERROR(INDEX(T_NOMBRE,MATCH(C2368,T_ID,0)),"⚠ ID no existe"))</f>
        <v/>
      </c>
      <c r="E2368" s="69"/>
      <c r="F2368" s="69"/>
      <c r="G2368" s="69"/>
      <c r="H2368" s="69"/>
      <c r="I2368" s="66"/>
      <c r="J2368" s="69"/>
      <c r="K2368" s="67"/>
      <c r="L2368" s="67"/>
      <c r="M2368" s="67"/>
      <c r="N2368" s="67"/>
      <c r="O2368" s="64"/>
      <c r="P2368" s="72" t="str">
        <f aca="false">IF(OR(B2368="",C2368=""),"",C2368&amp;"|"&amp;(YEAR(B2368)*100+MONTH(B2368)))</f>
        <v/>
      </c>
      <c r="Q2368" s="70" t="str">
        <f aca="false">IF(P2368="","",IF(COUNTIF(N_CLAVE,P2368)&gt;1,"⚠ Duplicado","OK"))</f>
        <v/>
      </c>
      <c r="R2368" s="74" t="str">
        <f aca="false">IF(OR(P2368="",U2368=""),"",MAX(0,U2368-N(E2368)-N(F2368)-N(H2368)))</f>
        <v/>
      </c>
      <c r="S2368" s="75" t="str">
        <f aca="false">IF(P2368="","",IFERROR(INDEX(T_INGRESO,MATCH(C2368,T_ID,0)),""))</f>
        <v/>
      </c>
      <c r="T2368" s="75" t="str">
        <f aca="false">IF(P2368="","",IFERROR(N(INDEX(T_EGRESO,MATCH(C2368,T_ID,0))),0))</f>
        <v/>
      </c>
      <c r="U2368" s="73" t="str">
        <f aca="false">IF(OR(P2368="",NOT(ISNUMBER(S2368))),"",IF(OR(S2368&gt;EOMONTH(B2368,0),AND(T2368&gt;0,T2368&lt;B2368)),0,IF(AND(S2368&lt;=B2368,OR(T2368=0,T2368&gt;=EOMONTH(B2368,0))),30,MIN(30,IF(T2368=0,EOMONTH(B2368,0),MIN(T2368,EOMONTH(B2368,0)))-MAX(B2368,S2368)+1))))</f>
        <v/>
      </c>
    </row>
    <row r="2369" customFormat="false" ht="15" hidden="false" customHeight="false" outlineLevel="0" collapsed="false">
      <c r="B2369" s="78"/>
      <c r="C2369" s="64"/>
      <c r="D2369" s="70" t="str">
        <f aca="false">IF(C2369="","",IFERROR(INDEX(T_NOMBRE,MATCH(C2369,T_ID,0)),"⚠ ID no existe"))</f>
        <v/>
      </c>
      <c r="E2369" s="69"/>
      <c r="F2369" s="69"/>
      <c r="G2369" s="69"/>
      <c r="H2369" s="69"/>
      <c r="I2369" s="66"/>
      <c r="J2369" s="69"/>
      <c r="K2369" s="67"/>
      <c r="L2369" s="67"/>
      <c r="M2369" s="67"/>
      <c r="N2369" s="67"/>
      <c r="O2369" s="64"/>
      <c r="P2369" s="72" t="str">
        <f aca="false">IF(OR(B2369="",C2369=""),"",C2369&amp;"|"&amp;(YEAR(B2369)*100+MONTH(B2369)))</f>
        <v/>
      </c>
      <c r="Q2369" s="70" t="str">
        <f aca="false">IF(P2369="","",IF(COUNTIF(N_CLAVE,P2369)&gt;1,"⚠ Duplicado","OK"))</f>
        <v/>
      </c>
      <c r="R2369" s="74" t="str">
        <f aca="false">IF(OR(P2369="",U2369=""),"",MAX(0,U2369-N(E2369)-N(F2369)-N(H2369)))</f>
        <v/>
      </c>
      <c r="S2369" s="75" t="str">
        <f aca="false">IF(P2369="","",IFERROR(INDEX(T_INGRESO,MATCH(C2369,T_ID,0)),""))</f>
        <v/>
      </c>
      <c r="T2369" s="75" t="str">
        <f aca="false">IF(P2369="","",IFERROR(N(INDEX(T_EGRESO,MATCH(C2369,T_ID,0))),0))</f>
        <v/>
      </c>
      <c r="U2369" s="73" t="str">
        <f aca="false">IF(OR(P2369="",NOT(ISNUMBER(S2369))),"",IF(OR(S2369&gt;EOMONTH(B2369,0),AND(T2369&gt;0,T2369&lt;B2369)),0,IF(AND(S2369&lt;=B2369,OR(T2369=0,T2369&gt;=EOMONTH(B2369,0))),30,MIN(30,IF(T2369=0,EOMONTH(B2369,0),MIN(T2369,EOMONTH(B2369,0)))-MAX(B2369,S2369)+1))))</f>
        <v/>
      </c>
    </row>
    <row r="2370" customFormat="false" ht="15" hidden="false" customHeight="false" outlineLevel="0" collapsed="false">
      <c r="B2370" s="78"/>
      <c r="C2370" s="64"/>
      <c r="D2370" s="70" t="str">
        <f aca="false">IF(C2370="","",IFERROR(INDEX(T_NOMBRE,MATCH(C2370,T_ID,0)),"⚠ ID no existe"))</f>
        <v/>
      </c>
      <c r="E2370" s="69"/>
      <c r="F2370" s="69"/>
      <c r="G2370" s="69"/>
      <c r="H2370" s="69"/>
      <c r="I2370" s="66"/>
      <c r="J2370" s="69"/>
      <c r="K2370" s="67"/>
      <c r="L2370" s="67"/>
      <c r="M2370" s="67"/>
      <c r="N2370" s="67"/>
      <c r="O2370" s="64"/>
      <c r="P2370" s="72" t="str">
        <f aca="false">IF(OR(B2370="",C2370=""),"",C2370&amp;"|"&amp;(YEAR(B2370)*100+MONTH(B2370)))</f>
        <v/>
      </c>
      <c r="Q2370" s="70" t="str">
        <f aca="false">IF(P2370="","",IF(COUNTIF(N_CLAVE,P2370)&gt;1,"⚠ Duplicado","OK"))</f>
        <v/>
      </c>
      <c r="R2370" s="74" t="str">
        <f aca="false">IF(OR(P2370="",U2370=""),"",MAX(0,U2370-N(E2370)-N(F2370)-N(H2370)))</f>
        <v/>
      </c>
      <c r="S2370" s="75" t="str">
        <f aca="false">IF(P2370="","",IFERROR(INDEX(T_INGRESO,MATCH(C2370,T_ID,0)),""))</f>
        <v/>
      </c>
      <c r="T2370" s="75" t="str">
        <f aca="false">IF(P2370="","",IFERROR(N(INDEX(T_EGRESO,MATCH(C2370,T_ID,0))),0))</f>
        <v/>
      </c>
      <c r="U2370" s="73" t="str">
        <f aca="false">IF(OR(P2370="",NOT(ISNUMBER(S2370))),"",IF(OR(S2370&gt;EOMONTH(B2370,0),AND(T2370&gt;0,T2370&lt;B2370)),0,IF(AND(S2370&lt;=B2370,OR(T2370=0,T2370&gt;=EOMONTH(B2370,0))),30,MIN(30,IF(T2370=0,EOMONTH(B2370,0),MIN(T2370,EOMONTH(B2370,0)))-MAX(B2370,S2370)+1))))</f>
        <v/>
      </c>
    </row>
    <row r="2371" customFormat="false" ht="15" hidden="false" customHeight="false" outlineLevel="0" collapsed="false">
      <c r="B2371" s="78"/>
      <c r="C2371" s="64"/>
      <c r="D2371" s="70" t="str">
        <f aca="false">IF(C2371="","",IFERROR(INDEX(T_NOMBRE,MATCH(C2371,T_ID,0)),"⚠ ID no existe"))</f>
        <v/>
      </c>
      <c r="E2371" s="69"/>
      <c r="F2371" s="69"/>
      <c r="G2371" s="69"/>
      <c r="H2371" s="69"/>
      <c r="I2371" s="66"/>
      <c r="J2371" s="69"/>
      <c r="K2371" s="67"/>
      <c r="L2371" s="67"/>
      <c r="M2371" s="67"/>
      <c r="N2371" s="67"/>
      <c r="O2371" s="64"/>
      <c r="P2371" s="72" t="str">
        <f aca="false">IF(OR(B2371="",C2371=""),"",C2371&amp;"|"&amp;(YEAR(B2371)*100+MONTH(B2371)))</f>
        <v/>
      </c>
      <c r="Q2371" s="70" t="str">
        <f aca="false">IF(P2371="","",IF(COUNTIF(N_CLAVE,P2371)&gt;1,"⚠ Duplicado","OK"))</f>
        <v/>
      </c>
      <c r="R2371" s="74" t="str">
        <f aca="false">IF(OR(P2371="",U2371=""),"",MAX(0,U2371-N(E2371)-N(F2371)-N(H2371)))</f>
        <v/>
      </c>
      <c r="S2371" s="75" t="str">
        <f aca="false">IF(P2371="","",IFERROR(INDEX(T_INGRESO,MATCH(C2371,T_ID,0)),""))</f>
        <v/>
      </c>
      <c r="T2371" s="75" t="str">
        <f aca="false">IF(P2371="","",IFERROR(N(INDEX(T_EGRESO,MATCH(C2371,T_ID,0))),0))</f>
        <v/>
      </c>
      <c r="U2371" s="73" t="str">
        <f aca="false">IF(OR(P2371="",NOT(ISNUMBER(S2371))),"",IF(OR(S2371&gt;EOMONTH(B2371,0),AND(T2371&gt;0,T2371&lt;B2371)),0,IF(AND(S2371&lt;=B2371,OR(T2371=0,T2371&gt;=EOMONTH(B2371,0))),30,MIN(30,IF(T2371=0,EOMONTH(B2371,0),MIN(T2371,EOMONTH(B2371,0)))-MAX(B2371,S2371)+1))))</f>
        <v/>
      </c>
    </row>
    <row r="2372" customFormat="false" ht="15" hidden="false" customHeight="false" outlineLevel="0" collapsed="false">
      <c r="B2372" s="78"/>
      <c r="C2372" s="64"/>
      <c r="D2372" s="70" t="str">
        <f aca="false">IF(C2372="","",IFERROR(INDEX(T_NOMBRE,MATCH(C2372,T_ID,0)),"⚠ ID no existe"))</f>
        <v/>
      </c>
      <c r="E2372" s="69"/>
      <c r="F2372" s="69"/>
      <c r="G2372" s="69"/>
      <c r="H2372" s="69"/>
      <c r="I2372" s="66"/>
      <c r="J2372" s="69"/>
      <c r="K2372" s="67"/>
      <c r="L2372" s="67"/>
      <c r="M2372" s="67"/>
      <c r="N2372" s="67"/>
      <c r="O2372" s="64"/>
      <c r="P2372" s="72" t="str">
        <f aca="false">IF(OR(B2372="",C2372=""),"",C2372&amp;"|"&amp;(YEAR(B2372)*100+MONTH(B2372)))</f>
        <v/>
      </c>
      <c r="Q2372" s="70" t="str">
        <f aca="false">IF(P2372="","",IF(COUNTIF(N_CLAVE,P2372)&gt;1,"⚠ Duplicado","OK"))</f>
        <v/>
      </c>
      <c r="R2372" s="74" t="str">
        <f aca="false">IF(OR(P2372="",U2372=""),"",MAX(0,U2372-N(E2372)-N(F2372)-N(H2372)))</f>
        <v/>
      </c>
      <c r="S2372" s="75" t="str">
        <f aca="false">IF(P2372="","",IFERROR(INDEX(T_INGRESO,MATCH(C2372,T_ID,0)),""))</f>
        <v/>
      </c>
      <c r="T2372" s="75" t="str">
        <f aca="false">IF(P2372="","",IFERROR(N(INDEX(T_EGRESO,MATCH(C2372,T_ID,0))),0))</f>
        <v/>
      </c>
      <c r="U2372" s="73" t="str">
        <f aca="false">IF(OR(P2372="",NOT(ISNUMBER(S2372))),"",IF(OR(S2372&gt;EOMONTH(B2372,0),AND(T2372&gt;0,T2372&lt;B2372)),0,IF(AND(S2372&lt;=B2372,OR(T2372=0,T2372&gt;=EOMONTH(B2372,0))),30,MIN(30,IF(T2372=0,EOMONTH(B2372,0),MIN(T2372,EOMONTH(B2372,0)))-MAX(B2372,S2372)+1))))</f>
        <v/>
      </c>
    </row>
    <row r="2373" customFormat="false" ht="15" hidden="false" customHeight="false" outlineLevel="0" collapsed="false">
      <c r="B2373" s="78"/>
      <c r="C2373" s="64"/>
      <c r="D2373" s="70" t="str">
        <f aca="false">IF(C2373="","",IFERROR(INDEX(T_NOMBRE,MATCH(C2373,T_ID,0)),"⚠ ID no existe"))</f>
        <v/>
      </c>
      <c r="E2373" s="69"/>
      <c r="F2373" s="69"/>
      <c r="G2373" s="69"/>
      <c r="H2373" s="69"/>
      <c r="I2373" s="66"/>
      <c r="J2373" s="69"/>
      <c r="K2373" s="67"/>
      <c r="L2373" s="67"/>
      <c r="M2373" s="67"/>
      <c r="N2373" s="67"/>
      <c r="O2373" s="64"/>
      <c r="P2373" s="72" t="str">
        <f aca="false">IF(OR(B2373="",C2373=""),"",C2373&amp;"|"&amp;(YEAR(B2373)*100+MONTH(B2373)))</f>
        <v/>
      </c>
      <c r="Q2373" s="70" t="str">
        <f aca="false">IF(P2373="","",IF(COUNTIF(N_CLAVE,P2373)&gt;1,"⚠ Duplicado","OK"))</f>
        <v/>
      </c>
      <c r="R2373" s="74" t="str">
        <f aca="false">IF(OR(P2373="",U2373=""),"",MAX(0,U2373-N(E2373)-N(F2373)-N(H2373)))</f>
        <v/>
      </c>
      <c r="S2373" s="75" t="str">
        <f aca="false">IF(P2373="","",IFERROR(INDEX(T_INGRESO,MATCH(C2373,T_ID,0)),""))</f>
        <v/>
      </c>
      <c r="T2373" s="75" t="str">
        <f aca="false">IF(P2373="","",IFERROR(N(INDEX(T_EGRESO,MATCH(C2373,T_ID,0))),0))</f>
        <v/>
      </c>
      <c r="U2373" s="73" t="str">
        <f aca="false">IF(OR(P2373="",NOT(ISNUMBER(S2373))),"",IF(OR(S2373&gt;EOMONTH(B2373,0),AND(T2373&gt;0,T2373&lt;B2373)),0,IF(AND(S2373&lt;=B2373,OR(T2373=0,T2373&gt;=EOMONTH(B2373,0))),30,MIN(30,IF(T2373=0,EOMONTH(B2373,0),MIN(T2373,EOMONTH(B2373,0)))-MAX(B2373,S2373)+1))))</f>
        <v/>
      </c>
    </row>
    <row r="2374" customFormat="false" ht="15" hidden="false" customHeight="false" outlineLevel="0" collapsed="false">
      <c r="B2374" s="78"/>
      <c r="C2374" s="64"/>
      <c r="D2374" s="70" t="str">
        <f aca="false">IF(C2374="","",IFERROR(INDEX(T_NOMBRE,MATCH(C2374,T_ID,0)),"⚠ ID no existe"))</f>
        <v/>
      </c>
      <c r="E2374" s="69"/>
      <c r="F2374" s="69"/>
      <c r="G2374" s="69"/>
      <c r="H2374" s="69"/>
      <c r="I2374" s="66"/>
      <c r="J2374" s="69"/>
      <c r="K2374" s="67"/>
      <c r="L2374" s="67"/>
      <c r="M2374" s="67"/>
      <c r="N2374" s="67"/>
      <c r="O2374" s="64"/>
      <c r="P2374" s="72" t="str">
        <f aca="false">IF(OR(B2374="",C2374=""),"",C2374&amp;"|"&amp;(YEAR(B2374)*100+MONTH(B2374)))</f>
        <v/>
      </c>
      <c r="Q2374" s="70" t="str">
        <f aca="false">IF(P2374="","",IF(COUNTIF(N_CLAVE,P2374)&gt;1,"⚠ Duplicado","OK"))</f>
        <v/>
      </c>
      <c r="R2374" s="74" t="str">
        <f aca="false">IF(OR(P2374="",U2374=""),"",MAX(0,U2374-N(E2374)-N(F2374)-N(H2374)))</f>
        <v/>
      </c>
      <c r="S2374" s="75" t="str">
        <f aca="false">IF(P2374="","",IFERROR(INDEX(T_INGRESO,MATCH(C2374,T_ID,0)),""))</f>
        <v/>
      </c>
      <c r="T2374" s="75" t="str">
        <f aca="false">IF(P2374="","",IFERROR(N(INDEX(T_EGRESO,MATCH(C2374,T_ID,0))),0))</f>
        <v/>
      </c>
      <c r="U2374" s="73" t="str">
        <f aca="false">IF(OR(P2374="",NOT(ISNUMBER(S2374))),"",IF(OR(S2374&gt;EOMONTH(B2374,0),AND(T2374&gt;0,T2374&lt;B2374)),0,IF(AND(S2374&lt;=B2374,OR(T2374=0,T2374&gt;=EOMONTH(B2374,0))),30,MIN(30,IF(T2374=0,EOMONTH(B2374,0),MIN(T2374,EOMONTH(B2374,0)))-MAX(B2374,S2374)+1))))</f>
        <v/>
      </c>
    </row>
    <row r="2375" customFormat="false" ht="15" hidden="false" customHeight="false" outlineLevel="0" collapsed="false">
      <c r="B2375" s="78"/>
      <c r="C2375" s="64"/>
      <c r="D2375" s="70" t="str">
        <f aca="false">IF(C2375="","",IFERROR(INDEX(T_NOMBRE,MATCH(C2375,T_ID,0)),"⚠ ID no existe"))</f>
        <v/>
      </c>
      <c r="E2375" s="69"/>
      <c r="F2375" s="69"/>
      <c r="G2375" s="69"/>
      <c r="H2375" s="69"/>
      <c r="I2375" s="66"/>
      <c r="J2375" s="69"/>
      <c r="K2375" s="67"/>
      <c r="L2375" s="67"/>
      <c r="M2375" s="67"/>
      <c r="N2375" s="67"/>
      <c r="O2375" s="64"/>
      <c r="P2375" s="72" t="str">
        <f aca="false">IF(OR(B2375="",C2375=""),"",C2375&amp;"|"&amp;(YEAR(B2375)*100+MONTH(B2375)))</f>
        <v/>
      </c>
      <c r="Q2375" s="70" t="str">
        <f aca="false">IF(P2375="","",IF(COUNTIF(N_CLAVE,P2375)&gt;1,"⚠ Duplicado","OK"))</f>
        <v/>
      </c>
      <c r="R2375" s="74" t="str">
        <f aca="false">IF(OR(P2375="",U2375=""),"",MAX(0,U2375-N(E2375)-N(F2375)-N(H2375)))</f>
        <v/>
      </c>
      <c r="S2375" s="75" t="str">
        <f aca="false">IF(P2375="","",IFERROR(INDEX(T_INGRESO,MATCH(C2375,T_ID,0)),""))</f>
        <v/>
      </c>
      <c r="T2375" s="75" t="str">
        <f aca="false">IF(P2375="","",IFERROR(N(INDEX(T_EGRESO,MATCH(C2375,T_ID,0))),0))</f>
        <v/>
      </c>
      <c r="U2375" s="73" t="str">
        <f aca="false">IF(OR(P2375="",NOT(ISNUMBER(S2375))),"",IF(OR(S2375&gt;EOMONTH(B2375,0),AND(T2375&gt;0,T2375&lt;B2375)),0,IF(AND(S2375&lt;=B2375,OR(T2375=0,T2375&gt;=EOMONTH(B2375,0))),30,MIN(30,IF(T2375=0,EOMONTH(B2375,0),MIN(T2375,EOMONTH(B2375,0)))-MAX(B2375,S2375)+1))))</f>
        <v/>
      </c>
    </row>
    <row r="2376" customFormat="false" ht="15" hidden="false" customHeight="false" outlineLevel="0" collapsed="false">
      <c r="B2376" s="78"/>
      <c r="C2376" s="64"/>
      <c r="D2376" s="70" t="str">
        <f aca="false">IF(C2376="","",IFERROR(INDEX(T_NOMBRE,MATCH(C2376,T_ID,0)),"⚠ ID no existe"))</f>
        <v/>
      </c>
      <c r="E2376" s="69"/>
      <c r="F2376" s="69"/>
      <c r="G2376" s="69"/>
      <c r="H2376" s="69"/>
      <c r="I2376" s="66"/>
      <c r="J2376" s="69"/>
      <c r="K2376" s="67"/>
      <c r="L2376" s="67"/>
      <c r="M2376" s="67"/>
      <c r="N2376" s="67"/>
      <c r="O2376" s="64"/>
      <c r="P2376" s="72" t="str">
        <f aca="false">IF(OR(B2376="",C2376=""),"",C2376&amp;"|"&amp;(YEAR(B2376)*100+MONTH(B2376)))</f>
        <v/>
      </c>
      <c r="Q2376" s="70" t="str">
        <f aca="false">IF(P2376="","",IF(COUNTIF(N_CLAVE,P2376)&gt;1,"⚠ Duplicado","OK"))</f>
        <v/>
      </c>
      <c r="R2376" s="74" t="str">
        <f aca="false">IF(OR(P2376="",U2376=""),"",MAX(0,U2376-N(E2376)-N(F2376)-N(H2376)))</f>
        <v/>
      </c>
      <c r="S2376" s="75" t="str">
        <f aca="false">IF(P2376="","",IFERROR(INDEX(T_INGRESO,MATCH(C2376,T_ID,0)),""))</f>
        <v/>
      </c>
      <c r="T2376" s="75" t="str">
        <f aca="false">IF(P2376="","",IFERROR(N(INDEX(T_EGRESO,MATCH(C2376,T_ID,0))),0))</f>
        <v/>
      </c>
      <c r="U2376" s="73" t="str">
        <f aca="false">IF(OR(P2376="",NOT(ISNUMBER(S2376))),"",IF(OR(S2376&gt;EOMONTH(B2376,0),AND(T2376&gt;0,T2376&lt;B2376)),0,IF(AND(S2376&lt;=B2376,OR(T2376=0,T2376&gt;=EOMONTH(B2376,0))),30,MIN(30,IF(T2376=0,EOMONTH(B2376,0),MIN(T2376,EOMONTH(B2376,0)))-MAX(B2376,S2376)+1))))</f>
        <v/>
      </c>
    </row>
    <row r="2377" customFormat="false" ht="15" hidden="false" customHeight="false" outlineLevel="0" collapsed="false">
      <c r="B2377" s="78"/>
      <c r="C2377" s="64"/>
      <c r="D2377" s="70" t="str">
        <f aca="false">IF(C2377="","",IFERROR(INDEX(T_NOMBRE,MATCH(C2377,T_ID,0)),"⚠ ID no existe"))</f>
        <v/>
      </c>
      <c r="E2377" s="69"/>
      <c r="F2377" s="69"/>
      <c r="G2377" s="69"/>
      <c r="H2377" s="69"/>
      <c r="I2377" s="66"/>
      <c r="J2377" s="69"/>
      <c r="K2377" s="67"/>
      <c r="L2377" s="67"/>
      <c r="M2377" s="67"/>
      <c r="N2377" s="67"/>
      <c r="O2377" s="64"/>
      <c r="P2377" s="72" t="str">
        <f aca="false">IF(OR(B2377="",C2377=""),"",C2377&amp;"|"&amp;(YEAR(B2377)*100+MONTH(B2377)))</f>
        <v/>
      </c>
      <c r="Q2377" s="70" t="str">
        <f aca="false">IF(P2377="","",IF(COUNTIF(N_CLAVE,P2377)&gt;1,"⚠ Duplicado","OK"))</f>
        <v/>
      </c>
      <c r="R2377" s="74" t="str">
        <f aca="false">IF(OR(P2377="",U2377=""),"",MAX(0,U2377-N(E2377)-N(F2377)-N(H2377)))</f>
        <v/>
      </c>
      <c r="S2377" s="75" t="str">
        <f aca="false">IF(P2377="","",IFERROR(INDEX(T_INGRESO,MATCH(C2377,T_ID,0)),""))</f>
        <v/>
      </c>
      <c r="T2377" s="75" t="str">
        <f aca="false">IF(P2377="","",IFERROR(N(INDEX(T_EGRESO,MATCH(C2377,T_ID,0))),0))</f>
        <v/>
      </c>
      <c r="U2377" s="73" t="str">
        <f aca="false">IF(OR(P2377="",NOT(ISNUMBER(S2377))),"",IF(OR(S2377&gt;EOMONTH(B2377,0),AND(T2377&gt;0,T2377&lt;B2377)),0,IF(AND(S2377&lt;=B2377,OR(T2377=0,T2377&gt;=EOMONTH(B2377,0))),30,MIN(30,IF(T2377=0,EOMONTH(B2377,0),MIN(T2377,EOMONTH(B2377,0)))-MAX(B2377,S2377)+1))))</f>
        <v/>
      </c>
    </row>
    <row r="2378" customFormat="false" ht="15" hidden="false" customHeight="false" outlineLevel="0" collapsed="false">
      <c r="B2378" s="78"/>
      <c r="C2378" s="64"/>
      <c r="D2378" s="70" t="str">
        <f aca="false">IF(C2378="","",IFERROR(INDEX(T_NOMBRE,MATCH(C2378,T_ID,0)),"⚠ ID no existe"))</f>
        <v/>
      </c>
      <c r="E2378" s="69"/>
      <c r="F2378" s="69"/>
      <c r="G2378" s="69"/>
      <c r="H2378" s="69"/>
      <c r="I2378" s="66"/>
      <c r="J2378" s="69"/>
      <c r="K2378" s="67"/>
      <c r="L2378" s="67"/>
      <c r="M2378" s="67"/>
      <c r="N2378" s="67"/>
      <c r="O2378" s="64"/>
      <c r="P2378" s="72" t="str">
        <f aca="false">IF(OR(B2378="",C2378=""),"",C2378&amp;"|"&amp;(YEAR(B2378)*100+MONTH(B2378)))</f>
        <v/>
      </c>
      <c r="Q2378" s="70" t="str">
        <f aca="false">IF(P2378="","",IF(COUNTIF(N_CLAVE,P2378)&gt;1,"⚠ Duplicado","OK"))</f>
        <v/>
      </c>
      <c r="R2378" s="74" t="str">
        <f aca="false">IF(OR(P2378="",U2378=""),"",MAX(0,U2378-N(E2378)-N(F2378)-N(H2378)))</f>
        <v/>
      </c>
      <c r="S2378" s="75" t="str">
        <f aca="false">IF(P2378="","",IFERROR(INDEX(T_INGRESO,MATCH(C2378,T_ID,0)),""))</f>
        <v/>
      </c>
      <c r="T2378" s="75" t="str">
        <f aca="false">IF(P2378="","",IFERROR(N(INDEX(T_EGRESO,MATCH(C2378,T_ID,0))),0))</f>
        <v/>
      </c>
      <c r="U2378" s="73" t="str">
        <f aca="false">IF(OR(P2378="",NOT(ISNUMBER(S2378))),"",IF(OR(S2378&gt;EOMONTH(B2378,0),AND(T2378&gt;0,T2378&lt;B2378)),0,IF(AND(S2378&lt;=B2378,OR(T2378=0,T2378&gt;=EOMONTH(B2378,0))),30,MIN(30,IF(T2378=0,EOMONTH(B2378,0),MIN(T2378,EOMONTH(B2378,0)))-MAX(B2378,S2378)+1))))</f>
        <v/>
      </c>
    </row>
    <row r="2379" customFormat="false" ht="15" hidden="false" customHeight="false" outlineLevel="0" collapsed="false">
      <c r="B2379" s="78"/>
      <c r="C2379" s="64"/>
      <c r="D2379" s="70" t="str">
        <f aca="false">IF(C2379="","",IFERROR(INDEX(T_NOMBRE,MATCH(C2379,T_ID,0)),"⚠ ID no existe"))</f>
        <v/>
      </c>
      <c r="E2379" s="69"/>
      <c r="F2379" s="69"/>
      <c r="G2379" s="69"/>
      <c r="H2379" s="69"/>
      <c r="I2379" s="66"/>
      <c r="J2379" s="69"/>
      <c r="K2379" s="67"/>
      <c r="L2379" s="67"/>
      <c r="M2379" s="67"/>
      <c r="N2379" s="67"/>
      <c r="O2379" s="64"/>
      <c r="P2379" s="72" t="str">
        <f aca="false">IF(OR(B2379="",C2379=""),"",C2379&amp;"|"&amp;(YEAR(B2379)*100+MONTH(B2379)))</f>
        <v/>
      </c>
      <c r="Q2379" s="70" t="str">
        <f aca="false">IF(P2379="","",IF(COUNTIF(N_CLAVE,P2379)&gt;1,"⚠ Duplicado","OK"))</f>
        <v/>
      </c>
      <c r="R2379" s="74" t="str">
        <f aca="false">IF(OR(P2379="",U2379=""),"",MAX(0,U2379-N(E2379)-N(F2379)-N(H2379)))</f>
        <v/>
      </c>
      <c r="S2379" s="75" t="str">
        <f aca="false">IF(P2379="","",IFERROR(INDEX(T_INGRESO,MATCH(C2379,T_ID,0)),""))</f>
        <v/>
      </c>
      <c r="T2379" s="75" t="str">
        <f aca="false">IF(P2379="","",IFERROR(N(INDEX(T_EGRESO,MATCH(C2379,T_ID,0))),0))</f>
        <v/>
      </c>
      <c r="U2379" s="73" t="str">
        <f aca="false">IF(OR(P2379="",NOT(ISNUMBER(S2379))),"",IF(OR(S2379&gt;EOMONTH(B2379,0),AND(T2379&gt;0,T2379&lt;B2379)),0,IF(AND(S2379&lt;=B2379,OR(T2379=0,T2379&gt;=EOMONTH(B2379,0))),30,MIN(30,IF(T2379=0,EOMONTH(B2379,0),MIN(T2379,EOMONTH(B2379,0)))-MAX(B2379,S2379)+1))))</f>
        <v/>
      </c>
    </row>
    <row r="2380" customFormat="false" ht="15" hidden="false" customHeight="false" outlineLevel="0" collapsed="false">
      <c r="B2380" s="78"/>
      <c r="C2380" s="64"/>
      <c r="D2380" s="70" t="str">
        <f aca="false">IF(C2380="","",IFERROR(INDEX(T_NOMBRE,MATCH(C2380,T_ID,0)),"⚠ ID no existe"))</f>
        <v/>
      </c>
      <c r="E2380" s="69"/>
      <c r="F2380" s="69"/>
      <c r="G2380" s="69"/>
      <c r="H2380" s="69"/>
      <c r="I2380" s="66"/>
      <c r="J2380" s="69"/>
      <c r="K2380" s="67"/>
      <c r="L2380" s="67"/>
      <c r="M2380" s="67"/>
      <c r="N2380" s="67"/>
      <c r="O2380" s="64"/>
      <c r="P2380" s="72" t="str">
        <f aca="false">IF(OR(B2380="",C2380=""),"",C2380&amp;"|"&amp;(YEAR(B2380)*100+MONTH(B2380)))</f>
        <v/>
      </c>
      <c r="Q2380" s="70" t="str">
        <f aca="false">IF(P2380="","",IF(COUNTIF(N_CLAVE,P2380)&gt;1,"⚠ Duplicado","OK"))</f>
        <v/>
      </c>
      <c r="R2380" s="74" t="str">
        <f aca="false">IF(OR(P2380="",U2380=""),"",MAX(0,U2380-N(E2380)-N(F2380)-N(H2380)))</f>
        <v/>
      </c>
      <c r="S2380" s="75" t="str">
        <f aca="false">IF(P2380="","",IFERROR(INDEX(T_INGRESO,MATCH(C2380,T_ID,0)),""))</f>
        <v/>
      </c>
      <c r="T2380" s="75" t="str">
        <f aca="false">IF(P2380="","",IFERROR(N(INDEX(T_EGRESO,MATCH(C2380,T_ID,0))),0))</f>
        <v/>
      </c>
      <c r="U2380" s="73" t="str">
        <f aca="false">IF(OR(P2380="",NOT(ISNUMBER(S2380))),"",IF(OR(S2380&gt;EOMONTH(B2380,0),AND(T2380&gt;0,T2380&lt;B2380)),0,IF(AND(S2380&lt;=B2380,OR(T2380=0,T2380&gt;=EOMONTH(B2380,0))),30,MIN(30,IF(T2380=0,EOMONTH(B2380,0),MIN(T2380,EOMONTH(B2380,0)))-MAX(B2380,S2380)+1))))</f>
        <v/>
      </c>
    </row>
    <row r="2381" customFormat="false" ht="15" hidden="false" customHeight="false" outlineLevel="0" collapsed="false">
      <c r="B2381" s="78"/>
      <c r="C2381" s="64"/>
      <c r="D2381" s="70" t="str">
        <f aca="false">IF(C2381="","",IFERROR(INDEX(T_NOMBRE,MATCH(C2381,T_ID,0)),"⚠ ID no existe"))</f>
        <v/>
      </c>
      <c r="E2381" s="69"/>
      <c r="F2381" s="69"/>
      <c r="G2381" s="69"/>
      <c r="H2381" s="69"/>
      <c r="I2381" s="66"/>
      <c r="J2381" s="69"/>
      <c r="K2381" s="67"/>
      <c r="L2381" s="67"/>
      <c r="M2381" s="67"/>
      <c r="N2381" s="67"/>
      <c r="O2381" s="64"/>
      <c r="P2381" s="72" t="str">
        <f aca="false">IF(OR(B2381="",C2381=""),"",C2381&amp;"|"&amp;(YEAR(B2381)*100+MONTH(B2381)))</f>
        <v/>
      </c>
      <c r="Q2381" s="70" t="str">
        <f aca="false">IF(P2381="","",IF(COUNTIF(N_CLAVE,P2381)&gt;1,"⚠ Duplicado","OK"))</f>
        <v/>
      </c>
      <c r="R2381" s="74" t="str">
        <f aca="false">IF(OR(P2381="",U2381=""),"",MAX(0,U2381-N(E2381)-N(F2381)-N(H2381)))</f>
        <v/>
      </c>
      <c r="S2381" s="75" t="str">
        <f aca="false">IF(P2381="","",IFERROR(INDEX(T_INGRESO,MATCH(C2381,T_ID,0)),""))</f>
        <v/>
      </c>
      <c r="T2381" s="75" t="str">
        <f aca="false">IF(P2381="","",IFERROR(N(INDEX(T_EGRESO,MATCH(C2381,T_ID,0))),0))</f>
        <v/>
      </c>
      <c r="U2381" s="73" t="str">
        <f aca="false">IF(OR(P2381="",NOT(ISNUMBER(S2381))),"",IF(OR(S2381&gt;EOMONTH(B2381,0),AND(T2381&gt;0,T2381&lt;B2381)),0,IF(AND(S2381&lt;=B2381,OR(T2381=0,T2381&gt;=EOMONTH(B2381,0))),30,MIN(30,IF(T2381=0,EOMONTH(B2381,0),MIN(T2381,EOMONTH(B2381,0)))-MAX(B2381,S2381)+1))))</f>
        <v/>
      </c>
    </row>
    <row r="2382" customFormat="false" ht="15" hidden="false" customHeight="false" outlineLevel="0" collapsed="false">
      <c r="B2382" s="78"/>
      <c r="C2382" s="64"/>
      <c r="D2382" s="70" t="str">
        <f aca="false">IF(C2382="","",IFERROR(INDEX(T_NOMBRE,MATCH(C2382,T_ID,0)),"⚠ ID no existe"))</f>
        <v/>
      </c>
      <c r="E2382" s="69"/>
      <c r="F2382" s="69"/>
      <c r="G2382" s="69"/>
      <c r="H2382" s="69"/>
      <c r="I2382" s="66"/>
      <c r="J2382" s="69"/>
      <c r="K2382" s="67"/>
      <c r="L2382" s="67"/>
      <c r="M2382" s="67"/>
      <c r="N2382" s="67"/>
      <c r="O2382" s="64"/>
      <c r="P2382" s="72" t="str">
        <f aca="false">IF(OR(B2382="",C2382=""),"",C2382&amp;"|"&amp;(YEAR(B2382)*100+MONTH(B2382)))</f>
        <v/>
      </c>
      <c r="Q2382" s="70" t="str">
        <f aca="false">IF(P2382="","",IF(COUNTIF(N_CLAVE,P2382)&gt;1,"⚠ Duplicado","OK"))</f>
        <v/>
      </c>
      <c r="R2382" s="74" t="str">
        <f aca="false">IF(OR(P2382="",U2382=""),"",MAX(0,U2382-N(E2382)-N(F2382)-N(H2382)))</f>
        <v/>
      </c>
      <c r="S2382" s="75" t="str">
        <f aca="false">IF(P2382="","",IFERROR(INDEX(T_INGRESO,MATCH(C2382,T_ID,0)),""))</f>
        <v/>
      </c>
      <c r="T2382" s="75" t="str">
        <f aca="false">IF(P2382="","",IFERROR(N(INDEX(T_EGRESO,MATCH(C2382,T_ID,0))),0))</f>
        <v/>
      </c>
      <c r="U2382" s="73" t="str">
        <f aca="false">IF(OR(P2382="",NOT(ISNUMBER(S2382))),"",IF(OR(S2382&gt;EOMONTH(B2382,0),AND(T2382&gt;0,T2382&lt;B2382)),0,IF(AND(S2382&lt;=B2382,OR(T2382=0,T2382&gt;=EOMONTH(B2382,0))),30,MIN(30,IF(T2382=0,EOMONTH(B2382,0),MIN(T2382,EOMONTH(B2382,0)))-MAX(B2382,S2382)+1))))</f>
        <v/>
      </c>
    </row>
    <row r="2383" customFormat="false" ht="15" hidden="false" customHeight="false" outlineLevel="0" collapsed="false">
      <c r="B2383" s="78"/>
      <c r="C2383" s="64"/>
      <c r="D2383" s="70" t="str">
        <f aca="false">IF(C2383="","",IFERROR(INDEX(T_NOMBRE,MATCH(C2383,T_ID,0)),"⚠ ID no existe"))</f>
        <v/>
      </c>
      <c r="E2383" s="69"/>
      <c r="F2383" s="69"/>
      <c r="G2383" s="69"/>
      <c r="H2383" s="69"/>
      <c r="I2383" s="66"/>
      <c r="J2383" s="69"/>
      <c r="K2383" s="67"/>
      <c r="L2383" s="67"/>
      <c r="M2383" s="67"/>
      <c r="N2383" s="67"/>
      <c r="O2383" s="64"/>
      <c r="P2383" s="72" t="str">
        <f aca="false">IF(OR(B2383="",C2383=""),"",C2383&amp;"|"&amp;(YEAR(B2383)*100+MONTH(B2383)))</f>
        <v/>
      </c>
      <c r="Q2383" s="70" t="str">
        <f aca="false">IF(P2383="","",IF(COUNTIF(N_CLAVE,P2383)&gt;1,"⚠ Duplicado","OK"))</f>
        <v/>
      </c>
      <c r="R2383" s="74" t="str">
        <f aca="false">IF(OR(P2383="",U2383=""),"",MAX(0,U2383-N(E2383)-N(F2383)-N(H2383)))</f>
        <v/>
      </c>
      <c r="S2383" s="75" t="str">
        <f aca="false">IF(P2383="","",IFERROR(INDEX(T_INGRESO,MATCH(C2383,T_ID,0)),""))</f>
        <v/>
      </c>
      <c r="T2383" s="75" t="str">
        <f aca="false">IF(P2383="","",IFERROR(N(INDEX(T_EGRESO,MATCH(C2383,T_ID,0))),0))</f>
        <v/>
      </c>
      <c r="U2383" s="73" t="str">
        <f aca="false">IF(OR(P2383="",NOT(ISNUMBER(S2383))),"",IF(OR(S2383&gt;EOMONTH(B2383,0),AND(T2383&gt;0,T2383&lt;B2383)),0,IF(AND(S2383&lt;=B2383,OR(T2383=0,T2383&gt;=EOMONTH(B2383,0))),30,MIN(30,IF(T2383=0,EOMONTH(B2383,0),MIN(T2383,EOMONTH(B2383,0)))-MAX(B2383,S2383)+1))))</f>
        <v/>
      </c>
    </row>
    <row r="2384" customFormat="false" ht="15" hidden="false" customHeight="false" outlineLevel="0" collapsed="false">
      <c r="B2384" s="78"/>
      <c r="C2384" s="64"/>
      <c r="D2384" s="70" t="str">
        <f aca="false">IF(C2384="","",IFERROR(INDEX(T_NOMBRE,MATCH(C2384,T_ID,0)),"⚠ ID no existe"))</f>
        <v/>
      </c>
      <c r="E2384" s="69"/>
      <c r="F2384" s="69"/>
      <c r="G2384" s="69"/>
      <c r="H2384" s="69"/>
      <c r="I2384" s="66"/>
      <c r="J2384" s="69"/>
      <c r="K2384" s="67"/>
      <c r="L2384" s="67"/>
      <c r="M2384" s="67"/>
      <c r="N2384" s="67"/>
      <c r="O2384" s="64"/>
      <c r="P2384" s="72" t="str">
        <f aca="false">IF(OR(B2384="",C2384=""),"",C2384&amp;"|"&amp;(YEAR(B2384)*100+MONTH(B2384)))</f>
        <v/>
      </c>
      <c r="Q2384" s="70" t="str">
        <f aca="false">IF(P2384="","",IF(COUNTIF(N_CLAVE,P2384)&gt;1,"⚠ Duplicado","OK"))</f>
        <v/>
      </c>
      <c r="R2384" s="74" t="str">
        <f aca="false">IF(OR(P2384="",U2384=""),"",MAX(0,U2384-N(E2384)-N(F2384)-N(H2384)))</f>
        <v/>
      </c>
      <c r="S2384" s="75" t="str">
        <f aca="false">IF(P2384="","",IFERROR(INDEX(T_INGRESO,MATCH(C2384,T_ID,0)),""))</f>
        <v/>
      </c>
      <c r="T2384" s="75" t="str">
        <f aca="false">IF(P2384="","",IFERROR(N(INDEX(T_EGRESO,MATCH(C2384,T_ID,0))),0))</f>
        <v/>
      </c>
      <c r="U2384" s="73" t="str">
        <f aca="false">IF(OR(P2384="",NOT(ISNUMBER(S2384))),"",IF(OR(S2384&gt;EOMONTH(B2384,0),AND(T2384&gt;0,T2384&lt;B2384)),0,IF(AND(S2384&lt;=B2384,OR(T2384=0,T2384&gt;=EOMONTH(B2384,0))),30,MIN(30,IF(T2384=0,EOMONTH(B2384,0),MIN(T2384,EOMONTH(B2384,0)))-MAX(B2384,S2384)+1))))</f>
        <v/>
      </c>
    </row>
    <row r="2385" customFormat="false" ht="15" hidden="false" customHeight="false" outlineLevel="0" collapsed="false">
      <c r="B2385" s="78"/>
      <c r="C2385" s="64"/>
      <c r="D2385" s="70" t="str">
        <f aca="false">IF(C2385="","",IFERROR(INDEX(T_NOMBRE,MATCH(C2385,T_ID,0)),"⚠ ID no existe"))</f>
        <v/>
      </c>
      <c r="E2385" s="69"/>
      <c r="F2385" s="69"/>
      <c r="G2385" s="69"/>
      <c r="H2385" s="69"/>
      <c r="I2385" s="66"/>
      <c r="J2385" s="69"/>
      <c r="K2385" s="67"/>
      <c r="L2385" s="67"/>
      <c r="M2385" s="67"/>
      <c r="N2385" s="67"/>
      <c r="O2385" s="64"/>
      <c r="P2385" s="72" t="str">
        <f aca="false">IF(OR(B2385="",C2385=""),"",C2385&amp;"|"&amp;(YEAR(B2385)*100+MONTH(B2385)))</f>
        <v/>
      </c>
      <c r="Q2385" s="70" t="str">
        <f aca="false">IF(P2385="","",IF(COUNTIF(N_CLAVE,P2385)&gt;1,"⚠ Duplicado","OK"))</f>
        <v/>
      </c>
      <c r="R2385" s="74" t="str">
        <f aca="false">IF(OR(P2385="",U2385=""),"",MAX(0,U2385-N(E2385)-N(F2385)-N(H2385)))</f>
        <v/>
      </c>
      <c r="S2385" s="75" t="str">
        <f aca="false">IF(P2385="","",IFERROR(INDEX(T_INGRESO,MATCH(C2385,T_ID,0)),""))</f>
        <v/>
      </c>
      <c r="T2385" s="75" t="str">
        <f aca="false">IF(P2385="","",IFERROR(N(INDEX(T_EGRESO,MATCH(C2385,T_ID,0))),0))</f>
        <v/>
      </c>
      <c r="U2385" s="73" t="str">
        <f aca="false">IF(OR(P2385="",NOT(ISNUMBER(S2385))),"",IF(OR(S2385&gt;EOMONTH(B2385,0),AND(T2385&gt;0,T2385&lt;B2385)),0,IF(AND(S2385&lt;=B2385,OR(T2385=0,T2385&gt;=EOMONTH(B2385,0))),30,MIN(30,IF(T2385=0,EOMONTH(B2385,0),MIN(T2385,EOMONTH(B2385,0)))-MAX(B2385,S2385)+1))))</f>
        <v/>
      </c>
    </row>
    <row r="2386" customFormat="false" ht="15" hidden="false" customHeight="false" outlineLevel="0" collapsed="false">
      <c r="B2386" s="78"/>
      <c r="C2386" s="64"/>
      <c r="D2386" s="70" t="str">
        <f aca="false">IF(C2386="","",IFERROR(INDEX(T_NOMBRE,MATCH(C2386,T_ID,0)),"⚠ ID no existe"))</f>
        <v/>
      </c>
      <c r="E2386" s="69"/>
      <c r="F2386" s="69"/>
      <c r="G2386" s="69"/>
      <c r="H2386" s="69"/>
      <c r="I2386" s="66"/>
      <c r="J2386" s="69"/>
      <c r="K2386" s="67"/>
      <c r="L2386" s="67"/>
      <c r="M2386" s="67"/>
      <c r="N2386" s="67"/>
      <c r="O2386" s="64"/>
      <c r="P2386" s="72" t="str">
        <f aca="false">IF(OR(B2386="",C2386=""),"",C2386&amp;"|"&amp;(YEAR(B2386)*100+MONTH(B2386)))</f>
        <v/>
      </c>
      <c r="Q2386" s="70" t="str">
        <f aca="false">IF(P2386="","",IF(COUNTIF(N_CLAVE,P2386)&gt;1,"⚠ Duplicado","OK"))</f>
        <v/>
      </c>
      <c r="R2386" s="74" t="str">
        <f aca="false">IF(OR(P2386="",U2386=""),"",MAX(0,U2386-N(E2386)-N(F2386)-N(H2386)))</f>
        <v/>
      </c>
      <c r="S2386" s="75" t="str">
        <f aca="false">IF(P2386="","",IFERROR(INDEX(T_INGRESO,MATCH(C2386,T_ID,0)),""))</f>
        <v/>
      </c>
      <c r="T2386" s="75" t="str">
        <f aca="false">IF(P2386="","",IFERROR(N(INDEX(T_EGRESO,MATCH(C2386,T_ID,0))),0))</f>
        <v/>
      </c>
      <c r="U2386" s="73" t="str">
        <f aca="false">IF(OR(P2386="",NOT(ISNUMBER(S2386))),"",IF(OR(S2386&gt;EOMONTH(B2386,0),AND(T2386&gt;0,T2386&lt;B2386)),0,IF(AND(S2386&lt;=B2386,OR(T2386=0,T2386&gt;=EOMONTH(B2386,0))),30,MIN(30,IF(T2386=0,EOMONTH(B2386,0),MIN(T2386,EOMONTH(B2386,0)))-MAX(B2386,S2386)+1))))</f>
        <v/>
      </c>
    </row>
    <row r="2387" customFormat="false" ht="15" hidden="false" customHeight="false" outlineLevel="0" collapsed="false">
      <c r="B2387" s="78"/>
      <c r="C2387" s="64"/>
      <c r="D2387" s="70" t="str">
        <f aca="false">IF(C2387="","",IFERROR(INDEX(T_NOMBRE,MATCH(C2387,T_ID,0)),"⚠ ID no existe"))</f>
        <v/>
      </c>
      <c r="E2387" s="69"/>
      <c r="F2387" s="69"/>
      <c r="G2387" s="69"/>
      <c r="H2387" s="69"/>
      <c r="I2387" s="66"/>
      <c r="J2387" s="69"/>
      <c r="K2387" s="67"/>
      <c r="L2387" s="67"/>
      <c r="M2387" s="67"/>
      <c r="N2387" s="67"/>
      <c r="O2387" s="64"/>
      <c r="P2387" s="72" t="str">
        <f aca="false">IF(OR(B2387="",C2387=""),"",C2387&amp;"|"&amp;(YEAR(B2387)*100+MONTH(B2387)))</f>
        <v/>
      </c>
      <c r="Q2387" s="70" t="str">
        <f aca="false">IF(P2387="","",IF(COUNTIF(N_CLAVE,P2387)&gt;1,"⚠ Duplicado","OK"))</f>
        <v/>
      </c>
      <c r="R2387" s="74" t="str">
        <f aca="false">IF(OR(P2387="",U2387=""),"",MAX(0,U2387-N(E2387)-N(F2387)-N(H2387)))</f>
        <v/>
      </c>
      <c r="S2387" s="75" t="str">
        <f aca="false">IF(P2387="","",IFERROR(INDEX(T_INGRESO,MATCH(C2387,T_ID,0)),""))</f>
        <v/>
      </c>
      <c r="T2387" s="75" t="str">
        <f aca="false">IF(P2387="","",IFERROR(N(INDEX(T_EGRESO,MATCH(C2387,T_ID,0))),0))</f>
        <v/>
      </c>
      <c r="U2387" s="73" t="str">
        <f aca="false">IF(OR(P2387="",NOT(ISNUMBER(S2387))),"",IF(OR(S2387&gt;EOMONTH(B2387,0),AND(T2387&gt;0,T2387&lt;B2387)),0,IF(AND(S2387&lt;=B2387,OR(T2387=0,T2387&gt;=EOMONTH(B2387,0))),30,MIN(30,IF(T2387=0,EOMONTH(B2387,0),MIN(T2387,EOMONTH(B2387,0)))-MAX(B2387,S2387)+1))))</f>
        <v/>
      </c>
    </row>
    <row r="2388" customFormat="false" ht="15" hidden="false" customHeight="false" outlineLevel="0" collapsed="false">
      <c r="B2388" s="78"/>
      <c r="C2388" s="64"/>
      <c r="D2388" s="70" t="str">
        <f aca="false">IF(C2388="","",IFERROR(INDEX(T_NOMBRE,MATCH(C2388,T_ID,0)),"⚠ ID no existe"))</f>
        <v/>
      </c>
      <c r="E2388" s="69"/>
      <c r="F2388" s="69"/>
      <c r="G2388" s="69"/>
      <c r="H2388" s="69"/>
      <c r="I2388" s="66"/>
      <c r="J2388" s="69"/>
      <c r="K2388" s="67"/>
      <c r="L2388" s="67"/>
      <c r="M2388" s="67"/>
      <c r="N2388" s="67"/>
      <c r="O2388" s="64"/>
      <c r="P2388" s="72" t="str">
        <f aca="false">IF(OR(B2388="",C2388=""),"",C2388&amp;"|"&amp;(YEAR(B2388)*100+MONTH(B2388)))</f>
        <v/>
      </c>
      <c r="Q2388" s="70" t="str">
        <f aca="false">IF(P2388="","",IF(COUNTIF(N_CLAVE,P2388)&gt;1,"⚠ Duplicado","OK"))</f>
        <v/>
      </c>
      <c r="R2388" s="74" t="str">
        <f aca="false">IF(OR(P2388="",U2388=""),"",MAX(0,U2388-N(E2388)-N(F2388)-N(H2388)))</f>
        <v/>
      </c>
      <c r="S2388" s="75" t="str">
        <f aca="false">IF(P2388="","",IFERROR(INDEX(T_INGRESO,MATCH(C2388,T_ID,0)),""))</f>
        <v/>
      </c>
      <c r="T2388" s="75" t="str">
        <f aca="false">IF(P2388="","",IFERROR(N(INDEX(T_EGRESO,MATCH(C2388,T_ID,0))),0))</f>
        <v/>
      </c>
      <c r="U2388" s="73" t="str">
        <f aca="false">IF(OR(P2388="",NOT(ISNUMBER(S2388))),"",IF(OR(S2388&gt;EOMONTH(B2388,0),AND(T2388&gt;0,T2388&lt;B2388)),0,IF(AND(S2388&lt;=B2388,OR(T2388=0,T2388&gt;=EOMONTH(B2388,0))),30,MIN(30,IF(T2388=0,EOMONTH(B2388,0),MIN(T2388,EOMONTH(B2388,0)))-MAX(B2388,S2388)+1))))</f>
        <v/>
      </c>
    </row>
    <row r="2389" customFormat="false" ht="15" hidden="false" customHeight="false" outlineLevel="0" collapsed="false">
      <c r="B2389" s="78"/>
      <c r="C2389" s="64"/>
      <c r="D2389" s="70" t="str">
        <f aca="false">IF(C2389="","",IFERROR(INDEX(T_NOMBRE,MATCH(C2389,T_ID,0)),"⚠ ID no existe"))</f>
        <v/>
      </c>
      <c r="E2389" s="69"/>
      <c r="F2389" s="69"/>
      <c r="G2389" s="69"/>
      <c r="H2389" s="69"/>
      <c r="I2389" s="66"/>
      <c r="J2389" s="69"/>
      <c r="K2389" s="67"/>
      <c r="L2389" s="67"/>
      <c r="M2389" s="67"/>
      <c r="N2389" s="67"/>
      <c r="O2389" s="64"/>
      <c r="P2389" s="72" t="str">
        <f aca="false">IF(OR(B2389="",C2389=""),"",C2389&amp;"|"&amp;(YEAR(B2389)*100+MONTH(B2389)))</f>
        <v/>
      </c>
      <c r="Q2389" s="70" t="str">
        <f aca="false">IF(P2389="","",IF(COUNTIF(N_CLAVE,P2389)&gt;1,"⚠ Duplicado","OK"))</f>
        <v/>
      </c>
      <c r="R2389" s="74" t="str">
        <f aca="false">IF(OR(P2389="",U2389=""),"",MAX(0,U2389-N(E2389)-N(F2389)-N(H2389)))</f>
        <v/>
      </c>
      <c r="S2389" s="75" t="str">
        <f aca="false">IF(P2389="","",IFERROR(INDEX(T_INGRESO,MATCH(C2389,T_ID,0)),""))</f>
        <v/>
      </c>
      <c r="T2389" s="75" t="str">
        <f aca="false">IF(P2389="","",IFERROR(N(INDEX(T_EGRESO,MATCH(C2389,T_ID,0))),0))</f>
        <v/>
      </c>
      <c r="U2389" s="73" t="str">
        <f aca="false">IF(OR(P2389="",NOT(ISNUMBER(S2389))),"",IF(OR(S2389&gt;EOMONTH(B2389,0),AND(T2389&gt;0,T2389&lt;B2389)),0,IF(AND(S2389&lt;=B2389,OR(T2389=0,T2389&gt;=EOMONTH(B2389,0))),30,MIN(30,IF(T2389=0,EOMONTH(B2389,0),MIN(T2389,EOMONTH(B2389,0)))-MAX(B2389,S2389)+1))))</f>
        <v/>
      </c>
    </row>
    <row r="2390" customFormat="false" ht="15" hidden="false" customHeight="false" outlineLevel="0" collapsed="false">
      <c r="B2390" s="78"/>
      <c r="C2390" s="64"/>
      <c r="D2390" s="70" t="str">
        <f aca="false">IF(C2390="","",IFERROR(INDEX(T_NOMBRE,MATCH(C2390,T_ID,0)),"⚠ ID no existe"))</f>
        <v/>
      </c>
      <c r="E2390" s="69"/>
      <c r="F2390" s="69"/>
      <c r="G2390" s="69"/>
      <c r="H2390" s="69"/>
      <c r="I2390" s="66"/>
      <c r="J2390" s="69"/>
      <c r="K2390" s="67"/>
      <c r="L2390" s="67"/>
      <c r="M2390" s="67"/>
      <c r="N2390" s="67"/>
      <c r="O2390" s="64"/>
      <c r="P2390" s="72" t="str">
        <f aca="false">IF(OR(B2390="",C2390=""),"",C2390&amp;"|"&amp;(YEAR(B2390)*100+MONTH(B2390)))</f>
        <v/>
      </c>
      <c r="Q2390" s="70" t="str">
        <f aca="false">IF(P2390="","",IF(COUNTIF(N_CLAVE,P2390)&gt;1,"⚠ Duplicado","OK"))</f>
        <v/>
      </c>
      <c r="R2390" s="74" t="str">
        <f aca="false">IF(OR(P2390="",U2390=""),"",MAX(0,U2390-N(E2390)-N(F2390)-N(H2390)))</f>
        <v/>
      </c>
      <c r="S2390" s="75" t="str">
        <f aca="false">IF(P2390="","",IFERROR(INDEX(T_INGRESO,MATCH(C2390,T_ID,0)),""))</f>
        <v/>
      </c>
      <c r="T2390" s="75" t="str">
        <f aca="false">IF(P2390="","",IFERROR(N(INDEX(T_EGRESO,MATCH(C2390,T_ID,0))),0))</f>
        <v/>
      </c>
      <c r="U2390" s="73" t="str">
        <f aca="false">IF(OR(P2390="",NOT(ISNUMBER(S2390))),"",IF(OR(S2390&gt;EOMONTH(B2390,0),AND(T2390&gt;0,T2390&lt;B2390)),0,IF(AND(S2390&lt;=B2390,OR(T2390=0,T2390&gt;=EOMONTH(B2390,0))),30,MIN(30,IF(T2390=0,EOMONTH(B2390,0),MIN(T2390,EOMONTH(B2390,0)))-MAX(B2390,S2390)+1))))</f>
        <v/>
      </c>
    </row>
    <row r="2391" customFormat="false" ht="15" hidden="false" customHeight="false" outlineLevel="0" collapsed="false">
      <c r="B2391" s="78"/>
      <c r="C2391" s="64"/>
      <c r="D2391" s="70" t="str">
        <f aca="false">IF(C2391="","",IFERROR(INDEX(T_NOMBRE,MATCH(C2391,T_ID,0)),"⚠ ID no existe"))</f>
        <v/>
      </c>
      <c r="E2391" s="69"/>
      <c r="F2391" s="69"/>
      <c r="G2391" s="69"/>
      <c r="H2391" s="69"/>
      <c r="I2391" s="66"/>
      <c r="J2391" s="69"/>
      <c r="K2391" s="67"/>
      <c r="L2391" s="67"/>
      <c r="M2391" s="67"/>
      <c r="N2391" s="67"/>
      <c r="O2391" s="64"/>
      <c r="P2391" s="72" t="str">
        <f aca="false">IF(OR(B2391="",C2391=""),"",C2391&amp;"|"&amp;(YEAR(B2391)*100+MONTH(B2391)))</f>
        <v/>
      </c>
      <c r="Q2391" s="70" t="str">
        <f aca="false">IF(P2391="","",IF(COUNTIF(N_CLAVE,P2391)&gt;1,"⚠ Duplicado","OK"))</f>
        <v/>
      </c>
      <c r="R2391" s="74" t="str">
        <f aca="false">IF(OR(P2391="",U2391=""),"",MAX(0,U2391-N(E2391)-N(F2391)-N(H2391)))</f>
        <v/>
      </c>
      <c r="S2391" s="75" t="str">
        <f aca="false">IF(P2391="","",IFERROR(INDEX(T_INGRESO,MATCH(C2391,T_ID,0)),""))</f>
        <v/>
      </c>
      <c r="T2391" s="75" t="str">
        <f aca="false">IF(P2391="","",IFERROR(N(INDEX(T_EGRESO,MATCH(C2391,T_ID,0))),0))</f>
        <v/>
      </c>
      <c r="U2391" s="73" t="str">
        <f aca="false">IF(OR(P2391="",NOT(ISNUMBER(S2391))),"",IF(OR(S2391&gt;EOMONTH(B2391,0),AND(T2391&gt;0,T2391&lt;B2391)),0,IF(AND(S2391&lt;=B2391,OR(T2391=0,T2391&gt;=EOMONTH(B2391,0))),30,MIN(30,IF(T2391=0,EOMONTH(B2391,0),MIN(T2391,EOMONTH(B2391,0)))-MAX(B2391,S2391)+1))))</f>
        <v/>
      </c>
    </row>
    <row r="2392" customFormat="false" ht="15" hidden="false" customHeight="false" outlineLevel="0" collapsed="false">
      <c r="B2392" s="78"/>
      <c r="C2392" s="64"/>
      <c r="D2392" s="70" t="str">
        <f aca="false">IF(C2392="","",IFERROR(INDEX(T_NOMBRE,MATCH(C2392,T_ID,0)),"⚠ ID no existe"))</f>
        <v/>
      </c>
      <c r="E2392" s="69"/>
      <c r="F2392" s="69"/>
      <c r="G2392" s="69"/>
      <c r="H2392" s="69"/>
      <c r="I2392" s="66"/>
      <c r="J2392" s="69"/>
      <c r="K2392" s="67"/>
      <c r="L2392" s="67"/>
      <c r="M2392" s="67"/>
      <c r="N2392" s="67"/>
      <c r="O2392" s="64"/>
      <c r="P2392" s="72" t="str">
        <f aca="false">IF(OR(B2392="",C2392=""),"",C2392&amp;"|"&amp;(YEAR(B2392)*100+MONTH(B2392)))</f>
        <v/>
      </c>
      <c r="Q2392" s="70" t="str">
        <f aca="false">IF(P2392="","",IF(COUNTIF(N_CLAVE,P2392)&gt;1,"⚠ Duplicado","OK"))</f>
        <v/>
      </c>
      <c r="R2392" s="74" t="str">
        <f aca="false">IF(OR(P2392="",U2392=""),"",MAX(0,U2392-N(E2392)-N(F2392)-N(H2392)))</f>
        <v/>
      </c>
      <c r="S2392" s="75" t="str">
        <f aca="false">IF(P2392="","",IFERROR(INDEX(T_INGRESO,MATCH(C2392,T_ID,0)),""))</f>
        <v/>
      </c>
      <c r="T2392" s="75" t="str">
        <f aca="false">IF(P2392="","",IFERROR(N(INDEX(T_EGRESO,MATCH(C2392,T_ID,0))),0))</f>
        <v/>
      </c>
      <c r="U2392" s="73" t="str">
        <f aca="false">IF(OR(P2392="",NOT(ISNUMBER(S2392))),"",IF(OR(S2392&gt;EOMONTH(B2392,0),AND(T2392&gt;0,T2392&lt;B2392)),0,IF(AND(S2392&lt;=B2392,OR(T2392=0,T2392&gt;=EOMONTH(B2392,0))),30,MIN(30,IF(T2392=0,EOMONTH(B2392,0),MIN(T2392,EOMONTH(B2392,0)))-MAX(B2392,S2392)+1))))</f>
        <v/>
      </c>
    </row>
    <row r="2393" customFormat="false" ht="15" hidden="false" customHeight="false" outlineLevel="0" collapsed="false">
      <c r="B2393" s="78"/>
      <c r="C2393" s="64"/>
      <c r="D2393" s="70" t="str">
        <f aca="false">IF(C2393="","",IFERROR(INDEX(T_NOMBRE,MATCH(C2393,T_ID,0)),"⚠ ID no existe"))</f>
        <v/>
      </c>
      <c r="E2393" s="69"/>
      <c r="F2393" s="69"/>
      <c r="G2393" s="69"/>
      <c r="H2393" s="69"/>
      <c r="I2393" s="66"/>
      <c r="J2393" s="69"/>
      <c r="K2393" s="67"/>
      <c r="L2393" s="67"/>
      <c r="M2393" s="67"/>
      <c r="N2393" s="67"/>
      <c r="O2393" s="64"/>
      <c r="P2393" s="72" t="str">
        <f aca="false">IF(OR(B2393="",C2393=""),"",C2393&amp;"|"&amp;(YEAR(B2393)*100+MONTH(B2393)))</f>
        <v/>
      </c>
      <c r="Q2393" s="70" t="str">
        <f aca="false">IF(P2393="","",IF(COUNTIF(N_CLAVE,P2393)&gt;1,"⚠ Duplicado","OK"))</f>
        <v/>
      </c>
      <c r="R2393" s="74" t="str">
        <f aca="false">IF(OR(P2393="",U2393=""),"",MAX(0,U2393-N(E2393)-N(F2393)-N(H2393)))</f>
        <v/>
      </c>
      <c r="S2393" s="75" t="str">
        <f aca="false">IF(P2393="","",IFERROR(INDEX(T_INGRESO,MATCH(C2393,T_ID,0)),""))</f>
        <v/>
      </c>
      <c r="T2393" s="75" t="str">
        <f aca="false">IF(P2393="","",IFERROR(N(INDEX(T_EGRESO,MATCH(C2393,T_ID,0))),0))</f>
        <v/>
      </c>
      <c r="U2393" s="73" t="str">
        <f aca="false">IF(OR(P2393="",NOT(ISNUMBER(S2393))),"",IF(OR(S2393&gt;EOMONTH(B2393,0),AND(T2393&gt;0,T2393&lt;B2393)),0,IF(AND(S2393&lt;=B2393,OR(T2393=0,T2393&gt;=EOMONTH(B2393,0))),30,MIN(30,IF(T2393=0,EOMONTH(B2393,0),MIN(T2393,EOMONTH(B2393,0)))-MAX(B2393,S2393)+1))))</f>
        <v/>
      </c>
    </row>
    <row r="2394" customFormat="false" ht="15" hidden="false" customHeight="false" outlineLevel="0" collapsed="false">
      <c r="B2394" s="78"/>
      <c r="C2394" s="64"/>
      <c r="D2394" s="70" t="str">
        <f aca="false">IF(C2394="","",IFERROR(INDEX(T_NOMBRE,MATCH(C2394,T_ID,0)),"⚠ ID no existe"))</f>
        <v/>
      </c>
      <c r="E2394" s="69"/>
      <c r="F2394" s="69"/>
      <c r="G2394" s="69"/>
      <c r="H2394" s="69"/>
      <c r="I2394" s="66"/>
      <c r="J2394" s="69"/>
      <c r="K2394" s="67"/>
      <c r="L2394" s="67"/>
      <c r="M2394" s="67"/>
      <c r="N2394" s="67"/>
      <c r="O2394" s="64"/>
      <c r="P2394" s="72" t="str">
        <f aca="false">IF(OR(B2394="",C2394=""),"",C2394&amp;"|"&amp;(YEAR(B2394)*100+MONTH(B2394)))</f>
        <v/>
      </c>
      <c r="Q2394" s="70" t="str">
        <f aca="false">IF(P2394="","",IF(COUNTIF(N_CLAVE,P2394)&gt;1,"⚠ Duplicado","OK"))</f>
        <v/>
      </c>
      <c r="R2394" s="74" t="str">
        <f aca="false">IF(OR(P2394="",U2394=""),"",MAX(0,U2394-N(E2394)-N(F2394)-N(H2394)))</f>
        <v/>
      </c>
      <c r="S2394" s="75" t="str">
        <f aca="false">IF(P2394="","",IFERROR(INDEX(T_INGRESO,MATCH(C2394,T_ID,0)),""))</f>
        <v/>
      </c>
      <c r="T2394" s="75" t="str">
        <f aca="false">IF(P2394="","",IFERROR(N(INDEX(T_EGRESO,MATCH(C2394,T_ID,0))),0))</f>
        <v/>
      </c>
      <c r="U2394" s="73" t="str">
        <f aca="false">IF(OR(P2394="",NOT(ISNUMBER(S2394))),"",IF(OR(S2394&gt;EOMONTH(B2394,0),AND(T2394&gt;0,T2394&lt;B2394)),0,IF(AND(S2394&lt;=B2394,OR(T2394=0,T2394&gt;=EOMONTH(B2394,0))),30,MIN(30,IF(T2394=0,EOMONTH(B2394,0),MIN(T2394,EOMONTH(B2394,0)))-MAX(B2394,S2394)+1))))</f>
        <v/>
      </c>
    </row>
    <row r="2395" customFormat="false" ht="15" hidden="false" customHeight="false" outlineLevel="0" collapsed="false">
      <c r="B2395" s="78"/>
      <c r="C2395" s="64"/>
      <c r="D2395" s="70" t="str">
        <f aca="false">IF(C2395="","",IFERROR(INDEX(T_NOMBRE,MATCH(C2395,T_ID,0)),"⚠ ID no existe"))</f>
        <v/>
      </c>
      <c r="E2395" s="69"/>
      <c r="F2395" s="69"/>
      <c r="G2395" s="69"/>
      <c r="H2395" s="69"/>
      <c r="I2395" s="66"/>
      <c r="J2395" s="69"/>
      <c r="K2395" s="67"/>
      <c r="L2395" s="67"/>
      <c r="M2395" s="67"/>
      <c r="N2395" s="67"/>
      <c r="O2395" s="64"/>
      <c r="P2395" s="72" t="str">
        <f aca="false">IF(OR(B2395="",C2395=""),"",C2395&amp;"|"&amp;(YEAR(B2395)*100+MONTH(B2395)))</f>
        <v/>
      </c>
      <c r="Q2395" s="70" t="str">
        <f aca="false">IF(P2395="","",IF(COUNTIF(N_CLAVE,P2395)&gt;1,"⚠ Duplicado","OK"))</f>
        <v/>
      </c>
      <c r="R2395" s="74" t="str">
        <f aca="false">IF(OR(P2395="",U2395=""),"",MAX(0,U2395-N(E2395)-N(F2395)-N(H2395)))</f>
        <v/>
      </c>
      <c r="S2395" s="75" t="str">
        <f aca="false">IF(P2395="","",IFERROR(INDEX(T_INGRESO,MATCH(C2395,T_ID,0)),""))</f>
        <v/>
      </c>
      <c r="T2395" s="75" t="str">
        <f aca="false">IF(P2395="","",IFERROR(N(INDEX(T_EGRESO,MATCH(C2395,T_ID,0))),0))</f>
        <v/>
      </c>
      <c r="U2395" s="73" t="str">
        <f aca="false">IF(OR(P2395="",NOT(ISNUMBER(S2395))),"",IF(OR(S2395&gt;EOMONTH(B2395,0),AND(T2395&gt;0,T2395&lt;B2395)),0,IF(AND(S2395&lt;=B2395,OR(T2395=0,T2395&gt;=EOMONTH(B2395,0))),30,MIN(30,IF(T2395=0,EOMONTH(B2395,0),MIN(T2395,EOMONTH(B2395,0)))-MAX(B2395,S2395)+1))))</f>
        <v/>
      </c>
    </row>
    <row r="2396" customFormat="false" ht="15" hidden="false" customHeight="false" outlineLevel="0" collapsed="false">
      <c r="B2396" s="78"/>
      <c r="C2396" s="64"/>
      <c r="D2396" s="70" t="str">
        <f aca="false">IF(C2396="","",IFERROR(INDEX(T_NOMBRE,MATCH(C2396,T_ID,0)),"⚠ ID no existe"))</f>
        <v/>
      </c>
      <c r="E2396" s="69"/>
      <c r="F2396" s="69"/>
      <c r="G2396" s="69"/>
      <c r="H2396" s="69"/>
      <c r="I2396" s="66"/>
      <c r="J2396" s="69"/>
      <c r="K2396" s="67"/>
      <c r="L2396" s="67"/>
      <c r="M2396" s="67"/>
      <c r="N2396" s="67"/>
      <c r="O2396" s="64"/>
      <c r="P2396" s="72" t="str">
        <f aca="false">IF(OR(B2396="",C2396=""),"",C2396&amp;"|"&amp;(YEAR(B2396)*100+MONTH(B2396)))</f>
        <v/>
      </c>
      <c r="Q2396" s="70" t="str">
        <f aca="false">IF(P2396="","",IF(COUNTIF(N_CLAVE,P2396)&gt;1,"⚠ Duplicado","OK"))</f>
        <v/>
      </c>
      <c r="R2396" s="74" t="str">
        <f aca="false">IF(OR(P2396="",U2396=""),"",MAX(0,U2396-N(E2396)-N(F2396)-N(H2396)))</f>
        <v/>
      </c>
      <c r="S2396" s="75" t="str">
        <f aca="false">IF(P2396="","",IFERROR(INDEX(T_INGRESO,MATCH(C2396,T_ID,0)),""))</f>
        <v/>
      </c>
      <c r="T2396" s="75" t="str">
        <f aca="false">IF(P2396="","",IFERROR(N(INDEX(T_EGRESO,MATCH(C2396,T_ID,0))),0))</f>
        <v/>
      </c>
      <c r="U2396" s="73" t="str">
        <f aca="false">IF(OR(P2396="",NOT(ISNUMBER(S2396))),"",IF(OR(S2396&gt;EOMONTH(B2396,0),AND(T2396&gt;0,T2396&lt;B2396)),0,IF(AND(S2396&lt;=B2396,OR(T2396=0,T2396&gt;=EOMONTH(B2396,0))),30,MIN(30,IF(T2396=0,EOMONTH(B2396,0),MIN(T2396,EOMONTH(B2396,0)))-MAX(B2396,S2396)+1))))</f>
        <v/>
      </c>
    </row>
    <row r="2397" customFormat="false" ht="15" hidden="false" customHeight="false" outlineLevel="0" collapsed="false">
      <c r="B2397" s="78"/>
      <c r="C2397" s="64"/>
      <c r="D2397" s="70" t="str">
        <f aca="false">IF(C2397="","",IFERROR(INDEX(T_NOMBRE,MATCH(C2397,T_ID,0)),"⚠ ID no existe"))</f>
        <v/>
      </c>
      <c r="E2397" s="69"/>
      <c r="F2397" s="69"/>
      <c r="G2397" s="69"/>
      <c r="H2397" s="69"/>
      <c r="I2397" s="66"/>
      <c r="J2397" s="69"/>
      <c r="K2397" s="67"/>
      <c r="L2397" s="67"/>
      <c r="M2397" s="67"/>
      <c r="N2397" s="67"/>
      <c r="O2397" s="64"/>
      <c r="P2397" s="72" t="str">
        <f aca="false">IF(OR(B2397="",C2397=""),"",C2397&amp;"|"&amp;(YEAR(B2397)*100+MONTH(B2397)))</f>
        <v/>
      </c>
      <c r="Q2397" s="70" t="str">
        <f aca="false">IF(P2397="","",IF(COUNTIF(N_CLAVE,P2397)&gt;1,"⚠ Duplicado","OK"))</f>
        <v/>
      </c>
      <c r="R2397" s="74" t="str">
        <f aca="false">IF(OR(P2397="",U2397=""),"",MAX(0,U2397-N(E2397)-N(F2397)-N(H2397)))</f>
        <v/>
      </c>
      <c r="S2397" s="75" t="str">
        <f aca="false">IF(P2397="","",IFERROR(INDEX(T_INGRESO,MATCH(C2397,T_ID,0)),""))</f>
        <v/>
      </c>
      <c r="T2397" s="75" t="str">
        <f aca="false">IF(P2397="","",IFERROR(N(INDEX(T_EGRESO,MATCH(C2397,T_ID,0))),0))</f>
        <v/>
      </c>
      <c r="U2397" s="73" t="str">
        <f aca="false">IF(OR(P2397="",NOT(ISNUMBER(S2397))),"",IF(OR(S2397&gt;EOMONTH(B2397,0),AND(T2397&gt;0,T2397&lt;B2397)),0,IF(AND(S2397&lt;=B2397,OR(T2397=0,T2397&gt;=EOMONTH(B2397,0))),30,MIN(30,IF(T2397=0,EOMONTH(B2397,0),MIN(T2397,EOMONTH(B2397,0)))-MAX(B2397,S2397)+1))))</f>
        <v/>
      </c>
    </row>
    <row r="2398" customFormat="false" ht="15" hidden="false" customHeight="false" outlineLevel="0" collapsed="false">
      <c r="B2398" s="78"/>
      <c r="C2398" s="64"/>
      <c r="D2398" s="70" t="str">
        <f aca="false">IF(C2398="","",IFERROR(INDEX(T_NOMBRE,MATCH(C2398,T_ID,0)),"⚠ ID no existe"))</f>
        <v/>
      </c>
      <c r="E2398" s="69"/>
      <c r="F2398" s="69"/>
      <c r="G2398" s="69"/>
      <c r="H2398" s="69"/>
      <c r="I2398" s="66"/>
      <c r="J2398" s="69"/>
      <c r="K2398" s="67"/>
      <c r="L2398" s="67"/>
      <c r="M2398" s="67"/>
      <c r="N2398" s="67"/>
      <c r="O2398" s="64"/>
      <c r="P2398" s="72" t="str">
        <f aca="false">IF(OR(B2398="",C2398=""),"",C2398&amp;"|"&amp;(YEAR(B2398)*100+MONTH(B2398)))</f>
        <v/>
      </c>
      <c r="Q2398" s="70" t="str">
        <f aca="false">IF(P2398="","",IF(COUNTIF(N_CLAVE,P2398)&gt;1,"⚠ Duplicado","OK"))</f>
        <v/>
      </c>
      <c r="R2398" s="74" t="str">
        <f aca="false">IF(OR(P2398="",U2398=""),"",MAX(0,U2398-N(E2398)-N(F2398)-N(H2398)))</f>
        <v/>
      </c>
      <c r="S2398" s="75" t="str">
        <f aca="false">IF(P2398="","",IFERROR(INDEX(T_INGRESO,MATCH(C2398,T_ID,0)),""))</f>
        <v/>
      </c>
      <c r="T2398" s="75" t="str">
        <f aca="false">IF(P2398="","",IFERROR(N(INDEX(T_EGRESO,MATCH(C2398,T_ID,0))),0))</f>
        <v/>
      </c>
      <c r="U2398" s="73" t="str">
        <f aca="false">IF(OR(P2398="",NOT(ISNUMBER(S2398))),"",IF(OR(S2398&gt;EOMONTH(B2398,0),AND(T2398&gt;0,T2398&lt;B2398)),0,IF(AND(S2398&lt;=B2398,OR(T2398=0,T2398&gt;=EOMONTH(B2398,0))),30,MIN(30,IF(T2398=0,EOMONTH(B2398,0),MIN(T2398,EOMONTH(B2398,0)))-MAX(B2398,S2398)+1))))</f>
        <v/>
      </c>
    </row>
    <row r="2399" customFormat="false" ht="15" hidden="false" customHeight="false" outlineLevel="0" collapsed="false">
      <c r="B2399" s="78"/>
      <c r="C2399" s="64"/>
      <c r="D2399" s="70" t="str">
        <f aca="false">IF(C2399="","",IFERROR(INDEX(T_NOMBRE,MATCH(C2399,T_ID,0)),"⚠ ID no existe"))</f>
        <v/>
      </c>
      <c r="E2399" s="69"/>
      <c r="F2399" s="69"/>
      <c r="G2399" s="69"/>
      <c r="H2399" s="69"/>
      <c r="I2399" s="66"/>
      <c r="J2399" s="69"/>
      <c r="K2399" s="67"/>
      <c r="L2399" s="67"/>
      <c r="M2399" s="67"/>
      <c r="N2399" s="67"/>
      <c r="O2399" s="64"/>
      <c r="P2399" s="72" t="str">
        <f aca="false">IF(OR(B2399="",C2399=""),"",C2399&amp;"|"&amp;(YEAR(B2399)*100+MONTH(B2399)))</f>
        <v/>
      </c>
      <c r="Q2399" s="70" t="str">
        <f aca="false">IF(P2399="","",IF(COUNTIF(N_CLAVE,P2399)&gt;1,"⚠ Duplicado","OK"))</f>
        <v/>
      </c>
      <c r="R2399" s="74" t="str">
        <f aca="false">IF(OR(P2399="",U2399=""),"",MAX(0,U2399-N(E2399)-N(F2399)-N(H2399)))</f>
        <v/>
      </c>
      <c r="S2399" s="75" t="str">
        <f aca="false">IF(P2399="","",IFERROR(INDEX(T_INGRESO,MATCH(C2399,T_ID,0)),""))</f>
        <v/>
      </c>
      <c r="T2399" s="75" t="str">
        <f aca="false">IF(P2399="","",IFERROR(N(INDEX(T_EGRESO,MATCH(C2399,T_ID,0))),0))</f>
        <v/>
      </c>
      <c r="U2399" s="73" t="str">
        <f aca="false">IF(OR(P2399="",NOT(ISNUMBER(S2399))),"",IF(OR(S2399&gt;EOMONTH(B2399,0),AND(T2399&gt;0,T2399&lt;B2399)),0,IF(AND(S2399&lt;=B2399,OR(T2399=0,T2399&gt;=EOMONTH(B2399,0))),30,MIN(30,IF(T2399=0,EOMONTH(B2399,0),MIN(T2399,EOMONTH(B2399,0)))-MAX(B2399,S2399)+1))))</f>
        <v/>
      </c>
    </row>
    <row r="2400" customFormat="false" ht="15" hidden="false" customHeight="false" outlineLevel="0" collapsed="false">
      <c r="B2400" s="78"/>
      <c r="C2400" s="64"/>
      <c r="D2400" s="70" t="str">
        <f aca="false">IF(C2400="","",IFERROR(INDEX(T_NOMBRE,MATCH(C2400,T_ID,0)),"⚠ ID no existe"))</f>
        <v/>
      </c>
      <c r="E2400" s="69"/>
      <c r="F2400" s="69"/>
      <c r="G2400" s="69"/>
      <c r="H2400" s="69"/>
      <c r="I2400" s="66"/>
      <c r="J2400" s="69"/>
      <c r="K2400" s="67"/>
      <c r="L2400" s="67"/>
      <c r="M2400" s="67"/>
      <c r="N2400" s="67"/>
      <c r="O2400" s="64"/>
      <c r="P2400" s="72" t="str">
        <f aca="false">IF(OR(B2400="",C2400=""),"",C2400&amp;"|"&amp;(YEAR(B2400)*100+MONTH(B2400)))</f>
        <v/>
      </c>
      <c r="Q2400" s="70" t="str">
        <f aca="false">IF(P2400="","",IF(COUNTIF(N_CLAVE,P2400)&gt;1,"⚠ Duplicado","OK"))</f>
        <v/>
      </c>
      <c r="R2400" s="74" t="str">
        <f aca="false">IF(OR(P2400="",U2400=""),"",MAX(0,U2400-N(E2400)-N(F2400)-N(H2400)))</f>
        <v/>
      </c>
      <c r="S2400" s="75" t="str">
        <f aca="false">IF(P2400="","",IFERROR(INDEX(T_INGRESO,MATCH(C2400,T_ID,0)),""))</f>
        <v/>
      </c>
      <c r="T2400" s="75" t="str">
        <f aca="false">IF(P2400="","",IFERROR(N(INDEX(T_EGRESO,MATCH(C2400,T_ID,0))),0))</f>
        <v/>
      </c>
      <c r="U2400" s="73" t="str">
        <f aca="false">IF(OR(P2400="",NOT(ISNUMBER(S2400))),"",IF(OR(S2400&gt;EOMONTH(B2400,0),AND(T2400&gt;0,T2400&lt;B2400)),0,IF(AND(S2400&lt;=B2400,OR(T2400=0,T2400&gt;=EOMONTH(B2400,0))),30,MIN(30,IF(T2400=0,EOMONTH(B2400,0),MIN(T2400,EOMONTH(B2400,0)))-MAX(B2400,S2400)+1))))</f>
        <v/>
      </c>
    </row>
    <row r="2401" customFormat="false" ht="15" hidden="false" customHeight="false" outlineLevel="0" collapsed="false">
      <c r="B2401" s="78"/>
      <c r="C2401" s="64"/>
      <c r="D2401" s="70" t="str">
        <f aca="false">IF(C2401="","",IFERROR(INDEX(T_NOMBRE,MATCH(C2401,T_ID,0)),"⚠ ID no existe"))</f>
        <v/>
      </c>
      <c r="E2401" s="69"/>
      <c r="F2401" s="69"/>
      <c r="G2401" s="69"/>
      <c r="H2401" s="69"/>
      <c r="I2401" s="66"/>
      <c r="J2401" s="69"/>
      <c r="K2401" s="67"/>
      <c r="L2401" s="67"/>
      <c r="M2401" s="67"/>
      <c r="N2401" s="67"/>
      <c r="O2401" s="64"/>
      <c r="P2401" s="72" t="str">
        <f aca="false">IF(OR(B2401="",C2401=""),"",C2401&amp;"|"&amp;(YEAR(B2401)*100+MONTH(B2401)))</f>
        <v/>
      </c>
      <c r="Q2401" s="70" t="str">
        <f aca="false">IF(P2401="","",IF(COUNTIF(N_CLAVE,P2401)&gt;1,"⚠ Duplicado","OK"))</f>
        <v/>
      </c>
      <c r="R2401" s="74" t="str">
        <f aca="false">IF(OR(P2401="",U2401=""),"",MAX(0,U2401-N(E2401)-N(F2401)-N(H2401)))</f>
        <v/>
      </c>
      <c r="S2401" s="75" t="str">
        <f aca="false">IF(P2401="","",IFERROR(INDEX(T_INGRESO,MATCH(C2401,T_ID,0)),""))</f>
        <v/>
      </c>
      <c r="T2401" s="75" t="str">
        <f aca="false">IF(P2401="","",IFERROR(N(INDEX(T_EGRESO,MATCH(C2401,T_ID,0))),0))</f>
        <v/>
      </c>
      <c r="U2401" s="73" t="str">
        <f aca="false">IF(OR(P2401="",NOT(ISNUMBER(S2401))),"",IF(OR(S2401&gt;EOMONTH(B2401,0),AND(T2401&gt;0,T2401&lt;B2401)),0,IF(AND(S2401&lt;=B2401,OR(T2401=0,T2401&gt;=EOMONTH(B2401,0))),30,MIN(30,IF(T2401=0,EOMONTH(B2401,0),MIN(T2401,EOMONTH(B2401,0)))-MAX(B2401,S2401)+1))))</f>
        <v/>
      </c>
    </row>
    <row r="2402" customFormat="false" ht="15" hidden="false" customHeight="false" outlineLevel="0" collapsed="false">
      <c r="B2402" s="78"/>
      <c r="C2402" s="64"/>
      <c r="D2402" s="70" t="str">
        <f aca="false">IF(C2402="","",IFERROR(INDEX(T_NOMBRE,MATCH(C2402,T_ID,0)),"⚠ ID no existe"))</f>
        <v/>
      </c>
      <c r="E2402" s="69"/>
      <c r="F2402" s="69"/>
      <c r="G2402" s="69"/>
      <c r="H2402" s="69"/>
      <c r="I2402" s="66"/>
      <c r="J2402" s="69"/>
      <c r="K2402" s="67"/>
      <c r="L2402" s="67"/>
      <c r="M2402" s="67"/>
      <c r="N2402" s="67"/>
      <c r="O2402" s="64"/>
      <c r="P2402" s="72" t="str">
        <f aca="false">IF(OR(B2402="",C2402=""),"",C2402&amp;"|"&amp;(YEAR(B2402)*100+MONTH(B2402)))</f>
        <v/>
      </c>
      <c r="Q2402" s="70" t="str">
        <f aca="false">IF(P2402="","",IF(COUNTIF(N_CLAVE,P2402)&gt;1,"⚠ Duplicado","OK"))</f>
        <v/>
      </c>
      <c r="R2402" s="74" t="str">
        <f aca="false">IF(OR(P2402="",U2402=""),"",MAX(0,U2402-N(E2402)-N(F2402)-N(H2402)))</f>
        <v/>
      </c>
      <c r="S2402" s="75" t="str">
        <f aca="false">IF(P2402="","",IFERROR(INDEX(T_INGRESO,MATCH(C2402,T_ID,0)),""))</f>
        <v/>
      </c>
      <c r="T2402" s="75" t="str">
        <f aca="false">IF(P2402="","",IFERROR(N(INDEX(T_EGRESO,MATCH(C2402,T_ID,0))),0))</f>
        <v/>
      </c>
      <c r="U2402" s="73" t="str">
        <f aca="false">IF(OR(P2402="",NOT(ISNUMBER(S2402))),"",IF(OR(S2402&gt;EOMONTH(B2402,0),AND(T2402&gt;0,T2402&lt;B2402)),0,IF(AND(S2402&lt;=B2402,OR(T2402=0,T2402&gt;=EOMONTH(B2402,0))),30,MIN(30,IF(T2402=0,EOMONTH(B2402,0),MIN(T2402,EOMONTH(B2402,0)))-MAX(B2402,S2402)+1))))</f>
        <v/>
      </c>
    </row>
    <row r="2403" customFormat="false" ht="15" hidden="false" customHeight="false" outlineLevel="0" collapsed="false">
      <c r="B2403" s="78"/>
      <c r="C2403" s="64"/>
      <c r="D2403" s="70" t="str">
        <f aca="false">IF(C2403="","",IFERROR(INDEX(T_NOMBRE,MATCH(C2403,T_ID,0)),"⚠ ID no existe"))</f>
        <v/>
      </c>
      <c r="E2403" s="69"/>
      <c r="F2403" s="69"/>
      <c r="G2403" s="69"/>
      <c r="H2403" s="69"/>
      <c r="I2403" s="66"/>
      <c r="J2403" s="69"/>
      <c r="K2403" s="67"/>
      <c r="L2403" s="67"/>
      <c r="M2403" s="67"/>
      <c r="N2403" s="67"/>
      <c r="O2403" s="64"/>
      <c r="P2403" s="72" t="str">
        <f aca="false">IF(OR(B2403="",C2403=""),"",C2403&amp;"|"&amp;(YEAR(B2403)*100+MONTH(B2403)))</f>
        <v/>
      </c>
      <c r="Q2403" s="70" t="str">
        <f aca="false">IF(P2403="","",IF(COUNTIF(N_CLAVE,P2403)&gt;1,"⚠ Duplicado","OK"))</f>
        <v/>
      </c>
      <c r="R2403" s="74" t="str">
        <f aca="false">IF(OR(P2403="",U2403=""),"",MAX(0,U2403-N(E2403)-N(F2403)-N(H2403)))</f>
        <v/>
      </c>
      <c r="S2403" s="75" t="str">
        <f aca="false">IF(P2403="","",IFERROR(INDEX(T_INGRESO,MATCH(C2403,T_ID,0)),""))</f>
        <v/>
      </c>
      <c r="T2403" s="75" t="str">
        <f aca="false">IF(P2403="","",IFERROR(N(INDEX(T_EGRESO,MATCH(C2403,T_ID,0))),0))</f>
        <v/>
      </c>
      <c r="U2403" s="73" t="str">
        <f aca="false">IF(OR(P2403="",NOT(ISNUMBER(S2403))),"",IF(OR(S2403&gt;EOMONTH(B2403,0),AND(T2403&gt;0,T2403&lt;B2403)),0,IF(AND(S2403&lt;=B2403,OR(T2403=0,T2403&gt;=EOMONTH(B2403,0))),30,MIN(30,IF(T2403=0,EOMONTH(B2403,0),MIN(T2403,EOMONTH(B2403,0)))-MAX(B2403,S2403)+1))))</f>
        <v/>
      </c>
    </row>
    <row r="2404" customFormat="false" ht="15" hidden="false" customHeight="false" outlineLevel="0" collapsed="false">
      <c r="B2404" s="78"/>
      <c r="C2404" s="64"/>
      <c r="D2404" s="70" t="str">
        <f aca="false">IF(C2404="","",IFERROR(INDEX(T_NOMBRE,MATCH(C2404,T_ID,0)),"⚠ ID no existe"))</f>
        <v/>
      </c>
      <c r="E2404" s="69"/>
      <c r="F2404" s="69"/>
      <c r="G2404" s="69"/>
      <c r="H2404" s="69"/>
      <c r="I2404" s="66"/>
      <c r="J2404" s="69"/>
      <c r="K2404" s="67"/>
      <c r="L2404" s="67"/>
      <c r="M2404" s="67"/>
      <c r="N2404" s="67"/>
      <c r="O2404" s="64"/>
      <c r="P2404" s="72" t="str">
        <f aca="false">IF(OR(B2404="",C2404=""),"",C2404&amp;"|"&amp;(YEAR(B2404)*100+MONTH(B2404)))</f>
        <v/>
      </c>
      <c r="Q2404" s="70" t="str">
        <f aca="false">IF(P2404="","",IF(COUNTIF(N_CLAVE,P2404)&gt;1,"⚠ Duplicado","OK"))</f>
        <v/>
      </c>
      <c r="R2404" s="74" t="str">
        <f aca="false">IF(OR(P2404="",U2404=""),"",MAX(0,U2404-N(E2404)-N(F2404)-N(H2404)))</f>
        <v/>
      </c>
      <c r="S2404" s="75" t="str">
        <f aca="false">IF(P2404="","",IFERROR(INDEX(T_INGRESO,MATCH(C2404,T_ID,0)),""))</f>
        <v/>
      </c>
      <c r="T2404" s="75" t="str">
        <f aca="false">IF(P2404="","",IFERROR(N(INDEX(T_EGRESO,MATCH(C2404,T_ID,0))),0))</f>
        <v/>
      </c>
      <c r="U2404" s="73" t="str">
        <f aca="false">IF(OR(P2404="",NOT(ISNUMBER(S2404))),"",IF(OR(S2404&gt;EOMONTH(B2404,0),AND(T2404&gt;0,T2404&lt;B2404)),0,IF(AND(S2404&lt;=B2404,OR(T2404=0,T2404&gt;=EOMONTH(B2404,0))),30,MIN(30,IF(T2404=0,EOMONTH(B2404,0),MIN(T2404,EOMONTH(B2404,0)))-MAX(B2404,S2404)+1))))</f>
        <v/>
      </c>
    </row>
    <row r="2405" customFormat="false" ht="15" hidden="false" customHeight="false" outlineLevel="0" collapsed="false">
      <c r="B2405" s="78"/>
      <c r="C2405" s="64"/>
      <c r="D2405" s="70" t="str">
        <f aca="false">IF(C2405="","",IFERROR(INDEX(T_NOMBRE,MATCH(C2405,T_ID,0)),"⚠ ID no existe"))</f>
        <v/>
      </c>
      <c r="E2405" s="69"/>
      <c r="F2405" s="69"/>
      <c r="G2405" s="69"/>
      <c r="H2405" s="69"/>
      <c r="I2405" s="66"/>
      <c r="J2405" s="69"/>
      <c r="K2405" s="67"/>
      <c r="L2405" s="67"/>
      <c r="M2405" s="67"/>
      <c r="N2405" s="67"/>
      <c r="O2405" s="64"/>
      <c r="P2405" s="72" t="str">
        <f aca="false">IF(OR(B2405="",C2405=""),"",C2405&amp;"|"&amp;(YEAR(B2405)*100+MONTH(B2405)))</f>
        <v/>
      </c>
      <c r="Q2405" s="70" t="str">
        <f aca="false">IF(P2405="","",IF(COUNTIF(N_CLAVE,P2405)&gt;1,"⚠ Duplicado","OK"))</f>
        <v/>
      </c>
      <c r="R2405" s="74" t="str">
        <f aca="false">IF(OR(P2405="",U2405=""),"",MAX(0,U2405-N(E2405)-N(F2405)-N(H2405)))</f>
        <v/>
      </c>
      <c r="S2405" s="75" t="str">
        <f aca="false">IF(P2405="","",IFERROR(INDEX(T_INGRESO,MATCH(C2405,T_ID,0)),""))</f>
        <v/>
      </c>
      <c r="T2405" s="75" t="str">
        <f aca="false">IF(P2405="","",IFERROR(N(INDEX(T_EGRESO,MATCH(C2405,T_ID,0))),0))</f>
        <v/>
      </c>
      <c r="U2405" s="73" t="str">
        <f aca="false">IF(OR(P2405="",NOT(ISNUMBER(S2405))),"",IF(OR(S2405&gt;EOMONTH(B2405,0),AND(T2405&gt;0,T2405&lt;B2405)),0,IF(AND(S2405&lt;=B2405,OR(T2405=0,T2405&gt;=EOMONTH(B2405,0))),30,MIN(30,IF(T2405=0,EOMONTH(B2405,0),MIN(T2405,EOMONTH(B2405,0)))-MAX(B2405,S2405)+1))))</f>
        <v/>
      </c>
    </row>
    <row r="2406" customFormat="false" ht="15" hidden="false" customHeight="false" outlineLevel="0" collapsed="false">
      <c r="B2406" s="78"/>
      <c r="C2406" s="64"/>
      <c r="D2406" s="70" t="str">
        <f aca="false">IF(C2406="","",IFERROR(INDEX(T_NOMBRE,MATCH(C2406,T_ID,0)),"⚠ ID no existe"))</f>
        <v/>
      </c>
      <c r="E2406" s="69"/>
      <c r="F2406" s="69"/>
      <c r="G2406" s="69"/>
      <c r="H2406" s="69"/>
      <c r="I2406" s="66"/>
      <c r="J2406" s="69"/>
      <c r="K2406" s="67"/>
      <c r="L2406" s="67"/>
      <c r="M2406" s="67"/>
      <c r="N2406" s="67"/>
      <c r="O2406" s="64"/>
      <c r="P2406" s="72" t="str">
        <f aca="false">IF(OR(B2406="",C2406=""),"",C2406&amp;"|"&amp;(YEAR(B2406)*100+MONTH(B2406)))</f>
        <v/>
      </c>
      <c r="Q2406" s="70" t="str">
        <f aca="false">IF(P2406="","",IF(COUNTIF(N_CLAVE,P2406)&gt;1,"⚠ Duplicado","OK"))</f>
        <v/>
      </c>
      <c r="R2406" s="74" t="str">
        <f aca="false">IF(OR(P2406="",U2406=""),"",MAX(0,U2406-N(E2406)-N(F2406)-N(H2406)))</f>
        <v/>
      </c>
      <c r="S2406" s="75" t="str">
        <f aca="false">IF(P2406="","",IFERROR(INDEX(T_INGRESO,MATCH(C2406,T_ID,0)),""))</f>
        <v/>
      </c>
      <c r="T2406" s="75" t="str">
        <f aca="false">IF(P2406="","",IFERROR(N(INDEX(T_EGRESO,MATCH(C2406,T_ID,0))),0))</f>
        <v/>
      </c>
      <c r="U2406" s="73" t="str">
        <f aca="false">IF(OR(P2406="",NOT(ISNUMBER(S2406))),"",IF(OR(S2406&gt;EOMONTH(B2406,0),AND(T2406&gt;0,T2406&lt;B2406)),0,IF(AND(S2406&lt;=B2406,OR(T2406=0,T2406&gt;=EOMONTH(B2406,0))),30,MIN(30,IF(T2406=0,EOMONTH(B2406,0),MIN(T2406,EOMONTH(B2406,0)))-MAX(B2406,S2406)+1))))</f>
        <v/>
      </c>
    </row>
  </sheetData>
  <autoFilter ref="B6:R2406"/>
  <conditionalFormatting sqref="Q7:Q2406">
    <cfRule type="expression" priority="2" aboveAverage="0" equalAverage="0" bottom="0" percent="0" rank="0" text="" dxfId="1">
      <formula>$Q7="⚠ Duplicado"</formula>
    </cfRule>
  </conditionalFormatting>
  <conditionalFormatting sqref="D7:D2406">
    <cfRule type="expression" priority="3" aboveAverage="0" equalAverage="0" bottom="0" percent="0" rank="0" text="" dxfId="15">
      <formula>LEFT($D7,1)="⚠"</formula>
    </cfRule>
  </conditionalFormatting>
  <dataValidations count="3">
    <dataValidation allowBlank="true" error="Seleccione un valor de la lista desplegable." errorStyle="stop" errorTitle="Valor no válido" operator="between" showDropDown="false" showErrorMessage="true" showInputMessage="false" sqref="B7:B2406" type="list">
      <formula1>LS_MESES</formula1>
      <formula2>0</formula2>
    </dataValidation>
    <dataValidation allowBlank="true" error="Seleccione un valor de la lista desplegable." errorStyle="stop" errorTitle="Valor no válido" operator="between" showDropDown="false" showErrorMessage="true" showInputMessage="false" sqref="C7:C2406" type="list">
      <formula1>T_ID</formula1>
      <formula2>0</formula2>
    </dataValidation>
    <dataValidation allowBlank="true" error="Ingrese un número entre 0 y 31." errorStyle="stop" errorTitle="Número no válido" operator="between" showDropDown="false" showErrorMessage="true" showInputMessage="false" sqref="E7:H2406" type="decimal">
      <formula1>0</formula1>
      <formula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4A"/>
    <pageSetUpPr fitToPage="true"/>
  </sheetPr>
  <dimension ref="B2:AD1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7"/>
    <col collapsed="false" customWidth="true" hidden="false" outlineLevel="0" max="4" min="4" style="0" width="12"/>
    <col collapsed="false" customWidth="true" hidden="false" outlineLevel="0" max="5" min="5" style="0" width="24"/>
    <col collapsed="false" customWidth="true" hidden="false" outlineLevel="0" max="6" min="6" style="0" width="18"/>
    <col collapsed="false" customWidth="true" hidden="false" outlineLevel="0" max="8" min="7" style="0" width="11"/>
    <col collapsed="false" customWidth="true" hidden="false" outlineLevel="0" max="9" min="9" style="0" width="16"/>
    <col collapsed="false" customWidth="true" hidden="false" outlineLevel="0" max="10" min="10" style="0" width="18"/>
    <col collapsed="false" customWidth="true" hidden="false" outlineLevel="0" max="11" min="11" style="0" width="8"/>
    <col collapsed="false" customWidth="true" hidden="false" outlineLevel="0" max="12" min="12" style="0" width="7"/>
    <col collapsed="false" customWidth="true" hidden="false" outlineLevel="0" max="15" min="13" style="0" width="8"/>
    <col collapsed="false" customWidth="true" hidden="false" outlineLevel="0" max="16" min="16" style="0" width="9"/>
    <col collapsed="false" customWidth="true" hidden="false" outlineLevel="0" max="17" min="17" style="0" width="8"/>
    <col collapsed="false" customWidth="true" hidden="false" outlineLevel="0" max="18" min="18" style="0" width="7"/>
    <col collapsed="false" customWidth="true" hidden="false" outlineLevel="0" max="19" min="19" style="0" width="11"/>
    <col collapsed="false" customWidth="true" hidden="false" outlineLevel="0" max="22" min="20" style="0" width="10"/>
    <col collapsed="false" customWidth="true" hidden="false" outlineLevel="0" max="23" min="23" style="0" width="30"/>
    <col collapsed="false" customWidth="true" hidden="false" outlineLevel="0" max="24" min="24" style="0" width="14"/>
    <col collapsed="false" customWidth="true" hidden="true" outlineLevel="0" max="30" min="26" style="0" width="13"/>
  </cols>
  <sheetData>
    <row r="2" customFormat="false" ht="24" hidden="false" customHeight="true" outlineLevel="0" collapsed="false">
      <c r="B2" s="1" t="s">
        <v>321</v>
      </c>
      <c r="C2" s="2"/>
      <c r="D2" s="2"/>
      <c r="E2" s="2"/>
      <c r="F2" s="2"/>
      <c r="G2" s="2"/>
      <c r="H2" s="2"/>
      <c r="I2" s="2"/>
      <c r="J2" s="2"/>
      <c r="K2" s="2"/>
      <c r="L2" s="2"/>
      <c r="M2" s="2"/>
      <c r="N2" s="2"/>
      <c r="O2" s="2"/>
      <c r="P2" s="2"/>
      <c r="Q2" s="2"/>
      <c r="R2" s="2"/>
      <c r="S2" s="2"/>
      <c r="T2" s="2"/>
      <c r="U2" s="2"/>
      <c r="V2" s="2"/>
      <c r="W2" s="2"/>
      <c r="X2" s="2"/>
    </row>
    <row r="3" customFormat="false" ht="15.75" hidden="false" customHeight="true" outlineLevel="0" collapsed="false">
      <c r="B3" s="3" t="s">
        <v>322</v>
      </c>
      <c r="C3" s="2"/>
      <c r="D3" s="2"/>
      <c r="E3" s="2"/>
      <c r="F3" s="2"/>
      <c r="G3" s="2"/>
      <c r="H3" s="2"/>
      <c r="I3" s="2"/>
      <c r="J3" s="2"/>
      <c r="K3" s="2"/>
      <c r="L3" s="2"/>
      <c r="M3" s="2"/>
      <c r="N3" s="2"/>
      <c r="O3" s="2"/>
      <c r="P3" s="2"/>
      <c r="Q3" s="2"/>
      <c r="R3" s="2"/>
      <c r="S3" s="2"/>
      <c r="T3" s="2"/>
      <c r="U3" s="2"/>
      <c r="V3" s="2"/>
      <c r="W3" s="2"/>
      <c r="X3" s="2"/>
    </row>
    <row r="5" customFormat="false" ht="15" hidden="false" customHeight="false" outlineLevel="0" collapsed="false">
      <c r="C5" s="79" t="s">
        <v>323</v>
      </c>
      <c r="E5" s="52" t="n">
        <v>46296</v>
      </c>
      <c r="G5" s="80" t="str">
        <f aca="false">IF(MAX(T_AUX)=0,"No hay trabajadores activos en el período",MAX(T_AUX)&amp;" trabajador(es) con contrato en el mes")</f>
        <v>5 trabajador(es) con contrato en el mes</v>
      </c>
    </row>
    <row r="7" customFormat="false" ht="15" hidden="false" customHeight="false" outlineLevel="0" collapsed="false">
      <c r="C7" s="63" t="s">
        <v>324</v>
      </c>
    </row>
    <row r="9" customFormat="false" ht="39.75" hidden="false" customHeight="true" outlineLevel="0" collapsed="false">
      <c r="B9" s="53" t="s">
        <v>111</v>
      </c>
      <c r="C9" s="53" t="s">
        <v>152</v>
      </c>
      <c r="D9" s="53" t="s">
        <v>153</v>
      </c>
      <c r="E9" s="53" t="s">
        <v>277</v>
      </c>
      <c r="F9" s="53" t="s">
        <v>113</v>
      </c>
      <c r="G9" s="53" t="s">
        <v>325</v>
      </c>
      <c r="H9" s="53" t="s">
        <v>326</v>
      </c>
      <c r="I9" s="53" t="s">
        <v>327</v>
      </c>
      <c r="J9" s="53" t="s">
        <v>328</v>
      </c>
      <c r="K9" s="53" t="s">
        <v>311</v>
      </c>
      <c r="L9" s="53" t="s">
        <v>329</v>
      </c>
      <c r="M9" s="53" t="s">
        <v>330</v>
      </c>
      <c r="N9" s="53" t="s">
        <v>331</v>
      </c>
      <c r="O9" s="53" t="s">
        <v>332</v>
      </c>
      <c r="P9" s="53" t="s">
        <v>333</v>
      </c>
      <c r="Q9" s="53" t="s">
        <v>334</v>
      </c>
      <c r="R9" s="53" t="s">
        <v>335</v>
      </c>
      <c r="S9" s="53" t="s">
        <v>336</v>
      </c>
      <c r="T9" s="53" t="s">
        <v>337</v>
      </c>
      <c r="U9" s="53" t="s">
        <v>338</v>
      </c>
      <c r="V9" s="53" t="s">
        <v>339</v>
      </c>
      <c r="W9" s="53" t="s">
        <v>170</v>
      </c>
      <c r="X9" s="53" t="s">
        <v>340</v>
      </c>
    </row>
    <row r="10" customFormat="false" ht="15" hidden="false" customHeight="false" outlineLevel="0" collapsed="false">
      <c r="B10" s="72" t="n">
        <f aca="false">IF(1&lt;=MAX(T_AUX),1,"")</f>
        <v>1</v>
      </c>
      <c r="C10" s="72" t="str">
        <f aca="false">IF(B10="","",INDEX(T_ID,Z10))</f>
        <v>T001</v>
      </c>
      <c r="D10" s="72" t="str">
        <f aca="false">IF(B10="","",INDEX(T_RUT,Z10)&amp;"")</f>
        <v>11.111.111-1</v>
      </c>
      <c r="E10" s="72" t="str">
        <f aca="false">IF(B10="","",INDEX(T_NOMBRE,Z10)&amp;"")</f>
        <v>María Soto (EJEMPLO)</v>
      </c>
      <c r="F10" s="72" t="str">
        <f aca="false">IF(B10="","",INDEX(T_CARGO,Z10)&amp;"")</f>
        <v>Jefa de Producción</v>
      </c>
      <c r="G10" s="72" t="str">
        <f aca="false">IF(B10="","",IFERROR(INDEX(C_TIPO,MATCH(C10&amp;"-P"&amp;MAX(1,COUNTIFS(C_ID,C10,C_DEFINE,"Sí",C_INICIO,"&lt;="&amp;EOMONTH(ENVIO_PER,0))),C_CLAVE,0))&amp;"","Sin contrato"))</f>
        <v>Indefinido</v>
      </c>
      <c r="H10" s="71" t="n">
        <f aca="false">IF(B10="","",IFERROR(INDEX(C_SUELDO,MATCH(C10&amp;"-S"&amp;MAX(1,COUNTIFS(C_ID,C10,C_SUELDO,"&lt;&gt;",C_INICIO,"&lt;="&amp;EOMONTH(ENVIO_PER,0))),C_CLAVES,0)),0))</f>
        <v>1250000</v>
      </c>
      <c r="I10" s="70" t="str">
        <f aca="false">IF(B10="","",TRIM(IF(AND(AB10&gt;=ENVIO_PER,AB10&lt;=EOMONTH(ENVIO_PER,0)),"Ingresa el día "&amp;DAY(AB10)&amp;". ","")&amp;IF(AND(AC10&gt;0,AC10&gt;=ENVIO_PER,AC10&lt;=EOMONTH(ENVIO_PER,0)),"Egresa el día "&amp;DAY(AC10)&amp;".","")))</f>
        <v/>
      </c>
      <c r="J10" s="70" t="str">
        <f aca="false">IF(B10="","",IF(COUNTIFS(C_ID,C10,C_INICIO,"&gt;="&amp;ENVIO_PER,C_INICIO,"&lt;="&amp;EOMONTH(ENVIO_PER,0))&gt;0,COUNTIFS(C_ID,C10,C_INICIO,"&gt;="&amp;ENVIO_PER,C_INICIO,"&lt;="&amp;EOMONTH(ENVIO_PER,0))&amp;" documento(s) nuevo(s): ver Contratos",""))</f>
        <v/>
      </c>
      <c r="K10" s="74" t="n">
        <f aca="false">IF(B10="","",IF(COUNTIF(N_CLAVE,AA10)&gt;0,SUMIFS(N_DIAS,N_CLAVE,AA10),AD10))</f>
        <v>30</v>
      </c>
      <c r="L10" s="74" t="n">
        <f aca="false">IF(B10="","",SUMIFS(N_FALTAS,N_CLAVE,AA10))</f>
        <v>0</v>
      </c>
      <c r="M10" s="74" t="n">
        <f aca="false">IF(B10="","",SUMIFS(N_LIC,N_CLAVE,AA10))</f>
        <v>0</v>
      </c>
      <c r="N10" s="74" t="n">
        <f aca="false">IF(B10="","",SUMIFS(N_PCG,N_CLAVE,AA10))</f>
        <v>0</v>
      </c>
      <c r="O10" s="74" t="n">
        <f aca="false">IF(B10="","",SUMIFS(N_PSG,N_CLAVE,AA10))</f>
        <v>0</v>
      </c>
      <c r="P10" s="74" t="n">
        <f aca="false">IF(B10="","",SUMIFS(V_DIAS,V_ID,C10,V_MES,ENVIO_PER))</f>
        <v>0</v>
      </c>
      <c r="Q10" s="73" t="n">
        <f aca="false">IF(B10="","",SUMIFS(N_ATRASO,N_CLAVE,AA10))</f>
        <v>0</v>
      </c>
      <c r="R10" s="74" t="n">
        <f aca="false">IF(B10="","",SUMIFS(N_HE,N_CLAVE,AA10))</f>
        <v>0</v>
      </c>
      <c r="S10" s="71" t="n">
        <f aca="false">IF(B10="","",SUMIFS(N_ANT,N_CLAVE,AA10))</f>
        <v>200000</v>
      </c>
      <c r="T10" s="71" t="n">
        <f aca="false">IF(B10="","",SUMIFS(N_BONO,N_CLAVE,AA10))</f>
        <v>0</v>
      </c>
      <c r="U10" s="71" t="n">
        <f aca="false">IF(B10="","",SUMIFS(N_ONI,N_CLAVE,AA10))</f>
        <v>0</v>
      </c>
      <c r="V10" s="71" t="n">
        <f aca="false">IF(B10="","",SUMIFS(N_DESC,N_CLAVE,AA10))</f>
        <v>0</v>
      </c>
      <c r="W10" s="72" t="str">
        <f aca="false">IF(B10="","",IFERROR(INDEX(N_OBS,MATCH(AA10,N_CLAVE,0))&amp;"",""))</f>
        <v>Mes en curso</v>
      </c>
      <c r="X10" s="70" t="str">
        <f aca="false">IF(B10="","",IF(COUNTIF(N_CLAVE,AA10)&gt;0,"Sí","⚠ Sin registro"))</f>
        <v>Sí</v>
      </c>
      <c r="Z10" s="81" t="n">
        <f aca="false">IF(B10="","",MATCH(B10,T_AUX,0))</f>
        <v>1</v>
      </c>
      <c r="AA10" s="81" t="str">
        <f aca="false">IF(B10="","",C10&amp;"|"&amp;(YEAR(ENVIO_PER)*100+MONTH(ENVIO_PER)))</f>
        <v>T001|202610</v>
      </c>
      <c r="AB10" s="82" t="n">
        <f aca="false">IF(B10="","",INDEX(T_INGRESO,Z10))</f>
        <v>44256</v>
      </c>
      <c r="AC10" s="81" t="n">
        <f aca="false">IF(B10="","",N(INDEX(T_EGRESO,Z10)))</f>
        <v>0</v>
      </c>
      <c r="AD10" s="81" t="n">
        <f aca="false">IF(B10="","",IF(OR(AB10&gt;EOMONTH(ENVIO_PER,0),AND(AC10&gt;0,AC10&lt;ENVIO_PER)),0,IF(AND(AB10&lt;=ENVIO_PER,OR(AC10=0,AC10&gt;=EOMONTH(ENVIO_PER,0))),30,MIN(30,IF(AC10=0,EOMONTH(ENVIO_PER,0),MIN(AC10,EOMONTH(ENVIO_PER,0)))-MAX(ENVIO_PER,AB10)+1))))</f>
        <v>30</v>
      </c>
    </row>
    <row r="11" customFormat="false" ht="15" hidden="false" customHeight="false" outlineLevel="0" collapsed="false">
      <c r="B11" s="72" t="n">
        <f aca="false">IF(2&lt;=MAX(T_AUX),2,"")</f>
        <v>2</v>
      </c>
      <c r="C11" s="72" t="str">
        <f aca="false">IF(B11="","",INDEX(T_ID,Z11))</f>
        <v>T002</v>
      </c>
      <c r="D11" s="72" t="str">
        <f aca="false">IF(B11="","",INDEX(T_RUT,Z11)&amp;"")</f>
        <v>22.222.222-2</v>
      </c>
      <c r="E11" s="72" t="str">
        <f aca="false">IF(B11="","",INDEX(T_NOMBRE,Z11)&amp;"")</f>
        <v>Juan Pérez (EJEMPLO)</v>
      </c>
      <c r="F11" s="72" t="str">
        <f aca="false">IF(B11="","",INDEX(T_CARGO,Z11)&amp;"")</f>
        <v>Operador de sublimación</v>
      </c>
      <c r="G11" s="72" t="str">
        <f aca="false">IF(B11="","",IFERROR(INDEX(C_TIPO,MATCH(C11&amp;"-P"&amp;MAX(1,COUNTIFS(C_ID,C11,C_DEFINE,"Sí",C_INICIO,"&lt;="&amp;EOMONTH(ENVIO_PER,0))),C_CLAVE,0))&amp;"","Sin contrato"))</f>
        <v>Plazo fijo</v>
      </c>
      <c r="H11" s="71" t="n">
        <f aca="false">IF(B11="","",IFERROR(INDEX(C_SUELDO,MATCH(C11&amp;"-S"&amp;MAX(1,COUNTIFS(C_ID,C11,C_SUELDO,"&lt;&gt;",C_INICIO,"&lt;="&amp;EOMONTH(ENVIO_PER,0))),C_CLAVES,0)),0))</f>
        <v>580000</v>
      </c>
      <c r="I11" s="70" t="str">
        <f aca="false">IF(B11="","",TRIM(IF(AND(AB11&gt;=ENVIO_PER,AB11&lt;=EOMONTH(ENVIO_PER,0)),"Ingresa el día "&amp;DAY(AB11)&amp;". ","")&amp;IF(AND(AC11&gt;0,AC11&gt;=ENVIO_PER,AC11&lt;=EOMONTH(ENVIO_PER,0)),"Egresa el día "&amp;DAY(AC11)&amp;".","")))</f>
        <v/>
      </c>
      <c r="J11" s="70" t="str">
        <f aca="false">IF(B11="","",IF(COUNTIFS(C_ID,C11,C_INICIO,"&gt;="&amp;ENVIO_PER,C_INICIO,"&lt;="&amp;EOMONTH(ENVIO_PER,0))&gt;0,COUNTIFS(C_ID,C11,C_INICIO,"&gt;="&amp;ENVIO_PER,C_INICIO,"&lt;="&amp;EOMONTH(ENVIO_PER,0))&amp;" documento(s) nuevo(s): ver Contratos",""))</f>
        <v/>
      </c>
      <c r="K11" s="74" t="n">
        <f aca="false">IF(B11="","",IF(COUNTIF(N_CLAVE,AA11)&gt;0,SUMIFS(N_DIAS,N_CLAVE,AA11),AD11))</f>
        <v>30</v>
      </c>
      <c r="L11" s="74" t="n">
        <f aca="false">IF(B11="","",SUMIFS(N_FALTAS,N_CLAVE,AA11))</f>
        <v>0</v>
      </c>
      <c r="M11" s="74" t="n">
        <f aca="false">IF(B11="","",SUMIFS(N_LIC,N_CLAVE,AA11))</f>
        <v>0</v>
      </c>
      <c r="N11" s="74" t="n">
        <f aca="false">IF(B11="","",SUMIFS(N_PCG,N_CLAVE,AA11))</f>
        <v>0</v>
      </c>
      <c r="O11" s="74" t="n">
        <f aca="false">IF(B11="","",SUMIFS(N_PSG,N_CLAVE,AA11))</f>
        <v>0</v>
      </c>
      <c r="P11" s="74" t="n">
        <f aca="false">IF(B11="","",SUMIFS(V_DIAS,V_ID,C11,V_MES,ENVIO_PER))</f>
        <v>0</v>
      </c>
      <c r="Q11" s="73" t="n">
        <f aca="false">IF(B11="","",SUMIFS(N_ATRASO,N_CLAVE,AA11))</f>
        <v>20</v>
      </c>
      <c r="R11" s="74" t="n">
        <f aca="false">IF(B11="","",SUMIFS(N_HE,N_CLAVE,AA11))</f>
        <v>3</v>
      </c>
      <c r="S11" s="71" t="n">
        <f aca="false">IF(B11="","",SUMIFS(N_ANT,N_CLAVE,AA11))</f>
        <v>100000</v>
      </c>
      <c r="T11" s="71" t="n">
        <f aca="false">IF(B11="","",SUMIFS(N_BONO,N_CLAVE,AA11))</f>
        <v>0</v>
      </c>
      <c r="U11" s="71" t="n">
        <f aca="false">IF(B11="","",SUMIFS(N_ONI,N_CLAVE,AA11))</f>
        <v>0</v>
      </c>
      <c r="V11" s="71" t="n">
        <f aca="false">IF(B11="","",SUMIFS(N_DESC,N_CLAVE,AA11))</f>
        <v>0</v>
      </c>
      <c r="W11" s="72" t="str">
        <f aca="false">IF(B11="","",IFERROR(INDEX(N_OBS,MATCH(AA11,N_CLAVE,0))&amp;"",""))</f>
        <v>Mes en curso</v>
      </c>
      <c r="X11" s="70" t="str">
        <f aca="false">IF(B11="","",IF(COUNTIF(N_CLAVE,AA11)&gt;0,"Sí","⚠ Sin registro"))</f>
        <v>Sí</v>
      </c>
      <c r="Z11" s="81" t="n">
        <f aca="false">IF(B11="","",MATCH(B11,T_AUX,0))</f>
        <v>2</v>
      </c>
      <c r="AA11" s="81" t="str">
        <f aca="false">IF(B11="","",C11&amp;"|"&amp;(YEAR(ENVIO_PER)*100+MONTH(ENVIO_PER)))</f>
        <v>T002|202610</v>
      </c>
      <c r="AB11" s="82" t="n">
        <f aca="false">IF(B11="","",INDEX(T_INGRESO,Z11))</f>
        <v>46237</v>
      </c>
      <c r="AC11" s="81" t="n">
        <f aca="false">IF(B11="","",N(INDEX(T_EGRESO,Z11)))</f>
        <v>0</v>
      </c>
      <c r="AD11" s="81" t="n">
        <f aca="false">IF(B11="","",IF(OR(AB11&gt;EOMONTH(ENVIO_PER,0),AND(AC11&gt;0,AC11&lt;ENVIO_PER)),0,IF(AND(AB11&lt;=ENVIO_PER,OR(AC11=0,AC11&gt;=EOMONTH(ENVIO_PER,0))),30,MIN(30,IF(AC11=0,EOMONTH(ENVIO_PER,0),MIN(AC11,EOMONTH(ENVIO_PER,0)))-MAX(ENVIO_PER,AB11)+1))))</f>
        <v>30</v>
      </c>
    </row>
    <row r="12" customFormat="false" ht="15" hidden="false" customHeight="false" outlineLevel="0" collapsed="false">
      <c r="B12" s="72" t="n">
        <f aca="false">IF(3&lt;=MAX(T_AUX),3,"")</f>
        <v>3</v>
      </c>
      <c r="C12" s="72" t="str">
        <f aca="false">IF(B12="","",INDEX(T_ID,Z12))</f>
        <v>T003</v>
      </c>
      <c r="D12" s="72" t="str">
        <f aca="false">IF(B12="","",INDEX(T_RUT,Z12)&amp;"")</f>
        <v>33.333.333-3</v>
      </c>
      <c r="E12" s="72" t="str">
        <f aca="false">IF(B12="","",INDEX(T_NOMBRE,Z12)&amp;"")</f>
        <v>Camila Rojas (EJEMPLO)</v>
      </c>
      <c r="F12" s="72" t="str">
        <f aca="false">IF(B12="","",INDEX(T_CARGO,Z12)&amp;"")</f>
        <v>Diseñadora gráfica</v>
      </c>
      <c r="G12" s="72" t="str">
        <f aca="false">IF(B12="","",IFERROR(INDEX(C_TIPO,MATCH(C12&amp;"-P"&amp;MAX(1,COUNTIFS(C_ID,C12,C_DEFINE,"Sí",C_INICIO,"&lt;="&amp;EOMONTH(ENVIO_PER,0))),C_CLAVE,0))&amp;"","Sin contrato"))</f>
        <v>Plazo fijo</v>
      </c>
      <c r="H12" s="71" t="n">
        <f aca="false">IF(B12="","",IFERROR(INDEX(C_SUELDO,MATCH(C12&amp;"-S"&amp;MAX(1,COUNTIFS(C_ID,C12,C_SUELDO,"&lt;&gt;",C_INICIO,"&lt;="&amp;EOMONTH(ENVIO_PER,0))),C_CLAVES,0)),0))</f>
        <v>850000</v>
      </c>
      <c r="I12" s="70" t="str">
        <f aca="false">IF(B12="","",TRIM(IF(AND(AB12&gt;=ENVIO_PER,AB12&lt;=EOMONTH(ENVIO_PER,0)),"Ingresa el día "&amp;DAY(AB12)&amp;". ","")&amp;IF(AND(AC12&gt;0,AC12&gt;=ENVIO_PER,AC12&lt;=EOMONTH(ENVIO_PER,0)),"Egresa el día "&amp;DAY(AC12)&amp;".","")))</f>
        <v/>
      </c>
      <c r="J12" s="70" t="str">
        <f aca="false">IF(B12="","",IF(COUNTIFS(C_ID,C12,C_INICIO,"&gt;="&amp;ENVIO_PER,C_INICIO,"&lt;="&amp;EOMONTH(ENVIO_PER,0))&gt;0,COUNTIFS(C_ID,C12,C_INICIO,"&gt;="&amp;ENVIO_PER,C_INICIO,"&lt;="&amp;EOMONTH(ENVIO_PER,0))&amp;" documento(s) nuevo(s): ver Contratos",""))</f>
        <v/>
      </c>
      <c r="K12" s="74" t="n">
        <f aca="false">IF(B12="","",IF(COUNTIF(N_CLAVE,AA12)&gt;0,SUMIFS(N_DIAS,N_CLAVE,AA12),AD12))</f>
        <v>30</v>
      </c>
      <c r="L12" s="74" t="n">
        <f aca="false">IF(B12="","",SUMIFS(N_FALTAS,N_CLAVE,AA12))</f>
        <v>0</v>
      </c>
      <c r="M12" s="74" t="n">
        <f aca="false">IF(B12="","",SUMIFS(N_LIC,N_CLAVE,AA12))</f>
        <v>0</v>
      </c>
      <c r="N12" s="74" t="n">
        <f aca="false">IF(B12="","",SUMIFS(N_PCG,N_CLAVE,AA12))</f>
        <v>0</v>
      </c>
      <c r="O12" s="74" t="n">
        <f aca="false">IF(B12="","",SUMIFS(N_PSG,N_CLAVE,AA12))</f>
        <v>0</v>
      </c>
      <c r="P12" s="74" t="n">
        <f aca="false">IF(B12="","",SUMIFS(V_DIAS,V_ID,C12,V_MES,ENVIO_PER))</f>
        <v>0</v>
      </c>
      <c r="Q12" s="73" t="n">
        <f aca="false">IF(B12="","",SUMIFS(N_ATRASO,N_CLAVE,AA12))</f>
        <v>0</v>
      </c>
      <c r="R12" s="74" t="n">
        <f aca="false">IF(B12="","",SUMIFS(N_HE,N_CLAVE,AA12))</f>
        <v>0</v>
      </c>
      <c r="S12" s="71" t="n">
        <f aca="false">IF(B12="","",SUMIFS(N_ANT,N_CLAVE,AA12))</f>
        <v>0</v>
      </c>
      <c r="T12" s="71" t="n">
        <f aca="false">IF(B12="","",SUMIFS(N_BONO,N_CLAVE,AA12))</f>
        <v>0</v>
      </c>
      <c r="U12" s="71" t="n">
        <f aca="false">IF(B12="","",SUMIFS(N_ONI,N_CLAVE,AA12))</f>
        <v>0</v>
      </c>
      <c r="V12" s="71" t="n">
        <f aca="false">IF(B12="","",SUMIFS(N_DESC,N_CLAVE,AA12))</f>
        <v>0</v>
      </c>
      <c r="W12" s="72" t="str">
        <f aca="false">IF(B12="","",IFERROR(INDEX(N_OBS,MATCH(AA12,N_CLAVE,0))&amp;"",""))</f>
        <v/>
      </c>
      <c r="X12" s="70" t="str">
        <f aca="false">IF(B12="","",IF(COUNTIF(N_CLAVE,AA12)&gt;0,"Sí","⚠ Sin registro"))</f>
        <v>⚠ Sin registro</v>
      </c>
      <c r="Z12" s="81" t="n">
        <f aca="false">IF(B12="","",MATCH(B12,T_AUX,0))</f>
        <v>3</v>
      </c>
      <c r="AA12" s="81" t="str">
        <f aca="false">IF(B12="","",C12&amp;"|"&amp;(YEAR(ENVIO_PER)*100+MONTH(ENVIO_PER)))</f>
        <v>T003|202610</v>
      </c>
      <c r="AB12" s="82" t="n">
        <f aca="false">IF(B12="","",INDEX(T_INGRESO,Z12))</f>
        <v>46097</v>
      </c>
      <c r="AC12" s="81" t="n">
        <f aca="false">IF(B12="","",N(INDEX(T_EGRESO,Z12)))</f>
        <v>0</v>
      </c>
      <c r="AD12" s="81" t="n">
        <f aca="false">IF(B12="","",IF(OR(AB12&gt;EOMONTH(ENVIO_PER,0),AND(AC12&gt;0,AC12&lt;ENVIO_PER)),0,IF(AND(AB12&lt;=ENVIO_PER,OR(AC12=0,AC12&gt;=EOMONTH(ENVIO_PER,0))),30,MIN(30,IF(AC12=0,EOMONTH(ENVIO_PER,0),MIN(AC12,EOMONTH(ENVIO_PER,0)))-MAX(ENVIO_PER,AB12)+1))))</f>
        <v>30</v>
      </c>
    </row>
    <row r="13" customFormat="false" ht="15" hidden="false" customHeight="false" outlineLevel="0" collapsed="false">
      <c r="B13" s="72" t="n">
        <f aca="false">IF(4&lt;=MAX(T_AUX),4,"")</f>
        <v>4</v>
      </c>
      <c r="C13" s="72" t="str">
        <f aca="false">IF(B13="","",INDEX(T_ID,Z13))</f>
        <v>T004</v>
      </c>
      <c r="D13" s="72" t="str">
        <f aca="false">IF(B13="","",INDEX(T_RUT,Z13)&amp;"")</f>
        <v>44.444.444-4</v>
      </c>
      <c r="E13" s="72" t="str">
        <f aca="false">IF(B13="","",INDEX(T_NOMBRE,Z13)&amp;"")</f>
        <v>Pedro Muñoz (EJEMPLO)</v>
      </c>
      <c r="F13" s="72" t="str">
        <f aca="false">IF(B13="","",INDEX(T_CARGO,Z13)&amp;"")</f>
        <v>Cortador</v>
      </c>
      <c r="G13" s="72" t="str">
        <f aca="false">IF(B13="","",IFERROR(INDEX(C_TIPO,MATCH(C13&amp;"-P"&amp;MAX(1,COUNTIFS(C_ID,C13,C_DEFINE,"Sí",C_INICIO,"&lt;="&amp;EOMONTH(ENVIO_PER,0))),C_CLAVE,0))&amp;"","Sin contrato"))</f>
        <v>Indefinido</v>
      </c>
      <c r="H13" s="71" t="n">
        <f aca="false">IF(B13="","",IFERROR(INDEX(C_SUELDO,MATCH(C13&amp;"-S"&amp;MAX(1,COUNTIFS(C_ID,C13,C_SUELDO,"&lt;&gt;",C_INICIO,"&lt;="&amp;EOMONTH(ENVIO_PER,0))),C_CLAVES,0)),0))</f>
        <v>720000</v>
      </c>
      <c r="I13" s="70" t="str">
        <f aca="false">IF(B13="","",TRIM(IF(AND(AB13&gt;=ENVIO_PER,AB13&lt;=EOMONTH(ENVIO_PER,0)),"Ingresa el día "&amp;DAY(AB13)&amp;". ","")&amp;IF(AND(AC13&gt;0,AC13&gt;=ENVIO_PER,AC13&lt;=EOMONTH(ENVIO_PER,0)),"Egresa el día "&amp;DAY(AC13)&amp;".","")))</f>
        <v/>
      </c>
      <c r="J13" s="70" t="str">
        <f aca="false">IF(B13="","",IF(COUNTIFS(C_ID,C13,C_INICIO,"&gt;="&amp;ENVIO_PER,C_INICIO,"&lt;="&amp;EOMONTH(ENVIO_PER,0))&gt;0,COUNTIFS(C_ID,C13,C_INICIO,"&gt;="&amp;ENVIO_PER,C_INICIO,"&lt;="&amp;EOMONTH(ENVIO_PER,0))&amp;" documento(s) nuevo(s): ver Contratos",""))</f>
        <v/>
      </c>
      <c r="K13" s="74" t="n">
        <f aca="false">IF(B13="","",IF(COUNTIF(N_CLAVE,AA13)&gt;0,SUMIFS(N_DIAS,N_CLAVE,AA13),AD13))</f>
        <v>30</v>
      </c>
      <c r="L13" s="74" t="n">
        <f aca="false">IF(B13="","",SUMIFS(N_FALTAS,N_CLAVE,AA13))</f>
        <v>0</v>
      </c>
      <c r="M13" s="74" t="n">
        <f aca="false">IF(B13="","",SUMIFS(N_LIC,N_CLAVE,AA13))</f>
        <v>0</v>
      </c>
      <c r="N13" s="74" t="n">
        <f aca="false">IF(B13="","",SUMIFS(N_PCG,N_CLAVE,AA13))</f>
        <v>0</v>
      </c>
      <c r="O13" s="74" t="n">
        <f aca="false">IF(B13="","",SUMIFS(N_PSG,N_CLAVE,AA13))</f>
        <v>0</v>
      </c>
      <c r="P13" s="74" t="n">
        <f aca="false">IF(B13="","",SUMIFS(V_DIAS,V_ID,C13,V_MES,ENVIO_PER))</f>
        <v>0</v>
      </c>
      <c r="Q13" s="73" t="n">
        <f aca="false">IF(B13="","",SUMIFS(N_ATRASO,N_CLAVE,AA13))</f>
        <v>0</v>
      </c>
      <c r="R13" s="74" t="n">
        <f aca="false">IF(B13="","",SUMIFS(N_HE,N_CLAVE,AA13))</f>
        <v>0</v>
      </c>
      <c r="S13" s="71" t="n">
        <f aca="false">IF(B13="","",SUMIFS(N_ANT,N_CLAVE,AA13))</f>
        <v>150000</v>
      </c>
      <c r="T13" s="71" t="n">
        <f aca="false">IF(B13="","",SUMIFS(N_BONO,N_CLAVE,AA13))</f>
        <v>0</v>
      </c>
      <c r="U13" s="71" t="n">
        <f aca="false">IF(B13="","",SUMIFS(N_ONI,N_CLAVE,AA13))</f>
        <v>0</v>
      </c>
      <c r="V13" s="71" t="n">
        <f aca="false">IF(B13="","",SUMIFS(N_DESC,N_CLAVE,AA13))</f>
        <v>50000</v>
      </c>
      <c r="W13" s="72" t="str">
        <f aca="false">IF(B13="","",IFERROR(INDEX(N_OBS,MATCH(AA13,N_CLAVE,0))&amp;"",""))</f>
        <v>Cuota préstamo 3 de 5 · mes en curso</v>
      </c>
      <c r="X13" s="70" t="str">
        <f aca="false">IF(B13="","",IF(COUNTIF(N_CLAVE,AA13)&gt;0,"Sí","⚠ Sin registro"))</f>
        <v>Sí</v>
      </c>
      <c r="Z13" s="81" t="n">
        <f aca="false">IF(B13="","",MATCH(B13,T_AUX,0))</f>
        <v>4</v>
      </c>
      <c r="AA13" s="81" t="str">
        <f aca="false">IF(B13="","",C13&amp;"|"&amp;(YEAR(ENVIO_PER)*100+MONTH(ENVIO_PER)))</f>
        <v>T004|202610</v>
      </c>
      <c r="AB13" s="82" t="n">
        <f aca="false">IF(B13="","",INDEX(T_INGRESO,Z13))</f>
        <v>45110</v>
      </c>
      <c r="AC13" s="81" t="n">
        <f aca="false">IF(B13="","",N(INDEX(T_EGRESO,Z13)))</f>
        <v>0</v>
      </c>
      <c r="AD13" s="81" t="n">
        <f aca="false">IF(B13="","",IF(OR(AB13&gt;EOMONTH(ENVIO_PER,0),AND(AC13&gt;0,AC13&lt;ENVIO_PER)),0,IF(AND(AB13&lt;=ENVIO_PER,OR(AC13=0,AC13&gt;=EOMONTH(ENVIO_PER,0))),30,MIN(30,IF(AC13=0,EOMONTH(ENVIO_PER,0),MIN(AC13,EOMONTH(ENVIO_PER,0)))-MAX(ENVIO_PER,AB13)+1))))</f>
        <v>30</v>
      </c>
    </row>
    <row r="14" customFormat="false" ht="15" hidden="false" customHeight="false" outlineLevel="0" collapsed="false">
      <c r="B14" s="72" t="n">
        <f aca="false">IF(5&lt;=MAX(T_AUX),5,"")</f>
        <v>5</v>
      </c>
      <c r="C14" s="72" t="str">
        <f aca="false">IF(B14="","",INDEX(T_ID,Z14))</f>
        <v>T005</v>
      </c>
      <c r="D14" s="72" t="str">
        <f aca="false">IF(B14="","",INDEX(T_RUT,Z14)&amp;"")</f>
        <v>55.555.555-5</v>
      </c>
      <c r="E14" s="72" t="str">
        <f aca="false">IF(B14="","",INDEX(T_NOMBRE,Z14)&amp;"")</f>
        <v>Ana Díaz (EJEMPLO)</v>
      </c>
      <c r="F14" s="72" t="str">
        <f aca="false">IF(B14="","",INDEX(T_CARGO,Z14)&amp;"")</f>
        <v>Costurera</v>
      </c>
      <c r="G14" s="72" t="str">
        <f aca="false">IF(B14="","",IFERROR(INDEX(C_TIPO,MATCH(C14&amp;"-P"&amp;MAX(1,COUNTIFS(C_ID,C14,C_DEFINE,"Sí",C_INICIO,"&lt;="&amp;EOMONTH(ENVIO_PER,0))),C_CLAVE,0))&amp;"","Sin contrato"))</f>
        <v>Obra o faena</v>
      </c>
      <c r="H14" s="71" t="n">
        <f aca="false">IF(B14="","",IFERROR(INDEX(C_SUELDO,MATCH(C14&amp;"-S"&amp;MAX(1,COUNTIFS(C_ID,C14,C_SUELDO,"&lt;&gt;",C_INICIO,"&lt;="&amp;EOMONTH(ENVIO_PER,0))),C_CLAVES,0)),0))</f>
        <v>560000</v>
      </c>
      <c r="I14" s="70" t="str">
        <f aca="false">IF(B14="","",TRIM(IF(AND(AB14&gt;=ENVIO_PER,AB14&lt;=EOMONTH(ENVIO_PER,0)),"Ingresa el día "&amp;DAY(AB14)&amp;". ","")&amp;IF(AND(AC14&gt;0,AC14&gt;=ENVIO_PER,AC14&lt;=EOMONTH(ENVIO_PER,0)),"Egresa el día "&amp;DAY(AC14)&amp;".","")))</f>
        <v/>
      </c>
      <c r="J14" s="70" t="str">
        <f aca="false">IF(B14="","",IF(COUNTIFS(C_ID,C14,C_INICIO,"&gt;="&amp;ENVIO_PER,C_INICIO,"&lt;="&amp;EOMONTH(ENVIO_PER,0))&gt;0,COUNTIFS(C_ID,C14,C_INICIO,"&gt;="&amp;ENVIO_PER,C_INICIO,"&lt;="&amp;EOMONTH(ENVIO_PER,0))&amp;" documento(s) nuevo(s): ver Contratos",""))</f>
        <v/>
      </c>
      <c r="K14" s="74" t="n">
        <f aca="false">IF(B14="","",IF(COUNTIF(N_CLAVE,AA14)&gt;0,SUMIFS(N_DIAS,N_CLAVE,AA14),AD14))</f>
        <v>30</v>
      </c>
      <c r="L14" s="74" t="n">
        <f aca="false">IF(B14="","",SUMIFS(N_FALTAS,N_CLAVE,AA14))</f>
        <v>0</v>
      </c>
      <c r="M14" s="74" t="n">
        <f aca="false">IF(B14="","",SUMIFS(N_LIC,N_CLAVE,AA14))</f>
        <v>0</v>
      </c>
      <c r="N14" s="74" t="n">
        <f aca="false">IF(B14="","",SUMIFS(N_PCG,N_CLAVE,AA14))</f>
        <v>0</v>
      </c>
      <c r="O14" s="74" t="n">
        <f aca="false">IF(B14="","",SUMIFS(N_PSG,N_CLAVE,AA14))</f>
        <v>0</v>
      </c>
      <c r="P14" s="74" t="n">
        <f aca="false">IF(B14="","",SUMIFS(V_DIAS,V_ID,C14,V_MES,ENVIO_PER))</f>
        <v>0</v>
      </c>
      <c r="Q14" s="73" t="n">
        <f aca="false">IF(B14="","",SUMIFS(N_ATRASO,N_CLAVE,AA14))</f>
        <v>0</v>
      </c>
      <c r="R14" s="74" t="n">
        <f aca="false">IF(B14="","",SUMIFS(N_HE,N_CLAVE,AA14))</f>
        <v>0</v>
      </c>
      <c r="S14" s="71" t="n">
        <f aca="false">IF(B14="","",SUMIFS(N_ANT,N_CLAVE,AA14))</f>
        <v>0</v>
      </c>
      <c r="T14" s="71" t="n">
        <f aca="false">IF(B14="","",SUMIFS(N_BONO,N_CLAVE,AA14))</f>
        <v>0</v>
      </c>
      <c r="U14" s="71" t="n">
        <f aca="false">IF(B14="","",SUMIFS(N_ONI,N_CLAVE,AA14))</f>
        <v>0</v>
      </c>
      <c r="V14" s="71" t="n">
        <f aca="false">IF(B14="","",SUMIFS(N_DESC,N_CLAVE,AA14))</f>
        <v>0</v>
      </c>
      <c r="W14" s="72" t="str">
        <f aca="false">IF(B14="","",IFERROR(INDEX(N_OBS,MATCH(AA14,N_CLAVE,0))&amp;"",""))</f>
        <v/>
      </c>
      <c r="X14" s="70" t="str">
        <f aca="false">IF(B14="","",IF(COUNTIF(N_CLAVE,AA14)&gt;0,"Sí","⚠ Sin registro"))</f>
        <v>⚠ Sin registro</v>
      </c>
      <c r="Z14" s="81" t="n">
        <f aca="false">IF(B14="","",MATCH(B14,T_AUX,0))</f>
        <v>5</v>
      </c>
      <c r="AA14" s="81" t="str">
        <f aca="false">IF(B14="","",C14&amp;"|"&amp;(YEAR(ENVIO_PER)*100+MONTH(ENVIO_PER)))</f>
        <v>T005|202610</v>
      </c>
      <c r="AB14" s="82" t="n">
        <f aca="false">IF(B14="","",INDEX(T_INGRESO,Z14))</f>
        <v>46266</v>
      </c>
      <c r="AC14" s="81" t="n">
        <f aca="false">IF(B14="","",N(INDEX(T_EGRESO,Z14)))</f>
        <v>0</v>
      </c>
      <c r="AD14" s="81" t="n">
        <f aca="false">IF(B14="","",IF(OR(AB14&gt;EOMONTH(ENVIO_PER,0),AND(AC14&gt;0,AC14&lt;ENVIO_PER)),0,IF(AND(AB14&lt;=ENVIO_PER,OR(AC14=0,AC14&gt;=EOMONTH(ENVIO_PER,0))),30,MIN(30,IF(AC14=0,EOMONTH(ENVIO_PER,0),MIN(AC14,EOMONTH(ENVIO_PER,0)))-MAX(ENVIO_PER,AB14)+1))))</f>
        <v>30</v>
      </c>
    </row>
    <row r="15" customFormat="false" ht="15" hidden="false" customHeight="false" outlineLevel="0" collapsed="false">
      <c r="B15" s="72" t="str">
        <f aca="false">IF(6&lt;=MAX(T_AUX),6,"")</f>
        <v/>
      </c>
      <c r="C15" s="72" t="str">
        <f aca="false">IF(B15="","",INDEX(T_ID,Z15))</f>
        <v/>
      </c>
      <c r="D15" s="72" t="str">
        <f aca="false">IF(B15="","",INDEX(T_RUT,Z15)&amp;"")</f>
        <v/>
      </c>
      <c r="E15" s="72" t="str">
        <f aca="false">IF(B15="","",INDEX(T_NOMBRE,Z15)&amp;"")</f>
        <v/>
      </c>
      <c r="F15" s="72" t="str">
        <f aca="false">IF(B15="","",INDEX(T_CARGO,Z15)&amp;"")</f>
        <v/>
      </c>
      <c r="G15" s="72" t="str">
        <f aca="false">IF(B15="","",IFERROR(INDEX(C_TIPO,MATCH(C15&amp;"-P"&amp;MAX(1,COUNTIFS(C_ID,C15,C_DEFINE,"Sí",C_INICIO,"&lt;="&amp;EOMONTH(ENVIO_PER,0))),C_CLAVE,0))&amp;"","Sin contrato"))</f>
        <v/>
      </c>
      <c r="H15" s="71" t="str">
        <f aca="false">IF(B15="","",IFERROR(INDEX(C_SUELDO,MATCH(C15&amp;"-S"&amp;MAX(1,COUNTIFS(C_ID,C15,C_SUELDO,"&lt;&gt;",C_INICIO,"&lt;="&amp;EOMONTH(ENVIO_PER,0))),C_CLAVES,0)),0))</f>
        <v/>
      </c>
      <c r="I15" s="70" t="str">
        <f aca="false">IF(B15="","",TRIM(IF(AND(AB15&gt;=ENVIO_PER,AB15&lt;=EOMONTH(ENVIO_PER,0)),"Ingresa el día "&amp;DAY(AB15)&amp;". ","")&amp;IF(AND(AC15&gt;0,AC15&gt;=ENVIO_PER,AC15&lt;=EOMONTH(ENVIO_PER,0)),"Egresa el día "&amp;DAY(AC15)&amp;".","")))</f>
        <v/>
      </c>
      <c r="J15" s="70" t="str">
        <f aca="false">IF(B15="","",IF(COUNTIFS(C_ID,C15,C_INICIO,"&gt;="&amp;ENVIO_PER,C_INICIO,"&lt;="&amp;EOMONTH(ENVIO_PER,0))&gt;0,COUNTIFS(C_ID,C15,C_INICIO,"&gt;="&amp;ENVIO_PER,C_INICIO,"&lt;="&amp;EOMONTH(ENVIO_PER,0))&amp;" documento(s) nuevo(s): ver Contratos",""))</f>
        <v/>
      </c>
      <c r="K15" s="74" t="str">
        <f aca="false">IF(B15="","",IF(COUNTIF(N_CLAVE,AA15)&gt;0,SUMIFS(N_DIAS,N_CLAVE,AA15),AD15))</f>
        <v/>
      </c>
      <c r="L15" s="74" t="str">
        <f aca="false">IF(B15="","",SUMIFS(N_FALTAS,N_CLAVE,AA15))</f>
        <v/>
      </c>
      <c r="M15" s="74" t="str">
        <f aca="false">IF(B15="","",SUMIFS(N_LIC,N_CLAVE,AA15))</f>
        <v/>
      </c>
      <c r="N15" s="74" t="str">
        <f aca="false">IF(B15="","",SUMIFS(N_PCG,N_CLAVE,AA15))</f>
        <v/>
      </c>
      <c r="O15" s="74" t="str">
        <f aca="false">IF(B15="","",SUMIFS(N_PSG,N_CLAVE,AA15))</f>
        <v/>
      </c>
      <c r="P15" s="74" t="str">
        <f aca="false">IF(B15="","",SUMIFS(V_DIAS,V_ID,C15,V_MES,ENVIO_PER))</f>
        <v/>
      </c>
      <c r="Q15" s="73" t="str">
        <f aca="false">IF(B15="","",SUMIFS(N_ATRASO,N_CLAVE,AA15))</f>
        <v/>
      </c>
      <c r="R15" s="74" t="str">
        <f aca="false">IF(B15="","",SUMIFS(N_HE,N_CLAVE,AA15))</f>
        <v/>
      </c>
      <c r="S15" s="71" t="str">
        <f aca="false">IF(B15="","",SUMIFS(N_ANT,N_CLAVE,AA15))</f>
        <v/>
      </c>
      <c r="T15" s="71" t="str">
        <f aca="false">IF(B15="","",SUMIFS(N_BONO,N_CLAVE,AA15))</f>
        <v/>
      </c>
      <c r="U15" s="71" t="str">
        <f aca="false">IF(B15="","",SUMIFS(N_ONI,N_CLAVE,AA15))</f>
        <v/>
      </c>
      <c r="V15" s="71" t="str">
        <f aca="false">IF(B15="","",SUMIFS(N_DESC,N_CLAVE,AA15))</f>
        <v/>
      </c>
      <c r="W15" s="72" t="str">
        <f aca="false">IF(B15="","",IFERROR(INDEX(N_OBS,MATCH(AA15,N_CLAVE,0))&amp;"",""))</f>
        <v/>
      </c>
      <c r="X15" s="70" t="str">
        <f aca="false">IF(B15="","",IF(COUNTIF(N_CLAVE,AA15)&gt;0,"Sí","⚠ Sin registro"))</f>
        <v/>
      </c>
      <c r="Z15" s="81" t="str">
        <f aca="false">IF(B15="","",MATCH(B15,T_AUX,0))</f>
        <v/>
      </c>
      <c r="AA15" s="81" t="str">
        <f aca="false">IF(B15="","",C15&amp;"|"&amp;(YEAR(ENVIO_PER)*100+MONTH(ENVIO_PER)))</f>
        <v/>
      </c>
      <c r="AB15" s="81" t="str">
        <f aca="false">IF(B15="","",INDEX(T_INGRESO,Z15))</f>
        <v/>
      </c>
      <c r="AC15" s="81" t="str">
        <f aca="false">IF(B15="","",N(INDEX(T_EGRESO,Z15)))</f>
        <v/>
      </c>
      <c r="AD15" s="81" t="str">
        <f aca="false">IF(B15="","",IF(OR(AB15&gt;EOMONTH(ENVIO_PER,0),AND(AC15&gt;0,AC15&lt;ENVIO_PER)),0,IF(AND(AB15&lt;=ENVIO_PER,OR(AC15=0,AC15&gt;=EOMONTH(ENVIO_PER,0))),30,MIN(30,IF(AC15=0,EOMONTH(ENVIO_PER,0),MIN(AC15,EOMONTH(ENVIO_PER,0)))-MAX(ENVIO_PER,AB15)+1))))</f>
        <v/>
      </c>
    </row>
    <row r="16" customFormat="false" ht="15" hidden="false" customHeight="false" outlineLevel="0" collapsed="false">
      <c r="B16" s="72" t="str">
        <f aca="false">IF(7&lt;=MAX(T_AUX),7,"")</f>
        <v/>
      </c>
      <c r="C16" s="72" t="str">
        <f aca="false">IF(B16="","",INDEX(T_ID,Z16))</f>
        <v/>
      </c>
      <c r="D16" s="72" t="str">
        <f aca="false">IF(B16="","",INDEX(T_RUT,Z16)&amp;"")</f>
        <v/>
      </c>
      <c r="E16" s="72" t="str">
        <f aca="false">IF(B16="","",INDEX(T_NOMBRE,Z16)&amp;"")</f>
        <v/>
      </c>
      <c r="F16" s="72" t="str">
        <f aca="false">IF(B16="","",INDEX(T_CARGO,Z16)&amp;"")</f>
        <v/>
      </c>
      <c r="G16" s="72" t="str">
        <f aca="false">IF(B16="","",IFERROR(INDEX(C_TIPO,MATCH(C16&amp;"-P"&amp;MAX(1,COUNTIFS(C_ID,C16,C_DEFINE,"Sí",C_INICIO,"&lt;="&amp;EOMONTH(ENVIO_PER,0))),C_CLAVE,0))&amp;"","Sin contrato"))</f>
        <v/>
      </c>
      <c r="H16" s="71" t="str">
        <f aca="false">IF(B16="","",IFERROR(INDEX(C_SUELDO,MATCH(C16&amp;"-S"&amp;MAX(1,COUNTIFS(C_ID,C16,C_SUELDO,"&lt;&gt;",C_INICIO,"&lt;="&amp;EOMONTH(ENVIO_PER,0))),C_CLAVES,0)),0))</f>
        <v/>
      </c>
      <c r="I16" s="70" t="str">
        <f aca="false">IF(B16="","",TRIM(IF(AND(AB16&gt;=ENVIO_PER,AB16&lt;=EOMONTH(ENVIO_PER,0)),"Ingresa el día "&amp;DAY(AB16)&amp;". ","")&amp;IF(AND(AC16&gt;0,AC16&gt;=ENVIO_PER,AC16&lt;=EOMONTH(ENVIO_PER,0)),"Egresa el día "&amp;DAY(AC16)&amp;".","")))</f>
        <v/>
      </c>
      <c r="J16" s="70" t="str">
        <f aca="false">IF(B16="","",IF(COUNTIFS(C_ID,C16,C_INICIO,"&gt;="&amp;ENVIO_PER,C_INICIO,"&lt;="&amp;EOMONTH(ENVIO_PER,0))&gt;0,COUNTIFS(C_ID,C16,C_INICIO,"&gt;="&amp;ENVIO_PER,C_INICIO,"&lt;="&amp;EOMONTH(ENVIO_PER,0))&amp;" documento(s) nuevo(s): ver Contratos",""))</f>
        <v/>
      </c>
      <c r="K16" s="74" t="str">
        <f aca="false">IF(B16="","",IF(COUNTIF(N_CLAVE,AA16)&gt;0,SUMIFS(N_DIAS,N_CLAVE,AA16),AD16))</f>
        <v/>
      </c>
      <c r="L16" s="74" t="str">
        <f aca="false">IF(B16="","",SUMIFS(N_FALTAS,N_CLAVE,AA16))</f>
        <v/>
      </c>
      <c r="M16" s="74" t="str">
        <f aca="false">IF(B16="","",SUMIFS(N_LIC,N_CLAVE,AA16))</f>
        <v/>
      </c>
      <c r="N16" s="74" t="str">
        <f aca="false">IF(B16="","",SUMIFS(N_PCG,N_CLAVE,AA16))</f>
        <v/>
      </c>
      <c r="O16" s="74" t="str">
        <f aca="false">IF(B16="","",SUMIFS(N_PSG,N_CLAVE,AA16))</f>
        <v/>
      </c>
      <c r="P16" s="74" t="str">
        <f aca="false">IF(B16="","",SUMIFS(V_DIAS,V_ID,C16,V_MES,ENVIO_PER))</f>
        <v/>
      </c>
      <c r="Q16" s="73" t="str">
        <f aca="false">IF(B16="","",SUMIFS(N_ATRASO,N_CLAVE,AA16))</f>
        <v/>
      </c>
      <c r="R16" s="74" t="str">
        <f aca="false">IF(B16="","",SUMIFS(N_HE,N_CLAVE,AA16))</f>
        <v/>
      </c>
      <c r="S16" s="71" t="str">
        <f aca="false">IF(B16="","",SUMIFS(N_ANT,N_CLAVE,AA16))</f>
        <v/>
      </c>
      <c r="T16" s="71" t="str">
        <f aca="false">IF(B16="","",SUMIFS(N_BONO,N_CLAVE,AA16))</f>
        <v/>
      </c>
      <c r="U16" s="71" t="str">
        <f aca="false">IF(B16="","",SUMIFS(N_ONI,N_CLAVE,AA16))</f>
        <v/>
      </c>
      <c r="V16" s="71" t="str">
        <f aca="false">IF(B16="","",SUMIFS(N_DESC,N_CLAVE,AA16))</f>
        <v/>
      </c>
      <c r="W16" s="72" t="str">
        <f aca="false">IF(B16="","",IFERROR(INDEX(N_OBS,MATCH(AA16,N_CLAVE,0))&amp;"",""))</f>
        <v/>
      </c>
      <c r="X16" s="70" t="str">
        <f aca="false">IF(B16="","",IF(COUNTIF(N_CLAVE,AA16)&gt;0,"Sí","⚠ Sin registro"))</f>
        <v/>
      </c>
      <c r="Z16" s="81" t="str">
        <f aca="false">IF(B16="","",MATCH(B16,T_AUX,0))</f>
        <v/>
      </c>
      <c r="AA16" s="81" t="str">
        <f aca="false">IF(B16="","",C16&amp;"|"&amp;(YEAR(ENVIO_PER)*100+MONTH(ENVIO_PER)))</f>
        <v/>
      </c>
      <c r="AB16" s="81" t="str">
        <f aca="false">IF(B16="","",INDEX(T_INGRESO,Z16))</f>
        <v/>
      </c>
      <c r="AC16" s="81" t="str">
        <f aca="false">IF(B16="","",N(INDEX(T_EGRESO,Z16)))</f>
        <v/>
      </c>
      <c r="AD16" s="81" t="str">
        <f aca="false">IF(B16="","",IF(OR(AB16&gt;EOMONTH(ENVIO_PER,0),AND(AC16&gt;0,AC16&lt;ENVIO_PER)),0,IF(AND(AB16&lt;=ENVIO_PER,OR(AC16=0,AC16&gt;=EOMONTH(ENVIO_PER,0))),30,MIN(30,IF(AC16=0,EOMONTH(ENVIO_PER,0),MIN(AC16,EOMONTH(ENVIO_PER,0)))-MAX(ENVIO_PER,AB16)+1))))</f>
        <v/>
      </c>
    </row>
    <row r="17" customFormat="false" ht="15" hidden="false" customHeight="false" outlineLevel="0" collapsed="false">
      <c r="B17" s="72" t="str">
        <f aca="false">IF(8&lt;=MAX(T_AUX),8,"")</f>
        <v/>
      </c>
      <c r="C17" s="72" t="str">
        <f aca="false">IF(B17="","",INDEX(T_ID,Z17))</f>
        <v/>
      </c>
      <c r="D17" s="72" t="str">
        <f aca="false">IF(B17="","",INDEX(T_RUT,Z17)&amp;"")</f>
        <v/>
      </c>
      <c r="E17" s="72" t="str">
        <f aca="false">IF(B17="","",INDEX(T_NOMBRE,Z17)&amp;"")</f>
        <v/>
      </c>
      <c r="F17" s="72" t="str">
        <f aca="false">IF(B17="","",INDEX(T_CARGO,Z17)&amp;"")</f>
        <v/>
      </c>
      <c r="G17" s="72" t="str">
        <f aca="false">IF(B17="","",IFERROR(INDEX(C_TIPO,MATCH(C17&amp;"-P"&amp;MAX(1,COUNTIFS(C_ID,C17,C_DEFINE,"Sí",C_INICIO,"&lt;="&amp;EOMONTH(ENVIO_PER,0))),C_CLAVE,0))&amp;"","Sin contrato"))</f>
        <v/>
      </c>
      <c r="H17" s="71" t="str">
        <f aca="false">IF(B17="","",IFERROR(INDEX(C_SUELDO,MATCH(C17&amp;"-S"&amp;MAX(1,COUNTIFS(C_ID,C17,C_SUELDO,"&lt;&gt;",C_INICIO,"&lt;="&amp;EOMONTH(ENVIO_PER,0))),C_CLAVES,0)),0))</f>
        <v/>
      </c>
      <c r="I17" s="70" t="str">
        <f aca="false">IF(B17="","",TRIM(IF(AND(AB17&gt;=ENVIO_PER,AB17&lt;=EOMONTH(ENVIO_PER,0)),"Ingresa el día "&amp;DAY(AB17)&amp;". ","")&amp;IF(AND(AC17&gt;0,AC17&gt;=ENVIO_PER,AC17&lt;=EOMONTH(ENVIO_PER,0)),"Egresa el día "&amp;DAY(AC17)&amp;".","")))</f>
        <v/>
      </c>
      <c r="J17" s="70" t="str">
        <f aca="false">IF(B17="","",IF(COUNTIFS(C_ID,C17,C_INICIO,"&gt;="&amp;ENVIO_PER,C_INICIO,"&lt;="&amp;EOMONTH(ENVIO_PER,0))&gt;0,COUNTIFS(C_ID,C17,C_INICIO,"&gt;="&amp;ENVIO_PER,C_INICIO,"&lt;="&amp;EOMONTH(ENVIO_PER,0))&amp;" documento(s) nuevo(s): ver Contratos",""))</f>
        <v/>
      </c>
      <c r="K17" s="74" t="str">
        <f aca="false">IF(B17="","",IF(COUNTIF(N_CLAVE,AA17)&gt;0,SUMIFS(N_DIAS,N_CLAVE,AA17),AD17))</f>
        <v/>
      </c>
      <c r="L17" s="74" t="str">
        <f aca="false">IF(B17="","",SUMIFS(N_FALTAS,N_CLAVE,AA17))</f>
        <v/>
      </c>
      <c r="M17" s="74" t="str">
        <f aca="false">IF(B17="","",SUMIFS(N_LIC,N_CLAVE,AA17))</f>
        <v/>
      </c>
      <c r="N17" s="74" t="str">
        <f aca="false">IF(B17="","",SUMIFS(N_PCG,N_CLAVE,AA17))</f>
        <v/>
      </c>
      <c r="O17" s="74" t="str">
        <f aca="false">IF(B17="","",SUMIFS(N_PSG,N_CLAVE,AA17))</f>
        <v/>
      </c>
      <c r="P17" s="74" t="str">
        <f aca="false">IF(B17="","",SUMIFS(V_DIAS,V_ID,C17,V_MES,ENVIO_PER))</f>
        <v/>
      </c>
      <c r="Q17" s="73" t="str">
        <f aca="false">IF(B17="","",SUMIFS(N_ATRASO,N_CLAVE,AA17))</f>
        <v/>
      </c>
      <c r="R17" s="74" t="str">
        <f aca="false">IF(B17="","",SUMIFS(N_HE,N_CLAVE,AA17))</f>
        <v/>
      </c>
      <c r="S17" s="71" t="str">
        <f aca="false">IF(B17="","",SUMIFS(N_ANT,N_CLAVE,AA17))</f>
        <v/>
      </c>
      <c r="T17" s="71" t="str">
        <f aca="false">IF(B17="","",SUMIFS(N_BONO,N_CLAVE,AA17))</f>
        <v/>
      </c>
      <c r="U17" s="71" t="str">
        <f aca="false">IF(B17="","",SUMIFS(N_ONI,N_CLAVE,AA17))</f>
        <v/>
      </c>
      <c r="V17" s="71" t="str">
        <f aca="false">IF(B17="","",SUMIFS(N_DESC,N_CLAVE,AA17))</f>
        <v/>
      </c>
      <c r="W17" s="72" t="str">
        <f aca="false">IF(B17="","",IFERROR(INDEX(N_OBS,MATCH(AA17,N_CLAVE,0))&amp;"",""))</f>
        <v/>
      </c>
      <c r="X17" s="70" t="str">
        <f aca="false">IF(B17="","",IF(COUNTIF(N_CLAVE,AA17)&gt;0,"Sí","⚠ Sin registro"))</f>
        <v/>
      </c>
      <c r="Z17" s="81" t="str">
        <f aca="false">IF(B17="","",MATCH(B17,T_AUX,0))</f>
        <v/>
      </c>
      <c r="AA17" s="81" t="str">
        <f aca="false">IF(B17="","",C17&amp;"|"&amp;(YEAR(ENVIO_PER)*100+MONTH(ENVIO_PER)))</f>
        <v/>
      </c>
      <c r="AB17" s="81" t="str">
        <f aca="false">IF(B17="","",INDEX(T_INGRESO,Z17))</f>
        <v/>
      </c>
      <c r="AC17" s="81" t="str">
        <f aca="false">IF(B17="","",N(INDEX(T_EGRESO,Z17)))</f>
        <v/>
      </c>
      <c r="AD17" s="81" t="str">
        <f aca="false">IF(B17="","",IF(OR(AB17&gt;EOMONTH(ENVIO_PER,0),AND(AC17&gt;0,AC17&lt;ENVIO_PER)),0,IF(AND(AB17&lt;=ENVIO_PER,OR(AC17=0,AC17&gt;=EOMONTH(ENVIO_PER,0))),30,MIN(30,IF(AC17=0,EOMONTH(ENVIO_PER,0),MIN(AC17,EOMONTH(ENVIO_PER,0)))-MAX(ENVIO_PER,AB17)+1))))</f>
        <v/>
      </c>
    </row>
    <row r="18" customFormat="false" ht="15" hidden="false" customHeight="false" outlineLevel="0" collapsed="false">
      <c r="B18" s="72" t="str">
        <f aca="false">IF(9&lt;=MAX(T_AUX),9,"")</f>
        <v/>
      </c>
      <c r="C18" s="72" t="str">
        <f aca="false">IF(B18="","",INDEX(T_ID,Z18))</f>
        <v/>
      </c>
      <c r="D18" s="72" t="str">
        <f aca="false">IF(B18="","",INDEX(T_RUT,Z18)&amp;"")</f>
        <v/>
      </c>
      <c r="E18" s="72" t="str">
        <f aca="false">IF(B18="","",INDEX(T_NOMBRE,Z18)&amp;"")</f>
        <v/>
      </c>
      <c r="F18" s="72" t="str">
        <f aca="false">IF(B18="","",INDEX(T_CARGO,Z18)&amp;"")</f>
        <v/>
      </c>
      <c r="G18" s="72" t="str">
        <f aca="false">IF(B18="","",IFERROR(INDEX(C_TIPO,MATCH(C18&amp;"-P"&amp;MAX(1,COUNTIFS(C_ID,C18,C_DEFINE,"Sí",C_INICIO,"&lt;="&amp;EOMONTH(ENVIO_PER,0))),C_CLAVE,0))&amp;"","Sin contrato"))</f>
        <v/>
      </c>
      <c r="H18" s="71" t="str">
        <f aca="false">IF(B18="","",IFERROR(INDEX(C_SUELDO,MATCH(C18&amp;"-S"&amp;MAX(1,COUNTIFS(C_ID,C18,C_SUELDO,"&lt;&gt;",C_INICIO,"&lt;="&amp;EOMONTH(ENVIO_PER,0))),C_CLAVES,0)),0))</f>
        <v/>
      </c>
      <c r="I18" s="70" t="str">
        <f aca="false">IF(B18="","",TRIM(IF(AND(AB18&gt;=ENVIO_PER,AB18&lt;=EOMONTH(ENVIO_PER,0)),"Ingresa el día "&amp;DAY(AB18)&amp;". ","")&amp;IF(AND(AC18&gt;0,AC18&gt;=ENVIO_PER,AC18&lt;=EOMONTH(ENVIO_PER,0)),"Egresa el día "&amp;DAY(AC18)&amp;".","")))</f>
        <v/>
      </c>
      <c r="J18" s="70" t="str">
        <f aca="false">IF(B18="","",IF(COUNTIFS(C_ID,C18,C_INICIO,"&gt;="&amp;ENVIO_PER,C_INICIO,"&lt;="&amp;EOMONTH(ENVIO_PER,0))&gt;0,COUNTIFS(C_ID,C18,C_INICIO,"&gt;="&amp;ENVIO_PER,C_INICIO,"&lt;="&amp;EOMONTH(ENVIO_PER,0))&amp;" documento(s) nuevo(s): ver Contratos",""))</f>
        <v/>
      </c>
      <c r="K18" s="74" t="str">
        <f aca="false">IF(B18="","",IF(COUNTIF(N_CLAVE,AA18)&gt;0,SUMIFS(N_DIAS,N_CLAVE,AA18),AD18))</f>
        <v/>
      </c>
      <c r="L18" s="74" t="str">
        <f aca="false">IF(B18="","",SUMIFS(N_FALTAS,N_CLAVE,AA18))</f>
        <v/>
      </c>
      <c r="M18" s="74" t="str">
        <f aca="false">IF(B18="","",SUMIFS(N_LIC,N_CLAVE,AA18))</f>
        <v/>
      </c>
      <c r="N18" s="74" t="str">
        <f aca="false">IF(B18="","",SUMIFS(N_PCG,N_CLAVE,AA18))</f>
        <v/>
      </c>
      <c r="O18" s="74" t="str">
        <f aca="false">IF(B18="","",SUMIFS(N_PSG,N_CLAVE,AA18))</f>
        <v/>
      </c>
      <c r="P18" s="74" t="str">
        <f aca="false">IF(B18="","",SUMIFS(V_DIAS,V_ID,C18,V_MES,ENVIO_PER))</f>
        <v/>
      </c>
      <c r="Q18" s="73" t="str">
        <f aca="false">IF(B18="","",SUMIFS(N_ATRASO,N_CLAVE,AA18))</f>
        <v/>
      </c>
      <c r="R18" s="74" t="str">
        <f aca="false">IF(B18="","",SUMIFS(N_HE,N_CLAVE,AA18))</f>
        <v/>
      </c>
      <c r="S18" s="71" t="str">
        <f aca="false">IF(B18="","",SUMIFS(N_ANT,N_CLAVE,AA18))</f>
        <v/>
      </c>
      <c r="T18" s="71" t="str">
        <f aca="false">IF(B18="","",SUMIFS(N_BONO,N_CLAVE,AA18))</f>
        <v/>
      </c>
      <c r="U18" s="71" t="str">
        <f aca="false">IF(B18="","",SUMIFS(N_ONI,N_CLAVE,AA18))</f>
        <v/>
      </c>
      <c r="V18" s="71" t="str">
        <f aca="false">IF(B18="","",SUMIFS(N_DESC,N_CLAVE,AA18))</f>
        <v/>
      </c>
      <c r="W18" s="72" t="str">
        <f aca="false">IF(B18="","",IFERROR(INDEX(N_OBS,MATCH(AA18,N_CLAVE,0))&amp;"",""))</f>
        <v/>
      </c>
      <c r="X18" s="70" t="str">
        <f aca="false">IF(B18="","",IF(COUNTIF(N_CLAVE,AA18)&gt;0,"Sí","⚠ Sin registro"))</f>
        <v/>
      </c>
      <c r="Z18" s="81" t="str">
        <f aca="false">IF(B18="","",MATCH(B18,T_AUX,0))</f>
        <v/>
      </c>
      <c r="AA18" s="81" t="str">
        <f aca="false">IF(B18="","",C18&amp;"|"&amp;(YEAR(ENVIO_PER)*100+MONTH(ENVIO_PER)))</f>
        <v/>
      </c>
      <c r="AB18" s="81" t="str">
        <f aca="false">IF(B18="","",INDEX(T_INGRESO,Z18))</f>
        <v/>
      </c>
      <c r="AC18" s="81" t="str">
        <f aca="false">IF(B18="","",N(INDEX(T_EGRESO,Z18)))</f>
        <v/>
      </c>
      <c r="AD18" s="81" t="str">
        <f aca="false">IF(B18="","",IF(OR(AB18&gt;EOMONTH(ENVIO_PER,0),AND(AC18&gt;0,AC18&lt;ENVIO_PER)),0,IF(AND(AB18&lt;=ENVIO_PER,OR(AC18=0,AC18&gt;=EOMONTH(ENVIO_PER,0))),30,MIN(30,IF(AC18=0,EOMONTH(ENVIO_PER,0),MIN(AC18,EOMONTH(ENVIO_PER,0)))-MAX(ENVIO_PER,AB18)+1))))</f>
        <v/>
      </c>
    </row>
    <row r="19" customFormat="false" ht="15" hidden="false" customHeight="false" outlineLevel="0" collapsed="false">
      <c r="B19" s="72" t="str">
        <f aca="false">IF(10&lt;=MAX(T_AUX),10,"")</f>
        <v/>
      </c>
      <c r="C19" s="72" t="str">
        <f aca="false">IF(B19="","",INDEX(T_ID,Z19))</f>
        <v/>
      </c>
      <c r="D19" s="72" t="str">
        <f aca="false">IF(B19="","",INDEX(T_RUT,Z19)&amp;"")</f>
        <v/>
      </c>
      <c r="E19" s="72" t="str">
        <f aca="false">IF(B19="","",INDEX(T_NOMBRE,Z19)&amp;"")</f>
        <v/>
      </c>
      <c r="F19" s="72" t="str">
        <f aca="false">IF(B19="","",INDEX(T_CARGO,Z19)&amp;"")</f>
        <v/>
      </c>
      <c r="G19" s="72" t="str">
        <f aca="false">IF(B19="","",IFERROR(INDEX(C_TIPO,MATCH(C19&amp;"-P"&amp;MAX(1,COUNTIFS(C_ID,C19,C_DEFINE,"Sí",C_INICIO,"&lt;="&amp;EOMONTH(ENVIO_PER,0))),C_CLAVE,0))&amp;"","Sin contrato"))</f>
        <v/>
      </c>
      <c r="H19" s="71" t="str">
        <f aca="false">IF(B19="","",IFERROR(INDEX(C_SUELDO,MATCH(C19&amp;"-S"&amp;MAX(1,COUNTIFS(C_ID,C19,C_SUELDO,"&lt;&gt;",C_INICIO,"&lt;="&amp;EOMONTH(ENVIO_PER,0))),C_CLAVES,0)),0))</f>
        <v/>
      </c>
      <c r="I19" s="70" t="str">
        <f aca="false">IF(B19="","",TRIM(IF(AND(AB19&gt;=ENVIO_PER,AB19&lt;=EOMONTH(ENVIO_PER,0)),"Ingresa el día "&amp;DAY(AB19)&amp;". ","")&amp;IF(AND(AC19&gt;0,AC19&gt;=ENVIO_PER,AC19&lt;=EOMONTH(ENVIO_PER,0)),"Egresa el día "&amp;DAY(AC19)&amp;".","")))</f>
        <v/>
      </c>
      <c r="J19" s="70" t="str">
        <f aca="false">IF(B19="","",IF(COUNTIFS(C_ID,C19,C_INICIO,"&gt;="&amp;ENVIO_PER,C_INICIO,"&lt;="&amp;EOMONTH(ENVIO_PER,0))&gt;0,COUNTIFS(C_ID,C19,C_INICIO,"&gt;="&amp;ENVIO_PER,C_INICIO,"&lt;="&amp;EOMONTH(ENVIO_PER,0))&amp;" documento(s) nuevo(s): ver Contratos",""))</f>
        <v/>
      </c>
      <c r="K19" s="74" t="str">
        <f aca="false">IF(B19="","",IF(COUNTIF(N_CLAVE,AA19)&gt;0,SUMIFS(N_DIAS,N_CLAVE,AA19),AD19))</f>
        <v/>
      </c>
      <c r="L19" s="74" t="str">
        <f aca="false">IF(B19="","",SUMIFS(N_FALTAS,N_CLAVE,AA19))</f>
        <v/>
      </c>
      <c r="M19" s="74" t="str">
        <f aca="false">IF(B19="","",SUMIFS(N_LIC,N_CLAVE,AA19))</f>
        <v/>
      </c>
      <c r="N19" s="74" t="str">
        <f aca="false">IF(B19="","",SUMIFS(N_PCG,N_CLAVE,AA19))</f>
        <v/>
      </c>
      <c r="O19" s="74" t="str">
        <f aca="false">IF(B19="","",SUMIFS(N_PSG,N_CLAVE,AA19))</f>
        <v/>
      </c>
      <c r="P19" s="74" t="str">
        <f aca="false">IF(B19="","",SUMIFS(V_DIAS,V_ID,C19,V_MES,ENVIO_PER))</f>
        <v/>
      </c>
      <c r="Q19" s="73" t="str">
        <f aca="false">IF(B19="","",SUMIFS(N_ATRASO,N_CLAVE,AA19))</f>
        <v/>
      </c>
      <c r="R19" s="74" t="str">
        <f aca="false">IF(B19="","",SUMIFS(N_HE,N_CLAVE,AA19))</f>
        <v/>
      </c>
      <c r="S19" s="71" t="str">
        <f aca="false">IF(B19="","",SUMIFS(N_ANT,N_CLAVE,AA19))</f>
        <v/>
      </c>
      <c r="T19" s="71" t="str">
        <f aca="false">IF(B19="","",SUMIFS(N_BONO,N_CLAVE,AA19))</f>
        <v/>
      </c>
      <c r="U19" s="71" t="str">
        <f aca="false">IF(B19="","",SUMIFS(N_ONI,N_CLAVE,AA19))</f>
        <v/>
      </c>
      <c r="V19" s="71" t="str">
        <f aca="false">IF(B19="","",SUMIFS(N_DESC,N_CLAVE,AA19))</f>
        <v/>
      </c>
      <c r="W19" s="72" t="str">
        <f aca="false">IF(B19="","",IFERROR(INDEX(N_OBS,MATCH(AA19,N_CLAVE,0))&amp;"",""))</f>
        <v/>
      </c>
      <c r="X19" s="70" t="str">
        <f aca="false">IF(B19="","",IF(COUNTIF(N_CLAVE,AA19)&gt;0,"Sí","⚠ Sin registro"))</f>
        <v/>
      </c>
      <c r="Z19" s="81" t="str">
        <f aca="false">IF(B19="","",MATCH(B19,T_AUX,0))</f>
        <v/>
      </c>
      <c r="AA19" s="81" t="str">
        <f aca="false">IF(B19="","",C19&amp;"|"&amp;(YEAR(ENVIO_PER)*100+MONTH(ENVIO_PER)))</f>
        <v/>
      </c>
      <c r="AB19" s="81" t="str">
        <f aca="false">IF(B19="","",INDEX(T_INGRESO,Z19))</f>
        <v/>
      </c>
      <c r="AC19" s="81" t="str">
        <f aca="false">IF(B19="","",N(INDEX(T_EGRESO,Z19)))</f>
        <v/>
      </c>
      <c r="AD19" s="81" t="str">
        <f aca="false">IF(B19="","",IF(OR(AB19&gt;EOMONTH(ENVIO_PER,0),AND(AC19&gt;0,AC19&lt;ENVIO_PER)),0,IF(AND(AB19&lt;=ENVIO_PER,OR(AC19=0,AC19&gt;=EOMONTH(ENVIO_PER,0))),30,MIN(30,IF(AC19=0,EOMONTH(ENVIO_PER,0),MIN(AC19,EOMONTH(ENVIO_PER,0)))-MAX(ENVIO_PER,AB19)+1))))</f>
        <v/>
      </c>
    </row>
    <row r="20" customFormat="false" ht="15" hidden="false" customHeight="false" outlineLevel="0" collapsed="false">
      <c r="B20" s="72" t="str">
        <f aca="false">IF(11&lt;=MAX(T_AUX),11,"")</f>
        <v/>
      </c>
      <c r="C20" s="72" t="str">
        <f aca="false">IF(B20="","",INDEX(T_ID,Z20))</f>
        <v/>
      </c>
      <c r="D20" s="72" t="str">
        <f aca="false">IF(B20="","",INDEX(T_RUT,Z20)&amp;"")</f>
        <v/>
      </c>
      <c r="E20" s="72" t="str">
        <f aca="false">IF(B20="","",INDEX(T_NOMBRE,Z20)&amp;"")</f>
        <v/>
      </c>
      <c r="F20" s="72" t="str">
        <f aca="false">IF(B20="","",INDEX(T_CARGO,Z20)&amp;"")</f>
        <v/>
      </c>
      <c r="G20" s="72" t="str">
        <f aca="false">IF(B20="","",IFERROR(INDEX(C_TIPO,MATCH(C20&amp;"-P"&amp;MAX(1,COUNTIFS(C_ID,C20,C_DEFINE,"Sí",C_INICIO,"&lt;="&amp;EOMONTH(ENVIO_PER,0))),C_CLAVE,0))&amp;"","Sin contrato"))</f>
        <v/>
      </c>
      <c r="H20" s="71" t="str">
        <f aca="false">IF(B20="","",IFERROR(INDEX(C_SUELDO,MATCH(C20&amp;"-S"&amp;MAX(1,COUNTIFS(C_ID,C20,C_SUELDO,"&lt;&gt;",C_INICIO,"&lt;="&amp;EOMONTH(ENVIO_PER,0))),C_CLAVES,0)),0))</f>
        <v/>
      </c>
      <c r="I20" s="70" t="str">
        <f aca="false">IF(B20="","",TRIM(IF(AND(AB20&gt;=ENVIO_PER,AB20&lt;=EOMONTH(ENVIO_PER,0)),"Ingresa el día "&amp;DAY(AB20)&amp;". ","")&amp;IF(AND(AC20&gt;0,AC20&gt;=ENVIO_PER,AC20&lt;=EOMONTH(ENVIO_PER,0)),"Egresa el día "&amp;DAY(AC20)&amp;".","")))</f>
        <v/>
      </c>
      <c r="J20" s="70" t="str">
        <f aca="false">IF(B20="","",IF(COUNTIFS(C_ID,C20,C_INICIO,"&gt;="&amp;ENVIO_PER,C_INICIO,"&lt;="&amp;EOMONTH(ENVIO_PER,0))&gt;0,COUNTIFS(C_ID,C20,C_INICIO,"&gt;="&amp;ENVIO_PER,C_INICIO,"&lt;="&amp;EOMONTH(ENVIO_PER,0))&amp;" documento(s) nuevo(s): ver Contratos",""))</f>
        <v/>
      </c>
      <c r="K20" s="74" t="str">
        <f aca="false">IF(B20="","",IF(COUNTIF(N_CLAVE,AA20)&gt;0,SUMIFS(N_DIAS,N_CLAVE,AA20),AD20))</f>
        <v/>
      </c>
      <c r="L20" s="74" t="str">
        <f aca="false">IF(B20="","",SUMIFS(N_FALTAS,N_CLAVE,AA20))</f>
        <v/>
      </c>
      <c r="M20" s="74" t="str">
        <f aca="false">IF(B20="","",SUMIFS(N_LIC,N_CLAVE,AA20))</f>
        <v/>
      </c>
      <c r="N20" s="74" t="str">
        <f aca="false">IF(B20="","",SUMIFS(N_PCG,N_CLAVE,AA20))</f>
        <v/>
      </c>
      <c r="O20" s="74" t="str">
        <f aca="false">IF(B20="","",SUMIFS(N_PSG,N_CLAVE,AA20))</f>
        <v/>
      </c>
      <c r="P20" s="74" t="str">
        <f aca="false">IF(B20="","",SUMIFS(V_DIAS,V_ID,C20,V_MES,ENVIO_PER))</f>
        <v/>
      </c>
      <c r="Q20" s="73" t="str">
        <f aca="false">IF(B20="","",SUMIFS(N_ATRASO,N_CLAVE,AA20))</f>
        <v/>
      </c>
      <c r="R20" s="74" t="str">
        <f aca="false">IF(B20="","",SUMIFS(N_HE,N_CLAVE,AA20))</f>
        <v/>
      </c>
      <c r="S20" s="71" t="str">
        <f aca="false">IF(B20="","",SUMIFS(N_ANT,N_CLAVE,AA20))</f>
        <v/>
      </c>
      <c r="T20" s="71" t="str">
        <f aca="false">IF(B20="","",SUMIFS(N_BONO,N_CLAVE,AA20))</f>
        <v/>
      </c>
      <c r="U20" s="71" t="str">
        <f aca="false">IF(B20="","",SUMIFS(N_ONI,N_CLAVE,AA20))</f>
        <v/>
      </c>
      <c r="V20" s="71" t="str">
        <f aca="false">IF(B20="","",SUMIFS(N_DESC,N_CLAVE,AA20))</f>
        <v/>
      </c>
      <c r="W20" s="72" t="str">
        <f aca="false">IF(B20="","",IFERROR(INDEX(N_OBS,MATCH(AA20,N_CLAVE,0))&amp;"",""))</f>
        <v/>
      </c>
      <c r="X20" s="70" t="str">
        <f aca="false">IF(B20="","",IF(COUNTIF(N_CLAVE,AA20)&gt;0,"Sí","⚠ Sin registro"))</f>
        <v/>
      </c>
      <c r="Z20" s="81" t="str">
        <f aca="false">IF(B20="","",MATCH(B20,T_AUX,0))</f>
        <v/>
      </c>
      <c r="AA20" s="81" t="str">
        <f aca="false">IF(B20="","",C20&amp;"|"&amp;(YEAR(ENVIO_PER)*100+MONTH(ENVIO_PER)))</f>
        <v/>
      </c>
      <c r="AB20" s="81" t="str">
        <f aca="false">IF(B20="","",INDEX(T_INGRESO,Z20))</f>
        <v/>
      </c>
      <c r="AC20" s="81" t="str">
        <f aca="false">IF(B20="","",N(INDEX(T_EGRESO,Z20)))</f>
        <v/>
      </c>
      <c r="AD20" s="81" t="str">
        <f aca="false">IF(B20="","",IF(OR(AB20&gt;EOMONTH(ENVIO_PER,0),AND(AC20&gt;0,AC20&lt;ENVIO_PER)),0,IF(AND(AB20&lt;=ENVIO_PER,OR(AC20=0,AC20&gt;=EOMONTH(ENVIO_PER,0))),30,MIN(30,IF(AC20=0,EOMONTH(ENVIO_PER,0),MIN(AC20,EOMONTH(ENVIO_PER,0)))-MAX(ENVIO_PER,AB20)+1))))</f>
        <v/>
      </c>
    </row>
    <row r="21" customFormat="false" ht="15" hidden="false" customHeight="false" outlineLevel="0" collapsed="false">
      <c r="B21" s="72" t="str">
        <f aca="false">IF(12&lt;=MAX(T_AUX),12,"")</f>
        <v/>
      </c>
      <c r="C21" s="72" t="str">
        <f aca="false">IF(B21="","",INDEX(T_ID,Z21))</f>
        <v/>
      </c>
      <c r="D21" s="72" t="str">
        <f aca="false">IF(B21="","",INDEX(T_RUT,Z21)&amp;"")</f>
        <v/>
      </c>
      <c r="E21" s="72" t="str">
        <f aca="false">IF(B21="","",INDEX(T_NOMBRE,Z21)&amp;"")</f>
        <v/>
      </c>
      <c r="F21" s="72" t="str">
        <f aca="false">IF(B21="","",INDEX(T_CARGO,Z21)&amp;"")</f>
        <v/>
      </c>
      <c r="G21" s="72" t="str">
        <f aca="false">IF(B21="","",IFERROR(INDEX(C_TIPO,MATCH(C21&amp;"-P"&amp;MAX(1,COUNTIFS(C_ID,C21,C_DEFINE,"Sí",C_INICIO,"&lt;="&amp;EOMONTH(ENVIO_PER,0))),C_CLAVE,0))&amp;"","Sin contrato"))</f>
        <v/>
      </c>
      <c r="H21" s="71" t="str">
        <f aca="false">IF(B21="","",IFERROR(INDEX(C_SUELDO,MATCH(C21&amp;"-S"&amp;MAX(1,COUNTIFS(C_ID,C21,C_SUELDO,"&lt;&gt;",C_INICIO,"&lt;="&amp;EOMONTH(ENVIO_PER,0))),C_CLAVES,0)),0))</f>
        <v/>
      </c>
      <c r="I21" s="70" t="str">
        <f aca="false">IF(B21="","",TRIM(IF(AND(AB21&gt;=ENVIO_PER,AB21&lt;=EOMONTH(ENVIO_PER,0)),"Ingresa el día "&amp;DAY(AB21)&amp;". ","")&amp;IF(AND(AC21&gt;0,AC21&gt;=ENVIO_PER,AC21&lt;=EOMONTH(ENVIO_PER,0)),"Egresa el día "&amp;DAY(AC21)&amp;".","")))</f>
        <v/>
      </c>
      <c r="J21" s="70" t="str">
        <f aca="false">IF(B21="","",IF(COUNTIFS(C_ID,C21,C_INICIO,"&gt;="&amp;ENVIO_PER,C_INICIO,"&lt;="&amp;EOMONTH(ENVIO_PER,0))&gt;0,COUNTIFS(C_ID,C21,C_INICIO,"&gt;="&amp;ENVIO_PER,C_INICIO,"&lt;="&amp;EOMONTH(ENVIO_PER,0))&amp;" documento(s) nuevo(s): ver Contratos",""))</f>
        <v/>
      </c>
      <c r="K21" s="74" t="str">
        <f aca="false">IF(B21="","",IF(COUNTIF(N_CLAVE,AA21)&gt;0,SUMIFS(N_DIAS,N_CLAVE,AA21),AD21))</f>
        <v/>
      </c>
      <c r="L21" s="74" t="str">
        <f aca="false">IF(B21="","",SUMIFS(N_FALTAS,N_CLAVE,AA21))</f>
        <v/>
      </c>
      <c r="M21" s="74" t="str">
        <f aca="false">IF(B21="","",SUMIFS(N_LIC,N_CLAVE,AA21))</f>
        <v/>
      </c>
      <c r="N21" s="74" t="str">
        <f aca="false">IF(B21="","",SUMIFS(N_PCG,N_CLAVE,AA21))</f>
        <v/>
      </c>
      <c r="O21" s="74" t="str">
        <f aca="false">IF(B21="","",SUMIFS(N_PSG,N_CLAVE,AA21))</f>
        <v/>
      </c>
      <c r="P21" s="74" t="str">
        <f aca="false">IF(B21="","",SUMIFS(V_DIAS,V_ID,C21,V_MES,ENVIO_PER))</f>
        <v/>
      </c>
      <c r="Q21" s="73" t="str">
        <f aca="false">IF(B21="","",SUMIFS(N_ATRASO,N_CLAVE,AA21))</f>
        <v/>
      </c>
      <c r="R21" s="74" t="str">
        <f aca="false">IF(B21="","",SUMIFS(N_HE,N_CLAVE,AA21))</f>
        <v/>
      </c>
      <c r="S21" s="71" t="str">
        <f aca="false">IF(B21="","",SUMIFS(N_ANT,N_CLAVE,AA21))</f>
        <v/>
      </c>
      <c r="T21" s="71" t="str">
        <f aca="false">IF(B21="","",SUMIFS(N_BONO,N_CLAVE,AA21))</f>
        <v/>
      </c>
      <c r="U21" s="71" t="str">
        <f aca="false">IF(B21="","",SUMIFS(N_ONI,N_CLAVE,AA21))</f>
        <v/>
      </c>
      <c r="V21" s="71" t="str">
        <f aca="false">IF(B21="","",SUMIFS(N_DESC,N_CLAVE,AA21))</f>
        <v/>
      </c>
      <c r="W21" s="72" t="str">
        <f aca="false">IF(B21="","",IFERROR(INDEX(N_OBS,MATCH(AA21,N_CLAVE,0))&amp;"",""))</f>
        <v/>
      </c>
      <c r="X21" s="70" t="str">
        <f aca="false">IF(B21="","",IF(COUNTIF(N_CLAVE,AA21)&gt;0,"Sí","⚠ Sin registro"))</f>
        <v/>
      </c>
      <c r="Z21" s="81" t="str">
        <f aca="false">IF(B21="","",MATCH(B21,T_AUX,0))</f>
        <v/>
      </c>
      <c r="AA21" s="81" t="str">
        <f aca="false">IF(B21="","",C21&amp;"|"&amp;(YEAR(ENVIO_PER)*100+MONTH(ENVIO_PER)))</f>
        <v/>
      </c>
      <c r="AB21" s="81" t="str">
        <f aca="false">IF(B21="","",INDEX(T_INGRESO,Z21))</f>
        <v/>
      </c>
      <c r="AC21" s="81" t="str">
        <f aca="false">IF(B21="","",N(INDEX(T_EGRESO,Z21)))</f>
        <v/>
      </c>
      <c r="AD21" s="81" t="str">
        <f aca="false">IF(B21="","",IF(OR(AB21&gt;EOMONTH(ENVIO_PER,0),AND(AC21&gt;0,AC21&lt;ENVIO_PER)),0,IF(AND(AB21&lt;=ENVIO_PER,OR(AC21=0,AC21&gt;=EOMONTH(ENVIO_PER,0))),30,MIN(30,IF(AC21=0,EOMONTH(ENVIO_PER,0),MIN(AC21,EOMONTH(ENVIO_PER,0)))-MAX(ENVIO_PER,AB21)+1))))</f>
        <v/>
      </c>
    </row>
    <row r="22" customFormat="false" ht="15" hidden="false" customHeight="false" outlineLevel="0" collapsed="false">
      <c r="B22" s="72" t="str">
        <f aca="false">IF(13&lt;=MAX(T_AUX),13,"")</f>
        <v/>
      </c>
      <c r="C22" s="72" t="str">
        <f aca="false">IF(B22="","",INDEX(T_ID,Z22))</f>
        <v/>
      </c>
      <c r="D22" s="72" t="str">
        <f aca="false">IF(B22="","",INDEX(T_RUT,Z22)&amp;"")</f>
        <v/>
      </c>
      <c r="E22" s="72" t="str">
        <f aca="false">IF(B22="","",INDEX(T_NOMBRE,Z22)&amp;"")</f>
        <v/>
      </c>
      <c r="F22" s="72" t="str">
        <f aca="false">IF(B22="","",INDEX(T_CARGO,Z22)&amp;"")</f>
        <v/>
      </c>
      <c r="G22" s="72" t="str">
        <f aca="false">IF(B22="","",IFERROR(INDEX(C_TIPO,MATCH(C22&amp;"-P"&amp;MAX(1,COUNTIFS(C_ID,C22,C_DEFINE,"Sí",C_INICIO,"&lt;="&amp;EOMONTH(ENVIO_PER,0))),C_CLAVE,0))&amp;"","Sin contrato"))</f>
        <v/>
      </c>
      <c r="H22" s="71" t="str">
        <f aca="false">IF(B22="","",IFERROR(INDEX(C_SUELDO,MATCH(C22&amp;"-S"&amp;MAX(1,COUNTIFS(C_ID,C22,C_SUELDO,"&lt;&gt;",C_INICIO,"&lt;="&amp;EOMONTH(ENVIO_PER,0))),C_CLAVES,0)),0))</f>
        <v/>
      </c>
      <c r="I22" s="70" t="str">
        <f aca="false">IF(B22="","",TRIM(IF(AND(AB22&gt;=ENVIO_PER,AB22&lt;=EOMONTH(ENVIO_PER,0)),"Ingresa el día "&amp;DAY(AB22)&amp;". ","")&amp;IF(AND(AC22&gt;0,AC22&gt;=ENVIO_PER,AC22&lt;=EOMONTH(ENVIO_PER,0)),"Egresa el día "&amp;DAY(AC22)&amp;".","")))</f>
        <v/>
      </c>
      <c r="J22" s="70" t="str">
        <f aca="false">IF(B22="","",IF(COUNTIFS(C_ID,C22,C_INICIO,"&gt;="&amp;ENVIO_PER,C_INICIO,"&lt;="&amp;EOMONTH(ENVIO_PER,0))&gt;0,COUNTIFS(C_ID,C22,C_INICIO,"&gt;="&amp;ENVIO_PER,C_INICIO,"&lt;="&amp;EOMONTH(ENVIO_PER,0))&amp;" documento(s) nuevo(s): ver Contratos",""))</f>
        <v/>
      </c>
      <c r="K22" s="74" t="str">
        <f aca="false">IF(B22="","",IF(COUNTIF(N_CLAVE,AA22)&gt;0,SUMIFS(N_DIAS,N_CLAVE,AA22),AD22))</f>
        <v/>
      </c>
      <c r="L22" s="74" t="str">
        <f aca="false">IF(B22="","",SUMIFS(N_FALTAS,N_CLAVE,AA22))</f>
        <v/>
      </c>
      <c r="M22" s="74" t="str">
        <f aca="false">IF(B22="","",SUMIFS(N_LIC,N_CLAVE,AA22))</f>
        <v/>
      </c>
      <c r="N22" s="74" t="str">
        <f aca="false">IF(B22="","",SUMIFS(N_PCG,N_CLAVE,AA22))</f>
        <v/>
      </c>
      <c r="O22" s="74" t="str">
        <f aca="false">IF(B22="","",SUMIFS(N_PSG,N_CLAVE,AA22))</f>
        <v/>
      </c>
      <c r="P22" s="74" t="str">
        <f aca="false">IF(B22="","",SUMIFS(V_DIAS,V_ID,C22,V_MES,ENVIO_PER))</f>
        <v/>
      </c>
      <c r="Q22" s="73" t="str">
        <f aca="false">IF(B22="","",SUMIFS(N_ATRASO,N_CLAVE,AA22))</f>
        <v/>
      </c>
      <c r="R22" s="74" t="str">
        <f aca="false">IF(B22="","",SUMIFS(N_HE,N_CLAVE,AA22))</f>
        <v/>
      </c>
      <c r="S22" s="71" t="str">
        <f aca="false">IF(B22="","",SUMIFS(N_ANT,N_CLAVE,AA22))</f>
        <v/>
      </c>
      <c r="T22" s="71" t="str">
        <f aca="false">IF(B22="","",SUMIFS(N_BONO,N_CLAVE,AA22))</f>
        <v/>
      </c>
      <c r="U22" s="71" t="str">
        <f aca="false">IF(B22="","",SUMIFS(N_ONI,N_CLAVE,AA22))</f>
        <v/>
      </c>
      <c r="V22" s="71" t="str">
        <f aca="false">IF(B22="","",SUMIFS(N_DESC,N_CLAVE,AA22))</f>
        <v/>
      </c>
      <c r="W22" s="72" t="str">
        <f aca="false">IF(B22="","",IFERROR(INDEX(N_OBS,MATCH(AA22,N_CLAVE,0))&amp;"",""))</f>
        <v/>
      </c>
      <c r="X22" s="70" t="str">
        <f aca="false">IF(B22="","",IF(COUNTIF(N_CLAVE,AA22)&gt;0,"Sí","⚠ Sin registro"))</f>
        <v/>
      </c>
      <c r="Z22" s="81" t="str">
        <f aca="false">IF(B22="","",MATCH(B22,T_AUX,0))</f>
        <v/>
      </c>
      <c r="AA22" s="81" t="str">
        <f aca="false">IF(B22="","",C22&amp;"|"&amp;(YEAR(ENVIO_PER)*100+MONTH(ENVIO_PER)))</f>
        <v/>
      </c>
      <c r="AB22" s="81" t="str">
        <f aca="false">IF(B22="","",INDEX(T_INGRESO,Z22))</f>
        <v/>
      </c>
      <c r="AC22" s="81" t="str">
        <f aca="false">IF(B22="","",N(INDEX(T_EGRESO,Z22)))</f>
        <v/>
      </c>
      <c r="AD22" s="81" t="str">
        <f aca="false">IF(B22="","",IF(OR(AB22&gt;EOMONTH(ENVIO_PER,0),AND(AC22&gt;0,AC22&lt;ENVIO_PER)),0,IF(AND(AB22&lt;=ENVIO_PER,OR(AC22=0,AC22&gt;=EOMONTH(ENVIO_PER,0))),30,MIN(30,IF(AC22=0,EOMONTH(ENVIO_PER,0),MIN(AC22,EOMONTH(ENVIO_PER,0)))-MAX(ENVIO_PER,AB22)+1))))</f>
        <v/>
      </c>
    </row>
    <row r="23" customFormat="false" ht="15" hidden="false" customHeight="false" outlineLevel="0" collapsed="false">
      <c r="B23" s="72" t="str">
        <f aca="false">IF(14&lt;=MAX(T_AUX),14,"")</f>
        <v/>
      </c>
      <c r="C23" s="72" t="str">
        <f aca="false">IF(B23="","",INDEX(T_ID,Z23))</f>
        <v/>
      </c>
      <c r="D23" s="72" t="str">
        <f aca="false">IF(B23="","",INDEX(T_RUT,Z23)&amp;"")</f>
        <v/>
      </c>
      <c r="E23" s="72" t="str">
        <f aca="false">IF(B23="","",INDEX(T_NOMBRE,Z23)&amp;"")</f>
        <v/>
      </c>
      <c r="F23" s="72" t="str">
        <f aca="false">IF(B23="","",INDEX(T_CARGO,Z23)&amp;"")</f>
        <v/>
      </c>
      <c r="G23" s="72" t="str">
        <f aca="false">IF(B23="","",IFERROR(INDEX(C_TIPO,MATCH(C23&amp;"-P"&amp;MAX(1,COUNTIFS(C_ID,C23,C_DEFINE,"Sí",C_INICIO,"&lt;="&amp;EOMONTH(ENVIO_PER,0))),C_CLAVE,0))&amp;"","Sin contrato"))</f>
        <v/>
      </c>
      <c r="H23" s="71" t="str">
        <f aca="false">IF(B23="","",IFERROR(INDEX(C_SUELDO,MATCH(C23&amp;"-S"&amp;MAX(1,COUNTIFS(C_ID,C23,C_SUELDO,"&lt;&gt;",C_INICIO,"&lt;="&amp;EOMONTH(ENVIO_PER,0))),C_CLAVES,0)),0))</f>
        <v/>
      </c>
      <c r="I23" s="70" t="str">
        <f aca="false">IF(B23="","",TRIM(IF(AND(AB23&gt;=ENVIO_PER,AB23&lt;=EOMONTH(ENVIO_PER,0)),"Ingresa el día "&amp;DAY(AB23)&amp;". ","")&amp;IF(AND(AC23&gt;0,AC23&gt;=ENVIO_PER,AC23&lt;=EOMONTH(ENVIO_PER,0)),"Egresa el día "&amp;DAY(AC23)&amp;".","")))</f>
        <v/>
      </c>
      <c r="J23" s="70" t="str">
        <f aca="false">IF(B23="","",IF(COUNTIFS(C_ID,C23,C_INICIO,"&gt;="&amp;ENVIO_PER,C_INICIO,"&lt;="&amp;EOMONTH(ENVIO_PER,0))&gt;0,COUNTIFS(C_ID,C23,C_INICIO,"&gt;="&amp;ENVIO_PER,C_INICIO,"&lt;="&amp;EOMONTH(ENVIO_PER,0))&amp;" documento(s) nuevo(s): ver Contratos",""))</f>
        <v/>
      </c>
      <c r="K23" s="74" t="str">
        <f aca="false">IF(B23="","",IF(COUNTIF(N_CLAVE,AA23)&gt;0,SUMIFS(N_DIAS,N_CLAVE,AA23),AD23))</f>
        <v/>
      </c>
      <c r="L23" s="74" t="str">
        <f aca="false">IF(B23="","",SUMIFS(N_FALTAS,N_CLAVE,AA23))</f>
        <v/>
      </c>
      <c r="M23" s="74" t="str">
        <f aca="false">IF(B23="","",SUMIFS(N_LIC,N_CLAVE,AA23))</f>
        <v/>
      </c>
      <c r="N23" s="74" t="str">
        <f aca="false">IF(B23="","",SUMIFS(N_PCG,N_CLAVE,AA23))</f>
        <v/>
      </c>
      <c r="O23" s="74" t="str">
        <f aca="false">IF(B23="","",SUMIFS(N_PSG,N_CLAVE,AA23))</f>
        <v/>
      </c>
      <c r="P23" s="74" t="str">
        <f aca="false">IF(B23="","",SUMIFS(V_DIAS,V_ID,C23,V_MES,ENVIO_PER))</f>
        <v/>
      </c>
      <c r="Q23" s="73" t="str">
        <f aca="false">IF(B23="","",SUMIFS(N_ATRASO,N_CLAVE,AA23))</f>
        <v/>
      </c>
      <c r="R23" s="74" t="str">
        <f aca="false">IF(B23="","",SUMIFS(N_HE,N_CLAVE,AA23))</f>
        <v/>
      </c>
      <c r="S23" s="71" t="str">
        <f aca="false">IF(B23="","",SUMIFS(N_ANT,N_CLAVE,AA23))</f>
        <v/>
      </c>
      <c r="T23" s="71" t="str">
        <f aca="false">IF(B23="","",SUMIFS(N_BONO,N_CLAVE,AA23))</f>
        <v/>
      </c>
      <c r="U23" s="71" t="str">
        <f aca="false">IF(B23="","",SUMIFS(N_ONI,N_CLAVE,AA23))</f>
        <v/>
      </c>
      <c r="V23" s="71" t="str">
        <f aca="false">IF(B23="","",SUMIFS(N_DESC,N_CLAVE,AA23))</f>
        <v/>
      </c>
      <c r="W23" s="72" t="str">
        <f aca="false">IF(B23="","",IFERROR(INDEX(N_OBS,MATCH(AA23,N_CLAVE,0))&amp;"",""))</f>
        <v/>
      </c>
      <c r="X23" s="70" t="str">
        <f aca="false">IF(B23="","",IF(COUNTIF(N_CLAVE,AA23)&gt;0,"Sí","⚠ Sin registro"))</f>
        <v/>
      </c>
      <c r="Z23" s="81" t="str">
        <f aca="false">IF(B23="","",MATCH(B23,T_AUX,0))</f>
        <v/>
      </c>
      <c r="AA23" s="81" t="str">
        <f aca="false">IF(B23="","",C23&amp;"|"&amp;(YEAR(ENVIO_PER)*100+MONTH(ENVIO_PER)))</f>
        <v/>
      </c>
      <c r="AB23" s="81" t="str">
        <f aca="false">IF(B23="","",INDEX(T_INGRESO,Z23))</f>
        <v/>
      </c>
      <c r="AC23" s="81" t="str">
        <f aca="false">IF(B23="","",N(INDEX(T_EGRESO,Z23)))</f>
        <v/>
      </c>
      <c r="AD23" s="81" t="str">
        <f aca="false">IF(B23="","",IF(OR(AB23&gt;EOMONTH(ENVIO_PER,0),AND(AC23&gt;0,AC23&lt;ENVIO_PER)),0,IF(AND(AB23&lt;=ENVIO_PER,OR(AC23=0,AC23&gt;=EOMONTH(ENVIO_PER,0))),30,MIN(30,IF(AC23=0,EOMONTH(ENVIO_PER,0),MIN(AC23,EOMONTH(ENVIO_PER,0)))-MAX(ENVIO_PER,AB23)+1))))</f>
        <v/>
      </c>
    </row>
    <row r="24" customFormat="false" ht="15" hidden="false" customHeight="false" outlineLevel="0" collapsed="false">
      <c r="B24" s="72" t="str">
        <f aca="false">IF(15&lt;=MAX(T_AUX),15,"")</f>
        <v/>
      </c>
      <c r="C24" s="72" t="str">
        <f aca="false">IF(B24="","",INDEX(T_ID,Z24))</f>
        <v/>
      </c>
      <c r="D24" s="72" t="str">
        <f aca="false">IF(B24="","",INDEX(T_RUT,Z24)&amp;"")</f>
        <v/>
      </c>
      <c r="E24" s="72" t="str">
        <f aca="false">IF(B24="","",INDEX(T_NOMBRE,Z24)&amp;"")</f>
        <v/>
      </c>
      <c r="F24" s="72" t="str">
        <f aca="false">IF(B24="","",INDEX(T_CARGO,Z24)&amp;"")</f>
        <v/>
      </c>
      <c r="G24" s="72" t="str">
        <f aca="false">IF(B24="","",IFERROR(INDEX(C_TIPO,MATCH(C24&amp;"-P"&amp;MAX(1,COUNTIFS(C_ID,C24,C_DEFINE,"Sí",C_INICIO,"&lt;="&amp;EOMONTH(ENVIO_PER,0))),C_CLAVE,0))&amp;"","Sin contrato"))</f>
        <v/>
      </c>
      <c r="H24" s="71" t="str">
        <f aca="false">IF(B24="","",IFERROR(INDEX(C_SUELDO,MATCH(C24&amp;"-S"&amp;MAX(1,COUNTIFS(C_ID,C24,C_SUELDO,"&lt;&gt;",C_INICIO,"&lt;="&amp;EOMONTH(ENVIO_PER,0))),C_CLAVES,0)),0))</f>
        <v/>
      </c>
      <c r="I24" s="70" t="str">
        <f aca="false">IF(B24="","",TRIM(IF(AND(AB24&gt;=ENVIO_PER,AB24&lt;=EOMONTH(ENVIO_PER,0)),"Ingresa el día "&amp;DAY(AB24)&amp;". ","")&amp;IF(AND(AC24&gt;0,AC24&gt;=ENVIO_PER,AC24&lt;=EOMONTH(ENVIO_PER,0)),"Egresa el día "&amp;DAY(AC24)&amp;".","")))</f>
        <v/>
      </c>
      <c r="J24" s="70" t="str">
        <f aca="false">IF(B24="","",IF(COUNTIFS(C_ID,C24,C_INICIO,"&gt;="&amp;ENVIO_PER,C_INICIO,"&lt;="&amp;EOMONTH(ENVIO_PER,0))&gt;0,COUNTIFS(C_ID,C24,C_INICIO,"&gt;="&amp;ENVIO_PER,C_INICIO,"&lt;="&amp;EOMONTH(ENVIO_PER,0))&amp;" documento(s) nuevo(s): ver Contratos",""))</f>
        <v/>
      </c>
      <c r="K24" s="74" t="str">
        <f aca="false">IF(B24="","",IF(COUNTIF(N_CLAVE,AA24)&gt;0,SUMIFS(N_DIAS,N_CLAVE,AA24),AD24))</f>
        <v/>
      </c>
      <c r="L24" s="74" t="str">
        <f aca="false">IF(B24="","",SUMIFS(N_FALTAS,N_CLAVE,AA24))</f>
        <v/>
      </c>
      <c r="M24" s="74" t="str">
        <f aca="false">IF(B24="","",SUMIFS(N_LIC,N_CLAVE,AA24))</f>
        <v/>
      </c>
      <c r="N24" s="74" t="str">
        <f aca="false">IF(B24="","",SUMIFS(N_PCG,N_CLAVE,AA24))</f>
        <v/>
      </c>
      <c r="O24" s="74" t="str">
        <f aca="false">IF(B24="","",SUMIFS(N_PSG,N_CLAVE,AA24))</f>
        <v/>
      </c>
      <c r="P24" s="74" t="str">
        <f aca="false">IF(B24="","",SUMIFS(V_DIAS,V_ID,C24,V_MES,ENVIO_PER))</f>
        <v/>
      </c>
      <c r="Q24" s="73" t="str">
        <f aca="false">IF(B24="","",SUMIFS(N_ATRASO,N_CLAVE,AA24))</f>
        <v/>
      </c>
      <c r="R24" s="74" t="str">
        <f aca="false">IF(B24="","",SUMIFS(N_HE,N_CLAVE,AA24))</f>
        <v/>
      </c>
      <c r="S24" s="71" t="str">
        <f aca="false">IF(B24="","",SUMIFS(N_ANT,N_CLAVE,AA24))</f>
        <v/>
      </c>
      <c r="T24" s="71" t="str">
        <f aca="false">IF(B24="","",SUMIFS(N_BONO,N_CLAVE,AA24))</f>
        <v/>
      </c>
      <c r="U24" s="71" t="str">
        <f aca="false">IF(B24="","",SUMIFS(N_ONI,N_CLAVE,AA24))</f>
        <v/>
      </c>
      <c r="V24" s="71" t="str">
        <f aca="false">IF(B24="","",SUMIFS(N_DESC,N_CLAVE,AA24))</f>
        <v/>
      </c>
      <c r="W24" s="72" t="str">
        <f aca="false">IF(B24="","",IFERROR(INDEX(N_OBS,MATCH(AA24,N_CLAVE,0))&amp;"",""))</f>
        <v/>
      </c>
      <c r="X24" s="70" t="str">
        <f aca="false">IF(B24="","",IF(COUNTIF(N_CLAVE,AA24)&gt;0,"Sí","⚠ Sin registro"))</f>
        <v/>
      </c>
      <c r="Z24" s="81" t="str">
        <f aca="false">IF(B24="","",MATCH(B24,T_AUX,0))</f>
        <v/>
      </c>
      <c r="AA24" s="81" t="str">
        <f aca="false">IF(B24="","",C24&amp;"|"&amp;(YEAR(ENVIO_PER)*100+MONTH(ENVIO_PER)))</f>
        <v/>
      </c>
      <c r="AB24" s="81" t="str">
        <f aca="false">IF(B24="","",INDEX(T_INGRESO,Z24))</f>
        <v/>
      </c>
      <c r="AC24" s="81" t="str">
        <f aca="false">IF(B24="","",N(INDEX(T_EGRESO,Z24)))</f>
        <v/>
      </c>
      <c r="AD24" s="81" t="str">
        <f aca="false">IF(B24="","",IF(OR(AB24&gt;EOMONTH(ENVIO_PER,0),AND(AC24&gt;0,AC24&lt;ENVIO_PER)),0,IF(AND(AB24&lt;=ENVIO_PER,OR(AC24=0,AC24&gt;=EOMONTH(ENVIO_PER,0))),30,MIN(30,IF(AC24=0,EOMONTH(ENVIO_PER,0),MIN(AC24,EOMONTH(ENVIO_PER,0)))-MAX(ENVIO_PER,AB24)+1))))</f>
        <v/>
      </c>
    </row>
    <row r="25" customFormat="false" ht="15" hidden="false" customHeight="false" outlineLevel="0" collapsed="false">
      <c r="B25" s="72" t="str">
        <f aca="false">IF(16&lt;=MAX(T_AUX),16,"")</f>
        <v/>
      </c>
      <c r="C25" s="72" t="str">
        <f aca="false">IF(B25="","",INDEX(T_ID,Z25))</f>
        <v/>
      </c>
      <c r="D25" s="72" t="str">
        <f aca="false">IF(B25="","",INDEX(T_RUT,Z25)&amp;"")</f>
        <v/>
      </c>
      <c r="E25" s="72" t="str">
        <f aca="false">IF(B25="","",INDEX(T_NOMBRE,Z25)&amp;"")</f>
        <v/>
      </c>
      <c r="F25" s="72" t="str">
        <f aca="false">IF(B25="","",INDEX(T_CARGO,Z25)&amp;"")</f>
        <v/>
      </c>
      <c r="G25" s="72" t="str">
        <f aca="false">IF(B25="","",IFERROR(INDEX(C_TIPO,MATCH(C25&amp;"-P"&amp;MAX(1,COUNTIFS(C_ID,C25,C_DEFINE,"Sí",C_INICIO,"&lt;="&amp;EOMONTH(ENVIO_PER,0))),C_CLAVE,0))&amp;"","Sin contrato"))</f>
        <v/>
      </c>
      <c r="H25" s="71" t="str">
        <f aca="false">IF(B25="","",IFERROR(INDEX(C_SUELDO,MATCH(C25&amp;"-S"&amp;MAX(1,COUNTIFS(C_ID,C25,C_SUELDO,"&lt;&gt;",C_INICIO,"&lt;="&amp;EOMONTH(ENVIO_PER,0))),C_CLAVES,0)),0))</f>
        <v/>
      </c>
      <c r="I25" s="70" t="str">
        <f aca="false">IF(B25="","",TRIM(IF(AND(AB25&gt;=ENVIO_PER,AB25&lt;=EOMONTH(ENVIO_PER,0)),"Ingresa el día "&amp;DAY(AB25)&amp;". ","")&amp;IF(AND(AC25&gt;0,AC25&gt;=ENVIO_PER,AC25&lt;=EOMONTH(ENVIO_PER,0)),"Egresa el día "&amp;DAY(AC25)&amp;".","")))</f>
        <v/>
      </c>
      <c r="J25" s="70" t="str">
        <f aca="false">IF(B25="","",IF(COUNTIFS(C_ID,C25,C_INICIO,"&gt;="&amp;ENVIO_PER,C_INICIO,"&lt;="&amp;EOMONTH(ENVIO_PER,0))&gt;0,COUNTIFS(C_ID,C25,C_INICIO,"&gt;="&amp;ENVIO_PER,C_INICIO,"&lt;="&amp;EOMONTH(ENVIO_PER,0))&amp;" documento(s) nuevo(s): ver Contratos",""))</f>
        <v/>
      </c>
      <c r="K25" s="74" t="str">
        <f aca="false">IF(B25="","",IF(COUNTIF(N_CLAVE,AA25)&gt;0,SUMIFS(N_DIAS,N_CLAVE,AA25),AD25))</f>
        <v/>
      </c>
      <c r="L25" s="74" t="str">
        <f aca="false">IF(B25="","",SUMIFS(N_FALTAS,N_CLAVE,AA25))</f>
        <v/>
      </c>
      <c r="M25" s="74" t="str">
        <f aca="false">IF(B25="","",SUMIFS(N_LIC,N_CLAVE,AA25))</f>
        <v/>
      </c>
      <c r="N25" s="74" t="str">
        <f aca="false">IF(B25="","",SUMIFS(N_PCG,N_CLAVE,AA25))</f>
        <v/>
      </c>
      <c r="O25" s="74" t="str">
        <f aca="false">IF(B25="","",SUMIFS(N_PSG,N_CLAVE,AA25))</f>
        <v/>
      </c>
      <c r="P25" s="74" t="str">
        <f aca="false">IF(B25="","",SUMIFS(V_DIAS,V_ID,C25,V_MES,ENVIO_PER))</f>
        <v/>
      </c>
      <c r="Q25" s="73" t="str">
        <f aca="false">IF(B25="","",SUMIFS(N_ATRASO,N_CLAVE,AA25))</f>
        <v/>
      </c>
      <c r="R25" s="74" t="str">
        <f aca="false">IF(B25="","",SUMIFS(N_HE,N_CLAVE,AA25))</f>
        <v/>
      </c>
      <c r="S25" s="71" t="str">
        <f aca="false">IF(B25="","",SUMIFS(N_ANT,N_CLAVE,AA25))</f>
        <v/>
      </c>
      <c r="T25" s="71" t="str">
        <f aca="false">IF(B25="","",SUMIFS(N_BONO,N_CLAVE,AA25))</f>
        <v/>
      </c>
      <c r="U25" s="71" t="str">
        <f aca="false">IF(B25="","",SUMIFS(N_ONI,N_CLAVE,AA25))</f>
        <v/>
      </c>
      <c r="V25" s="71" t="str">
        <f aca="false">IF(B25="","",SUMIFS(N_DESC,N_CLAVE,AA25))</f>
        <v/>
      </c>
      <c r="W25" s="72" t="str">
        <f aca="false">IF(B25="","",IFERROR(INDEX(N_OBS,MATCH(AA25,N_CLAVE,0))&amp;"",""))</f>
        <v/>
      </c>
      <c r="X25" s="70" t="str">
        <f aca="false">IF(B25="","",IF(COUNTIF(N_CLAVE,AA25)&gt;0,"Sí","⚠ Sin registro"))</f>
        <v/>
      </c>
      <c r="Z25" s="81" t="str">
        <f aca="false">IF(B25="","",MATCH(B25,T_AUX,0))</f>
        <v/>
      </c>
      <c r="AA25" s="81" t="str">
        <f aca="false">IF(B25="","",C25&amp;"|"&amp;(YEAR(ENVIO_PER)*100+MONTH(ENVIO_PER)))</f>
        <v/>
      </c>
      <c r="AB25" s="81" t="str">
        <f aca="false">IF(B25="","",INDEX(T_INGRESO,Z25))</f>
        <v/>
      </c>
      <c r="AC25" s="81" t="str">
        <f aca="false">IF(B25="","",N(INDEX(T_EGRESO,Z25)))</f>
        <v/>
      </c>
      <c r="AD25" s="81" t="str">
        <f aca="false">IF(B25="","",IF(OR(AB25&gt;EOMONTH(ENVIO_PER,0),AND(AC25&gt;0,AC25&lt;ENVIO_PER)),0,IF(AND(AB25&lt;=ENVIO_PER,OR(AC25=0,AC25&gt;=EOMONTH(ENVIO_PER,0))),30,MIN(30,IF(AC25=0,EOMONTH(ENVIO_PER,0),MIN(AC25,EOMONTH(ENVIO_PER,0)))-MAX(ENVIO_PER,AB25)+1))))</f>
        <v/>
      </c>
    </row>
    <row r="26" customFormat="false" ht="15" hidden="false" customHeight="false" outlineLevel="0" collapsed="false">
      <c r="B26" s="72" t="str">
        <f aca="false">IF(17&lt;=MAX(T_AUX),17,"")</f>
        <v/>
      </c>
      <c r="C26" s="72" t="str">
        <f aca="false">IF(B26="","",INDEX(T_ID,Z26))</f>
        <v/>
      </c>
      <c r="D26" s="72" t="str">
        <f aca="false">IF(B26="","",INDEX(T_RUT,Z26)&amp;"")</f>
        <v/>
      </c>
      <c r="E26" s="72" t="str">
        <f aca="false">IF(B26="","",INDEX(T_NOMBRE,Z26)&amp;"")</f>
        <v/>
      </c>
      <c r="F26" s="72" t="str">
        <f aca="false">IF(B26="","",INDEX(T_CARGO,Z26)&amp;"")</f>
        <v/>
      </c>
      <c r="G26" s="72" t="str">
        <f aca="false">IF(B26="","",IFERROR(INDEX(C_TIPO,MATCH(C26&amp;"-P"&amp;MAX(1,COUNTIFS(C_ID,C26,C_DEFINE,"Sí",C_INICIO,"&lt;="&amp;EOMONTH(ENVIO_PER,0))),C_CLAVE,0))&amp;"","Sin contrato"))</f>
        <v/>
      </c>
      <c r="H26" s="71" t="str">
        <f aca="false">IF(B26="","",IFERROR(INDEX(C_SUELDO,MATCH(C26&amp;"-S"&amp;MAX(1,COUNTIFS(C_ID,C26,C_SUELDO,"&lt;&gt;",C_INICIO,"&lt;="&amp;EOMONTH(ENVIO_PER,0))),C_CLAVES,0)),0))</f>
        <v/>
      </c>
      <c r="I26" s="70" t="str">
        <f aca="false">IF(B26="","",TRIM(IF(AND(AB26&gt;=ENVIO_PER,AB26&lt;=EOMONTH(ENVIO_PER,0)),"Ingresa el día "&amp;DAY(AB26)&amp;". ","")&amp;IF(AND(AC26&gt;0,AC26&gt;=ENVIO_PER,AC26&lt;=EOMONTH(ENVIO_PER,0)),"Egresa el día "&amp;DAY(AC26)&amp;".","")))</f>
        <v/>
      </c>
      <c r="J26" s="70" t="str">
        <f aca="false">IF(B26="","",IF(COUNTIFS(C_ID,C26,C_INICIO,"&gt;="&amp;ENVIO_PER,C_INICIO,"&lt;="&amp;EOMONTH(ENVIO_PER,0))&gt;0,COUNTIFS(C_ID,C26,C_INICIO,"&gt;="&amp;ENVIO_PER,C_INICIO,"&lt;="&amp;EOMONTH(ENVIO_PER,0))&amp;" documento(s) nuevo(s): ver Contratos",""))</f>
        <v/>
      </c>
      <c r="K26" s="74" t="str">
        <f aca="false">IF(B26="","",IF(COUNTIF(N_CLAVE,AA26)&gt;0,SUMIFS(N_DIAS,N_CLAVE,AA26),AD26))</f>
        <v/>
      </c>
      <c r="L26" s="74" t="str">
        <f aca="false">IF(B26="","",SUMIFS(N_FALTAS,N_CLAVE,AA26))</f>
        <v/>
      </c>
      <c r="M26" s="74" t="str">
        <f aca="false">IF(B26="","",SUMIFS(N_LIC,N_CLAVE,AA26))</f>
        <v/>
      </c>
      <c r="N26" s="74" t="str">
        <f aca="false">IF(B26="","",SUMIFS(N_PCG,N_CLAVE,AA26))</f>
        <v/>
      </c>
      <c r="O26" s="74" t="str">
        <f aca="false">IF(B26="","",SUMIFS(N_PSG,N_CLAVE,AA26))</f>
        <v/>
      </c>
      <c r="P26" s="74" t="str">
        <f aca="false">IF(B26="","",SUMIFS(V_DIAS,V_ID,C26,V_MES,ENVIO_PER))</f>
        <v/>
      </c>
      <c r="Q26" s="73" t="str">
        <f aca="false">IF(B26="","",SUMIFS(N_ATRASO,N_CLAVE,AA26))</f>
        <v/>
      </c>
      <c r="R26" s="74" t="str">
        <f aca="false">IF(B26="","",SUMIFS(N_HE,N_CLAVE,AA26))</f>
        <v/>
      </c>
      <c r="S26" s="71" t="str">
        <f aca="false">IF(B26="","",SUMIFS(N_ANT,N_CLAVE,AA26))</f>
        <v/>
      </c>
      <c r="T26" s="71" t="str">
        <f aca="false">IF(B26="","",SUMIFS(N_BONO,N_CLAVE,AA26))</f>
        <v/>
      </c>
      <c r="U26" s="71" t="str">
        <f aca="false">IF(B26="","",SUMIFS(N_ONI,N_CLAVE,AA26))</f>
        <v/>
      </c>
      <c r="V26" s="71" t="str">
        <f aca="false">IF(B26="","",SUMIFS(N_DESC,N_CLAVE,AA26))</f>
        <v/>
      </c>
      <c r="W26" s="72" t="str">
        <f aca="false">IF(B26="","",IFERROR(INDEX(N_OBS,MATCH(AA26,N_CLAVE,0))&amp;"",""))</f>
        <v/>
      </c>
      <c r="X26" s="70" t="str">
        <f aca="false">IF(B26="","",IF(COUNTIF(N_CLAVE,AA26)&gt;0,"Sí","⚠ Sin registro"))</f>
        <v/>
      </c>
      <c r="Z26" s="81" t="str">
        <f aca="false">IF(B26="","",MATCH(B26,T_AUX,0))</f>
        <v/>
      </c>
      <c r="AA26" s="81" t="str">
        <f aca="false">IF(B26="","",C26&amp;"|"&amp;(YEAR(ENVIO_PER)*100+MONTH(ENVIO_PER)))</f>
        <v/>
      </c>
      <c r="AB26" s="81" t="str">
        <f aca="false">IF(B26="","",INDEX(T_INGRESO,Z26))</f>
        <v/>
      </c>
      <c r="AC26" s="81" t="str">
        <f aca="false">IF(B26="","",N(INDEX(T_EGRESO,Z26)))</f>
        <v/>
      </c>
      <c r="AD26" s="81" t="str">
        <f aca="false">IF(B26="","",IF(OR(AB26&gt;EOMONTH(ENVIO_PER,0),AND(AC26&gt;0,AC26&lt;ENVIO_PER)),0,IF(AND(AB26&lt;=ENVIO_PER,OR(AC26=0,AC26&gt;=EOMONTH(ENVIO_PER,0))),30,MIN(30,IF(AC26=0,EOMONTH(ENVIO_PER,0),MIN(AC26,EOMONTH(ENVIO_PER,0)))-MAX(ENVIO_PER,AB26)+1))))</f>
        <v/>
      </c>
    </row>
    <row r="27" customFormat="false" ht="15" hidden="false" customHeight="false" outlineLevel="0" collapsed="false">
      <c r="B27" s="72" t="str">
        <f aca="false">IF(18&lt;=MAX(T_AUX),18,"")</f>
        <v/>
      </c>
      <c r="C27" s="72" t="str">
        <f aca="false">IF(B27="","",INDEX(T_ID,Z27))</f>
        <v/>
      </c>
      <c r="D27" s="72" t="str">
        <f aca="false">IF(B27="","",INDEX(T_RUT,Z27)&amp;"")</f>
        <v/>
      </c>
      <c r="E27" s="72" t="str">
        <f aca="false">IF(B27="","",INDEX(T_NOMBRE,Z27)&amp;"")</f>
        <v/>
      </c>
      <c r="F27" s="72" t="str">
        <f aca="false">IF(B27="","",INDEX(T_CARGO,Z27)&amp;"")</f>
        <v/>
      </c>
      <c r="G27" s="72" t="str">
        <f aca="false">IF(B27="","",IFERROR(INDEX(C_TIPO,MATCH(C27&amp;"-P"&amp;MAX(1,COUNTIFS(C_ID,C27,C_DEFINE,"Sí",C_INICIO,"&lt;="&amp;EOMONTH(ENVIO_PER,0))),C_CLAVE,0))&amp;"","Sin contrato"))</f>
        <v/>
      </c>
      <c r="H27" s="71" t="str">
        <f aca="false">IF(B27="","",IFERROR(INDEX(C_SUELDO,MATCH(C27&amp;"-S"&amp;MAX(1,COUNTIFS(C_ID,C27,C_SUELDO,"&lt;&gt;",C_INICIO,"&lt;="&amp;EOMONTH(ENVIO_PER,0))),C_CLAVES,0)),0))</f>
        <v/>
      </c>
      <c r="I27" s="70" t="str">
        <f aca="false">IF(B27="","",TRIM(IF(AND(AB27&gt;=ENVIO_PER,AB27&lt;=EOMONTH(ENVIO_PER,0)),"Ingresa el día "&amp;DAY(AB27)&amp;". ","")&amp;IF(AND(AC27&gt;0,AC27&gt;=ENVIO_PER,AC27&lt;=EOMONTH(ENVIO_PER,0)),"Egresa el día "&amp;DAY(AC27)&amp;".","")))</f>
        <v/>
      </c>
      <c r="J27" s="70" t="str">
        <f aca="false">IF(B27="","",IF(COUNTIFS(C_ID,C27,C_INICIO,"&gt;="&amp;ENVIO_PER,C_INICIO,"&lt;="&amp;EOMONTH(ENVIO_PER,0))&gt;0,COUNTIFS(C_ID,C27,C_INICIO,"&gt;="&amp;ENVIO_PER,C_INICIO,"&lt;="&amp;EOMONTH(ENVIO_PER,0))&amp;" documento(s) nuevo(s): ver Contratos",""))</f>
        <v/>
      </c>
      <c r="K27" s="74" t="str">
        <f aca="false">IF(B27="","",IF(COUNTIF(N_CLAVE,AA27)&gt;0,SUMIFS(N_DIAS,N_CLAVE,AA27),AD27))</f>
        <v/>
      </c>
      <c r="L27" s="74" t="str">
        <f aca="false">IF(B27="","",SUMIFS(N_FALTAS,N_CLAVE,AA27))</f>
        <v/>
      </c>
      <c r="M27" s="74" t="str">
        <f aca="false">IF(B27="","",SUMIFS(N_LIC,N_CLAVE,AA27))</f>
        <v/>
      </c>
      <c r="N27" s="74" t="str">
        <f aca="false">IF(B27="","",SUMIFS(N_PCG,N_CLAVE,AA27))</f>
        <v/>
      </c>
      <c r="O27" s="74" t="str">
        <f aca="false">IF(B27="","",SUMIFS(N_PSG,N_CLAVE,AA27))</f>
        <v/>
      </c>
      <c r="P27" s="74" t="str">
        <f aca="false">IF(B27="","",SUMIFS(V_DIAS,V_ID,C27,V_MES,ENVIO_PER))</f>
        <v/>
      </c>
      <c r="Q27" s="73" t="str">
        <f aca="false">IF(B27="","",SUMIFS(N_ATRASO,N_CLAVE,AA27))</f>
        <v/>
      </c>
      <c r="R27" s="74" t="str">
        <f aca="false">IF(B27="","",SUMIFS(N_HE,N_CLAVE,AA27))</f>
        <v/>
      </c>
      <c r="S27" s="71" t="str">
        <f aca="false">IF(B27="","",SUMIFS(N_ANT,N_CLAVE,AA27))</f>
        <v/>
      </c>
      <c r="T27" s="71" t="str">
        <f aca="false">IF(B27="","",SUMIFS(N_BONO,N_CLAVE,AA27))</f>
        <v/>
      </c>
      <c r="U27" s="71" t="str">
        <f aca="false">IF(B27="","",SUMIFS(N_ONI,N_CLAVE,AA27))</f>
        <v/>
      </c>
      <c r="V27" s="71" t="str">
        <f aca="false">IF(B27="","",SUMIFS(N_DESC,N_CLAVE,AA27))</f>
        <v/>
      </c>
      <c r="W27" s="72" t="str">
        <f aca="false">IF(B27="","",IFERROR(INDEX(N_OBS,MATCH(AA27,N_CLAVE,0))&amp;"",""))</f>
        <v/>
      </c>
      <c r="X27" s="70" t="str">
        <f aca="false">IF(B27="","",IF(COUNTIF(N_CLAVE,AA27)&gt;0,"Sí","⚠ Sin registro"))</f>
        <v/>
      </c>
      <c r="Z27" s="81" t="str">
        <f aca="false">IF(B27="","",MATCH(B27,T_AUX,0))</f>
        <v/>
      </c>
      <c r="AA27" s="81" t="str">
        <f aca="false">IF(B27="","",C27&amp;"|"&amp;(YEAR(ENVIO_PER)*100+MONTH(ENVIO_PER)))</f>
        <v/>
      </c>
      <c r="AB27" s="81" t="str">
        <f aca="false">IF(B27="","",INDEX(T_INGRESO,Z27))</f>
        <v/>
      </c>
      <c r="AC27" s="81" t="str">
        <f aca="false">IF(B27="","",N(INDEX(T_EGRESO,Z27)))</f>
        <v/>
      </c>
      <c r="AD27" s="81" t="str">
        <f aca="false">IF(B27="","",IF(OR(AB27&gt;EOMONTH(ENVIO_PER,0),AND(AC27&gt;0,AC27&lt;ENVIO_PER)),0,IF(AND(AB27&lt;=ENVIO_PER,OR(AC27=0,AC27&gt;=EOMONTH(ENVIO_PER,0))),30,MIN(30,IF(AC27=0,EOMONTH(ENVIO_PER,0),MIN(AC27,EOMONTH(ENVIO_PER,0)))-MAX(ENVIO_PER,AB27)+1))))</f>
        <v/>
      </c>
    </row>
    <row r="28" customFormat="false" ht="15" hidden="false" customHeight="false" outlineLevel="0" collapsed="false">
      <c r="B28" s="72" t="str">
        <f aca="false">IF(19&lt;=MAX(T_AUX),19,"")</f>
        <v/>
      </c>
      <c r="C28" s="72" t="str">
        <f aca="false">IF(B28="","",INDEX(T_ID,Z28))</f>
        <v/>
      </c>
      <c r="D28" s="72" t="str">
        <f aca="false">IF(B28="","",INDEX(T_RUT,Z28)&amp;"")</f>
        <v/>
      </c>
      <c r="E28" s="72" t="str">
        <f aca="false">IF(B28="","",INDEX(T_NOMBRE,Z28)&amp;"")</f>
        <v/>
      </c>
      <c r="F28" s="72" t="str">
        <f aca="false">IF(B28="","",INDEX(T_CARGO,Z28)&amp;"")</f>
        <v/>
      </c>
      <c r="G28" s="72" t="str">
        <f aca="false">IF(B28="","",IFERROR(INDEX(C_TIPO,MATCH(C28&amp;"-P"&amp;MAX(1,COUNTIFS(C_ID,C28,C_DEFINE,"Sí",C_INICIO,"&lt;="&amp;EOMONTH(ENVIO_PER,0))),C_CLAVE,0))&amp;"","Sin contrato"))</f>
        <v/>
      </c>
      <c r="H28" s="71" t="str">
        <f aca="false">IF(B28="","",IFERROR(INDEX(C_SUELDO,MATCH(C28&amp;"-S"&amp;MAX(1,COUNTIFS(C_ID,C28,C_SUELDO,"&lt;&gt;",C_INICIO,"&lt;="&amp;EOMONTH(ENVIO_PER,0))),C_CLAVES,0)),0))</f>
        <v/>
      </c>
      <c r="I28" s="70" t="str">
        <f aca="false">IF(B28="","",TRIM(IF(AND(AB28&gt;=ENVIO_PER,AB28&lt;=EOMONTH(ENVIO_PER,0)),"Ingresa el día "&amp;DAY(AB28)&amp;". ","")&amp;IF(AND(AC28&gt;0,AC28&gt;=ENVIO_PER,AC28&lt;=EOMONTH(ENVIO_PER,0)),"Egresa el día "&amp;DAY(AC28)&amp;".","")))</f>
        <v/>
      </c>
      <c r="J28" s="70" t="str">
        <f aca="false">IF(B28="","",IF(COUNTIFS(C_ID,C28,C_INICIO,"&gt;="&amp;ENVIO_PER,C_INICIO,"&lt;="&amp;EOMONTH(ENVIO_PER,0))&gt;0,COUNTIFS(C_ID,C28,C_INICIO,"&gt;="&amp;ENVIO_PER,C_INICIO,"&lt;="&amp;EOMONTH(ENVIO_PER,0))&amp;" documento(s) nuevo(s): ver Contratos",""))</f>
        <v/>
      </c>
      <c r="K28" s="74" t="str">
        <f aca="false">IF(B28="","",IF(COUNTIF(N_CLAVE,AA28)&gt;0,SUMIFS(N_DIAS,N_CLAVE,AA28),AD28))</f>
        <v/>
      </c>
      <c r="L28" s="74" t="str">
        <f aca="false">IF(B28="","",SUMIFS(N_FALTAS,N_CLAVE,AA28))</f>
        <v/>
      </c>
      <c r="M28" s="74" t="str">
        <f aca="false">IF(B28="","",SUMIFS(N_LIC,N_CLAVE,AA28))</f>
        <v/>
      </c>
      <c r="N28" s="74" t="str">
        <f aca="false">IF(B28="","",SUMIFS(N_PCG,N_CLAVE,AA28))</f>
        <v/>
      </c>
      <c r="O28" s="74" t="str">
        <f aca="false">IF(B28="","",SUMIFS(N_PSG,N_CLAVE,AA28))</f>
        <v/>
      </c>
      <c r="P28" s="74" t="str">
        <f aca="false">IF(B28="","",SUMIFS(V_DIAS,V_ID,C28,V_MES,ENVIO_PER))</f>
        <v/>
      </c>
      <c r="Q28" s="73" t="str">
        <f aca="false">IF(B28="","",SUMIFS(N_ATRASO,N_CLAVE,AA28))</f>
        <v/>
      </c>
      <c r="R28" s="74" t="str">
        <f aca="false">IF(B28="","",SUMIFS(N_HE,N_CLAVE,AA28))</f>
        <v/>
      </c>
      <c r="S28" s="71" t="str">
        <f aca="false">IF(B28="","",SUMIFS(N_ANT,N_CLAVE,AA28))</f>
        <v/>
      </c>
      <c r="T28" s="71" t="str">
        <f aca="false">IF(B28="","",SUMIFS(N_BONO,N_CLAVE,AA28))</f>
        <v/>
      </c>
      <c r="U28" s="71" t="str">
        <f aca="false">IF(B28="","",SUMIFS(N_ONI,N_CLAVE,AA28))</f>
        <v/>
      </c>
      <c r="V28" s="71" t="str">
        <f aca="false">IF(B28="","",SUMIFS(N_DESC,N_CLAVE,AA28))</f>
        <v/>
      </c>
      <c r="W28" s="72" t="str">
        <f aca="false">IF(B28="","",IFERROR(INDEX(N_OBS,MATCH(AA28,N_CLAVE,0))&amp;"",""))</f>
        <v/>
      </c>
      <c r="X28" s="70" t="str">
        <f aca="false">IF(B28="","",IF(COUNTIF(N_CLAVE,AA28)&gt;0,"Sí","⚠ Sin registro"))</f>
        <v/>
      </c>
      <c r="Z28" s="81" t="str">
        <f aca="false">IF(B28="","",MATCH(B28,T_AUX,0))</f>
        <v/>
      </c>
      <c r="AA28" s="81" t="str">
        <f aca="false">IF(B28="","",C28&amp;"|"&amp;(YEAR(ENVIO_PER)*100+MONTH(ENVIO_PER)))</f>
        <v/>
      </c>
      <c r="AB28" s="81" t="str">
        <f aca="false">IF(B28="","",INDEX(T_INGRESO,Z28))</f>
        <v/>
      </c>
      <c r="AC28" s="81" t="str">
        <f aca="false">IF(B28="","",N(INDEX(T_EGRESO,Z28)))</f>
        <v/>
      </c>
      <c r="AD28" s="81" t="str">
        <f aca="false">IF(B28="","",IF(OR(AB28&gt;EOMONTH(ENVIO_PER,0),AND(AC28&gt;0,AC28&lt;ENVIO_PER)),0,IF(AND(AB28&lt;=ENVIO_PER,OR(AC28=0,AC28&gt;=EOMONTH(ENVIO_PER,0))),30,MIN(30,IF(AC28=0,EOMONTH(ENVIO_PER,0),MIN(AC28,EOMONTH(ENVIO_PER,0)))-MAX(ENVIO_PER,AB28)+1))))</f>
        <v/>
      </c>
    </row>
    <row r="29" customFormat="false" ht="15" hidden="false" customHeight="false" outlineLevel="0" collapsed="false">
      <c r="B29" s="72" t="str">
        <f aca="false">IF(20&lt;=MAX(T_AUX),20,"")</f>
        <v/>
      </c>
      <c r="C29" s="72" t="str">
        <f aca="false">IF(B29="","",INDEX(T_ID,Z29))</f>
        <v/>
      </c>
      <c r="D29" s="72" t="str">
        <f aca="false">IF(B29="","",INDEX(T_RUT,Z29)&amp;"")</f>
        <v/>
      </c>
      <c r="E29" s="72" t="str">
        <f aca="false">IF(B29="","",INDEX(T_NOMBRE,Z29)&amp;"")</f>
        <v/>
      </c>
      <c r="F29" s="72" t="str">
        <f aca="false">IF(B29="","",INDEX(T_CARGO,Z29)&amp;"")</f>
        <v/>
      </c>
      <c r="G29" s="72" t="str">
        <f aca="false">IF(B29="","",IFERROR(INDEX(C_TIPO,MATCH(C29&amp;"-P"&amp;MAX(1,COUNTIFS(C_ID,C29,C_DEFINE,"Sí",C_INICIO,"&lt;="&amp;EOMONTH(ENVIO_PER,0))),C_CLAVE,0))&amp;"","Sin contrato"))</f>
        <v/>
      </c>
      <c r="H29" s="71" t="str">
        <f aca="false">IF(B29="","",IFERROR(INDEX(C_SUELDO,MATCH(C29&amp;"-S"&amp;MAX(1,COUNTIFS(C_ID,C29,C_SUELDO,"&lt;&gt;",C_INICIO,"&lt;="&amp;EOMONTH(ENVIO_PER,0))),C_CLAVES,0)),0))</f>
        <v/>
      </c>
      <c r="I29" s="70" t="str">
        <f aca="false">IF(B29="","",TRIM(IF(AND(AB29&gt;=ENVIO_PER,AB29&lt;=EOMONTH(ENVIO_PER,0)),"Ingresa el día "&amp;DAY(AB29)&amp;". ","")&amp;IF(AND(AC29&gt;0,AC29&gt;=ENVIO_PER,AC29&lt;=EOMONTH(ENVIO_PER,0)),"Egresa el día "&amp;DAY(AC29)&amp;".","")))</f>
        <v/>
      </c>
      <c r="J29" s="70" t="str">
        <f aca="false">IF(B29="","",IF(COUNTIFS(C_ID,C29,C_INICIO,"&gt;="&amp;ENVIO_PER,C_INICIO,"&lt;="&amp;EOMONTH(ENVIO_PER,0))&gt;0,COUNTIFS(C_ID,C29,C_INICIO,"&gt;="&amp;ENVIO_PER,C_INICIO,"&lt;="&amp;EOMONTH(ENVIO_PER,0))&amp;" documento(s) nuevo(s): ver Contratos",""))</f>
        <v/>
      </c>
      <c r="K29" s="74" t="str">
        <f aca="false">IF(B29="","",IF(COUNTIF(N_CLAVE,AA29)&gt;0,SUMIFS(N_DIAS,N_CLAVE,AA29),AD29))</f>
        <v/>
      </c>
      <c r="L29" s="74" t="str">
        <f aca="false">IF(B29="","",SUMIFS(N_FALTAS,N_CLAVE,AA29))</f>
        <v/>
      </c>
      <c r="M29" s="74" t="str">
        <f aca="false">IF(B29="","",SUMIFS(N_LIC,N_CLAVE,AA29))</f>
        <v/>
      </c>
      <c r="N29" s="74" t="str">
        <f aca="false">IF(B29="","",SUMIFS(N_PCG,N_CLAVE,AA29))</f>
        <v/>
      </c>
      <c r="O29" s="74" t="str">
        <f aca="false">IF(B29="","",SUMIFS(N_PSG,N_CLAVE,AA29))</f>
        <v/>
      </c>
      <c r="P29" s="74" t="str">
        <f aca="false">IF(B29="","",SUMIFS(V_DIAS,V_ID,C29,V_MES,ENVIO_PER))</f>
        <v/>
      </c>
      <c r="Q29" s="73" t="str">
        <f aca="false">IF(B29="","",SUMIFS(N_ATRASO,N_CLAVE,AA29))</f>
        <v/>
      </c>
      <c r="R29" s="74" t="str">
        <f aca="false">IF(B29="","",SUMIFS(N_HE,N_CLAVE,AA29))</f>
        <v/>
      </c>
      <c r="S29" s="71" t="str">
        <f aca="false">IF(B29="","",SUMIFS(N_ANT,N_CLAVE,AA29))</f>
        <v/>
      </c>
      <c r="T29" s="71" t="str">
        <f aca="false">IF(B29="","",SUMIFS(N_BONO,N_CLAVE,AA29))</f>
        <v/>
      </c>
      <c r="U29" s="71" t="str">
        <f aca="false">IF(B29="","",SUMIFS(N_ONI,N_CLAVE,AA29))</f>
        <v/>
      </c>
      <c r="V29" s="71" t="str">
        <f aca="false">IF(B29="","",SUMIFS(N_DESC,N_CLAVE,AA29))</f>
        <v/>
      </c>
      <c r="W29" s="72" t="str">
        <f aca="false">IF(B29="","",IFERROR(INDEX(N_OBS,MATCH(AA29,N_CLAVE,0))&amp;"",""))</f>
        <v/>
      </c>
      <c r="X29" s="70" t="str">
        <f aca="false">IF(B29="","",IF(COUNTIF(N_CLAVE,AA29)&gt;0,"Sí","⚠ Sin registro"))</f>
        <v/>
      </c>
      <c r="Z29" s="81" t="str">
        <f aca="false">IF(B29="","",MATCH(B29,T_AUX,0))</f>
        <v/>
      </c>
      <c r="AA29" s="81" t="str">
        <f aca="false">IF(B29="","",C29&amp;"|"&amp;(YEAR(ENVIO_PER)*100+MONTH(ENVIO_PER)))</f>
        <v/>
      </c>
      <c r="AB29" s="81" t="str">
        <f aca="false">IF(B29="","",INDEX(T_INGRESO,Z29))</f>
        <v/>
      </c>
      <c r="AC29" s="81" t="str">
        <f aca="false">IF(B29="","",N(INDEX(T_EGRESO,Z29)))</f>
        <v/>
      </c>
      <c r="AD29" s="81" t="str">
        <f aca="false">IF(B29="","",IF(OR(AB29&gt;EOMONTH(ENVIO_PER,0),AND(AC29&gt;0,AC29&lt;ENVIO_PER)),0,IF(AND(AB29&lt;=ENVIO_PER,OR(AC29=0,AC29&gt;=EOMONTH(ENVIO_PER,0))),30,MIN(30,IF(AC29=0,EOMONTH(ENVIO_PER,0),MIN(AC29,EOMONTH(ENVIO_PER,0)))-MAX(ENVIO_PER,AB29)+1))))</f>
        <v/>
      </c>
    </row>
    <row r="30" customFormat="false" ht="15" hidden="false" customHeight="false" outlineLevel="0" collapsed="false">
      <c r="B30" s="72" t="str">
        <f aca="false">IF(21&lt;=MAX(T_AUX),21,"")</f>
        <v/>
      </c>
      <c r="C30" s="72" t="str">
        <f aca="false">IF(B30="","",INDEX(T_ID,Z30))</f>
        <v/>
      </c>
      <c r="D30" s="72" t="str">
        <f aca="false">IF(B30="","",INDEX(T_RUT,Z30)&amp;"")</f>
        <v/>
      </c>
      <c r="E30" s="72" t="str">
        <f aca="false">IF(B30="","",INDEX(T_NOMBRE,Z30)&amp;"")</f>
        <v/>
      </c>
      <c r="F30" s="72" t="str">
        <f aca="false">IF(B30="","",INDEX(T_CARGO,Z30)&amp;"")</f>
        <v/>
      </c>
      <c r="G30" s="72" t="str">
        <f aca="false">IF(B30="","",IFERROR(INDEX(C_TIPO,MATCH(C30&amp;"-P"&amp;MAX(1,COUNTIFS(C_ID,C30,C_DEFINE,"Sí",C_INICIO,"&lt;="&amp;EOMONTH(ENVIO_PER,0))),C_CLAVE,0))&amp;"","Sin contrato"))</f>
        <v/>
      </c>
      <c r="H30" s="71" t="str">
        <f aca="false">IF(B30="","",IFERROR(INDEX(C_SUELDO,MATCH(C30&amp;"-S"&amp;MAX(1,COUNTIFS(C_ID,C30,C_SUELDO,"&lt;&gt;",C_INICIO,"&lt;="&amp;EOMONTH(ENVIO_PER,0))),C_CLAVES,0)),0))</f>
        <v/>
      </c>
      <c r="I30" s="70" t="str">
        <f aca="false">IF(B30="","",TRIM(IF(AND(AB30&gt;=ENVIO_PER,AB30&lt;=EOMONTH(ENVIO_PER,0)),"Ingresa el día "&amp;DAY(AB30)&amp;". ","")&amp;IF(AND(AC30&gt;0,AC30&gt;=ENVIO_PER,AC30&lt;=EOMONTH(ENVIO_PER,0)),"Egresa el día "&amp;DAY(AC30)&amp;".","")))</f>
        <v/>
      </c>
      <c r="J30" s="70" t="str">
        <f aca="false">IF(B30="","",IF(COUNTIFS(C_ID,C30,C_INICIO,"&gt;="&amp;ENVIO_PER,C_INICIO,"&lt;="&amp;EOMONTH(ENVIO_PER,0))&gt;0,COUNTIFS(C_ID,C30,C_INICIO,"&gt;="&amp;ENVIO_PER,C_INICIO,"&lt;="&amp;EOMONTH(ENVIO_PER,0))&amp;" documento(s) nuevo(s): ver Contratos",""))</f>
        <v/>
      </c>
      <c r="K30" s="74" t="str">
        <f aca="false">IF(B30="","",IF(COUNTIF(N_CLAVE,AA30)&gt;0,SUMIFS(N_DIAS,N_CLAVE,AA30),AD30))</f>
        <v/>
      </c>
      <c r="L30" s="74" t="str">
        <f aca="false">IF(B30="","",SUMIFS(N_FALTAS,N_CLAVE,AA30))</f>
        <v/>
      </c>
      <c r="M30" s="74" t="str">
        <f aca="false">IF(B30="","",SUMIFS(N_LIC,N_CLAVE,AA30))</f>
        <v/>
      </c>
      <c r="N30" s="74" t="str">
        <f aca="false">IF(B30="","",SUMIFS(N_PCG,N_CLAVE,AA30))</f>
        <v/>
      </c>
      <c r="O30" s="74" t="str">
        <f aca="false">IF(B30="","",SUMIFS(N_PSG,N_CLAVE,AA30))</f>
        <v/>
      </c>
      <c r="P30" s="74" t="str">
        <f aca="false">IF(B30="","",SUMIFS(V_DIAS,V_ID,C30,V_MES,ENVIO_PER))</f>
        <v/>
      </c>
      <c r="Q30" s="73" t="str">
        <f aca="false">IF(B30="","",SUMIFS(N_ATRASO,N_CLAVE,AA30))</f>
        <v/>
      </c>
      <c r="R30" s="74" t="str">
        <f aca="false">IF(B30="","",SUMIFS(N_HE,N_CLAVE,AA30))</f>
        <v/>
      </c>
      <c r="S30" s="71" t="str">
        <f aca="false">IF(B30="","",SUMIFS(N_ANT,N_CLAVE,AA30))</f>
        <v/>
      </c>
      <c r="T30" s="71" t="str">
        <f aca="false">IF(B30="","",SUMIFS(N_BONO,N_CLAVE,AA30))</f>
        <v/>
      </c>
      <c r="U30" s="71" t="str">
        <f aca="false">IF(B30="","",SUMIFS(N_ONI,N_CLAVE,AA30))</f>
        <v/>
      </c>
      <c r="V30" s="71" t="str">
        <f aca="false">IF(B30="","",SUMIFS(N_DESC,N_CLAVE,AA30))</f>
        <v/>
      </c>
      <c r="W30" s="72" t="str">
        <f aca="false">IF(B30="","",IFERROR(INDEX(N_OBS,MATCH(AA30,N_CLAVE,0))&amp;"",""))</f>
        <v/>
      </c>
      <c r="X30" s="70" t="str">
        <f aca="false">IF(B30="","",IF(COUNTIF(N_CLAVE,AA30)&gt;0,"Sí","⚠ Sin registro"))</f>
        <v/>
      </c>
      <c r="Z30" s="81" t="str">
        <f aca="false">IF(B30="","",MATCH(B30,T_AUX,0))</f>
        <v/>
      </c>
      <c r="AA30" s="81" t="str">
        <f aca="false">IF(B30="","",C30&amp;"|"&amp;(YEAR(ENVIO_PER)*100+MONTH(ENVIO_PER)))</f>
        <v/>
      </c>
      <c r="AB30" s="81" t="str">
        <f aca="false">IF(B30="","",INDEX(T_INGRESO,Z30))</f>
        <v/>
      </c>
      <c r="AC30" s="81" t="str">
        <f aca="false">IF(B30="","",N(INDEX(T_EGRESO,Z30)))</f>
        <v/>
      </c>
      <c r="AD30" s="81" t="str">
        <f aca="false">IF(B30="","",IF(OR(AB30&gt;EOMONTH(ENVIO_PER,0),AND(AC30&gt;0,AC30&lt;ENVIO_PER)),0,IF(AND(AB30&lt;=ENVIO_PER,OR(AC30=0,AC30&gt;=EOMONTH(ENVIO_PER,0))),30,MIN(30,IF(AC30=0,EOMONTH(ENVIO_PER,0),MIN(AC30,EOMONTH(ENVIO_PER,0)))-MAX(ENVIO_PER,AB30)+1))))</f>
        <v/>
      </c>
    </row>
    <row r="31" customFormat="false" ht="15" hidden="false" customHeight="false" outlineLevel="0" collapsed="false">
      <c r="B31" s="72" t="str">
        <f aca="false">IF(22&lt;=MAX(T_AUX),22,"")</f>
        <v/>
      </c>
      <c r="C31" s="72" t="str">
        <f aca="false">IF(B31="","",INDEX(T_ID,Z31))</f>
        <v/>
      </c>
      <c r="D31" s="72" t="str">
        <f aca="false">IF(B31="","",INDEX(T_RUT,Z31)&amp;"")</f>
        <v/>
      </c>
      <c r="E31" s="72" t="str">
        <f aca="false">IF(B31="","",INDEX(T_NOMBRE,Z31)&amp;"")</f>
        <v/>
      </c>
      <c r="F31" s="72" t="str">
        <f aca="false">IF(B31="","",INDEX(T_CARGO,Z31)&amp;"")</f>
        <v/>
      </c>
      <c r="G31" s="72" t="str">
        <f aca="false">IF(B31="","",IFERROR(INDEX(C_TIPO,MATCH(C31&amp;"-P"&amp;MAX(1,COUNTIFS(C_ID,C31,C_DEFINE,"Sí",C_INICIO,"&lt;="&amp;EOMONTH(ENVIO_PER,0))),C_CLAVE,0))&amp;"","Sin contrato"))</f>
        <v/>
      </c>
      <c r="H31" s="71" t="str">
        <f aca="false">IF(B31="","",IFERROR(INDEX(C_SUELDO,MATCH(C31&amp;"-S"&amp;MAX(1,COUNTIFS(C_ID,C31,C_SUELDO,"&lt;&gt;",C_INICIO,"&lt;="&amp;EOMONTH(ENVIO_PER,0))),C_CLAVES,0)),0))</f>
        <v/>
      </c>
      <c r="I31" s="70" t="str">
        <f aca="false">IF(B31="","",TRIM(IF(AND(AB31&gt;=ENVIO_PER,AB31&lt;=EOMONTH(ENVIO_PER,0)),"Ingresa el día "&amp;DAY(AB31)&amp;". ","")&amp;IF(AND(AC31&gt;0,AC31&gt;=ENVIO_PER,AC31&lt;=EOMONTH(ENVIO_PER,0)),"Egresa el día "&amp;DAY(AC31)&amp;".","")))</f>
        <v/>
      </c>
      <c r="J31" s="70" t="str">
        <f aca="false">IF(B31="","",IF(COUNTIFS(C_ID,C31,C_INICIO,"&gt;="&amp;ENVIO_PER,C_INICIO,"&lt;="&amp;EOMONTH(ENVIO_PER,0))&gt;0,COUNTIFS(C_ID,C31,C_INICIO,"&gt;="&amp;ENVIO_PER,C_INICIO,"&lt;="&amp;EOMONTH(ENVIO_PER,0))&amp;" documento(s) nuevo(s): ver Contratos",""))</f>
        <v/>
      </c>
      <c r="K31" s="74" t="str">
        <f aca="false">IF(B31="","",IF(COUNTIF(N_CLAVE,AA31)&gt;0,SUMIFS(N_DIAS,N_CLAVE,AA31),AD31))</f>
        <v/>
      </c>
      <c r="L31" s="74" t="str">
        <f aca="false">IF(B31="","",SUMIFS(N_FALTAS,N_CLAVE,AA31))</f>
        <v/>
      </c>
      <c r="M31" s="74" t="str">
        <f aca="false">IF(B31="","",SUMIFS(N_LIC,N_CLAVE,AA31))</f>
        <v/>
      </c>
      <c r="N31" s="74" t="str">
        <f aca="false">IF(B31="","",SUMIFS(N_PCG,N_CLAVE,AA31))</f>
        <v/>
      </c>
      <c r="O31" s="74" t="str">
        <f aca="false">IF(B31="","",SUMIFS(N_PSG,N_CLAVE,AA31))</f>
        <v/>
      </c>
      <c r="P31" s="74" t="str">
        <f aca="false">IF(B31="","",SUMIFS(V_DIAS,V_ID,C31,V_MES,ENVIO_PER))</f>
        <v/>
      </c>
      <c r="Q31" s="73" t="str">
        <f aca="false">IF(B31="","",SUMIFS(N_ATRASO,N_CLAVE,AA31))</f>
        <v/>
      </c>
      <c r="R31" s="74" t="str">
        <f aca="false">IF(B31="","",SUMIFS(N_HE,N_CLAVE,AA31))</f>
        <v/>
      </c>
      <c r="S31" s="71" t="str">
        <f aca="false">IF(B31="","",SUMIFS(N_ANT,N_CLAVE,AA31))</f>
        <v/>
      </c>
      <c r="T31" s="71" t="str">
        <f aca="false">IF(B31="","",SUMIFS(N_BONO,N_CLAVE,AA31))</f>
        <v/>
      </c>
      <c r="U31" s="71" t="str">
        <f aca="false">IF(B31="","",SUMIFS(N_ONI,N_CLAVE,AA31))</f>
        <v/>
      </c>
      <c r="V31" s="71" t="str">
        <f aca="false">IF(B31="","",SUMIFS(N_DESC,N_CLAVE,AA31))</f>
        <v/>
      </c>
      <c r="W31" s="72" t="str">
        <f aca="false">IF(B31="","",IFERROR(INDEX(N_OBS,MATCH(AA31,N_CLAVE,0))&amp;"",""))</f>
        <v/>
      </c>
      <c r="X31" s="70" t="str">
        <f aca="false">IF(B31="","",IF(COUNTIF(N_CLAVE,AA31)&gt;0,"Sí","⚠ Sin registro"))</f>
        <v/>
      </c>
      <c r="Z31" s="81" t="str">
        <f aca="false">IF(B31="","",MATCH(B31,T_AUX,0))</f>
        <v/>
      </c>
      <c r="AA31" s="81" t="str">
        <f aca="false">IF(B31="","",C31&amp;"|"&amp;(YEAR(ENVIO_PER)*100+MONTH(ENVIO_PER)))</f>
        <v/>
      </c>
      <c r="AB31" s="81" t="str">
        <f aca="false">IF(B31="","",INDEX(T_INGRESO,Z31))</f>
        <v/>
      </c>
      <c r="AC31" s="81" t="str">
        <f aca="false">IF(B31="","",N(INDEX(T_EGRESO,Z31)))</f>
        <v/>
      </c>
      <c r="AD31" s="81" t="str">
        <f aca="false">IF(B31="","",IF(OR(AB31&gt;EOMONTH(ENVIO_PER,0),AND(AC31&gt;0,AC31&lt;ENVIO_PER)),0,IF(AND(AB31&lt;=ENVIO_PER,OR(AC31=0,AC31&gt;=EOMONTH(ENVIO_PER,0))),30,MIN(30,IF(AC31=0,EOMONTH(ENVIO_PER,0),MIN(AC31,EOMONTH(ENVIO_PER,0)))-MAX(ENVIO_PER,AB31)+1))))</f>
        <v/>
      </c>
    </row>
    <row r="32" customFormat="false" ht="15" hidden="false" customHeight="false" outlineLevel="0" collapsed="false">
      <c r="B32" s="72" t="str">
        <f aca="false">IF(23&lt;=MAX(T_AUX),23,"")</f>
        <v/>
      </c>
      <c r="C32" s="72" t="str">
        <f aca="false">IF(B32="","",INDEX(T_ID,Z32))</f>
        <v/>
      </c>
      <c r="D32" s="72" t="str">
        <f aca="false">IF(B32="","",INDEX(T_RUT,Z32)&amp;"")</f>
        <v/>
      </c>
      <c r="E32" s="72" t="str">
        <f aca="false">IF(B32="","",INDEX(T_NOMBRE,Z32)&amp;"")</f>
        <v/>
      </c>
      <c r="F32" s="72" t="str">
        <f aca="false">IF(B32="","",INDEX(T_CARGO,Z32)&amp;"")</f>
        <v/>
      </c>
      <c r="G32" s="72" t="str">
        <f aca="false">IF(B32="","",IFERROR(INDEX(C_TIPO,MATCH(C32&amp;"-P"&amp;MAX(1,COUNTIFS(C_ID,C32,C_DEFINE,"Sí",C_INICIO,"&lt;="&amp;EOMONTH(ENVIO_PER,0))),C_CLAVE,0))&amp;"","Sin contrato"))</f>
        <v/>
      </c>
      <c r="H32" s="71" t="str">
        <f aca="false">IF(B32="","",IFERROR(INDEX(C_SUELDO,MATCH(C32&amp;"-S"&amp;MAX(1,COUNTIFS(C_ID,C32,C_SUELDO,"&lt;&gt;",C_INICIO,"&lt;="&amp;EOMONTH(ENVIO_PER,0))),C_CLAVES,0)),0))</f>
        <v/>
      </c>
      <c r="I32" s="70" t="str">
        <f aca="false">IF(B32="","",TRIM(IF(AND(AB32&gt;=ENVIO_PER,AB32&lt;=EOMONTH(ENVIO_PER,0)),"Ingresa el día "&amp;DAY(AB32)&amp;". ","")&amp;IF(AND(AC32&gt;0,AC32&gt;=ENVIO_PER,AC32&lt;=EOMONTH(ENVIO_PER,0)),"Egresa el día "&amp;DAY(AC32)&amp;".","")))</f>
        <v/>
      </c>
      <c r="J32" s="70" t="str">
        <f aca="false">IF(B32="","",IF(COUNTIFS(C_ID,C32,C_INICIO,"&gt;="&amp;ENVIO_PER,C_INICIO,"&lt;="&amp;EOMONTH(ENVIO_PER,0))&gt;0,COUNTIFS(C_ID,C32,C_INICIO,"&gt;="&amp;ENVIO_PER,C_INICIO,"&lt;="&amp;EOMONTH(ENVIO_PER,0))&amp;" documento(s) nuevo(s): ver Contratos",""))</f>
        <v/>
      </c>
      <c r="K32" s="74" t="str">
        <f aca="false">IF(B32="","",IF(COUNTIF(N_CLAVE,AA32)&gt;0,SUMIFS(N_DIAS,N_CLAVE,AA32),AD32))</f>
        <v/>
      </c>
      <c r="L32" s="74" t="str">
        <f aca="false">IF(B32="","",SUMIFS(N_FALTAS,N_CLAVE,AA32))</f>
        <v/>
      </c>
      <c r="M32" s="74" t="str">
        <f aca="false">IF(B32="","",SUMIFS(N_LIC,N_CLAVE,AA32))</f>
        <v/>
      </c>
      <c r="N32" s="74" t="str">
        <f aca="false">IF(B32="","",SUMIFS(N_PCG,N_CLAVE,AA32))</f>
        <v/>
      </c>
      <c r="O32" s="74" t="str">
        <f aca="false">IF(B32="","",SUMIFS(N_PSG,N_CLAVE,AA32))</f>
        <v/>
      </c>
      <c r="P32" s="74" t="str">
        <f aca="false">IF(B32="","",SUMIFS(V_DIAS,V_ID,C32,V_MES,ENVIO_PER))</f>
        <v/>
      </c>
      <c r="Q32" s="73" t="str">
        <f aca="false">IF(B32="","",SUMIFS(N_ATRASO,N_CLAVE,AA32))</f>
        <v/>
      </c>
      <c r="R32" s="74" t="str">
        <f aca="false">IF(B32="","",SUMIFS(N_HE,N_CLAVE,AA32))</f>
        <v/>
      </c>
      <c r="S32" s="71" t="str">
        <f aca="false">IF(B32="","",SUMIFS(N_ANT,N_CLAVE,AA32))</f>
        <v/>
      </c>
      <c r="T32" s="71" t="str">
        <f aca="false">IF(B32="","",SUMIFS(N_BONO,N_CLAVE,AA32))</f>
        <v/>
      </c>
      <c r="U32" s="71" t="str">
        <f aca="false">IF(B32="","",SUMIFS(N_ONI,N_CLAVE,AA32))</f>
        <v/>
      </c>
      <c r="V32" s="71" t="str">
        <f aca="false">IF(B32="","",SUMIFS(N_DESC,N_CLAVE,AA32))</f>
        <v/>
      </c>
      <c r="W32" s="72" t="str">
        <f aca="false">IF(B32="","",IFERROR(INDEX(N_OBS,MATCH(AA32,N_CLAVE,0))&amp;"",""))</f>
        <v/>
      </c>
      <c r="X32" s="70" t="str">
        <f aca="false">IF(B32="","",IF(COUNTIF(N_CLAVE,AA32)&gt;0,"Sí","⚠ Sin registro"))</f>
        <v/>
      </c>
      <c r="Z32" s="81" t="str">
        <f aca="false">IF(B32="","",MATCH(B32,T_AUX,0))</f>
        <v/>
      </c>
      <c r="AA32" s="81" t="str">
        <f aca="false">IF(B32="","",C32&amp;"|"&amp;(YEAR(ENVIO_PER)*100+MONTH(ENVIO_PER)))</f>
        <v/>
      </c>
      <c r="AB32" s="81" t="str">
        <f aca="false">IF(B32="","",INDEX(T_INGRESO,Z32))</f>
        <v/>
      </c>
      <c r="AC32" s="81" t="str">
        <f aca="false">IF(B32="","",N(INDEX(T_EGRESO,Z32)))</f>
        <v/>
      </c>
      <c r="AD32" s="81" t="str">
        <f aca="false">IF(B32="","",IF(OR(AB32&gt;EOMONTH(ENVIO_PER,0),AND(AC32&gt;0,AC32&lt;ENVIO_PER)),0,IF(AND(AB32&lt;=ENVIO_PER,OR(AC32=0,AC32&gt;=EOMONTH(ENVIO_PER,0))),30,MIN(30,IF(AC32=0,EOMONTH(ENVIO_PER,0),MIN(AC32,EOMONTH(ENVIO_PER,0)))-MAX(ENVIO_PER,AB32)+1))))</f>
        <v/>
      </c>
    </row>
    <row r="33" customFormat="false" ht="15" hidden="false" customHeight="false" outlineLevel="0" collapsed="false">
      <c r="B33" s="72" t="str">
        <f aca="false">IF(24&lt;=MAX(T_AUX),24,"")</f>
        <v/>
      </c>
      <c r="C33" s="72" t="str">
        <f aca="false">IF(B33="","",INDEX(T_ID,Z33))</f>
        <v/>
      </c>
      <c r="D33" s="72" t="str">
        <f aca="false">IF(B33="","",INDEX(T_RUT,Z33)&amp;"")</f>
        <v/>
      </c>
      <c r="E33" s="72" t="str">
        <f aca="false">IF(B33="","",INDEX(T_NOMBRE,Z33)&amp;"")</f>
        <v/>
      </c>
      <c r="F33" s="72" t="str">
        <f aca="false">IF(B33="","",INDEX(T_CARGO,Z33)&amp;"")</f>
        <v/>
      </c>
      <c r="G33" s="72" t="str">
        <f aca="false">IF(B33="","",IFERROR(INDEX(C_TIPO,MATCH(C33&amp;"-P"&amp;MAX(1,COUNTIFS(C_ID,C33,C_DEFINE,"Sí",C_INICIO,"&lt;="&amp;EOMONTH(ENVIO_PER,0))),C_CLAVE,0))&amp;"","Sin contrato"))</f>
        <v/>
      </c>
      <c r="H33" s="71" t="str">
        <f aca="false">IF(B33="","",IFERROR(INDEX(C_SUELDO,MATCH(C33&amp;"-S"&amp;MAX(1,COUNTIFS(C_ID,C33,C_SUELDO,"&lt;&gt;",C_INICIO,"&lt;="&amp;EOMONTH(ENVIO_PER,0))),C_CLAVES,0)),0))</f>
        <v/>
      </c>
      <c r="I33" s="70" t="str">
        <f aca="false">IF(B33="","",TRIM(IF(AND(AB33&gt;=ENVIO_PER,AB33&lt;=EOMONTH(ENVIO_PER,0)),"Ingresa el día "&amp;DAY(AB33)&amp;". ","")&amp;IF(AND(AC33&gt;0,AC33&gt;=ENVIO_PER,AC33&lt;=EOMONTH(ENVIO_PER,0)),"Egresa el día "&amp;DAY(AC33)&amp;".","")))</f>
        <v/>
      </c>
      <c r="J33" s="70" t="str">
        <f aca="false">IF(B33="","",IF(COUNTIFS(C_ID,C33,C_INICIO,"&gt;="&amp;ENVIO_PER,C_INICIO,"&lt;="&amp;EOMONTH(ENVIO_PER,0))&gt;0,COUNTIFS(C_ID,C33,C_INICIO,"&gt;="&amp;ENVIO_PER,C_INICIO,"&lt;="&amp;EOMONTH(ENVIO_PER,0))&amp;" documento(s) nuevo(s): ver Contratos",""))</f>
        <v/>
      </c>
      <c r="K33" s="74" t="str">
        <f aca="false">IF(B33="","",IF(COUNTIF(N_CLAVE,AA33)&gt;0,SUMIFS(N_DIAS,N_CLAVE,AA33),AD33))</f>
        <v/>
      </c>
      <c r="L33" s="74" t="str">
        <f aca="false">IF(B33="","",SUMIFS(N_FALTAS,N_CLAVE,AA33))</f>
        <v/>
      </c>
      <c r="M33" s="74" t="str">
        <f aca="false">IF(B33="","",SUMIFS(N_LIC,N_CLAVE,AA33))</f>
        <v/>
      </c>
      <c r="N33" s="74" t="str">
        <f aca="false">IF(B33="","",SUMIFS(N_PCG,N_CLAVE,AA33))</f>
        <v/>
      </c>
      <c r="O33" s="74" t="str">
        <f aca="false">IF(B33="","",SUMIFS(N_PSG,N_CLAVE,AA33))</f>
        <v/>
      </c>
      <c r="P33" s="74" t="str">
        <f aca="false">IF(B33="","",SUMIFS(V_DIAS,V_ID,C33,V_MES,ENVIO_PER))</f>
        <v/>
      </c>
      <c r="Q33" s="73" t="str">
        <f aca="false">IF(B33="","",SUMIFS(N_ATRASO,N_CLAVE,AA33))</f>
        <v/>
      </c>
      <c r="R33" s="74" t="str">
        <f aca="false">IF(B33="","",SUMIFS(N_HE,N_CLAVE,AA33))</f>
        <v/>
      </c>
      <c r="S33" s="71" t="str">
        <f aca="false">IF(B33="","",SUMIFS(N_ANT,N_CLAVE,AA33))</f>
        <v/>
      </c>
      <c r="T33" s="71" t="str">
        <f aca="false">IF(B33="","",SUMIFS(N_BONO,N_CLAVE,AA33))</f>
        <v/>
      </c>
      <c r="U33" s="71" t="str">
        <f aca="false">IF(B33="","",SUMIFS(N_ONI,N_CLAVE,AA33))</f>
        <v/>
      </c>
      <c r="V33" s="71" t="str">
        <f aca="false">IF(B33="","",SUMIFS(N_DESC,N_CLAVE,AA33))</f>
        <v/>
      </c>
      <c r="W33" s="72" t="str">
        <f aca="false">IF(B33="","",IFERROR(INDEX(N_OBS,MATCH(AA33,N_CLAVE,0))&amp;"",""))</f>
        <v/>
      </c>
      <c r="X33" s="70" t="str">
        <f aca="false">IF(B33="","",IF(COUNTIF(N_CLAVE,AA33)&gt;0,"Sí","⚠ Sin registro"))</f>
        <v/>
      </c>
      <c r="Z33" s="81" t="str">
        <f aca="false">IF(B33="","",MATCH(B33,T_AUX,0))</f>
        <v/>
      </c>
      <c r="AA33" s="81" t="str">
        <f aca="false">IF(B33="","",C33&amp;"|"&amp;(YEAR(ENVIO_PER)*100+MONTH(ENVIO_PER)))</f>
        <v/>
      </c>
      <c r="AB33" s="81" t="str">
        <f aca="false">IF(B33="","",INDEX(T_INGRESO,Z33))</f>
        <v/>
      </c>
      <c r="AC33" s="81" t="str">
        <f aca="false">IF(B33="","",N(INDEX(T_EGRESO,Z33)))</f>
        <v/>
      </c>
      <c r="AD33" s="81" t="str">
        <f aca="false">IF(B33="","",IF(OR(AB33&gt;EOMONTH(ENVIO_PER,0),AND(AC33&gt;0,AC33&lt;ENVIO_PER)),0,IF(AND(AB33&lt;=ENVIO_PER,OR(AC33=0,AC33&gt;=EOMONTH(ENVIO_PER,0))),30,MIN(30,IF(AC33=0,EOMONTH(ENVIO_PER,0),MIN(AC33,EOMONTH(ENVIO_PER,0)))-MAX(ENVIO_PER,AB33)+1))))</f>
        <v/>
      </c>
    </row>
    <row r="34" customFormat="false" ht="15" hidden="false" customHeight="false" outlineLevel="0" collapsed="false">
      <c r="B34" s="72" t="str">
        <f aca="false">IF(25&lt;=MAX(T_AUX),25,"")</f>
        <v/>
      </c>
      <c r="C34" s="72" t="str">
        <f aca="false">IF(B34="","",INDEX(T_ID,Z34))</f>
        <v/>
      </c>
      <c r="D34" s="72" t="str">
        <f aca="false">IF(B34="","",INDEX(T_RUT,Z34)&amp;"")</f>
        <v/>
      </c>
      <c r="E34" s="72" t="str">
        <f aca="false">IF(B34="","",INDEX(T_NOMBRE,Z34)&amp;"")</f>
        <v/>
      </c>
      <c r="F34" s="72" t="str">
        <f aca="false">IF(B34="","",INDEX(T_CARGO,Z34)&amp;"")</f>
        <v/>
      </c>
      <c r="G34" s="72" t="str">
        <f aca="false">IF(B34="","",IFERROR(INDEX(C_TIPO,MATCH(C34&amp;"-P"&amp;MAX(1,COUNTIFS(C_ID,C34,C_DEFINE,"Sí",C_INICIO,"&lt;="&amp;EOMONTH(ENVIO_PER,0))),C_CLAVE,0))&amp;"","Sin contrato"))</f>
        <v/>
      </c>
      <c r="H34" s="71" t="str">
        <f aca="false">IF(B34="","",IFERROR(INDEX(C_SUELDO,MATCH(C34&amp;"-S"&amp;MAX(1,COUNTIFS(C_ID,C34,C_SUELDO,"&lt;&gt;",C_INICIO,"&lt;="&amp;EOMONTH(ENVIO_PER,0))),C_CLAVES,0)),0))</f>
        <v/>
      </c>
      <c r="I34" s="70" t="str">
        <f aca="false">IF(B34="","",TRIM(IF(AND(AB34&gt;=ENVIO_PER,AB34&lt;=EOMONTH(ENVIO_PER,0)),"Ingresa el día "&amp;DAY(AB34)&amp;". ","")&amp;IF(AND(AC34&gt;0,AC34&gt;=ENVIO_PER,AC34&lt;=EOMONTH(ENVIO_PER,0)),"Egresa el día "&amp;DAY(AC34)&amp;".","")))</f>
        <v/>
      </c>
      <c r="J34" s="70" t="str">
        <f aca="false">IF(B34="","",IF(COUNTIFS(C_ID,C34,C_INICIO,"&gt;="&amp;ENVIO_PER,C_INICIO,"&lt;="&amp;EOMONTH(ENVIO_PER,0))&gt;0,COUNTIFS(C_ID,C34,C_INICIO,"&gt;="&amp;ENVIO_PER,C_INICIO,"&lt;="&amp;EOMONTH(ENVIO_PER,0))&amp;" documento(s) nuevo(s): ver Contratos",""))</f>
        <v/>
      </c>
      <c r="K34" s="74" t="str">
        <f aca="false">IF(B34="","",IF(COUNTIF(N_CLAVE,AA34)&gt;0,SUMIFS(N_DIAS,N_CLAVE,AA34),AD34))</f>
        <v/>
      </c>
      <c r="L34" s="74" t="str">
        <f aca="false">IF(B34="","",SUMIFS(N_FALTAS,N_CLAVE,AA34))</f>
        <v/>
      </c>
      <c r="M34" s="74" t="str">
        <f aca="false">IF(B34="","",SUMIFS(N_LIC,N_CLAVE,AA34))</f>
        <v/>
      </c>
      <c r="N34" s="74" t="str">
        <f aca="false">IF(B34="","",SUMIFS(N_PCG,N_CLAVE,AA34))</f>
        <v/>
      </c>
      <c r="O34" s="74" t="str">
        <f aca="false">IF(B34="","",SUMIFS(N_PSG,N_CLAVE,AA34))</f>
        <v/>
      </c>
      <c r="P34" s="74" t="str">
        <f aca="false">IF(B34="","",SUMIFS(V_DIAS,V_ID,C34,V_MES,ENVIO_PER))</f>
        <v/>
      </c>
      <c r="Q34" s="73" t="str">
        <f aca="false">IF(B34="","",SUMIFS(N_ATRASO,N_CLAVE,AA34))</f>
        <v/>
      </c>
      <c r="R34" s="74" t="str">
        <f aca="false">IF(B34="","",SUMIFS(N_HE,N_CLAVE,AA34))</f>
        <v/>
      </c>
      <c r="S34" s="71" t="str">
        <f aca="false">IF(B34="","",SUMIFS(N_ANT,N_CLAVE,AA34))</f>
        <v/>
      </c>
      <c r="T34" s="71" t="str">
        <f aca="false">IF(B34="","",SUMIFS(N_BONO,N_CLAVE,AA34))</f>
        <v/>
      </c>
      <c r="U34" s="71" t="str">
        <f aca="false">IF(B34="","",SUMIFS(N_ONI,N_CLAVE,AA34))</f>
        <v/>
      </c>
      <c r="V34" s="71" t="str">
        <f aca="false">IF(B34="","",SUMIFS(N_DESC,N_CLAVE,AA34))</f>
        <v/>
      </c>
      <c r="W34" s="72" t="str">
        <f aca="false">IF(B34="","",IFERROR(INDEX(N_OBS,MATCH(AA34,N_CLAVE,0))&amp;"",""))</f>
        <v/>
      </c>
      <c r="X34" s="70" t="str">
        <f aca="false">IF(B34="","",IF(COUNTIF(N_CLAVE,AA34)&gt;0,"Sí","⚠ Sin registro"))</f>
        <v/>
      </c>
      <c r="Z34" s="81" t="str">
        <f aca="false">IF(B34="","",MATCH(B34,T_AUX,0))</f>
        <v/>
      </c>
      <c r="AA34" s="81" t="str">
        <f aca="false">IF(B34="","",C34&amp;"|"&amp;(YEAR(ENVIO_PER)*100+MONTH(ENVIO_PER)))</f>
        <v/>
      </c>
      <c r="AB34" s="81" t="str">
        <f aca="false">IF(B34="","",INDEX(T_INGRESO,Z34))</f>
        <v/>
      </c>
      <c r="AC34" s="81" t="str">
        <f aca="false">IF(B34="","",N(INDEX(T_EGRESO,Z34)))</f>
        <v/>
      </c>
      <c r="AD34" s="81" t="str">
        <f aca="false">IF(B34="","",IF(OR(AB34&gt;EOMONTH(ENVIO_PER,0),AND(AC34&gt;0,AC34&lt;ENVIO_PER)),0,IF(AND(AB34&lt;=ENVIO_PER,OR(AC34=0,AC34&gt;=EOMONTH(ENVIO_PER,0))),30,MIN(30,IF(AC34=0,EOMONTH(ENVIO_PER,0),MIN(AC34,EOMONTH(ENVIO_PER,0)))-MAX(ENVIO_PER,AB34)+1))))</f>
        <v/>
      </c>
    </row>
    <row r="35" customFormat="false" ht="15" hidden="false" customHeight="false" outlineLevel="0" collapsed="false">
      <c r="B35" s="72" t="str">
        <f aca="false">IF(26&lt;=MAX(T_AUX),26,"")</f>
        <v/>
      </c>
      <c r="C35" s="72" t="str">
        <f aca="false">IF(B35="","",INDEX(T_ID,Z35))</f>
        <v/>
      </c>
      <c r="D35" s="72" t="str">
        <f aca="false">IF(B35="","",INDEX(T_RUT,Z35)&amp;"")</f>
        <v/>
      </c>
      <c r="E35" s="72" t="str">
        <f aca="false">IF(B35="","",INDEX(T_NOMBRE,Z35)&amp;"")</f>
        <v/>
      </c>
      <c r="F35" s="72" t="str">
        <f aca="false">IF(B35="","",INDEX(T_CARGO,Z35)&amp;"")</f>
        <v/>
      </c>
      <c r="G35" s="72" t="str">
        <f aca="false">IF(B35="","",IFERROR(INDEX(C_TIPO,MATCH(C35&amp;"-P"&amp;MAX(1,COUNTIFS(C_ID,C35,C_DEFINE,"Sí",C_INICIO,"&lt;="&amp;EOMONTH(ENVIO_PER,0))),C_CLAVE,0))&amp;"","Sin contrato"))</f>
        <v/>
      </c>
      <c r="H35" s="71" t="str">
        <f aca="false">IF(B35="","",IFERROR(INDEX(C_SUELDO,MATCH(C35&amp;"-S"&amp;MAX(1,COUNTIFS(C_ID,C35,C_SUELDO,"&lt;&gt;",C_INICIO,"&lt;="&amp;EOMONTH(ENVIO_PER,0))),C_CLAVES,0)),0))</f>
        <v/>
      </c>
      <c r="I35" s="70" t="str">
        <f aca="false">IF(B35="","",TRIM(IF(AND(AB35&gt;=ENVIO_PER,AB35&lt;=EOMONTH(ENVIO_PER,0)),"Ingresa el día "&amp;DAY(AB35)&amp;". ","")&amp;IF(AND(AC35&gt;0,AC35&gt;=ENVIO_PER,AC35&lt;=EOMONTH(ENVIO_PER,0)),"Egresa el día "&amp;DAY(AC35)&amp;".","")))</f>
        <v/>
      </c>
      <c r="J35" s="70" t="str">
        <f aca="false">IF(B35="","",IF(COUNTIFS(C_ID,C35,C_INICIO,"&gt;="&amp;ENVIO_PER,C_INICIO,"&lt;="&amp;EOMONTH(ENVIO_PER,0))&gt;0,COUNTIFS(C_ID,C35,C_INICIO,"&gt;="&amp;ENVIO_PER,C_INICIO,"&lt;="&amp;EOMONTH(ENVIO_PER,0))&amp;" documento(s) nuevo(s): ver Contratos",""))</f>
        <v/>
      </c>
      <c r="K35" s="74" t="str">
        <f aca="false">IF(B35="","",IF(COUNTIF(N_CLAVE,AA35)&gt;0,SUMIFS(N_DIAS,N_CLAVE,AA35),AD35))</f>
        <v/>
      </c>
      <c r="L35" s="74" t="str">
        <f aca="false">IF(B35="","",SUMIFS(N_FALTAS,N_CLAVE,AA35))</f>
        <v/>
      </c>
      <c r="M35" s="74" t="str">
        <f aca="false">IF(B35="","",SUMIFS(N_LIC,N_CLAVE,AA35))</f>
        <v/>
      </c>
      <c r="N35" s="74" t="str">
        <f aca="false">IF(B35="","",SUMIFS(N_PCG,N_CLAVE,AA35))</f>
        <v/>
      </c>
      <c r="O35" s="74" t="str">
        <f aca="false">IF(B35="","",SUMIFS(N_PSG,N_CLAVE,AA35))</f>
        <v/>
      </c>
      <c r="P35" s="74" t="str">
        <f aca="false">IF(B35="","",SUMIFS(V_DIAS,V_ID,C35,V_MES,ENVIO_PER))</f>
        <v/>
      </c>
      <c r="Q35" s="73" t="str">
        <f aca="false">IF(B35="","",SUMIFS(N_ATRASO,N_CLAVE,AA35))</f>
        <v/>
      </c>
      <c r="R35" s="74" t="str">
        <f aca="false">IF(B35="","",SUMIFS(N_HE,N_CLAVE,AA35))</f>
        <v/>
      </c>
      <c r="S35" s="71" t="str">
        <f aca="false">IF(B35="","",SUMIFS(N_ANT,N_CLAVE,AA35))</f>
        <v/>
      </c>
      <c r="T35" s="71" t="str">
        <f aca="false">IF(B35="","",SUMIFS(N_BONO,N_CLAVE,AA35))</f>
        <v/>
      </c>
      <c r="U35" s="71" t="str">
        <f aca="false">IF(B35="","",SUMIFS(N_ONI,N_CLAVE,AA35))</f>
        <v/>
      </c>
      <c r="V35" s="71" t="str">
        <f aca="false">IF(B35="","",SUMIFS(N_DESC,N_CLAVE,AA35))</f>
        <v/>
      </c>
      <c r="W35" s="72" t="str">
        <f aca="false">IF(B35="","",IFERROR(INDEX(N_OBS,MATCH(AA35,N_CLAVE,0))&amp;"",""))</f>
        <v/>
      </c>
      <c r="X35" s="70" t="str">
        <f aca="false">IF(B35="","",IF(COUNTIF(N_CLAVE,AA35)&gt;0,"Sí","⚠ Sin registro"))</f>
        <v/>
      </c>
      <c r="Z35" s="81" t="str">
        <f aca="false">IF(B35="","",MATCH(B35,T_AUX,0))</f>
        <v/>
      </c>
      <c r="AA35" s="81" t="str">
        <f aca="false">IF(B35="","",C35&amp;"|"&amp;(YEAR(ENVIO_PER)*100+MONTH(ENVIO_PER)))</f>
        <v/>
      </c>
      <c r="AB35" s="81" t="str">
        <f aca="false">IF(B35="","",INDEX(T_INGRESO,Z35))</f>
        <v/>
      </c>
      <c r="AC35" s="81" t="str">
        <f aca="false">IF(B35="","",N(INDEX(T_EGRESO,Z35)))</f>
        <v/>
      </c>
      <c r="AD35" s="81" t="str">
        <f aca="false">IF(B35="","",IF(OR(AB35&gt;EOMONTH(ENVIO_PER,0),AND(AC35&gt;0,AC35&lt;ENVIO_PER)),0,IF(AND(AB35&lt;=ENVIO_PER,OR(AC35=0,AC35&gt;=EOMONTH(ENVIO_PER,0))),30,MIN(30,IF(AC35=0,EOMONTH(ENVIO_PER,0),MIN(AC35,EOMONTH(ENVIO_PER,0)))-MAX(ENVIO_PER,AB35)+1))))</f>
        <v/>
      </c>
    </row>
    <row r="36" customFormat="false" ht="15" hidden="false" customHeight="false" outlineLevel="0" collapsed="false">
      <c r="B36" s="72" t="str">
        <f aca="false">IF(27&lt;=MAX(T_AUX),27,"")</f>
        <v/>
      </c>
      <c r="C36" s="72" t="str">
        <f aca="false">IF(B36="","",INDEX(T_ID,Z36))</f>
        <v/>
      </c>
      <c r="D36" s="72" t="str">
        <f aca="false">IF(B36="","",INDEX(T_RUT,Z36)&amp;"")</f>
        <v/>
      </c>
      <c r="E36" s="72" t="str">
        <f aca="false">IF(B36="","",INDEX(T_NOMBRE,Z36)&amp;"")</f>
        <v/>
      </c>
      <c r="F36" s="72" t="str">
        <f aca="false">IF(B36="","",INDEX(T_CARGO,Z36)&amp;"")</f>
        <v/>
      </c>
      <c r="G36" s="72" t="str">
        <f aca="false">IF(B36="","",IFERROR(INDEX(C_TIPO,MATCH(C36&amp;"-P"&amp;MAX(1,COUNTIFS(C_ID,C36,C_DEFINE,"Sí",C_INICIO,"&lt;="&amp;EOMONTH(ENVIO_PER,0))),C_CLAVE,0))&amp;"","Sin contrato"))</f>
        <v/>
      </c>
      <c r="H36" s="71" t="str">
        <f aca="false">IF(B36="","",IFERROR(INDEX(C_SUELDO,MATCH(C36&amp;"-S"&amp;MAX(1,COUNTIFS(C_ID,C36,C_SUELDO,"&lt;&gt;",C_INICIO,"&lt;="&amp;EOMONTH(ENVIO_PER,0))),C_CLAVES,0)),0))</f>
        <v/>
      </c>
      <c r="I36" s="70" t="str">
        <f aca="false">IF(B36="","",TRIM(IF(AND(AB36&gt;=ENVIO_PER,AB36&lt;=EOMONTH(ENVIO_PER,0)),"Ingresa el día "&amp;DAY(AB36)&amp;". ","")&amp;IF(AND(AC36&gt;0,AC36&gt;=ENVIO_PER,AC36&lt;=EOMONTH(ENVIO_PER,0)),"Egresa el día "&amp;DAY(AC36)&amp;".","")))</f>
        <v/>
      </c>
      <c r="J36" s="70" t="str">
        <f aca="false">IF(B36="","",IF(COUNTIFS(C_ID,C36,C_INICIO,"&gt;="&amp;ENVIO_PER,C_INICIO,"&lt;="&amp;EOMONTH(ENVIO_PER,0))&gt;0,COUNTIFS(C_ID,C36,C_INICIO,"&gt;="&amp;ENVIO_PER,C_INICIO,"&lt;="&amp;EOMONTH(ENVIO_PER,0))&amp;" documento(s) nuevo(s): ver Contratos",""))</f>
        <v/>
      </c>
      <c r="K36" s="74" t="str">
        <f aca="false">IF(B36="","",IF(COUNTIF(N_CLAVE,AA36)&gt;0,SUMIFS(N_DIAS,N_CLAVE,AA36),AD36))</f>
        <v/>
      </c>
      <c r="L36" s="74" t="str">
        <f aca="false">IF(B36="","",SUMIFS(N_FALTAS,N_CLAVE,AA36))</f>
        <v/>
      </c>
      <c r="M36" s="74" t="str">
        <f aca="false">IF(B36="","",SUMIFS(N_LIC,N_CLAVE,AA36))</f>
        <v/>
      </c>
      <c r="N36" s="74" t="str">
        <f aca="false">IF(B36="","",SUMIFS(N_PCG,N_CLAVE,AA36))</f>
        <v/>
      </c>
      <c r="O36" s="74" t="str">
        <f aca="false">IF(B36="","",SUMIFS(N_PSG,N_CLAVE,AA36))</f>
        <v/>
      </c>
      <c r="P36" s="74" t="str">
        <f aca="false">IF(B36="","",SUMIFS(V_DIAS,V_ID,C36,V_MES,ENVIO_PER))</f>
        <v/>
      </c>
      <c r="Q36" s="73" t="str">
        <f aca="false">IF(B36="","",SUMIFS(N_ATRASO,N_CLAVE,AA36))</f>
        <v/>
      </c>
      <c r="R36" s="74" t="str">
        <f aca="false">IF(B36="","",SUMIFS(N_HE,N_CLAVE,AA36))</f>
        <v/>
      </c>
      <c r="S36" s="71" t="str">
        <f aca="false">IF(B36="","",SUMIFS(N_ANT,N_CLAVE,AA36))</f>
        <v/>
      </c>
      <c r="T36" s="71" t="str">
        <f aca="false">IF(B36="","",SUMIFS(N_BONO,N_CLAVE,AA36))</f>
        <v/>
      </c>
      <c r="U36" s="71" t="str">
        <f aca="false">IF(B36="","",SUMIFS(N_ONI,N_CLAVE,AA36))</f>
        <v/>
      </c>
      <c r="V36" s="71" t="str">
        <f aca="false">IF(B36="","",SUMIFS(N_DESC,N_CLAVE,AA36))</f>
        <v/>
      </c>
      <c r="W36" s="72" t="str">
        <f aca="false">IF(B36="","",IFERROR(INDEX(N_OBS,MATCH(AA36,N_CLAVE,0))&amp;"",""))</f>
        <v/>
      </c>
      <c r="X36" s="70" t="str">
        <f aca="false">IF(B36="","",IF(COUNTIF(N_CLAVE,AA36)&gt;0,"Sí","⚠ Sin registro"))</f>
        <v/>
      </c>
      <c r="Z36" s="81" t="str">
        <f aca="false">IF(B36="","",MATCH(B36,T_AUX,0))</f>
        <v/>
      </c>
      <c r="AA36" s="81" t="str">
        <f aca="false">IF(B36="","",C36&amp;"|"&amp;(YEAR(ENVIO_PER)*100+MONTH(ENVIO_PER)))</f>
        <v/>
      </c>
      <c r="AB36" s="81" t="str">
        <f aca="false">IF(B36="","",INDEX(T_INGRESO,Z36))</f>
        <v/>
      </c>
      <c r="AC36" s="81" t="str">
        <f aca="false">IF(B36="","",N(INDEX(T_EGRESO,Z36)))</f>
        <v/>
      </c>
      <c r="AD36" s="81" t="str">
        <f aca="false">IF(B36="","",IF(OR(AB36&gt;EOMONTH(ENVIO_PER,0),AND(AC36&gt;0,AC36&lt;ENVIO_PER)),0,IF(AND(AB36&lt;=ENVIO_PER,OR(AC36=0,AC36&gt;=EOMONTH(ENVIO_PER,0))),30,MIN(30,IF(AC36=0,EOMONTH(ENVIO_PER,0),MIN(AC36,EOMONTH(ENVIO_PER,0)))-MAX(ENVIO_PER,AB36)+1))))</f>
        <v/>
      </c>
    </row>
    <row r="37" customFormat="false" ht="15" hidden="false" customHeight="false" outlineLevel="0" collapsed="false">
      <c r="B37" s="72" t="str">
        <f aca="false">IF(28&lt;=MAX(T_AUX),28,"")</f>
        <v/>
      </c>
      <c r="C37" s="72" t="str">
        <f aca="false">IF(B37="","",INDEX(T_ID,Z37))</f>
        <v/>
      </c>
      <c r="D37" s="72" t="str">
        <f aca="false">IF(B37="","",INDEX(T_RUT,Z37)&amp;"")</f>
        <v/>
      </c>
      <c r="E37" s="72" t="str">
        <f aca="false">IF(B37="","",INDEX(T_NOMBRE,Z37)&amp;"")</f>
        <v/>
      </c>
      <c r="F37" s="72" t="str">
        <f aca="false">IF(B37="","",INDEX(T_CARGO,Z37)&amp;"")</f>
        <v/>
      </c>
      <c r="G37" s="72" t="str">
        <f aca="false">IF(B37="","",IFERROR(INDEX(C_TIPO,MATCH(C37&amp;"-P"&amp;MAX(1,COUNTIFS(C_ID,C37,C_DEFINE,"Sí",C_INICIO,"&lt;="&amp;EOMONTH(ENVIO_PER,0))),C_CLAVE,0))&amp;"","Sin contrato"))</f>
        <v/>
      </c>
      <c r="H37" s="71" t="str">
        <f aca="false">IF(B37="","",IFERROR(INDEX(C_SUELDO,MATCH(C37&amp;"-S"&amp;MAX(1,COUNTIFS(C_ID,C37,C_SUELDO,"&lt;&gt;",C_INICIO,"&lt;="&amp;EOMONTH(ENVIO_PER,0))),C_CLAVES,0)),0))</f>
        <v/>
      </c>
      <c r="I37" s="70" t="str">
        <f aca="false">IF(B37="","",TRIM(IF(AND(AB37&gt;=ENVIO_PER,AB37&lt;=EOMONTH(ENVIO_PER,0)),"Ingresa el día "&amp;DAY(AB37)&amp;". ","")&amp;IF(AND(AC37&gt;0,AC37&gt;=ENVIO_PER,AC37&lt;=EOMONTH(ENVIO_PER,0)),"Egresa el día "&amp;DAY(AC37)&amp;".","")))</f>
        <v/>
      </c>
      <c r="J37" s="70" t="str">
        <f aca="false">IF(B37="","",IF(COUNTIFS(C_ID,C37,C_INICIO,"&gt;="&amp;ENVIO_PER,C_INICIO,"&lt;="&amp;EOMONTH(ENVIO_PER,0))&gt;0,COUNTIFS(C_ID,C37,C_INICIO,"&gt;="&amp;ENVIO_PER,C_INICIO,"&lt;="&amp;EOMONTH(ENVIO_PER,0))&amp;" documento(s) nuevo(s): ver Contratos",""))</f>
        <v/>
      </c>
      <c r="K37" s="74" t="str">
        <f aca="false">IF(B37="","",IF(COUNTIF(N_CLAVE,AA37)&gt;0,SUMIFS(N_DIAS,N_CLAVE,AA37),AD37))</f>
        <v/>
      </c>
      <c r="L37" s="74" t="str">
        <f aca="false">IF(B37="","",SUMIFS(N_FALTAS,N_CLAVE,AA37))</f>
        <v/>
      </c>
      <c r="M37" s="74" t="str">
        <f aca="false">IF(B37="","",SUMIFS(N_LIC,N_CLAVE,AA37))</f>
        <v/>
      </c>
      <c r="N37" s="74" t="str">
        <f aca="false">IF(B37="","",SUMIFS(N_PCG,N_CLAVE,AA37))</f>
        <v/>
      </c>
      <c r="O37" s="74" t="str">
        <f aca="false">IF(B37="","",SUMIFS(N_PSG,N_CLAVE,AA37))</f>
        <v/>
      </c>
      <c r="P37" s="74" t="str">
        <f aca="false">IF(B37="","",SUMIFS(V_DIAS,V_ID,C37,V_MES,ENVIO_PER))</f>
        <v/>
      </c>
      <c r="Q37" s="73" t="str">
        <f aca="false">IF(B37="","",SUMIFS(N_ATRASO,N_CLAVE,AA37))</f>
        <v/>
      </c>
      <c r="R37" s="74" t="str">
        <f aca="false">IF(B37="","",SUMIFS(N_HE,N_CLAVE,AA37))</f>
        <v/>
      </c>
      <c r="S37" s="71" t="str">
        <f aca="false">IF(B37="","",SUMIFS(N_ANT,N_CLAVE,AA37))</f>
        <v/>
      </c>
      <c r="T37" s="71" t="str">
        <f aca="false">IF(B37="","",SUMIFS(N_BONO,N_CLAVE,AA37))</f>
        <v/>
      </c>
      <c r="U37" s="71" t="str">
        <f aca="false">IF(B37="","",SUMIFS(N_ONI,N_CLAVE,AA37))</f>
        <v/>
      </c>
      <c r="V37" s="71" t="str">
        <f aca="false">IF(B37="","",SUMIFS(N_DESC,N_CLAVE,AA37))</f>
        <v/>
      </c>
      <c r="W37" s="72" t="str">
        <f aca="false">IF(B37="","",IFERROR(INDEX(N_OBS,MATCH(AA37,N_CLAVE,0))&amp;"",""))</f>
        <v/>
      </c>
      <c r="X37" s="70" t="str">
        <f aca="false">IF(B37="","",IF(COUNTIF(N_CLAVE,AA37)&gt;0,"Sí","⚠ Sin registro"))</f>
        <v/>
      </c>
      <c r="Z37" s="81" t="str">
        <f aca="false">IF(B37="","",MATCH(B37,T_AUX,0))</f>
        <v/>
      </c>
      <c r="AA37" s="81" t="str">
        <f aca="false">IF(B37="","",C37&amp;"|"&amp;(YEAR(ENVIO_PER)*100+MONTH(ENVIO_PER)))</f>
        <v/>
      </c>
      <c r="AB37" s="81" t="str">
        <f aca="false">IF(B37="","",INDEX(T_INGRESO,Z37))</f>
        <v/>
      </c>
      <c r="AC37" s="81" t="str">
        <f aca="false">IF(B37="","",N(INDEX(T_EGRESO,Z37)))</f>
        <v/>
      </c>
      <c r="AD37" s="81" t="str">
        <f aca="false">IF(B37="","",IF(OR(AB37&gt;EOMONTH(ENVIO_PER,0),AND(AC37&gt;0,AC37&lt;ENVIO_PER)),0,IF(AND(AB37&lt;=ENVIO_PER,OR(AC37=0,AC37&gt;=EOMONTH(ENVIO_PER,0))),30,MIN(30,IF(AC37=0,EOMONTH(ENVIO_PER,0),MIN(AC37,EOMONTH(ENVIO_PER,0)))-MAX(ENVIO_PER,AB37)+1))))</f>
        <v/>
      </c>
    </row>
    <row r="38" customFormat="false" ht="15" hidden="false" customHeight="false" outlineLevel="0" collapsed="false">
      <c r="B38" s="72" t="str">
        <f aca="false">IF(29&lt;=MAX(T_AUX),29,"")</f>
        <v/>
      </c>
      <c r="C38" s="72" t="str">
        <f aca="false">IF(B38="","",INDEX(T_ID,Z38))</f>
        <v/>
      </c>
      <c r="D38" s="72" t="str">
        <f aca="false">IF(B38="","",INDEX(T_RUT,Z38)&amp;"")</f>
        <v/>
      </c>
      <c r="E38" s="72" t="str">
        <f aca="false">IF(B38="","",INDEX(T_NOMBRE,Z38)&amp;"")</f>
        <v/>
      </c>
      <c r="F38" s="72" t="str">
        <f aca="false">IF(B38="","",INDEX(T_CARGO,Z38)&amp;"")</f>
        <v/>
      </c>
      <c r="G38" s="72" t="str">
        <f aca="false">IF(B38="","",IFERROR(INDEX(C_TIPO,MATCH(C38&amp;"-P"&amp;MAX(1,COUNTIFS(C_ID,C38,C_DEFINE,"Sí",C_INICIO,"&lt;="&amp;EOMONTH(ENVIO_PER,0))),C_CLAVE,0))&amp;"","Sin contrato"))</f>
        <v/>
      </c>
      <c r="H38" s="71" t="str">
        <f aca="false">IF(B38="","",IFERROR(INDEX(C_SUELDO,MATCH(C38&amp;"-S"&amp;MAX(1,COUNTIFS(C_ID,C38,C_SUELDO,"&lt;&gt;",C_INICIO,"&lt;="&amp;EOMONTH(ENVIO_PER,0))),C_CLAVES,0)),0))</f>
        <v/>
      </c>
      <c r="I38" s="70" t="str">
        <f aca="false">IF(B38="","",TRIM(IF(AND(AB38&gt;=ENVIO_PER,AB38&lt;=EOMONTH(ENVIO_PER,0)),"Ingresa el día "&amp;DAY(AB38)&amp;". ","")&amp;IF(AND(AC38&gt;0,AC38&gt;=ENVIO_PER,AC38&lt;=EOMONTH(ENVIO_PER,0)),"Egresa el día "&amp;DAY(AC38)&amp;".","")))</f>
        <v/>
      </c>
      <c r="J38" s="70" t="str">
        <f aca="false">IF(B38="","",IF(COUNTIFS(C_ID,C38,C_INICIO,"&gt;="&amp;ENVIO_PER,C_INICIO,"&lt;="&amp;EOMONTH(ENVIO_PER,0))&gt;0,COUNTIFS(C_ID,C38,C_INICIO,"&gt;="&amp;ENVIO_PER,C_INICIO,"&lt;="&amp;EOMONTH(ENVIO_PER,0))&amp;" documento(s) nuevo(s): ver Contratos",""))</f>
        <v/>
      </c>
      <c r="K38" s="74" t="str">
        <f aca="false">IF(B38="","",IF(COUNTIF(N_CLAVE,AA38)&gt;0,SUMIFS(N_DIAS,N_CLAVE,AA38),AD38))</f>
        <v/>
      </c>
      <c r="L38" s="74" t="str">
        <f aca="false">IF(B38="","",SUMIFS(N_FALTAS,N_CLAVE,AA38))</f>
        <v/>
      </c>
      <c r="M38" s="74" t="str">
        <f aca="false">IF(B38="","",SUMIFS(N_LIC,N_CLAVE,AA38))</f>
        <v/>
      </c>
      <c r="N38" s="74" t="str">
        <f aca="false">IF(B38="","",SUMIFS(N_PCG,N_CLAVE,AA38))</f>
        <v/>
      </c>
      <c r="O38" s="74" t="str">
        <f aca="false">IF(B38="","",SUMIFS(N_PSG,N_CLAVE,AA38))</f>
        <v/>
      </c>
      <c r="P38" s="74" t="str">
        <f aca="false">IF(B38="","",SUMIFS(V_DIAS,V_ID,C38,V_MES,ENVIO_PER))</f>
        <v/>
      </c>
      <c r="Q38" s="73" t="str">
        <f aca="false">IF(B38="","",SUMIFS(N_ATRASO,N_CLAVE,AA38))</f>
        <v/>
      </c>
      <c r="R38" s="74" t="str">
        <f aca="false">IF(B38="","",SUMIFS(N_HE,N_CLAVE,AA38))</f>
        <v/>
      </c>
      <c r="S38" s="71" t="str">
        <f aca="false">IF(B38="","",SUMIFS(N_ANT,N_CLAVE,AA38))</f>
        <v/>
      </c>
      <c r="T38" s="71" t="str">
        <f aca="false">IF(B38="","",SUMIFS(N_BONO,N_CLAVE,AA38))</f>
        <v/>
      </c>
      <c r="U38" s="71" t="str">
        <f aca="false">IF(B38="","",SUMIFS(N_ONI,N_CLAVE,AA38))</f>
        <v/>
      </c>
      <c r="V38" s="71" t="str">
        <f aca="false">IF(B38="","",SUMIFS(N_DESC,N_CLAVE,AA38))</f>
        <v/>
      </c>
      <c r="W38" s="72" t="str">
        <f aca="false">IF(B38="","",IFERROR(INDEX(N_OBS,MATCH(AA38,N_CLAVE,0))&amp;"",""))</f>
        <v/>
      </c>
      <c r="X38" s="70" t="str">
        <f aca="false">IF(B38="","",IF(COUNTIF(N_CLAVE,AA38)&gt;0,"Sí","⚠ Sin registro"))</f>
        <v/>
      </c>
      <c r="Z38" s="81" t="str">
        <f aca="false">IF(B38="","",MATCH(B38,T_AUX,0))</f>
        <v/>
      </c>
      <c r="AA38" s="81" t="str">
        <f aca="false">IF(B38="","",C38&amp;"|"&amp;(YEAR(ENVIO_PER)*100+MONTH(ENVIO_PER)))</f>
        <v/>
      </c>
      <c r="AB38" s="81" t="str">
        <f aca="false">IF(B38="","",INDEX(T_INGRESO,Z38))</f>
        <v/>
      </c>
      <c r="AC38" s="81" t="str">
        <f aca="false">IF(B38="","",N(INDEX(T_EGRESO,Z38)))</f>
        <v/>
      </c>
      <c r="AD38" s="81" t="str">
        <f aca="false">IF(B38="","",IF(OR(AB38&gt;EOMONTH(ENVIO_PER,0),AND(AC38&gt;0,AC38&lt;ENVIO_PER)),0,IF(AND(AB38&lt;=ENVIO_PER,OR(AC38=0,AC38&gt;=EOMONTH(ENVIO_PER,0))),30,MIN(30,IF(AC38=0,EOMONTH(ENVIO_PER,0),MIN(AC38,EOMONTH(ENVIO_PER,0)))-MAX(ENVIO_PER,AB38)+1))))</f>
        <v/>
      </c>
    </row>
    <row r="39" customFormat="false" ht="15" hidden="false" customHeight="false" outlineLevel="0" collapsed="false">
      <c r="B39" s="72" t="str">
        <f aca="false">IF(30&lt;=MAX(T_AUX),30,"")</f>
        <v/>
      </c>
      <c r="C39" s="72" t="str">
        <f aca="false">IF(B39="","",INDEX(T_ID,Z39))</f>
        <v/>
      </c>
      <c r="D39" s="72" t="str">
        <f aca="false">IF(B39="","",INDEX(T_RUT,Z39)&amp;"")</f>
        <v/>
      </c>
      <c r="E39" s="72" t="str">
        <f aca="false">IF(B39="","",INDEX(T_NOMBRE,Z39)&amp;"")</f>
        <v/>
      </c>
      <c r="F39" s="72" t="str">
        <f aca="false">IF(B39="","",INDEX(T_CARGO,Z39)&amp;"")</f>
        <v/>
      </c>
      <c r="G39" s="72" t="str">
        <f aca="false">IF(B39="","",IFERROR(INDEX(C_TIPO,MATCH(C39&amp;"-P"&amp;MAX(1,COUNTIFS(C_ID,C39,C_DEFINE,"Sí",C_INICIO,"&lt;="&amp;EOMONTH(ENVIO_PER,0))),C_CLAVE,0))&amp;"","Sin contrato"))</f>
        <v/>
      </c>
      <c r="H39" s="71" t="str">
        <f aca="false">IF(B39="","",IFERROR(INDEX(C_SUELDO,MATCH(C39&amp;"-S"&amp;MAX(1,COUNTIFS(C_ID,C39,C_SUELDO,"&lt;&gt;",C_INICIO,"&lt;="&amp;EOMONTH(ENVIO_PER,0))),C_CLAVES,0)),0))</f>
        <v/>
      </c>
      <c r="I39" s="70" t="str">
        <f aca="false">IF(B39="","",TRIM(IF(AND(AB39&gt;=ENVIO_PER,AB39&lt;=EOMONTH(ENVIO_PER,0)),"Ingresa el día "&amp;DAY(AB39)&amp;". ","")&amp;IF(AND(AC39&gt;0,AC39&gt;=ENVIO_PER,AC39&lt;=EOMONTH(ENVIO_PER,0)),"Egresa el día "&amp;DAY(AC39)&amp;".","")))</f>
        <v/>
      </c>
      <c r="J39" s="70" t="str">
        <f aca="false">IF(B39="","",IF(COUNTIFS(C_ID,C39,C_INICIO,"&gt;="&amp;ENVIO_PER,C_INICIO,"&lt;="&amp;EOMONTH(ENVIO_PER,0))&gt;0,COUNTIFS(C_ID,C39,C_INICIO,"&gt;="&amp;ENVIO_PER,C_INICIO,"&lt;="&amp;EOMONTH(ENVIO_PER,0))&amp;" documento(s) nuevo(s): ver Contratos",""))</f>
        <v/>
      </c>
      <c r="K39" s="74" t="str">
        <f aca="false">IF(B39="","",IF(COUNTIF(N_CLAVE,AA39)&gt;0,SUMIFS(N_DIAS,N_CLAVE,AA39),AD39))</f>
        <v/>
      </c>
      <c r="L39" s="74" t="str">
        <f aca="false">IF(B39="","",SUMIFS(N_FALTAS,N_CLAVE,AA39))</f>
        <v/>
      </c>
      <c r="M39" s="74" t="str">
        <f aca="false">IF(B39="","",SUMIFS(N_LIC,N_CLAVE,AA39))</f>
        <v/>
      </c>
      <c r="N39" s="74" t="str">
        <f aca="false">IF(B39="","",SUMIFS(N_PCG,N_CLAVE,AA39))</f>
        <v/>
      </c>
      <c r="O39" s="74" t="str">
        <f aca="false">IF(B39="","",SUMIFS(N_PSG,N_CLAVE,AA39))</f>
        <v/>
      </c>
      <c r="P39" s="74" t="str">
        <f aca="false">IF(B39="","",SUMIFS(V_DIAS,V_ID,C39,V_MES,ENVIO_PER))</f>
        <v/>
      </c>
      <c r="Q39" s="73" t="str">
        <f aca="false">IF(B39="","",SUMIFS(N_ATRASO,N_CLAVE,AA39))</f>
        <v/>
      </c>
      <c r="R39" s="74" t="str">
        <f aca="false">IF(B39="","",SUMIFS(N_HE,N_CLAVE,AA39))</f>
        <v/>
      </c>
      <c r="S39" s="71" t="str">
        <f aca="false">IF(B39="","",SUMIFS(N_ANT,N_CLAVE,AA39))</f>
        <v/>
      </c>
      <c r="T39" s="71" t="str">
        <f aca="false">IF(B39="","",SUMIFS(N_BONO,N_CLAVE,AA39))</f>
        <v/>
      </c>
      <c r="U39" s="71" t="str">
        <f aca="false">IF(B39="","",SUMIFS(N_ONI,N_CLAVE,AA39))</f>
        <v/>
      </c>
      <c r="V39" s="71" t="str">
        <f aca="false">IF(B39="","",SUMIFS(N_DESC,N_CLAVE,AA39))</f>
        <v/>
      </c>
      <c r="W39" s="72" t="str">
        <f aca="false">IF(B39="","",IFERROR(INDEX(N_OBS,MATCH(AA39,N_CLAVE,0))&amp;"",""))</f>
        <v/>
      </c>
      <c r="X39" s="70" t="str">
        <f aca="false">IF(B39="","",IF(COUNTIF(N_CLAVE,AA39)&gt;0,"Sí","⚠ Sin registro"))</f>
        <v/>
      </c>
      <c r="Z39" s="81" t="str">
        <f aca="false">IF(B39="","",MATCH(B39,T_AUX,0))</f>
        <v/>
      </c>
      <c r="AA39" s="81" t="str">
        <f aca="false">IF(B39="","",C39&amp;"|"&amp;(YEAR(ENVIO_PER)*100+MONTH(ENVIO_PER)))</f>
        <v/>
      </c>
      <c r="AB39" s="81" t="str">
        <f aca="false">IF(B39="","",INDEX(T_INGRESO,Z39))</f>
        <v/>
      </c>
      <c r="AC39" s="81" t="str">
        <f aca="false">IF(B39="","",N(INDEX(T_EGRESO,Z39)))</f>
        <v/>
      </c>
      <c r="AD39" s="81" t="str">
        <f aca="false">IF(B39="","",IF(OR(AB39&gt;EOMONTH(ENVIO_PER,0),AND(AC39&gt;0,AC39&lt;ENVIO_PER)),0,IF(AND(AB39&lt;=ENVIO_PER,OR(AC39=0,AC39&gt;=EOMONTH(ENVIO_PER,0))),30,MIN(30,IF(AC39=0,EOMONTH(ENVIO_PER,0),MIN(AC39,EOMONTH(ENVIO_PER,0)))-MAX(ENVIO_PER,AB39)+1))))</f>
        <v/>
      </c>
    </row>
    <row r="40" customFormat="false" ht="15" hidden="false" customHeight="false" outlineLevel="0" collapsed="false">
      <c r="B40" s="72" t="str">
        <f aca="false">IF(31&lt;=MAX(T_AUX),31,"")</f>
        <v/>
      </c>
      <c r="C40" s="72" t="str">
        <f aca="false">IF(B40="","",INDEX(T_ID,Z40))</f>
        <v/>
      </c>
      <c r="D40" s="72" t="str">
        <f aca="false">IF(B40="","",INDEX(T_RUT,Z40)&amp;"")</f>
        <v/>
      </c>
      <c r="E40" s="72" t="str">
        <f aca="false">IF(B40="","",INDEX(T_NOMBRE,Z40)&amp;"")</f>
        <v/>
      </c>
      <c r="F40" s="72" t="str">
        <f aca="false">IF(B40="","",INDEX(T_CARGO,Z40)&amp;"")</f>
        <v/>
      </c>
      <c r="G40" s="72" t="str">
        <f aca="false">IF(B40="","",IFERROR(INDEX(C_TIPO,MATCH(C40&amp;"-P"&amp;MAX(1,COUNTIFS(C_ID,C40,C_DEFINE,"Sí",C_INICIO,"&lt;="&amp;EOMONTH(ENVIO_PER,0))),C_CLAVE,0))&amp;"","Sin contrato"))</f>
        <v/>
      </c>
      <c r="H40" s="71" t="str">
        <f aca="false">IF(B40="","",IFERROR(INDEX(C_SUELDO,MATCH(C40&amp;"-S"&amp;MAX(1,COUNTIFS(C_ID,C40,C_SUELDO,"&lt;&gt;",C_INICIO,"&lt;="&amp;EOMONTH(ENVIO_PER,0))),C_CLAVES,0)),0))</f>
        <v/>
      </c>
      <c r="I40" s="70" t="str">
        <f aca="false">IF(B40="","",TRIM(IF(AND(AB40&gt;=ENVIO_PER,AB40&lt;=EOMONTH(ENVIO_PER,0)),"Ingresa el día "&amp;DAY(AB40)&amp;". ","")&amp;IF(AND(AC40&gt;0,AC40&gt;=ENVIO_PER,AC40&lt;=EOMONTH(ENVIO_PER,0)),"Egresa el día "&amp;DAY(AC40)&amp;".","")))</f>
        <v/>
      </c>
      <c r="J40" s="70" t="str">
        <f aca="false">IF(B40="","",IF(COUNTIFS(C_ID,C40,C_INICIO,"&gt;="&amp;ENVIO_PER,C_INICIO,"&lt;="&amp;EOMONTH(ENVIO_PER,0))&gt;0,COUNTIFS(C_ID,C40,C_INICIO,"&gt;="&amp;ENVIO_PER,C_INICIO,"&lt;="&amp;EOMONTH(ENVIO_PER,0))&amp;" documento(s) nuevo(s): ver Contratos",""))</f>
        <v/>
      </c>
      <c r="K40" s="74" t="str">
        <f aca="false">IF(B40="","",IF(COUNTIF(N_CLAVE,AA40)&gt;0,SUMIFS(N_DIAS,N_CLAVE,AA40),AD40))</f>
        <v/>
      </c>
      <c r="L40" s="74" t="str">
        <f aca="false">IF(B40="","",SUMIFS(N_FALTAS,N_CLAVE,AA40))</f>
        <v/>
      </c>
      <c r="M40" s="74" t="str">
        <f aca="false">IF(B40="","",SUMIFS(N_LIC,N_CLAVE,AA40))</f>
        <v/>
      </c>
      <c r="N40" s="74" t="str">
        <f aca="false">IF(B40="","",SUMIFS(N_PCG,N_CLAVE,AA40))</f>
        <v/>
      </c>
      <c r="O40" s="74" t="str">
        <f aca="false">IF(B40="","",SUMIFS(N_PSG,N_CLAVE,AA40))</f>
        <v/>
      </c>
      <c r="P40" s="74" t="str">
        <f aca="false">IF(B40="","",SUMIFS(V_DIAS,V_ID,C40,V_MES,ENVIO_PER))</f>
        <v/>
      </c>
      <c r="Q40" s="73" t="str">
        <f aca="false">IF(B40="","",SUMIFS(N_ATRASO,N_CLAVE,AA40))</f>
        <v/>
      </c>
      <c r="R40" s="74" t="str">
        <f aca="false">IF(B40="","",SUMIFS(N_HE,N_CLAVE,AA40))</f>
        <v/>
      </c>
      <c r="S40" s="71" t="str">
        <f aca="false">IF(B40="","",SUMIFS(N_ANT,N_CLAVE,AA40))</f>
        <v/>
      </c>
      <c r="T40" s="71" t="str">
        <f aca="false">IF(B40="","",SUMIFS(N_BONO,N_CLAVE,AA40))</f>
        <v/>
      </c>
      <c r="U40" s="71" t="str">
        <f aca="false">IF(B40="","",SUMIFS(N_ONI,N_CLAVE,AA40))</f>
        <v/>
      </c>
      <c r="V40" s="71" t="str">
        <f aca="false">IF(B40="","",SUMIFS(N_DESC,N_CLAVE,AA40))</f>
        <v/>
      </c>
      <c r="W40" s="72" t="str">
        <f aca="false">IF(B40="","",IFERROR(INDEX(N_OBS,MATCH(AA40,N_CLAVE,0))&amp;"",""))</f>
        <v/>
      </c>
      <c r="X40" s="70" t="str">
        <f aca="false">IF(B40="","",IF(COUNTIF(N_CLAVE,AA40)&gt;0,"Sí","⚠ Sin registro"))</f>
        <v/>
      </c>
      <c r="Z40" s="81" t="str">
        <f aca="false">IF(B40="","",MATCH(B40,T_AUX,0))</f>
        <v/>
      </c>
      <c r="AA40" s="81" t="str">
        <f aca="false">IF(B40="","",C40&amp;"|"&amp;(YEAR(ENVIO_PER)*100+MONTH(ENVIO_PER)))</f>
        <v/>
      </c>
      <c r="AB40" s="81" t="str">
        <f aca="false">IF(B40="","",INDEX(T_INGRESO,Z40))</f>
        <v/>
      </c>
      <c r="AC40" s="81" t="str">
        <f aca="false">IF(B40="","",N(INDEX(T_EGRESO,Z40)))</f>
        <v/>
      </c>
      <c r="AD40" s="81" t="str">
        <f aca="false">IF(B40="","",IF(OR(AB40&gt;EOMONTH(ENVIO_PER,0),AND(AC40&gt;0,AC40&lt;ENVIO_PER)),0,IF(AND(AB40&lt;=ENVIO_PER,OR(AC40=0,AC40&gt;=EOMONTH(ENVIO_PER,0))),30,MIN(30,IF(AC40=0,EOMONTH(ENVIO_PER,0),MIN(AC40,EOMONTH(ENVIO_PER,0)))-MAX(ENVIO_PER,AB40)+1))))</f>
        <v/>
      </c>
    </row>
    <row r="41" customFormat="false" ht="15" hidden="false" customHeight="false" outlineLevel="0" collapsed="false">
      <c r="B41" s="72" t="str">
        <f aca="false">IF(32&lt;=MAX(T_AUX),32,"")</f>
        <v/>
      </c>
      <c r="C41" s="72" t="str">
        <f aca="false">IF(B41="","",INDEX(T_ID,Z41))</f>
        <v/>
      </c>
      <c r="D41" s="72" t="str">
        <f aca="false">IF(B41="","",INDEX(T_RUT,Z41)&amp;"")</f>
        <v/>
      </c>
      <c r="E41" s="72" t="str">
        <f aca="false">IF(B41="","",INDEX(T_NOMBRE,Z41)&amp;"")</f>
        <v/>
      </c>
      <c r="F41" s="72" t="str">
        <f aca="false">IF(B41="","",INDEX(T_CARGO,Z41)&amp;"")</f>
        <v/>
      </c>
      <c r="G41" s="72" t="str">
        <f aca="false">IF(B41="","",IFERROR(INDEX(C_TIPO,MATCH(C41&amp;"-P"&amp;MAX(1,COUNTIFS(C_ID,C41,C_DEFINE,"Sí",C_INICIO,"&lt;="&amp;EOMONTH(ENVIO_PER,0))),C_CLAVE,0))&amp;"","Sin contrato"))</f>
        <v/>
      </c>
      <c r="H41" s="71" t="str">
        <f aca="false">IF(B41="","",IFERROR(INDEX(C_SUELDO,MATCH(C41&amp;"-S"&amp;MAX(1,COUNTIFS(C_ID,C41,C_SUELDO,"&lt;&gt;",C_INICIO,"&lt;="&amp;EOMONTH(ENVIO_PER,0))),C_CLAVES,0)),0))</f>
        <v/>
      </c>
      <c r="I41" s="70" t="str">
        <f aca="false">IF(B41="","",TRIM(IF(AND(AB41&gt;=ENVIO_PER,AB41&lt;=EOMONTH(ENVIO_PER,0)),"Ingresa el día "&amp;DAY(AB41)&amp;". ","")&amp;IF(AND(AC41&gt;0,AC41&gt;=ENVIO_PER,AC41&lt;=EOMONTH(ENVIO_PER,0)),"Egresa el día "&amp;DAY(AC41)&amp;".","")))</f>
        <v/>
      </c>
      <c r="J41" s="70" t="str">
        <f aca="false">IF(B41="","",IF(COUNTIFS(C_ID,C41,C_INICIO,"&gt;="&amp;ENVIO_PER,C_INICIO,"&lt;="&amp;EOMONTH(ENVIO_PER,0))&gt;0,COUNTIFS(C_ID,C41,C_INICIO,"&gt;="&amp;ENVIO_PER,C_INICIO,"&lt;="&amp;EOMONTH(ENVIO_PER,0))&amp;" documento(s) nuevo(s): ver Contratos",""))</f>
        <v/>
      </c>
      <c r="K41" s="74" t="str">
        <f aca="false">IF(B41="","",IF(COUNTIF(N_CLAVE,AA41)&gt;0,SUMIFS(N_DIAS,N_CLAVE,AA41),AD41))</f>
        <v/>
      </c>
      <c r="L41" s="74" t="str">
        <f aca="false">IF(B41="","",SUMIFS(N_FALTAS,N_CLAVE,AA41))</f>
        <v/>
      </c>
      <c r="M41" s="74" t="str">
        <f aca="false">IF(B41="","",SUMIFS(N_LIC,N_CLAVE,AA41))</f>
        <v/>
      </c>
      <c r="N41" s="74" t="str">
        <f aca="false">IF(B41="","",SUMIFS(N_PCG,N_CLAVE,AA41))</f>
        <v/>
      </c>
      <c r="O41" s="74" t="str">
        <f aca="false">IF(B41="","",SUMIFS(N_PSG,N_CLAVE,AA41))</f>
        <v/>
      </c>
      <c r="P41" s="74" t="str">
        <f aca="false">IF(B41="","",SUMIFS(V_DIAS,V_ID,C41,V_MES,ENVIO_PER))</f>
        <v/>
      </c>
      <c r="Q41" s="73" t="str">
        <f aca="false">IF(B41="","",SUMIFS(N_ATRASO,N_CLAVE,AA41))</f>
        <v/>
      </c>
      <c r="R41" s="74" t="str">
        <f aca="false">IF(B41="","",SUMIFS(N_HE,N_CLAVE,AA41))</f>
        <v/>
      </c>
      <c r="S41" s="71" t="str">
        <f aca="false">IF(B41="","",SUMIFS(N_ANT,N_CLAVE,AA41))</f>
        <v/>
      </c>
      <c r="T41" s="71" t="str">
        <f aca="false">IF(B41="","",SUMIFS(N_BONO,N_CLAVE,AA41))</f>
        <v/>
      </c>
      <c r="U41" s="71" t="str">
        <f aca="false">IF(B41="","",SUMIFS(N_ONI,N_CLAVE,AA41))</f>
        <v/>
      </c>
      <c r="V41" s="71" t="str">
        <f aca="false">IF(B41="","",SUMIFS(N_DESC,N_CLAVE,AA41))</f>
        <v/>
      </c>
      <c r="W41" s="72" t="str">
        <f aca="false">IF(B41="","",IFERROR(INDEX(N_OBS,MATCH(AA41,N_CLAVE,0))&amp;"",""))</f>
        <v/>
      </c>
      <c r="X41" s="70" t="str">
        <f aca="false">IF(B41="","",IF(COUNTIF(N_CLAVE,AA41)&gt;0,"Sí","⚠ Sin registro"))</f>
        <v/>
      </c>
      <c r="Z41" s="81" t="str">
        <f aca="false">IF(B41="","",MATCH(B41,T_AUX,0))</f>
        <v/>
      </c>
      <c r="AA41" s="81" t="str">
        <f aca="false">IF(B41="","",C41&amp;"|"&amp;(YEAR(ENVIO_PER)*100+MONTH(ENVIO_PER)))</f>
        <v/>
      </c>
      <c r="AB41" s="81" t="str">
        <f aca="false">IF(B41="","",INDEX(T_INGRESO,Z41))</f>
        <v/>
      </c>
      <c r="AC41" s="81" t="str">
        <f aca="false">IF(B41="","",N(INDEX(T_EGRESO,Z41)))</f>
        <v/>
      </c>
      <c r="AD41" s="81" t="str">
        <f aca="false">IF(B41="","",IF(OR(AB41&gt;EOMONTH(ENVIO_PER,0),AND(AC41&gt;0,AC41&lt;ENVIO_PER)),0,IF(AND(AB41&lt;=ENVIO_PER,OR(AC41=0,AC41&gt;=EOMONTH(ENVIO_PER,0))),30,MIN(30,IF(AC41=0,EOMONTH(ENVIO_PER,0),MIN(AC41,EOMONTH(ENVIO_PER,0)))-MAX(ENVIO_PER,AB41)+1))))</f>
        <v/>
      </c>
    </row>
    <row r="42" customFormat="false" ht="15" hidden="false" customHeight="false" outlineLevel="0" collapsed="false">
      <c r="B42" s="72" t="str">
        <f aca="false">IF(33&lt;=MAX(T_AUX),33,"")</f>
        <v/>
      </c>
      <c r="C42" s="72" t="str">
        <f aca="false">IF(B42="","",INDEX(T_ID,Z42))</f>
        <v/>
      </c>
      <c r="D42" s="72" t="str">
        <f aca="false">IF(B42="","",INDEX(T_RUT,Z42)&amp;"")</f>
        <v/>
      </c>
      <c r="E42" s="72" t="str">
        <f aca="false">IF(B42="","",INDEX(T_NOMBRE,Z42)&amp;"")</f>
        <v/>
      </c>
      <c r="F42" s="72" t="str">
        <f aca="false">IF(B42="","",INDEX(T_CARGO,Z42)&amp;"")</f>
        <v/>
      </c>
      <c r="G42" s="72" t="str">
        <f aca="false">IF(B42="","",IFERROR(INDEX(C_TIPO,MATCH(C42&amp;"-P"&amp;MAX(1,COUNTIFS(C_ID,C42,C_DEFINE,"Sí",C_INICIO,"&lt;="&amp;EOMONTH(ENVIO_PER,0))),C_CLAVE,0))&amp;"","Sin contrato"))</f>
        <v/>
      </c>
      <c r="H42" s="71" t="str">
        <f aca="false">IF(B42="","",IFERROR(INDEX(C_SUELDO,MATCH(C42&amp;"-S"&amp;MAX(1,COUNTIFS(C_ID,C42,C_SUELDO,"&lt;&gt;",C_INICIO,"&lt;="&amp;EOMONTH(ENVIO_PER,0))),C_CLAVES,0)),0))</f>
        <v/>
      </c>
      <c r="I42" s="70" t="str">
        <f aca="false">IF(B42="","",TRIM(IF(AND(AB42&gt;=ENVIO_PER,AB42&lt;=EOMONTH(ENVIO_PER,0)),"Ingresa el día "&amp;DAY(AB42)&amp;". ","")&amp;IF(AND(AC42&gt;0,AC42&gt;=ENVIO_PER,AC42&lt;=EOMONTH(ENVIO_PER,0)),"Egresa el día "&amp;DAY(AC42)&amp;".","")))</f>
        <v/>
      </c>
      <c r="J42" s="70" t="str">
        <f aca="false">IF(B42="","",IF(COUNTIFS(C_ID,C42,C_INICIO,"&gt;="&amp;ENVIO_PER,C_INICIO,"&lt;="&amp;EOMONTH(ENVIO_PER,0))&gt;0,COUNTIFS(C_ID,C42,C_INICIO,"&gt;="&amp;ENVIO_PER,C_INICIO,"&lt;="&amp;EOMONTH(ENVIO_PER,0))&amp;" documento(s) nuevo(s): ver Contratos",""))</f>
        <v/>
      </c>
      <c r="K42" s="74" t="str">
        <f aca="false">IF(B42="","",IF(COUNTIF(N_CLAVE,AA42)&gt;0,SUMIFS(N_DIAS,N_CLAVE,AA42),AD42))</f>
        <v/>
      </c>
      <c r="L42" s="74" t="str">
        <f aca="false">IF(B42="","",SUMIFS(N_FALTAS,N_CLAVE,AA42))</f>
        <v/>
      </c>
      <c r="M42" s="74" t="str">
        <f aca="false">IF(B42="","",SUMIFS(N_LIC,N_CLAVE,AA42))</f>
        <v/>
      </c>
      <c r="N42" s="74" t="str">
        <f aca="false">IF(B42="","",SUMIFS(N_PCG,N_CLAVE,AA42))</f>
        <v/>
      </c>
      <c r="O42" s="74" t="str">
        <f aca="false">IF(B42="","",SUMIFS(N_PSG,N_CLAVE,AA42))</f>
        <v/>
      </c>
      <c r="P42" s="74" t="str">
        <f aca="false">IF(B42="","",SUMIFS(V_DIAS,V_ID,C42,V_MES,ENVIO_PER))</f>
        <v/>
      </c>
      <c r="Q42" s="73" t="str">
        <f aca="false">IF(B42="","",SUMIFS(N_ATRASO,N_CLAVE,AA42))</f>
        <v/>
      </c>
      <c r="R42" s="74" t="str">
        <f aca="false">IF(B42="","",SUMIFS(N_HE,N_CLAVE,AA42))</f>
        <v/>
      </c>
      <c r="S42" s="71" t="str">
        <f aca="false">IF(B42="","",SUMIFS(N_ANT,N_CLAVE,AA42))</f>
        <v/>
      </c>
      <c r="T42" s="71" t="str">
        <f aca="false">IF(B42="","",SUMIFS(N_BONO,N_CLAVE,AA42))</f>
        <v/>
      </c>
      <c r="U42" s="71" t="str">
        <f aca="false">IF(B42="","",SUMIFS(N_ONI,N_CLAVE,AA42))</f>
        <v/>
      </c>
      <c r="V42" s="71" t="str">
        <f aca="false">IF(B42="","",SUMIFS(N_DESC,N_CLAVE,AA42))</f>
        <v/>
      </c>
      <c r="W42" s="72" t="str">
        <f aca="false">IF(B42="","",IFERROR(INDEX(N_OBS,MATCH(AA42,N_CLAVE,0))&amp;"",""))</f>
        <v/>
      </c>
      <c r="X42" s="70" t="str">
        <f aca="false">IF(B42="","",IF(COUNTIF(N_CLAVE,AA42)&gt;0,"Sí","⚠ Sin registro"))</f>
        <v/>
      </c>
      <c r="Z42" s="81" t="str">
        <f aca="false">IF(B42="","",MATCH(B42,T_AUX,0))</f>
        <v/>
      </c>
      <c r="AA42" s="81" t="str">
        <f aca="false">IF(B42="","",C42&amp;"|"&amp;(YEAR(ENVIO_PER)*100+MONTH(ENVIO_PER)))</f>
        <v/>
      </c>
      <c r="AB42" s="81" t="str">
        <f aca="false">IF(B42="","",INDEX(T_INGRESO,Z42))</f>
        <v/>
      </c>
      <c r="AC42" s="81" t="str">
        <f aca="false">IF(B42="","",N(INDEX(T_EGRESO,Z42)))</f>
        <v/>
      </c>
      <c r="AD42" s="81" t="str">
        <f aca="false">IF(B42="","",IF(OR(AB42&gt;EOMONTH(ENVIO_PER,0),AND(AC42&gt;0,AC42&lt;ENVIO_PER)),0,IF(AND(AB42&lt;=ENVIO_PER,OR(AC42=0,AC42&gt;=EOMONTH(ENVIO_PER,0))),30,MIN(30,IF(AC42=0,EOMONTH(ENVIO_PER,0),MIN(AC42,EOMONTH(ENVIO_PER,0)))-MAX(ENVIO_PER,AB42)+1))))</f>
        <v/>
      </c>
    </row>
    <row r="43" customFormat="false" ht="15" hidden="false" customHeight="false" outlineLevel="0" collapsed="false">
      <c r="B43" s="72" t="str">
        <f aca="false">IF(34&lt;=MAX(T_AUX),34,"")</f>
        <v/>
      </c>
      <c r="C43" s="72" t="str">
        <f aca="false">IF(B43="","",INDEX(T_ID,Z43))</f>
        <v/>
      </c>
      <c r="D43" s="72" t="str">
        <f aca="false">IF(B43="","",INDEX(T_RUT,Z43)&amp;"")</f>
        <v/>
      </c>
      <c r="E43" s="72" t="str">
        <f aca="false">IF(B43="","",INDEX(T_NOMBRE,Z43)&amp;"")</f>
        <v/>
      </c>
      <c r="F43" s="72" t="str">
        <f aca="false">IF(B43="","",INDEX(T_CARGO,Z43)&amp;"")</f>
        <v/>
      </c>
      <c r="G43" s="72" t="str">
        <f aca="false">IF(B43="","",IFERROR(INDEX(C_TIPO,MATCH(C43&amp;"-P"&amp;MAX(1,COUNTIFS(C_ID,C43,C_DEFINE,"Sí",C_INICIO,"&lt;="&amp;EOMONTH(ENVIO_PER,0))),C_CLAVE,0))&amp;"","Sin contrato"))</f>
        <v/>
      </c>
      <c r="H43" s="71" t="str">
        <f aca="false">IF(B43="","",IFERROR(INDEX(C_SUELDO,MATCH(C43&amp;"-S"&amp;MAX(1,COUNTIFS(C_ID,C43,C_SUELDO,"&lt;&gt;",C_INICIO,"&lt;="&amp;EOMONTH(ENVIO_PER,0))),C_CLAVES,0)),0))</f>
        <v/>
      </c>
      <c r="I43" s="70" t="str">
        <f aca="false">IF(B43="","",TRIM(IF(AND(AB43&gt;=ENVIO_PER,AB43&lt;=EOMONTH(ENVIO_PER,0)),"Ingresa el día "&amp;DAY(AB43)&amp;". ","")&amp;IF(AND(AC43&gt;0,AC43&gt;=ENVIO_PER,AC43&lt;=EOMONTH(ENVIO_PER,0)),"Egresa el día "&amp;DAY(AC43)&amp;".","")))</f>
        <v/>
      </c>
      <c r="J43" s="70" t="str">
        <f aca="false">IF(B43="","",IF(COUNTIFS(C_ID,C43,C_INICIO,"&gt;="&amp;ENVIO_PER,C_INICIO,"&lt;="&amp;EOMONTH(ENVIO_PER,0))&gt;0,COUNTIFS(C_ID,C43,C_INICIO,"&gt;="&amp;ENVIO_PER,C_INICIO,"&lt;="&amp;EOMONTH(ENVIO_PER,0))&amp;" documento(s) nuevo(s): ver Contratos",""))</f>
        <v/>
      </c>
      <c r="K43" s="74" t="str">
        <f aca="false">IF(B43="","",IF(COUNTIF(N_CLAVE,AA43)&gt;0,SUMIFS(N_DIAS,N_CLAVE,AA43),AD43))</f>
        <v/>
      </c>
      <c r="L43" s="74" t="str">
        <f aca="false">IF(B43="","",SUMIFS(N_FALTAS,N_CLAVE,AA43))</f>
        <v/>
      </c>
      <c r="M43" s="74" t="str">
        <f aca="false">IF(B43="","",SUMIFS(N_LIC,N_CLAVE,AA43))</f>
        <v/>
      </c>
      <c r="N43" s="74" t="str">
        <f aca="false">IF(B43="","",SUMIFS(N_PCG,N_CLAVE,AA43))</f>
        <v/>
      </c>
      <c r="O43" s="74" t="str">
        <f aca="false">IF(B43="","",SUMIFS(N_PSG,N_CLAVE,AA43))</f>
        <v/>
      </c>
      <c r="P43" s="74" t="str">
        <f aca="false">IF(B43="","",SUMIFS(V_DIAS,V_ID,C43,V_MES,ENVIO_PER))</f>
        <v/>
      </c>
      <c r="Q43" s="73" t="str">
        <f aca="false">IF(B43="","",SUMIFS(N_ATRASO,N_CLAVE,AA43))</f>
        <v/>
      </c>
      <c r="R43" s="74" t="str">
        <f aca="false">IF(B43="","",SUMIFS(N_HE,N_CLAVE,AA43))</f>
        <v/>
      </c>
      <c r="S43" s="71" t="str">
        <f aca="false">IF(B43="","",SUMIFS(N_ANT,N_CLAVE,AA43))</f>
        <v/>
      </c>
      <c r="T43" s="71" t="str">
        <f aca="false">IF(B43="","",SUMIFS(N_BONO,N_CLAVE,AA43))</f>
        <v/>
      </c>
      <c r="U43" s="71" t="str">
        <f aca="false">IF(B43="","",SUMIFS(N_ONI,N_CLAVE,AA43))</f>
        <v/>
      </c>
      <c r="V43" s="71" t="str">
        <f aca="false">IF(B43="","",SUMIFS(N_DESC,N_CLAVE,AA43))</f>
        <v/>
      </c>
      <c r="W43" s="72" t="str">
        <f aca="false">IF(B43="","",IFERROR(INDEX(N_OBS,MATCH(AA43,N_CLAVE,0))&amp;"",""))</f>
        <v/>
      </c>
      <c r="X43" s="70" t="str">
        <f aca="false">IF(B43="","",IF(COUNTIF(N_CLAVE,AA43)&gt;0,"Sí","⚠ Sin registro"))</f>
        <v/>
      </c>
      <c r="Z43" s="81" t="str">
        <f aca="false">IF(B43="","",MATCH(B43,T_AUX,0))</f>
        <v/>
      </c>
      <c r="AA43" s="81" t="str">
        <f aca="false">IF(B43="","",C43&amp;"|"&amp;(YEAR(ENVIO_PER)*100+MONTH(ENVIO_PER)))</f>
        <v/>
      </c>
      <c r="AB43" s="81" t="str">
        <f aca="false">IF(B43="","",INDEX(T_INGRESO,Z43))</f>
        <v/>
      </c>
      <c r="AC43" s="81" t="str">
        <f aca="false">IF(B43="","",N(INDEX(T_EGRESO,Z43)))</f>
        <v/>
      </c>
      <c r="AD43" s="81" t="str">
        <f aca="false">IF(B43="","",IF(OR(AB43&gt;EOMONTH(ENVIO_PER,0),AND(AC43&gt;0,AC43&lt;ENVIO_PER)),0,IF(AND(AB43&lt;=ENVIO_PER,OR(AC43=0,AC43&gt;=EOMONTH(ENVIO_PER,0))),30,MIN(30,IF(AC43=0,EOMONTH(ENVIO_PER,0),MIN(AC43,EOMONTH(ENVIO_PER,0)))-MAX(ENVIO_PER,AB43)+1))))</f>
        <v/>
      </c>
    </row>
    <row r="44" customFormat="false" ht="15" hidden="false" customHeight="false" outlineLevel="0" collapsed="false">
      <c r="B44" s="72" t="str">
        <f aca="false">IF(35&lt;=MAX(T_AUX),35,"")</f>
        <v/>
      </c>
      <c r="C44" s="72" t="str">
        <f aca="false">IF(B44="","",INDEX(T_ID,Z44))</f>
        <v/>
      </c>
      <c r="D44" s="72" t="str">
        <f aca="false">IF(B44="","",INDEX(T_RUT,Z44)&amp;"")</f>
        <v/>
      </c>
      <c r="E44" s="72" t="str">
        <f aca="false">IF(B44="","",INDEX(T_NOMBRE,Z44)&amp;"")</f>
        <v/>
      </c>
      <c r="F44" s="72" t="str">
        <f aca="false">IF(B44="","",INDEX(T_CARGO,Z44)&amp;"")</f>
        <v/>
      </c>
      <c r="G44" s="72" t="str">
        <f aca="false">IF(B44="","",IFERROR(INDEX(C_TIPO,MATCH(C44&amp;"-P"&amp;MAX(1,COUNTIFS(C_ID,C44,C_DEFINE,"Sí",C_INICIO,"&lt;="&amp;EOMONTH(ENVIO_PER,0))),C_CLAVE,0))&amp;"","Sin contrato"))</f>
        <v/>
      </c>
      <c r="H44" s="71" t="str">
        <f aca="false">IF(B44="","",IFERROR(INDEX(C_SUELDO,MATCH(C44&amp;"-S"&amp;MAX(1,COUNTIFS(C_ID,C44,C_SUELDO,"&lt;&gt;",C_INICIO,"&lt;="&amp;EOMONTH(ENVIO_PER,0))),C_CLAVES,0)),0))</f>
        <v/>
      </c>
      <c r="I44" s="70" t="str">
        <f aca="false">IF(B44="","",TRIM(IF(AND(AB44&gt;=ENVIO_PER,AB44&lt;=EOMONTH(ENVIO_PER,0)),"Ingresa el día "&amp;DAY(AB44)&amp;". ","")&amp;IF(AND(AC44&gt;0,AC44&gt;=ENVIO_PER,AC44&lt;=EOMONTH(ENVIO_PER,0)),"Egresa el día "&amp;DAY(AC44)&amp;".","")))</f>
        <v/>
      </c>
      <c r="J44" s="70" t="str">
        <f aca="false">IF(B44="","",IF(COUNTIFS(C_ID,C44,C_INICIO,"&gt;="&amp;ENVIO_PER,C_INICIO,"&lt;="&amp;EOMONTH(ENVIO_PER,0))&gt;0,COUNTIFS(C_ID,C44,C_INICIO,"&gt;="&amp;ENVIO_PER,C_INICIO,"&lt;="&amp;EOMONTH(ENVIO_PER,0))&amp;" documento(s) nuevo(s): ver Contratos",""))</f>
        <v/>
      </c>
      <c r="K44" s="74" t="str">
        <f aca="false">IF(B44="","",IF(COUNTIF(N_CLAVE,AA44)&gt;0,SUMIFS(N_DIAS,N_CLAVE,AA44),AD44))</f>
        <v/>
      </c>
      <c r="L44" s="74" t="str">
        <f aca="false">IF(B44="","",SUMIFS(N_FALTAS,N_CLAVE,AA44))</f>
        <v/>
      </c>
      <c r="M44" s="74" t="str">
        <f aca="false">IF(B44="","",SUMIFS(N_LIC,N_CLAVE,AA44))</f>
        <v/>
      </c>
      <c r="N44" s="74" t="str">
        <f aca="false">IF(B44="","",SUMIFS(N_PCG,N_CLAVE,AA44))</f>
        <v/>
      </c>
      <c r="O44" s="74" t="str">
        <f aca="false">IF(B44="","",SUMIFS(N_PSG,N_CLAVE,AA44))</f>
        <v/>
      </c>
      <c r="P44" s="74" t="str">
        <f aca="false">IF(B44="","",SUMIFS(V_DIAS,V_ID,C44,V_MES,ENVIO_PER))</f>
        <v/>
      </c>
      <c r="Q44" s="73" t="str">
        <f aca="false">IF(B44="","",SUMIFS(N_ATRASO,N_CLAVE,AA44))</f>
        <v/>
      </c>
      <c r="R44" s="74" t="str">
        <f aca="false">IF(B44="","",SUMIFS(N_HE,N_CLAVE,AA44))</f>
        <v/>
      </c>
      <c r="S44" s="71" t="str">
        <f aca="false">IF(B44="","",SUMIFS(N_ANT,N_CLAVE,AA44))</f>
        <v/>
      </c>
      <c r="T44" s="71" t="str">
        <f aca="false">IF(B44="","",SUMIFS(N_BONO,N_CLAVE,AA44))</f>
        <v/>
      </c>
      <c r="U44" s="71" t="str">
        <f aca="false">IF(B44="","",SUMIFS(N_ONI,N_CLAVE,AA44))</f>
        <v/>
      </c>
      <c r="V44" s="71" t="str">
        <f aca="false">IF(B44="","",SUMIFS(N_DESC,N_CLAVE,AA44))</f>
        <v/>
      </c>
      <c r="W44" s="72" t="str">
        <f aca="false">IF(B44="","",IFERROR(INDEX(N_OBS,MATCH(AA44,N_CLAVE,0))&amp;"",""))</f>
        <v/>
      </c>
      <c r="X44" s="70" t="str">
        <f aca="false">IF(B44="","",IF(COUNTIF(N_CLAVE,AA44)&gt;0,"Sí","⚠ Sin registro"))</f>
        <v/>
      </c>
      <c r="Z44" s="81" t="str">
        <f aca="false">IF(B44="","",MATCH(B44,T_AUX,0))</f>
        <v/>
      </c>
      <c r="AA44" s="81" t="str">
        <f aca="false">IF(B44="","",C44&amp;"|"&amp;(YEAR(ENVIO_PER)*100+MONTH(ENVIO_PER)))</f>
        <v/>
      </c>
      <c r="AB44" s="81" t="str">
        <f aca="false">IF(B44="","",INDEX(T_INGRESO,Z44))</f>
        <v/>
      </c>
      <c r="AC44" s="81" t="str">
        <f aca="false">IF(B44="","",N(INDEX(T_EGRESO,Z44)))</f>
        <v/>
      </c>
      <c r="AD44" s="81" t="str">
        <f aca="false">IF(B44="","",IF(OR(AB44&gt;EOMONTH(ENVIO_PER,0),AND(AC44&gt;0,AC44&lt;ENVIO_PER)),0,IF(AND(AB44&lt;=ENVIO_PER,OR(AC44=0,AC44&gt;=EOMONTH(ENVIO_PER,0))),30,MIN(30,IF(AC44=0,EOMONTH(ENVIO_PER,0),MIN(AC44,EOMONTH(ENVIO_PER,0)))-MAX(ENVIO_PER,AB44)+1))))</f>
        <v/>
      </c>
    </row>
    <row r="45" customFormat="false" ht="15" hidden="false" customHeight="false" outlineLevel="0" collapsed="false">
      <c r="B45" s="72" t="str">
        <f aca="false">IF(36&lt;=MAX(T_AUX),36,"")</f>
        <v/>
      </c>
      <c r="C45" s="72" t="str">
        <f aca="false">IF(B45="","",INDEX(T_ID,Z45))</f>
        <v/>
      </c>
      <c r="D45" s="72" t="str">
        <f aca="false">IF(B45="","",INDEX(T_RUT,Z45)&amp;"")</f>
        <v/>
      </c>
      <c r="E45" s="72" t="str">
        <f aca="false">IF(B45="","",INDEX(T_NOMBRE,Z45)&amp;"")</f>
        <v/>
      </c>
      <c r="F45" s="72" t="str">
        <f aca="false">IF(B45="","",INDEX(T_CARGO,Z45)&amp;"")</f>
        <v/>
      </c>
      <c r="G45" s="72" t="str">
        <f aca="false">IF(B45="","",IFERROR(INDEX(C_TIPO,MATCH(C45&amp;"-P"&amp;MAX(1,COUNTIFS(C_ID,C45,C_DEFINE,"Sí",C_INICIO,"&lt;="&amp;EOMONTH(ENVIO_PER,0))),C_CLAVE,0))&amp;"","Sin contrato"))</f>
        <v/>
      </c>
      <c r="H45" s="71" t="str">
        <f aca="false">IF(B45="","",IFERROR(INDEX(C_SUELDO,MATCH(C45&amp;"-S"&amp;MAX(1,COUNTIFS(C_ID,C45,C_SUELDO,"&lt;&gt;",C_INICIO,"&lt;="&amp;EOMONTH(ENVIO_PER,0))),C_CLAVES,0)),0))</f>
        <v/>
      </c>
      <c r="I45" s="70" t="str">
        <f aca="false">IF(B45="","",TRIM(IF(AND(AB45&gt;=ENVIO_PER,AB45&lt;=EOMONTH(ENVIO_PER,0)),"Ingresa el día "&amp;DAY(AB45)&amp;". ","")&amp;IF(AND(AC45&gt;0,AC45&gt;=ENVIO_PER,AC45&lt;=EOMONTH(ENVIO_PER,0)),"Egresa el día "&amp;DAY(AC45)&amp;".","")))</f>
        <v/>
      </c>
      <c r="J45" s="70" t="str">
        <f aca="false">IF(B45="","",IF(COUNTIFS(C_ID,C45,C_INICIO,"&gt;="&amp;ENVIO_PER,C_INICIO,"&lt;="&amp;EOMONTH(ENVIO_PER,0))&gt;0,COUNTIFS(C_ID,C45,C_INICIO,"&gt;="&amp;ENVIO_PER,C_INICIO,"&lt;="&amp;EOMONTH(ENVIO_PER,0))&amp;" documento(s) nuevo(s): ver Contratos",""))</f>
        <v/>
      </c>
      <c r="K45" s="74" t="str">
        <f aca="false">IF(B45="","",IF(COUNTIF(N_CLAVE,AA45)&gt;0,SUMIFS(N_DIAS,N_CLAVE,AA45),AD45))</f>
        <v/>
      </c>
      <c r="L45" s="74" t="str">
        <f aca="false">IF(B45="","",SUMIFS(N_FALTAS,N_CLAVE,AA45))</f>
        <v/>
      </c>
      <c r="M45" s="74" t="str">
        <f aca="false">IF(B45="","",SUMIFS(N_LIC,N_CLAVE,AA45))</f>
        <v/>
      </c>
      <c r="N45" s="74" t="str">
        <f aca="false">IF(B45="","",SUMIFS(N_PCG,N_CLAVE,AA45))</f>
        <v/>
      </c>
      <c r="O45" s="74" t="str">
        <f aca="false">IF(B45="","",SUMIFS(N_PSG,N_CLAVE,AA45))</f>
        <v/>
      </c>
      <c r="P45" s="74" t="str">
        <f aca="false">IF(B45="","",SUMIFS(V_DIAS,V_ID,C45,V_MES,ENVIO_PER))</f>
        <v/>
      </c>
      <c r="Q45" s="73" t="str">
        <f aca="false">IF(B45="","",SUMIFS(N_ATRASO,N_CLAVE,AA45))</f>
        <v/>
      </c>
      <c r="R45" s="74" t="str">
        <f aca="false">IF(B45="","",SUMIFS(N_HE,N_CLAVE,AA45))</f>
        <v/>
      </c>
      <c r="S45" s="71" t="str">
        <f aca="false">IF(B45="","",SUMIFS(N_ANT,N_CLAVE,AA45))</f>
        <v/>
      </c>
      <c r="T45" s="71" t="str">
        <f aca="false">IF(B45="","",SUMIFS(N_BONO,N_CLAVE,AA45))</f>
        <v/>
      </c>
      <c r="U45" s="71" t="str">
        <f aca="false">IF(B45="","",SUMIFS(N_ONI,N_CLAVE,AA45))</f>
        <v/>
      </c>
      <c r="V45" s="71" t="str">
        <f aca="false">IF(B45="","",SUMIFS(N_DESC,N_CLAVE,AA45))</f>
        <v/>
      </c>
      <c r="W45" s="72" t="str">
        <f aca="false">IF(B45="","",IFERROR(INDEX(N_OBS,MATCH(AA45,N_CLAVE,0))&amp;"",""))</f>
        <v/>
      </c>
      <c r="X45" s="70" t="str">
        <f aca="false">IF(B45="","",IF(COUNTIF(N_CLAVE,AA45)&gt;0,"Sí","⚠ Sin registro"))</f>
        <v/>
      </c>
      <c r="Z45" s="81" t="str">
        <f aca="false">IF(B45="","",MATCH(B45,T_AUX,0))</f>
        <v/>
      </c>
      <c r="AA45" s="81" t="str">
        <f aca="false">IF(B45="","",C45&amp;"|"&amp;(YEAR(ENVIO_PER)*100+MONTH(ENVIO_PER)))</f>
        <v/>
      </c>
      <c r="AB45" s="81" t="str">
        <f aca="false">IF(B45="","",INDEX(T_INGRESO,Z45))</f>
        <v/>
      </c>
      <c r="AC45" s="81" t="str">
        <f aca="false">IF(B45="","",N(INDEX(T_EGRESO,Z45)))</f>
        <v/>
      </c>
      <c r="AD45" s="81" t="str">
        <f aca="false">IF(B45="","",IF(OR(AB45&gt;EOMONTH(ENVIO_PER,0),AND(AC45&gt;0,AC45&lt;ENVIO_PER)),0,IF(AND(AB45&lt;=ENVIO_PER,OR(AC45=0,AC45&gt;=EOMONTH(ENVIO_PER,0))),30,MIN(30,IF(AC45=0,EOMONTH(ENVIO_PER,0),MIN(AC45,EOMONTH(ENVIO_PER,0)))-MAX(ENVIO_PER,AB45)+1))))</f>
        <v/>
      </c>
    </row>
    <row r="46" customFormat="false" ht="15" hidden="false" customHeight="false" outlineLevel="0" collapsed="false">
      <c r="B46" s="72" t="str">
        <f aca="false">IF(37&lt;=MAX(T_AUX),37,"")</f>
        <v/>
      </c>
      <c r="C46" s="72" t="str">
        <f aca="false">IF(B46="","",INDEX(T_ID,Z46))</f>
        <v/>
      </c>
      <c r="D46" s="72" t="str">
        <f aca="false">IF(B46="","",INDEX(T_RUT,Z46)&amp;"")</f>
        <v/>
      </c>
      <c r="E46" s="72" t="str">
        <f aca="false">IF(B46="","",INDEX(T_NOMBRE,Z46)&amp;"")</f>
        <v/>
      </c>
      <c r="F46" s="72" t="str">
        <f aca="false">IF(B46="","",INDEX(T_CARGO,Z46)&amp;"")</f>
        <v/>
      </c>
      <c r="G46" s="72" t="str">
        <f aca="false">IF(B46="","",IFERROR(INDEX(C_TIPO,MATCH(C46&amp;"-P"&amp;MAX(1,COUNTIFS(C_ID,C46,C_DEFINE,"Sí",C_INICIO,"&lt;="&amp;EOMONTH(ENVIO_PER,0))),C_CLAVE,0))&amp;"","Sin contrato"))</f>
        <v/>
      </c>
      <c r="H46" s="71" t="str">
        <f aca="false">IF(B46="","",IFERROR(INDEX(C_SUELDO,MATCH(C46&amp;"-S"&amp;MAX(1,COUNTIFS(C_ID,C46,C_SUELDO,"&lt;&gt;",C_INICIO,"&lt;="&amp;EOMONTH(ENVIO_PER,0))),C_CLAVES,0)),0))</f>
        <v/>
      </c>
      <c r="I46" s="70" t="str">
        <f aca="false">IF(B46="","",TRIM(IF(AND(AB46&gt;=ENVIO_PER,AB46&lt;=EOMONTH(ENVIO_PER,0)),"Ingresa el día "&amp;DAY(AB46)&amp;". ","")&amp;IF(AND(AC46&gt;0,AC46&gt;=ENVIO_PER,AC46&lt;=EOMONTH(ENVIO_PER,0)),"Egresa el día "&amp;DAY(AC46)&amp;".","")))</f>
        <v/>
      </c>
      <c r="J46" s="70" t="str">
        <f aca="false">IF(B46="","",IF(COUNTIFS(C_ID,C46,C_INICIO,"&gt;="&amp;ENVIO_PER,C_INICIO,"&lt;="&amp;EOMONTH(ENVIO_PER,0))&gt;0,COUNTIFS(C_ID,C46,C_INICIO,"&gt;="&amp;ENVIO_PER,C_INICIO,"&lt;="&amp;EOMONTH(ENVIO_PER,0))&amp;" documento(s) nuevo(s): ver Contratos",""))</f>
        <v/>
      </c>
      <c r="K46" s="74" t="str">
        <f aca="false">IF(B46="","",IF(COUNTIF(N_CLAVE,AA46)&gt;0,SUMIFS(N_DIAS,N_CLAVE,AA46),AD46))</f>
        <v/>
      </c>
      <c r="L46" s="74" t="str">
        <f aca="false">IF(B46="","",SUMIFS(N_FALTAS,N_CLAVE,AA46))</f>
        <v/>
      </c>
      <c r="M46" s="74" t="str">
        <f aca="false">IF(B46="","",SUMIFS(N_LIC,N_CLAVE,AA46))</f>
        <v/>
      </c>
      <c r="N46" s="74" t="str">
        <f aca="false">IF(B46="","",SUMIFS(N_PCG,N_CLAVE,AA46))</f>
        <v/>
      </c>
      <c r="O46" s="74" t="str">
        <f aca="false">IF(B46="","",SUMIFS(N_PSG,N_CLAVE,AA46))</f>
        <v/>
      </c>
      <c r="P46" s="74" t="str">
        <f aca="false">IF(B46="","",SUMIFS(V_DIAS,V_ID,C46,V_MES,ENVIO_PER))</f>
        <v/>
      </c>
      <c r="Q46" s="73" t="str">
        <f aca="false">IF(B46="","",SUMIFS(N_ATRASO,N_CLAVE,AA46))</f>
        <v/>
      </c>
      <c r="R46" s="74" t="str">
        <f aca="false">IF(B46="","",SUMIFS(N_HE,N_CLAVE,AA46))</f>
        <v/>
      </c>
      <c r="S46" s="71" t="str">
        <f aca="false">IF(B46="","",SUMIFS(N_ANT,N_CLAVE,AA46))</f>
        <v/>
      </c>
      <c r="T46" s="71" t="str">
        <f aca="false">IF(B46="","",SUMIFS(N_BONO,N_CLAVE,AA46))</f>
        <v/>
      </c>
      <c r="U46" s="71" t="str">
        <f aca="false">IF(B46="","",SUMIFS(N_ONI,N_CLAVE,AA46))</f>
        <v/>
      </c>
      <c r="V46" s="71" t="str">
        <f aca="false">IF(B46="","",SUMIFS(N_DESC,N_CLAVE,AA46))</f>
        <v/>
      </c>
      <c r="W46" s="72" t="str">
        <f aca="false">IF(B46="","",IFERROR(INDEX(N_OBS,MATCH(AA46,N_CLAVE,0))&amp;"",""))</f>
        <v/>
      </c>
      <c r="X46" s="70" t="str">
        <f aca="false">IF(B46="","",IF(COUNTIF(N_CLAVE,AA46)&gt;0,"Sí","⚠ Sin registro"))</f>
        <v/>
      </c>
      <c r="Z46" s="81" t="str">
        <f aca="false">IF(B46="","",MATCH(B46,T_AUX,0))</f>
        <v/>
      </c>
      <c r="AA46" s="81" t="str">
        <f aca="false">IF(B46="","",C46&amp;"|"&amp;(YEAR(ENVIO_PER)*100+MONTH(ENVIO_PER)))</f>
        <v/>
      </c>
      <c r="AB46" s="81" t="str">
        <f aca="false">IF(B46="","",INDEX(T_INGRESO,Z46))</f>
        <v/>
      </c>
      <c r="AC46" s="81" t="str">
        <f aca="false">IF(B46="","",N(INDEX(T_EGRESO,Z46)))</f>
        <v/>
      </c>
      <c r="AD46" s="81" t="str">
        <f aca="false">IF(B46="","",IF(OR(AB46&gt;EOMONTH(ENVIO_PER,0),AND(AC46&gt;0,AC46&lt;ENVIO_PER)),0,IF(AND(AB46&lt;=ENVIO_PER,OR(AC46=0,AC46&gt;=EOMONTH(ENVIO_PER,0))),30,MIN(30,IF(AC46=0,EOMONTH(ENVIO_PER,0),MIN(AC46,EOMONTH(ENVIO_PER,0)))-MAX(ENVIO_PER,AB46)+1))))</f>
        <v/>
      </c>
    </row>
    <row r="47" customFormat="false" ht="15" hidden="false" customHeight="false" outlineLevel="0" collapsed="false">
      <c r="B47" s="72" t="str">
        <f aca="false">IF(38&lt;=MAX(T_AUX),38,"")</f>
        <v/>
      </c>
      <c r="C47" s="72" t="str">
        <f aca="false">IF(B47="","",INDEX(T_ID,Z47))</f>
        <v/>
      </c>
      <c r="D47" s="72" t="str">
        <f aca="false">IF(B47="","",INDEX(T_RUT,Z47)&amp;"")</f>
        <v/>
      </c>
      <c r="E47" s="72" t="str">
        <f aca="false">IF(B47="","",INDEX(T_NOMBRE,Z47)&amp;"")</f>
        <v/>
      </c>
      <c r="F47" s="72" t="str">
        <f aca="false">IF(B47="","",INDEX(T_CARGO,Z47)&amp;"")</f>
        <v/>
      </c>
      <c r="G47" s="72" t="str">
        <f aca="false">IF(B47="","",IFERROR(INDEX(C_TIPO,MATCH(C47&amp;"-P"&amp;MAX(1,COUNTIFS(C_ID,C47,C_DEFINE,"Sí",C_INICIO,"&lt;="&amp;EOMONTH(ENVIO_PER,0))),C_CLAVE,0))&amp;"","Sin contrato"))</f>
        <v/>
      </c>
      <c r="H47" s="71" t="str">
        <f aca="false">IF(B47="","",IFERROR(INDEX(C_SUELDO,MATCH(C47&amp;"-S"&amp;MAX(1,COUNTIFS(C_ID,C47,C_SUELDO,"&lt;&gt;",C_INICIO,"&lt;="&amp;EOMONTH(ENVIO_PER,0))),C_CLAVES,0)),0))</f>
        <v/>
      </c>
      <c r="I47" s="70" t="str">
        <f aca="false">IF(B47="","",TRIM(IF(AND(AB47&gt;=ENVIO_PER,AB47&lt;=EOMONTH(ENVIO_PER,0)),"Ingresa el día "&amp;DAY(AB47)&amp;". ","")&amp;IF(AND(AC47&gt;0,AC47&gt;=ENVIO_PER,AC47&lt;=EOMONTH(ENVIO_PER,0)),"Egresa el día "&amp;DAY(AC47)&amp;".","")))</f>
        <v/>
      </c>
      <c r="J47" s="70" t="str">
        <f aca="false">IF(B47="","",IF(COUNTIFS(C_ID,C47,C_INICIO,"&gt;="&amp;ENVIO_PER,C_INICIO,"&lt;="&amp;EOMONTH(ENVIO_PER,0))&gt;0,COUNTIFS(C_ID,C47,C_INICIO,"&gt;="&amp;ENVIO_PER,C_INICIO,"&lt;="&amp;EOMONTH(ENVIO_PER,0))&amp;" documento(s) nuevo(s): ver Contratos",""))</f>
        <v/>
      </c>
      <c r="K47" s="74" t="str">
        <f aca="false">IF(B47="","",IF(COUNTIF(N_CLAVE,AA47)&gt;0,SUMIFS(N_DIAS,N_CLAVE,AA47),AD47))</f>
        <v/>
      </c>
      <c r="L47" s="74" t="str">
        <f aca="false">IF(B47="","",SUMIFS(N_FALTAS,N_CLAVE,AA47))</f>
        <v/>
      </c>
      <c r="M47" s="74" t="str">
        <f aca="false">IF(B47="","",SUMIFS(N_LIC,N_CLAVE,AA47))</f>
        <v/>
      </c>
      <c r="N47" s="74" t="str">
        <f aca="false">IF(B47="","",SUMIFS(N_PCG,N_CLAVE,AA47))</f>
        <v/>
      </c>
      <c r="O47" s="74" t="str">
        <f aca="false">IF(B47="","",SUMIFS(N_PSG,N_CLAVE,AA47))</f>
        <v/>
      </c>
      <c r="P47" s="74" t="str">
        <f aca="false">IF(B47="","",SUMIFS(V_DIAS,V_ID,C47,V_MES,ENVIO_PER))</f>
        <v/>
      </c>
      <c r="Q47" s="73" t="str">
        <f aca="false">IF(B47="","",SUMIFS(N_ATRASO,N_CLAVE,AA47))</f>
        <v/>
      </c>
      <c r="R47" s="74" t="str">
        <f aca="false">IF(B47="","",SUMIFS(N_HE,N_CLAVE,AA47))</f>
        <v/>
      </c>
      <c r="S47" s="71" t="str">
        <f aca="false">IF(B47="","",SUMIFS(N_ANT,N_CLAVE,AA47))</f>
        <v/>
      </c>
      <c r="T47" s="71" t="str">
        <f aca="false">IF(B47="","",SUMIFS(N_BONO,N_CLAVE,AA47))</f>
        <v/>
      </c>
      <c r="U47" s="71" t="str">
        <f aca="false">IF(B47="","",SUMIFS(N_ONI,N_CLAVE,AA47))</f>
        <v/>
      </c>
      <c r="V47" s="71" t="str">
        <f aca="false">IF(B47="","",SUMIFS(N_DESC,N_CLAVE,AA47))</f>
        <v/>
      </c>
      <c r="W47" s="72" t="str">
        <f aca="false">IF(B47="","",IFERROR(INDEX(N_OBS,MATCH(AA47,N_CLAVE,0))&amp;"",""))</f>
        <v/>
      </c>
      <c r="X47" s="70" t="str">
        <f aca="false">IF(B47="","",IF(COUNTIF(N_CLAVE,AA47)&gt;0,"Sí","⚠ Sin registro"))</f>
        <v/>
      </c>
      <c r="Z47" s="81" t="str">
        <f aca="false">IF(B47="","",MATCH(B47,T_AUX,0))</f>
        <v/>
      </c>
      <c r="AA47" s="81" t="str">
        <f aca="false">IF(B47="","",C47&amp;"|"&amp;(YEAR(ENVIO_PER)*100+MONTH(ENVIO_PER)))</f>
        <v/>
      </c>
      <c r="AB47" s="81" t="str">
        <f aca="false">IF(B47="","",INDEX(T_INGRESO,Z47))</f>
        <v/>
      </c>
      <c r="AC47" s="81" t="str">
        <f aca="false">IF(B47="","",N(INDEX(T_EGRESO,Z47)))</f>
        <v/>
      </c>
      <c r="AD47" s="81" t="str">
        <f aca="false">IF(B47="","",IF(OR(AB47&gt;EOMONTH(ENVIO_PER,0),AND(AC47&gt;0,AC47&lt;ENVIO_PER)),0,IF(AND(AB47&lt;=ENVIO_PER,OR(AC47=0,AC47&gt;=EOMONTH(ENVIO_PER,0))),30,MIN(30,IF(AC47=0,EOMONTH(ENVIO_PER,0),MIN(AC47,EOMONTH(ENVIO_PER,0)))-MAX(ENVIO_PER,AB47)+1))))</f>
        <v/>
      </c>
    </row>
    <row r="48" customFormat="false" ht="15" hidden="false" customHeight="false" outlineLevel="0" collapsed="false">
      <c r="B48" s="72" t="str">
        <f aca="false">IF(39&lt;=MAX(T_AUX),39,"")</f>
        <v/>
      </c>
      <c r="C48" s="72" t="str">
        <f aca="false">IF(B48="","",INDEX(T_ID,Z48))</f>
        <v/>
      </c>
      <c r="D48" s="72" t="str">
        <f aca="false">IF(B48="","",INDEX(T_RUT,Z48)&amp;"")</f>
        <v/>
      </c>
      <c r="E48" s="72" t="str">
        <f aca="false">IF(B48="","",INDEX(T_NOMBRE,Z48)&amp;"")</f>
        <v/>
      </c>
      <c r="F48" s="72" t="str">
        <f aca="false">IF(B48="","",INDEX(T_CARGO,Z48)&amp;"")</f>
        <v/>
      </c>
      <c r="G48" s="72" t="str">
        <f aca="false">IF(B48="","",IFERROR(INDEX(C_TIPO,MATCH(C48&amp;"-P"&amp;MAX(1,COUNTIFS(C_ID,C48,C_DEFINE,"Sí",C_INICIO,"&lt;="&amp;EOMONTH(ENVIO_PER,0))),C_CLAVE,0))&amp;"","Sin contrato"))</f>
        <v/>
      </c>
      <c r="H48" s="71" t="str">
        <f aca="false">IF(B48="","",IFERROR(INDEX(C_SUELDO,MATCH(C48&amp;"-S"&amp;MAX(1,COUNTIFS(C_ID,C48,C_SUELDO,"&lt;&gt;",C_INICIO,"&lt;="&amp;EOMONTH(ENVIO_PER,0))),C_CLAVES,0)),0))</f>
        <v/>
      </c>
      <c r="I48" s="70" t="str">
        <f aca="false">IF(B48="","",TRIM(IF(AND(AB48&gt;=ENVIO_PER,AB48&lt;=EOMONTH(ENVIO_PER,0)),"Ingresa el día "&amp;DAY(AB48)&amp;". ","")&amp;IF(AND(AC48&gt;0,AC48&gt;=ENVIO_PER,AC48&lt;=EOMONTH(ENVIO_PER,0)),"Egresa el día "&amp;DAY(AC48)&amp;".","")))</f>
        <v/>
      </c>
      <c r="J48" s="70" t="str">
        <f aca="false">IF(B48="","",IF(COUNTIFS(C_ID,C48,C_INICIO,"&gt;="&amp;ENVIO_PER,C_INICIO,"&lt;="&amp;EOMONTH(ENVIO_PER,0))&gt;0,COUNTIFS(C_ID,C48,C_INICIO,"&gt;="&amp;ENVIO_PER,C_INICIO,"&lt;="&amp;EOMONTH(ENVIO_PER,0))&amp;" documento(s) nuevo(s): ver Contratos",""))</f>
        <v/>
      </c>
      <c r="K48" s="74" t="str">
        <f aca="false">IF(B48="","",IF(COUNTIF(N_CLAVE,AA48)&gt;0,SUMIFS(N_DIAS,N_CLAVE,AA48),AD48))</f>
        <v/>
      </c>
      <c r="L48" s="74" t="str">
        <f aca="false">IF(B48="","",SUMIFS(N_FALTAS,N_CLAVE,AA48))</f>
        <v/>
      </c>
      <c r="M48" s="74" t="str">
        <f aca="false">IF(B48="","",SUMIFS(N_LIC,N_CLAVE,AA48))</f>
        <v/>
      </c>
      <c r="N48" s="74" t="str">
        <f aca="false">IF(B48="","",SUMIFS(N_PCG,N_CLAVE,AA48))</f>
        <v/>
      </c>
      <c r="O48" s="74" t="str">
        <f aca="false">IF(B48="","",SUMIFS(N_PSG,N_CLAVE,AA48))</f>
        <v/>
      </c>
      <c r="P48" s="74" t="str">
        <f aca="false">IF(B48="","",SUMIFS(V_DIAS,V_ID,C48,V_MES,ENVIO_PER))</f>
        <v/>
      </c>
      <c r="Q48" s="73" t="str">
        <f aca="false">IF(B48="","",SUMIFS(N_ATRASO,N_CLAVE,AA48))</f>
        <v/>
      </c>
      <c r="R48" s="74" t="str">
        <f aca="false">IF(B48="","",SUMIFS(N_HE,N_CLAVE,AA48))</f>
        <v/>
      </c>
      <c r="S48" s="71" t="str">
        <f aca="false">IF(B48="","",SUMIFS(N_ANT,N_CLAVE,AA48))</f>
        <v/>
      </c>
      <c r="T48" s="71" t="str">
        <f aca="false">IF(B48="","",SUMIFS(N_BONO,N_CLAVE,AA48))</f>
        <v/>
      </c>
      <c r="U48" s="71" t="str">
        <f aca="false">IF(B48="","",SUMIFS(N_ONI,N_CLAVE,AA48))</f>
        <v/>
      </c>
      <c r="V48" s="71" t="str">
        <f aca="false">IF(B48="","",SUMIFS(N_DESC,N_CLAVE,AA48))</f>
        <v/>
      </c>
      <c r="W48" s="72" t="str">
        <f aca="false">IF(B48="","",IFERROR(INDEX(N_OBS,MATCH(AA48,N_CLAVE,0))&amp;"",""))</f>
        <v/>
      </c>
      <c r="X48" s="70" t="str">
        <f aca="false">IF(B48="","",IF(COUNTIF(N_CLAVE,AA48)&gt;0,"Sí","⚠ Sin registro"))</f>
        <v/>
      </c>
      <c r="Z48" s="81" t="str">
        <f aca="false">IF(B48="","",MATCH(B48,T_AUX,0))</f>
        <v/>
      </c>
      <c r="AA48" s="81" t="str">
        <f aca="false">IF(B48="","",C48&amp;"|"&amp;(YEAR(ENVIO_PER)*100+MONTH(ENVIO_PER)))</f>
        <v/>
      </c>
      <c r="AB48" s="81" t="str">
        <f aca="false">IF(B48="","",INDEX(T_INGRESO,Z48))</f>
        <v/>
      </c>
      <c r="AC48" s="81" t="str">
        <f aca="false">IF(B48="","",N(INDEX(T_EGRESO,Z48)))</f>
        <v/>
      </c>
      <c r="AD48" s="81" t="str">
        <f aca="false">IF(B48="","",IF(OR(AB48&gt;EOMONTH(ENVIO_PER,0),AND(AC48&gt;0,AC48&lt;ENVIO_PER)),0,IF(AND(AB48&lt;=ENVIO_PER,OR(AC48=0,AC48&gt;=EOMONTH(ENVIO_PER,0))),30,MIN(30,IF(AC48=0,EOMONTH(ENVIO_PER,0),MIN(AC48,EOMONTH(ENVIO_PER,0)))-MAX(ENVIO_PER,AB48)+1))))</f>
        <v/>
      </c>
    </row>
    <row r="49" customFormat="false" ht="15" hidden="false" customHeight="false" outlineLevel="0" collapsed="false">
      <c r="B49" s="72" t="str">
        <f aca="false">IF(40&lt;=MAX(T_AUX),40,"")</f>
        <v/>
      </c>
      <c r="C49" s="72" t="str">
        <f aca="false">IF(B49="","",INDEX(T_ID,Z49))</f>
        <v/>
      </c>
      <c r="D49" s="72" t="str">
        <f aca="false">IF(B49="","",INDEX(T_RUT,Z49)&amp;"")</f>
        <v/>
      </c>
      <c r="E49" s="72" t="str">
        <f aca="false">IF(B49="","",INDEX(T_NOMBRE,Z49)&amp;"")</f>
        <v/>
      </c>
      <c r="F49" s="72" t="str">
        <f aca="false">IF(B49="","",INDEX(T_CARGO,Z49)&amp;"")</f>
        <v/>
      </c>
      <c r="G49" s="72" t="str">
        <f aca="false">IF(B49="","",IFERROR(INDEX(C_TIPO,MATCH(C49&amp;"-P"&amp;MAX(1,COUNTIFS(C_ID,C49,C_DEFINE,"Sí",C_INICIO,"&lt;="&amp;EOMONTH(ENVIO_PER,0))),C_CLAVE,0))&amp;"","Sin contrato"))</f>
        <v/>
      </c>
      <c r="H49" s="71" t="str">
        <f aca="false">IF(B49="","",IFERROR(INDEX(C_SUELDO,MATCH(C49&amp;"-S"&amp;MAX(1,COUNTIFS(C_ID,C49,C_SUELDO,"&lt;&gt;",C_INICIO,"&lt;="&amp;EOMONTH(ENVIO_PER,0))),C_CLAVES,0)),0))</f>
        <v/>
      </c>
      <c r="I49" s="70" t="str">
        <f aca="false">IF(B49="","",TRIM(IF(AND(AB49&gt;=ENVIO_PER,AB49&lt;=EOMONTH(ENVIO_PER,0)),"Ingresa el día "&amp;DAY(AB49)&amp;". ","")&amp;IF(AND(AC49&gt;0,AC49&gt;=ENVIO_PER,AC49&lt;=EOMONTH(ENVIO_PER,0)),"Egresa el día "&amp;DAY(AC49)&amp;".","")))</f>
        <v/>
      </c>
      <c r="J49" s="70" t="str">
        <f aca="false">IF(B49="","",IF(COUNTIFS(C_ID,C49,C_INICIO,"&gt;="&amp;ENVIO_PER,C_INICIO,"&lt;="&amp;EOMONTH(ENVIO_PER,0))&gt;0,COUNTIFS(C_ID,C49,C_INICIO,"&gt;="&amp;ENVIO_PER,C_INICIO,"&lt;="&amp;EOMONTH(ENVIO_PER,0))&amp;" documento(s) nuevo(s): ver Contratos",""))</f>
        <v/>
      </c>
      <c r="K49" s="74" t="str">
        <f aca="false">IF(B49="","",IF(COUNTIF(N_CLAVE,AA49)&gt;0,SUMIFS(N_DIAS,N_CLAVE,AA49),AD49))</f>
        <v/>
      </c>
      <c r="L49" s="74" t="str">
        <f aca="false">IF(B49="","",SUMIFS(N_FALTAS,N_CLAVE,AA49))</f>
        <v/>
      </c>
      <c r="M49" s="74" t="str">
        <f aca="false">IF(B49="","",SUMIFS(N_LIC,N_CLAVE,AA49))</f>
        <v/>
      </c>
      <c r="N49" s="74" t="str">
        <f aca="false">IF(B49="","",SUMIFS(N_PCG,N_CLAVE,AA49))</f>
        <v/>
      </c>
      <c r="O49" s="74" t="str">
        <f aca="false">IF(B49="","",SUMIFS(N_PSG,N_CLAVE,AA49))</f>
        <v/>
      </c>
      <c r="P49" s="74" t="str">
        <f aca="false">IF(B49="","",SUMIFS(V_DIAS,V_ID,C49,V_MES,ENVIO_PER))</f>
        <v/>
      </c>
      <c r="Q49" s="73" t="str">
        <f aca="false">IF(B49="","",SUMIFS(N_ATRASO,N_CLAVE,AA49))</f>
        <v/>
      </c>
      <c r="R49" s="74" t="str">
        <f aca="false">IF(B49="","",SUMIFS(N_HE,N_CLAVE,AA49))</f>
        <v/>
      </c>
      <c r="S49" s="71" t="str">
        <f aca="false">IF(B49="","",SUMIFS(N_ANT,N_CLAVE,AA49))</f>
        <v/>
      </c>
      <c r="T49" s="71" t="str">
        <f aca="false">IF(B49="","",SUMIFS(N_BONO,N_CLAVE,AA49))</f>
        <v/>
      </c>
      <c r="U49" s="71" t="str">
        <f aca="false">IF(B49="","",SUMIFS(N_ONI,N_CLAVE,AA49))</f>
        <v/>
      </c>
      <c r="V49" s="71" t="str">
        <f aca="false">IF(B49="","",SUMIFS(N_DESC,N_CLAVE,AA49))</f>
        <v/>
      </c>
      <c r="W49" s="72" t="str">
        <f aca="false">IF(B49="","",IFERROR(INDEX(N_OBS,MATCH(AA49,N_CLAVE,0))&amp;"",""))</f>
        <v/>
      </c>
      <c r="X49" s="70" t="str">
        <f aca="false">IF(B49="","",IF(COUNTIF(N_CLAVE,AA49)&gt;0,"Sí","⚠ Sin registro"))</f>
        <v/>
      </c>
      <c r="Z49" s="81" t="str">
        <f aca="false">IF(B49="","",MATCH(B49,T_AUX,0))</f>
        <v/>
      </c>
      <c r="AA49" s="81" t="str">
        <f aca="false">IF(B49="","",C49&amp;"|"&amp;(YEAR(ENVIO_PER)*100+MONTH(ENVIO_PER)))</f>
        <v/>
      </c>
      <c r="AB49" s="81" t="str">
        <f aca="false">IF(B49="","",INDEX(T_INGRESO,Z49))</f>
        <v/>
      </c>
      <c r="AC49" s="81" t="str">
        <f aca="false">IF(B49="","",N(INDEX(T_EGRESO,Z49)))</f>
        <v/>
      </c>
      <c r="AD49" s="81" t="str">
        <f aca="false">IF(B49="","",IF(OR(AB49&gt;EOMONTH(ENVIO_PER,0),AND(AC49&gt;0,AC49&lt;ENVIO_PER)),0,IF(AND(AB49&lt;=ENVIO_PER,OR(AC49=0,AC49&gt;=EOMONTH(ENVIO_PER,0))),30,MIN(30,IF(AC49=0,EOMONTH(ENVIO_PER,0),MIN(AC49,EOMONTH(ENVIO_PER,0)))-MAX(ENVIO_PER,AB49)+1))))</f>
        <v/>
      </c>
    </row>
    <row r="50" customFormat="false" ht="15" hidden="false" customHeight="false" outlineLevel="0" collapsed="false">
      <c r="B50" s="72" t="str">
        <f aca="false">IF(41&lt;=MAX(T_AUX),41,"")</f>
        <v/>
      </c>
      <c r="C50" s="72" t="str">
        <f aca="false">IF(B50="","",INDEX(T_ID,Z50))</f>
        <v/>
      </c>
      <c r="D50" s="72" t="str">
        <f aca="false">IF(B50="","",INDEX(T_RUT,Z50)&amp;"")</f>
        <v/>
      </c>
      <c r="E50" s="72" t="str">
        <f aca="false">IF(B50="","",INDEX(T_NOMBRE,Z50)&amp;"")</f>
        <v/>
      </c>
      <c r="F50" s="72" t="str">
        <f aca="false">IF(B50="","",INDEX(T_CARGO,Z50)&amp;"")</f>
        <v/>
      </c>
      <c r="G50" s="72" t="str">
        <f aca="false">IF(B50="","",IFERROR(INDEX(C_TIPO,MATCH(C50&amp;"-P"&amp;MAX(1,COUNTIFS(C_ID,C50,C_DEFINE,"Sí",C_INICIO,"&lt;="&amp;EOMONTH(ENVIO_PER,0))),C_CLAVE,0))&amp;"","Sin contrato"))</f>
        <v/>
      </c>
      <c r="H50" s="71" t="str">
        <f aca="false">IF(B50="","",IFERROR(INDEX(C_SUELDO,MATCH(C50&amp;"-S"&amp;MAX(1,COUNTIFS(C_ID,C50,C_SUELDO,"&lt;&gt;",C_INICIO,"&lt;="&amp;EOMONTH(ENVIO_PER,0))),C_CLAVES,0)),0))</f>
        <v/>
      </c>
      <c r="I50" s="70" t="str">
        <f aca="false">IF(B50="","",TRIM(IF(AND(AB50&gt;=ENVIO_PER,AB50&lt;=EOMONTH(ENVIO_PER,0)),"Ingresa el día "&amp;DAY(AB50)&amp;". ","")&amp;IF(AND(AC50&gt;0,AC50&gt;=ENVIO_PER,AC50&lt;=EOMONTH(ENVIO_PER,0)),"Egresa el día "&amp;DAY(AC50)&amp;".","")))</f>
        <v/>
      </c>
      <c r="J50" s="70" t="str">
        <f aca="false">IF(B50="","",IF(COUNTIFS(C_ID,C50,C_INICIO,"&gt;="&amp;ENVIO_PER,C_INICIO,"&lt;="&amp;EOMONTH(ENVIO_PER,0))&gt;0,COUNTIFS(C_ID,C50,C_INICIO,"&gt;="&amp;ENVIO_PER,C_INICIO,"&lt;="&amp;EOMONTH(ENVIO_PER,0))&amp;" documento(s) nuevo(s): ver Contratos",""))</f>
        <v/>
      </c>
      <c r="K50" s="74" t="str">
        <f aca="false">IF(B50="","",IF(COUNTIF(N_CLAVE,AA50)&gt;0,SUMIFS(N_DIAS,N_CLAVE,AA50),AD50))</f>
        <v/>
      </c>
      <c r="L50" s="74" t="str">
        <f aca="false">IF(B50="","",SUMIFS(N_FALTAS,N_CLAVE,AA50))</f>
        <v/>
      </c>
      <c r="M50" s="74" t="str">
        <f aca="false">IF(B50="","",SUMIFS(N_LIC,N_CLAVE,AA50))</f>
        <v/>
      </c>
      <c r="N50" s="74" t="str">
        <f aca="false">IF(B50="","",SUMIFS(N_PCG,N_CLAVE,AA50))</f>
        <v/>
      </c>
      <c r="O50" s="74" t="str">
        <f aca="false">IF(B50="","",SUMIFS(N_PSG,N_CLAVE,AA50))</f>
        <v/>
      </c>
      <c r="P50" s="74" t="str">
        <f aca="false">IF(B50="","",SUMIFS(V_DIAS,V_ID,C50,V_MES,ENVIO_PER))</f>
        <v/>
      </c>
      <c r="Q50" s="73" t="str">
        <f aca="false">IF(B50="","",SUMIFS(N_ATRASO,N_CLAVE,AA50))</f>
        <v/>
      </c>
      <c r="R50" s="74" t="str">
        <f aca="false">IF(B50="","",SUMIFS(N_HE,N_CLAVE,AA50))</f>
        <v/>
      </c>
      <c r="S50" s="71" t="str">
        <f aca="false">IF(B50="","",SUMIFS(N_ANT,N_CLAVE,AA50))</f>
        <v/>
      </c>
      <c r="T50" s="71" t="str">
        <f aca="false">IF(B50="","",SUMIFS(N_BONO,N_CLAVE,AA50))</f>
        <v/>
      </c>
      <c r="U50" s="71" t="str">
        <f aca="false">IF(B50="","",SUMIFS(N_ONI,N_CLAVE,AA50))</f>
        <v/>
      </c>
      <c r="V50" s="71" t="str">
        <f aca="false">IF(B50="","",SUMIFS(N_DESC,N_CLAVE,AA50))</f>
        <v/>
      </c>
      <c r="W50" s="72" t="str">
        <f aca="false">IF(B50="","",IFERROR(INDEX(N_OBS,MATCH(AA50,N_CLAVE,0))&amp;"",""))</f>
        <v/>
      </c>
      <c r="X50" s="70" t="str">
        <f aca="false">IF(B50="","",IF(COUNTIF(N_CLAVE,AA50)&gt;0,"Sí","⚠ Sin registro"))</f>
        <v/>
      </c>
      <c r="Z50" s="81" t="str">
        <f aca="false">IF(B50="","",MATCH(B50,T_AUX,0))</f>
        <v/>
      </c>
      <c r="AA50" s="81" t="str">
        <f aca="false">IF(B50="","",C50&amp;"|"&amp;(YEAR(ENVIO_PER)*100+MONTH(ENVIO_PER)))</f>
        <v/>
      </c>
      <c r="AB50" s="81" t="str">
        <f aca="false">IF(B50="","",INDEX(T_INGRESO,Z50))</f>
        <v/>
      </c>
      <c r="AC50" s="81" t="str">
        <f aca="false">IF(B50="","",N(INDEX(T_EGRESO,Z50)))</f>
        <v/>
      </c>
      <c r="AD50" s="81" t="str">
        <f aca="false">IF(B50="","",IF(OR(AB50&gt;EOMONTH(ENVIO_PER,0),AND(AC50&gt;0,AC50&lt;ENVIO_PER)),0,IF(AND(AB50&lt;=ENVIO_PER,OR(AC50=0,AC50&gt;=EOMONTH(ENVIO_PER,0))),30,MIN(30,IF(AC50=0,EOMONTH(ENVIO_PER,0),MIN(AC50,EOMONTH(ENVIO_PER,0)))-MAX(ENVIO_PER,AB50)+1))))</f>
        <v/>
      </c>
    </row>
    <row r="51" customFormat="false" ht="15" hidden="false" customHeight="false" outlineLevel="0" collapsed="false">
      <c r="B51" s="72" t="str">
        <f aca="false">IF(42&lt;=MAX(T_AUX),42,"")</f>
        <v/>
      </c>
      <c r="C51" s="72" t="str">
        <f aca="false">IF(B51="","",INDEX(T_ID,Z51))</f>
        <v/>
      </c>
      <c r="D51" s="72" t="str">
        <f aca="false">IF(B51="","",INDEX(T_RUT,Z51)&amp;"")</f>
        <v/>
      </c>
      <c r="E51" s="72" t="str">
        <f aca="false">IF(B51="","",INDEX(T_NOMBRE,Z51)&amp;"")</f>
        <v/>
      </c>
      <c r="F51" s="72" t="str">
        <f aca="false">IF(B51="","",INDEX(T_CARGO,Z51)&amp;"")</f>
        <v/>
      </c>
      <c r="G51" s="72" t="str">
        <f aca="false">IF(B51="","",IFERROR(INDEX(C_TIPO,MATCH(C51&amp;"-P"&amp;MAX(1,COUNTIFS(C_ID,C51,C_DEFINE,"Sí",C_INICIO,"&lt;="&amp;EOMONTH(ENVIO_PER,0))),C_CLAVE,0))&amp;"","Sin contrato"))</f>
        <v/>
      </c>
      <c r="H51" s="71" t="str">
        <f aca="false">IF(B51="","",IFERROR(INDEX(C_SUELDO,MATCH(C51&amp;"-S"&amp;MAX(1,COUNTIFS(C_ID,C51,C_SUELDO,"&lt;&gt;",C_INICIO,"&lt;="&amp;EOMONTH(ENVIO_PER,0))),C_CLAVES,0)),0))</f>
        <v/>
      </c>
      <c r="I51" s="70" t="str">
        <f aca="false">IF(B51="","",TRIM(IF(AND(AB51&gt;=ENVIO_PER,AB51&lt;=EOMONTH(ENVIO_PER,0)),"Ingresa el día "&amp;DAY(AB51)&amp;". ","")&amp;IF(AND(AC51&gt;0,AC51&gt;=ENVIO_PER,AC51&lt;=EOMONTH(ENVIO_PER,0)),"Egresa el día "&amp;DAY(AC51)&amp;".","")))</f>
        <v/>
      </c>
      <c r="J51" s="70" t="str">
        <f aca="false">IF(B51="","",IF(COUNTIFS(C_ID,C51,C_INICIO,"&gt;="&amp;ENVIO_PER,C_INICIO,"&lt;="&amp;EOMONTH(ENVIO_PER,0))&gt;0,COUNTIFS(C_ID,C51,C_INICIO,"&gt;="&amp;ENVIO_PER,C_INICIO,"&lt;="&amp;EOMONTH(ENVIO_PER,0))&amp;" documento(s) nuevo(s): ver Contratos",""))</f>
        <v/>
      </c>
      <c r="K51" s="74" t="str">
        <f aca="false">IF(B51="","",IF(COUNTIF(N_CLAVE,AA51)&gt;0,SUMIFS(N_DIAS,N_CLAVE,AA51),AD51))</f>
        <v/>
      </c>
      <c r="L51" s="74" t="str">
        <f aca="false">IF(B51="","",SUMIFS(N_FALTAS,N_CLAVE,AA51))</f>
        <v/>
      </c>
      <c r="M51" s="74" t="str">
        <f aca="false">IF(B51="","",SUMIFS(N_LIC,N_CLAVE,AA51))</f>
        <v/>
      </c>
      <c r="N51" s="74" t="str">
        <f aca="false">IF(B51="","",SUMIFS(N_PCG,N_CLAVE,AA51))</f>
        <v/>
      </c>
      <c r="O51" s="74" t="str">
        <f aca="false">IF(B51="","",SUMIFS(N_PSG,N_CLAVE,AA51))</f>
        <v/>
      </c>
      <c r="P51" s="74" t="str">
        <f aca="false">IF(B51="","",SUMIFS(V_DIAS,V_ID,C51,V_MES,ENVIO_PER))</f>
        <v/>
      </c>
      <c r="Q51" s="73" t="str">
        <f aca="false">IF(B51="","",SUMIFS(N_ATRASO,N_CLAVE,AA51))</f>
        <v/>
      </c>
      <c r="R51" s="74" t="str">
        <f aca="false">IF(B51="","",SUMIFS(N_HE,N_CLAVE,AA51))</f>
        <v/>
      </c>
      <c r="S51" s="71" t="str">
        <f aca="false">IF(B51="","",SUMIFS(N_ANT,N_CLAVE,AA51))</f>
        <v/>
      </c>
      <c r="T51" s="71" t="str">
        <f aca="false">IF(B51="","",SUMIFS(N_BONO,N_CLAVE,AA51))</f>
        <v/>
      </c>
      <c r="U51" s="71" t="str">
        <f aca="false">IF(B51="","",SUMIFS(N_ONI,N_CLAVE,AA51))</f>
        <v/>
      </c>
      <c r="V51" s="71" t="str">
        <f aca="false">IF(B51="","",SUMIFS(N_DESC,N_CLAVE,AA51))</f>
        <v/>
      </c>
      <c r="W51" s="72" t="str">
        <f aca="false">IF(B51="","",IFERROR(INDEX(N_OBS,MATCH(AA51,N_CLAVE,0))&amp;"",""))</f>
        <v/>
      </c>
      <c r="X51" s="70" t="str">
        <f aca="false">IF(B51="","",IF(COUNTIF(N_CLAVE,AA51)&gt;0,"Sí","⚠ Sin registro"))</f>
        <v/>
      </c>
      <c r="Z51" s="81" t="str">
        <f aca="false">IF(B51="","",MATCH(B51,T_AUX,0))</f>
        <v/>
      </c>
      <c r="AA51" s="81" t="str">
        <f aca="false">IF(B51="","",C51&amp;"|"&amp;(YEAR(ENVIO_PER)*100+MONTH(ENVIO_PER)))</f>
        <v/>
      </c>
      <c r="AB51" s="81" t="str">
        <f aca="false">IF(B51="","",INDEX(T_INGRESO,Z51))</f>
        <v/>
      </c>
      <c r="AC51" s="81" t="str">
        <f aca="false">IF(B51="","",N(INDEX(T_EGRESO,Z51)))</f>
        <v/>
      </c>
      <c r="AD51" s="81" t="str">
        <f aca="false">IF(B51="","",IF(OR(AB51&gt;EOMONTH(ENVIO_PER,0),AND(AC51&gt;0,AC51&lt;ENVIO_PER)),0,IF(AND(AB51&lt;=ENVIO_PER,OR(AC51=0,AC51&gt;=EOMONTH(ENVIO_PER,0))),30,MIN(30,IF(AC51=0,EOMONTH(ENVIO_PER,0),MIN(AC51,EOMONTH(ENVIO_PER,0)))-MAX(ENVIO_PER,AB51)+1))))</f>
        <v/>
      </c>
    </row>
    <row r="52" customFormat="false" ht="15" hidden="false" customHeight="false" outlineLevel="0" collapsed="false">
      <c r="B52" s="72" t="str">
        <f aca="false">IF(43&lt;=MAX(T_AUX),43,"")</f>
        <v/>
      </c>
      <c r="C52" s="72" t="str">
        <f aca="false">IF(B52="","",INDEX(T_ID,Z52))</f>
        <v/>
      </c>
      <c r="D52" s="72" t="str">
        <f aca="false">IF(B52="","",INDEX(T_RUT,Z52)&amp;"")</f>
        <v/>
      </c>
      <c r="E52" s="72" t="str">
        <f aca="false">IF(B52="","",INDEX(T_NOMBRE,Z52)&amp;"")</f>
        <v/>
      </c>
      <c r="F52" s="72" t="str">
        <f aca="false">IF(B52="","",INDEX(T_CARGO,Z52)&amp;"")</f>
        <v/>
      </c>
      <c r="G52" s="72" t="str">
        <f aca="false">IF(B52="","",IFERROR(INDEX(C_TIPO,MATCH(C52&amp;"-P"&amp;MAX(1,COUNTIFS(C_ID,C52,C_DEFINE,"Sí",C_INICIO,"&lt;="&amp;EOMONTH(ENVIO_PER,0))),C_CLAVE,0))&amp;"","Sin contrato"))</f>
        <v/>
      </c>
      <c r="H52" s="71" t="str">
        <f aca="false">IF(B52="","",IFERROR(INDEX(C_SUELDO,MATCH(C52&amp;"-S"&amp;MAX(1,COUNTIFS(C_ID,C52,C_SUELDO,"&lt;&gt;",C_INICIO,"&lt;="&amp;EOMONTH(ENVIO_PER,0))),C_CLAVES,0)),0))</f>
        <v/>
      </c>
      <c r="I52" s="70" t="str">
        <f aca="false">IF(B52="","",TRIM(IF(AND(AB52&gt;=ENVIO_PER,AB52&lt;=EOMONTH(ENVIO_PER,0)),"Ingresa el día "&amp;DAY(AB52)&amp;". ","")&amp;IF(AND(AC52&gt;0,AC52&gt;=ENVIO_PER,AC52&lt;=EOMONTH(ENVIO_PER,0)),"Egresa el día "&amp;DAY(AC52)&amp;".","")))</f>
        <v/>
      </c>
      <c r="J52" s="70" t="str">
        <f aca="false">IF(B52="","",IF(COUNTIFS(C_ID,C52,C_INICIO,"&gt;="&amp;ENVIO_PER,C_INICIO,"&lt;="&amp;EOMONTH(ENVIO_PER,0))&gt;0,COUNTIFS(C_ID,C52,C_INICIO,"&gt;="&amp;ENVIO_PER,C_INICIO,"&lt;="&amp;EOMONTH(ENVIO_PER,0))&amp;" documento(s) nuevo(s): ver Contratos",""))</f>
        <v/>
      </c>
      <c r="K52" s="74" t="str">
        <f aca="false">IF(B52="","",IF(COUNTIF(N_CLAVE,AA52)&gt;0,SUMIFS(N_DIAS,N_CLAVE,AA52),AD52))</f>
        <v/>
      </c>
      <c r="L52" s="74" t="str">
        <f aca="false">IF(B52="","",SUMIFS(N_FALTAS,N_CLAVE,AA52))</f>
        <v/>
      </c>
      <c r="M52" s="74" t="str">
        <f aca="false">IF(B52="","",SUMIFS(N_LIC,N_CLAVE,AA52))</f>
        <v/>
      </c>
      <c r="N52" s="74" t="str">
        <f aca="false">IF(B52="","",SUMIFS(N_PCG,N_CLAVE,AA52))</f>
        <v/>
      </c>
      <c r="O52" s="74" t="str">
        <f aca="false">IF(B52="","",SUMIFS(N_PSG,N_CLAVE,AA52))</f>
        <v/>
      </c>
      <c r="P52" s="74" t="str">
        <f aca="false">IF(B52="","",SUMIFS(V_DIAS,V_ID,C52,V_MES,ENVIO_PER))</f>
        <v/>
      </c>
      <c r="Q52" s="73" t="str">
        <f aca="false">IF(B52="","",SUMIFS(N_ATRASO,N_CLAVE,AA52))</f>
        <v/>
      </c>
      <c r="R52" s="74" t="str">
        <f aca="false">IF(B52="","",SUMIFS(N_HE,N_CLAVE,AA52))</f>
        <v/>
      </c>
      <c r="S52" s="71" t="str">
        <f aca="false">IF(B52="","",SUMIFS(N_ANT,N_CLAVE,AA52))</f>
        <v/>
      </c>
      <c r="T52" s="71" t="str">
        <f aca="false">IF(B52="","",SUMIFS(N_BONO,N_CLAVE,AA52))</f>
        <v/>
      </c>
      <c r="U52" s="71" t="str">
        <f aca="false">IF(B52="","",SUMIFS(N_ONI,N_CLAVE,AA52))</f>
        <v/>
      </c>
      <c r="V52" s="71" t="str">
        <f aca="false">IF(B52="","",SUMIFS(N_DESC,N_CLAVE,AA52))</f>
        <v/>
      </c>
      <c r="W52" s="72" t="str">
        <f aca="false">IF(B52="","",IFERROR(INDEX(N_OBS,MATCH(AA52,N_CLAVE,0))&amp;"",""))</f>
        <v/>
      </c>
      <c r="X52" s="70" t="str">
        <f aca="false">IF(B52="","",IF(COUNTIF(N_CLAVE,AA52)&gt;0,"Sí","⚠ Sin registro"))</f>
        <v/>
      </c>
      <c r="Z52" s="81" t="str">
        <f aca="false">IF(B52="","",MATCH(B52,T_AUX,0))</f>
        <v/>
      </c>
      <c r="AA52" s="81" t="str">
        <f aca="false">IF(B52="","",C52&amp;"|"&amp;(YEAR(ENVIO_PER)*100+MONTH(ENVIO_PER)))</f>
        <v/>
      </c>
      <c r="AB52" s="81" t="str">
        <f aca="false">IF(B52="","",INDEX(T_INGRESO,Z52))</f>
        <v/>
      </c>
      <c r="AC52" s="81" t="str">
        <f aca="false">IF(B52="","",N(INDEX(T_EGRESO,Z52)))</f>
        <v/>
      </c>
      <c r="AD52" s="81" t="str">
        <f aca="false">IF(B52="","",IF(OR(AB52&gt;EOMONTH(ENVIO_PER,0),AND(AC52&gt;0,AC52&lt;ENVIO_PER)),0,IF(AND(AB52&lt;=ENVIO_PER,OR(AC52=0,AC52&gt;=EOMONTH(ENVIO_PER,0))),30,MIN(30,IF(AC52=0,EOMONTH(ENVIO_PER,0),MIN(AC52,EOMONTH(ENVIO_PER,0)))-MAX(ENVIO_PER,AB52)+1))))</f>
        <v/>
      </c>
    </row>
    <row r="53" customFormat="false" ht="15" hidden="false" customHeight="false" outlineLevel="0" collapsed="false">
      <c r="B53" s="72" t="str">
        <f aca="false">IF(44&lt;=MAX(T_AUX),44,"")</f>
        <v/>
      </c>
      <c r="C53" s="72" t="str">
        <f aca="false">IF(B53="","",INDEX(T_ID,Z53))</f>
        <v/>
      </c>
      <c r="D53" s="72" t="str">
        <f aca="false">IF(B53="","",INDEX(T_RUT,Z53)&amp;"")</f>
        <v/>
      </c>
      <c r="E53" s="72" t="str">
        <f aca="false">IF(B53="","",INDEX(T_NOMBRE,Z53)&amp;"")</f>
        <v/>
      </c>
      <c r="F53" s="72" t="str">
        <f aca="false">IF(B53="","",INDEX(T_CARGO,Z53)&amp;"")</f>
        <v/>
      </c>
      <c r="G53" s="72" t="str">
        <f aca="false">IF(B53="","",IFERROR(INDEX(C_TIPO,MATCH(C53&amp;"-P"&amp;MAX(1,COUNTIFS(C_ID,C53,C_DEFINE,"Sí",C_INICIO,"&lt;="&amp;EOMONTH(ENVIO_PER,0))),C_CLAVE,0))&amp;"","Sin contrato"))</f>
        <v/>
      </c>
      <c r="H53" s="71" t="str">
        <f aca="false">IF(B53="","",IFERROR(INDEX(C_SUELDO,MATCH(C53&amp;"-S"&amp;MAX(1,COUNTIFS(C_ID,C53,C_SUELDO,"&lt;&gt;",C_INICIO,"&lt;="&amp;EOMONTH(ENVIO_PER,0))),C_CLAVES,0)),0))</f>
        <v/>
      </c>
      <c r="I53" s="70" t="str">
        <f aca="false">IF(B53="","",TRIM(IF(AND(AB53&gt;=ENVIO_PER,AB53&lt;=EOMONTH(ENVIO_PER,0)),"Ingresa el día "&amp;DAY(AB53)&amp;". ","")&amp;IF(AND(AC53&gt;0,AC53&gt;=ENVIO_PER,AC53&lt;=EOMONTH(ENVIO_PER,0)),"Egresa el día "&amp;DAY(AC53)&amp;".","")))</f>
        <v/>
      </c>
      <c r="J53" s="70" t="str">
        <f aca="false">IF(B53="","",IF(COUNTIFS(C_ID,C53,C_INICIO,"&gt;="&amp;ENVIO_PER,C_INICIO,"&lt;="&amp;EOMONTH(ENVIO_PER,0))&gt;0,COUNTIFS(C_ID,C53,C_INICIO,"&gt;="&amp;ENVIO_PER,C_INICIO,"&lt;="&amp;EOMONTH(ENVIO_PER,0))&amp;" documento(s) nuevo(s): ver Contratos",""))</f>
        <v/>
      </c>
      <c r="K53" s="74" t="str">
        <f aca="false">IF(B53="","",IF(COUNTIF(N_CLAVE,AA53)&gt;0,SUMIFS(N_DIAS,N_CLAVE,AA53),AD53))</f>
        <v/>
      </c>
      <c r="L53" s="74" t="str">
        <f aca="false">IF(B53="","",SUMIFS(N_FALTAS,N_CLAVE,AA53))</f>
        <v/>
      </c>
      <c r="M53" s="74" t="str">
        <f aca="false">IF(B53="","",SUMIFS(N_LIC,N_CLAVE,AA53))</f>
        <v/>
      </c>
      <c r="N53" s="74" t="str">
        <f aca="false">IF(B53="","",SUMIFS(N_PCG,N_CLAVE,AA53))</f>
        <v/>
      </c>
      <c r="O53" s="74" t="str">
        <f aca="false">IF(B53="","",SUMIFS(N_PSG,N_CLAVE,AA53))</f>
        <v/>
      </c>
      <c r="P53" s="74" t="str">
        <f aca="false">IF(B53="","",SUMIFS(V_DIAS,V_ID,C53,V_MES,ENVIO_PER))</f>
        <v/>
      </c>
      <c r="Q53" s="73" t="str">
        <f aca="false">IF(B53="","",SUMIFS(N_ATRASO,N_CLAVE,AA53))</f>
        <v/>
      </c>
      <c r="R53" s="74" t="str">
        <f aca="false">IF(B53="","",SUMIFS(N_HE,N_CLAVE,AA53))</f>
        <v/>
      </c>
      <c r="S53" s="71" t="str">
        <f aca="false">IF(B53="","",SUMIFS(N_ANT,N_CLAVE,AA53))</f>
        <v/>
      </c>
      <c r="T53" s="71" t="str">
        <f aca="false">IF(B53="","",SUMIFS(N_BONO,N_CLAVE,AA53))</f>
        <v/>
      </c>
      <c r="U53" s="71" t="str">
        <f aca="false">IF(B53="","",SUMIFS(N_ONI,N_CLAVE,AA53))</f>
        <v/>
      </c>
      <c r="V53" s="71" t="str">
        <f aca="false">IF(B53="","",SUMIFS(N_DESC,N_CLAVE,AA53))</f>
        <v/>
      </c>
      <c r="W53" s="72" t="str">
        <f aca="false">IF(B53="","",IFERROR(INDEX(N_OBS,MATCH(AA53,N_CLAVE,0))&amp;"",""))</f>
        <v/>
      </c>
      <c r="X53" s="70" t="str">
        <f aca="false">IF(B53="","",IF(COUNTIF(N_CLAVE,AA53)&gt;0,"Sí","⚠ Sin registro"))</f>
        <v/>
      </c>
      <c r="Z53" s="81" t="str">
        <f aca="false">IF(B53="","",MATCH(B53,T_AUX,0))</f>
        <v/>
      </c>
      <c r="AA53" s="81" t="str">
        <f aca="false">IF(B53="","",C53&amp;"|"&amp;(YEAR(ENVIO_PER)*100+MONTH(ENVIO_PER)))</f>
        <v/>
      </c>
      <c r="AB53" s="81" t="str">
        <f aca="false">IF(B53="","",INDEX(T_INGRESO,Z53))</f>
        <v/>
      </c>
      <c r="AC53" s="81" t="str">
        <f aca="false">IF(B53="","",N(INDEX(T_EGRESO,Z53)))</f>
        <v/>
      </c>
      <c r="AD53" s="81" t="str">
        <f aca="false">IF(B53="","",IF(OR(AB53&gt;EOMONTH(ENVIO_PER,0),AND(AC53&gt;0,AC53&lt;ENVIO_PER)),0,IF(AND(AB53&lt;=ENVIO_PER,OR(AC53=0,AC53&gt;=EOMONTH(ENVIO_PER,0))),30,MIN(30,IF(AC53=0,EOMONTH(ENVIO_PER,0),MIN(AC53,EOMONTH(ENVIO_PER,0)))-MAX(ENVIO_PER,AB53)+1))))</f>
        <v/>
      </c>
    </row>
    <row r="54" customFormat="false" ht="15" hidden="false" customHeight="false" outlineLevel="0" collapsed="false">
      <c r="B54" s="72" t="str">
        <f aca="false">IF(45&lt;=MAX(T_AUX),45,"")</f>
        <v/>
      </c>
      <c r="C54" s="72" t="str">
        <f aca="false">IF(B54="","",INDEX(T_ID,Z54))</f>
        <v/>
      </c>
      <c r="D54" s="72" t="str">
        <f aca="false">IF(B54="","",INDEX(T_RUT,Z54)&amp;"")</f>
        <v/>
      </c>
      <c r="E54" s="72" t="str">
        <f aca="false">IF(B54="","",INDEX(T_NOMBRE,Z54)&amp;"")</f>
        <v/>
      </c>
      <c r="F54" s="72" t="str">
        <f aca="false">IF(B54="","",INDEX(T_CARGO,Z54)&amp;"")</f>
        <v/>
      </c>
      <c r="G54" s="72" t="str">
        <f aca="false">IF(B54="","",IFERROR(INDEX(C_TIPO,MATCH(C54&amp;"-P"&amp;MAX(1,COUNTIFS(C_ID,C54,C_DEFINE,"Sí",C_INICIO,"&lt;="&amp;EOMONTH(ENVIO_PER,0))),C_CLAVE,0))&amp;"","Sin contrato"))</f>
        <v/>
      </c>
      <c r="H54" s="71" t="str">
        <f aca="false">IF(B54="","",IFERROR(INDEX(C_SUELDO,MATCH(C54&amp;"-S"&amp;MAX(1,COUNTIFS(C_ID,C54,C_SUELDO,"&lt;&gt;",C_INICIO,"&lt;="&amp;EOMONTH(ENVIO_PER,0))),C_CLAVES,0)),0))</f>
        <v/>
      </c>
      <c r="I54" s="70" t="str">
        <f aca="false">IF(B54="","",TRIM(IF(AND(AB54&gt;=ENVIO_PER,AB54&lt;=EOMONTH(ENVIO_PER,0)),"Ingresa el día "&amp;DAY(AB54)&amp;". ","")&amp;IF(AND(AC54&gt;0,AC54&gt;=ENVIO_PER,AC54&lt;=EOMONTH(ENVIO_PER,0)),"Egresa el día "&amp;DAY(AC54)&amp;".","")))</f>
        <v/>
      </c>
      <c r="J54" s="70" t="str">
        <f aca="false">IF(B54="","",IF(COUNTIFS(C_ID,C54,C_INICIO,"&gt;="&amp;ENVIO_PER,C_INICIO,"&lt;="&amp;EOMONTH(ENVIO_PER,0))&gt;0,COUNTIFS(C_ID,C54,C_INICIO,"&gt;="&amp;ENVIO_PER,C_INICIO,"&lt;="&amp;EOMONTH(ENVIO_PER,0))&amp;" documento(s) nuevo(s): ver Contratos",""))</f>
        <v/>
      </c>
      <c r="K54" s="74" t="str">
        <f aca="false">IF(B54="","",IF(COUNTIF(N_CLAVE,AA54)&gt;0,SUMIFS(N_DIAS,N_CLAVE,AA54),AD54))</f>
        <v/>
      </c>
      <c r="L54" s="74" t="str">
        <f aca="false">IF(B54="","",SUMIFS(N_FALTAS,N_CLAVE,AA54))</f>
        <v/>
      </c>
      <c r="M54" s="74" t="str">
        <f aca="false">IF(B54="","",SUMIFS(N_LIC,N_CLAVE,AA54))</f>
        <v/>
      </c>
      <c r="N54" s="74" t="str">
        <f aca="false">IF(B54="","",SUMIFS(N_PCG,N_CLAVE,AA54))</f>
        <v/>
      </c>
      <c r="O54" s="74" t="str">
        <f aca="false">IF(B54="","",SUMIFS(N_PSG,N_CLAVE,AA54))</f>
        <v/>
      </c>
      <c r="P54" s="74" t="str">
        <f aca="false">IF(B54="","",SUMIFS(V_DIAS,V_ID,C54,V_MES,ENVIO_PER))</f>
        <v/>
      </c>
      <c r="Q54" s="73" t="str">
        <f aca="false">IF(B54="","",SUMIFS(N_ATRASO,N_CLAVE,AA54))</f>
        <v/>
      </c>
      <c r="R54" s="74" t="str">
        <f aca="false">IF(B54="","",SUMIFS(N_HE,N_CLAVE,AA54))</f>
        <v/>
      </c>
      <c r="S54" s="71" t="str">
        <f aca="false">IF(B54="","",SUMIFS(N_ANT,N_CLAVE,AA54))</f>
        <v/>
      </c>
      <c r="T54" s="71" t="str">
        <f aca="false">IF(B54="","",SUMIFS(N_BONO,N_CLAVE,AA54))</f>
        <v/>
      </c>
      <c r="U54" s="71" t="str">
        <f aca="false">IF(B54="","",SUMIFS(N_ONI,N_CLAVE,AA54))</f>
        <v/>
      </c>
      <c r="V54" s="71" t="str">
        <f aca="false">IF(B54="","",SUMIFS(N_DESC,N_CLAVE,AA54))</f>
        <v/>
      </c>
      <c r="W54" s="72" t="str">
        <f aca="false">IF(B54="","",IFERROR(INDEX(N_OBS,MATCH(AA54,N_CLAVE,0))&amp;"",""))</f>
        <v/>
      </c>
      <c r="X54" s="70" t="str">
        <f aca="false">IF(B54="","",IF(COUNTIF(N_CLAVE,AA54)&gt;0,"Sí","⚠ Sin registro"))</f>
        <v/>
      </c>
      <c r="Z54" s="81" t="str">
        <f aca="false">IF(B54="","",MATCH(B54,T_AUX,0))</f>
        <v/>
      </c>
      <c r="AA54" s="81" t="str">
        <f aca="false">IF(B54="","",C54&amp;"|"&amp;(YEAR(ENVIO_PER)*100+MONTH(ENVIO_PER)))</f>
        <v/>
      </c>
      <c r="AB54" s="81" t="str">
        <f aca="false">IF(B54="","",INDEX(T_INGRESO,Z54))</f>
        <v/>
      </c>
      <c r="AC54" s="81" t="str">
        <f aca="false">IF(B54="","",N(INDEX(T_EGRESO,Z54)))</f>
        <v/>
      </c>
      <c r="AD54" s="81" t="str">
        <f aca="false">IF(B54="","",IF(OR(AB54&gt;EOMONTH(ENVIO_PER,0),AND(AC54&gt;0,AC54&lt;ENVIO_PER)),0,IF(AND(AB54&lt;=ENVIO_PER,OR(AC54=0,AC54&gt;=EOMONTH(ENVIO_PER,0))),30,MIN(30,IF(AC54=0,EOMONTH(ENVIO_PER,0),MIN(AC54,EOMONTH(ENVIO_PER,0)))-MAX(ENVIO_PER,AB54)+1))))</f>
        <v/>
      </c>
    </row>
    <row r="55" customFormat="false" ht="15" hidden="false" customHeight="false" outlineLevel="0" collapsed="false">
      <c r="B55" s="72" t="str">
        <f aca="false">IF(46&lt;=MAX(T_AUX),46,"")</f>
        <v/>
      </c>
      <c r="C55" s="72" t="str">
        <f aca="false">IF(B55="","",INDEX(T_ID,Z55))</f>
        <v/>
      </c>
      <c r="D55" s="72" t="str">
        <f aca="false">IF(B55="","",INDEX(T_RUT,Z55)&amp;"")</f>
        <v/>
      </c>
      <c r="E55" s="72" t="str">
        <f aca="false">IF(B55="","",INDEX(T_NOMBRE,Z55)&amp;"")</f>
        <v/>
      </c>
      <c r="F55" s="72" t="str">
        <f aca="false">IF(B55="","",INDEX(T_CARGO,Z55)&amp;"")</f>
        <v/>
      </c>
      <c r="G55" s="72" t="str">
        <f aca="false">IF(B55="","",IFERROR(INDEX(C_TIPO,MATCH(C55&amp;"-P"&amp;MAX(1,COUNTIFS(C_ID,C55,C_DEFINE,"Sí",C_INICIO,"&lt;="&amp;EOMONTH(ENVIO_PER,0))),C_CLAVE,0))&amp;"","Sin contrato"))</f>
        <v/>
      </c>
      <c r="H55" s="71" t="str">
        <f aca="false">IF(B55="","",IFERROR(INDEX(C_SUELDO,MATCH(C55&amp;"-S"&amp;MAX(1,COUNTIFS(C_ID,C55,C_SUELDO,"&lt;&gt;",C_INICIO,"&lt;="&amp;EOMONTH(ENVIO_PER,0))),C_CLAVES,0)),0))</f>
        <v/>
      </c>
      <c r="I55" s="70" t="str">
        <f aca="false">IF(B55="","",TRIM(IF(AND(AB55&gt;=ENVIO_PER,AB55&lt;=EOMONTH(ENVIO_PER,0)),"Ingresa el día "&amp;DAY(AB55)&amp;". ","")&amp;IF(AND(AC55&gt;0,AC55&gt;=ENVIO_PER,AC55&lt;=EOMONTH(ENVIO_PER,0)),"Egresa el día "&amp;DAY(AC55)&amp;".","")))</f>
        <v/>
      </c>
      <c r="J55" s="70" t="str">
        <f aca="false">IF(B55="","",IF(COUNTIFS(C_ID,C55,C_INICIO,"&gt;="&amp;ENVIO_PER,C_INICIO,"&lt;="&amp;EOMONTH(ENVIO_PER,0))&gt;0,COUNTIFS(C_ID,C55,C_INICIO,"&gt;="&amp;ENVIO_PER,C_INICIO,"&lt;="&amp;EOMONTH(ENVIO_PER,0))&amp;" documento(s) nuevo(s): ver Contratos",""))</f>
        <v/>
      </c>
      <c r="K55" s="74" t="str">
        <f aca="false">IF(B55="","",IF(COUNTIF(N_CLAVE,AA55)&gt;0,SUMIFS(N_DIAS,N_CLAVE,AA55),AD55))</f>
        <v/>
      </c>
      <c r="L55" s="74" t="str">
        <f aca="false">IF(B55="","",SUMIFS(N_FALTAS,N_CLAVE,AA55))</f>
        <v/>
      </c>
      <c r="M55" s="74" t="str">
        <f aca="false">IF(B55="","",SUMIFS(N_LIC,N_CLAVE,AA55))</f>
        <v/>
      </c>
      <c r="N55" s="74" t="str">
        <f aca="false">IF(B55="","",SUMIFS(N_PCG,N_CLAVE,AA55))</f>
        <v/>
      </c>
      <c r="O55" s="74" t="str">
        <f aca="false">IF(B55="","",SUMIFS(N_PSG,N_CLAVE,AA55))</f>
        <v/>
      </c>
      <c r="P55" s="74" t="str">
        <f aca="false">IF(B55="","",SUMIFS(V_DIAS,V_ID,C55,V_MES,ENVIO_PER))</f>
        <v/>
      </c>
      <c r="Q55" s="73" t="str">
        <f aca="false">IF(B55="","",SUMIFS(N_ATRASO,N_CLAVE,AA55))</f>
        <v/>
      </c>
      <c r="R55" s="74" t="str">
        <f aca="false">IF(B55="","",SUMIFS(N_HE,N_CLAVE,AA55))</f>
        <v/>
      </c>
      <c r="S55" s="71" t="str">
        <f aca="false">IF(B55="","",SUMIFS(N_ANT,N_CLAVE,AA55))</f>
        <v/>
      </c>
      <c r="T55" s="71" t="str">
        <f aca="false">IF(B55="","",SUMIFS(N_BONO,N_CLAVE,AA55))</f>
        <v/>
      </c>
      <c r="U55" s="71" t="str">
        <f aca="false">IF(B55="","",SUMIFS(N_ONI,N_CLAVE,AA55))</f>
        <v/>
      </c>
      <c r="V55" s="71" t="str">
        <f aca="false">IF(B55="","",SUMIFS(N_DESC,N_CLAVE,AA55))</f>
        <v/>
      </c>
      <c r="W55" s="72" t="str">
        <f aca="false">IF(B55="","",IFERROR(INDEX(N_OBS,MATCH(AA55,N_CLAVE,0))&amp;"",""))</f>
        <v/>
      </c>
      <c r="X55" s="70" t="str">
        <f aca="false">IF(B55="","",IF(COUNTIF(N_CLAVE,AA55)&gt;0,"Sí","⚠ Sin registro"))</f>
        <v/>
      </c>
      <c r="Z55" s="81" t="str">
        <f aca="false">IF(B55="","",MATCH(B55,T_AUX,0))</f>
        <v/>
      </c>
      <c r="AA55" s="81" t="str">
        <f aca="false">IF(B55="","",C55&amp;"|"&amp;(YEAR(ENVIO_PER)*100+MONTH(ENVIO_PER)))</f>
        <v/>
      </c>
      <c r="AB55" s="81" t="str">
        <f aca="false">IF(B55="","",INDEX(T_INGRESO,Z55))</f>
        <v/>
      </c>
      <c r="AC55" s="81" t="str">
        <f aca="false">IF(B55="","",N(INDEX(T_EGRESO,Z55)))</f>
        <v/>
      </c>
      <c r="AD55" s="81" t="str">
        <f aca="false">IF(B55="","",IF(OR(AB55&gt;EOMONTH(ENVIO_PER,0),AND(AC55&gt;0,AC55&lt;ENVIO_PER)),0,IF(AND(AB55&lt;=ENVIO_PER,OR(AC55=0,AC55&gt;=EOMONTH(ENVIO_PER,0))),30,MIN(30,IF(AC55=0,EOMONTH(ENVIO_PER,0),MIN(AC55,EOMONTH(ENVIO_PER,0)))-MAX(ENVIO_PER,AB55)+1))))</f>
        <v/>
      </c>
    </row>
    <row r="56" customFormat="false" ht="15" hidden="false" customHeight="false" outlineLevel="0" collapsed="false">
      <c r="B56" s="72" t="str">
        <f aca="false">IF(47&lt;=MAX(T_AUX),47,"")</f>
        <v/>
      </c>
      <c r="C56" s="72" t="str">
        <f aca="false">IF(B56="","",INDEX(T_ID,Z56))</f>
        <v/>
      </c>
      <c r="D56" s="72" t="str">
        <f aca="false">IF(B56="","",INDEX(T_RUT,Z56)&amp;"")</f>
        <v/>
      </c>
      <c r="E56" s="72" t="str">
        <f aca="false">IF(B56="","",INDEX(T_NOMBRE,Z56)&amp;"")</f>
        <v/>
      </c>
      <c r="F56" s="72" t="str">
        <f aca="false">IF(B56="","",INDEX(T_CARGO,Z56)&amp;"")</f>
        <v/>
      </c>
      <c r="G56" s="72" t="str">
        <f aca="false">IF(B56="","",IFERROR(INDEX(C_TIPO,MATCH(C56&amp;"-P"&amp;MAX(1,COUNTIFS(C_ID,C56,C_DEFINE,"Sí",C_INICIO,"&lt;="&amp;EOMONTH(ENVIO_PER,0))),C_CLAVE,0))&amp;"","Sin contrato"))</f>
        <v/>
      </c>
      <c r="H56" s="71" t="str">
        <f aca="false">IF(B56="","",IFERROR(INDEX(C_SUELDO,MATCH(C56&amp;"-S"&amp;MAX(1,COUNTIFS(C_ID,C56,C_SUELDO,"&lt;&gt;",C_INICIO,"&lt;="&amp;EOMONTH(ENVIO_PER,0))),C_CLAVES,0)),0))</f>
        <v/>
      </c>
      <c r="I56" s="70" t="str">
        <f aca="false">IF(B56="","",TRIM(IF(AND(AB56&gt;=ENVIO_PER,AB56&lt;=EOMONTH(ENVIO_PER,0)),"Ingresa el día "&amp;DAY(AB56)&amp;". ","")&amp;IF(AND(AC56&gt;0,AC56&gt;=ENVIO_PER,AC56&lt;=EOMONTH(ENVIO_PER,0)),"Egresa el día "&amp;DAY(AC56)&amp;".","")))</f>
        <v/>
      </c>
      <c r="J56" s="70" t="str">
        <f aca="false">IF(B56="","",IF(COUNTIFS(C_ID,C56,C_INICIO,"&gt;="&amp;ENVIO_PER,C_INICIO,"&lt;="&amp;EOMONTH(ENVIO_PER,0))&gt;0,COUNTIFS(C_ID,C56,C_INICIO,"&gt;="&amp;ENVIO_PER,C_INICIO,"&lt;="&amp;EOMONTH(ENVIO_PER,0))&amp;" documento(s) nuevo(s): ver Contratos",""))</f>
        <v/>
      </c>
      <c r="K56" s="74" t="str">
        <f aca="false">IF(B56="","",IF(COUNTIF(N_CLAVE,AA56)&gt;0,SUMIFS(N_DIAS,N_CLAVE,AA56),AD56))</f>
        <v/>
      </c>
      <c r="L56" s="74" t="str">
        <f aca="false">IF(B56="","",SUMIFS(N_FALTAS,N_CLAVE,AA56))</f>
        <v/>
      </c>
      <c r="M56" s="74" t="str">
        <f aca="false">IF(B56="","",SUMIFS(N_LIC,N_CLAVE,AA56))</f>
        <v/>
      </c>
      <c r="N56" s="74" t="str">
        <f aca="false">IF(B56="","",SUMIFS(N_PCG,N_CLAVE,AA56))</f>
        <v/>
      </c>
      <c r="O56" s="74" t="str">
        <f aca="false">IF(B56="","",SUMIFS(N_PSG,N_CLAVE,AA56))</f>
        <v/>
      </c>
      <c r="P56" s="74" t="str">
        <f aca="false">IF(B56="","",SUMIFS(V_DIAS,V_ID,C56,V_MES,ENVIO_PER))</f>
        <v/>
      </c>
      <c r="Q56" s="73" t="str">
        <f aca="false">IF(B56="","",SUMIFS(N_ATRASO,N_CLAVE,AA56))</f>
        <v/>
      </c>
      <c r="R56" s="74" t="str">
        <f aca="false">IF(B56="","",SUMIFS(N_HE,N_CLAVE,AA56))</f>
        <v/>
      </c>
      <c r="S56" s="71" t="str">
        <f aca="false">IF(B56="","",SUMIFS(N_ANT,N_CLAVE,AA56))</f>
        <v/>
      </c>
      <c r="T56" s="71" t="str">
        <f aca="false">IF(B56="","",SUMIFS(N_BONO,N_CLAVE,AA56))</f>
        <v/>
      </c>
      <c r="U56" s="71" t="str">
        <f aca="false">IF(B56="","",SUMIFS(N_ONI,N_CLAVE,AA56))</f>
        <v/>
      </c>
      <c r="V56" s="71" t="str">
        <f aca="false">IF(B56="","",SUMIFS(N_DESC,N_CLAVE,AA56))</f>
        <v/>
      </c>
      <c r="W56" s="72" t="str">
        <f aca="false">IF(B56="","",IFERROR(INDEX(N_OBS,MATCH(AA56,N_CLAVE,0))&amp;"",""))</f>
        <v/>
      </c>
      <c r="X56" s="70" t="str">
        <f aca="false">IF(B56="","",IF(COUNTIF(N_CLAVE,AA56)&gt;0,"Sí","⚠ Sin registro"))</f>
        <v/>
      </c>
      <c r="Z56" s="81" t="str">
        <f aca="false">IF(B56="","",MATCH(B56,T_AUX,0))</f>
        <v/>
      </c>
      <c r="AA56" s="81" t="str">
        <f aca="false">IF(B56="","",C56&amp;"|"&amp;(YEAR(ENVIO_PER)*100+MONTH(ENVIO_PER)))</f>
        <v/>
      </c>
      <c r="AB56" s="81" t="str">
        <f aca="false">IF(B56="","",INDEX(T_INGRESO,Z56))</f>
        <v/>
      </c>
      <c r="AC56" s="81" t="str">
        <f aca="false">IF(B56="","",N(INDEX(T_EGRESO,Z56)))</f>
        <v/>
      </c>
      <c r="AD56" s="81" t="str">
        <f aca="false">IF(B56="","",IF(OR(AB56&gt;EOMONTH(ENVIO_PER,0),AND(AC56&gt;0,AC56&lt;ENVIO_PER)),0,IF(AND(AB56&lt;=ENVIO_PER,OR(AC56=0,AC56&gt;=EOMONTH(ENVIO_PER,0))),30,MIN(30,IF(AC56=0,EOMONTH(ENVIO_PER,0),MIN(AC56,EOMONTH(ENVIO_PER,0)))-MAX(ENVIO_PER,AB56)+1))))</f>
        <v/>
      </c>
    </row>
    <row r="57" customFormat="false" ht="15" hidden="false" customHeight="false" outlineLevel="0" collapsed="false">
      <c r="B57" s="72" t="str">
        <f aca="false">IF(48&lt;=MAX(T_AUX),48,"")</f>
        <v/>
      </c>
      <c r="C57" s="72" t="str">
        <f aca="false">IF(B57="","",INDEX(T_ID,Z57))</f>
        <v/>
      </c>
      <c r="D57" s="72" t="str">
        <f aca="false">IF(B57="","",INDEX(T_RUT,Z57)&amp;"")</f>
        <v/>
      </c>
      <c r="E57" s="72" t="str">
        <f aca="false">IF(B57="","",INDEX(T_NOMBRE,Z57)&amp;"")</f>
        <v/>
      </c>
      <c r="F57" s="72" t="str">
        <f aca="false">IF(B57="","",INDEX(T_CARGO,Z57)&amp;"")</f>
        <v/>
      </c>
      <c r="G57" s="72" t="str">
        <f aca="false">IF(B57="","",IFERROR(INDEX(C_TIPO,MATCH(C57&amp;"-P"&amp;MAX(1,COUNTIFS(C_ID,C57,C_DEFINE,"Sí",C_INICIO,"&lt;="&amp;EOMONTH(ENVIO_PER,0))),C_CLAVE,0))&amp;"","Sin contrato"))</f>
        <v/>
      </c>
      <c r="H57" s="71" t="str">
        <f aca="false">IF(B57="","",IFERROR(INDEX(C_SUELDO,MATCH(C57&amp;"-S"&amp;MAX(1,COUNTIFS(C_ID,C57,C_SUELDO,"&lt;&gt;",C_INICIO,"&lt;="&amp;EOMONTH(ENVIO_PER,0))),C_CLAVES,0)),0))</f>
        <v/>
      </c>
      <c r="I57" s="70" t="str">
        <f aca="false">IF(B57="","",TRIM(IF(AND(AB57&gt;=ENVIO_PER,AB57&lt;=EOMONTH(ENVIO_PER,0)),"Ingresa el día "&amp;DAY(AB57)&amp;". ","")&amp;IF(AND(AC57&gt;0,AC57&gt;=ENVIO_PER,AC57&lt;=EOMONTH(ENVIO_PER,0)),"Egresa el día "&amp;DAY(AC57)&amp;".","")))</f>
        <v/>
      </c>
      <c r="J57" s="70" t="str">
        <f aca="false">IF(B57="","",IF(COUNTIFS(C_ID,C57,C_INICIO,"&gt;="&amp;ENVIO_PER,C_INICIO,"&lt;="&amp;EOMONTH(ENVIO_PER,0))&gt;0,COUNTIFS(C_ID,C57,C_INICIO,"&gt;="&amp;ENVIO_PER,C_INICIO,"&lt;="&amp;EOMONTH(ENVIO_PER,0))&amp;" documento(s) nuevo(s): ver Contratos",""))</f>
        <v/>
      </c>
      <c r="K57" s="74" t="str">
        <f aca="false">IF(B57="","",IF(COUNTIF(N_CLAVE,AA57)&gt;0,SUMIFS(N_DIAS,N_CLAVE,AA57),AD57))</f>
        <v/>
      </c>
      <c r="L57" s="74" t="str">
        <f aca="false">IF(B57="","",SUMIFS(N_FALTAS,N_CLAVE,AA57))</f>
        <v/>
      </c>
      <c r="M57" s="74" t="str">
        <f aca="false">IF(B57="","",SUMIFS(N_LIC,N_CLAVE,AA57))</f>
        <v/>
      </c>
      <c r="N57" s="74" t="str">
        <f aca="false">IF(B57="","",SUMIFS(N_PCG,N_CLAVE,AA57))</f>
        <v/>
      </c>
      <c r="O57" s="74" t="str">
        <f aca="false">IF(B57="","",SUMIFS(N_PSG,N_CLAVE,AA57))</f>
        <v/>
      </c>
      <c r="P57" s="74" t="str">
        <f aca="false">IF(B57="","",SUMIFS(V_DIAS,V_ID,C57,V_MES,ENVIO_PER))</f>
        <v/>
      </c>
      <c r="Q57" s="73" t="str">
        <f aca="false">IF(B57="","",SUMIFS(N_ATRASO,N_CLAVE,AA57))</f>
        <v/>
      </c>
      <c r="R57" s="74" t="str">
        <f aca="false">IF(B57="","",SUMIFS(N_HE,N_CLAVE,AA57))</f>
        <v/>
      </c>
      <c r="S57" s="71" t="str">
        <f aca="false">IF(B57="","",SUMIFS(N_ANT,N_CLAVE,AA57))</f>
        <v/>
      </c>
      <c r="T57" s="71" t="str">
        <f aca="false">IF(B57="","",SUMIFS(N_BONO,N_CLAVE,AA57))</f>
        <v/>
      </c>
      <c r="U57" s="71" t="str">
        <f aca="false">IF(B57="","",SUMIFS(N_ONI,N_CLAVE,AA57))</f>
        <v/>
      </c>
      <c r="V57" s="71" t="str">
        <f aca="false">IF(B57="","",SUMIFS(N_DESC,N_CLAVE,AA57))</f>
        <v/>
      </c>
      <c r="W57" s="72" t="str">
        <f aca="false">IF(B57="","",IFERROR(INDEX(N_OBS,MATCH(AA57,N_CLAVE,0))&amp;"",""))</f>
        <v/>
      </c>
      <c r="X57" s="70" t="str">
        <f aca="false">IF(B57="","",IF(COUNTIF(N_CLAVE,AA57)&gt;0,"Sí","⚠ Sin registro"))</f>
        <v/>
      </c>
      <c r="Z57" s="81" t="str">
        <f aca="false">IF(B57="","",MATCH(B57,T_AUX,0))</f>
        <v/>
      </c>
      <c r="AA57" s="81" t="str">
        <f aca="false">IF(B57="","",C57&amp;"|"&amp;(YEAR(ENVIO_PER)*100+MONTH(ENVIO_PER)))</f>
        <v/>
      </c>
      <c r="AB57" s="81" t="str">
        <f aca="false">IF(B57="","",INDEX(T_INGRESO,Z57))</f>
        <v/>
      </c>
      <c r="AC57" s="81" t="str">
        <f aca="false">IF(B57="","",N(INDEX(T_EGRESO,Z57)))</f>
        <v/>
      </c>
      <c r="AD57" s="81" t="str">
        <f aca="false">IF(B57="","",IF(OR(AB57&gt;EOMONTH(ENVIO_PER,0),AND(AC57&gt;0,AC57&lt;ENVIO_PER)),0,IF(AND(AB57&lt;=ENVIO_PER,OR(AC57=0,AC57&gt;=EOMONTH(ENVIO_PER,0))),30,MIN(30,IF(AC57=0,EOMONTH(ENVIO_PER,0),MIN(AC57,EOMONTH(ENVIO_PER,0)))-MAX(ENVIO_PER,AB57)+1))))</f>
        <v/>
      </c>
    </row>
    <row r="58" customFormat="false" ht="15" hidden="false" customHeight="false" outlineLevel="0" collapsed="false">
      <c r="B58" s="72" t="str">
        <f aca="false">IF(49&lt;=MAX(T_AUX),49,"")</f>
        <v/>
      </c>
      <c r="C58" s="72" t="str">
        <f aca="false">IF(B58="","",INDEX(T_ID,Z58))</f>
        <v/>
      </c>
      <c r="D58" s="72" t="str">
        <f aca="false">IF(B58="","",INDEX(T_RUT,Z58)&amp;"")</f>
        <v/>
      </c>
      <c r="E58" s="72" t="str">
        <f aca="false">IF(B58="","",INDEX(T_NOMBRE,Z58)&amp;"")</f>
        <v/>
      </c>
      <c r="F58" s="72" t="str">
        <f aca="false">IF(B58="","",INDEX(T_CARGO,Z58)&amp;"")</f>
        <v/>
      </c>
      <c r="G58" s="72" t="str">
        <f aca="false">IF(B58="","",IFERROR(INDEX(C_TIPO,MATCH(C58&amp;"-P"&amp;MAX(1,COUNTIFS(C_ID,C58,C_DEFINE,"Sí",C_INICIO,"&lt;="&amp;EOMONTH(ENVIO_PER,0))),C_CLAVE,0))&amp;"","Sin contrato"))</f>
        <v/>
      </c>
      <c r="H58" s="71" t="str">
        <f aca="false">IF(B58="","",IFERROR(INDEX(C_SUELDO,MATCH(C58&amp;"-S"&amp;MAX(1,COUNTIFS(C_ID,C58,C_SUELDO,"&lt;&gt;",C_INICIO,"&lt;="&amp;EOMONTH(ENVIO_PER,0))),C_CLAVES,0)),0))</f>
        <v/>
      </c>
      <c r="I58" s="70" t="str">
        <f aca="false">IF(B58="","",TRIM(IF(AND(AB58&gt;=ENVIO_PER,AB58&lt;=EOMONTH(ENVIO_PER,0)),"Ingresa el día "&amp;DAY(AB58)&amp;". ","")&amp;IF(AND(AC58&gt;0,AC58&gt;=ENVIO_PER,AC58&lt;=EOMONTH(ENVIO_PER,0)),"Egresa el día "&amp;DAY(AC58)&amp;".","")))</f>
        <v/>
      </c>
      <c r="J58" s="70" t="str">
        <f aca="false">IF(B58="","",IF(COUNTIFS(C_ID,C58,C_INICIO,"&gt;="&amp;ENVIO_PER,C_INICIO,"&lt;="&amp;EOMONTH(ENVIO_PER,0))&gt;0,COUNTIFS(C_ID,C58,C_INICIO,"&gt;="&amp;ENVIO_PER,C_INICIO,"&lt;="&amp;EOMONTH(ENVIO_PER,0))&amp;" documento(s) nuevo(s): ver Contratos",""))</f>
        <v/>
      </c>
      <c r="K58" s="74" t="str">
        <f aca="false">IF(B58="","",IF(COUNTIF(N_CLAVE,AA58)&gt;0,SUMIFS(N_DIAS,N_CLAVE,AA58),AD58))</f>
        <v/>
      </c>
      <c r="L58" s="74" t="str">
        <f aca="false">IF(B58="","",SUMIFS(N_FALTAS,N_CLAVE,AA58))</f>
        <v/>
      </c>
      <c r="M58" s="74" t="str">
        <f aca="false">IF(B58="","",SUMIFS(N_LIC,N_CLAVE,AA58))</f>
        <v/>
      </c>
      <c r="N58" s="74" t="str">
        <f aca="false">IF(B58="","",SUMIFS(N_PCG,N_CLAVE,AA58))</f>
        <v/>
      </c>
      <c r="O58" s="74" t="str">
        <f aca="false">IF(B58="","",SUMIFS(N_PSG,N_CLAVE,AA58))</f>
        <v/>
      </c>
      <c r="P58" s="74" t="str">
        <f aca="false">IF(B58="","",SUMIFS(V_DIAS,V_ID,C58,V_MES,ENVIO_PER))</f>
        <v/>
      </c>
      <c r="Q58" s="73" t="str">
        <f aca="false">IF(B58="","",SUMIFS(N_ATRASO,N_CLAVE,AA58))</f>
        <v/>
      </c>
      <c r="R58" s="74" t="str">
        <f aca="false">IF(B58="","",SUMIFS(N_HE,N_CLAVE,AA58))</f>
        <v/>
      </c>
      <c r="S58" s="71" t="str">
        <f aca="false">IF(B58="","",SUMIFS(N_ANT,N_CLAVE,AA58))</f>
        <v/>
      </c>
      <c r="T58" s="71" t="str">
        <f aca="false">IF(B58="","",SUMIFS(N_BONO,N_CLAVE,AA58))</f>
        <v/>
      </c>
      <c r="U58" s="71" t="str">
        <f aca="false">IF(B58="","",SUMIFS(N_ONI,N_CLAVE,AA58))</f>
        <v/>
      </c>
      <c r="V58" s="71" t="str">
        <f aca="false">IF(B58="","",SUMIFS(N_DESC,N_CLAVE,AA58))</f>
        <v/>
      </c>
      <c r="W58" s="72" t="str">
        <f aca="false">IF(B58="","",IFERROR(INDEX(N_OBS,MATCH(AA58,N_CLAVE,0))&amp;"",""))</f>
        <v/>
      </c>
      <c r="X58" s="70" t="str">
        <f aca="false">IF(B58="","",IF(COUNTIF(N_CLAVE,AA58)&gt;0,"Sí","⚠ Sin registro"))</f>
        <v/>
      </c>
      <c r="Z58" s="81" t="str">
        <f aca="false">IF(B58="","",MATCH(B58,T_AUX,0))</f>
        <v/>
      </c>
      <c r="AA58" s="81" t="str">
        <f aca="false">IF(B58="","",C58&amp;"|"&amp;(YEAR(ENVIO_PER)*100+MONTH(ENVIO_PER)))</f>
        <v/>
      </c>
      <c r="AB58" s="81" t="str">
        <f aca="false">IF(B58="","",INDEX(T_INGRESO,Z58))</f>
        <v/>
      </c>
      <c r="AC58" s="81" t="str">
        <f aca="false">IF(B58="","",N(INDEX(T_EGRESO,Z58)))</f>
        <v/>
      </c>
      <c r="AD58" s="81" t="str">
        <f aca="false">IF(B58="","",IF(OR(AB58&gt;EOMONTH(ENVIO_PER,0),AND(AC58&gt;0,AC58&lt;ENVIO_PER)),0,IF(AND(AB58&lt;=ENVIO_PER,OR(AC58=0,AC58&gt;=EOMONTH(ENVIO_PER,0))),30,MIN(30,IF(AC58=0,EOMONTH(ENVIO_PER,0),MIN(AC58,EOMONTH(ENVIO_PER,0)))-MAX(ENVIO_PER,AB58)+1))))</f>
        <v/>
      </c>
    </row>
    <row r="59" customFormat="false" ht="15" hidden="false" customHeight="false" outlineLevel="0" collapsed="false">
      <c r="B59" s="72" t="str">
        <f aca="false">IF(50&lt;=MAX(T_AUX),50,"")</f>
        <v/>
      </c>
      <c r="C59" s="72" t="str">
        <f aca="false">IF(B59="","",INDEX(T_ID,Z59))</f>
        <v/>
      </c>
      <c r="D59" s="72" t="str">
        <f aca="false">IF(B59="","",INDEX(T_RUT,Z59)&amp;"")</f>
        <v/>
      </c>
      <c r="E59" s="72" t="str">
        <f aca="false">IF(B59="","",INDEX(T_NOMBRE,Z59)&amp;"")</f>
        <v/>
      </c>
      <c r="F59" s="72" t="str">
        <f aca="false">IF(B59="","",INDEX(T_CARGO,Z59)&amp;"")</f>
        <v/>
      </c>
      <c r="G59" s="72" t="str">
        <f aca="false">IF(B59="","",IFERROR(INDEX(C_TIPO,MATCH(C59&amp;"-P"&amp;MAX(1,COUNTIFS(C_ID,C59,C_DEFINE,"Sí",C_INICIO,"&lt;="&amp;EOMONTH(ENVIO_PER,0))),C_CLAVE,0))&amp;"","Sin contrato"))</f>
        <v/>
      </c>
      <c r="H59" s="71" t="str">
        <f aca="false">IF(B59="","",IFERROR(INDEX(C_SUELDO,MATCH(C59&amp;"-S"&amp;MAX(1,COUNTIFS(C_ID,C59,C_SUELDO,"&lt;&gt;",C_INICIO,"&lt;="&amp;EOMONTH(ENVIO_PER,0))),C_CLAVES,0)),0))</f>
        <v/>
      </c>
      <c r="I59" s="70" t="str">
        <f aca="false">IF(B59="","",TRIM(IF(AND(AB59&gt;=ENVIO_PER,AB59&lt;=EOMONTH(ENVIO_PER,0)),"Ingresa el día "&amp;DAY(AB59)&amp;". ","")&amp;IF(AND(AC59&gt;0,AC59&gt;=ENVIO_PER,AC59&lt;=EOMONTH(ENVIO_PER,0)),"Egresa el día "&amp;DAY(AC59)&amp;".","")))</f>
        <v/>
      </c>
      <c r="J59" s="70" t="str">
        <f aca="false">IF(B59="","",IF(COUNTIFS(C_ID,C59,C_INICIO,"&gt;="&amp;ENVIO_PER,C_INICIO,"&lt;="&amp;EOMONTH(ENVIO_PER,0))&gt;0,COUNTIFS(C_ID,C59,C_INICIO,"&gt;="&amp;ENVIO_PER,C_INICIO,"&lt;="&amp;EOMONTH(ENVIO_PER,0))&amp;" documento(s) nuevo(s): ver Contratos",""))</f>
        <v/>
      </c>
      <c r="K59" s="74" t="str">
        <f aca="false">IF(B59="","",IF(COUNTIF(N_CLAVE,AA59)&gt;0,SUMIFS(N_DIAS,N_CLAVE,AA59),AD59))</f>
        <v/>
      </c>
      <c r="L59" s="74" t="str">
        <f aca="false">IF(B59="","",SUMIFS(N_FALTAS,N_CLAVE,AA59))</f>
        <v/>
      </c>
      <c r="M59" s="74" t="str">
        <f aca="false">IF(B59="","",SUMIFS(N_LIC,N_CLAVE,AA59))</f>
        <v/>
      </c>
      <c r="N59" s="74" t="str">
        <f aca="false">IF(B59="","",SUMIFS(N_PCG,N_CLAVE,AA59))</f>
        <v/>
      </c>
      <c r="O59" s="74" t="str">
        <f aca="false">IF(B59="","",SUMIFS(N_PSG,N_CLAVE,AA59))</f>
        <v/>
      </c>
      <c r="P59" s="74" t="str">
        <f aca="false">IF(B59="","",SUMIFS(V_DIAS,V_ID,C59,V_MES,ENVIO_PER))</f>
        <v/>
      </c>
      <c r="Q59" s="73" t="str">
        <f aca="false">IF(B59="","",SUMIFS(N_ATRASO,N_CLAVE,AA59))</f>
        <v/>
      </c>
      <c r="R59" s="74" t="str">
        <f aca="false">IF(B59="","",SUMIFS(N_HE,N_CLAVE,AA59))</f>
        <v/>
      </c>
      <c r="S59" s="71" t="str">
        <f aca="false">IF(B59="","",SUMIFS(N_ANT,N_CLAVE,AA59))</f>
        <v/>
      </c>
      <c r="T59" s="71" t="str">
        <f aca="false">IF(B59="","",SUMIFS(N_BONO,N_CLAVE,AA59))</f>
        <v/>
      </c>
      <c r="U59" s="71" t="str">
        <f aca="false">IF(B59="","",SUMIFS(N_ONI,N_CLAVE,AA59))</f>
        <v/>
      </c>
      <c r="V59" s="71" t="str">
        <f aca="false">IF(B59="","",SUMIFS(N_DESC,N_CLAVE,AA59))</f>
        <v/>
      </c>
      <c r="W59" s="72" t="str">
        <f aca="false">IF(B59="","",IFERROR(INDEX(N_OBS,MATCH(AA59,N_CLAVE,0))&amp;"",""))</f>
        <v/>
      </c>
      <c r="X59" s="70" t="str">
        <f aca="false">IF(B59="","",IF(COUNTIF(N_CLAVE,AA59)&gt;0,"Sí","⚠ Sin registro"))</f>
        <v/>
      </c>
      <c r="Z59" s="81" t="str">
        <f aca="false">IF(B59="","",MATCH(B59,T_AUX,0))</f>
        <v/>
      </c>
      <c r="AA59" s="81" t="str">
        <f aca="false">IF(B59="","",C59&amp;"|"&amp;(YEAR(ENVIO_PER)*100+MONTH(ENVIO_PER)))</f>
        <v/>
      </c>
      <c r="AB59" s="81" t="str">
        <f aca="false">IF(B59="","",INDEX(T_INGRESO,Z59))</f>
        <v/>
      </c>
      <c r="AC59" s="81" t="str">
        <f aca="false">IF(B59="","",N(INDEX(T_EGRESO,Z59)))</f>
        <v/>
      </c>
      <c r="AD59" s="81" t="str">
        <f aca="false">IF(B59="","",IF(OR(AB59&gt;EOMONTH(ENVIO_PER,0),AND(AC59&gt;0,AC59&lt;ENVIO_PER)),0,IF(AND(AB59&lt;=ENVIO_PER,OR(AC59=0,AC59&gt;=EOMONTH(ENVIO_PER,0))),30,MIN(30,IF(AC59=0,EOMONTH(ENVIO_PER,0),MIN(AC59,EOMONTH(ENVIO_PER,0)))-MAX(ENVIO_PER,AB59)+1))))</f>
        <v/>
      </c>
    </row>
    <row r="60" customFormat="false" ht="15" hidden="false" customHeight="false" outlineLevel="0" collapsed="false">
      <c r="B60" s="72" t="str">
        <f aca="false">IF(51&lt;=MAX(T_AUX),51,"")</f>
        <v/>
      </c>
      <c r="C60" s="72" t="str">
        <f aca="false">IF(B60="","",INDEX(T_ID,Z60))</f>
        <v/>
      </c>
      <c r="D60" s="72" t="str">
        <f aca="false">IF(B60="","",INDEX(T_RUT,Z60)&amp;"")</f>
        <v/>
      </c>
      <c r="E60" s="72" t="str">
        <f aca="false">IF(B60="","",INDEX(T_NOMBRE,Z60)&amp;"")</f>
        <v/>
      </c>
      <c r="F60" s="72" t="str">
        <f aca="false">IF(B60="","",INDEX(T_CARGO,Z60)&amp;"")</f>
        <v/>
      </c>
      <c r="G60" s="72" t="str">
        <f aca="false">IF(B60="","",IFERROR(INDEX(C_TIPO,MATCH(C60&amp;"-P"&amp;MAX(1,COUNTIFS(C_ID,C60,C_DEFINE,"Sí",C_INICIO,"&lt;="&amp;EOMONTH(ENVIO_PER,0))),C_CLAVE,0))&amp;"","Sin contrato"))</f>
        <v/>
      </c>
      <c r="H60" s="71" t="str">
        <f aca="false">IF(B60="","",IFERROR(INDEX(C_SUELDO,MATCH(C60&amp;"-S"&amp;MAX(1,COUNTIFS(C_ID,C60,C_SUELDO,"&lt;&gt;",C_INICIO,"&lt;="&amp;EOMONTH(ENVIO_PER,0))),C_CLAVES,0)),0))</f>
        <v/>
      </c>
      <c r="I60" s="70" t="str">
        <f aca="false">IF(B60="","",TRIM(IF(AND(AB60&gt;=ENVIO_PER,AB60&lt;=EOMONTH(ENVIO_PER,0)),"Ingresa el día "&amp;DAY(AB60)&amp;". ","")&amp;IF(AND(AC60&gt;0,AC60&gt;=ENVIO_PER,AC60&lt;=EOMONTH(ENVIO_PER,0)),"Egresa el día "&amp;DAY(AC60)&amp;".","")))</f>
        <v/>
      </c>
      <c r="J60" s="70" t="str">
        <f aca="false">IF(B60="","",IF(COUNTIFS(C_ID,C60,C_INICIO,"&gt;="&amp;ENVIO_PER,C_INICIO,"&lt;="&amp;EOMONTH(ENVIO_PER,0))&gt;0,COUNTIFS(C_ID,C60,C_INICIO,"&gt;="&amp;ENVIO_PER,C_INICIO,"&lt;="&amp;EOMONTH(ENVIO_PER,0))&amp;" documento(s) nuevo(s): ver Contratos",""))</f>
        <v/>
      </c>
      <c r="K60" s="74" t="str">
        <f aca="false">IF(B60="","",IF(COUNTIF(N_CLAVE,AA60)&gt;0,SUMIFS(N_DIAS,N_CLAVE,AA60),AD60))</f>
        <v/>
      </c>
      <c r="L60" s="74" t="str">
        <f aca="false">IF(B60="","",SUMIFS(N_FALTAS,N_CLAVE,AA60))</f>
        <v/>
      </c>
      <c r="M60" s="74" t="str">
        <f aca="false">IF(B60="","",SUMIFS(N_LIC,N_CLAVE,AA60))</f>
        <v/>
      </c>
      <c r="N60" s="74" t="str">
        <f aca="false">IF(B60="","",SUMIFS(N_PCG,N_CLAVE,AA60))</f>
        <v/>
      </c>
      <c r="O60" s="74" t="str">
        <f aca="false">IF(B60="","",SUMIFS(N_PSG,N_CLAVE,AA60))</f>
        <v/>
      </c>
      <c r="P60" s="74" t="str">
        <f aca="false">IF(B60="","",SUMIFS(V_DIAS,V_ID,C60,V_MES,ENVIO_PER))</f>
        <v/>
      </c>
      <c r="Q60" s="73" t="str">
        <f aca="false">IF(B60="","",SUMIFS(N_ATRASO,N_CLAVE,AA60))</f>
        <v/>
      </c>
      <c r="R60" s="74" t="str">
        <f aca="false">IF(B60="","",SUMIFS(N_HE,N_CLAVE,AA60))</f>
        <v/>
      </c>
      <c r="S60" s="71" t="str">
        <f aca="false">IF(B60="","",SUMIFS(N_ANT,N_CLAVE,AA60))</f>
        <v/>
      </c>
      <c r="T60" s="71" t="str">
        <f aca="false">IF(B60="","",SUMIFS(N_BONO,N_CLAVE,AA60))</f>
        <v/>
      </c>
      <c r="U60" s="71" t="str">
        <f aca="false">IF(B60="","",SUMIFS(N_ONI,N_CLAVE,AA60))</f>
        <v/>
      </c>
      <c r="V60" s="71" t="str">
        <f aca="false">IF(B60="","",SUMIFS(N_DESC,N_CLAVE,AA60))</f>
        <v/>
      </c>
      <c r="W60" s="72" t="str">
        <f aca="false">IF(B60="","",IFERROR(INDEX(N_OBS,MATCH(AA60,N_CLAVE,0))&amp;"",""))</f>
        <v/>
      </c>
      <c r="X60" s="70" t="str">
        <f aca="false">IF(B60="","",IF(COUNTIF(N_CLAVE,AA60)&gt;0,"Sí","⚠ Sin registro"))</f>
        <v/>
      </c>
      <c r="Z60" s="81" t="str">
        <f aca="false">IF(B60="","",MATCH(B60,T_AUX,0))</f>
        <v/>
      </c>
      <c r="AA60" s="81" t="str">
        <f aca="false">IF(B60="","",C60&amp;"|"&amp;(YEAR(ENVIO_PER)*100+MONTH(ENVIO_PER)))</f>
        <v/>
      </c>
      <c r="AB60" s="81" t="str">
        <f aca="false">IF(B60="","",INDEX(T_INGRESO,Z60))</f>
        <v/>
      </c>
      <c r="AC60" s="81" t="str">
        <f aca="false">IF(B60="","",N(INDEX(T_EGRESO,Z60)))</f>
        <v/>
      </c>
      <c r="AD60" s="81" t="str">
        <f aca="false">IF(B60="","",IF(OR(AB60&gt;EOMONTH(ENVIO_PER,0),AND(AC60&gt;0,AC60&lt;ENVIO_PER)),0,IF(AND(AB60&lt;=ENVIO_PER,OR(AC60=0,AC60&gt;=EOMONTH(ENVIO_PER,0))),30,MIN(30,IF(AC60=0,EOMONTH(ENVIO_PER,0),MIN(AC60,EOMONTH(ENVIO_PER,0)))-MAX(ENVIO_PER,AB60)+1))))</f>
        <v/>
      </c>
    </row>
    <row r="61" customFormat="false" ht="15" hidden="false" customHeight="false" outlineLevel="0" collapsed="false">
      <c r="B61" s="72" t="str">
        <f aca="false">IF(52&lt;=MAX(T_AUX),52,"")</f>
        <v/>
      </c>
      <c r="C61" s="72" t="str">
        <f aca="false">IF(B61="","",INDEX(T_ID,Z61))</f>
        <v/>
      </c>
      <c r="D61" s="72" t="str">
        <f aca="false">IF(B61="","",INDEX(T_RUT,Z61)&amp;"")</f>
        <v/>
      </c>
      <c r="E61" s="72" t="str">
        <f aca="false">IF(B61="","",INDEX(T_NOMBRE,Z61)&amp;"")</f>
        <v/>
      </c>
      <c r="F61" s="72" t="str">
        <f aca="false">IF(B61="","",INDEX(T_CARGO,Z61)&amp;"")</f>
        <v/>
      </c>
      <c r="G61" s="72" t="str">
        <f aca="false">IF(B61="","",IFERROR(INDEX(C_TIPO,MATCH(C61&amp;"-P"&amp;MAX(1,COUNTIFS(C_ID,C61,C_DEFINE,"Sí",C_INICIO,"&lt;="&amp;EOMONTH(ENVIO_PER,0))),C_CLAVE,0))&amp;"","Sin contrato"))</f>
        <v/>
      </c>
      <c r="H61" s="71" t="str">
        <f aca="false">IF(B61="","",IFERROR(INDEX(C_SUELDO,MATCH(C61&amp;"-S"&amp;MAX(1,COUNTIFS(C_ID,C61,C_SUELDO,"&lt;&gt;",C_INICIO,"&lt;="&amp;EOMONTH(ENVIO_PER,0))),C_CLAVES,0)),0))</f>
        <v/>
      </c>
      <c r="I61" s="70" t="str">
        <f aca="false">IF(B61="","",TRIM(IF(AND(AB61&gt;=ENVIO_PER,AB61&lt;=EOMONTH(ENVIO_PER,0)),"Ingresa el día "&amp;DAY(AB61)&amp;". ","")&amp;IF(AND(AC61&gt;0,AC61&gt;=ENVIO_PER,AC61&lt;=EOMONTH(ENVIO_PER,0)),"Egresa el día "&amp;DAY(AC61)&amp;".","")))</f>
        <v/>
      </c>
      <c r="J61" s="70" t="str">
        <f aca="false">IF(B61="","",IF(COUNTIFS(C_ID,C61,C_INICIO,"&gt;="&amp;ENVIO_PER,C_INICIO,"&lt;="&amp;EOMONTH(ENVIO_PER,0))&gt;0,COUNTIFS(C_ID,C61,C_INICIO,"&gt;="&amp;ENVIO_PER,C_INICIO,"&lt;="&amp;EOMONTH(ENVIO_PER,0))&amp;" documento(s) nuevo(s): ver Contratos",""))</f>
        <v/>
      </c>
      <c r="K61" s="74" t="str">
        <f aca="false">IF(B61="","",IF(COUNTIF(N_CLAVE,AA61)&gt;0,SUMIFS(N_DIAS,N_CLAVE,AA61),AD61))</f>
        <v/>
      </c>
      <c r="L61" s="74" t="str">
        <f aca="false">IF(B61="","",SUMIFS(N_FALTAS,N_CLAVE,AA61))</f>
        <v/>
      </c>
      <c r="M61" s="74" t="str">
        <f aca="false">IF(B61="","",SUMIFS(N_LIC,N_CLAVE,AA61))</f>
        <v/>
      </c>
      <c r="N61" s="74" t="str">
        <f aca="false">IF(B61="","",SUMIFS(N_PCG,N_CLAVE,AA61))</f>
        <v/>
      </c>
      <c r="O61" s="74" t="str">
        <f aca="false">IF(B61="","",SUMIFS(N_PSG,N_CLAVE,AA61))</f>
        <v/>
      </c>
      <c r="P61" s="74" t="str">
        <f aca="false">IF(B61="","",SUMIFS(V_DIAS,V_ID,C61,V_MES,ENVIO_PER))</f>
        <v/>
      </c>
      <c r="Q61" s="73" t="str">
        <f aca="false">IF(B61="","",SUMIFS(N_ATRASO,N_CLAVE,AA61))</f>
        <v/>
      </c>
      <c r="R61" s="74" t="str">
        <f aca="false">IF(B61="","",SUMIFS(N_HE,N_CLAVE,AA61))</f>
        <v/>
      </c>
      <c r="S61" s="71" t="str">
        <f aca="false">IF(B61="","",SUMIFS(N_ANT,N_CLAVE,AA61))</f>
        <v/>
      </c>
      <c r="T61" s="71" t="str">
        <f aca="false">IF(B61="","",SUMIFS(N_BONO,N_CLAVE,AA61))</f>
        <v/>
      </c>
      <c r="U61" s="71" t="str">
        <f aca="false">IF(B61="","",SUMIFS(N_ONI,N_CLAVE,AA61))</f>
        <v/>
      </c>
      <c r="V61" s="71" t="str">
        <f aca="false">IF(B61="","",SUMIFS(N_DESC,N_CLAVE,AA61))</f>
        <v/>
      </c>
      <c r="W61" s="72" t="str">
        <f aca="false">IF(B61="","",IFERROR(INDEX(N_OBS,MATCH(AA61,N_CLAVE,0))&amp;"",""))</f>
        <v/>
      </c>
      <c r="X61" s="70" t="str">
        <f aca="false">IF(B61="","",IF(COUNTIF(N_CLAVE,AA61)&gt;0,"Sí","⚠ Sin registro"))</f>
        <v/>
      </c>
      <c r="Z61" s="81" t="str">
        <f aca="false">IF(B61="","",MATCH(B61,T_AUX,0))</f>
        <v/>
      </c>
      <c r="AA61" s="81" t="str">
        <f aca="false">IF(B61="","",C61&amp;"|"&amp;(YEAR(ENVIO_PER)*100+MONTH(ENVIO_PER)))</f>
        <v/>
      </c>
      <c r="AB61" s="81" t="str">
        <f aca="false">IF(B61="","",INDEX(T_INGRESO,Z61))</f>
        <v/>
      </c>
      <c r="AC61" s="81" t="str">
        <f aca="false">IF(B61="","",N(INDEX(T_EGRESO,Z61)))</f>
        <v/>
      </c>
      <c r="AD61" s="81" t="str">
        <f aca="false">IF(B61="","",IF(OR(AB61&gt;EOMONTH(ENVIO_PER,0),AND(AC61&gt;0,AC61&lt;ENVIO_PER)),0,IF(AND(AB61&lt;=ENVIO_PER,OR(AC61=0,AC61&gt;=EOMONTH(ENVIO_PER,0))),30,MIN(30,IF(AC61=0,EOMONTH(ENVIO_PER,0),MIN(AC61,EOMONTH(ENVIO_PER,0)))-MAX(ENVIO_PER,AB61)+1))))</f>
        <v/>
      </c>
    </row>
    <row r="62" customFormat="false" ht="15" hidden="false" customHeight="false" outlineLevel="0" collapsed="false">
      <c r="B62" s="72" t="str">
        <f aca="false">IF(53&lt;=MAX(T_AUX),53,"")</f>
        <v/>
      </c>
      <c r="C62" s="72" t="str">
        <f aca="false">IF(B62="","",INDEX(T_ID,Z62))</f>
        <v/>
      </c>
      <c r="D62" s="72" t="str">
        <f aca="false">IF(B62="","",INDEX(T_RUT,Z62)&amp;"")</f>
        <v/>
      </c>
      <c r="E62" s="72" t="str">
        <f aca="false">IF(B62="","",INDEX(T_NOMBRE,Z62)&amp;"")</f>
        <v/>
      </c>
      <c r="F62" s="72" t="str">
        <f aca="false">IF(B62="","",INDEX(T_CARGO,Z62)&amp;"")</f>
        <v/>
      </c>
      <c r="G62" s="72" t="str">
        <f aca="false">IF(B62="","",IFERROR(INDEX(C_TIPO,MATCH(C62&amp;"-P"&amp;MAX(1,COUNTIFS(C_ID,C62,C_DEFINE,"Sí",C_INICIO,"&lt;="&amp;EOMONTH(ENVIO_PER,0))),C_CLAVE,0))&amp;"","Sin contrato"))</f>
        <v/>
      </c>
      <c r="H62" s="71" t="str">
        <f aca="false">IF(B62="","",IFERROR(INDEX(C_SUELDO,MATCH(C62&amp;"-S"&amp;MAX(1,COUNTIFS(C_ID,C62,C_SUELDO,"&lt;&gt;",C_INICIO,"&lt;="&amp;EOMONTH(ENVIO_PER,0))),C_CLAVES,0)),0))</f>
        <v/>
      </c>
      <c r="I62" s="70" t="str">
        <f aca="false">IF(B62="","",TRIM(IF(AND(AB62&gt;=ENVIO_PER,AB62&lt;=EOMONTH(ENVIO_PER,0)),"Ingresa el día "&amp;DAY(AB62)&amp;". ","")&amp;IF(AND(AC62&gt;0,AC62&gt;=ENVIO_PER,AC62&lt;=EOMONTH(ENVIO_PER,0)),"Egresa el día "&amp;DAY(AC62)&amp;".","")))</f>
        <v/>
      </c>
      <c r="J62" s="70" t="str">
        <f aca="false">IF(B62="","",IF(COUNTIFS(C_ID,C62,C_INICIO,"&gt;="&amp;ENVIO_PER,C_INICIO,"&lt;="&amp;EOMONTH(ENVIO_PER,0))&gt;0,COUNTIFS(C_ID,C62,C_INICIO,"&gt;="&amp;ENVIO_PER,C_INICIO,"&lt;="&amp;EOMONTH(ENVIO_PER,0))&amp;" documento(s) nuevo(s): ver Contratos",""))</f>
        <v/>
      </c>
      <c r="K62" s="74" t="str">
        <f aca="false">IF(B62="","",IF(COUNTIF(N_CLAVE,AA62)&gt;0,SUMIFS(N_DIAS,N_CLAVE,AA62),AD62))</f>
        <v/>
      </c>
      <c r="L62" s="74" t="str">
        <f aca="false">IF(B62="","",SUMIFS(N_FALTAS,N_CLAVE,AA62))</f>
        <v/>
      </c>
      <c r="M62" s="74" t="str">
        <f aca="false">IF(B62="","",SUMIFS(N_LIC,N_CLAVE,AA62))</f>
        <v/>
      </c>
      <c r="N62" s="74" t="str">
        <f aca="false">IF(B62="","",SUMIFS(N_PCG,N_CLAVE,AA62))</f>
        <v/>
      </c>
      <c r="O62" s="74" t="str">
        <f aca="false">IF(B62="","",SUMIFS(N_PSG,N_CLAVE,AA62))</f>
        <v/>
      </c>
      <c r="P62" s="74" t="str">
        <f aca="false">IF(B62="","",SUMIFS(V_DIAS,V_ID,C62,V_MES,ENVIO_PER))</f>
        <v/>
      </c>
      <c r="Q62" s="73" t="str">
        <f aca="false">IF(B62="","",SUMIFS(N_ATRASO,N_CLAVE,AA62))</f>
        <v/>
      </c>
      <c r="R62" s="74" t="str">
        <f aca="false">IF(B62="","",SUMIFS(N_HE,N_CLAVE,AA62))</f>
        <v/>
      </c>
      <c r="S62" s="71" t="str">
        <f aca="false">IF(B62="","",SUMIFS(N_ANT,N_CLAVE,AA62))</f>
        <v/>
      </c>
      <c r="T62" s="71" t="str">
        <f aca="false">IF(B62="","",SUMIFS(N_BONO,N_CLAVE,AA62))</f>
        <v/>
      </c>
      <c r="U62" s="71" t="str">
        <f aca="false">IF(B62="","",SUMIFS(N_ONI,N_CLAVE,AA62))</f>
        <v/>
      </c>
      <c r="V62" s="71" t="str">
        <f aca="false">IF(B62="","",SUMIFS(N_DESC,N_CLAVE,AA62))</f>
        <v/>
      </c>
      <c r="W62" s="72" t="str">
        <f aca="false">IF(B62="","",IFERROR(INDEX(N_OBS,MATCH(AA62,N_CLAVE,0))&amp;"",""))</f>
        <v/>
      </c>
      <c r="X62" s="70" t="str">
        <f aca="false">IF(B62="","",IF(COUNTIF(N_CLAVE,AA62)&gt;0,"Sí","⚠ Sin registro"))</f>
        <v/>
      </c>
      <c r="Z62" s="81" t="str">
        <f aca="false">IF(B62="","",MATCH(B62,T_AUX,0))</f>
        <v/>
      </c>
      <c r="AA62" s="81" t="str">
        <f aca="false">IF(B62="","",C62&amp;"|"&amp;(YEAR(ENVIO_PER)*100+MONTH(ENVIO_PER)))</f>
        <v/>
      </c>
      <c r="AB62" s="81" t="str">
        <f aca="false">IF(B62="","",INDEX(T_INGRESO,Z62))</f>
        <v/>
      </c>
      <c r="AC62" s="81" t="str">
        <f aca="false">IF(B62="","",N(INDEX(T_EGRESO,Z62)))</f>
        <v/>
      </c>
      <c r="AD62" s="81" t="str">
        <f aca="false">IF(B62="","",IF(OR(AB62&gt;EOMONTH(ENVIO_PER,0),AND(AC62&gt;0,AC62&lt;ENVIO_PER)),0,IF(AND(AB62&lt;=ENVIO_PER,OR(AC62=0,AC62&gt;=EOMONTH(ENVIO_PER,0))),30,MIN(30,IF(AC62=0,EOMONTH(ENVIO_PER,0),MIN(AC62,EOMONTH(ENVIO_PER,0)))-MAX(ENVIO_PER,AB62)+1))))</f>
        <v/>
      </c>
    </row>
    <row r="63" customFormat="false" ht="15" hidden="false" customHeight="false" outlineLevel="0" collapsed="false">
      <c r="B63" s="72" t="str">
        <f aca="false">IF(54&lt;=MAX(T_AUX),54,"")</f>
        <v/>
      </c>
      <c r="C63" s="72" t="str">
        <f aca="false">IF(B63="","",INDEX(T_ID,Z63))</f>
        <v/>
      </c>
      <c r="D63" s="72" t="str">
        <f aca="false">IF(B63="","",INDEX(T_RUT,Z63)&amp;"")</f>
        <v/>
      </c>
      <c r="E63" s="72" t="str">
        <f aca="false">IF(B63="","",INDEX(T_NOMBRE,Z63)&amp;"")</f>
        <v/>
      </c>
      <c r="F63" s="72" t="str">
        <f aca="false">IF(B63="","",INDEX(T_CARGO,Z63)&amp;"")</f>
        <v/>
      </c>
      <c r="G63" s="72" t="str">
        <f aca="false">IF(B63="","",IFERROR(INDEX(C_TIPO,MATCH(C63&amp;"-P"&amp;MAX(1,COUNTIFS(C_ID,C63,C_DEFINE,"Sí",C_INICIO,"&lt;="&amp;EOMONTH(ENVIO_PER,0))),C_CLAVE,0))&amp;"","Sin contrato"))</f>
        <v/>
      </c>
      <c r="H63" s="71" t="str">
        <f aca="false">IF(B63="","",IFERROR(INDEX(C_SUELDO,MATCH(C63&amp;"-S"&amp;MAX(1,COUNTIFS(C_ID,C63,C_SUELDO,"&lt;&gt;",C_INICIO,"&lt;="&amp;EOMONTH(ENVIO_PER,0))),C_CLAVES,0)),0))</f>
        <v/>
      </c>
      <c r="I63" s="70" t="str">
        <f aca="false">IF(B63="","",TRIM(IF(AND(AB63&gt;=ENVIO_PER,AB63&lt;=EOMONTH(ENVIO_PER,0)),"Ingresa el día "&amp;DAY(AB63)&amp;". ","")&amp;IF(AND(AC63&gt;0,AC63&gt;=ENVIO_PER,AC63&lt;=EOMONTH(ENVIO_PER,0)),"Egresa el día "&amp;DAY(AC63)&amp;".","")))</f>
        <v/>
      </c>
      <c r="J63" s="70" t="str">
        <f aca="false">IF(B63="","",IF(COUNTIFS(C_ID,C63,C_INICIO,"&gt;="&amp;ENVIO_PER,C_INICIO,"&lt;="&amp;EOMONTH(ENVIO_PER,0))&gt;0,COUNTIFS(C_ID,C63,C_INICIO,"&gt;="&amp;ENVIO_PER,C_INICIO,"&lt;="&amp;EOMONTH(ENVIO_PER,0))&amp;" documento(s) nuevo(s): ver Contratos",""))</f>
        <v/>
      </c>
      <c r="K63" s="74" t="str">
        <f aca="false">IF(B63="","",IF(COUNTIF(N_CLAVE,AA63)&gt;0,SUMIFS(N_DIAS,N_CLAVE,AA63),AD63))</f>
        <v/>
      </c>
      <c r="L63" s="74" t="str">
        <f aca="false">IF(B63="","",SUMIFS(N_FALTAS,N_CLAVE,AA63))</f>
        <v/>
      </c>
      <c r="M63" s="74" t="str">
        <f aca="false">IF(B63="","",SUMIFS(N_LIC,N_CLAVE,AA63))</f>
        <v/>
      </c>
      <c r="N63" s="74" t="str">
        <f aca="false">IF(B63="","",SUMIFS(N_PCG,N_CLAVE,AA63))</f>
        <v/>
      </c>
      <c r="O63" s="74" t="str">
        <f aca="false">IF(B63="","",SUMIFS(N_PSG,N_CLAVE,AA63))</f>
        <v/>
      </c>
      <c r="P63" s="74" t="str">
        <f aca="false">IF(B63="","",SUMIFS(V_DIAS,V_ID,C63,V_MES,ENVIO_PER))</f>
        <v/>
      </c>
      <c r="Q63" s="73" t="str">
        <f aca="false">IF(B63="","",SUMIFS(N_ATRASO,N_CLAVE,AA63))</f>
        <v/>
      </c>
      <c r="R63" s="74" t="str">
        <f aca="false">IF(B63="","",SUMIFS(N_HE,N_CLAVE,AA63))</f>
        <v/>
      </c>
      <c r="S63" s="71" t="str">
        <f aca="false">IF(B63="","",SUMIFS(N_ANT,N_CLAVE,AA63))</f>
        <v/>
      </c>
      <c r="T63" s="71" t="str">
        <f aca="false">IF(B63="","",SUMIFS(N_BONO,N_CLAVE,AA63))</f>
        <v/>
      </c>
      <c r="U63" s="71" t="str">
        <f aca="false">IF(B63="","",SUMIFS(N_ONI,N_CLAVE,AA63))</f>
        <v/>
      </c>
      <c r="V63" s="71" t="str">
        <f aca="false">IF(B63="","",SUMIFS(N_DESC,N_CLAVE,AA63))</f>
        <v/>
      </c>
      <c r="W63" s="72" t="str">
        <f aca="false">IF(B63="","",IFERROR(INDEX(N_OBS,MATCH(AA63,N_CLAVE,0))&amp;"",""))</f>
        <v/>
      </c>
      <c r="X63" s="70" t="str">
        <f aca="false">IF(B63="","",IF(COUNTIF(N_CLAVE,AA63)&gt;0,"Sí","⚠ Sin registro"))</f>
        <v/>
      </c>
      <c r="Z63" s="81" t="str">
        <f aca="false">IF(B63="","",MATCH(B63,T_AUX,0))</f>
        <v/>
      </c>
      <c r="AA63" s="81" t="str">
        <f aca="false">IF(B63="","",C63&amp;"|"&amp;(YEAR(ENVIO_PER)*100+MONTH(ENVIO_PER)))</f>
        <v/>
      </c>
      <c r="AB63" s="81" t="str">
        <f aca="false">IF(B63="","",INDEX(T_INGRESO,Z63))</f>
        <v/>
      </c>
      <c r="AC63" s="81" t="str">
        <f aca="false">IF(B63="","",N(INDEX(T_EGRESO,Z63)))</f>
        <v/>
      </c>
      <c r="AD63" s="81" t="str">
        <f aca="false">IF(B63="","",IF(OR(AB63&gt;EOMONTH(ENVIO_PER,0),AND(AC63&gt;0,AC63&lt;ENVIO_PER)),0,IF(AND(AB63&lt;=ENVIO_PER,OR(AC63=0,AC63&gt;=EOMONTH(ENVIO_PER,0))),30,MIN(30,IF(AC63=0,EOMONTH(ENVIO_PER,0),MIN(AC63,EOMONTH(ENVIO_PER,0)))-MAX(ENVIO_PER,AB63)+1))))</f>
        <v/>
      </c>
    </row>
    <row r="64" customFormat="false" ht="15" hidden="false" customHeight="false" outlineLevel="0" collapsed="false">
      <c r="B64" s="72" t="str">
        <f aca="false">IF(55&lt;=MAX(T_AUX),55,"")</f>
        <v/>
      </c>
      <c r="C64" s="72" t="str">
        <f aca="false">IF(B64="","",INDEX(T_ID,Z64))</f>
        <v/>
      </c>
      <c r="D64" s="72" t="str">
        <f aca="false">IF(B64="","",INDEX(T_RUT,Z64)&amp;"")</f>
        <v/>
      </c>
      <c r="E64" s="72" t="str">
        <f aca="false">IF(B64="","",INDEX(T_NOMBRE,Z64)&amp;"")</f>
        <v/>
      </c>
      <c r="F64" s="72" t="str">
        <f aca="false">IF(B64="","",INDEX(T_CARGO,Z64)&amp;"")</f>
        <v/>
      </c>
      <c r="G64" s="72" t="str">
        <f aca="false">IF(B64="","",IFERROR(INDEX(C_TIPO,MATCH(C64&amp;"-P"&amp;MAX(1,COUNTIFS(C_ID,C64,C_DEFINE,"Sí",C_INICIO,"&lt;="&amp;EOMONTH(ENVIO_PER,0))),C_CLAVE,0))&amp;"","Sin contrato"))</f>
        <v/>
      </c>
      <c r="H64" s="71" t="str">
        <f aca="false">IF(B64="","",IFERROR(INDEX(C_SUELDO,MATCH(C64&amp;"-S"&amp;MAX(1,COUNTIFS(C_ID,C64,C_SUELDO,"&lt;&gt;",C_INICIO,"&lt;="&amp;EOMONTH(ENVIO_PER,0))),C_CLAVES,0)),0))</f>
        <v/>
      </c>
      <c r="I64" s="70" t="str">
        <f aca="false">IF(B64="","",TRIM(IF(AND(AB64&gt;=ENVIO_PER,AB64&lt;=EOMONTH(ENVIO_PER,0)),"Ingresa el día "&amp;DAY(AB64)&amp;". ","")&amp;IF(AND(AC64&gt;0,AC64&gt;=ENVIO_PER,AC64&lt;=EOMONTH(ENVIO_PER,0)),"Egresa el día "&amp;DAY(AC64)&amp;".","")))</f>
        <v/>
      </c>
      <c r="J64" s="70" t="str">
        <f aca="false">IF(B64="","",IF(COUNTIFS(C_ID,C64,C_INICIO,"&gt;="&amp;ENVIO_PER,C_INICIO,"&lt;="&amp;EOMONTH(ENVIO_PER,0))&gt;0,COUNTIFS(C_ID,C64,C_INICIO,"&gt;="&amp;ENVIO_PER,C_INICIO,"&lt;="&amp;EOMONTH(ENVIO_PER,0))&amp;" documento(s) nuevo(s): ver Contratos",""))</f>
        <v/>
      </c>
      <c r="K64" s="74" t="str">
        <f aca="false">IF(B64="","",IF(COUNTIF(N_CLAVE,AA64)&gt;0,SUMIFS(N_DIAS,N_CLAVE,AA64),AD64))</f>
        <v/>
      </c>
      <c r="L64" s="74" t="str">
        <f aca="false">IF(B64="","",SUMIFS(N_FALTAS,N_CLAVE,AA64))</f>
        <v/>
      </c>
      <c r="M64" s="74" t="str">
        <f aca="false">IF(B64="","",SUMIFS(N_LIC,N_CLAVE,AA64))</f>
        <v/>
      </c>
      <c r="N64" s="74" t="str">
        <f aca="false">IF(B64="","",SUMIFS(N_PCG,N_CLAVE,AA64))</f>
        <v/>
      </c>
      <c r="O64" s="74" t="str">
        <f aca="false">IF(B64="","",SUMIFS(N_PSG,N_CLAVE,AA64))</f>
        <v/>
      </c>
      <c r="P64" s="74" t="str">
        <f aca="false">IF(B64="","",SUMIFS(V_DIAS,V_ID,C64,V_MES,ENVIO_PER))</f>
        <v/>
      </c>
      <c r="Q64" s="73" t="str">
        <f aca="false">IF(B64="","",SUMIFS(N_ATRASO,N_CLAVE,AA64))</f>
        <v/>
      </c>
      <c r="R64" s="74" t="str">
        <f aca="false">IF(B64="","",SUMIFS(N_HE,N_CLAVE,AA64))</f>
        <v/>
      </c>
      <c r="S64" s="71" t="str">
        <f aca="false">IF(B64="","",SUMIFS(N_ANT,N_CLAVE,AA64))</f>
        <v/>
      </c>
      <c r="T64" s="71" t="str">
        <f aca="false">IF(B64="","",SUMIFS(N_BONO,N_CLAVE,AA64))</f>
        <v/>
      </c>
      <c r="U64" s="71" t="str">
        <f aca="false">IF(B64="","",SUMIFS(N_ONI,N_CLAVE,AA64))</f>
        <v/>
      </c>
      <c r="V64" s="71" t="str">
        <f aca="false">IF(B64="","",SUMIFS(N_DESC,N_CLAVE,AA64))</f>
        <v/>
      </c>
      <c r="W64" s="72" t="str">
        <f aca="false">IF(B64="","",IFERROR(INDEX(N_OBS,MATCH(AA64,N_CLAVE,0))&amp;"",""))</f>
        <v/>
      </c>
      <c r="X64" s="70" t="str">
        <f aca="false">IF(B64="","",IF(COUNTIF(N_CLAVE,AA64)&gt;0,"Sí","⚠ Sin registro"))</f>
        <v/>
      </c>
      <c r="Z64" s="81" t="str">
        <f aca="false">IF(B64="","",MATCH(B64,T_AUX,0))</f>
        <v/>
      </c>
      <c r="AA64" s="81" t="str">
        <f aca="false">IF(B64="","",C64&amp;"|"&amp;(YEAR(ENVIO_PER)*100+MONTH(ENVIO_PER)))</f>
        <v/>
      </c>
      <c r="AB64" s="81" t="str">
        <f aca="false">IF(B64="","",INDEX(T_INGRESO,Z64))</f>
        <v/>
      </c>
      <c r="AC64" s="81" t="str">
        <f aca="false">IF(B64="","",N(INDEX(T_EGRESO,Z64)))</f>
        <v/>
      </c>
      <c r="AD64" s="81" t="str">
        <f aca="false">IF(B64="","",IF(OR(AB64&gt;EOMONTH(ENVIO_PER,0),AND(AC64&gt;0,AC64&lt;ENVIO_PER)),0,IF(AND(AB64&lt;=ENVIO_PER,OR(AC64=0,AC64&gt;=EOMONTH(ENVIO_PER,0))),30,MIN(30,IF(AC64=0,EOMONTH(ENVIO_PER,0),MIN(AC64,EOMONTH(ENVIO_PER,0)))-MAX(ENVIO_PER,AB64)+1))))</f>
        <v/>
      </c>
    </row>
    <row r="65" customFormat="false" ht="15" hidden="false" customHeight="false" outlineLevel="0" collapsed="false">
      <c r="B65" s="72" t="str">
        <f aca="false">IF(56&lt;=MAX(T_AUX),56,"")</f>
        <v/>
      </c>
      <c r="C65" s="72" t="str">
        <f aca="false">IF(B65="","",INDEX(T_ID,Z65))</f>
        <v/>
      </c>
      <c r="D65" s="72" t="str">
        <f aca="false">IF(B65="","",INDEX(T_RUT,Z65)&amp;"")</f>
        <v/>
      </c>
      <c r="E65" s="72" t="str">
        <f aca="false">IF(B65="","",INDEX(T_NOMBRE,Z65)&amp;"")</f>
        <v/>
      </c>
      <c r="F65" s="72" t="str">
        <f aca="false">IF(B65="","",INDEX(T_CARGO,Z65)&amp;"")</f>
        <v/>
      </c>
      <c r="G65" s="72" t="str">
        <f aca="false">IF(B65="","",IFERROR(INDEX(C_TIPO,MATCH(C65&amp;"-P"&amp;MAX(1,COUNTIFS(C_ID,C65,C_DEFINE,"Sí",C_INICIO,"&lt;="&amp;EOMONTH(ENVIO_PER,0))),C_CLAVE,0))&amp;"","Sin contrato"))</f>
        <v/>
      </c>
      <c r="H65" s="71" t="str">
        <f aca="false">IF(B65="","",IFERROR(INDEX(C_SUELDO,MATCH(C65&amp;"-S"&amp;MAX(1,COUNTIFS(C_ID,C65,C_SUELDO,"&lt;&gt;",C_INICIO,"&lt;="&amp;EOMONTH(ENVIO_PER,0))),C_CLAVES,0)),0))</f>
        <v/>
      </c>
      <c r="I65" s="70" t="str">
        <f aca="false">IF(B65="","",TRIM(IF(AND(AB65&gt;=ENVIO_PER,AB65&lt;=EOMONTH(ENVIO_PER,0)),"Ingresa el día "&amp;DAY(AB65)&amp;". ","")&amp;IF(AND(AC65&gt;0,AC65&gt;=ENVIO_PER,AC65&lt;=EOMONTH(ENVIO_PER,0)),"Egresa el día "&amp;DAY(AC65)&amp;".","")))</f>
        <v/>
      </c>
      <c r="J65" s="70" t="str">
        <f aca="false">IF(B65="","",IF(COUNTIFS(C_ID,C65,C_INICIO,"&gt;="&amp;ENVIO_PER,C_INICIO,"&lt;="&amp;EOMONTH(ENVIO_PER,0))&gt;0,COUNTIFS(C_ID,C65,C_INICIO,"&gt;="&amp;ENVIO_PER,C_INICIO,"&lt;="&amp;EOMONTH(ENVIO_PER,0))&amp;" documento(s) nuevo(s): ver Contratos",""))</f>
        <v/>
      </c>
      <c r="K65" s="74" t="str">
        <f aca="false">IF(B65="","",IF(COUNTIF(N_CLAVE,AA65)&gt;0,SUMIFS(N_DIAS,N_CLAVE,AA65),AD65))</f>
        <v/>
      </c>
      <c r="L65" s="74" t="str">
        <f aca="false">IF(B65="","",SUMIFS(N_FALTAS,N_CLAVE,AA65))</f>
        <v/>
      </c>
      <c r="M65" s="74" t="str">
        <f aca="false">IF(B65="","",SUMIFS(N_LIC,N_CLAVE,AA65))</f>
        <v/>
      </c>
      <c r="N65" s="74" t="str">
        <f aca="false">IF(B65="","",SUMIFS(N_PCG,N_CLAVE,AA65))</f>
        <v/>
      </c>
      <c r="O65" s="74" t="str">
        <f aca="false">IF(B65="","",SUMIFS(N_PSG,N_CLAVE,AA65))</f>
        <v/>
      </c>
      <c r="P65" s="74" t="str">
        <f aca="false">IF(B65="","",SUMIFS(V_DIAS,V_ID,C65,V_MES,ENVIO_PER))</f>
        <v/>
      </c>
      <c r="Q65" s="73" t="str">
        <f aca="false">IF(B65="","",SUMIFS(N_ATRASO,N_CLAVE,AA65))</f>
        <v/>
      </c>
      <c r="R65" s="74" t="str">
        <f aca="false">IF(B65="","",SUMIFS(N_HE,N_CLAVE,AA65))</f>
        <v/>
      </c>
      <c r="S65" s="71" t="str">
        <f aca="false">IF(B65="","",SUMIFS(N_ANT,N_CLAVE,AA65))</f>
        <v/>
      </c>
      <c r="T65" s="71" t="str">
        <f aca="false">IF(B65="","",SUMIFS(N_BONO,N_CLAVE,AA65))</f>
        <v/>
      </c>
      <c r="U65" s="71" t="str">
        <f aca="false">IF(B65="","",SUMIFS(N_ONI,N_CLAVE,AA65))</f>
        <v/>
      </c>
      <c r="V65" s="71" t="str">
        <f aca="false">IF(B65="","",SUMIFS(N_DESC,N_CLAVE,AA65))</f>
        <v/>
      </c>
      <c r="W65" s="72" t="str">
        <f aca="false">IF(B65="","",IFERROR(INDEX(N_OBS,MATCH(AA65,N_CLAVE,0))&amp;"",""))</f>
        <v/>
      </c>
      <c r="X65" s="70" t="str">
        <f aca="false">IF(B65="","",IF(COUNTIF(N_CLAVE,AA65)&gt;0,"Sí","⚠ Sin registro"))</f>
        <v/>
      </c>
      <c r="Z65" s="81" t="str">
        <f aca="false">IF(B65="","",MATCH(B65,T_AUX,0))</f>
        <v/>
      </c>
      <c r="AA65" s="81" t="str">
        <f aca="false">IF(B65="","",C65&amp;"|"&amp;(YEAR(ENVIO_PER)*100+MONTH(ENVIO_PER)))</f>
        <v/>
      </c>
      <c r="AB65" s="81" t="str">
        <f aca="false">IF(B65="","",INDEX(T_INGRESO,Z65))</f>
        <v/>
      </c>
      <c r="AC65" s="81" t="str">
        <f aca="false">IF(B65="","",N(INDEX(T_EGRESO,Z65)))</f>
        <v/>
      </c>
      <c r="AD65" s="81" t="str">
        <f aca="false">IF(B65="","",IF(OR(AB65&gt;EOMONTH(ENVIO_PER,0),AND(AC65&gt;0,AC65&lt;ENVIO_PER)),0,IF(AND(AB65&lt;=ENVIO_PER,OR(AC65=0,AC65&gt;=EOMONTH(ENVIO_PER,0))),30,MIN(30,IF(AC65=0,EOMONTH(ENVIO_PER,0),MIN(AC65,EOMONTH(ENVIO_PER,0)))-MAX(ENVIO_PER,AB65)+1))))</f>
        <v/>
      </c>
    </row>
    <row r="66" customFormat="false" ht="15" hidden="false" customHeight="false" outlineLevel="0" collapsed="false">
      <c r="B66" s="72" t="str">
        <f aca="false">IF(57&lt;=MAX(T_AUX),57,"")</f>
        <v/>
      </c>
      <c r="C66" s="72" t="str">
        <f aca="false">IF(B66="","",INDEX(T_ID,Z66))</f>
        <v/>
      </c>
      <c r="D66" s="72" t="str">
        <f aca="false">IF(B66="","",INDEX(T_RUT,Z66)&amp;"")</f>
        <v/>
      </c>
      <c r="E66" s="72" t="str">
        <f aca="false">IF(B66="","",INDEX(T_NOMBRE,Z66)&amp;"")</f>
        <v/>
      </c>
      <c r="F66" s="72" t="str">
        <f aca="false">IF(B66="","",INDEX(T_CARGO,Z66)&amp;"")</f>
        <v/>
      </c>
      <c r="G66" s="72" t="str">
        <f aca="false">IF(B66="","",IFERROR(INDEX(C_TIPO,MATCH(C66&amp;"-P"&amp;MAX(1,COUNTIFS(C_ID,C66,C_DEFINE,"Sí",C_INICIO,"&lt;="&amp;EOMONTH(ENVIO_PER,0))),C_CLAVE,0))&amp;"","Sin contrato"))</f>
        <v/>
      </c>
      <c r="H66" s="71" t="str">
        <f aca="false">IF(B66="","",IFERROR(INDEX(C_SUELDO,MATCH(C66&amp;"-S"&amp;MAX(1,COUNTIFS(C_ID,C66,C_SUELDO,"&lt;&gt;",C_INICIO,"&lt;="&amp;EOMONTH(ENVIO_PER,0))),C_CLAVES,0)),0))</f>
        <v/>
      </c>
      <c r="I66" s="70" t="str">
        <f aca="false">IF(B66="","",TRIM(IF(AND(AB66&gt;=ENVIO_PER,AB66&lt;=EOMONTH(ENVIO_PER,0)),"Ingresa el día "&amp;DAY(AB66)&amp;". ","")&amp;IF(AND(AC66&gt;0,AC66&gt;=ENVIO_PER,AC66&lt;=EOMONTH(ENVIO_PER,0)),"Egresa el día "&amp;DAY(AC66)&amp;".","")))</f>
        <v/>
      </c>
      <c r="J66" s="70" t="str">
        <f aca="false">IF(B66="","",IF(COUNTIFS(C_ID,C66,C_INICIO,"&gt;="&amp;ENVIO_PER,C_INICIO,"&lt;="&amp;EOMONTH(ENVIO_PER,0))&gt;0,COUNTIFS(C_ID,C66,C_INICIO,"&gt;="&amp;ENVIO_PER,C_INICIO,"&lt;="&amp;EOMONTH(ENVIO_PER,0))&amp;" documento(s) nuevo(s): ver Contratos",""))</f>
        <v/>
      </c>
      <c r="K66" s="74" t="str">
        <f aca="false">IF(B66="","",IF(COUNTIF(N_CLAVE,AA66)&gt;0,SUMIFS(N_DIAS,N_CLAVE,AA66),AD66))</f>
        <v/>
      </c>
      <c r="L66" s="74" t="str">
        <f aca="false">IF(B66="","",SUMIFS(N_FALTAS,N_CLAVE,AA66))</f>
        <v/>
      </c>
      <c r="M66" s="74" t="str">
        <f aca="false">IF(B66="","",SUMIFS(N_LIC,N_CLAVE,AA66))</f>
        <v/>
      </c>
      <c r="N66" s="74" t="str">
        <f aca="false">IF(B66="","",SUMIFS(N_PCG,N_CLAVE,AA66))</f>
        <v/>
      </c>
      <c r="O66" s="74" t="str">
        <f aca="false">IF(B66="","",SUMIFS(N_PSG,N_CLAVE,AA66))</f>
        <v/>
      </c>
      <c r="P66" s="74" t="str">
        <f aca="false">IF(B66="","",SUMIFS(V_DIAS,V_ID,C66,V_MES,ENVIO_PER))</f>
        <v/>
      </c>
      <c r="Q66" s="73" t="str">
        <f aca="false">IF(B66="","",SUMIFS(N_ATRASO,N_CLAVE,AA66))</f>
        <v/>
      </c>
      <c r="R66" s="74" t="str">
        <f aca="false">IF(B66="","",SUMIFS(N_HE,N_CLAVE,AA66))</f>
        <v/>
      </c>
      <c r="S66" s="71" t="str">
        <f aca="false">IF(B66="","",SUMIFS(N_ANT,N_CLAVE,AA66))</f>
        <v/>
      </c>
      <c r="T66" s="71" t="str">
        <f aca="false">IF(B66="","",SUMIFS(N_BONO,N_CLAVE,AA66))</f>
        <v/>
      </c>
      <c r="U66" s="71" t="str">
        <f aca="false">IF(B66="","",SUMIFS(N_ONI,N_CLAVE,AA66))</f>
        <v/>
      </c>
      <c r="V66" s="71" t="str">
        <f aca="false">IF(B66="","",SUMIFS(N_DESC,N_CLAVE,AA66))</f>
        <v/>
      </c>
      <c r="W66" s="72" t="str">
        <f aca="false">IF(B66="","",IFERROR(INDEX(N_OBS,MATCH(AA66,N_CLAVE,0))&amp;"",""))</f>
        <v/>
      </c>
      <c r="X66" s="70" t="str">
        <f aca="false">IF(B66="","",IF(COUNTIF(N_CLAVE,AA66)&gt;0,"Sí","⚠ Sin registro"))</f>
        <v/>
      </c>
      <c r="Z66" s="81" t="str">
        <f aca="false">IF(B66="","",MATCH(B66,T_AUX,0))</f>
        <v/>
      </c>
      <c r="AA66" s="81" t="str">
        <f aca="false">IF(B66="","",C66&amp;"|"&amp;(YEAR(ENVIO_PER)*100+MONTH(ENVIO_PER)))</f>
        <v/>
      </c>
      <c r="AB66" s="81" t="str">
        <f aca="false">IF(B66="","",INDEX(T_INGRESO,Z66))</f>
        <v/>
      </c>
      <c r="AC66" s="81" t="str">
        <f aca="false">IF(B66="","",N(INDEX(T_EGRESO,Z66)))</f>
        <v/>
      </c>
      <c r="AD66" s="81" t="str">
        <f aca="false">IF(B66="","",IF(OR(AB66&gt;EOMONTH(ENVIO_PER,0),AND(AC66&gt;0,AC66&lt;ENVIO_PER)),0,IF(AND(AB66&lt;=ENVIO_PER,OR(AC66=0,AC66&gt;=EOMONTH(ENVIO_PER,0))),30,MIN(30,IF(AC66=0,EOMONTH(ENVIO_PER,0),MIN(AC66,EOMONTH(ENVIO_PER,0)))-MAX(ENVIO_PER,AB66)+1))))</f>
        <v/>
      </c>
    </row>
    <row r="67" customFormat="false" ht="15" hidden="false" customHeight="false" outlineLevel="0" collapsed="false">
      <c r="B67" s="72" t="str">
        <f aca="false">IF(58&lt;=MAX(T_AUX),58,"")</f>
        <v/>
      </c>
      <c r="C67" s="72" t="str">
        <f aca="false">IF(B67="","",INDEX(T_ID,Z67))</f>
        <v/>
      </c>
      <c r="D67" s="72" t="str">
        <f aca="false">IF(B67="","",INDEX(T_RUT,Z67)&amp;"")</f>
        <v/>
      </c>
      <c r="E67" s="72" t="str">
        <f aca="false">IF(B67="","",INDEX(T_NOMBRE,Z67)&amp;"")</f>
        <v/>
      </c>
      <c r="F67" s="72" t="str">
        <f aca="false">IF(B67="","",INDEX(T_CARGO,Z67)&amp;"")</f>
        <v/>
      </c>
      <c r="G67" s="72" t="str">
        <f aca="false">IF(B67="","",IFERROR(INDEX(C_TIPO,MATCH(C67&amp;"-P"&amp;MAX(1,COUNTIFS(C_ID,C67,C_DEFINE,"Sí",C_INICIO,"&lt;="&amp;EOMONTH(ENVIO_PER,0))),C_CLAVE,0))&amp;"","Sin contrato"))</f>
        <v/>
      </c>
      <c r="H67" s="71" t="str">
        <f aca="false">IF(B67="","",IFERROR(INDEX(C_SUELDO,MATCH(C67&amp;"-S"&amp;MAX(1,COUNTIFS(C_ID,C67,C_SUELDO,"&lt;&gt;",C_INICIO,"&lt;="&amp;EOMONTH(ENVIO_PER,0))),C_CLAVES,0)),0))</f>
        <v/>
      </c>
      <c r="I67" s="70" t="str">
        <f aca="false">IF(B67="","",TRIM(IF(AND(AB67&gt;=ENVIO_PER,AB67&lt;=EOMONTH(ENVIO_PER,0)),"Ingresa el día "&amp;DAY(AB67)&amp;". ","")&amp;IF(AND(AC67&gt;0,AC67&gt;=ENVIO_PER,AC67&lt;=EOMONTH(ENVIO_PER,0)),"Egresa el día "&amp;DAY(AC67)&amp;".","")))</f>
        <v/>
      </c>
      <c r="J67" s="70" t="str">
        <f aca="false">IF(B67="","",IF(COUNTIFS(C_ID,C67,C_INICIO,"&gt;="&amp;ENVIO_PER,C_INICIO,"&lt;="&amp;EOMONTH(ENVIO_PER,0))&gt;0,COUNTIFS(C_ID,C67,C_INICIO,"&gt;="&amp;ENVIO_PER,C_INICIO,"&lt;="&amp;EOMONTH(ENVIO_PER,0))&amp;" documento(s) nuevo(s): ver Contratos",""))</f>
        <v/>
      </c>
      <c r="K67" s="74" t="str">
        <f aca="false">IF(B67="","",IF(COUNTIF(N_CLAVE,AA67)&gt;0,SUMIFS(N_DIAS,N_CLAVE,AA67),AD67))</f>
        <v/>
      </c>
      <c r="L67" s="74" t="str">
        <f aca="false">IF(B67="","",SUMIFS(N_FALTAS,N_CLAVE,AA67))</f>
        <v/>
      </c>
      <c r="M67" s="74" t="str">
        <f aca="false">IF(B67="","",SUMIFS(N_LIC,N_CLAVE,AA67))</f>
        <v/>
      </c>
      <c r="N67" s="74" t="str">
        <f aca="false">IF(B67="","",SUMIFS(N_PCG,N_CLAVE,AA67))</f>
        <v/>
      </c>
      <c r="O67" s="74" t="str">
        <f aca="false">IF(B67="","",SUMIFS(N_PSG,N_CLAVE,AA67))</f>
        <v/>
      </c>
      <c r="P67" s="74" t="str">
        <f aca="false">IF(B67="","",SUMIFS(V_DIAS,V_ID,C67,V_MES,ENVIO_PER))</f>
        <v/>
      </c>
      <c r="Q67" s="73" t="str">
        <f aca="false">IF(B67="","",SUMIFS(N_ATRASO,N_CLAVE,AA67))</f>
        <v/>
      </c>
      <c r="R67" s="74" t="str">
        <f aca="false">IF(B67="","",SUMIFS(N_HE,N_CLAVE,AA67))</f>
        <v/>
      </c>
      <c r="S67" s="71" t="str">
        <f aca="false">IF(B67="","",SUMIFS(N_ANT,N_CLAVE,AA67))</f>
        <v/>
      </c>
      <c r="T67" s="71" t="str">
        <f aca="false">IF(B67="","",SUMIFS(N_BONO,N_CLAVE,AA67))</f>
        <v/>
      </c>
      <c r="U67" s="71" t="str">
        <f aca="false">IF(B67="","",SUMIFS(N_ONI,N_CLAVE,AA67))</f>
        <v/>
      </c>
      <c r="V67" s="71" t="str">
        <f aca="false">IF(B67="","",SUMIFS(N_DESC,N_CLAVE,AA67))</f>
        <v/>
      </c>
      <c r="W67" s="72" t="str">
        <f aca="false">IF(B67="","",IFERROR(INDEX(N_OBS,MATCH(AA67,N_CLAVE,0))&amp;"",""))</f>
        <v/>
      </c>
      <c r="X67" s="70" t="str">
        <f aca="false">IF(B67="","",IF(COUNTIF(N_CLAVE,AA67)&gt;0,"Sí","⚠ Sin registro"))</f>
        <v/>
      </c>
      <c r="Z67" s="81" t="str">
        <f aca="false">IF(B67="","",MATCH(B67,T_AUX,0))</f>
        <v/>
      </c>
      <c r="AA67" s="81" t="str">
        <f aca="false">IF(B67="","",C67&amp;"|"&amp;(YEAR(ENVIO_PER)*100+MONTH(ENVIO_PER)))</f>
        <v/>
      </c>
      <c r="AB67" s="81" t="str">
        <f aca="false">IF(B67="","",INDEX(T_INGRESO,Z67))</f>
        <v/>
      </c>
      <c r="AC67" s="81" t="str">
        <f aca="false">IF(B67="","",N(INDEX(T_EGRESO,Z67)))</f>
        <v/>
      </c>
      <c r="AD67" s="81" t="str">
        <f aca="false">IF(B67="","",IF(OR(AB67&gt;EOMONTH(ENVIO_PER,0),AND(AC67&gt;0,AC67&lt;ENVIO_PER)),0,IF(AND(AB67&lt;=ENVIO_PER,OR(AC67=0,AC67&gt;=EOMONTH(ENVIO_PER,0))),30,MIN(30,IF(AC67=0,EOMONTH(ENVIO_PER,0),MIN(AC67,EOMONTH(ENVIO_PER,0)))-MAX(ENVIO_PER,AB67)+1))))</f>
        <v/>
      </c>
    </row>
    <row r="68" customFormat="false" ht="15" hidden="false" customHeight="false" outlineLevel="0" collapsed="false">
      <c r="B68" s="72" t="str">
        <f aca="false">IF(59&lt;=MAX(T_AUX),59,"")</f>
        <v/>
      </c>
      <c r="C68" s="72" t="str">
        <f aca="false">IF(B68="","",INDEX(T_ID,Z68))</f>
        <v/>
      </c>
      <c r="D68" s="72" t="str">
        <f aca="false">IF(B68="","",INDEX(T_RUT,Z68)&amp;"")</f>
        <v/>
      </c>
      <c r="E68" s="72" t="str">
        <f aca="false">IF(B68="","",INDEX(T_NOMBRE,Z68)&amp;"")</f>
        <v/>
      </c>
      <c r="F68" s="72" t="str">
        <f aca="false">IF(B68="","",INDEX(T_CARGO,Z68)&amp;"")</f>
        <v/>
      </c>
      <c r="G68" s="72" t="str">
        <f aca="false">IF(B68="","",IFERROR(INDEX(C_TIPO,MATCH(C68&amp;"-P"&amp;MAX(1,COUNTIFS(C_ID,C68,C_DEFINE,"Sí",C_INICIO,"&lt;="&amp;EOMONTH(ENVIO_PER,0))),C_CLAVE,0))&amp;"","Sin contrato"))</f>
        <v/>
      </c>
      <c r="H68" s="71" t="str">
        <f aca="false">IF(B68="","",IFERROR(INDEX(C_SUELDO,MATCH(C68&amp;"-S"&amp;MAX(1,COUNTIFS(C_ID,C68,C_SUELDO,"&lt;&gt;",C_INICIO,"&lt;="&amp;EOMONTH(ENVIO_PER,0))),C_CLAVES,0)),0))</f>
        <v/>
      </c>
      <c r="I68" s="70" t="str">
        <f aca="false">IF(B68="","",TRIM(IF(AND(AB68&gt;=ENVIO_PER,AB68&lt;=EOMONTH(ENVIO_PER,0)),"Ingresa el día "&amp;DAY(AB68)&amp;". ","")&amp;IF(AND(AC68&gt;0,AC68&gt;=ENVIO_PER,AC68&lt;=EOMONTH(ENVIO_PER,0)),"Egresa el día "&amp;DAY(AC68)&amp;".","")))</f>
        <v/>
      </c>
      <c r="J68" s="70" t="str">
        <f aca="false">IF(B68="","",IF(COUNTIFS(C_ID,C68,C_INICIO,"&gt;="&amp;ENVIO_PER,C_INICIO,"&lt;="&amp;EOMONTH(ENVIO_PER,0))&gt;0,COUNTIFS(C_ID,C68,C_INICIO,"&gt;="&amp;ENVIO_PER,C_INICIO,"&lt;="&amp;EOMONTH(ENVIO_PER,0))&amp;" documento(s) nuevo(s): ver Contratos",""))</f>
        <v/>
      </c>
      <c r="K68" s="74" t="str">
        <f aca="false">IF(B68="","",IF(COUNTIF(N_CLAVE,AA68)&gt;0,SUMIFS(N_DIAS,N_CLAVE,AA68),AD68))</f>
        <v/>
      </c>
      <c r="L68" s="74" t="str">
        <f aca="false">IF(B68="","",SUMIFS(N_FALTAS,N_CLAVE,AA68))</f>
        <v/>
      </c>
      <c r="M68" s="74" t="str">
        <f aca="false">IF(B68="","",SUMIFS(N_LIC,N_CLAVE,AA68))</f>
        <v/>
      </c>
      <c r="N68" s="74" t="str">
        <f aca="false">IF(B68="","",SUMIFS(N_PCG,N_CLAVE,AA68))</f>
        <v/>
      </c>
      <c r="O68" s="74" t="str">
        <f aca="false">IF(B68="","",SUMIFS(N_PSG,N_CLAVE,AA68))</f>
        <v/>
      </c>
      <c r="P68" s="74" t="str">
        <f aca="false">IF(B68="","",SUMIFS(V_DIAS,V_ID,C68,V_MES,ENVIO_PER))</f>
        <v/>
      </c>
      <c r="Q68" s="73" t="str">
        <f aca="false">IF(B68="","",SUMIFS(N_ATRASO,N_CLAVE,AA68))</f>
        <v/>
      </c>
      <c r="R68" s="74" t="str">
        <f aca="false">IF(B68="","",SUMIFS(N_HE,N_CLAVE,AA68))</f>
        <v/>
      </c>
      <c r="S68" s="71" t="str">
        <f aca="false">IF(B68="","",SUMIFS(N_ANT,N_CLAVE,AA68))</f>
        <v/>
      </c>
      <c r="T68" s="71" t="str">
        <f aca="false">IF(B68="","",SUMIFS(N_BONO,N_CLAVE,AA68))</f>
        <v/>
      </c>
      <c r="U68" s="71" t="str">
        <f aca="false">IF(B68="","",SUMIFS(N_ONI,N_CLAVE,AA68))</f>
        <v/>
      </c>
      <c r="V68" s="71" t="str">
        <f aca="false">IF(B68="","",SUMIFS(N_DESC,N_CLAVE,AA68))</f>
        <v/>
      </c>
      <c r="W68" s="72" t="str">
        <f aca="false">IF(B68="","",IFERROR(INDEX(N_OBS,MATCH(AA68,N_CLAVE,0))&amp;"",""))</f>
        <v/>
      </c>
      <c r="X68" s="70" t="str">
        <f aca="false">IF(B68="","",IF(COUNTIF(N_CLAVE,AA68)&gt;0,"Sí","⚠ Sin registro"))</f>
        <v/>
      </c>
      <c r="Z68" s="81" t="str">
        <f aca="false">IF(B68="","",MATCH(B68,T_AUX,0))</f>
        <v/>
      </c>
      <c r="AA68" s="81" t="str">
        <f aca="false">IF(B68="","",C68&amp;"|"&amp;(YEAR(ENVIO_PER)*100+MONTH(ENVIO_PER)))</f>
        <v/>
      </c>
      <c r="AB68" s="81" t="str">
        <f aca="false">IF(B68="","",INDEX(T_INGRESO,Z68))</f>
        <v/>
      </c>
      <c r="AC68" s="81" t="str">
        <f aca="false">IF(B68="","",N(INDEX(T_EGRESO,Z68)))</f>
        <v/>
      </c>
      <c r="AD68" s="81" t="str">
        <f aca="false">IF(B68="","",IF(OR(AB68&gt;EOMONTH(ENVIO_PER,0),AND(AC68&gt;0,AC68&lt;ENVIO_PER)),0,IF(AND(AB68&lt;=ENVIO_PER,OR(AC68=0,AC68&gt;=EOMONTH(ENVIO_PER,0))),30,MIN(30,IF(AC68=0,EOMONTH(ENVIO_PER,0),MIN(AC68,EOMONTH(ENVIO_PER,0)))-MAX(ENVIO_PER,AB68)+1))))</f>
        <v/>
      </c>
    </row>
    <row r="69" customFormat="false" ht="15" hidden="false" customHeight="false" outlineLevel="0" collapsed="false">
      <c r="B69" s="72" t="str">
        <f aca="false">IF(60&lt;=MAX(T_AUX),60,"")</f>
        <v/>
      </c>
      <c r="C69" s="72" t="str">
        <f aca="false">IF(B69="","",INDEX(T_ID,Z69))</f>
        <v/>
      </c>
      <c r="D69" s="72" t="str">
        <f aca="false">IF(B69="","",INDEX(T_RUT,Z69)&amp;"")</f>
        <v/>
      </c>
      <c r="E69" s="72" t="str">
        <f aca="false">IF(B69="","",INDEX(T_NOMBRE,Z69)&amp;"")</f>
        <v/>
      </c>
      <c r="F69" s="72" t="str">
        <f aca="false">IF(B69="","",INDEX(T_CARGO,Z69)&amp;"")</f>
        <v/>
      </c>
      <c r="G69" s="72" t="str">
        <f aca="false">IF(B69="","",IFERROR(INDEX(C_TIPO,MATCH(C69&amp;"-P"&amp;MAX(1,COUNTIFS(C_ID,C69,C_DEFINE,"Sí",C_INICIO,"&lt;="&amp;EOMONTH(ENVIO_PER,0))),C_CLAVE,0))&amp;"","Sin contrato"))</f>
        <v/>
      </c>
      <c r="H69" s="71" t="str">
        <f aca="false">IF(B69="","",IFERROR(INDEX(C_SUELDO,MATCH(C69&amp;"-S"&amp;MAX(1,COUNTIFS(C_ID,C69,C_SUELDO,"&lt;&gt;",C_INICIO,"&lt;="&amp;EOMONTH(ENVIO_PER,0))),C_CLAVES,0)),0))</f>
        <v/>
      </c>
      <c r="I69" s="70" t="str">
        <f aca="false">IF(B69="","",TRIM(IF(AND(AB69&gt;=ENVIO_PER,AB69&lt;=EOMONTH(ENVIO_PER,0)),"Ingresa el día "&amp;DAY(AB69)&amp;". ","")&amp;IF(AND(AC69&gt;0,AC69&gt;=ENVIO_PER,AC69&lt;=EOMONTH(ENVIO_PER,0)),"Egresa el día "&amp;DAY(AC69)&amp;".","")))</f>
        <v/>
      </c>
      <c r="J69" s="70" t="str">
        <f aca="false">IF(B69="","",IF(COUNTIFS(C_ID,C69,C_INICIO,"&gt;="&amp;ENVIO_PER,C_INICIO,"&lt;="&amp;EOMONTH(ENVIO_PER,0))&gt;0,COUNTIFS(C_ID,C69,C_INICIO,"&gt;="&amp;ENVIO_PER,C_INICIO,"&lt;="&amp;EOMONTH(ENVIO_PER,0))&amp;" documento(s) nuevo(s): ver Contratos",""))</f>
        <v/>
      </c>
      <c r="K69" s="74" t="str">
        <f aca="false">IF(B69="","",IF(COUNTIF(N_CLAVE,AA69)&gt;0,SUMIFS(N_DIAS,N_CLAVE,AA69),AD69))</f>
        <v/>
      </c>
      <c r="L69" s="74" t="str">
        <f aca="false">IF(B69="","",SUMIFS(N_FALTAS,N_CLAVE,AA69))</f>
        <v/>
      </c>
      <c r="M69" s="74" t="str">
        <f aca="false">IF(B69="","",SUMIFS(N_LIC,N_CLAVE,AA69))</f>
        <v/>
      </c>
      <c r="N69" s="74" t="str">
        <f aca="false">IF(B69="","",SUMIFS(N_PCG,N_CLAVE,AA69))</f>
        <v/>
      </c>
      <c r="O69" s="74" t="str">
        <f aca="false">IF(B69="","",SUMIFS(N_PSG,N_CLAVE,AA69))</f>
        <v/>
      </c>
      <c r="P69" s="74" t="str">
        <f aca="false">IF(B69="","",SUMIFS(V_DIAS,V_ID,C69,V_MES,ENVIO_PER))</f>
        <v/>
      </c>
      <c r="Q69" s="73" t="str">
        <f aca="false">IF(B69="","",SUMIFS(N_ATRASO,N_CLAVE,AA69))</f>
        <v/>
      </c>
      <c r="R69" s="74" t="str">
        <f aca="false">IF(B69="","",SUMIFS(N_HE,N_CLAVE,AA69))</f>
        <v/>
      </c>
      <c r="S69" s="71" t="str">
        <f aca="false">IF(B69="","",SUMIFS(N_ANT,N_CLAVE,AA69))</f>
        <v/>
      </c>
      <c r="T69" s="71" t="str">
        <f aca="false">IF(B69="","",SUMIFS(N_BONO,N_CLAVE,AA69))</f>
        <v/>
      </c>
      <c r="U69" s="71" t="str">
        <f aca="false">IF(B69="","",SUMIFS(N_ONI,N_CLAVE,AA69))</f>
        <v/>
      </c>
      <c r="V69" s="71" t="str">
        <f aca="false">IF(B69="","",SUMIFS(N_DESC,N_CLAVE,AA69))</f>
        <v/>
      </c>
      <c r="W69" s="72" t="str">
        <f aca="false">IF(B69="","",IFERROR(INDEX(N_OBS,MATCH(AA69,N_CLAVE,0))&amp;"",""))</f>
        <v/>
      </c>
      <c r="X69" s="70" t="str">
        <f aca="false">IF(B69="","",IF(COUNTIF(N_CLAVE,AA69)&gt;0,"Sí","⚠ Sin registro"))</f>
        <v/>
      </c>
      <c r="Z69" s="81" t="str">
        <f aca="false">IF(B69="","",MATCH(B69,T_AUX,0))</f>
        <v/>
      </c>
      <c r="AA69" s="81" t="str">
        <f aca="false">IF(B69="","",C69&amp;"|"&amp;(YEAR(ENVIO_PER)*100+MONTH(ENVIO_PER)))</f>
        <v/>
      </c>
      <c r="AB69" s="81" t="str">
        <f aca="false">IF(B69="","",INDEX(T_INGRESO,Z69))</f>
        <v/>
      </c>
      <c r="AC69" s="81" t="str">
        <f aca="false">IF(B69="","",N(INDEX(T_EGRESO,Z69)))</f>
        <v/>
      </c>
      <c r="AD69" s="81" t="str">
        <f aca="false">IF(B69="","",IF(OR(AB69&gt;EOMONTH(ENVIO_PER,0),AND(AC69&gt;0,AC69&lt;ENVIO_PER)),0,IF(AND(AB69&lt;=ENVIO_PER,OR(AC69=0,AC69&gt;=EOMONTH(ENVIO_PER,0))),30,MIN(30,IF(AC69=0,EOMONTH(ENVIO_PER,0),MIN(AC69,EOMONTH(ENVIO_PER,0)))-MAX(ENVIO_PER,AB69)+1))))</f>
        <v/>
      </c>
    </row>
    <row r="70" customFormat="false" ht="15" hidden="false" customHeight="false" outlineLevel="0" collapsed="false">
      <c r="B70" s="72" t="str">
        <f aca="false">IF(61&lt;=MAX(T_AUX),61,"")</f>
        <v/>
      </c>
      <c r="C70" s="72" t="str">
        <f aca="false">IF(B70="","",INDEX(T_ID,Z70))</f>
        <v/>
      </c>
      <c r="D70" s="72" t="str">
        <f aca="false">IF(B70="","",INDEX(T_RUT,Z70)&amp;"")</f>
        <v/>
      </c>
      <c r="E70" s="72" t="str">
        <f aca="false">IF(B70="","",INDEX(T_NOMBRE,Z70)&amp;"")</f>
        <v/>
      </c>
      <c r="F70" s="72" t="str">
        <f aca="false">IF(B70="","",INDEX(T_CARGO,Z70)&amp;"")</f>
        <v/>
      </c>
      <c r="G70" s="72" t="str">
        <f aca="false">IF(B70="","",IFERROR(INDEX(C_TIPO,MATCH(C70&amp;"-P"&amp;MAX(1,COUNTIFS(C_ID,C70,C_DEFINE,"Sí",C_INICIO,"&lt;="&amp;EOMONTH(ENVIO_PER,0))),C_CLAVE,0))&amp;"","Sin contrato"))</f>
        <v/>
      </c>
      <c r="H70" s="71" t="str">
        <f aca="false">IF(B70="","",IFERROR(INDEX(C_SUELDO,MATCH(C70&amp;"-S"&amp;MAX(1,COUNTIFS(C_ID,C70,C_SUELDO,"&lt;&gt;",C_INICIO,"&lt;="&amp;EOMONTH(ENVIO_PER,0))),C_CLAVES,0)),0))</f>
        <v/>
      </c>
      <c r="I70" s="70" t="str">
        <f aca="false">IF(B70="","",TRIM(IF(AND(AB70&gt;=ENVIO_PER,AB70&lt;=EOMONTH(ENVIO_PER,0)),"Ingresa el día "&amp;DAY(AB70)&amp;". ","")&amp;IF(AND(AC70&gt;0,AC70&gt;=ENVIO_PER,AC70&lt;=EOMONTH(ENVIO_PER,0)),"Egresa el día "&amp;DAY(AC70)&amp;".","")))</f>
        <v/>
      </c>
      <c r="J70" s="70" t="str">
        <f aca="false">IF(B70="","",IF(COUNTIFS(C_ID,C70,C_INICIO,"&gt;="&amp;ENVIO_PER,C_INICIO,"&lt;="&amp;EOMONTH(ENVIO_PER,0))&gt;0,COUNTIFS(C_ID,C70,C_INICIO,"&gt;="&amp;ENVIO_PER,C_INICIO,"&lt;="&amp;EOMONTH(ENVIO_PER,0))&amp;" documento(s) nuevo(s): ver Contratos",""))</f>
        <v/>
      </c>
      <c r="K70" s="74" t="str">
        <f aca="false">IF(B70="","",IF(COUNTIF(N_CLAVE,AA70)&gt;0,SUMIFS(N_DIAS,N_CLAVE,AA70),AD70))</f>
        <v/>
      </c>
      <c r="L70" s="74" t="str">
        <f aca="false">IF(B70="","",SUMIFS(N_FALTAS,N_CLAVE,AA70))</f>
        <v/>
      </c>
      <c r="M70" s="74" t="str">
        <f aca="false">IF(B70="","",SUMIFS(N_LIC,N_CLAVE,AA70))</f>
        <v/>
      </c>
      <c r="N70" s="74" t="str">
        <f aca="false">IF(B70="","",SUMIFS(N_PCG,N_CLAVE,AA70))</f>
        <v/>
      </c>
      <c r="O70" s="74" t="str">
        <f aca="false">IF(B70="","",SUMIFS(N_PSG,N_CLAVE,AA70))</f>
        <v/>
      </c>
      <c r="P70" s="74" t="str">
        <f aca="false">IF(B70="","",SUMIFS(V_DIAS,V_ID,C70,V_MES,ENVIO_PER))</f>
        <v/>
      </c>
      <c r="Q70" s="73" t="str">
        <f aca="false">IF(B70="","",SUMIFS(N_ATRASO,N_CLAVE,AA70))</f>
        <v/>
      </c>
      <c r="R70" s="74" t="str">
        <f aca="false">IF(B70="","",SUMIFS(N_HE,N_CLAVE,AA70))</f>
        <v/>
      </c>
      <c r="S70" s="71" t="str">
        <f aca="false">IF(B70="","",SUMIFS(N_ANT,N_CLAVE,AA70))</f>
        <v/>
      </c>
      <c r="T70" s="71" t="str">
        <f aca="false">IF(B70="","",SUMIFS(N_BONO,N_CLAVE,AA70))</f>
        <v/>
      </c>
      <c r="U70" s="71" t="str">
        <f aca="false">IF(B70="","",SUMIFS(N_ONI,N_CLAVE,AA70))</f>
        <v/>
      </c>
      <c r="V70" s="71" t="str">
        <f aca="false">IF(B70="","",SUMIFS(N_DESC,N_CLAVE,AA70))</f>
        <v/>
      </c>
      <c r="W70" s="72" t="str">
        <f aca="false">IF(B70="","",IFERROR(INDEX(N_OBS,MATCH(AA70,N_CLAVE,0))&amp;"",""))</f>
        <v/>
      </c>
      <c r="X70" s="70" t="str">
        <f aca="false">IF(B70="","",IF(COUNTIF(N_CLAVE,AA70)&gt;0,"Sí","⚠ Sin registro"))</f>
        <v/>
      </c>
      <c r="Z70" s="81" t="str">
        <f aca="false">IF(B70="","",MATCH(B70,T_AUX,0))</f>
        <v/>
      </c>
      <c r="AA70" s="81" t="str">
        <f aca="false">IF(B70="","",C70&amp;"|"&amp;(YEAR(ENVIO_PER)*100+MONTH(ENVIO_PER)))</f>
        <v/>
      </c>
      <c r="AB70" s="81" t="str">
        <f aca="false">IF(B70="","",INDEX(T_INGRESO,Z70))</f>
        <v/>
      </c>
      <c r="AC70" s="81" t="str">
        <f aca="false">IF(B70="","",N(INDEX(T_EGRESO,Z70)))</f>
        <v/>
      </c>
      <c r="AD70" s="81" t="str">
        <f aca="false">IF(B70="","",IF(OR(AB70&gt;EOMONTH(ENVIO_PER,0),AND(AC70&gt;0,AC70&lt;ENVIO_PER)),0,IF(AND(AB70&lt;=ENVIO_PER,OR(AC70=0,AC70&gt;=EOMONTH(ENVIO_PER,0))),30,MIN(30,IF(AC70=0,EOMONTH(ENVIO_PER,0),MIN(AC70,EOMONTH(ENVIO_PER,0)))-MAX(ENVIO_PER,AB70)+1))))</f>
        <v/>
      </c>
    </row>
    <row r="71" customFormat="false" ht="15" hidden="false" customHeight="false" outlineLevel="0" collapsed="false">
      <c r="B71" s="72" t="str">
        <f aca="false">IF(62&lt;=MAX(T_AUX),62,"")</f>
        <v/>
      </c>
      <c r="C71" s="72" t="str">
        <f aca="false">IF(B71="","",INDEX(T_ID,Z71))</f>
        <v/>
      </c>
      <c r="D71" s="72" t="str">
        <f aca="false">IF(B71="","",INDEX(T_RUT,Z71)&amp;"")</f>
        <v/>
      </c>
      <c r="E71" s="72" t="str">
        <f aca="false">IF(B71="","",INDEX(T_NOMBRE,Z71)&amp;"")</f>
        <v/>
      </c>
      <c r="F71" s="72" t="str">
        <f aca="false">IF(B71="","",INDEX(T_CARGO,Z71)&amp;"")</f>
        <v/>
      </c>
      <c r="G71" s="72" t="str">
        <f aca="false">IF(B71="","",IFERROR(INDEX(C_TIPO,MATCH(C71&amp;"-P"&amp;MAX(1,COUNTIFS(C_ID,C71,C_DEFINE,"Sí",C_INICIO,"&lt;="&amp;EOMONTH(ENVIO_PER,0))),C_CLAVE,0))&amp;"","Sin contrato"))</f>
        <v/>
      </c>
      <c r="H71" s="71" t="str">
        <f aca="false">IF(B71="","",IFERROR(INDEX(C_SUELDO,MATCH(C71&amp;"-S"&amp;MAX(1,COUNTIFS(C_ID,C71,C_SUELDO,"&lt;&gt;",C_INICIO,"&lt;="&amp;EOMONTH(ENVIO_PER,0))),C_CLAVES,0)),0))</f>
        <v/>
      </c>
      <c r="I71" s="70" t="str">
        <f aca="false">IF(B71="","",TRIM(IF(AND(AB71&gt;=ENVIO_PER,AB71&lt;=EOMONTH(ENVIO_PER,0)),"Ingresa el día "&amp;DAY(AB71)&amp;". ","")&amp;IF(AND(AC71&gt;0,AC71&gt;=ENVIO_PER,AC71&lt;=EOMONTH(ENVIO_PER,0)),"Egresa el día "&amp;DAY(AC71)&amp;".","")))</f>
        <v/>
      </c>
      <c r="J71" s="70" t="str">
        <f aca="false">IF(B71="","",IF(COUNTIFS(C_ID,C71,C_INICIO,"&gt;="&amp;ENVIO_PER,C_INICIO,"&lt;="&amp;EOMONTH(ENVIO_PER,0))&gt;0,COUNTIFS(C_ID,C71,C_INICIO,"&gt;="&amp;ENVIO_PER,C_INICIO,"&lt;="&amp;EOMONTH(ENVIO_PER,0))&amp;" documento(s) nuevo(s): ver Contratos",""))</f>
        <v/>
      </c>
      <c r="K71" s="74" t="str">
        <f aca="false">IF(B71="","",IF(COUNTIF(N_CLAVE,AA71)&gt;0,SUMIFS(N_DIAS,N_CLAVE,AA71),AD71))</f>
        <v/>
      </c>
      <c r="L71" s="74" t="str">
        <f aca="false">IF(B71="","",SUMIFS(N_FALTAS,N_CLAVE,AA71))</f>
        <v/>
      </c>
      <c r="M71" s="74" t="str">
        <f aca="false">IF(B71="","",SUMIFS(N_LIC,N_CLAVE,AA71))</f>
        <v/>
      </c>
      <c r="N71" s="74" t="str">
        <f aca="false">IF(B71="","",SUMIFS(N_PCG,N_CLAVE,AA71))</f>
        <v/>
      </c>
      <c r="O71" s="74" t="str">
        <f aca="false">IF(B71="","",SUMIFS(N_PSG,N_CLAVE,AA71))</f>
        <v/>
      </c>
      <c r="P71" s="74" t="str">
        <f aca="false">IF(B71="","",SUMIFS(V_DIAS,V_ID,C71,V_MES,ENVIO_PER))</f>
        <v/>
      </c>
      <c r="Q71" s="73" t="str">
        <f aca="false">IF(B71="","",SUMIFS(N_ATRASO,N_CLAVE,AA71))</f>
        <v/>
      </c>
      <c r="R71" s="74" t="str">
        <f aca="false">IF(B71="","",SUMIFS(N_HE,N_CLAVE,AA71))</f>
        <v/>
      </c>
      <c r="S71" s="71" t="str">
        <f aca="false">IF(B71="","",SUMIFS(N_ANT,N_CLAVE,AA71))</f>
        <v/>
      </c>
      <c r="T71" s="71" t="str">
        <f aca="false">IF(B71="","",SUMIFS(N_BONO,N_CLAVE,AA71))</f>
        <v/>
      </c>
      <c r="U71" s="71" t="str">
        <f aca="false">IF(B71="","",SUMIFS(N_ONI,N_CLAVE,AA71))</f>
        <v/>
      </c>
      <c r="V71" s="71" t="str">
        <f aca="false">IF(B71="","",SUMIFS(N_DESC,N_CLAVE,AA71))</f>
        <v/>
      </c>
      <c r="W71" s="72" t="str">
        <f aca="false">IF(B71="","",IFERROR(INDEX(N_OBS,MATCH(AA71,N_CLAVE,0))&amp;"",""))</f>
        <v/>
      </c>
      <c r="X71" s="70" t="str">
        <f aca="false">IF(B71="","",IF(COUNTIF(N_CLAVE,AA71)&gt;0,"Sí","⚠ Sin registro"))</f>
        <v/>
      </c>
      <c r="Z71" s="81" t="str">
        <f aca="false">IF(B71="","",MATCH(B71,T_AUX,0))</f>
        <v/>
      </c>
      <c r="AA71" s="81" t="str">
        <f aca="false">IF(B71="","",C71&amp;"|"&amp;(YEAR(ENVIO_PER)*100+MONTH(ENVIO_PER)))</f>
        <v/>
      </c>
      <c r="AB71" s="81" t="str">
        <f aca="false">IF(B71="","",INDEX(T_INGRESO,Z71))</f>
        <v/>
      </c>
      <c r="AC71" s="81" t="str">
        <f aca="false">IF(B71="","",N(INDEX(T_EGRESO,Z71)))</f>
        <v/>
      </c>
      <c r="AD71" s="81" t="str">
        <f aca="false">IF(B71="","",IF(OR(AB71&gt;EOMONTH(ENVIO_PER,0),AND(AC71&gt;0,AC71&lt;ENVIO_PER)),0,IF(AND(AB71&lt;=ENVIO_PER,OR(AC71=0,AC71&gt;=EOMONTH(ENVIO_PER,0))),30,MIN(30,IF(AC71=0,EOMONTH(ENVIO_PER,0),MIN(AC71,EOMONTH(ENVIO_PER,0)))-MAX(ENVIO_PER,AB71)+1))))</f>
        <v/>
      </c>
    </row>
    <row r="72" customFormat="false" ht="15" hidden="false" customHeight="false" outlineLevel="0" collapsed="false">
      <c r="B72" s="72" t="str">
        <f aca="false">IF(63&lt;=MAX(T_AUX),63,"")</f>
        <v/>
      </c>
      <c r="C72" s="72" t="str">
        <f aca="false">IF(B72="","",INDEX(T_ID,Z72))</f>
        <v/>
      </c>
      <c r="D72" s="72" t="str">
        <f aca="false">IF(B72="","",INDEX(T_RUT,Z72)&amp;"")</f>
        <v/>
      </c>
      <c r="E72" s="72" t="str">
        <f aca="false">IF(B72="","",INDEX(T_NOMBRE,Z72)&amp;"")</f>
        <v/>
      </c>
      <c r="F72" s="72" t="str">
        <f aca="false">IF(B72="","",INDEX(T_CARGO,Z72)&amp;"")</f>
        <v/>
      </c>
      <c r="G72" s="72" t="str">
        <f aca="false">IF(B72="","",IFERROR(INDEX(C_TIPO,MATCH(C72&amp;"-P"&amp;MAX(1,COUNTIFS(C_ID,C72,C_DEFINE,"Sí",C_INICIO,"&lt;="&amp;EOMONTH(ENVIO_PER,0))),C_CLAVE,0))&amp;"","Sin contrato"))</f>
        <v/>
      </c>
      <c r="H72" s="71" t="str">
        <f aca="false">IF(B72="","",IFERROR(INDEX(C_SUELDO,MATCH(C72&amp;"-S"&amp;MAX(1,COUNTIFS(C_ID,C72,C_SUELDO,"&lt;&gt;",C_INICIO,"&lt;="&amp;EOMONTH(ENVIO_PER,0))),C_CLAVES,0)),0))</f>
        <v/>
      </c>
      <c r="I72" s="70" t="str">
        <f aca="false">IF(B72="","",TRIM(IF(AND(AB72&gt;=ENVIO_PER,AB72&lt;=EOMONTH(ENVIO_PER,0)),"Ingresa el día "&amp;DAY(AB72)&amp;". ","")&amp;IF(AND(AC72&gt;0,AC72&gt;=ENVIO_PER,AC72&lt;=EOMONTH(ENVIO_PER,0)),"Egresa el día "&amp;DAY(AC72)&amp;".","")))</f>
        <v/>
      </c>
      <c r="J72" s="70" t="str">
        <f aca="false">IF(B72="","",IF(COUNTIFS(C_ID,C72,C_INICIO,"&gt;="&amp;ENVIO_PER,C_INICIO,"&lt;="&amp;EOMONTH(ENVIO_PER,0))&gt;0,COUNTIFS(C_ID,C72,C_INICIO,"&gt;="&amp;ENVIO_PER,C_INICIO,"&lt;="&amp;EOMONTH(ENVIO_PER,0))&amp;" documento(s) nuevo(s): ver Contratos",""))</f>
        <v/>
      </c>
      <c r="K72" s="74" t="str">
        <f aca="false">IF(B72="","",IF(COUNTIF(N_CLAVE,AA72)&gt;0,SUMIFS(N_DIAS,N_CLAVE,AA72),AD72))</f>
        <v/>
      </c>
      <c r="L72" s="74" t="str">
        <f aca="false">IF(B72="","",SUMIFS(N_FALTAS,N_CLAVE,AA72))</f>
        <v/>
      </c>
      <c r="M72" s="74" t="str">
        <f aca="false">IF(B72="","",SUMIFS(N_LIC,N_CLAVE,AA72))</f>
        <v/>
      </c>
      <c r="N72" s="74" t="str">
        <f aca="false">IF(B72="","",SUMIFS(N_PCG,N_CLAVE,AA72))</f>
        <v/>
      </c>
      <c r="O72" s="74" t="str">
        <f aca="false">IF(B72="","",SUMIFS(N_PSG,N_CLAVE,AA72))</f>
        <v/>
      </c>
      <c r="P72" s="74" t="str">
        <f aca="false">IF(B72="","",SUMIFS(V_DIAS,V_ID,C72,V_MES,ENVIO_PER))</f>
        <v/>
      </c>
      <c r="Q72" s="73" t="str">
        <f aca="false">IF(B72="","",SUMIFS(N_ATRASO,N_CLAVE,AA72))</f>
        <v/>
      </c>
      <c r="R72" s="74" t="str">
        <f aca="false">IF(B72="","",SUMIFS(N_HE,N_CLAVE,AA72))</f>
        <v/>
      </c>
      <c r="S72" s="71" t="str">
        <f aca="false">IF(B72="","",SUMIFS(N_ANT,N_CLAVE,AA72))</f>
        <v/>
      </c>
      <c r="T72" s="71" t="str">
        <f aca="false">IF(B72="","",SUMIFS(N_BONO,N_CLAVE,AA72))</f>
        <v/>
      </c>
      <c r="U72" s="71" t="str">
        <f aca="false">IF(B72="","",SUMIFS(N_ONI,N_CLAVE,AA72))</f>
        <v/>
      </c>
      <c r="V72" s="71" t="str">
        <f aca="false">IF(B72="","",SUMIFS(N_DESC,N_CLAVE,AA72))</f>
        <v/>
      </c>
      <c r="W72" s="72" t="str">
        <f aca="false">IF(B72="","",IFERROR(INDEX(N_OBS,MATCH(AA72,N_CLAVE,0))&amp;"",""))</f>
        <v/>
      </c>
      <c r="X72" s="70" t="str">
        <f aca="false">IF(B72="","",IF(COUNTIF(N_CLAVE,AA72)&gt;0,"Sí","⚠ Sin registro"))</f>
        <v/>
      </c>
      <c r="Z72" s="81" t="str">
        <f aca="false">IF(B72="","",MATCH(B72,T_AUX,0))</f>
        <v/>
      </c>
      <c r="AA72" s="81" t="str">
        <f aca="false">IF(B72="","",C72&amp;"|"&amp;(YEAR(ENVIO_PER)*100+MONTH(ENVIO_PER)))</f>
        <v/>
      </c>
      <c r="AB72" s="81" t="str">
        <f aca="false">IF(B72="","",INDEX(T_INGRESO,Z72))</f>
        <v/>
      </c>
      <c r="AC72" s="81" t="str">
        <f aca="false">IF(B72="","",N(INDEX(T_EGRESO,Z72)))</f>
        <v/>
      </c>
      <c r="AD72" s="81" t="str">
        <f aca="false">IF(B72="","",IF(OR(AB72&gt;EOMONTH(ENVIO_PER,0),AND(AC72&gt;0,AC72&lt;ENVIO_PER)),0,IF(AND(AB72&lt;=ENVIO_PER,OR(AC72=0,AC72&gt;=EOMONTH(ENVIO_PER,0))),30,MIN(30,IF(AC72=0,EOMONTH(ENVIO_PER,0),MIN(AC72,EOMONTH(ENVIO_PER,0)))-MAX(ENVIO_PER,AB72)+1))))</f>
        <v/>
      </c>
    </row>
    <row r="73" customFormat="false" ht="15" hidden="false" customHeight="false" outlineLevel="0" collapsed="false">
      <c r="B73" s="72" t="str">
        <f aca="false">IF(64&lt;=MAX(T_AUX),64,"")</f>
        <v/>
      </c>
      <c r="C73" s="72" t="str">
        <f aca="false">IF(B73="","",INDEX(T_ID,Z73))</f>
        <v/>
      </c>
      <c r="D73" s="72" t="str">
        <f aca="false">IF(B73="","",INDEX(T_RUT,Z73)&amp;"")</f>
        <v/>
      </c>
      <c r="E73" s="72" t="str">
        <f aca="false">IF(B73="","",INDEX(T_NOMBRE,Z73)&amp;"")</f>
        <v/>
      </c>
      <c r="F73" s="72" t="str">
        <f aca="false">IF(B73="","",INDEX(T_CARGO,Z73)&amp;"")</f>
        <v/>
      </c>
      <c r="G73" s="72" t="str">
        <f aca="false">IF(B73="","",IFERROR(INDEX(C_TIPO,MATCH(C73&amp;"-P"&amp;MAX(1,COUNTIFS(C_ID,C73,C_DEFINE,"Sí",C_INICIO,"&lt;="&amp;EOMONTH(ENVIO_PER,0))),C_CLAVE,0))&amp;"","Sin contrato"))</f>
        <v/>
      </c>
      <c r="H73" s="71" t="str">
        <f aca="false">IF(B73="","",IFERROR(INDEX(C_SUELDO,MATCH(C73&amp;"-S"&amp;MAX(1,COUNTIFS(C_ID,C73,C_SUELDO,"&lt;&gt;",C_INICIO,"&lt;="&amp;EOMONTH(ENVIO_PER,0))),C_CLAVES,0)),0))</f>
        <v/>
      </c>
      <c r="I73" s="70" t="str">
        <f aca="false">IF(B73="","",TRIM(IF(AND(AB73&gt;=ENVIO_PER,AB73&lt;=EOMONTH(ENVIO_PER,0)),"Ingresa el día "&amp;DAY(AB73)&amp;". ","")&amp;IF(AND(AC73&gt;0,AC73&gt;=ENVIO_PER,AC73&lt;=EOMONTH(ENVIO_PER,0)),"Egresa el día "&amp;DAY(AC73)&amp;".","")))</f>
        <v/>
      </c>
      <c r="J73" s="70" t="str">
        <f aca="false">IF(B73="","",IF(COUNTIFS(C_ID,C73,C_INICIO,"&gt;="&amp;ENVIO_PER,C_INICIO,"&lt;="&amp;EOMONTH(ENVIO_PER,0))&gt;0,COUNTIFS(C_ID,C73,C_INICIO,"&gt;="&amp;ENVIO_PER,C_INICIO,"&lt;="&amp;EOMONTH(ENVIO_PER,0))&amp;" documento(s) nuevo(s): ver Contratos",""))</f>
        <v/>
      </c>
      <c r="K73" s="74" t="str">
        <f aca="false">IF(B73="","",IF(COUNTIF(N_CLAVE,AA73)&gt;0,SUMIFS(N_DIAS,N_CLAVE,AA73),AD73))</f>
        <v/>
      </c>
      <c r="L73" s="74" t="str">
        <f aca="false">IF(B73="","",SUMIFS(N_FALTAS,N_CLAVE,AA73))</f>
        <v/>
      </c>
      <c r="M73" s="74" t="str">
        <f aca="false">IF(B73="","",SUMIFS(N_LIC,N_CLAVE,AA73))</f>
        <v/>
      </c>
      <c r="N73" s="74" t="str">
        <f aca="false">IF(B73="","",SUMIFS(N_PCG,N_CLAVE,AA73))</f>
        <v/>
      </c>
      <c r="O73" s="74" t="str">
        <f aca="false">IF(B73="","",SUMIFS(N_PSG,N_CLAVE,AA73))</f>
        <v/>
      </c>
      <c r="P73" s="74" t="str">
        <f aca="false">IF(B73="","",SUMIFS(V_DIAS,V_ID,C73,V_MES,ENVIO_PER))</f>
        <v/>
      </c>
      <c r="Q73" s="73" t="str">
        <f aca="false">IF(B73="","",SUMIFS(N_ATRASO,N_CLAVE,AA73))</f>
        <v/>
      </c>
      <c r="R73" s="74" t="str">
        <f aca="false">IF(B73="","",SUMIFS(N_HE,N_CLAVE,AA73))</f>
        <v/>
      </c>
      <c r="S73" s="71" t="str">
        <f aca="false">IF(B73="","",SUMIFS(N_ANT,N_CLAVE,AA73))</f>
        <v/>
      </c>
      <c r="T73" s="71" t="str">
        <f aca="false">IF(B73="","",SUMIFS(N_BONO,N_CLAVE,AA73))</f>
        <v/>
      </c>
      <c r="U73" s="71" t="str">
        <f aca="false">IF(B73="","",SUMIFS(N_ONI,N_CLAVE,AA73))</f>
        <v/>
      </c>
      <c r="V73" s="71" t="str">
        <f aca="false">IF(B73="","",SUMIFS(N_DESC,N_CLAVE,AA73))</f>
        <v/>
      </c>
      <c r="W73" s="72" t="str">
        <f aca="false">IF(B73="","",IFERROR(INDEX(N_OBS,MATCH(AA73,N_CLAVE,0))&amp;"",""))</f>
        <v/>
      </c>
      <c r="X73" s="70" t="str">
        <f aca="false">IF(B73="","",IF(COUNTIF(N_CLAVE,AA73)&gt;0,"Sí","⚠ Sin registro"))</f>
        <v/>
      </c>
      <c r="Z73" s="81" t="str">
        <f aca="false">IF(B73="","",MATCH(B73,T_AUX,0))</f>
        <v/>
      </c>
      <c r="AA73" s="81" t="str">
        <f aca="false">IF(B73="","",C73&amp;"|"&amp;(YEAR(ENVIO_PER)*100+MONTH(ENVIO_PER)))</f>
        <v/>
      </c>
      <c r="AB73" s="81" t="str">
        <f aca="false">IF(B73="","",INDEX(T_INGRESO,Z73))</f>
        <v/>
      </c>
      <c r="AC73" s="81" t="str">
        <f aca="false">IF(B73="","",N(INDEX(T_EGRESO,Z73)))</f>
        <v/>
      </c>
      <c r="AD73" s="81" t="str">
        <f aca="false">IF(B73="","",IF(OR(AB73&gt;EOMONTH(ENVIO_PER,0),AND(AC73&gt;0,AC73&lt;ENVIO_PER)),0,IF(AND(AB73&lt;=ENVIO_PER,OR(AC73=0,AC73&gt;=EOMONTH(ENVIO_PER,0))),30,MIN(30,IF(AC73=0,EOMONTH(ENVIO_PER,0),MIN(AC73,EOMONTH(ENVIO_PER,0)))-MAX(ENVIO_PER,AB73)+1))))</f>
        <v/>
      </c>
    </row>
    <row r="74" customFormat="false" ht="15" hidden="false" customHeight="false" outlineLevel="0" collapsed="false">
      <c r="B74" s="72" t="str">
        <f aca="false">IF(65&lt;=MAX(T_AUX),65,"")</f>
        <v/>
      </c>
      <c r="C74" s="72" t="str">
        <f aca="false">IF(B74="","",INDEX(T_ID,Z74))</f>
        <v/>
      </c>
      <c r="D74" s="72" t="str">
        <f aca="false">IF(B74="","",INDEX(T_RUT,Z74)&amp;"")</f>
        <v/>
      </c>
      <c r="E74" s="72" t="str">
        <f aca="false">IF(B74="","",INDEX(T_NOMBRE,Z74)&amp;"")</f>
        <v/>
      </c>
      <c r="F74" s="72" t="str">
        <f aca="false">IF(B74="","",INDEX(T_CARGO,Z74)&amp;"")</f>
        <v/>
      </c>
      <c r="G74" s="72" t="str">
        <f aca="false">IF(B74="","",IFERROR(INDEX(C_TIPO,MATCH(C74&amp;"-P"&amp;MAX(1,COUNTIFS(C_ID,C74,C_DEFINE,"Sí",C_INICIO,"&lt;="&amp;EOMONTH(ENVIO_PER,0))),C_CLAVE,0))&amp;"","Sin contrato"))</f>
        <v/>
      </c>
      <c r="H74" s="71" t="str">
        <f aca="false">IF(B74="","",IFERROR(INDEX(C_SUELDO,MATCH(C74&amp;"-S"&amp;MAX(1,COUNTIFS(C_ID,C74,C_SUELDO,"&lt;&gt;",C_INICIO,"&lt;="&amp;EOMONTH(ENVIO_PER,0))),C_CLAVES,0)),0))</f>
        <v/>
      </c>
      <c r="I74" s="70" t="str">
        <f aca="false">IF(B74="","",TRIM(IF(AND(AB74&gt;=ENVIO_PER,AB74&lt;=EOMONTH(ENVIO_PER,0)),"Ingresa el día "&amp;DAY(AB74)&amp;". ","")&amp;IF(AND(AC74&gt;0,AC74&gt;=ENVIO_PER,AC74&lt;=EOMONTH(ENVIO_PER,0)),"Egresa el día "&amp;DAY(AC74)&amp;".","")))</f>
        <v/>
      </c>
      <c r="J74" s="70" t="str">
        <f aca="false">IF(B74="","",IF(COUNTIFS(C_ID,C74,C_INICIO,"&gt;="&amp;ENVIO_PER,C_INICIO,"&lt;="&amp;EOMONTH(ENVIO_PER,0))&gt;0,COUNTIFS(C_ID,C74,C_INICIO,"&gt;="&amp;ENVIO_PER,C_INICIO,"&lt;="&amp;EOMONTH(ENVIO_PER,0))&amp;" documento(s) nuevo(s): ver Contratos",""))</f>
        <v/>
      </c>
      <c r="K74" s="74" t="str">
        <f aca="false">IF(B74="","",IF(COUNTIF(N_CLAVE,AA74)&gt;0,SUMIFS(N_DIAS,N_CLAVE,AA74),AD74))</f>
        <v/>
      </c>
      <c r="L74" s="74" t="str">
        <f aca="false">IF(B74="","",SUMIFS(N_FALTAS,N_CLAVE,AA74))</f>
        <v/>
      </c>
      <c r="M74" s="74" t="str">
        <f aca="false">IF(B74="","",SUMIFS(N_LIC,N_CLAVE,AA74))</f>
        <v/>
      </c>
      <c r="N74" s="74" t="str">
        <f aca="false">IF(B74="","",SUMIFS(N_PCG,N_CLAVE,AA74))</f>
        <v/>
      </c>
      <c r="O74" s="74" t="str">
        <f aca="false">IF(B74="","",SUMIFS(N_PSG,N_CLAVE,AA74))</f>
        <v/>
      </c>
      <c r="P74" s="74" t="str">
        <f aca="false">IF(B74="","",SUMIFS(V_DIAS,V_ID,C74,V_MES,ENVIO_PER))</f>
        <v/>
      </c>
      <c r="Q74" s="73" t="str">
        <f aca="false">IF(B74="","",SUMIFS(N_ATRASO,N_CLAVE,AA74))</f>
        <v/>
      </c>
      <c r="R74" s="74" t="str">
        <f aca="false">IF(B74="","",SUMIFS(N_HE,N_CLAVE,AA74))</f>
        <v/>
      </c>
      <c r="S74" s="71" t="str">
        <f aca="false">IF(B74="","",SUMIFS(N_ANT,N_CLAVE,AA74))</f>
        <v/>
      </c>
      <c r="T74" s="71" t="str">
        <f aca="false">IF(B74="","",SUMIFS(N_BONO,N_CLAVE,AA74))</f>
        <v/>
      </c>
      <c r="U74" s="71" t="str">
        <f aca="false">IF(B74="","",SUMIFS(N_ONI,N_CLAVE,AA74))</f>
        <v/>
      </c>
      <c r="V74" s="71" t="str">
        <f aca="false">IF(B74="","",SUMIFS(N_DESC,N_CLAVE,AA74))</f>
        <v/>
      </c>
      <c r="W74" s="72" t="str">
        <f aca="false">IF(B74="","",IFERROR(INDEX(N_OBS,MATCH(AA74,N_CLAVE,0))&amp;"",""))</f>
        <v/>
      </c>
      <c r="X74" s="70" t="str">
        <f aca="false">IF(B74="","",IF(COUNTIF(N_CLAVE,AA74)&gt;0,"Sí","⚠ Sin registro"))</f>
        <v/>
      </c>
      <c r="Z74" s="81" t="str">
        <f aca="false">IF(B74="","",MATCH(B74,T_AUX,0))</f>
        <v/>
      </c>
      <c r="AA74" s="81" t="str">
        <f aca="false">IF(B74="","",C74&amp;"|"&amp;(YEAR(ENVIO_PER)*100+MONTH(ENVIO_PER)))</f>
        <v/>
      </c>
      <c r="AB74" s="81" t="str">
        <f aca="false">IF(B74="","",INDEX(T_INGRESO,Z74))</f>
        <v/>
      </c>
      <c r="AC74" s="81" t="str">
        <f aca="false">IF(B74="","",N(INDEX(T_EGRESO,Z74)))</f>
        <v/>
      </c>
      <c r="AD74" s="81" t="str">
        <f aca="false">IF(B74="","",IF(OR(AB74&gt;EOMONTH(ENVIO_PER,0),AND(AC74&gt;0,AC74&lt;ENVIO_PER)),0,IF(AND(AB74&lt;=ENVIO_PER,OR(AC74=0,AC74&gt;=EOMONTH(ENVIO_PER,0))),30,MIN(30,IF(AC74=0,EOMONTH(ENVIO_PER,0),MIN(AC74,EOMONTH(ENVIO_PER,0)))-MAX(ENVIO_PER,AB74)+1))))</f>
        <v/>
      </c>
    </row>
    <row r="75" customFormat="false" ht="15" hidden="false" customHeight="false" outlineLevel="0" collapsed="false">
      <c r="B75" s="72" t="str">
        <f aca="false">IF(66&lt;=MAX(T_AUX),66,"")</f>
        <v/>
      </c>
      <c r="C75" s="72" t="str">
        <f aca="false">IF(B75="","",INDEX(T_ID,Z75))</f>
        <v/>
      </c>
      <c r="D75" s="72" t="str">
        <f aca="false">IF(B75="","",INDEX(T_RUT,Z75)&amp;"")</f>
        <v/>
      </c>
      <c r="E75" s="72" t="str">
        <f aca="false">IF(B75="","",INDEX(T_NOMBRE,Z75)&amp;"")</f>
        <v/>
      </c>
      <c r="F75" s="72" t="str">
        <f aca="false">IF(B75="","",INDEX(T_CARGO,Z75)&amp;"")</f>
        <v/>
      </c>
      <c r="G75" s="72" t="str">
        <f aca="false">IF(B75="","",IFERROR(INDEX(C_TIPO,MATCH(C75&amp;"-P"&amp;MAX(1,COUNTIFS(C_ID,C75,C_DEFINE,"Sí",C_INICIO,"&lt;="&amp;EOMONTH(ENVIO_PER,0))),C_CLAVE,0))&amp;"","Sin contrato"))</f>
        <v/>
      </c>
      <c r="H75" s="71" t="str">
        <f aca="false">IF(B75="","",IFERROR(INDEX(C_SUELDO,MATCH(C75&amp;"-S"&amp;MAX(1,COUNTIFS(C_ID,C75,C_SUELDO,"&lt;&gt;",C_INICIO,"&lt;="&amp;EOMONTH(ENVIO_PER,0))),C_CLAVES,0)),0))</f>
        <v/>
      </c>
      <c r="I75" s="70" t="str">
        <f aca="false">IF(B75="","",TRIM(IF(AND(AB75&gt;=ENVIO_PER,AB75&lt;=EOMONTH(ENVIO_PER,0)),"Ingresa el día "&amp;DAY(AB75)&amp;". ","")&amp;IF(AND(AC75&gt;0,AC75&gt;=ENVIO_PER,AC75&lt;=EOMONTH(ENVIO_PER,0)),"Egresa el día "&amp;DAY(AC75)&amp;".","")))</f>
        <v/>
      </c>
      <c r="J75" s="70" t="str">
        <f aca="false">IF(B75="","",IF(COUNTIFS(C_ID,C75,C_INICIO,"&gt;="&amp;ENVIO_PER,C_INICIO,"&lt;="&amp;EOMONTH(ENVIO_PER,0))&gt;0,COUNTIFS(C_ID,C75,C_INICIO,"&gt;="&amp;ENVIO_PER,C_INICIO,"&lt;="&amp;EOMONTH(ENVIO_PER,0))&amp;" documento(s) nuevo(s): ver Contratos",""))</f>
        <v/>
      </c>
      <c r="K75" s="74" t="str">
        <f aca="false">IF(B75="","",IF(COUNTIF(N_CLAVE,AA75)&gt;0,SUMIFS(N_DIAS,N_CLAVE,AA75),AD75))</f>
        <v/>
      </c>
      <c r="L75" s="74" t="str">
        <f aca="false">IF(B75="","",SUMIFS(N_FALTAS,N_CLAVE,AA75))</f>
        <v/>
      </c>
      <c r="M75" s="74" t="str">
        <f aca="false">IF(B75="","",SUMIFS(N_LIC,N_CLAVE,AA75))</f>
        <v/>
      </c>
      <c r="N75" s="74" t="str">
        <f aca="false">IF(B75="","",SUMIFS(N_PCG,N_CLAVE,AA75))</f>
        <v/>
      </c>
      <c r="O75" s="74" t="str">
        <f aca="false">IF(B75="","",SUMIFS(N_PSG,N_CLAVE,AA75))</f>
        <v/>
      </c>
      <c r="P75" s="74" t="str">
        <f aca="false">IF(B75="","",SUMIFS(V_DIAS,V_ID,C75,V_MES,ENVIO_PER))</f>
        <v/>
      </c>
      <c r="Q75" s="73" t="str">
        <f aca="false">IF(B75="","",SUMIFS(N_ATRASO,N_CLAVE,AA75))</f>
        <v/>
      </c>
      <c r="R75" s="74" t="str">
        <f aca="false">IF(B75="","",SUMIFS(N_HE,N_CLAVE,AA75))</f>
        <v/>
      </c>
      <c r="S75" s="71" t="str">
        <f aca="false">IF(B75="","",SUMIFS(N_ANT,N_CLAVE,AA75))</f>
        <v/>
      </c>
      <c r="T75" s="71" t="str">
        <f aca="false">IF(B75="","",SUMIFS(N_BONO,N_CLAVE,AA75))</f>
        <v/>
      </c>
      <c r="U75" s="71" t="str">
        <f aca="false">IF(B75="","",SUMIFS(N_ONI,N_CLAVE,AA75))</f>
        <v/>
      </c>
      <c r="V75" s="71" t="str">
        <f aca="false">IF(B75="","",SUMIFS(N_DESC,N_CLAVE,AA75))</f>
        <v/>
      </c>
      <c r="W75" s="72" t="str">
        <f aca="false">IF(B75="","",IFERROR(INDEX(N_OBS,MATCH(AA75,N_CLAVE,0))&amp;"",""))</f>
        <v/>
      </c>
      <c r="X75" s="70" t="str">
        <f aca="false">IF(B75="","",IF(COUNTIF(N_CLAVE,AA75)&gt;0,"Sí","⚠ Sin registro"))</f>
        <v/>
      </c>
      <c r="Z75" s="81" t="str">
        <f aca="false">IF(B75="","",MATCH(B75,T_AUX,0))</f>
        <v/>
      </c>
      <c r="AA75" s="81" t="str">
        <f aca="false">IF(B75="","",C75&amp;"|"&amp;(YEAR(ENVIO_PER)*100+MONTH(ENVIO_PER)))</f>
        <v/>
      </c>
      <c r="AB75" s="81" t="str">
        <f aca="false">IF(B75="","",INDEX(T_INGRESO,Z75))</f>
        <v/>
      </c>
      <c r="AC75" s="81" t="str">
        <f aca="false">IF(B75="","",N(INDEX(T_EGRESO,Z75)))</f>
        <v/>
      </c>
      <c r="AD75" s="81" t="str">
        <f aca="false">IF(B75="","",IF(OR(AB75&gt;EOMONTH(ENVIO_PER,0),AND(AC75&gt;0,AC75&lt;ENVIO_PER)),0,IF(AND(AB75&lt;=ENVIO_PER,OR(AC75=0,AC75&gt;=EOMONTH(ENVIO_PER,0))),30,MIN(30,IF(AC75=0,EOMONTH(ENVIO_PER,0),MIN(AC75,EOMONTH(ENVIO_PER,0)))-MAX(ENVIO_PER,AB75)+1))))</f>
        <v/>
      </c>
    </row>
    <row r="76" customFormat="false" ht="15" hidden="false" customHeight="false" outlineLevel="0" collapsed="false">
      <c r="B76" s="72" t="str">
        <f aca="false">IF(67&lt;=MAX(T_AUX),67,"")</f>
        <v/>
      </c>
      <c r="C76" s="72" t="str">
        <f aca="false">IF(B76="","",INDEX(T_ID,Z76))</f>
        <v/>
      </c>
      <c r="D76" s="72" t="str">
        <f aca="false">IF(B76="","",INDEX(T_RUT,Z76)&amp;"")</f>
        <v/>
      </c>
      <c r="E76" s="72" t="str">
        <f aca="false">IF(B76="","",INDEX(T_NOMBRE,Z76)&amp;"")</f>
        <v/>
      </c>
      <c r="F76" s="72" t="str">
        <f aca="false">IF(B76="","",INDEX(T_CARGO,Z76)&amp;"")</f>
        <v/>
      </c>
      <c r="G76" s="72" t="str">
        <f aca="false">IF(B76="","",IFERROR(INDEX(C_TIPO,MATCH(C76&amp;"-P"&amp;MAX(1,COUNTIFS(C_ID,C76,C_DEFINE,"Sí",C_INICIO,"&lt;="&amp;EOMONTH(ENVIO_PER,0))),C_CLAVE,0))&amp;"","Sin contrato"))</f>
        <v/>
      </c>
      <c r="H76" s="71" t="str">
        <f aca="false">IF(B76="","",IFERROR(INDEX(C_SUELDO,MATCH(C76&amp;"-S"&amp;MAX(1,COUNTIFS(C_ID,C76,C_SUELDO,"&lt;&gt;",C_INICIO,"&lt;="&amp;EOMONTH(ENVIO_PER,0))),C_CLAVES,0)),0))</f>
        <v/>
      </c>
      <c r="I76" s="70" t="str">
        <f aca="false">IF(B76="","",TRIM(IF(AND(AB76&gt;=ENVIO_PER,AB76&lt;=EOMONTH(ENVIO_PER,0)),"Ingresa el día "&amp;DAY(AB76)&amp;". ","")&amp;IF(AND(AC76&gt;0,AC76&gt;=ENVIO_PER,AC76&lt;=EOMONTH(ENVIO_PER,0)),"Egresa el día "&amp;DAY(AC76)&amp;".","")))</f>
        <v/>
      </c>
      <c r="J76" s="70" t="str">
        <f aca="false">IF(B76="","",IF(COUNTIFS(C_ID,C76,C_INICIO,"&gt;="&amp;ENVIO_PER,C_INICIO,"&lt;="&amp;EOMONTH(ENVIO_PER,0))&gt;0,COUNTIFS(C_ID,C76,C_INICIO,"&gt;="&amp;ENVIO_PER,C_INICIO,"&lt;="&amp;EOMONTH(ENVIO_PER,0))&amp;" documento(s) nuevo(s): ver Contratos",""))</f>
        <v/>
      </c>
      <c r="K76" s="74" t="str">
        <f aca="false">IF(B76="","",IF(COUNTIF(N_CLAVE,AA76)&gt;0,SUMIFS(N_DIAS,N_CLAVE,AA76),AD76))</f>
        <v/>
      </c>
      <c r="L76" s="74" t="str">
        <f aca="false">IF(B76="","",SUMIFS(N_FALTAS,N_CLAVE,AA76))</f>
        <v/>
      </c>
      <c r="M76" s="74" t="str">
        <f aca="false">IF(B76="","",SUMIFS(N_LIC,N_CLAVE,AA76))</f>
        <v/>
      </c>
      <c r="N76" s="74" t="str">
        <f aca="false">IF(B76="","",SUMIFS(N_PCG,N_CLAVE,AA76))</f>
        <v/>
      </c>
      <c r="O76" s="74" t="str">
        <f aca="false">IF(B76="","",SUMIFS(N_PSG,N_CLAVE,AA76))</f>
        <v/>
      </c>
      <c r="P76" s="74" t="str">
        <f aca="false">IF(B76="","",SUMIFS(V_DIAS,V_ID,C76,V_MES,ENVIO_PER))</f>
        <v/>
      </c>
      <c r="Q76" s="73" t="str">
        <f aca="false">IF(B76="","",SUMIFS(N_ATRASO,N_CLAVE,AA76))</f>
        <v/>
      </c>
      <c r="R76" s="74" t="str">
        <f aca="false">IF(B76="","",SUMIFS(N_HE,N_CLAVE,AA76))</f>
        <v/>
      </c>
      <c r="S76" s="71" t="str">
        <f aca="false">IF(B76="","",SUMIFS(N_ANT,N_CLAVE,AA76))</f>
        <v/>
      </c>
      <c r="T76" s="71" t="str">
        <f aca="false">IF(B76="","",SUMIFS(N_BONO,N_CLAVE,AA76))</f>
        <v/>
      </c>
      <c r="U76" s="71" t="str">
        <f aca="false">IF(B76="","",SUMIFS(N_ONI,N_CLAVE,AA76))</f>
        <v/>
      </c>
      <c r="V76" s="71" t="str">
        <f aca="false">IF(B76="","",SUMIFS(N_DESC,N_CLAVE,AA76))</f>
        <v/>
      </c>
      <c r="W76" s="72" t="str">
        <f aca="false">IF(B76="","",IFERROR(INDEX(N_OBS,MATCH(AA76,N_CLAVE,0))&amp;"",""))</f>
        <v/>
      </c>
      <c r="X76" s="70" t="str">
        <f aca="false">IF(B76="","",IF(COUNTIF(N_CLAVE,AA76)&gt;0,"Sí","⚠ Sin registro"))</f>
        <v/>
      </c>
      <c r="Z76" s="81" t="str">
        <f aca="false">IF(B76="","",MATCH(B76,T_AUX,0))</f>
        <v/>
      </c>
      <c r="AA76" s="81" t="str">
        <f aca="false">IF(B76="","",C76&amp;"|"&amp;(YEAR(ENVIO_PER)*100+MONTH(ENVIO_PER)))</f>
        <v/>
      </c>
      <c r="AB76" s="81" t="str">
        <f aca="false">IF(B76="","",INDEX(T_INGRESO,Z76))</f>
        <v/>
      </c>
      <c r="AC76" s="81" t="str">
        <f aca="false">IF(B76="","",N(INDEX(T_EGRESO,Z76)))</f>
        <v/>
      </c>
      <c r="AD76" s="81" t="str">
        <f aca="false">IF(B76="","",IF(OR(AB76&gt;EOMONTH(ENVIO_PER,0),AND(AC76&gt;0,AC76&lt;ENVIO_PER)),0,IF(AND(AB76&lt;=ENVIO_PER,OR(AC76=0,AC76&gt;=EOMONTH(ENVIO_PER,0))),30,MIN(30,IF(AC76=0,EOMONTH(ENVIO_PER,0),MIN(AC76,EOMONTH(ENVIO_PER,0)))-MAX(ENVIO_PER,AB76)+1))))</f>
        <v/>
      </c>
    </row>
    <row r="77" customFormat="false" ht="15" hidden="false" customHeight="false" outlineLevel="0" collapsed="false">
      <c r="B77" s="72" t="str">
        <f aca="false">IF(68&lt;=MAX(T_AUX),68,"")</f>
        <v/>
      </c>
      <c r="C77" s="72" t="str">
        <f aca="false">IF(B77="","",INDEX(T_ID,Z77))</f>
        <v/>
      </c>
      <c r="D77" s="72" t="str">
        <f aca="false">IF(B77="","",INDEX(T_RUT,Z77)&amp;"")</f>
        <v/>
      </c>
      <c r="E77" s="72" t="str">
        <f aca="false">IF(B77="","",INDEX(T_NOMBRE,Z77)&amp;"")</f>
        <v/>
      </c>
      <c r="F77" s="72" t="str">
        <f aca="false">IF(B77="","",INDEX(T_CARGO,Z77)&amp;"")</f>
        <v/>
      </c>
      <c r="G77" s="72" t="str">
        <f aca="false">IF(B77="","",IFERROR(INDEX(C_TIPO,MATCH(C77&amp;"-P"&amp;MAX(1,COUNTIFS(C_ID,C77,C_DEFINE,"Sí",C_INICIO,"&lt;="&amp;EOMONTH(ENVIO_PER,0))),C_CLAVE,0))&amp;"","Sin contrato"))</f>
        <v/>
      </c>
      <c r="H77" s="71" t="str">
        <f aca="false">IF(B77="","",IFERROR(INDEX(C_SUELDO,MATCH(C77&amp;"-S"&amp;MAX(1,COUNTIFS(C_ID,C77,C_SUELDO,"&lt;&gt;",C_INICIO,"&lt;="&amp;EOMONTH(ENVIO_PER,0))),C_CLAVES,0)),0))</f>
        <v/>
      </c>
      <c r="I77" s="70" t="str">
        <f aca="false">IF(B77="","",TRIM(IF(AND(AB77&gt;=ENVIO_PER,AB77&lt;=EOMONTH(ENVIO_PER,0)),"Ingresa el día "&amp;DAY(AB77)&amp;". ","")&amp;IF(AND(AC77&gt;0,AC77&gt;=ENVIO_PER,AC77&lt;=EOMONTH(ENVIO_PER,0)),"Egresa el día "&amp;DAY(AC77)&amp;".","")))</f>
        <v/>
      </c>
      <c r="J77" s="70" t="str">
        <f aca="false">IF(B77="","",IF(COUNTIFS(C_ID,C77,C_INICIO,"&gt;="&amp;ENVIO_PER,C_INICIO,"&lt;="&amp;EOMONTH(ENVIO_PER,0))&gt;0,COUNTIFS(C_ID,C77,C_INICIO,"&gt;="&amp;ENVIO_PER,C_INICIO,"&lt;="&amp;EOMONTH(ENVIO_PER,0))&amp;" documento(s) nuevo(s): ver Contratos",""))</f>
        <v/>
      </c>
      <c r="K77" s="74" t="str">
        <f aca="false">IF(B77="","",IF(COUNTIF(N_CLAVE,AA77)&gt;0,SUMIFS(N_DIAS,N_CLAVE,AA77),AD77))</f>
        <v/>
      </c>
      <c r="L77" s="74" t="str">
        <f aca="false">IF(B77="","",SUMIFS(N_FALTAS,N_CLAVE,AA77))</f>
        <v/>
      </c>
      <c r="M77" s="74" t="str">
        <f aca="false">IF(B77="","",SUMIFS(N_LIC,N_CLAVE,AA77))</f>
        <v/>
      </c>
      <c r="N77" s="74" t="str">
        <f aca="false">IF(B77="","",SUMIFS(N_PCG,N_CLAVE,AA77))</f>
        <v/>
      </c>
      <c r="O77" s="74" t="str">
        <f aca="false">IF(B77="","",SUMIFS(N_PSG,N_CLAVE,AA77))</f>
        <v/>
      </c>
      <c r="P77" s="74" t="str">
        <f aca="false">IF(B77="","",SUMIFS(V_DIAS,V_ID,C77,V_MES,ENVIO_PER))</f>
        <v/>
      </c>
      <c r="Q77" s="73" t="str">
        <f aca="false">IF(B77="","",SUMIFS(N_ATRASO,N_CLAVE,AA77))</f>
        <v/>
      </c>
      <c r="R77" s="74" t="str">
        <f aca="false">IF(B77="","",SUMIFS(N_HE,N_CLAVE,AA77))</f>
        <v/>
      </c>
      <c r="S77" s="71" t="str">
        <f aca="false">IF(B77="","",SUMIFS(N_ANT,N_CLAVE,AA77))</f>
        <v/>
      </c>
      <c r="T77" s="71" t="str">
        <f aca="false">IF(B77="","",SUMIFS(N_BONO,N_CLAVE,AA77))</f>
        <v/>
      </c>
      <c r="U77" s="71" t="str">
        <f aca="false">IF(B77="","",SUMIFS(N_ONI,N_CLAVE,AA77))</f>
        <v/>
      </c>
      <c r="V77" s="71" t="str">
        <f aca="false">IF(B77="","",SUMIFS(N_DESC,N_CLAVE,AA77))</f>
        <v/>
      </c>
      <c r="W77" s="72" t="str">
        <f aca="false">IF(B77="","",IFERROR(INDEX(N_OBS,MATCH(AA77,N_CLAVE,0))&amp;"",""))</f>
        <v/>
      </c>
      <c r="X77" s="70" t="str">
        <f aca="false">IF(B77="","",IF(COUNTIF(N_CLAVE,AA77)&gt;0,"Sí","⚠ Sin registro"))</f>
        <v/>
      </c>
      <c r="Z77" s="81" t="str">
        <f aca="false">IF(B77="","",MATCH(B77,T_AUX,0))</f>
        <v/>
      </c>
      <c r="AA77" s="81" t="str">
        <f aca="false">IF(B77="","",C77&amp;"|"&amp;(YEAR(ENVIO_PER)*100+MONTH(ENVIO_PER)))</f>
        <v/>
      </c>
      <c r="AB77" s="81" t="str">
        <f aca="false">IF(B77="","",INDEX(T_INGRESO,Z77))</f>
        <v/>
      </c>
      <c r="AC77" s="81" t="str">
        <f aca="false">IF(B77="","",N(INDEX(T_EGRESO,Z77)))</f>
        <v/>
      </c>
      <c r="AD77" s="81" t="str">
        <f aca="false">IF(B77="","",IF(OR(AB77&gt;EOMONTH(ENVIO_PER,0),AND(AC77&gt;0,AC77&lt;ENVIO_PER)),0,IF(AND(AB77&lt;=ENVIO_PER,OR(AC77=0,AC77&gt;=EOMONTH(ENVIO_PER,0))),30,MIN(30,IF(AC77=0,EOMONTH(ENVIO_PER,0),MIN(AC77,EOMONTH(ENVIO_PER,0)))-MAX(ENVIO_PER,AB77)+1))))</f>
        <v/>
      </c>
    </row>
    <row r="78" customFormat="false" ht="15" hidden="false" customHeight="false" outlineLevel="0" collapsed="false">
      <c r="B78" s="72" t="str">
        <f aca="false">IF(69&lt;=MAX(T_AUX),69,"")</f>
        <v/>
      </c>
      <c r="C78" s="72" t="str">
        <f aca="false">IF(B78="","",INDEX(T_ID,Z78))</f>
        <v/>
      </c>
      <c r="D78" s="72" t="str">
        <f aca="false">IF(B78="","",INDEX(T_RUT,Z78)&amp;"")</f>
        <v/>
      </c>
      <c r="E78" s="72" t="str">
        <f aca="false">IF(B78="","",INDEX(T_NOMBRE,Z78)&amp;"")</f>
        <v/>
      </c>
      <c r="F78" s="72" t="str">
        <f aca="false">IF(B78="","",INDEX(T_CARGO,Z78)&amp;"")</f>
        <v/>
      </c>
      <c r="G78" s="72" t="str">
        <f aca="false">IF(B78="","",IFERROR(INDEX(C_TIPO,MATCH(C78&amp;"-P"&amp;MAX(1,COUNTIFS(C_ID,C78,C_DEFINE,"Sí",C_INICIO,"&lt;="&amp;EOMONTH(ENVIO_PER,0))),C_CLAVE,0))&amp;"","Sin contrato"))</f>
        <v/>
      </c>
      <c r="H78" s="71" t="str">
        <f aca="false">IF(B78="","",IFERROR(INDEX(C_SUELDO,MATCH(C78&amp;"-S"&amp;MAX(1,COUNTIFS(C_ID,C78,C_SUELDO,"&lt;&gt;",C_INICIO,"&lt;="&amp;EOMONTH(ENVIO_PER,0))),C_CLAVES,0)),0))</f>
        <v/>
      </c>
      <c r="I78" s="70" t="str">
        <f aca="false">IF(B78="","",TRIM(IF(AND(AB78&gt;=ENVIO_PER,AB78&lt;=EOMONTH(ENVIO_PER,0)),"Ingresa el día "&amp;DAY(AB78)&amp;". ","")&amp;IF(AND(AC78&gt;0,AC78&gt;=ENVIO_PER,AC78&lt;=EOMONTH(ENVIO_PER,0)),"Egresa el día "&amp;DAY(AC78)&amp;".","")))</f>
        <v/>
      </c>
      <c r="J78" s="70" t="str">
        <f aca="false">IF(B78="","",IF(COUNTIFS(C_ID,C78,C_INICIO,"&gt;="&amp;ENVIO_PER,C_INICIO,"&lt;="&amp;EOMONTH(ENVIO_PER,0))&gt;0,COUNTIFS(C_ID,C78,C_INICIO,"&gt;="&amp;ENVIO_PER,C_INICIO,"&lt;="&amp;EOMONTH(ENVIO_PER,0))&amp;" documento(s) nuevo(s): ver Contratos",""))</f>
        <v/>
      </c>
      <c r="K78" s="74" t="str">
        <f aca="false">IF(B78="","",IF(COUNTIF(N_CLAVE,AA78)&gt;0,SUMIFS(N_DIAS,N_CLAVE,AA78),AD78))</f>
        <v/>
      </c>
      <c r="L78" s="74" t="str">
        <f aca="false">IF(B78="","",SUMIFS(N_FALTAS,N_CLAVE,AA78))</f>
        <v/>
      </c>
      <c r="M78" s="74" t="str">
        <f aca="false">IF(B78="","",SUMIFS(N_LIC,N_CLAVE,AA78))</f>
        <v/>
      </c>
      <c r="N78" s="74" t="str">
        <f aca="false">IF(B78="","",SUMIFS(N_PCG,N_CLAVE,AA78))</f>
        <v/>
      </c>
      <c r="O78" s="74" t="str">
        <f aca="false">IF(B78="","",SUMIFS(N_PSG,N_CLAVE,AA78))</f>
        <v/>
      </c>
      <c r="P78" s="74" t="str">
        <f aca="false">IF(B78="","",SUMIFS(V_DIAS,V_ID,C78,V_MES,ENVIO_PER))</f>
        <v/>
      </c>
      <c r="Q78" s="73" t="str">
        <f aca="false">IF(B78="","",SUMIFS(N_ATRASO,N_CLAVE,AA78))</f>
        <v/>
      </c>
      <c r="R78" s="74" t="str">
        <f aca="false">IF(B78="","",SUMIFS(N_HE,N_CLAVE,AA78))</f>
        <v/>
      </c>
      <c r="S78" s="71" t="str">
        <f aca="false">IF(B78="","",SUMIFS(N_ANT,N_CLAVE,AA78))</f>
        <v/>
      </c>
      <c r="T78" s="71" t="str">
        <f aca="false">IF(B78="","",SUMIFS(N_BONO,N_CLAVE,AA78))</f>
        <v/>
      </c>
      <c r="U78" s="71" t="str">
        <f aca="false">IF(B78="","",SUMIFS(N_ONI,N_CLAVE,AA78))</f>
        <v/>
      </c>
      <c r="V78" s="71" t="str">
        <f aca="false">IF(B78="","",SUMIFS(N_DESC,N_CLAVE,AA78))</f>
        <v/>
      </c>
      <c r="W78" s="72" t="str">
        <f aca="false">IF(B78="","",IFERROR(INDEX(N_OBS,MATCH(AA78,N_CLAVE,0))&amp;"",""))</f>
        <v/>
      </c>
      <c r="X78" s="70" t="str">
        <f aca="false">IF(B78="","",IF(COUNTIF(N_CLAVE,AA78)&gt;0,"Sí","⚠ Sin registro"))</f>
        <v/>
      </c>
      <c r="Z78" s="81" t="str">
        <f aca="false">IF(B78="","",MATCH(B78,T_AUX,0))</f>
        <v/>
      </c>
      <c r="AA78" s="81" t="str">
        <f aca="false">IF(B78="","",C78&amp;"|"&amp;(YEAR(ENVIO_PER)*100+MONTH(ENVIO_PER)))</f>
        <v/>
      </c>
      <c r="AB78" s="81" t="str">
        <f aca="false">IF(B78="","",INDEX(T_INGRESO,Z78))</f>
        <v/>
      </c>
      <c r="AC78" s="81" t="str">
        <f aca="false">IF(B78="","",N(INDEX(T_EGRESO,Z78)))</f>
        <v/>
      </c>
      <c r="AD78" s="81" t="str">
        <f aca="false">IF(B78="","",IF(OR(AB78&gt;EOMONTH(ENVIO_PER,0),AND(AC78&gt;0,AC78&lt;ENVIO_PER)),0,IF(AND(AB78&lt;=ENVIO_PER,OR(AC78=0,AC78&gt;=EOMONTH(ENVIO_PER,0))),30,MIN(30,IF(AC78=0,EOMONTH(ENVIO_PER,0),MIN(AC78,EOMONTH(ENVIO_PER,0)))-MAX(ENVIO_PER,AB78)+1))))</f>
        <v/>
      </c>
    </row>
    <row r="79" customFormat="false" ht="15" hidden="false" customHeight="false" outlineLevel="0" collapsed="false">
      <c r="B79" s="72" t="str">
        <f aca="false">IF(70&lt;=MAX(T_AUX),70,"")</f>
        <v/>
      </c>
      <c r="C79" s="72" t="str">
        <f aca="false">IF(B79="","",INDEX(T_ID,Z79))</f>
        <v/>
      </c>
      <c r="D79" s="72" t="str">
        <f aca="false">IF(B79="","",INDEX(T_RUT,Z79)&amp;"")</f>
        <v/>
      </c>
      <c r="E79" s="72" t="str">
        <f aca="false">IF(B79="","",INDEX(T_NOMBRE,Z79)&amp;"")</f>
        <v/>
      </c>
      <c r="F79" s="72" t="str">
        <f aca="false">IF(B79="","",INDEX(T_CARGO,Z79)&amp;"")</f>
        <v/>
      </c>
      <c r="G79" s="72" t="str">
        <f aca="false">IF(B79="","",IFERROR(INDEX(C_TIPO,MATCH(C79&amp;"-P"&amp;MAX(1,COUNTIFS(C_ID,C79,C_DEFINE,"Sí",C_INICIO,"&lt;="&amp;EOMONTH(ENVIO_PER,0))),C_CLAVE,0))&amp;"","Sin contrato"))</f>
        <v/>
      </c>
      <c r="H79" s="71" t="str">
        <f aca="false">IF(B79="","",IFERROR(INDEX(C_SUELDO,MATCH(C79&amp;"-S"&amp;MAX(1,COUNTIFS(C_ID,C79,C_SUELDO,"&lt;&gt;",C_INICIO,"&lt;="&amp;EOMONTH(ENVIO_PER,0))),C_CLAVES,0)),0))</f>
        <v/>
      </c>
      <c r="I79" s="70" t="str">
        <f aca="false">IF(B79="","",TRIM(IF(AND(AB79&gt;=ENVIO_PER,AB79&lt;=EOMONTH(ENVIO_PER,0)),"Ingresa el día "&amp;DAY(AB79)&amp;". ","")&amp;IF(AND(AC79&gt;0,AC79&gt;=ENVIO_PER,AC79&lt;=EOMONTH(ENVIO_PER,0)),"Egresa el día "&amp;DAY(AC79)&amp;".","")))</f>
        <v/>
      </c>
      <c r="J79" s="70" t="str">
        <f aca="false">IF(B79="","",IF(COUNTIFS(C_ID,C79,C_INICIO,"&gt;="&amp;ENVIO_PER,C_INICIO,"&lt;="&amp;EOMONTH(ENVIO_PER,0))&gt;0,COUNTIFS(C_ID,C79,C_INICIO,"&gt;="&amp;ENVIO_PER,C_INICIO,"&lt;="&amp;EOMONTH(ENVIO_PER,0))&amp;" documento(s) nuevo(s): ver Contratos",""))</f>
        <v/>
      </c>
      <c r="K79" s="74" t="str">
        <f aca="false">IF(B79="","",IF(COUNTIF(N_CLAVE,AA79)&gt;0,SUMIFS(N_DIAS,N_CLAVE,AA79),AD79))</f>
        <v/>
      </c>
      <c r="L79" s="74" t="str">
        <f aca="false">IF(B79="","",SUMIFS(N_FALTAS,N_CLAVE,AA79))</f>
        <v/>
      </c>
      <c r="M79" s="74" t="str">
        <f aca="false">IF(B79="","",SUMIFS(N_LIC,N_CLAVE,AA79))</f>
        <v/>
      </c>
      <c r="N79" s="74" t="str">
        <f aca="false">IF(B79="","",SUMIFS(N_PCG,N_CLAVE,AA79))</f>
        <v/>
      </c>
      <c r="O79" s="74" t="str">
        <f aca="false">IF(B79="","",SUMIFS(N_PSG,N_CLAVE,AA79))</f>
        <v/>
      </c>
      <c r="P79" s="74" t="str">
        <f aca="false">IF(B79="","",SUMIFS(V_DIAS,V_ID,C79,V_MES,ENVIO_PER))</f>
        <v/>
      </c>
      <c r="Q79" s="73" t="str">
        <f aca="false">IF(B79="","",SUMIFS(N_ATRASO,N_CLAVE,AA79))</f>
        <v/>
      </c>
      <c r="R79" s="74" t="str">
        <f aca="false">IF(B79="","",SUMIFS(N_HE,N_CLAVE,AA79))</f>
        <v/>
      </c>
      <c r="S79" s="71" t="str">
        <f aca="false">IF(B79="","",SUMIFS(N_ANT,N_CLAVE,AA79))</f>
        <v/>
      </c>
      <c r="T79" s="71" t="str">
        <f aca="false">IF(B79="","",SUMIFS(N_BONO,N_CLAVE,AA79))</f>
        <v/>
      </c>
      <c r="U79" s="71" t="str">
        <f aca="false">IF(B79="","",SUMIFS(N_ONI,N_CLAVE,AA79))</f>
        <v/>
      </c>
      <c r="V79" s="71" t="str">
        <f aca="false">IF(B79="","",SUMIFS(N_DESC,N_CLAVE,AA79))</f>
        <v/>
      </c>
      <c r="W79" s="72" t="str">
        <f aca="false">IF(B79="","",IFERROR(INDEX(N_OBS,MATCH(AA79,N_CLAVE,0))&amp;"",""))</f>
        <v/>
      </c>
      <c r="X79" s="70" t="str">
        <f aca="false">IF(B79="","",IF(COUNTIF(N_CLAVE,AA79)&gt;0,"Sí","⚠ Sin registro"))</f>
        <v/>
      </c>
      <c r="Z79" s="81" t="str">
        <f aca="false">IF(B79="","",MATCH(B79,T_AUX,0))</f>
        <v/>
      </c>
      <c r="AA79" s="81" t="str">
        <f aca="false">IF(B79="","",C79&amp;"|"&amp;(YEAR(ENVIO_PER)*100+MONTH(ENVIO_PER)))</f>
        <v/>
      </c>
      <c r="AB79" s="81" t="str">
        <f aca="false">IF(B79="","",INDEX(T_INGRESO,Z79))</f>
        <v/>
      </c>
      <c r="AC79" s="81" t="str">
        <f aca="false">IF(B79="","",N(INDEX(T_EGRESO,Z79)))</f>
        <v/>
      </c>
      <c r="AD79" s="81" t="str">
        <f aca="false">IF(B79="","",IF(OR(AB79&gt;EOMONTH(ENVIO_PER,0),AND(AC79&gt;0,AC79&lt;ENVIO_PER)),0,IF(AND(AB79&lt;=ENVIO_PER,OR(AC79=0,AC79&gt;=EOMONTH(ENVIO_PER,0))),30,MIN(30,IF(AC79=0,EOMONTH(ENVIO_PER,0),MIN(AC79,EOMONTH(ENVIO_PER,0)))-MAX(ENVIO_PER,AB79)+1))))</f>
        <v/>
      </c>
    </row>
    <row r="80" customFormat="false" ht="15" hidden="false" customHeight="false" outlineLevel="0" collapsed="false">
      <c r="B80" s="72" t="str">
        <f aca="false">IF(71&lt;=MAX(T_AUX),71,"")</f>
        <v/>
      </c>
      <c r="C80" s="72" t="str">
        <f aca="false">IF(B80="","",INDEX(T_ID,Z80))</f>
        <v/>
      </c>
      <c r="D80" s="72" t="str">
        <f aca="false">IF(B80="","",INDEX(T_RUT,Z80)&amp;"")</f>
        <v/>
      </c>
      <c r="E80" s="72" t="str">
        <f aca="false">IF(B80="","",INDEX(T_NOMBRE,Z80)&amp;"")</f>
        <v/>
      </c>
      <c r="F80" s="72" t="str">
        <f aca="false">IF(B80="","",INDEX(T_CARGO,Z80)&amp;"")</f>
        <v/>
      </c>
      <c r="G80" s="72" t="str">
        <f aca="false">IF(B80="","",IFERROR(INDEX(C_TIPO,MATCH(C80&amp;"-P"&amp;MAX(1,COUNTIFS(C_ID,C80,C_DEFINE,"Sí",C_INICIO,"&lt;="&amp;EOMONTH(ENVIO_PER,0))),C_CLAVE,0))&amp;"","Sin contrato"))</f>
        <v/>
      </c>
      <c r="H80" s="71" t="str">
        <f aca="false">IF(B80="","",IFERROR(INDEX(C_SUELDO,MATCH(C80&amp;"-S"&amp;MAX(1,COUNTIFS(C_ID,C80,C_SUELDO,"&lt;&gt;",C_INICIO,"&lt;="&amp;EOMONTH(ENVIO_PER,0))),C_CLAVES,0)),0))</f>
        <v/>
      </c>
      <c r="I80" s="70" t="str">
        <f aca="false">IF(B80="","",TRIM(IF(AND(AB80&gt;=ENVIO_PER,AB80&lt;=EOMONTH(ENVIO_PER,0)),"Ingresa el día "&amp;DAY(AB80)&amp;". ","")&amp;IF(AND(AC80&gt;0,AC80&gt;=ENVIO_PER,AC80&lt;=EOMONTH(ENVIO_PER,0)),"Egresa el día "&amp;DAY(AC80)&amp;".","")))</f>
        <v/>
      </c>
      <c r="J80" s="70" t="str">
        <f aca="false">IF(B80="","",IF(COUNTIFS(C_ID,C80,C_INICIO,"&gt;="&amp;ENVIO_PER,C_INICIO,"&lt;="&amp;EOMONTH(ENVIO_PER,0))&gt;0,COUNTIFS(C_ID,C80,C_INICIO,"&gt;="&amp;ENVIO_PER,C_INICIO,"&lt;="&amp;EOMONTH(ENVIO_PER,0))&amp;" documento(s) nuevo(s): ver Contratos",""))</f>
        <v/>
      </c>
      <c r="K80" s="74" t="str">
        <f aca="false">IF(B80="","",IF(COUNTIF(N_CLAVE,AA80)&gt;0,SUMIFS(N_DIAS,N_CLAVE,AA80),AD80))</f>
        <v/>
      </c>
      <c r="L80" s="74" t="str">
        <f aca="false">IF(B80="","",SUMIFS(N_FALTAS,N_CLAVE,AA80))</f>
        <v/>
      </c>
      <c r="M80" s="74" t="str">
        <f aca="false">IF(B80="","",SUMIFS(N_LIC,N_CLAVE,AA80))</f>
        <v/>
      </c>
      <c r="N80" s="74" t="str">
        <f aca="false">IF(B80="","",SUMIFS(N_PCG,N_CLAVE,AA80))</f>
        <v/>
      </c>
      <c r="O80" s="74" t="str">
        <f aca="false">IF(B80="","",SUMIFS(N_PSG,N_CLAVE,AA80))</f>
        <v/>
      </c>
      <c r="P80" s="74" t="str">
        <f aca="false">IF(B80="","",SUMIFS(V_DIAS,V_ID,C80,V_MES,ENVIO_PER))</f>
        <v/>
      </c>
      <c r="Q80" s="73" t="str">
        <f aca="false">IF(B80="","",SUMIFS(N_ATRASO,N_CLAVE,AA80))</f>
        <v/>
      </c>
      <c r="R80" s="74" t="str">
        <f aca="false">IF(B80="","",SUMIFS(N_HE,N_CLAVE,AA80))</f>
        <v/>
      </c>
      <c r="S80" s="71" t="str">
        <f aca="false">IF(B80="","",SUMIFS(N_ANT,N_CLAVE,AA80))</f>
        <v/>
      </c>
      <c r="T80" s="71" t="str">
        <f aca="false">IF(B80="","",SUMIFS(N_BONO,N_CLAVE,AA80))</f>
        <v/>
      </c>
      <c r="U80" s="71" t="str">
        <f aca="false">IF(B80="","",SUMIFS(N_ONI,N_CLAVE,AA80))</f>
        <v/>
      </c>
      <c r="V80" s="71" t="str">
        <f aca="false">IF(B80="","",SUMIFS(N_DESC,N_CLAVE,AA80))</f>
        <v/>
      </c>
      <c r="W80" s="72" t="str">
        <f aca="false">IF(B80="","",IFERROR(INDEX(N_OBS,MATCH(AA80,N_CLAVE,0))&amp;"",""))</f>
        <v/>
      </c>
      <c r="X80" s="70" t="str">
        <f aca="false">IF(B80="","",IF(COUNTIF(N_CLAVE,AA80)&gt;0,"Sí","⚠ Sin registro"))</f>
        <v/>
      </c>
      <c r="Z80" s="81" t="str">
        <f aca="false">IF(B80="","",MATCH(B80,T_AUX,0))</f>
        <v/>
      </c>
      <c r="AA80" s="81" t="str">
        <f aca="false">IF(B80="","",C80&amp;"|"&amp;(YEAR(ENVIO_PER)*100+MONTH(ENVIO_PER)))</f>
        <v/>
      </c>
      <c r="AB80" s="81" t="str">
        <f aca="false">IF(B80="","",INDEX(T_INGRESO,Z80))</f>
        <v/>
      </c>
      <c r="AC80" s="81" t="str">
        <f aca="false">IF(B80="","",N(INDEX(T_EGRESO,Z80)))</f>
        <v/>
      </c>
      <c r="AD80" s="81" t="str">
        <f aca="false">IF(B80="","",IF(OR(AB80&gt;EOMONTH(ENVIO_PER,0),AND(AC80&gt;0,AC80&lt;ENVIO_PER)),0,IF(AND(AB80&lt;=ENVIO_PER,OR(AC80=0,AC80&gt;=EOMONTH(ENVIO_PER,0))),30,MIN(30,IF(AC80=0,EOMONTH(ENVIO_PER,0),MIN(AC80,EOMONTH(ENVIO_PER,0)))-MAX(ENVIO_PER,AB80)+1))))</f>
        <v/>
      </c>
    </row>
    <row r="81" customFormat="false" ht="15" hidden="false" customHeight="false" outlineLevel="0" collapsed="false">
      <c r="B81" s="72" t="str">
        <f aca="false">IF(72&lt;=MAX(T_AUX),72,"")</f>
        <v/>
      </c>
      <c r="C81" s="72" t="str">
        <f aca="false">IF(B81="","",INDEX(T_ID,Z81))</f>
        <v/>
      </c>
      <c r="D81" s="72" t="str">
        <f aca="false">IF(B81="","",INDEX(T_RUT,Z81)&amp;"")</f>
        <v/>
      </c>
      <c r="E81" s="72" t="str">
        <f aca="false">IF(B81="","",INDEX(T_NOMBRE,Z81)&amp;"")</f>
        <v/>
      </c>
      <c r="F81" s="72" t="str">
        <f aca="false">IF(B81="","",INDEX(T_CARGO,Z81)&amp;"")</f>
        <v/>
      </c>
      <c r="G81" s="72" t="str">
        <f aca="false">IF(B81="","",IFERROR(INDEX(C_TIPO,MATCH(C81&amp;"-P"&amp;MAX(1,COUNTIFS(C_ID,C81,C_DEFINE,"Sí",C_INICIO,"&lt;="&amp;EOMONTH(ENVIO_PER,0))),C_CLAVE,0))&amp;"","Sin contrato"))</f>
        <v/>
      </c>
      <c r="H81" s="71" t="str">
        <f aca="false">IF(B81="","",IFERROR(INDEX(C_SUELDO,MATCH(C81&amp;"-S"&amp;MAX(1,COUNTIFS(C_ID,C81,C_SUELDO,"&lt;&gt;",C_INICIO,"&lt;="&amp;EOMONTH(ENVIO_PER,0))),C_CLAVES,0)),0))</f>
        <v/>
      </c>
      <c r="I81" s="70" t="str">
        <f aca="false">IF(B81="","",TRIM(IF(AND(AB81&gt;=ENVIO_PER,AB81&lt;=EOMONTH(ENVIO_PER,0)),"Ingresa el día "&amp;DAY(AB81)&amp;". ","")&amp;IF(AND(AC81&gt;0,AC81&gt;=ENVIO_PER,AC81&lt;=EOMONTH(ENVIO_PER,0)),"Egresa el día "&amp;DAY(AC81)&amp;".","")))</f>
        <v/>
      </c>
      <c r="J81" s="70" t="str">
        <f aca="false">IF(B81="","",IF(COUNTIFS(C_ID,C81,C_INICIO,"&gt;="&amp;ENVIO_PER,C_INICIO,"&lt;="&amp;EOMONTH(ENVIO_PER,0))&gt;0,COUNTIFS(C_ID,C81,C_INICIO,"&gt;="&amp;ENVIO_PER,C_INICIO,"&lt;="&amp;EOMONTH(ENVIO_PER,0))&amp;" documento(s) nuevo(s): ver Contratos",""))</f>
        <v/>
      </c>
      <c r="K81" s="74" t="str">
        <f aca="false">IF(B81="","",IF(COUNTIF(N_CLAVE,AA81)&gt;0,SUMIFS(N_DIAS,N_CLAVE,AA81),AD81))</f>
        <v/>
      </c>
      <c r="L81" s="74" t="str">
        <f aca="false">IF(B81="","",SUMIFS(N_FALTAS,N_CLAVE,AA81))</f>
        <v/>
      </c>
      <c r="M81" s="74" t="str">
        <f aca="false">IF(B81="","",SUMIFS(N_LIC,N_CLAVE,AA81))</f>
        <v/>
      </c>
      <c r="N81" s="74" t="str">
        <f aca="false">IF(B81="","",SUMIFS(N_PCG,N_CLAVE,AA81))</f>
        <v/>
      </c>
      <c r="O81" s="74" t="str">
        <f aca="false">IF(B81="","",SUMIFS(N_PSG,N_CLAVE,AA81))</f>
        <v/>
      </c>
      <c r="P81" s="74" t="str">
        <f aca="false">IF(B81="","",SUMIFS(V_DIAS,V_ID,C81,V_MES,ENVIO_PER))</f>
        <v/>
      </c>
      <c r="Q81" s="73" t="str">
        <f aca="false">IF(B81="","",SUMIFS(N_ATRASO,N_CLAVE,AA81))</f>
        <v/>
      </c>
      <c r="R81" s="74" t="str">
        <f aca="false">IF(B81="","",SUMIFS(N_HE,N_CLAVE,AA81))</f>
        <v/>
      </c>
      <c r="S81" s="71" t="str">
        <f aca="false">IF(B81="","",SUMIFS(N_ANT,N_CLAVE,AA81))</f>
        <v/>
      </c>
      <c r="T81" s="71" t="str">
        <f aca="false">IF(B81="","",SUMIFS(N_BONO,N_CLAVE,AA81))</f>
        <v/>
      </c>
      <c r="U81" s="71" t="str">
        <f aca="false">IF(B81="","",SUMIFS(N_ONI,N_CLAVE,AA81))</f>
        <v/>
      </c>
      <c r="V81" s="71" t="str">
        <f aca="false">IF(B81="","",SUMIFS(N_DESC,N_CLAVE,AA81))</f>
        <v/>
      </c>
      <c r="W81" s="72" t="str">
        <f aca="false">IF(B81="","",IFERROR(INDEX(N_OBS,MATCH(AA81,N_CLAVE,0))&amp;"",""))</f>
        <v/>
      </c>
      <c r="X81" s="70" t="str">
        <f aca="false">IF(B81="","",IF(COUNTIF(N_CLAVE,AA81)&gt;0,"Sí","⚠ Sin registro"))</f>
        <v/>
      </c>
      <c r="Z81" s="81" t="str">
        <f aca="false">IF(B81="","",MATCH(B81,T_AUX,0))</f>
        <v/>
      </c>
      <c r="AA81" s="81" t="str">
        <f aca="false">IF(B81="","",C81&amp;"|"&amp;(YEAR(ENVIO_PER)*100+MONTH(ENVIO_PER)))</f>
        <v/>
      </c>
      <c r="AB81" s="81" t="str">
        <f aca="false">IF(B81="","",INDEX(T_INGRESO,Z81))</f>
        <v/>
      </c>
      <c r="AC81" s="81" t="str">
        <f aca="false">IF(B81="","",N(INDEX(T_EGRESO,Z81)))</f>
        <v/>
      </c>
      <c r="AD81" s="81" t="str">
        <f aca="false">IF(B81="","",IF(OR(AB81&gt;EOMONTH(ENVIO_PER,0),AND(AC81&gt;0,AC81&lt;ENVIO_PER)),0,IF(AND(AB81&lt;=ENVIO_PER,OR(AC81=0,AC81&gt;=EOMONTH(ENVIO_PER,0))),30,MIN(30,IF(AC81=0,EOMONTH(ENVIO_PER,0),MIN(AC81,EOMONTH(ENVIO_PER,0)))-MAX(ENVIO_PER,AB81)+1))))</f>
        <v/>
      </c>
    </row>
    <row r="82" customFormat="false" ht="15" hidden="false" customHeight="false" outlineLevel="0" collapsed="false">
      <c r="B82" s="72" t="str">
        <f aca="false">IF(73&lt;=MAX(T_AUX),73,"")</f>
        <v/>
      </c>
      <c r="C82" s="72" t="str">
        <f aca="false">IF(B82="","",INDEX(T_ID,Z82))</f>
        <v/>
      </c>
      <c r="D82" s="72" t="str">
        <f aca="false">IF(B82="","",INDEX(T_RUT,Z82)&amp;"")</f>
        <v/>
      </c>
      <c r="E82" s="72" t="str">
        <f aca="false">IF(B82="","",INDEX(T_NOMBRE,Z82)&amp;"")</f>
        <v/>
      </c>
      <c r="F82" s="72" t="str">
        <f aca="false">IF(B82="","",INDEX(T_CARGO,Z82)&amp;"")</f>
        <v/>
      </c>
      <c r="G82" s="72" t="str">
        <f aca="false">IF(B82="","",IFERROR(INDEX(C_TIPO,MATCH(C82&amp;"-P"&amp;MAX(1,COUNTIFS(C_ID,C82,C_DEFINE,"Sí",C_INICIO,"&lt;="&amp;EOMONTH(ENVIO_PER,0))),C_CLAVE,0))&amp;"","Sin contrato"))</f>
        <v/>
      </c>
      <c r="H82" s="71" t="str">
        <f aca="false">IF(B82="","",IFERROR(INDEX(C_SUELDO,MATCH(C82&amp;"-S"&amp;MAX(1,COUNTIFS(C_ID,C82,C_SUELDO,"&lt;&gt;",C_INICIO,"&lt;="&amp;EOMONTH(ENVIO_PER,0))),C_CLAVES,0)),0))</f>
        <v/>
      </c>
      <c r="I82" s="70" t="str">
        <f aca="false">IF(B82="","",TRIM(IF(AND(AB82&gt;=ENVIO_PER,AB82&lt;=EOMONTH(ENVIO_PER,0)),"Ingresa el día "&amp;DAY(AB82)&amp;". ","")&amp;IF(AND(AC82&gt;0,AC82&gt;=ENVIO_PER,AC82&lt;=EOMONTH(ENVIO_PER,0)),"Egresa el día "&amp;DAY(AC82)&amp;".","")))</f>
        <v/>
      </c>
      <c r="J82" s="70" t="str">
        <f aca="false">IF(B82="","",IF(COUNTIFS(C_ID,C82,C_INICIO,"&gt;="&amp;ENVIO_PER,C_INICIO,"&lt;="&amp;EOMONTH(ENVIO_PER,0))&gt;0,COUNTIFS(C_ID,C82,C_INICIO,"&gt;="&amp;ENVIO_PER,C_INICIO,"&lt;="&amp;EOMONTH(ENVIO_PER,0))&amp;" documento(s) nuevo(s): ver Contratos",""))</f>
        <v/>
      </c>
      <c r="K82" s="74" t="str">
        <f aca="false">IF(B82="","",IF(COUNTIF(N_CLAVE,AA82)&gt;0,SUMIFS(N_DIAS,N_CLAVE,AA82),AD82))</f>
        <v/>
      </c>
      <c r="L82" s="74" t="str">
        <f aca="false">IF(B82="","",SUMIFS(N_FALTAS,N_CLAVE,AA82))</f>
        <v/>
      </c>
      <c r="M82" s="74" t="str">
        <f aca="false">IF(B82="","",SUMIFS(N_LIC,N_CLAVE,AA82))</f>
        <v/>
      </c>
      <c r="N82" s="74" t="str">
        <f aca="false">IF(B82="","",SUMIFS(N_PCG,N_CLAVE,AA82))</f>
        <v/>
      </c>
      <c r="O82" s="74" t="str">
        <f aca="false">IF(B82="","",SUMIFS(N_PSG,N_CLAVE,AA82))</f>
        <v/>
      </c>
      <c r="P82" s="74" t="str">
        <f aca="false">IF(B82="","",SUMIFS(V_DIAS,V_ID,C82,V_MES,ENVIO_PER))</f>
        <v/>
      </c>
      <c r="Q82" s="73" t="str">
        <f aca="false">IF(B82="","",SUMIFS(N_ATRASO,N_CLAVE,AA82))</f>
        <v/>
      </c>
      <c r="R82" s="74" t="str">
        <f aca="false">IF(B82="","",SUMIFS(N_HE,N_CLAVE,AA82))</f>
        <v/>
      </c>
      <c r="S82" s="71" t="str">
        <f aca="false">IF(B82="","",SUMIFS(N_ANT,N_CLAVE,AA82))</f>
        <v/>
      </c>
      <c r="T82" s="71" t="str">
        <f aca="false">IF(B82="","",SUMIFS(N_BONO,N_CLAVE,AA82))</f>
        <v/>
      </c>
      <c r="U82" s="71" t="str">
        <f aca="false">IF(B82="","",SUMIFS(N_ONI,N_CLAVE,AA82))</f>
        <v/>
      </c>
      <c r="V82" s="71" t="str">
        <f aca="false">IF(B82="","",SUMIFS(N_DESC,N_CLAVE,AA82))</f>
        <v/>
      </c>
      <c r="W82" s="72" t="str">
        <f aca="false">IF(B82="","",IFERROR(INDEX(N_OBS,MATCH(AA82,N_CLAVE,0))&amp;"",""))</f>
        <v/>
      </c>
      <c r="X82" s="70" t="str">
        <f aca="false">IF(B82="","",IF(COUNTIF(N_CLAVE,AA82)&gt;0,"Sí","⚠ Sin registro"))</f>
        <v/>
      </c>
      <c r="Z82" s="81" t="str">
        <f aca="false">IF(B82="","",MATCH(B82,T_AUX,0))</f>
        <v/>
      </c>
      <c r="AA82" s="81" t="str">
        <f aca="false">IF(B82="","",C82&amp;"|"&amp;(YEAR(ENVIO_PER)*100+MONTH(ENVIO_PER)))</f>
        <v/>
      </c>
      <c r="AB82" s="81" t="str">
        <f aca="false">IF(B82="","",INDEX(T_INGRESO,Z82))</f>
        <v/>
      </c>
      <c r="AC82" s="81" t="str">
        <f aca="false">IF(B82="","",N(INDEX(T_EGRESO,Z82)))</f>
        <v/>
      </c>
      <c r="AD82" s="81" t="str">
        <f aca="false">IF(B82="","",IF(OR(AB82&gt;EOMONTH(ENVIO_PER,0),AND(AC82&gt;0,AC82&lt;ENVIO_PER)),0,IF(AND(AB82&lt;=ENVIO_PER,OR(AC82=0,AC82&gt;=EOMONTH(ENVIO_PER,0))),30,MIN(30,IF(AC82=0,EOMONTH(ENVIO_PER,0),MIN(AC82,EOMONTH(ENVIO_PER,0)))-MAX(ENVIO_PER,AB82)+1))))</f>
        <v/>
      </c>
    </row>
    <row r="83" customFormat="false" ht="15" hidden="false" customHeight="false" outlineLevel="0" collapsed="false">
      <c r="B83" s="72" t="str">
        <f aca="false">IF(74&lt;=MAX(T_AUX),74,"")</f>
        <v/>
      </c>
      <c r="C83" s="72" t="str">
        <f aca="false">IF(B83="","",INDEX(T_ID,Z83))</f>
        <v/>
      </c>
      <c r="D83" s="72" t="str">
        <f aca="false">IF(B83="","",INDEX(T_RUT,Z83)&amp;"")</f>
        <v/>
      </c>
      <c r="E83" s="72" t="str">
        <f aca="false">IF(B83="","",INDEX(T_NOMBRE,Z83)&amp;"")</f>
        <v/>
      </c>
      <c r="F83" s="72" t="str">
        <f aca="false">IF(B83="","",INDEX(T_CARGO,Z83)&amp;"")</f>
        <v/>
      </c>
      <c r="G83" s="72" t="str">
        <f aca="false">IF(B83="","",IFERROR(INDEX(C_TIPO,MATCH(C83&amp;"-P"&amp;MAX(1,COUNTIFS(C_ID,C83,C_DEFINE,"Sí",C_INICIO,"&lt;="&amp;EOMONTH(ENVIO_PER,0))),C_CLAVE,0))&amp;"","Sin contrato"))</f>
        <v/>
      </c>
      <c r="H83" s="71" t="str">
        <f aca="false">IF(B83="","",IFERROR(INDEX(C_SUELDO,MATCH(C83&amp;"-S"&amp;MAX(1,COUNTIFS(C_ID,C83,C_SUELDO,"&lt;&gt;",C_INICIO,"&lt;="&amp;EOMONTH(ENVIO_PER,0))),C_CLAVES,0)),0))</f>
        <v/>
      </c>
      <c r="I83" s="70" t="str">
        <f aca="false">IF(B83="","",TRIM(IF(AND(AB83&gt;=ENVIO_PER,AB83&lt;=EOMONTH(ENVIO_PER,0)),"Ingresa el día "&amp;DAY(AB83)&amp;". ","")&amp;IF(AND(AC83&gt;0,AC83&gt;=ENVIO_PER,AC83&lt;=EOMONTH(ENVIO_PER,0)),"Egresa el día "&amp;DAY(AC83)&amp;".","")))</f>
        <v/>
      </c>
      <c r="J83" s="70" t="str">
        <f aca="false">IF(B83="","",IF(COUNTIFS(C_ID,C83,C_INICIO,"&gt;="&amp;ENVIO_PER,C_INICIO,"&lt;="&amp;EOMONTH(ENVIO_PER,0))&gt;0,COUNTIFS(C_ID,C83,C_INICIO,"&gt;="&amp;ENVIO_PER,C_INICIO,"&lt;="&amp;EOMONTH(ENVIO_PER,0))&amp;" documento(s) nuevo(s): ver Contratos",""))</f>
        <v/>
      </c>
      <c r="K83" s="74" t="str">
        <f aca="false">IF(B83="","",IF(COUNTIF(N_CLAVE,AA83)&gt;0,SUMIFS(N_DIAS,N_CLAVE,AA83),AD83))</f>
        <v/>
      </c>
      <c r="L83" s="74" t="str">
        <f aca="false">IF(B83="","",SUMIFS(N_FALTAS,N_CLAVE,AA83))</f>
        <v/>
      </c>
      <c r="M83" s="74" t="str">
        <f aca="false">IF(B83="","",SUMIFS(N_LIC,N_CLAVE,AA83))</f>
        <v/>
      </c>
      <c r="N83" s="74" t="str">
        <f aca="false">IF(B83="","",SUMIFS(N_PCG,N_CLAVE,AA83))</f>
        <v/>
      </c>
      <c r="O83" s="74" t="str">
        <f aca="false">IF(B83="","",SUMIFS(N_PSG,N_CLAVE,AA83))</f>
        <v/>
      </c>
      <c r="P83" s="74" t="str">
        <f aca="false">IF(B83="","",SUMIFS(V_DIAS,V_ID,C83,V_MES,ENVIO_PER))</f>
        <v/>
      </c>
      <c r="Q83" s="73" t="str">
        <f aca="false">IF(B83="","",SUMIFS(N_ATRASO,N_CLAVE,AA83))</f>
        <v/>
      </c>
      <c r="R83" s="74" t="str">
        <f aca="false">IF(B83="","",SUMIFS(N_HE,N_CLAVE,AA83))</f>
        <v/>
      </c>
      <c r="S83" s="71" t="str">
        <f aca="false">IF(B83="","",SUMIFS(N_ANT,N_CLAVE,AA83))</f>
        <v/>
      </c>
      <c r="T83" s="71" t="str">
        <f aca="false">IF(B83="","",SUMIFS(N_BONO,N_CLAVE,AA83))</f>
        <v/>
      </c>
      <c r="U83" s="71" t="str">
        <f aca="false">IF(B83="","",SUMIFS(N_ONI,N_CLAVE,AA83))</f>
        <v/>
      </c>
      <c r="V83" s="71" t="str">
        <f aca="false">IF(B83="","",SUMIFS(N_DESC,N_CLAVE,AA83))</f>
        <v/>
      </c>
      <c r="W83" s="72" t="str">
        <f aca="false">IF(B83="","",IFERROR(INDEX(N_OBS,MATCH(AA83,N_CLAVE,0))&amp;"",""))</f>
        <v/>
      </c>
      <c r="X83" s="70" t="str">
        <f aca="false">IF(B83="","",IF(COUNTIF(N_CLAVE,AA83)&gt;0,"Sí","⚠ Sin registro"))</f>
        <v/>
      </c>
      <c r="Z83" s="81" t="str">
        <f aca="false">IF(B83="","",MATCH(B83,T_AUX,0))</f>
        <v/>
      </c>
      <c r="AA83" s="81" t="str">
        <f aca="false">IF(B83="","",C83&amp;"|"&amp;(YEAR(ENVIO_PER)*100+MONTH(ENVIO_PER)))</f>
        <v/>
      </c>
      <c r="AB83" s="81" t="str">
        <f aca="false">IF(B83="","",INDEX(T_INGRESO,Z83))</f>
        <v/>
      </c>
      <c r="AC83" s="81" t="str">
        <f aca="false">IF(B83="","",N(INDEX(T_EGRESO,Z83)))</f>
        <v/>
      </c>
      <c r="AD83" s="81" t="str">
        <f aca="false">IF(B83="","",IF(OR(AB83&gt;EOMONTH(ENVIO_PER,0),AND(AC83&gt;0,AC83&lt;ENVIO_PER)),0,IF(AND(AB83&lt;=ENVIO_PER,OR(AC83=0,AC83&gt;=EOMONTH(ENVIO_PER,0))),30,MIN(30,IF(AC83=0,EOMONTH(ENVIO_PER,0),MIN(AC83,EOMONTH(ENVIO_PER,0)))-MAX(ENVIO_PER,AB83)+1))))</f>
        <v/>
      </c>
    </row>
    <row r="84" customFormat="false" ht="15" hidden="false" customHeight="false" outlineLevel="0" collapsed="false">
      <c r="B84" s="72" t="str">
        <f aca="false">IF(75&lt;=MAX(T_AUX),75,"")</f>
        <v/>
      </c>
      <c r="C84" s="72" t="str">
        <f aca="false">IF(B84="","",INDEX(T_ID,Z84))</f>
        <v/>
      </c>
      <c r="D84" s="72" t="str">
        <f aca="false">IF(B84="","",INDEX(T_RUT,Z84)&amp;"")</f>
        <v/>
      </c>
      <c r="E84" s="72" t="str">
        <f aca="false">IF(B84="","",INDEX(T_NOMBRE,Z84)&amp;"")</f>
        <v/>
      </c>
      <c r="F84" s="72" t="str">
        <f aca="false">IF(B84="","",INDEX(T_CARGO,Z84)&amp;"")</f>
        <v/>
      </c>
      <c r="G84" s="72" t="str">
        <f aca="false">IF(B84="","",IFERROR(INDEX(C_TIPO,MATCH(C84&amp;"-P"&amp;MAX(1,COUNTIFS(C_ID,C84,C_DEFINE,"Sí",C_INICIO,"&lt;="&amp;EOMONTH(ENVIO_PER,0))),C_CLAVE,0))&amp;"","Sin contrato"))</f>
        <v/>
      </c>
      <c r="H84" s="71" t="str">
        <f aca="false">IF(B84="","",IFERROR(INDEX(C_SUELDO,MATCH(C84&amp;"-S"&amp;MAX(1,COUNTIFS(C_ID,C84,C_SUELDO,"&lt;&gt;",C_INICIO,"&lt;="&amp;EOMONTH(ENVIO_PER,0))),C_CLAVES,0)),0))</f>
        <v/>
      </c>
      <c r="I84" s="70" t="str">
        <f aca="false">IF(B84="","",TRIM(IF(AND(AB84&gt;=ENVIO_PER,AB84&lt;=EOMONTH(ENVIO_PER,0)),"Ingresa el día "&amp;DAY(AB84)&amp;". ","")&amp;IF(AND(AC84&gt;0,AC84&gt;=ENVIO_PER,AC84&lt;=EOMONTH(ENVIO_PER,0)),"Egresa el día "&amp;DAY(AC84)&amp;".","")))</f>
        <v/>
      </c>
      <c r="J84" s="70" t="str">
        <f aca="false">IF(B84="","",IF(COUNTIFS(C_ID,C84,C_INICIO,"&gt;="&amp;ENVIO_PER,C_INICIO,"&lt;="&amp;EOMONTH(ENVIO_PER,0))&gt;0,COUNTIFS(C_ID,C84,C_INICIO,"&gt;="&amp;ENVIO_PER,C_INICIO,"&lt;="&amp;EOMONTH(ENVIO_PER,0))&amp;" documento(s) nuevo(s): ver Contratos",""))</f>
        <v/>
      </c>
      <c r="K84" s="74" t="str">
        <f aca="false">IF(B84="","",IF(COUNTIF(N_CLAVE,AA84)&gt;0,SUMIFS(N_DIAS,N_CLAVE,AA84),AD84))</f>
        <v/>
      </c>
      <c r="L84" s="74" t="str">
        <f aca="false">IF(B84="","",SUMIFS(N_FALTAS,N_CLAVE,AA84))</f>
        <v/>
      </c>
      <c r="M84" s="74" t="str">
        <f aca="false">IF(B84="","",SUMIFS(N_LIC,N_CLAVE,AA84))</f>
        <v/>
      </c>
      <c r="N84" s="74" t="str">
        <f aca="false">IF(B84="","",SUMIFS(N_PCG,N_CLAVE,AA84))</f>
        <v/>
      </c>
      <c r="O84" s="74" t="str">
        <f aca="false">IF(B84="","",SUMIFS(N_PSG,N_CLAVE,AA84))</f>
        <v/>
      </c>
      <c r="P84" s="74" t="str">
        <f aca="false">IF(B84="","",SUMIFS(V_DIAS,V_ID,C84,V_MES,ENVIO_PER))</f>
        <v/>
      </c>
      <c r="Q84" s="73" t="str">
        <f aca="false">IF(B84="","",SUMIFS(N_ATRASO,N_CLAVE,AA84))</f>
        <v/>
      </c>
      <c r="R84" s="74" t="str">
        <f aca="false">IF(B84="","",SUMIFS(N_HE,N_CLAVE,AA84))</f>
        <v/>
      </c>
      <c r="S84" s="71" t="str">
        <f aca="false">IF(B84="","",SUMIFS(N_ANT,N_CLAVE,AA84))</f>
        <v/>
      </c>
      <c r="T84" s="71" t="str">
        <f aca="false">IF(B84="","",SUMIFS(N_BONO,N_CLAVE,AA84))</f>
        <v/>
      </c>
      <c r="U84" s="71" t="str">
        <f aca="false">IF(B84="","",SUMIFS(N_ONI,N_CLAVE,AA84))</f>
        <v/>
      </c>
      <c r="V84" s="71" t="str">
        <f aca="false">IF(B84="","",SUMIFS(N_DESC,N_CLAVE,AA84))</f>
        <v/>
      </c>
      <c r="W84" s="72" t="str">
        <f aca="false">IF(B84="","",IFERROR(INDEX(N_OBS,MATCH(AA84,N_CLAVE,0))&amp;"",""))</f>
        <v/>
      </c>
      <c r="X84" s="70" t="str">
        <f aca="false">IF(B84="","",IF(COUNTIF(N_CLAVE,AA84)&gt;0,"Sí","⚠ Sin registro"))</f>
        <v/>
      </c>
      <c r="Z84" s="81" t="str">
        <f aca="false">IF(B84="","",MATCH(B84,T_AUX,0))</f>
        <v/>
      </c>
      <c r="AA84" s="81" t="str">
        <f aca="false">IF(B84="","",C84&amp;"|"&amp;(YEAR(ENVIO_PER)*100+MONTH(ENVIO_PER)))</f>
        <v/>
      </c>
      <c r="AB84" s="81" t="str">
        <f aca="false">IF(B84="","",INDEX(T_INGRESO,Z84))</f>
        <v/>
      </c>
      <c r="AC84" s="81" t="str">
        <f aca="false">IF(B84="","",N(INDEX(T_EGRESO,Z84)))</f>
        <v/>
      </c>
      <c r="AD84" s="81" t="str">
        <f aca="false">IF(B84="","",IF(OR(AB84&gt;EOMONTH(ENVIO_PER,0),AND(AC84&gt;0,AC84&lt;ENVIO_PER)),0,IF(AND(AB84&lt;=ENVIO_PER,OR(AC84=0,AC84&gt;=EOMONTH(ENVIO_PER,0))),30,MIN(30,IF(AC84=0,EOMONTH(ENVIO_PER,0),MIN(AC84,EOMONTH(ENVIO_PER,0)))-MAX(ENVIO_PER,AB84)+1))))</f>
        <v/>
      </c>
    </row>
    <row r="85" customFormat="false" ht="15" hidden="false" customHeight="false" outlineLevel="0" collapsed="false">
      <c r="B85" s="72" t="str">
        <f aca="false">IF(76&lt;=MAX(T_AUX),76,"")</f>
        <v/>
      </c>
      <c r="C85" s="72" t="str">
        <f aca="false">IF(B85="","",INDEX(T_ID,Z85))</f>
        <v/>
      </c>
      <c r="D85" s="72" t="str">
        <f aca="false">IF(B85="","",INDEX(T_RUT,Z85)&amp;"")</f>
        <v/>
      </c>
      <c r="E85" s="72" t="str">
        <f aca="false">IF(B85="","",INDEX(T_NOMBRE,Z85)&amp;"")</f>
        <v/>
      </c>
      <c r="F85" s="72" t="str">
        <f aca="false">IF(B85="","",INDEX(T_CARGO,Z85)&amp;"")</f>
        <v/>
      </c>
      <c r="G85" s="72" t="str">
        <f aca="false">IF(B85="","",IFERROR(INDEX(C_TIPO,MATCH(C85&amp;"-P"&amp;MAX(1,COUNTIFS(C_ID,C85,C_DEFINE,"Sí",C_INICIO,"&lt;="&amp;EOMONTH(ENVIO_PER,0))),C_CLAVE,0))&amp;"","Sin contrato"))</f>
        <v/>
      </c>
      <c r="H85" s="71" t="str">
        <f aca="false">IF(B85="","",IFERROR(INDEX(C_SUELDO,MATCH(C85&amp;"-S"&amp;MAX(1,COUNTIFS(C_ID,C85,C_SUELDO,"&lt;&gt;",C_INICIO,"&lt;="&amp;EOMONTH(ENVIO_PER,0))),C_CLAVES,0)),0))</f>
        <v/>
      </c>
      <c r="I85" s="70" t="str">
        <f aca="false">IF(B85="","",TRIM(IF(AND(AB85&gt;=ENVIO_PER,AB85&lt;=EOMONTH(ENVIO_PER,0)),"Ingresa el día "&amp;DAY(AB85)&amp;". ","")&amp;IF(AND(AC85&gt;0,AC85&gt;=ENVIO_PER,AC85&lt;=EOMONTH(ENVIO_PER,0)),"Egresa el día "&amp;DAY(AC85)&amp;".","")))</f>
        <v/>
      </c>
      <c r="J85" s="70" t="str">
        <f aca="false">IF(B85="","",IF(COUNTIFS(C_ID,C85,C_INICIO,"&gt;="&amp;ENVIO_PER,C_INICIO,"&lt;="&amp;EOMONTH(ENVIO_PER,0))&gt;0,COUNTIFS(C_ID,C85,C_INICIO,"&gt;="&amp;ENVIO_PER,C_INICIO,"&lt;="&amp;EOMONTH(ENVIO_PER,0))&amp;" documento(s) nuevo(s): ver Contratos",""))</f>
        <v/>
      </c>
      <c r="K85" s="74" t="str">
        <f aca="false">IF(B85="","",IF(COUNTIF(N_CLAVE,AA85)&gt;0,SUMIFS(N_DIAS,N_CLAVE,AA85),AD85))</f>
        <v/>
      </c>
      <c r="L85" s="74" t="str">
        <f aca="false">IF(B85="","",SUMIFS(N_FALTAS,N_CLAVE,AA85))</f>
        <v/>
      </c>
      <c r="M85" s="74" t="str">
        <f aca="false">IF(B85="","",SUMIFS(N_LIC,N_CLAVE,AA85))</f>
        <v/>
      </c>
      <c r="N85" s="74" t="str">
        <f aca="false">IF(B85="","",SUMIFS(N_PCG,N_CLAVE,AA85))</f>
        <v/>
      </c>
      <c r="O85" s="74" t="str">
        <f aca="false">IF(B85="","",SUMIFS(N_PSG,N_CLAVE,AA85))</f>
        <v/>
      </c>
      <c r="P85" s="74" t="str">
        <f aca="false">IF(B85="","",SUMIFS(V_DIAS,V_ID,C85,V_MES,ENVIO_PER))</f>
        <v/>
      </c>
      <c r="Q85" s="73" t="str">
        <f aca="false">IF(B85="","",SUMIFS(N_ATRASO,N_CLAVE,AA85))</f>
        <v/>
      </c>
      <c r="R85" s="74" t="str">
        <f aca="false">IF(B85="","",SUMIFS(N_HE,N_CLAVE,AA85))</f>
        <v/>
      </c>
      <c r="S85" s="71" t="str">
        <f aca="false">IF(B85="","",SUMIFS(N_ANT,N_CLAVE,AA85))</f>
        <v/>
      </c>
      <c r="T85" s="71" t="str">
        <f aca="false">IF(B85="","",SUMIFS(N_BONO,N_CLAVE,AA85))</f>
        <v/>
      </c>
      <c r="U85" s="71" t="str">
        <f aca="false">IF(B85="","",SUMIFS(N_ONI,N_CLAVE,AA85))</f>
        <v/>
      </c>
      <c r="V85" s="71" t="str">
        <f aca="false">IF(B85="","",SUMIFS(N_DESC,N_CLAVE,AA85))</f>
        <v/>
      </c>
      <c r="W85" s="72" t="str">
        <f aca="false">IF(B85="","",IFERROR(INDEX(N_OBS,MATCH(AA85,N_CLAVE,0))&amp;"",""))</f>
        <v/>
      </c>
      <c r="X85" s="70" t="str">
        <f aca="false">IF(B85="","",IF(COUNTIF(N_CLAVE,AA85)&gt;0,"Sí","⚠ Sin registro"))</f>
        <v/>
      </c>
      <c r="Z85" s="81" t="str">
        <f aca="false">IF(B85="","",MATCH(B85,T_AUX,0))</f>
        <v/>
      </c>
      <c r="AA85" s="81" t="str">
        <f aca="false">IF(B85="","",C85&amp;"|"&amp;(YEAR(ENVIO_PER)*100+MONTH(ENVIO_PER)))</f>
        <v/>
      </c>
      <c r="AB85" s="81" t="str">
        <f aca="false">IF(B85="","",INDEX(T_INGRESO,Z85))</f>
        <v/>
      </c>
      <c r="AC85" s="81" t="str">
        <f aca="false">IF(B85="","",N(INDEX(T_EGRESO,Z85)))</f>
        <v/>
      </c>
      <c r="AD85" s="81" t="str">
        <f aca="false">IF(B85="","",IF(OR(AB85&gt;EOMONTH(ENVIO_PER,0),AND(AC85&gt;0,AC85&lt;ENVIO_PER)),0,IF(AND(AB85&lt;=ENVIO_PER,OR(AC85=0,AC85&gt;=EOMONTH(ENVIO_PER,0))),30,MIN(30,IF(AC85=0,EOMONTH(ENVIO_PER,0),MIN(AC85,EOMONTH(ENVIO_PER,0)))-MAX(ENVIO_PER,AB85)+1))))</f>
        <v/>
      </c>
    </row>
    <row r="86" customFormat="false" ht="15" hidden="false" customHeight="false" outlineLevel="0" collapsed="false">
      <c r="B86" s="72" t="str">
        <f aca="false">IF(77&lt;=MAX(T_AUX),77,"")</f>
        <v/>
      </c>
      <c r="C86" s="72" t="str">
        <f aca="false">IF(B86="","",INDEX(T_ID,Z86))</f>
        <v/>
      </c>
      <c r="D86" s="72" t="str">
        <f aca="false">IF(B86="","",INDEX(T_RUT,Z86)&amp;"")</f>
        <v/>
      </c>
      <c r="E86" s="72" t="str">
        <f aca="false">IF(B86="","",INDEX(T_NOMBRE,Z86)&amp;"")</f>
        <v/>
      </c>
      <c r="F86" s="72" t="str">
        <f aca="false">IF(B86="","",INDEX(T_CARGO,Z86)&amp;"")</f>
        <v/>
      </c>
      <c r="G86" s="72" t="str">
        <f aca="false">IF(B86="","",IFERROR(INDEX(C_TIPO,MATCH(C86&amp;"-P"&amp;MAX(1,COUNTIFS(C_ID,C86,C_DEFINE,"Sí",C_INICIO,"&lt;="&amp;EOMONTH(ENVIO_PER,0))),C_CLAVE,0))&amp;"","Sin contrato"))</f>
        <v/>
      </c>
      <c r="H86" s="71" t="str">
        <f aca="false">IF(B86="","",IFERROR(INDEX(C_SUELDO,MATCH(C86&amp;"-S"&amp;MAX(1,COUNTIFS(C_ID,C86,C_SUELDO,"&lt;&gt;",C_INICIO,"&lt;="&amp;EOMONTH(ENVIO_PER,0))),C_CLAVES,0)),0))</f>
        <v/>
      </c>
      <c r="I86" s="70" t="str">
        <f aca="false">IF(B86="","",TRIM(IF(AND(AB86&gt;=ENVIO_PER,AB86&lt;=EOMONTH(ENVIO_PER,0)),"Ingresa el día "&amp;DAY(AB86)&amp;". ","")&amp;IF(AND(AC86&gt;0,AC86&gt;=ENVIO_PER,AC86&lt;=EOMONTH(ENVIO_PER,0)),"Egresa el día "&amp;DAY(AC86)&amp;".","")))</f>
        <v/>
      </c>
      <c r="J86" s="70" t="str">
        <f aca="false">IF(B86="","",IF(COUNTIFS(C_ID,C86,C_INICIO,"&gt;="&amp;ENVIO_PER,C_INICIO,"&lt;="&amp;EOMONTH(ENVIO_PER,0))&gt;0,COUNTIFS(C_ID,C86,C_INICIO,"&gt;="&amp;ENVIO_PER,C_INICIO,"&lt;="&amp;EOMONTH(ENVIO_PER,0))&amp;" documento(s) nuevo(s): ver Contratos",""))</f>
        <v/>
      </c>
      <c r="K86" s="74" t="str">
        <f aca="false">IF(B86="","",IF(COUNTIF(N_CLAVE,AA86)&gt;0,SUMIFS(N_DIAS,N_CLAVE,AA86),AD86))</f>
        <v/>
      </c>
      <c r="L86" s="74" t="str">
        <f aca="false">IF(B86="","",SUMIFS(N_FALTAS,N_CLAVE,AA86))</f>
        <v/>
      </c>
      <c r="M86" s="74" t="str">
        <f aca="false">IF(B86="","",SUMIFS(N_LIC,N_CLAVE,AA86))</f>
        <v/>
      </c>
      <c r="N86" s="74" t="str">
        <f aca="false">IF(B86="","",SUMIFS(N_PCG,N_CLAVE,AA86))</f>
        <v/>
      </c>
      <c r="O86" s="74" t="str">
        <f aca="false">IF(B86="","",SUMIFS(N_PSG,N_CLAVE,AA86))</f>
        <v/>
      </c>
      <c r="P86" s="74" t="str">
        <f aca="false">IF(B86="","",SUMIFS(V_DIAS,V_ID,C86,V_MES,ENVIO_PER))</f>
        <v/>
      </c>
      <c r="Q86" s="73" t="str">
        <f aca="false">IF(B86="","",SUMIFS(N_ATRASO,N_CLAVE,AA86))</f>
        <v/>
      </c>
      <c r="R86" s="74" t="str">
        <f aca="false">IF(B86="","",SUMIFS(N_HE,N_CLAVE,AA86))</f>
        <v/>
      </c>
      <c r="S86" s="71" t="str">
        <f aca="false">IF(B86="","",SUMIFS(N_ANT,N_CLAVE,AA86))</f>
        <v/>
      </c>
      <c r="T86" s="71" t="str">
        <f aca="false">IF(B86="","",SUMIFS(N_BONO,N_CLAVE,AA86))</f>
        <v/>
      </c>
      <c r="U86" s="71" t="str">
        <f aca="false">IF(B86="","",SUMIFS(N_ONI,N_CLAVE,AA86))</f>
        <v/>
      </c>
      <c r="V86" s="71" t="str">
        <f aca="false">IF(B86="","",SUMIFS(N_DESC,N_CLAVE,AA86))</f>
        <v/>
      </c>
      <c r="W86" s="72" t="str">
        <f aca="false">IF(B86="","",IFERROR(INDEX(N_OBS,MATCH(AA86,N_CLAVE,0))&amp;"",""))</f>
        <v/>
      </c>
      <c r="X86" s="70" t="str">
        <f aca="false">IF(B86="","",IF(COUNTIF(N_CLAVE,AA86)&gt;0,"Sí","⚠ Sin registro"))</f>
        <v/>
      </c>
      <c r="Z86" s="81" t="str">
        <f aca="false">IF(B86="","",MATCH(B86,T_AUX,0))</f>
        <v/>
      </c>
      <c r="AA86" s="81" t="str">
        <f aca="false">IF(B86="","",C86&amp;"|"&amp;(YEAR(ENVIO_PER)*100+MONTH(ENVIO_PER)))</f>
        <v/>
      </c>
      <c r="AB86" s="81" t="str">
        <f aca="false">IF(B86="","",INDEX(T_INGRESO,Z86))</f>
        <v/>
      </c>
      <c r="AC86" s="81" t="str">
        <f aca="false">IF(B86="","",N(INDEX(T_EGRESO,Z86)))</f>
        <v/>
      </c>
      <c r="AD86" s="81" t="str">
        <f aca="false">IF(B86="","",IF(OR(AB86&gt;EOMONTH(ENVIO_PER,0),AND(AC86&gt;0,AC86&lt;ENVIO_PER)),0,IF(AND(AB86&lt;=ENVIO_PER,OR(AC86=0,AC86&gt;=EOMONTH(ENVIO_PER,0))),30,MIN(30,IF(AC86=0,EOMONTH(ENVIO_PER,0),MIN(AC86,EOMONTH(ENVIO_PER,0)))-MAX(ENVIO_PER,AB86)+1))))</f>
        <v/>
      </c>
    </row>
    <row r="87" customFormat="false" ht="15" hidden="false" customHeight="false" outlineLevel="0" collapsed="false">
      <c r="B87" s="72" t="str">
        <f aca="false">IF(78&lt;=MAX(T_AUX),78,"")</f>
        <v/>
      </c>
      <c r="C87" s="72" t="str">
        <f aca="false">IF(B87="","",INDEX(T_ID,Z87))</f>
        <v/>
      </c>
      <c r="D87" s="72" t="str">
        <f aca="false">IF(B87="","",INDEX(T_RUT,Z87)&amp;"")</f>
        <v/>
      </c>
      <c r="E87" s="72" t="str">
        <f aca="false">IF(B87="","",INDEX(T_NOMBRE,Z87)&amp;"")</f>
        <v/>
      </c>
      <c r="F87" s="72" t="str">
        <f aca="false">IF(B87="","",INDEX(T_CARGO,Z87)&amp;"")</f>
        <v/>
      </c>
      <c r="G87" s="72" t="str">
        <f aca="false">IF(B87="","",IFERROR(INDEX(C_TIPO,MATCH(C87&amp;"-P"&amp;MAX(1,COUNTIFS(C_ID,C87,C_DEFINE,"Sí",C_INICIO,"&lt;="&amp;EOMONTH(ENVIO_PER,0))),C_CLAVE,0))&amp;"","Sin contrato"))</f>
        <v/>
      </c>
      <c r="H87" s="71" t="str">
        <f aca="false">IF(B87="","",IFERROR(INDEX(C_SUELDO,MATCH(C87&amp;"-S"&amp;MAX(1,COUNTIFS(C_ID,C87,C_SUELDO,"&lt;&gt;",C_INICIO,"&lt;="&amp;EOMONTH(ENVIO_PER,0))),C_CLAVES,0)),0))</f>
        <v/>
      </c>
      <c r="I87" s="70" t="str">
        <f aca="false">IF(B87="","",TRIM(IF(AND(AB87&gt;=ENVIO_PER,AB87&lt;=EOMONTH(ENVIO_PER,0)),"Ingresa el día "&amp;DAY(AB87)&amp;". ","")&amp;IF(AND(AC87&gt;0,AC87&gt;=ENVIO_PER,AC87&lt;=EOMONTH(ENVIO_PER,0)),"Egresa el día "&amp;DAY(AC87)&amp;".","")))</f>
        <v/>
      </c>
      <c r="J87" s="70" t="str">
        <f aca="false">IF(B87="","",IF(COUNTIFS(C_ID,C87,C_INICIO,"&gt;="&amp;ENVIO_PER,C_INICIO,"&lt;="&amp;EOMONTH(ENVIO_PER,0))&gt;0,COUNTIFS(C_ID,C87,C_INICIO,"&gt;="&amp;ENVIO_PER,C_INICIO,"&lt;="&amp;EOMONTH(ENVIO_PER,0))&amp;" documento(s) nuevo(s): ver Contratos",""))</f>
        <v/>
      </c>
      <c r="K87" s="74" t="str">
        <f aca="false">IF(B87="","",IF(COUNTIF(N_CLAVE,AA87)&gt;0,SUMIFS(N_DIAS,N_CLAVE,AA87),AD87))</f>
        <v/>
      </c>
      <c r="L87" s="74" t="str">
        <f aca="false">IF(B87="","",SUMIFS(N_FALTAS,N_CLAVE,AA87))</f>
        <v/>
      </c>
      <c r="M87" s="74" t="str">
        <f aca="false">IF(B87="","",SUMIFS(N_LIC,N_CLAVE,AA87))</f>
        <v/>
      </c>
      <c r="N87" s="74" t="str">
        <f aca="false">IF(B87="","",SUMIFS(N_PCG,N_CLAVE,AA87))</f>
        <v/>
      </c>
      <c r="O87" s="74" t="str">
        <f aca="false">IF(B87="","",SUMIFS(N_PSG,N_CLAVE,AA87))</f>
        <v/>
      </c>
      <c r="P87" s="74" t="str">
        <f aca="false">IF(B87="","",SUMIFS(V_DIAS,V_ID,C87,V_MES,ENVIO_PER))</f>
        <v/>
      </c>
      <c r="Q87" s="73" t="str">
        <f aca="false">IF(B87="","",SUMIFS(N_ATRASO,N_CLAVE,AA87))</f>
        <v/>
      </c>
      <c r="R87" s="74" t="str">
        <f aca="false">IF(B87="","",SUMIFS(N_HE,N_CLAVE,AA87))</f>
        <v/>
      </c>
      <c r="S87" s="71" t="str">
        <f aca="false">IF(B87="","",SUMIFS(N_ANT,N_CLAVE,AA87))</f>
        <v/>
      </c>
      <c r="T87" s="71" t="str">
        <f aca="false">IF(B87="","",SUMIFS(N_BONO,N_CLAVE,AA87))</f>
        <v/>
      </c>
      <c r="U87" s="71" t="str">
        <f aca="false">IF(B87="","",SUMIFS(N_ONI,N_CLAVE,AA87))</f>
        <v/>
      </c>
      <c r="V87" s="71" t="str">
        <f aca="false">IF(B87="","",SUMIFS(N_DESC,N_CLAVE,AA87))</f>
        <v/>
      </c>
      <c r="W87" s="72" t="str">
        <f aca="false">IF(B87="","",IFERROR(INDEX(N_OBS,MATCH(AA87,N_CLAVE,0))&amp;"",""))</f>
        <v/>
      </c>
      <c r="X87" s="70" t="str">
        <f aca="false">IF(B87="","",IF(COUNTIF(N_CLAVE,AA87)&gt;0,"Sí","⚠ Sin registro"))</f>
        <v/>
      </c>
      <c r="Z87" s="81" t="str">
        <f aca="false">IF(B87="","",MATCH(B87,T_AUX,0))</f>
        <v/>
      </c>
      <c r="AA87" s="81" t="str">
        <f aca="false">IF(B87="","",C87&amp;"|"&amp;(YEAR(ENVIO_PER)*100+MONTH(ENVIO_PER)))</f>
        <v/>
      </c>
      <c r="AB87" s="81" t="str">
        <f aca="false">IF(B87="","",INDEX(T_INGRESO,Z87))</f>
        <v/>
      </c>
      <c r="AC87" s="81" t="str">
        <f aca="false">IF(B87="","",N(INDEX(T_EGRESO,Z87)))</f>
        <v/>
      </c>
      <c r="AD87" s="81" t="str">
        <f aca="false">IF(B87="","",IF(OR(AB87&gt;EOMONTH(ENVIO_PER,0),AND(AC87&gt;0,AC87&lt;ENVIO_PER)),0,IF(AND(AB87&lt;=ENVIO_PER,OR(AC87=0,AC87&gt;=EOMONTH(ENVIO_PER,0))),30,MIN(30,IF(AC87=0,EOMONTH(ENVIO_PER,0),MIN(AC87,EOMONTH(ENVIO_PER,0)))-MAX(ENVIO_PER,AB87)+1))))</f>
        <v/>
      </c>
    </row>
    <row r="88" customFormat="false" ht="15" hidden="false" customHeight="false" outlineLevel="0" collapsed="false">
      <c r="B88" s="72" t="str">
        <f aca="false">IF(79&lt;=MAX(T_AUX),79,"")</f>
        <v/>
      </c>
      <c r="C88" s="72" t="str">
        <f aca="false">IF(B88="","",INDEX(T_ID,Z88))</f>
        <v/>
      </c>
      <c r="D88" s="72" t="str">
        <f aca="false">IF(B88="","",INDEX(T_RUT,Z88)&amp;"")</f>
        <v/>
      </c>
      <c r="E88" s="72" t="str">
        <f aca="false">IF(B88="","",INDEX(T_NOMBRE,Z88)&amp;"")</f>
        <v/>
      </c>
      <c r="F88" s="72" t="str">
        <f aca="false">IF(B88="","",INDEX(T_CARGO,Z88)&amp;"")</f>
        <v/>
      </c>
      <c r="G88" s="72" t="str">
        <f aca="false">IF(B88="","",IFERROR(INDEX(C_TIPO,MATCH(C88&amp;"-P"&amp;MAX(1,COUNTIFS(C_ID,C88,C_DEFINE,"Sí",C_INICIO,"&lt;="&amp;EOMONTH(ENVIO_PER,0))),C_CLAVE,0))&amp;"","Sin contrato"))</f>
        <v/>
      </c>
      <c r="H88" s="71" t="str">
        <f aca="false">IF(B88="","",IFERROR(INDEX(C_SUELDO,MATCH(C88&amp;"-S"&amp;MAX(1,COUNTIFS(C_ID,C88,C_SUELDO,"&lt;&gt;",C_INICIO,"&lt;="&amp;EOMONTH(ENVIO_PER,0))),C_CLAVES,0)),0))</f>
        <v/>
      </c>
      <c r="I88" s="70" t="str">
        <f aca="false">IF(B88="","",TRIM(IF(AND(AB88&gt;=ENVIO_PER,AB88&lt;=EOMONTH(ENVIO_PER,0)),"Ingresa el día "&amp;DAY(AB88)&amp;". ","")&amp;IF(AND(AC88&gt;0,AC88&gt;=ENVIO_PER,AC88&lt;=EOMONTH(ENVIO_PER,0)),"Egresa el día "&amp;DAY(AC88)&amp;".","")))</f>
        <v/>
      </c>
      <c r="J88" s="70" t="str">
        <f aca="false">IF(B88="","",IF(COUNTIFS(C_ID,C88,C_INICIO,"&gt;="&amp;ENVIO_PER,C_INICIO,"&lt;="&amp;EOMONTH(ENVIO_PER,0))&gt;0,COUNTIFS(C_ID,C88,C_INICIO,"&gt;="&amp;ENVIO_PER,C_INICIO,"&lt;="&amp;EOMONTH(ENVIO_PER,0))&amp;" documento(s) nuevo(s): ver Contratos",""))</f>
        <v/>
      </c>
      <c r="K88" s="74" t="str">
        <f aca="false">IF(B88="","",IF(COUNTIF(N_CLAVE,AA88)&gt;0,SUMIFS(N_DIAS,N_CLAVE,AA88),AD88))</f>
        <v/>
      </c>
      <c r="L88" s="74" t="str">
        <f aca="false">IF(B88="","",SUMIFS(N_FALTAS,N_CLAVE,AA88))</f>
        <v/>
      </c>
      <c r="M88" s="74" t="str">
        <f aca="false">IF(B88="","",SUMIFS(N_LIC,N_CLAVE,AA88))</f>
        <v/>
      </c>
      <c r="N88" s="74" t="str">
        <f aca="false">IF(B88="","",SUMIFS(N_PCG,N_CLAVE,AA88))</f>
        <v/>
      </c>
      <c r="O88" s="74" t="str">
        <f aca="false">IF(B88="","",SUMIFS(N_PSG,N_CLAVE,AA88))</f>
        <v/>
      </c>
      <c r="P88" s="74" t="str">
        <f aca="false">IF(B88="","",SUMIFS(V_DIAS,V_ID,C88,V_MES,ENVIO_PER))</f>
        <v/>
      </c>
      <c r="Q88" s="73" t="str">
        <f aca="false">IF(B88="","",SUMIFS(N_ATRASO,N_CLAVE,AA88))</f>
        <v/>
      </c>
      <c r="R88" s="74" t="str">
        <f aca="false">IF(B88="","",SUMIFS(N_HE,N_CLAVE,AA88))</f>
        <v/>
      </c>
      <c r="S88" s="71" t="str">
        <f aca="false">IF(B88="","",SUMIFS(N_ANT,N_CLAVE,AA88))</f>
        <v/>
      </c>
      <c r="T88" s="71" t="str">
        <f aca="false">IF(B88="","",SUMIFS(N_BONO,N_CLAVE,AA88))</f>
        <v/>
      </c>
      <c r="U88" s="71" t="str">
        <f aca="false">IF(B88="","",SUMIFS(N_ONI,N_CLAVE,AA88))</f>
        <v/>
      </c>
      <c r="V88" s="71" t="str">
        <f aca="false">IF(B88="","",SUMIFS(N_DESC,N_CLAVE,AA88))</f>
        <v/>
      </c>
      <c r="W88" s="72" t="str">
        <f aca="false">IF(B88="","",IFERROR(INDEX(N_OBS,MATCH(AA88,N_CLAVE,0))&amp;"",""))</f>
        <v/>
      </c>
      <c r="X88" s="70" t="str">
        <f aca="false">IF(B88="","",IF(COUNTIF(N_CLAVE,AA88)&gt;0,"Sí","⚠ Sin registro"))</f>
        <v/>
      </c>
      <c r="Z88" s="81" t="str">
        <f aca="false">IF(B88="","",MATCH(B88,T_AUX,0))</f>
        <v/>
      </c>
      <c r="AA88" s="81" t="str">
        <f aca="false">IF(B88="","",C88&amp;"|"&amp;(YEAR(ENVIO_PER)*100+MONTH(ENVIO_PER)))</f>
        <v/>
      </c>
      <c r="AB88" s="81" t="str">
        <f aca="false">IF(B88="","",INDEX(T_INGRESO,Z88))</f>
        <v/>
      </c>
      <c r="AC88" s="81" t="str">
        <f aca="false">IF(B88="","",N(INDEX(T_EGRESO,Z88)))</f>
        <v/>
      </c>
      <c r="AD88" s="81" t="str">
        <f aca="false">IF(B88="","",IF(OR(AB88&gt;EOMONTH(ENVIO_PER,0),AND(AC88&gt;0,AC88&lt;ENVIO_PER)),0,IF(AND(AB88&lt;=ENVIO_PER,OR(AC88=0,AC88&gt;=EOMONTH(ENVIO_PER,0))),30,MIN(30,IF(AC88=0,EOMONTH(ENVIO_PER,0),MIN(AC88,EOMONTH(ENVIO_PER,0)))-MAX(ENVIO_PER,AB88)+1))))</f>
        <v/>
      </c>
    </row>
    <row r="89" customFormat="false" ht="15" hidden="false" customHeight="false" outlineLevel="0" collapsed="false">
      <c r="B89" s="72" t="str">
        <f aca="false">IF(80&lt;=MAX(T_AUX),80,"")</f>
        <v/>
      </c>
      <c r="C89" s="72" t="str">
        <f aca="false">IF(B89="","",INDEX(T_ID,Z89))</f>
        <v/>
      </c>
      <c r="D89" s="72" t="str">
        <f aca="false">IF(B89="","",INDEX(T_RUT,Z89)&amp;"")</f>
        <v/>
      </c>
      <c r="E89" s="72" t="str">
        <f aca="false">IF(B89="","",INDEX(T_NOMBRE,Z89)&amp;"")</f>
        <v/>
      </c>
      <c r="F89" s="72" t="str">
        <f aca="false">IF(B89="","",INDEX(T_CARGO,Z89)&amp;"")</f>
        <v/>
      </c>
      <c r="G89" s="72" t="str">
        <f aca="false">IF(B89="","",IFERROR(INDEX(C_TIPO,MATCH(C89&amp;"-P"&amp;MAX(1,COUNTIFS(C_ID,C89,C_DEFINE,"Sí",C_INICIO,"&lt;="&amp;EOMONTH(ENVIO_PER,0))),C_CLAVE,0))&amp;"","Sin contrato"))</f>
        <v/>
      </c>
      <c r="H89" s="71" t="str">
        <f aca="false">IF(B89="","",IFERROR(INDEX(C_SUELDO,MATCH(C89&amp;"-S"&amp;MAX(1,COUNTIFS(C_ID,C89,C_SUELDO,"&lt;&gt;",C_INICIO,"&lt;="&amp;EOMONTH(ENVIO_PER,0))),C_CLAVES,0)),0))</f>
        <v/>
      </c>
      <c r="I89" s="70" t="str">
        <f aca="false">IF(B89="","",TRIM(IF(AND(AB89&gt;=ENVIO_PER,AB89&lt;=EOMONTH(ENVIO_PER,0)),"Ingresa el día "&amp;DAY(AB89)&amp;". ","")&amp;IF(AND(AC89&gt;0,AC89&gt;=ENVIO_PER,AC89&lt;=EOMONTH(ENVIO_PER,0)),"Egresa el día "&amp;DAY(AC89)&amp;".","")))</f>
        <v/>
      </c>
      <c r="J89" s="70" t="str">
        <f aca="false">IF(B89="","",IF(COUNTIFS(C_ID,C89,C_INICIO,"&gt;="&amp;ENVIO_PER,C_INICIO,"&lt;="&amp;EOMONTH(ENVIO_PER,0))&gt;0,COUNTIFS(C_ID,C89,C_INICIO,"&gt;="&amp;ENVIO_PER,C_INICIO,"&lt;="&amp;EOMONTH(ENVIO_PER,0))&amp;" documento(s) nuevo(s): ver Contratos",""))</f>
        <v/>
      </c>
      <c r="K89" s="74" t="str">
        <f aca="false">IF(B89="","",IF(COUNTIF(N_CLAVE,AA89)&gt;0,SUMIFS(N_DIAS,N_CLAVE,AA89),AD89))</f>
        <v/>
      </c>
      <c r="L89" s="74" t="str">
        <f aca="false">IF(B89="","",SUMIFS(N_FALTAS,N_CLAVE,AA89))</f>
        <v/>
      </c>
      <c r="M89" s="74" t="str">
        <f aca="false">IF(B89="","",SUMIFS(N_LIC,N_CLAVE,AA89))</f>
        <v/>
      </c>
      <c r="N89" s="74" t="str">
        <f aca="false">IF(B89="","",SUMIFS(N_PCG,N_CLAVE,AA89))</f>
        <v/>
      </c>
      <c r="O89" s="74" t="str">
        <f aca="false">IF(B89="","",SUMIFS(N_PSG,N_CLAVE,AA89))</f>
        <v/>
      </c>
      <c r="P89" s="74" t="str">
        <f aca="false">IF(B89="","",SUMIFS(V_DIAS,V_ID,C89,V_MES,ENVIO_PER))</f>
        <v/>
      </c>
      <c r="Q89" s="73" t="str">
        <f aca="false">IF(B89="","",SUMIFS(N_ATRASO,N_CLAVE,AA89))</f>
        <v/>
      </c>
      <c r="R89" s="74" t="str">
        <f aca="false">IF(B89="","",SUMIFS(N_HE,N_CLAVE,AA89))</f>
        <v/>
      </c>
      <c r="S89" s="71" t="str">
        <f aca="false">IF(B89="","",SUMIFS(N_ANT,N_CLAVE,AA89))</f>
        <v/>
      </c>
      <c r="T89" s="71" t="str">
        <f aca="false">IF(B89="","",SUMIFS(N_BONO,N_CLAVE,AA89))</f>
        <v/>
      </c>
      <c r="U89" s="71" t="str">
        <f aca="false">IF(B89="","",SUMIFS(N_ONI,N_CLAVE,AA89))</f>
        <v/>
      </c>
      <c r="V89" s="71" t="str">
        <f aca="false">IF(B89="","",SUMIFS(N_DESC,N_CLAVE,AA89))</f>
        <v/>
      </c>
      <c r="W89" s="72" t="str">
        <f aca="false">IF(B89="","",IFERROR(INDEX(N_OBS,MATCH(AA89,N_CLAVE,0))&amp;"",""))</f>
        <v/>
      </c>
      <c r="X89" s="70" t="str">
        <f aca="false">IF(B89="","",IF(COUNTIF(N_CLAVE,AA89)&gt;0,"Sí","⚠ Sin registro"))</f>
        <v/>
      </c>
      <c r="Z89" s="81" t="str">
        <f aca="false">IF(B89="","",MATCH(B89,T_AUX,0))</f>
        <v/>
      </c>
      <c r="AA89" s="81" t="str">
        <f aca="false">IF(B89="","",C89&amp;"|"&amp;(YEAR(ENVIO_PER)*100+MONTH(ENVIO_PER)))</f>
        <v/>
      </c>
      <c r="AB89" s="81" t="str">
        <f aca="false">IF(B89="","",INDEX(T_INGRESO,Z89))</f>
        <v/>
      </c>
      <c r="AC89" s="81" t="str">
        <f aca="false">IF(B89="","",N(INDEX(T_EGRESO,Z89)))</f>
        <v/>
      </c>
      <c r="AD89" s="81" t="str">
        <f aca="false">IF(B89="","",IF(OR(AB89&gt;EOMONTH(ENVIO_PER,0),AND(AC89&gt;0,AC89&lt;ENVIO_PER)),0,IF(AND(AB89&lt;=ENVIO_PER,OR(AC89=0,AC89&gt;=EOMONTH(ENVIO_PER,0))),30,MIN(30,IF(AC89=0,EOMONTH(ENVIO_PER,0),MIN(AC89,EOMONTH(ENVIO_PER,0)))-MAX(ENVIO_PER,AB89)+1))))</f>
        <v/>
      </c>
    </row>
    <row r="90" customFormat="false" ht="15" hidden="false" customHeight="false" outlineLevel="0" collapsed="false">
      <c r="B90" s="72" t="str">
        <f aca="false">IF(81&lt;=MAX(T_AUX),81,"")</f>
        <v/>
      </c>
      <c r="C90" s="72" t="str">
        <f aca="false">IF(B90="","",INDEX(T_ID,Z90))</f>
        <v/>
      </c>
      <c r="D90" s="72" t="str">
        <f aca="false">IF(B90="","",INDEX(T_RUT,Z90)&amp;"")</f>
        <v/>
      </c>
      <c r="E90" s="72" t="str">
        <f aca="false">IF(B90="","",INDEX(T_NOMBRE,Z90)&amp;"")</f>
        <v/>
      </c>
      <c r="F90" s="72" t="str">
        <f aca="false">IF(B90="","",INDEX(T_CARGO,Z90)&amp;"")</f>
        <v/>
      </c>
      <c r="G90" s="72" t="str">
        <f aca="false">IF(B90="","",IFERROR(INDEX(C_TIPO,MATCH(C90&amp;"-P"&amp;MAX(1,COUNTIFS(C_ID,C90,C_DEFINE,"Sí",C_INICIO,"&lt;="&amp;EOMONTH(ENVIO_PER,0))),C_CLAVE,0))&amp;"","Sin contrato"))</f>
        <v/>
      </c>
      <c r="H90" s="71" t="str">
        <f aca="false">IF(B90="","",IFERROR(INDEX(C_SUELDO,MATCH(C90&amp;"-S"&amp;MAX(1,COUNTIFS(C_ID,C90,C_SUELDO,"&lt;&gt;",C_INICIO,"&lt;="&amp;EOMONTH(ENVIO_PER,0))),C_CLAVES,0)),0))</f>
        <v/>
      </c>
      <c r="I90" s="70" t="str">
        <f aca="false">IF(B90="","",TRIM(IF(AND(AB90&gt;=ENVIO_PER,AB90&lt;=EOMONTH(ENVIO_PER,0)),"Ingresa el día "&amp;DAY(AB90)&amp;". ","")&amp;IF(AND(AC90&gt;0,AC90&gt;=ENVIO_PER,AC90&lt;=EOMONTH(ENVIO_PER,0)),"Egresa el día "&amp;DAY(AC90)&amp;".","")))</f>
        <v/>
      </c>
      <c r="J90" s="70" t="str">
        <f aca="false">IF(B90="","",IF(COUNTIFS(C_ID,C90,C_INICIO,"&gt;="&amp;ENVIO_PER,C_INICIO,"&lt;="&amp;EOMONTH(ENVIO_PER,0))&gt;0,COUNTIFS(C_ID,C90,C_INICIO,"&gt;="&amp;ENVIO_PER,C_INICIO,"&lt;="&amp;EOMONTH(ENVIO_PER,0))&amp;" documento(s) nuevo(s): ver Contratos",""))</f>
        <v/>
      </c>
      <c r="K90" s="74" t="str">
        <f aca="false">IF(B90="","",IF(COUNTIF(N_CLAVE,AA90)&gt;0,SUMIFS(N_DIAS,N_CLAVE,AA90),AD90))</f>
        <v/>
      </c>
      <c r="L90" s="74" t="str">
        <f aca="false">IF(B90="","",SUMIFS(N_FALTAS,N_CLAVE,AA90))</f>
        <v/>
      </c>
      <c r="M90" s="74" t="str">
        <f aca="false">IF(B90="","",SUMIFS(N_LIC,N_CLAVE,AA90))</f>
        <v/>
      </c>
      <c r="N90" s="74" t="str">
        <f aca="false">IF(B90="","",SUMIFS(N_PCG,N_CLAVE,AA90))</f>
        <v/>
      </c>
      <c r="O90" s="74" t="str">
        <f aca="false">IF(B90="","",SUMIFS(N_PSG,N_CLAVE,AA90))</f>
        <v/>
      </c>
      <c r="P90" s="74" t="str">
        <f aca="false">IF(B90="","",SUMIFS(V_DIAS,V_ID,C90,V_MES,ENVIO_PER))</f>
        <v/>
      </c>
      <c r="Q90" s="73" t="str">
        <f aca="false">IF(B90="","",SUMIFS(N_ATRASO,N_CLAVE,AA90))</f>
        <v/>
      </c>
      <c r="R90" s="74" t="str">
        <f aca="false">IF(B90="","",SUMIFS(N_HE,N_CLAVE,AA90))</f>
        <v/>
      </c>
      <c r="S90" s="71" t="str">
        <f aca="false">IF(B90="","",SUMIFS(N_ANT,N_CLAVE,AA90))</f>
        <v/>
      </c>
      <c r="T90" s="71" t="str">
        <f aca="false">IF(B90="","",SUMIFS(N_BONO,N_CLAVE,AA90))</f>
        <v/>
      </c>
      <c r="U90" s="71" t="str">
        <f aca="false">IF(B90="","",SUMIFS(N_ONI,N_CLAVE,AA90))</f>
        <v/>
      </c>
      <c r="V90" s="71" t="str">
        <f aca="false">IF(B90="","",SUMIFS(N_DESC,N_CLAVE,AA90))</f>
        <v/>
      </c>
      <c r="W90" s="72" t="str">
        <f aca="false">IF(B90="","",IFERROR(INDEX(N_OBS,MATCH(AA90,N_CLAVE,0))&amp;"",""))</f>
        <v/>
      </c>
      <c r="X90" s="70" t="str">
        <f aca="false">IF(B90="","",IF(COUNTIF(N_CLAVE,AA90)&gt;0,"Sí","⚠ Sin registro"))</f>
        <v/>
      </c>
      <c r="Z90" s="81" t="str">
        <f aca="false">IF(B90="","",MATCH(B90,T_AUX,0))</f>
        <v/>
      </c>
      <c r="AA90" s="81" t="str">
        <f aca="false">IF(B90="","",C90&amp;"|"&amp;(YEAR(ENVIO_PER)*100+MONTH(ENVIO_PER)))</f>
        <v/>
      </c>
      <c r="AB90" s="81" t="str">
        <f aca="false">IF(B90="","",INDEX(T_INGRESO,Z90))</f>
        <v/>
      </c>
      <c r="AC90" s="81" t="str">
        <f aca="false">IF(B90="","",N(INDEX(T_EGRESO,Z90)))</f>
        <v/>
      </c>
      <c r="AD90" s="81" t="str">
        <f aca="false">IF(B90="","",IF(OR(AB90&gt;EOMONTH(ENVIO_PER,0),AND(AC90&gt;0,AC90&lt;ENVIO_PER)),0,IF(AND(AB90&lt;=ENVIO_PER,OR(AC90=0,AC90&gt;=EOMONTH(ENVIO_PER,0))),30,MIN(30,IF(AC90=0,EOMONTH(ENVIO_PER,0),MIN(AC90,EOMONTH(ENVIO_PER,0)))-MAX(ENVIO_PER,AB90)+1))))</f>
        <v/>
      </c>
    </row>
    <row r="91" customFormat="false" ht="15" hidden="false" customHeight="false" outlineLevel="0" collapsed="false">
      <c r="B91" s="72" t="str">
        <f aca="false">IF(82&lt;=MAX(T_AUX),82,"")</f>
        <v/>
      </c>
      <c r="C91" s="72" t="str">
        <f aca="false">IF(B91="","",INDEX(T_ID,Z91))</f>
        <v/>
      </c>
      <c r="D91" s="72" t="str">
        <f aca="false">IF(B91="","",INDEX(T_RUT,Z91)&amp;"")</f>
        <v/>
      </c>
      <c r="E91" s="72" t="str">
        <f aca="false">IF(B91="","",INDEX(T_NOMBRE,Z91)&amp;"")</f>
        <v/>
      </c>
      <c r="F91" s="72" t="str">
        <f aca="false">IF(B91="","",INDEX(T_CARGO,Z91)&amp;"")</f>
        <v/>
      </c>
      <c r="G91" s="72" t="str">
        <f aca="false">IF(B91="","",IFERROR(INDEX(C_TIPO,MATCH(C91&amp;"-P"&amp;MAX(1,COUNTIFS(C_ID,C91,C_DEFINE,"Sí",C_INICIO,"&lt;="&amp;EOMONTH(ENVIO_PER,0))),C_CLAVE,0))&amp;"","Sin contrato"))</f>
        <v/>
      </c>
      <c r="H91" s="71" t="str">
        <f aca="false">IF(B91="","",IFERROR(INDEX(C_SUELDO,MATCH(C91&amp;"-S"&amp;MAX(1,COUNTIFS(C_ID,C91,C_SUELDO,"&lt;&gt;",C_INICIO,"&lt;="&amp;EOMONTH(ENVIO_PER,0))),C_CLAVES,0)),0))</f>
        <v/>
      </c>
      <c r="I91" s="70" t="str">
        <f aca="false">IF(B91="","",TRIM(IF(AND(AB91&gt;=ENVIO_PER,AB91&lt;=EOMONTH(ENVIO_PER,0)),"Ingresa el día "&amp;DAY(AB91)&amp;". ","")&amp;IF(AND(AC91&gt;0,AC91&gt;=ENVIO_PER,AC91&lt;=EOMONTH(ENVIO_PER,0)),"Egresa el día "&amp;DAY(AC91)&amp;".","")))</f>
        <v/>
      </c>
      <c r="J91" s="70" t="str">
        <f aca="false">IF(B91="","",IF(COUNTIFS(C_ID,C91,C_INICIO,"&gt;="&amp;ENVIO_PER,C_INICIO,"&lt;="&amp;EOMONTH(ENVIO_PER,0))&gt;0,COUNTIFS(C_ID,C91,C_INICIO,"&gt;="&amp;ENVIO_PER,C_INICIO,"&lt;="&amp;EOMONTH(ENVIO_PER,0))&amp;" documento(s) nuevo(s): ver Contratos",""))</f>
        <v/>
      </c>
      <c r="K91" s="74" t="str">
        <f aca="false">IF(B91="","",IF(COUNTIF(N_CLAVE,AA91)&gt;0,SUMIFS(N_DIAS,N_CLAVE,AA91),AD91))</f>
        <v/>
      </c>
      <c r="L91" s="74" t="str">
        <f aca="false">IF(B91="","",SUMIFS(N_FALTAS,N_CLAVE,AA91))</f>
        <v/>
      </c>
      <c r="M91" s="74" t="str">
        <f aca="false">IF(B91="","",SUMIFS(N_LIC,N_CLAVE,AA91))</f>
        <v/>
      </c>
      <c r="N91" s="74" t="str">
        <f aca="false">IF(B91="","",SUMIFS(N_PCG,N_CLAVE,AA91))</f>
        <v/>
      </c>
      <c r="O91" s="74" t="str">
        <f aca="false">IF(B91="","",SUMIFS(N_PSG,N_CLAVE,AA91))</f>
        <v/>
      </c>
      <c r="P91" s="74" t="str">
        <f aca="false">IF(B91="","",SUMIFS(V_DIAS,V_ID,C91,V_MES,ENVIO_PER))</f>
        <v/>
      </c>
      <c r="Q91" s="73" t="str">
        <f aca="false">IF(B91="","",SUMIFS(N_ATRASO,N_CLAVE,AA91))</f>
        <v/>
      </c>
      <c r="R91" s="74" t="str">
        <f aca="false">IF(B91="","",SUMIFS(N_HE,N_CLAVE,AA91))</f>
        <v/>
      </c>
      <c r="S91" s="71" t="str">
        <f aca="false">IF(B91="","",SUMIFS(N_ANT,N_CLAVE,AA91))</f>
        <v/>
      </c>
      <c r="T91" s="71" t="str">
        <f aca="false">IF(B91="","",SUMIFS(N_BONO,N_CLAVE,AA91))</f>
        <v/>
      </c>
      <c r="U91" s="71" t="str">
        <f aca="false">IF(B91="","",SUMIFS(N_ONI,N_CLAVE,AA91))</f>
        <v/>
      </c>
      <c r="V91" s="71" t="str">
        <f aca="false">IF(B91="","",SUMIFS(N_DESC,N_CLAVE,AA91))</f>
        <v/>
      </c>
      <c r="W91" s="72" t="str">
        <f aca="false">IF(B91="","",IFERROR(INDEX(N_OBS,MATCH(AA91,N_CLAVE,0))&amp;"",""))</f>
        <v/>
      </c>
      <c r="X91" s="70" t="str">
        <f aca="false">IF(B91="","",IF(COUNTIF(N_CLAVE,AA91)&gt;0,"Sí","⚠ Sin registro"))</f>
        <v/>
      </c>
      <c r="Z91" s="81" t="str">
        <f aca="false">IF(B91="","",MATCH(B91,T_AUX,0))</f>
        <v/>
      </c>
      <c r="AA91" s="81" t="str">
        <f aca="false">IF(B91="","",C91&amp;"|"&amp;(YEAR(ENVIO_PER)*100+MONTH(ENVIO_PER)))</f>
        <v/>
      </c>
      <c r="AB91" s="81" t="str">
        <f aca="false">IF(B91="","",INDEX(T_INGRESO,Z91))</f>
        <v/>
      </c>
      <c r="AC91" s="81" t="str">
        <f aca="false">IF(B91="","",N(INDEX(T_EGRESO,Z91)))</f>
        <v/>
      </c>
      <c r="AD91" s="81" t="str">
        <f aca="false">IF(B91="","",IF(OR(AB91&gt;EOMONTH(ENVIO_PER,0),AND(AC91&gt;0,AC91&lt;ENVIO_PER)),0,IF(AND(AB91&lt;=ENVIO_PER,OR(AC91=0,AC91&gt;=EOMONTH(ENVIO_PER,0))),30,MIN(30,IF(AC91=0,EOMONTH(ENVIO_PER,0),MIN(AC91,EOMONTH(ENVIO_PER,0)))-MAX(ENVIO_PER,AB91)+1))))</f>
        <v/>
      </c>
    </row>
    <row r="92" customFormat="false" ht="15" hidden="false" customHeight="false" outlineLevel="0" collapsed="false">
      <c r="B92" s="72" t="str">
        <f aca="false">IF(83&lt;=MAX(T_AUX),83,"")</f>
        <v/>
      </c>
      <c r="C92" s="72" t="str">
        <f aca="false">IF(B92="","",INDEX(T_ID,Z92))</f>
        <v/>
      </c>
      <c r="D92" s="72" t="str">
        <f aca="false">IF(B92="","",INDEX(T_RUT,Z92)&amp;"")</f>
        <v/>
      </c>
      <c r="E92" s="72" t="str">
        <f aca="false">IF(B92="","",INDEX(T_NOMBRE,Z92)&amp;"")</f>
        <v/>
      </c>
      <c r="F92" s="72" t="str">
        <f aca="false">IF(B92="","",INDEX(T_CARGO,Z92)&amp;"")</f>
        <v/>
      </c>
      <c r="G92" s="72" t="str">
        <f aca="false">IF(B92="","",IFERROR(INDEX(C_TIPO,MATCH(C92&amp;"-P"&amp;MAX(1,COUNTIFS(C_ID,C92,C_DEFINE,"Sí",C_INICIO,"&lt;="&amp;EOMONTH(ENVIO_PER,0))),C_CLAVE,0))&amp;"","Sin contrato"))</f>
        <v/>
      </c>
      <c r="H92" s="71" t="str">
        <f aca="false">IF(B92="","",IFERROR(INDEX(C_SUELDO,MATCH(C92&amp;"-S"&amp;MAX(1,COUNTIFS(C_ID,C92,C_SUELDO,"&lt;&gt;",C_INICIO,"&lt;="&amp;EOMONTH(ENVIO_PER,0))),C_CLAVES,0)),0))</f>
        <v/>
      </c>
      <c r="I92" s="70" t="str">
        <f aca="false">IF(B92="","",TRIM(IF(AND(AB92&gt;=ENVIO_PER,AB92&lt;=EOMONTH(ENVIO_PER,0)),"Ingresa el día "&amp;DAY(AB92)&amp;". ","")&amp;IF(AND(AC92&gt;0,AC92&gt;=ENVIO_PER,AC92&lt;=EOMONTH(ENVIO_PER,0)),"Egresa el día "&amp;DAY(AC92)&amp;".","")))</f>
        <v/>
      </c>
      <c r="J92" s="70" t="str">
        <f aca="false">IF(B92="","",IF(COUNTIFS(C_ID,C92,C_INICIO,"&gt;="&amp;ENVIO_PER,C_INICIO,"&lt;="&amp;EOMONTH(ENVIO_PER,0))&gt;0,COUNTIFS(C_ID,C92,C_INICIO,"&gt;="&amp;ENVIO_PER,C_INICIO,"&lt;="&amp;EOMONTH(ENVIO_PER,0))&amp;" documento(s) nuevo(s): ver Contratos",""))</f>
        <v/>
      </c>
      <c r="K92" s="74" t="str">
        <f aca="false">IF(B92="","",IF(COUNTIF(N_CLAVE,AA92)&gt;0,SUMIFS(N_DIAS,N_CLAVE,AA92),AD92))</f>
        <v/>
      </c>
      <c r="L92" s="74" t="str">
        <f aca="false">IF(B92="","",SUMIFS(N_FALTAS,N_CLAVE,AA92))</f>
        <v/>
      </c>
      <c r="M92" s="74" t="str">
        <f aca="false">IF(B92="","",SUMIFS(N_LIC,N_CLAVE,AA92))</f>
        <v/>
      </c>
      <c r="N92" s="74" t="str">
        <f aca="false">IF(B92="","",SUMIFS(N_PCG,N_CLAVE,AA92))</f>
        <v/>
      </c>
      <c r="O92" s="74" t="str">
        <f aca="false">IF(B92="","",SUMIFS(N_PSG,N_CLAVE,AA92))</f>
        <v/>
      </c>
      <c r="P92" s="74" t="str">
        <f aca="false">IF(B92="","",SUMIFS(V_DIAS,V_ID,C92,V_MES,ENVIO_PER))</f>
        <v/>
      </c>
      <c r="Q92" s="73" t="str">
        <f aca="false">IF(B92="","",SUMIFS(N_ATRASO,N_CLAVE,AA92))</f>
        <v/>
      </c>
      <c r="R92" s="74" t="str">
        <f aca="false">IF(B92="","",SUMIFS(N_HE,N_CLAVE,AA92))</f>
        <v/>
      </c>
      <c r="S92" s="71" t="str">
        <f aca="false">IF(B92="","",SUMIFS(N_ANT,N_CLAVE,AA92))</f>
        <v/>
      </c>
      <c r="T92" s="71" t="str">
        <f aca="false">IF(B92="","",SUMIFS(N_BONO,N_CLAVE,AA92))</f>
        <v/>
      </c>
      <c r="U92" s="71" t="str">
        <f aca="false">IF(B92="","",SUMIFS(N_ONI,N_CLAVE,AA92))</f>
        <v/>
      </c>
      <c r="V92" s="71" t="str">
        <f aca="false">IF(B92="","",SUMIFS(N_DESC,N_CLAVE,AA92))</f>
        <v/>
      </c>
      <c r="W92" s="72" t="str">
        <f aca="false">IF(B92="","",IFERROR(INDEX(N_OBS,MATCH(AA92,N_CLAVE,0))&amp;"",""))</f>
        <v/>
      </c>
      <c r="X92" s="70" t="str">
        <f aca="false">IF(B92="","",IF(COUNTIF(N_CLAVE,AA92)&gt;0,"Sí","⚠ Sin registro"))</f>
        <v/>
      </c>
      <c r="Z92" s="81" t="str">
        <f aca="false">IF(B92="","",MATCH(B92,T_AUX,0))</f>
        <v/>
      </c>
      <c r="AA92" s="81" t="str">
        <f aca="false">IF(B92="","",C92&amp;"|"&amp;(YEAR(ENVIO_PER)*100+MONTH(ENVIO_PER)))</f>
        <v/>
      </c>
      <c r="AB92" s="81" t="str">
        <f aca="false">IF(B92="","",INDEX(T_INGRESO,Z92))</f>
        <v/>
      </c>
      <c r="AC92" s="81" t="str">
        <f aca="false">IF(B92="","",N(INDEX(T_EGRESO,Z92)))</f>
        <v/>
      </c>
      <c r="AD92" s="81" t="str">
        <f aca="false">IF(B92="","",IF(OR(AB92&gt;EOMONTH(ENVIO_PER,0),AND(AC92&gt;0,AC92&lt;ENVIO_PER)),0,IF(AND(AB92&lt;=ENVIO_PER,OR(AC92=0,AC92&gt;=EOMONTH(ENVIO_PER,0))),30,MIN(30,IF(AC92=0,EOMONTH(ENVIO_PER,0),MIN(AC92,EOMONTH(ENVIO_PER,0)))-MAX(ENVIO_PER,AB92)+1))))</f>
        <v/>
      </c>
    </row>
    <row r="93" customFormat="false" ht="15" hidden="false" customHeight="false" outlineLevel="0" collapsed="false">
      <c r="B93" s="72" t="str">
        <f aca="false">IF(84&lt;=MAX(T_AUX),84,"")</f>
        <v/>
      </c>
      <c r="C93" s="72" t="str">
        <f aca="false">IF(B93="","",INDEX(T_ID,Z93))</f>
        <v/>
      </c>
      <c r="D93" s="72" t="str">
        <f aca="false">IF(B93="","",INDEX(T_RUT,Z93)&amp;"")</f>
        <v/>
      </c>
      <c r="E93" s="72" t="str">
        <f aca="false">IF(B93="","",INDEX(T_NOMBRE,Z93)&amp;"")</f>
        <v/>
      </c>
      <c r="F93" s="72" t="str">
        <f aca="false">IF(B93="","",INDEX(T_CARGO,Z93)&amp;"")</f>
        <v/>
      </c>
      <c r="G93" s="72" t="str">
        <f aca="false">IF(B93="","",IFERROR(INDEX(C_TIPO,MATCH(C93&amp;"-P"&amp;MAX(1,COUNTIFS(C_ID,C93,C_DEFINE,"Sí",C_INICIO,"&lt;="&amp;EOMONTH(ENVIO_PER,0))),C_CLAVE,0))&amp;"","Sin contrato"))</f>
        <v/>
      </c>
      <c r="H93" s="71" t="str">
        <f aca="false">IF(B93="","",IFERROR(INDEX(C_SUELDO,MATCH(C93&amp;"-S"&amp;MAX(1,COUNTIFS(C_ID,C93,C_SUELDO,"&lt;&gt;",C_INICIO,"&lt;="&amp;EOMONTH(ENVIO_PER,0))),C_CLAVES,0)),0))</f>
        <v/>
      </c>
      <c r="I93" s="70" t="str">
        <f aca="false">IF(B93="","",TRIM(IF(AND(AB93&gt;=ENVIO_PER,AB93&lt;=EOMONTH(ENVIO_PER,0)),"Ingresa el día "&amp;DAY(AB93)&amp;". ","")&amp;IF(AND(AC93&gt;0,AC93&gt;=ENVIO_PER,AC93&lt;=EOMONTH(ENVIO_PER,0)),"Egresa el día "&amp;DAY(AC93)&amp;".","")))</f>
        <v/>
      </c>
      <c r="J93" s="70" t="str">
        <f aca="false">IF(B93="","",IF(COUNTIFS(C_ID,C93,C_INICIO,"&gt;="&amp;ENVIO_PER,C_INICIO,"&lt;="&amp;EOMONTH(ENVIO_PER,0))&gt;0,COUNTIFS(C_ID,C93,C_INICIO,"&gt;="&amp;ENVIO_PER,C_INICIO,"&lt;="&amp;EOMONTH(ENVIO_PER,0))&amp;" documento(s) nuevo(s): ver Contratos",""))</f>
        <v/>
      </c>
      <c r="K93" s="74" t="str">
        <f aca="false">IF(B93="","",IF(COUNTIF(N_CLAVE,AA93)&gt;0,SUMIFS(N_DIAS,N_CLAVE,AA93),AD93))</f>
        <v/>
      </c>
      <c r="L93" s="74" t="str">
        <f aca="false">IF(B93="","",SUMIFS(N_FALTAS,N_CLAVE,AA93))</f>
        <v/>
      </c>
      <c r="M93" s="74" t="str">
        <f aca="false">IF(B93="","",SUMIFS(N_LIC,N_CLAVE,AA93))</f>
        <v/>
      </c>
      <c r="N93" s="74" t="str">
        <f aca="false">IF(B93="","",SUMIFS(N_PCG,N_CLAVE,AA93))</f>
        <v/>
      </c>
      <c r="O93" s="74" t="str">
        <f aca="false">IF(B93="","",SUMIFS(N_PSG,N_CLAVE,AA93))</f>
        <v/>
      </c>
      <c r="P93" s="74" t="str">
        <f aca="false">IF(B93="","",SUMIFS(V_DIAS,V_ID,C93,V_MES,ENVIO_PER))</f>
        <v/>
      </c>
      <c r="Q93" s="73" t="str">
        <f aca="false">IF(B93="","",SUMIFS(N_ATRASO,N_CLAVE,AA93))</f>
        <v/>
      </c>
      <c r="R93" s="74" t="str">
        <f aca="false">IF(B93="","",SUMIFS(N_HE,N_CLAVE,AA93))</f>
        <v/>
      </c>
      <c r="S93" s="71" t="str">
        <f aca="false">IF(B93="","",SUMIFS(N_ANT,N_CLAVE,AA93))</f>
        <v/>
      </c>
      <c r="T93" s="71" t="str">
        <f aca="false">IF(B93="","",SUMIFS(N_BONO,N_CLAVE,AA93))</f>
        <v/>
      </c>
      <c r="U93" s="71" t="str">
        <f aca="false">IF(B93="","",SUMIFS(N_ONI,N_CLAVE,AA93))</f>
        <v/>
      </c>
      <c r="V93" s="71" t="str">
        <f aca="false">IF(B93="","",SUMIFS(N_DESC,N_CLAVE,AA93))</f>
        <v/>
      </c>
      <c r="W93" s="72" t="str">
        <f aca="false">IF(B93="","",IFERROR(INDEX(N_OBS,MATCH(AA93,N_CLAVE,0))&amp;"",""))</f>
        <v/>
      </c>
      <c r="X93" s="70" t="str">
        <f aca="false">IF(B93="","",IF(COUNTIF(N_CLAVE,AA93)&gt;0,"Sí","⚠ Sin registro"))</f>
        <v/>
      </c>
      <c r="Z93" s="81" t="str">
        <f aca="false">IF(B93="","",MATCH(B93,T_AUX,0))</f>
        <v/>
      </c>
      <c r="AA93" s="81" t="str">
        <f aca="false">IF(B93="","",C93&amp;"|"&amp;(YEAR(ENVIO_PER)*100+MONTH(ENVIO_PER)))</f>
        <v/>
      </c>
      <c r="AB93" s="81" t="str">
        <f aca="false">IF(B93="","",INDEX(T_INGRESO,Z93))</f>
        <v/>
      </c>
      <c r="AC93" s="81" t="str">
        <f aca="false">IF(B93="","",N(INDEX(T_EGRESO,Z93)))</f>
        <v/>
      </c>
      <c r="AD93" s="81" t="str">
        <f aca="false">IF(B93="","",IF(OR(AB93&gt;EOMONTH(ENVIO_PER,0),AND(AC93&gt;0,AC93&lt;ENVIO_PER)),0,IF(AND(AB93&lt;=ENVIO_PER,OR(AC93=0,AC93&gt;=EOMONTH(ENVIO_PER,0))),30,MIN(30,IF(AC93=0,EOMONTH(ENVIO_PER,0),MIN(AC93,EOMONTH(ENVIO_PER,0)))-MAX(ENVIO_PER,AB93)+1))))</f>
        <v/>
      </c>
    </row>
    <row r="94" customFormat="false" ht="15" hidden="false" customHeight="false" outlineLevel="0" collapsed="false">
      <c r="B94" s="72" t="str">
        <f aca="false">IF(85&lt;=MAX(T_AUX),85,"")</f>
        <v/>
      </c>
      <c r="C94" s="72" t="str">
        <f aca="false">IF(B94="","",INDEX(T_ID,Z94))</f>
        <v/>
      </c>
      <c r="D94" s="72" t="str">
        <f aca="false">IF(B94="","",INDEX(T_RUT,Z94)&amp;"")</f>
        <v/>
      </c>
      <c r="E94" s="72" t="str">
        <f aca="false">IF(B94="","",INDEX(T_NOMBRE,Z94)&amp;"")</f>
        <v/>
      </c>
      <c r="F94" s="72" t="str">
        <f aca="false">IF(B94="","",INDEX(T_CARGO,Z94)&amp;"")</f>
        <v/>
      </c>
      <c r="G94" s="72" t="str">
        <f aca="false">IF(B94="","",IFERROR(INDEX(C_TIPO,MATCH(C94&amp;"-P"&amp;MAX(1,COUNTIFS(C_ID,C94,C_DEFINE,"Sí",C_INICIO,"&lt;="&amp;EOMONTH(ENVIO_PER,0))),C_CLAVE,0))&amp;"","Sin contrato"))</f>
        <v/>
      </c>
      <c r="H94" s="71" t="str">
        <f aca="false">IF(B94="","",IFERROR(INDEX(C_SUELDO,MATCH(C94&amp;"-S"&amp;MAX(1,COUNTIFS(C_ID,C94,C_SUELDO,"&lt;&gt;",C_INICIO,"&lt;="&amp;EOMONTH(ENVIO_PER,0))),C_CLAVES,0)),0))</f>
        <v/>
      </c>
      <c r="I94" s="70" t="str">
        <f aca="false">IF(B94="","",TRIM(IF(AND(AB94&gt;=ENVIO_PER,AB94&lt;=EOMONTH(ENVIO_PER,0)),"Ingresa el día "&amp;DAY(AB94)&amp;". ","")&amp;IF(AND(AC94&gt;0,AC94&gt;=ENVIO_PER,AC94&lt;=EOMONTH(ENVIO_PER,0)),"Egresa el día "&amp;DAY(AC94)&amp;".","")))</f>
        <v/>
      </c>
      <c r="J94" s="70" t="str">
        <f aca="false">IF(B94="","",IF(COUNTIFS(C_ID,C94,C_INICIO,"&gt;="&amp;ENVIO_PER,C_INICIO,"&lt;="&amp;EOMONTH(ENVIO_PER,0))&gt;0,COUNTIFS(C_ID,C94,C_INICIO,"&gt;="&amp;ENVIO_PER,C_INICIO,"&lt;="&amp;EOMONTH(ENVIO_PER,0))&amp;" documento(s) nuevo(s): ver Contratos",""))</f>
        <v/>
      </c>
      <c r="K94" s="74" t="str">
        <f aca="false">IF(B94="","",IF(COUNTIF(N_CLAVE,AA94)&gt;0,SUMIFS(N_DIAS,N_CLAVE,AA94),AD94))</f>
        <v/>
      </c>
      <c r="L94" s="74" t="str">
        <f aca="false">IF(B94="","",SUMIFS(N_FALTAS,N_CLAVE,AA94))</f>
        <v/>
      </c>
      <c r="M94" s="74" t="str">
        <f aca="false">IF(B94="","",SUMIFS(N_LIC,N_CLAVE,AA94))</f>
        <v/>
      </c>
      <c r="N94" s="74" t="str">
        <f aca="false">IF(B94="","",SUMIFS(N_PCG,N_CLAVE,AA94))</f>
        <v/>
      </c>
      <c r="O94" s="74" t="str">
        <f aca="false">IF(B94="","",SUMIFS(N_PSG,N_CLAVE,AA94))</f>
        <v/>
      </c>
      <c r="P94" s="74" t="str">
        <f aca="false">IF(B94="","",SUMIFS(V_DIAS,V_ID,C94,V_MES,ENVIO_PER))</f>
        <v/>
      </c>
      <c r="Q94" s="73" t="str">
        <f aca="false">IF(B94="","",SUMIFS(N_ATRASO,N_CLAVE,AA94))</f>
        <v/>
      </c>
      <c r="R94" s="74" t="str">
        <f aca="false">IF(B94="","",SUMIFS(N_HE,N_CLAVE,AA94))</f>
        <v/>
      </c>
      <c r="S94" s="71" t="str">
        <f aca="false">IF(B94="","",SUMIFS(N_ANT,N_CLAVE,AA94))</f>
        <v/>
      </c>
      <c r="T94" s="71" t="str">
        <f aca="false">IF(B94="","",SUMIFS(N_BONO,N_CLAVE,AA94))</f>
        <v/>
      </c>
      <c r="U94" s="71" t="str">
        <f aca="false">IF(B94="","",SUMIFS(N_ONI,N_CLAVE,AA94))</f>
        <v/>
      </c>
      <c r="V94" s="71" t="str">
        <f aca="false">IF(B94="","",SUMIFS(N_DESC,N_CLAVE,AA94))</f>
        <v/>
      </c>
      <c r="W94" s="72" t="str">
        <f aca="false">IF(B94="","",IFERROR(INDEX(N_OBS,MATCH(AA94,N_CLAVE,0))&amp;"",""))</f>
        <v/>
      </c>
      <c r="X94" s="70" t="str">
        <f aca="false">IF(B94="","",IF(COUNTIF(N_CLAVE,AA94)&gt;0,"Sí","⚠ Sin registro"))</f>
        <v/>
      </c>
      <c r="Z94" s="81" t="str">
        <f aca="false">IF(B94="","",MATCH(B94,T_AUX,0))</f>
        <v/>
      </c>
      <c r="AA94" s="81" t="str">
        <f aca="false">IF(B94="","",C94&amp;"|"&amp;(YEAR(ENVIO_PER)*100+MONTH(ENVIO_PER)))</f>
        <v/>
      </c>
      <c r="AB94" s="81" t="str">
        <f aca="false">IF(B94="","",INDEX(T_INGRESO,Z94))</f>
        <v/>
      </c>
      <c r="AC94" s="81" t="str">
        <f aca="false">IF(B94="","",N(INDEX(T_EGRESO,Z94)))</f>
        <v/>
      </c>
      <c r="AD94" s="81" t="str">
        <f aca="false">IF(B94="","",IF(OR(AB94&gt;EOMONTH(ENVIO_PER,0),AND(AC94&gt;0,AC94&lt;ENVIO_PER)),0,IF(AND(AB94&lt;=ENVIO_PER,OR(AC94=0,AC94&gt;=EOMONTH(ENVIO_PER,0))),30,MIN(30,IF(AC94=0,EOMONTH(ENVIO_PER,0),MIN(AC94,EOMONTH(ENVIO_PER,0)))-MAX(ENVIO_PER,AB94)+1))))</f>
        <v/>
      </c>
    </row>
    <row r="95" customFormat="false" ht="15" hidden="false" customHeight="false" outlineLevel="0" collapsed="false">
      <c r="B95" s="72" t="str">
        <f aca="false">IF(86&lt;=MAX(T_AUX),86,"")</f>
        <v/>
      </c>
      <c r="C95" s="72" t="str">
        <f aca="false">IF(B95="","",INDEX(T_ID,Z95))</f>
        <v/>
      </c>
      <c r="D95" s="72" t="str">
        <f aca="false">IF(B95="","",INDEX(T_RUT,Z95)&amp;"")</f>
        <v/>
      </c>
      <c r="E95" s="72" t="str">
        <f aca="false">IF(B95="","",INDEX(T_NOMBRE,Z95)&amp;"")</f>
        <v/>
      </c>
      <c r="F95" s="72" t="str">
        <f aca="false">IF(B95="","",INDEX(T_CARGO,Z95)&amp;"")</f>
        <v/>
      </c>
      <c r="G95" s="72" t="str">
        <f aca="false">IF(B95="","",IFERROR(INDEX(C_TIPO,MATCH(C95&amp;"-P"&amp;MAX(1,COUNTIFS(C_ID,C95,C_DEFINE,"Sí",C_INICIO,"&lt;="&amp;EOMONTH(ENVIO_PER,0))),C_CLAVE,0))&amp;"","Sin contrato"))</f>
        <v/>
      </c>
      <c r="H95" s="71" t="str">
        <f aca="false">IF(B95="","",IFERROR(INDEX(C_SUELDO,MATCH(C95&amp;"-S"&amp;MAX(1,COUNTIFS(C_ID,C95,C_SUELDO,"&lt;&gt;",C_INICIO,"&lt;="&amp;EOMONTH(ENVIO_PER,0))),C_CLAVES,0)),0))</f>
        <v/>
      </c>
      <c r="I95" s="70" t="str">
        <f aca="false">IF(B95="","",TRIM(IF(AND(AB95&gt;=ENVIO_PER,AB95&lt;=EOMONTH(ENVIO_PER,0)),"Ingresa el día "&amp;DAY(AB95)&amp;". ","")&amp;IF(AND(AC95&gt;0,AC95&gt;=ENVIO_PER,AC95&lt;=EOMONTH(ENVIO_PER,0)),"Egresa el día "&amp;DAY(AC95)&amp;".","")))</f>
        <v/>
      </c>
      <c r="J95" s="70" t="str">
        <f aca="false">IF(B95="","",IF(COUNTIFS(C_ID,C95,C_INICIO,"&gt;="&amp;ENVIO_PER,C_INICIO,"&lt;="&amp;EOMONTH(ENVIO_PER,0))&gt;0,COUNTIFS(C_ID,C95,C_INICIO,"&gt;="&amp;ENVIO_PER,C_INICIO,"&lt;="&amp;EOMONTH(ENVIO_PER,0))&amp;" documento(s) nuevo(s): ver Contratos",""))</f>
        <v/>
      </c>
      <c r="K95" s="74" t="str">
        <f aca="false">IF(B95="","",IF(COUNTIF(N_CLAVE,AA95)&gt;0,SUMIFS(N_DIAS,N_CLAVE,AA95),AD95))</f>
        <v/>
      </c>
      <c r="L95" s="74" t="str">
        <f aca="false">IF(B95="","",SUMIFS(N_FALTAS,N_CLAVE,AA95))</f>
        <v/>
      </c>
      <c r="M95" s="74" t="str">
        <f aca="false">IF(B95="","",SUMIFS(N_LIC,N_CLAVE,AA95))</f>
        <v/>
      </c>
      <c r="N95" s="74" t="str">
        <f aca="false">IF(B95="","",SUMIFS(N_PCG,N_CLAVE,AA95))</f>
        <v/>
      </c>
      <c r="O95" s="74" t="str">
        <f aca="false">IF(B95="","",SUMIFS(N_PSG,N_CLAVE,AA95))</f>
        <v/>
      </c>
      <c r="P95" s="74" t="str">
        <f aca="false">IF(B95="","",SUMIFS(V_DIAS,V_ID,C95,V_MES,ENVIO_PER))</f>
        <v/>
      </c>
      <c r="Q95" s="73" t="str">
        <f aca="false">IF(B95="","",SUMIFS(N_ATRASO,N_CLAVE,AA95))</f>
        <v/>
      </c>
      <c r="R95" s="74" t="str">
        <f aca="false">IF(B95="","",SUMIFS(N_HE,N_CLAVE,AA95))</f>
        <v/>
      </c>
      <c r="S95" s="71" t="str">
        <f aca="false">IF(B95="","",SUMIFS(N_ANT,N_CLAVE,AA95))</f>
        <v/>
      </c>
      <c r="T95" s="71" t="str">
        <f aca="false">IF(B95="","",SUMIFS(N_BONO,N_CLAVE,AA95))</f>
        <v/>
      </c>
      <c r="U95" s="71" t="str">
        <f aca="false">IF(B95="","",SUMIFS(N_ONI,N_CLAVE,AA95))</f>
        <v/>
      </c>
      <c r="V95" s="71" t="str">
        <f aca="false">IF(B95="","",SUMIFS(N_DESC,N_CLAVE,AA95))</f>
        <v/>
      </c>
      <c r="W95" s="72" t="str">
        <f aca="false">IF(B95="","",IFERROR(INDEX(N_OBS,MATCH(AA95,N_CLAVE,0))&amp;"",""))</f>
        <v/>
      </c>
      <c r="X95" s="70" t="str">
        <f aca="false">IF(B95="","",IF(COUNTIF(N_CLAVE,AA95)&gt;0,"Sí","⚠ Sin registro"))</f>
        <v/>
      </c>
      <c r="Z95" s="81" t="str">
        <f aca="false">IF(B95="","",MATCH(B95,T_AUX,0))</f>
        <v/>
      </c>
      <c r="AA95" s="81" t="str">
        <f aca="false">IF(B95="","",C95&amp;"|"&amp;(YEAR(ENVIO_PER)*100+MONTH(ENVIO_PER)))</f>
        <v/>
      </c>
      <c r="AB95" s="81" t="str">
        <f aca="false">IF(B95="","",INDEX(T_INGRESO,Z95))</f>
        <v/>
      </c>
      <c r="AC95" s="81" t="str">
        <f aca="false">IF(B95="","",N(INDEX(T_EGRESO,Z95)))</f>
        <v/>
      </c>
      <c r="AD95" s="81" t="str">
        <f aca="false">IF(B95="","",IF(OR(AB95&gt;EOMONTH(ENVIO_PER,0),AND(AC95&gt;0,AC95&lt;ENVIO_PER)),0,IF(AND(AB95&lt;=ENVIO_PER,OR(AC95=0,AC95&gt;=EOMONTH(ENVIO_PER,0))),30,MIN(30,IF(AC95=0,EOMONTH(ENVIO_PER,0),MIN(AC95,EOMONTH(ENVIO_PER,0)))-MAX(ENVIO_PER,AB95)+1))))</f>
        <v/>
      </c>
    </row>
    <row r="96" customFormat="false" ht="15" hidden="false" customHeight="false" outlineLevel="0" collapsed="false">
      <c r="B96" s="72" t="str">
        <f aca="false">IF(87&lt;=MAX(T_AUX),87,"")</f>
        <v/>
      </c>
      <c r="C96" s="72" t="str">
        <f aca="false">IF(B96="","",INDEX(T_ID,Z96))</f>
        <v/>
      </c>
      <c r="D96" s="72" t="str">
        <f aca="false">IF(B96="","",INDEX(T_RUT,Z96)&amp;"")</f>
        <v/>
      </c>
      <c r="E96" s="72" t="str">
        <f aca="false">IF(B96="","",INDEX(T_NOMBRE,Z96)&amp;"")</f>
        <v/>
      </c>
      <c r="F96" s="72" t="str">
        <f aca="false">IF(B96="","",INDEX(T_CARGO,Z96)&amp;"")</f>
        <v/>
      </c>
      <c r="G96" s="72" t="str">
        <f aca="false">IF(B96="","",IFERROR(INDEX(C_TIPO,MATCH(C96&amp;"-P"&amp;MAX(1,COUNTIFS(C_ID,C96,C_DEFINE,"Sí",C_INICIO,"&lt;="&amp;EOMONTH(ENVIO_PER,0))),C_CLAVE,0))&amp;"","Sin contrato"))</f>
        <v/>
      </c>
      <c r="H96" s="71" t="str">
        <f aca="false">IF(B96="","",IFERROR(INDEX(C_SUELDO,MATCH(C96&amp;"-S"&amp;MAX(1,COUNTIFS(C_ID,C96,C_SUELDO,"&lt;&gt;",C_INICIO,"&lt;="&amp;EOMONTH(ENVIO_PER,0))),C_CLAVES,0)),0))</f>
        <v/>
      </c>
      <c r="I96" s="70" t="str">
        <f aca="false">IF(B96="","",TRIM(IF(AND(AB96&gt;=ENVIO_PER,AB96&lt;=EOMONTH(ENVIO_PER,0)),"Ingresa el día "&amp;DAY(AB96)&amp;". ","")&amp;IF(AND(AC96&gt;0,AC96&gt;=ENVIO_PER,AC96&lt;=EOMONTH(ENVIO_PER,0)),"Egresa el día "&amp;DAY(AC96)&amp;".","")))</f>
        <v/>
      </c>
      <c r="J96" s="70" t="str">
        <f aca="false">IF(B96="","",IF(COUNTIFS(C_ID,C96,C_INICIO,"&gt;="&amp;ENVIO_PER,C_INICIO,"&lt;="&amp;EOMONTH(ENVIO_PER,0))&gt;0,COUNTIFS(C_ID,C96,C_INICIO,"&gt;="&amp;ENVIO_PER,C_INICIO,"&lt;="&amp;EOMONTH(ENVIO_PER,0))&amp;" documento(s) nuevo(s): ver Contratos",""))</f>
        <v/>
      </c>
      <c r="K96" s="74" t="str">
        <f aca="false">IF(B96="","",IF(COUNTIF(N_CLAVE,AA96)&gt;0,SUMIFS(N_DIAS,N_CLAVE,AA96),AD96))</f>
        <v/>
      </c>
      <c r="L96" s="74" t="str">
        <f aca="false">IF(B96="","",SUMIFS(N_FALTAS,N_CLAVE,AA96))</f>
        <v/>
      </c>
      <c r="M96" s="74" t="str">
        <f aca="false">IF(B96="","",SUMIFS(N_LIC,N_CLAVE,AA96))</f>
        <v/>
      </c>
      <c r="N96" s="74" t="str">
        <f aca="false">IF(B96="","",SUMIFS(N_PCG,N_CLAVE,AA96))</f>
        <v/>
      </c>
      <c r="O96" s="74" t="str">
        <f aca="false">IF(B96="","",SUMIFS(N_PSG,N_CLAVE,AA96))</f>
        <v/>
      </c>
      <c r="P96" s="74" t="str">
        <f aca="false">IF(B96="","",SUMIFS(V_DIAS,V_ID,C96,V_MES,ENVIO_PER))</f>
        <v/>
      </c>
      <c r="Q96" s="73" t="str">
        <f aca="false">IF(B96="","",SUMIFS(N_ATRASO,N_CLAVE,AA96))</f>
        <v/>
      </c>
      <c r="R96" s="74" t="str">
        <f aca="false">IF(B96="","",SUMIFS(N_HE,N_CLAVE,AA96))</f>
        <v/>
      </c>
      <c r="S96" s="71" t="str">
        <f aca="false">IF(B96="","",SUMIFS(N_ANT,N_CLAVE,AA96))</f>
        <v/>
      </c>
      <c r="T96" s="71" t="str">
        <f aca="false">IF(B96="","",SUMIFS(N_BONO,N_CLAVE,AA96))</f>
        <v/>
      </c>
      <c r="U96" s="71" t="str">
        <f aca="false">IF(B96="","",SUMIFS(N_ONI,N_CLAVE,AA96))</f>
        <v/>
      </c>
      <c r="V96" s="71" t="str">
        <f aca="false">IF(B96="","",SUMIFS(N_DESC,N_CLAVE,AA96))</f>
        <v/>
      </c>
      <c r="W96" s="72" t="str">
        <f aca="false">IF(B96="","",IFERROR(INDEX(N_OBS,MATCH(AA96,N_CLAVE,0))&amp;"",""))</f>
        <v/>
      </c>
      <c r="X96" s="70" t="str">
        <f aca="false">IF(B96="","",IF(COUNTIF(N_CLAVE,AA96)&gt;0,"Sí","⚠ Sin registro"))</f>
        <v/>
      </c>
      <c r="Z96" s="81" t="str">
        <f aca="false">IF(B96="","",MATCH(B96,T_AUX,0))</f>
        <v/>
      </c>
      <c r="AA96" s="81" t="str">
        <f aca="false">IF(B96="","",C96&amp;"|"&amp;(YEAR(ENVIO_PER)*100+MONTH(ENVIO_PER)))</f>
        <v/>
      </c>
      <c r="AB96" s="81" t="str">
        <f aca="false">IF(B96="","",INDEX(T_INGRESO,Z96))</f>
        <v/>
      </c>
      <c r="AC96" s="81" t="str">
        <f aca="false">IF(B96="","",N(INDEX(T_EGRESO,Z96)))</f>
        <v/>
      </c>
      <c r="AD96" s="81" t="str">
        <f aca="false">IF(B96="","",IF(OR(AB96&gt;EOMONTH(ENVIO_PER,0),AND(AC96&gt;0,AC96&lt;ENVIO_PER)),0,IF(AND(AB96&lt;=ENVIO_PER,OR(AC96=0,AC96&gt;=EOMONTH(ENVIO_PER,0))),30,MIN(30,IF(AC96=0,EOMONTH(ENVIO_PER,0),MIN(AC96,EOMONTH(ENVIO_PER,0)))-MAX(ENVIO_PER,AB96)+1))))</f>
        <v/>
      </c>
    </row>
    <row r="97" customFormat="false" ht="15" hidden="false" customHeight="false" outlineLevel="0" collapsed="false">
      <c r="B97" s="72" t="str">
        <f aca="false">IF(88&lt;=MAX(T_AUX),88,"")</f>
        <v/>
      </c>
      <c r="C97" s="72" t="str">
        <f aca="false">IF(B97="","",INDEX(T_ID,Z97))</f>
        <v/>
      </c>
      <c r="D97" s="72" t="str">
        <f aca="false">IF(B97="","",INDEX(T_RUT,Z97)&amp;"")</f>
        <v/>
      </c>
      <c r="E97" s="72" t="str">
        <f aca="false">IF(B97="","",INDEX(T_NOMBRE,Z97)&amp;"")</f>
        <v/>
      </c>
      <c r="F97" s="72" t="str">
        <f aca="false">IF(B97="","",INDEX(T_CARGO,Z97)&amp;"")</f>
        <v/>
      </c>
      <c r="G97" s="72" t="str">
        <f aca="false">IF(B97="","",IFERROR(INDEX(C_TIPO,MATCH(C97&amp;"-P"&amp;MAX(1,COUNTIFS(C_ID,C97,C_DEFINE,"Sí",C_INICIO,"&lt;="&amp;EOMONTH(ENVIO_PER,0))),C_CLAVE,0))&amp;"","Sin contrato"))</f>
        <v/>
      </c>
      <c r="H97" s="71" t="str">
        <f aca="false">IF(B97="","",IFERROR(INDEX(C_SUELDO,MATCH(C97&amp;"-S"&amp;MAX(1,COUNTIFS(C_ID,C97,C_SUELDO,"&lt;&gt;",C_INICIO,"&lt;="&amp;EOMONTH(ENVIO_PER,0))),C_CLAVES,0)),0))</f>
        <v/>
      </c>
      <c r="I97" s="70" t="str">
        <f aca="false">IF(B97="","",TRIM(IF(AND(AB97&gt;=ENVIO_PER,AB97&lt;=EOMONTH(ENVIO_PER,0)),"Ingresa el día "&amp;DAY(AB97)&amp;". ","")&amp;IF(AND(AC97&gt;0,AC97&gt;=ENVIO_PER,AC97&lt;=EOMONTH(ENVIO_PER,0)),"Egresa el día "&amp;DAY(AC97)&amp;".","")))</f>
        <v/>
      </c>
      <c r="J97" s="70" t="str">
        <f aca="false">IF(B97="","",IF(COUNTIFS(C_ID,C97,C_INICIO,"&gt;="&amp;ENVIO_PER,C_INICIO,"&lt;="&amp;EOMONTH(ENVIO_PER,0))&gt;0,COUNTIFS(C_ID,C97,C_INICIO,"&gt;="&amp;ENVIO_PER,C_INICIO,"&lt;="&amp;EOMONTH(ENVIO_PER,0))&amp;" documento(s) nuevo(s): ver Contratos",""))</f>
        <v/>
      </c>
      <c r="K97" s="74" t="str">
        <f aca="false">IF(B97="","",IF(COUNTIF(N_CLAVE,AA97)&gt;0,SUMIFS(N_DIAS,N_CLAVE,AA97),AD97))</f>
        <v/>
      </c>
      <c r="L97" s="74" t="str">
        <f aca="false">IF(B97="","",SUMIFS(N_FALTAS,N_CLAVE,AA97))</f>
        <v/>
      </c>
      <c r="M97" s="74" t="str">
        <f aca="false">IF(B97="","",SUMIFS(N_LIC,N_CLAVE,AA97))</f>
        <v/>
      </c>
      <c r="N97" s="74" t="str">
        <f aca="false">IF(B97="","",SUMIFS(N_PCG,N_CLAVE,AA97))</f>
        <v/>
      </c>
      <c r="O97" s="74" t="str">
        <f aca="false">IF(B97="","",SUMIFS(N_PSG,N_CLAVE,AA97))</f>
        <v/>
      </c>
      <c r="P97" s="74" t="str">
        <f aca="false">IF(B97="","",SUMIFS(V_DIAS,V_ID,C97,V_MES,ENVIO_PER))</f>
        <v/>
      </c>
      <c r="Q97" s="73" t="str">
        <f aca="false">IF(B97="","",SUMIFS(N_ATRASO,N_CLAVE,AA97))</f>
        <v/>
      </c>
      <c r="R97" s="74" t="str">
        <f aca="false">IF(B97="","",SUMIFS(N_HE,N_CLAVE,AA97))</f>
        <v/>
      </c>
      <c r="S97" s="71" t="str">
        <f aca="false">IF(B97="","",SUMIFS(N_ANT,N_CLAVE,AA97))</f>
        <v/>
      </c>
      <c r="T97" s="71" t="str">
        <f aca="false">IF(B97="","",SUMIFS(N_BONO,N_CLAVE,AA97))</f>
        <v/>
      </c>
      <c r="U97" s="71" t="str">
        <f aca="false">IF(B97="","",SUMIFS(N_ONI,N_CLAVE,AA97))</f>
        <v/>
      </c>
      <c r="V97" s="71" t="str">
        <f aca="false">IF(B97="","",SUMIFS(N_DESC,N_CLAVE,AA97))</f>
        <v/>
      </c>
      <c r="W97" s="72" t="str">
        <f aca="false">IF(B97="","",IFERROR(INDEX(N_OBS,MATCH(AA97,N_CLAVE,0))&amp;"",""))</f>
        <v/>
      </c>
      <c r="X97" s="70" t="str">
        <f aca="false">IF(B97="","",IF(COUNTIF(N_CLAVE,AA97)&gt;0,"Sí","⚠ Sin registro"))</f>
        <v/>
      </c>
      <c r="Z97" s="81" t="str">
        <f aca="false">IF(B97="","",MATCH(B97,T_AUX,0))</f>
        <v/>
      </c>
      <c r="AA97" s="81" t="str">
        <f aca="false">IF(B97="","",C97&amp;"|"&amp;(YEAR(ENVIO_PER)*100+MONTH(ENVIO_PER)))</f>
        <v/>
      </c>
      <c r="AB97" s="81" t="str">
        <f aca="false">IF(B97="","",INDEX(T_INGRESO,Z97))</f>
        <v/>
      </c>
      <c r="AC97" s="81" t="str">
        <f aca="false">IF(B97="","",N(INDEX(T_EGRESO,Z97)))</f>
        <v/>
      </c>
      <c r="AD97" s="81" t="str">
        <f aca="false">IF(B97="","",IF(OR(AB97&gt;EOMONTH(ENVIO_PER,0),AND(AC97&gt;0,AC97&lt;ENVIO_PER)),0,IF(AND(AB97&lt;=ENVIO_PER,OR(AC97=0,AC97&gt;=EOMONTH(ENVIO_PER,0))),30,MIN(30,IF(AC97=0,EOMONTH(ENVIO_PER,0),MIN(AC97,EOMONTH(ENVIO_PER,0)))-MAX(ENVIO_PER,AB97)+1))))</f>
        <v/>
      </c>
    </row>
    <row r="98" customFormat="false" ht="15" hidden="false" customHeight="false" outlineLevel="0" collapsed="false">
      <c r="B98" s="72" t="str">
        <f aca="false">IF(89&lt;=MAX(T_AUX),89,"")</f>
        <v/>
      </c>
      <c r="C98" s="72" t="str">
        <f aca="false">IF(B98="","",INDEX(T_ID,Z98))</f>
        <v/>
      </c>
      <c r="D98" s="72" t="str">
        <f aca="false">IF(B98="","",INDEX(T_RUT,Z98)&amp;"")</f>
        <v/>
      </c>
      <c r="E98" s="72" t="str">
        <f aca="false">IF(B98="","",INDEX(T_NOMBRE,Z98)&amp;"")</f>
        <v/>
      </c>
      <c r="F98" s="72" t="str">
        <f aca="false">IF(B98="","",INDEX(T_CARGO,Z98)&amp;"")</f>
        <v/>
      </c>
      <c r="G98" s="72" t="str">
        <f aca="false">IF(B98="","",IFERROR(INDEX(C_TIPO,MATCH(C98&amp;"-P"&amp;MAX(1,COUNTIFS(C_ID,C98,C_DEFINE,"Sí",C_INICIO,"&lt;="&amp;EOMONTH(ENVIO_PER,0))),C_CLAVE,0))&amp;"","Sin contrato"))</f>
        <v/>
      </c>
      <c r="H98" s="71" t="str">
        <f aca="false">IF(B98="","",IFERROR(INDEX(C_SUELDO,MATCH(C98&amp;"-S"&amp;MAX(1,COUNTIFS(C_ID,C98,C_SUELDO,"&lt;&gt;",C_INICIO,"&lt;="&amp;EOMONTH(ENVIO_PER,0))),C_CLAVES,0)),0))</f>
        <v/>
      </c>
      <c r="I98" s="70" t="str">
        <f aca="false">IF(B98="","",TRIM(IF(AND(AB98&gt;=ENVIO_PER,AB98&lt;=EOMONTH(ENVIO_PER,0)),"Ingresa el día "&amp;DAY(AB98)&amp;". ","")&amp;IF(AND(AC98&gt;0,AC98&gt;=ENVIO_PER,AC98&lt;=EOMONTH(ENVIO_PER,0)),"Egresa el día "&amp;DAY(AC98)&amp;".","")))</f>
        <v/>
      </c>
      <c r="J98" s="70" t="str">
        <f aca="false">IF(B98="","",IF(COUNTIFS(C_ID,C98,C_INICIO,"&gt;="&amp;ENVIO_PER,C_INICIO,"&lt;="&amp;EOMONTH(ENVIO_PER,0))&gt;0,COUNTIFS(C_ID,C98,C_INICIO,"&gt;="&amp;ENVIO_PER,C_INICIO,"&lt;="&amp;EOMONTH(ENVIO_PER,0))&amp;" documento(s) nuevo(s): ver Contratos",""))</f>
        <v/>
      </c>
      <c r="K98" s="74" t="str">
        <f aca="false">IF(B98="","",IF(COUNTIF(N_CLAVE,AA98)&gt;0,SUMIFS(N_DIAS,N_CLAVE,AA98),AD98))</f>
        <v/>
      </c>
      <c r="L98" s="74" t="str">
        <f aca="false">IF(B98="","",SUMIFS(N_FALTAS,N_CLAVE,AA98))</f>
        <v/>
      </c>
      <c r="M98" s="74" t="str">
        <f aca="false">IF(B98="","",SUMIFS(N_LIC,N_CLAVE,AA98))</f>
        <v/>
      </c>
      <c r="N98" s="74" t="str">
        <f aca="false">IF(B98="","",SUMIFS(N_PCG,N_CLAVE,AA98))</f>
        <v/>
      </c>
      <c r="O98" s="74" t="str">
        <f aca="false">IF(B98="","",SUMIFS(N_PSG,N_CLAVE,AA98))</f>
        <v/>
      </c>
      <c r="P98" s="74" t="str">
        <f aca="false">IF(B98="","",SUMIFS(V_DIAS,V_ID,C98,V_MES,ENVIO_PER))</f>
        <v/>
      </c>
      <c r="Q98" s="73" t="str">
        <f aca="false">IF(B98="","",SUMIFS(N_ATRASO,N_CLAVE,AA98))</f>
        <v/>
      </c>
      <c r="R98" s="74" t="str">
        <f aca="false">IF(B98="","",SUMIFS(N_HE,N_CLAVE,AA98))</f>
        <v/>
      </c>
      <c r="S98" s="71" t="str">
        <f aca="false">IF(B98="","",SUMIFS(N_ANT,N_CLAVE,AA98))</f>
        <v/>
      </c>
      <c r="T98" s="71" t="str">
        <f aca="false">IF(B98="","",SUMIFS(N_BONO,N_CLAVE,AA98))</f>
        <v/>
      </c>
      <c r="U98" s="71" t="str">
        <f aca="false">IF(B98="","",SUMIFS(N_ONI,N_CLAVE,AA98))</f>
        <v/>
      </c>
      <c r="V98" s="71" t="str">
        <f aca="false">IF(B98="","",SUMIFS(N_DESC,N_CLAVE,AA98))</f>
        <v/>
      </c>
      <c r="W98" s="72" t="str">
        <f aca="false">IF(B98="","",IFERROR(INDEX(N_OBS,MATCH(AA98,N_CLAVE,0))&amp;"",""))</f>
        <v/>
      </c>
      <c r="X98" s="70" t="str">
        <f aca="false">IF(B98="","",IF(COUNTIF(N_CLAVE,AA98)&gt;0,"Sí","⚠ Sin registro"))</f>
        <v/>
      </c>
      <c r="Z98" s="81" t="str">
        <f aca="false">IF(B98="","",MATCH(B98,T_AUX,0))</f>
        <v/>
      </c>
      <c r="AA98" s="81" t="str">
        <f aca="false">IF(B98="","",C98&amp;"|"&amp;(YEAR(ENVIO_PER)*100+MONTH(ENVIO_PER)))</f>
        <v/>
      </c>
      <c r="AB98" s="81" t="str">
        <f aca="false">IF(B98="","",INDEX(T_INGRESO,Z98))</f>
        <v/>
      </c>
      <c r="AC98" s="81" t="str">
        <f aca="false">IF(B98="","",N(INDEX(T_EGRESO,Z98)))</f>
        <v/>
      </c>
      <c r="AD98" s="81" t="str">
        <f aca="false">IF(B98="","",IF(OR(AB98&gt;EOMONTH(ENVIO_PER,0),AND(AC98&gt;0,AC98&lt;ENVIO_PER)),0,IF(AND(AB98&lt;=ENVIO_PER,OR(AC98=0,AC98&gt;=EOMONTH(ENVIO_PER,0))),30,MIN(30,IF(AC98=0,EOMONTH(ENVIO_PER,0),MIN(AC98,EOMONTH(ENVIO_PER,0)))-MAX(ENVIO_PER,AB98)+1))))</f>
        <v/>
      </c>
    </row>
    <row r="99" customFormat="false" ht="15" hidden="false" customHeight="false" outlineLevel="0" collapsed="false">
      <c r="B99" s="72" t="str">
        <f aca="false">IF(90&lt;=MAX(T_AUX),90,"")</f>
        <v/>
      </c>
      <c r="C99" s="72" t="str">
        <f aca="false">IF(B99="","",INDEX(T_ID,Z99))</f>
        <v/>
      </c>
      <c r="D99" s="72" t="str">
        <f aca="false">IF(B99="","",INDEX(T_RUT,Z99)&amp;"")</f>
        <v/>
      </c>
      <c r="E99" s="72" t="str">
        <f aca="false">IF(B99="","",INDEX(T_NOMBRE,Z99)&amp;"")</f>
        <v/>
      </c>
      <c r="F99" s="72" t="str">
        <f aca="false">IF(B99="","",INDEX(T_CARGO,Z99)&amp;"")</f>
        <v/>
      </c>
      <c r="G99" s="72" t="str">
        <f aca="false">IF(B99="","",IFERROR(INDEX(C_TIPO,MATCH(C99&amp;"-P"&amp;MAX(1,COUNTIFS(C_ID,C99,C_DEFINE,"Sí",C_INICIO,"&lt;="&amp;EOMONTH(ENVIO_PER,0))),C_CLAVE,0))&amp;"","Sin contrato"))</f>
        <v/>
      </c>
      <c r="H99" s="71" t="str">
        <f aca="false">IF(B99="","",IFERROR(INDEX(C_SUELDO,MATCH(C99&amp;"-S"&amp;MAX(1,COUNTIFS(C_ID,C99,C_SUELDO,"&lt;&gt;",C_INICIO,"&lt;="&amp;EOMONTH(ENVIO_PER,0))),C_CLAVES,0)),0))</f>
        <v/>
      </c>
      <c r="I99" s="70" t="str">
        <f aca="false">IF(B99="","",TRIM(IF(AND(AB99&gt;=ENVIO_PER,AB99&lt;=EOMONTH(ENVIO_PER,0)),"Ingresa el día "&amp;DAY(AB99)&amp;". ","")&amp;IF(AND(AC99&gt;0,AC99&gt;=ENVIO_PER,AC99&lt;=EOMONTH(ENVIO_PER,0)),"Egresa el día "&amp;DAY(AC99)&amp;".","")))</f>
        <v/>
      </c>
      <c r="J99" s="70" t="str">
        <f aca="false">IF(B99="","",IF(COUNTIFS(C_ID,C99,C_INICIO,"&gt;="&amp;ENVIO_PER,C_INICIO,"&lt;="&amp;EOMONTH(ENVIO_PER,0))&gt;0,COUNTIFS(C_ID,C99,C_INICIO,"&gt;="&amp;ENVIO_PER,C_INICIO,"&lt;="&amp;EOMONTH(ENVIO_PER,0))&amp;" documento(s) nuevo(s): ver Contratos",""))</f>
        <v/>
      </c>
      <c r="K99" s="74" t="str">
        <f aca="false">IF(B99="","",IF(COUNTIF(N_CLAVE,AA99)&gt;0,SUMIFS(N_DIAS,N_CLAVE,AA99),AD99))</f>
        <v/>
      </c>
      <c r="L99" s="74" t="str">
        <f aca="false">IF(B99="","",SUMIFS(N_FALTAS,N_CLAVE,AA99))</f>
        <v/>
      </c>
      <c r="M99" s="74" t="str">
        <f aca="false">IF(B99="","",SUMIFS(N_LIC,N_CLAVE,AA99))</f>
        <v/>
      </c>
      <c r="N99" s="74" t="str">
        <f aca="false">IF(B99="","",SUMIFS(N_PCG,N_CLAVE,AA99))</f>
        <v/>
      </c>
      <c r="O99" s="74" t="str">
        <f aca="false">IF(B99="","",SUMIFS(N_PSG,N_CLAVE,AA99))</f>
        <v/>
      </c>
      <c r="P99" s="74" t="str">
        <f aca="false">IF(B99="","",SUMIFS(V_DIAS,V_ID,C99,V_MES,ENVIO_PER))</f>
        <v/>
      </c>
      <c r="Q99" s="73" t="str">
        <f aca="false">IF(B99="","",SUMIFS(N_ATRASO,N_CLAVE,AA99))</f>
        <v/>
      </c>
      <c r="R99" s="74" t="str">
        <f aca="false">IF(B99="","",SUMIFS(N_HE,N_CLAVE,AA99))</f>
        <v/>
      </c>
      <c r="S99" s="71" t="str">
        <f aca="false">IF(B99="","",SUMIFS(N_ANT,N_CLAVE,AA99))</f>
        <v/>
      </c>
      <c r="T99" s="71" t="str">
        <f aca="false">IF(B99="","",SUMIFS(N_BONO,N_CLAVE,AA99))</f>
        <v/>
      </c>
      <c r="U99" s="71" t="str">
        <f aca="false">IF(B99="","",SUMIFS(N_ONI,N_CLAVE,AA99))</f>
        <v/>
      </c>
      <c r="V99" s="71" t="str">
        <f aca="false">IF(B99="","",SUMIFS(N_DESC,N_CLAVE,AA99))</f>
        <v/>
      </c>
      <c r="W99" s="72" t="str">
        <f aca="false">IF(B99="","",IFERROR(INDEX(N_OBS,MATCH(AA99,N_CLAVE,0))&amp;"",""))</f>
        <v/>
      </c>
      <c r="X99" s="70" t="str">
        <f aca="false">IF(B99="","",IF(COUNTIF(N_CLAVE,AA99)&gt;0,"Sí","⚠ Sin registro"))</f>
        <v/>
      </c>
      <c r="Z99" s="81" t="str">
        <f aca="false">IF(B99="","",MATCH(B99,T_AUX,0))</f>
        <v/>
      </c>
      <c r="AA99" s="81" t="str">
        <f aca="false">IF(B99="","",C99&amp;"|"&amp;(YEAR(ENVIO_PER)*100+MONTH(ENVIO_PER)))</f>
        <v/>
      </c>
      <c r="AB99" s="81" t="str">
        <f aca="false">IF(B99="","",INDEX(T_INGRESO,Z99))</f>
        <v/>
      </c>
      <c r="AC99" s="81" t="str">
        <f aca="false">IF(B99="","",N(INDEX(T_EGRESO,Z99)))</f>
        <v/>
      </c>
      <c r="AD99" s="81" t="str">
        <f aca="false">IF(B99="","",IF(OR(AB99&gt;EOMONTH(ENVIO_PER,0),AND(AC99&gt;0,AC99&lt;ENVIO_PER)),0,IF(AND(AB99&lt;=ENVIO_PER,OR(AC99=0,AC99&gt;=EOMONTH(ENVIO_PER,0))),30,MIN(30,IF(AC99=0,EOMONTH(ENVIO_PER,0),MIN(AC99,EOMONTH(ENVIO_PER,0)))-MAX(ENVIO_PER,AB99)+1))))</f>
        <v/>
      </c>
    </row>
    <row r="100" customFormat="false" ht="15" hidden="false" customHeight="false" outlineLevel="0" collapsed="false">
      <c r="B100" s="72" t="str">
        <f aca="false">IF(91&lt;=MAX(T_AUX),91,"")</f>
        <v/>
      </c>
      <c r="C100" s="72" t="str">
        <f aca="false">IF(B100="","",INDEX(T_ID,Z100))</f>
        <v/>
      </c>
      <c r="D100" s="72" t="str">
        <f aca="false">IF(B100="","",INDEX(T_RUT,Z100)&amp;"")</f>
        <v/>
      </c>
      <c r="E100" s="72" t="str">
        <f aca="false">IF(B100="","",INDEX(T_NOMBRE,Z100)&amp;"")</f>
        <v/>
      </c>
      <c r="F100" s="72" t="str">
        <f aca="false">IF(B100="","",INDEX(T_CARGO,Z100)&amp;"")</f>
        <v/>
      </c>
      <c r="G100" s="72" t="str">
        <f aca="false">IF(B100="","",IFERROR(INDEX(C_TIPO,MATCH(C100&amp;"-P"&amp;MAX(1,COUNTIFS(C_ID,C100,C_DEFINE,"Sí",C_INICIO,"&lt;="&amp;EOMONTH(ENVIO_PER,0))),C_CLAVE,0))&amp;"","Sin contrato"))</f>
        <v/>
      </c>
      <c r="H100" s="71" t="str">
        <f aca="false">IF(B100="","",IFERROR(INDEX(C_SUELDO,MATCH(C100&amp;"-S"&amp;MAX(1,COUNTIFS(C_ID,C100,C_SUELDO,"&lt;&gt;",C_INICIO,"&lt;="&amp;EOMONTH(ENVIO_PER,0))),C_CLAVES,0)),0))</f>
        <v/>
      </c>
      <c r="I100" s="70" t="str">
        <f aca="false">IF(B100="","",TRIM(IF(AND(AB100&gt;=ENVIO_PER,AB100&lt;=EOMONTH(ENVIO_PER,0)),"Ingresa el día "&amp;DAY(AB100)&amp;". ","")&amp;IF(AND(AC100&gt;0,AC100&gt;=ENVIO_PER,AC100&lt;=EOMONTH(ENVIO_PER,0)),"Egresa el día "&amp;DAY(AC100)&amp;".","")))</f>
        <v/>
      </c>
      <c r="J100" s="70" t="str">
        <f aca="false">IF(B100="","",IF(COUNTIFS(C_ID,C100,C_INICIO,"&gt;="&amp;ENVIO_PER,C_INICIO,"&lt;="&amp;EOMONTH(ENVIO_PER,0))&gt;0,COUNTIFS(C_ID,C100,C_INICIO,"&gt;="&amp;ENVIO_PER,C_INICIO,"&lt;="&amp;EOMONTH(ENVIO_PER,0))&amp;" documento(s) nuevo(s): ver Contratos",""))</f>
        <v/>
      </c>
      <c r="K100" s="74" t="str">
        <f aca="false">IF(B100="","",IF(COUNTIF(N_CLAVE,AA100)&gt;0,SUMIFS(N_DIAS,N_CLAVE,AA100),AD100))</f>
        <v/>
      </c>
      <c r="L100" s="74" t="str">
        <f aca="false">IF(B100="","",SUMIFS(N_FALTAS,N_CLAVE,AA100))</f>
        <v/>
      </c>
      <c r="M100" s="74" t="str">
        <f aca="false">IF(B100="","",SUMIFS(N_LIC,N_CLAVE,AA100))</f>
        <v/>
      </c>
      <c r="N100" s="74" t="str">
        <f aca="false">IF(B100="","",SUMIFS(N_PCG,N_CLAVE,AA100))</f>
        <v/>
      </c>
      <c r="O100" s="74" t="str">
        <f aca="false">IF(B100="","",SUMIFS(N_PSG,N_CLAVE,AA100))</f>
        <v/>
      </c>
      <c r="P100" s="74" t="str">
        <f aca="false">IF(B100="","",SUMIFS(V_DIAS,V_ID,C100,V_MES,ENVIO_PER))</f>
        <v/>
      </c>
      <c r="Q100" s="73" t="str">
        <f aca="false">IF(B100="","",SUMIFS(N_ATRASO,N_CLAVE,AA100))</f>
        <v/>
      </c>
      <c r="R100" s="74" t="str">
        <f aca="false">IF(B100="","",SUMIFS(N_HE,N_CLAVE,AA100))</f>
        <v/>
      </c>
      <c r="S100" s="71" t="str">
        <f aca="false">IF(B100="","",SUMIFS(N_ANT,N_CLAVE,AA100))</f>
        <v/>
      </c>
      <c r="T100" s="71" t="str">
        <f aca="false">IF(B100="","",SUMIFS(N_BONO,N_CLAVE,AA100))</f>
        <v/>
      </c>
      <c r="U100" s="71" t="str">
        <f aca="false">IF(B100="","",SUMIFS(N_ONI,N_CLAVE,AA100))</f>
        <v/>
      </c>
      <c r="V100" s="71" t="str">
        <f aca="false">IF(B100="","",SUMIFS(N_DESC,N_CLAVE,AA100))</f>
        <v/>
      </c>
      <c r="W100" s="72" t="str">
        <f aca="false">IF(B100="","",IFERROR(INDEX(N_OBS,MATCH(AA100,N_CLAVE,0))&amp;"",""))</f>
        <v/>
      </c>
      <c r="X100" s="70" t="str">
        <f aca="false">IF(B100="","",IF(COUNTIF(N_CLAVE,AA100)&gt;0,"Sí","⚠ Sin registro"))</f>
        <v/>
      </c>
      <c r="Z100" s="81" t="str">
        <f aca="false">IF(B100="","",MATCH(B100,T_AUX,0))</f>
        <v/>
      </c>
      <c r="AA100" s="81" t="str">
        <f aca="false">IF(B100="","",C100&amp;"|"&amp;(YEAR(ENVIO_PER)*100+MONTH(ENVIO_PER)))</f>
        <v/>
      </c>
      <c r="AB100" s="81" t="str">
        <f aca="false">IF(B100="","",INDEX(T_INGRESO,Z100))</f>
        <v/>
      </c>
      <c r="AC100" s="81" t="str">
        <f aca="false">IF(B100="","",N(INDEX(T_EGRESO,Z100)))</f>
        <v/>
      </c>
      <c r="AD100" s="81" t="str">
        <f aca="false">IF(B100="","",IF(OR(AB100&gt;EOMONTH(ENVIO_PER,0),AND(AC100&gt;0,AC100&lt;ENVIO_PER)),0,IF(AND(AB100&lt;=ENVIO_PER,OR(AC100=0,AC100&gt;=EOMONTH(ENVIO_PER,0))),30,MIN(30,IF(AC100=0,EOMONTH(ENVIO_PER,0),MIN(AC100,EOMONTH(ENVIO_PER,0)))-MAX(ENVIO_PER,AB100)+1))))</f>
        <v/>
      </c>
    </row>
    <row r="101" customFormat="false" ht="15" hidden="false" customHeight="false" outlineLevel="0" collapsed="false">
      <c r="B101" s="72" t="str">
        <f aca="false">IF(92&lt;=MAX(T_AUX),92,"")</f>
        <v/>
      </c>
      <c r="C101" s="72" t="str">
        <f aca="false">IF(B101="","",INDEX(T_ID,Z101))</f>
        <v/>
      </c>
      <c r="D101" s="72" t="str">
        <f aca="false">IF(B101="","",INDEX(T_RUT,Z101)&amp;"")</f>
        <v/>
      </c>
      <c r="E101" s="72" t="str">
        <f aca="false">IF(B101="","",INDEX(T_NOMBRE,Z101)&amp;"")</f>
        <v/>
      </c>
      <c r="F101" s="72" t="str">
        <f aca="false">IF(B101="","",INDEX(T_CARGO,Z101)&amp;"")</f>
        <v/>
      </c>
      <c r="G101" s="72" t="str">
        <f aca="false">IF(B101="","",IFERROR(INDEX(C_TIPO,MATCH(C101&amp;"-P"&amp;MAX(1,COUNTIFS(C_ID,C101,C_DEFINE,"Sí",C_INICIO,"&lt;="&amp;EOMONTH(ENVIO_PER,0))),C_CLAVE,0))&amp;"","Sin contrato"))</f>
        <v/>
      </c>
      <c r="H101" s="71" t="str">
        <f aca="false">IF(B101="","",IFERROR(INDEX(C_SUELDO,MATCH(C101&amp;"-S"&amp;MAX(1,COUNTIFS(C_ID,C101,C_SUELDO,"&lt;&gt;",C_INICIO,"&lt;="&amp;EOMONTH(ENVIO_PER,0))),C_CLAVES,0)),0))</f>
        <v/>
      </c>
      <c r="I101" s="70" t="str">
        <f aca="false">IF(B101="","",TRIM(IF(AND(AB101&gt;=ENVIO_PER,AB101&lt;=EOMONTH(ENVIO_PER,0)),"Ingresa el día "&amp;DAY(AB101)&amp;". ","")&amp;IF(AND(AC101&gt;0,AC101&gt;=ENVIO_PER,AC101&lt;=EOMONTH(ENVIO_PER,0)),"Egresa el día "&amp;DAY(AC101)&amp;".","")))</f>
        <v/>
      </c>
      <c r="J101" s="70" t="str">
        <f aca="false">IF(B101="","",IF(COUNTIFS(C_ID,C101,C_INICIO,"&gt;="&amp;ENVIO_PER,C_INICIO,"&lt;="&amp;EOMONTH(ENVIO_PER,0))&gt;0,COUNTIFS(C_ID,C101,C_INICIO,"&gt;="&amp;ENVIO_PER,C_INICIO,"&lt;="&amp;EOMONTH(ENVIO_PER,0))&amp;" documento(s) nuevo(s): ver Contratos",""))</f>
        <v/>
      </c>
      <c r="K101" s="74" t="str">
        <f aca="false">IF(B101="","",IF(COUNTIF(N_CLAVE,AA101)&gt;0,SUMIFS(N_DIAS,N_CLAVE,AA101),AD101))</f>
        <v/>
      </c>
      <c r="L101" s="74" t="str">
        <f aca="false">IF(B101="","",SUMIFS(N_FALTAS,N_CLAVE,AA101))</f>
        <v/>
      </c>
      <c r="M101" s="74" t="str">
        <f aca="false">IF(B101="","",SUMIFS(N_LIC,N_CLAVE,AA101))</f>
        <v/>
      </c>
      <c r="N101" s="74" t="str">
        <f aca="false">IF(B101="","",SUMIFS(N_PCG,N_CLAVE,AA101))</f>
        <v/>
      </c>
      <c r="O101" s="74" t="str">
        <f aca="false">IF(B101="","",SUMIFS(N_PSG,N_CLAVE,AA101))</f>
        <v/>
      </c>
      <c r="P101" s="74" t="str">
        <f aca="false">IF(B101="","",SUMIFS(V_DIAS,V_ID,C101,V_MES,ENVIO_PER))</f>
        <v/>
      </c>
      <c r="Q101" s="73" t="str">
        <f aca="false">IF(B101="","",SUMIFS(N_ATRASO,N_CLAVE,AA101))</f>
        <v/>
      </c>
      <c r="R101" s="74" t="str">
        <f aca="false">IF(B101="","",SUMIFS(N_HE,N_CLAVE,AA101))</f>
        <v/>
      </c>
      <c r="S101" s="71" t="str">
        <f aca="false">IF(B101="","",SUMIFS(N_ANT,N_CLAVE,AA101))</f>
        <v/>
      </c>
      <c r="T101" s="71" t="str">
        <f aca="false">IF(B101="","",SUMIFS(N_BONO,N_CLAVE,AA101))</f>
        <v/>
      </c>
      <c r="U101" s="71" t="str">
        <f aca="false">IF(B101="","",SUMIFS(N_ONI,N_CLAVE,AA101))</f>
        <v/>
      </c>
      <c r="V101" s="71" t="str">
        <f aca="false">IF(B101="","",SUMIFS(N_DESC,N_CLAVE,AA101))</f>
        <v/>
      </c>
      <c r="W101" s="72" t="str">
        <f aca="false">IF(B101="","",IFERROR(INDEX(N_OBS,MATCH(AA101,N_CLAVE,0))&amp;"",""))</f>
        <v/>
      </c>
      <c r="X101" s="70" t="str">
        <f aca="false">IF(B101="","",IF(COUNTIF(N_CLAVE,AA101)&gt;0,"Sí","⚠ Sin registro"))</f>
        <v/>
      </c>
      <c r="Z101" s="81" t="str">
        <f aca="false">IF(B101="","",MATCH(B101,T_AUX,0))</f>
        <v/>
      </c>
      <c r="AA101" s="81" t="str">
        <f aca="false">IF(B101="","",C101&amp;"|"&amp;(YEAR(ENVIO_PER)*100+MONTH(ENVIO_PER)))</f>
        <v/>
      </c>
      <c r="AB101" s="81" t="str">
        <f aca="false">IF(B101="","",INDEX(T_INGRESO,Z101))</f>
        <v/>
      </c>
      <c r="AC101" s="81" t="str">
        <f aca="false">IF(B101="","",N(INDEX(T_EGRESO,Z101)))</f>
        <v/>
      </c>
      <c r="AD101" s="81" t="str">
        <f aca="false">IF(B101="","",IF(OR(AB101&gt;EOMONTH(ENVIO_PER,0),AND(AC101&gt;0,AC101&lt;ENVIO_PER)),0,IF(AND(AB101&lt;=ENVIO_PER,OR(AC101=0,AC101&gt;=EOMONTH(ENVIO_PER,0))),30,MIN(30,IF(AC101=0,EOMONTH(ENVIO_PER,0),MIN(AC101,EOMONTH(ENVIO_PER,0)))-MAX(ENVIO_PER,AB101)+1))))</f>
        <v/>
      </c>
    </row>
    <row r="102" customFormat="false" ht="15" hidden="false" customHeight="false" outlineLevel="0" collapsed="false">
      <c r="B102" s="72" t="str">
        <f aca="false">IF(93&lt;=MAX(T_AUX),93,"")</f>
        <v/>
      </c>
      <c r="C102" s="72" t="str">
        <f aca="false">IF(B102="","",INDEX(T_ID,Z102))</f>
        <v/>
      </c>
      <c r="D102" s="72" t="str">
        <f aca="false">IF(B102="","",INDEX(T_RUT,Z102)&amp;"")</f>
        <v/>
      </c>
      <c r="E102" s="72" t="str">
        <f aca="false">IF(B102="","",INDEX(T_NOMBRE,Z102)&amp;"")</f>
        <v/>
      </c>
      <c r="F102" s="72" t="str">
        <f aca="false">IF(B102="","",INDEX(T_CARGO,Z102)&amp;"")</f>
        <v/>
      </c>
      <c r="G102" s="72" t="str">
        <f aca="false">IF(B102="","",IFERROR(INDEX(C_TIPO,MATCH(C102&amp;"-P"&amp;MAX(1,COUNTIFS(C_ID,C102,C_DEFINE,"Sí",C_INICIO,"&lt;="&amp;EOMONTH(ENVIO_PER,0))),C_CLAVE,0))&amp;"","Sin contrato"))</f>
        <v/>
      </c>
      <c r="H102" s="71" t="str">
        <f aca="false">IF(B102="","",IFERROR(INDEX(C_SUELDO,MATCH(C102&amp;"-S"&amp;MAX(1,COUNTIFS(C_ID,C102,C_SUELDO,"&lt;&gt;",C_INICIO,"&lt;="&amp;EOMONTH(ENVIO_PER,0))),C_CLAVES,0)),0))</f>
        <v/>
      </c>
      <c r="I102" s="70" t="str">
        <f aca="false">IF(B102="","",TRIM(IF(AND(AB102&gt;=ENVIO_PER,AB102&lt;=EOMONTH(ENVIO_PER,0)),"Ingresa el día "&amp;DAY(AB102)&amp;". ","")&amp;IF(AND(AC102&gt;0,AC102&gt;=ENVIO_PER,AC102&lt;=EOMONTH(ENVIO_PER,0)),"Egresa el día "&amp;DAY(AC102)&amp;".","")))</f>
        <v/>
      </c>
      <c r="J102" s="70" t="str">
        <f aca="false">IF(B102="","",IF(COUNTIFS(C_ID,C102,C_INICIO,"&gt;="&amp;ENVIO_PER,C_INICIO,"&lt;="&amp;EOMONTH(ENVIO_PER,0))&gt;0,COUNTIFS(C_ID,C102,C_INICIO,"&gt;="&amp;ENVIO_PER,C_INICIO,"&lt;="&amp;EOMONTH(ENVIO_PER,0))&amp;" documento(s) nuevo(s): ver Contratos",""))</f>
        <v/>
      </c>
      <c r="K102" s="74" t="str">
        <f aca="false">IF(B102="","",IF(COUNTIF(N_CLAVE,AA102)&gt;0,SUMIFS(N_DIAS,N_CLAVE,AA102),AD102))</f>
        <v/>
      </c>
      <c r="L102" s="74" t="str">
        <f aca="false">IF(B102="","",SUMIFS(N_FALTAS,N_CLAVE,AA102))</f>
        <v/>
      </c>
      <c r="M102" s="74" t="str">
        <f aca="false">IF(B102="","",SUMIFS(N_LIC,N_CLAVE,AA102))</f>
        <v/>
      </c>
      <c r="N102" s="74" t="str">
        <f aca="false">IF(B102="","",SUMIFS(N_PCG,N_CLAVE,AA102))</f>
        <v/>
      </c>
      <c r="O102" s="74" t="str">
        <f aca="false">IF(B102="","",SUMIFS(N_PSG,N_CLAVE,AA102))</f>
        <v/>
      </c>
      <c r="P102" s="74" t="str">
        <f aca="false">IF(B102="","",SUMIFS(V_DIAS,V_ID,C102,V_MES,ENVIO_PER))</f>
        <v/>
      </c>
      <c r="Q102" s="73" t="str">
        <f aca="false">IF(B102="","",SUMIFS(N_ATRASO,N_CLAVE,AA102))</f>
        <v/>
      </c>
      <c r="R102" s="74" t="str">
        <f aca="false">IF(B102="","",SUMIFS(N_HE,N_CLAVE,AA102))</f>
        <v/>
      </c>
      <c r="S102" s="71" t="str">
        <f aca="false">IF(B102="","",SUMIFS(N_ANT,N_CLAVE,AA102))</f>
        <v/>
      </c>
      <c r="T102" s="71" t="str">
        <f aca="false">IF(B102="","",SUMIFS(N_BONO,N_CLAVE,AA102))</f>
        <v/>
      </c>
      <c r="U102" s="71" t="str">
        <f aca="false">IF(B102="","",SUMIFS(N_ONI,N_CLAVE,AA102))</f>
        <v/>
      </c>
      <c r="V102" s="71" t="str">
        <f aca="false">IF(B102="","",SUMIFS(N_DESC,N_CLAVE,AA102))</f>
        <v/>
      </c>
      <c r="W102" s="72" t="str">
        <f aca="false">IF(B102="","",IFERROR(INDEX(N_OBS,MATCH(AA102,N_CLAVE,0))&amp;"",""))</f>
        <v/>
      </c>
      <c r="X102" s="70" t="str">
        <f aca="false">IF(B102="","",IF(COUNTIF(N_CLAVE,AA102)&gt;0,"Sí","⚠ Sin registro"))</f>
        <v/>
      </c>
      <c r="Z102" s="81" t="str">
        <f aca="false">IF(B102="","",MATCH(B102,T_AUX,0))</f>
        <v/>
      </c>
      <c r="AA102" s="81" t="str">
        <f aca="false">IF(B102="","",C102&amp;"|"&amp;(YEAR(ENVIO_PER)*100+MONTH(ENVIO_PER)))</f>
        <v/>
      </c>
      <c r="AB102" s="81" t="str">
        <f aca="false">IF(B102="","",INDEX(T_INGRESO,Z102))</f>
        <v/>
      </c>
      <c r="AC102" s="81" t="str">
        <f aca="false">IF(B102="","",N(INDEX(T_EGRESO,Z102)))</f>
        <v/>
      </c>
      <c r="AD102" s="81" t="str">
        <f aca="false">IF(B102="","",IF(OR(AB102&gt;EOMONTH(ENVIO_PER,0),AND(AC102&gt;0,AC102&lt;ENVIO_PER)),0,IF(AND(AB102&lt;=ENVIO_PER,OR(AC102=0,AC102&gt;=EOMONTH(ENVIO_PER,0))),30,MIN(30,IF(AC102=0,EOMONTH(ENVIO_PER,0),MIN(AC102,EOMONTH(ENVIO_PER,0)))-MAX(ENVIO_PER,AB102)+1))))</f>
        <v/>
      </c>
    </row>
    <row r="103" customFormat="false" ht="15" hidden="false" customHeight="false" outlineLevel="0" collapsed="false">
      <c r="B103" s="72" t="str">
        <f aca="false">IF(94&lt;=MAX(T_AUX),94,"")</f>
        <v/>
      </c>
      <c r="C103" s="72" t="str">
        <f aca="false">IF(B103="","",INDEX(T_ID,Z103))</f>
        <v/>
      </c>
      <c r="D103" s="72" t="str">
        <f aca="false">IF(B103="","",INDEX(T_RUT,Z103)&amp;"")</f>
        <v/>
      </c>
      <c r="E103" s="72" t="str">
        <f aca="false">IF(B103="","",INDEX(T_NOMBRE,Z103)&amp;"")</f>
        <v/>
      </c>
      <c r="F103" s="72" t="str">
        <f aca="false">IF(B103="","",INDEX(T_CARGO,Z103)&amp;"")</f>
        <v/>
      </c>
      <c r="G103" s="72" t="str">
        <f aca="false">IF(B103="","",IFERROR(INDEX(C_TIPO,MATCH(C103&amp;"-P"&amp;MAX(1,COUNTIFS(C_ID,C103,C_DEFINE,"Sí",C_INICIO,"&lt;="&amp;EOMONTH(ENVIO_PER,0))),C_CLAVE,0))&amp;"","Sin contrato"))</f>
        <v/>
      </c>
      <c r="H103" s="71" t="str">
        <f aca="false">IF(B103="","",IFERROR(INDEX(C_SUELDO,MATCH(C103&amp;"-S"&amp;MAX(1,COUNTIFS(C_ID,C103,C_SUELDO,"&lt;&gt;",C_INICIO,"&lt;="&amp;EOMONTH(ENVIO_PER,0))),C_CLAVES,0)),0))</f>
        <v/>
      </c>
      <c r="I103" s="70" t="str">
        <f aca="false">IF(B103="","",TRIM(IF(AND(AB103&gt;=ENVIO_PER,AB103&lt;=EOMONTH(ENVIO_PER,0)),"Ingresa el día "&amp;DAY(AB103)&amp;". ","")&amp;IF(AND(AC103&gt;0,AC103&gt;=ENVIO_PER,AC103&lt;=EOMONTH(ENVIO_PER,0)),"Egresa el día "&amp;DAY(AC103)&amp;".","")))</f>
        <v/>
      </c>
      <c r="J103" s="70" t="str">
        <f aca="false">IF(B103="","",IF(COUNTIFS(C_ID,C103,C_INICIO,"&gt;="&amp;ENVIO_PER,C_INICIO,"&lt;="&amp;EOMONTH(ENVIO_PER,0))&gt;0,COUNTIFS(C_ID,C103,C_INICIO,"&gt;="&amp;ENVIO_PER,C_INICIO,"&lt;="&amp;EOMONTH(ENVIO_PER,0))&amp;" documento(s) nuevo(s): ver Contratos",""))</f>
        <v/>
      </c>
      <c r="K103" s="74" t="str">
        <f aca="false">IF(B103="","",IF(COUNTIF(N_CLAVE,AA103)&gt;0,SUMIFS(N_DIAS,N_CLAVE,AA103),AD103))</f>
        <v/>
      </c>
      <c r="L103" s="74" t="str">
        <f aca="false">IF(B103="","",SUMIFS(N_FALTAS,N_CLAVE,AA103))</f>
        <v/>
      </c>
      <c r="M103" s="74" t="str">
        <f aca="false">IF(B103="","",SUMIFS(N_LIC,N_CLAVE,AA103))</f>
        <v/>
      </c>
      <c r="N103" s="74" t="str">
        <f aca="false">IF(B103="","",SUMIFS(N_PCG,N_CLAVE,AA103))</f>
        <v/>
      </c>
      <c r="O103" s="74" t="str">
        <f aca="false">IF(B103="","",SUMIFS(N_PSG,N_CLAVE,AA103))</f>
        <v/>
      </c>
      <c r="P103" s="74" t="str">
        <f aca="false">IF(B103="","",SUMIFS(V_DIAS,V_ID,C103,V_MES,ENVIO_PER))</f>
        <v/>
      </c>
      <c r="Q103" s="73" t="str">
        <f aca="false">IF(B103="","",SUMIFS(N_ATRASO,N_CLAVE,AA103))</f>
        <v/>
      </c>
      <c r="R103" s="74" t="str">
        <f aca="false">IF(B103="","",SUMIFS(N_HE,N_CLAVE,AA103))</f>
        <v/>
      </c>
      <c r="S103" s="71" t="str">
        <f aca="false">IF(B103="","",SUMIFS(N_ANT,N_CLAVE,AA103))</f>
        <v/>
      </c>
      <c r="T103" s="71" t="str">
        <f aca="false">IF(B103="","",SUMIFS(N_BONO,N_CLAVE,AA103))</f>
        <v/>
      </c>
      <c r="U103" s="71" t="str">
        <f aca="false">IF(B103="","",SUMIFS(N_ONI,N_CLAVE,AA103))</f>
        <v/>
      </c>
      <c r="V103" s="71" t="str">
        <f aca="false">IF(B103="","",SUMIFS(N_DESC,N_CLAVE,AA103))</f>
        <v/>
      </c>
      <c r="W103" s="72" t="str">
        <f aca="false">IF(B103="","",IFERROR(INDEX(N_OBS,MATCH(AA103,N_CLAVE,0))&amp;"",""))</f>
        <v/>
      </c>
      <c r="X103" s="70" t="str">
        <f aca="false">IF(B103="","",IF(COUNTIF(N_CLAVE,AA103)&gt;0,"Sí","⚠ Sin registro"))</f>
        <v/>
      </c>
      <c r="Z103" s="81" t="str">
        <f aca="false">IF(B103="","",MATCH(B103,T_AUX,0))</f>
        <v/>
      </c>
      <c r="AA103" s="81" t="str">
        <f aca="false">IF(B103="","",C103&amp;"|"&amp;(YEAR(ENVIO_PER)*100+MONTH(ENVIO_PER)))</f>
        <v/>
      </c>
      <c r="AB103" s="81" t="str">
        <f aca="false">IF(B103="","",INDEX(T_INGRESO,Z103))</f>
        <v/>
      </c>
      <c r="AC103" s="81" t="str">
        <f aca="false">IF(B103="","",N(INDEX(T_EGRESO,Z103)))</f>
        <v/>
      </c>
      <c r="AD103" s="81" t="str">
        <f aca="false">IF(B103="","",IF(OR(AB103&gt;EOMONTH(ENVIO_PER,0),AND(AC103&gt;0,AC103&lt;ENVIO_PER)),0,IF(AND(AB103&lt;=ENVIO_PER,OR(AC103=0,AC103&gt;=EOMONTH(ENVIO_PER,0))),30,MIN(30,IF(AC103=0,EOMONTH(ENVIO_PER,0),MIN(AC103,EOMONTH(ENVIO_PER,0)))-MAX(ENVIO_PER,AB103)+1))))</f>
        <v/>
      </c>
    </row>
    <row r="104" customFormat="false" ht="15" hidden="false" customHeight="false" outlineLevel="0" collapsed="false">
      <c r="B104" s="72" t="str">
        <f aca="false">IF(95&lt;=MAX(T_AUX),95,"")</f>
        <v/>
      </c>
      <c r="C104" s="72" t="str">
        <f aca="false">IF(B104="","",INDEX(T_ID,Z104))</f>
        <v/>
      </c>
      <c r="D104" s="72" t="str">
        <f aca="false">IF(B104="","",INDEX(T_RUT,Z104)&amp;"")</f>
        <v/>
      </c>
      <c r="E104" s="72" t="str">
        <f aca="false">IF(B104="","",INDEX(T_NOMBRE,Z104)&amp;"")</f>
        <v/>
      </c>
      <c r="F104" s="72" t="str">
        <f aca="false">IF(B104="","",INDEX(T_CARGO,Z104)&amp;"")</f>
        <v/>
      </c>
      <c r="G104" s="72" t="str">
        <f aca="false">IF(B104="","",IFERROR(INDEX(C_TIPO,MATCH(C104&amp;"-P"&amp;MAX(1,COUNTIFS(C_ID,C104,C_DEFINE,"Sí",C_INICIO,"&lt;="&amp;EOMONTH(ENVIO_PER,0))),C_CLAVE,0))&amp;"","Sin contrato"))</f>
        <v/>
      </c>
      <c r="H104" s="71" t="str">
        <f aca="false">IF(B104="","",IFERROR(INDEX(C_SUELDO,MATCH(C104&amp;"-S"&amp;MAX(1,COUNTIFS(C_ID,C104,C_SUELDO,"&lt;&gt;",C_INICIO,"&lt;="&amp;EOMONTH(ENVIO_PER,0))),C_CLAVES,0)),0))</f>
        <v/>
      </c>
      <c r="I104" s="70" t="str">
        <f aca="false">IF(B104="","",TRIM(IF(AND(AB104&gt;=ENVIO_PER,AB104&lt;=EOMONTH(ENVIO_PER,0)),"Ingresa el día "&amp;DAY(AB104)&amp;". ","")&amp;IF(AND(AC104&gt;0,AC104&gt;=ENVIO_PER,AC104&lt;=EOMONTH(ENVIO_PER,0)),"Egresa el día "&amp;DAY(AC104)&amp;".","")))</f>
        <v/>
      </c>
      <c r="J104" s="70" t="str">
        <f aca="false">IF(B104="","",IF(COUNTIFS(C_ID,C104,C_INICIO,"&gt;="&amp;ENVIO_PER,C_INICIO,"&lt;="&amp;EOMONTH(ENVIO_PER,0))&gt;0,COUNTIFS(C_ID,C104,C_INICIO,"&gt;="&amp;ENVIO_PER,C_INICIO,"&lt;="&amp;EOMONTH(ENVIO_PER,0))&amp;" documento(s) nuevo(s): ver Contratos",""))</f>
        <v/>
      </c>
      <c r="K104" s="74" t="str">
        <f aca="false">IF(B104="","",IF(COUNTIF(N_CLAVE,AA104)&gt;0,SUMIFS(N_DIAS,N_CLAVE,AA104),AD104))</f>
        <v/>
      </c>
      <c r="L104" s="74" t="str">
        <f aca="false">IF(B104="","",SUMIFS(N_FALTAS,N_CLAVE,AA104))</f>
        <v/>
      </c>
      <c r="M104" s="74" t="str">
        <f aca="false">IF(B104="","",SUMIFS(N_LIC,N_CLAVE,AA104))</f>
        <v/>
      </c>
      <c r="N104" s="74" t="str">
        <f aca="false">IF(B104="","",SUMIFS(N_PCG,N_CLAVE,AA104))</f>
        <v/>
      </c>
      <c r="O104" s="74" t="str">
        <f aca="false">IF(B104="","",SUMIFS(N_PSG,N_CLAVE,AA104))</f>
        <v/>
      </c>
      <c r="P104" s="74" t="str">
        <f aca="false">IF(B104="","",SUMIFS(V_DIAS,V_ID,C104,V_MES,ENVIO_PER))</f>
        <v/>
      </c>
      <c r="Q104" s="73" t="str">
        <f aca="false">IF(B104="","",SUMIFS(N_ATRASO,N_CLAVE,AA104))</f>
        <v/>
      </c>
      <c r="R104" s="74" t="str">
        <f aca="false">IF(B104="","",SUMIFS(N_HE,N_CLAVE,AA104))</f>
        <v/>
      </c>
      <c r="S104" s="71" t="str">
        <f aca="false">IF(B104="","",SUMIFS(N_ANT,N_CLAVE,AA104))</f>
        <v/>
      </c>
      <c r="T104" s="71" t="str">
        <f aca="false">IF(B104="","",SUMIFS(N_BONO,N_CLAVE,AA104))</f>
        <v/>
      </c>
      <c r="U104" s="71" t="str">
        <f aca="false">IF(B104="","",SUMIFS(N_ONI,N_CLAVE,AA104))</f>
        <v/>
      </c>
      <c r="V104" s="71" t="str">
        <f aca="false">IF(B104="","",SUMIFS(N_DESC,N_CLAVE,AA104))</f>
        <v/>
      </c>
      <c r="W104" s="72" t="str">
        <f aca="false">IF(B104="","",IFERROR(INDEX(N_OBS,MATCH(AA104,N_CLAVE,0))&amp;"",""))</f>
        <v/>
      </c>
      <c r="X104" s="70" t="str">
        <f aca="false">IF(B104="","",IF(COUNTIF(N_CLAVE,AA104)&gt;0,"Sí","⚠ Sin registro"))</f>
        <v/>
      </c>
      <c r="Z104" s="81" t="str">
        <f aca="false">IF(B104="","",MATCH(B104,T_AUX,0))</f>
        <v/>
      </c>
      <c r="AA104" s="81" t="str">
        <f aca="false">IF(B104="","",C104&amp;"|"&amp;(YEAR(ENVIO_PER)*100+MONTH(ENVIO_PER)))</f>
        <v/>
      </c>
      <c r="AB104" s="81" t="str">
        <f aca="false">IF(B104="","",INDEX(T_INGRESO,Z104))</f>
        <v/>
      </c>
      <c r="AC104" s="81" t="str">
        <f aca="false">IF(B104="","",N(INDEX(T_EGRESO,Z104)))</f>
        <v/>
      </c>
      <c r="AD104" s="81" t="str">
        <f aca="false">IF(B104="","",IF(OR(AB104&gt;EOMONTH(ENVIO_PER,0),AND(AC104&gt;0,AC104&lt;ENVIO_PER)),0,IF(AND(AB104&lt;=ENVIO_PER,OR(AC104=0,AC104&gt;=EOMONTH(ENVIO_PER,0))),30,MIN(30,IF(AC104=0,EOMONTH(ENVIO_PER,0),MIN(AC104,EOMONTH(ENVIO_PER,0)))-MAX(ENVIO_PER,AB104)+1))))</f>
        <v/>
      </c>
    </row>
    <row r="105" customFormat="false" ht="15" hidden="false" customHeight="false" outlineLevel="0" collapsed="false">
      <c r="B105" s="72" t="str">
        <f aca="false">IF(96&lt;=MAX(T_AUX),96,"")</f>
        <v/>
      </c>
      <c r="C105" s="72" t="str">
        <f aca="false">IF(B105="","",INDEX(T_ID,Z105))</f>
        <v/>
      </c>
      <c r="D105" s="72" t="str">
        <f aca="false">IF(B105="","",INDEX(T_RUT,Z105)&amp;"")</f>
        <v/>
      </c>
      <c r="E105" s="72" t="str">
        <f aca="false">IF(B105="","",INDEX(T_NOMBRE,Z105)&amp;"")</f>
        <v/>
      </c>
      <c r="F105" s="72" t="str">
        <f aca="false">IF(B105="","",INDEX(T_CARGO,Z105)&amp;"")</f>
        <v/>
      </c>
      <c r="G105" s="72" t="str">
        <f aca="false">IF(B105="","",IFERROR(INDEX(C_TIPO,MATCH(C105&amp;"-P"&amp;MAX(1,COUNTIFS(C_ID,C105,C_DEFINE,"Sí",C_INICIO,"&lt;="&amp;EOMONTH(ENVIO_PER,0))),C_CLAVE,0))&amp;"","Sin contrato"))</f>
        <v/>
      </c>
      <c r="H105" s="71" t="str">
        <f aca="false">IF(B105="","",IFERROR(INDEX(C_SUELDO,MATCH(C105&amp;"-S"&amp;MAX(1,COUNTIFS(C_ID,C105,C_SUELDO,"&lt;&gt;",C_INICIO,"&lt;="&amp;EOMONTH(ENVIO_PER,0))),C_CLAVES,0)),0))</f>
        <v/>
      </c>
      <c r="I105" s="70" t="str">
        <f aca="false">IF(B105="","",TRIM(IF(AND(AB105&gt;=ENVIO_PER,AB105&lt;=EOMONTH(ENVIO_PER,0)),"Ingresa el día "&amp;DAY(AB105)&amp;". ","")&amp;IF(AND(AC105&gt;0,AC105&gt;=ENVIO_PER,AC105&lt;=EOMONTH(ENVIO_PER,0)),"Egresa el día "&amp;DAY(AC105)&amp;".","")))</f>
        <v/>
      </c>
      <c r="J105" s="70" t="str">
        <f aca="false">IF(B105="","",IF(COUNTIFS(C_ID,C105,C_INICIO,"&gt;="&amp;ENVIO_PER,C_INICIO,"&lt;="&amp;EOMONTH(ENVIO_PER,0))&gt;0,COUNTIFS(C_ID,C105,C_INICIO,"&gt;="&amp;ENVIO_PER,C_INICIO,"&lt;="&amp;EOMONTH(ENVIO_PER,0))&amp;" documento(s) nuevo(s): ver Contratos",""))</f>
        <v/>
      </c>
      <c r="K105" s="74" t="str">
        <f aca="false">IF(B105="","",IF(COUNTIF(N_CLAVE,AA105)&gt;0,SUMIFS(N_DIAS,N_CLAVE,AA105),AD105))</f>
        <v/>
      </c>
      <c r="L105" s="74" t="str">
        <f aca="false">IF(B105="","",SUMIFS(N_FALTAS,N_CLAVE,AA105))</f>
        <v/>
      </c>
      <c r="M105" s="74" t="str">
        <f aca="false">IF(B105="","",SUMIFS(N_LIC,N_CLAVE,AA105))</f>
        <v/>
      </c>
      <c r="N105" s="74" t="str">
        <f aca="false">IF(B105="","",SUMIFS(N_PCG,N_CLAVE,AA105))</f>
        <v/>
      </c>
      <c r="O105" s="74" t="str">
        <f aca="false">IF(B105="","",SUMIFS(N_PSG,N_CLAVE,AA105))</f>
        <v/>
      </c>
      <c r="P105" s="74" t="str">
        <f aca="false">IF(B105="","",SUMIFS(V_DIAS,V_ID,C105,V_MES,ENVIO_PER))</f>
        <v/>
      </c>
      <c r="Q105" s="73" t="str">
        <f aca="false">IF(B105="","",SUMIFS(N_ATRASO,N_CLAVE,AA105))</f>
        <v/>
      </c>
      <c r="R105" s="74" t="str">
        <f aca="false">IF(B105="","",SUMIFS(N_HE,N_CLAVE,AA105))</f>
        <v/>
      </c>
      <c r="S105" s="71" t="str">
        <f aca="false">IF(B105="","",SUMIFS(N_ANT,N_CLAVE,AA105))</f>
        <v/>
      </c>
      <c r="T105" s="71" t="str">
        <f aca="false">IF(B105="","",SUMIFS(N_BONO,N_CLAVE,AA105))</f>
        <v/>
      </c>
      <c r="U105" s="71" t="str">
        <f aca="false">IF(B105="","",SUMIFS(N_ONI,N_CLAVE,AA105))</f>
        <v/>
      </c>
      <c r="V105" s="71" t="str">
        <f aca="false">IF(B105="","",SUMIFS(N_DESC,N_CLAVE,AA105))</f>
        <v/>
      </c>
      <c r="W105" s="72" t="str">
        <f aca="false">IF(B105="","",IFERROR(INDEX(N_OBS,MATCH(AA105,N_CLAVE,0))&amp;"",""))</f>
        <v/>
      </c>
      <c r="X105" s="70" t="str">
        <f aca="false">IF(B105="","",IF(COUNTIF(N_CLAVE,AA105)&gt;0,"Sí","⚠ Sin registro"))</f>
        <v/>
      </c>
      <c r="Z105" s="81" t="str">
        <f aca="false">IF(B105="","",MATCH(B105,T_AUX,0))</f>
        <v/>
      </c>
      <c r="AA105" s="81" t="str">
        <f aca="false">IF(B105="","",C105&amp;"|"&amp;(YEAR(ENVIO_PER)*100+MONTH(ENVIO_PER)))</f>
        <v/>
      </c>
      <c r="AB105" s="81" t="str">
        <f aca="false">IF(B105="","",INDEX(T_INGRESO,Z105))</f>
        <v/>
      </c>
      <c r="AC105" s="81" t="str">
        <f aca="false">IF(B105="","",N(INDEX(T_EGRESO,Z105)))</f>
        <v/>
      </c>
      <c r="AD105" s="81" t="str">
        <f aca="false">IF(B105="","",IF(OR(AB105&gt;EOMONTH(ENVIO_PER,0),AND(AC105&gt;0,AC105&lt;ENVIO_PER)),0,IF(AND(AB105&lt;=ENVIO_PER,OR(AC105=0,AC105&gt;=EOMONTH(ENVIO_PER,0))),30,MIN(30,IF(AC105=0,EOMONTH(ENVIO_PER,0),MIN(AC105,EOMONTH(ENVIO_PER,0)))-MAX(ENVIO_PER,AB105)+1))))</f>
        <v/>
      </c>
    </row>
    <row r="106" customFormat="false" ht="15" hidden="false" customHeight="false" outlineLevel="0" collapsed="false">
      <c r="B106" s="72" t="str">
        <f aca="false">IF(97&lt;=MAX(T_AUX),97,"")</f>
        <v/>
      </c>
      <c r="C106" s="72" t="str">
        <f aca="false">IF(B106="","",INDEX(T_ID,Z106))</f>
        <v/>
      </c>
      <c r="D106" s="72" t="str">
        <f aca="false">IF(B106="","",INDEX(T_RUT,Z106)&amp;"")</f>
        <v/>
      </c>
      <c r="E106" s="72" t="str">
        <f aca="false">IF(B106="","",INDEX(T_NOMBRE,Z106)&amp;"")</f>
        <v/>
      </c>
      <c r="F106" s="72" t="str">
        <f aca="false">IF(B106="","",INDEX(T_CARGO,Z106)&amp;"")</f>
        <v/>
      </c>
      <c r="G106" s="72" t="str">
        <f aca="false">IF(B106="","",IFERROR(INDEX(C_TIPO,MATCH(C106&amp;"-P"&amp;MAX(1,COUNTIFS(C_ID,C106,C_DEFINE,"Sí",C_INICIO,"&lt;="&amp;EOMONTH(ENVIO_PER,0))),C_CLAVE,0))&amp;"","Sin contrato"))</f>
        <v/>
      </c>
      <c r="H106" s="71" t="str">
        <f aca="false">IF(B106="","",IFERROR(INDEX(C_SUELDO,MATCH(C106&amp;"-S"&amp;MAX(1,COUNTIFS(C_ID,C106,C_SUELDO,"&lt;&gt;",C_INICIO,"&lt;="&amp;EOMONTH(ENVIO_PER,0))),C_CLAVES,0)),0))</f>
        <v/>
      </c>
      <c r="I106" s="70" t="str">
        <f aca="false">IF(B106="","",TRIM(IF(AND(AB106&gt;=ENVIO_PER,AB106&lt;=EOMONTH(ENVIO_PER,0)),"Ingresa el día "&amp;DAY(AB106)&amp;". ","")&amp;IF(AND(AC106&gt;0,AC106&gt;=ENVIO_PER,AC106&lt;=EOMONTH(ENVIO_PER,0)),"Egresa el día "&amp;DAY(AC106)&amp;".","")))</f>
        <v/>
      </c>
      <c r="J106" s="70" t="str">
        <f aca="false">IF(B106="","",IF(COUNTIFS(C_ID,C106,C_INICIO,"&gt;="&amp;ENVIO_PER,C_INICIO,"&lt;="&amp;EOMONTH(ENVIO_PER,0))&gt;0,COUNTIFS(C_ID,C106,C_INICIO,"&gt;="&amp;ENVIO_PER,C_INICIO,"&lt;="&amp;EOMONTH(ENVIO_PER,0))&amp;" documento(s) nuevo(s): ver Contratos",""))</f>
        <v/>
      </c>
      <c r="K106" s="74" t="str">
        <f aca="false">IF(B106="","",IF(COUNTIF(N_CLAVE,AA106)&gt;0,SUMIFS(N_DIAS,N_CLAVE,AA106),AD106))</f>
        <v/>
      </c>
      <c r="L106" s="74" t="str">
        <f aca="false">IF(B106="","",SUMIFS(N_FALTAS,N_CLAVE,AA106))</f>
        <v/>
      </c>
      <c r="M106" s="74" t="str">
        <f aca="false">IF(B106="","",SUMIFS(N_LIC,N_CLAVE,AA106))</f>
        <v/>
      </c>
      <c r="N106" s="74" t="str">
        <f aca="false">IF(B106="","",SUMIFS(N_PCG,N_CLAVE,AA106))</f>
        <v/>
      </c>
      <c r="O106" s="74" t="str">
        <f aca="false">IF(B106="","",SUMIFS(N_PSG,N_CLAVE,AA106))</f>
        <v/>
      </c>
      <c r="P106" s="74" t="str">
        <f aca="false">IF(B106="","",SUMIFS(V_DIAS,V_ID,C106,V_MES,ENVIO_PER))</f>
        <v/>
      </c>
      <c r="Q106" s="73" t="str">
        <f aca="false">IF(B106="","",SUMIFS(N_ATRASO,N_CLAVE,AA106))</f>
        <v/>
      </c>
      <c r="R106" s="74" t="str">
        <f aca="false">IF(B106="","",SUMIFS(N_HE,N_CLAVE,AA106))</f>
        <v/>
      </c>
      <c r="S106" s="71" t="str">
        <f aca="false">IF(B106="","",SUMIFS(N_ANT,N_CLAVE,AA106))</f>
        <v/>
      </c>
      <c r="T106" s="71" t="str">
        <f aca="false">IF(B106="","",SUMIFS(N_BONO,N_CLAVE,AA106))</f>
        <v/>
      </c>
      <c r="U106" s="71" t="str">
        <f aca="false">IF(B106="","",SUMIFS(N_ONI,N_CLAVE,AA106))</f>
        <v/>
      </c>
      <c r="V106" s="71" t="str">
        <f aca="false">IF(B106="","",SUMIFS(N_DESC,N_CLAVE,AA106))</f>
        <v/>
      </c>
      <c r="W106" s="72" t="str">
        <f aca="false">IF(B106="","",IFERROR(INDEX(N_OBS,MATCH(AA106,N_CLAVE,0))&amp;"",""))</f>
        <v/>
      </c>
      <c r="X106" s="70" t="str">
        <f aca="false">IF(B106="","",IF(COUNTIF(N_CLAVE,AA106)&gt;0,"Sí","⚠ Sin registro"))</f>
        <v/>
      </c>
      <c r="Z106" s="81" t="str">
        <f aca="false">IF(B106="","",MATCH(B106,T_AUX,0))</f>
        <v/>
      </c>
      <c r="AA106" s="81" t="str">
        <f aca="false">IF(B106="","",C106&amp;"|"&amp;(YEAR(ENVIO_PER)*100+MONTH(ENVIO_PER)))</f>
        <v/>
      </c>
      <c r="AB106" s="81" t="str">
        <f aca="false">IF(B106="","",INDEX(T_INGRESO,Z106))</f>
        <v/>
      </c>
      <c r="AC106" s="81" t="str">
        <f aca="false">IF(B106="","",N(INDEX(T_EGRESO,Z106)))</f>
        <v/>
      </c>
      <c r="AD106" s="81" t="str">
        <f aca="false">IF(B106="","",IF(OR(AB106&gt;EOMONTH(ENVIO_PER,0),AND(AC106&gt;0,AC106&lt;ENVIO_PER)),0,IF(AND(AB106&lt;=ENVIO_PER,OR(AC106=0,AC106&gt;=EOMONTH(ENVIO_PER,0))),30,MIN(30,IF(AC106=0,EOMONTH(ENVIO_PER,0),MIN(AC106,EOMONTH(ENVIO_PER,0)))-MAX(ENVIO_PER,AB106)+1))))</f>
        <v/>
      </c>
    </row>
    <row r="107" customFormat="false" ht="15" hidden="false" customHeight="false" outlineLevel="0" collapsed="false">
      <c r="B107" s="72" t="str">
        <f aca="false">IF(98&lt;=MAX(T_AUX),98,"")</f>
        <v/>
      </c>
      <c r="C107" s="72" t="str">
        <f aca="false">IF(B107="","",INDEX(T_ID,Z107))</f>
        <v/>
      </c>
      <c r="D107" s="72" t="str">
        <f aca="false">IF(B107="","",INDEX(T_RUT,Z107)&amp;"")</f>
        <v/>
      </c>
      <c r="E107" s="72" t="str">
        <f aca="false">IF(B107="","",INDEX(T_NOMBRE,Z107)&amp;"")</f>
        <v/>
      </c>
      <c r="F107" s="72" t="str">
        <f aca="false">IF(B107="","",INDEX(T_CARGO,Z107)&amp;"")</f>
        <v/>
      </c>
      <c r="G107" s="72" t="str">
        <f aca="false">IF(B107="","",IFERROR(INDEX(C_TIPO,MATCH(C107&amp;"-P"&amp;MAX(1,COUNTIFS(C_ID,C107,C_DEFINE,"Sí",C_INICIO,"&lt;="&amp;EOMONTH(ENVIO_PER,0))),C_CLAVE,0))&amp;"","Sin contrato"))</f>
        <v/>
      </c>
      <c r="H107" s="71" t="str">
        <f aca="false">IF(B107="","",IFERROR(INDEX(C_SUELDO,MATCH(C107&amp;"-S"&amp;MAX(1,COUNTIFS(C_ID,C107,C_SUELDO,"&lt;&gt;",C_INICIO,"&lt;="&amp;EOMONTH(ENVIO_PER,0))),C_CLAVES,0)),0))</f>
        <v/>
      </c>
      <c r="I107" s="70" t="str">
        <f aca="false">IF(B107="","",TRIM(IF(AND(AB107&gt;=ENVIO_PER,AB107&lt;=EOMONTH(ENVIO_PER,0)),"Ingresa el día "&amp;DAY(AB107)&amp;". ","")&amp;IF(AND(AC107&gt;0,AC107&gt;=ENVIO_PER,AC107&lt;=EOMONTH(ENVIO_PER,0)),"Egresa el día "&amp;DAY(AC107)&amp;".","")))</f>
        <v/>
      </c>
      <c r="J107" s="70" t="str">
        <f aca="false">IF(B107="","",IF(COUNTIFS(C_ID,C107,C_INICIO,"&gt;="&amp;ENVIO_PER,C_INICIO,"&lt;="&amp;EOMONTH(ENVIO_PER,0))&gt;0,COUNTIFS(C_ID,C107,C_INICIO,"&gt;="&amp;ENVIO_PER,C_INICIO,"&lt;="&amp;EOMONTH(ENVIO_PER,0))&amp;" documento(s) nuevo(s): ver Contratos",""))</f>
        <v/>
      </c>
      <c r="K107" s="74" t="str">
        <f aca="false">IF(B107="","",IF(COUNTIF(N_CLAVE,AA107)&gt;0,SUMIFS(N_DIAS,N_CLAVE,AA107),AD107))</f>
        <v/>
      </c>
      <c r="L107" s="74" t="str">
        <f aca="false">IF(B107="","",SUMIFS(N_FALTAS,N_CLAVE,AA107))</f>
        <v/>
      </c>
      <c r="M107" s="74" t="str">
        <f aca="false">IF(B107="","",SUMIFS(N_LIC,N_CLAVE,AA107))</f>
        <v/>
      </c>
      <c r="N107" s="74" t="str">
        <f aca="false">IF(B107="","",SUMIFS(N_PCG,N_CLAVE,AA107))</f>
        <v/>
      </c>
      <c r="O107" s="74" t="str">
        <f aca="false">IF(B107="","",SUMIFS(N_PSG,N_CLAVE,AA107))</f>
        <v/>
      </c>
      <c r="P107" s="74" t="str">
        <f aca="false">IF(B107="","",SUMIFS(V_DIAS,V_ID,C107,V_MES,ENVIO_PER))</f>
        <v/>
      </c>
      <c r="Q107" s="73" t="str">
        <f aca="false">IF(B107="","",SUMIFS(N_ATRASO,N_CLAVE,AA107))</f>
        <v/>
      </c>
      <c r="R107" s="74" t="str">
        <f aca="false">IF(B107="","",SUMIFS(N_HE,N_CLAVE,AA107))</f>
        <v/>
      </c>
      <c r="S107" s="71" t="str">
        <f aca="false">IF(B107="","",SUMIFS(N_ANT,N_CLAVE,AA107))</f>
        <v/>
      </c>
      <c r="T107" s="71" t="str">
        <f aca="false">IF(B107="","",SUMIFS(N_BONO,N_CLAVE,AA107))</f>
        <v/>
      </c>
      <c r="U107" s="71" t="str">
        <f aca="false">IF(B107="","",SUMIFS(N_ONI,N_CLAVE,AA107))</f>
        <v/>
      </c>
      <c r="V107" s="71" t="str">
        <f aca="false">IF(B107="","",SUMIFS(N_DESC,N_CLAVE,AA107))</f>
        <v/>
      </c>
      <c r="W107" s="72" t="str">
        <f aca="false">IF(B107="","",IFERROR(INDEX(N_OBS,MATCH(AA107,N_CLAVE,0))&amp;"",""))</f>
        <v/>
      </c>
      <c r="X107" s="70" t="str">
        <f aca="false">IF(B107="","",IF(COUNTIF(N_CLAVE,AA107)&gt;0,"Sí","⚠ Sin registro"))</f>
        <v/>
      </c>
      <c r="Z107" s="81" t="str">
        <f aca="false">IF(B107="","",MATCH(B107,T_AUX,0))</f>
        <v/>
      </c>
      <c r="AA107" s="81" t="str">
        <f aca="false">IF(B107="","",C107&amp;"|"&amp;(YEAR(ENVIO_PER)*100+MONTH(ENVIO_PER)))</f>
        <v/>
      </c>
      <c r="AB107" s="81" t="str">
        <f aca="false">IF(B107="","",INDEX(T_INGRESO,Z107))</f>
        <v/>
      </c>
      <c r="AC107" s="81" t="str">
        <f aca="false">IF(B107="","",N(INDEX(T_EGRESO,Z107)))</f>
        <v/>
      </c>
      <c r="AD107" s="81" t="str">
        <f aca="false">IF(B107="","",IF(OR(AB107&gt;EOMONTH(ENVIO_PER,0),AND(AC107&gt;0,AC107&lt;ENVIO_PER)),0,IF(AND(AB107&lt;=ENVIO_PER,OR(AC107=0,AC107&gt;=EOMONTH(ENVIO_PER,0))),30,MIN(30,IF(AC107=0,EOMONTH(ENVIO_PER,0),MIN(AC107,EOMONTH(ENVIO_PER,0)))-MAX(ENVIO_PER,AB107)+1))))</f>
        <v/>
      </c>
    </row>
    <row r="108" customFormat="false" ht="15" hidden="false" customHeight="false" outlineLevel="0" collapsed="false">
      <c r="B108" s="72" t="str">
        <f aca="false">IF(99&lt;=MAX(T_AUX),99,"")</f>
        <v/>
      </c>
      <c r="C108" s="72" t="str">
        <f aca="false">IF(B108="","",INDEX(T_ID,Z108))</f>
        <v/>
      </c>
      <c r="D108" s="72" t="str">
        <f aca="false">IF(B108="","",INDEX(T_RUT,Z108)&amp;"")</f>
        <v/>
      </c>
      <c r="E108" s="72" t="str">
        <f aca="false">IF(B108="","",INDEX(T_NOMBRE,Z108)&amp;"")</f>
        <v/>
      </c>
      <c r="F108" s="72" t="str">
        <f aca="false">IF(B108="","",INDEX(T_CARGO,Z108)&amp;"")</f>
        <v/>
      </c>
      <c r="G108" s="72" t="str">
        <f aca="false">IF(B108="","",IFERROR(INDEX(C_TIPO,MATCH(C108&amp;"-P"&amp;MAX(1,COUNTIFS(C_ID,C108,C_DEFINE,"Sí",C_INICIO,"&lt;="&amp;EOMONTH(ENVIO_PER,0))),C_CLAVE,0))&amp;"","Sin contrato"))</f>
        <v/>
      </c>
      <c r="H108" s="71" t="str">
        <f aca="false">IF(B108="","",IFERROR(INDEX(C_SUELDO,MATCH(C108&amp;"-S"&amp;MAX(1,COUNTIFS(C_ID,C108,C_SUELDO,"&lt;&gt;",C_INICIO,"&lt;="&amp;EOMONTH(ENVIO_PER,0))),C_CLAVES,0)),0))</f>
        <v/>
      </c>
      <c r="I108" s="70" t="str">
        <f aca="false">IF(B108="","",TRIM(IF(AND(AB108&gt;=ENVIO_PER,AB108&lt;=EOMONTH(ENVIO_PER,0)),"Ingresa el día "&amp;DAY(AB108)&amp;". ","")&amp;IF(AND(AC108&gt;0,AC108&gt;=ENVIO_PER,AC108&lt;=EOMONTH(ENVIO_PER,0)),"Egresa el día "&amp;DAY(AC108)&amp;".","")))</f>
        <v/>
      </c>
      <c r="J108" s="70" t="str">
        <f aca="false">IF(B108="","",IF(COUNTIFS(C_ID,C108,C_INICIO,"&gt;="&amp;ENVIO_PER,C_INICIO,"&lt;="&amp;EOMONTH(ENVIO_PER,0))&gt;0,COUNTIFS(C_ID,C108,C_INICIO,"&gt;="&amp;ENVIO_PER,C_INICIO,"&lt;="&amp;EOMONTH(ENVIO_PER,0))&amp;" documento(s) nuevo(s): ver Contratos",""))</f>
        <v/>
      </c>
      <c r="K108" s="74" t="str">
        <f aca="false">IF(B108="","",IF(COUNTIF(N_CLAVE,AA108)&gt;0,SUMIFS(N_DIAS,N_CLAVE,AA108),AD108))</f>
        <v/>
      </c>
      <c r="L108" s="74" t="str">
        <f aca="false">IF(B108="","",SUMIFS(N_FALTAS,N_CLAVE,AA108))</f>
        <v/>
      </c>
      <c r="M108" s="74" t="str">
        <f aca="false">IF(B108="","",SUMIFS(N_LIC,N_CLAVE,AA108))</f>
        <v/>
      </c>
      <c r="N108" s="74" t="str">
        <f aca="false">IF(B108="","",SUMIFS(N_PCG,N_CLAVE,AA108))</f>
        <v/>
      </c>
      <c r="O108" s="74" t="str">
        <f aca="false">IF(B108="","",SUMIFS(N_PSG,N_CLAVE,AA108))</f>
        <v/>
      </c>
      <c r="P108" s="74" t="str">
        <f aca="false">IF(B108="","",SUMIFS(V_DIAS,V_ID,C108,V_MES,ENVIO_PER))</f>
        <v/>
      </c>
      <c r="Q108" s="73" t="str">
        <f aca="false">IF(B108="","",SUMIFS(N_ATRASO,N_CLAVE,AA108))</f>
        <v/>
      </c>
      <c r="R108" s="74" t="str">
        <f aca="false">IF(B108="","",SUMIFS(N_HE,N_CLAVE,AA108))</f>
        <v/>
      </c>
      <c r="S108" s="71" t="str">
        <f aca="false">IF(B108="","",SUMIFS(N_ANT,N_CLAVE,AA108))</f>
        <v/>
      </c>
      <c r="T108" s="71" t="str">
        <f aca="false">IF(B108="","",SUMIFS(N_BONO,N_CLAVE,AA108))</f>
        <v/>
      </c>
      <c r="U108" s="71" t="str">
        <f aca="false">IF(B108="","",SUMIFS(N_ONI,N_CLAVE,AA108))</f>
        <v/>
      </c>
      <c r="V108" s="71" t="str">
        <f aca="false">IF(B108="","",SUMIFS(N_DESC,N_CLAVE,AA108))</f>
        <v/>
      </c>
      <c r="W108" s="72" t="str">
        <f aca="false">IF(B108="","",IFERROR(INDEX(N_OBS,MATCH(AA108,N_CLAVE,0))&amp;"",""))</f>
        <v/>
      </c>
      <c r="X108" s="70" t="str">
        <f aca="false">IF(B108="","",IF(COUNTIF(N_CLAVE,AA108)&gt;0,"Sí","⚠ Sin registro"))</f>
        <v/>
      </c>
      <c r="Z108" s="81" t="str">
        <f aca="false">IF(B108="","",MATCH(B108,T_AUX,0))</f>
        <v/>
      </c>
      <c r="AA108" s="81" t="str">
        <f aca="false">IF(B108="","",C108&amp;"|"&amp;(YEAR(ENVIO_PER)*100+MONTH(ENVIO_PER)))</f>
        <v/>
      </c>
      <c r="AB108" s="81" t="str">
        <f aca="false">IF(B108="","",INDEX(T_INGRESO,Z108))</f>
        <v/>
      </c>
      <c r="AC108" s="81" t="str">
        <f aca="false">IF(B108="","",N(INDEX(T_EGRESO,Z108)))</f>
        <v/>
      </c>
      <c r="AD108" s="81" t="str">
        <f aca="false">IF(B108="","",IF(OR(AB108&gt;EOMONTH(ENVIO_PER,0),AND(AC108&gt;0,AC108&lt;ENVIO_PER)),0,IF(AND(AB108&lt;=ENVIO_PER,OR(AC108=0,AC108&gt;=EOMONTH(ENVIO_PER,0))),30,MIN(30,IF(AC108=0,EOMONTH(ENVIO_PER,0),MIN(AC108,EOMONTH(ENVIO_PER,0)))-MAX(ENVIO_PER,AB108)+1))))</f>
        <v/>
      </c>
    </row>
    <row r="109" customFormat="false" ht="15" hidden="false" customHeight="false" outlineLevel="0" collapsed="false">
      <c r="B109" s="72" t="str">
        <f aca="false">IF(100&lt;=MAX(T_AUX),100,"")</f>
        <v/>
      </c>
      <c r="C109" s="72" t="str">
        <f aca="false">IF(B109="","",INDEX(T_ID,Z109))</f>
        <v/>
      </c>
      <c r="D109" s="72" t="str">
        <f aca="false">IF(B109="","",INDEX(T_RUT,Z109)&amp;"")</f>
        <v/>
      </c>
      <c r="E109" s="72" t="str">
        <f aca="false">IF(B109="","",INDEX(T_NOMBRE,Z109)&amp;"")</f>
        <v/>
      </c>
      <c r="F109" s="72" t="str">
        <f aca="false">IF(B109="","",INDEX(T_CARGO,Z109)&amp;"")</f>
        <v/>
      </c>
      <c r="G109" s="72" t="str">
        <f aca="false">IF(B109="","",IFERROR(INDEX(C_TIPO,MATCH(C109&amp;"-P"&amp;MAX(1,COUNTIFS(C_ID,C109,C_DEFINE,"Sí",C_INICIO,"&lt;="&amp;EOMONTH(ENVIO_PER,0))),C_CLAVE,0))&amp;"","Sin contrato"))</f>
        <v/>
      </c>
      <c r="H109" s="71" t="str">
        <f aca="false">IF(B109="","",IFERROR(INDEX(C_SUELDO,MATCH(C109&amp;"-S"&amp;MAX(1,COUNTIFS(C_ID,C109,C_SUELDO,"&lt;&gt;",C_INICIO,"&lt;="&amp;EOMONTH(ENVIO_PER,0))),C_CLAVES,0)),0))</f>
        <v/>
      </c>
      <c r="I109" s="70" t="str">
        <f aca="false">IF(B109="","",TRIM(IF(AND(AB109&gt;=ENVIO_PER,AB109&lt;=EOMONTH(ENVIO_PER,0)),"Ingresa el día "&amp;DAY(AB109)&amp;". ","")&amp;IF(AND(AC109&gt;0,AC109&gt;=ENVIO_PER,AC109&lt;=EOMONTH(ENVIO_PER,0)),"Egresa el día "&amp;DAY(AC109)&amp;".","")))</f>
        <v/>
      </c>
      <c r="J109" s="70" t="str">
        <f aca="false">IF(B109="","",IF(COUNTIFS(C_ID,C109,C_INICIO,"&gt;="&amp;ENVIO_PER,C_INICIO,"&lt;="&amp;EOMONTH(ENVIO_PER,0))&gt;0,COUNTIFS(C_ID,C109,C_INICIO,"&gt;="&amp;ENVIO_PER,C_INICIO,"&lt;="&amp;EOMONTH(ENVIO_PER,0))&amp;" documento(s) nuevo(s): ver Contratos",""))</f>
        <v/>
      </c>
      <c r="K109" s="74" t="str">
        <f aca="false">IF(B109="","",IF(COUNTIF(N_CLAVE,AA109)&gt;0,SUMIFS(N_DIAS,N_CLAVE,AA109),AD109))</f>
        <v/>
      </c>
      <c r="L109" s="74" t="str">
        <f aca="false">IF(B109="","",SUMIFS(N_FALTAS,N_CLAVE,AA109))</f>
        <v/>
      </c>
      <c r="M109" s="74" t="str">
        <f aca="false">IF(B109="","",SUMIFS(N_LIC,N_CLAVE,AA109))</f>
        <v/>
      </c>
      <c r="N109" s="74" t="str">
        <f aca="false">IF(B109="","",SUMIFS(N_PCG,N_CLAVE,AA109))</f>
        <v/>
      </c>
      <c r="O109" s="74" t="str">
        <f aca="false">IF(B109="","",SUMIFS(N_PSG,N_CLAVE,AA109))</f>
        <v/>
      </c>
      <c r="P109" s="74" t="str">
        <f aca="false">IF(B109="","",SUMIFS(V_DIAS,V_ID,C109,V_MES,ENVIO_PER))</f>
        <v/>
      </c>
      <c r="Q109" s="73" t="str">
        <f aca="false">IF(B109="","",SUMIFS(N_ATRASO,N_CLAVE,AA109))</f>
        <v/>
      </c>
      <c r="R109" s="74" t="str">
        <f aca="false">IF(B109="","",SUMIFS(N_HE,N_CLAVE,AA109))</f>
        <v/>
      </c>
      <c r="S109" s="71" t="str">
        <f aca="false">IF(B109="","",SUMIFS(N_ANT,N_CLAVE,AA109))</f>
        <v/>
      </c>
      <c r="T109" s="71" t="str">
        <f aca="false">IF(B109="","",SUMIFS(N_BONO,N_CLAVE,AA109))</f>
        <v/>
      </c>
      <c r="U109" s="71" t="str">
        <f aca="false">IF(B109="","",SUMIFS(N_ONI,N_CLAVE,AA109))</f>
        <v/>
      </c>
      <c r="V109" s="71" t="str">
        <f aca="false">IF(B109="","",SUMIFS(N_DESC,N_CLAVE,AA109))</f>
        <v/>
      </c>
      <c r="W109" s="72" t="str">
        <f aca="false">IF(B109="","",IFERROR(INDEX(N_OBS,MATCH(AA109,N_CLAVE,0))&amp;"",""))</f>
        <v/>
      </c>
      <c r="X109" s="70" t="str">
        <f aca="false">IF(B109="","",IF(COUNTIF(N_CLAVE,AA109)&gt;0,"Sí","⚠ Sin registro"))</f>
        <v/>
      </c>
      <c r="Z109" s="81" t="str">
        <f aca="false">IF(B109="","",MATCH(B109,T_AUX,0))</f>
        <v/>
      </c>
      <c r="AA109" s="81" t="str">
        <f aca="false">IF(B109="","",C109&amp;"|"&amp;(YEAR(ENVIO_PER)*100+MONTH(ENVIO_PER)))</f>
        <v/>
      </c>
      <c r="AB109" s="81" t="str">
        <f aca="false">IF(B109="","",INDEX(T_INGRESO,Z109))</f>
        <v/>
      </c>
      <c r="AC109" s="81" t="str">
        <f aca="false">IF(B109="","",N(INDEX(T_EGRESO,Z109)))</f>
        <v/>
      </c>
      <c r="AD109" s="81" t="str">
        <f aca="false">IF(B109="","",IF(OR(AB109&gt;EOMONTH(ENVIO_PER,0),AND(AC109&gt;0,AC109&lt;ENVIO_PER)),0,IF(AND(AB109&lt;=ENVIO_PER,OR(AC109=0,AC109&gt;=EOMONTH(ENVIO_PER,0))),30,MIN(30,IF(AC109=0,EOMONTH(ENVIO_PER,0),MIN(AC109,EOMONTH(ENVIO_PER,0)))-MAX(ENVIO_PER,AB109)+1))))</f>
        <v/>
      </c>
    </row>
    <row r="110" customFormat="false" ht="15" hidden="false" customHeight="false" outlineLevel="0" collapsed="false">
      <c r="B110" s="72" t="str">
        <f aca="false">IF(101&lt;=MAX(T_AUX),101,"")</f>
        <v/>
      </c>
      <c r="C110" s="72" t="str">
        <f aca="false">IF(B110="","",INDEX(T_ID,Z110))</f>
        <v/>
      </c>
      <c r="D110" s="72" t="str">
        <f aca="false">IF(B110="","",INDEX(T_RUT,Z110)&amp;"")</f>
        <v/>
      </c>
      <c r="E110" s="72" t="str">
        <f aca="false">IF(B110="","",INDEX(T_NOMBRE,Z110)&amp;"")</f>
        <v/>
      </c>
      <c r="F110" s="72" t="str">
        <f aca="false">IF(B110="","",INDEX(T_CARGO,Z110)&amp;"")</f>
        <v/>
      </c>
      <c r="G110" s="72" t="str">
        <f aca="false">IF(B110="","",IFERROR(INDEX(C_TIPO,MATCH(C110&amp;"-P"&amp;MAX(1,COUNTIFS(C_ID,C110,C_DEFINE,"Sí",C_INICIO,"&lt;="&amp;EOMONTH(ENVIO_PER,0))),C_CLAVE,0))&amp;"","Sin contrato"))</f>
        <v/>
      </c>
      <c r="H110" s="71" t="str">
        <f aca="false">IF(B110="","",IFERROR(INDEX(C_SUELDO,MATCH(C110&amp;"-S"&amp;MAX(1,COUNTIFS(C_ID,C110,C_SUELDO,"&lt;&gt;",C_INICIO,"&lt;="&amp;EOMONTH(ENVIO_PER,0))),C_CLAVES,0)),0))</f>
        <v/>
      </c>
      <c r="I110" s="70" t="str">
        <f aca="false">IF(B110="","",TRIM(IF(AND(AB110&gt;=ENVIO_PER,AB110&lt;=EOMONTH(ENVIO_PER,0)),"Ingresa el día "&amp;DAY(AB110)&amp;". ","")&amp;IF(AND(AC110&gt;0,AC110&gt;=ENVIO_PER,AC110&lt;=EOMONTH(ENVIO_PER,0)),"Egresa el día "&amp;DAY(AC110)&amp;".","")))</f>
        <v/>
      </c>
      <c r="J110" s="70" t="str">
        <f aca="false">IF(B110="","",IF(COUNTIFS(C_ID,C110,C_INICIO,"&gt;="&amp;ENVIO_PER,C_INICIO,"&lt;="&amp;EOMONTH(ENVIO_PER,0))&gt;0,COUNTIFS(C_ID,C110,C_INICIO,"&gt;="&amp;ENVIO_PER,C_INICIO,"&lt;="&amp;EOMONTH(ENVIO_PER,0))&amp;" documento(s) nuevo(s): ver Contratos",""))</f>
        <v/>
      </c>
      <c r="K110" s="74" t="str">
        <f aca="false">IF(B110="","",IF(COUNTIF(N_CLAVE,AA110)&gt;0,SUMIFS(N_DIAS,N_CLAVE,AA110),AD110))</f>
        <v/>
      </c>
      <c r="L110" s="74" t="str">
        <f aca="false">IF(B110="","",SUMIFS(N_FALTAS,N_CLAVE,AA110))</f>
        <v/>
      </c>
      <c r="M110" s="74" t="str">
        <f aca="false">IF(B110="","",SUMIFS(N_LIC,N_CLAVE,AA110))</f>
        <v/>
      </c>
      <c r="N110" s="74" t="str">
        <f aca="false">IF(B110="","",SUMIFS(N_PCG,N_CLAVE,AA110))</f>
        <v/>
      </c>
      <c r="O110" s="74" t="str">
        <f aca="false">IF(B110="","",SUMIFS(N_PSG,N_CLAVE,AA110))</f>
        <v/>
      </c>
      <c r="P110" s="74" t="str">
        <f aca="false">IF(B110="","",SUMIFS(V_DIAS,V_ID,C110,V_MES,ENVIO_PER))</f>
        <v/>
      </c>
      <c r="Q110" s="73" t="str">
        <f aca="false">IF(B110="","",SUMIFS(N_ATRASO,N_CLAVE,AA110))</f>
        <v/>
      </c>
      <c r="R110" s="74" t="str">
        <f aca="false">IF(B110="","",SUMIFS(N_HE,N_CLAVE,AA110))</f>
        <v/>
      </c>
      <c r="S110" s="71" t="str">
        <f aca="false">IF(B110="","",SUMIFS(N_ANT,N_CLAVE,AA110))</f>
        <v/>
      </c>
      <c r="T110" s="71" t="str">
        <f aca="false">IF(B110="","",SUMIFS(N_BONO,N_CLAVE,AA110))</f>
        <v/>
      </c>
      <c r="U110" s="71" t="str">
        <f aca="false">IF(B110="","",SUMIFS(N_ONI,N_CLAVE,AA110))</f>
        <v/>
      </c>
      <c r="V110" s="71" t="str">
        <f aca="false">IF(B110="","",SUMIFS(N_DESC,N_CLAVE,AA110))</f>
        <v/>
      </c>
      <c r="W110" s="72" t="str">
        <f aca="false">IF(B110="","",IFERROR(INDEX(N_OBS,MATCH(AA110,N_CLAVE,0))&amp;"",""))</f>
        <v/>
      </c>
      <c r="X110" s="70" t="str">
        <f aca="false">IF(B110="","",IF(COUNTIF(N_CLAVE,AA110)&gt;0,"Sí","⚠ Sin registro"))</f>
        <v/>
      </c>
      <c r="Z110" s="81" t="str">
        <f aca="false">IF(B110="","",MATCH(B110,T_AUX,0))</f>
        <v/>
      </c>
      <c r="AA110" s="81" t="str">
        <f aca="false">IF(B110="","",C110&amp;"|"&amp;(YEAR(ENVIO_PER)*100+MONTH(ENVIO_PER)))</f>
        <v/>
      </c>
      <c r="AB110" s="81" t="str">
        <f aca="false">IF(B110="","",INDEX(T_INGRESO,Z110))</f>
        <v/>
      </c>
      <c r="AC110" s="81" t="str">
        <f aca="false">IF(B110="","",N(INDEX(T_EGRESO,Z110)))</f>
        <v/>
      </c>
      <c r="AD110" s="81" t="str">
        <f aca="false">IF(B110="","",IF(OR(AB110&gt;EOMONTH(ENVIO_PER,0),AND(AC110&gt;0,AC110&lt;ENVIO_PER)),0,IF(AND(AB110&lt;=ENVIO_PER,OR(AC110=0,AC110&gt;=EOMONTH(ENVIO_PER,0))),30,MIN(30,IF(AC110=0,EOMONTH(ENVIO_PER,0),MIN(AC110,EOMONTH(ENVIO_PER,0)))-MAX(ENVIO_PER,AB110)+1))))</f>
        <v/>
      </c>
    </row>
    <row r="111" customFormat="false" ht="15" hidden="false" customHeight="false" outlineLevel="0" collapsed="false">
      <c r="B111" s="72" t="str">
        <f aca="false">IF(102&lt;=MAX(T_AUX),102,"")</f>
        <v/>
      </c>
      <c r="C111" s="72" t="str">
        <f aca="false">IF(B111="","",INDEX(T_ID,Z111))</f>
        <v/>
      </c>
      <c r="D111" s="72" t="str">
        <f aca="false">IF(B111="","",INDEX(T_RUT,Z111)&amp;"")</f>
        <v/>
      </c>
      <c r="E111" s="72" t="str">
        <f aca="false">IF(B111="","",INDEX(T_NOMBRE,Z111)&amp;"")</f>
        <v/>
      </c>
      <c r="F111" s="72" t="str">
        <f aca="false">IF(B111="","",INDEX(T_CARGO,Z111)&amp;"")</f>
        <v/>
      </c>
      <c r="G111" s="72" t="str">
        <f aca="false">IF(B111="","",IFERROR(INDEX(C_TIPO,MATCH(C111&amp;"-P"&amp;MAX(1,COUNTIFS(C_ID,C111,C_DEFINE,"Sí",C_INICIO,"&lt;="&amp;EOMONTH(ENVIO_PER,0))),C_CLAVE,0))&amp;"","Sin contrato"))</f>
        <v/>
      </c>
      <c r="H111" s="71" t="str">
        <f aca="false">IF(B111="","",IFERROR(INDEX(C_SUELDO,MATCH(C111&amp;"-S"&amp;MAX(1,COUNTIFS(C_ID,C111,C_SUELDO,"&lt;&gt;",C_INICIO,"&lt;="&amp;EOMONTH(ENVIO_PER,0))),C_CLAVES,0)),0))</f>
        <v/>
      </c>
      <c r="I111" s="70" t="str">
        <f aca="false">IF(B111="","",TRIM(IF(AND(AB111&gt;=ENVIO_PER,AB111&lt;=EOMONTH(ENVIO_PER,0)),"Ingresa el día "&amp;DAY(AB111)&amp;". ","")&amp;IF(AND(AC111&gt;0,AC111&gt;=ENVIO_PER,AC111&lt;=EOMONTH(ENVIO_PER,0)),"Egresa el día "&amp;DAY(AC111)&amp;".","")))</f>
        <v/>
      </c>
      <c r="J111" s="70" t="str">
        <f aca="false">IF(B111="","",IF(COUNTIFS(C_ID,C111,C_INICIO,"&gt;="&amp;ENVIO_PER,C_INICIO,"&lt;="&amp;EOMONTH(ENVIO_PER,0))&gt;0,COUNTIFS(C_ID,C111,C_INICIO,"&gt;="&amp;ENVIO_PER,C_INICIO,"&lt;="&amp;EOMONTH(ENVIO_PER,0))&amp;" documento(s) nuevo(s): ver Contratos",""))</f>
        <v/>
      </c>
      <c r="K111" s="74" t="str">
        <f aca="false">IF(B111="","",IF(COUNTIF(N_CLAVE,AA111)&gt;0,SUMIFS(N_DIAS,N_CLAVE,AA111),AD111))</f>
        <v/>
      </c>
      <c r="L111" s="74" t="str">
        <f aca="false">IF(B111="","",SUMIFS(N_FALTAS,N_CLAVE,AA111))</f>
        <v/>
      </c>
      <c r="M111" s="74" t="str">
        <f aca="false">IF(B111="","",SUMIFS(N_LIC,N_CLAVE,AA111))</f>
        <v/>
      </c>
      <c r="N111" s="74" t="str">
        <f aca="false">IF(B111="","",SUMIFS(N_PCG,N_CLAVE,AA111))</f>
        <v/>
      </c>
      <c r="O111" s="74" t="str">
        <f aca="false">IF(B111="","",SUMIFS(N_PSG,N_CLAVE,AA111))</f>
        <v/>
      </c>
      <c r="P111" s="74" t="str">
        <f aca="false">IF(B111="","",SUMIFS(V_DIAS,V_ID,C111,V_MES,ENVIO_PER))</f>
        <v/>
      </c>
      <c r="Q111" s="73" t="str">
        <f aca="false">IF(B111="","",SUMIFS(N_ATRASO,N_CLAVE,AA111))</f>
        <v/>
      </c>
      <c r="R111" s="74" t="str">
        <f aca="false">IF(B111="","",SUMIFS(N_HE,N_CLAVE,AA111))</f>
        <v/>
      </c>
      <c r="S111" s="71" t="str">
        <f aca="false">IF(B111="","",SUMIFS(N_ANT,N_CLAVE,AA111))</f>
        <v/>
      </c>
      <c r="T111" s="71" t="str">
        <f aca="false">IF(B111="","",SUMIFS(N_BONO,N_CLAVE,AA111))</f>
        <v/>
      </c>
      <c r="U111" s="71" t="str">
        <f aca="false">IF(B111="","",SUMIFS(N_ONI,N_CLAVE,AA111))</f>
        <v/>
      </c>
      <c r="V111" s="71" t="str">
        <f aca="false">IF(B111="","",SUMIFS(N_DESC,N_CLAVE,AA111))</f>
        <v/>
      </c>
      <c r="W111" s="72" t="str">
        <f aca="false">IF(B111="","",IFERROR(INDEX(N_OBS,MATCH(AA111,N_CLAVE,0))&amp;"",""))</f>
        <v/>
      </c>
      <c r="X111" s="70" t="str">
        <f aca="false">IF(B111="","",IF(COUNTIF(N_CLAVE,AA111)&gt;0,"Sí","⚠ Sin registro"))</f>
        <v/>
      </c>
      <c r="Z111" s="81" t="str">
        <f aca="false">IF(B111="","",MATCH(B111,T_AUX,0))</f>
        <v/>
      </c>
      <c r="AA111" s="81" t="str">
        <f aca="false">IF(B111="","",C111&amp;"|"&amp;(YEAR(ENVIO_PER)*100+MONTH(ENVIO_PER)))</f>
        <v/>
      </c>
      <c r="AB111" s="81" t="str">
        <f aca="false">IF(B111="","",INDEX(T_INGRESO,Z111))</f>
        <v/>
      </c>
      <c r="AC111" s="81" t="str">
        <f aca="false">IF(B111="","",N(INDEX(T_EGRESO,Z111)))</f>
        <v/>
      </c>
      <c r="AD111" s="81" t="str">
        <f aca="false">IF(B111="","",IF(OR(AB111&gt;EOMONTH(ENVIO_PER,0),AND(AC111&gt;0,AC111&lt;ENVIO_PER)),0,IF(AND(AB111&lt;=ENVIO_PER,OR(AC111=0,AC111&gt;=EOMONTH(ENVIO_PER,0))),30,MIN(30,IF(AC111=0,EOMONTH(ENVIO_PER,0),MIN(AC111,EOMONTH(ENVIO_PER,0)))-MAX(ENVIO_PER,AB111)+1))))</f>
        <v/>
      </c>
    </row>
    <row r="112" customFormat="false" ht="15" hidden="false" customHeight="false" outlineLevel="0" collapsed="false">
      <c r="B112" s="72" t="str">
        <f aca="false">IF(103&lt;=MAX(T_AUX),103,"")</f>
        <v/>
      </c>
      <c r="C112" s="72" t="str">
        <f aca="false">IF(B112="","",INDEX(T_ID,Z112))</f>
        <v/>
      </c>
      <c r="D112" s="72" t="str">
        <f aca="false">IF(B112="","",INDEX(T_RUT,Z112)&amp;"")</f>
        <v/>
      </c>
      <c r="E112" s="72" t="str">
        <f aca="false">IF(B112="","",INDEX(T_NOMBRE,Z112)&amp;"")</f>
        <v/>
      </c>
      <c r="F112" s="72" t="str">
        <f aca="false">IF(B112="","",INDEX(T_CARGO,Z112)&amp;"")</f>
        <v/>
      </c>
      <c r="G112" s="72" t="str">
        <f aca="false">IF(B112="","",IFERROR(INDEX(C_TIPO,MATCH(C112&amp;"-P"&amp;MAX(1,COUNTIFS(C_ID,C112,C_DEFINE,"Sí",C_INICIO,"&lt;="&amp;EOMONTH(ENVIO_PER,0))),C_CLAVE,0))&amp;"","Sin contrato"))</f>
        <v/>
      </c>
      <c r="H112" s="71" t="str">
        <f aca="false">IF(B112="","",IFERROR(INDEX(C_SUELDO,MATCH(C112&amp;"-S"&amp;MAX(1,COUNTIFS(C_ID,C112,C_SUELDO,"&lt;&gt;",C_INICIO,"&lt;="&amp;EOMONTH(ENVIO_PER,0))),C_CLAVES,0)),0))</f>
        <v/>
      </c>
      <c r="I112" s="70" t="str">
        <f aca="false">IF(B112="","",TRIM(IF(AND(AB112&gt;=ENVIO_PER,AB112&lt;=EOMONTH(ENVIO_PER,0)),"Ingresa el día "&amp;DAY(AB112)&amp;". ","")&amp;IF(AND(AC112&gt;0,AC112&gt;=ENVIO_PER,AC112&lt;=EOMONTH(ENVIO_PER,0)),"Egresa el día "&amp;DAY(AC112)&amp;".","")))</f>
        <v/>
      </c>
      <c r="J112" s="70" t="str">
        <f aca="false">IF(B112="","",IF(COUNTIFS(C_ID,C112,C_INICIO,"&gt;="&amp;ENVIO_PER,C_INICIO,"&lt;="&amp;EOMONTH(ENVIO_PER,0))&gt;0,COUNTIFS(C_ID,C112,C_INICIO,"&gt;="&amp;ENVIO_PER,C_INICIO,"&lt;="&amp;EOMONTH(ENVIO_PER,0))&amp;" documento(s) nuevo(s): ver Contratos",""))</f>
        <v/>
      </c>
      <c r="K112" s="74" t="str">
        <f aca="false">IF(B112="","",IF(COUNTIF(N_CLAVE,AA112)&gt;0,SUMIFS(N_DIAS,N_CLAVE,AA112),AD112))</f>
        <v/>
      </c>
      <c r="L112" s="74" t="str">
        <f aca="false">IF(B112="","",SUMIFS(N_FALTAS,N_CLAVE,AA112))</f>
        <v/>
      </c>
      <c r="M112" s="74" t="str">
        <f aca="false">IF(B112="","",SUMIFS(N_LIC,N_CLAVE,AA112))</f>
        <v/>
      </c>
      <c r="N112" s="74" t="str">
        <f aca="false">IF(B112="","",SUMIFS(N_PCG,N_CLAVE,AA112))</f>
        <v/>
      </c>
      <c r="O112" s="74" t="str">
        <f aca="false">IF(B112="","",SUMIFS(N_PSG,N_CLAVE,AA112))</f>
        <v/>
      </c>
      <c r="P112" s="74" t="str">
        <f aca="false">IF(B112="","",SUMIFS(V_DIAS,V_ID,C112,V_MES,ENVIO_PER))</f>
        <v/>
      </c>
      <c r="Q112" s="73" t="str">
        <f aca="false">IF(B112="","",SUMIFS(N_ATRASO,N_CLAVE,AA112))</f>
        <v/>
      </c>
      <c r="R112" s="74" t="str">
        <f aca="false">IF(B112="","",SUMIFS(N_HE,N_CLAVE,AA112))</f>
        <v/>
      </c>
      <c r="S112" s="71" t="str">
        <f aca="false">IF(B112="","",SUMIFS(N_ANT,N_CLAVE,AA112))</f>
        <v/>
      </c>
      <c r="T112" s="71" t="str">
        <f aca="false">IF(B112="","",SUMIFS(N_BONO,N_CLAVE,AA112))</f>
        <v/>
      </c>
      <c r="U112" s="71" t="str">
        <f aca="false">IF(B112="","",SUMIFS(N_ONI,N_CLAVE,AA112))</f>
        <v/>
      </c>
      <c r="V112" s="71" t="str">
        <f aca="false">IF(B112="","",SUMIFS(N_DESC,N_CLAVE,AA112))</f>
        <v/>
      </c>
      <c r="W112" s="72" t="str">
        <f aca="false">IF(B112="","",IFERROR(INDEX(N_OBS,MATCH(AA112,N_CLAVE,0))&amp;"",""))</f>
        <v/>
      </c>
      <c r="X112" s="70" t="str">
        <f aca="false">IF(B112="","",IF(COUNTIF(N_CLAVE,AA112)&gt;0,"Sí","⚠ Sin registro"))</f>
        <v/>
      </c>
      <c r="Z112" s="81" t="str">
        <f aca="false">IF(B112="","",MATCH(B112,T_AUX,0))</f>
        <v/>
      </c>
      <c r="AA112" s="81" t="str">
        <f aca="false">IF(B112="","",C112&amp;"|"&amp;(YEAR(ENVIO_PER)*100+MONTH(ENVIO_PER)))</f>
        <v/>
      </c>
      <c r="AB112" s="81" t="str">
        <f aca="false">IF(B112="","",INDEX(T_INGRESO,Z112))</f>
        <v/>
      </c>
      <c r="AC112" s="81" t="str">
        <f aca="false">IF(B112="","",N(INDEX(T_EGRESO,Z112)))</f>
        <v/>
      </c>
      <c r="AD112" s="81" t="str">
        <f aca="false">IF(B112="","",IF(OR(AB112&gt;EOMONTH(ENVIO_PER,0),AND(AC112&gt;0,AC112&lt;ENVIO_PER)),0,IF(AND(AB112&lt;=ENVIO_PER,OR(AC112=0,AC112&gt;=EOMONTH(ENVIO_PER,0))),30,MIN(30,IF(AC112=0,EOMONTH(ENVIO_PER,0),MIN(AC112,EOMONTH(ENVIO_PER,0)))-MAX(ENVIO_PER,AB112)+1))))</f>
        <v/>
      </c>
    </row>
    <row r="113" customFormat="false" ht="15" hidden="false" customHeight="false" outlineLevel="0" collapsed="false">
      <c r="B113" s="72" t="str">
        <f aca="false">IF(104&lt;=MAX(T_AUX),104,"")</f>
        <v/>
      </c>
      <c r="C113" s="72" t="str">
        <f aca="false">IF(B113="","",INDEX(T_ID,Z113))</f>
        <v/>
      </c>
      <c r="D113" s="72" t="str">
        <f aca="false">IF(B113="","",INDEX(T_RUT,Z113)&amp;"")</f>
        <v/>
      </c>
      <c r="E113" s="72" t="str">
        <f aca="false">IF(B113="","",INDEX(T_NOMBRE,Z113)&amp;"")</f>
        <v/>
      </c>
      <c r="F113" s="72" t="str">
        <f aca="false">IF(B113="","",INDEX(T_CARGO,Z113)&amp;"")</f>
        <v/>
      </c>
      <c r="G113" s="72" t="str">
        <f aca="false">IF(B113="","",IFERROR(INDEX(C_TIPO,MATCH(C113&amp;"-P"&amp;MAX(1,COUNTIFS(C_ID,C113,C_DEFINE,"Sí",C_INICIO,"&lt;="&amp;EOMONTH(ENVIO_PER,0))),C_CLAVE,0))&amp;"","Sin contrato"))</f>
        <v/>
      </c>
      <c r="H113" s="71" t="str">
        <f aca="false">IF(B113="","",IFERROR(INDEX(C_SUELDO,MATCH(C113&amp;"-S"&amp;MAX(1,COUNTIFS(C_ID,C113,C_SUELDO,"&lt;&gt;",C_INICIO,"&lt;="&amp;EOMONTH(ENVIO_PER,0))),C_CLAVES,0)),0))</f>
        <v/>
      </c>
      <c r="I113" s="70" t="str">
        <f aca="false">IF(B113="","",TRIM(IF(AND(AB113&gt;=ENVIO_PER,AB113&lt;=EOMONTH(ENVIO_PER,0)),"Ingresa el día "&amp;DAY(AB113)&amp;". ","")&amp;IF(AND(AC113&gt;0,AC113&gt;=ENVIO_PER,AC113&lt;=EOMONTH(ENVIO_PER,0)),"Egresa el día "&amp;DAY(AC113)&amp;".","")))</f>
        <v/>
      </c>
      <c r="J113" s="70" t="str">
        <f aca="false">IF(B113="","",IF(COUNTIFS(C_ID,C113,C_INICIO,"&gt;="&amp;ENVIO_PER,C_INICIO,"&lt;="&amp;EOMONTH(ENVIO_PER,0))&gt;0,COUNTIFS(C_ID,C113,C_INICIO,"&gt;="&amp;ENVIO_PER,C_INICIO,"&lt;="&amp;EOMONTH(ENVIO_PER,0))&amp;" documento(s) nuevo(s): ver Contratos",""))</f>
        <v/>
      </c>
      <c r="K113" s="74" t="str">
        <f aca="false">IF(B113="","",IF(COUNTIF(N_CLAVE,AA113)&gt;0,SUMIFS(N_DIAS,N_CLAVE,AA113),AD113))</f>
        <v/>
      </c>
      <c r="L113" s="74" t="str">
        <f aca="false">IF(B113="","",SUMIFS(N_FALTAS,N_CLAVE,AA113))</f>
        <v/>
      </c>
      <c r="M113" s="74" t="str">
        <f aca="false">IF(B113="","",SUMIFS(N_LIC,N_CLAVE,AA113))</f>
        <v/>
      </c>
      <c r="N113" s="74" t="str">
        <f aca="false">IF(B113="","",SUMIFS(N_PCG,N_CLAVE,AA113))</f>
        <v/>
      </c>
      <c r="O113" s="74" t="str">
        <f aca="false">IF(B113="","",SUMIFS(N_PSG,N_CLAVE,AA113))</f>
        <v/>
      </c>
      <c r="P113" s="74" t="str">
        <f aca="false">IF(B113="","",SUMIFS(V_DIAS,V_ID,C113,V_MES,ENVIO_PER))</f>
        <v/>
      </c>
      <c r="Q113" s="73" t="str">
        <f aca="false">IF(B113="","",SUMIFS(N_ATRASO,N_CLAVE,AA113))</f>
        <v/>
      </c>
      <c r="R113" s="74" t="str">
        <f aca="false">IF(B113="","",SUMIFS(N_HE,N_CLAVE,AA113))</f>
        <v/>
      </c>
      <c r="S113" s="71" t="str">
        <f aca="false">IF(B113="","",SUMIFS(N_ANT,N_CLAVE,AA113))</f>
        <v/>
      </c>
      <c r="T113" s="71" t="str">
        <f aca="false">IF(B113="","",SUMIFS(N_BONO,N_CLAVE,AA113))</f>
        <v/>
      </c>
      <c r="U113" s="71" t="str">
        <f aca="false">IF(B113="","",SUMIFS(N_ONI,N_CLAVE,AA113))</f>
        <v/>
      </c>
      <c r="V113" s="71" t="str">
        <f aca="false">IF(B113="","",SUMIFS(N_DESC,N_CLAVE,AA113))</f>
        <v/>
      </c>
      <c r="W113" s="72" t="str">
        <f aca="false">IF(B113="","",IFERROR(INDEX(N_OBS,MATCH(AA113,N_CLAVE,0))&amp;"",""))</f>
        <v/>
      </c>
      <c r="X113" s="70" t="str">
        <f aca="false">IF(B113="","",IF(COUNTIF(N_CLAVE,AA113)&gt;0,"Sí","⚠ Sin registro"))</f>
        <v/>
      </c>
      <c r="Z113" s="81" t="str">
        <f aca="false">IF(B113="","",MATCH(B113,T_AUX,0))</f>
        <v/>
      </c>
      <c r="AA113" s="81" t="str">
        <f aca="false">IF(B113="","",C113&amp;"|"&amp;(YEAR(ENVIO_PER)*100+MONTH(ENVIO_PER)))</f>
        <v/>
      </c>
      <c r="AB113" s="81" t="str">
        <f aca="false">IF(B113="","",INDEX(T_INGRESO,Z113))</f>
        <v/>
      </c>
      <c r="AC113" s="81" t="str">
        <f aca="false">IF(B113="","",N(INDEX(T_EGRESO,Z113)))</f>
        <v/>
      </c>
      <c r="AD113" s="81" t="str">
        <f aca="false">IF(B113="","",IF(OR(AB113&gt;EOMONTH(ENVIO_PER,0),AND(AC113&gt;0,AC113&lt;ENVIO_PER)),0,IF(AND(AB113&lt;=ENVIO_PER,OR(AC113=0,AC113&gt;=EOMONTH(ENVIO_PER,0))),30,MIN(30,IF(AC113=0,EOMONTH(ENVIO_PER,0),MIN(AC113,EOMONTH(ENVIO_PER,0)))-MAX(ENVIO_PER,AB113)+1))))</f>
        <v/>
      </c>
    </row>
    <row r="114" customFormat="false" ht="15" hidden="false" customHeight="false" outlineLevel="0" collapsed="false">
      <c r="B114" s="72" t="str">
        <f aca="false">IF(105&lt;=MAX(T_AUX),105,"")</f>
        <v/>
      </c>
      <c r="C114" s="72" t="str">
        <f aca="false">IF(B114="","",INDEX(T_ID,Z114))</f>
        <v/>
      </c>
      <c r="D114" s="72" t="str">
        <f aca="false">IF(B114="","",INDEX(T_RUT,Z114)&amp;"")</f>
        <v/>
      </c>
      <c r="E114" s="72" t="str">
        <f aca="false">IF(B114="","",INDEX(T_NOMBRE,Z114)&amp;"")</f>
        <v/>
      </c>
      <c r="F114" s="72" t="str">
        <f aca="false">IF(B114="","",INDEX(T_CARGO,Z114)&amp;"")</f>
        <v/>
      </c>
      <c r="G114" s="72" t="str">
        <f aca="false">IF(B114="","",IFERROR(INDEX(C_TIPO,MATCH(C114&amp;"-P"&amp;MAX(1,COUNTIFS(C_ID,C114,C_DEFINE,"Sí",C_INICIO,"&lt;="&amp;EOMONTH(ENVIO_PER,0))),C_CLAVE,0))&amp;"","Sin contrato"))</f>
        <v/>
      </c>
      <c r="H114" s="71" t="str">
        <f aca="false">IF(B114="","",IFERROR(INDEX(C_SUELDO,MATCH(C114&amp;"-S"&amp;MAX(1,COUNTIFS(C_ID,C114,C_SUELDO,"&lt;&gt;",C_INICIO,"&lt;="&amp;EOMONTH(ENVIO_PER,0))),C_CLAVES,0)),0))</f>
        <v/>
      </c>
      <c r="I114" s="70" t="str">
        <f aca="false">IF(B114="","",TRIM(IF(AND(AB114&gt;=ENVIO_PER,AB114&lt;=EOMONTH(ENVIO_PER,0)),"Ingresa el día "&amp;DAY(AB114)&amp;". ","")&amp;IF(AND(AC114&gt;0,AC114&gt;=ENVIO_PER,AC114&lt;=EOMONTH(ENVIO_PER,0)),"Egresa el día "&amp;DAY(AC114)&amp;".","")))</f>
        <v/>
      </c>
      <c r="J114" s="70" t="str">
        <f aca="false">IF(B114="","",IF(COUNTIFS(C_ID,C114,C_INICIO,"&gt;="&amp;ENVIO_PER,C_INICIO,"&lt;="&amp;EOMONTH(ENVIO_PER,0))&gt;0,COUNTIFS(C_ID,C114,C_INICIO,"&gt;="&amp;ENVIO_PER,C_INICIO,"&lt;="&amp;EOMONTH(ENVIO_PER,0))&amp;" documento(s) nuevo(s): ver Contratos",""))</f>
        <v/>
      </c>
      <c r="K114" s="74" t="str">
        <f aca="false">IF(B114="","",IF(COUNTIF(N_CLAVE,AA114)&gt;0,SUMIFS(N_DIAS,N_CLAVE,AA114),AD114))</f>
        <v/>
      </c>
      <c r="L114" s="74" t="str">
        <f aca="false">IF(B114="","",SUMIFS(N_FALTAS,N_CLAVE,AA114))</f>
        <v/>
      </c>
      <c r="M114" s="74" t="str">
        <f aca="false">IF(B114="","",SUMIFS(N_LIC,N_CLAVE,AA114))</f>
        <v/>
      </c>
      <c r="N114" s="74" t="str">
        <f aca="false">IF(B114="","",SUMIFS(N_PCG,N_CLAVE,AA114))</f>
        <v/>
      </c>
      <c r="O114" s="74" t="str">
        <f aca="false">IF(B114="","",SUMIFS(N_PSG,N_CLAVE,AA114))</f>
        <v/>
      </c>
      <c r="P114" s="74" t="str">
        <f aca="false">IF(B114="","",SUMIFS(V_DIAS,V_ID,C114,V_MES,ENVIO_PER))</f>
        <v/>
      </c>
      <c r="Q114" s="73" t="str">
        <f aca="false">IF(B114="","",SUMIFS(N_ATRASO,N_CLAVE,AA114))</f>
        <v/>
      </c>
      <c r="R114" s="74" t="str">
        <f aca="false">IF(B114="","",SUMIFS(N_HE,N_CLAVE,AA114))</f>
        <v/>
      </c>
      <c r="S114" s="71" t="str">
        <f aca="false">IF(B114="","",SUMIFS(N_ANT,N_CLAVE,AA114))</f>
        <v/>
      </c>
      <c r="T114" s="71" t="str">
        <f aca="false">IF(B114="","",SUMIFS(N_BONO,N_CLAVE,AA114))</f>
        <v/>
      </c>
      <c r="U114" s="71" t="str">
        <f aca="false">IF(B114="","",SUMIFS(N_ONI,N_CLAVE,AA114))</f>
        <v/>
      </c>
      <c r="V114" s="71" t="str">
        <f aca="false">IF(B114="","",SUMIFS(N_DESC,N_CLAVE,AA114))</f>
        <v/>
      </c>
      <c r="W114" s="72" t="str">
        <f aca="false">IF(B114="","",IFERROR(INDEX(N_OBS,MATCH(AA114,N_CLAVE,0))&amp;"",""))</f>
        <v/>
      </c>
      <c r="X114" s="70" t="str">
        <f aca="false">IF(B114="","",IF(COUNTIF(N_CLAVE,AA114)&gt;0,"Sí","⚠ Sin registro"))</f>
        <v/>
      </c>
      <c r="Z114" s="81" t="str">
        <f aca="false">IF(B114="","",MATCH(B114,T_AUX,0))</f>
        <v/>
      </c>
      <c r="AA114" s="81" t="str">
        <f aca="false">IF(B114="","",C114&amp;"|"&amp;(YEAR(ENVIO_PER)*100+MONTH(ENVIO_PER)))</f>
        <v/>
      </c>
      <c r="AB114" s="81" t="str">
        <f aca="false">IF(B114="","",INDEX(T_INGRESO,Z114))</f>
        <v/>
      </c>
      <c r="AC114" s="81" t="str">
        <f aca="false">IF(B114="","",N(INDEX(T_EGRESO,Z114)))</f>
        <v/>
      </c>
      <c r="AD114" s="81" t="str">
        <f aca="false">IF(B114="","",IF(OR(AB114&gt;EOMONTH(ENVIO_PER,0),AND(AC114&gt;0,AC114&lt;ENVIO_PER)),0,IF(AND(AB114&lt;=ENVIO_PER,OR(AC114=0,AC114&gt;=EOMONTH(ENVIO_PER,0))),30,MIN(30,IF(AC114=0,EOMONTH(ENVIO_PER,0),MIN(AC114,EOMONTH(ENVIO_PER,0)))-MAX(ENVIO_PER,AB114)+1))))</f>
        <v/>
      </c>
    </row>
    <row r="115" customFormat="false" ht="15" hidden="false" customHeight="false" outlineLevel="0" collapsed="false">
      <c r="B115" s="72" t="str">
        <f aca="false">IF(106&lt;=MAX(T_AUX),106,"")</f>
        <v/>
      </c>
      <c r="C115" s="72" t="str">
        <f aca="false">IF(B115="","",INDEX(T_ID,Z115))</f>
        <v/>
      </c>
      <c r="D115" s="72" t="str">
        <f aca="false">IF(B115="","",INDEX(T_RUT,Z115)&amp;"")</f>
        <v/>
      </c>
      <c r="E115" s="72" t="str">
        <f aca="false">IF(B115="","",INDEX(T_NOMBRE,Z115)&amp;"")</f>
        <v/>
      </c>
      <c r="F115" s="72" t="str">
        <f aca="false">IF(B115="","",INDEX(T_CARGO,Z115)&amp;"")</f>
        <v/>
      </c>
      <c r="G115" s="72" t="str">
        <f aca="false">IF(B115="","",IFERROR(INDEX(C_TIPO,MATCH(C115&amp;"-P"&amp;MAX(1,COUNTIFS(C_ID,C115,C_DEFINE,"Sí",C_INICIO,"&lt;="&amp;EOMONTH(ENVIO_PER,0))),C_CLAVE,0))&amp;"","Sin contrato"))</f>
        <v/>
      </c>
      <c r="H115" s="71" t="str">
        <f aca="false">IF(B115="","",IFERROR(INDEX(C_SUELDO,MATCH(C115&amp;"-S"&amp;MAX(1,COUNTIFS(C_ID,C115,C_SUELDO,"&lt;&gt;",C_INICIO,"&lt;="&amp;EOMONTH(ENVIO_PER,0))),C_CLAVES,0)),0))</f>
        <v/>
      </c>
      <c r="I115" s="70" t="str">
        <f aca="false">IF(B115="","",TRIM(IF(AND(AB115&gt;=ENVIO_PER,AB115&lt;=EOMONTH(ENVIO_PER,0)),"Ingresa el día "&amp;DAY(AB115)&amp;". ","")&amp;IF(AND(AC115&gt;0,AC115&gt;=ENVIO_PER,AC115&lt;=EOMONTH(ENVIO_PER,0)),"Egresa el día "&amp;DAY(AC115)&amp;".","")))</f>
        <v/>
      </c>
      <c r="J115" s="70" t="str">
        <f aca="false">IF(B115="","",IF(COUNTIFS(C_ID,C115,C_INICIO,"&gt;="&amp;ENVIO_PER,C_INICIO,"&lt;="&amp;EOMONTH(ENVIO_PER,0))&gt;0,COUNTIFS(C_ID,C115,C_INICIO,"&gt;="&amp;ENVIO_PER,C_INICIO,"&lt;="&amp;EOMONTH(ENVIO_PER,0))&amp;" documento(s) nuevo(s): ver Contratos",""))</f>
        <v/>
      </c>
      <c r="K115" s="74" t="str">
        <f aca="false">IF(B115="","",IF(COUNTIF(N_CLAVE,AA115)&gt;0,SUMIFS(N_DIAS,N_CLAVE,AA115),AD115))</f>
        <v/>
      </c>
      <c r="L115" s="74" t="str">
        <f aca="false">IF(B115="","",SUMIFS(N_FALTAS,N_CLAVE,AA115))</f>
        <v/>
      </c>
      <c r="M115" s="74" t="str">
        <f aca="false">IF(B115="","",SUMIFS(N_LIC,N_CLAVE,AA115))</f>
        <v/>
      </c>
      <c r="N115" s="74" t="str">
        <f aca="false">IF(B115="","",SUMIFS(N_PCG,N_CLAVE,AA115))</f>
        <v/>
      </c>
      <c r="O115" s="74" t="str">
        <f aca="false">IF(B115="","",SUMIFS(N_PSG,N_CLAVE,AA115))</f>
        <v/>
      </c>
      <c r="P115" s="74" t="str">
        <f aca="false">IF(B115="","",SUMIFS(V_DIAS,V_ID,C115,V_MES,ENVIO_PER))</f>
        <v/>
      </c>
      <c r="Q115" s="73" t="str">
        <f aca="false">IF(B115="","",SUMIFS(N_ATRASO,N_CLAVE,AA115))</f>
        <v/>
      </c>
      <c r="R115" s="74" t="str">
        <f aca="false">IF(B115="","",SUMIFS(N_HE,N_CLAVE,AA115))</f>
        <v/>
      </c>
      <c r="S115" s="71" t="str">
        <f aca="false">IF(B115="","",SUMIFS(N_ANT,N_CLAVE,AA115))</f>
        <v/>
      </c>
      <c r="T115" s="71" t="str">
        <f aca="false">IF(B115="","",SUMIFS(N_BONO,N_CLAVE,AA115))</f>
        <v/>
      </c>
      <c r="U115" s="71" t="str">
        <f aca="false">IF(B115="","",SUMIFS(N_ONI,N_CLAVE,AA115))</f>
        <v/>
      </c>
      <c r="V115" s="71" t="str">
        <f aca="false">IF(B115="","",SUMIFS(N_DESC,N_CLAVE,AA115))</f>
        <v/>
      </c>
      <c r="W115" s="72" t="str">
        <f aca="false">IF(B115="","",IFERROR(INDEX(N_OBS,MATCH(AA115,N_CLAVE,0))&amp;"",""))</f>
        <v/>
      </c>
      <c r="X115" s="70" t="str">
        <f aca="false">IF(B115="","",IF(COUNTIF(N_CLAVE,AA115)&gt;0,"Sí","⚠ Sin registro"))</f>
        <v/>
      </c>
      <c r="Z115" s="81" t="str">
        <f aca="false">IF(B115="","",MATCH(B115,T_AUX,0))</f>
        <v/>
      </c>
      <c r="AA115" s="81" t="str">
        <f aca="false">IF(B115="","",C115&amp;"|"&amp;(YEAR(ENVIO_PER)*100+MONTH(ENVIO_PER)))</f>
        <v/>
      </c>
      <c r="AB115" s="81" t="str">
        <f aca="false">IF(B115="","",INDEX(T_INGRESO,Z115))</f>
        <v/>
      </c>
      <c r="AC115" s="81" t="str">
        <f aca="false">IF(B115="","",N(INDEX(T_EGRESO,Z115)))</f>
        <v/>
      </c>
      <c r="AD115" s="81" t="str">
        <f aca="false">IF(B115="","",IF(OR(AB115&gt;EOMONTH(ENVIO_PER,0),AND(AC115&gt;0,AC115&lt;ENVIO_PER)),0,IF(AND(AB115&lt;=ENVIO_PER,OR(AC115=0,AC115&gt;=EOMONTH(ENVIO_PER,0))),30,MIN(30,IF(AC115=0,EOMONTH(ENVIO_PER,0),MIN(AC115,EOMONTH(ENVIO_PER,0)))-MAX(ENVIO_PER,AB115)+1))))</f>
        <v/>
      </c>
    </row>
    <row r="116" customFormat="false" ht="15" hidden="false" customHeight="false" outlineLevel="0" collapsed="false">
      <c r="B116" s="72" t="str">
        <f aca="false">IF(107&lt;=MAX(T_AUX),107,"")</f>
        <v/>
      </c>
      <c r="C116" s="72" t="str">
        <f aca="false">IF(B116="","",INDEX(T_ID,Z116))</f>
        <v/>
      </c>
      <c r="D116" s="72" t="str">
        <f aca="false">IF(B116="","",INDEX(T_RUT,Z116)&amp;"")</f>
        <v/>
      </c>
      <c r="E116" s="72" t="str">
        <f aca="false">IF(B116="","",INDEX(T_NOMBRE,Z116)&amp;"")</f>
        <v/>
      </c>
      <c r="F116" s="72" t="str">
        <f aca="false">IF(B116="","",INDEX(T_CARGO,Z116)&amp;"")</f>
        <v/>
      </c>
      <c r="G116" s="72" t="str">
        <f aca="false">IF(B116="","",IFERROR(INDEX(C_TIPO,MATCH(C116&amp;"-P"&amp;MAX(1,COUNTIFS(C_ID,C116,C_DEFINE,"Sí",C_INICIO,"&lt;="&amp;EOMONTH(ENVIO_PER,0))),C_CLAVE,0))&amp;"","Sin contrato"))</f>
        <v/>
      </c>
      <c r="H116" s="71" t="str">
        <f aca="false">IF(B116="","",IFERROR(INDEX(C_SUELDO,MATCH(C116&amp;"-S"&amp;MAX(1,COUNTIFS(C_ID,C116,C_SUELDO,"&lt;&gt;",C_INICIO,"&lt;="&amp;EOMONTH(ENVIO_PER,0))),C_CLAVES,0)),0))</f>
        <v/>
      </c>
      <c r="I116" s="70" t="str">
        <f aca="false">IF(B116="","",TRIM(IF(AND(AB116&gt;=ENVIO_PER,AB116&lt;=EOMONTH(ENVIO_PER,0)),"Ingresa el día "&amp;DAY(AB116)&amp;". ","")&amp;IF(AND(AC116&gt;0,AC116&gt;=ENVIO_PER,AC116&lt;=EOMONTH(ENVIO_PER,0)),"Egresa el día "&amp;DAY(AC116)&amp;".","")))</f>
        <v/>
      </c>
      <c r="J116" s="70" t="str">
        <f aca="false">IF(B116="","",IF(COUNTIFS(C_ID,C116,C_INICIO,"&gt;="&amp;ENVIO_PER,C_INICIO,"&lt;="&amp;EOMONTH(ENVIO_PER,0))&gt;0,COUNTIFS(C_ID,C116,C_INICIO,"&gt;="&amp;ENVIO_PER,C_INICIO,"&lt;="&amp;EOMONTH(ENVIO_PER,0))&amp;" documento(s) nuevo(s): ver Contratos",""))</f>
        <v/>
      </c>
      <c r="K116" s="74" t="str">
        <f aca="false">IF(B116="","",IF(COUNTIF(N_CLAVE,AA116)&gt;0,SUMIFS(N_DIAS,N_CLAVE,AA116),AD116))</f>
        <v/>
      </c>
      <c r="L116" s="74" t="str">
        <f aca="false">IF(B116="","",SUMIFS(N_FALTAS,N_CLAVE,AA116))</f>
        <v/>
      </c>
      <c r="M116" s="74" t="str">
        <f aca="false">IF(B116="","",SUMIFS(N_LIC,N_CLAVE,AA116))</f>
        <v/>
      </c>
      <c r="N116" s="74" t="str">
        <f aca="false">IF(B116="","",SUMIFS(N_PCG,N_CLAVE,AA116))</f>
        <v/>
      </c>
      <c r="O116" s="74" t="str">
        <f aca="false">IF(B116="","",SUMIFS(N_PSG,N_CLAVE,AA116))</f>
        <v/>
      </c>
      <c r="P116" s="74" t="str">
        <f aca="false">IF(B116="","",SUMIFS(V_DIAS,V_ID,C116,V_MES,ENVIO_PER))</f>
        <v/>
      </c>
      <c r="Q116" s="73" t="str">
        <f aca="false">IF(B116="","",SUMIFS(N_ATRASO,N_CLAVE,AA116))</f>
        <v/>
      </c>
      <c r="R116" s="74" t="str">
        <f aca="false">IF(B116="","",SUMIFS(N_HE,N_CLAVE,AA116))</f>
        <v/>
      </c>
      <c r="S116" s="71" t="str">
        <f aca="false">IF(B116="","",SUMIFS(N_ANT,N_CLAVE,AA116))</f>
        <v/>
      </c>
      <c r="T116" s="71" t="str">
        <f aca="false">IF(B116="","",SUMIFS(N_BONO,N_CLAVE,AA116))</f>
        <v/>
      </c>
      <c r="U116" s="71" t="str">
        <f aca="false">IF(B116="","",SUMIFS(N_ONI,N_CLAVE,AA116))</f>
        <v/>
      </c>
      <c r="V116" s="71" t="str">
        <f aca="false">IF(B116="","",SUMIFS(N_DESC,N_CLAVE,AA116))</f>
        <v/>
      </c>
      <c r="W116" s="72" t="str">
        <f aca="false">IF(B116="","",IFERROR(INDEX(N_OBS,MATCH(AA116,N_CLAVE,0))&amp;"",""))</f>
        <v/>
      </c>
      <c r="X116" s="70" t="str">
        <f aca="false">IF(B116="","",IF(COUNTIF(N_CLAVE,AA116)&gt;0,"Sí","⚠ Sin registro"))</f>
        <v/>
      </c>
      <c r="Z116" s="81" t="str">
        <f aca="false">IF(B116="","",MATCH(B116,T_AUX,0))</f>
        <v/>
      </c>
      <c r="AA116" s="81" t="str">
        <f aca="false">IF(B116="","",C116&amp;"|"&amp;(YEAR(ENVIO_PER)*100+MONTH(ENVIO_PER)))</f>
        <v/>
      </c>
      <c r="AB116" s="81" t="str">
        <f aca="false">IF(B116="","",INDEX(T_INGRESO,Z116))</f>
        <v/>
      </c>
      <c r="AC116" s="81" t="str">
        <f aca="false">IF(B116="","",N(INDEX(T_EGRESO,Z116)))</f>
        <v/>
      </c>
      <c r="AD116" s="81" t="str">
        <f aca="false">IF(B116="","",IF(OR(AB116&gt;EOMONTH(ENVIO_PER,0),AND(AC116&gt;0,AC116&lt;ENVIO_PER)),0,IF(AND(AB116&lt;=ENVIO_PER,OR(AC116=0,AC116&gt;=EOMONTH(ENVIO_PER,0))),30,MIN(30,IF(AC116=0,EOMONTH(ENVIO_PER,0),MIN(AC116,EOMONTH(ENVIO_PER,0)))-MAX(ENVIO_PER,AB116)+1))))</f>
        <v/>
      </c>
    </row>
    <row r="117" customFormat="false" ht="15" hidden="false" customHeight="false" outlineLevel="0" collapsed="false">
      <c r="B117" s="72" t="str">
        <f aca="false">IF(108&lt;=MAX(T_AUX),108,"")</f>
        <v/>
      </c>
      <c r="C117" s="72" t="str">
        <f aca="false">IF(B117="","",INDEX(T_ID,Z117))</f>
        <v/>
      </c>
      <c r="D117" s="72" t="str">
        <f aca="false">IF(B117="","",INDEX(T_RUT,Z117)&amp;"")</f>
        <v/>
      </c>
      <c r="E117" s="72" t="str">
        <f aca="false">IF(B117="","",INDEX(T_NOMBRE,Z117)&amp;"")</f>
        <v/>
      </c>
      <c r="F117" s="72" t="str">
        <f aca="false">IF(B117="","",INDEX(T_CARGO,Z117)&amp;"")</f>
        <v/>
      </c>
      <c r="G117" s="72" t="str">
        <f aca="false">IF(B117="","",IFERROR(INDEX(C_TIPO,MATCH(C117&amp;"-P"&amp;MAX(1,COUNTIFS(C_ID,C117,C_DEFINE,"Sí",C_INICIO,"&lt;="&amp;EOMONTH(ENVIO_PER,0))),C_CLAVE,0))&amp;"","Sin contrato"))</f>
        <v/>
      </c>
      <c r="H117" s="71" t="str">
        <f aca="false">IF(B117="","",IFERROR(INDEX(C_SUELDO,MATCH(C117&amp;"-S"&amp;MAX(1,COUNTIFS(C_ID,C117,C_SUELDO,"&lt;&gt;",C_INICIO,"&lt;="&amp;EOMONTH(ENVIO_PER,0))),C_CLAVES,0)),0))</f>
        <v/>
      </c>
      <c r="I117" s="70" t="str">
        <f aca="false">IF(B117="","",TRIM(IF(AND(AB117&gt;=ENVIO_PER,AB117&lt;=EOMONTH(ENVIO_PER,0)),"Ingresa el día "&amp;DAY(AB117)&amp;". ","")&amp;IF(AND(AC117&gt;0,AC117&gt;=ENVIO_PER,AC117&lt;=EOMONTH(ENVIO_PER,0)),"Egresa el día "&amp;DAY(AC117)&amp;".","")))</f>
        <v/>
      </c>
      <c r="J117" s="70" t="str">
        <f aca="false">IF(B117="","",IF(COUNTIFS(C_ID,C117,C_INICIO,"&gt;="&amp;ENVIO_PER,C_INICIO,"&lt;="&amp;EOMONTH(ENVIO_PER,0))&gt;0,COUNTIFS(C_ID,C117,C_INICIO,"&gt;="&amp;ENVIO_PER,C_INICIO,"&lt;="&amp;EOMONTH(ENVIO_PER,0))&amp;" documento(s) nuevo(s): ver Contratos",""))</f>
        <v/>
      </c>
      <c r="K117" s="74" t="str">
        <f aca="false">IF(B117="","",IF(COUNTIF(N_CLAVE,AA117)&gt;0,SUMIFS(N_DIAS,N_CLAVE,AA117),AD117))</f>
        <v/>
      </c>
      <c r="L117" s="74" t="str">
        <f aca="false">IF(B117="","",SUMIFS(N_FALTAS,N_CLAVE,AA117))</f>
        <v/>
      </c>
      <c r="M117" s="74" t="str">
        <f aca="false">IF(B117="","",SUMIFS(N_LIC,N_CLAVE,AA117))</f>
        <v/>
      </c>
      <c r="N117" s="74" t="str">
        <f aca="false">IF(B117="","",SUMIFS(N_PCG,N_CLAVE,AA117))</f>
        <v/>
      </c>
      <c r="O117" s="74" t="str">
        <f aca="false">IF(B117="","",SUMIFS(N_PSG,N_CLAVE,AA117))</f>
        <v/>
      </c>
      <c r="P117" s="74" t="str">
        <f aca="false">IF(B117="","",SUMIFS(V_DIAS,V_ID,C117,V_MES,ENVIO_PER))</f>
        <v/>
      </c>
      <c r="Q117" s="73" t="str">
        <f aca="false">IF(B117="","",SUMIFS(N_ATRASO,N_CLAVE,AA117))</f>
        <v/>
      </c>
      <c r="R117" s="74" t="str">
        <f aca="false">IF(B117="","",SUMIFS(N_HE,N_CLAVE,AA117))</f>
        <v/>
      </c>
      <c r="S117" s="71" t="str">
        <f aca="false">IF(B117="","",SUMIFS(N_ANT,N_CLAVE,AA117))</f>
        <v/>
      </c>
      <c r="T117" s="71" t="str">
        <f aca="false">IF(B117="","",SUMIFS(N_BONO,N_CLAVE,AA117))</f>
        <v/>
      </c>
      <c r="U117" s="71" t="str">
        <f aca="false">IF(B117="","",SUMIFS(N_ONI,N_CLAVE,AA117))</f>
        <v/>
      </c>
      <c r="V117" s="71" t="str">
        <f aca="false">IF(B117="","",SUMIFS(N_DESC,N_CLAVE,AA117))</f>
        <v/>
      </c>
      <c r="W117" s="72" t="str">
        <f aca="false">IF(B117="","",IFERROR(INDEX(N_OBS,MATCH(AA117,N_CLAVE,0))&amp;"",""))</f>
        <v/>
      </c>
      <c r="X117" s="70" t="str">
        <f aca="false">IF(B117="","",IF(COUNTIF(N_CLAVE,AA117)&gt;0,"Sí","⚠ Sin registro"))</f>
        <v/>
      </c>
      <c r="Z117" s="81" t="str">
        <f aca="false">IF(B117="","",MATCH(B117,T_AUX,0))</f>
        <v/>
      </c>
      <c r="AA117" s="81" t="str">
        <f aca="false">IF(B117="","",C117&amp;"|"&amp;(YEAR(ENVIO_PER)*100+MONTH(ENVIO_PER)))</f>
        <v/>
      </c>
      <c r="AB117" s="81" t="str">
        <f aca="false">IF(B117="","",INDEX(T_INGRESO,Z117))</f>
        <v/>
      </c>
      <c r="AC117" s="81" t="str">
        <f aca="false">IF(B117="","",N(INDEX(T_EGRESO,Z117)))</f>
        <v/>
      </c>
      <c r="AD117" s="81" t="str">
        <f aca="false">IF(B117="","",IF(OR(AB117&gt;EOMONTH(ENVIO_PER,0),AND(AC117&gt;0,AC117&lt;ENVIO_PER)),0,IF(AND(AB117&lt;=ENVIO_PER,OR(AC117=0,AC117&gt;=EOMONTH(ENVIO_PER,0))),30,MIN(30,IF(AC117=0,EOMONTH(ENVIO_PER,0),MIN(AC117,EOMONTH(ENVIO_PER,0)))-MAX(ENVIO_PER,AB117)+1))))</f>
        <v/>
      </c>
    </row>
    <row r="118" customFormat="false" ht="15" hidden="false" customHeight="false" outlineLevel="0" collapsed="false">
      <c r="B118" s="72" t="str">
        <f aca="false">IF(109&lt;=MAX(T_AUX),109,"")</f>
        <v/>
      </c>
      <c r="C118" s="72" t="str">
        <f aca="false">IF(B118="","",INDEX(T_ID,Z118))</f>
        <v/>
      </c>
      <c r="D118" s="72" t="str">
        <f aca="false">IF(B118="","",INDEX(T_RUT,Z118)&amp;"")</f>
        <v/>
      </c>
      <c r="E118" s="72" t="str">
        <f aca="false">IF(B118="","",INDEX(T_NOMBRE,Z118)&amp;"")</f>
        <v/>
      </c>
      <c r="F118" s="72" t="str">
        <f aca="false">IF(B118="","",INDEX(T_CARGO,Z118)&amp;"")</f>
        <v/>
      </c>
      <c r="G118" s="72" t="str">
        <f aca="false">IF(B118="","",IFERROR(INDEX(C_TIPO,MATCH(C118&amp;"-P"&amp;MAX(1,COUNTIFS(C_ID,C118,C_DEFINE,"Sí",C_INICIO,"&lt;="&amp;EOMONTH(ENVIO_PER,0))),C_CLAVE,0))&amp;"","Sin contrato"))</f>
        <v/>
      </c>
      <c r="H118" s="71" t="str">
        <f aca="false">IF(B118="","",IFERROR(INDEX(C_SUELDO,MATCH(C118&amp;"-S"&amp;MAX(1,COUNTIFS(C_ID,C118,C_SUELDO,"&lt;&gt;",C_INICIO,"&lt;="&amp;EOMONTH(ENVIO_PER,0))),C_CLAVES,0)),0))</f>
        <v/>
      </c>
      <c r="I118" s="70" t="str">
        <f aca="false">IF(B118="","",TRIM(IF(AND(AB118&gt;=ENVIO_PER,AB118&lt;=EOMONTH(ENVIO_PER,0)),"Ingresa el día "&amp;DAY(AB118)&amp;". ","")&amp;IF(AND(AC118&gt;0,AC118&gt;=ENVIO_PER,AC118&lt;=EOMONTH(ENVIO_PER,0)),"Egresa el día "&amp;DAY(AC118)&amp;".","")))</f>
        <v/>
      </c>
      <c r="J118" s="70" t="str">
        <f aca="false">IF(B118="","",IF(COUNTIFS(C_ID,C118,C_INICIO,"&gt;="&amp;ENVIO_PER,C_INICIO,"&lt;="&amp;EOMONTH(ENVIO_PER,0))&gt;0,COUNTIFS(C_ID,C118,C_INICIO,"&gt;="&amp;ENVIO_PER,C_INICIO,"&lt;="&amp;EOMONTH(ENVIO_PER,0))&amp;" documento(s) nuevo(s): ver Contratos",""))</f>
        <v/>
      </c>
      <c r="K118" s="74" t="str">
        <f aca="false">IF(B118="","",IF(COUNTIF(N_CLAVE,AA118)&gt;0,SUMIFS(N_DIAS,N_CLAVE,AA118),AD118))</f>
        <v/>
      </c>
      <c r="L118" s="74" t="str">
        <f aca="false">IF(B118="","",SUMIFS(N_FALTAS,N_CLAVE,AA118))</f>
        <v/>
      </c>
      <c r="M118" s="74" t="str">
        <f aca="false">IF(B118="","",SUMIFS(N_LIC,N_CLAVE,AA118))</f>
        <v/>
      </c>
      <c r="N118" s="74" t="str">
        <f aca="false">IF(B118="","",SUMIFS(N_PCG,N_CLAVE,AA118))</f>
        <v/>
      </c>
      <c r="O118" s="74" t="str">
        <f aca="false">IF(B118="","",SUMIFS(N_PSG,N_CLAVE,AA118))</f>
        <v/>
      </c>
      <c r="P118" s="74" t="str">
        <f aca="false">IF(B118="","",SUMIFS(V_DIAS,V_ID,C118,V_MES,ENVIO_PER))</f>
        <v/>
      </c>
      <c r="Q118" s="73" t="str">
        <f aca="false">IF(B118="","",SUMIFS(N_ATRASO,N_CLAVE,AA118))</f>
        <v/>
      </c>
      <c r="R118" s="74" t="str">
        <f aca="false">IF(B118="","",SUMIFS(N_HE,N_CLAVE,AA118))</f>
        <v/>
      </c>
      <c r="S118" s="71" t="str">
        <f aca="false">IF(B118="","",SUMIFS(N_ANT,N_CLAVE,AA118))</f>
        <v/>
      </c>
      <c r="T118" s="71" t="str">
        <f aca="false">IF(B118="","",SUMIFS(N_BONO,N_CLAVE,AA118))</f>
        <v/>
      </c>
      <c r="U118" s="71" t="str">
        <f aca="false">IF(B118="","",SUMIFS(N_ONI,N_CLAVE,AA118))</f>
        <v/>
      </c>
      <c r="V118" s="71" t="str">
        <f aca="false">IF(B118="","",SUMIFS(N_DESC,N_CLAVE,AA118))</f>
        <v/>
      </c>
      <c r="W118" s="72" t="str">
        <f aca="false">IF(B118="","",IFERROR(INDEX(N_OBS,MATCH(AA118,N_CLAVE,0))&amp;"",""))</f>
        <v/>
      </c>
      <c r="X118" s="70" t="str">
        <f aca="false">IF(B118="","",IF(COUNTIF(N_CLAVE,AA118)&gt;0,"Sí","⚠ Sin registro"))</f>
        <v/>
      </c>
      <c r="Z118" s="81" t="str">
        <f aca="false">IF(B118="","",MATCH(B118,T_AUX,0))</f>
        <v/>
      </c>
      <c r="AA118" s="81" t="str">
        <f aca="false">IF(B118="","",C118&amp;"|"&amp;(YEAR(ENVIO_PER)*100+MONTH(ENVIO_PER)))</f>
        <v/>
      </c>
      <c r="AB118" s="81" t="str">
        <f aca="false">IF(B118="","",INDEX(T_INGRESO,Z118))</f>
        <v/>
      </c>
      <c r="AC118" s="81" t="str">
        <f aca="false">IF(B118="","",N(INDEX(T_EGRESO,Z118)))</f>
        <v/>
      </c>
      <c r="AD118" s="81" t="str">
        <f aca="false">IF(B118="","",IF(OR(AB118&gt;EOMONTH(ENVIO_PER,0),AND(AC118&gt;0,AC118&lt;ENVIO_PER)),0,IF(AND(AB118&lt;=ENVIO_PER,OR(AC118=0,AC118&gt;=EOMONTH(ENVIO_PER,0))),30,MIN(30,IF(AC118=0,EOMONTH(ENVIO_PER,0),MIN(AC118,EOMONTH(ENVIO_PER,0)))-MAX(ENVIO_PER,AB118)+1))))</f>
        <v/>
      </c>
    </row>
    <row r="119" customFormat="false" ht="15" hidden="false" customHeight="false" outlineLevel="0" collapsed="false">
      <c r="B119" s="72" t="str">
        <f aca="false">IF(110&lt;=MAX(T_AUX),110,"")</f>
        <v/>
      </c>
      <c r="C119" s="72" t="str">
        <f aca="false">IF(B119="","",INDEX(T_ID,Z119))</f>
        <v/>
      </c>
      <c r="D119" s="72" t="str">
        <f aca="false">IF(B119="","",INDEX(T_RUT,Z119)&amp;"")</f>
        <v/>
      </c>
      <c r="E119" s="72" t="str">
        <f aca="false">IF(B119="","",INDEX(T_NOMBRE,Z119)&amp;"")</f>
        <v/>
      </c>
      <c r="F119" s="72" t="str">
        <f aca="false">IF(B119="","",INDEX(T_CARGO,Z119)&amp;"")</f>
        <v/>
      </c>
      <c r="G119" s="72" t="str">
        <f aca="false">IF(B119="","",IFERROR(INDEX(C_TIPO,MATCH(C119&amp;"-P"&amp;MAX(1,COUNTIFS(C_ID,C119,C_DEFINE,"Sí",C_INICIO,"&lt;="&amp;EOMONTH(ENVIO_PER,0))),C_CLAVE,0))&amp;"","Sin contrato"))</f>
        <v/>
      </c>
      <c r="H119" s="71" t="str">
        <f aca="false">IF(B119="","",IFERROR(INDEX(C_SUELDO,MATCH(C119&amp;"-S"&amp;MAX(1,COUNTIFS(C_ID,C119,C_SUELDO,"&lt;&gt;",C_INICIO,"&lt;="&amp;EOMONTH(ENVIO_PER,0))),C_CLAVES,0)),0))</f>
        <v/>
      </c>
      <c r="I119" s="70" t="str">
        <f aca="false">IF(B119="","",TRIM(IF(AND(AB119&gt;=ENVIO_PER,AB119&lt;=EOMONTH(ENVIO_PER,0)),"Ingresa el día "&amp;DAY(AB119)&amp;". ","")&amp;IF(AND(AC119&gt;0,AC119&gt;=ENVIO_PER,AC119&lt;=EOMONTH(ENVIO_PER,0)),"Egresa el día "&amp;DAY(AC119)&amp;".","")))</f>
        <v/>
      </c>
      <c r="J119" s="70" t="str">
        <f aca="false">IF(B119="","",IF(COUNTIFS(C_ID,C119,C_INICIO,"&gt;="&amp;ENVIO_PER,C_INICIO,"&lt;="&amp;EOMONTH(ENVIO_PER,0))&gt;0,COUNTIFS(C_ID,C119,C_INICIO,"&gt;="&amp;ENVIO_PER,C_INICIO,"&lt;="&amp;EOMONTH(ENVIO_PER,0))&amp;" documento(s) nuevo(s): ver Contratos",""))</f>
        <v/>
      </c>
      <c r="K119" s="74" t="str">
        <f aca="false">IF(B119="","",IF(COUNTIF(N_CLAVE,AA119)&gt;0,SUMIFS(N_DIAS,N_CLAVE,AA119),AD119))</f>
        <v/>
      </c>
      <c r="L119" s="74" t="str">
        <f aca="false">IF(B119="","",SUMIFS(N_FALTAS,N_CLAVE,AA119))</f>
        <v/>
      </c>
      <c r="M119" s="74" t="str">
        <f aca="false">IF(B119="","",SUMIFS(N_LIC,N_CLAVE,AA119))</f>
        <v/>
      </c>
      <c r="N119" s="74" t="str">
        <f aca="false">IF(B119="","",SUMIFS(N_PCG,N_CLAVE,AA119))</f>
        <v/>
      </c>
      <c r="O119" s="74" t="str">
        <f aca="false">IF(B119="","",SUMIFS(N_PSG,N_CLAVE,AA119))</f>
        <v/>
      </c>
      <c r="P119" s="74" t="str">
        <f aca="false">IF(B119="","",SUMIFS(V_DIAS,V_ID,C119,V_MES,ENVIO_PER))</f>
        <v/>
      </c>
      <c r="Q119" s="73" t="str">
        <f aca="false">IF(B119="","",SUMIFS(N_ATRASO,N_CLAVE,AA119))</f>
        <v/>
      </c>
      <c r="R119" s="74" t="str">
        <f aca="false">IF(B119="","",SUMIFS(N_HE,N_CLAVE,AA119))</f>
        <v/>
      </c>
      <c r="S119" s="71" t="str">
        <f aca="false">IF(B119="","",SUMIFS(N_ANT,N_CLAVE,AA119))</f>
        <v/>
      </c>
      <c r="T119" s="71" t="str">
        <f aca="false">IF(B119="","",SUMIFS(N_BONO,N_CLAVE,AA119))</f>
        <v/>
      </c>
      <c r="U119" s="71" t="str">
        <f aca="false">IF(B119="","",SUMIFS(N_ONI,N_CLAVE,AA119))</f>
        <v/>
      </c>
      <c r="V119" s="71" t="str">
        <f aca="false">IF(B119="","",SUMIFS(N_DESC,N_CLAVE,AA119))</f>
        <v/>
      </c>
      <c r="W119" s="72" t="str">
        <f aca="false">IF(B119="","",IFERROR(INDEX(N_OBS,MATCH(AA119,N_CLAVE,0))&amp;"",""))</f>
        <v/>
      </c>
      <c r="X119" s="70" t="str">
        <f aca="false">IF(B119="","",IF(COUNTIF(N_CLAVE,AA119)&gt;0,"Sí","⚠ Sin registro"))</f>
        <v/>
      </c>
      <c r="Z119" s="81" t="str">
        <f aca="false">IF(B119="","",MATCH(B119,T_AUX,0))</f>
        <v/>
      </c>
      <c r="AA119" s="81" t="str">
        <f aca="false">IF(B119="","",C119&amp;"|"&amp;(YEAR(ENVIO_PER)*100+MONTH(ENVIO_PER)))</f>
        <v/>
      </c>
      <c r="AB119" s="81" t="str">
        <f aca="false">IF(B119="","",INDEX(T_INGRESO,Z119))</f>
        <v/>
      </c>
      <c r="AC119" s="81" t="str">
        <f aca="false">IF(B119="","",N(INDEX(T_EGRESO,Z119)))</f>
        <v/>
      </c>
      <c r="AD119" s="81" t="str">
        <f aca="false">IF(B119="","",IF(OR(AB119&gt;EOMONTH(ENVIO_PER,0),AND(AC119&gt;0,AC119&lt;ENVIO_PER)),0,IF(AND(AB119&lt;=ENVIO_PER,OR(AC119=0,AC119&gt;=EOMONTH(ENVIO_PER,0))),30,MIN(30,IF(AC119=0,EOMONTH(ENVIO_PER,0),MIN(AC119,EOMONTH(ENVIO_PER,0)))-MAX(ENVIO_PER,AB119)+1))))</f>
        <v/>
      </c>
    </row>
    <row r="120" customFormat="false" ht="15" hidden="false" customHeight="false" outlineLevel="0" collapsed="false">
      <c r="B120" s="72" t="str">
        <f aca="false">IF(111&lt;=MAX(T_AUX),111,"")</f>
        <v/>
      </c>
      <c r="C120" s="72" t="str">
        <f aca="false">IF(B120="","",INDEX(T_ID,Z120))</f>
        <v/>
      </c>
      <c r="D120" s="72" t="str">
        <f aca="false">IF(B120="","",INDEX(T_RUT,Z120)&amp;"")</f>
        <v/>
      </c>
      <c r="E120" s="72" t="str">
        <f aca="false">IF(B120="","",INDEX(T_NOMBRE,Z120)&amp;"")</f>
        <v/>
      </c>
      <c r="F120" s="72" t="str">
        <f aca="false">IF(B120="","",INDEX(T_CARGO,Z120)&amp;"")</f>
        <v/>
      </c>
      <c r="G120" s="72" t="str">
        <f aca="false">IF(B120="","",IFERROR(INDEX(C_TIPO,MATCH(C120&amp;"-P"&amp;MAX(1,COUNTIFS(C_ID,C120,C_DEFINE,"Sí",C_INICIO,"&lt;="&amp;EOMONTH(ENVIO_PER,0))),C_CLAVE,0))&amp;"","Sin contrato"))</f>
        <v/>
      </c>
      <c r="H120" s="71" t="str">
        <f aca="false">IF(B120="","",IFERROR(INDEX(C_SUELDO,MATCH(C120&amp;"-S"&amp;MAX(1,COUNTIFS(C_ID,C120,C_SUELDO,"&lt;&gt;",C_INICIO,"&lt;="&amp;EOMONTH(ENVIO_PER,0))),C_CLAVES,0)),0))</f>
        <v/>
      </c>
      <c r="I120" s="70" t="str">
        <f aca="false">IF(B120="","",TRIM(IF(AND(AB120&gt;=ENVIO_PER,AB120&lt;=EOMONTH(ENVIO_PER,0)),"Ingresa el día "&amp;DAY(AB120)&amp;". ","")&amp;IF(AND(AC120&gt;0,AC120&gt;=ENVIO_PER,AC120&lt;=EOMONTH(ENVIO_PER,0)),"Egresa el día "&amp;DAY(AC120)&amp;".","")))</f>
        <v/>
      </c>
      <c r="J120" s="70" t="str">
        <f aca="false">IF(B120="","",IF(COUNTIFS(C_ID,C120,C_INICIO,"&gt;="&amp;ENVIO_PER,C_INICIO,"&lt;="&amp;EOMONTH(ENVIO_PER,0))&gt;0,COUNTIFS(C_ID,C120,C_INICIO,"&gt;="&amp;ENVIO_PER,C_INICIO,"&lt;="&amp;EOMONTH(ENVIO_PER,0))&amp;" documento(s) nuevo(s): ver Contratos",""))</f>
        <v/>
      </c>
      <c r="K120" s="74" t="str">
        <f aca="false">IF(B120="","",IF(COUNTIF(N_CLAVE,AA120)&gt;0,SUMIFS(N_DIAS,N_CLAVE,AA120),AD120))</f>
        <v/>
      </c>
      <c r="L120" s="74" t="str">
        <f aca="false">IF(B120="","",SUMIFS(N_FALTAS,N_CLAVE,AA120))</f>
        <v/>
      </c>
      <c r="M120" s="74" t="str">
        <f aca="false">IF(B120="","",SUMIFS(N_LIC,N_CLAVE,AA120))</f>
        <v/>
      </c>
      <c r="N120" s="74" t="str">
        <f aca="false">IF(B120="","",SUMIFS(N_PCG,N_CLAVE,AA120))</f>
        <v/>
      </c>
      <c r="O120" s="74" t="str">
        <f aca="false">IF(B120="","",SUMIFS(N_PSG,N_CLAVE,AA120))</f>
        <v/>
      </c>
      <c r="P120" s="74" t="str">
        <f aca="false">IF(B120="","",SUMIFS(V_DIAS,V_ID,C120,V_MES,ENVIO_PER))</f>
        <v/>
      </c>
      <c r="Q120" s="73" t="str">
        <f aca="false">IF(B120="","",SUMIFS(N_ATRASO,N_CLAVE,AA120))</f>
        <v/>
      </c>
      <c r="R120" s="74" t="str">
        <f aca="false">IF(B120="","",SUMIFS(N_HE,N_CLAVE,AA120))</f>
        <v/>
      </c>
      <c r="S120" s="71" t="str">
        <f aca="false">IF(B120="","",SUMIFS(N_ANT,N_CLAVE,AA120))</f>
        <v/>
      </c>
      <c r="T120" s="71" t="str">
        <f aca="false">IF(B120="","",SUMIFS(N_BONO,N_CLAVE,AA120))</f>
        <v/>
      </c>
      <c r="U120" s="71" t="str">
        <f aca="false">IF(B120="","",SUMIFS(N_ONI,N_CLAVE,AA120))</f>
        <v/>
      </c>
      <c r="V120" s="71" t="str">
        <f aca="false">IF(B120="","",SUMIFS(N_DESC,N_CLAVE,AA120))</f>
        <v/>
      </c>
      <c r="W120" s="72" t="str">
        <f aca="false">IF(B120="","",IFERROR(INDEX(N_OBS,MATCH(AA120,N_CLAVE,0))&amp;"",""))</f>
        <v/>
      </c>
      <c r="X120" s="70" t="str">
        <f aca="false">IF(B120="","",IF(COUNTIF(N_CLAVE,AA120)&gt;0,"Sí","⚠ Sin registro"))</f>
        <v/>
      </c>
      <c r="Z120" s="81" t="str">
        <f aca="false">IF(B120="","",MATCH(B120,T_AUX,0))</f>
        <v/>
      </c>
      <c r="AA120" s="81" t="str">
        <f aca="false">IF(B120="","",C120&amp;"|"&amp;(YEAR(ENVIO_PER)*100+MONTH(ENVIO_PER)))</f>
        <v/>
      </c>
      <c r="AB120" s="81" t="str">
        <f aca="false">IF(B120="","",INDEX(T_INGRESO,Z120))</f>
        <v/>
      </c>
      <c r="AC120" s="81" t="str">
        <f aca="false">IF(B120="","",N(INDEX(T_EGRESO,Z120)))</f>
        <v/>
      </c>
      <c r="AD120" s="81" t="str">
        <f aca="false">IF(B120="","",IF(OR(AB120&gt;EOMONTH(ENVIO_PER,0),AND(AC120&gt;0,AC120&lt;ENVIO_PER)),0,IF(AND(AB120&lt;=ENVIO_PER,OR(AC120=0,AC120&gt;=EOMONTH(ENVIO_PER,0))),30,MIN(30,IF(AC120=0,EOMONTH(ENVIO_PER,0),MIN(AC120,EOMONTH(ENVIO_PER,0)))-MAX(ENVIO_PER,AB120)+1))))</f>
        <v/>
      </c>
    </row>
    <row r="121" customFormat="false" ht="15" hidden="false" customHeight="false" outlineLevel="0" collapsed="false">
      <c r="B121" s="72" t="str">
        <f aca="false">IF(112&lt;=MAX(T_AUX),112,"")</f>
        <v/>
      </c>
      <c r="C121" s="72" t="str">
        <f aca="false">IF(B121="","",INDEX(T_ID,Z121))</f>
        <v/>
      </c>
      <c r="D121" s="72" t="str">
        <f aca="false">IF(B121="","",INDEX(T_RUT,Z121)&amp;"")</f>
        <v/>
      </c>
      <c r="E121" s="72" t="str">
        <f aca="false">IF(B121="","",INDEX(T_NOMBRE,Z121)&amp;"")</f>
        <v/>
      </c>
      <c r="F121" s="72" t="str">
        <f aca="false">IF(B121="","",INDEX(T_CARGO,Z121)&amp;"")</f>
        <v/>
      </c>
      <c r="G121" s="72" t="str">
        <f aca="false">IF(B121="","",IFERROR(INDEX(C_TIPO,MATCH(C121&amp;"-P"&amp;MAX(1,COUNTIFS(C_ID,C121,C_DEFINE,"Sí",C_INICIO,"&lt;="&amp;EOMONTH(ENVIO_PER,0))),C_CLAVE,0))&amp;"","Sin contrato"))</f>
        <v/>
      </c>
      <c r="H121" s="71" t="str">
        <f aca="false">IF(B121="","",IFERROR(INDEX(C_SUELDO,MATCH(C121&amp;"-S"&amp;MAX(1,COUNTIFS(C_ID,C121,C_SUELDO,"&lt;&gt;",C_INICIO,"&lt;="&amp;EOMONTH(ENVIO_PER,0))),C_CLAVES,0)),0))</f>
        <v/>
      </c>
      <c r="I121" s="70" t="str">
        <f aca="false">IF(B121="","",TRIM(IF(AND(AB121&gt;=ENVIO_PER,AB121&lt;=EOMONTH(ENVIO_PER,0)),"Ingresa el día "&amp;DAY(AB121)&amp;". ","")&amp;IF(AND(AC121&gt;0,AC121&gt;=ENVIO_PER,AC121&lt;=EOMONTH(ENVIO_PER,0)),"Egresa el día "&amp;DAY(AC121)&amp;".","")))</f>
        <v/>
      </c>
      <c r="J121" s="70" t="str">
        <f aca="false">IF(B121="","",IF(COUNTIFS(C_ID,C121,C_INICIO,"&gt;="&amp;ENVIO_PER,C_INICIO,"&lt;="&amp;EOMONTH(ENVIO_PER,0))&gt;0,COUNTIFS(C_ID,C121,C_INICIO,"&gt;="&amp;ENVIO_PER,C_INICIO,"&lt;="&amp;EOMONTH(ENVIO_PER,0))&amp;" documento(s) nuevo(s): ver Contratos",""))</f>
        <v/>
      </c>
      <c r="K121" s="74" t="str">
        <f aca="false">IF(B121="","",IF(COUNTIF(N_CLAVE,AA121)&gt;0,SUMIFS(N_DIAS,N_CLAVE,AA121),AD121))</f>
        <v/>
      </c>
      <c r="L121" s="74" t="str">
        <f aca="false">IF(B121="","",SUMIFS(N_FALTAS,N_CLAVE,AA121))</f>
        <v/>
      </c>
      <c r="M121" s="74" t="str">
        <f aca="false">IF(B121="","",SUMIFS(N_LIC,N_CLAVE,AA121))</f>
        <v/>
      </c>
      <c r="N121" s="74" t="str">
        <f aca="false">IF(B121="","",SUMIFS(N_PCG,N_CLAVE,AA121))</f>
        <v/>
      </c>
      <c r="O121" s="74" t="str">
        <f aca="false">IF(B121="","",SUMIFS(N_PSG,N_CLAVE,AA121))</f>
        <v/>
      </c>
      <c r="P121" s="74" t="str">
        <f aca="false">IF(B121="","",SUMIFS(V_DIAS,V_ID,C121,V_MES,ENVIO_PER))</f>
        <v/>
      </c>
      <c r="Q121" s="73" t="str">
        <f aca="false">IF(B121="","",SUMIFS(N_ATRASO,N_CLAVE,AA121))</f>
        <v/>
      </c>
      <c r="R121" s="74" t="str">
        <f aca="false">IF(B121="","",SUMIFS(N_HE,N_CLAVE,AA121))</f>
        <v/>
      </c>
      <c r="S121" s="71" t="str">
        <f aca="false">IF(B121="","",SUMIFS(N_ANT,N_CLAVE,AA121))</f>
        <v/>
      </c>
      <c r="T121" s="71" t="str">
        <f aca="false">IF(B121="","",SUMIFS(N_BONO,N_CLAVE,AA121))</f>
        <v/>
      </c>
      <c r="U121" s="71" t="str">
        <f aca="false">IF(B121="","",SUMIFS(N_ONI,N_CLAVE,AA121))</f>
        <v/>
      </c>
      <c r="V121" s="71" t="str">
        <f aca="false">IF(B121="","",SUMIFS(N_DESC,N_CLAVE,AA121))</f>
        <v/>
      </c>
      <c r="W121" s="72" t="str">
        <f aca="false">IF(B121="","",IFERROR(INDEX(N_OBS,MATCH(AA121,N_CLAVE,0))&amp;"",""))</f>
        <v/>
      </c>
      <c r="X121" s="70" t="str">
        <f aca="false">IF(B121="","",IF(COUNTIF(N_CLAVE,AA121)&gt;0,"Sí","⚠ Sin registro"))</f>
        <v/>
      </c>
      <c r="Z121" s="81" t="str">
        <f aca="false">IF(B121="","",MATCH(B121,T_AUX,0))</f>
        <v/>
      </c>
      <c r="AA121" s="81" t="str">
        <f aca="false">IF(B121="","",C121&amp;"|"&amp;(YEAR(ENVIO_PER)*100+MONTH(ENVIO_PER)))</f>
        <v/>
      </c>
      <c r="AB121" s="81" t="str">
        <f aca="false">IF(B121="","",INDEX(T_INGRESO,Z121))</f>
        <v/>
      </c>
      <c r="AC121" s="81" t="str">
        <f aca="false">IF(B121="","",N(INDEX(T_EGRESO,Z121)))</f>
        <v/>
      </c>
      <c r="AD121" s="81" t="str">
        <f aca="false">IF(B121="","",IF(OR(AB121&gt;EOMONTH(ENVIO_PER,0),AND(AC121&gt;0,AC121&lt;ENVIO_PER)),0,IF(AND(AB121&lt;=ENVIO_PER,OR(AC121=0,AC121&gt;=EOMONTH(ENVIO_PER,0))),30,MIN(30,IF(AC121=0,EOMONTH(ENVIO_PER,0),MIN(AC121,EOMONTH(ENVIO_PER,0)))-MAX(ENVIO_PER,AB121)+1))))</f>
        <v/>
      </c>
    </row>
    <row r="122" customFormat="false" ht="15" hidden="false" customHeight="false" outlineLevel="0" collapsed="false">
      <c r="B122" s="72" t="str">
        <f aca="false">IF(113&lt;=MAX(T_AUX),113,"")</f>
        <v/>
      </c>
      <c r="C122" s="72" t="str">
        <f aca="false">IF(B122="","",INDEX(T_ID,Z122))</f>
        <v/>
      </c>
      <c r="D122" s="72" t="str">
        <f aca="false">IF(B122="","",INDEX(T_RUT,Z122)&amp;"")</f>
        <v/>
      </c>
      <c r="E122" s="72" t="str">
        <f aca="false">IF(B122="","",INDEX(T_NOMBRE,Z122)&amp;"")</f>
        <v/>
      </c>
      <c r="F122" s="72" t="str">
        <f aca="false">IF(B122="","",INDEX(T_CARGO,Z122)&amp;"")</f>
        <v/>
      </c>
      <c r="G122" s="72" t="str">
        <f aca="false">IF(B122="","",IFERROR(INDEX(C_TIPO,MATCH(C122&amp;"-P"&amp;MAX(1,COUNTIFS(C_ID,C122,C_DEFINE,"Sí",C_INICIO,"&lt;="&amp;EOMONTH(ENVIO_PER,0))),C_CLAVE,0))&amp;"","Sin contrato"))</f>
        <v/>
      </c>
      <c r="H122" s="71" t="str">
        <f aca="false">IF(B122="","",IFERROR(INDEX(C_SUELDO,MATCH(C122&amp;"-S"&amp;MAX(1,COUNTIFS(C_ID,C122,C_SUELDO,"&lt;&gt;",C_INICIO,"&lt;="&amp;EOMONTH(ENVIO_PER,0))),C_CLAVES,0)),0))</f>
        <v/>
      </c>
      <c r="I122" s="70" t="str">
        <f aca="false">IF(B122="","",TRIM(IF(AND(AB122&gt;=ENVIO_PER,AB122&lt;=EOMONTH(ENVIO_PER,0)),"Ingresa el día "&amp;DAY(AB122)&amp;". ","")&amp;IF(AND(AC122&gt;0,AC122&gt;=ENVIO_PER,AC122&lt;=EOMONTH(ENVIO_PER,0)),"Egresa el día "&amp;DAY(AC122)&amp;".","")))</f>
        <v/>
      </c>
      <c r="J122" s="70" t="str">
        <f aca="false">IF(B122="","",IF(COUNTIFS(C_ID,C122,C_INICIO,"&gt;="&amp;ENVIO_PER,C_INICIO,"&lt;="&amp;EOMONTH(ENVIO_PER,0))&gt;0,COUNTIFS(C_ID,C122,C_INICIO,"&gt;="&amp;ENVIO_PER,C_INICIO,"&lt;="&amp;EOMONTH(ENVIO_PER,0))&amp;" documento(s) nuevo(s): ver Contratos",""))</f>
        <v/>
      </c>
      <c r="K122" s="74" t="str">
        <f aca="false">IF(B122="","",IF(COUNTIF(N_CLAVE,AA122)&gt;0,SUMIFS(N_DIAS,N_CLAVE,AA122),AD122))</f>
        <v/>
      </c>
      <c r="L122" s="74" t="str">
        <f aca="false">IF(B122="","",SUMIFS(N_FALTAS,N_CLAVE,AA122))</f>
        <v/>
      </c>
      <c r="M122" s="74" t="str">
        <f aca="false">IF(B122="","",SUMIFS(N_LIC,N_CLAVE,AA122))</f>
        <v/>
      </c>
      <c r="N122" s="74" t="str">
        <f aca="false">IF(B122="","",SUMIFS(N_PCG,N_CLAVE,AA122))</f>
        <v/>
      </c>
      <c r="O122" s="74" t="str">
        <f aca="false">IF(B122="","",SUMIFS(N_PSG,N_CLAVE,AA122))</f>
        <v/>
      </c>
      <c r="P122" s="74" t="str">
        <f aca="false">IF(B122="","",SUMIFS(V_DIAS,V_ID,C122,V_MES,ENVIO_PER))</f>
        <v/>
      </c>
      <c r="Q122" s="73" t="str">
        <f aca="false">IF(B122="","",SUMIFS(N_ATRASO,N_CLAVE,AA122))</f>
        <v/>
      </c>
      <c r="R122" s="74" t="str">
        <f aca="false">IF(B122="","",SUMIFS(N_HE,N_CLAVE,AA122))</f>
        <v/>
      </c>
      <c r="S122" s="71" t="str">
        <f aca="false">IF(B122="","",SUMIFS(N_ANT,N_CLAVE,AA122))</f>
        <v/>
      </c>
      <c r="T122" s="71" t="str">
        <f aca="false">IF(B122="","",SUMIFS(N_BONO,N_CLAVE,AA122))</f>
        <v/>
      </c>
      <c r="U122" s="71" t="str">
        <f aca="false">IF(B122="","",SUMIFS(N_ONI,N_CLAVE,AA122))</f>
        <v/>
      </c>
      <c r="V122" s="71" t="str">
        <f aca="false">IF(B122="","",SUMIFS(N_DESC,N_CLAVE,AA122))</f>
        <v/>
      </c>
      <c r="W122" s="72" t="str">
        <f aca="false">IF(B122="","",IFERROR(INDEX(N_OBS,MATCH(AA122,N_CLAVE,0))&amp;"",""))</f>
        <v/>
      </c>
      <c r="X122" s="70" t="str">
        <f aca="false">IF(B122="","",IF(COUNTIF(N_CLAVE,AA122)&gt;0,"Sí","⚠ Sin registro"))</f>
        <v/>
      </c>
      <c r="Z122" s="81" t="str">
        <f aca="false">IF(B122="","",MATCH(B122,T_AUX,0))</f>
        <v/>
      </c>
      <c r="AA122" s="81" t="str">
        <f aca="false">IF(B122="","",C122&amp;"|"&amp;(YEAR(ENVIO_PER)*100+MONTH(ENVIO_PER)))</f>
        <v/>
      </c>
      <c r="AB122" s="81" t="str">
        <f aca="false">IF(B122="","",INDEX(T_INGRESO,Z122))</f>
        <v/>
      </c>
      <c r="AC122" s="81" t="str">
        <f aca="false">IF(B122="","",N(INDEX(T_EGRESO,Z122)))</f>
        <v/>
      </c>
      <c r="AD122" s="81" t="str">
        <f aca="false">IF(B122="","",IF(OR(AB122&gt;EOMONTH(ENVIO_PER,0),AND(AC122&gt;0,AC122&lt;ENVIO_PER)),0,IF(AND(AB122&lt;=ENVIO_PER,OR(AC122=0,AC122&gt;=EOMONTH(ENVIO_PER,0))),30,MIN(30,IF(AC122=0,EOMONTH(ENVIO_PER,0),MIN(AC122,EOMONTH(ENVIO_PER,0)))-MAX(ENVIO_PER,AB122)+1))))</f>
        <v/>
      </c>
    </row>
    <row r="123" customFormat="false" ht="15" hidden="false" customHeight="false" outlineLevel="0" collapsed="false">
      <c r="B123" s="72" t="str">
        <f aca="false">IF(114&lt;=MAX(T_AUX),114,"")</f>
        <v/>
      </c>
      <c r="C123" s="72" t="str">
        <f aca="false">IF(B123="","",INDEX(T_ID,Z123))</f>
        <v/>
      </c>
      <c r="D123" s="72" t="str">
        <f aca="false">IF(B123="","",INDEX(T_RUT,Z123)&amp;"")</f>
        <v/>
      </c>
      <c r="E123" s="72" t="str">
        <f aca="false">IF(B123="","",INDEX(T_NOMBRE,Z123)&amp;"")</f>
        <v/>
      </c>
      <c r="F123" s="72" t="str">
        <f aca="false">IF(B123="","",INDEX(T_CARGO,Z123)&amp;"")</f>
        <v/>
      </c>
      <c r="G123" s="72" t="str">
        <f aca="false">IF(B123="","",IFERROR(INDEX(C_TIPO,MATCH(C123&amp;"-P"&amp;MAX(1,COUNTIFS(C_ID,C123,C_DEFINE,"Sí",C_INICIO,"&lt;="&amp;EOMONTH(ENVIO_PER,0))),C_CLAVE,0))&amp;"","Sin contrato"))</f>
        <v/>
      </c>
      <c r="H123" s="71" t="str">
        <f aca="false">IF(B123="","",IFERROR(INDEX(C_SUELDO,MATCH(C123&amp;"-S"&amp;MAX(1,COUNTIFS(C_ID,C123,C_SUELDO,"&lt;&gt;",C_INICIO,"&lt;="&amp;EOMONTH(ENVIO_PER,0))),C_CLAVES,0)),0))</f>
        <v/>
      </c>
      <c r="I123" s="70" t="str">
        <f aca="false">IF(B123="","",TRIM(IF(AND(AB123&gt;=ENVIO_PER,AB123&lt;=EOMONTH(ENVIO_PER,0)),"Ingresa el día "&amp;DAY(AB123)&amp;". ","")&amp;IF(AND(AC123&gt;0,AC123&gt;=ENVIO_PER,AC123&lt;=EOMONTH(ENVIO_PER,0)),"Egresa el día "&amp;DAY(AC123)&amp;".","")))</f>
        <v/>
      </c>
      <c r="J123" s="70" t="str">
        <f aca="false">IF(B123="","",IF(COUNTIFS(C_ID,C123,C_INICIO,"&gt;="&amp;ENVIO_PER,C_INICIO,"&lt;="&amp;EOMONTH(ENVIO_PER,0))&gt;0,COUNTIFS(C_ID,C123,C_INICIO,"&gt;="&amp;ENVIO_PER,C_INICIO,"&lt;="&amp;EOMONTH(ENVIO_PER,0))&amp;" documento(s) nuevo(s): ver Contratos",""))</f>
        <v/>
      </c>
      <c r="K123" s="74" t="str">
        <f aca="false">IF(B123="","",IF(COUNTIF(N_CLAVE,AA123)&gt;0,SUMIFS(N_DIAS,N_CLAVE,AA123),AD123))</f>
        <v/>
      </c>
      <c r="L123" s="74" t="str">
        <f aca="false">IF(B123="","",SUMIFS(N_FALTAS,N_CLAVE,AA123))</f>
        <v/>
      </c>
      <c r="M123" s="74" t="str">
        <f aca="false">IF(B123="","",SUMIFS(N_LIC,N_CLAVE,AA123))</f>
        <v/>
      </c>
      <c r="N123" s="74" t="str">
        <f aca="false">IF(B123="","",SUMIFS(N_PCG,N_CLAVE,AA123))</f>
        <v/>
      </c>
      <c r="O123" s="74" t="str">
        <f aca="false">IF(B123="","",SUMIFS(N_PSG,N_CLAVE,AA123))</f>
        <v/>
      </c>
      <c r="P123" s="74" t="str">
        <f aca="false">IF(B123="","",SUMIFS(V_DIAS,V_ID,C123,V_MES,ENVIO_PER))</f>
        <v/>
      </c>
      <c r="Q123" s="73" t="str">
        <f aca="false">IF(B123="","",SUMIFS(N_ATRASO,N_CLAVE,AA123))</f>
        <v/>
      </c>
      <c r="R123" s="74" t="str">
        <f aca="false">IF(B123="","",SUMIFS(N_HE,N_CLAVE,AA123))</f>
        <v/>
      </c>
      <c r="S123" s="71" t="str">
        <f aca="false">IF(B123="","",SUMIFS(N_ANT,N_CLAVE,AA123))</f>
        <v/>
      </c>
      <c r="T123" s="71" t="str">
        <f aca="false">IF(B123="","",SUMIFS(N_BONO,N_CLAVE,AA123))</f>
        <v/>
      </c>
      <c r="U123" s="71" t="str">
        <f aca="false">IF(B123="","",SUMIFS(N_ONI,N_CLAVE,AA123))</f>
        <v/>
      </c>
      <c r="V123" s="71" t="str">
        <f aca="false">IF(B123="","",SUMIFS(N_DESC,N_CLAVE,AA123))</f>
        <v/>
      </c>
      <c r="W123" s="72" t="str">
        <f aca="false">IF(B123="","",IFERROR(INDEX(N_OBS,MATCH(AA123,N_CLAVE,0))&amp;"",""))</f>
        <v/>
      </c>
      <c r="X123" s="70" t="str">
        <f aca="false">IF(B123="","",IF(COUNTIF(N_CLAVE,AA123)&gt;0,"Sí","⚠ Sin registro"))</f>
        <v/>
      </c>
      <c r="Z123" s="81" t="str">
        <f aca="false">IF(B123="","",MATCH(B123,T_AUX,0))</f>
        <v/>
      </c>
      <c r="AA123" s="81" t="str">
        <f aca="false">IF(B123="","",C123&amp;"|"&amp;(YEAR(ENVIO_PER)*100+MONTH(ENVIO_PER)))</f>
        <v/>
      </c>
      <c r="AB123" s="81" t="str">
        <f aca="false">IF(B123="","",INDEX(T_INGRESO,Z123))</f>
        <v/>
      </c>
      <c r="AC123" s="81" t="str">
        <f aca="false">IF(B123="","",N(INDEX(T_EGRESO,Z123)))</f>
        <v/>
      </c>
      <c r="AD123" s="81" t="str">
        <f aca="false">IF(B123="","",IF(OR(AB123&gt;EOMONTH(ENVIO_PER,0),AND(AC123&gt;0,AC123&lt;ENVIO_PER)),0,IF(AND(AB123&lt;=ENVIO_PER,OR(AC123=0,AC123&gt;=EOMONTH(ENVIO_PER,0))),30,MIN(30,IF(AC123=0,EOMONTH(ENVIO_PER,0),MIN(AC123,EOMONTH(ENVIO_PER,0)))-MAX(ENVIO_PER,AB123)+1))))</f>
        <v/>
      </c>
    </row>
    <row r="124" customFormat="false" ht="15" hidden="false" customHeight="false" outlineLevel="0" collapsed="false">
      <c r="B124" s="72" t="str">
        <f aca="false">IF(115&lt;=MAX(T_AUX),115,"")</f>
        <v/>
      </c>
      <c r="C124" s="72" t="str">
        <f aca="false">IF(B124="","",INDEX(T_ID,Z124))</f>
        <v/>
      </c>
      <c r="D124" s="72" t="str">
        <f aca="false">IF(B124="","",INDEX(T_RUT,Z124)&amp;"")</f>
        <v/>
      </c>
      <c r="E124" s="72" t="str">
        <f aca="false">IF(B124="","",INDEX(T_NOMBRE,Z124)&amp;"")</f>
        <v/>
      </c>
      <c r="F124" s="72" t="str">
        <f aca="false">IF(B124="","",INDEX(T_CARGO,Z124)&amp;"")</f>
        <v/>
      </c>
      <c r="G124" s="72" t="str">
        <f aca="false">IF(B124="","",IFERROR(INDEX(C_TIPO,MATCH(C124&amp;"-P"&amp;MAX(1,COUNTIFS(C_ID,C124,C_DEFINE,"Sí",C_INICIO,"&lt;="&amp;EOMONTH(ENVIO_PER,0))),C_CLAVE,0))&amp;"","Sin contrato"))</f>
        <v/>
      </c>
      <c r="H124" s="71" t="str">
        <f aca="false">IF(B124="","",IFERROR(INDEX(C_SUELDO,MATCH(C124&amp;"-S"&amp;MAX(1,COUNTIFS(C_ID,C124,C_SUELDO,"&lt;&gt;",C_INICIO,"&lt;="&amp;EOMONTH(ENVIO_PER,0))),C_CLAVES,0)),0))</f>
        <v/>
      </c>
      <c r="I124" s="70" t="str">
        <f aca="false">IF(B124="","",TRIM(IF(AND(AB124&gt;=ENVIO_PER,AB124&lt;=EOMONTH(ENVIO_PER,0)),"Ingresa el día "&amp;DAY(AB124)&amp;". ","")&amp;IF(AND(AC124&gt;0,AC124&gt;=ENVIO_PER,AC124&lt;=EOMONTH(ENVIO_PER,0)),"Egresa el día "&amp;DAY(AC124)&amp;".","")))</f>
        <v/>
      </c>
      <c r="J124" s="70" t="str">
        <f aca="false">IF(B124="","",IF(COUNTIFS(C_ID,C124,C_INICIO,"&gt;="&amp;ENVIO_PER,C_INICIO,"&lt;="&amp;EOMONTH(ENVIO_PER,0))&gt;0,COUNTIFS(C_ID,C124,C_INICIO,"&gt;="&amp;ENVIO_PER,C_INICIO,"&lt;="&amp;EOMONTH(ENVIO_PER,0))&amp;" documento(s) nuevo(s): ver Contratos",""))</f>
        <v/>
      </c>
      <c r="K124" s="74" t="str">
        <f aca="false">IF(B124="","",IF(COUNTIF(N_CLAVE,AA124)&gt;0,SUMIFS(N_DIAS,N_CLAVE,AA124),AD124))</f>
        <v/>
      </c>
      <c r="L124" s="74" t="str">
        <f aca="false">IF(B124="","",SUMIFS(N_FALTAS,N_CLAVE,AA124))</f>
        <v/>
      </c>
      <c r="M124" s="74" t="str">
        <f aca="false">IF(B124="","",SUMIFS(N_LIC,N_CLAVE,AA124))</f>
        <v/>
      </c>
      <c r="N124" s="74" t="str">
        <f aca="false">IF(B124="","",SUMIFS(N_PCG,N_CLAVE,AA124))</f>
        <v/>
      </c>
      <c r="O124" s="74" t="str">
        <f aca="false">IF(B124="","",SUMIFS(N_PSG,N_CLAVE,AA124))</f>
        <v/>
      </c>
      <c r="P124" s="74" t="str">
        <f aca="false">IF(B124="","",SUMIFS(V_DIAS,V_ID,C124,V_MES,ENVIO_PER))</f>
        <v/>
      </c>
      <c r="Q124" s="73" t="str">
        <f aca="false">IF(B124="","",SUMIFS(N_ATRASO,N_CLAVE,AA124))</f>
        <v/>
      </c>
      <c r="R124" s="74" t="str">
        <f aca="false">IF(B124="","",SUMIFS(N_HE,N_CLAVE,AA124))</f>
        <v/>
      </c>
      <c r="S124" s="71" t="str">
        <f aca="false">IF(B124="","",SUMIFS(N_ANT,N_CLAVE,AA124))</f>
        <v/>
      </c>
      <c r="T124" s="71" t="str">
        <f aca="false">IF(B124="","",SUMIFS(N_BONO,N_CLAVE,AA124))</f>
        <v/>
      </c>
      <c r="U124" s="71" t="str">
        <f aca="false">IF(B124="","",SUMIFS(N_ONI,N_CLAVE,AA124))</f>
        <v/>
      </c>
      <c r="V124" s="71" t="str">
        <f aca="false">IF(B124="","",SUMIFS(N_DESC,N_CLAVE,AA124))</f>
        <v/>
      </c>
      <c r="W124" s="72" t="str">
        <f aca="false">IF(B124="","",IFERROR(INDEX(N_OBS,MATCH(AA124,N_CLAVE,0))&amp;"",""))</f>
        <v/>
      </c>
      <c r="X124" s="70" t="str">
        <f aca="false">IF(B124="","",IF(COUNTIF(N_CLAVE,AA124)&gt;0,"Sí","⚠ Sin registro"))</f>
        <v/>
      </c>
      <c r="Z124" s="81" t="str">
        <f aca="false">IF(B124="","",MATCH(B124,T_AUX,0))</f>
        <v/>
      </c>
      <c r="AA124" s="81" t="str">
        <f aca="false">IF(B124="","",C124&amp;"|"&amp;(YEAR(ENVIO_PER)*100+MONTH(ENVIO_PER)))</f>
        <v/>
      </c>
      <c r="AB124" s="81" t="str">
        <f aca="false">IF(B124="","",INDEX(T_INGRESO,Z124))</f>
        <v/>
      </c>
      <c r="AC124" s="81" t="str">
        <f aca="false">IF(B124="","",N(INDEX(T_EGRESO,Z124)))</f>
        <v/>
      </c>
      <c r="AD124" s="81" t="str">
        <f aca="false">IF(B124="","",IF(OR(AB124&gt;EOMONTH(ENVIO_PER,0),AND(AC124&gt;0,AC124&lt;ENVIO_PER)),0,IF(AND(AB124&lt;=ENVIO_PER,OR(AC124=0,AC124&gt;=EOMONTH(ENVIO_PER,0))),30,MIN(30,IF(AC124=0,EOMONTH(ENVIO_PER,0),MIN(AC124,EOMONTH(ENVIO_PER,0)))-MAX(ENVIO_PER,AB124)+1))))</f>
        <v/>
      </c>
    </row>
    <row r="125" customFormat="false" ht="15" hidden="false" customHeight="false" outlineLevel="0" collapsed="false">
      <c r="B125" s="72" t="str">
        <f aca="false">IF(116&lt;=MAX(T_AUX),116,"")</f>
        <v/>
      </c>
      <c r="C125" s="72" t="str">
        <f aca="false">IF(B125="","",INDEX(T_ID,Z125))</f>
        <v/>
      </c>
      <c r="D125" s="72" t="str">
        <f aca="false">IF(B125="","",INDEX(T_RUT,Z125)&amp;"")</f>
        <v/>
      </c>
      <c r="E125" s="72" t="str">
        <f aca="false">IF(B125="","",INDEX(T_NOMBRE,Z125)&amp;"")</f>
        <v/>
      </c>
      <c r="F125" s="72" t="str">
        <f aca="false">IF(B125="","",INDEX(T_CARGO,Z125)&amp;"")</f>
        <v/>
      </c>
      <c r="G125" s="72" t="str">
        <f aca="false">IF(B125="","",IFERROR(INDEX(C_TIPO,MATCH(C125&amp;"-P"&amp;MAX(1,COUNTIFS(C_ID,C125,C_DEFINE,"Sí",C_INICIO,"&lt;="&amp;EOMONTH(ENVIO_PER,0))),C_CLAVE,0))&amp;"","Sin contrato"))</f>
        <v/>
      </c>
      <c r="H125" s="71" t="str">
        <f aca="false">IF(B125="","",IFERROR(INDEX(C_SUELDO,MATCH(C125&amp;"-S"&amp;MAX(1,COUNTIFS(C_ID,C125,C_SUELDO,"&lt;&gt;",C_INICIO,"&lt;="&amp;EOMONTH(ENVIO_PER,0))),C_CLAVES,0)),0))</f>
        <v/>
      </c>
      <c r="I125" s="70" t="str">
        <f aca="false">IF(B125="","",TRIM(IF(AND(AB125&gt;=ENVIO_PER,AB125&lt;=EOMONTH(ENVIO_PER,0)),"Ingresa el día "&amp;DAY(AB125)&amp;". ","")&amp;IF(AND(AC125&gt;0,AC125&gt;=ENVIO_PER,AC125&lt;=EOMONTH(ENVIO_PER,0)),"Egresa el día "&amp;DAY(AC125)&amp;".","")))</f>
        <v/>
      </c>
      <c r="J125" s="70" t="str">
        <f aca="false">IF(B125="","",IF(COUNTIFS(C_ID,C125,C_INICIO,"&gt;="&amp;ENVIO_PER,C_INICIO,"&lt;="&amp;EOMONTH(ENVIO_PER,0))&gt;0,COUNTIFS(C_ID,C125,C_INICIO,"&gt;="&amp;ENVIO_PER,C_INICIO,"&lt;="&amp;EOMONTH(ENVIO_PER,0))&amp;" documento(s) nuevo(s): ver Contratos",""))</f>
        <v/>
      </c>
      <c r="K125" s="74" t="str">
        <f aca="false">IF(B125="","",IF(COUNTIF(N_CLAVE,AA125)&gt;0,SUMIFS(N_DIAS,N_CLAVE,AA125),AD125))</f>
        <v/>
      </c>
      <c r="L125" s="74" t="str">
        <f aca="false">IF(B125="","",SUMIFS(N_FALTAS,N_CLAVE,AA125))</f>
        <v/>
      </c>
      <c r="M125" s="74" t="str">
        <f aca="false">IF(B125="","",SUMIFS(N_LIC,N_CLAVE,AA125))</f>
        <v/>
      </c>
      <c r="N125" s="74" t="str">
        <f aca="false">IF(B125="","",SUMIFS(N_PCG,N_CLAVE,AA125))</f>
        <v/>
      </c>
      <c r="O125" s="74" t="str">
        <f aca="false">IF(B125="","",SUMIFS(N_PSG,N_CLAVE,AA125))</f>
        <v/>
      </c>
      <c r="P125" s="74" t="str">
        <f aca="false">IF(B125="","",SUMIFS(V_DIAS,V_ID,C125,V_MES,ENVIO_PER))</f>
        <v/>
      </c>
      <c r="Q125" s="73" t="str">
        <f aca="false">IF(B125="","",SUMIFS(N_ATRASO,N_CLAVE,AA125))</f>
        <v/>
      </c>
      <c r="R125" s="74" t="str">
        <f aca="false">IF(B125="","",SUMIFS(N_HE,N_CLAVE,AA125))</f>
        <v/>
      </c>
      <c r="S125" s="71" t="str">
        <f aca="false">IF(B125="","",SUMIFS(N_ANT,N_CLAVE,AA125))</f>
        <v/>
      </c>
      <c r="T125" s="71" t="str">
        <f aca="false">IF(B125="","",SUMIFS(N_BONO,N_CLAVE,AA125))</f>
        <v/>
      </c>
      <c r="U125" s="71" t="str">
        <f aca="false">IF(B125="","",SUMIFS(N_ONI,N_CLAVE,AA125))</f>
        <v/>
      </c>
      <c r="V125" s="71" t="str">
        <f aca="false">IF(B125="","",SUMIFS(N_DESC,N_CLAVE,AA125))</f>
        <v/>
      </c>
      <c r="W125" s="72" t="str">
        <f aca="false">IF(B125="","",IFERROR(INDEX(N_OBS,MATCH(AA125,N_CLAVE,0))&amp;"",""))</f>
        <v/>
      </c>
      <c r="X125" s="70" t="str">
        <f aca="false">IF(B125="","",IF(COUNTIF(N_CLAVE,AA125)&gt;0,"Sí","⚠ Sin registro"))</f>
        <v/>
      </c>
      <c r="Z125" s="81" t="str">
        <f aca="false">IF(B125="","",MATCH(B125,T_AUX,0))</f>
        <v/>
      </c>
      <c r="AA125" s="81" t="str">
        <f aca="false">IF(B125="","",C125&amp;"|"&amp;(YEAR(ENVIO_PER)*100+MONTH(ENVIO_PER)))</f>
        <v/>
      </c>
      <c r="AB125" s="81" t="str">
        <f aca="false">IF(B125="","",INDEX(T_INGRESO,Z125))</f>
        <v/>
      </c>
      <c r="AC125" s="81" t="str">
        <f aca="false">IF(B125="","",N(INDEX(T_EGRESO,Z125)))</f>
        <v/>
      </c>
      <c r="AD125" s="81" t="str">
        <f aca="false">IF(B125="","",IF(OR(AB125&gt;EOMONTH(ENVIO_PER,0),AND(AC125&gt;0,AC125&lt;ENVIO_PER)),0,IF(AND(AB125&lt;=ENVIO_PER,OR(AC125=0,AC125&gt;=EOMONTH(ENVIO_PER,0))),30,MIN(30,IF(AC125=0,EOMONTH(ENVIO_PER,0),MIN(AC125,EOMONTH(ENVIO_PER,0)))-MAX(ENVIO_PER,AB125)+1))))</f>
        <v/>
      </c>
    </row>
    <row r="126" customFormat="false" ht="15" hidden="false" customHeight="false" outlineLevel="0" collapsed="false">
      <c r="B126" s="72" t="str">
        <f aca="false">IF(117&lt;=MAX(T_AUX),117,"")</f>
        <v/>
      </c>
      <c r="C126" s="72" t="str">
        <f aca="false">IF(B126="","",INDEX(T_ID,Z126))</f>
        <v/>
      </c>
      <c r="D126" s="72" t="str">
        <f aca="false">IF(B126="","",INDEX(T_RUT,Z126)&amp;"")</f>
        <v/>
      </c>
      <c r="E126" s="72" t="str">
        <f aca="false">IF(B126="","",INDEX(T_NOMBRE,Z126)&amp;"")</f>
        <v/>
      </c>
      <c r="F126" s="72" t="str">
        <f aca="false">IF(B126="","",INDEX(T_CARGO,Z126)&amp;"")</f>
        <v/>
      </c>
      <c r="G126" s="72" t="str">
        <f aca="false">IF(B126="","",IFERROR(INDEX(C_TIPO,MATCH(C126&amp;"-P"&amp;MAX(1,COUNTIFS(C_ID,C126,C_DEFINE,"Sí",C_INICIO,"&lt;="&amp;EOMONTH(ENVIO_PER,0))),C_CLAVE,0))&amp;"","Sin contrato"))</f>
        <v/>
      </c>
      <c r="H126" s="71" t="str">
        <f aca="false">IF(B126="","",IFERROR(INDEX(C_SUELDO,MATCH(C126&amp;"-S"&amp;MAX(1,COUNTIFS(C_ID,C126,C_SUELDO,"&lt;&gt;",C_INICIO,"&lt;="&amp;EOMONTH(ENVIO_PER,0))),C_CLAVES,0)),0))</f>
        <v/>
      </c>
      <c r="I126" s="70" t="str">
        <f aca="false">IF(B126="","",TRIM(IF(AND(AB126&gt;=ENVIO_PER,AB126&lt;=EOMONTH(ENVIO_PER,0)),"Ingresa el día "&amp;DAY(AB126)&amp;". ","")&amp;IF(AND(AC126&gt;0,AC126&gt;=ENVIO_PER,AC126&lt;=EOMONTH(ENVIO_PER,0)),"Egresa el día "&amp;DAY(AC126)&amp;".","")))</f>
        <v/>
      </c>
      <c r="J126" s="70" t="str">
        <f aca="false">IF(B126="","",IF(COUNTIFS(C_ID,C126,C_INICIO,"&gt;="&amp;ENVIO_PER,C_INICIO,"&lt;="&amp;EOMONTH(ENVIO_PER,0))&gt;0,COUNTIFS(C_ID,C126,C_INICIO,"&gt;="&amp;ENVIO_PER,C_INICIO,"&lt;="&amp;EOMONTH(ENVIO_PER,0))&amp;" documento(s) nuevo(s): ver Contratos",""))</f>
        <v/>
      </c>
      <c r="K126" s="74" t="str">
        <f aca="false">IF(B126="","",IF(COUNTIF(N_CLAVE,AA126)&gt;0,SUMIFS(N_DIAS,N_CLAVE,AA126),AD126))</f>
        <v/>
      </c>
      <c r="L126" s="74" t="str">
        <f aca="false">IF(B126="","",SUMIFS(N_FALTAS,N_CLAVE,AA126))</f>
        <v/>
      </c>
      <c r="M126" s="74" t="str">
        <f aca="false">IF(B126="","",SUMIFS(N_LIC,N_CLAVE,AA126))</f>
        <v/>
      </c>
      <c r="N126" s="74" t="str">
        <f aca="false">IF(B126="","",SUMIFS(N_PCG,N_CLAVE,AA126))</f>
        <v/>
      </c>
      <c r="O126" s="74" t="str">
        <f aca="false">IF(B126="","",SUMIFS(N_PSG,N_CLAVE,AA126))</f>
        <v/>
      </c>
      <c r="P126" s="74" t="str">
        <f aca="false">IF(B126="","",SUMIFS(V_DIAS,V_ID,C126,V_MES,ENVIO_PER))</f>
        <v/>
      </c>
      <c r="Q126" s="73" t="str">
        <f aca="false">IF(B126="","",SUMIFS(N_ATRASO,N_CLAVE,AA126))</f>
        <v/>
      </c>
      <c r="R126" s="74" t="str">
        <f aca="false">IF(B126="","",SUMIFS(N_HE,N_CLAVE,AA126))</f>
        <v/>
      </c>
      <c r="S126" s="71" t="str">
        <f aca="false">IF(B126="","",SUMIFS(N_ANT,N_CLAVE,AA126))</f>
        <v/>
      </c>
      <c r="T126" s="71" t="str">
        <f aca="false">IF(B126="","",SUMIFS(N_BONO,N_CLAVE,AA126))</f>
        <v/>
      </c>
      <c r="U126" s="71" t="str">
        <f aca="false">IF(B126="","",SUMIFS(N_ONI,N_CLAVE,AA126))</f>
        <v/>
      </c>
      <c r="V126" s="71" t="str">
        <f aca="false">IF(B126="","",SUMIFS(N_DESC,N_CLAVE,AA126))</f>
        <v/>
      </c>
      <c r="W126" s="72" t="str">
        <f aca="false">IF(B126="","",IFERROR(INDEX(N_OBS,MATCH(AA126,N_CLAVE,0))&amp;"",""))</f>
        <v/>
      </c>
      <c r="X126" s="70" t="str">
        <f aca="false">IF(B126="","",IF(COUNTIF(N_CLAVE,AA126)&gt;0,"Sí","⚠ Sin registro"))</f>
        <v/>
      </c>
      <c r="Z126" s="81" t="str">
        <f aca="false">IF(B126="","",MATCH(B126,T_AUX,0))</f>
        <v/>
      </c>
      <c r="AA126" s="81" t="str">
        <f aca="false">IF(B126="","",C126&amp;"|"&amp;(YEAR(ENVIO_PER)*100+MONTH(ENVIO_PER)))</f>
        <v/>
      </c>
      <c r="AB126" s="81" t="str">
        <f aca="false">IF(B126="","",INDEX(T_INGRESO,Z126))</f>
        <v/>
      </c>
      <c r="AC126" s="81" t="str">
        <f aca="false">IF(B126="","",N(INDEX(T_EGRESO,Z126)))</f>
        <v/>
      </c>
      <c r="AD126" s="81" t="str">
        <f aca="false">IF(B126="","",IF(OR(AB126&gt;EOMONTH(ENVIO_PER,0),AND(AC126&gt;0,AC126&lt;ENVIO_PER)),0,IF(AND(AB126&lt;=ENVIO_PER,OR(AC126=0,AC126&gt;=EOMONTH(ENVIO_PER,0))),30,MIN(30,IF(AC126=0,EOMONTH(ENVIO_PER,0),MIN(AC126,EOMONTH(ENVIO_PER,0)))-MAX(ENVIO_PER,AB126)+1))))</f>
        <v/>
      </c>
    </row>
    <row r="127" customFormat="false" ht="15" hidden="false" customHeight="false" outlineLevel="0" collapsed="false">
      <c r="B127" s="72" t="str">
        <f aca="false">IF(118&lt;=MAX(T_AUX),118,"")</f>
        <v/>
      </c>
      <c r="C127" s="72" t="str">
        <f aca="false">IF(B127="","",INDEX(T_ID,Z127))</f>
        <v/>
      </c>
      <c r="D127" s="72" t="str">
        <f aca="false">IF(B127="","",INDEX(T_RUT,Z127)&amp;"")</f>
        <v/>
      </c>
      <c r="E127" s="72" t="str">
        <f aca="false">IF(B127="","",INDEX(T_NOMBRE,Z127)&amp;"")</f>
        <v/>
      </c>
      <c r="F127" s="72" t="str">
        <f aca="false">IF(B127="","",INDEX(T_CARGO,Z127)&amp;"")</f>
        <v/>
      </c>
      <c r="G127" s="72" t="str">
        <f aca="false">IF(B127="","",IFERROR(INDEX(C_TIPO,MATCH(C127&amp;"-P"&amp;MAX(1,COUNTIFS(C_ID,C127,C_DEFINE,"Sí",C_INICIO,"&lt;="&amp;EOMONTH(ENVIO_PER,0))),C_CLAVE,0))&amp;"","Sin contrato"))</f>
        <v/>
      </c>
      <c r="H127" s="71" t="str">
        <f aca="false">IF(B127="","",IFERROR(INDEX(C_SUELDO,MATCH(C127&amp;"-S"&amp;MAX(1,COUNTIFS(C_ID,C127,C_SUELDO,"&lt;&gt;",C_INICIO,"&lt;="&amp;EOMONTH(ENVIO_PER,0))),C_CLAVES,0)),0))</f>
        <v/>
      </c>
      <c r="I127" s="70" t="str">
        <f aca="false">IF(B127="","",TRIM(IF(AND(AB127&gt;=ENVIO_PER,AB127&lt;=EOMONTH(ENVIO_PER,0)),"Ingresa el día "&amp;DAY(AB127)&amp;". ","")&amp;IF(AND(AC127&gt;0,AC127&gt;=ENVIO_PER,AC127&lt;=EOMONTH(ENVIO_PER,0)),"Egresa el día "&amp;DAY(AC127)&amp;".","")))</f>
        <v/>
      </c>
      <c r="J127" s="70" t="str">
        <f aca="false">IF(B127="","",IF(COUNTIFS(C_ID,C127,C_INICIO,"&gt;="&amp;ENVIO_PER,C_INICIO,"&lt;="&amp;EOMONTH(ENVIO_PER,0))&gt;0,COUNTIFS(C_ID,C127,C_INICIO,"&gt;="&amp;ENVIO_PER,C_INICIO,"&lt;="&amp;EOMONTH(ENVIO_PER,0))&amp;" documento(s) nuevo(s): ver Contratos",""))</f>
        <v/>
      </c>
      <c r="K127" s="74" t="str">
        <f aca="false">IF(B127="","",IF(COUNTIF(N_CLAVE,AA127)&gt;0,SUMIFS(N_DIAS,N_CLAVE,AA127),AD127))</f>
        <v/>
      </c>
      <c r="L127" s="74" t="str">
        <f aca="false">IF(B127="","",SUMIFS(N_FALTAS,N_CLAVE,AA127))</f>
        <v/>
      </c>
      <c r="M127" s="74" t="str">
        <f aca="false">IF(B127="","",SUMIFS(N_LIC,N_CLAVE,AA127))</f>
        <v/>
      </c>
      <c r="N127" s="74" t="str">
        <f aca="false">IF(B127="","",SUMIFS(N_PCG,N_CLAVE,AA127))</f>
        <v/>
      </c>
      <c r="O127" s="74" t="str">
        <f aca="false">IF(B127="","",SUMIFS(N_PSG,N_CLAVE,AA127))</f>
        <v/>
      </c>
      <c r="P127" s="74" t="str">
        <f aca="false">IF(B127="","",SUMIFS(V_DIAS,V_ID,C127,V_MES,ENVIO_PER))</f>
        <v/>
      </c>
      <c r="Q127" s="73" t="str">
        <f aca="false">IF(B127="","",SUMIFS(N_ATRASO,N_CLAVE,AA127))</f>
        <v/>
      </c>
      <c r="R127" s="74" t="str">
        <f aca="false">IF(B127="","",SUMIFS(N_HE,N_CLAVE,AA127))</f>
        <v/>
      </c>
      <c r="S127" s="71" t="str">
        <f aca="false">IF(B127="","",SUMIFS(N_ANT,N_CLAVE,AA127))</f>
        <v/>
      </c>
      <c r="T127" s="71" t="str">
        <f aca="false">IF(B127="","",SUMIFS(N_BONO,N_CLAVE,AA127))</f>
        <v/>
      </c>
      <c r="U127" s="71" t="str">
        <f aca="false">IF(B127="","",SUMIFS(N_ONI,N_CLAVE,AA127))</f>
        <v/>
      </c>
      <c r="V127" s="71" t="str">
        <f aca="false">IF(B127="","",SUMIFS(N_DESC,N_CLAVE,AA127))</f>
        <v/>
      </c>
      <c r="W127" s="72" t="str">
        <f aca="false">IF(B127="","",IFERROR(INDEX(N_OBS,MATCH(AA127,N_CLAVE,0))&amp;"",""))</f>
        <v/>
      </c>
      <c r="X127" s="70" t="str">
        <f aca="false">IF(B127="","",IF(COUNTIF(N_CLAVE,AA127)&gt;0,"Sí","⚠ Sin registro"))</f>
        <v/>
      </c>
      <c r="Z127" s="81" t="str">
        <f aca="false">IF(B127="","",MATCH(B127,T_AUX,0))</f>
        <v/>
      </c>
      <c r="AA127" s="81" t="str">
        <f aca="false">IF(B127="","",C127&amp;"|"&amp;(YEAR(ENVIO_PER)*100+MONTH(ENVIO_PER)))</f>
        <v/>
      </c>
      <c r="AB127" s="81" t="str">
        <f aca="false">IF(B127="","",INDEX(T_INGRESO,Z127))</f>
        <v/>
      </c>
      <c r="AC127" s="81" t="str">
        <f aca="false">IF(B127="","",N(INDEX(T_EGRESO,Z127)))</f>
        <v/>
      </c>
      <c r="AD127" s="81" t="str">
        <f aca="false">IF(B127="","",IF(OR(AB127&gt;EOMONTH(ENVIO_PER,0),AND(AC127&gt;0,AC127&lt;ENVIO_PER)),0,IF(AND(AB127&lt;=ENVIO_PER,OR(AC127=0,AC127&gt;=EOMONTH(ENVIO_PER,0))),30,MIN(30,IF(AC127=0,EOMONTH(ENVIO_PER,0),MIN(AC127,EOMONTH(ENVIO_PER,0)))-MAX(ENVIO_PER,AB127)+1))))</f>
        <v/>
      </c>
    </row>
    <row r="128" customFormat="false" ht="15" hidden="false" customHeight="false" outlineLevel="0" collapsed="false">
      <c r="B128" s="72" t="str">
        <f aca="false">IF(119&lt;=MAX(T_AUX),119,"")</f>
        <v/>
      </c>
      <c r="C128" s="72" t="str">
        <f aca="false">IF(B128="","",INDEX(T_ID,Z128))</f>
        <v/>
      </c>
      <c r="D128" s="72" t="str">
        <f aca="false">IF(B128="","",INDEX(T_RUT,Z128)&amp;"")</f>
        <v/>
      </c>
      <c r="E128" s="72" t="str">
        <f aca="false">IF(B128="","",INDEX(T_NOMBRE,Z128)&amp;"")</f>
        <v/>
      </c>
      <c r="F128" s="72" t="str">
        <f aca="false">IF(B128="","",INDEX(T_CARGO,Z128)&amp;"")</f>
        <v/>
      </c>
      <c r="G128" s="72" t="str">
        <f aca="false">IF(B128="","",IFERROR(INDEX(C_TIPO,MATCH(C128&amp;"-P"&amp;MAX(1,COUNTIFS(C_ID,C128,C_DEFINE,"Sí",C_INICIO,"&lt;="&amp;EOMONTH(ENVIO_PER,0))),C_CLAVE,0))&amp;"","Sin contrato"))</f>
        <v/>
      </c>
      <c r="H128" s="71" t="str">
        <f aca="false">IF(B128="","",IFERROR(INDEX(C_SUELDO,MATCH(C128&amp;"-S"&amp;MAX(1,COUNTIFS(C_ID,C128,C_SUELDO,"&lt;&gt;",C_INICIO,"&lt;="&amp;EOMONTH(ENVIO_PER,0))),C_CLAVES,0)),0))</f>
        <v/>
      </c>
      <c r="I128" s="70" t="str">
        <f aca="false">IF(B128="","",TRIM(IF(AND(AB128&gt;=ENVIO_PER,AB128&lt;=EOMONTH(ENVIO_PER,0)),"Ingresa el día "&amp;DAY(AB128)&amp;". ","")&amp;IF(AND(AC128&gt;0,AC128&gt;=ENVIO_PER,AC128&lt;=EOMONTH(ENVIO_PER,0)),"Egresa el día "&amp;DAY(AC128)&amp;".","")))</f>
        <v/>
      </c>
      <c r="J128" s="70" t="str">
        <f aca="false">IF(B128="","",IF(COUNTIFS(C_ID,C128,C_INICIO,"&gt;="&amp;ENVIO_PER,C_INICIO,"&lt;="&amp;EOMONTH(ENVIO_PER,0))&gt;0,COUNTIFS(C_ID,C128,C_INICIO,"&gt;="&amp;ENVIO_PER,C_INICIO,"&lt;="&amp;EOMONTH(ENVIO_PER,0))&amp;" documento(s) nuevo(s): ver Contratos",""))</f>
        <v/>
      </c>
      <c r="K128" s="74" t="str">
        <f aca="false">IF(B128="","",IF(COUNTIF(N_CLAVE,AA128)&gt;0,SUMIFS(N_DIAS,N_CLAVE,AA128),AD128))</f>
        <v/>
      </c>
      <c r="L128" s="74" t="str">
        <f aca="false">IF(B128="","",SUMIFS(N_FALTAS,N_CLAVE,AA128))</f>
        <v/>
      </c>
      <c r="M128" s="74" t="str">
        <f aca="false">IF(B128="","",SUMIFS(N_LIC,N_CLAVE,AA128))</f>
        <v/>
      </c>
      <c r="N128" s="74" t="str">
        <f aca="false">IF(B128="","",SUMIFS(N_PCG,N_CLAVE,AA128))</f>
        <v/>
      </c>
      <c r="O128" s="74" t="str">
        <f aca="false">IF(B128="","",SUMIFS(N_PSG,N_CLAVE,AA128))</f>
        <v/>
      </c>
      <c r="P128" s="74" t="str">
        <f aca="false">IF(B128="","",SUMIFS(V_DIAS,V_ID,C128,V_MES,ENVIO_PER))</f>
        <v/>
      </c>
      <c r="Q128" s="73" t="str">
        <f aca="false">IF(B128="","",SUMIFS(N_ATRASO,N_CLAVE,AA128))</f>
        <v/>
      </c>
      <c r="R128" s="74" t="str">
        <f aca="false">IF(B128="","",SUMIFS(N_HE,N_CLAVE,AA128))</f>
        <v/>
      </c>
      <c r="S128" s="71" t="str">
        <f aca="false">IF(B128="","",SUMIFS(N_ANT,N_CLAVE,AA128))</f>
        <v/>
      </c>
      <c r="T128" s="71" t="str">
        <f aca="false">IF(B128="","",SUMIFS(N_BONO,N_CLAVE,AA128))</f>
        <v/>
      </c>
      <c r="U128" s="71" t="str">
        <f aca="false">IF(B128="","",SUMIFS(N_ONI,N_CLAVE,AA128))</f>
        <v/>
      </c>
      <c r="V128" s="71" t="str">
        <f aca="false">IF(B128="","",SUMIFS(N_DESC,N_CLAVE,AA128))</f>
        <v/>
      </c>
      <c r="W128" s="72" t="str">
        <f aca="false">IF(B128="","",IFERROR(INDEX(N_OBS,MATCH(AA128,N_CLAVE,0))&amp;"",""))</f>
        <v/>
      </c>
      <c r="X128" s="70" t="str">
        <f aca="false">IF(B128="","",IF(COUNTIF(N_CLAVE,AA128)&gt;0,"Sí","⚠ Sin registro"))</f>
        <v/>
      </c>
      <c r="Z128" s="81" t="str">
        <f aca="false">IF(B128="","",MATCH(B128,T_AUX,0))</f>
        <v/>
      </c>
      <c r="AA128" s="81" t="str">
        <f aca="false">IF(B128="","",C128&amp;"|"&amp;(YEAR(ENVIO_PER)*100+MONTH(ENVIO_PER)))</f>
        <v/>
      </c>
      <c r="AB128" s="81" t="str">
        <f aca="false">IF(B128="","",INDEX(T_INGRESO,Z128))</f>
        <v/>
      </c>
      <c r="AC128" s="81" t="str">
        <f aca="false">IF(B128="","",N(INDEX(T_EGRESO,Z128)))</f>
        <v/>
      </c>
      <c r="AD128" s="81" t="str">
        <f aca="false">IF(B128="","",IF(OR(AB128&gt;EOMONTH(ENVIO_PER,0),AND(AC128&gt;0,AC128&lt;ENVIO_PER)),0,IF(AND(AB128&lt;=ENVIO_PER,OR(AC128=0,AC128&gt;=EOMONTH(ENVIO_PER,0))),30,MIN(30,IF(AC128=0,EOMONTH(ENVIO_PER,0),MIN(AC128,EOMONTH(ENVIO_PER,0)))-MAX(ENVIO_PER,AB128)+1))))</f>
        <v/>
      </c>
    </row>
    <row r="129" customFormat="false" ht="15" hidden="false" customHeight="false" outlineLevel="0" collapsed="false">
      <c r="B129" s="72" t="str">
        <f aca="false">IF(120&lt;=MAX(T_AUX),120,"")</f>
        <v/>
      </c>
      <c r="C129" s="72" t="str">
        <f aca="false">IF(B129="","",INDEX(T_ID,Z129))</f>
        <v/>
      </c>
      <c r="D129" s="72" t="str">
        <f aca="false">IF(B129="","",INDEX(T_RUT,Z129)&amp;"")</f>
        <v/>
      </c>
      <c r="E129" s="72" t="str">
        <f aca="false">IF(B129="","",INDEX(T_NOMBRE,Z129)&amp;"")</f>
        <v/>
      </c>
      <c r="F129" s="72" t="str">
        <f aca="false">IF(B129="","",INDEX(T_CARGO,Z129)&amp;"")</f>
        <v/>
      </c>
      <c r="G129" s="72" t="str">
        <f aca="false">IF(B129="","",IFERROR(INDEX(C_TIPO,MATCH(C129&amp;"-P"&amp;MAX(1,COUNTIFS(C_ID,C129,C_DEFINE,"Sí",C_INICIO,"&lt;="&amp;EOMONTH(ENVIO_PER,0))),C_CLAVE,0))&amp;"","Sin contrato"))</f>
        <v/>
      </c>
      <c r="H129" s="71" t="str">
        <f aca="false">IF(B129="","",IFERROR(INDEX(C_SUELDO,MATCH(C129&amp;"-S"&amp;MAX(1,COUNTIFS(C_ID,C129,C_SUELDO,"&lt;&gt;",C_INICIO,"&lt;="&amp;EOMONTH(ENVIO_PER,0))),C_CLAVES,0)),0))</f>
        <v/>
      </c>
      <c r="I129" s="70" t="str">
        <f aca="false">IF(B129="","",TRIM(IF(AND(AB129&gt;=ENVIO_PER,AB129&lt;=EOMONTH(ENVIO_PER,0)),"Ingresa el día "&amp;DAY(AB129)&amp;". ","")&amp;IF(AND(AC129&gt;0,AC129&gt;=ENVIO_PER,AC129&lt;=EOMONTH(ENVIO_PER,0)),"Egresa el día "&amp;DAY(AC129)&amp;".","")))</f>
        <v/>
      </c>
      <c r="J129" s="70" t="str">
        <f aca="false">IF(B129="","",IF(COUNTIFS(C_ID,C129,C_INICIO,"&gt;="&amp;ENVIO_PER,C_INICIO,"&lt;="&amp;EOMONTH(ENVIO_PER,0))&gt;0,COUNTIFS(C_ID,C129,C_INICIO,"&gt;="&amp;ENVIO_PER,C_INICIO,"&lt;="&amp;EOMONTH(ENVIO_PER,0))&amp;" documento(s) nuevo(s): ver Contratos",""))</f>
        <v/>
      </c>
      <c r="K129" s="74" t="str">
        <f aca="false">IF(B129="","",IF(COUNTIF(N_CLAVE,AA129)&gt;0,SUMIFS(N_DIAS,N_CLAVE,AA129),AD129))</f>
        <v/>
      </c>
      <c r="L129" s="74" t="str">
        <f aca="false">IF(B129="","",SUMIFS(N_FALTAS,N_CLAVE,AA129))</f>
        <v/>
      </c>
      <c r="M129" s="74" t="str">
        <f aca="false">IF(B129="","",SUMIFS(N_LIC,N_CLAVE,AA129))</f>
        <v/>
      </c>
      <c r="N129" s="74" t="str">
        <f aca="false">IF(B129="","",SUMIFS(N_PCG,N_CLAVE,AA129))</f>
        <v/>
      </c>
      <c r="O129" s="74" t="str">
        <f aca="false">IF(B129="","",SUMIFS(N_PSG,N_CLAVE,AA129))</f>
        <v/>
      </c>
      <c r="P129" s="74" t="str">
        <f aca="false">IF(B129="","",SUMIFS(V_DIAS,V_ID,C129,V_MES,ENVIO_PER))</f>
        <v/>
      </c>
      <c r="Q129" s="73" t="str">
        <f aca="false">IF(B129="","",SUMIFS(N_ATRASO,N_CLAVE,AA129))</f>
        <v/>
      </c>
      <c r="R129" s="74" t="str">
        <f aca="false">IF(B129="","",SUMIFS(N_HE,N_CLAVE,AA129))</f>
        <v/>
      </c>
      <c r="S129" s="71" t="str">
        <f aca="false">IF(B129="","",SUMIFS(N_ANT,N_CLAVE,AA129))</f>
        <v/>
      </c>
      <c r="T129" s="71" t="str">
        <f aca="false">IF(B129="","",SUMIFS(N_BONO,N_CLAVE,AA129))</f>
        <v/>
      </c>
      <c r="U129" s="71" t="str">
        <f aca="false">IF(B129="","",SUMIFS(N_ONI,N_CLAVE,AA129))</f>
        <v/>
      </c>
      <c r="V129" s="71" t="str">
        <f aca="false">IF(B129="","",SUMIFS(N_DESC,N_CLAVE,AA129))</f>
        <v/>
      </c>
      <c r="W129" s="72" t="str">
        <f aca="false">IF(B129="","",IFERROR(INDEX(N_OBS,MATCH(AA129,N_CLAVE,0))&amp;"",""))</f>
        <v/>
      </c>
      <c r="X129" s="70" t="str">
        <f aca="false">IF(B129="","",IF(COUNTIF(N_CLAVE,AA129)&gt;0,"Sí","⚠ Sin registro"))</f>
        <v/>
      </c>
      <c r="Z129" s="81" t="str">
        <f aca="false">IF(B129="","",MATCH(B129,T_AUX,0))</f>
        <v/>
      </c>
      <c r="AA129" s="81" t="str">
        <f aca="false">IF(B129="","",C129&amp;"|"&amp;(YEAR(ENVIO_PER)*100+MONTH(ENVIO_PER)))</f>
        <v/>
      </c>
      <c r="AB129" s="81" t="str">
        <f aca="false">IF(B129="","",INDEX(T_INGRESO,Z129))</f>
        <v/>
      </c>
      <c r="AC129" s="81" t="str">
        <f aca="false">IF(B129="","",N(INDEX(T_EGRESO,Z129)))</f>
        <v/>
      </c>
      <c r="AD129" s="81" t="str">
        <f aca="false">IF(B129="","",IF(OR(AB129&gt;EOMONTH(ENVIO_PER,0),AND(AC129&gt;0,AC129&lt;ENVIO_PER)),0,IF(AND(AB129&lt;=ENVIO_PER,OR(AC129=0,AC129&gt;=EOMONTH(ENVIO_PER,0))),30,MIN(30,IF(AC129=0,EOMONTH(ENVIO_PER,0),MIN(AC129,EOMONTH(ENVIO_PER,0)))-MAX(ENVIO_PER,AB129)+1))))</f>
        <v/>
      </c>
    </row>
    <row r="130" customFormat="false" ht="15" hidden="false" customHeight="false" outlineLevel="0" collapsed="false">
      <c r="B130" s="72" t="str">
        <f aca="false">IF(121&lt;=MAX(T_AUX),121,"")</f>
        <v/>
      </c>
      <c r="C130" s="72" t="str">
        <f aca="false">IF(B130="","",INDEX(T_ID,Z130))</f>
        <v/>
      </c>
      <c r="D130" s="72" t="str">
        <f aca="false">IF(B130="","",INDEX(T_RUT,Z130)&amp;"")</f>
        <v/>
      </c>
      <c r="E130" s="72" t="str">
        <f aca="false">IF(B130="","",INDEX(T_NOMBRE,Z130)&amp;"")</f>
        <v/>
      </c>
      <c r="F130" s="72" t="str">
        <f aca="false">IF(B130="","",INDEX(T_CARGO,Z130)&amp;"")</f>
        <v/>
      </c>
      <c r="G130" s="72" t="str">
        <f aca="false">IF(B130="","",IFERROR(INDEX(C_TIPO,MATCH(C130&amp;"-P"&amp;MAX(1,COUNTIFS(C_ID,C130,C_DEFINE,"Sí",C_INICIO,"&lt;="&amp;EOMONTH(ENVIO_PER,0))),C_CLAVE,0))&amp;"","Sin contrato"))</f>
        <v/>
      </c>
      <c r="H130" s="71" t="str">
        <f aca="false">IF(B130="","",IFERROR(INDEX(C_SUELDO,MATCH(C130&amp;"-S"&amp;MAX(1,COUNTIFS(C_ID,C130,C_SUELDO,"&lt;&gt;",C_INICIO,"&lt;="&amp;EOMONTH(ENVIO_PER,0))),C_CLAVES,0)),0))</f>
        <v/>
      </c>
      <c r="I130" s="70" t="str">
        <f aca="false">IF(B130="","",TRIM(IF(AND(AB130&gt;=ENVIO_PER,AB130&lt;=EOMONTH(ENVIO_PER,0)),"Ingresa el día "&amp;DAY(AB130)&amp;". ","")&amp;IF(AND(AC130&gt;0,AC130&gt;=ENVIO_PER,AC130&lt;=EOMONTH(ENVIO_PER,0)),"Egresa el día "&amp;DAY(AC130)&amp;".","")))</f>
        <v/>
      </c>
      <c r="J130" s="70" t="str">
        <f aca="false">IF(B130="","",IF(COUNTIFS(C_ID,C130,C_INICIO,"&gt;="&amp;ENVIO_PER,C_INICIO,"&lt;="&amp;EOMONTH(ENVIO_PER,0))&gt;0,COUNTIFS(C_ID,C130,C_INICIO,"&gt;="&amp;ENVIO_PER,C_INICIO,"&lt;="&amp;EOMONTH(ENVIO_PER,0))&amp;" documento(s) nuevo(s): ver Contratos",""))</f>
        <v/>
      </c>
      <c r="K130" s="74" t="str">
        <f aca="false">IF(B130="","",IF(COUNTIF(N_CLAVE,AA130)&gt;0,SUMIFS(N_DIAS,N_CLAVE,AA130),AD130))</f>
        <v/>
      </c>
      <c r="L130" s="74" t="str">
        <f aca="false">IF(B130="","",SUMIFS(N_FALTAS,N_CLAVE,AA130))</f>
        <v/>
      </c>
      <c r="M130" s="74" t="str">
        <f aca="false">IF(B130="","",SUMIFS(N_LIC,N_CLAVE,AA130))</f>
        <v/>
      </c>
      <c r="N130" s="74" t="str">
        <f aca="false">IF(B130="","",SUMIFS(N_PCG,N_CLAVE,AA130))</f>
        <v/>
      </c>
      <c r="O130" s="74" t="str">
        <f aca="false">IF(B130="","",SUMIFS(N_PSG,N_CLAVE,AA130))</f>
        <v/>
      </c>
      <c r="P130" s="74" t="str">
        <f aca="false">IF(B130="","",SUMIFS(V_DIAS,V_ID,C130,V_MES,ENVIO_PER))</f>
        <v/>
      </c>
      <c r="Q130" s="73" t="str">
        <f aca="false">IF(B130="","",SUMIFS(N_ATRASO,N_CLAVE,AA130))</f>
        <v/>
      </c>
      <c r="R130" s="74" t="str">
        <f aca="false">IF(B130="","",SUMIFS(N_HE,N_CLAVE,AA130))</f>
        <v/>
      </c>
      <c r="S130" s="71" t="str">
        <f aca="false">IF(B130="","",SUMIFS(N_ANT,N_CLAVE,AA130))</f>
        <v/>
      </c>
      <c r="T130" s="71" t="str">
        <f aca="false">IF(B130="","",SUMIFS(N_BONO,N_CLAVE,AA130))</f>
        <v/>
      </c>
      <c r="U130" s="71" t="str">
        <f aca="false">IF(B130="","",SUMIFS(N_ONI,N_CLAVE,AA130))</f>
        <v/>
      </c>
      <c r="V130" s="71" t="str">
        <f aca="false">IF(B130="","",SUMIFS(N_DESC,N_CLAVE,AA130))</f>
        <v/>
      </c>
      <c r="W130" s="72" t="str">
        <f aca="false">IF(B130="","",IFERROR(INDEX(N_OBS,MATCH(AA130,N_CLAVE,0))&amp;"",""))</f>
        <v/>
      </c>
      <c r="X130" s="70" t="str">
        <f aca="false">IF(B130="","",IF(COUNTIF(N_CLAVE,AA130)&gt;0,"Sí","⚠ Sin registro"))</f>
        <v/>
      </c>
      <c r="Z130" s="81" t="str">
        <f aca="false">IF(B130="","",MATCH(B130,T_AUX,0))</f>
        <v/>
      </c>
      <c r="AA130" s="81" t="str">
        <f aca="false">IF(B130="","",C130&amp;"|"&amp;(YEAR(ENVIO_PER)*100+MONTH(ENVIO_PER)))</f>
        <v/>
      </c>
      <c r="AB130" s="81" t="str">
        <f aca="false">IF(B130="","",INDEX(T_INGRESO,Z130))</f>
        <v/>
      </c>
      <c r="AC130" s="81" t="str">
        <f aca="false">IF(B130="","",N(INDEX(T_EGRESO,Z130)))</f>
        <v/>
      </c>
      <c r="AD130" s="81" t="str">
        <f aca="false">IF(B130="","",IF(OR(AB130&gt;EOMONTH(ENVIO_PER,0),AND(AC130&gt;0,AC130&lt;ENVIO_PER)),0,IF(AND(AB130&lt;=ENVIO_PER,OR(AC130=0,AC130&gt;=EOMONTH(ENVIO_PER,0))),30,MIN(30,IF(AC130=0,EOMONTH(ENVIO_PER,0),MIN(AC130,EOMONTH(ENVIO_PER,0)))-MAX(ENVIO_PER,AB130)+1))))</f>
        <v/>
      </c>
    </row>
    <row r="131" customFormat="false" ht="15" hidden="false" customHeight="false" outlineLevel="0" collapsed="false">
      <c r="B131" s="72" t="str">
        <f aca="false">IF(122&lt;=MAX(T_AUX),122,"")</f>
        <v/>
      </c>
      <c r="C131" s="72" t="str">
        <f aca="false">IF(B131="","",INDEX(T_ID,Z131))</f>
        <v/>
      </c>
      <c r="D131" s="72" t="str">
        <f aca="false">IF(B131="","",INDEX(T_RUT,Z131)&amp;"")</f>
        <v/>
      </c>
      <c r="E131" s="72" t="str">
        <f aca="false">IF(B131="","",INDEX(T_NOMBRE,Z131)&amp;"")</f>
        <v/>
      </c>
      <c r="F131" s="72" t="str">
        <f aca="false">IF(B131="","",INDEX(T_CARGO,Z131)&amp;"")</f>
        <v/>
      </c>
      <c r="G131" s="72" t="str">
        <f aca="false">IF(B131="","",IFERROR(INDEX(C_TIPO,MATCH(C131&amp;"-P"&amp;MAX(1,COUNTIFS(C_ID,C131,C_DEFINE,"Sí",C_INICIO,"&lt;="&amp;EOMONTH(ENVIO_PER,0))),C_CLAVE,0))&amp;"","Sin contrato"))</f>
        <v/>
      </c>
      <c r="H131" s="71" t="str">
        <f aca="false">IF(B131="","",IFERROR(INDEX(C_SUELDO,MATCH(C131&amp;"-S"&amp;MAX(1,COUNTIFS(C_ID,C131,C_SUELDO,"&lt;&gt;",C_INICIO,"&lt;="&amp;EOMONTH(ENVIO_PER,0))),C_CLAVES,0)),0))</f>
        <v/>
      </c>
      <c r="I131" s="70" t="str">
        <f aca="false">IF(B131="","",TRIM(IF(AND(AB131&gt;=ENVIO_PER,AB131&lt;=EOMONTH(ENVIO_PER,0)),"Ingresa el día "&amp;DAY(AB131)&amp;". ","")&amp;IF(AND(AC131&gt;0,AC131&gt;=ENVIO_PER,AC131&lt;=EOMONTH(ENVIO_PER,0)),"Egresa el día "&amp;DAY(AC131)&amp;".","")))</f>
        <v/>
      </c>
      <c r="J131" s="70" t="str">
        <f aca="false">IF(B131="","",IF(COUNTIFS(C_ID,C131,C_INICIO,"&gt;="&amp;ENVIO_PER,C_INICIO,"&lt;="&amp;EOMONTH(ENVIO_PER,0))&gt;0,COUNTIFS(C_ID,C131,C_INICIO,"&gt;="&amp;ENVIO_PER,C_INICIO,"&lt;="&amp;EOMONTH(ENVIO_PER,0))&amp;" documento(s) nuevo(s): ver Contratos",""))</f>
        <v/>
      </c>
      <c r="K131" s="74" t="str">
        <f aca="false">IF(B131="","",IF(COUNTIF(N_CLAVE,AA131)&gt;0,SUMIFS(N_DIAS,N_CLAVE,AA131),AD131))</f>
        <v/>
      </c>
      <c r="L131" s="74" t="str">
        <f aca="false">IF(B131="","",SUMIFS(N_FALTAS,N_CLAVE,AA131))</f>
        <v/>
      </c>
      <c r="M131" s="74" t="str">
        <f aca="false">IF(B131="","",SUMIFS(N_LIC,N_CLAVE,AA131))</f>
        <v/>
      </c>
      <c r="N131" s="74" t="str">
        <f aca="false">IF(B131="","",SUMIFS(N_PCG,N_CLAVE,AA131))</f>
        <v/>
      </c>
      <c r="O131" s="74" t="str">
        <f aca="false">IF(B131="","",SUMIFS(N_PSG,N_CLAVE,AA131))</f>
        <v/>
      </c>
      <c r="P131" s="74" t="str">
        <f aca="false">IF(B131="","",SUMIFS(V_DIAS,V_ID,C131,V_MES,ENVIO_PER))</f>
        <v/>
      </c>
      <c r="Q131" s="73" t="str">
        <f aca="false">IF(B131="","",SUMIFS(N_ATRASO,N_CLAVE,AA131))</f>
        <v/>
      </c>
      <c r="R131" s="74" t="str">
        <f aca="false">IF(B131="","",SUMIFS(N_HE,N_CLAVE,AA131))</f>
        <v/>
      </c>
      <c r="S131" s="71" t="str">
        <f aca="false">IF(B131="","",SUMIFS(N_ANT,N_CLAVE,AA131))</f>
        <v/>
      </c>
      <c r="T131" s="71" t="str">
        <f aca="false">IF(B131="","",SUMIFS(N_BONO,N_CLAVE,AA131))</f>
        <v/>
      </c>
      <c r="U131" s="71" t="str">
        <f aca="false">IF(B131="","",SUMIFS(N_ONI,N_CLAVE,AA131))</f>
        <v/>
      </c>
      <c r="V131" s="71" t="str">
        <f aca="false">IF(B131="","",SUMIFS(N_DESC,N_CLAVE,AA131))</f>
        <v/>
      </c>
      <c r="W131" s="72" t="str">
        <f aca="false">IF(B131="","",IFERROR(INDEX(N_OBS,MATCH(AA131,N_CLAVE,0))&amp;"",""))</f>
        <v/>
      </c>
      <c r="X131" s="70" t="str">
        <f aca="false">IF(B131="","",IF(COUNTIF(N_CLAVE,AA131)&gt;0,"Sí","⚠ Sin registro"))</f>
        <v/>
      </c>
      <c r="Z131" s="81" t="str">
        <f aca="false">IF(B131="","",MATCH(B131,T_AUX,0))</f>
        <v/>
      </c>
      <c r="AA131" s="81" t="str">
        <f aca="false">IF(B131="","",C131&amp;"|"&amp;(YEAR(ENVIO_PER)*100+MONTH(ENVIO_PER)))</f>
        <v/>
      </c>
      <c r="AB131" s="81" t="str">
        <f aca="false">IF(B131="","",INDEX(T_INGRESO,Z131))</f>
        <v/>
      </c>
      <c r="AC131" s="81" t="str">
        <f aca="false">IF(B131="","",N(INDEX(T_EGRESO,Z131)))</f>
        <v/>
      </c>
      <c r="AD131" s="81" t="str">
        <f aca="false">IF(B131="","",IF(OR(AB131&gt;EOMONTH(ENVIO_PER,0),AND(AC131&gt;0,AC131&lt;ENVIO_PER)),0,IF(AND(AB131&lt;=ENVIO_PER,OR(AC131=0,AC131&gt;=EOMONTH(ENVIO_PER,0))),30,MIN(30,IF(AC131=0,EOMONTH(ENVIO_PER,0),MIN(AC131,EOMONTH(ENVIO_PER,0)))-MAX(ENVIO_PER,AB131)+1))))</f>
        <v/>
      </c>
    </row>
    <row r="132" customFormat="false" ht="15" hidden="false" customHeight="false" outlineLevel="0" collapsed="false">
      <c r="B132" s="72" t="str">
        <f aca="false">IF(123&lt;=MAX(T_AUX),123,"")</f>
        <v/>
      </c>
      <c r="C132" s="72" t="str">
        <f aca="false">IF(B132="","",INDEX(T_ID,Z132))</f>
        <v/>
      </c>
      <c r="D132" s="72" t="str">
        <f aca="false">IF(B132="","",INDEX(T_RUT,Z132)&amp;"")</f>
        <v/>
      </c>
      <c r="E132" s="72" t="str">
        <f aca="false">IF(B132="","",INDEX(T_NOMBRE,Z132)&amp;"")</f>
        <v/>
      </c>
      <c r="F132" s="72" t="str">
        <f aca="false">IF(B132="","",INDEX(T_CARGO,Z132)&amp;"")</f>
        <v/>
      </c>
      <c r="G132" s="72" t="str">
        <f aca="false">IF(B132="","",IFERROR(INDEX(C_TIPO,MATCH(C132&amp;"-P"&amp;MAX(1,COUNTIFS(C_ID,C132,C_DEFINE,"Sí",C_INICIO,"&lt;="&amp;EOMONTH(ENVIO_PER,0))),C_CLAVE,0))&amp;"","Sin contrato"))</f>
        <v/>
      </c>
      <c r="H132" s="71" t="str">
        <f aca="false">IF(B132="","",IFERROR(INDEX(C_SUELDO,MATCH(C132&amp;"-S"&amp;MAX(1,COUNTIFS(C_ID,C132,C_SUELDO,"&lt;&gt;",C_INICIO,"&lt;="&amp;EOMONTH(ENVIO_PER,0))),C_CLAVES,0)),0))</f>
        <v/>
      </c>
      <c r="I132" s="70" t="str">
        <f aca="false">IF(B132="","",TRIM(IF(AND(AB132&gt;=ENVIO_PER,AB132&lt;=EOMONTH(ENVIO_PER,0)),"Ingresa el día "&amp;DAY(AB132)&amp;". ","")&amp;IF(AND(AC132&gt;0,AC132&gt;=ENVIO_PER,AC132&lt;=EOMONTH(ENVIO_PER,0)),"Egresa el día "&amp;DAY(AC132)&amp;".","")))</f>
        <v/>
      </c>
      <c r="J132" s="70" t="str">
        <f aca="false">IF(B132="","",IF(COUNTIFS(C_ID,C132,C_INICIO,"&gt;="&amp;ENVIO_PER,C_INICIO,"&lt;="&amp;EOMONTH(ENVIO_PER,0))&gt;0,COUNTIFS(C_ID,C132,C_INICIO,"&gt;="&amp;ENVIO_PER,C_INICIO,"&lt;="&amp;EOMONTH(ENVIO_PER,0))&amp;" documento(s) nuevo(s): ver Contratos",""))</f>
        <v/>
      </c>
      <c r="K132" s="74" t="str">
        <f aca="false">IF(B132="","",IF(COUNTIF(N_CLAVE,AA132)&gt;0,SUMIFS(N_DIAS,N_CLAVE,AA132),AD132))</f>
        <v/>
      </c>
      <c r="L132" s="74" t="str">
        <f aca="false">IF(B132="","",SUMIFS(N_FALTAS,N_CLAVE,AA132))</f>
        <v/>
      </c>
      <c r="M132" s="74" t="str">
        <f aca="false">IF(B132="","",SUMIFS(N_LIC,N_CLAVE,AA132))</f>
        <v/>
      </c>
      <c r="N132" s="74" t="str">
        <f aca="false">IF(B132="","",SUMIFS(N_PCG,N_CLAVE,AA132))</f>
        <v/>
      </c>
      <c r="O132" s="74" t="str">
        <f aca="false">IF(B132="","",SUMIFS(N_PSG,N_CLAVE,AA132))</f>
        <v/>
      </c>
      <c r="P132" s="74" t="str">
        <f aca="false">IF(B132="","",SUMIFS(V_DIAS,V_ID,C132,V_MES,ENVIO_PER))</f>
        <v/>
      </c>
      <c r="Q132" s="73" t="str">
        <f aca="false">IF(B132="","",SUMIFS(N_ATRASO,N_CLAVE,AA132))</f>
        <v/>
      </c>
      <c r="R132" s="74" t="str">
        <f aca="false">IF(B132="","",SUMIFS(N_HE,N_CLAVE,AA132))</f>
        <v/>
      </c>
      <c r="S132" s="71" t="str">
        <f aca="false">IF(B132="","",SUMIFS(N_ANT,N_CLAVE,AA132))</f>
        <v/>
      </c>
      <c r="T132" s="71" t="str">
        <f aca="false">IF(B132="","",SUMIFS(N_BONO,N_CLAVE,AA132))</f>
        <v/>
      </c>
      <c r="U132" s="71" t="str">
        <f aca="false">IF(B132="","",SUMIFS(N_ONI,N_CLAVE,AA132))</f>
        <v/>
      </c>
      <c r="V132" s="71" t="str">
        <f aca="false">IF(B132="","",SUMIFS(N_DESC,N_CLAVE,AA132))</f>
        <v/>
      </c>
      <c r="W132" s="72" t="str">
        <f aca="false">IF(B132="","",IFERROR(INDEX(N_OBS,MATCH(AA132,N_CLAVE,0))&amp;"",""))</f>
        <v/>
      </c>
      <c r="X132" s="70" t="str">
        <f aca="false">IF(B132="","",IF(COUNTIF(N_CLAVE,AA132)&gt;0,"Sí","⚠ Sin registro"))</f>
        <v/>
      </c>
      <c r="Z132" s="81" t="str">
        <f aca="false">IF(B132="","",MATCH(B132,T_AUX,0))</f>
        <v/>
      </c>
      <c r="AA132" s="81" t="str">
        <f aca="false">IF(B132="","",C132&amp;"|"&amp;(YEAR(ENVIO_PER)*100+MONTH(ENVIO_PER)))</f>
        <v/>
      </c>
      <c r="AB132" s="81" t="str">
        <f aca="false">IF(B132="","",INDEX(T_INGRESO,Z132))</f>
        <v/>
      </c>
      <c r="AC132" s="81" t="str">
        <f aca="false">IF(B132="","",N(INDEX(T_EGRESO,Z132)))</f>
        <v/>
      </c>
      <c r="AD132" s="81" t="str">
        <f aca="false">IF(B132="","",IF(OR(AB132&gt;EOMONTH(ENVIO_PER,0),AND(AC132&gt;0,AC132&lt;ENVIO_PER)),0,IF(AND(AB132&lt;=ENVIO_PER,OR(AC132=0,AC132&gt;=EOMONTH(ENVIO_PER,0))),30,MIN(30,IF(AC132=0,EOMONTH(ENVIO_PER,0),MIN(AC132,EOMONTH(ENVIO_PER,0)))-MAX(ENVIO_PER,AB132)+1))))</f>
        <v/>
      </c>
    </row>
    <row r="133" customFormat="false" ht="15" hidden="false" customHeight="false" outlineLevel="0" collapsed="false">
      <c r="B133" s="72" t="str">
        <f aca="false">IF(124&lt;=MAX(T_AUX),124,"")</f>
        <v/>
      </c>
      <c r="C133" s="72" t="str">
        <f aca="false">IF(B133="","",INDEX(T_ID,Z133))</f>
        <v/>
      </c>
      <c r="D133" s="72" t="str">
        <f aca="false">IF(B133="","",INDEX(T_RUT,Z133)&amp;"")</f>
        <v/>
      </c>
      <c r="E133" s="72" t="str">
        <f aca="false">IF(B133="","",INDEX(T_NOMBRE,Z133)&amp;"")</f>
        <v/>
      </c>
      <c r="F133" s="72" t="str">
        <f aca="false">IF(B133="","",INDEX(T_CARGO,Z133)&amp;"")</f>
        <v/>
      </c>
      <c r="G133" s="72" t="str">
        <f aca="false">IF(B133="","",IFERROR(INDEX(C_TIPO,MATCH(C133&amp;"-P"&amp;MAX(1,COUNTIFS(C_ID,C133,C_DEFINE,"Sí",C_INICIO,"&lt;="&amp;EOMONTH(ENVIO_PER,0))),C_CLAVE,0))&amp;"","Sin contrato"))</f>
        <v/>
      </c>
      <c r="H133" s="71" t="str">
        <f aca="false">IF(B133="","",IFERROR(INDEX(C_SUELDO,MATCH(C133&amp;"-S"&amp;MAX(1,COUNTIFS(C_ID,C133,C_SUELDO,"&lt;&gt;",C_INICIO,"&lt;="&amp;EOMONTH(ENVIO_PER,0))),C_CLAVES,0)),0))</f>
        <v/>
      </c>
      <c r="I133" s="70" t="str">
        <f aca="false">IF(B133="","",TRIM(IF(AND(AB133&gt;=ENVIO_PER,AB133&lt;=EOMONTH(ENVIO_PER,0)),"Ingresa el día "&amp;DAY(AB133)&amp;". ","")&amp;IF(AND(AC133&gt;0,AC133&gt;=ENVIO_PER,AC133&lt;=EOMONTH(ENVIO_PER,0)),"Egresa el día "&amp;DAY(AC133)&amp;".","")))</f>
        <v/>
      </c>
      <c r="J133" s="70" t="str">
        <f aca="false">IF(B133="","",IF(COUNTIFS(C_ID,C133,C_INICIO,"&gt;="&amp;ENVIO_PER,C_INICIO,"&lt;="&amp;EOMONTH(ENVIO_PER,0))&gt;0,COUNTIFS(C_ID,C133,C_INICIO,"&gt;="&amp;ENVIO_PER,C_INICIO,"&lt;="&amp;EOMONTH(ENVIO_PER,0))&amp;" documento(s) nuevo(s): ver Contratos",""))</f>
        <v/>
      </c>
      <c r="K133" s="74" t="str">
        <f aca="false">IF(B133="","",IF(COUNTIF(N_CLAVE,AA133)&gt;0,SUMIFS(N_DIAS,N_CLAVE,AA133),AD133))</f>
        <v/>
      </c>
      <c r="L133" s="74" t="str">
        <f aca="false">IF(B133="","",SUMIFS(N_FALTAS,N_CLAVE,AA133))</f>
        <v/>
      </c>
      <c r="M133" s="74" t="str">
        <f aca="false">IF(B133="","",SUMIFS(N_LIC,N_CLAVE,AA133))</f>
        <v/>
      </c>
      <c r="N133" s="74" t="str">
        <f aca="false">IF(B133="","",SUMIFS(N_PCG,N_CLAVE,AA133))</f>
        <v/>
      </c>
      <c r="O133" s="74" t="str">
        <f aca="false">IF(B133="","",SUMIFS(N_PSG,N_CLAVE,AA133))</f>
        <v/>
      </c>
      <c r="P133" s="74" t="str">
        <f aca="false">IF(B133="","",SUMIFS(V_DIAS,V_ID,C133,V_MES,ENVIO_PER))</f>
        <v/>
      </c>
      <c r="Q133" s="73" t="str">
        <f aca="false">IF(B133="","",SUMIFS(N_ATRASO,N_CLAVE,AA133))</f>
        <v/>
      </c>
      <c r="R133" s="74" t="str">
        <f aca="false">IF(B133="","",SUMIFS(N_HE,N_CLAVE,AA133))</f>
        <v/>
      </c>
      <c r="S133" s="71" t="str">
        <f aca="false">IF(B133="","",SUMIFS(N_ANT,N_CLAVE,AA133))</f>
        <v/>
      </c>
      <c r="T133" s="71" t="str">
        <f aca="false">IF(B133="","",SUMIFS(N_BONO,N_CLAVE,AA133))</f>
        <v/>
      </c>
      <c r="U133" s="71" t="str">
        <f aca="false">IF(B133="","",SUMIFS(N_ONI,N_CLAVE,AA133))</f>
        <v/>
      </c>
      <c r="V133" s="71" t="str">
        <f aca="false">IF(B133="","",SUMIFS(N_DESC,N_CLAVE,AA133))</f>
        <v/>
      </c>
      <c r="W133" s="72" t="str">
        <f aca="false">IF(B133="","",IFERROR(INDEX(N_OBS,MATCH(AA133,N_CLAVE,0))&amp;"",""))</f>
        <v/>
      </c>
      <c r="X133" s="70" t="str">
        <f aca="false">IF(B133="","",IF(COUNTIF(N_CLAVE,AA133)&gt;0,"Sí","⚠ Sin registro"))</f>
        <v/>
      </c>
      <c r="Z133" s="81" t="str">
        <f aca="false">IF(B133="","",MATCH(B133,T_AUX,0))</f>
        <v/>
      </c>
      <c r="AA133" s="81" t="str">
        <f aca="false">IF(B133="","",C133&amp;"|"&amp;(YEAR(ENVIO_PER)*100+MONTH(ENVIO_PER)))</f>
        <v/>
      </c>
      <c r="AB133" s="81" t="str">
        <f aca="false">IF(B133="","",INDEX(T_INGRESO,Z133))</f>
        <v/>
      </c>
      <c r="AC133" s="81" t="str">
        <f aca="false">IF(B133="","",N(INDEX(T_EGRESO,Z133)))</f>
        <v/>
      </c>
      <c r="AD133" s="81" t="str">
        <f aca="false">IF(B133="","",IF(OR(AB133&gt;EOMONTH(ENVIO_PER,0),AND(AC133&gt;0,AC133&lt;ENVIO_PER)),0,IF(AND(AB133&lt;=ENVIO_PER,OR(AC133=0,AC133&gt;=EOMONTH(ENVIO_PER,0))),30,MIN(30,IF(AC133=0,EOMONTH(ENVIO_PER,0),MIN(AC133,EOMONTH(ENVIO_PER,0)))-MAX(ENVIO_PER,AB133)+1))))</f>
        <v/>
      </c>
    </row>
    <row r="134" customFormat="false" ht="15" hidden="false" customHeight="false" outlineLevel="0" collapsed="false">
      <c r="B134" s="72" t="str">
        <f aca="false">IF(125&lt;=MAX(T_AUX),125,"")</f>
        <v/>
      </c>
      <c r="C134" s="72" t="str">
        <f aca="false">IF(B134="","",INDEX(T_ID,Z134))</f>
        <v/>
      </c>
      <c r="D134" s="72" t="str">
        <f aca="false">IF(B134="","",INDEX(T_RUT,Z134)&amp;"")</f>
        <v/>
      </c>
      <c r="E134" s="72" t="str">
        <f aca="false">IF(B134="","",INDEX(T_NOMBRE,Z134)&amp;"")</f>
        <v/>
      </c>
      <c r="F134" s="72" t="str">
        <f aca="false">IF(B134="","",INDEX(T_CARGO,Z134)&amp;"")</f>
        <v/>
      </c>
      <c r="G134" s="72" t="str">
        <f aca="false">IF(B134="","",IFERROR(INDEX(C_TIPO,MATCH(C134&amp;"-P"&amp;MAX(1,COUNTIFS(C_ID,C134,C_DEFINE,"Sí",C_INICIO,"&lt;="&amp;EOMONTH(ENVIO_PER,0))),C_CLAVE,0))&amp;"","Sin contrato"))</f>
        <v/>
      </c>
      <c r="H134" s="71" t="str">
        <f aca="false">IF(B134="","",IFERROR(INDEX(C_SUELDO,MATCH(C134&amp;"-S"&amp;MAX(1,COUNTIFS(C_ID,C134,C_SUELDO,"&lt;&gt;",C_INICIO,"&lt;="&amp;EOMONTH(ENVIO_PER,0))),C_CLAVES,0)),0))</f>
        <v/>
      </c>
      <c r="I134" s="70" t="str">
        <f aca="false">IF(B134="","",TRIM(IF(AND(AB134&gt;=ENVIO_PER,AB134&lt;=EOMONTH(ENVIO_PER,0)),"Ingresa el día "&amp;DAY(AB134)&amp;". ","")&amp;IF(AND(AC134&gt;0,AC134&gt;=ENVIO_PER,AC134&lt;=EOMONTH(ENVIO_PER,0)),"Egresa el día "&amp;DAY(AC134)&amp;".","")))</f>
        <v/>
      </c>
      <c r="J134" s="70" t="str">
        <f aca="false">IF(B134="","",IF(COUNTIFS(C_ID,C134,C_INICIO,"&gt;="&amp;ENVIO_PER,C_INICIO,"&lt;="&amp;EOMONTH(ENVIO_PER,0))&gt;0,COUNTIFS(C_ID,C134,C_INICIO,"&gt;="&amp;ENVIO_PER,C_INICIO,"&lt;="&amp;EOMONTH(ENVIO_PER,0))&amp;" documento(s) nuevo(s): ver Contratos",""))</f>
        <v/>
      </c>
      <c r="K134" s="74" t="str">
        <f aca="false">IF(B134="","",IF(COUNTIF(N_CLAVE,AA134)&gt;0,SUMIFS(N_DIAS,N_CLAVE,AA134),AD134))</f>
        <v/>
      </c>
      <c r="L134" s="74" t="str">
        <f aca="false">IF(B134="","",SUMIFS(N_FALTAS,N_CLAVE,AA134))</f>
        <v/>
      </c>
      <c r="M134" s="74" t="str">
        <f aca="false">IF(B134="","",SUMIFS(N_LIC,N_CLAVE,AA134))</f>
        <v/>
      </c>
      <c r="N134" s="74" t="str">
        <f aca="false">IF(B134="","",SUMIFS(N_PCG,N_CLAVE,AA134))</f>
        <v/>
      </c>
      <c r="O134" s="74" t="str">
        <f aca="false">IF(B134="","",SUMIFS(N_PSG,N_CLAVE,AA134))</f>
        <v/>
      </c>
      <c r="P134" s="74" t="str">
        <f aca="false">IF(B134="","",SUMIFS(V_DIAS,V_ID,C134,V_MES,ENVIO_PER))</f>
        <v/>
      </c>
      <c r="Q134" s="73" t="str">
        <f aca="false">IF(B134="","",SUMIFS(N_ATRASO,N_CLAVE,AA134))</f>
        <v/>
      </c>
      <c r="R134" s="74" t="str">
        <f aca="false">IF(B134="","",SUMIFS(N_HE,N_CLAVE,AA134))</f>
        <v/>
      </c>
      <c r="S134" s="71" t="str">
        <f aca="false">IF(B134="","",SUMIFS(N_ANT,N_CLAVE,AA134))</f>
        <v/>
      </c>
      <c r="T134" s="71" t="str">
        <f aca="false">IF(B134="","",SUMIFS(N_BONO,N_CLAVE,AA134))</f>
        <v/>
      </c>
      <c r="U134" s="71" t="str">
        <f aca="false">IF(B134="","",SUMIFS(N_ONI,N_CLAVE,AA134))</f>
        <v/>
      </c>
      <c r="V134" s="71" t="str">
        <f aca="false">IF(B134="","",SUMIFS(N_DESC,N_CLAVE,AA134))</f>
        <v/>
      </c>
      <c r="W134" s="72" t="str">
        <f aca="false">IF(B134="","",IFERROR(INDEX(N_OBS,MATCH(AA134,N_CLAVE,0))&amp;"",""))</f>
        <v/>
      </c>
      <c r="X134" s="70" t="str">
        <f aca="false">IF(B134="","",IF(COUNTIF(N_CLAVE,AA134)&gt;0,"Sí","⚠ Sin registro"))</f>
        <v/>
      </c>
      <c r="Z134" s="81" t="str">
        <f aca="false">IF(B134="","",MATCH(B134,T_AUX,0))</f>
        <v/>
      </c>
      <c r="AA134" s="81" t="str">
        <f aca="false">IF(B134="","",C134&amp;"|"&amp;(YEAR(ENVIO_PER)*100+MONTH(ENVIO_PER)))</f>
        <v/>
      </c>
      <c r="AB134" s="81" t="str">
        <f aca="false">IF(B134="","",INDEX(T_INGRESO,Z134))</f>
        <v/>
      </c>
      <c r="AC134" s="81" t="str">
        <f aca="false">IF(B134="","",N(INDEX(T_EGRESO,Z134)))</f>
        <v/>
      </c>
      <c r="AD134" s="81" t="str">
        <f aca="false">IF(B134="","",IF(OR(AB134&gt;EOMONTH(ENVIO_PER,0),AND(AC134&gt;0,AC134&lt;ENVIO_PER)),0,IF(AND(AB134&lt;=ENVIO_PER,OR(AC134=0,AC134&gt;=EOMONTH(ENVIO_PER,0))),30,MIN(30,IF(AC134=0,EOMONTH(ENVIO_PER,0),MIN(AC134,EOMONTH(ENVIO_PER,0)))-MAX(ENVIO_PER,AB134)+1))))</f>
        <v/>
      </c>
    </row>
    <row r="135" customFormat="false" ht="15" hidden="false" customHeight="false" outlineLevel="0" collapsed="false">
      <c r="B135" s="72" t="str">
        <f aca="false">IF(126&lt;=MAX(T_AUX),126,"")</f>
        <v/>
      </c>
      <c r="C135" s="72" t="str">
        <f aca="false">IF(B135="","",INDEX(T_ID,Z135))</f>
        <v/>
      </c>
      <c r="D135" s="72" t="str">
        <f aca="false">IF(B135="","",INDEX(T_RUT,Z135)&amp;"")</f>
        <v/>
      </c>
      <c r="E135" s="72" t="str">
        <f aca="false">IF(B135="","",INDEX(T_NOMBRE,Z135)&amp;"")</f>
        <v/>
      </c>
      <c r="F135" s="72" t="str">
        <f aca="false">IF(B135="","",INDEX(T_CARGO,Z135)&amp;"")</f>
        <v/>
      </c>
      <c r="G135" s="72" t="str">
        <f aca="false">IF(B135="","",IFERROR(INDEX(C_TIPO,MATCH(C135&amp;"-P"&amp;MAX(1,COUNTIFS(C_ID,C135,C_DEFINE,"Sí",C_INICIO,"&lt;="&amp;EOMONTH(ENVIO_PER,0))),C_CLAVE,0))&amp;"","Sin contrato"))</f>
        <v/>
      </c>
      <c r="H135" s="71" t="str">
        <f aca="false">IF(B135="","",IFERROR(INDEX(C_SUELDO,MATCH(C135&amp;"-S"&amp;MAX(1,COUNTIFS(C_ID,C135,C_SUELDO,"&lt;&gt;",C_INICIO,"&lt;="&amp;EOMONTH(ENVIO_PER,0))),C_CLAVES,0)),0))</f>
        <v/>
      </c>
      <c r="I135" s="70" t="str">
        <f aca="false">IF(B135="","",TRIM(IF(AND(AB135&gt;=ENVIO_PER,AB135&lt;=EOMONTH(ENVIO_PER,0)),"Ingresa el día "&amp;DAY(AB135)&amp;". ","")&amp;IF(AND(AC135&gt;0,AC135&gt;=ENVIO_PER,AC135&lt;=EOMONTH(ENVIO_PER,0)),"Egresa el día "&amp;DAY(AC135)&amp;".","")))</f>
        <v/>
      </c>
      <c r="J135" s="70" t="str">
        <f aca="false">IF(B135="","",IF(COUNTIFS(C_ID,C135,C_INICIO,"&gt;="&amp;ENVIO_PER,C_INICIO,"&lt;="&amp;EOMONTH(ENVIO_PER,0))&gt;0,COUNTIFS(C_ID,C135,C_INICIO,"&gt;="&amp;ENVIO_PER,C_INICIO,"&lt;="&amp;EOMONTH(ENVIO_PER,0))&amp;" documento(s) nuevo(s): ver Contratos",""))</f>
        <v/>
      </c>
      <c r="K135" s="74" t="str">
        <f aca="false">IF(B135="","",IF(COUNTIF(N_CLAVE,AA135)&gt;0,SUMIFS(N_DIAS,N_CLAVE,AA135),AD135))</f>
        <v/>
      </c>
      <c r="L135" s="74" t="str">
        <f aca="false">IF(B135="","",SUMIFS(N_FALTAS,N_CLAVE,AA135))</f>
        <v/>
      </c>
      <c r="M135" s="74" t="str">
        <f aca="false">IF(B135="","",SUMIFS(N_LIC,N_CLAVE,AA135))</f>
        <v/>
      </c>
      <c r="N135" s="74" t="str">
        <f aca="false">IF(B135="","",SUMIFS(N_PCG,N_CLAVE,AA135))</f>
        <v/>
      </c>
      <c r="O135" s="74" t="str">
        <f aca="false">IF(B135="","",SUMIFS(N_PSG,N_CLAVE,AA135))</f>
        <v/>
      </c>
      <c r="P135" s="74" t="str">
        <f aca="false">IF(B135="","",SUMIFS(V_DIAS,V_ID,C135,V_MES,ENVIO_PER))</f>
        <v/>
      </c>
      <c r="Q135" s="73" t="str">
        <f aca="false">IF(B135="","",SUMIFS(N_ATRASO,N_CLAVE,AA135))</f>
        <v/>
      </c>
      <c r="R135" s="74" t="str">
        <f aca="false">IF(B135="","",SUMIFS(N_HE,N_CLAVE,AA135))</f>
        <v/>
      </c>
      <c r="S135" s="71" t="str">
        <f aca="false">IF(B135="","",SUMIFS(N_ANT,N_CLAVE,AA135))</f>
        <v/>
      </c>
      <c r="T135" s="71" t="str">
        <f aca="false">IF(B135="","",SUMIFS(N_BONO,N_CLAVE,AA135))</f>
        <v/>
      </c>
      <c r="U135" s="71" t="str">
        <f aca="false">IF(B135="","",SUMIFS(N_ONI,N_CLAVE,AA135))</f>
        <v/>
      </c>
      <c r="V135" s="71" t="str">
        <f aca="false">IF(B135="","",SUMIFS(N_DESC,N_CLAVE,AA135))</f>
        <v/>
      </c>
      <c r="W135" s="72" t="str">
        <f aca="false">IF(B135="","",IFERROR(INDEX(N_OBS,MATCH(AA135,N_CLAVE,0))&amp;"",""))</f>
        <v/>
      </c>
      <c r="X135" s="70" t="str">
        <f aca="false">IF(B135="","",IF(COUNTIF(N_CLAVE,AA135)&gt;0,"Sí","⚠ Sin registro"))</f>
        <v/>
      </c>
      <c r="Z135" s="81" t="str">
        <f aca="false">IF(B135="","",MATCH(B135,T_AUX,0))</f>
        <v/>
      </c>
      <c r="AA135" s="81" t="str">
        <f aca="false">IF(B135="","",C135&amp;"|"&amp;(YEAR(ENVIO_PER)*100+MONTH(ENVIO_PER)))</f>
        <v/>
      </c>
      <c r="AB135" s="81" t="str">
        <f aca="false">IF(B135="","",INDEX(T_INGRESO,Z135))</f>
        <v/>
      </c>
      <c r="AC135" s="81" t="str">
        <f aca="false">IF(B135="","",N(INDEX(T_EGRESO,Z135)))</f>
        <v/>
      </c>
      <c r="AD135" s="81" t="str">
        <f aca="false">IF(B135="","",IF(OR(AB135&gt;EOMONTH(ENVIO_PER,0),AND(AC135&gt;0,AC135&lt;ENVIO_PER)),0,IF(AND(AB135&lt;=ENVIO_PER,OR(AC135=0,AC135&gt;=EOMONTH(ENVIO_PER,0))),30,MIN(30,IF(AC135=0,EOMONTH(ENVIO_PER,0),MIN(AC135,EOMONTH(ENVIO_PER,0)))-MAX(ENVIO_PER,AB135)+1))))</f>
        <v/>
      </c>
    </row>
    <row r="136" customFormat="false" ht="15" hidden="false" customHeight="false" outlineLevel="0" collapsed="false">
      <c r="B136" s="72" t="str">
        <f aca="false">IF(127&lt;=MAX(T_AUX),127,"")</f>
        <v/>
      </c>
      <c r="C136" s="72" t="str">
        <f aca="false">IF(B136="","",INDEX(T_ID,Z136))</f>
        <v/>
      </c>
      <c r="D136" s="72" t="str">
        <f aca="false">IF(B136="","",INDEX(T_RUT,Z136)&amp;"")</f>
        <v/>
      </c>
      <c r="E136" s="72" t="str">
        <f aca="false">IF(B136="","",INDEX(T_NOMBRE,Z136)&amp;"")</f>
        <v/>
      </c>
      <c r="F136" s="72" t="str">
        <f aca="false">IF(B136="","",INDEX(T_CARGO,Z136)&amp;"")</f>
        <v/>
      </c>
      <c r="G136" s="72" t="str">
        <f aca="false">IF(B136="","",IFERROR(INDEX(C_TIPO,MATCH(C136&amp;"-P"&amp;MAX(1,COUNTIFS(C_ID,C136,C_DEFINE,"Sí",C_INICIO,"&lt;="&amp;EOMONTH(ENVIO_PER,0))),C_CLAVE,0))&amp;"","Sin contrato"))</f>
        <v/>
      </c>
      <c r="H136" s="71" t="str">
        <f aca="false">IF(B136="","",IFERROR(INDEX(C_SUELDO,MATCH(C136&amp;"-S"&amp;MAX(1,COUNTIFS(C_ID,C136,C_SUELDO,"&lt;&gt;",C_INICIO,"&lt;="&amp;EOMONTH(ENVIO_PER,0))),C_CLAVES,0)),0))</f>
        <v/>
      </c>
      <c r="I136" s="70" t="str">
        <f aca="false">IF(B136="","",TRIM(IF(AND(AB136&gt;=ENVIO_PER,AB136&lt;=EOMONTH(ENVIO_PER,0)),"Ingresa el día "&amp;DAY(AB136)&amp;". ","")&amp;IF(AND(AC136&gt;0,AC136&gt;=ENVIO_PER,AC136&lt;=EOMONTH(ENVIO_PER,0)),"Egresa el día "&amp;DAY(AC136)&amp;".","")))</f>
        <v/>
      </c>
      <c r="J136" s="70" t="str">
        <f aca="false">IF(B136="","",IF(COUNTIFS(C_ID,C136,C_INICIO,"&gt;="&amp;ENVIO_PER,C_INICIO,"&lt;="&amp;EOMONTH(ENVIO_PER,0))&gt;0,COUNTIFS(C_ID,C136,C_INICIO,"&gt;="&amp;ENVIO_PER,C_INICIO,"&lt;="&amp;EOMONTH(ENVIO_PER,0))&amp;" documento(s) nuevo(s): ver Contratos",""))</f>
        <v/>
      </c>
      <c r="K136" s="74" t="str">
        <f aca="false">IF(B136="","",IF(COUNTIF(N_CLAVE,AA136)&gt;0,SUMIFS(N_DIAS,N_CLAVE,AA136),AD136))</f>
        <v/>
      </c>
      <c r="L136" s="74" t="str">
        <f aca="false">IF(B136="","",SUMIFS(N_FALTAS,N_CLAVE,AA136))</f>
        <v/>
      </c>
      <c r="M136" s="74" t="str">
        <f aca="false">IF(B136="","",SUMIFS(N_LIC,N_CLAVE,AA136))</f>
        <v/>
      </c>
      <c r="N136" s="74" t="str">
        <f aca="false">IF(B136="","",SUMIFS(N_PCG,N_CLAVE,AA136))</f>
        <v/>
      </c>
      <c r="O136" s="74" t="str">
        <f aca="false">IF(B136="","",SUMIFS(N_PSG,N_CLAVE,AA136))</f>
        <v/>
      </c>
      <c r="P136" s="74" t="str">
        <f aca="false">IF(B136="","",SUMIFS(V_DIAS,V_ID,C136,V_MES,ENVIO_PER))</f>
        <v/>
      </c>
      <c r="Q136" s="73" t="str">
        <f aca="false">IF(B136="","",SUMIFS(N_ATRASO,N_CLAVE,AA136))</f>
        <v/>
      </c>
      <c r="R136" s="74" t="str">
        <f aca="false">IF(B136="","",SUMIFS(N_HE,N_CLAVE,AA136))</f>
        <v/>
      </c>
      <c r="S136" s="71" t="str">
        <f aca="false">IF(B136="","",SUMIFS(N_ANT,N_CLAVE,AA136))</f>
        <v/>
      </c>
      <c r="T136" s="71" t="str">
        <f aca="false">IF(B136="","",SUMIFS(N_BONO,N_CLAVE,AA136))</f>
        <v/>
      </c>
      <c r="U136" s="71" t="str">
        <f aca="false">IF(B136="","",SUMIFS(N_ONI,N_CLAVE,AA136))</f>
        <v/>
      </c>
      <c r="V136" s="71" t="str">
        <f aca="false">IF(B136="","",SUMIFS(N_DESC,N_CLAVE,AA136))</f>
        <v/>
      </c>
      <c r="W136" s="72" t="str">
        <f aca="false">IF(B136="","",IFERROR(INDEX(N_OBS,MATCH(AA136,N_CLAVE,0))&amp;"",""))</f>
        <v/>
      </c>
      <c r="X136" s="70" t="str">
        <f aca="false">IF(B136="","",IF(COUNTIF(N_CLAVE,AA136)&gt;0,"Sí","⚠ Sin registro"))</f>
        <v/>
      </c>
      <c r="Z136" s="81" t="str">
        <f aca="false">IF(B136="","",MATCH(B136,T_AUX,0))</f>
        <v/>
      </c>
      <c r="AA136" s="81" t="str">
        <f aca="false">IF(B136="","",C136&amp;"|"&amp;(YEAR(ENVIO_PER)*100+MONTH(ENVIO_PER)))</f>
        <v/>
      </c>
      <c r="AB136" s="81" t="str">
        <f aca="false">IF(B136="","",INDEX(T_INGRESO,Z136))</f>
        <v/>
      </c>
      <c r="AC136" s="81" t="str">
        <f aca="false">IF(B136="","",N(INDEX(T_EGRESO,Z136)))</f>
        <v/>
      </c>
      <c r="AD136" s="81" t="str">
        <f aca="false">IF(B136="","",IF(OR(AB136&gt;EOMONTH(ENVIO_PER,0),AND(AC136&gt;0,AC136&lt;ENVIO_PER)),0,IF(AND(AB136&lt;=ENVIO_PER,OR(AC136=0,AC136&gt;=EOMONTH(ENVIO_PER,0))),30,MIN(30,IF(AC136=0,EOMONTH(ENVIO_PER,0),MIN(AC136,EOMONTH(ENVIO_PER,0)))-MAX(ENVIO_PER,AB136)+1))))</f>
        <v/>
      </c>
    </row>
    <row r="137" customFormat="false" ht="15" hidden="false" customHeight="false" outlineLevel="0" collapsed="false">
      <c r="B137" s="72" t="str">
        <f aca="false">IF(128&lt;=MAX(T_AUX),128,"")</f>
        <v/>
      </c>
      <c r="C137" s="72" t="str">
        <f aca="false">IF(B137="","",INDEX(T_ID,Z137))</f>
        <v/>
      </c>
      <c r="D137" s="72" t="str">
        <f aca="false">IF(B137="","",INDEX(T_RUT,Z137)&amp;"")</f>
        <v/>
      </c>
      <c r="E137" s="72" t="str">
        <f aca="false">IF(B137="","",INDEX(T_NOMBRE,Z137)&amp;"")</f>
        <v/>
      </c>
      <c r="F137" s="72" t="str">
        <f aca="false">IF(B137="","",INDEX(T_CARGO,Z137)&amp;"")</f>
        <v/>
      </c>
      <c r="G137" s="72" t="str">
        <f aca="false">IF(B137="","",IFERROR(INDEX(C_TIPO,MATCH(C137&amp;"-P"&amp;MAX(1,COUNTIFS(C_ID,C137,C_DEFINE,"Sí",C_INICIO,"&lt;="&amp;EOMONTH(ENVIO_PER,0))),C_CLAVE,0))&amp;"","Sin contrato"))</f>
        <v/>
      </c>
      <c r="H137" s="71" t="str">
        <f aca="false">IF(B137="","",IFERROR(INDEX(C_SUELDO,MATCH(C137&amp;"-S"&amp;MAX(1,COUNTIFS(C_ID,C137,C_SUELDO,"&lt;&gt;",C_INICIO,"&lt;="&amp;EOMONTH(ENVIO_PER,0))),C_CLAVES,0)),0))</f>
        <v/>
      </c>
      <c r="I137" s="70" t="str">
        <f aca="false">IF(B137="","",TRIM(IF(AND(AB137&gt;=ENVIO_PER,AB137&lt;=EOMONTH(ENVIO_PER,0)),"Ingresa el día "&amp;DAY(AB137)&amp;". ","")&amp;IF(AND(AC137&gt;0,AC137&gt;=ENVIO_PER,AC137&lt;=EOMONTH(ENVIO_PER,0)),"Egresa el día "&amp;DAY(AC137)&amp;".","")))</f>
        <v/>
      </c>
      <c r="J137" s="70" t="str">
        <f aca="false">IF(B137="","",IF(COUNTIFS(C_ID,C137,C_INICIO,"&gt;="&amp;ENVIO_PER,C_INICIO,"&lt;="&amp;EOMONTH(ENVIO_PER,0))&gt;0,COUNTIFS(C_ID,C137,C_INICIO,"&gt;="&amp;ENVIO_PER,C_INICIO,"&lt;="&amp;EOMONTH(ENVIO_PER,0))&amp;" documento(s) nuevo(s): ver Contratos",""))</f>
        <v/>
      </c>
      <c r="K137" s="74" t="str">
        <f aca="false">IF(B137="","",IF(COUNTIF(N_CLAVE,AA137)&gt;0,SUMIFS(N_DIAS,N_CLAVE,AA137),AD137))</f>
        <v/>
      </c>
      <c r="L137" s="74" t="str">
        <f aca="false">IF(B137="","",SUMIFS(N_FALTAS,N_CLAVE,AA137))</f>
        <v/>
      </c>
      <c r="M137" s="74" t="str">
        <f aca="false">IF(B137="","",SUMIFS(N_LIC,N_CLAVE,AA137))</f>
        <v/>
      </c>
      <c r="N137" s="74" t="str">
        <f aca="false">IF(B137="","",SUMIFS(N_PCG,N_CLAVE,AA137))</f>
        <v/>
      </c>
      <c r="O137" s="74" t="str">
        <f aca="false">IF(B137="","",SUMIFS(N_PSG,N_CLAVE,AA137))</f>
        <v/>
      </c>
      <c r="P137" s="74" t="str">
        <f aca="false">IF(B137="","",SUMIFS(V_DIAS,V_ID,C137,V_MES,ENVIO_PER))</f>
        <v/>
      </c>
      <c r="Q137" s="73" t="str">
        <f aca="false">IF(B137="","",SUMIFS(N_ATRASO,N_CLAVE,AA137))</f>
        <v/>
      </c>
      <c r="R137" s="74" t="str">
        <f aca="false">IF(B137="","",SUMIFS(N_HE,N_CLAVE,AA137))</f>
        <v/>
      </c>
      <c r="S137" s="71" t="str">
        <f aca="false">IF(B137="","",SUMIFS(N_ANT,N_CLAVE,AA137))</f>
        <v/>
      </c>
      <c r="T137" s="71" t="str">
        <f aca="false">IF(B137="","",SUMIFS(N_BONO,N_CLAVE,AA137))</f>
        <v/>
      </c>
      <c r="U137" s="71" t="str">
        <f aca="false">IF(B137="","",SUMIFS(N_ONI,N_CLAVE,AA137))</f>
        <v/>
      </c>
      <c r="V137" s="71" t="str">
        <f aca="false">IF(B137="","",SUMIFS(N_DESC,N_CLAVE,AA137))</f>
        <v/>
      </c>
      <c r="W137" s="72" t="str">
        <f aca="false">IF(B137="","",IFERROR(INDEX(N_OBS,MATCH(AA137,N_CLAVE,0))&amp;"",""))</f>
        <v/>
      </c>
      <c r="X137" s="70" t="str">
        <f aca="false">IF(B137="","",IF(COUNTIF(N_CLAVE,AA137)&gt;0,"Sí","⚠ Sin registro"))</f>
        <v/>
      </c>
      <c r="Z137" s="81" t="str">
        <f aca="false">IF(B137="","",MATCH(B137,T_AUX,0))</f>
        <v/>
      </c>
      <c r="AA137" s="81" t="str">
        <f aca="false">IF(B137="","",C137&amp;"|"&amp;(YEAR(ENVIO_PER)*100+MONTH(ENVIO_PER)))</f>
        <v/>
      </c>
      <c r="AB137" s="81" t="str">
        <f aca="false">IF(B137="","",INDEX(T_INGRESO,Z137))</f>
        <v/>
      </c>
      <c r="AC137" s="81" t="str">
        <f aca="false">IF(B137="","",N(INDEX(T_EGRESO,Z137)))</f>
        <v/>
      </c>
      <c r="AD137" s="81" t="str">
        <f aca="false">IF(B137="","",IF(OR(AB137&gt;EOMONTH(ENVIO_PER,0),AND(AC137&gt;0,AC137&lt;ENVIO_PER)),0,IF(AND(AB137&lt;=ENVIO_PER,OR(AC137=0,AC137&gt;=EOMONTH(ENVIO_PER,0))),30,MIN(30,IF(AC137=0,EOMONTH(ENVIO_PER,0),MIN(AC137,EOMONTH(ENVIO_PER,0)))-MAX(ENVIO_PER,AB137)+1))))</f>
        <v/>
      </c>
    </row>
    <row r="138" customFormat="false" ht="15" hidden="false" customHeight="false" outlineLevel="0" collapsed="false">
      <c r="B138" s="72" t="str">
        <f aca="false">IF(129&lt;=MAX(T_AUX),129,"")</f>
        <v/>
      </c>
      <c r="C138" s="72" t="str">
        <f aca="false">IF(B138="","",INDEX(T_ID,Z138))</f>
        <v/>
      </c>
      <c r="D138" s="72" t="str">
        <f aca="false">IF(B138="","",INDEX(T_RUT,Z138)&amp;"")</f>
        <v/>
      </c>
      <c r="E138" s="72" t="str">
        <f aca="false">IF(B138="","",INDEX(T_NOMBRE,Z138)&amp;"")</f>
        <v/>
      </c>
      <c r="F138" s="72" t="str">
        <f aca="false">IF(B138="","",INDEX(T_CARGO,Z138)&amp;"")</f>
        <v/>
      </c>
      <c r="G138" s="72" t="str">
        <f aca="false">IF(B138="","",IFERROR(INDEX(C_TIPO,MATCH(C138&amp;"-P"&amp;MAX(1,COUNTIFS(C_ID,C138,C_DEFINE,"Sí",C_INICIO,"&lt;="&amp;EOMONTH(ENVIO_PER,0))),C_CLAVE,0))&amp;"","Sin contrato"))</f>
        <v/>
      </c>
      <c r="H138" s="71" t="str">
        <f aca="false">IF(B138="","",IFERROR(INDEX(C_SUELDO,MATCH(C138&amp;"-S"&amp;MAX(1,COUNTIFS(C_ID,C138,C_SUELDO,"&lt;&gt;",C_INICIO,"&lt;="&amp;EOMONTH(ENVIO_PER,0))),C_CLAVES,0)),0))</f>
        <v/>
      </c>
      <c r="I138" s="70" t="str">
        <f aca="false">IF(B138="","",TRIM(IF(AND(AB138&gt;=ENVIO_PER,AB138&lt;=EOMONTH(ENVIO_PER,0)),"Ingresa el día "&amp;DAY(AB138)&amp;". ","")&amp;IF(AND(AC138&gt;0,AC138&gt;=ENVIO_PER,AC138&lt;=EOMONTH(ENVIO_PER,0)),"Egresa el día "&amp;DAY(AC138)&amp;".","")))</f>
        <v/>
      </c>
      <c r="J138" s="70" t="str">
        <f aca="false">IF(B138="","",IF(COUNTIFS(C_ID,C138,C_INICIO,"&gt;="&amp;ENVIO_PER,C_INICIO,"&lt;="&amp;EOMONTH(ENVIO_PER,0))&gt;0,COUNTIFS(C_ID,C138,C_INICIO,"&gt;="&amp;ENVIO_PER,C_INICIO,"&lt;="&amp;EOMONTH(ENVIO_PER,0))&amp;" documento(s) nuevo(s): ver Contratos",""))</f>
        <v/>
      </c>
      <c r="K138" s="74" t="str">
        <f aca="false">IF(B138="","",IF(COUNTIF(N_CLAVE,AA138)&gt;0,SUMIFS(N_DIAS,N_CLAVE,AA138),AD138))</f>
        <v/>
      </c>
      <c r="L138" s="74" t="str">
        <f aca="false">IF(B138="","",SUMIFS(N_FALTAS,N_CLAVE,AA138))</f>
        <v/>
      </c>
      <c r="M138" s="74" t="str">
        <f aca="false">IF(B138="","",SUMIFS(N_LIC,N_CLAVE,AA138))</f>
        <v/>
      </c>
      <c r="N138" s="74" t="str">
        <f aca="false">IF(B138="","",SUMIFS(N_PCG,N_CLAVE,AA138))</f>
        <v/>
      </c>
      <c r="O138" s="74" t="str">
        <f aca="false">IF(B138="","",SUMIFS(N_PSG,N_CLAVE,AA138))</f>
        <v/>
      </c>
      <c r="P138" s="74" t="str">
        <f aca="false">IF(B138="","",SUMIFS(V_DIAS,V_ID,C138,V_MES,ENVIO_PER))</f>
        <v/>
      </c>
      <c r="Q138" s="73" t="str">
        <f aca="false">IF(B138="","",SUMIFS(N_ATRASO,N_CLAVE,AA138))</f>
        <v/>
      </c>
      <c r="R138" s="74" t="str">
        <f aca="false">IF(B138="","",SUMIFS(N_HE,N_CLAVE,AA138))</f>
        <v/>
      </c>
      <c r="S138" s="71" t="str">
        <f aca="false">IF(B138="","",SUMIFS(N_ANT,N_CLAVE,AA138))</f>
        <v/>
      </c>
      <c r="T138" s="71" t="str">
        <f aca="false">IF(B138="","",SUMIFS(N_BONO,N_CLAVE,AA138))</f>
        <v/>
      </c>
      <c r="U138" s="71" t="str">
        <f aca="false">IF(B138="","",SUMIFS(N_ONI,N_CLAVE,AA138))</f>
        <v/>
      </c>
      <c r="V138" s="71" t="str">
        <f aca="false">IF(B138="","",SUMIFS(N_DESC,N_CLAVE,AA138))</f>
        <v/>
      </c>
      <c r="W138" s="72" t="str">
        <f aca="false">IF(B138="","",IFERROR(INDEX(N_OBS,MATCH(AA138,N_CLAVE,0))&amp;"",""))</f>
        <v/>
      </c>
      <c r="X138" s="70" t="str">
        <f aca="false">IF(B138="","",IF(COUNTIF(N_CLAVE,AA138)&gt;0,"Sí","⚠ Sin registro"))</f>
        <v/>
      </c>
      <c r="Z138" s="81" t="str">
        <f aca="false">IF(B138="","",MATCH(B138,T_AUX,0))</f>
        <v/>
      </c>
      <c r="AA138" s="81" t="str">
        <f aca="false">IF(B138="","",C138&amp;"|"&amp;(YEAR(ENVIO_PER)*100+MONTH(ENVIO_PER)))</f>
        <v/>
      </c>
      <c r="AB138" s="81" t="str">
        <f aca="false">IF(B138="","",INDEX(T_INGRESO,Z138))</f>
        <v/>
      </c>
      <c r="AC138" s="81" t="str">
        <f aca="false">IF(B138="","",N(INDEX(T_EGRESO,Z138)))</f>
        <v/>
      </c>
      <c r="AD138" s="81" t="str">
        <f aca="false">IF(B138="","",IF(OR(AB138&gt;EOMONTH(ENVIO_PER,0),AND(AC138&gt;0,AC138&lt;ENVIO_PER)),0,IF(AND(AB138&lt;=ENVIO_PER,OR(AC138=0,AC138&gt;=EOMONTH(ENVIO_PER,0))),30,MIN(30,IF(AC138=0,EOMONTH(ENVIO_PER,0),MIN(AC138,EOMONTH(ENVIO_PER,0)))-MAX(ENVIO_PER,AB138)+1))))</f>
        <v/>
      </c>
    </row>
    <row r="139" customFormat="false" ht="15" hidden="false" customHeight="false" outlineLevel="0" collapsed="false">
      <c r="B139" s="72" t="str">
        <f aca="false">IF(130&lt;=MAX(T_AUX),130,"")</f>
        <v/>
      </c>
      <c r="C139" s="72" t="str">
        <f aca="false">IF(B139="","",INDEX(T_ID,Z139))</f>
        <v/>
      </c>
      <c r="D139" s="72" t="str">
        <f aca="false">IF(B139="","",INDEX(T_RUT,Z139)&amp;"")</f>
        <v/>
      </c>
      <c r="E139" s="72" t="str">
        <f aca="false">IF(B139="","",INDEX(T_NOMBRE,Z139)&amp;"")</f>
        <v/>
      </c>
      <c r="F139" s="72" t="str">
        <f aca="false">IF(B139="","",INDEX(T_CARGO,Z139)&amp;"")</f>
        <v/>
      </c>
      <c r="G139" s="72" t="str">
        <f aca="false">IF(B139="","",IFERROR(INDEX(C_TIPO,MATCH(C139&amp;"-P"&amp;MAX(1,COUNTIFS(C_ID,C139,C_DEFINE,"Sí",C_INICIO,"&lt;="&amp;EOMONTH(ENVIO_PER,0))),C_CLAVE,0))&amp;"","Sin contrato"))</f>
        <v/>
      </c>
      <c r="H139" s="71" t="str">
        <f aca="false">IF(B139="","",IFERROR(INDEX(C_SUELDO,MATCH(C139&amp;"-S"&amp;MAX(1,COUNTIFS(C_ID,C139,C_SUELDO,"&lt;&gt;",C_INICIO,"&lt;="&amp;EOMONTH(ENVIO_PER,0))),C_CLAVES,0)),0))</f>
        <v/>
      </c>
      <c r="I139" s="70" t="str">
        <f aca="false">IF(B139="","",TRIM(IF(AND(AB139&gt;=ENVIO_PER,AB139&lt;=EOMONTH(ENVIO_PER,0)),"Ingresa el día "&amp;DAY(AB139)&amp;". ","")&amp;IF(AND(AC139&gt;0,AC139&gt;=ENVIO_PER,AC139&lt;=EOMONTH(ENVIO_PER,0)),"Egresa el día "&amp;DAY(AC139)&amp;".","")))</f>
        <v/>
      </c>
      <c r="J139" s="70" t="str">
        <f aca="false">IF(B139="","",IF(COUNTIFS(C_ID,C139,C_INICIO,"&gt;="&amp;ENVIO_PER,C_INICIO,"&lt;="&amp;EOMONTH(ENVIO_PER,0))&gt;0,COUNTIFS(C_ID,C139,C_INICIO,"&gt;="&amp;ENVIO_PER,C_INICIO,"&lt;="&amp;EOMONTH(ENVIO_PER,0))&amp;" documento(s) nuevo(s): ver Contratos",""))</f>
        <v/>
      </c>
      <c r="K139" s="74" t="str">
        <f aca="false">IF(B139="","",IF(COUNTIF(N_CLAVE,AA139)&gt;0,SUMIFS(N_DIAS,N_CLAVE,AA139),AD139))</f>
        <v/>
      </c>
      <c r="L139" s="74" t="str">
        <f aca="false">IF(B139="","",SUMIFS(N_FALTAS,N_CLAVE,AA139))</f>
        <v/>
      </c>
      <c r="M139" s="74" t="str">
        <f aca="false">IF(B139="","",SUMIFS(N_LIC,N_CLAVE,AA139))</f>
        <v/>
      </c>
      <c r="N139" s="74" t="str">
        <f aca="false">IF(B139="","",SUMIFS(N_PCG,N_CLAVE,AA139))</f>
        <v/>
      </c>
      <c r="O139" s="74" t="str">
        <f aca="false">IF(B139="","",SUMIFS(N_PSG,N_CLAVE,AA139))</f>
        <v/>
      </c>
      <c r="P139" s="74" t="str">
        <f aca="false">IF(B139="","",SUMIFS(V_DIAS,V_ID,C139,V_MES,ENVIO_PER))</f>
        <v/>
      </c>
      <c r="Q139" s="73" t="str">
        <f aca="false">IF(B139="","",SUMIFS(N_ATRASO,N_CLAVE,AA139))</f>
        <v/>
      </c>
      <c r="R139" s="74" t="str">
        <f aca="false">IF(B139="","",SUMIFS(N_HE,N_CLAVE,AA139))</f>
        <v/>
      </c>
      <c r="S139" s="71" t="str">
        <f aca="false">IF(B139="","",SUMIFS(N_ANT,N_CLAVE,AA139))</f>
        <v/>
      </c>
      <c r="T139" s="71" t="str">
        <f aca="false">IF(B139="","",SUMIFS(N_BONO,N_CLAVE,AA139))</f>
        <v/>
      </c>
      <c r="U139" s="71" t="str">
        <f aca="false">IF(B139="","",SUMIFS(N_ONI,N_CLAVE,AA139))</f>
        <v/>
      </c>
      <c r="V139" s="71" t="str">
        <f aca="false">IF(B139="","",SUMIFS(N_DESC,N_CLAVE,AA139))</f>
        <v/>
      </c>
      <c r="W139" s="72" t="str">
        <f aca="false">IF(B139="","",IFERROR(INDEX(N_OBS,MATCH(AA139,N_CLAVE,0))&amp;"",""))</f>
        <v/>
      </c>
      <c r="X139" s="70" t="str">
        <f aca="false">IF(B139="","",IF(COUNTIF(N_CLAVE,AA139)&gt;0,"Sí","⚠ Sin registro"))</f>
        <v/>
      </c>
      <c r="Z139" s="81" t="str">
        <f aca="false">IF(B139="","",MATCH(B139,T_AUX,0))</f>
        <v/>
      </c>
      <c r="AA139" s="81" t="str">
        <f aca="false">IF(B139="","",C139&amp;"|"&amp;(YEAR(ENVIO_PER)*100+MONTH(ENVIO_PER)))</f>
        <v/>
      </c>
      <c r="AB139" s="81" t="str">
        <f aca="false">IF(B139="","",INDEX(T_INGRESO,Z139))</f>
        <v/>
      </c>
      <c r="AC139" s="81" t="str">
        <f aca="false">IF(B139="","",N(INDEX(T_EGRESO,Z139)))</f>
        <v/>
      </c>
      <c r="AD139" s="81" t="str">
        <f aca="false">IF(B139="","",IF(OR(AB139&gt;EOMONTH(ENVIO_PER,0),AND(AC139&gt;0,AC139&lt;ENVIO_PER)),0,IF(AND(AB139&lt;=ENVIO_PER,OR(AC139=0,AC139&gt;=EOMONTH(ENVIO_PER,0))),30,MIN(30,IF(AC139=0,EOMONTH(ENVIO_PER,0),MIN(AC139,EOMONTH(ENVIO_PER,0)))-MAX(ENVIO_PER,AB139)+1))))</f>
        <v/>
      </c>
    </row>
    <row r="140" customFormat="false" ht="15" hidden="false" customHeight="false" outlineLevel="0" collapsed="false">
      <c r="B140" s="72" t="str">
        <f aca="false">IF(131&lt;=MAX(T_AUX),131,"")</f>
        <v/>
      </c>
      <c r="C140" s="72" t="str">
        <f aca="false">IF(B140="","",INDEX(T_ID,Z140))</f>
        <v/>
      </c>
      <c r="D140" s="72" t="str">
        <f aca="false">IF(B140="","",INDEX(T_RUT,Z140)&amp;"")</f>
        <v/>
      </c>
      <c r="E140" s="72" t="str">
        <f aca="false">IF(B140="","",INDEX(T_NOMBRE,Z140)&amp;"")</f>
        <v/>
      </c>
      <c r="F140" s="72" t="str">
        <f aca="false">IF(B140="","",INDEX(T_CARGO,Z140)&amp;"")</f>
        <v/>
      </c>
      <c r="G140" s="72" t="str">
        <f aca="false">IF(B140="","",IFERROR(INDEX(C_TIPO,MATCH(C140&amp;"-P"&amp;MAX(1,COUNTIFS(C_ID,C140,C_DEFINE,"Sí",C_INICIO,"&lt;="&amp;EOMONTH(ENVIO_PER,0))),C_CLAVE,0))&amp;"","Sin contrato"))</f>
        <v/>
      </c>
      <c r="H140" s="71" t="str">
        <f aca="false">IF(B140="","",IFERROR(INDEX(C_SUELDO,MATCH(C140&amp;"-S"&amp;MAX(1,COUNTIFS(C_ID,C140,C_SUELDO,"&lt;&gt;",C_INICIO,"&lt;="&amp;EOMONTH(ENVIO_PER,0))),C_CLAVES,0)),0))</f>
        <v/>
      </c>
      <c r="I140" s="70" t="str">
        <f aca="false">IF(B140="","",TRIM(IF(AND(AB140&gt;=ENVIO_PER,AB140&lt;=EOMONTH(ENVIO_PER,0)),"Ingresa el día "&amp;DAY(AB140)&amp;". ","")&amp;IF(AND(AC140&gt;0,AC140&gt;=ENVIO_PER,AC140&lt;=EOMONTH(ENVIO_PER,0)),"Egresa el día "&amp;DAY(AC140)&amp;".","")))</f>
        <v/>
      </c>
      <c r="J140" s="70" t="str">
        <f aca="false">IF(B140="","",IF(COUNTIFS(C_ID,C140,C_INICIO,"&gt;="&amp;ENVIO_PER,C_INICIO,"&lt;="&amp;EOMONTH(ENVIO_PER,0))&gt;0,COUNTIFS(C_ID,C140,C_INICIO,"&gt;="&amp;ENVIO_PER,C_INICIO,"&lt;="&amp;EOMONTH(ENVIO_PER,0))&amp;" documento(s) nuevo(s): ver Contratos",""))</f>
        <v/>
      </c>
      <c r="K140" s="74" t="str">
        <f aca="false">IF(B140="","",IF(COUNTIF(N_CLAVE,AA140)&gt;0,SUMIFS(N_DIAS,N_CLAVE,AA140),AD140))</f>
        <v/>
      </c>
      <c r="L140" s="74" t="str">
        <f aca="false">IF(B140="","",SUMIFS(N_FALTAS,N_CLAVE,AA140))</f>
        <v/>
      </c>
      <c r="M140" s="74" t="str">
        <f aca="false">IF(B140="","",SUMIFS(N_LIC,N_CLAVE,AA140))</f>
        <v/>
      </c>
      <c r="N140" s="74" t="str">
        <f aca="false">IF(B140="","",SUMIFS(N_PCG,N_CLAVE,AA140))</f>
        <v/>
      </c>
      <c r="O140" s="74" t="str">
        <f aca="false">IF(B140="","",SUMIFS(N_PSG,N_CLAVE,AA140))</f>
        <v/>
      </c>
      <c r="P140" s="74" t="str">
        <f aca="false">IF(B140="","",SUMIFS(V_DIAS,V_ID,C140,V_MES,ENVIO_PER))</f>
        <v/>
      </c>
      <c r="Q140" s="73" t="str">
        <f aca="false">IF(B140="","",SUMIFS(N_ATRASO,N_CLAVE,AA140))</f>
        <v/>
      </c>
      <c r="R140" s="74" t="str">
        <f aca="false">IF(B140="","",SUMIFS(N_HE,N_CLAVE,AA140))</f>
        <v/>
      </c>
      <c r="S140" s="71" t="str">
        <f aca="false">IF(B140="","",SUMIFS(N_ANT,N_CLAVE,AA140))</f>
        <v/>
      </c>
      <c r="T140" s="71" t="str">
        <f aca="false">IF(B140="","",SUMIFS(N_BONO,N_CLAVE,AA140))</f>
        <v/>
      </c>
      <c r="U140" s="71" t="str">
        <f aca="false">IF(B140="","",SUMIFS(N_ONI,N_CLAVE,AA140))</f>
        <v/>
      </c>
      <c r="V140" s="71" t="str">
        <f aca="false">IF(B140="","",SUMIFS(N_DESC,N_CLAVE,AA140))</f>
        <v/>
      </c>
      <c r="W140" s="72" t="str">
        <f aca="false">IF(B140="","",IFERROR(INDEX(N_OBS,MATCH(AA140,N_CLAVE,0))&amp;"",""))</f>
        <v/>
      </c>
      <c r="X140" s="70" t="str">
        <f aca="false">IF(B140="","",IF(COUNTIF(N_CLAVE,AA140)&gt;0,"Sí","⚠ Sin registro"))</f>
        <v/>
      </c>
      <c r="Z140" s="81" t="str">
        <f aca="false">IF(B140="","",MATCH(B140,T_AUX,0))</f>
        <v/>
      </c>
      <c r="AA140" s="81" t="str">
        <f aca="false">IF(B140="","",C140&amp;"|"&amp;(YEAR(ENVIO_PER)*100+MONTH(ENVIO_PER)))</f>
        <v/>
      </c>
      <c r="AB140" s="81" t="str">
        <f aca="false">IF(B140="","",INDEX(T_INGRESO,Z140))</f>
        <v/>
      </c>
      <c r="AC140" s="81" t="str">
        <f aca="false">IF(B140="","",N(INDEX(T_EGRESO,Z140)))</f>
        <v/>
      </c>
      <c r="AD140" s="81" t="str">
        <f aca="false">IF(B140="","",IF(OR(AB140&gt;EOMONTH(ENVIO_PER,0),AND(AC140&gt;0,AC140&lt;ENVIO_PER)),0,IF(AND(AB140&lt;=ENVIO_PER,OR(AC140=0,AC140&gt;=EOMONTH(ENVIO_PER,0))),30,MIN(30,IF(AC140=0,EOMONTH(ENVIO_PER,0),MIN(AC140,EOMONTH(ENVIO_PER,0)))-MAX(ENVIO_PER,AB140)+1))))</f>
        <v/>
      </c>
    </row>
    <row r="141" customFormat="false" ht="15" hidden="false" customHeight="false" outlineLevel="0" collapsed="false">
      <c r="B141" s="72" t="str">
        <f aca="false">IF(132&lt;=MAX(T_AUX),132,"")</f>
        <v/>
      </c>
      <c r="C141" s="72" t="str">
        <f aca="false">IF(B141="","",INDEX(T_ID,Z141))</f>
        <v/>
      </c>
      <c r="D141" s="72" t="str">
        <f aca="false">IF(B141="","",INDEX(T_RUT,Z141)&amp;"")</f>
        <v/>
      </c>
      <c r="E141" s="72" t="str">
        <f aca="false">IF(B141="","",INDEX(T_NOMBRE,Z141)&amp;"")</f>
        <v/>
      </c>
      <c r="F141" s="72" t="str">
        <f aca="false">IF(B141="","",INDEX(T_CARGO,Z141)&amp;"")</f>
        <v/>
      </c>
      <c r="G141" s="72" t="str">
        <f aca="false">IF(B141="","",IFERROR(INDEX(C_TIPO,MATCH(C141&amp;"-P"&amp;MAX(1,COUNTIFS(C_ID,C141,C_DEFINE,"Sí",C_INICIO,"&lt;="&amp;EOMONTH(ENVIO_PER,0))),C_CLAVE,0))&amp;"","Sin contrato"))</f>
        <v/>
      </c>
      <c r="H141" s="71" t="str">
        <f aca="false">IF(B141="","",IFERROR(INDEX(C_SUELDO,MATCH(C141&amp;"-S"&amp;MAX(1,COUNTIFS(C_ID,C141,C_SUELDO,"&lt;&gt;",C_INICIO,"&lt;="&amp;EOMONTH(ENVIO_PER,0))),C_CLAVES,0)),0))</f>
        <v/>
      </c>
      <c r="I141" s="70" t="str">
        <f aca="false">IF(B141="","",TRIM(IF(AND(AB141&gt;=ENVIO_PER,AB141&lt;=EOMONTH(ENVIO_PER,0)),"Ingresa el día "&amp;DAY(AB141)&amp;". ","")&amp;IF(AND(AC141&gt;0,AC141&gt;=ENVIO_PER,AC141&lt;=EOMONTH(ENVIO_PER,0)),"Egresa el día "&amp;DAY(AC141)&amp;".","")))</f>
        <v/>
      </c>
      <c r="J141" s="70" t="str">
        <f aca="false">IF(B141="","",IF(COUNTIFS(C_ID,C141,C_INICIO,"&gt;="&amp;ENVIO_PER,C_INICIO,"&lt;="&amp;EOMONTH(ENVIO_PER,0))&gt;0,COUNTIFS(C_ID,C141,C_INICIO,"&gt;="&amp;ENVIO_PER,C_INICIO,"&lt;="&amp;EOMONTH(ENVIO_PER,0))&amp;" documento(s) nuevo(s): ver Contratos",""))</f>
        <v/>
      </c>
      <c r="K141" s="74" t="str">
        <f aca="false">IF(B141="","",IF(COUNTIF(N_CLAVE,AA141)&gt;0,SUMIFS(N_DIAS,N_CLAVE,AA141),AD141))</f>
        <v/>
      </c>
      <c r="L141" s="74" t="str">
        <f aca="false">IF(B141="","",SUMIFS(N_FALTAS,N_CLAVE,AA141))</f>
        <v/>
      </c>
      <c r="M141" s="74" t="str">
        <f aca="false">IF(B141="","",SUMIFS(N_LIC,N_CLAVE,AA141))</f>
        <v/>
      </c>
      <c r="N141" s="74" t="str">
        <f aca="false">IF(B141="","",SUMIFS(N_PCG,N_CLAVE,AA141))</f>
        <v/>
      </c>
      <c r="O141" s="74" t="str">
        <f aca="false">IF(B141="","",SUMIFS(N_PSG,N_CLAVE,AA141))</f>
        <v/>
      </c>
      <c r="P141" s="74" t="str">
        <f aca="false">IF(B141="","",SUMIFS(V_DIAS,V_ID,C141,V_MES,ENVIO_PER))</f>
        <v/>
      </c>
      <c r="Q141" s="73" t="str">
        <f aca="false">IF(B141="","",SUMIFS(N_ATRASO,N_CLAVE,AA141))</f>
        <v/>
      </c>
      <c r="R141" s="74" t="str">
        <f aca="false">IF(B141="","",SUMIFS(N_HE,N_CLAVE,AA141))</f>
        <v/>
      </c>
      <c r="S141" s="71" t="str">
        <f aca="false">IF(B141="","",SUMIFS(N_ANT,N_CLAVE,AA141))</f>
        <v/>
      </c>
      <c r="T141" s="71" t="str">
        <f aca="false">IF(B141="","",SUMIFS(N_BONO,N_CLAVE,AA141))</f>
        <v/>
      </c>
      <c r="U141" s="71" t="str">
        <f aca="false">IF(B141="","",SUMIFS(N_ONI,N_CLAVE,AA141))</f>
        <v/>
      </c>
      <c r="V141" s="71" t="str">
        <f aca="false">IF(B141="","",SUMIFS(N_DESC,N_CLAVE,AA141))</f>
        <v/>
      </c>
      <c r="W141" s="72" t="str">
        <f aca="false">IF(B141="","",IFERROR(INDEX(N_OBS,MATCH(AA141,N_CLAVE,0))&amp;"",""))</f>
        <v/>
      </c>
      <c r="X141" s="70" t="str">
        <f aca="false">IF(B141="","",IF(COUNTIF(N_CLAVE,AA141)&gt;0,"Sí","⚠ Sin registro"))</f>
        <v/>
      </c>
      <c r="Z141" s="81" t="str">
        <f aca="false">IF(B141="","",MATCH(B141,T_AUX,0))</f>
        <v/>
      </c>
      <c r="AA141" s="81" t="str">
        <f aca="false">IF(B141="","",C141&amp;"|"&amp;(YEAR(ENVIO_PER)*100+MONTH(ENVIO_PER)))</f>
        <v/>
      </c>
      <c r="AB141" s="81" t="str">
        <f aca="false">IF(B141="","",INDEX(T_INGRESO,Z141))</f>
        <v/>
      </c>
      <c r="AC141" s="81" t="str">
        <f aca="false">IF(B141="","",N(INDEX(T_EGRESO,Z141)))</f>
        <v/>
      </c>
      <c r="AD141" s="81" t="str">
        <f aca="false">IF(B141="","",IF(OR(AB141&gt;EOMONTH(ENVIO_PER,0),AND(AC141&gt;0,AC141&lt;ENVIO_PER)),0,IF(AND(AB141&lt;=ENVIO_PER,OR(AC141=0,AC141&gt;=EOMONTH(ENVIO_PER,0))),30,MIN(30,IF(AC141=0,EOMONTH(ENVIO_PER,0),MIN(AC141,EOMONTH(ENVIO_PER,0)))-MAX(ENVIO_PER,AB141)+1))))</f>
        <v/>
      </c>
    </row>
    <row r="142" customFormat="false" ht="15" hidden="false" customHeight="false" outlineLevel="0" collapsed="false">
      <c r="B142" s="72" t="str">
        <f aca="false">IF(133&lt;=MAX(T_AUX),133,"")</f>
        <v/>
      </c>
      <c r="C142" s="72" t="str">
        <f aca="false">IF(B142="","",INDEX(T_ID,Z142))</f>
        <v/>
      </c>
      <c r="D142" s="72" t="str">
        <f aca="false">IF(B142="","",INDEX(T_RUT,Z142)&amp;"")</f>
        <v/>
      </c>
      <c r="E142" s="72" t="str">
        <f aca="false">IF(B142="","",INDEX(T_NOMBRE,Z142)&amp;"")</f>
        <v/>
      </c>
      <c r="F142" s="72" t="str">
        <f aca="false">IF(B142="","",INDEX(T_CARGO,Z142)&amp;"")</f>
        <v/>
      </c>
      <c r="G142" s="72" t="str">
        <f aca="false">IF(B142="","",IFERROR(INDEX(C_TIPO,MATCH(C142&amp;"-P"&amp;MAX(1,COUNTIFS(C_ID,C142,C_DEFINE,"Sí",C_INICIO,"&lt;="&amp;EOMONTH(ENVIO_PER,0))),C_CLAVE,0))&amp;"","Sin contrato"))</f>
        <v/>
      </c>
      <c r="H142" s="71" t="str">
        <f aca="false">IF(B142="","",IFERROR(INDEX(C_SUELDO,MATCH(C142&amp;"-S"&amp;MAX(1,COUNTIFS(C_ID,C142,C_SUELDO,"&lt;&gt;",C_INICIO,"&lt;="&amp;EOMONTH(ENVIO_PER,0))),C_CLAVES,0)),0))</f>
        <v/>
      </c>
      <c r="I142" s="70" t="str">
        <f aca="false">IF(B142="","",TRIM(IF(AND(AB142&gt;=ENVIO_PER,AB142&lt;=EOMONTH(ENVIO_PER,0)),"Ingresa el día "&amp;DAY(AB142)&amp;". ","")&amp;IF(AND(AC142&gt;0,AC142&gt;=ENVIO_PER,AC142&lt;=EOMONTH(ENVIO_PER,0)),"Egresa el día "&amp;DAY(AC142)&amp;".","")))</f>
        <v/>
      </c>
      <c r="J142" s="70" t="str">
        <f aca="false">IF(B142="","",IF(COUNTIFS(C_ID,C142,C_INICIO,"&gt;="&amp;ENVIO_PER,C_INICIO,"&lt;="&amp;EOMONTH(ENVIO_PER,0))&gt;0,COUNTIFS(C_ID,C142,C_INICIO,"&gt;="&amp;ENVIO_PER,C_INICIO,"&lt;="&amp;EOMONTH(ENVIO_PER,0))&amp;" documento(s) nuevo(s): ver Contratos",""))</f>
        <v/>
      </c>
      <c r="K142" s="74" t="str">
        <f aca="false">IF(B142="","",IF(COUNTIF(N_CLAVE,AA142)&gt;0,SUMIFS(N_DIAS,N_CLAVE,AA142),AD142))</f>
        <v/>
      </c>
      <c r="L142" s="74" t="str">
        <f aca="false">IF(B142="","",SUMIFS(N_FALTAS,N_CLAVE,AA142))</f>
        <v/>
      </c>
      <c r="M142" s="74" t="str">
        <f aca="false">IF(B142="","",SUMIFS(N_LIC,N_CLAVE,AA142))</f>
        <v/>
      </c>
      <c r="N142" s="74" t="str">
        <f aca="false">IF(B142="","",SUMIFS(N_PCG,N_CLAVE,AA142))</f>
        <v/>
      </c>
      <c r="O142" s="74" t="str">
        <f aca="false">IF(B142="","",SUMIFS(N_PSG,N_CLAVE,AA142))</f>
        <v/>
      </c>
      <c r="P142" s="74" t="str">
        <f aca="false">IF(B142="","",SUMIFS(V_DIAS,V_ID,C142,V_MES,ENVIO_PER))</f>
        <v/>
      </c>
      <c r="Q142" s="73" t="str">
        <f aca="false">IF(B142="","",SUMIFS(N_ATRASO,N_CLAVE,AA142))</f>
        <v/>
      </c>
      <c r="R142" s="74" t="str">
        <f aca="false">IF(B142="","",SUMIFS(N_HE,N_CLAVE,AA142))</f>
        <v/>
      </c>
      <c r="S142" s="71" t="str">
        <f aca="false">IF(B142="","",SUMIFS(N_ANT,N_CLAVE,AA142))</f>
        <v/>
      </c>
      <c r="T142" s="71" t="str">
        <f aca="false">IF(B142="","",SUMIFS(N_BONO,N_CLAVE,AA142))</f>
        <v/>
      </c>
      <c r="U142" s="71" t="str">
        <f aca="false">IF(B142="","",SUMIFS(N_ONI,N_CLAVE,AA142))</f>
        <v/>
      </c>
      <c r="V142" s="71" t="str">
        <f aca="false">IF(B142="","",SUMIFS(N_DESC,N_CLAVE,AA142))</f>
        <v/>
      </c>
      <c r="W142" s="72" t="str">
        <f aca="false">IF(B142="","",IFERROR(INDEX(N_OBS,MATCH(AA142,N_CLAVE,0))&amp;"",""))</f>
        <v/>
      </c>
      <c r="X142" s="70" t="str">
        <f aca="false">IF(B142="","",IF(COUNTIF(N_CLAVE,AA142)&gt;0,"Sí","⚠ Sin registro"))</f>
        <v/>
      </c>
      <c r="Z142" s="81" t="str">
        <f aca="false">IF(B142="","",MATCH(B142,T_AUX,0))</f>
        <v/>
      </c>
      <c r="AA142" s="81" t="str">
        <f aca="false">IF(B142="","",C142&amp;"|"&amp;(YEAR(ENVIO_PER)*100+MONTH(ENVIO_PER)))</f>
        <v/>
      </c>
      <c r="AB142" s="81" t="str">
        <f aca="false">IF(B142="","",INDEX(T_INGRESO,Z142))</f>
        <v/>
      </c>
      <c r="AC142" s="81" t="str">
        <f aca="false">IF(B142="","",N(INDEX(T_EGRESO,Z142)))</f>
        <v/>
      </c>
      <c r="AD142" s="81" t="str">
        <f aca="false">IF(B142="","",IF(OR(AB142&gt;EOMONTH(ENVIO_PER,0),AND(AC142&gt;0,AC142&lt;ENVIO_PER)),0,IF(AND(AB142&lt;=ENVIO_PER,OR(AC142=0,AC142&gt;=EOMONTH(ENVIO_PER,0))),30,MIN(30,IF(AC142=0,EOMONTH(ENVIO_PER,0),MIN(AC142,EOMONTH(ENVIO_PER,0)))-MAX(ENVIO_PER,AB142)+1))))</f>
        <v/>
      </c>
    </row>
    <row r="143" customFormat="false" ht="15" hidden="false" customHeight="false" outlineLevel="0" collapsed="false">
      <c r="B143" s="72" t="str">
        <f aca="false">IF(134&lt;=MAX(T_AUX),134,"")</f>
        <v/>
      </c>
      <c r="C143" s="72" t="str">
        <f aca="false">IF(B143="","",INDEX(T_ID,Z143))</f>
        <v/>
      </c>
      <c r="D143" s="72" t="str">
        <f aca="false">IF(B143="","",INDEX(T_RUT,Z143)&amp;"")</f>
        <v/>
      </c>
      <c r="E143" s="72" t="str">
        <f aca="false">IF(B143="","",INDEX(T_NOMBRE,Z143)&amp;"")</f>
        <v/>
      </c>
      <c r="F143" s="72" t="str">
        <f aca="false">IF(B143="","",INDEX(T_CARGO,Z143)&amp;"")</f>
        <v/>
      </c>
      <c r="G143" s="72" t="str">
        <f aca="false">IF(B143="","",IFERROR(INDEX(C_TIPO,MATCH(C143&amp;"-P"&amp;MAX(1,COUNTIFS(C_ID,C143,C_DEFINE,"Sí",C_INICIO,"&lt;="&amp;EOMONTH(ENVIO_PER,0))),C_CLAVE,0))&amp;"","Sin contrato"))</f>
        <v/>
      </c>
      <c r="H143" s="71" t="str">
        <f aca="false">IF(B143="","",IFERROR(INDEX(C_SUELDO,MATCH(C143&amp;"-S"&amp;MAX(1,COUNTIFS(C_ID,C143,C_SUELDO,"&lt;&gt;",C_INICIO,"&lt;="&amp;EOMONTH(ENVIO_PER,0))),C_CLAVES,0)),0))</f>
        <v/>
      </c>
      <c r="I143" s="70" t="str">
        <f aca="false">IF(B143="","",TRIM(IF(AND(AB143&gt;=ENVIO_PER,AB143&lt;=EOMONTH(ENVIO_PER,0)),"Ingresa el día "&amp;DAY(AB143)&amp;". ","")&amp;IF(AND(AC143&gt;0,AC143&gt;=ENVIO_PER,AC143&lt;=EOMONTH(ENVIO_PER,0)),"Egresa el día "&amp;DAY(AC143)&amp;".","")))</f>
        <v/>
      </c>
      <c r="J143" s="70" t="str">
        <f aca="false">IF(B143="","",IF(COUNTIFS(C_ID,C143,C_INICIO,"&gt;="&amp;ENVIO_PER,C_INICIO,"&lt;="&amp;EOMONTH(ENVIO_PER,0))&gt;0,COUNTIFS(C_ID,C143,C_INICIO,"&gt;="&amp;ENVIO_PER,C_INICIO,"&lt;="&amp;EOMONTH(ENVIO_PER,0))&amp;" documento(s) nuevo(s): ver Contratos",""))</f>
        <v/>
      </c>
      <c r="K143" s="74" t="str">
        <f aca="false">IF(B143="","",IF(COUNTIF(N_CLAVE,AA143)&gt;0,SUMIFS(N_DIAS,N_CLAVE,AA143),AD143))</f>
        <v/>
      </c>
      <c r="L143" s="74" t="str">
        <f aca="false">IF(B143="","",SUMIFS(N_FALTAS,N_CLAVE,AA143))</f>
        <v/>
      </c>
      <c r="M143" s="74" t="str">
        <f aca="false">IF(B143="","",SUMIFS(N_LIC,N_CLAVE,AA143))</f>
        <v/>
      </c>
      <c r="N143" s="74" t="str">
        <f aca="false">IF(B143="","",SUMIFS(N_PCG,N_CLAVE,AA143))</f>
        <v/>
      </c>
      <c r="O143" s="74" t="str">
        <f aca="false">IF(B143="","",SUMIFS(N_PSG,N_CLAVE,AA143))</f>
        <v/>
      </c>
      <c r="P143" s="74" t="str">
        <f aca="false">IF(B143="","",SUMIFS(V_DIAS,V_ID,C143,V_MES,ENVIO_PER))</f>
        <v/>
      </c>
      <c r="Q143" s="73" t="str">
        <f aca="false">IF(B143="","",SUMIFS(N_ATRASO,N_CLAVE,AA143))</f>
        <v/>
      </c>
      <c r="R143" s="74" t="str">
        <f aca="false">IF(B143="","",SUMIFS(N_HE,N_CLAVE,AA143))</f>
        <v/>
      </c>
      <c r="S143" s="71" t="str">
        <f aca="false">IF(B143="","",SUMIFS(N_ANT,N_CLAVE,AA143))</f>
        <v/>
      </c>
      <c r="T143" s="71" t="str">
        <f aca="false">IF(B143="","",SUMIFS(N_BONO,N_CLAVE,AA143))</f>
        <v/>
      </c>
      <c r="U143" s="71" t="str">
        <f aca="false">IF(B143="","",SUMIFS(N_ONI,N_CLAVE,AA143))</f>
        <v/>
      </c>
      <c r="V143" s="71" t="str">
        <f aca="false">IF(B143="","",SUMIFS(N_DESC,N_CLAVE,AA143))</f>
        <v/>
      </c>
      <c r="W143" s="72" t="str">
        <f aca="false">IF(B143="","",IFERROR(INDEX(N_OBS,MATCH(AA143,N_CLAVE,0))&amp;"",""))</f>
        <v/>
      </c>
      <c r="X143" s="70" t="str">
        <f aca="false">IF(B143="","",IF(COUNTIF(N_CLAVE,AA143)&gt;0,"Sí","⚠ Sin registro"))</f>
        <v/>
      </c>
      <c r="Z143" s="81" t="str">
        <f aca="false">IF(B143="","",MATCH(B143,T_AUX,0))</f>
        <v/>
      </c>
      <c r="AA143" s="81" t="str">
        <f aca="false">IF(B143="","",C143&amp;"|"&amp;(YEAR(ENVIO_PER)*100+MONTH(ENVIO_PER)))</f>
        <v/>
      </c>
      <c r="AB143" s="81" t="str">
        <f aca="false">IF(B143="","",INDEX(T_INGRESO,Z143))</f>
        <v/>
      </c>
      <c r="AC143" s="81" t="str">
        <f aca="false">IF(B143="","",N(INDEX(T_EGRESO,Z143)))</f>
        <v/>
      </c>
      <c r="AD143" s="81" t="str">
        <f aca="false">IF(B143="","",IF(OR(AB143&gt;EOMONTH(ENVIO_PER,0),AND(AC143&gt;0,AC143&lt;ENVIO_PER)),0,IF(AND(AB143&lt;=ENVIO_PER,OR(AC143=0,AC143&gt;=EOMONTH(ENVIO_PER,0))),30,MIN(30,IF(AC143=0,EOMONTH(ENVIO_PER,0),MIN(AC143,EOMONTH(ENVIO_PER,0)))-MAX(ENVIO_PER,AB143)+1))))</f>
        <v/>
      </c>
    </row>
    <row r="144" customFormat="false" ht="15" hidden="false" customHeight="false" outlineLevel="0" collapsed="false">
      <c r="B144" s="72" t="str">
        <f aca="false">IF(135&lt;=MAX(T_AUX),135,"")</f>
        <v/>
      </c>
      <c r="C144" s="72" t="str">
        <f aca="false">IF(B144="","",INDEX(T_ID,Z144))</f>
        <v/>
      </c>
      <c r="D144" s="72" t="str">
        <f aca="false">IF(B144="","",INDEX(T_RUT,Z144)&amp;"")</f>
        <v/>
      </c>
      <c r="E144" s="72" t="str">
        <f aca="false">IF(B144="","",INDEX(T_NOMBRE,Z144)&amp;"")</f>
        <v/>
      </c>
      <c r="F144" s="72" t="str">
        <f aca="false">IF(B144="","",INDEX(T_CARGO,Z144)&amp;"")</f>
        <v/>
      </c>
      <c r="G144" s="72" t="str">
        <f aca="false">IF(B144="","",IFERROR(INDEX(C_TIPO,MATCH(C144&amp;"-P"&amp;MAX(1,COUNTIFS(C_ID,C144,C_DEFINE,"Sí",C_INICIO,"&lt;="&amp;EOMONTH(ENVIO_PER,0))),C_CLAVE,0))&amp;"","Sin contrato"))</f>
        <v/>
      </c>
      <c r="H144" s="71" t="str">
        <f aca="false">IF(B144="","",IFERROR(INDEX(C_SUELDO,MATCH(C144&amp;"-S"&amp;MAX(1,COUNTIFS(C_ID,C144,C_SUELDO,"&lt;&gt;",C_INICIO,"&lt;="&amp;EOMONTH(ENVIO_PER,0))),C_CLAVES,0)),0))</f>
        <v/>
      </c>
      <c r="I144" s="70" t="str">
        <f aca="false">IF(B144="","",TRIM(IF(AND(AB144&gt;=ENVIO_PER,AB144&lt;=EOMONTH(ENVIO_PER,0)),"Ingresa el día "&amp;DAY(AB144)&amp;". ","")&amp;IF(AND(AC144&gt;0,AC144&gt;=ENVIO_PER,AC144&lt;=EOMONTH(ENVIO_PER,0)),"Egresa el día "&amp;DAY(AC144)&amp;".","")))</f>
        <v/>
      </c>
      <c r="J144" s="70" t="str">
        <f aca="false">IF(B144="","",IF(COUNTIFS(C_ID,C144,C_INICIO,"&gt;="&amp;ENVIO_PER,C_INICIO,"&lt;="&amp;EOMONTH(ENVIO_PER,0))&gt;0,COUNTIFS(C_ID,C144,C_INICIO,"&gt;="&amp;ENVIO_PER,C_INICIO,"&lt;="&amp;EOMONTH(ENVIO_PER,0))&amp;" documento(s) nuevo(s): ver Contratos",""))</f>
        <v/>
      </c>
      <c r="K144" s="74" t="str">
        <f aca="false">IF(B144="","",IF(COUNTIF(N_CLAVE,AA144)&gt;0,SUMIFS(N_DIAS,N_CLAVE,AA144),AD144))</f>
        <v/>
      </c>
      <c r="L144" s="74" t="str">
        <f aca="false">IF(B144="","",SUMIFS(N_FALTAS,N_CLAVE,AA144))</f>
        <v/>
      </c>
      <c r="M144" s="74" t="str">
        <f aca="false">IF(B144="","",SUMIFS(N_LIC,N_CLAVE,AA144))</f>
        <v/>
      </c>
      <c r="N144" s="74" t="str">
        <f aca="false">IF(B144="","",SUMIFS(N_PCG,N_CLAVE,AA144))</f>
        <v/>
      </c>
      <c r="O144" s="74" t="str">
        <f aca="false">IF(B144="","",SUMIFS(N_PSG,N_CLAVE,AA144))</f>
        <v/>
      </c>
      <c r="P144" s="74" t="str">
        <f aca="false">IF(B144="","",SUMIFS(V_DIAS,V_ID,C144,V_MES,ENVIO_PER))</f>
        <v/>
      </c>
      <c r="Q144" s="73" t="str">
        <f aca="false">IF(B144="","",SUMIFS(N_ATRASO,N_CLAVE,AA144))</f>
        <v/>
      </c>
      <c r="R144" s="74" t="str">
        <f aca="false">IF(B144="","",SUMIFS(N_HE,N_CLAVE,AA144))</f>
        <v/>
      </c>
      <c r="S144" s="71" t="str">
        <f aca="false">IF(B144="","",SUMIFS(N_ANT,N_CLAVE,AA144))</f>
        <v/>
      </c>
      <c r="T144" s="71" t="str">
        <f aca="false">IF(B144="","",SUMIFS(N_BONO,N_CLAVE,AA144))</f>
        <v/>
      </c>
      <c r="U144" s="71" t="str">
        <f aca="false">IF(B144="","",SUMIFS(N_ONI,N_CLAVE,AA144))</f>
        <v/>
      </c>
      <c r="V144" s="71" t="str">
        <f aca="false">IF(B144="","",SUMIFS(N_DESC,N_CLAVE,AA144))</f>
        <v/>
      </c>
      <c r="W144" s="72" t="str">
        <f aca="false">IF(B144="","",IFERROR(INDEX(N_OBS,MATCH(AA144,N_CLAVE,0))&amp;"",""))</f>
        <v/>
      </c>
      <c r="X144" s="70" t="str">
        <f aca="false">IF(B144="","",IF(COUNTIF(N_CLAVE,AA144)&gt;0,"Sí","⚠ Sin registro"))</f>
        <v/>
      </c>
      <c r="Z144" s="81" t="str">
        <f aca="false">IF(B144="","",MATCH(B144,T_AUX,0))</f>
        <v/>
      </c>
      <c r="AA144" s="81" t="str">
        <f aca="false">IF(B144="","",C144&amp;"|"&amp;(YEAR(ENVIO_PER)*100+MONTH(ENVIO_PER)))</f>
        <v/>
      </c>
      <c r="AB144" s="81" t="str">
        <f aca="false">IF(B144="","",INDEX(T_INGRESO,Z144))</f>
        <v/>
      </c>
      <c r="AC144" s="81" t="str">
        <f aca="false">IF(B144="","",N(INDEX(T_EGRESO,Z144)))</f>
        <v/>
      </c>
      <c r="AD144" s="81" t="str">
        <f aca="false">IF(B144="","",IF(OR(AB144&gt;EOMONTH(ENVIO_PER,0),AND(AC144&gt;0,AC144&lt;ENVIO_PER)),0,IF(AND(AB144&lt;=ENVIO_PER,OR(AC144=0,AC144&gt;=EOMONTH(ENVIO_PER,0))),30,MIN(30,IF(AC144=0,EOMONTH(ENVIO_PER,0),MIN(AC144,EOMONTH(ENVIO_PER,0)))-MAX(ENVIO_PER,AB144)+1))))</f>
        <v/>
      </c>
    </row>
    <row r="145" customFormat="false" ht="15" hidden="false" customHeight="false" outlineLevel="0" collapsed="false">
      <c r="B145" s="72" t="str">
        <f aca="false">IF(136&lt;=MAX(T_AUX),136,"")</f>
        <v/>
      </c>
      <c r="C145" s="72" t="str">
        <f aca="false">IF(B145="","",INDEX(T_ID,Z145))</f>
        <v/>
      </c>
      <c r="D145" s="72" t="str">
        <f aca="false">IF(B145="","",INDEX(T_RUT,Z145)&amp;"")</f>
        <v/>
      </c>
      <c r="E145" s="72" t="str">
        <f aca="false">IF(B145="","",INDEX(T_NOMBRE,Z145)&amp;"")</f>
        <v/>
      </c>
      <c r="F145" s="72" t="str">
        <f aca="false">IF(B145="","",INDEX(T_CARGO,Z145)&amp;"")</f>
        <v/>
      </c>
      <c r="G145" s="72" t="str">
        <f aca="false">IF(B145="","",IFERROR(INDEX(C_TIPO,MATCH(C145&amp;"-P"&amp;MAX(1,COUNTIFS(C_ID,C145,C_DEFINE,"Sí",C_INICIO,"&lt;="&amp;EOMONTH(ENVIO_PER,0))),C_CLAVE,0))&amp;"","Sin contrato"))</f>
        <v/>
      </c>
      <c r="H145" s="71" t="str">
        <f aca="false">IF(B145="","",IFERROR(INDEX(C_SUELDO,MATCH(C145&amp;"-S"&amp;MAX(1,COUNTIFS(C_ID,C145,C_SUELDO,"&lt;&gt;",C_INICIO,"&lt;="&amp;EOMONTH(ENVIO_PER,0))),C_CLAVES,0)),0))</f>
        <v/>
      </c>
      <c r="I145" s="70" t="str">
        <f aca="false">IF(B145="","",TRIM(IF(AND(AB145&gt;=ENVIO_PER,AB145&lt;=EOMONTH(ENVIO_PER,0)),"Ingresa el día "&amp;DAY(AB145)&amp;". ","")&amp;IF(AND(AC145&gt;0,AC145&gt;=ENVIO_PER,AC145&lt;=EOMONTH(ENVIO_PER,0)),"Egresa el día "&amp;DAY(AC145)&amp;".","")))</f>
        <v/>
      </c>
      <c r="J145" s="70" t="str">
        <f aca="false">IF(B145="","",IF(COUNTIFS(C_ID,C145,C_INICIO,"&gt;="&amp;ENVIO_PER,C_INICIO,"&lt;="&amp;EOMONTH(ENVIO_PER,0))&gt;0,COUNTIFS(C_ID,C145,C_INICIO,"&gt;="&amp;ENVIO_PER,C_INICIO,"&lt;="&amp;EOMONTH(ENVIO_PER,0))&amp;" documento(s) nuevo(s): ver Contratos",""))</f>
        <v/>
      </c>
      <c r="K145" s="74" t="str">
        <f aca="false">IF(B145="","",IF(COUNTIF(N_CLAVE,AA145)&gt;0,SUMIFS(N_DIAS,N_CLAVE,AA145),AD145))</f>
        <v/>
      </c>
      <c r="L145" s="74" t="str">
        <f aca="false">IF(B145="","",SUMIFS(N_FALTAS,N_CLAVE,AA145))</f>
        <v/>
      </c>
      <c r="M145" s="74" t="str">
        <f aca="false">IF(B145="","",SUMIFS(N_LIC,N_CLAVE,AA145))</f>
        <v/>
      </c>
      <c r="N145" s="74" t="str">
        <f aca="false">IF(B145="","",SUMIFS(N_PCG,N_CLAVE,AA145))</f>
        <v/>
      </c>
      <c r="O145" s="74" t="str">
        <f aca="false">IF(B145="","",SUMIFS(N_PSG,N_CLAVE,AA145))</f>
        <v/>
      </c>
      <c r="P145" s="74" t="str">
        <f aca="false">IF(B145="","",SUMIFS(V_DIAS,V_ID,C145,V_MES,ENVIO_PER))</f>
        <v/>
      </c>
      <c r="Q145" s="73" t="str">
        <f aca="false">IF(B145="","",SUMIFS(N_ATRASO,N_CLAVE,AA145))</f>
        <v/>
      </c>
      <c r="R145" s="74" t="str">
        <f aca="false">IF(B145="","",SUMIFS(N_HE,N_CLAVE,AA145))</f>
        <v/>
      </c>
      <c r="S145" s="71" t="str">
        <f aca="false">IF(B145="","",SUMIFS(N_ANT,N_CLAVE,AA145))</f>
        <v/>
      </c>
      <c r="T145" s="71" t="str">
        <f aca="false">IF(B145="","",SUMIFS(N_BONO,N_CLAVE,AA145))</f>
        <v/>
      </c>
      <c r="U145" s="71" t="str">
        <f aca="false">IF(B145="","",SUMIFS(N_ONI,N_CLAVE,AA145))</f>
        <v/>
      </c>
      <c r="V145" s="71" t="str">
        <f aca="false">IF(B145="","",SUMIFS(N_DESC,N_CLAVE,AA145))</f>
        <v/>
      </c>
      <c r="W145" s="72" t="str">
        <f aca="false">IF(B145="","",IFERROR(INDEX(N_OBS,MATCH(AA145,N_CLAVE,0))&amp;"",""))</f>
        <v/>
      </c>
      <c r="X145" s="70" t="str">
        <f aca="false">IF(B145="","",IF(COUNTIF(N_CLAVE,AA145)&gt;0,"Sí","⚠ Sin registro"))</f>
        <v/>
      </c>
      <c r="Z145" s="81" t="str">
        <f aca="false">IF(B145="","",MATCH(B145,T_AUX,0))</f>
        <v/>
      </c>
      <c r="AA145" s="81" t="str">
        <f aca="false">IF(B145="","",C145&amp;"|"&amp;(YEAR(ENVIO_PER)*100+MONTH(ENVIO_PER)))</f>
        <v/>
      </c>
      <c r="AB145" s="81" t="str">
        <f aca="false">IF(B145="","",INDEX(T_INGRESO,Z145))</f>
        <v/>
      </c>
      <c r="AC145" s="81" t="str">
        <f aca="false">IF(B145="","",N(INDEX(T_EGRESO,Z145)))</f>
        <v/>
      </c>
      <c r="AD145" s="81" t="str">
        <f aca="false">IF(B145="","",IF(OR(AB145&gt;EOMONTH(ENVIO_PER,0),AND(AC145&gt;0,AC145&lt;ENVIO_PER)),0,IF(AND(AB145&lt;=ENVIO_PER,OR(AC145=0,AC145&gt;=EOMONTH(ENVIO_PER,0))),30,MIN(30,IF(AC145=0,EOMONTH(ENVIO_PER,0),MIN(AC145,EOMONTH(ENVIO_PER,0)))-MAX(ENVIO_PER,AB145)+1))))</f>
        <v/>
      </c>
    </row>
    <row r="146" customFormat="false" ht="15" hidden="false" customHeight="false" outlineLevel="0" collapsed="false">
      <c r="B146" s="72" t="str">
        <f aca="false">IF(137&lt;=MAX(T_AUX),137,"")</f>
        <v/>
      </c>
      <c r="C146" s="72" t="str">
        <f aca="false">IF(B146="","",INDEX(T_ID,Z146))</f>
        <v/>
      </c>
      <c r="D146" s="72" t="str">
        <f aca="false">IF(B146="","",INDEX(T_RUT,Z146)&amp;"")</f>
        <v/>
      </c>
      <c r="E146" s="72" t="str">
        <f aca="false">IF(B146="","",INDEX(T_NOMBRE,Z146)&amp;"")</f>
        <v/>
      </c>
      <c r="F146" s="72" t="str">
        <f aca="false">IF(B146="","",INDEX(T_CARGO,Z146)&amp;"")</f>
        <v/>
      </c>
      <c r="G146" s="72" t="str">
        <f aca="false">IF(B146="","",IFERROR(INDEX(C_TIPO,MATCH(C146&amp;"-P"&amp;MAX(1,COUNTIFS(C_ID,C146,C_DEFINE,"Sí",C_INICIO,"&lt;="&amp;EOMONTH(ENVIO_PER,0))),C_CLAVE,0))&amp;"","Sin contrato"))</f>
        <v/>
      </c>
      <c r="H146" s="71" t="str">
        <f aca="false">IF(B146="","",IFERROR(INDEX(C_SUELDO,MATCH(C146&amp;"-S"&amp;MAX(1,COUNTIFS(C_ID,C146,C_SUELDO,"&lt;&gt;",C_INICIO,"&lt;="&amp;EOMONTH(ENVIO_PER,0))),C_CLAVES,0)),0))</f>
        <v/>
      </c>
      <c r="I146" s="70" t="str">
        <f aca="false">IF(B146="","",TRIM(IF(AND(AB146&gt;=ENVIO_PER,AB146&lt;=EOMONTH(ENVIO_PER,0)),"Ingresa el día "&amp;DAY(AB146)&amp;". ","")&amp;IF(AND(AC146&gt;0,AC146&gt;=ENVIO_PER,AC146&lt;=EOMONTH(ENVIO_PER,0)),"Egresa el día "&amp;DAY(AC146)&amp;".","")))</f>
        <v/>
      </c>
      <c r="J146" s="70" t="str">
        <f aca="false">IF(B146="","",IF(COUNTIFS(C_ID,C146,C_INICIO,"&gt;="&amp;ENVIO_PER,C_INICIO,"&lt;="&amp;EOMONTH(ENVIO_PER,0))&gt;0,COUNTIFS(C_ID,C146,C_INICIO,"&gt;="&amp;ENVIO_PER,C_INICIO,"&lt;="&amp;EOMONTH(ENVIO_PER,0))&amp;" documento(s) nuevo(s): ver Contratos",""))</f>
        <v/>
      </c>
      <c r="K146" s="74" t="str">
        <f aca="false">IF(B146="","",IF(COUNTIF(N_CLAVE,AA146)&gt;0,SUMIFS(N_DIAS,N_CLAVE,AA146),AD146))</f>
        <v/>
      </c>
      <c r="L146" s="74" t="str">
        <f aca="false">IF(B146="","",SUMIFS(N_FALTAS,N_CLAVE,AA146))</f>
        <v/>
      </c>
      <c r="M146" s="74" t="str">
        <f aca="false">IF(B146="","",SUMIFS(N_LIC,N_CLAVE,AA146))</f>
        <v/>
      </c>
      <c r="N146" s="74" t="str">
        <f aca="false">IF(B146="","",SUMIFS(N_PCG,N_CLAVE,AA146))</f>
        <v/>
      </c>
      <c r="O146" s="74" t="str">
        <f aca="false">IF(B146="","",SUMIFS(N_PSG,N_CLAVE,AA146))</f>
        <v/>
      </c>
      <c r="P146" s="74" t="str">
        <f aca="false">IF(B146="","",SUMIFS(V_DIAS,V_ID,C146,V_MES,ENVIO_PER))</f>
        <v/>
      </c>
      <c r="Q146" s="73" t="str">
        <f aca="false">IF(B146="","",SUMIFS(N_ATRASO,N_CLAVE,AA146))</f>
        <v/>
      </c>
      <c r="R146" s="74" t="str">
        <f aca="false">IF(B146="","",SUMIFS(N_HE,N_CLAVE,AA146))</f>
        <v/>
      </c>
      <c r="S146" s="71" t="str">
        <f aca="false">IF(B146="","",SUMIFS(N_ANT,N_CLAVE,AA146))</f>
        <v/>
      </c>
      <c r="T146" s="71" t="str">
        <f aca="false">IF(B146="","",SUMIFS(N_BONO,N_CLAVE,AA146))</f>
        <v/>
      </c>
      <c r="U146" s="71" t="str">
        <f aca="false">IF(B146="","",SUMIFS(N_ONI,N_CLAVE,AA146))</f>
        <v/>
      </c>
      <c r="V146" s="71" t="str">
        <f aca="false">IF(B146="","",SUMIFS(N_DESC,N_CLAVE,AA146))</f>
        <v/>
      </c>
      <c r="W146" s="72" t="str">
        <f aca="false">IF(B146="","",IFERROR(INDEX(N_OBS,MATCH(AA146,N_CLAVE,0))&amp;"",""))</f>
        <v/>
      </c>
      <c r="X146" s="70" t="str">
        <f aca="false">IF(B146="","",IF(COUNTIF(N_CLAVE,AA146)&gt;0,"Sí","⚠ Sin registro"))</f>
        <v/>
      </c>
      <c r="Z146" s="81" t="str">
        <f aca="false">IF(B146="","",MATCH(B146,T_AUX,0))</f>
        <v/>
      </c>
      <c r="AA146" s="81" t="str">
        <f aca="false">IF(B146="","",C146&amp;"|"&amp;(YEAR(ENVIO_PER)*100+MONTH(ENVIO_PER)))</f>
        <v/>
      </c>
      <c r="AB146" s="81" t="str">
        <f aca="false">IF(B146="","",INDEX(T_INGRESO,Z146))</f>
        <v/>
      </c>
      <c r="AC146" s="81" t="str">
        <f aca="false">IF(B146="","",N(INDEX(T_EGRESO,Z146)))</f>
        <v/>
      </c>
      <c r="AD146" s="81" t="str">
        <f aca="false">IF(B146="","",IF(OR(AB146&gt;EOMONTH(ENVIO_PER,0),AND(AC146&gt;0,AC146&lt;ENVIO_PER)),0,IF(AND(AB146&lt;=ENVIO_PER,OR(AC146=0,AC146&gt;=EOMONTH(ENVIO_PER,0))),30,MIN(30,IF(AC146=0,EOMONTH(ENVIO_PER,0),MIN(AC146,EOMONTH(ENVIO_PER,0)))-MAX(ENVIO_PER,AB146)+1))))</f>
        <v/>
      </c>
    </row>
    <row r="147" customFormat="false" ht="15" hidden="false" customHeight="false" outlineLevel="0" collapsed="false">
      <c r="B147" s="72" t="str">
        <f aca="false">IF(138&lt;=MAX(T_AUX),138,"")</f>
        <v/>
      </c>
      <c r="C147" s="72" t="str">
        <f aca="false">IF(B147="","",INDEX(T_ID,Z147))</f>
        <v/>
      </c>
      <c r="D147" s="72" t="str">
        <f aca="false">IF(B147="","",INDEX(T_RUT,Z147)&amp;"")</f>
        <v/>
      </c>
      <c r="E147" s="72" t="str">
        <f aca="false">IF(B147="","",INDEX(T_NOMBRE,Z147)&amp;"")</f>
        <v/>
      </c>
      <c r="F147" s="72" t="str">
        <f aca="false">IF(B147="","",INDEX(T_CARGO,Z147)&amp;"")</f>
        <v/>
      </c>
      <c r="G147" s="72" t="str">
        <f aca="false">IF(B147="","",IFERROR(INDEX(C_TIPO,MATCH(C147&amp;"-P"&amp;MAX(1,COUNTIFS(C_ID,C147,C_DEFINE,"Sí",C_INICIO,"&lt;="&amp;EOMONTH(ENVIO_PER,0))),C_CLAVE,0))&amp;"","Sin contrato"))</f>
        <v/>
      </c>
      <c r="H147" s="71" t="str">
        <f aca="false">IF(B147="","",IFERROR(INDEX(C_SUELDO,MATCH(C147&amp;"-S"&amp;MAX(1,COUNTIFS(C_ID,C147,C_SUELDO,"&lt;&gt;",C_INICIO,"&lt;="&amp;EOMONTH(ENVIO_PER,0))),C_CLAVES,0)),0))</f>
        <v/>
      </c>
      <c r="I147" s="70" t="str">
        <f aca="false">IF(B147="","",TRIM(IF(AND(AB147&gt;=ENVIO_PER,AB147&lt;=EOMONTH(ENVIO_PER,0)),"Ingresa el día "&amp;DAY(AB147)&amp;". ","")&amp;IF(AND(AC147&gt;0,AC147&gt;=ENVIO_PER,AC147&lt;=EOMONTH(ENVIO_PER,0)),"Egresa el día "&amp;DAY(AC147)&amp;".","")))</f>
        <v/>
      </c>
      <c r="J147" s="70" t="str">
        <f aca="false">IF(B147="","",IF(COUNTIFS(C_ID,C147,C_INICIO,"&gt;="&amp;ENVIO_PER,C_INICIO,"&lt;="&amp;EOMONTH(ENVIO_PER,0))&gt;0,COUNTIFS(C_ID,C147,C_INICIO,"&gt;="&amp;ENVIO_PER,C_INICIO,"&lt;="&amp;EOMONTH(ENVIO_PER,0))&amp;" documento(s) nuevo(s): ver Contratos",""))</f>
        <v/>
      </c>
      <c r="K147" s="74" t="str">
        <f aca="false">IF(B147="","",IF(COUNTIF(N_CLAVE,AA147)&gt;0,SUMIFS(N_DIAS,N_CLAVE,AA147),AD147))</f>
        <v/>
      </c>
      <c r="L147" s="74" t="str">
        <f aca="false">IF(B147="","",SUMIFS(N_FALTAS,N_CLAVE,AA147))</f>
        <v/>
      </c>
      <c r="M147" s="74" t="str">
        <f aca="false">IF(B147="","",SUMIFS(N_LIC,N_CLAVE,AA147))</f>
        <v/>
      </c>
      <c r="N147" s="74" t="str">
        <f aca="false">IF(B147="","",SUMIFS(N_PCG,N_CLAVE,AA147))</f>
        <v/>
      </c>
      <c r="O147" s="74" t="str">
        <f aca="false">IF(B147="","",SUMIFS(N_PSG,N_CLAVE,AA147))</f>
        <v/>
      </c>
      <c r="P147" s="74" t="str">
        <f aca="false">IF(B147="","",SUMIFS(V_DIAS,V_ID,C147,V_MES,ENVIO_PER))</f>
        <v/>
      </c>
      <c r="Q147" s="73" t="str">
        <f aca="false">IF(B147="","",SUMIFS(N_ATRASO,N_CLAVE,AA147))</f>
        <v/>
      </c>
      <c r="R147" s="74" t="str">
        <f aca="false">IF(B147="","",SUMIFS(N_HE,N_CLAVE,AA147))</f>
        <v/>
      </c>
      <c r="S147" s="71" t="str">
        <f aca="false">IF(B147="","",SUMIFS(N_ANT,N_CLAVE,AA147))</f>
        <v/>
      </c>
      <c r="T147" s="71" t="str">
        <f aca="false">IF(B147="","",SUMIFS(N_BONO,N_CLAVE,AA147))</f>
        <v/>
      </c>
      <c r="U147" s="71" t="str">
        <f aca="false">IF(B147="","",SUMIFS(N_ONI,N_CLAVE,AA147))</f>
        <v/>
      </c>
      <c r="V147" s="71" t="str">
        <f aca="false">IF(B147="","",SUMIFS(N_DESC,N_CLAVE,AA147))</f>
        <v/>
      </c>
      <c r="W147" s="72" t="str">
        <f aca="false">IF(B147="","",IFERROR(INDEX(N_OBS,MATCH(AA147,N_CLAVE,0))&amp;"",""))</f>
        <v/>
      </c>
      <c r="X147" s="70" t="str">
        <f aca="false">IF(B147="","",IF(COUNTIF(N_CLAVE,AA147)&gt;0,"Sí","⚠ Sin registro"))</f>
        <v/>
      </c>
      <c r="Z147" s="81" t="str">
        <f aca="false">IF(B147="","",MATCH(B147,T_AUX,0))</f>
        <v/>
      </c>
      <c r="AA147" s="81" t="str">
        <f aca="false">IF(B147="","",C147&amp;"|"&amp;(YEAR(ENVIO_PER)*100+MONTH(ENVIO_PER)))</f>
        <v/>
      </c>
      <c r="AB147" s="81" t="str">
        <f aca="false">IF(B147="","",INDEX(T_INGRESO,Z147))</f>
        <v/>
      </c>
      <c r="AC147" s="81" t="str">
        <f aca="false">IF(B147="","",N(INDEX(T_EGRESO,Z147)))</f>
        <v/>
      </c>
      <c r="AD147" s="81" t="str">
        <f aca="false">IF(B147="","",IF(OR(AB147&gt;EOMONTH(ENVIO_PER,0),AND(AC147&gt;0,AC147&lt;ENVIO_PER)),0,IF(AND(AB147&lt;=ENVIO_PER,OR(AC147=0,AC147&gt;=EOMONTH(ENVIO_PER,0))),30,MIN(30,IF(AC147=0,EOMONTH(ENVIO_PER,0),MIN(AC147,EOMONTH(ENVIO_PER,0)))-MAX(ENVIO_PER,AB147)+1))))</f>
        <v/>
      </c>
    </row>
    <row r="148" customFormat="false" ht="15" hidden="false" customHeight="false" outlineLevel="0" collapsed="false">
      <c r="B148" s="72" t="str">
        <f aca="false">IF(139&lt;=MAX(T_AUX),139,"")</f>
        <v/>
      </c>
      <c r="C148" s="72" t="str">
        <f aca="false">IF(B148="","",INDEX(T_ID,Z148))</f>
        <v/>
      </c>
      <c r="D148" s="72" t="str">
        <f aca="false">IF(B148="","",INDEX(T_RUT,Z148)&amp;"")</f>
        <v/>
      </c>
      <c r="E148" s="72" t="str">
        <f aca="false">IF(B148="","",INDEX(T_NOMBRE,Z148)&amp;"")</f>
        <v/>
      </c>
      <c r="F148" s="72" t="str">
        <f aca="false">IF(B148="","",INDEX(T_CARGO,Z148)&amp;"")</f>
        <v/>
      </c>
      <c r="G148" s="72" t="str">
        <f aca="false">IF(B148="","",IFERROR(INDEX(C_TIPO,MATCH(C148&amp;"-P"&amp;MAX(1,COUNTIFS(C_ID,C148,C_DEFINE,"Sí",C_INICIO,"&lt;="&amp;EOMONTH(ENVIO_PER,0))),C_CLAVE,0))&amp;"","Sin contrato"))</f>
        <v/>
      </c>
      <c r="H148" s="71" t="str">
        <f aca="false">IF(B148="","",IFERROR(INDEX(C_SUELDO,MATCH(C148&amp;"-S"&amp;MAX(1,COUNTIFS(C_ID,C148,C_SUELDO,"&lt;&gt;",C_INICIO,"&lt;="&amp;EOMONTH(ENVIO_PER,0))),C_CLAVES,0)),0))</f>
        <v/>
      </c>
      <c r="I148" s="70" t="str">
        <f aca="false">IF(B148="","",TRIM(IF(AND(AB148&gt;=ENVIO_PER,AB148&lt;=EOMONTH(ENVIO_PER,0)),"Ingresa el día "&amp;DAY(AB148)&amp;". ","")&amp;IF(AND(AC148&gt;0,AC148&gt;=ENVIO_PER,AC148&lt;=EOMONTH(ENVIO_PER,0)),"Egresa el día "&amp;DAY(AC148)&amp;".","")))</f>
        <v/>
      </c>
      <c r="J148" s="70" t="str">
        <f aca="false">IF(B148="","",IF(COUNTIFS(C_ID,C148,C_INICIO,"&gt;="&amp;ENVIO_PER,C_INICIO,"&lt;="&amp;EOMONTH(ENVIO_PER,0))&gt;0,COUNTIFS(C_ID,C148,C_INICIO,"&gt;="&amp;ENVIO_PER,C_INICIO,"&lt;="&amp;EOMONTH(ENVIO_PER,0))&amp;" documento(s) nuevo(s): ver Contratos",""))</f>
        <v/>
      </c>
      <c r="K148" s="74" t="str">
        <f aca="false">IF(B148="","",IF(COUNTIF(N_CLAVE,AA148)&gt;0,SUMIFS(N_DIAS,N_CLAVE,AA148),AD148))</f>
        <v/>
      </c>
      <c r="L148" s="74" t="str">
        <f aca="false">IF(B148="","",SUMIFS(N_FALTAS,N_CLAVE,AA148))</f>
        <v/>
      </c>
      <c r="M148" s="74" t="str">
        <f aca="false">IF(B148="","",SUMIFS(N_LIC,N_CLAVE,AA148))</f>
        <v/>
      </c>
      <c r="N148" s="74" t="str">
        <f aca="false">IF(B148="","",SUMIFS(N_PCG,N_CLAVE,AA148))</f>
        <v/>
      </c>
      <c r="O148" s="74" t="str">
        <f aca="false">IF(B148="","",SUMIFS(N_PSG,N_CLAVE,AA148))</f>
        <v/>
      </c>
      <c r="P148" s="74" t="str">
        <f aca="false">IF(B148="","",SUMIFS(V_DIAS,V_ID,C148,V_MES,ENVIO_PER))</f>
        <v/>
      </c>
      <c r="Q148" s="73" t="str">
        <f aca="false">IF(B148="","",SUMIFS(N_ATRASO,N_CLAVE,AA148))</f>
        <v/>
      </c>
      <c r="R148" s="74" t="str">
        <f aca="false">IF(B148="","",SUMIFS(N_HE,N_CLAVE,AA148))</f>
        <v/>
      </c>
      <c r="S148" s="71" t="str">
        <f aca="false">IF(B148="","",SUMIFS(N_ANT,N_CLAVE,AA148))</f>
        <v/>
      </c>
      <c r="T148" s="71" t="str">
        <f aca="false">IF(B148="","",SUMIFS(N_BONO,N_CLAVE,AA148))</f>
        <v/>
      </c>
      <c r="U148" s="71" t="str">
        <f aca="false">IF(B148="","",SUMIFS(N_ONI,N_CLAVE,AA148))</f>
        <v/>
      </c>
      <c r="V148" s="71" t="str">
        <f aca="false">IF(B148="","",SUMIFS(N_DESC,N_CLAVE,AA148))</f>
        <v/>
      </c>
      <c r="W148" s="72" t="str">
        <f aca="false">IF(B148="","",IFERROR(INDEX(N_OBS,MATCH(AA148,N_CLAVE,0))&amp;"",""))</f>
        <v/>
      </c>
      <c r="X148" s="70" t="str">
        <f aca="false">IF(B148="","",IF(COUNTIF(N_CLAVE,AA148)&gt;0,"Sí","⚠ Sin registro"))</f>
        <v/>
      </c>
      <c r="Z148" s="81" t="str">
        <f aca="false">IF(B148="","",MATCH(B148,T_AUX,0))</f>
        <v/>
      </c>
      <c r="AA148" s="81" t="str">
        <f aca="false">IF(B148="","",C148&amp;"|"&amp;(YEAR(ENVIO_PER)*100+MONTH(ENVIO_PER)))</f>
        <v/>
      </c>
      <c r="AB148" s="81" t="str">
        <f aca="false">IF(B148="","",INDEX(T_INGRESO,Z148))</f>
        <v/>
      </c>
      <c r="AC148" s="81" t="str">
        <f aca="false">IF(B148="","",N(INDEX(T_EGRESO,Z148)))</f>
        <v/>
      </c>
      <c r="AD148" s="81" t="str">
        <f aca="false">IF(B148="","",IF(OR(AB148&gt;EOMONTH(ENVIO_PER,0),AND(AC148&gt;0,AC148&lt;ENVIO_PER)),0,IF(AND(AB148&lt;=ENVIO_PER,OR(AC148=0,AC148&gt;=EOMONTH(ENVIO_PER,0))),30,MIN(30,IF(AC148=0,EOMONTH(ENVIO_PER,0),MIN(AC148,EOMONTH(ENVIO_PER,0)))-MAX(ENVIO_PER,AB148)+1))))</f>
        <v/>
      </c>
    </row>
    <row r="149" customFormat="false" ht="15" hidden="false" customHeight="false" outlineLevel="0" collapsed="false">
      <c r="B149" s="72" t="str">
        <f aca="false">IF(140&lt;=MAX(T_AUX),140,"")</f>
        <v/>
      </c>
      <c r="C149" s="72" t="str">
        <f aca="false">IF(B149="","",INDEX(T_ID,Z149))</f>
        <v/>
      </c>
      <c r="D149" s="72" t="str">
        <f aca="false">IF(B149="","",INDEX(T_RUT,Z149)&amp;"")</f>
        <v/>
      </c>
      <c r="E149" s="72" t="str">
        <f aca="false">IF(B149="","",INDEX(T_NOMBRE,Z149)&amp;"")</f>
        <v/>
      </c>
      <c r="F149" s="72" t="str">
        <f aca="false">IF(B149="","",INDEX(T_CARGO,Z149)&amp;"")</f>
        <v/>
      </c>
      <c r="G149" s="72" t="str">
        <f aca="false">IF(B149="","",IFERROR(INDEX(C_TIPO,MATCH(C149&amp;"-P"&amp;MAX(1,COUNTIFS(C_ID,C149,C_DEFINE,"Sí",C_INICIO,"&lt;="&amp;EOMONTH(ENVIO_PER,0))),C_CLAVE,0))&amp;"","Sin contrato"))</f>
        <v/>
      </c>
      <c r="H149" s="71" t="str">
        <f aca="false">IF(B149="","",IFERROR(INDEX(C_SUELDO,MATCH(C149&amp;"-S"&amp;MAX(1,COUNTIFS(C_ID,C149,C_SUELDO,"&lt;&gt;",C_INICIO,"&lt;="&amp;EOMONTH(ENVIO_PER,0))),C_CLAVES,0)),0))</f>
        <v/>
      </c>
      <c r="I149" s="70" t="str">
        <f aca="false">IF(B149="","",TRIM(IF(AND(AB149&gt;=ENVIO_PER,AB149&lt;=EOMONTH(ENVIO_PER,0)),"Ingresa el día "&amp;DAY(AB149)&amp;". ","")&amp;IF(AND(AC149&gt;0,AC149&gt;=ENVIO_PER,AC149&lt;=EOMONTH(ENVIO_PER,0)),"Egresa el día "&amp;DAY(AC149)&amp;".","")))</f>
        <v/>
      </c>
      <c r="J149" s="70" t="str">
        <f aca="false">IF(B149="","",IF(COUNTIFS(C_ID,C149,C_INICIO,"&gt;="&amp;ENVIO_PER,C_INICIO,"&lt;="&amp;EOMONTH(ENVIO_PER,0))&gt;0,COUNTIFS(C_ID,C149,C_INICIO,"&gt;="&amp;ENVIO_PER,C_INICIO,"&lt;="&amp;EOMONTH(ENVIO_PER,0))&amp;" documento(s) nuevo(s): ver Contratos",""))</f>
        <v/>
      </c>
      <c r="K149" s="74" t="str">
        <f aca="false">IF(B149="","",IF(COUNTIF(N_CLAVE,AA149)&gt;0,SUMIFS(N_DIAS,N_CLAVE,AA149),AD149))</f>
        <v/>
      </c>
      <c r="L149" s="74" t="str">
        <f aca="false">IF(B149="","",SUMIFS(N_FALTAS,N_CLAVE,AA149))</f>
        <v/>
      </c>
      <c r="M149" s="74" t="str">
        <f aca="false">IF(B149="","",SUMIFS(N_LIC,N_CLAVE,AA149))</f>
        <v/>
      </c>
      <c r="N149" s="74" t="str">
        <f aca="false">IF(B149="","",SUMIFS(N_PCG,N_CLAVE,AA149))</f>
        <v/>
      </c>
      <c r="O149" s="74" t="str">
        <f aca="false">IF(B149="","",SUMIFS(N_PSG,N_CLAVE,AA149))</f>
        <v/>
      </c>
      <c r="P149" s="74" t="str">
        <f aca="false">IF(B149="","",SUMIFS(V_DIAS,V_ID,C149,V_MES,ENVIO_PER))</f>
        <v/>
      </c>
      <c r="Q149" s="73" t="str">
        <f aca="false">IF(B149="","",SUMIFS(N_ATRASO,N_CLAVE,AA149))</f>
        <v/>
      </c>
      <c r="R149" s="74" t="str">
        <f aca="false">IF(B149="","",SUMIFS(N_HE,N_CLAVE,AA149))</f>
        <v/>
      </c>
      <c r="S149" s="71" t="str">
        <f aca="false">IF(B149="","",SUMIFS(N_ANT,N_CLAVE,AA149))</f>
        <v/>
      </c>
      <c r="T149" s="71" t="str">
        <f aca="false">IF(B149="","",SUMIFS(N_BONO,N_CLAVE,AA149))</f>
        <v/>
      </c>
      <c r="U149" s="71" t="str">
        <f aca="false">IF(B149="","",SUMIFS(N_ONI,N_CLAVE,AA149))</f>
        <v/>
      </c>
      <c r="V149" s="71" t="str">
        <f aca="false">IF(B149="","",SUMIFS(N_DESC,N_CLAVE,AA149))</f>
        <v/>
      </c>
      <c r="W149" s="72" t="str">
        <f aca="false">IF(B149="","",IFERROR(INDEX(N_OBS,MATCH(AA149,N_CLAVE,0))&amp;"",""))</f>
        <v/>
      </c>
      <c r="X149" s="70" t="str">
        <f aca="false">IF(B149="","",IF(COUNTIF(N_CLAVE,AA149)&gt;0,"Sí","⚠ Sin registro"))</f>
        <v/>
      </c>
      <c r="Z149" s="81" t="str">
        <f aca="false">IF(B149="","",MATCH(B149,T_AUX,0))</f>
        <v/>
      </c>
      <c r="AA149" s="81" t="str">
        <f aca="false">IF(B149="","",C149&amp;"|"&amp;(YEAR(ENVIO_PER)*100+MONTH(ENVIO_PER)))</f>
        <v/>
      </c>
      <c r="AB149" s="81" t="str">
        <f aca="false">IF(B149="","",INDEX(T_INGRESO,Z149))</f>
        <v/>
      </c>
      <c r="AC149" s="81" t="str">
        <f aca="false">IF(B149="","",N(INDEX(T_EGRESO,Z149)))</f>
        <v/>
      </c>
      <c r="AD149" s="81" t="str">
        <f aca="false">IF(B149="","",IF(OR(AB149&gt;EOMONTH(ENVIO_PER,0),AND(AC149&gt;0,AC149&lt;ENVIO_PER)),0,IF(AND(AB149&lt;=ENVIO_PER,OR(AC149=0,AC149&gt;=EOMONTH(ENVIO_PER,0))),30,MIN(30,IF(AC149=0,EOMONTH(ENVIO_PER,0),MIN(AC149,EOMONTH(ENVIO_PER,0)))-MAX(ENVIO_PER,AB149)+1))))</f>
        <v/>
      </c>
    </row>
    <row r="150" customFormat="false" ht="15" hidden="false" customHeight="false" outlineLevel="0" collapsed="false">
      <c r="B150" s="72" t="str">
        <f aca="false">IF(141&lt;=MAX(T_AUX),141,"")</f>
        <v/>
      </c>
      <c r="C150" s="72" t="str">
        <f aca="false">IF(B150="","",INDEX(T_ID,Z150))</f>
        <v/>
      </c>
      <c r="D150" s="72" t="str">
        <f aca="false">IF(B150="","",INDEX(T_RUT,Z150)&amp;"")</f>
        <v/>
      </c>
      <c r="E150" s="72" t="str">
        <f aca="false">IF(B150="","",INDEX(T_NOMBRE,Z150)&amp;"")</f>
        <v/>
      </c>
      <c r="F150" s="72" t="str">
        <f aca="false">IF(B150="","",INDEX(T_CARGO,Z150)&amp;"")</f>
        <v/>
      </c>
      <c r="G150" s="72" t="str">
        <f aca="false">IF(B150="","",IFERROR(INDEX(C_TIPO,MATCH(C150&amp;"-P"&amp;MAX(1,COUNTIFS(C_ID,C150,C_DEFINE,"Sí",C_INICIO,"&lt;="&amp;EOMONTH(ENVIO_PER,0))),C_CLAVE,0))&amp;"","Sin contrato"))</f>
        <v/>
      </c>
      <c r="H150" s="71" t="str">
        <f aca="false">IF(B150="","",IFERROR(INDEX(C_SUELDO,MATCH(C150&amp;"-S"&amp;MAX(1,COUNTIFS(C_ID,C150,C_SUELDO,"&lt;&gt;",C_INICIO,"&lt;="&amp;EOMONTH(ENVIO_PER,0))),C_CLAVES,0)),0))</f>
        <v/>
      </c>
      <c r="I150" s="70" t="str">
        <f aca="false">IF(B150="","",TRIM(IF(AND(AB150&gt;=ENVIO_PER,AB150&lt;=EOMONTH(ENVIO_PER,0)),"Ingresa el día "&amp;DAY(AB150)&amp;". ","")&amp;IF(AND(AC150&gt;0,AC150&gt;=ENVIO_PER,AC150&lt;=EOMONTH(ENVIO_PER,0)),"Egresa el día "&amp;DAY(AC150)&amp;".","")))</f>
        <v/>
      </c>
      <c r="J150" s="70" t="str">
        <f aca="false">IF(B150="","",IF(COUNTIFS(C_ID,C150,C_INICIO,"&gt;="&amp;ENVIO_PER,C_INICIO,"&lt;="&amp;EOMONTH(ENVIO_PER,0))&gt;0,COUNTIFS(C_ID,C150,C_INICIO,"&gt;="&amp;ENVIO_PER,C_INICIO,"&lt;="&amp;EOMONTH(ENVIO_PER,0))&amp;" documento(s) nuevo(s): ver Contratos",""))</f>
        <v/>
      </c>
      <c r="K150" s="74" t="str">
        <f aca="false">IF(B150="","",IF(COUNTIF(N_CLAVE,AA150)&gt;0,SUMIFS(N_DIAS,N_CLAVE,AA150),AD150))</f>
        <v/>
      </c>
      <c r="L150" s="74" t="str">
        <f aca="false">IF(B150="","",SUMIFS(N_FALTAS,N_CLAVE,AA150))</f>
        <v/>
      </c>
      <c r="M150" s="74" t="str">
        <f aca="false">IF(B150="","",SUMIFS(N_LIC,N_CLAVE,AA150))</f>
        <v/>
      </c>
      <c r="N150" s="74" t="str">
        <f aca="false">IF(B150="","",SUMIFS(N_PCG,N_CLAVE,AA150))</f>
        <v/>
      </c>
      <c r="O150" s="74" t="str">
        <f aca="false">IF(B150="","",SUMIFS(N_PSG,N_CLAVE,AA150))</f>
        <v/>
      </c>
      <c r="P150" s="74" t="str">
        <f aca="false">IF(B150="","",SUMIFS(V_DIAS,V_ID,C150,V_MES,ENVIO_PER))</f>
        <v/>
      </c>
      <c r="Q150" s="73" t="str">
        <f aca="false">IF(B150="","",SUMIFS(N_ATRASO,N_CLAVE,AA150))</f>
        <v/>
      </c>
      <c r="R150" s="74" t="str">
        <f aca="false">IF(B150="","",SUMIFS(N_HE,N_CLAVE,AA150))</f>
        <v/>
      </c>
      <c r="S150" s="71" t="str">
        <f aca="false">IF(B150="","",SUMIFS(N_ANT,N_CLAVE,AA150))</f>
        <v/>
      </c>
      <c r="T150" s="71" t="str">
        <f aca="false">IF(B150="","",SUMIFS(N_BONO,N_CLAVE,AA150))</f>
        <v/>
      </c>
      <c r="U150" s="71" t="str">
        <f aca="false">IF(B150="","",SUMIFS(N_ONI,N_CLAVE,AA150))</f>
        <v/>
      </c>
      <c r="V150" s="71" t="str">
        <f aca="false">IF(B150="","",SUMIFS(N_DESC,N_CLAVE,AA150))</f>
        <v/>
      </c>
      <c r="W150" s="72" t="str">
        <f aca="false">IF(B150="","",IFERROR(INDEX(N_OBS,MATCH(AA150,N_CLAVE,0))&amp;"",""))</f>
        <v/>
      </c>
      <c r="X150" s="70" t="str">
        <f aca="false">IF(B150="","",IF(COUNTIF(N_CLAVE,AA150)&gt;0,"Sí","⚠ Sin registro"))</f>
        <v/>
      </c>
      <c r="Z150" s="81" t="str">
        <f aca="false">IF(B150="","",MATCH(B150,T_AUX,0))</f>
        <v/>
      </c>
      <c r="AA150" s="81" t="str">
        <f aca="false">IF(B150="","",C150&amp;"|"&amp;(YEAR(ENVIO_PER)*100+MONTH(ENVIO_PER)))</f>
        <v/>
      </c>
      <c r="AB150" s="81" t="str">
        <f aca="false">IF(B150="","",INDEX(T_INGRESO,Z150))</f>
        <v/>
      </c>
      <c r="AC150" s="81" t="str">
        <f aca="false">IF(B150="","",N(INDEX(T_EGRESO,Z150)))</f>
        <v/>
      </c>
      <c r="AD150" s="81" t="str">
        <f aca="false">IF(B150="","",IF(OR(AB150&gt;EOMONTH(ENVIO_PER,0),AND(AC150&gt;0,AC150&lt;ENVIO_PER)),0,IF(AND(AB150&lt;=ENVIO_PER,OR(AC150=0,AC150&gt;=EOMONTH(ENVIO_PER,0))),30,MIN(30,IF(AC150=0,EOMONTH(ENVIO_PER,0),MIN(AC150,EOMONTH(ENVIO_PER,0)))-MAX(ENVIO_PER,AB150)+1))))</f>
        <v/>
      </c>
    </row>
    <row r="151" customFormat="false" ht="15" hidden="false" customHeight="false" outlineLevel="0" collapsed="false">
      <c r="B151" s="72" t="str">
        <f aca="false">IF(142&lt;=MAX(T_AUX),142,"")</f>
        <v/>
      </c>
      <c r="C151" s="72" t="str">
        <f aca="false">IF(B151="","",INDEX(T_ID,Z151))</f>
        <v/>
      </c>
      <c r="D151" s="72" t="str">
        <f aca="false">IF(B151="","",INDEX(T_RUT,Z151)&amp;"")</f>
        <v/>
      </c>
      <c r="E151" s="72" t="str">
        <f aca="false">IF(B151="","",INDEX(T_NOMBRE,Z151)&amp;"")</f>
        <v/>
      </c>
      <c r="F151" s="72" t="str">
        <f aca="false">IF(B151="","",INDEX(T_CARGO,Z151)&amp;"")</f>
        <v/>
      </c>
      <c r="G151" s="72" t="str">
        <f aca="false">IF(B151="","",IFERROR(INDEX(C_TIPO,MATCH(C151&amp;"-P"&amp;MAX(1,COUNTIFS(C_ID,C151,C_DEFINE,"Sí",C_INICIO,"&lt;="&amp;EOMONTH(ENVIO_PER,0))),C_CLAVE,0))&amp;"","Sin contrato"))</f>
        <v/>
      </c>
      <c r="H151" s="71" t="str">
        <f aca="false">IF(B151="","",IFERROR(INDEX(C_SUELDO,MATCH(C151&amp;"-S"&amp;MAX(1,COUNTIFS(C_ID,C151,C_SUELDO,"&lt;&gt;",C_INICIO,"&lt;="&amp;EOMONTH(ENVIO_PER,0))),C_CLAVES,0)),0))</f>
        <v/>
      </c>
      <c r="I151" s="70" t="str">
        <f aca="false">IF(B151="","",TRIM(IF(AND(AB151&gt;=ENVIO_PER,AB151&lt;=EOMONTH(ENVIO_PER,0)),"Ingresa el día "&amp;DAY(AB151)&amp;". ","")&amp;IF(AND(AC151&gt;0,AC151&gt;=ENVIO_PER,AC151&lt;=EOMONTH(ENVIO_PER,0)),"Egresa el día "&amp;DAY(AC151)&amp;".","")))</f>
        <v/>
      </c>
      <c r="J151" s="70" t="str">
        <f aca="false">IF(B151="","",IF(COUNTIFS(C_ID,C151,C_INICIO,"&gt;="&amp;ENVIO_PER,C_INICIO,"&lt;="&amp;EOMONTH(ENVIO_PER,0))&gt;0,COUNTIFS(C_ID,C151,C_INICIO,"&gt;="&amp;ENVIO_PER,C_INICIO,"&lt;="&amp;EOMONTH(ENVIO_PER,0))&amp;" documento(s) nuevo(s): ver Contratos",""))</f>
        <v/>
      </c>
      <c r="K151" s="74" t="str">
        <f aca="false">IF(B151="","",IF(COUNTIF(N_CLAVE,AA151)&gt;0,SUMIFS(N_DIAS,N_CLAVE,AA151),AD151))</f>
        <v/>
      </c>
      <c r="L151" s="74" t="str">
        <f aca="false">IF(B151="","",SUMIFS(N_FALTAS,N_CLAVE,AA151))</f>
        <v/>
      </c>
      <c r="M151" s="74" t="str">
        <f aca="false">IF(B151="","",SUMIFS(N_LIC,N_CLAVE,AA151))</f>
        <v/>
      </c>
      <c r="N151" s="74" t="str">
        <f aca="false">IF(B151="","",SUMIFS(N_PCG,N_CLAVE,AA151))</f>
        <v/>
      </c>
      <c r="O151" s="74" t="str">
        <f aca="false">IF(B151="","",SUMIFS(N_PSG,N_CLAVE,AA151))</f>
        <v/>
      </c>
      <c r="P151" s="74" t="str">
        <f aca="false">IF(B151="","",SUMIFS(V_DIAS,V_ID,C151,V_MES,ENVIO_PER))</f>
        <v/>
      </c>
      <c r="Q151" s="73" t="str">
        <f aca="false">IF(B151="","",SUMIFS(N_ATRASO,N_CLAVE,AA151))</f>
        <v/>
      </c>
      <c r="R151" s="74" t="str">
        <f aca="false">IF(B151="","",SUMIFS(N_HE,N_CLAVE,AA151))</f>
        <v/>
      </c>
      <c r="S151" s="71" t="str">
        <f aca="false">IF(B151="","",SUMIFS(N_ANT,N_CLAVE,AA151))</f>
        <v/>
      </c>
      <c r="T151" s="71" t="str">
        <f aca="false">IF(B151="","",SUMIFS(N_BONO,N_CLAVE,AA151))</f>
        <v/>
      </c>
      <c r="U151" s="71" t="str">
        <f aca="false">IF(B151="","",SUMIFS(N_ONI,N_CLAVE,AA151))</f>
        <v/>
      </c>
      <c r="V151" s="71" t="str">
        <f aca="false">IF(B151="","",SUMIFS(N_DESC,N_CLAVE,AA151))</f>
        <v/>
      </c>
      <c r="W151" s="72" t="str">
        <f aca="false">IF(B151="","",IFERROR(INDEX(N_OBS,MATCH(AA151,N_CLAVE,0))&amp;"",""))</f>
        <v/>
      </c>
      <c r="X151" s="70" t="str">
        <f aca="false">IF(B151="","",IF(COUNTIF(N_CLAVE,AA151)&gt;0,"Sí","⚠ Sin registro"))</f>
        <v/>
      </c>
      <c r="Z151" s="81" t="str">
        <f aca="false">IF(B151="","",MATCH(B151,T_AUX,0))</f>
        <v/>
      </c>
      <c r="AA151" s="81" t="str">
        <f aca="false">IF(B151="","",C151&amp;"|"&amp;(YEAR(ENVIO_PER)*100+MONTH(ENVIO_PER)))</f>
        <v/>
      </c>
      <c r="AB151" s="81" t="str">
        <f aca="false">IF(B151="","",INDEX(T_INGRESO,Z151))</f>
        <v/>
      </c>
      <c r="AC151" s="81" t="str">
        <f aca="false">IF(B151="","",N(INDEX(T_EGRESO,Z151)))</f>
        <v/>
      </c>
      <c r="AD151" s="81" t="str">
        <f aca="false">IF(B151="","",IF(OR(AB151&gt;EOMONTH(ENVIO_PER,0),AND(AC151&gt;0,AC151&lt;ENVIO_PER)),0,IF(AND(AB151&lt;=ENVIO_PER,OR(AC151=0,AC151&gt;=EOMONTH(ENVIO_PER,0))),30,MIN(30,IF(AC151=0,EOMONTH(ENVIO_PER,0),MIN(AC151,EOMONTH(ENVIO_PER,0)))-MAX(ENVIO_PER,AB151)+1))))</f>
        <v/>
      </c>
    </row>
    <row r="152" customFormat="false" ht="15" hidden="false" customHeight="false" outlineLevel="0" collapsed="false">
      <c r="B152" s="72" t="str">
        <f aca="false">IF(143&lt;=MAX(T_AUX),143,"")</f>
        <v/>
      </c>
      <c r="C152" s="72" t="str">
        <f aca="false">IF(B152="","",INDEX(T_ID,Z152))</f>
        <v/>
      </c>
      <c r="D152" s="72" t="str">
        <f aca="false">IF(B152="","",INDEX(T_RUT,Z152)&amp;"")</f>
        <v/>
      </c>
      <c r="E152" s="72" t="str">
        <f aca="false">IF(B152="","",INDEX(T_NOMBRE,Z152)&amp;"")</f>
        <v/>
      </c>
      <c r="F152" s="72" t="str">
        <f aca="false">IF(B152="","",INDEX(T_CARGO,Z152)&amp;"")</f>
        <v/>
      </c>
      <c r="G152" s="72" t="str">
        <f aca="false">IF(B152="","",IFERROR(INDEX(C_TIPO,MATCH(C152&amp;"-P"&amp;MAX(1,COUNTIFS(C_ID,C152,C_DEFINE,"Sí",C_INICIO,"&lt;="&amp;EOMONTH(ENVIO_PER,0))),C_CLAVE,0))&amp;"","Sin contrato"))</f>
        <v/>
      </c>
      <c r="H152" s="71" t="str">
        <f aca="false">IF(B152="","",IFERROR(INDEX(C_SUELDO,MATCH(C152&amp;"-S"&amp;MAX(1,COUNTIFS(C_ID,C152,C_SUELDO,"&lt;&gt;",C_INICIO,"&lt;="&amp;EOMONTH(ENVIO_PER,0))),C_CLAVES,0)),0))</f>
        <v/>
      </c>
      <c r="I152" s="70" t="str">
        <f aca="false">IF(B152="","",TRIM(IF(AND(AB152&gt;=ENVIO_PER,AB152&lt;=EOMONTH(ENVIO_PER,0)),"Ingresa el día "&amp;DAY(AB152)&amp;". ","")&amp;IF(AND(AC152&gt;0,AC152&gt;=ENVIO_PER,AC152&lt;=EOMONTH(ENVIO_PER,0)),"Egresa el día "&amp;DAY(AC152)&amp;".","")))</f>
        <v/>
      </c>
      <c r="J152" s="70" t="str">
        <f aca="false">IF(B152="","",IF(COUNTIFS(C_ID,C152,C_INICIO,"&gt;="&amp;ENVIO_PER,C_INICIO,"&lt;="&amp;EOMONTH(ENVIO_PER,0))&gt;0,COUNTIFS(C_ID,C152,C_INICIO,"&gt;="&amp;ENVIO_PER,C_INICIO,"&lt;="&amp;EOMONTH(ENVIO_PER,0))&amp;" documento(s) nuevo(s): ver Contratos",""))</f>
        <v/>
      </c>
      <c r="K152" s="74" t="str">
        <f aca="false">IF(B152="","",IF(COUNTIF(N_CLAVE,AA152)&gt;0,SUMIFS(N_DIAS,N_CLAVE,AA152),AD152))</f>
        <v/>
      </c>
      <c r="L152" s="74" t="str">
        <f aca="false">IF(B152="","",SUMIFS(N_FALTAS,N_CLAVE,AA152))</f>
        <v/>
      </c>
      <c r="M152" s="74" t="str">
        <f aca="false">IF(B152="","",SUMIFS(N_LIC,N_CLAVE,AA152))</f>
        <v/>
      </c>
      <c r="N152" s="74" t="str">
        <f aca="false">IF(B152="","",SUMIFS(N_PCG,N_CLAVE,AA152))</f>
        <v/>
      </c>
      <c r="O152" s="74" t="str">
        <f aca="false">IF(B152="","",SUMIFS(N_PSG,N_CLAVE,AA152))</f>
        <v/>
      </c>
      <c r="P152" s="74" t="str">
        <f aca="false">IF(B152="","",SUMIFS(V_DIAS,V_ID,C152,V_MES,ENVIO_PER))</f>
        <v/>
      </c>
      <c r="Q152" s="73" t="str">
        <f aca="false">IF(B152="","",SUMIFS(N_ATRASO,N_CLAVE,AA152))</f>
        <v/>
      </c>
      <c r="R152" s="74" t="str">
        <f aca="false">IF(B152="","",SUMIFS(N_HE,N_CLAVE,AA152))</f>
        <v/>
      </c>
      <c r="S152" s="71" t="str">
        <f aca="false">IF(B152="","",SUMIFS(N_ANT,N_CLAVE,AA152))</f>
        <v/>
      </c>
      <c r="T152" s="71" t="str">
        <f aca="false">IF(B152="","",SUMIFS(N_BONO,N_CLAVE,AA152))</f>
        <v/>
      </c>
      <c r="U152" s="71" t="str">
        <f aca="false">IF(B152="","",SUMIFS(N_ONI,N_CLAVE,AA152))</f>
        <v/>
      </c>
      <c r="V152" s="71" t="str">
        <f aca="false">IF(B152="","",SUMIFS(N_DESC,N_CLAVE,AA152))</f>
        <v/>
      </c>
      <c r="W152" s="72" t="str">
        <f aca="false">IF(B152="","",IFERROR(INDEX(N_OBS,MATCH(AA152,N_CLAVE,0))&amp;"",""))</f>
        <v/>
      </c>
      <c r="X152" s="70" t="str">
        <f aca="false">IF(B152="","",IF(COUNTIF(N_CLAVE,AA152)&gt;0,"Sí","⚠ Sin registro"))</f>
        <v/>
      </c>
      <c r="Z152" s="81" t="str">
        <f aca="false">IF(B152="","",MATCH(B152,T_AUX,0))</f>
        <v/>
      </c>
      <c r="AA152" s="81" t="str">
        <f aca="false">IF(B152="","",C152&amp;"|"&amp;(YEAR(ENVIO_PER)*100+MONTH(ENVIO_PER)))</f>
        <v/>
      </c>
      <c r="AB152" s="81" t="str">
        <f aca="false">IF(B152="","",INDEX(T_INGRESO,Z152))</f>
        <v/>
      </c>
      <c r="AC152" s="81" t="str">
        <f aca="false">IF(B152="","",N(INDEX(T_EGRESO,Z152)))</f>
        <v/>
      </c>
      <c r="AD152" s="81" t="str">
        <f aca="false">IF(B152="","",IF(OR(AB152&gt;EOMONTH(ENVIO_PER,0),AND(AC152&gt;0,AC152&lt;ENVIO_PER)),0,IF(AND(AB152&lt;=ENVIO_PER,OR(AC152=0,AC152&gt;=EOMONTH(ENVIO_PER,0))),30,MIN(30,IF(AC152=0,EOMONTH(ENVIO_PER,0),MIN(AC152,EOMONTH(ENVIO_PER,0)))-MAX(ENVIO_PER,AB152)+1))))</f>
        <v/>
      </c>
    </row>
    <row r="153" customFormat="false" ht="15" hidden="false" customHeight="false" outlineLevel="0" collapsed="false">
      <c r="B153" s="72" t="str">
        <f aca="false">IF(144&lt;=MAX(T_AUX),144,"")</f>
        <v/>
      </c>
      <c r="C153" s="72" t="str">
        <f aca="false">IF(B153="","",INDEX(T_ID,Z153))</f>
        <v/>
      </c>
      <c r="D153" s="72" t="str">
        <f aca="false">IF(B153="","",INDEX(T_RUT,Z153)&amp;"")</f>
        <v/>
      </c>
      <c r="E153" s="72" t="str">
        <f aca="false">IF(B153="","",INDEX(T_NOMBRE,Z153)&amp;"")</f>
        <v/>
      </c>
      <c r="F153" s="72" t="str">
        <f aca="false">IF(B153="","",INDEX(T_CARGO,Z153)&amp;"")</f>
        <v/>
      </c>
      <c r="G153" s="72" t="str">
        <f aca="false">IF(B153="","",IFERROR(INDEX(C_TIPO,MATCH(C153&amp;"-P"&amp;MAX(1,COUNTIFS(C_ID,C153,C_DEFINE,"Sí",C_INICIO,"&lt;="&amp;EOMONTH(ENVIO_PER,0))),C_CLAVE,0))&amp;"","Sin contrato"))</f>
        <v/>
      </c>
      <c r="H153" s="71" t="str">
        <f aca="false">IF(B153="","",IFERROR(INDEX(C_SUELDO,MATCH(C153&amp;"-S"&amp;MAX(1,COUNTIFS(C_ID,C153,C_SUELDO,"&lt;&gt;",C_INICIO,"&lt;="&amp;EOMONTH(ENVIO_PER,0))),C_CLAVES,0)),0))</f>
        <v/>
      </c>
      <c r="I153" s="70" t="str">
        <f aca="false">IF(B153="","",TRIM(IF(AND(AB153&gt;=ENVIO_PER,AB153&lt;=EOMONTH(ENVIO_PER,0)),"Ingresa el día "&amp;DAY(AB153)&amp;". ","")&amp;IF(AND(AC153&gt;0,AC153&gt;=ENVIO_PER,AC153&lt;=EOMONTH(ENVIO_PER,0)),"Egresa el día "&amp;DAY(AC153)&amp;".","")))</f>
        <v/>
      </c>
      <c r="J153" s="70" t="str">
        <f aca="false">IF(B153="","",IF(COUNTIFS(C_ID,C153,C_INICIO,"&gt;="&amp;ENVIO_PER,C_INICIO,"&lt;="&amp;EOMONTH(ENVIO_PER,0))&gt;0,COUNTIFS(C_ID,C153,C_INICIO,"&gt;="&amp;ENVIO_PER,C_INICIO,"&lt;="&amp;EOMONTH(ENVIO_PER,0))&amp;" documento(s) nuevo(s): ver Contratos",""))</f>
        <v/>
      </c>
      <c r="K153" s="74" t="str">
        <f aca="false">IF(B153="","",IF(COUNTIF(N_CLAVE,AA153)&gt;0,SUMIFS(N_DIAS,N_CLAVE,AA153),AD153))</f>
        <v/>
      </c>
      <c r="L153" s="74" t="str">
        <f aca="false">IF(B153="","",SUMIFS(N_FALTAS,N_CLAVE,AA153))</f>
        <v/>
      </c>
      <c r="M153" s="74" t="str">
        <f aca="false">IF(B153="","",SUMIFS(N_LIC,N_CLAVE,AA153))</f>
        <v/>
      </c>
      <c r="N153" s="74" t="str">
        <f aca="false">IF(B153="","",SUMIFS(N_PCG,N_CLAVE,AA153))</f>
        <v/>
      </c>
      <c r="O153" s="74" t="str">
        <f aca="false">IF(B153="","",SUMIFS(N_PSG,N_CLAVE,AA153))</f>
        <v/>
      </c>
      <c r="P153" s="74" t="str">
        <f aca="false">IF(B153="","",SUMIFS(V_DIAS,V_ID,C153,V_MES,ENVIO_PER))</f>
        <v/>
      </c>
      <c r="Q153" s="73" t="str">
        <f aca="false">IF(B153="","",SUMIFS(N_ATRASO,N_CLAVE,AA153))</f>
        <v/>
      </c>
      <c r="R153" s="74" t="str">
        <f aca="false">IF(B153="","",SUMIFS(N_HE,N_CLAVE,AA153))</f>
        <v/>
      </c>
      <c r="S153" s="71" t="str">
        <f aca="false">IF(B153="","",SUMIFS(N_ANT,N_CLAVE,AA153))</f>
        <v/>
      </c>
      <c r="T153" s="71" t="str">
        <f aca="false">IF(B153="","",SUMIFS(N_BONO,N_CLAVE,AA153))</f>
        <v/>
      </c>
      <c r="U153" s="71" t="str">
        <f aca="false">IF(B153="","",SUMIFS(N_ONI,N_CLAVE,AA153))</f>
        <v/>
      </c>
      <c r="V153" s="71" t="str">
        <f aca="false">IF(B153="","",SUMIFS(N_DESC,N_CLAVE,AA153))</f>
        <v/>
      </c>
      <c r="W153" s="72" t="str">
        <f aca="false">IF(B153="","",IFERROR(INDEX(N_OBS,MATCH(AA153,N_CLAVE,0))&amp;"",""))</f>
        <v/>
      </c>
      <c r="X153" s="70" t="str">
        <f aca="false">IF(B153="","",IF(COUNTIF(N_CLAVE,AA153)&gt;0,"Sí","⚠ Sin registro"))</f>
        <v/>
      </c>
      <c r="Z153" s="81" t="str">
        <f aca="false">IF(B153="","",MATCH(B153,T_AUX,0))</f>
        <v/>
      </c>
      <c r="AA153" s="81" t="str">
        <f aca="false">IF(B153="","",C153&amp;"|"&amp;(YEAR(ENVIO_PER)*100+MONTH(ENVIO_PER)))</f>
        <v/>
      </c>
      <c r="AB153" s="81" t="str">
        <f aca="false">IF(B153="","",INDEX(T_INGRESO,Z153))</f>
        <v/>
      </c>
      <c r="AC153" s="81" t="str">
        <f aca="false">IF(B153="","",N(INDEX(T_EGRESO,Z153)))</f>
        <v/>
      </c>
      <c r="AD153" s="81" t="str">
        <f aca="false">IF(B153="","",IF(OR(AB153&gt;EOMONTH(ENVIO_PER,0),AND(AC153&gt;0,AC153&lt;ENVIO_PER)),0,IF(AND(AB153&lt;=ENVIO_PER,OR(AC153=0,AC153&gt;=EOMONTH(ENVIO_PER,0))),30,MIN(30,IF(AC153=0,EOMONTH(ENVIO_PER,0),MIN(AC153,EOMONTH(ENVIO_PER,0)))-MAX(ENVIO_PER,AB153)+1))))</f>
        <v/>
      </c>
    </row>
    <row r="154" customFormat="false" ht="15" hidden="false" customHeight="false" outlineLevel="0" collapsed="false">
      <c r="B154" s="72" t="str">
        <f aca="false">IF(145&lt;=MAX(T_AUX),145,"")</f>
        <v/>
      </c>
      <c r="C154" s="72" t="str">
        <f aca="false">IF(B154="","",INDEX(T_ID,Z154))</f>
        <v/>
      </c>
      <c r="D154" s="72" t="str">
        <f aca="false">IF(B154="","",INDEX(T_RUT,Z154)&amp;"")</f>
        <v/>
      </c>
      <c r="E154" s="72" t="str">
        <f aca="false">IF(B154="","",INDEX(T_NOMBRE,Z154)&amp;"")</f>
        <v/>
      </c>
      <c r="F154" s="72" t="str">
        <f aca="false">IF(B154="","",INDEX(T_CARGO,Z154)&amp;"")</f>
        <v/>
      </c>
      <c r="G154" s="72" t="str">
        <f aca="false">IF(B154="","",IFERROR(INDEX(C_TIPO,MATCH(C154&amp;"-P"&amp;MAX(1,COUNTIFS(C_ID,C154,C_DEFINE,"Sí",C_INICIO,"&lt;="&amp;EOMONTH(ENVIO_PER,0))),C_CLAVE,0))&amp;"","Sin contrato"))</f>
        <v/>
      </c>
      <c r="H154" s="71" t="str">
        <f aca="false">IF(B154="","",IFERROR(INDEX(C_SUELDO,MATCH(C154&amp;"-S"&amp;MAX(1,COUNTIFS(C_ID,C154,C_SUELDO,"&lt;&gt;",C_INICIO,"&lt;="&amp;EOMONTH(ENVIO_PER,0))),C_CLAVES,0)),0))</f>
        <v/>
      </c>
      <c r="I154" s="70" t="str">
        <f aca="false">IF(B154="","",TRIM(IF(AND(AB154&gt;=ENVIO_PER,AB154&lt;=EOMONTH(ENVIO_PER,0)),"Ingresa el día "&amp;DAY(AB154)&amp;". ","")&amp;IF(AND(AC154&gt;0,AC154&gt;=ENVIO_PER,AC154&lt;=EOMONTH(ENVIO_PER,0)),"Egresa el día "&amp;DAY(AC154)&amp;".","")))</f>
        <v/>
      </c>
      <c r="J154" s="70" t="str">
        <f aca="false">IF(B154="","",IF(COUNTIFS(C_ID,C154,C_INICIO,"&gt;="&amp;ENVIO_PER,C_INICIO,"&lt;="&amp;EOMONTH(ENVIO_PER,0))&gt;0,COUNTIFS(C_ID,C154,C_INICIO,"&gt;="&amp;ENVIO_PER,C_INICIO,"&lt;="&amp;EOMONTH(ENVIO_PER,0))&amp;" documento(s) nuevo(s): ver Contratos",""))</f>
        <v/>
      </c>
      <c r="K154" s="74" t="str">
        <f aca="false">IF(B154="","",IF(COUNTIF(N_CLAVE,AA154)&gt;0,SUMIFS(N_DIAS,N_CLAVE,AA154),AD154))</f>
        <v/>
      </c>
      <c r="L154" s="74" t="str">
        <f aca="false">IF(B154="","",SUMIFS(N_FALTAS,N_CLAVE,AA154))</f>
        <v/>
      </c>
      <c r="M154" s="74" t="str">
        <f aca="false">IF(B154="","",SUMIFS(N_LIC,N_CLAVE,AA154))</f>
        <v/>
      </c>
      <c r="N154" s="74" t="str">
        <f aca="false">IF(B154="","",SUMIFS(N_PCG,N_CLAVE,AA154))</f>
        <v/>
      </c>
      <c r="O154" s="74" t="str">
        <f aca="false">IF(B154="","",SUMIFS(N_PSG,N_CLAVE,AA154))</f>
        <v/>
      </c>
      <c r="P154" s="74" t="str">
        <f aca="false">IF(B154="","",SUMIFS(V_DIAS,V_ID,C154,V_MES,ENVIO_PER))</f>
        <v/>
      </c>
      <c r="Q154" s="73" t="str">
        <f aca="false">IF(B154="","",SUMIFS(N_ATRASO,N_CLAVE,AA154))</f>
        <v/>
      </c>
      <c r="R154" s="74" t="str">
        <f aca="false">IF(B154="","",SUMIFS(N_HE,N_CLAVE,AA154))</f>
        <v/>
      </c>
      <c r="S154" s="71" t="str">
        <f aca="false">IF(B154="","",SUMIFS(N_ANT,N_CLAVE,AA154))</f>
        <v/>
      </c>
      <c r="T154" s="71" t="str">
        <f aca="false">IF(B154="","",SUMIFS(N_BONO,N_CLAVE,AA154))</f>
        <v/>
      </c>
      <c r="U154" s="71" t="str">
        <f aca="false">IF(B154="","",SUMIFS(N_ONI,N_CLAVE,AA154))</f>
        <v/>
      </c>
      <c r="V154" s="71" t="str">
        <f aca="false">IF(B154="","",SUMIFS(N_DESC,N_CLAVE,AA154))</f>
        <v/>
      </c>
      <c r="W154" s="72" t="str">
        <f aca="false">IF(B154="","",IFERROR(INDEX(N_OBS,MATCH(AA154,N_CLAVE,0))&amp;"",""))</f>
        <v/>
      </c>
      <c r="X154" s="70" t="str">
        <f aca="false">IF(B154="","",IF(COUNTIF(N_CLAVE,AA154)&gt;0,"Sí","⚠ Sin registro"))</f>
        <v/>
      </c>
      <c r="Z154" s="81" t="str">
        <f aca="false">IF(B154="","",MATCH(B154,T_AUX,0))</f>
        <v/>
      </c>
      <c r="AA154" s="81" t="str">
        <f aca="false">IF(B154="","",C154&amp;"|"&amp;(YEAR(ENVIO_PER)*100+MONTH(ENVIO_PER)))</f>
        <v/>
      </c>
      <c r="AB154" s="81" t="str">
        <f aca="false">IF(B154="","",INDEX(T_INGRESO,Z154))</f>
        <v/>
      </c>
      <c r="AC154" s="81" t="str">
        <f aca="false">IF(B154="","",N(INDEX(T_EGRESO,Z154)))</f>
        <v/>
      </c>
      <c r="AD154" s="81" t="str">
        <f aca="false">IF(B154="","",IF(OR(AB154&gt;EOMONTH(ENVIO_PER,0),AND(AC154&gt;0,AC154&lt;ENVIO_PER)),0,IF(AND(AB154&lt;=ENVIO_PER,OR(AC154=0,AC154&gt;=EOMONTH(ENVIO_PER,0))),30,MIN(30,IF(AC154=0,EOMONTH(ENVIO_PER,0),MIN(AC154,EOMONTH(ENVIO_PER,0)))-MAX(ENVIO_PER,AB154)+1))))</f>
        <v/>
      </c>
    </row>
    <row r="155" customFormat="false" ht="15" hidden="false" customHeight="false" outlineLevel="0" collapsed="false">
      <c r="B155" s="72" t="str">
        <f aca="false">IF(146&lt;=MAX(T_AUX),146,"")</f>
        <v/>
      </c>
      <c r="C155" s="72" t="str">
        <f aca="false">IF(B155="","",INDEX(T_ID,Z155))</f>
        <v/>
      </c>
      <c r="D155" s="72" t="str">
        <f aca="false">IF(B155="","",INDEX(T_RUT,Z155)&amp;"")</f>
        <v/>
      </c>
      <c r="E155" s="72" t="str">
        <f aca="false">IF(B155="","",INDEX(T_NOMBRE,Z155)&amp;"")</f>
        <v/>
      </c>
      <c r="F155" s="72" t="str">
        <f aca="false">IF(B155="","",INDEX(T_CARGO,Z155)&amp;"")</f>
        <v/>
      </c>
      <c r="G155" s="72" t="str">
        <f aca="false">IF(B155="","",IFERROR(INDEX(C_TIPO,MATCH(C155&amp;"-P"&amp;MAX(1,COUNTIFS(C_ID,C155,C_DEFINE,"Sí",C_INICIO,"&lt;="&amp;EOMONTH(ENVIO_PER,0))),C_CLAVE,0))&amp;"","Sin contrato"))</f>
        <v/>
      </c>
      <c r="H155" s="71" t="str">
        <f aca="false">IF(B155="","",IFERROR(INDEX(C_SUELDO,MATCH(C155&amp;"-S"&amp;MAX(1,COUNTIFS(C_ID,C155,C_SUELDO,"&lt;&gt;",C_INICIO,"&lt;="&amp;EOMONTH(ENVIO_PER,0))),C_CLAVES,0)),0))</f>
        <v/>
      </c>
      <c r="I155" s="70" t="str">
        <f aca="false">IF(B155="","",TRIM(IF(AND(AB155&gt;=ENVIO_PER,AB155&lt;=EOMONTH(ENVIO_PER,0)),"Ingresa el día "&amp;DAY(AB155)&amp;". ","")&amp;IF(AND(AC155&gt;0,AC155&gt;=ENVIO_PER,AC155&lt;=EOMONTH(ENVIO_PER,0)),"Egresa el día "&amp;DAY(AC155)&amp;".","")))</f>
        <v/>
      </c>
      <c r="J155" s="70" t="str">
        <f aca="false">IF(B155="","",IF(COUNTIFS(C_ID,C155,C_INICIO,"&gt;="&amp;ENVIO_PER,C_INICIO,"&lt;="&amp;EOMONTH(ENVIO_PER,0))&gt;0,COUNTIFS(C_ID,C155,C_INICIO,"&gt;="&amp;ENVIO_PER,C_INICIO,"&lt;="&amp;EOMONTH(ENVIO_PER,0))&amp;" documento(s) nuevo(s): ver Contratos",""))</f>
        <v/>
      </c>
      <c r="K155" s="74" t="str">
        <f aca="false">IF(B155="","",IF(COUNTIF(N_CLAVE,AA155)&gt;0,SUMIFS(N_DIAS,N_CLAVE,AA155),AD155))</f>
        <v/>
      </c>
      <c r="L155" s="74" t="str">
        <f aca="false">IF(B155="","",SUMIFS(N_FALTAS,N_CLAVE,AA155))</f>
        <v/>
      </c>
      <c r="M155" s="74" t="str">
        <f aca="false">IF(B155="","",SUMIFS(N_LIC,N_CLAVE,AA155))</f>
        <v/>
      </c>
      <c r="N155" s="74" t="str">
        <f aca="false">IF(B155="","",SUMIFS(N_PCG,N_CLAVE,AA155))</f>
        <v/>
      </c>
      <c r="O155" s="74" t="str">
        <f aca="false">IF(B155="","",SUMIFS(N_PSG,N_CLAVE,AA155))</f>
        <v/>
      </c>
      <c r="P155" s="74" t="str">
        <f aca="false">IF(B155="","",SUMIFS(V_DIAS,V_ID,C155,V_MES,ENVIO_PER))</f>
        <v/>
      </c>
      <c r="Q155" s="73" t="str">
        <f aca="false">IF(B155="","",SUMIFS(N_ATRASO,N_CLAVE,AA155))</f>
        <v/>
      </c>
      <c r="R155" s="74" t="str">
        <f aca="false">IF(B155="","",SUMIFS(N_HE,N_CLAVE,AA155))</f>
        <v/>
      </c>
      <c r="S155" s="71" t="str">
        <f aca="false">IF(B155="","",SUMIFS(N_ANT,N_CLAVE,AA155))</f>
        <v/>
      </c>
      <c r="T155" s="71" t="str">
        <f aca="false">IF(B155="","",SUMIFS(N_BONO,N_CLAVE,AA155))</f>
        <v/>
      </c>
      <c r="U155" s="71" t="str">
        <f aca="false">IF(B155="","",SUMIFS(N_ONI,N_CLAVE,AA155))</f>
        <v/>
      </c>
      <c r="V155" s="71" t="str">
        <f aca="false">IF(B155="","",SUMIFS(N_DESC,N_CLAVE,AA155))</f>
        <v/>
      </c>
      <c r="W155" s="72" t="str">
        <f aca="false">IF(B155="","",IFERROR(INDEX(N_OBS,MATCH(AA155,N_CLAVE,0))&amp;"",""))</f>
        <v/>
      </c>
      <c r="X155" s="70" t="str">
        <f aca="false">IF(B155="","",IF(COUNTIF(N_CLAVE,AA155)&gt;0,"Sí","⚠ Sin registro"))</f>
        <v/>
      </c>
      <c r="Z155" s="81" t="str">
        <f aca="false">IF(B155="","",MATCH(B155,T_AUX,0))</f>
        <v/>
      </c>
      <c r="AA155" s="81" t="str">
        <f aca="false">IF(B155="","",C155&amp;"|"&amp;(YEAR(ENVIO_PER)*100+MONTH(ENVIO_PER)))</f>
        <v/>
      </c>
      <c r="AB155" s="81" t="str">
        <f aca="false">IF(B155="","",INDEX(T_INGRESO,Z155))</f>
        <v/>
      </c>
      <c r="AC155" s="81" t="str">
        <f aca="false">IF(B155="","",N(INDEX(T_EGRESO,Z155)))</f>
        <v/>
      </c>
      <c r="AD155" s="81" t="str">
        <f aca="false">IF(B155="","",IF(OR(AB155&gt;EOMONTH(ENVIO_PER,0),AND(AC155&gt;0,AC155&lt;ENVIO_PER)),0,IF(AND(AB155&lt;=ENVIO_PER,OR(AC155=0,AC155&gt;=EOMONTH(ENVIO_PER,0))),30,MIN(30,IF(AC155=0,EOMONTH(ENVIO_PER,0),MIN(AC155,EOMONTH(ENVIO_PER,0)))-MAX(ENVIO_PER,AB155)+1))))</f>
        <v/>
      </c>
    </row>
    <row r="156" customFormat="false" ht="15" hidden="false" customHeight="false" outlineLevel="0" collapsed="false">
      <c r="B156" s="72" t="str">
        <f aca="false">IF(147&lt;=MAX(T_AUX),147,"")</f>
        <v/>
      </c>
      <c r="C156" s="72" t="str">
        <f aca="false">IF(B156="","",INDEX(T_ID,Z156))</f>
        <v/>
      </c>
      <c r="D156" s="72" t="str">
        <f aca="false">IF(B156="","",INDEX(T_RUT,Z156)&amp;"")</f>
        <v/>
      </c>
      <c r="E156" s="72" t="str">
        <f aca="false">IF(B156="","",INDEX(T_NOMBRE,Z156)&amp;"")</f>
        <v/>
      </c>
      <c r="F156" s="72" t="str">
        <f aca="false">IF(B156="","",INDEX(T_CARGO,Z156)&amp;"")</f>
        <v/>
      </c>
      <c r="G156" s="72" t="str">
        <f aca="false">IF(B156="","",IFERROR(INDEX(C_TIPO,MATCH(C156&amp;"-P"&amp;MAX(1,COUNTIFS(C_ID,C156,C_DEFINE,"Sí",C_INICIO,"&lt;="&amp;EOMONTH(ENVIO_PER,0))),C_CLAVE,0))&amp;"","Sin contrato"))</f>
        <v/>
      </c>
      <c r="H156" s="71" t="str">
        <f aca="false">IF(B156="","",IFERROR(INDEX(C_SUELDO,MATCH(C156&amp;"-S"&amp;MAX(1,COUNTIFS(C_ID,C156,C_SUELDO,"&lt;&gt;",C_INICIO,"&lt;="&amp;EOMONTH(ENVIO_PER,0))),C_CLAVES,0)),0))</f>
        <v/>
      </c>
      <c r="I156" s="70" t="str">
        <f aca="false">IF(B156="","",TRIM(IF(AND(AB156&gt;=ENVIO_PER,AB156&lt;=EOMONTH(ENVIO_PER,0)),"Ingresa el día "&amp;DAY(AB156)&amp;". ","")&amp;IF(AND(AC156&gt;0,AC156&gt;=ENVIO_PER,AC156&lt;=EOMONTH(ENVIO_PER,0)),"Egresa el día "&amp;DAY(AC156)&amp;".","")))</f>
        <v/>
      </c>
      <c r="J156" s="70" t="str">
        <f aca="false">IF(B156="","",IF(COUNTIFS(C_ID,C156,C_INICIO,"&gt;="&amp;ENVIO_PER,C_INICIO,"&lt;="&amp;EOMONTH(ENVIO_PER,0))&gt;0,COUNTIFS(C_ID,C156,C_INICIO,"&gt;="&amp;ENVIO_PER,C_INICIO,"&lt;="&amp;EOMONTH(ENVIO_PER,0))&amp;" documento(s) nuevo(s): ver Contratos",""))</f>
        <v/>
      </c>
      <c r="K156" s="74" t="str">
        <f aca="false">IF(B156="","",IF(COUNTIF(N_CLAVE,AA156)&gt;0,SUMIFS(N_DIAS,N_CLAVE,AA156),AD156))</f>
        <v/>
      </c>
      <c r="L156" s="74" t="str">
        <f aca="false">IF(B156="","",SUMIFS(N_FALTAS,N_CLAVE,AA156))</f>
        <v/>
      </c>
      <c r="M156" s="74" t="str">
        <f aca="false">IF(B156="","",SUMIFS(N_LIC,N_CLAVE,AA156))</f>
        <v/>
      </c>
      <c r="N156" s="74" t="str">
        <f aca="false">IF(B156="","",SUMIFS(N_PCG,N_CLAVE,AA156))</f>
        <v/>
      </c>
      <c r="O156" s="74" t="str">
        <f aca="false">IF(B156="","",SUMIFS(N_PSG,N_CLAVE,AA156))</f>
        <v/>
      </c>
      <c r="P156" s="74" t="str">
        <f aca="false">IF(B156="","",SUMIFS(V_DIAS,V_ID,C156,V_MES,ENVIO_PER))</f>
        <v/>
      </c>
      <c r="Q156" s="73" t="str">
        <f aca="false">IF(B156="","",SUMIFS(N_ATRASO,N_CLAVE,AA156))</f>
        <v/>
      </c>
      <c r="R156" s="74" t="str">
        <f aca="false">IF(B156="","",SUMIFS(N_HE,N_CLAVE,AA156))</f>
        <v/>
      </c>
      <c r="S156" s="71" t="str">
        <f aca="false">IF(B156="","",SUMIFS(N_ANT,N_CLAVE,AA156))</f>
        <v/>
      </c>
      <c r="T156" s="71" t="str">
        <f aca="false">IF(B156="","",SUMIFS(N_BONO,N_CLAVE,AA156))</f>
        <v/>
      </c>
      <c r="U156" s="71" t="str">
        <f aca="false">IF(B156="","",SUMIFS(N_ONI,N_CLAVE,AA156))</f>
        <v/>
      </c>
      <c r="V156" s="71" t="str">
        <f aca="false">IF(B156="","",SUMIFS(N_DESC,N_CLAVE,AA156))</f>
        <v/>
      </c>
      <c r="W156" s="72" t="str">
        <f aca="false">IF(B156="","",IFERROR(INDEX(N_OBS,MATCH(AA156,N_CLAVE,0))&amp;"",""))</f>
        <v/>
      </c>
      <c r="X156" s="70" t="str">
        <f aca="false">IF(B156="","",IF(COUNTIF(N_CLAVE,AA156)&gt;0,"Sí","⚠ Sin registro"))</f>
        <v/>
      </c>
      <c r="Z156" s="81" t="str">
        <f aca="false">IF(B156="","",MATCH(B156,T_AUX,0))</f>
        <v/>
      </c>
      <c r="AA156" s="81" t="str">
        <f aca="false">IF(B156="","",C156&amp;"|"&amp;(YEAR(ENVIO_PER)*100+MONTH(ENVIO_PER)))</f>
        <v/>
      </c>
      <c r="AB156" s="81" t="str">
        <f aca="false">IF(B156="","",INDEX(T_INGRESO,Z156))</f>
        <v/>
      </c>
      <c r="AC156" s="81" t="str">
        <f aca="false">IF(B156="","",N(INDEX(T_EGRESO,Z156)))</f>
        <v/>
      </c>
      <c r="AD156" s="81" t="str">
        <f aca="false">IF(B156="","",IF(OR(AB156&gt;EOMONTH(ENVIO_PER,0),AND(AC156&gt;0,AC156&lt;ENVIO_PER)),0,IF(AND(AB156&lt;=ENVIO_PER,OR(AC156=0,AC156&gt;=EOMONTH(ENVIO_PER,0))),30,MIN(30,IF(AC156=0,EOMONTH(ENVIO_PER,0),MIN(AC156,EOMONTH(ENVIO_PER,0)))-MAX(ENVIO_PER,AB156)+1))))</f>
        <v/>
      </c>
    </row>
    <row r="157" customFormat="false" ht="15" hidden="false" customHeight="false" outlineLevel="0" collapsed="false">
      <c r="B157" s="72" t="str">
        <f aca="false">IF(148&lt;=MAX(T_AUX),148,"")</f>
        <v/>
      </c>
      <c r="C157" s="72" t="str">
        <f aca="false">IF(B157="","",INDEX(T_ID,Z157))</f>
        <v/>
      </c>
      <c r="D157" s="72" t="str">
        <f aca="false">IF(B157="","",INDEX(T_RUT,Z157)&amp;"")</f>
        <v/>
      </c>
      <c r="E157" s="72" t="str">
        <f aca="false">IF(B157="","",INDEX(T_NOMBRE,Z157)&amp;"")</f>
        <v/>
      </c>
      <c r="F157" s="72" t="str">
        <f aca="false">IF(B157="","",INDEX(T_CARGO,Z157)&amp;"")</f>
        <v/>
      </c>
      <c r="G157" s="72" t="str">
        <f aca="false">IF(B157="","",IFERROR(INDEX(C_TIPO,MATCH(C157&amp;"-P"&amp;MAX(1,COUNTIFS(C_ID,C157,C_DEFINE,"Sí",C_INICIO,"&lt;="&amp;EOMONTH(ENVIO_PER,0))),C_CLAVE,0))&amp;"","Sin contrato"))</f>
        <v/>
      </c>
      <c r="H157" s="71" t="str">
        <f aca="false">IF(B157="","",IFERROR(INDEX(C_SUELDO,MATCH(C157&amp;"-S"&amp;MAX(1,COUNTIFS(C_ID,C157,C_SUELDO,"&lt;&gt;",C_INICIO,"&lt;="&amp;EOMONTH(ENVIO_PER,0))),C_CLAVES,0)),0))</f>
        <v/>
      </c>
      <c r="I157" s="70" t="str">
        <f aca="false">IF(B157="","",TRIM(IF(AND(AB157&gt;=ENVIO_PER,AB157&lt;=EOMONTH(ENVIO_PER,0)),"Ingresa el día "&amp;DAY(AB157)&amp;". ","")&amp;IF(AND(AC157&gt;0,AC157&gt;=ENVIO_PER,AC157&lt;=EOMONTH(ENVIO_PER,0)),"Egresa el día "&amp;DAY(AC157)&amp;".","")))</f>
        <v/>
      </c>
      <c r="J157" s="70" t="str">
        <f aca="false">IF(B157="","",IF(COUNTIFS(C_ID,C157,C_INICIO,"&gt;="&amp;ENVIO_PER,C_INICIO,"&lt;="&amp;EOMONTH(ENVIO_PER,0))&gt;0,COUNTIFS(C_ID,C157,C_INICIO,"&gt;="&amp;ENVIO_PER,C_INICIO,"&lt;="&amp;EOMONTH(ENVIO_PER,0))&amp;" documento(s) nuevo(s): ver Contratos",""))</f>
        <v/>
      </c>
      <c r="K157" s="74" t="str">
        <f aca="false">IF(B157="","",IF(COUNTIF(N_CLAVE,AA157)&gt;0,SUMIFS(N_DIAS,N_CLAVE,AA157),AD157))</f>
        <v/>
      </c>
      <c r="L157" s="74" t="str">
        <f aca="false">IF(B157="","",SUMIFS(N_FALTAS,N_CLAVE,AA157))</f>
        <v/>
      </c>
      <c r="M157" s="74" t="str">
        <f aca="false">IF(B157="","",SUMIFS(N_LIC,N_CLAVE,AA157))</f>
        <v/>
      </c>
      <c r="N157" s="74" t="str">
        <f aca="false">IF(B157="","",SUMIFS(N_PCG,N_CLAVE,AA157))</f>
        <v/>
      </c>
      <c r="O157" s="74" t="str">
        <f aca="false">IF(B157="","",SUMIFS(N_PSG,N_CLAVE,AA157))</f>
        <v/>
      </c>
      <c r="P157" s="74" t="str">
        <f aca="false">IF(B157="","",SUMIFS(V_DIAS,V_ID,C157,V_MES,ENVIO_PER))</f>
        <v/>
      </c>
      <c r="Q157" s="73" t="str">
        <f aca="false">IF(B157="","",SUMIFS(N_ATRASO,N_CLAVE,AA157))</f>
        <v/>
      </c>
      <c r="R157" s="74" t="str">
        <f aca="false">IF(B157="","",SUMIFS(N_HE,N_CLAVE,AA157))</f>
        <v/>
      </c>
      <c r="S157" s="71" t="str">
        <f aca="false">IF(B157="","",SUMIFS(N_ANT,N_CLAVE,AA157))</f>
        <v/>
      </c>
      <c r="T157" s="71" t="str">
        <f aca="false">IF(B157="","",SUMIFS(N_BONO,N_CLAVE,AA157))</f>
        <v/>
      </c>
      <c r="U157" s="71" t="str">
        <f aca="false">IF(B157="","",SUMIFS(N_ONI,N_CLAVE,AA157))</f>
        <v/>
      </c>
      <c r="V157" s="71" t="str">
        <f aca="false">IF(B157="","",SUMIFS(N_DESC,N_CLAVE,AA157))</f>
        <v/>
      </c>
      <c r="W157" s="72" t="str">
        <f aca="false">IF(B157="","",IFERROR(INDEX(N_OBS,MATCH(AA157,N_CLAVE,0))&amp;"",""))</f>
        <v/>
      </c>
      <c r="X157" s="70" t="str">
        <f aca="false">IF(B157="","",IF(COUNTIF(N_CLAVE,AA157)&gt;0,"Sí","⚠ Sin registro"))</f>
        <v/>
      </c>
      <c r="Z157" s="81" t="str">
        <f aca="false">IF(B157="","",MATCH(B157,T_AUX,0))</f>
        <v/>
      </c>
      <c r="AA157" s="81" t="str">
        <f aca="false">IF(B157="","",C157&amp;"|"&amp;(YEAR(ENVIO_PER)*100+MONTH(ENVIO_PER)))</f>
        <v/>
      </c>
      <c r="AB157" s="81" t="str">
        <f aca="false">IF(B157="","",INDEX(T_INGRESO,Z157))</f>
        <v/>
      </c>
      <c r="AC157" s="81" t="str">
        <f aca="false">IF(B157="","",N(INDEX(T_EGRESO,Z157)))</f>
        <v/>
      </c>
      <c r="AD157" s="81" t="str">
        <f aca="false">IF(B157="","",IF(OR(AB157&gt;EOMONTH(ENVIO_PER,0),AND(AC157&gt;0,AC157&lt;ENVIO_PER)),0,IF(AND(AB157&lt;=ENVIO_PER,OR(AC157=0,AC157&gt;=EOMONTH(ENVIO_PER,0))),30,MIN(30,IF(AC157=0,EOMONTH(ENVIO_PER,0),MIN(AC157,EOMONTH(ENVIO_PER,0)))-MAX(ENVIO_PER,AB157)+1))))</f>
        <v/>
      </c>
    </row>
    <row r="158" customFormat="false" ht="15" hidden="false" customHeight="false" outlineLevel="0" collapsed="false">
      <c r="B158" s="72" t="str">
        <f aca="false">IF(149&lt;=MAX(T_AUX),149,"")</f>
        <v/>
      </c>
      <c r="C158" s="72" t="str">
        <f aca="false">IF(B158="","",INDEX(T_ID,Z158))</f>
        <v/>
      </c>
      <c r="D158" s="72" t="str">
        <f aca="false">IF(B158="","",INDEX(T_RUT,Z158)&amp;"")</f>
        <v/>
      </c>
      <c r="E158" s="72" t="str">
        <f aca="false">IF(B158="","",INDEX(T_NOMBRE,Z158)&amp;"")</f>
        <v/>
      </c>
      <c r="F158" s="72" t="str">
        <f aca="false">IF(B158="","",INDEX(T_CARGO,Z158)&amp;"")</f>
        <v/>
      </c>
      <c r="G158" s="72" t="str">
        <f aca="false">IF(B158="","",IFERROR(INDEX(C_TIPO,MATCH(C158&amp;"-P"&amp;MAX(1,COUNTIFS(C_ID,C158,C_DEFINE,"Sí",C_INICIO,"&lt;="&amp;EOMONTH(ENVIO_PER,0))),C_CLAVE,0))&amp;"","Sin contrato"))</f>
        <v/>
      </c>
      <c r="H158" s="71" t="str">
        <f aca="false">IF(B158="","",IFERROR(INDEX(C_SUELDO,MATCH(C158&amp;"-S"&amp;MAX(1,COUNTIFS(C_ID,C158,C_SUELDO,"&lt;&gt;",C_INICIO,"&lt;="&amp;EOMONTH(ENVIO_PER,0))),C_CLAVES,0)),0))</f>
        <v/>
      </c>
      <c r="I158" s="70" t="str">
        <f aca="false">IF(B158="","",TRIM(IF(AND(AB158&gt;=ENVIO_PER,AB158&lt;=EOMONTH(ENVIO_PER,0)),"Ingresa el día "&amp;DAY(AB158)&amp;". ","")&amp;IF(AND(AC158&gt;0,AC158&gt;=ENVIO_PER,AC158&lt;=EOMONTH(ENVIO_PER,0)),"Egresa el día "&amp;DAY(AC158)&amp;".","")))</f>
        <v/>
      </c>
      <c r="J158" s="70" t="str">
        <f aca="false">IF(B158="","",IF(COUNTIFS(C_ID,C158,C_INICIO,"&gt;="&amp;ENVIO_PER,C_INICIO,"&lt;="&amp;EOMONTH(ENVIO_PER,0))&gt;0,COUNTIFS(C_ID,C158,C_INICIO,"&gt;="&amp;ENVIO_PER,C_INICIO,"&lt;="&amp;EOMONTH(ENVIO_PER,0))&amp;" documento(s) nuevo(s): ver Contratos",""))</f>
        <v/>
      </c>
      <c r="K158" s="74" t="str">
        <f aca="false">IF(B158="","",IF(COUNTIF(N_CLAVE,AA158)&gt;0,SUMIFS(N_DIAS,N_CLAVE,AA158),AD158))</f>
        <v/>
      </c>
      <c r="L158" s="74" t="str">
        <f aca="false">IF(B158="","",SUMIFS(N_FALTAS,N_CLAVE,AA158))</f>
        <v/>
      </c>
      <c r="M158" s="74" t="str">
        <f aca="false">IF(B158="","",SUMIFS(N_LIC,N_CLAVE,AA158))</f>
        <v/>
      </c>
      <c r="N158" s="74" t="str">
        <f aca="false">IF(B158="","",SUMIFS(N_PCG,N_CLAVE,AA158))</f>
        <v/>
      </c>
      <c r="O158" s="74" t="str">
        <f aca="false">IF(B158="","",SUMIFS(N_PSG,N_CLAVE,AA158))</f>
        <v/>
      </c>
      <c r="P158" s="74" t="str">
        <f aca="false">IF(B158="","",SUMIFS(V_DIAS,V_ID,C158,V_MES,ENVIO_PER))</f>
        <v/>
      </c>
      <c r="Q158" s="73" t="str">
        <f aca="false">IF(B158="","",SUMIFS(N_ATRASO,N_CLAVE,AA158))</f>
        <v/>
      </c>
      <c r="R158" s="74" t="str">
        <f aca="false">IF(B158="","",SUMIFS(N_HE,N_CLAVE,AA158))</f>
        <v/>
      </c>
      <c r="S158" s="71" t="str">
        <f aca="false">IF(B158="","",SUMIFS(N_ANT,N_CLAVE,AA158))</f>
        <v/>
      </c>
      <c r="T158" s="71" t="str">
        <f aca="false">IF(B158="","",SUMIFS(N_BONO,N_CLAVE,AA158))</f>
        <v/>
      </c>
      <c r="U158" s="71" t="str">
        <f aca="false">IF(B158="","",SUMIFS(N_ONI,N_CLAVE,AA158))</f>
        <v/>
      </c>
      <c r="V158" s="71" t="str">
        <f aca="false">IF(B158="","",SUMIFS(N_DESC,N_CLAVE,AA158))</f>
        <v/>
      </c>
      <c r="W158" s="72" t="str">
        <f aca="false">IF(B158="","",IFERROR(INDEX(N_OBS,MATCH(AA158,N_CLAVE,0))&amp;"",""))</f>
        <v/>
      </c>
      <c r="X158" s="70" t="str">
        <f aca="false">IF(B158="","",IF(COUNTIF(N_CLAVE,AA158)&gt;0,"Sí","⚠ Sin registro"))</f>
        <v/>
      </c>
      <c r="Z158" s="81" t="str">
        <f aca="false">IF(B158="","",MATCH(B158,T_AUX,0))</f>
        <v/>
      </c>
      <c r="AA158" s="81" t="str">
        <f aca="false">IF(B158="","",C158&amp;"|"&amp;(YEAR(ENVIO_PER)*100+MONTH(ENVIO_PER)))</f>
        <v/>
      </c>
      <c r="AB158" s="81" t="str">
        <f aca="false">IF(B158="","",INDEX(T_INGRESO,Z158))</f>
        <v/>
      </c>
      <c r="AC158" s="81" t="str">
        <f aca="false">IF(B158="","",N(INDEX(T_EGRESO,Z158)))</f>
        <v/>
      </c>
      <c r="AD158" s="81" t="str">
        <f aca="false">IF(B158="","",IF(OR(AB158&gt;EOMONTH(ENVIO_PER,0),AND(AC158&gt;0,AC158&lt;ENVIO_PER)),0,IF(AND(AB158&lt;=ENVIO_PER,OR(AC158=0,AC158&gt;=EOMONTH(ENVIO_PER,0))),30,MIN(30,IF(AC158=0,EOMONTH(ENVIO_PER,0),MIN(AC158,EOMONTH(ENVIO_PER,0)))-MAX(ENVIO_PER,AB158)+1))))</f>
        <v/>
      </c>
    </row>
    <row r="159" customFormat="false" ht="15" hidden="false" customHeight="false" outlineLevel="0" collapsed="false">
      <c r="B159" s="72" t="str">
        <f aca="false">IF(150&lt;=MAX(T_AUX),150,"")</f>
        <v/>
      </c>
      <c r="C159" s="72" t="str">
        <f aca="false">IF(B159="","",INDEX(T_ID,Z159))</f>
        <v/>
      </c>
      <c r="D159" s="72" t="str">
        <f aca="false">IF(B159="","",INDEX(T_RUT,Z159)&amp;"")</f>
        <v/>
      </c>
      <c r="E159" s="72" t="str">
        <f aca="false">IF(B159="","",INDEX(T_NOMBRE,Z159)&amp;"")</f>
        <v/>
      </c>
      <c r="F159" s="72" t="str">
        <f aca="false">IF(B159="","",INDEX(T_CARGO,Z159)&amp;"")</f>
        <v/>
      </c>
      <c r="G159" s="72" t="str">
        <f aca="false">IF(B159="","",IFERROR(INDEX(C_TIPO,MATCH(C159&amp;"-P"&amp;MAX(1,COUNTIFS(C_ID,C159,C_DEFINE,"Sí",C_INICIO,"&lt;="&amp;EOMONTH(ENVIO_PER,0))),C_CLAVE,0))&amp;"","Sin contrato"))</f>
        <v/>
      </c>
      <c r="H159" s="71" t="str">
        <f aca="false">IF(B159="","",IFERROR(INDEX(C_SUELDO,MATCH(C159&amp;"-S"&amp;MAX(1,COUNTIFS(C_ID,C159,C_SUELDO,"&lt;&gt;",C_INICIO,"&lt;="&amp;EOMONTH(ENVIO_PER,0))),C_CLAVES,0)),0))</f>
        <v/>
      </c>
      <c r="I159" s="70" t="str">
        <f aca="false">IF(B159="","",TRIM(IF(AND(AB159&gt;=ENVIO_PER,AB159&lt;=EOMONTH(ENVIO_PER,0)),"Ingresa el día "&amp;DAY(AB159)&amp;". ","")&amp;IF(AND(AC159&gt;0,AC159&gt;=ENVIO_PER,AC159&lt;=EOMONTH(ENVIO_PER,0)),"Egresa el día "&amp;DAY(AC159)&amp;".","")))</f>
        <v/>
      </c>
      <c r="J159" s="70" t="str">
        <f aca="false">IF(B159="","",IF(COUNTIFS(C_ID,C159,C_INICIO,"&gt;="&amp;ENVIO_PER,C_INICIO,"&lt;="&amp;EOMONTH(ENVIO_PER,0))&gt;0,COUNTIFS(C_ID,C159,C_INICIO,"&gt;="&amp;ENVIO_PER,C_INICIO,"&lt;="&amp;EOMONTH(ENVIO_PER,0))&amp;" documento(s) nuevo(s): ver Contratos",""))</f>
        <v/>
      </c>
      <c r="K159" s="74" t="str">
        <f aca="false">IF(B159="","",IF(COUNTIF(N_CLAVE,AA159)&gt;0,SUMIFS(N_DIAS,N_CLAVE,AA159),AD159))</f>
        <v/>
      </c>
      <c r="L159" s="74" t="str">
        <f aca="false">IF(B159="","",SUMIFS(N_FALTAS,N_CLAVE,AA159))</f>
        <v/>
      </c>
      <c r="M159" s="74" t="str">
        <f aca="false">IF(B159="","",SUMIFS(N_LIC,N_CLAVE,AA159))</f>
        <v/>
      </c>
      <c r="N159" s="74" t="str">
        <f aca="false">IF(B159="","",SUMIFS(N_PCG,N_CLAVE,AA159))</f>
        <v/>
      </c>
      <c r="O159" s="74" t="str">
        <f aca="false">IF(B159="","",SUMIFS(N_PSG,N_CLAVE,AA159))</f>
        <v/>
      </c>
      <c r="P159" s="74" t="str">
        <f aca="false">IF(B159="","",SUMIFS(V_DIAS,V_ID,C159,V_MES,ENVIO_PER))</f>
        <v/>
      </c>
      <c r="Q159" s="73" t="str">
        <f aca="false">IF(B159="","",SUMIFS(N_ATRASO,N_CLAVE,AA159))</f>
        <v/>
      </c>
      <c r="R159" s="74" t="str">
        <f aca="false">IF(B159="","",SUMIFS(N_HE,N_CLAVE,AA159))</f>
        <v/>
      </c>
      <c r="S159" s="71" t="str">
        <f aca="false">IF(B159="","",SUMIFS(N_ANT,N_CLAVE,AA159))</f>
        <v/>
      </c>
      <c r="T159" s="71" t="str">
        <f aca="false">IF(B159="","",SUMIFS(N_BONO,N_CLAVE,AA159))</f>
        <v/>
      </c>
      <c r="U159" s="71" t="str">
        <f aca="false">IF(B159="","",SUMIFS(N_ONI,N_CLAVE,AA159))</f>
        <v/>
      </c>
      <c r="V159" s="71" t="str">
        <f aca="false">IF(B159="","",SUMIFS(N_DESC,N_CLAVE,AA159))</f>
        <v/>
      </c>
      <c r="W159" s="72" t="str">
        <f aca="false">IF(B159="","",IFERROR(INDEX(N_OBS,MATCH(AA159,N_CLAVE,0))&amp;"",""))</f>
        <v/>
      </c>
      <c r="X159" s="70" t="str">
        <f aca="false">IF(B159="","",IF(COUNTIF(N_CLAVE,AA159)&gt;0,"Sí","⚠ Sin registro"))</f>
        <v/>
      </c>
      <c r="Z159" s="81" t="str">
        <f aca="false">IF(B159="","",MATCH(B159,T_AUX,0))</f>
        <v/>
      </c>
      <c r="AA159" s="81" t="str">
        <f aca="false">IF(B159="","",C159&amp;"|"&amp;(YEAR(ENVIO_PER)*100+MONTH(ENVIO_PER)))</f>
        <v/>
      </c>
      <c r="AB159" s="81" t="str">
        <f aca="false">IF(B159="","",INDEX(T_INGRESO,Z159))</f>
        <v/>
      </c>
      <c r="AC159" s="81" t="str">
        <f aca="false">IF(B159="","",N(INDEX(T_EGRESO,Z159)))</f>
        <v/>
      </c>
      <c r="AD159" s="81" t="str">
        <f aca="false">IF(B159="","",IF(OR(AB159&gt;EOMONTH(ENVIO_PER,0),AND(AC159&gt;0,AC159&lt;ENVIO_PER)),0,IF(AND(AB159&lt;=ENVIO_PER,OR(AC159=0,AC159&gt;=EOMONTH(ENVIO_PER,0))),30,MIN(30,IF(AC159=0,EOMONTH(ENVIO_PER,0),MIN(AC159,EOMONTH(ENVIO_PER,0)))-MAX(ENVIO_PER,AB159)+1))))</f>
        <v/>
      </c>
    </row>
    <row r="160" customFormat="false" ht="15" hidden="false" customHeight="false" outlineLevel="0" collapsed="false">
      <c r="B160" s="59" t="s">
        <v>341</v>
      </c>
      <c r="C160" s="59"/>
      <c r="D160" s="59"/>
      <c r="E160" s="59"/>
      <c r="F160" s="59"/>
      <c r="G160" s="59"/>
      <c r="H160" s="62"/>
      <c r="I160" s="59"/>
      <c r="J160" s="59"/>
      <c r="K160" s="83" t="n">
        <f aca="false">SUM(K10:K159)</f>
        <v>150</v>
      </c>
      <c r="L160" s="83" t="n">
        <f aca="false">SUM(L10:L159)</f>
        <v>0</v>
      </c>
      <c r="M160" s="83" t="n">
        <f aca="false">SUM(M10:M159)</f>
        <v>0</v>
      </c>
      <c r="N160" s="83" t="n">
        <f aca="false">SUM(N10:N159)</f>
        <v>0</v>
      </c>
      <c r="O160" s="83" t="n">
        <f aca="false">SUM(O10:O159)</f>
        <v>0</v>
      </c>
      <c r="P160" s="83" t="n">
        <f aca="false">SUM(P10:P159)</f>
        <v>0</v>
      </c>
      <c r="Q160" s="84" t="n">
        <f aca="false">SUM(Q10:Q159)</f>
        <v>20</v>
      </c>
      <c r="R160" s="83" t="n">
        <f aca="false">SUM(R10:R159)</f>
        <v>3</v>
      </c>
      <c r="S160" s="62" t="n">
        <f aca="false">SUM(S10:S159)</f>
        <v>450000</v>
      </c>
      <c r="T160" s="62" t="n">
        <f aca="false">SUM(T10:T159)</f>
        <v>0</v>
      </c>
      <c r="U160" s="62" t="n">
        <f aca="false">SUM(U10:U159)</f>
        <v>0</v>
      </c>
      <c r="V160" s="62" t="n">
        <f aca="false">SUM(V10:V159)</f>
        <v>50000</v>
      </c>
      <c r="W160" s="59"/>
      <c r="X160" s="59"/>
    </row>
  </sheetData>
  <conditionalFormatting sqref="X10:X159">
    <cfRule type="expression" priority="2" aboveAverage="0" equalAverage="0" bottom="0" percent="0" rank="0" text="" dxfId="2">
      <formula>LEFT($X10,1)="⚠"</formula>
    </cfRule>
  </conditionalFormatting>
  <conditionalFormatting sqref="I10:J159">
    <cfRule type="expression" priority="3" aboveAverage="0" equalAverage="0" bottom="0" percent="0" rank="0" text="" dxfId="27">
      <formula>LEN(I10)&gt;0</formula>
    </cfRule>
  </conditionalFormatting>
  <dataValidations count="1">
    <dataValidation allowBlank="true" error="Seleccione un valor de la lista desplegable." errorStyle="stop" errorTitle="Valor no válido" operator="between" showDropDown="false" showErrorMessage="true" showInputMessage="false" sqref="E5" type="list">
      <formula1>LS_MESES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AK2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9"/>
    <col collapsed="false" customWidth="true" hidden="false" outlineLevel="0" max="4" min="4" style="0" width="22"/>
    <col collapsed="false" customWidth="true" hidden="false" outlineLevel="0" max="5" min="5" style="0" width="8"/>
    <col collapsed="false" customWidth="true" hidden="false" outlineLevel="0" max="6" min="6" style="0" width="11"/>
    <col collapsed="false" customWidth="true" hidden="false" outlineLevel="0" max="7" min="7" style="0" width="10"/>
    <col collapsed="false" customWidth="true" hidden="false" outlineLevel="0" max="10" min="8" style="0" width="11"/>
    <col collapsed="false" customWidth="true" hidden="false" outlineLevel="0" max="11" min="11" style="0" width="12"/>
    <col collapsed="false" customWidth="true" hidden="false" outlineLevel="0" max="15" min="12" style="0" width="10"/>
    <col collapsed="false" customWidth="true" hidden="false" outlineLevel="0" max="16" min="16" style="0" width="12"/>
    <col collapsed="false" customWidth="true" hidden="false" outlineLevel="0" max="18" min="17" style="0" width="10"/>
    <col collapsed="false" customWidth="true" hidden="false" outlineLevel="0" max="19" min="19" style="0" width="9"/>
    <col collapsed="false" customWidth="true" hidden="false" outlineLevel="0" max="22" min="20" style="0" width="10"/>
    <col collapsed="false" customWidth="true" hidden="false" outlineLevel="0" max="25" min="23" style="0" width="12"/>
    <col collapsed="false" customWidth="true" hidden="false" outlineLevel="0" max="26" min="26" style="0" width="14"/>
    <col collapsed="false" customWidth="true" hidden="false" outlineLevel="0" max="28" min="27" style="0" width="12"/>
    <col collapsed="false" customWidth="true" hidden="false" outlineLevel="0" max="29" min="29" style="0" width="11"/>
    <col collapsed="false" customWidth="true" hidden="false" outlineLevel="0" max="30" min="30" style="0" width="10"/>
    <col collapsed="false" customWidth="true" hidden="false" outlineLevel="0" max="31" min="31" style="0" width="13"/>
    <col collapsed="false" customWidth="true" hidden="false" outlineLevel="0" max="32" min="32" style="0" width="11"/>
    <col collapsed="false" customWidth="true" hidden="false" outlineLevel="0" max="33" min="33" style="0" width="24"/>
    <col collapsed="false" customWidth="true" hidden="false" outlineLevel="0" max="34" min="34" style="0" width="11"/>
    <col collapsed="false" customWidth="true" hidden="false" outlineLevel="0" max="35" min="35" style="0" width="10"/>
    <col collapsed="false" customWidth="true" hidden="true" outlineLevel="0" max="36" min="36" style="0" width="10"/>
    <col collapsed="false" customWidth="true" hidden="true" outlineLevel="0" max="37" min="37" style="0" width="8"/>
  </cols>
  <sheetData>
    <row r="2" customFormat="false" ht="24" hidden="false" customHeight="true" outlineLevel="0" collapsed="false">
      <c r="B2" s="1" t="s">
        <v>342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customFormat="false" ht="15.75" hidden="false" customHeight="true" outlineLevel="0" collapsed="false">
      <c r="B3" s="3" t="s">
        <v>343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customFormat="false" ht="15" hidden="false" customHeight="false" outlineLevel="0" collapsed="false">
      <c r="B4" s="63" t="s">
        <v>220</v>
      </c>
    </row>
    <row r="6" customFormat="false" ht="55.5" hidden="false" customHeight="true" outlineLevel="0" collapsed="false">
      <c r="B6" s="42" t="s">
        <v>297</v>
      </c>
      <c r="C6" s="42" t="s">
        <v>221</v>
      </c>
      <c r="D6" s="53" t="s">
        <v>222</v>
      </c>
      <c r="E6" s="42" t="s">
        <v>311</v>
      </c>
      <c r="F6" s="42" t="s">
        <v>344</v>
      </c>
      <c r="G6" s="42" t="s">
        <v>345</v>
      </c>
      <c r="H6" s="42" t="s">
        <v>346</v>
      </c>
      <c r="I6" s="42" t="s">
        <v>347</v>
      </c>
      <c r="J6" s="42" t="s">
        <v>160</v>
      </c>
      <c r="K6" s="53" t="s">
        <v>348</v>
      </c>
      <c r="L6" s="42" t="s">
        <v>349</v>
      </c>
      <c r="M6" s="42" t="s">
        <v>350</v>
      </c>
      <c r="N6" s="42" t="s">
        <v>351</v>
      </c>
      <c r="O6" s="42" t="s">
        <v>338</v>
      </c>
      <c r="P6" s="53" t="s">
        <v>352</v>
      </c>
      <c r="Q6" s="42" t="s">
        <v>164</v>
      </c>
      <c r="R6" s="42" t="s">
        <v>165</v>
      </c>
      <c r="S6" s="42" t="s">
        <v>353</v>
      </c>
      <c r="T6" s="42" t="s">
        <v>354</v>
      </c>
      <c r="U6" s="42" t="s">
        <v>145</v>
      </c>
      <c r="V6" s="42" t="s">
        <v>355</v>
      </c>
      <c r="W6" s="53" t="s">
        <v>356</v>
      </c>
      <c r="X6" s="53" t="s">
        <v>357</v>
      </c>
      <c r="Y6" s="42" t="s">
        <v>358</v>
      </c>
      <c r="Z6" s="53" t="s">
        <v>359</v>
      </c>
      <c r="AA6" s="53" t="s">
        <v>360</v>
      </c>
      <c r="AB6" s="53" t="s">
        <v>361</v>
      </c>
      <c r="AC6" s="53" t="s">
        <v>362</v>
      </c>
      <c r="AD6" s="53" t="s">
        <v>363</v>
      </c>
      <c r="AE6" s="53" t="s">
        <v>364</v>
      </c>
      <c r="AF6" s="42" t="s">
        <v>365</v>
      </c>
      <c r="AG6" s="42" t="s">
        <v>366</v>
      </c>
      <c r="AH6" s="53" t="s">
        <v>309</v>
      </c>
      <c r="AI6" s="53" t="s">
        <v>310</v>
      </c>
      <c r="AJ6" s="53" t="s">
        <v>367</v>
      </c>
      <c r="AK6" s="53" t="s">
        <v>368</v>
      </c>
    </row>
    <row r="7" customFormat="false" ht="15" hidden="false" customHeight="false" outlineLevel="0" collapsed="false">
      <c r="B7" s="78" t="n">
        <v>46266</v>
      </c>
      <c r="C7" s="64" t="s">
        <v>177</v>
      </c>
      <c r="D7" s="72" t="str">
        <f aca="false">IF(C7="","",IFERROR(INDEX(T_NOMBRE,MATCH(C7,T_ID,0)),"⚠ ID no existe"))</f>
        <v>María Soto (EJEMPLO)</v>
      </c>
      <c r="E7" s="69" t="n">
        <v>30</v>
      </c>
      <c r="F7" s="67" t="n">
        <v>1250000</v>
      </c>
      <c r="G7" s="67" t="n">
        <v>166667</v>
      </c>
      <c r="H7" s="67" t="n">
        <v>100000</v>
      </c>
      <c r="I7" s="67" t="n">
        <v>0</v>
      </c>
      <c r="J7" s="67" t="n">
        <v>219115</v>
      </c>
      <c r="K7" s="85" t="n">
        <f aca="false">IF(AH7="","",N(F7)+N(G7)+N(H7)-N(I7)+N(J7))</f>
        <v>1735782</v>
      </c>
      <c r="L7" s="67" t="n">
        <v>60000</v>
      </c>
      <c r="M7" s="67" t="n">
        <v>40000</v>
      </c>
      <c r="N7" s="67" t="n">
        <v>0</v>
      </c>
      <c r="O7" s="67" t="n">
        <v>0</v>
      </c>
      <c r="P7" s="85" t="n">
        <f aca="false">IF(AH7="","",K7+N(L7)+N(M7)+N(N7)+N(O7))</f>
        <v>1835782</v>
      </c>
      <c r="Q7" s="67" t="n">
        <v>195623</v>
      </c>
      <c r="R7" s="67" t="n">
        <v>172440</v>
      </c>
      <c r="S7" s="67" t="n">
        <v>10415</v>
      </c>
      <c r="T7" s="67" t="n">
        <v>17639</v>
      </c>
      <c r="U7" s="67" t="n">
        <v>200000</v>
      </c>
      <c r="V7" s="67" t="n">
        <v>0</v>
      </c>
      <c r="W7" s="85" t="n">
        <f aca="false">IF(AH7="","",N(Q7)+N(R7)+N(S7)+N(T7)+N(U7)+N(V7))</f>
        <v>596117</v>
      </c>
      <c r="X7" s="85" t="n">
        <f aca="false">IF(AH7="","",P7-W7)</f>
        <v>1239665</v>
      </c>
      <c r="Y7" s="67" t="n">
        <v>1239665</v>
      </c>
      <c r="Z7" s="70" t="str">
        <f aca="false">IF(OR(AH7="",Y7=""),"",IF(ABS(X7-Y7)&lt;=1,"✓ Cuadra","⚠ Diferencia $"&amp;FIXED(X7-Y7,0)))</f>
        <v>✓ Cuadra</v>
      </c>
      <c r="AA7" s="72" t="str">
        <f aca="false">IF(AH7="","",IFERROR(INDEX(C_TIPO,MATCH(C7&amp;"-P"&amp;MAX(1,COUNTIFS(C_ID,C7,C_DEFINE,"Sí",C_INICIO,"&lt;="&amp;EOMONTH(B7,0))),C_CLAVE,0))&amp;"","Sin dato"))</f>
        <v>Indefinido</v>
      </c>
      <c r="AB7" s="71" t="n">
        <f aca="false">IF(AH7="","",ROUND(MIN(K7,TOPE_AFP_UF*AJ7)*AK7,0))</f>
        <v>60752</v>
      </c>
      <c r="AC7" s="71" t="n">
        <f aca="false">IF(AH7="","",ROUND(MIN(K7,TOPE_AFC_UF*AJ7)*IF(AA7="Indefinido",AFC_EMP_INDEF,AFC_EMP_PF),0))</f>
        <v>41659</v>
      </c>
      <c r="AD7" s="71" t="n">
        <f aca="false">IF(AH7="","",ROUND(MIN(K7,TOPE_AFP_UF*AJ7)*(MUTUAL_BASICA+MUTUAL_ADIC+SANNA),0))</f>
        <v>16143</v>
      </c>
      <c r="AE7" s="71" t="n">
        <f aca="false">IF(AH7="","",P7-N(N7)+AB7+AC7+AD7)</f>
        <v>1954336</v>
      </c>
      <c r="AF7" s="65" t="n">
        <v>46295</v>
      </c>
      <c r="AG7" s="64" t="s">
        <v>369</v>
      </c>
      <c r="AH7" s="72" t="str">
        <f aca="false">IF(OR(B7="",C7=""),"",C7&amp;"|"&amp;(YEAR(B7)*100+MONTH(B7)))</f>
        <v>T001|202609</v>
      </c>
      <c r="AI7" s="70" t="str">
        <f aca="false">IF(AH7="","",IF(COUNTIF(L_CLAVE,AH7)&gt;1,"⚠ Duplicado","OK"))</f>
        <v>OK</v>
      </c>
      <c r="AJ7" s="86" t="n">
        <f aca="false">IF(AH7="","",IF(SUMPRODUCT(MAX((IND_PER&lt;=B7)*(IND_UF&lt;&gt;"")*IND_PER))=0,UF_HOY,INDEX(IND_UF,MATCH(SUMPRODUCT(MAX((IND_PER&lt;=B7)*(IND_UF&lt;&gt;"")*IND_PER)),IND_PER,0))))</f>
        <v>41057.2</v>
      </c>
      <c r="AK7" s="87" t="n">
        <f aca="false">IF(AH7="","",IF(COUNTIF(TASA_DESDE,"&lt;="&amp;B7)=0,INDEX(TASA_EMP,1),INDEX(TASA_EMP,COUNTIF(TASA_DESDE,"&lt;="&amp;B7))))</f>
        <v>0.035</v>
      </c>
    </row>
    <row r="8" customFormat="false" ht="15" hidden="false" customHeight="false" outlineLevel="0" collapsed="false">
      <c r="B8" s="78" t="n">
        <v>46266</v>
      </c>
      <c r="C8" s="64" t="s">
        <v>186</v>
      </c>
      <c r="D8" s="72" t="str">
        <f aca="false">IF(C8="","",IFERROR(INDEX(T_NOMBRE,MATCH(C8,T_ID,0)),"⚠ ID no existe"))</f>
        <v>Juan Pérez (EJEMPLO)</v>
      </c>
      <c r="E8" s="69" t="n">
        <v>29</v>
      </c>
      <c r="F8" s="67" t="n">
        <v>560667</v>
      </c>
      <c r="G8" s="67" t="n">
        <v>116000</v>
      </c>
      <c r="H8" s="67" t="n">
        <v>0</v>
      </c>
      <c r="I8" s="67" t="n">
        <v>9667</v>
      </c>
      <c r="J8" s="67" t="n">
        <v>166750</v>
      </c>
      <c r="K8" s="85" t="n">
        <f aca="false">IF(AH8="","",N(F8)+N(G8)+N(H8)-N(I8)+N(J8))</f>
        <v>833750</v>
      </c>
      <c r="L8" s="67" t="n">
        <v>38667</v>
      </c>
      <c r="M8" s="67" t="n">
        <v>29000</v>
      </c>
      <c r="N8" s="67" t="n">
        <v>0</v>
      </c>
      <c r="O8" s="67" t="n">
        <v>0</v>
      </c>
      <c r="P8" s="85" t="n">
        <f aca="false">IF(AH8="","",K8+N(L8)+N(M8)+N(N8)+N(O8))</f>
        <v>901417</v>
      </c>
      <c r="Q8" s="67" t="n">
        <v>88211</v>
      </c>
      <c r="R8" s="67" t="n">
        <v>58363</v>
      </c>
      <c r="S8" s="67" t="n">
        <v>0</v>
      </c>
      <c r="T8" s="67" t="n">
        <v>0</v>
      </c>
      <c r="U8" s="67" t="n">
        <v>100000</v>
      </c>
      <c r="V8" s="67" t="n">
        <v>0</v>
      </c>
      <c r="W8" s="85" t="n">
        <f aca="false">IF(AH8="","",N(Q8)+N(R8)+N(S8)+N(T8)+N(U8)+N(V8))</f>
        <v>246574</v>
      </c>
      <c r="X8" s="85" t="n">
        <f aca="false">IF(AH8="","",P8-W8)</f>
        <v>654843</v>
      </c>
      <c r="Y8" s="67" t="n">
        <v>654843</v>
      </c>
      <c r="Z8" s="70" t="str">
        <f aca="false">IF(OR(AH8="",Y8=""),"",IF(ABS(X8-Y8)&lt;=1,"✓ Cuadra","⚠ Diferencia $"&amp;FIXED(X8-Y8,0)))</f>
        <v>✓ Cuadra</v>
      </c>
      <c r="AA8" s="72" t="str">
        <f aca="false">IF(AH8="","",IFERROR(INDEX(C_TIPO,MATCH(C8&amp;"-P"&amp;MAX(1,COUNTIFS(C_ID,C8,C_DEFINE,"Sí",C_INICIO,"&lt;="&amp;EOMONTH(B8,0))),C_CLAVE,0))&amp;"","Sin dato"))</f>
        <v>Plazo fijo</v>
      </c>
      <c r="AB8" s="71" t="n">
        <f aca="false">IF(AH8="","",ROUND(MIN(K8,TOPE_AFP_UF*AJ8)*AK8,0))</f>
        <v>29181</v>
      </c>
      <c r="AC8" s="71" t="n">
        <f aca="false">IF(AH8="","",ROUND(MIN(K8,TOPE_AFC_UF*AJ8)*IF(AA8="Indefinido",AFC_EMP_INDEF,AFC_EMP_PF),0))</f>
        <v>25013</v>
      </c>
      <c r="AD8" s="71" t="n">
        <f aca="false">IF(AH8="","",ROUND(MIN(K8,TOPE_AFP_UF*AJ8)*(MUTUAL_BASICA+MUTUAL_ADIC+SANNA),0))</f>
        <v>7754</v>
      </c>
      <c r="AE8" s="71" t="n">
        <f aca="false">IF(AH8="","",P8-N(N8)+AB8+AC8+AD8)</f>
        <v>963365</v>
      </c>
      <c r="AF8" s="65" t="n">
        <v>46295</v>
      </c>
      <c r="AG8" s="64" t="s">
        <v>370</v>
      </c>
      <c r="AH8" s="72" t="str">
        <f aca="false">IF(OR(B8="",C8=""),"",C8&amp;"|"&amp;(YEAR(B8)*100+MONTH(B8)))</f>
        <v>T002|202609</v>
      </c>
      <c r="AI8" s="70" t="str">
        <f aca="false">IF(AH8="","",IF(COUNTIF(L_CLAVE,AH8)&gt;1,"⚠ Duplicado","OK"))</f>
        <v>OK</v>
      </c>
      <c r="AJ8" s="86" t="n">
        <f aca="false">IF(AH8="","",IF(SUMPRODUCT(MAX((IND_PER&lt;=B8)*(IND_UF&lt;&gt;"")*IND_PER))=0,UF_HOY,INDEX(IND_UF,MATCH(SUMPRODUCT(MAX((IND_PER&lt;=B8)*(IND_UF&lt;&gt;"")*IND_PER)),IND_PER,0))))</f>
        <v>41057.2</v>
      </c>
      <c r="AK8" s="87" t="n">
        <f aca="false">IF(AH8="","",IF(COUNTIF(TASA_DESDE,"&lt;="&amp;B8)=0,INDEX(TASA_EMP,1),INDEX(TASA_EMP,COUNTIF(TASA_DESDE,"&lt;="&amp;B8))))</f>
        <v>0.035</v>
      </c>
    </row>
    <row r="9" customFormat="false" ht="15" hidden="false" customHeight="false" outlineLevel="0" collapsed="false">
      <c r="B9" s="78" t="n">
        <v>46266</v>
      </c>
      <c r="C9" s="64" t="s">
        <v>193</v>
      </c>
      <c r="D9" s="72" t="str">
        <f aca="false">IF(C9="","",IFERROR(INDEX(T_NOMBRE,MATCH(C9,T_ID,0)),"⚠ ID no existe"))</f>
        <v>Camila Rojas (EJEMPLO)</v>
      </c>
      <c r="E9" s="69" t="n">
        <v>30</v>
      </c>
      <c r="F9" s="67" t="n">
        <v>850000</v>
      </c>
      <c r="G9" s="67" t="n">
        <v>0</v>
      </c>
      <c r="H9" s="67" t="n">
        <v>0</v>
      </c>
      <c r="I9" s="67" t="n">
        <v>3148</v>
      </c>
      <c r="J9" s="67" t="n">
        <v>211713</v>
      </c>
      <c r="K9" s="85" t="n">
        <f aca="false">IF(AH9="","",N(F9)+N(G9)+N(H9)-N(I9)+N(J9))</f>
        <v>1058565</v>
      </c>
      <c r="L9" s="67" t="n">
        <v>50000</v>
      </c>
      <c r="M9" s="67" t="n">
        <v>30000</v>
      </c>
      <c r="N9" s="67" t="n">
        <v>0</v>
      </c>
      <c r="O9" s="67" t="n">
        <v>0</v>
      </c>
      <c r="P9" s="85" t="n">
        <f aca="false">IF(AH9="","",K9+N(L9)+N(M9)+N(N9)+N(O9))</f>
        <v>1138565</v>
      </c>
      <c r="Q9" s="67" t="n">
        <v>110726</v>
      </c>
      <c r="R9" s="67" t="n">
        <v>74100</v>
      </c>
      <c r="S9" s="67" t="n">
        <v>0</v>
      </c>
      <c r="T9" s="67" t="n">
        <v>0</v>
      </c>
      <c r="U9" s="67" t="n">
        <v>0</v>
      </c>
      <c r="V9" s="67" t="n">
        <v>0</v>
      </c>
      <c r="W9" s="85" t="n">
        <f aca="false">IF(AH9="","",N(Q9)+N(R9)+N(S9)+N(T9)+N(U9)+N(V9))</f>
        <v>184826</v>
      </c>
      <c r="X9" s="85" t="n">
        <f aca="false">IF(AH9="","",P9-W9)</f>
        <v>953739</v>
      </c>
      <c r="Y9" s="67" t="n">
        <v>953739</v>
      </c>
      <c r="Z9" s="70" t="str">
        <f aca="false">IF(OR(AH9="",Y9=""),"",IF(ABS(X9-Y9)&lt;=1,"✓ Cuadra","⚠ Diferencia $"&amp;FIXED(X9-Y9,0)))</f>
        <v>✓ Cuadra</v>
      </c>
      <c r="AA9" s="72" t="str">
        <f aca="false">IF(AH9="","",IFERROR(INDEX(C_TIPO,MATCH(C9&amp;"-P"&amp;MAX(1,COUNTIFS(C_ID,C9,C_DEFINE,"Sí",C_INICIO,"&lt;="&amp;EOMONTH(B9,0))),C_CLAVE,0))&amp;"","Sin dato"))</f>
        <v>Plazo fijo</v>
      </c>
      <c r="AB9" s="71" t="n">
        <f aca="false">IF(AH9="","",ROUND(MIN(K9,TOPE_AFP_UF*AJ9)*AK9,0))</f>
        <v>37050</v>
      </c>
      <c r="AC9" s="71" t="n">
        <f aca="false">IF(AH9="","",ROUND(MIN(K9,TOPE_AFC_UF*AJ9)*IF(AA9="Indefinido",AFC_EMP_INDEF,AFC_EMP_PF),0))</f>
        <v>31757</v>
      </c>
      <c r="AD9" s="71" t="n">
        <f aca="false">IF(AH9="","",ROUND(MIN(K9,TOPE_AFP_UF*AJ9)*(MUTUAL_BASICA+MUTUAL_ADIC+SANNA),0))</f>
        <v>9845</v>
      </c>
      <c r="AE9" s="71" t="n">
        <f aca="false">IF(AH9="","",P9-N(N9)+AB9+AC9+AD9)</f>
        <v>1217217</v>
      </c>
      <c r="AF9" s="65" t="n">
        <v>46295</v>
      </c>
      <c r="AG9" s="64" t="s">
        <v>371</v>
      </c>
      <c r="AH9" s="72" t="str">
        <f aca="false">IF(OR(B9="",C9=""),"",C9&amp;"|"&amp;(YEAR(B9)*100+MONTH(B9)))</f>
        <v>T003|202609</v>
      </c>
      <c r="AI9" s="70" t="str">
        <f aca="false">IF(AH9="","",IF(COUNTIF(L_CLAVE,AH9)&gt;1,"⚠ Duplicado","OK"))</f>
        <v>OK</v>
      </c>
      <c r="AJ9" s="86" t="n">
        <f aca="false">IF(AH9="","",IF(SUMPRODUCT(MAX((IND_PER&lt;=B9)*(IND_UF&lt;&gt;"")*IND_PER))=0,UF_HOY,INDEX(IND_UF,MATCH(SUMPRODUCT(MAX((IND_PER&lt;=B9)*(IND_UF&lt;&gt;"")*IND_PER)),IND_PER,0))))</f>
        <v>41057.2</v>
      </c>
      <c r="AK9" s="87" t="n">
        <f aca="false">IF(AH9="","",IF(COUNTIF(TASA_DESDE,"&lt;="&amp;B9)=0,INDEX(TASA_EMP,1),INDEX(TASA_EMP,COUNTIF(TASA_DESDE,"&lt;="&amp;B9))))</f>
        <v>0.035</v>
      </c>
    </row>
    <row r="10" customFormat="false" ht="15" hidden="false" customHeight="false" outlineLevel="0" collapsed="false">
      <c r="B10" s="78" t="n">
        <v>46266</v>
      </c>
      <c r="C10" s="64" t="s">
        <v>199</v>
      </c>
      <c r="D10" s="72" t="str">
        <f aca="false">IF(C10="","",IFERROR(INDEX(T_NOMBRE,MATCH(C10,T_ID,0)),"⚠ ID no existe"))</f>
        <v>Pedro Muñoz (EJEMPLO)</v>
      </c>
      <c r="E10" s="69" t="n">
        <v>27</v>
      </c>
      <c r="F10" s="67" t="n">
        <v>648000</v>
      </c>
      <c r="G10" s="67" t="n">
        <v>48000</v>
      </c>
      <c r="H10" s="67" t="n">
        <v>0</v>
      </c>
      <c r="I10" s="67" t="n">
        <v>0</v>
      </c>
      <c r="J10" s="67" t="n">
        <v>174000</v>
      </c>
      <c r="K10" s="85" t="n">
        <f aca="false">IF(AH10="","",N(F10)+N(G10)+N(H10)-N(I10)+N(J10))</f>
        <v>870000</v>
      </c>
      <c r="L10" s="67" t="n">
        <v>36000</v>
      </c>
      <c r="M10" s="67" t="n">
        <v>27000</v>
      </c>
      <c r="N10" s="67" t="n">
        <v>27740</v>
      </c>
      <c r="O10" s="67" t="n">
        <v>0</v>
      </c>
      <c r="P10" s="85" t="n">
        <f aca="false">IF(AH10="","",K10+N(L10)+N(M10)+N(N10)+N(O10))</f>
        <v>960740</v>
      </c>
      <c r="Q10" s="67" t="n">
        <v>99615</v>
      </c>
      <c r="R10" s="67" t="n">
        <v>60900</v>
      </c>
      <c r="S10" s="67" t="n">
        <v>5220</v>
      </c>
      <c r="T10" s="67" t="n">
        <v>0</v>
      </c>
      <c r="U10" s="67" t="n">
        <v>150000</v>
      </c>
      <c r="V10" s="67" t="n">
        <v>50000</v>
      </c>
      <c r="W10" s="85" t="n">
        <f aca="false">IF(AH10="","",N(Q10)+N(R10)+N(S10)+N(T10)+N(U10)+N(V10))</f>
        <v>365735</v>
      </c>
      <c r="X10" s="85" t="n">
        <f aca="false">IF(AH10="","",P10-W10)</f>
        <v>595005</v>
      </c>
      <c r="Y10" s="67" t="n">
        <v>595005</v>
      </c>
      <c r="Z10" s="70" t="str">
        <f aca="false">IF(OR(AH10="",Y10=""),"",IF(ABS(X10-Y10)&lt;=1,"✓ Cuadra","⚠ Diferencia $"&amp;FIXED(X10-Y10,0)))</f>
        <v>✓ Cuadra</v>
      </c>
      <c r="AA10" s="72" t="str">
        <f aca="false">IF(AH10="","",IFERROR(INDEX(C_TIPO,MATCH(C10&amp;"-P"&amp;MAX(1,COUNTIFS(C_ID,C10,C_DEFINE,"Sí",C_INICIO,"&lt;="&amp;EOMONTH(B10,0))),C_CLAVE,0))&amp;"","Sin dato"))</f>
        <v>Indefinido</v>
      </c>
      <c r="AB10" s="71" t="n">
        <f aca="false">IF(AH10="","",ROUND(MIN(K10,TOPE_AFP_UF*AJ10)*AK10,0))</f>
        <v>30450</v>
      </c>
      <c r="AC10" s="71" t="n">
        <f aca="false">IF(AH10="","",ROUND(MIN(K10,TOPE_AFC_UF*AJ10)*IF(AA10="Indefinido",AFC_EMP_INDEF,AFC_EMP_PF),0))</f>
        <v>20880</v>
      </c>
      <c r="AD10" s="71" t="n">
        <f aca="false">IF(AH10="","",ROUND(MIN(K10,TOPE_AFP_UF*AJ10)*(MUTUAL_BASICA+MUTUAL_ADIC+SANNA),0))</f>
        <v>8091</v>
      </c>
      <c r="AE10" s="71" t="n">
        <f aca="false">IF(AH10="","",P10-N(N10)+AB10+AC10+AD10)</f>
        <v>992421</v>
      </c>
      <c r="AF10" s="65" t="n">
        <v>46295</v>
      </c>
      <c r="AG10" s="64" t="s">
        <v>372</v>
      </c>
      <c r="AH10" s="72" t="str">
        <f aca="false">IF(OR(B10="",C10=""),"",C10&amp;"|"&amp;(YEAR(B10)*100+MONTH(B10)))</f>
        <v>T004|202609</v>
      </c>
      <c r="AI10" s="70" t="str">
        <f aca="false">IF(AH10="","",IF(COUNTIF(L_CLAVE,AH10)&gt;1,"⚠ Duplicado","OK"))</f>
        <v>OK</v>
      </c>
      <c r="AJ10" s="86" t="n">
        <f aca="false">IF(AH10="","",IF(SUMPRODUCT(MAX((IND_PER&lt;=B10)*(IND_UF&lt;&gt;"")*IND_PER))=0,UF_HOY,INDEX(IND_UF,MATCH(SUMPRODUCT(MAX((IND_PER&lt;=B10)*(IND_UF&lt;&gt;"")*IND_PER)),IND_PER,0))))</f>
        <v>41057.2</v>
      </c>
      <c r="AK10" s="87" t="n">
        <f aca="false">IF(AH10="","",IF(COUNTIF(TASA_DESDE,"&lt;="&amp;B10)=0,INDEX(TASA_EMP,1),INDEX(TASA_EMP,COUNTIF(TASA_DESDE,"&lt;="&amp;B10))))</f>
        <v>0.035</v>
      </c>
    </row>
    <row r="11" customFormat="false" ht="15" hidden="false" customHeight="false" outlineLevel="0" collapsed="false">
      <c r="B11" s="78" t="n">
        <v>46266</v>
      </c>
      <c r="C11" s="64" t="s">
        <v>205</v>
      </c>
      <c r="D11" s="72" t="str">
        <f aca="false">IF(C11="","",IFERROR(INDEX(T_NOMBRE,MATCH(C11,T_ID,0)),"⚠ ID no existe"))</f>
        <v>Ana Díaz (EJEMPLO)</v>
      </c>
      <c r="E11" s="69" t="n">
        <v>30</v>
      </c>
      <c r="F11" s="67" t="n">
        <v>560000</v>
      </c>
      <c r="G11" s="67" t="n">
        <v>0</v>
      </c>
      <c r="H11" s="67" t="n">
        <v>0</v>
      </c>
      <c r="I11" s="67" t="n">
        <v>0</v>
      </c>
      <c r="J11" s="67" t="n">
        <v>140000</v>
      </c>
      <c r="K11" s="85" t="n">
        <f aca="false">IF(AH11="","",N(F11)+N(G11)+N(H11)-N(I11)+N(J11))</f>
        <v>700000</v>
      </c>
      <c r="L11" s="67" t="n">
        <v>40000</v>
      </c>
      <c r="M11" s="67" t="n">
        <v>20000</v>
      </c>
      <c r="N11" s="67" t="n">
        <v>13870</v>
      </c>
      <c r="O11" s="67" t="n">
        <v>0</v>
      </c>
      <c r="P11" s="85" t="n">
        <f aca="false">IF(AH11="","",K11+N(L11)+N(M11)+N(N11)+N(O11))</f>
        <v>773870</v>
      </c>
      <c r="Q11" s="67" t="n">
        <v>80080</v>
      </c>
      <c r="R11" s="67" t="n">
        <v>49000</v>
      </c>
      <c r="S11" s="67" t="n">
        <v>0</v>
      </c>
      <c r="T11" s="67" t="n">
        <v>0</v>
      </c>
      <c r="U11" s="67" t="n">
        <v>0</v>
      </c>
      <c r="V11" s="67" t="n">
        <v>0</v>
      </c>
      <c r="W11" s="85" t="n">
        <f aca="false">IF(AH11="","",N(Q11)+N(R11)+N(S11)+N(T11)+N(U11)+N(V11))</f>
        <v>129080</v>
      </c>
      <c r="X11" s="85" t="n">
        <f aca="false">IF(AH11="","",P11-W11)</f>
        <v>644790</v>
      </c>
      <c r="Y11" s="67" t="n">
        <v>644790</v>
      </c>
      <c r="Z11" s="70" t="str">
        <f aca="false">IF(OR(AH11="",Y11=""),"",IF(ABS(X11-Y11)&lt;=1,"✓ Cuadra","⚠ Diferencia $"&amp;FIXED(X11-Y11,0)))</f>
        <v>✓ Cuadra</v>
      </c>
      <c r="AA11" s="72" t="str">
        <f aca="false">IF(AH11="","",IFERROR(INDEX(C_TIPO,MATCH(C11&amp;"-P"&amp;MAX(1,COUNTIFS(C_ID,C11,C_DEFINE,"Sí",C_INICIO,"&lt;="&amp;EOMONTH(B11,0))),C_CLAVE,0))&amp;"","Sin dato"))</f>
        <v>Obra o faena</v>
      </c>
      <c r="AB11" s="71" t="n">
        <f aca="false">IF(AH11="","",ROUND(MIN(K11,TOPE_AFP_UF*AJ11)*AK11,0))</f>
        <v>24500</v>
      </c>
      <c r="AC11" s="71" t="n">
        <f aca="false">IF(AH11="","",ROUND(MIN(K11,TOPE_AFC_UF*AJ11)*IF(AA11="Indefinido",AFC_EMP_INDEF,AFC_EMP_PF),0))</f>
        <v>21000</v>
      </c>
      <c r="AD11" s="71" t="n">
        <f aca="false">IF(AH11="","",ROUND(MIN(K11,TOPE_AFP_UF*AJ11)*(MUTUAL_BASICA+MUTUAL_ADIC+SANNA),0))</f>
        <v>6510</v>
      </c>
      <c r="AE11" s="71" t="n">
        <f aca="false">IF(AH11="","",P11-N(N11)+AB11+AC11+AD11)</f>
        <v>812010</v>
      </c>
      <c r="AF11" s="65" t="n">
        <v>46295</v>
      </c>
      <c r="AG11" s="64" t="s">
        <v>373</v>
      </c>
      <c r="AH11" s="72" t="str">
        <f aca="false">IF(OR(B11="",C11=""),"",C11&amp;"|"&amp;(YEAR(B11)*100+MONTH(B11)))</f>
        <v>T005|202609</v>
      </c>
      <c r="AI11" s="70" t="str">
        <f aca="false">IF(AH11="","",IF(COUNTIF(L_CLAVE,AH11)&gt;1,"⚠ Duplicado","OK"))</f>
        <v>OK</v>
      </c>
      <c r="AJ11" s="86" t="n">
        <f aca="false">IF(AH11="","",IF(SUMPRODUCT(MAX((IND_PER&lt;=B11)*(IND_UF&lt;&gt;"")*IND_PER))=0,UF_HOY,INDEX(IND_UF,MATCH(SUMPRODUCT(MAX((IND_PER&lt;=B11)*(IND_UF&lt;&gt;"")*IND_PER)),IND_PER,0))))</f>
        <v>41057.2</v>
      </c>
      <c r="AK11" s="87" t="n">
        <f aca="false">IF(AH11="","",IF(COUNTIF(TASA_DESDE,"&lt;="&amp;B11)=0,INDEX(TASA_EMP,1),INDEX(TASA_EMP,COUNTIF(TASA_DESDE,"&lt;="&amp;B11))))</f>
        <v>0.035</v>
      </c>
    </row>
    <row r="12" customFormat="false" ht="15" hidden="false" customHeight="false" outlineLevel="0" collapsed="false">
      <c r="B12" s="78"/>
      <c r="C12" s="64"/>
      <c r="D12" s="72" t="str">
        <f aca="false">IF(C12="","",IFERROR(INDEX(T_NOMBRE,MATCH(C12,T_ID,0)),"⚠ ID no existe"))</f>
        <v/>
      </c>
      <c r="E12" s="69"/>
      <c r="F12" s="67"/>
      <c r="G12" s="67"/>
      <c r="H12" s="67"/>
      <c r="I12" s="67"/>
      <c r="J12" s="67"/>
      <c r="K12" s="85" t="str">
        <f aca="false">IF(AH12="","",N(F12)+N(G12)+N(H12)-N(I12)+N(J12))</f>
        <v/>
      </c>
      <c r="L12" s="67"/>
      <c r="M12" s="67"/>
      <c r="N12" s="67"/>
      <c r="O12" s="67"/>
      <c r="P12" s="85" t="str">
        <f aca="false">IF(AH12="","",K12+N(L12)+N(M12)+N(N12)+N(O12))</f>
        <v/>
      </c>
      <c r="Q12" s="67"/>
      <c r="R12" s="67"/>
      <c r="S12" s="67"/>
      <c r="T12" s="67"/>
      <c r="U12" s="67"/>
      <c r="V12" s="67"/>
      <c r="W12" s="85" t="str">
        <f aca="false">IF(AH12="","",N(Q12)+N(R12)+N(S12)+N(T12)+N(U12)+N(V12))</f>
        <v/>
      </c>
      <c r="X12" s="85" t="str">
        <f aca="false">IF(AH12="","",P12-W12)</f>
        <v/>
      </c>
      <c r="Y12" s="67"/>
      <c r="Z12" s="70" t="str">
        <f aca="false">IF(OR(AH12="",Y12=""),"",IF(ABS(X12-Y12)&lt;=1,"✓ Cuadra","⚠ Diferencia $"&amp;FIXED(X12-Y12,0)))</f>
        <v/>
      </c>
      <c r="AA12" s="72" t="str">
        <f aca="false">IF(AH12="","",IFERROR(INDEX(C_TIPO,MATCH(C12&amp;"-P"&amp;MAX(1,COUNTIFS(C_ID,C12,C_DEFINE,"Sí",C_INICIO,"&lt;="&amp;EOMONTH(B12,0))),C_CLAVE,0))&amp;"","Sin dato"))</f>
        <v/>
      </c>
      <c r="AB12" s="71" t="str">
        <f aca="false">IF(AH12="","",ROUND(MIN(K12,TOPE_AFP_UF*AJ12)*AK12,0))</f>
        <v/>
      </c>
      <c r="AC12" s="71" t="str">
        <f aca="false">IF(AH12="","",ROUND(MIN(K12,TOPE_AFC_UF*AJ12)*IF(AA12="Indefinido",AFC_EMP_INDEF,AFC_EMP_PF),0))</f>
        <v/>
      </c>
      <c r="AD12" s="71" t="str">
        <f aca="false">IF(AH12="","",ROUND(MIN(K12,TOPE_AFP_UF*AJ12)*(MUTUAL_BASICA+MUTUAL_ADIC+SANNA),0))</f>
        <v/>
      </c>
      <c r="AE12" s="71" t="str">
        <f aca="false">IF(AH12="","",P12-N(N12)+AB12+AC12+AD12)</f>
        <v/>
      </c>
      <c r="AF12" s="65"/>
      <c r="AG12" s="64"/>
      <c r="AH12" s="72" t="str">
        <f aca="false">IF(OR(B12="",C12=""),"",C12&amp;"|"&amp;(YEAR(B12)*100+MONTH(B12)))</f>
        <v/>
      </c>
      <c r="AI12" s="70" t="str">
        <f aca="false">IF(AH12="","",IF(COUNTIF(L_CLAVE,AH12)&gt;1,"⚠ Duplicado","OK"))</f>
        <v/>
      </c>
      <c r="AJ12" s="86" t="str">
        <f aca="false">IF(AH12="","",IF(SUMPRODUCT(MAX((IND_PER&lt;=B12)*(IND_UF&lt;&gt;"")*IND_PER))=0,UF_HOY,INDEX(IND_UF,MATCH(SUMPRODUCT(MAX((IND_PER&lt;=B12)*(IND_UF&lt;&gt;"")*IND_PER)),IND_PER,0))))</f>
        <v/>
      </c>
      <c r="AK12" s="87" t="str">
        <f aca="false">IF(AH12="","",IF(COUNTIF(TASA_DESDE,"&lt;="&amp;B12)=0,INDEX(TASA_EMP,1),INDEX(TASA_EMP,COUNTIF(TASA_DESDE,"&lt;="&amp;B12))))</f>
        <v/>
      </c>
    </row>
    <row r="13" customFormat="false" ht="15" hidden="false" customHeight="false" outlineLevel="0" collapsed="false">
      <c r="B13" s="78"/>
      <c r="C13" s="64"/>
      <c r="D13" s="72" t="str">
        <f aca="false">IF(C13="","",IFERROR(INDEX(T_NOMBRE,MATCH(C13,T_ID,0)),"⚠ ID no existe"))</f>
        <v/>
      </c>
      <c r="E13" s="69"/>
      <c r="F13" s="67"/>
      <c r="G13" s="67"/>
      <c r="H13" s="67"/>
      <c r="I13" s="67"/>
      <c r="J13" s="67"/>
      <c r="K13" s="85" t="str">
        <f aca="false">IF(AH13="","",N(F13)+N(G13)+N(H13)-N(I13)+N(J13))</f>
        <v/>
      </c>
      <c r="L13" s="67"/>
      <c r="M13" s="67"/>
      <c r="N13" s="67"/>
      <c r="O13" s="67"/>
      <c r="P13" s="85" t="str">
        <f aca="false">IF(AH13="","",K13+N(L13)+N(M13)+N(N13)+N(O13))</f>
        <v/>
      </c>
      <c r="Q13" s="67"/>
      <c r="R13" s="67"/>
      <c r="S13" s="67"/>
      <c r="T13" s="67"/>
      <c r="U13" s="67"/>
      <c r="V13" s="67"/>
      <c r="W13" s="85" t="str">
        <f aca="false">IF(AH13="","",N(Q13)+N(R13)+N(S13)+N(T13)+N(U13)+N(V13))</f>
        <v/>
      </c>
      <c r="X13" s="85" t="str">
        <f aca="false">IF(AH13="","",P13-W13)</f>
        <v/>
      </c>
      <c r="Y13" s="67"/>
      <c r="Z13" s="70" t="str">
        <f aca="false">IF(OR(AH13="",Y13=""),"",IF(ABS(X13-Y13)&lt;=1,"✓ Cuadra","⚠ Diferencia $"&amp;FIXED(X13-Y13,0)))</f>
        <v/>
      </c>
      <c r="AA13" s="72" t="str">
        <f aca="false">IF(AH13="","",IFERROR(INDEX(C_TIPO,MATCH(C13&amp;"-P"&amp;MAX(1,COUNTIFS(C_ID,C13,C_DEFINE,"Sí",C_INICIO,"&lt;="&amp;EOMONTH(B13,0))),C_CLAVE,0))&amp;"","Sin dato"))</f>
        <v/>
      </c>
      <c r="AB13" s="71" t="str">
        <f aca="false">IF(AH13="","",ROUND(MIN(K13,TOPE_AFP_UF*AJ13)*AK13,0))</f>
        <v/>
      </c>
      <c r="AC13" s="71" t="str">
        <f aca="false">IF(AH13="","",ROUND(MIN(K13,TOPE_AFC_UF*AJ13)*IF(AA13="Indefinido",AFC_EMP_INDEF,AFC_EMP_PF),0))</f>
        <v/>
      </c>
      <c r="AD13" s="71" t="str">
        <f aca="false">IF(AH13="","",ROUND(MIN(K13,TOPE_AFP_UF*AJ13)*(MUTUAL_BASICA+MUTUAL_ADIC+SANNA),0))</f>
        <v/>
      </c>
      <c r="AE13" s="71" t="str">
        <f aca="false">IF(AH13="","",P13-N(N13)+AB13+AC13+AD13)</f>
        <v/>
      </c>
      <c r="AF13" s="65"/>
      <c r="AG13" s="64"/>
      <c r="AH13" s="72" t="str">
        <f aca="false">IF(OR(B13="",C13=""),"",C13&amp;"|"&amp;(YEAR(B13)*100+MONTH(B13)))</f>
        <v/>
      </c>
      <c r="AI13" s="70" t="str">
        <f aca="false">IF(AH13="","",IF(COUNTIF(L_CLAVE,AH13)&gt;1,"⚠ Duplicado","OK"))</f>
        <v/>
      </c>
      <c r="AJ13" s="86" t="str">
        <f aca="false">IF(AH13="","",IF(SUMPRODUCT(MAX((IND_PER&lt;=B13)*(IND_UF&lt;&gt;"")*IND_PER))=0,UF_HOY,INDEX(IND_UF,MATCH(SUMPRODUCT(MAX((IND_PER&lt;=B13)*(IND_UF&lt;&gt;"")*IND_PER)),IND_PER,0))))</f>
        <v/>
      </c>
      <c r="AK13" s="87" t="str">
        <f aca="false">IF(AH13="","",IF(COUNTIF(TASA_DESDE,"&lt;="&amp;B13)=0,INDEX(TASA_EMP,1),INDEX(TASA_EMP,COUNTIF(TASA_DESDE,"&lt;="&amp;B13))))</f>
        <v/>
      </c>
    </row>
    <row r="14" customFormat="false" ht="15" hidden="false" customHeight="false" outlineLevel="0" collapsed="false">
      <c r="B14" s="78"/>
      <c r="C14" s="64"/>
      <c r="D14" s="72" t="str">
        <f aca="false">IF(C14="","",IFERROR(INDEX(T_NOMBRE,MATCH(C14,T_ID,0)),"⚠ ID no existe"))</f>
        <v/>
      </c>
      <c r="E14" s="69"/>
      <c r="F14" s="67"/>
      <c r="G14" s="67"/>
      <c r="H14" s="67"/>
      <c r="I14" s="67"/>
      <c r="J14" s="67"/>
      <c r="K14" s="85" t="str">
        <f aca="false">IF(AH14="","",N(F14)+N(G14)+N(H14)-N(I14)+N(J14))</f>
        <v/>
      </c>
      <c r="L14" s="67"/>
      <c r="M14" s="67"/>
      <c r="N14" s="67"/>
      <c r="O14" s="67"/>
      <c r="P14" s="85" t="str">
        <f aca="false">IF(AH14="","",K14+N(L14)+N(M14)+N(N14)+N(O14))</f>
        <v/>
      </c>
      <c r="Q14" s="67"/>
      <c r="R14" s="67"/>
      <c r="S14" s="67"/>
      <c r="T14" s="67"/>
      <c r="U14" s="67"/>
      <c r="V14" s="67"/>
      <c r="W14" s="85" t="str">
        <f aca="false">IF(AH14="","",N(Q14)+N(R14)+N(S14)+N(T14)+N(U14)+N(V14))</f>
        <v/>
      </c>
      <c r="X14" s="85" t="str">
        <f aca="false">IF(AH14="","",P14-W14)</f>
        <v/>
      </c>
      <c r="Y14" s="67"/>
      <c r="Z14" s="70" t="str">
        <f aca="false">IF(OR(AH14="",Y14=""),"",IF(ABS(X14-Y14)&lt;=1,"✓ Cuadra","⚠ Diferencia $"&amp;FIXED(X14-Y14,0)))</f>
        <v/>
      </c>
      <c r="AA14" s="72" t="str">
        <f aca="false">IF(AH14="","",IFERROR(INDEX(C_TIPO,MATCH(C14&amp;"-P"&amp;MAX(1,COUNTIFS(C_ID,C14,C_DEFINE,"Sí",C_INICIO,"&lt;="&amp;EOMONTH(B14,0))),C_CLAVE,0))&amp;"","Sin dato"))</f>
        <v/>
      </c>
      <c r="AB14" s="71" t="str">
        <f aca="false">IF(AH14="","",ROUND(MIN(K14,TOPE_AFP_UF*AJ14)*AK14,0))</f>
        <v/>
      </c>
      <c r="AC14" s="71" t="str">
        <f aca="false">IF(AH14="","",ROUND(MIN(K14,TOPE_AFC_UF*AJ14)*IF(AA14="Indefinido",AFC_EMP_INDEF,AFC_EMP_PF),0))</f>
        <v/>
      </c>
      <c r="AD14" s="71" t="str">
        <f aca="false">IF(AH14="","",ROUND(MIN(K14,TOPE_AFP_UF*AJ14)*(MUTUAL_BASICA+MUTUAL_ADIC+SANNA),0))</f>
        <v/>
      </c>
      <c r="AE14" s="71" t="str">
        <f aca="false">IF(AH14="","",P14-N(N14)+AB14+AC14+AD14)</f>
        <v/>
      </c>
      <c r="AF14" s="65"/>
      <c r="AG14" s="64"/>
      <c r="AH14" s="72" t="str">
        <f aca="false">IF(OR(B14="",C14=""),"",C14&amp;"|"&amp;(YEAR(B14)*100+MONTH(B14)))</f>
        <v/>
      </c>
      <c r="AI14" s="70" t="str">
        <f aca="false">IF(AH14="","",IF(COUNTIF(L_CLAVE,AH14)&gt;1,"⚠ Duplicado","OK"))</f>
        <v/>
      </c>
      <c r="AJ14" s="86" t="str">
        <f aca="false">IF(AH14="","",IF(SUMPRODUCT(MAX((IND_PER&lt;=B14)*(IND_UF&lt;&gt;"")*IND_PER))=0,UF_HOY,INDEX(IND_UF,MATCH(SUMPRODUCT(MAX((IND_PER&lt;=B14)*(IND_UF&lt;&gt;"")*IND_PER)),IND_PER,0))))</f>
        <v/>
      </c>
      <c r="AK14" s="87" t="str">
        <f aca="false">IF(AH14="","",IF(COUNTIF(TASA_DESDE,"&lt;="&amp;B14)=0,INDEX(TASA_EMP,1),INDEX(TASA_EMP,COUNTIF(TASA_DESDE,"&lt;="&amp;B14))))</f>
        <v/>
      </c>
    </row>
    <row r="15" customFormat="false" ht="15" hidden="false" customHeight="false" outlineLevel="0" collapsed="false">
      <c r="B15" s="78"/>
      <c r="C15" s="64"/>
      <c r="D15" s="72" t="str">
        <f aca="false">IF(C15="","",IFERROR(INDEX(T_NOMBRE,MATCH(C15,T_ID,0)),"⚠ ID no existe"))</f>
        <v/>
      </c>
      <c r="E15" s="69"/>
      <c r="F15" s="67"/>
      <c r="G15" s="67"/>
      <c r="H15" s="67"/>
      <c r="I15" s="67"/>
      <c r="J15" s="67"/>
      <c r="K15" s="85" t="str">
        <f aca="false">IF(AH15="","",N(F15)+N(G15)+N(H15)-N(I15)+N(J15))</f>
        <v/>
      </c>
      <c r="L15" s="67"/>
      <c r="M15" s="67"/>
      <c r="N15" s="67"/>
      <c r="O15" s="67"/>
      <c r="P15" s="85" t="str">
        <f aca="false">IF(AH15="","",K15+N(L15)+N(M15)+N(N15)+N(O15))</f>
        <v/>
      </c>
      <c r="Q15" s="67"/>
      <c r="R15" s="67"/>
      <c r="S15" s="67"/>
      <c r="T15" s="67"/>
      <c r="U15" s="67"/>
      <c r="V15" s="67"/>
      <c r="W15" s="85" t="str">
        <f aca="false">IF(AH15="","",N(Q15)+N(R15)+N(S15)+N(T15)+N(U15)+N(V15))</f>
        <v/>
      </c>
      <c r="X15" s="85" t="str">
        <f aca="false">IF(AH15="","",P15-W15)</f>
        <v/>
      </c>
      <c r="Y15" s="67"/>
      <c r="Z15" s="70" t="str">
        <f aca="false">IF(OR(AH15="",Y15=""),"",IF(ABS(X15-Y15)&lt;=1,"✓ Cuadra","⚠ Diferencia $"&amp;FIXED(X15-Y15,0)))</f>
        <v/>
      </c>
      <c r="AA15" s="72" t="str">
        <f aca="false">IF(AH15="","",IFERROR(INDEX(C_TIPO,MATCH(C15&amp;"-P"&amp;MAX(1,COUNTIFS(C_ID,C15,C_DEFINE,"Sí",C_INICIO,"&lt;="&amp;EOMONTH(B15,0))),C_CLAVE,0))&amp;"","Sin dato"))</f>
        <v/>
      </c>
      <c r="AB15" s="71" t="str">
        <f aca="false">IF(AH15="","",ROUND(MIN(K15,TOPE_AFP_UF*AJ15)*AK15,0))</f>
        <v/>
      </c>
      <c r="AC15" s="71" t="str">
        <f aca="false">IF(AH15="","",ROUND(MIN(K15,TOPE_AFC_UF*AJ15)*IF(AA15="Indefinido",AFC_EMP_INDEF,AFC_EMP_PF),0))</f>
        <v/>
      </c>
      <c r="AD15" s="71" t="str">
        <f aca="false">IF(AH15="","",ROUND(MIN(K15,TOPE_AFP_UF*AJ15)*(MUTUAL_BASICA+MUTUAL_ADIC+SANNA),0))</f>
        <v/>
      </c>
      <c r="AE15" s="71" t="str">
        <f aca="false">IF(AH15="","",P15-N(N15)+AB15+AC15+AD15)</f>
        <v/>
      </c>
      <c r="AF15" s="65"/>
      <c r="AG15" s="64"/>
      <c r="AH15" s="72" t="str">
        <f aca="false">IF(OR(B15="",C15=""),"",C15&amp;"|"&amp;(YEAR(B15)*100+MONTH(B15)))</f>
        <v/>
      </c>
      <c r="AI15" s="70" t="str">
        <f aca="false">IF(AH15="","",IF(COUNTIF(L_CLAVE,AH15)&gt;1,"⚠ Duplicado","OK"))</f>
        <v/>
      </c>
      <c r="AJ15" s="86" t="str">
        <f aca="false">IF(AH15="","",IF(SUMPRODUCT(MAX((IND_PER&lt;=B15)*(IND_UF&lt;&gt;"")*IND_PER))=0,UF_HOY,INDEX(IND_UF,MATCH(SUMPRODUCT(MAX((IND_PER&lt;=B15)*(IND_UF&lt;&gt;"")*IND_PER)),IND_PER,0))))</f>
        <v/>
      </c>
      <c r="AK15" s="87" t="str">
        <f aca="false">IF(AH15="","",IF(COUNTIF(TASA_DESDE,"&lt;="&amp;B15)=0,INDEX(TASA_EMP,1),INDEX(TASA_EMP,COUNTIF(TASA_DESDE,"&lt;="&amp;B15))))</f>
        <v/>
      </c>
    </row>
    <row r="16" customFormat="false" ht="15" hidden="false" customHeight="false" outlineLevel="0" collapsed="false">
      <c r="B16" s="78"/>
      <c r="C16" s="64"/>
      <c r="D16" s="72" t="str">
        <f aca="false">IF(C16="","",IFERROR(INDEX(T_NOMBRE,MATCH(C16,T_ID,0)),"⚠ ID no existe"))</f>
        <v/>
      </c>
      <c r="E16" s="69"/>
      <c r="F16" s="67"/>
      <c r="G16" s="67"/>
      <c r="H16" s="67"/>
      <c r="I16" s="67"/>
      <c r="J16" s="67"/>
      <c r="K16" s="85" t="str">
        <f aca="false">IF(AH16="","",N(F16)+N(G16)+N(H16)-N(I16)+N(J16))</f>
        <v/>
      </c>
      <c r="L16" s="67"/>
      <c r="M16" s="67"/>
      <c r="N16" s="67"/>
      <c r="O16" s="67"/>
      <c r="P16" s="85" t="str">
        <f aca="false">IF(AH16="","",K16+N(L16)+N(M16)+N(N16)+N(O16))</f>
        <v/>
      </c>
      <c r="Q16" s="67"/>
      <c r="R16" s="67"/>
      <c r="S16" s="67"/>
      <c r="T16" s="67"/>
      <c r="U16" s="67"/>
      <c r="V16" s="67"/>
      <c r="W16" s="85" t="str">
        <f aca="false">IF(AH16="","",N(Q16)+N(R16)+N(S16)+N(T16)+N(U16)+N(V16))</f>
        <v/>
      </c>
      <c r="X16" s="85" t="str">
        <f aca="false">IF(AH16="","",P16-W16)</f>
        <v/>
      </c>
      <c r="Y16" s="67"/>
      <c r="Z16" s="70" t="str">
        <f aca="false">IF(OR(AH16="",Y16=""),"",IF(ABS(X16-Y16)&lt;=1,"✓ Cuadra","⚠ Diferencia $"&amp;FIXED(X16-Y16,0)))</f>
        <v/>
      </c>
      <c r="AA16" s="72" t="str">
        <f aca="false">IF(AH16="","",IFERROR(INDEX(C_TIPO,MATCH(C16&amp;"-P"&amp;MAX(1,COUNTIFS(C_ID,C16,C_DEFINE,"Sí",C_INICIO,"&lt;="&amp;EOMONTH(B16,0))),C_CLAVE,0))&amp;"","Sin dato"))</f>
        <v/>
      </c>
      <c r="AB16" s="71" t="str">
        <f aca="false">IF(AH16="","",ROUND(MIN(K16,TOPE_AFP_UF*AJ16)*AK16,0))</f>
        <v/>
      </c>
      <c r="AC16" s="71" t="str">
        <f aca="false">IF(AH16="","",ROUND(MIN(K16,TOPE_AFC_UF*AJ16)*IF(AA16="Indefinido",AFC_EMP_INDEF,AFC_EMP_PF),0))</f>
        <v/>
      </c>
      <c r="AD16" s="71" t="str">
        <f aca="false">IF(AH16="","",ROUND(MIN(K16,TOPE_AFP_UF*AJ16)*(MUTUAL_BASICA+MUTUAL_ADIC+SANNA),0))</f>
        <v/>
      </c>
      <c r="AE16" s="71" t="str">
        <f aca="false">IF(AH16="","",P16-N(N16)+AB16+AC16+AD16)</f>
        <v/>
      </c>
      <c r="AF16" s="65"/>
      <c r="AG16" s="64"/>
      <c r="AH16" s="72" t="str">
        <f aca="false">IF(OR(B16="",C16=""),"",C16&amp;"|"&amp;(YEAR(B16)*100+MONTH(B16)))</f>
        <v/>
      </c>
      <c r="AI16" s="70" t="str">
        <f aca="false">IF(AH16="","",IF(COUNTIF(L_CLAVE,AH16)&gt;1,"⚠ Duplicado","OK"))</f>
        <v/>
      </c>
      <c r="AJ16" s="86" t="str">
        <f aca="false">IF(AH16="","",IF(SUMPRODUCT(MAX((IND_PER&lt;=B16)*(IND_UF&lt;&gt;"")*IND_PER))=0,UF_HOY,INDEX(IND_UF,MATCH(SUMPRODUCT(MAX((IND_PER&lt;=B16)*(IND_UF&lt;&gt;"")*IND_PER)),IND_PER,0))))</f>
        <v/>
      </c>
      <c r="AK16" s="87" t="str">
        <f aca="false">IF(AH16="","",IF(COUNTIF(TASA_DESDE,"&lt;="&amp;B16)=0,INDEX(TASA_EMP,1),INDEX(TASA_EMP,COUNTIF(TASA_DESDE,"&lt;="&amp;B16))))</f>
        <v/>
      </c>
    </row>
    <row r="17" customFormat="false" ht="15" hidden="false" customHeight="false" outlineLevel="0" collapsed="false">
      <c r="B17" s="78"/>
      <c r="C17" s="64"/>
      <c r="D17" s="72" t="str">
        <f aca="false">IF(C17="","",IFERROR(INDEX(T_NOMBRE,MATCH(C17,T_ID,0)),"⚠ ID no existe"))</f>
        <v/>
      </c>
      <c r="E17" s="69"/>
      <c r="F17" s="67"/>
      <c r="G17" s="67"/>
      <c r="H17" s="67"/>
      <c r="I17" s="67"/>
      <c r="J17" s="67"/>
      <c r="K17" s="85" t="str">
        <f aca="false">IF(AH17="","",N(F17)+N(G17)+N(H17)-N(I17)+N(J17))</f>
        <v/>
      </c>
      <c r="L17" s="67"/>
      <c r="M17" s="67"/>
      <c r="N17" s="67"/>
      <c r="O17" s="67"/>
      <c r="P17" s="85" t="str">
        <f aca="false">IF(AH17="","",K17+N(L17)+N(M17)+N(N17)+N(O17))</f>
        <v/>
      </c>
      <c r="Q17" s="67"/>
      <c r="R17" s="67"/>
      <c r="S17" s="67"/>
      <c r="T17" s="67"/>
      <c r="U17" s="67"/>
      <c r="V17" s="67"/>
      <c r="W17" s="85" t="str">
        <f aca="false">IF(AH17="","",N(Q17)+N(R17)+N(S17)+N(T17)+N(U17)+N(V17))</f>
        <v/>
      </c>
      <c r="X17" s="85" t="str">
        <f aca="false">IF(AH17="","",P17-W17)</f>
        <v/>
      </c>
      <c r="Y17" s="67"/>
      <c r="Z17" s="70" t="str">
        <f aca="false">IF(OR(AH17="",Y17=""),"",IF(ABS(X17-Y17)&lt;=1,"✓ Cuadra","⚠ Diferencia $"&amp;FIXED(X17-Y17,0)))</f>
        <v/>
      </c>
      <c r="AA17" s="72" t="str">
        <f aca="false">IF(AH17="","",IFERROR(INDEX(C_TIPO,MATCH(C17&amp;"-P"&amp;MAX(1,COUNTIFS(C_ID,C17,C_DEFINE,"Sí",C_INICIO,"&lt;="&amp;EOMONTH(B17,0))),C_CLAVE,0))&amp;"","Sin dato"))</f>
        <v/>
      </c>
      <c r="AB17" s="71" t="str">
        <f aca="false">IF(AH17="","",ROUND(MIN(K17,TOPE_AFP_UF*AJ17)*AK17,0))</f>
        <v/>
      </c>
      <c r="AC17" s="71" t="str">
        <f aca="false">IF(AH17="","",ROUND(MIN(K17,TOPE_AFC_UF*AJ17)*IF(AA17="Indefinido",AFC_EMP_INDEF,AFC_EMP_PF),0))</f>
        <v/>
      </c>
      <c r="AD17" s="71" t="str">
        <f aca="false">IF(AH17="","",ROUND(MIN(K17,TOPE_AFP_UF*AJ17)*(MUTUAL_BASICA+MUTUAL_ADIC+SANNA),0))</f>
        <v/>
      </c>
      <c r="AE17" s="71" t="str">
        <f aca="false">IF(AH17="","",P17-N(N17)+AB17+AC17+AD17)</f>
        <v/>
      </c>
      <c r="AF17" s="65"/>
      <c r="AG17" s="64"/>
      <c r="AH17" s="72" t="str">
        <f aca="false">IF(OR(B17="",C17=""),"",C17&amp;"|"&amp;(YEAR(B17)*100+MONTH(B17)))</f>
        <v/>
      </c>
      <c r="AI17" s="70" t="str">
        <f aca="false">IF(AH17="","",IF(COUNTIF(L_CLAVE,AH17)&gt;1,"⚠ Duplicado","OK"))</f>
        <v/>
      </c>
      <c r="AJ17" s="86" t="str">
        <f aca="false">IF(AH17="","",IF(SUMPRODUCT(MAX((IND_PER&lt;=B17)*(IND_UF&lt;&gt;"")*IND_PER))=0,UF_HOY,INDEX(IND_UF,MATCH(SUMPRODUCT(MAX((IND_PER&lt;=B17)*(IND_UF&lt;&gt;"")*IND_PER)),IND_PER,0))))</f>
        <v/>
      </c>
      <c r="AK17" s="87" t="str">
        <f aca="false">IF(AH17="","",IF(COUNTIF(TASA_DESDE,"&lt;="&amp;B17)=0,INDEX(TASA_EMP,1),INDEX(TASA_EMP,COUNTIF(TASA_DESDE,"&lt;="&amp;B17))))</f>
        <v/>
      </c>
    </row>
    <row r="18" customFormat="false" ht="15" hidden="false" customHeight="false" outlineLevel="0" collapsed="false">
      <c r="B18" s="78"/>
      <c r="C18" s="64"/>
      <c r="D18" s="72" t="str">
        <f aca="false">IF(C18="","",IFERROR(INDEX(T_NOMBRE,MATCH(C18,T_ID,0)),"⚠ ID no existe"))</f>
        <v/>
      </c>
      <c r="E18" s="69"/>
      <c r="F18" s="67"/>
      <c r="G18" s="67"/>
      <c r="H18" s="67"/>
      <c r="I18" s="67"/>
      <c r="J18" s="67"/>
      <c r="K18" s="85" t="str">
        <f aca="false">IF(AH18="","",N(F18)+N(G18)+N(H18)-N(I18)+N(J18))</f>
        <v/>
      </c>
      <c r="L18" s="67"/>
      <c r="M18" s="67"/>
      <c r="N18" s="67"/>
      <c r="O18" s="67"/>
      <c r="P18" s="85" t="str">
        <f aca="false">IF(AH18="","",K18+N(L18)+N(M18)+N(N18)+N(O18))</f>
        <v/>
      </c>
      <c r="Q18" s="67"/>
      <c r="R18" s="67"/>
      <c r="S18" s="67"/>
      <c r="T18" s="67"/>
      <c r="U18" s="67"/>
      <c r="V18" s="67"/>
      <c r="W18" s="85" t="str">
        <f aca="false">IF(AH18="","",N(Q18)+N(R18)+N(S18)+N(T18)+N(U18)+N(V18))</f>
        <v/>
      </c>
      <c r="X18" s="85" t="str">
        <f aca="false">IF(AH18="","",P18-W18)</f>
        <v/>
      </c>
      <c r="Y18" s="67"/>
      <c r="Z18" s="70" t="str">
        <f aca="false">IF(OR(AH18="",Y18=""),"",IF(ABS(X18-Y18)&lt;=1,"✓ Cuadra","⚠ Diferencia $"&amp;FIXED(X18-Y18,0)))</f>
        <v/>
      </c>
      <c r="AA18" s="72" t="str">
        <f aca="false">IF(AH18="","",IFERROR(INDEX(C_TIPO,MATCH(C18&amp;"-P"&amp;MAX(1,COUNTIFS(C_ID,C18,C_DEFINE,"Sí",C_INICIO,"&lt;="&amp;EOMONTH(B18,0))),C_CLAVE,0))&amp;"","Sin dato"))</f>
        <v/>
      </c>
      <c r="AB18" s="71" t="str">
        <f aca="false">IF(AH18="","",ROUND(MIN(K18,TOPE_AFP_UF*AJ18)*AK18,0))</f>
        <v/>
      </c>
      <c r="AC18" s="71" t="str">
        <f aca="false">IF(AH18="","",ROUND(MIN(K18,TOPE_AFC_UF*AJ18)*IF(AA18="Indefinido",AFC_EMP_INDEF,AFC_EMP_PF),0))</f>
        <v/>
      </c>
      <c r="AD18" s="71" t="str">
        <f aca="false">IF(AH18="","",ROUND(MIN(K18,TOPE_AFP_UF*AJ18)*(MUTUAL_BASICA+MUTUAL_ADIC+SANNA),0))</f>
        <v/>
      </c>
      <c r="AE18" s="71" t="str">
        <f aca="false">IF(AH18="","",P18-N(N18)+AB18+AC18+AD18)</f>
        <v/>
      </c>
      <c r="AF18" s="65"/>
      <c r="AG18" s="64"/>
      <c r="AH18" s="72" t="str">
        <f aca="false">IF(OR(B18="",C18=""),"",C18&amp;"|"&amp;(YEAR(B18)*100+MONTH(B18)))</f>
        <v/>
      </c>
      <c r="AI18" s="70" t="str">
        <f aca="false">IF(AH18="","",IF(COUNTIF(L_CLAVE,AH18)&gt;1,"⚠ Duplicado","OK"))</f>
        <v/>
      </c>
      <c r="AJ18" s="86" t="str">
        <f aca="false">IF(AH18="","",IF(SUMPRODUCT(MAX((IND_PER&lt;=B18)*(IND_UF&lt;&gt;"")*IND_PER))=0,UF_HOY,INDEX(IND_UF,MATCH(SUMPRODUCT(MAX((IND_PER&lt;=B18)*(IND_UF&lt;&gt;"")*IND_PER)),IND_PER,0))))</f>
        <v/>
      </c>
      <c r="AK18" s="87" t="str">
        <f aca="false">IF(AH18="","",IF(COUNTIF(TASA_DESDE,"&lt;="&amp;B18)=0,INDEX(TASA_EMP,1),INDEX(TASA_EMP,COUNTIF(TASA_DESDE,"&lt;="&amp;B18))))</f>
        <v/>
      </c>
    </row>
    <row r="19" customFormat="false" ht="15" hidden="false" customHeight="false" outlineLevel="0" collapsed="false">
      <c r="B19" s="78"/>
      <c r="C19" s="64"/>
      <c r="D19" s="72" t="str">
        <f aca="false">IF(C19="","",IFERROR(INDEX(T_NOMBRE,MATCH(C19,T_ID,0)),"⚠ ID no existe"))</f>
        <v/>
      </c>
      <c r="E19" s="69"/>
      <c r="F19" s="67"/>
      <c r="G19" s="67"/>
      <c r="H19" s="67"/>
      <c r="I19" s="67"/>
      <c r="J19" s="67"/>
      <c r="K19" s="85" t="str">
        <f aca="false">IF(AH19="","",N(F19)+N(G19)+N(H19)-N(I19)+N(J19))</f>
        <v/>
      </c>
      <c r="L19" s="67"/>
      <c r="M19" s="67"/>
      <c r="N19" s="67"/>
      <c r="O19" s="67"/>
      <c r="P19" s="85" t="str">
        <f aca="false">IF(AH19="","",K19+N(L19)+N(M19)+N(N19)+N(O19))</f>
        <v/>
      </c>
      <c r="Q19" s="67"/>
      <c r="R19" s="67"/>
      <c r="S19" s="67"/>
      <c r="T19" s="67"/>
      <c r="U19" s="67"/>
      <c r="V19" s="67"/>
      <c r="W19" s="85" t="str">
        <f aca="false">IF(AH19="","",N(Q19)+N(R19)+N(S19)+N(T19)+N(U19)+N(V19))</f>
        <v/>
      </c>
      <c r="X19" s="85" t="str">
        <f aca="false">IF(AH19="","",P19-W19)</f>
        <v/>
      </c>
      <c r="Y19" s="67"/>
      <c r="Z19" s="70" t="str">
        <f aca="false">IF(OR(AH19="",Y19=""),"",IF(ABS(X19-Y19)&lt;=1,"✓ Cuadra","⚠ Diferencia $"&amp;FIXED(X19-Y19,0)))</f>
        <v/>
      </c>
      <c r="AA19" s="72" t="str">
        <f aca="false">IF(AH19="","",IFERROR(INDEX(C_TIPO,MATCH(C19&amp;"-P"&amp;MAX(1,COUNTIFS(C_ID,C19,C_DEFINE,"Sí",C_INICIO,"&lt;="&amp;EOMONTH(B19,0))),C_CLAVE,0))&amp;"","Sin dato"))</f>
        <v/>
      </c>
      <c r="AB19" s="71" t="str">
        <f aca="false">IF(AH19="","",ROUND(MIN(K19,TOPE_AFP_UF*AJ19)*AK19,0))</f>
        <v/>
      </c>
      <c r="AC19" s="71" t="str">
        <f aca="false">IF(AH19="","",ROUND(MIN(K19,TOPE_AFC_UF*AJ19)*IF(AA19="Indefinido",AFC_EMP_INDEF,AFC_EMP_PF),0))</f>
        <v/>
      </c>
      <c r="AD19" s="71" t="str">
        <f aca="false">IF(AH19="","",ROUND(MIN(K19,TOPE_AFP_UF*AJ19)*(MUTUAL_BASICA+MUTUAL_ADIC+SANNA),0))</f>
        <v/>
      </c>
      <c r="AE19" s="71" t="str">
        <f aca="false">IF(AH19="","",P19-N(N19)+AB19+AC19+AD19)</f>
        <v/>
      </c>
      <c r="AF19" s="65"/>
      <c r="AG19" s="64"/>
      <c r="AH19" s="72" t="str">
        <f aca="false">IF(OR(B19="",C19=""),"",C19&amp;"|"&amp;(YEAR(B19)*100+MONTH(B19)))</f>
        <v/>
      </c>
      <c r="AI19" s="70" t="str">
        <f aca="false">IF(AH19="","",IF(COUNTIF(L_CLAVE,AH19)&gt;1,"⚠ Duplicado","OK"))</f>
        <v/>
      </c>
      <c r="AJ19" s="86" t="str">
        <f aca="false">IF(AH19="","",IF(SUMPRODUCT(MAX((IND_PER&lt;=B19)*(IND_UF&lt;&gt;"")*IND_PER))=0,UF_HOY,INDEX(IND_UF,MATCH(SUMPRODUCT(MAX((IND_PER&lt;=B19)*(IND_UF&lt;&gt;"")*IND_PER)),IND_PER,0))))</f>
        <v/>
      </c>
      <c r="AK19" s="87" t="str">
        <f aca="false">IF(AH19="","",IF(COUNTIF(TASA_DESDE,"&lt;="&amp;B19)=0,INDEX(TASA_EMP,1),INDEX(TASA_EMP,COUNTIF(TASA_DESDE,"&lt;="&amp;B19))))</f>
        <v/>
      </c>
    </row>
    <row r="20" customFormat="false" ht="15" hidden="false" customHeight="false" outlineLevel="0" collapsed="false">
      <c r="B20" s="78"/>
      <c r="C20" s="64"/>
      <c r="D20" s="72" t="str">
        <f aca="false">IF(C20="","",IFERROR(INDEX(T_NOMBRE,MATCH(C20,T_ID,0)),"⚠ ID no existe"))</f>
        <v/>
      </c>
      <c r="E20" s="69"/>
      <c r="F20" s="67"/>
      <c r="G20" s="67"/>
      <c r="H20" s="67"/>
      <c r="I20" s="67"/>
      <c r="J20" s="67"/>
      <c r="K20" s="85" t="str">
        <f aca="false">IF(AH20="","",N(F20)+N(G20)+N(H20)-N(I20)+N(J20))</f>
        <v/>
      </c>
      <c r="L20" s="67"/>
      <c r="M20" s="67"/>
      <c r="N20" s="67"/>
      <c r="O20" s="67"/>
      <c r="P20" s="85" t="str">
        <f aca="false">IF(AH20="","",K20+N(L20)+N(M20)+N(N20)+N(O20))</f>
        <v/>
      </c>
      <c r="Q20" s="67"/>
      <c r="R20" s="67"/>
      <c r="S20" s="67"/>
      <c r="T20" s="67"/>
      <c r="U20" s="67"/>
      <c r="V20" s="67"/>
      <c r="W20" s="85" t="str">
        <f aca="false">IF(AH20="","",N(Q20)+N(R20)+N(S20)+N(T20)+N(U20)+N(V20))</f>
        <v/>
      </c>
      <c r="X20" s="85" t="str">
        <f aca="false">IF(AH20="","",P20-W20)</f>
        <v/>
      </c>
      <c r="Y20" s="67"/>
      <c r="Z20" s="70" t="str">
        <f aca="false">IF(OR(AH20="",Y20=""),"",IF(ABS(X20-Y20)&lt;=1,"✓ Cuadra","⚠ Diferencia $"&amp;FIXED(X20-Y20,0)))</f>
        <v/>
      </c>
      <c r="AA20" s="72" t="str">
        <f aca="false">IF(AH20="","",IFERROR(INDEX(C_TIPO,MATCH(C20&amp;"-P"&amp;MAX(1,COUNTIFS(C_ID,C20,C_DEFINE,"Sí",C_INICIO,"&lt;="&amp;EOMONTH(B20,0))),C_CLAVE,0))&amp;"","Sin dato"))</f>
        <v/>
      </c>
      <c r="AB20" s="71" t="str">
        <f aca="false">IF(AH20="","",ROUND(MIN(K20,TOPE_AFP_UF*AJ20)*AK20,0))</f>
        <v/>
      </c>
      <c r="AC20" s="71" t="str">
        <f aca="false">IF(AH20="","",ROUND(MIN(K20,TOPE_AFC_UF*AJ20)*IF(AA20="Indefinido",AFC_EMP_INDEF,AFC_EMP_PF),0))</f>
        <v/>
      </c>
      <c r="AD20" s="71" t="str">
        <f aca="false">IF(AH20="","",ROUND(MIN(K20,TOPE_AFP_UF*AJ20)*(MUTUAL_BASICA+MUTUAL_ADIC+SANNA),0))</f>
        <v/>
      </c>
      <c r="AE20" s="71" t="str">
        <f aca="false">IF(AH20="","",P20-N(N20)+AB20+AC20+AD20)</f>
        <v/>
      </c>
      <c r="AF20" s="65"/>
      <c r="AG20" s="64"/>
      <c r="AH20" s="72" t="str">
        <f aca="false">IF(OR(B20="",C20=""),"",C20&amp;"|"&amp;(YEAR(B20)*100+MONTH(B20)))</f>
        <v/>
      </c>
      <c r="AI20" s="70" t="str">
        <f aca="false">IF(AH20="","",IF(COUNTIF(L_CLAVE,AH20)&gt;1,"⚠ Duplicado","OK"))</f>
        <v/>
      </c>
      <c r="AJ20" s="86" t="str">
        <f aca="false">IF(AH20="","",IF(SUMPRODUCT(MAX((IND_PER&lt;=B20)*(IND_UF&lt;&gt;"")*IND_PER))=0,UF_HOY,INDEX(IND_UF,MATCH(SUMPRODUCT(MAX((IND_PER&lt;=B20)*(IND_UF&lt;&gt;"")*IND_PER)),IND_PER,0))))</f>
        <v/>
      </c>
      <c r="AK20" s="87" t="str">
        <f aca="false">IF(AH20="","",IF(COUNTIF(TASA_DESDE,"&lt;="&amp;B20)=0,INDEX(TASA_EMP,1),INDEX(TASA_EMP,COUNTIF(TASA_DESDE,"&lt;="&amp;B20))))</f>
        <v/>
      </c>
    </row>
    <row r="21" customFormat="false" ht="15" hidden="false" customHeight="false" outlineLevel="0" collapsed="false">
      <c r="B21" s="78"/>
      <c r="C21" s="64"/>
      <c r="D21" s="72" t="str">
        <f aca="false">IF(C21="","",IFERROR(INDEX(T_NOMBRE,MATCH(C21,T_ID,0)),"⚠ ID no existe"))</f>
        <v/>
      </c>
      <c r="E21" s="69"/>
      <c r="F21" s="67"/>
      <c r="G21" s="67"/>
      <c r="H21" s="67"/>
      <c r="I21" s="67"/>
      <c r="J21" s="67"/>
      <c r="K21" s="85" t="str">
        <f aca="false">IF(AH21="","",N(F21)+N(G21)+N(H21)-N(I21)+N(J21))</f>
        <v/>
      </c>
      <c r="L21" s="67"/>
      <c r="M21" s="67"/>
      <c r="N21" s="67"/>
      <c r="O21" s="67"/>
      <c r="P21" s="85" t="str">
        <f aca="false">IF(AH21="","",K21+N(L21)+N(M21)+N(N21)+N(O21))</f>
        <v/>
      </c>
      <c r="Q21" s="67"/>
      <c r="R21" s="67"/>
      <c r="S21" s="67"/>
      <c r="T21" s="67"/>
      <c r="U21" s="67"/>
      <c r="V21" s="67"/>
      <c r="W21" s="85" t="str">
        <f aca="false">IF(AH21="","",N(Q21)+N(R21)+N(S21)+N(T21)+N(U21)+N(V21))</f>
        <v/>
      </c>
      <c r="X21" s="85" t="str">
        <f aca="false">IF(AH21="","",P21-W21)</f>
        <v/>
      </c>
      <c r="Y21" s="67"/>
      <c r="Z21" s="70" t="str">
        <f aca="false">IF(OR(AH21="",Y21=""),"",IF(ABS(X21-Y21)&lt;=1,"✓ Cuadra","⚠ Diferencia $"&amp;FIXED(X21-Y21,0)))</f>
        <v/>
      </c>
      <c r="AA21" s="72" t="str">
        <f aca="false">IF(AH21="","",IFERROR(INDEX(C_TIPO,MATCH(C21&amp;"-P"&amp;MAX(1,COUNTIFS(C_ID,C21,C_DEFINE,"Sí",C_INICIO,"&lt;="&amp;EOMONTH(B21,0))),C_CLAVE,0))&amp;"","Sin dato"))</f>
        <v/>
      </c>
      <c r="AB21" s="71" t="str">
        <f aca="false">IF(AH21="","",ROUND(MIN(K21,TOPE_AFP_UF*AJ21)*AK21,0))</f>
        <v/>
      </c>
      <c r="AC21" s="71" t="str">
        <f aca="false">IF(AH21="","",ROUND(MIN(K21,TOPE_AFC_UF*AJ21)*IF(AA21="Indefinido",AFC_EMP_INDEF,AFC_EMP_PF),0))</f>
        <v/>
      </c>
      <c r="AD21" s="71" t="str">
        <f aca="false">IF(AH21="","",ROUND(MIN(K21,TOPE_AFP_UF*AJ21)*(MUTUAL_BASICA+MUTUAL_ADIC+SANNA),0))</f>
        <v/>
      </c>
      <c r="AE21" s="71" t="str">
        <f aca="false">IF(AH21="","",P21-N(N21)+AB21+AC21+AD21)</f>
        <v/>
      </c>
      <c r="AF21" s="65"/>
      <c r="AG21" s="64"/>
      <c r="AH21" s="72" t="str">
        <f aca="false">IF(OR(B21="",C21=""),"",C21&amp;"|"&amp;(YEAR(B21)*100+MONTH(B21)))</f>
        <v/>
      </c>
      <c r="AI21" s="70" t="str">
        <f aca="false">IF(AH21="","",IF(COUNTIF(L_CLAVE,AH21)&gt;1,"⚠ Duplicado","OK"))</f>
        <v/>
      </c>
      <c r="AJ21" s="86" t="str">
        <f aca="false">IF(AH21="","",IF(SUMPRODUCT(MAX((IND_PER&lt;=B21)*(IND_UF&lt;&gt;"")*IND_PER))=0,UF_HOY,INDEX(IND_UF,MATCH(SUMPRODUCT(MAX((IND_PER&lt;=B21)*(IND_UF&lt;&gt;"")*IND_PER)),IND_PER,0))))</f>
        <v/>
      </c>
      <c r="AK21" s="87" t="str">
        <f aca="false">IF(AH21="","",IF(COUNTIF(TASA_DESDE,"&lt;="&amp;B21)=0,INDEX(TASA_EMP,1),INDEX(TASA_EMP,COUNTIF(TASA_DESDE,"&lt;="&amp;B21))))</f>
        <v/>
      </c>
    </row>
    <row r="22" customFormat="false" ht="15" hidden="false" customHeight="false" outlineLevel="0" collapsed="false">
      <c r="B22" s="78"/>
      <c r="C22" s="64"/>
      <c r="D22" s="72" t="str">
        <f aca="false">IF(C22="","",IFERROR(INDEX(T_NOMBRE,MATCH(C22,T_ID,0)),"⚠ ID no existe"))</f>
        <v/>
      </c>
      <c r="E22" s="69"/>
      <c r="F22" s="67"/>
      <c r="G22" s="67"/>
      <c r="H22" s="67"/>
      <c r="I22" s="67"/>
      <c r="J22" s="67"/>
      <c r="K22" s="85" t="str">
        <f aca="false">IF(AH22="","",N(F22)+N(G22)+N(H22)-N(I22)+N(J22))</f>
        <v/>
      </c>
      <c r="L22" s="67"/>
      <c r="M22" s="67"/>
      <c r="N22" s="67"/>
      <c r="O22" s="67"/>
      <c r="P22" s="85" t="str">
        <f aca="false">IF(AH22="","",K22+N(L22)+N(M22)+N(N22)+N(O22))</f>
        <v/>
      </c>
      <c r="Q22" s="67"/>
      <c r="R22" s="67"/>
      <c r="S22" s="67"/>
      <c r="T22" s="67"/>
      <c r="U22" s="67"/>
      <c r="V22" s="67"/>
      <c r="W22" s="85" t="str">
        <f aca="false">IF(AH22="","",N(Q22)+N(R22)+N(S22)+N(T22)+N(U22)+N(V22))</f>
        <v/>
      </c>
      <c r="X22" s="85" t="str">
        <f aca="false">IF(AH22="","",P22-W22)</f>
        <v/>
      </c>
      <c r="Y22" s="67"/>
      <c r="Z22" s="70" t="str">
        <f aca="false">IF(OR(AH22="",Y22=""),"",IF(ABS(X22-Y22)&lt;=1,"✓ Cuadra","⚠ Diferencia $"&amp;FIXED(X22-Y22,0)))</f>
        <v/>
      </c>
      <c r="AA22" s="72" t="str">
        <f aca="false">IF(AH22="","",IFERROR(INDEX(C_TIPO,MATCH(C22&amp;"-P"&amp;MAX(1,COUNTIFS(C_ID,C22,C_DEFINE,"Sí",C_INICIO,"&lt;="&amp;EOMONTH(B22,0))),C_CLAVE,0))&amp;"","Sin dato"))</f>
        <v/>
      </c>
      <c r="AB22" s="71" t="str">
        <f aca="false">IF(AH22="","",ROUND(MIN(K22,TOPE_AFP_UF*AJ22)*AK22,0))</f>
        <v/>
      </c>
      <c r="AC22" s="71" t="str">
        <f aca="false">IF(AH22="","",ROUND(MIN(K22,TOPE_AFC_UF*AJ22)*IF(AA22="Indefinido",AFC_EMP_INDEF,AFC_EMP_PF),0))</f>
        <v/>
      </c>
      <c r="AD22" s="71" t="str">
        <f aca="false">IF(AH22="","",ROUND(MIN(K22,TOPE_AFP_UF*AJ22)*(MUTUAL_BASICA+MUTUAL_ADIC+SANNA),0))</f>
        <v/>
      </c>
      <c r="AE22" s="71" t="str">
        <f aca="false">IF(AH22="","",P22-N(N22)+AB22+AC22+AD22)</f>
        <v/>
      </c>
      <c r="AF22" s="65"/>
      <c r="AG22" s="64"/>
      <c r="AH22" s="72" t="str">
        <f aca="false">IF(OR(B22="",C22=""),"",C22&amp;"|"&amp;(YEAR(B22)*100+MONTH(B22)))</f>
        <v/>
      </c>
      <c r="AI22" s="70" t="str">
        <f aca="false">IF(AH22="","",IF(COUNTIF(L_CLAVE,AH22)&gt;1,"⚠ Duplicado","OK"))</f>
        <v/>
      </c>
      <c r="AJ22" s="86" t="str">
        <f aca="false">IF(AH22="","",IF(SUMPRODUCT(MAX((IND_PER&lt;=B22)*(IND_UF&lt;&gt;"")*IND_PER))=0,UF_HOY,INDEX(IND_UF,MATCH(SUMPRODUCT(MAX((IND_PER&lt;=B22)*(IND_UF&lt;&gt;"")*IND_PER)),IND_PER,0))))</f>
        <v/>
      </c>
      <c r="AK22" s="87" t="str">
        <f aca="false">IF(AH22="","",IF(COUNTIF(TASA_DESDE,"&lt;="&amp;B22)=0,INDEX(TASA_EMP,1),INDEX(TASA_EMP,COUNTIF(TASA_DESDE,"&lt;="&amp;B22))))</f>
        <v/>
      </c>
    </row>
    <row r="23" customFormat="false" ht="15" hidden="false" customHeight="false" outlineLevel="0" collapsed="false">
      <c r="B23" s="78"/>
      <c r="C23" s="64"/>
      <c r="D23" s="72" t="str">
        <f aca="false">IF(C23="","",IFERROR(INDEX(T_NOMBRE,MATCH(C23,T_ID,0)),"⚠ ID no existe"))</f>
        <v/>
      </c>
      <c r="E23" s="69"/>
      <c r="F23" s="67"/>
      <c r="G23" s="67"/>
      <c r="H23" s="67"/>
      <c r="I23" s="67"/>
      <c r="J23" s="67"/>
      <c r="K23" s="85" t="str">
        <f aca="false">IF(AH23="","",N(F23)+N(G23)+N(H23)-N(I23)+N(J23))</f>
        <v/>
      </c>
      <c r="L23" s="67"/>
      <c r="M23" s="67"/>
      <c r="N23" s="67"/>
      <c r="O23" s="67"/>
      <c r="P23" s="85" t="str">
        <f aca="false">IF(AH23="","",K23+N(L23)+N(M23)+N(N23)+N(O23))</f>
        <v/>
      </c>
      <c r="Q23" s="67"/>
      <c r="R23" s="67"/>
      <c r="S23" s="67"/>
      <c r="T23" s="67"/>
      <c r="U23" s="67"/>
      <c r="V23" s="67"/>
      <c r="W23" s="85" t="str">
        <f aca="false">IF(AH23="","",N(Q23)+N(R23)+N(S23)+N(T23)+N(U23)+N(V23))</f>
        <v/>
      </c>
      <c r="X23" s="85" t="str">
        <f aca="false">IF(AH23="","",P23-W23)</f>
        <v/>
      </c>
      <c r="Y23" s="67"/>
      <c r="Z23" s="70" t="str">
        <f aca="false">IF(OR(AH23="",Y23=""),"",IF(ABS(X23-Y23)&lt;=1,"✓ Cuadra","⚠ Diferencia $"&amp;FIXED(X23-Y23,0)))</f>
        <v/>
      </c>
      <c r="AA23" s="72" t="str">
        <f aca="false">IF(AH23="","",IFERROR(INDEX(C_TIPO,MATCH(C23&amp;"-P"&amp;MAX(1,COUNTIFS(C_ID,C23,C_DEFINE,"Sí",C_INICIO,"&lt;="&amp;EOMONTH(B23,0))),C_CLAVE,0))&amp;"","Sin dato"))</f>
        <v/>
      </c>
      <c r="AB23" s="71" t="str">
        <f aca="false">IF(AH23="","",ROUND(MIN(K23,TOPE_AFP_UF*AJ23)*AK23,0))</f>
        <v/>
      </c>
      <c r="AC23" s="71" t="str">
        <f aca="false">IF(AH23="","",ROUND(MIN(K23,TOPE_AFC_UF*AJ23)*IF(AA23="Indefinido",AFC_EMP_INDEF,AFC_EMP_PF),0))</f>
        <v/>
      </c>
      <c r="AD23" s="71" t="str">
        <f aca="false">IF(AH23="","",ROUND(MIN(K23,TOPE_AFP_UF*AJ23)*(MUTUAL_BASICA+MUTUAL_ADIC+SANNA),0))</f>
        <v/>
      </c>
      <c r="AE23" s="71" t="str">
        <f aca="false">IF(AH23="","",P23-N(N23)+AB23+AC23+AD23)</f>
        <v/>
      </c>
      <c r="AF23" s="65"/>
      <c r="AG23" s="64"/>
      <c r="AH23" s="72" t="str">
        <f aca="false">IF(OR(B23="",C23=""),"",C23&amp;"|"&amp;(YEAR(B23)*100+MONTH(B23)))</f>
        <v/>
      </c>
      <c r="AI23" s="70" t="str">
        <f aca="false">IF(AH23="","",IF(COUNTIF(L_CLAVE,AH23)&gt;1,"⚠ Duplicado","OK"))</f>
        <v/>
      </c>
      <c r="AJ23" s="86" t="str">
        <f aca="false">IF(AH23="","",IF(SUMPRODUCT(MAX((IND_PER&lt;=B23)*(IND_UF&lt;&gt;"")*IND_PER))=0,UF_HOY,INDEX(IND_UF,MATCH(SUMPRODUCT(MAX((IND_PER&lt;=B23)*(IND_UF&lt;&gt;"")*IND_PER)),IND_PER,0))))</f>
        <v/>
      </c>
      <c r="AK23" s="87" t="str">
        <f aca="false">IF(AH23="","",IF(COUNTIF(TASA_DESDE,"&lt;="&amp;B23)=0,INDEX(TASA_EMP,1),INDEX(TASA_EMP,COUNTIF(TASA_DESDE,"&lt;="&amp;B23))))</f>
        <v/>
      </c>
    </row>
    <row r="24" customFormat="false" ht="15" hidden="false" customHeight="false" outlineLevel="0" collapsed="false">
      <c r="B24" s="78"/>
      <c r="C24" s="64"/>
      <c r="D24" s="72" t="str">
        <f aca="false">IF(C24="","",IFERROR(INDEX(T_NOMBRE,MATCH(C24,T_ID,0)),"⚠ ID no existe"))</f>
        <v/>
      </c>
      <c r="E24" s="69"/>
      <c r="F24" s="67"/>
      <c r="G24" s="67"/>
      <c r="H24" s="67"/>
      <c r="I24" s="67"/>
      <c r="J24" s="67"/>
      <c r="K24" s="85" t="str">
        <f aca="false">IF(AH24="","",N(F24)+N(G24)+N(H24)-N(I24)+N(J24))</f>
        <v/>
      </c>
      <c r="L24" s="67"/>
      <c r="M24" s="67"/>
      <c r="N24" s="67"/>
      <c r="O24" s="67"/>
      <c r="P24" s="85" t="str">
        <f aca="false">IF(AH24="","",K24+N(L24)+N(M24)+N(N24)+N(O24))</f>
        <v/>
      </c>
      <c r="Q24" s="67"/>
      <c r="R24" s="67"/>
      <c r="S24" s="67"/>
      <c r="T24" s="67"/>
      <c r="U24" s="67"/>
      <c r="V24" s="67"/>
      <c r="W24" s="85" t="str">
        <f aca="false">IF(AH24="","",N(Q24)+N(R24)+N(S24)+N(T24)+N(U24)+N(V24))</f>
        <v/>
      </c>
      <c r="X24" s="85" t="str">
        <f aca="false">IF(AH24="","",P24-W24)</f>
        <v/>
      </c>
      <c r="Y24" s="67"/>
      <c r="Z24" s="70" t="str">
        <f aca="false">IF(OR(AH24="",Y24=""),"",IF(ABS(X24-Y24)&lt;=1,"✓ Cuadra","⚠ Diferencia $"&amp;FIXED(X24-Y24,0)))</f>
        <v/>
      </c>
      <c r="AA24" s="72" t="str">
        <f aca="false">IF(AH24="","",IFERROR(INDEX(C_TIPO,MATCH(C24&amp;"-P"&amp;MAX(1,COUNTIFS(C_ID,C24,C_DEFINE,"Sí",C_INICIO,"&lt;="&amp;EOMONTH(B24,0))),C_CLAVE,0))&amp;"","Sin dato"))</f>
        <v/>
      </c>
      <c r="AB24" s="71" t="str">
        <f aca="false">IF(AH24="","",ROUND(MIN(K24,TOPE_AFP_UF*AJ24)*AK24,0))</f>
        <v/>
      </c>
      <c r="AC24" s="71" t="str">
        <f aca="false">IF(AH24="","",ROUND(MIN(K24,TOPE_AFC_UF*AJ24)*IF(AA24="Indefinido",AFC_EMP_INDEF,AFC_EMP_PF),0))</f>
        <v/>
      </c>
      <c r="AD24" s="71" t="str">
        <f aca="false">IF(AH24="","",ROUND(MIN(K24,TOPE_AFP_UF*AJ24)*(MUTUAL_BASICA+MUTUAL_ADIC+SANNA),0))</f>
        <v/>
      </c>
      <c r="AE24" s="71" t="str">
        <f aca="false">IF(AH24="","",P24-N(N24)+AB24+AC24+AD24)</f>
        <v/>
      </c>
      <c r="AF24" s="65"/>
      <c r="AG24" s="64"/>
      <c r="AH24" s="72" t="str">
        <f aca="false">IF(OR(B24="",C24=""),"",C24&amp;"|"&amp;(YEAR(B24)*100+MONTH(B24)))</f>
        <v/>
      </c>
      <c r="AI24" s="70" t="str">
        <f aca="false">IF(AH24="","",IF(COUNTIF(L_CLAVE,AH24)&gt;1,"⚠ Duplicado","OK"))</f>
        <v/>
      </c>
      <c r="AJ24" s="86" t="str">
        <f aca="false">IF(AH24="","",IF(SUMPRODUCT(MAX((IND_PER&lt;=B24)*(IND_UF&lt;&gt;"")*IND_PER))=0,UF_HOY,INDEX(IND_UF,MATCH(SUMPRODUCT(MAX((IND_PER&lt;=B24)*(IND_UF&lt;&gt;"")*IND_PER)),IND_PER,0))))</f>
        <v/>
      </c>
      <c r="AK24" s="87" t="str">
        <f aca="false">IF(AH24="","",IF(COUNTIF(TASA_DESDE,"&lt;="&amp;B24)=0,INDEX(TASA_EMP,1),INDEX(TASA_EMP,COUNTIF(TASA_DESDE,"&lt;="&amp;B24))))</f>
        <v/>
      </c>
    </row>
    <row r="25" customFormat="false" ht="15" hidden="false" customHeight="false" outlineLevel="0" collapsed="false">
      <c r="B25" s="78"/>
      <c r="C25" s="64"/>
      <c r="D25" s="72" t="str">
        <f aca="false">IF(C25="","",IFERROR(INDEX(T_NOMBRE,MATCH(C25,T_ID,0)),"⚠ ID no existe"))</f>
        <v/>
      </c>
      <c r="E25" s="69"/>
      <c r="F25" s="67"/>
      <c r="G25" s="67"/>
      <c r="H25" s="67"/>
      <c r="I25" s="67"/>
      <c r="J25" s="67"/>
      <c r="K25" s="85" t="str">
        <f aca="false">IF(AH25="","",N(F25)+N(G25)+N(H25)-N(I25)+N(J25))</f>
        <v/>
      </c>
      <c r="L25" s="67"/>
      <c r="M25" s="67"/>
      <c r="N25" s="67"/>
      <c r="O25" s="67"/>
      <c r="P25" s="85" t="str">
        <f aca="false">IF(AH25="","",K25+N(L25)+N(M25)+N(N25)+N(O25))</f>
        <v/>
      </c>
      <c r="Q25" s="67"/>
      <c r="R25" s="67"/>
      <c r="S25" s="67"/>
      <c r="T25" s="67"/>
      <c r="U25" s="67"/>
      <c r="V25" s="67"/>
      <c r="W25" s="85" t="str">
        <f aca="false">IF(AH25="","",N(Q25)+N(R25)+N(S25)+N(T25)+N(U25)+N(V25))</f>
        <v/>
      </c>
      <c r="X25" s="85" t="str">
        <f aca="false">IF(AH25="","",P25-W25)</f>
        <v/>
      </c>
      <c r="Y25" s="67"/>
      <c r="Z25" s="70" t="str">
        <f aca="false">IF(OR(AH25="",Y25=""),"",IF(ABS(X25-Y25)&lt;=1,"✓ Cuadra","⚠ Diferencia $"&amp;FIXED(X25-Y25,0)))</f>
        <v/>
      </c>
      <c r="AA25" s="72" t="str">
        <f aca="false">IF(AH25="","",IFERROR(INDEX(C_TIPO,MATCH(C25&amp;"-P"&amp;MAX(1,COUNTIFS(C_ID,C25,C_DEFINE,"Sí",C_INICIO,"&lt;="&amp;EOMONTH(B25,0))),C_CLAVE,0))&amp;"","Sin dato"))</f>
        <v/>
      </c>
      <c r="AB25" s="71" t="str">
        <f aca="false">IF(AH25="","",ROUND(MIN(K25,TOPE_AFP_UF*AJ25)*AK25,0))</f>
        <v/>
      </c>
      <c r="AC25" s="71" t="str">
        <f aca="false">IF(AH25="","",ROUND(MIN(K25,TOPE_AFC_UF*AJ25)*IF(AA25="Indefinido",AFC_EMP_INDEF,AFC_EMP_PF),0))</f>
        <v/>
      </c>
      <c r="AD25" s="71" t="str">
        <f aca="false">IF(AH25="","",ROUND(MIN(K25,TOPE_AFP_UF*AJ25)*(MUTUAL_BASICA+MUTUAL_ADIC+SANNA),0))</f>
        <v/>
      </c>
      <c r="AE25" s="71" t="str">
        <f aca="false">IF(AH25="","",P25-N(N25)+AB25+AC25+AD25)</f>
        <v/>
      </c>
      <c r="AF25" s="65"/>
      <c r="AG25" s="64"/>
      <c r="AH25" s="72" t="str">
        <f aca="false">IF(OR(B25="",C25=""),"",C25&amp;"|"&amp;(YEAR(B25)*100+MONTH(B25)))</f>
        <v/>
      </c>
      <c r="AI25" s="70" t="str">
        <f aca="false">IF(AH25="","",IF(COUNTIF(L_CLAVE,AH25)&gt;1,"⚠ Duplicado","OK"))</f>
        <v/>
      </c>
      <c r="AJ25" s="86" t="str">
        <f aca="false">IF(AH25="","",IF(SUMPRODUCT(MAX((IND_PER&lt;=B25)*(IND_UF&lt;&gt;"")*IND_PER))=0,UF_HOY,INDEX(IND_UF,MATCH(SUMPRODUCT(MAX((IND_PER&lt;=B25)*(IND_UF&lt;&gt;"")*IND_PER)),IND_PER,0))))</f>
        <v/>
      </c>
      <c r="AK25" s="87" t="str">
        <f aca="false">IF(AH25="","",IF(COUNTIF(TASA_DESDE,"&lt;="&amp;B25)=0,INDEX(TASA_EMP,1),INDEX(TASA_EMP,COUNTIF(TASA_DESDE,"&lt;="&amp;B25))))</f>
        <v/>
      </c>
    </row>
    <row r="26" customFormat="false" ht="15" hidden="false" customHeight="false" outlineLevel="0" collapsed="false">
      <c r="B26" s="78"/>
      <c r="C26" s="64"/>
      <c r="D26" s="72" t="str">
        <f aca="false">IF(C26="","",IFERROR(INDEX(T_NOMBRE,MATCH(C26,T_ID,0)),"⚠ ID no existe"))</f>
        <v/>
      </c>
      <c r="E26" s="69"/>
      <c r="F26" s="67"/>
      <c r="G26" s="67"/>
      <c r="H26" s="67"/>
      <c r="I26" s="67"/>
      <c r="J26" s="67"/>
      <c r="K26" s="85" t="str">
        <f aca="false">IF(AH26="","",N(F26)+N(G26)+N(H26)-N(I26)+N(J26))</f>
        <v/>
      </c>
      <c r="L26" s="67"/>
      <c r="M26" s="67"/>
      <c r="N26" s="67"/>
      <c r="O26" s="67"/>
      <c r="P26" s="85" t="str">
        <f aca="false">IF(AH26="","",K26+N(L26)+N(M26)+N(N26)+N(O26))</f>
        <v/>
      </c>
      <c r="Q26" s="67"/>
      <c r="R26" s="67"/>
      <c r="S26" s="67"/>
      <c r="T26" s="67"/>
      <c r="U26" s="67"/>
      <c r="V26" s="67"/>
      <c r="W26" s="85" t="str">
        <f aca="false">IF(AH26="","",N(Q26)+N(R26)+N(S26)+N(T26)+N(U26)+N(V26))</f>
        <v/>
      </c>
      <c r="X26" s="85" t="str">
        <f aca="false">IF(AH26="","",P26-W26)</f>
        <v/>
      </c>
      <c r="Y26" s="67"/>
      <c r="Z26" s="70" t="str">
        <f aca="false">IF(OR(AH26="",Y26=""),"",IF(ABS(X26-Y26)&lt;=1,"✓ Cuadra","⚠ Diferencia $"&amp;FIXED(X26-Y26,0)))</f>
        <v/>
      </c>
      <c r="AA26" s="72" t="str">
        <f aca="false">IF(AH26="","",IFERROR(INDEX(C_TIPO,MATCH(C26&amp;"-P"&amp;MAX(1,COUNTIFS(C_ID,C26,C_DEFINE,"Sí",C_INICIO,"&lt;="&amp;EOMONTH(B26,0))),C_CLAVE,0))&amp;"","Sin dato"))</f>
        <v/>
      </c>
      <c r="AB26" s="71" t="str">
        <f aca="false">IF(AH26="","",ROUND(MIN(K26,TOPE_AFP_UF*AJ26)*AK26,0))</f>
        <v/>
      </c>
      <c r="AC26" s="71" t="str">
        <f aca="false">IF(AH26="","",ROUND(MIN(K26,TOPE_AFC_UF*AJ26)*IF(AA26="Indefinido",AFC_EMP_INDEF,AFC_EMP_PF),0))</f>
        <v/>
      </c>
      <c r="AD26" s="71" t="str">
        <f aca="false">IF(AH26="","",ROUND(MIN(K26,TOPE_AFP_UF*AJ26)*(MUTUAL_BASICA+MUTUAL_ADIC+SANNA),0))</f>
        <v/>
      </c>
      <c r="AE26" s="71" t="str">
        <f aca="false">IF(AH26="","",P26-N(N26)+AB26+AC26+AD26)</f>
        <v/>
      </c>
      <c r="AF26" s="65"/>
      <c r="AG26" s="64"/>
      <c r="AH26" s="72" t="str">
        <f aca="false">IF(OR(B26="",C26=""),"",C26&amp;"|"&amp;(YEAR(B26)*100+MONTH(B26)))</f>
        <v/>
      </c>
      <c r="AI26" s="70" t="str">
        <f aca="false">IF(AH26="","",IF(COUNTIF(L_CLAVE,AH26)&gt;1,"⚠ Duplicado","OK"))</f>
        <v/>
      </c>
      <c r="AJ26" s="86" t="str">
        <f aca="false">IF(AH26="","",IF(SUMPRODUCT(MAX((IND_PER&lt;=B26)*(IND_UF&lt;&gt;"")*IND_PER))=0,UF_HOY,INDEX(IND_UF,MATCH(SUMPRODUCT(MAX((IND_PER&lt;=B26)*(IND_UF&lt;&gt;"")*IND_PER)),IND_PER,0))))</f>
        <v/>
      </c>
      <c r="AK26" s="87" t="str">
        <f aca="false">IF(AH26="","",IF(COUNTIF(TASA_DESDE,"&lt;="&amp;B26)=0,INDEX(TASA_EMP,1),INDEX(TASA_EMP,COUNTIF(TASA_DESDE,"&lt;="&amp;B26))))</f>
        <v/>
      </c>
    </row>
    <row r="27" customFormat="false" ht="15" hidden="false" customHeight="false" outlineLevel="0" collapsed="false">
      <c r="B27" s="78"/>
      <c r="C27" s="64"/>
      <c r="D27" s="72" t="str">
        <f aca="false">IF(C27="","",IFERROR(INDEX(T_NOMBRE,MATCH(C27,T_ID,0)),"⚠ ID no existe"))</f>
        <v/>
      </c>
      <c r="E27" s="69"/>
      <c r="F27" s="67"/>
      <c r="G27" s="67"/>
      <c r="H27" s="67"/>
      <c r="I27" s="67"/>
      <c r="J27" s="67"/>
      <c r="K27" s="85" t="str">
        <f aca="false">IF(AH27="","",N(F27)+N(G27)+N(H27)-N(I27)+N(J27))</f>
        <v/>
      </c>
      <c r="L27" s="67"/>
      <c r="M27" s="67"/>
      <c r="N27" s="67"/>
      <c r="O27" s="67"/>
      <c r="P27" s="85" t="str">
        <f aca="false">IF(AH27="","",K27+N(L27)+N(M27)+N(N27)+N(O27))</f>
        <v/>
      </c>
      <c r="Q27" s="67"/>
      <c r="R27" s="67"/>
      <c r="S27" s="67"/>
      <c r="T27" s="67"/>
      <c r="U27" s="67"/>
      <c r="V27" s="67"/>
      <c r="W27" s="85" t="str">
        <f aca="false">IF(AH27="","",N(Q27)+N(R27)+N(S27)+N(T27)+N(U27)+N(V27))</f>
        <v/>
      </c>
      <c r="X27" s="85" t="str">
        <f aca="false">IF(AH27="","",P27-W27)</f>
        <v/>
      </c>
      <c r="Y27" s="67"/>
      <c r="Z27" s="70" t="str">
        <f aca="false">IF(OR(AH27="",Y27=""),"",IF(ABS(X27-Y27)&lt;=1,"✓ Cuadra","⚠ Diferencia $"&amp;FIXED(X27-Y27,0)))</f>
        <v/>
      </c>
      <c r="AA27" s="72" t="str">
        <f aca="false">IF(AH27="","",IFERROR(INDEX(C_TIPO,MATCH(C27&amp;"-P"&amp;MAX(1,COUNTIFS(C_ID,C27,C_DEFINE,"Sí",C_INICIO,"&lt;="&amp;EOMONTH(B27,0))),C_CLAVE,0))&amp;"","Sin dato"))</f>
        <v/>
      </c>
      <c r="AB27" s="71" t="str">
        <f aca="false">IF(AH27="","",ROUND(MIN(K27,TOPE_AFP_UF*AJ27)*AK27,0))</f>
        <v/>
      </c>
      <c r="AC27" s="71" t="str">
        <f aca="false">IF(AH27="","",ROUND(MIN(K27,TOPE_AFC_UF*AJ27)*IF(AA27="Indefinido",AFC_EMP_INDEF,AFC_EMP_PF),0))</f>
        <v/>
      </c>
      <c r="AD27" s="71" t="str">
        <f aca="false">IF(AH27="","",ROUND(MIN(K27,TOPE_AFP_UF*AJ27)*(MUTUAL_BASICA+MUTUAL_ADIC+SANNA),0))</f>
        <v/>
      </c>
      <c r="AE27" s="71" t="str">
        <f aca="false">IF(AH27="","",P27-N(N27)+AB27+AC27+AD27)</f>
        <v/>
      </c>
      <c r="AF27" s="65"/>
      <c r="AG27" s="64"/>
      <c r="AH27" s="72" t="str">
        <f aca="false">IF(OR(B27="",C27=""),"",C27&amp;"|"&amp;(YEAR(B27)*100+MONTH(B27)))</f>
        <v/>
      </c>
      <c r="AI27" s="70" t="str">
        <f aca="false">IF(AH27="","",IF(COUNTIF(L_CLAVE,AH27)&gt;1,"⚠ Duplicado","OK"))</f>
        <v/>
      </c>
      <c r="AJ27" s="86" t="str">
        <f aca="false">IF(AH27="","",IF(SUMPRODUCT(MAX((IND_PER&lt;=B27)*(IND_UF&lt;&gt;"")*IND_PER))=0,UF_HOY,INDEX(IND_UF,MATCH(SUMPRODUCT(MAX((IND_PER&lt;=B27)*(IND_UF&lt;&gt;"")*IND_PER)),IND_PER,0))))</f>
        <v/>
      </c>
      <c r="AK27" s="87" t="str">
        <f aca="false">IF(AH27="","",IF(COUNTIF(TASA_DESDE,"&lt;="&amp;B27)=0,INDEX(TASA_EMP,1),INDEX(TASA_EMP,COUNTIF(TASA_DESDE,"&lt;="&amp;B27))))</f>
        <v/>
      </c>
    </row>
    <row r="28" customFormat="false" ht="15" hidden="false" customHeight="false" outlineLevel="0" collapsed="false">
      <c r="B28" s="78"/>
      <c r="C28" s="64"/>
      <c r="D28" s="72" t="str">
        <f aca="false">IF(C28="","",IFERROR(INDEX(T_NOMBRE,MATCH(C28,T_ID,0)),"⚠ ID no existe"))</f>
        <v/>
      </c>
      <c r="E28" s="69"/>
      <c r="F28" s="67"/>
      <c r="G28" s="67"/>
      <c r="H28" s="67"/>
      <c r="I28" s="67"/>
      <c r="J28" s="67"/>
      <c r="K28" s="85" t="str">
        <f aca="false">IF(AH28="","",N(F28)+N(G28)+N(H28)-N(I28)+N(J28))</f>
        <v/>
      </c>
      <c r="L28" s="67"/>
      <c r="M28" s="67"/>
      <c r="N28" s="67"/>
      <c r="O28" s="67"/>
      <c r="P28" s="85" t="str">
        <f aca="false">IF(AH28="","",K28+N(L28)+N(M28)+N(N28)+N(O28))</f>
        <v/>
      </c>
      <c r="Q28" s="67"/>
      <c r="R28" s="67"/>
      <c r="S28" s="67"/>
      <c r="T28" s="67"/>
      <c r="U28" s="67"/>
      <c r="V28" s="67"/>
      <c r="W28" s="85" t="str">
        <f aca="false">IF(AH28="","",N(Q28)+N(R28)+N(S28)+N(T28)+N(U28)+N(V28))</f>
        <v/>
      </c>
      <c r="X28" s="85" t="str">
        <f aca="false">IF(AH28="","",P28-W28)</f>
        <v/>
      </c>
      <c r="Y28" s="67"/>
      <c r="Z28" s="70" t="str">
        <f aca="false">IF(OR(AH28="",Y28=""),"",IF(ABS(X28-Y28)&lt;=1,"✓ Cuadra","⚠ Diferencia $"&amp;FIXED(X28-Y28,0)))</f>
        <v/>
      </c>
      <c r="AA28" s="72" t="str">
        <f aca="false">IF(AH28="","",IFERROR(INDEX(C_TIPO,MATCH(C28&amp;"-P"&amp;MAX(1,COUNTIFS(C_ID,C28,C_DEFINE,"Sí",C_INICIO,"&lt;="&amp;EOMONTH(B28,0))),C_CLAVE,0))&amp;"","Sin dato"))</f>
        <v/>
      </c>
      <c r="AB28" s="71" t="str">
        <f aca="false">IF(AH28="","",ROUND(MIN(K28,TOPE_AFP_UF*AJ28)*AK28,0))</f>
        <v/>
      </c>
      <c r="AC28" s="71" t="str">
        <f aca="false">IF(AH28="","",ROUND(MIN(K28,TOPE_AFC_UF*AJ28)*IF(AA28="Indefinido",AFC_EMP_INDEF,AFC_EMP_PF),0))</f>
        <v/>
      </c>
      <c r="AD28" s="71" t="str">
        <f aca="false">IF(AH28="","",ROUND(MIN(K28,TOPE_AFP_UF*AJ28)*(MUTUAL_BASICA+MUTUAL_ADIC+SANNA),0))</f>
        <v/>
      </c>
      <c r="AE28" s="71" t="str">
        <f aca="false">IF(AH28="","",P28-N(N28)+AB28+AC28+AD28)</f>
        <v/>
      </c>
      <c r="AF28" s="65"/>
      <c r="AG28" s="64"/>
      <c r="AH28" s="72" t="str">
        <f aca="false">IF(OR(B28="",C28=""),"",C28&amp;"|"&amp;(YEAR(B28)*100+MONTH(B28)))</f>
        <v/>
      </c>
      <c r="AI28" s="70" t="str">
        <f aca="false">IF(AH28="","",IF(COUNTIF(L_CLAVE,AH28)&gt;1,"⚠ Duplicado","OK"))</f>
        <v/>
      </c>
      <c r="AJ28" s="86" t="str">
        <f aca="false">IF(AH28="","",IF(SUMPRODUCT(MAX((IND_PER&lt;=B28)*(IND_UF&lt;&gt;"")*IND_PER))=0,UF_HOY,INDEX(IND_UF,MATCH(SUMPRODUCT(MAX((IND_PER&lt;=B28)*(IND_UF&lt;&gt;"")*IND_PER)),IND_PER,0))))</f>
        <v/>
      </c>
      <c r="AK28" s="87" t="str">
        <f aca="false">IF(AH28="","",IF(COUNTIF(TASA_DESDE,"&lt;="&amp;B28)=0,INDEX(TASA_EMP,1),INDEX(TASA_EMP,COUNTIF(TASA_DESDE,"&lt;="&amp;B28))))</f>
        <v/>
      </c>
    </row>
    <row r="29" customFormat="false" ht="15" hidden="false" customHeight="false" outlineLevel="0" collapsed="false">
      <c r="B29" s="78"/>
      <c r="C29" s="64"/>
      <c r="D29" s="72" t="str">
        <f aca="false">IF(C29="","",IFERROR(INDEX(T_NOMBRE,MATCH(C29,T_ID,0)),"⚠ ID no existe"))</f>
        <v/>
      </c>
      <c r="E29" s="69"/>
      <c r="F29" s="67"/>
      <c r="G29" s="67"/>
      <c r="H29" s="67"/>
      <c r="I29" s="67"/>
      <c r="J29" s="67"/>
      <c r="K29" s="85" t="str">
        <f aca="false">IF(AH29="","",N(F29)+N(G29)+N(H29)-N(I29)+N(J29))</f>
        <v/>
      </c>
      <c r="L29" s="67"/>
      <c r="M29" s="67"/>
      <c r="N29" s="67"/>
      <c r="O29" s="67"/>
      <c r="P29" s="85" t="str">
        <f aca="false">IF(AH29="","",K29+N(L29)+N(M29)+N(N29)+N(O29))</f>
        <v/>
      </c>
      <c r="Q29" s="67"/>
      <c r="R29" s="67"/>
      <c r="S29" s="67"/>
      <c r="T29" s="67"/>
      <c r="U29" s="67"/>
      <c r="V29" s="67"/>
      <c r="W29" s="85" t="str">
        <f aca="false">IF(AH29="","",N(Q29)+N(R29)+N(S29)+N(T29)+N(U29)+N(V29))</f>
        <v/>
      </c>
      <c r="X29" s="85" t="str">
        <f aca="false">IF(AH29="","",P29-W29)</f>
        <v/>
      </c>
      <c r="Y29" s="67"/>
      <c r="Z29" s="70" t="str">
        <f aca="false">IF(OR(AH29="",Y29=""),"",IF(ABS(X29-Y29)&lt;=1,"✓ Cuadra","⚠ Diferencia $"&amp;FIXED(X29-Y29,0)))</f>
        <v/>
      </c>
      <c r="AA29" s="72" t="str">
        <f aca="false">IF(AH29="","",IFERROR(INDEX(C_TIPO,MATCH(C29&amp;"-P"&amp;MAX(1,COUNTIFS(C_ID,C29,C_DEFINE,"Sí",C_INICIO,"&lt;="&amp;EOMONTH(B29,0))),C_CLAVE,0))&amp;"","Sin dato"))</f>
        <v/>
      </c>
      <c r="AB29" s="71" t="str">
        <f aca="false">IF(AH29="","",ROUND(MIN(K29,TOPE_AFP_UF*AJ29)*AK29,0))</f>
        <v/>
      </c>
      <c r="AC29" s="71" t="str">
        <f aca="false">IF(AH29="","",ROUND(MIN(K29,TOPE_AFC_UF*AJ29)*IF(AA29="Indefinido",AFC_EMP_INDEF,AFC_EMP_PF),0))</f>
        <v/>
      </c>
      <c r="AD29" s="71" t="str">
        <f aca="false">IF(AH29="","",ROUND(MIN(K29,TOPE_AFP_UF*AJ29)*(MUTUAL_BASICA+MUTUAL_ADIC+SANNA),0))</f>
        <v/>
      </c>
      <c r="AE29" s="71" t="str">
        <f aca="false">IF(AH29="","",P29-N(N29)+AB29+AC29+AD29)</f>
        <v/>
      </c>
      <c r="AF29" s="65"/>
      <c r="AG29" s="64"/>
      <c r="AH29" s="72" t="str">
        <f aca="false">IF(OR(B29="",C29=""),"",C29&amp;"|"&amp;(YEAR(B29)*100+MONTH(B29)))</f>
        <v/>
      </c>
      <c r="AI29" s="70" t="str">
        <f aca="false">IF(AH29="","",IF(COUNTIF(L_CLAVE,AH29)&gt;1,"⚠ Duplicado","OK"))</f>
        <v/>
      </c>
      <c r="AJ29" s="86" t="str">
        <f aca="false">IF(AH29="","",IF(SUMPRODUCT(MAX((IND_PER&lt;=B29)*(IND_UF&lt;&gt;"")*IND_PER))=0,UF_HOY,INDEX(IND_UF,MATCH(SUMPRODUCT(MAX((IND_PER&lt;=B29)*(IND_UF&lt;&gt;"")*IND_PER)),IND_PER,0))))</f>
        <v/>
      </c>
      <c r="AK29" s="87" t="str">
        <f aca="false">IF(AH29="","",IF(COUNTIF(TASA_DESDE,"&lt;="&amp;B29)=0,INDEX(TASA_EMP,1),INDEX(TASA_EMP,COUNTIF(TASA_DESDE,"&lt;="&amp;B29))))</f>
        <v/>
      </c>
    </row>
    <row r="30" customFormat="false" ht="15" hidden="false" customHeight="false" outlineLevel="0" collapsed="false">
      <c r="B30" s="78"/>
      <c r="C30" s="64"/>
      <c r="D30" s="72" t="str">
        <f aca="false">IF(C30="","",IFERROR(INDEX(T_NOMBRE,MATCH(C30,T_ID,0)),"⚠ ID no existe"))</f>
        <v/>
      </c>
      <c r="E30" s="69"/>
      <c r="F30" s="67"/>
      <c r="G30" s="67"/>
      <c r="H30" s="67"/>
      <c r="I30" s="67"/>
      <c r="J30" s="67"/>
      <c r="K30" s="85" t="str">
        <f aca="false">IF(AH30="","",N(F30)+N(G30)+N(H30)-N(I30)+N(J30))</f>
        <v/>
      </c>
      <c r="L30" s="67"/>
      <c r="M30" s="67"/>
      <c r="N30" s="67"/>
      <c r="O30" s="67"/>
      <c r="P30" s="85" t="str">
        <f aca="false">IF(AH30="","",K30+N(L30)+N(M30)+N(N30)+N(O30))</f>
        <v/>
      </c>
      <c r="Q30" s="67"/>
      <c r="R30" s="67"/>
      <c r="S30" s="67"/>
      <c r="T30" s="67"/>
      <c r="U30" s="67"/>
      <c r="V30" s="67"/>
      <c r="W30" s="85" t="str">
        <f aca="false">IF(AH30="","",N(Q30)+N(R30)+N(S30)+N(T30)+N(U30)+N(V30))</f>
        <v/>
      </c>
      <c r="X30" s="85" t="str">
        <f aca="false">IF(AH30="","",P30-W30)</f>
        <v/>
      </c>
      <c r="Y30" s="67"/>
      <c r="Z30" s="70" t="str">
        <f aca="false">IF(OR(AH30="",Y30=""),"",IF(ABS(X30-Y30)&lt;=1,"✓ Cuadra","⚠ Diferencia $"&amp;FIXED(X30-Y30,0)))</f>
        <v/>
      </c>
      <c r="AA30" s="72" t="str">
        <f aca="false">IF(AH30="","",IFERROR(INDEX(C_TIPO,MATCH(C30&amp;"-P"&amp;MAX(1,COUNTIFS(C_ID,C30,C_DEFINE,"Sí",C_INICIO,"&lt;="&amp;EOMONTH(B30,0))),C_CLAVE,0))&amp;"","Sin dato"))</f>
        <v/>
      </c>
      <c r="AB30" s="71" t="str">
        <f aca="false">IF(AH30="","",ROUND(MIN(K30,TOPE_AFP_UF*AJ30)*AK30,0))</f>
        <v/>
      </c>
      <c r="AC30" s="71" t="str">
        <f aca="false">IF(AH30="","",ROUND(MIN(K30,TOPE_AFC_UF*AJ30)*IF(AA30="Indefinido",AFC_EMP_INDEF,AFC_EMP_PF),0))</f>
        <v/>
      </c>
      <c r="AD30" s="71" t="str">
        <f aca="false">IF(AH30="","",ROUND(MIN(K30,TOPE_AFP_UF*AJ30)*(MUTUAL_BASICA+MUTUAL_ADIC+SANNA),0))</f>
        <v/>
      </c>
      <c r="AE30" s="71" t="str">
        <f aca="false">IF(AH30="","",P30-N(N30)+AB30+AC30+AD30)</f>
        <v/>
      </c>
      <c r="AF30" s="65"/>
      <c r="AG30" s="64"/>
      <c r="AH30" s="72" t="str">
        <f aca="false">IF(OR(B30="",C30=""),"",C30&amp;"|"&amp;(YEAR(B30)*100+MONTH(B30)))</f>
        <v/>
      </c>
      <c r="AI30" s="70" t="str">
        <f aca="false">IF(AH30="","",IF(COUNTIF(L_CLAVE,AH30)&gt;1,"⚠ Duplicado","OK"))</f>
        <v/>
      </c>
      <c r="AJ30" s="86" t="str">
        <f aca="false">IF(AH30="","",IF(SUMPRODUCT(MAX((IND_PER&lt;=B30)*(IND_UF&lt;&gt;"")*IND_PER))=0,UF_HOY,INDEX(IND_UF,MATCH(SUMPRODUCT(MAX((IND_PER&lt;=B30)*(IND_UF&lt;&gt;"")*IND_PER)),IND_PER,0))))</f>
        <v/>
      </c>
      <c r="AK30" s="87" t="str">
        <f aca="false">IF(AH30="","",IF(COUNTIF(TASA_DESDE,"&lt;="&amp;B30)=0,INDEX(TASA_EMP,1),INDEX(TASA_EMP,COUNTIF(TASA_DESDE,"&lt;="&amp;B30))))</f>
        <v/>
      </c>
    </row>
    <row r="31" customFormat="false" ht="15" hidden="false" customHeight="false" outlineLevel="0" collapsed="false">
      <c r="B31" s="78"/>
      <c r="C31" s="64"/>
      <c r="D31" s="72" t="str">
        <f aca="false">IF(C31="","",IFERROR(INDEX(T_NOMBRE,MATCH(C31,T_ID,0)),"⚠ ID no existe"))</f>
        <v/>
      </c>
      <c r="E31" s="69"/>
      <c r="F31" s="67"/>
      <c r="G31" s="67"/>
      <c r="H31" s="67"/>
      <c r="I31" s="67"/>
      <c r="J31" s="67"/>
      <c r="K31" s="85" t="str">
        <f aca="false">IF(AH31="","",N(F31)+N(G31)+N(H31)-N(I31)+N(J31))</f>
        <v/>
      </c>
      <c r="L31" s="67"/>
      <c r="M31" s="67"/>
      <c r="N31" s="67"/>
      <c r="O31" s="67"/>
      <c r="P31" s="85" t="str">
        <f aca="false">IF(AH31="","",K31+N(L31)+N(M31)+N(N31)+N(O31))</f>
        <v/>
      </c>
      <c r="Q31" s="67"/>
      <c r="R31" s="67"/>
      <c r="S31" s="67"/>
      <c r="T31" s="67"/>
      <c r="U31" s="67"/>
      <c r="V31" s="67"/>
      <c r="W31" s="85" t="str">
        <f aca="false">IF(AH31="","",N(Q31)+N(R31)+N(S31)+N(T31)+N(U31)+N(V31))</f>
        <v/>
      </c>
      <c r="X31" s="85" t="str">
        <f aca="false">IF(AH31="","",P31-W31)</f>
        <v/>
      </c>
      <c r="Y31" s="67"/>
      <c r="Z31" s="70" t="str">
        <f aca="false">IF(OR(AH31="",Y31=""),"",IF(ABS(X31-Y31)&lt;=1,"✓ Cuadra","⚠ Diferencia $"&amp;FIXED(X31-Y31,0)))</f>
        <v/>
      </c>
      <c r="AA31" s="72" t="str">
        <f aca="false">IF(AH31="","",IFERROR(INDEX(C_TIPO,MATCH(C31&amp;"-P"&amp;MAX(1,COUNTIFS(C_ID,C31,C_DEFINE,"Sí",C_INICIO,"&lt;="&amp;EOMONTH(B31,0))),C_CLAVE,0))&amp;"","Sin dato"))</f>
        <v/>
      </c>
      <c r="AB31" s="71" t="str">
        <f aca="false">IF(AH31="","",ROUND(MIN(K31,TOPE_AFP_UF*AJ31)*AK31,0))</f>
        <v/>
      </c>
      <c r="AC31" s="71" t="str">
        <f aca="false">IF(AH31="","",ROUND(MIN(K31,TOPE_AFC_UF*AJ31)*IF(AA31="Indefinido",AFC_EMP_INDEF,AFC_EMP_PF),0))</f>
        <v/>
      </c>
      <c r="AD31" s="71" t="str">
        <f aca="false">IF(AH31="","",ROUND(MIN(K31,TOPE_AFP_UF*AJ31)*(MUTUAL_BASICA+MUTUAL_ADIC+SANNA),0))</f>
        <v/>
      </c>
      <c r="AE31" s="71" t="str">
        <f aca="false">IF(AH31="","",P31-N(N31)+AB31+AC31+AD31)</f>
        <v/>
      </c>
      <c r="AF31" s="65"/>
      <c r="AG31" s="64"/>
      <c r="AH31" s="72" t="str">
        <f aca="false">IF(OR(B31="",C31=""),"",C31&amp;"|"&amp;(YEAR(B31)*100+MONTH(B31)))</f>
        <v/>
      </c>
      <c r="AI31" s="70" t="str">
        <f aca="false">IF(AH31="","",IF(COUNTIF(L_CLAVE,AH31)&gt;1,"⚠ Duplicado","OK"))</f>
        <v/>
      </c>
      <c r="AJ31" s="86" t="str">
        <f aca="false">IF(AH31="","",IF(SUMPRODUCT(MAX((IND_PER&lt;=B31)*(IND_UF&lt;&gt;"")*IND_PER))=0,UF_HOY,INDEX(IND_UF,MATCH(SUMPRODUCT(MAX((IND_PER&lt;=B31)*(IND_UF&lt;&gt;"")*IND_PER)),IND_PER,0))))</f>
        <v/>
      </c>
      <c r="AK31" s="87" t="str">
        <f aca="false">IF(AH31="","",IF(COUNTIF(TASA_DESDE,"&lt;="&amp;B31)=0,INDEX(TASA_EMP,1),INDEX(TASA_EMP,COUNTIF(TASA_DESDE,"&lt;="&amp;B31))))</f>
        <v/>
      </c>
    </row>
    <row r="32" customFormat="false" ht="15" hidden="false" customHeight="false" outlineLevel="0" collapsed="false">
      <c r="B32" s="78"/>
      <c r="C32" s="64"/>
      <c r="D32" s="72" t="str">
        <f aca="false">IF(C32="","",IFERROR(INDEX(T_NOMBRE,MATCH(C32,T_ID,0)),"⚠ ID no existe"))</f>
        <v/>
      </c>
      <c r="E32" s="69"/>
      <c r="F32" s="67"/>
      <c r="G32" s="67"/>
      <c r="H32" s="67"/>
      <c r="I32" s="67"/>
      <c r="J32" s="67"/>
      <c r="K32" s="85" t="str">
        <f aca="false">IF(AH32="","",N(F32)+N(G32)+N(H32)-N(I32)+N(J32))</f>
        <v/>
      </c>
      <c r="L32" s="67"/>
      <c r="M32" s="67"/>
      <c r="N32" s="67"/>
      <c r="O32" s="67"/>
      <c r="P32" s="85" t="str">
        <f aca="false">IF(AH32="","",K32+N(L32)+N(M32)+N(N32)+N(O32))</f>
        <v/>
      </c>
      <c r="Q32" s="67"/>
      <c r="R32" s="67"/>
      <c r="S32" s="67"/>
      <c r="T32" s="67"/>
      <c r="U32" s="67"/>
      <c r="V32" s="67"/>
      <c r="W32" s="85" t="str">
        <f aca="false">IF(AH32="","",N(Q32)+N(R32)+N(S32)+N(T32)+N(U32)+N(V32))</f>
        <v/>
      </c>
      <c r="X32" s="85" t="str">
        <f aca="false">IF(AH32="","",P32-W32)</f>
        <v/>
      </c>
      <c r="Y32" s="67"/>
      <c r="Z32" s="70" t="str">
        <f aca="false">IF(OR(AH32="",Y32=""),"",IF(ABS(X32-Y32)&lt;=1,"✓ Cuadra","⚠ Diferencia $"&amp;FIXED(X32-Y32,0)))</f>
        <v/>
      </c>
      <c r="AA32" s="72" t="str">
        <f aca="false">IF(AH32="","",IFERROR(INDEX(C_TIPO,MATCH(C32&amp;"-P"&amp;MAX(1,COUNTIFS(C_ID,C32,C_DEFINE,"Sí",C_INICIO,"&lt;="&amp;EOMONTH(B32,0))),C_CLAVE,0))&amp;"","Sin dato"))</f>
        <v/>
      </c>
      <c r="AB32" s="71" t="str">
        <f aca="false">IF(AH32="","",ROUND(MIN(K32,TOPE_AFP_UF*AJ32)*AK32,0))</f>
        <v/>
      </c>
      <c r="AC32" s="71" t="str">
        <f aca="false">IF(AH32="","",ROUND(MIN(K32,TOPE_AFC_UF*AJ32)*IF(AA32="Indefinido",AFC_EMP_INDEF,AFC_EMP_PF),0))</f>
        <v/>
      </c>
      <c r="AD32" s="71" t="str">
        <f aca="false">IF(AH32="","",ROUND(MIN(K32,TOPE_AFP_UF*AJ32)*(MUTUAL_BASICA+MUTUAL_ADIC+SANNA),0))</f>
        <v/>
      </c>
      <c r="AE32" s="71" t="str">
        <f aca="false">IF(AH32="","",P32-N(N32)+AB32+AC32+AD32)</f>
        <v/>
      </c>
      <c r="AF32" s="65"/>
      <c r="AG32" s="64"/>
      <c r="AH32" s="72" t="str">
        <f aca="false">IF(OR(B32="",C32=""),"",C32&amp;"|"&amp;(YEAR(B32)*100+MONTH(B32)))</f>
        <v/>
      </c>
      <c r="AI32" s="70" t="str">
        <f aca="false">IF(AH32="","",IF(COUNTIF(L_CLAVE,AH32)&gt;1,"⚠ Duplicado","OK"))</f>
        <v/>
      </c>
      <c r="AJ32" s="86" t="str">
        <f aca="false">IF(AH32="","",IF(SUMPRODUCT(MAX((IND_PER&lt;=B32)*(IND_UF&lt;&gt;"")*IND_PER))=0,UF_HOY,INDEX(IND_UF,MATCH(SUMPRODUCT(MAX((IND_PER&lt;=B32)*(IND_UF&lt;&gt;"")*IND_PER)),IND_PER,0))))</f>
        <v/>
      </c>
      <c r="AK32" s="87" t="str">
        <f aca="false">IF(AH32="","",IF(COUNTIF(TASA_DESDE,"&lt;="&amp;B32)=0,INDEX(TASA_EMP,1),INDEX(TASA_EMP,COUNTIF(TASA_DESDE,"&lt;="&amp;B32))))</f>
        <v/>
      </c>
    </row>
    <row r="33" customFormat="false" ht="15" hidden="false" customHeight="false" outlineLevel="0" collapsed="false">
      <c r="B33" s="78"/>
      <c r="C33" s="64"/>
      <c r="D33" s="72" t="str">
        <f aca="false">IF(C33="","",IFERROR(INDEX(T_NOMBRE,MATCH(C33,T_ID,0)),"⚠ ID no existe"))</f>
        <v/>
      </c>
      <c r="E33" s="69"/>
      <c r="F33" s="67"/>
      <c r="G33" s="67"/>
      <c r="H33" s="67"/>
      <c r="I33" s="67"/>
      <c r="J33" s="67"/>
      <c r="K33" s="85" t="str">
        <f aca="false">IF(AH33="","",N(F33)+N(G33)+N(H33)-N(I33)+N(J33))</f>
        <v/>
      </c>
      <c r="L33" s="67"/>
      <c r="M33" s="67"/>
      <c r="N33" s="67"/>
      <c r="O33" s="67"/>
      <c r="P33" s="85" t="str">
        <f aca="false">IF(AH33="","",K33+N(L33)+N(M33)+N(N33)+N(O33))</f>
        <v/>
      </c>
      <c r="Q33" s="67"/>
      <c r="R33" s="67"/>
      <c r="S33" s="67"/>
      <c r="T33" s="67"/>
      <c r="U33" s="67"/>
      <c r="V33" s="67"/>
      <c r="W33" s="85" t="str">
        <f aca="false">IF(AH33="","",N(Q33)+N(R33)+N(S33)+N(T33)+N(U33)+N(V33))</f>
        <v/>
      </c>
      <c r="X33" s="85" t="str">
        <f aca="false">IF(AH33="","",P33-W33)</f>
        <v/>
      </c>
      <c r="Y33" s="67"/>
      <c r="Z33" s="70" t="str">
        <f aca="false">IF(OR(AH33="",Y33=""),"",IF(ABS(X33-Y33)&lt;=1,"✓ Cuadra","⚠ Diferencia $"&amp;FIXED(X33-Y33,0)))</f>
        <v/>
      </c>
      <c r="AA33" s="72" t="str">
        <f aca="false">IF(AH33="","",IFERROR(INDEX(C_TIPO,MATCH(C33&amp;"-P"&amp;MAX(1,COUNTIFS(C_ID,C33,C_DEFINE,"Sí",C_INICIO,"&lt;="&amp;EOMONTH(B33,0))),C_CLAVE,0))&amp;"","Sin dato"))</f>
        <v/>
      </c>
      <c r="AB33" s="71" t="str">
        <f aca="false">IF(AH33="","",ROUND(MIN(K33,TOPE_AFP_UF*AJ33)*AK33,0))</f>
        <v/>
      </c>
      <c r="AC33" s="71" t="str">
        <f aca="false">IF(AH33="","",ROUND(MIN(K33,TOPE_AFC_UF*AJ33)*IF(AA33="Indefinido",AFC_EMP_INDEF,AFC_EMP_PF),0))</f>
        <v/>
      </c>
      <c r="AD33" s="71" t="str">
        <f aca="false">IF(AH33="","",ROUND(MIN(K33,TOPE_AFP_UF*AJ33)*(MUTUAL_BASICA+MUTUAL_ADIC+SANNA),0))</f>
        <v/>
      </c>
      <c r="AE33" s="71" t="str">
        <f aca="false">IF(AH33="","",P33-N(N33)+AB33+AC33+AD33)</f>
        <v/>
      </c>
      <c r="AF33" s="65"/>
      <c r="AG33" s="64"/>
      <c r="AH33" s="72" t="str">
        <f aca="false">IF(OR(B33="",C33=""),"",C33&amp;"|"&amp;(YEAR(B33)*100+MONTH(B33)))</f>
        <v/>
      </c>
      <c r="AI33" s="70" t="str">
        <f aca="false">IF(AH33="","",IF(COUNTIF(L_CLAVE,AH33)&gt;1,"⚠ Duplicado","OK"))</f>
        <v/>
      </c>
      <c r="AJ33" s="86" t="str">
        <f aca="false">IF(AH33="","",IF(SUMPRODUCT(MAX((IND_PER&lt;=B33)*(IND_UF&lt;&gt;"")*IND_PER))=0,UF_HOY,INDEX(IND_UF,MATCH(SUMPRODUCT(MAX((IND_PER&lt;=B33)*(IND_UF&lt;&gt;"")*IND_PER)),IND_PER,0))))</f>
        <v/>
      </c>
      <c r="AK33" s="87" t="str">
        <f aca="false">IF(AH33="","",IF(COUNTIF(TASA_DESDE,"&lt;="&amp;B33)=0,INDEX(TASA_EMP,1),INDEX(TASA_EMP,COUNTIF(TASA_DESDE,"&lt;="&amp;B33))))</f>
        <v/>
      </c>
    </row>
    <row r="34" customFormat="false" ht="15" hidden="false" customHeight="false" outlineLevel="0" collapsed="false">
      <c r="B34" s="78"/>
      <c r="C34" s="64"/>
      <c r="D34" s="72" t="str">
        <f aca="false">IF(C34="","",IFERROR(INDEX(T_NOMBRE,MATCH(C34,T_ID,0)),"⚠ ID no existe"))</f>
        <v/>
      </c>
      <c r="E34" s="69"/>
      <c r="F34" s="67"/>
      <c r="G34" s="67"/>
      <c r="H34" s="67"/>
      <c r="I34" s="67"/>
      <c r="J34" s="67"/>
      <c r="K34" s="85" t="str">
        <f aca="false">IF(AH34="","",N(F34)+N(G34)+N(H34)-N(I34)+N(J34))</f>
        <v/>
      </c>
      <c r="L34" s="67"/>
      <c r="M34" s="67"/>
      <c r="N34" s="67"/>
      <c r="O34" s="67"/>
      <c r="P34" s="85" t="str">
        <f aca="false">IF(AH34="","",K34+N(L34)+N(M34)+N(N34)+N(O34))</f>
        <v/>
      </c>
      <c r="Q34" s="67"/>
      <c r="R34" s="67"/>
      <c r="S34" s="67"/>
      <c r="T34" s="67"/>
      <c r="U34" s="67"/>
      <c r="V34" s="67"/>
      <c r="W34" s="85" t="str">
        <f aca="false">IF(AH34="","",N(Q34)+N(R34)+N(S34)+N(T34)+N(U34)+N(V34))</f>
        <v/>
      </c>
      <c r="X34" s="85" t="str">
        <f aca="false">IF(AH34="","",P34-W34)</f>
        <v/>
      </c>
      <c r="Y34" s="67"/>
      <c r="Z34" s="70" t="str">
        <f aca="false">IF(OR(AH34="",Y34=""),"",IF(ABS(X34-Y34)&lt;=1,"✓ Cuadra","⚠ Diferencia $"&amp;FIXED(X34-Y34,0)))</f>
        <v/>
      </c>
      <c r="AA34" s="72" t="str">
        <f aca="false">IF(AH34="","",IFERROR(INDEX(C_TIPO,MATCH(C34&amp;"-P"&amp;MAX(1,COUNTIFS(C_ID,C34,C_DEFINE,"Sí",C_INICIO,"&lt;="&amp;EOMONTH(B34,0))),C_CLAVE,0))&amp;"","Sin dato"))</f>
        <v/>
      </c>
      <c r="AB34" s="71" t="str">
        <f aca="false">IF(AH34="","",ROUND(MIN(K34,TOPE_AFP_UF*AJ34)*AK34,0))</f>
        <v/>
      </c>
      <c r="AC34" s="71" t="str">
        <f aca="false">IF(AH34="","",ROUND(MIN(K34,TOPE_AFC_UF*AJ34)*IF(AA34="Indefinido",AFC_EMP_INDEF,AFC_EMP_PF),0))</f>
        <v/>
      </c>
      <c r="AD34" s="71" t="str">
        <f aca="false">IF(AH34="","",ROUND(MIN(K34,TOPE_AFP_UF*AJ34)*(MUTUAL_BASICA+MUTUAL_ADIC+SANNA),0))</f>
        <v/>
      </c>
      <c r="AE34" s="71" t="str">
        <f aca="false">IF(AH34="","",P34-N(N34)+AB34+AC34+AD34)</f>
        <v/>
      </c>
      <c r="AF34" s="65"/>
      <c r="AG34" s="64"/>
      <c r="AH34" s="72" t="str">
        <f aca="false">IF(OR(B34="",C34=""),"",C34&amp;"|"&amp;(YEAR(B34)*100+MONTH(B34)))</f>
        <v/>
      </c>
      <c r="AI34" s="70" t="str">
        <f aca="false">IF(AH34="","",IF(COUNTIF(L_CLAVE,AH34)&gt;1,"⚠ Duplicado","OK"))</f>
        <v/>
      </c>
      <c r="AJ34" s="86" t="str">
        <f aca="false">IF(AH34="","",IF(SUMPRODUCT(MAX((IND_PER&lt;=B34)*(IND_UF&lt;&gt;"")*IND_PER))=0,UF_HOY,INDEX(IND_UF,MATCH(SUMPRODUCT(MAX((IND_PER&lt;=B34)*(IND_UF&lt;&gt;"")*IND_PER)),IND_PER,0))))</f>
        <v/>
      </c>
      <c r="AK34" s="87" t="str">
        <f aca="false">IF(AH34="","",IF(COUNTIF(TASA_DESDE,"&lt;="&amp;B34)=0,INDEX(TASA_EMP,1),INDEX(TASA_EMP,COUNTIF(TASA_DESDE,"&lt;="&amp;B34))))</f>
        <v/>
      </c>
    </row>
    <row r="35" customFormat="false" ht="15" hidden="false" customHeight="false" outlineLevel="0" collapsed="false">
      <c r="B35" s="78"/>
      <c r="C35" s="64"/>
      <c r="D35" s="72" t="str">
        <f aca="false">IF(C35="","",IFERROR(INDEX(T_NOMBRE,MATCH(C35,T_ID,0)),"⚠ ID no existe"))</f>
        <v/>
      </c>
      <c r="E35" s="69"/>
      <c r="F35" s="67"/>
      <c r="G35" s="67"/>
      <c r="H35" s="67"/>
      <c r="I35" s="67"/>
      <c r="J35" s="67"/>
      <c r="K35" s="85" t="str">
        <f aca="false">IF(AH35="","",N(F35)+N(G35)+N(H35)-N(I35)+N(J35))</f>
        <v/>
      </c>
      <c r="L35" s="67"/>
      <c r="M35" s="67"/>
      <c r="N35" s="67"/>
      <c r="O35" s="67"/>
      <c r="P35" s="85" t="str">
        <f aca="false">IF(AH35="","",K35+N(L35)+N(M35)+N(N35)+N(O35))</f>
        <v/>
      </c>
      <c r="Q35" s="67"/>
      <c r="R35" s="67"/>
      <c r="S35" s="67"/>
      <c r="T35" s="67"/>
      <c r="U35" s="67"/>
      <c r="V35" s="67"/>
      <c r="W35" s="85" t="str">
        <f aca="false">IF(AH35="","",N(Q35)+N(R35)+N(S35)+N(T35)+N(U35)+N(V35))</f>
        <v/>
      </c>
      <c r="X35" s="85" t="str">
        <f aca="false">IF(AH35="","",P35-W35)</f>
        <v/>
      </c>
      <c r="Y35" s="67"/>
      <c r="Z35" s="70" t="str">
        <f aca="false">IF(OR(AH35="",Y35=""),"",IF(ABS(X35-Y35)&lt;=1,"✓ Cuadra","⚠ Diferencia $"&amp;FIXED(X35-Y35,0)))</f>
        <v/>
      </c>
      <c r="AA35" s="72" t="str">
        <f aca="false">IF(AH35="","",IFERROR(INDEX(C_TIPO,MATCH(C35&amp;"-P"&amp;MAX(1,COUNTIFS(C_ID,C35,C_DEFINE,"Sí",C_INICIO,"&lt;="&amp;EOMONTH(B35,0))),C_CLAVE,0))&amp;"","Sin dato"))</f>
        <v/>
      </c>
      <c r="AB35" s="71" t="str">
        <f aca="false">IF(AH35="","",ROUND(MIN(K35,TOPE_AFP_UF*AJ35)*AK35,0))</f>
        <v/>
      </c>
      <c r="AC35" s="71" t="str">
        <f aca="false">IF(AH35="","",ROUND(MIN(K35,TOPE_AFC_UF*AJ35)*IF(AA35="Indefinido",AFC_EMP_INDEF,AFC_EMP_PF),0))</f>
        <v/>
      </c>
      <c r="AD35" s="71" t="str">
        <f aca="false">IF(AH35="","",ROUND(MIN(K35,TOPE_AFP_UF*AJ35)*(MUTUAL_BASICA+MUTUAL_ADIC+SANNA),0))</f>
        <v/>
      </c>
      <c r="AE35" s="71" t="str">
        <f aca="false">IF(AH35="","",P35-N(N35)+AB35+AC35+AD35)</f>
        <v/>
      </c>
      <c r="AF35" s="65"/>
      <c r="AG35" s="64"/>
      <c r="AH35" s="72" t="str">
        <f aca="false">IF(OR(B35="",C35=""),"",C35&amp;"|"&amp;(YEAR(B35)*100+MONTH(B35)))</f>
        <v/>
      </c>
      <c r="AI35" s="70" t="str">
        <f aca="false">IF(AH35="","",IF(COUNTIF(L_CLAVE,AH35)&gt;1,"⚠ Duplicado","OK"))</f>
        <v/>
      </c>
      <c r="AJ35" s="86" t="str">
        <f aca="false">IF(AH35="","",IF(SUMPRODUCT(MAX((IND_PER&lt;=B35)*(IND_UF&lt;&gt;"")*IND_PER))=0,UF_HOY,INDEX(IND_UF,MATCH(SUMPRODUCT(MAX((IND_PER&lt;=B35)*(IND_UF&lt;&gt;"")*IND_PER)),IND_PER,0))))</f>
        <v/>
      </c>
      <c r="AK35" s="87" t="str">
        <f aca="false">IF(AH35="","",IF(COUNTIF(TASA_DESDE,"&lt;="&amp;B35)=0,INDEX(TASA_EMP,1),INDEX(TASA_EMP,COUNTIF(TASA_DESDE,"&lt;="&amp;B35))))</f>
        <v/>
      </c>
    </row>
    <row r="36" customFormat="false" ht="15" hidden="false" customHeight="false" outlineLevel="0" collapsed="false">
      <c r="B36" s="78"/>
      <c r="C36" s="64"/>
      <c r="D36" s="72" t="str">
        <f aca="false">IF(C36="","",IFERROR(INDEX(T_NOMBRE,MATCH(C36,T_ID,0)),"⚠ ID no existe"))</f>
        <v/>
      </c>
      <c r="E36" s="69"/>
      <c r="F36" s="67"/>
      <c r="G36" s="67"/>
      <c r="H36" s="67"/>
      <c r="I36" s="67"/>
      <c r="J36" s="67"/>
      <c r="K36" s="85" t="str">
        <f aca="false">IF(AH36="","",N(F36)+N(G36)+N(H36)-N(I36)+N(J36))</f>
        <v/>
      </c>
      <c r="L36" s="67"/>
      <c r="M36" s="67"/>
      <c r="N36" s="67"/>
      <c r="O36" s="67"/>
      <c r="P36" s="85" t="str">
        <f aca="false">IF(AH36="","",K36+N(L36)+N(M36)+N(N36)+N(O36))</f>
        <v/>
      </c>
      <c r="Q36" s="67"/>
      <c r="R36" s="67"/>
      <c r="S36" s="67"/>
      <c r="T36" s="67"/>
      <c r="U36" s="67"/>
      <c r="V36" s="67"/>
      <c r="W36" s="85" t="str">
        <f aca="false">IF(AH36="","",N(Q36)+N(R36)+N(S36)+N(T36)+N(U36)+N(V36))</f>
        <v/>
      </c>
      <c r="X36" s="85" t="str">
        <f aca="false">IF(AH36="","",P36-W36)</f>
        <v/>
      </c>
      <c r="Y36" s="67"/>
      <c r="Z36" s="70" t="str">
        <f aca="false">IF(OR(AH36="",Y36=""),"",IF(ABS(X36-Y36)&lt;=1,"✓ Cuadra","⚠ Diferencia $"&amp;FIXED(X36-Y36,0)))</f>
        <v/>
      </c>
      <c r="AA36" s="72" t="str">
        <f aca="false">IF(AH36="","",IFERROR(INDEX(C_TIPO,MATCH(C36&amp;"-P"&amp;MAX(1,COUNTIFS(C_ID,C36,C_DEFINE,"Sí",C_INICIO,"&lt;="&amp;EOMONTH(B36,0))),C_CLAVE,0))&amp;"","Sin dato"))</f>
        <v/>
      </c>
      <c r="AB36" s="71" t="str">
        <f aca="false">IF(AH36="","",ROUND(MIN(K36,TOPE_AFP_UF*AJ36)*AK36,0))</f>
        <v/>
      </c>
      <c r="AC36" s="71" t="str">
        <f aca="false">IF(AH36="","",ROUND(MIN(K36,TOPE_AFC_UF*AJ36)*IF(AA36="Indefinido",AFC_EMP_INDEF,AFC_EMP_PF),0))</f>
        <v/>
      </c>
      <c r="AD36" s="71" t="str">
        <f aca="false">IF(AH36="","",ROUND(MIN(K36,TOPE_AFP_UF*AJ36)*(MUTUAL_BASICA+MUTUAL_ADIC+SANNA),0))</f>
        <v/>
      </c>
      <c r="AE36" s="71" t="str">
        <f aca="false">IF(AH36="","",P36-N(N36)+AB36+AC36+AD36)</f>
        <v/>
      </c>
      <c r="AF36" s="65"/>
      <c r="AG36" s="64"/>
      <c r="AH36" s="72" t="str">
        <f aca="false">IF(OR(B36="",C36=""),"",C36&amp;"|"&amp;(YEAR(B36)*100+MONTH(B36)))</f>
        <v/>
      </c>
      <c r="AI36" s="70" t="str">
        <f aca="false">IF(AH36="","",IF(COUNTIF(L_CLAVE,AH36)&gt;1,"⚠ Duplicado","OK"))</f>
        <v/>
      </c>
      <c r="AJ36" s="86" t="str">
        <f aca="false">IF(AH36="","",IF(SUMPRODUCT(MAX((IND_PER&lt;=B36)*(IND_UF&lt;&gt;"")*IND_PER))=0,UF_HOY,INDEX(IND_UF,MATCH(SUMPRODUCT(MAX((IND_PER&lt;=B36)*(IND_UF&lt;&gt;"")*IND_PER)),IND_PER,0))))</f>
        <v/>
      </c>
      <c r="AK36" s="87" t="str">
        <f aca="false">IF(AH36="","",IF(COUNTIF(TASA_DESDE,"&lt;="&amp;B36)=0,INDEX(TASA_EMP,1),INDEX(TASA_EMP,COUNTIF(TASA_DESDE,"&lt;="&amp;B36))))</f>
        <v/>
      </c>
    </row>
    <row r="37" customFormat="false" ht="15" hidden="false" customHeight="false" outlineLevel="0" collapsed="false">
      <c r="B37" s="78"/>
      <c r="C37" s="64"/>
      <c r="D37" s="72" t="str">
        <f aca="false">IF(C37="","",IFERROR(INDEX(T_NOMBRE,MATCH(C37,T_ID,0)),"⚠ ID no existe"))</f>
        <v/>
      </c>
      <c r="E37" s="69"/>
      <c r="F37" s="67"/>
      <c r="G37" s="67"/>
      <c r="H37" s="67"/>
      <c r="I37" s="67"/>
      <c r="J37" s="67"/>
      <c r="K37" s="85" t="str">
        <f aca="false">IF(AH37="","",N(F37)+N(G37)+N(H37)-N(I37)+N(J37))</f>
        <v/>
      </c>
      <c r="L37" s="67"/>
      <c r="M37" s="67"/>
      <c r="N37" s="67"/>
      <c r="O37" s="67"/>
      <c r="P37" s="85" t="str">
        <f aca="false">IF(AH37="","",K37+N(L37)+N(M37)+N(N37)+N(O37))</f>
        <v/>
      </c>
      <c r="Q37" s="67"/>
      <c r="R37" s="67"/>
      <c r="S37" s="67"/>
      <c r="T37" s="67"/>
      <c r="U37" s="67"/>
      <c r="V37" s="67"/>
      <c r="W37" s="85" t="str">
        <f aca="false">IF(AH37="","",N(Q37)+N(R37)+N(S37)+N(T37)+N(U37)+N(V37))</f>
        <v/>
      </c>
      <c r="X37" s="85" t="str">
        <f aca="false">IF(AH37="","",P37-W37)</f>
        <v/>
      </c>
      <c r="Y37" s="67"/>
      <c r="Z37" s="70" t="str">
        <f aca="false">IF(OR(AH37="",Y37=""),"",IF(ABS(X37-Y37)&lt;=1,"✓ Cuadra","⚠ Diferencia $"&amp;FIXED(X37-Y37,0)))</f>
        <v/>
      </c>
      <c r="AA37" s="72" t="str">
        <f aca="false">IF(AH37="","",IFERROR(INDEX(C_TIPO,MATCH(C37&amp;"-P"&amp;MAX(1,COUNTIFS(C_ID,C37,C_DEFINE,"Sí",C_INICIO,"&lt;="&amp;EOMONTH(B37,0))),C_CLAVE,0))&amp;"","Sin dato"))</f>
        <v/>
      </c>
      <c r="AB37" s="71" t="str">
        <f aca="false">IF(AH37="","",ROUND(MIN(K37,TOPE_AFP_UF*AJ37)*AK37,0))</f>
        <v/>
      </c>
      <c r="AC37" s="71" t="str">
        <f aca="false">IF(AH37="","",ROUND(MIN(K37,TOPE_AFC_UF*AJ37)*IF(AA37="Indefinido",AFC_EMP_INDEF,AFC_EMP_PF),0))</f>
        <v/>
      </c>
      <c r="AD37" s="71" t="str">
        <f aca="false">IF(AH37="","",ROUND(MIN(K37,TOPE_AFP_UF*AJ37)*(MUTUAL_BASICA+MUTUAL_ADIC+SANNA),0))</f>
        <v/>
      </c>
      <c r="AE37" s="71" t="str">
        <f aca="false">IF(AH37="","",P37-N(N37)+AB37+AC37+AD37)</f>
        <v/>
      </c>
      <c r="AF37" s="65"/>
      <c r="AG37" s="64"/>
      <c r="AH37" s="72" t="str">
        <f aca="false">IF(OR(B37="",C37=""),"",C37&amp;"|"&amp;(YEAR(B37)*100+MONTH(B37)))</f>
        <v/>
      </c>
      <c r="AI37" s="70" t="str">
        <f aca="false">IF(AH37="","",IF(COUNTIF(L_CLAVE,AH37)&gt;1,"⚠ Duplicado","OK"))</f>
        <v/>
      </c>
      <c r="AJ37" s="86" t="str">
        <f aca="false">IF(AH37="","",IF(SUMPRODUCT(MAX((IND_PER&lt;=B37)*(IND_UF&lt;&gt;"")*IND_PER))=0,UF_HOY,INDEX(IND_UF,MATCH(SUMPRODUCT(MAX((IND_PER&lt;=B37)*(IND_UF&lt;&gt;"")*IND_PER)),IND_PER,0))))</f>
        <v/>
      </c>
      <c r="AK37" s="87" t="str">
        <f aca="false">IF(AH37="","",IF(COUNTIF(TASA_DESDE,"&lt;="&amp;B37)=0,INDEX(TASA_EMP,1),INDEX(TASA_EMP,COUNTIF(TASA_DESDE,"&lt;="&amp;B37))))</f>
        <v/>
      </c>
    </row>
    <row r="38" customFormat="false" ht="15" hidden="false" customHeight="false" outlineLevel="0" collapsed="false">
      <c r="B38" s="78"/>
      <c r="C38" s="64"/>
      <c r="D38" s="72" t="str">
        <f aca="false">IF(C38="","",IFERROR(INDEX(T_NOMBRE,MATCH(C38,T_ID,0)),"⚠ ID no existe"))</f>
        <v/>
      </c>
      <c r="E38" s="69"/>
      <c r="F38" s="67"/>
      <c r="G38" s="67"/>
      <c r="H38" s="67"/>
      <c r="I38" s="67"/>
      <c r="J38" s="67"/>
      <c r="K38" s="85" t="str">
        <f aca="false">IF(AH38="","",N(F38)+N(G38)+N(H38)-N(I38)+N(J38))</f>
        <v/>
      </c>
      <c r="L38" s="67"/>
      <c r="M38" s="67"/>
      <c r="N38" s="67"/>
      <c r="O38" s="67"/>
      <c r="P38" s="85" t="str">
        <f aca="false">IF(AH38="","",K38+N(L38)+N(M38)+N(N38)+N(O38))</f>
        <v/>
      </c>
      <c r="Q38" s="67"/>
      <c r="R38" s="67"/>
      <c r="S38" s="67"/>
      <c r="T38" s="67"/>
      <c r="U38" s="67"/>
      <c r="V38" s="67"/>
      <c r="W38" s="85" t="str">
        <f aca="false">IF(AH38="","",N(Q38)+N(R38)+N(S38)+N(T38)+N(U38)+N(V38))</f>
        <v/>
      </c>
      <c r="X38" s="85" t="str">
        <f aca="false">IF(AH38="","",P38-W38)</f>
        <v/>
      </c>
      <c r="Y38" s="67"/>
      <c r="Z38" s="70" t="str">
        <f aca="false">IF(OR(AH38="",Y38=""),"",IF(ABS(X38-Y38)&lt;=1,"✓ Cuadra","⚠ Diferencia $"&amp;FIXED(X38-Y38,0)))</f>
        <v/>
      </c>
      <c r="AA38" s="72" t="str">
        <f aca="false">IF(AH38="","",IFERROR(INDEX(C_TIPO,MATCH(C38&amp;"-P"&amp;MAX(1,COUNTIFS(C_ID,C38,C_DEFINE,"Sí",C_INICIO,"&lt;="&amp;EOMONTH(B38,0))),C_CLAVE,0))&amp;"","Sin dato"))</f>
        <v/>
      </c>
      <c r="AB38" s="71" t="str">
        <f aca="false">IF(AH38="","",ROUND(MIN(K38,TOPE_AFP_UF*AJ38)*AK38,0))</f>
        <v/>
      </c>
      <c r="AC38" s="71" t="str">
        <f aca="false">IF(AH38="","",ROUND(MIN(K38,TOPE_AFC_UF*AJ38)*IF(AA38="Indefinido",AFC_EMP_INDEF,AFC_EMP_PF),0))</f>
        <v/>
      </c>
      <c r="AD38" s="71" t="str">
        <f aca="false">IF(AH38="","",ROUND(MIN(K38,TOPE_AFP_UF*AJ38)*(MUTUAL_BASICA+MUTUAL_ADIC+SANNA),0))</f>
        <v/>
      </c>
      <c r="AE38" s="71" t="str">
        <f aca="false">IF(AH38="","",P38-N(N38)+AB38+AC38+AD38)</f>
        <v/>
      </c>
      <c r="AF38" s="65"/>
      <c r="AG38" s="64"/>
      <c r="AH38" s="72" t="str">
        <f aca="false">IF(OR(B38="",C38=""),"",C38&amp;"|"&amp;(YEAR(B38)*100+MONTH(B38)))</f>
        <v/>
      </c>
      <c r="AI38" s="70" t="str">
        <f aca="false">IF(AH38="","",IF(COUNTIF(L_CLAVE,AH38)&gt;1,"⚠ Duplicado","OK"))</f>
        <v/>
      </c>
      <c r="AJ38" s="86" t="str">
        <f aca="false">IF(AH38="","",IF(SUMPRODUCT(MAX((IND_PER&lt;=B38)*(IND_UF&lt;&gt;"")*IND_PER))=0,UF_HOY,INDEX(IND_UF,MATCH(SUMPRODUCT(MAX((IND_PER&lt;=B38)*(IND_UF&lt;&gt;"")*IND_PER)),IND_PER,0))))</f>
        <v/>
      </c>
      <c r="AK38" s="87" t="str">
        <f aca="false">IF(AH38="","",IF(COUNTIF(TASA_DESDE,"&lt;="&amp;B38)=0,INDEX(TASA_EMP,1),INDEX(TASA_EMP,COUNTIF(TASA_DESDE,"&lt;="&amp;B38))))</f>
        <v/>
      </c>
    </row>
    <row r="39" customFormat="false" ht="15" hidden="false" customHeight="false" outlineLevel="0" collapsed="false">
      <c r="B39" s="78"/>
      <c r="C39" s="64"/>
      <c r="D39" s="72" t="str">
        <f aca="false">IF(C39="","",IFERROR(INDEX(T_NOMBRE,MATCH(C39,T_ID,0)),"⚠ ID no existe"))</f>
        <v/>
      </c>
      <c r="E39" s="69"/>
      <c r="F39" s="67"/>
      <c r="G39" s="67"/>
      <c r="H39" s="67"/>
      <c r="I39" s="67"/>
      <c r="J39" s="67"/>
      <c r="K39" s="85" t="str">
        <f aca="false">IF(AH39="","",N(F39)+N(G39)+N(H39)-N(I39)+N(J39))</f>
        <v/>
      </c>
      <c r="L39" s="67"/>
      <c r="M39" s="67"/>
      <c r="N39" s="67"/>
      <c r="O39" s="67"/>
      <c r="P39" s="85" t="str">
        <f aca="false">IF(AH39="","",K39+N(L39)+N(M39)+N(N39)+N(O39))</f>
        <v/>
      </c>
      <c r="Q39" s="67"/>
      <c r="R39" s="67"/>
      <c r="S39" s="67"/>
      <c r="T39" s="67"/>
      <c r="U39" s="67"/>
      <c r="V39" s="67"/>
      <c r="W39" s="85" t="str">
        <f aca="false">IF(AH39="","",N(Q39)+N(R39)+N(S39)+N(T39)+N(U39)+N(V39))</f>
        <v/>
      </c>
      <c r="X39" s="85" t="str">
        <f aca="false">IF(AH39="","",P39-W39)</f>
        <v/>
      </c>
      <c r="Y39" s="67"/>
      <c r="Z39" s="70" t="str">
        <f aca="false">IF(OR(AH39="",Y39=""),"",IF(ABS(X39-Y39)&lt;=1,"✓ Cuadra","⚠ Diferencia $"&amp;FIXED(X39-Y39,0)))</f>
        <v/>
      </c>
      <c r="AA39" s="72" t="str">
        <f aca="false">IF(AH39="","",IFERROR(INDEX(C_TIPO,MATCH(C39&amp;"-P"&amp;MAX(1,COUNTIFS(C_ID,C39,C_DEFINE,"Sí",C_INICIO,"&lt;="&amp;EOMONTH(B39,0))),C_CLAVE,0))&amp;"","Sin dato"))</f>
        <v/>
      </c>
      <c r="AB39" s="71" t="str">
        <f aca="false">IF(AH39="","",ROUND(MIN(K39,TOPE_AFP_UF*AJ39)*AK39,0))</f>
        <v/>
      </c>
      <c r="AC39" s="71" t="str">
        <f aca="false">IF(AH39="","",ROUND(MIN(K39,TOPE_AFC_UF*AJ39)*IF(AA39="Indefinido",AFC_EMP_INDEF,AFC_EMP_PF),0))</f>
        <v/>
      </c>
      <c r="AD39" s="71" t="str">
        <f aca="false">IF(AH39="","",ROUND(MIN(K39,TOPE_AFP_UF*AJ39)*(MUTUAL_BASICA+MUTUAL_ADIC+SANNA),0))</f>
        <v/>
      </c>
      <c r="AE39" s="71" t="str">
        <f aca="false">IF(AH39="","",P39-N(N39)+AB39+AC39+AD39)</f>
        <v/>
      </c>
      <c r="AF39" s="65"/>
      <c r="AG39" s="64"/>
      <c r="AH39" s="72" t="str">
        <f aca="false">IF(OR(B39="",C39=""),"",C39&amp;"|"&amp;(YEAR(B39)*100+MONTH(B39)))</f>
        <v/>
      </c>
      <c r="AI39" s="70" t="str">
        <f aca="false">IF(AH39="","",IF(COUNTIF(L_CLAVE,AH39)&gt;1,"⚠ Duplicado","OK"))</f>
        <v/>
      </c>
      <c r="AJ39" s="86" t="str">
        <f aca="false">IF(AH39="","",IF(SUMPRODUCT(MAX((IND_PER&lt;=B39)*(IND_UF&lt;&gt;"")*IND_PER))=0,UF_HOY,INDEX(IND_UF,MATCH(SUMPRODUCT(MAX((IND_PER&lt;=B39)*(IND_UF&lt;&gt;"")*IND_PER)),IND_PER,0))))</f>
        <v/>
      </c>
      <c r="AK39" s="87" t="str">
        <f aca="false">IF(AH39="","",IF(COUNTIF(TASA_DESDE,"&lt;="&amp;B39)=0,INDEX(TASA_EMP,1),INDEX(TASA_EMP,COUNTIF(TASA_DESDE,"&lt;="&amp;B39))))</f>
        <v/>
      </c>
    </row>
    <row r="40" customFormat="false" ht="15" hidden="false" customHeight="false" outlineLevel="0" collapsed="false">
      <c r="B40" s="78"/>
      <c r="C40" s="64"/>
      <c r="D40" s="72" t="str">
        <f aca="false">IF(C40="","",IFERROR(INDEX(T_NOMBRE,MATCH(C40,T_ID,0)),"⚠ ID no existe"))</f>
        <v/>
      </c>
      <c r="E40" s="69"/>
      <c r="F40" s="67"/>
      <c r="G40" s="67"/>
      <c r="H40" s="67"/>
      <c r="I40" s="67"/>
      <c r="J40" s="67"/>
      <c r="K40" s="85" t="str">
        <f aca="false">IF(AH40="","",N(F40)+N(G40)+N(H40)-N(I40)+N(J40))</f>
        <v/>
      </c>
      <c r="L40" s="67"/>
      <c r="M40" s="67"/>
      <c r="N40" s="67"/>
      <c r="O40" s="67"/>
      <c r="P40" s="85" t="str">
        <f aca="false">IF(AH40="","",K40+N(L40)+N(M40)+N(N40)+N(O40))</f>
        <v/>
      </c>
      <c r="Q40" s="67"/>
      <c r="R40" s="67"/>
      <c r="S40" s="67"/>
      <c r="T40" s="67"/>
      <c r="U40" s="67"/>
      <c r="V40" s="67"/>
      <c r="W40" s="85" t="str">
        <f aca="false">IF(AH40="","",N(Q40)+N(R40)+N(S40)+N(T40)+N(U40)+N(V40))</f>
        <v/>
      </c>
      <c r="X40" s="85" t="str">
        <f aca="false">IF(AH40="","",P40-W40)</f>
        <v/>
      </c>
      <c r="Y40" s="67"/>
      <c r="Z40" s="70" t="str">
        <f aca="false">IF(OR(AH40="",Y40=""),"",IF(ABS(X40-Y40)&lt;=1,"✓ Cuadra","⚠ Diferencia $"&amp;FIXED(X40-Y40,0)))</f>
        <v/>
      </c>
      <c r="AA40" s="72" t="str">
        <f aca="false">IF(AH40="","",IFERROR(INDEX(C_TIPO,MATCH(C40&amp;"-P"&amp;MAX(1,COUNTIFS(C_ID,C40,C_DEFINE,"Sí",C_INICIO,"&lt;="&amp;EOMONTH(B40,0))),C_CLAVE,0))&amp;"","Sin dato"))</f>
        <v/>
      </c>
      <c r="AB40" s="71" t="str">
        <f aca="false">IF(AH40="","",ROUND(MIN(K40,TOPE_AFP_UF*AJ40)*AK40,0))</f>
        <v/>
      </c>
      <c r="AC40" s="71" t="str">
        <f aca="false">IF(AH40="","",ROUND(MIN(K40,TOPE_AFC_UF*AJ40)*IF(AA40="Indefinido",AFC_EMP_INDEF,AFC_EMP_PF),0))</f>
        <v/>
      </c>
      <c r="AD40" s="71" t="str">
        <f aca="false">IF(AH40="","",ROUND(MIN(K40,TOPE_AFP_UF*AJ40)*(MUTUAL_BASICA+MUTUAL_ADIC+SANNA),0))</f>
        <v/>
      </c>
      <c r="AE40" s="71" t="str">
        <f aca="false">IF(AH40="","",P40-N(N40)+AB40+AC40+AD40)</f>
        <v/>
      </c>
      <c r="AF40" s="65"/>
      <c r="AG40" s="64"/>
      <c r="AH40" s="72" t="str">
        <f aca="false">IF(OR(B40="",C40=""),"",C40&amp;"|"&amp;(YEAR(B40)*100+MONTH(B40)))</f>
        <v/>
      </c>
      <c r="AI40" s="70" t="str">
        <f aca="false">IF(AH40="","",IF(COUNTIF(L_CLAVE,AH40)&gt;1,"⚠ Duplicado","OK"))</f>
        <v/>
      </c>
      <c r="AJ40" s="86" t="str">
        <f aca="false">IF(AH40="","",IF(SUMPRODUCT(MAX((IND_PER&lt;=B40)*(IND_UF&lt;&gt;"")*IND_PER))=0,UF_HOY,INDEX(IND_UF,MATCH(SUMPRODUCT(MAX((IND_PER&lt;=B40)*(IND_UF&lt;&gt;"")*IND_PER)),IND_PER,0))))</f>
        <v/>
      </c>
      <c r="AK40" s="87" t="str">
        <f aca="false">IF(AH40="","",IF(COUNTIF(TASA_DESDE,"&lt;="&amp;B40)=0,INDEX(TASA_EMP,1),INDEX(TASA_EMP,COUNTIF(TASA_DESDE,"&lt;="&amp;B40))))</f>
        <v/>
      </c>
    </row>
    <row r="41" customFormat="false" ht="15" hidden="false" customHeight="false" outlineLevel="0" collapsed="false">
      <c r="B41" s="78"/>
      <c r="C41" s="64"/>
      <c r="D41" s="72" t="str">
        <f aca="false">IF(C41="","",IFERROR(INDEX(T_NOMBRE,MATCH(C41,T_ID,0)),"⚠ ID no existe"))</f>
        <v/>
      </c>
      <c r="E41" s="69"/>
      <c r="F41" s="67"/>
      <c r="G41" s="67"/>
      <c r="H41" s="67"/>
      <c r="I41" s="67"/>
      <c r="J41" s="67"/>
      <c r="K41" s="85" t="str">
        <f aca="false">IF(AH41="","",N(F41)+N(G41)+N(H41)-N(I41)+N(J41))</f>
        <v/>
      </c>
      <c r="L41" s="67"/>
      <c r="M41" s="67"/>
      <c r="N41" s="67"/>
      <c r="O41" s="67"/>
      <c r="P41" s="85" t="str">
        <f aca="false">IF(AH41="","",K41+N(L41)+N(M41)+N(N41)+N(O41))</f>
        <v/>
      </c>
      <c r="Q41" s="67"/>
      <c r="R41" s="67"/>
      <c r="S41" s="67"/>
      <c r="T41" s="67"/>
      <c r="U41" s="67"/>
      <c r="V41" s="67"/>
      <c r="W41" s="85" t="str">
        <f aca="false">IF(AH41="","",N(Q41)+N(R41)+N(S41)+N(T41)+N(U41)+N(V41))</f>
        <v/>
      </c>
      <c r="X41" s="85" t="str">
        <f aca="false">IF(AH41="","",P41-W41)</f>
        <v/>
      </c>
      <c r="Y41" s="67"/>
      <c r="Z41" s="70" t="str">
        <f aca="false">IF(OR(AH41="",Y41=""),"",IF(ABS(X41-Y41)&lt;=1,"✓ Cuadra","⚠ Diferencia $"&amp;FIXED(X41-Y41,0)))</f>
        <v/>
      </c>
      <c r="AA41" s="72" t="str">
        <f aca="false">IF(AH41="","",IFERROR(INDEX(C_TIPO,MATCH(C41&amp;"-P"&amp;MAX(1,COUNTIFS(C_ID,C41,C_DEFINE,"Sí",C_INICIO,"&lt;="&amp;EOMONTH(B41,0))),C_CLAVE,0))&amp;"","Sin dato"))</f>
        <v/>
      </c>
      <c r="AB41" s="71" t="str">
        <f aca="false">IF(AH41="","",ROUND(MIN(K41,TOPE_AFP_UF*AJ41)*AK41,0))</f>
        <v/>
      </c>
      <c r="AC41" s="71" t="str">
        <f aca="false">IF(AH41="","",ROUND(MIN(K41,TOPE_AFC_UF*AJ41)*IF(AA41="Indefinido",AFC_EMP_INDEF,AFC_EMP_PF),0))</f>
        <v/>
      </c>
      <c r="AD41" s="71" t="str">
        <f aca="false">IF(AH41="","",ROUND(MIN(K41,TOPE_AFP_UF*AJ41)*(MUTUAL_BASICA+MUTUAL_ADIC+SANNA),0))</f>
        <v/>
      </c>
      <c r="AE41" s="71" t="str">
        <f aca="false">IF(AH41="","",P41-N(N41)+AB41+AC41+AD41)</f>
        <v/>
      </c>
      <c r="AF41" s="65"/>
      <c r="AG41" s="64"/>
      <c r="AH41" s="72" t="str">
        <f aca="false">IF(OR(B41="",C41=""),"",C41&amp;"|"&amp;(YEAR(B41)*100+MONTH(B41)))</f>
        <v/>
      </c>
      <c r="AI41" s="70" t="str">
        <f aca="false">IF(AH41="","",IF(COUNTIF(L_CLAVE,AH41)&gt;1,"⚠ Duplicado","OK"))</f>
        <v/>
      </c>
      <c r="AJ41" s="86" t="str">
        <f aca="false">IF(AH41="","",IF(SUMPRODUCT(MAX((IND_PER&lt;=B41)*(IND_UF&lt;&gt;"")*IND_PER))=0,UF_HOY,INDEX(IND_UF,MATCH(SUMPRODUCT(MAX((IND_PER&lt;=B41)*(IND_UF&lt;&gt;"")*IND_PER)),IND_PER,0))))</f>
        <v/>
      </c>
      <c r="AK41" s="87" t="str">
        <f aca="false">IF(AH41="","",IF(COUNTIF(TASA_DESDE,"&lt;="&amp;B41)=0,INDEX(TASA_EMP,1),INDEX(TASA_EMP,COUNTIF(TASA_DESDE,"&lt;="&amp;B41))))</f>
        <v/>
      </c>
    </row>
    <row r="42" customFormat="false" ht="15" hidden="false" customHeight="false" outlineLevel="0" collapsed="false">
      <c r="B42" s="78"/>
      <c r="C42" s="64"/>
      <c r="D42" s="72" t="str">
        <f aca="false">IF(C42="","",IFERROR(INDEX(T_NOMBRE,MATCH(C42,T_ID,0)),"⚠ ID no existe"))</f>
        <v/>
      </c>
      <c r="E42" s="69"/>
      <c r="F42" s="67"/>
      <c r="G42" s="67"/>
      <c r="H42" s="67"/>
      <c r="I42" s="67"/>
      <c r="J42" s="67"/>
      <c r="K42" s="85" t="str">
        <f aca="false">IF(AH42="","",N(F42)+N(G42)+N(H42)-N(I42)+N(J42))</f>
        <v/>
      </c>
      <c r="L42" s="67"/>
      <c r="M42" s="67"/>
      <c r="N42" s="67"/>
      <c r="O42" s="67"/>
      <c r="P42" s="85" t="str">
        <f aca="false">IF(AH42="","",K42+N(L42)+N(M42)+N(N42)+N(O42))</f>
        <v/>
      </c>
      <c r="Q42" s="67"/>
      <c r="R42" s="67"/>
      <c r="S42" s="67"/>
      <c r="T42" s="67"/>
      <c r="U42" s="67"/>
      <c r="V42" s="67"/>
      <c r="W42" s="85" t="str">
        <f aca="false">IF(AH42="","",N(Q42)+N(R42)+N(S42)+N(T42)+N(U42)+N(V42))</f>
        <v/>
      </c>
      <c r="X42" s="85" t="str">
        <f aca="false">IF(AH42="","",P42-W42)</f>
        <v/>
      </c>
      <c r="Y42" s="67"/>
      <c r="Z42" s="70" t="str">
        <f aca="false">IF(OR(AH42="",Y42=""),"",IF(ABS(X42-Y42)&lt;=1,"✓ Cuadra","⚠ Diferencia $"&amp;FIXED(X42-Y42,0)))</f>
        <v/>
      </c>
      <c r="AA42" s="72" t="str">
        <f aca="false">IF(AH42="","",IFERROR(INDEX(C_TIPO,MATCH(C42&amp;"-P"&amp;MAX(1,COUNTIFS(C_ID,C42,C_DEFINE,"Sí",C_INICIO,"&lt;="&amp;EOMONTH(B42,0))),C_CLAVE,0))&amp;"","Sin dato"))</f>
        <v/>
      </c>
      <c r="AB42" s="71" t="str">
        <f aca="false">IF(AH42="","",ROUND(MIN(K42,TOPE_AFP_UF*AJ42)*AK42,0))</f>
        <v/>
      </c>
      <c r="AC42" s="71" t="str">
        <f aca="false">IF(AH42="","",ROUND(MIN(K42,TOPE_AFC_UF*AJ42)*IF(AA42="Indefinido",AFC_EMP_INDEF,AFC_EMP_PF),0))</f>
        <v/>
      </c>
      <c r="AD42" s="71" t="str">
        <f aca="false">IF(AH42="","",ROUND(MIN(K42,TOPE_AFP_UF*AJ42)*(MUTUAL_BASICA+MUTUAL_ADIC+SANNA),0))</f>
        <v/>
      </c>
      <c r="AE42" s="71" t="str">
        <f aca="false">IF(AH42="","",P42-N(N42)+AB42+AC42+AD42)</f>
        <v/>
      </c>
      <c r="AF42" s="65"/>
      <c r="AG42" s="64"/>
      <c r="AH42" s="72" t="str">
        <f aca="false">IF(OR(B42="",C42=""),"",C42&amp;"|"&amp;(YEAR(B42)*100+MONTH(B42)))</f>
        <v/>
      </c>
      <c r="AI42" s="70" t="str">
        <f aca="false">IF(AH42="","",IF(COUNTIF(L_CLAVE,AH42)&gt;1,"⚠ Duplicado","OK"))</f>
        <v/>
      </c>
      <c r="AJ42" s="86" t="str">
        <f aca="false">IF(AH42="","",IF(SUMPRODUCT(MAX((IND_PER&lt;=B42)*(IND_UF&lt;&gt;"")*IND_PER))=0,UF_HOY,INDEX(IND_UF,MATCH(SUMPRODUCT(MAX((IND_PER&lt;=B42)*(IND_UF&lt;&gt;"")*IND_PER)),IND_PER,0))))</f>
        <v/>
      </c>
      <c r="AK42" s="87" t="str">
        <f aca="false">IF(AH42="","",IF(COUNTIF(TASA_DESDE,"&lt;="&amp;B42)=0,INDEX(TASA_EMP,1),INDEX(TASA_EMP,COUNTIF(TASA_DESDE,"&lt;="&amp;B42))))</f>
        <v/>
      </c>
    </row>
    <row r="43" customFormat="false" ht="15" hidden="false" customHeight="false" outlineLevel="0" collapsed="false">
      <c r="B43" s="78"/>
      <c r="C43" s="64"/>
      <c r="D43" s="72" t="str">
        <f aca="false">IF(C43="","",IFERROR(INDEX(T_NOMBRE,MATCH(C43,T_ID,0)),"⚠ ID no existe"))</f>
        <v/>
      </c>
      <c r="E43" s="69"/>
      <c r="F43" s="67"/>
      <c r="G43" s="67"/>
      <c r="H43" s="67"/>
      <c r="I43" s="67"/>
      <c r="J43" s="67"/>
      <c r="K43" s="85" t="str">
        <f aca="false">IF(AH43="","",N(F43)+N(G43)+N(H43)-N(I43)+N(J43))</f>
        <v/>
      </c>
      <c r="L43" s="67"/>
      <c r="M43" s="67"/>
      <c r="N43" s="67"/>
      <c r="O43" s="67"/>
      <c r="P43" s="85" t="str">
        <f aca="false">IF(AH43="","",K43+N(L43)+N(M43)+N(N43)+N(O43))</f>
        <v/>
      </c>
      <c r="Q43" s="67"/>
      <c r="R43" s="67"/>
      <c r="S43" s="67"/>
      <c r="T43" s="67"/>
      <c r="U43" s="67"/>
      <c r="V43" s="67"/>
      <c r="W43" s="85" t="str">
        <f aca="false">IF(AH43="","",N(Q43)+N(R43)+N(S43)+N(T43)+N(U43)+N(V43))</f>
        <v/>
      </c>
      <c r="X43" s="85" t="str">
        <f aca="false">IF(AH43="","",P43-W43)</f>
        <v/>
      </c>
      <c r="Y43" s="67"/>
      <c r="Z43" s="70" t="str">
        <f aca="false">IF(OR(AH43="",Y43=""),"",IF(ABS(X43-Y43)&lt;=1,"✓ Cuadra","⚠ Diferencia $"&amp;FIXED(X43-Y43,0)))</f>
        <v/>
      </c>
      <c r="AA43" s="72" t="str">
        <f aca="false">IF(AH43="","",IFERROR(INDEX(C_TIPO,MATCH(C43&amp;"-P"&amp;MAX(1,COUNTIFS(C_ID,C43,C_DEFINE,"Sí",C_INICIO,"&lt;="&amp;EOMONTH(B43,0))),C_CLAVE,0))&amp;"","Sin dato"))</f>
        <v/>
      </c>
      <c r="AB43" s="71" t="str">
        <f aca="false">IF(AH43="","",ROUND(MIN(K43,TOPE_AFP_UF*AJ43)*AK43,0))</f>
        <v/>
      </c>
      <c r="AC43" s="71" t="str">
        <f aca="false">IF(AH43="","",ROUND(MIN(K43,TOPE_AFC_UF*AJ43)*IF(AA43="Indefinido",AFC_EMP_INDEF,AFC_EMP_PF),0))</f>
        <v/>
      </c>
      <c r="AD43" s="71" t="str">
        <f aca="false">IF(AH43="","",ROUND(MIN(K43,TOPE_AFP_UF*AJ43)*(MUTUAL_BASICA+MUTUAL_ADIC+SANNA),0))</f>
        <v/>
      </c>
      <c r="AE43" s="71" t="str">
        <f aca="false">IF(AH43="","",P43-N(N43)+AB43+AC43+AD43)</f>
        <v/>
      </c>
      <c r="AF43" s="65"/>
      <c r="AG43" s="64"/>
      <c r="AH43" s="72" t="str">
        <f aca="false">IF(OR(B43="",C43=""),"",C43&amp;"|"&amp;(YEAR(B43)*100+MONTH(B43)))</f>
        <v/>
      </c>
      <c r="AI43" s="70" t="str">
        <f aca="false">IF(AH43="","",IF(COUNTIF(L_CLAVE,AH43)&gt;1,"⚠ Duplicado","OK"))</f>
        <v/>
      </c>
      <c r="AJ43" s="86" t="str">
        <f aca="false">IF(AH43="","",IF(SUMPRODUCT(MAX((IND_PER&lt;=B43)*(IND_UF&lt;&gt;"")*IND_PER))=0,UF_HOY,INDEX(IND_UF,MATCH(SUMPRODUCT(MAX((IND_PER&lt;=B43)*(IND_UF&lt;&gt;"")*IND_PER)),IND_PER,0))))</f>
        <v/>
      </c>
      <c r="AK43" s="87" t="str">
        <f aca="false">IF(AH43="","",IF(COUNTIF(TASA_DESDE,"&lt;="&amp;B43)=0,INDEX(TASA_EMP,1),INDEX(TASA_EMP,COUNTIF(TASA_DESDE,"&lt;="&amp;B43))))</f>
        <v/>
      </c>
    </row>
    <row r="44" customFormat="false" ht="15" hidden="false" customHeight="false" outlineLevel="0" collapsed="false">
      <c r="B44" s="78"/>
      <c r="C44" s="64"/>
      <c r="D44" s="72" t="str">
        <f aca="false">IF(C44="","",IFERROR(INDEX(T_NOMBRE,MATCH(C44,T_ID,0)),"⚠ ID no existe"))</f>
        <v/>
      </c>
      <c r="E44" s="69"/>
      <c r="F44" s="67"/>
      <c r="G44" s="67"/>
      <c r="H44" s="67"/>
      <c r="I44" s="67"/>
      <c r="J44" s="67"/>
      <c r="K44" s="85" t="str">
        <f aca="false">IF(AH44="","",N(F44)+N(G44)+N(H44)-N(I44)+N(J44))</f>
        <v/>
      </c>
      <c r="L44" s="67"/>
      <c r="M44" s="67"/>
      <c r="N44" s="67"/>
      <c r="O44" s="67"/>
      <c r="P44" s="85" t="str">
        <f aca="false">IF(AH44="","",K44+N(L44)+N(M44)+N(N44)+N(O44))</f>
        <v/>
      </c>
      <c r="Q44" s="67"/>
      <c r="R44" s="67"/>
      <c r="S44" s="67"/>
      <c r="T44" s="67"/>
      <c r="U44" s="67"/>
      <c r="V44" s="67"/>
      <c r="W44" s="85" t="str">
        <f aca="false">IF(AH44="","",N(Q44)+N(R44)+N(S44)+N(T44)+N(U44)+N(V44))</f>
        <v/>
      </c>
      <c r="X44" s="85" t="str">
        <f aca="false">IF(AH44="","",P44-W44)</f>
        <v/>
      </c>
      <c r="Y44" s="67"/>
      <c r="Z44" s="70" t="str">
        <f aca="false">IF(OR(AH44="",Y44=""),"",IF(ABS(X44-Y44)&lt;=1,"✓ Cuadra","⚠ Diferencia $"&amp;FIXED(X44-Y44,0)))</f>
        <v/>
      </c>
      <c r="AA44" s="72" t="str">
        <f aca="false">IF(AH44="","",IFERROR(INDEX(C_TIPO,MATCH(C44&amp;"-P"&amp;MAX(1,COUNTIFS(C_ID,C44,C_DEFINE,"Sí",C_INICIO,"&lt;="&amp;EOMONTH(B44,0))),C_CLAVE,0))&amp;"","Sin dato"))</f>
        <v/>
      </c>
      <c r="AB44" s="71" t="str">
        <f aca="false">IF(AH44="","",ROUND(MIN(K44,TOPE_AFP_UF*AJ44)*AK44,0))</f>
        <v/>
      </c>
      <c r="AC44" s="71" t="str">
        <f aca="false">IF(AH44="","",ROUND(MIN(K44,TOPE_AFC_UF*AJ44)*IF(AA44="Indefinido",AFC_EMP_INDEF,AFC_EMP_PF),0))</f>
        <v/>
      </c>
      <c r="AD44" s="71" t="str">
        <f aca="false">IF(AH44="","",ROUND(MIN(K44,TOPE_AFP_UF*AJ44)*(MUTUAL_BASICA+MUTUAL_ADIC+SANNA),0))</f>
        <v/>
      </c>
      <c r="AE44" s="71" t="str">
        <f aca="false">IF(AH44="","",P44-N(N44)+AB44+AC44+AD44)</f>
        <v/>
      </c>
      <c r="AF44" s="65"/>
      <c r="AG44" s="64"/>
      <c r="AH44" s="72" t="str">
        <f aca="false">IF(OR(B44="",C44=""),"",C44&amp;"|"&amp;(YEAR(B44)*100+MONTH(B44)))</f>
        <v/>
      </c>
      <c r="AI44" s="70" t="str">
        <f aca="false">IF(AH44="","",IF(COUNTIF(L_CLAVE,AH44)&gt;1,"⚠ Duplicado","OK"))</f>
        <v/>
      </c>
      <c r="AJ44" s="86" t="str">
        <f aca="false">IF(AH44="","",IF(SUMPRODUCT(MAX((IND_PER&lt;=B44)*(IND_UF&lt;&gt;"")*IND_PER))=0,UF_HOY,INDEX(IND_UF,MATCH(SUMPRODUCT(MAX((IND_PER&lt;=B44)*(IND_UF&lt;&gt;"")*IND_PER)),IND_PER,0))))</f>
        <v/>
      </c>
      <c r="AK44" s="87" t="str">
        <f aca="false">IF(AH44="","",IF(COUNTIF(TASA_DESDE,"&lt;="&amp;B44)=0,INDEX(TASA_EMP,1),INDEX(TASA_EMP,COUNTIF(TASA_DESDE,"&lt;="&amp;B44))))</f>
        <v/>
      </c>
    </row>
    <row r="45" customFormat="false" ht="15" hidden="false" customHeight="false" outlineLevel="0" collapsed="false">
      <c r="B45" s="78"/>
      <c r="C45" s="64"/>
      <c r="D45" s="72" t="str">
        <f aca="false">IF(C45="","",IFERROR(INDEX(T_NOMBRE,MATCH(C45,T_ID,0)),"⚠ ID no existe"))</f>
        <v/>
      </c>
      <c r="E45" s="69"/>
      <c r="F45" s="67"/>
      <c r="G45" s="67"/>
      <c r="H45" s="67"/>
      <c r="I45" s="67"/>
      <c r="J45" s="67"/>
      <c r="K45" s="85" t="str">
        <f aca="false">IF(AH45="","",N(F45)+N(G45)+N(H45)-N(I45)+N(J45))</f>
        <v/>
      </c>
      <c r="L45" s="67"/>
      <c r="M45" s="67"/>
      <c r="N45" s="67"/>
      <c r="O45" s="67"/>
      <c r="P45" s="85" t="str">
        <f aca="false">IF(AH45="","",K45+N(L45)+N(M45)+N(N45)+N(O45))</f>
        <v/>
      </c>
      <c r="Q45" s="67"/>
      <c r="R45" s="67"/>
      <c r="S45" s="67"/>
      <c r="T45" s="67"/>
      <c r="U45" s="67"/>
      <c r="V45" s="67"/>
      <c r="W45" s="85" t="str">
        <f aca="false">IF(AH45="","",N(Q45)+N(R45)+N(S45)+N(T45)+N(U45)+N(V45))</f>
        <v/>
      </c>
      <c r="X45" s="85" t="str">
        <f aca="false">IF(AH45="","",P45-W45)</f>
        <v/>
      </c>
      <c r="Y45" s="67"/>
      <c r="Z45" s="70" t="str">
        <f aca="false">IF(OR(AH45="",Y45=""),"",IF(ABS(X45-Y45)&lt;=1,"✓ Cuadra","⚠ Diferencia $"&amp;FIXED(X45-Y45,0)))</f>
        <v/>
      </c>
      <c r="AA45" s="72" t="str">
        <f aca="false">IF(AH45="","",IFERROR(INDEX(C_TIPO,MATCH(C45&amp;"-P"&amp;MAX(1,COUNTIFS(C_ID,C45,C_DEFINE,"Sí",C_INICIO,"&lt;="&amp;EOMONTH(B45,0))),C_CLAVE,0))&amp;"","Sin dato"))</f>
        <v/>
      </c>
      <c r="AB45" s="71" t="str">
        <f aca="false">IF(AH45="","",ROUND(MIN(K45,TOPE_AFP_UF*AJ45)*AK45,0))</f>
        <v/>
      </c>
      <c r="AC45" s="71" t="str">
        <f aca="false">IF(AH45="","",ROUND(MIN(K45,TOPE_AFC_UF*AJ45)*IF(AA45="Indefinido",AFC_EMP_INDEF,AFC_EMP_PF),0))</f>
        <v/>
      </c>
      <c r="AD45" s="71" t="str">
        <f aca="false">IF(AH45="","",ROUND(MIN(K45,TOPE_AFP_UF*AJ45)*(MUTUAL_BASICA+MUTUAL_ADIC+SANNA),0))</f>
        <v/>
      </c>
      <c r="AE45" s="71" t="str">
        <f aca="false">IF(AH45="","",P45-N(N45)+AB45+AC45+AD45)</f>
        <v/>
      </c>
      <c r="AF45" s="65"/>
      <c r="AG45" s="64"/>
      <c r="AH45" s="72" t="str">
        <f aca="false">IF(OR(B45="",C45=""),"",C45&amp;"|"&amp;(YEAR(B45)*100+MONTH(B45)))</f>
        <v/>
      </c>
      <c r="AI45" s="70" t="str">
        <f aca="false">IF(AH45="","",IF(COUNTIF(L_CLAVE,AH45)&gt;1,"⚠ Duplicado","OK"))</f>
        <v/>
      </c>
      <c r="AJ45" s="86" t="str">
        <f aca="false">IF(AH45="","",IF(SUMPRODUCT(MAX((IND_PER&lt;=B45)*(IND_UF&lt;&gt;"")*IND_PER))=0,UF_HOY,INDEX(IND_UF,MATCH(SUMPRODUCT(MAX((IND_PER&lt;=B45)*(IND_UF&lt;&gt;"")*IND_PER)),IND_PER,0))))</f>
        <v/>
      </c>
      <c r="AK45" s="87" t="str">
        <f aca="false">IF(AH45="","",IF(COUNTIF(TASA_DESDE,"&lt;="&amp;B45)=0,INDEX(TASA_EMP,1),INDEX(TASA_EMP,COUNTIF(TASA_DESDE,"&lt;="&amp;B45))))</f>
        <v/>
      </c>
    </row>
    <row r="46" customFormat="false" ht="15" hidden="false" customHeight="false" outlineLevel="0" collapsed="false">
      <c r="B46" s="78"/>
      <c r="C46" s="64"/>
      <c r="D46" s="72" t="str">
        <f aca="false">IF(C46="","",IFERROR(INDEX(T_NOMBRE,MATCH(C46,T_ID,0)),"⚠ ID no existe"))</f>
        <v/>
      </c>
      <c r="E46" s="69"/>
      <c r="F46" s="67"/>
      <c r="G46" s="67"/>
      <c r="H46" s="67"/>
      <c r="I46" s="67"/>
      <c r="J46" s="67"/>
      <c r="K46" s="85" t="str">
        <f aca="false">IF(AH46="","",N(F46)+N(G46)+N(H46)-N(I46)+N(J46))</f>
        <v/>
      </c>
      <c r="L46" s="67"/>
      <c r="M46" s="67"/>
      <c r="N46" s="67"/>
      <c r="O46" s="67"/>
      <c r="P46" s="85" t="str">
        <f aca="false">IF(AH46="","",K46+N(L46)+N(M46)+N(N46)+N(O46))</f>
        <v/>
      </c>
      <c r="Q46" s="67"/>
      <c r="R46" s="67"/>
      <c r="S46" s="67"/>
      <c r="T46" s="67"/>
      <c r="U46" s="67"/>
      <c r="V46" s="67"/>
      <c r="W46" s="85" t="str">
        <f aca="false">IF(AH46="","",N(Q46)+N(R46)+N(S46)+N(T46)+N(U46)+N(V46))</f>
        <v/>
      </c>
      <c r="X46" s="85" t="str">
        <f aca="false">IF(AH46="","",P46-W46)</f>
        <v/>
      </c>
      <c r="Y46" s="67"/>
      <c r="Z46" s="70" t="str">
        <f aca="false">IF(OR(AH46="",Y46=""),"",IF(ABS(X46-Y46)&lt;=1,"✓ Cuadra","⚠ Diferencia $"&amp;FIXED(X46-Y46,0)))</f>
        <v/>
      </c>
      <c r="AA46" s="72" t="str">
        <f aca="false">IF(AH46="","",IFERROR(INDEX(C_TIPO,MATCH(C46&amp;"-P"&amp;MAX(1,COUNTIFS(C_ID,C46,C_DEFINE,"Sí",C_INICIO,"&lt;="&amp;EOMONTH(B46,0))),C_CLAVE,0))&amp;"","Sin dato"))</f>
        <v/>
      </c>
      <c r="AB46" s="71" t="str">
        <f aca="false">IF(AH46="","",ROUND(MIN(K46,TOPE_AFP_UF*AJ46)*AK46,0))</f>
        <v/>
      </c>
      <c r="AC46" s="71" t="str">
        <f aca="false">IF(AH46="","",ROUND(MIN(K46,TOPE_AFC_UF*AJ46)*IF(AA46="Indefinido",AFC_EMP_INDEF,AFC_EMP_PF),0))</f>
        <v/>
      </c>
      <c r="AD46" s="71" t="str">
        <f aca="false">IF(AH46="","",ROUND(MIN(K46,TOPE_AFP_UF*AJ46)*(MUTUAL_BASICA+MUTUAL_ADIC+SANNA),0))</f>
        <v/>
      </c>
      <c r="AE46" s="71" t="str">
        <f aca="false">IF(AH46="","",P46-N(N46)+AB46+AC46+AD46)</f>
        <v/>
      </c>
      <c r="AF46" s="65"/>
      <c r="AG46" s="64"/>
      <c r="AH46" s="72" t="str">
        <f aca="false">IF(OR(B46="",C46=""),"",C46&amp;"|"&amp;(YEAR(B46)*100+MONTH(B46)))</f>
        <v/>
      </c>
      <c r="AI46" s="70" t="str">
        <f aca="false">IF(AH46="","",IF(COUNTIF(L_CLAVE,AH46)&gt;1,"⚠ Duplicado","OK"))</f>
        <v/>
      </c>
      <c r="AJ46" s="86" t="str">
        <f aca="false">IF(AH46="","",IF(SUMPRODUCT(MAX((IND_PER&lt;=B46)*(IND_UF&lt;&gt;"")*IND_PER))=0,UF_HOY,INDEX(IND_UF,MATCH(SUMPRODUCT(MAX((IND_PER&lt;=B46)*(IND_UF&lt;&gt;"")*IND_PER)),IND_PER,0))))</f>
        <v/>
      </c>
      <c r="AK46" s="87" t="str">
        <f aca="false">IF(AH46="","",IF(COUNTIF(TASA_DESDE,"&lt;="&amp;B46)=0,INDEX(TASA_EMP,1),INDEX(TASA_EMP,COUNTIF(TASA_DESDE,"&lt;="&amp;B46))))</f>
        <v/>
      </c>
    </row>
    <row r="47" customFormat="false" ht="15" hidden="false" customHeight="false" outlineLevel="0" collapsed="false">
      <c r="B47" s="78"/>
      <c r="C47" s="64"/>
      <c r="D47" s="72" t="str">
        <f aca="false">IF(C47="","",IFERROR(INDEX(T_NOMBRE,MATCH(C47,T_ID,0)),"⚠ ID no existe"))</f>
        <v/>
      </c>
      <c r="E47" s="69"/>
      <c r="F47" s="67"/>
      <c r="G47" s="67"/>
      <c r="H47" s="67"/>
      <c r="I47" s="67"/>
      <c r="J47" s="67"/>
      <c r="K47" s="85" t="str">
        <f aca="false">IF(AH47="","",N(F47)+N(G47)+N(H47)-N(I47)+N(J47))</f>
        <v/>
      </c>
      <c r="L47" s="67"/>
      <c r="M47" s="67"/>
      <c r="N47" s="67"/>
      <c r="O47" s="67"/>
      <c r="P47" s="85" t="str">
        <f aca="false">IF(AH47="","",K47+N(L47)+N(M47)+N(N47)+N(O47))</f>
        <v/>
      </c>
      <c r="Q47" s="67"/>
      <c r="R47" s="67"/>
      <c r="S47" s="67"/>
      <c r="T47" s="67"/>
      <c r="U47" s="67"/>
      <c r="V47" s="67"/>
      <c r="W47" s="85" t="str">
        <f aca="false">IF(AH47="","",N(Q47)+N(R47)+N(S47)+N(T47)+N(U47)+N(V47))</f>
        <v/>
      </c>
      <c r="X47" s="85" t="str">
        <f aca="false">IF(AH47="","",P47-W47)</f>
        <v/>
      </c>
      <c r="Y47" s="67"/>
      <c r="Z47" s="70" t="str">
        <f aca="false">IF(OR(AH47="",Y47=""),"",IF(ABS(X47-Y47)&lt;=1,"✓ Cuadra","⚠ Diferencia $"&amp;FIXED(X47-Y47,0)))</f>
        <v/>
      </c>
      <c r="AA47" s="72" t="str">
        <f aca="false">IF(AH47="","",IFERROR(INDEX(C_TIPO,MATCH(C47&amp;"-P"&amp;MAX(1,COUNTIFS(C_ID,C47,C_DEFINE,"Sí",C_INICIO,"&lt;="&amp;EOMONTH(B47,0))),C_CLAVE,0))&amp;"","Sin dato"))</f>
        <v/>
      </c>
      <c r="AB47" s="71" t="str">
        <f aca="false">IF(AH47="","",ROUND(MIN(K47,TOPE_AFP_UF*AJ47)*AK47,0))</f>
        <v/>
      </c>
      <c r="AC47" s="71" t="str">
        <f aca="false">IF(AH47="","",ROUND(MIN(K47,TOPE_AFC_UF*AJ47)*IF(AA47="Indefinido",AFC_EMP_INDEF,AFC_EMP_PF),0))</f>
        <v/>
      </c>
      <c r="AD47" s="71" t="str">
        <f aca="false">IF(AH47="","",ROUND(MIN(K47,TOPE_AFP_UF*AJ47)*(MUTUAL_BASICA+MUTUAL_ADIC+SANNA),0))</f>
        <v/>
      </c>
      <c r="AE47" s="71" t="str">
        <f aca="false">IF(AH47="","",P47-N(N47)+AB47+AC47+AD47)</f>
        <v/>
      </c>
      <c r="AF47" s="65"/>
      <c r="AG47" s="64"/>
      <c r="AH47" s="72" t="str">
        <f aca="false">IF(OR(B47="",C47=""),"",C47&amp;"|"&amp;(YEAR(B47)*100+MONTH(B47)))</f>
        <v/>
      </c>
      <c r="AI47" s="70" t="str">
        <f aca="false">IF(AH47="","",IF(COUNTIF(L_CLAVE,AH47)&gt;1,"⚠ Duplicado","OK"))</f>
        <v/>
      </c>
      <c r="AJ47" s="86" t="str">
        <f aca="false">IF(AH47="","",IF(SUMPRODUCT(MAX((IND_PER&lt;=B47)*(IND_UF&lt;&gt;"")*IND_PER))=0,UF_HOY,INDEX(IND_UF,MATCH(SUMPRODUCT(MAX((IND_PER&lt;=B47)*(IND_UF&lt;&gt;"")*IND_PER)),IND_PER,0))))</f>
        <v/>
      </c>
      <c r="AK47" s="87" t="str">
        <f aca="false">IF(AH47="","",IF(COUNTIF(TASA_DESDE,"&lt;="&amp;B47)=0,INDEX(TASA_EMP,1),INDEX(TASA_EMP,COUNTIF(TASA_DESDE,"&lt;="&amp;B47))))</f>
        <v/>
      </c>
    </row>
    <row r="48" customFormat="false" ht="15" hidden="false" customHeight="false" outlineLevel="0" collapsed="false">
      <c r="B48" s="78"/>
      <c r="C48" s="64"/>
      <c r="D48" s="72" t="str">
        <f aca="false">IF(C48="","",IFERROR(INDEX(T_NOMBRE,MATCH(C48,T_ID,0)),"⚠ ID no existe"))</f>
        <v/>
      </c>
      <c r="E48" s="69"/>
      <c r="F48" s="67"/>
      <c r="G48" s="67"/>
      <c r="H48" s="67"/>
      <c r="I48" s="67"/>
      <c r="J48" s="67"/>
      <c r="K48" s="85" t="str">
        <f aca="false">IF(AH48="","",N(F48)+N(G48)+N(H48)-N(I48)+N(J48))</f>
        <v/>
      </c>
      <c r="L48" s="67"/>
      <c r="M48" s="67"/>
      <c r="N48" s="67"/>
      <c r="O48" s="67"/>
      <c r="P48" s="85" t="str">
        <f aca="false">IF(AH48="","",K48+N(L48)+N(M48)+N(N48)+N(O48))</f>
        <v/>
      </c>
      <c r="Q48" s="67"/>
      <c r="R48" s="67"/>
      <c r="S48" s="67"/>
      <c r="T48" s="67"/>
      <c r="U48" s="67"/>
      <c r="V48" s="67"/>
      <c r="W48" s="85" t="str">
        <f aca="false">IF(AH48="","",N(Q48)+N(R48)+N(S48)+N(T48)+N(U48)+N(V48))</f>
        <v/>
      </c>
      <c r="X48" s="85" t="str">
        <f aca="false">IF(AH48="","",P48-W48)</f>
        <v/>
      </c>
      <c r="Y48" s="67"/>
      <c r="Z48" s="70" t="str">
        <f aca="false">IF(OR(AH48="",Y48=""),"",IF(ABS(X48-Y48)&lt;=1,"✓ Cuadra","⚠ Diferencia $"&amp;FIXED(X48-Y48,0)))</f>
        <v/>
      </c>
      <c r="AA48" s="72" t="str">
        <f aca="false">IF(AH48="","",IFERROR(INDEX(C_TIPO,MATCH(C48&amp;"-P"&amp;MAX(1,COUNTIFS(C_ID,C48,C_DEFINE,"Sí",C_INICIO,"&lt;="&amp;EOMONTH(B48,0))),C_CLAVE,0))&amp;"","Sin dato"))</f>
        <v/>
      </c>
      <c r="AB48" s="71" t="str">
        <f aca="false">IF(AH48="","",ROUND(MIN(K48,TOPE_AFP_UF*AJ48)*AK48,0))</f>
        <v/>
      </c>
      <c r="AC48" s="71" t="str">
        <f aca="false">IF(AH48="","",ROUND(MIN(K48,TOPE_AFC_UF*AJ48)*IF(AA48="Indefinido",AFC_EMP_INDEF,AFC_EMP_PF),0))</f>
        <v/>
      </c>
      <c r="AD48" s="71" t="str">
        <f aca="false">IF(AH48="","",ROUND(MIN(K48,TOPE_AFP_UF*AJ48)*(MUTUAL_BASICA+MUTUAL_ADIC+SANNA),0))</f>
        <v/>
      </c>
      <c r="AE48" s="71" t="str">
        <f aca="false">IF(AH48="","",P48-N(N48)+AB48+AC48+AD48)</f>
        <v/>
      </c>
      <c r="AF48" s="65"/>
      <c r="AG48" s="64"/>
      <c r="AH48" s="72" t="str">
        <f aca="false">IF(OR(B48="",C48=""),"",C48&amp;"|"&amp;(YEAR(B48)*100+MONTH(B48)))</f>
        <v/>
      </c>
      <c r="AI48" s="70" t="str">
        <f aca="false">IF(AH48="","",IF(COUNTIF(L_CLAVE,AH48)&gt;1,"⚠ Duplicado","OK"))</f>
        <v/>
      </c>
      <c r="AJ48" s="86" t="str">
        <f aca="false">IF(AH48="","",IF(SUMPRODUCT(MAX((IND_PER&lt;=B48)*(IND_UF&lt;&gt;"")*IND_PER))=0,UF_HOY,INDEX(IND_UF,MATCH(SUMPRODUCT(MAX((IND_PER&lt;=B48)*(IND_UF&lt;&gt;"")*IND_PER)),IND_PER,0))))</f>
        <v/>
      </c>
      <c r="AK48" s="87" t="str">
        <f aca="false">IF(AH48="","",IF(COUNTIF(TASA_DESDE,"&lt;="&amp;B48)=0,INDEX(TASA_EMP,1),INDEX(TASA_EMP,COUNTIF(TASA_DESDE,"&lt;="&amp;B48))))</f>
        <v/>
      </c>
    </row>
    <row r="49" customFormat="false" ht="15" hidden="false" customHeight="false" outlineLevel="0" collapsed="false">
      <c r="B49" s="78"/>
      <c r="C49" s="64"/>
      <c r="D49" s="72" t="str">
        <f aca="false">IF(C49="","",IFERROR(INDEX(T_NOMBRE,MATCH(C49,T_ID,0)),"⚠ ID no existe"))</f>
        <v/>
      </c>
      <c r="E49" s="69"/>
      <c r="F49" s="67"/>
      <c r="G49" s="67"/>
      <c r="H49" s="67"/>
      <c r="I49" s="67"/>
      <c r="J49" s="67"/>
      <c r="K49" s="85" t="str">
        <f aca="false">IF(AH49="","",N(F49)+N(G49)+N(H49)-N(I49)+N(J49))</f>
        <v/>
      </c>
      <c r="L49" s="67"/>
      <c r="M49" s="67"/>
      <c r="N49" s="67"/>
      <c r="O49" s="67"/>
      <c r="P49" s="85" t="str">
        <f aca="false">IF(AH49="","",K49+N(L49)+N(M49)+N(N49)+N(O49))</f>
        <v/>
      </c>
      <c r="Q49" s="67"/>
      <c r="R49" s="67"/>
      <c r="S49" s="67"/>
      <c r="T49" s="67"/>
      <c r="U49" s="67"/>
      <c r="V49" s="67"/>
      <c r="W49" s="85" t="str">
        <f aca="false">IF(AH49="","",N(Q49)+N(R49)+N(S49)+N(T49)+N(U49)+N(V49))</f>
        <v/>
      </c>
      <c r="X49" s="85" t="str">
        <f aca="false">IF(AH49="","",P49-W49)</f>
        <v/>
      </c>
      <c r="Y49" s="67"/>
      <c r="Z49" s="70" t="str">
        <f aca="false">IF(OR(AH49="",Y49=""),"",IF(ABS(X49-Y49)&lt;=1,"✓ Cuadra","⚠ Diferencia $"&amp;FIXED(X49-Y49,0)))</f>
        <v/>
      </c>
      <c r="AA49" s="72" t="str">
        <f aca="false">IF(AH49="","",IFERROR(INDEX(C_TIPO,MATCH(C49&amp;"-P"&amp;MAX(1,COUNTIFS(C_ID,C49,C_DEFINE,"Sí",C_INICIO,"&lt;="&amp;EOMONTH(B49,0))),C_CLAVE,0))&amp;"","Sin dato"))</f>
        <v/>
      </c>
      <c r="AB49" s="71" t="str">
        <f aca="false">IF(AH49="","",ROUND(MIN(K49,TOPE_AFP_UF*AJ49)*AK49,0))</f>
        <v/>
      </c>
      <c r="AC49" s="71" t="str">
        <f aca="false">IF(AH49="","",ROUND(MIN(K49,TOPE_AFC_UF*AJ49)*IF(AA49="Indefinido",AFC_EMP_INDEF,AFC_EMP_PF),0))</f>
        <v/>
      </c>
      <c r="AD49" s="71" t="str">
        <f aca="false">IF(AH49="","",ROUND(MIN(K49,TOPE_AFP_UF*AJ49)*(MUTUAL_BASICA+MUTUAL_ADIC+SANNA),0))</f>
        <v/>
      </c>
      <c r="AE49" s="71" t="str">
        <f aca="false">IF(AH49="","",P49-N(N49)+AB49+AC49+AD49)</f>
        <v/>
      </c>
      <c r="AF49" s="65"/>
      <c r="AG49" s="64"/>
      <c r="AH49" s="72" t="str">
        <f aca="false">IF(OR(B49="",C49=""),"",C49&amp;"|"&amp;(YEAR(B49)*100+MONTH(B49)))</f>
        <v/>
      </c>
      <c r="AI49" s="70" t="str">
        <f aca="false">IF(AH49="","",IF(COUNTIF(L_CLAVE,AH49)&gt;1,"⚠ Duplicado","OK"))</f>
        <v/>
      </c>
      <c r="AJ49" s="86" t="str">
        <f aca="false">IF(AH49="","",IF(SUMPRODUCT(MAX((IND_PER&lt;=B49)*(IND_UF&lt;&gt;"")*IND_PER))=0,UF_HOY,INDEX(IND_UF,MATCH(SUMPRODUCT(MAX((IND_PER&lt;=B49)*(IND_UF&lt;&gt;"")*IND_PER)),IND_PER,0))))</f>
        <v/>
      </c>
      <c r="AK49" s="87" t="str">
        <f aca="false">IF(AH49="","",IF(COUNTIF(TASA_DESDE,"&lt;="&amp;B49)=0,INDEX(TASA_EMP,1),INDEX(TASA_EMP,COUNTIF(TASA_DESDE,"&lt;="&amp;B49))))</f>
        <v/>
      </c>
    </row>
    <row r="50" customFormat="false" ht="15" hidden="false" customHeight="false" outlineLevel="0" collapsed="false">
      <c r="B50" s="78"/>
      <c r="C50" s="64"/>
      <c r="D50" s="72" t="str">
        <f aca="false">IF(C50="","",IFERROR(INDEX(T_NOMBRE,MATCH(C50,T_ID,0)),"⚠ ID no existe"))</f>
        <v/>
      </c>
      <c r="E50" s="69"/>
      <c r="F50" s="67"/>
      <c r="G50" s="67"/>
      <c r="H50" s="67"/>
      <c r="I50" s="67"/>
      <c r="J50" s="67"/>
      <c r="K50" s="85" t="str">
        <f aca="false">IF(AH50="","",N(F50)+N(G50)+N(H50)-N(I50)+N(J50))</f>
        <v/>
      </c>
      <c r="L50" s="67"/>
      <c r="M50" s="67"/>
      <c r="N50" s="67"/>
      <c r="O50" s="67"/>
      <c r="P50" s="85" t="str">
        <f aca="false">IF(AH50="","",K50+N(L50)+N(M50)+N(N50)+N(O50))</f>
        <v/>
      </c>
      <c r="Q50" s="67"/>
      <c r="R50" s="67"/>
      <c r="S50" s="67"/>
      <c r="T50" s="67"/>
      <c r="U50" s="67"/>
      <c r="V50" s="67"/>
      <c r="W50" s="85" t="str">
        <f aca="false">IF(AH50="","",N(Q50)+N(R50)+N(S50)+N(T50)+N(U50)+N(V50))</f>
        <v/>
      </c>
      <c r="X50" s="85" t="str">
        <f aca="false">IF(AH50="","",P50-W50)</f>
        <v/>
      </c>
      <c r="Y50" s="67"/>
      <c r="Z50" s="70" t="str">
        <f aca="false">IF(OR(AH50="",Y50=""),"",IF(ABS(X50-Y50)&lt;=1,"✓ Cuadra","⚠ Diferencia $"&amp;FIXED(X50-Y50,0)))</f>
        <v/>
      </c>
      <c r="AA50" s="72" t="str">
        <f aca="false">IF(AH50="","",IFERROR(INDEX(C_TIPO,MATCH(C50&amp;"-P"&amp;MAX(1,COUNTIFS(C_ID,C50,C_DEFINE,"Sí",C_INICIO,"&lt;="&amp;EOMONTH(B50,0))),C_CLAVE,0))&amp;"","Sin dato"))</f>
        <v/>
      </c>
      <c r="AB50" s="71" t="str">
        <f aca="false">IF(AH50="","",ROUND(MIN(K50,TOPE_AFP_UF*AJ50)*AK50,0))</f>
        <v/>
      </c>
      <c r="AC50" s="71" t="str">
        <f aca="false">IF(AH50="","",ROUND(MIN(K50,TOPE_AFC_UF*AJ50)*IF(AA50="Indefinido",AFC_EMP_INDEF,AFC_EMP_PF),0))</f>
        <v/>
      </c>
      <c r="AD50" s="71" t="str">
        <f aca="false">IF(AH50="","",ROUND(MIN(K50,TOPE_AFP_UF*AJ50)*(MUTUAL_BASICA+MUTUAL_ADIC+SANNA),0))</f>
        <v/>
      </c>
      <c r="AE50" s="71" t="str">
        <f aca="false">IF(AH50="","",P50-N(N50)+AB50+AC50+AD50)</f>
        <v/>
      </c>
      <c r="AF50" s="65"/>
      <c r="AG50" s="64"/>
      <c r="AH50" s="72" t="str">
        <f aca="false">IF(OR(B50="",C50=""),"",C50&amp;"|"&amp;(YEAR(B50)*100+MONTH(B50)))</f>
        <v/>
      </c>
      <c r="AI50" s="70" t="str">
        <f aca="false">IF(AH50="","",IF(COUNTIF(L_CLAVE,AH50)&gt;1,"⚠ Duplicado","OK"))</f>
        <v/>
      </c>
      <c r="AJ50" s="86" t="str">
        <f aca="false">IF(AH50="","",IF(SUMPRODUCT(MAX((IND_PER&lt;=B50)*(IND_UF&lt;&gt;"")*IND_PER))=0,UF_HOY,INDEX(IND_UF,MATCH(SUMPRODUCT(MAX((IND_PER&lt;=B50)*(IND_UF&lt;&gt;"")*IND_PER)),IND_PER,0))))</f>
        <v/>
      </c>
      <c r="AK50" s="87" t="str">
        <f aca="false">IF(AH50="","",IF(COUNTIF(TASA_DESDE,"&lt;="&amp;B50)=0,INDEX(TASA_EMP,1),INDEX(TASA_EMP,COUNTIF(TASA_DESDE,"&lt;="&amp;B50))))</f>
        <v/>
      </c>
    </row>
    <row r="51" customFormat="false" ht="15" hidden="false" customHeight="false" outlineLevel="0" collapsed="false">
      <c r="B51" s="78"/>
      <c r="C51" s="64"/>
      <c r="D51" s="72" t="str">
        <f aca="false">IF(C51="","",IFERROR(INDEX(T_NOMBRE,MATCH(C51,T_ID,0)),"⚠ ID no existe"))</f>
        <v/>
      </c>
      <c r="E51" s="69"/>
      <c r="F51" s="67"/>
      <c r="G51" s="67"/>
      <c r="H51" s="67"/>
      <c r="I51" s="67"/>
      <c r="J51" s="67"/>
      <c r="K51" s="85" t="str">
        <f aca="false">IF(AH51="","",N(F51)+N(G51)+N(H51)-N(I51)+N(J51))</f>
        <v/>
      </c>
      <c r="L51" s="67"/>
      <c r="M51" s="67"/>
      <c r="N51" s="67"/>
      <c r="O51" s="67"/>
      <c r="P51" s="85" t="str">
        <f aca="false">IF(AH51="","",K51+N(L51)+N(M51)+N(N51)+N(O51))</f>
        <v/>
      </c>
      <c r="Q51" s="67"/>
      <c r="R51" s="67"/>
      <c r="S51" s="67"/>
      <c r="T51" s="67"/>
      <c r="U51" s="67"/>
      <c r="V51" s="67"/>
      <c r="W51" s="85" t="str">
        <f aca="false">IF(AH51="","",N(Q51)+N(R51)+N(S51)+N(T51)+N(U51)+N(V51))</f>
        <v/>
      </c>
      <c r="X51" s="85" t="str">
        <f aca="false">IF(AH51="","",P51-W51)</f>
        <v/>
      </c>
      <c r="Y51" s="67"/>
      <c r="Z51" s="70" t="str">
        <f aca="false">IF(OR(AH51="",Y51=""),"",IF(ABS(X51-Y51)&lt;=1,"✓ Cuadra","⚠ Diferencia $"&amp;FIXED(X51-Y51,0)))</f>
        <v/>
      </c>
      <c r="AA51" s="72" t="str">
        <f aca="false">IF(AH51="","",IFERROR(INDEX(C_TIPO,MATCH(C51&amp;"-P"&amp;MAX(1,COUNTIFS(C_ID,C51,C_DEFINE,"Sí",C_INICIO,"&lt;="&amp;EOMONTH(B51,0))),C_CLAVE,0))&amp;"","Sin dato"))</f>
        <v/>
      </c>
      <c r="AB51" s="71" t="str">
        <f aca="false">IF(AH51="","",ROUND(MIN(K51,TOPE_AFP_UF*AJ51)*AK51,0))</f>
        <v/>
      </c>
      <c r="AC51" s="71" t="str">
        <f aca="false">IF(AH51="","",ROUND(MIN(K51,TOPE_AFC_UF*AJ51)*IF(AA51="Indefinido",AFC_EMP_INDEF,AFC_EMP_PF),0))</f>
        <v/>
      </c>
      <c r="AD51" s="71" t="str">
        <f aca="false">IF(AH51="","",ROUND(MIN(K51,TOPE_AFP_UF*AJ51)*(MUTUAL_BASICA+MUTUAL_ADIC+SANNA),0))</f>
        <v/>
      </c>
      <c r="AE51" s="71" t="str">
        <f aca="false">IF(AH51="","",P51-N(N51)+AB51+AC51+AD51)</f>
        <v/>
      </c>
      <c r="AF51" s="65"/>
      <c r="AG51" s="64"/>
      <c r="AH51" s="72" t="str">
        <f aca="false">IF(OR(B51="",C51=""),"",C51&amp;"|"&amp;(YEAR(B51)*100+MONTH(B51)))</f>
        <v/>
      </c>
      <c r="AI51" s="70" t="str">
        <f aca="false">IF(AH51="","",IF(COUNTIF(L_CLAVE,AH51)&gt;1,"⚠ Duplicado","OK"))</f>
        <v/>
      </c>
      <c r="AJ51" s="86" t="str">
        <f aca="false">IF(AH51="","",IF(SUMPRODUCT(MAX((IND_PER&lt;=B51)*(IND_UF&lt;&gt;"")*IND_PER))=0,UF_HOY,INDEX(IND_UF,MATCH(SUMPRODUCT(MAX((IND_PER&lt;=B51)*(IND_UF&lt;&gt;"")*IND_PER)),IND_PER,0))))</f>
        <v/>
      </c>
      <c r="AK51" s="87" t="str">
        <f aca="false">IF(AH51="","",IF(COUNTIF(TASA_DESDE,"&lt;="&amp;B51)=0,INDEX(TASA_EMP,1),INDEX(TASA_EMP,COUNTIF(TASA_DESDE,"&lt;="&amp;B51))))</f>
        <v/>
      </c>
    </row>
    <row r="52" customFormat="false" ht="15" hidden="false" customHeight="false" outlineLevel="0" collapsed="false">
      <c r="B52" s="78"/>
      <c r="C52" s="64"/>
      <c r="D52" s="72" t="str">
        <f aca="false">IF(C52="","",IFERROR(INDEX(T_NOMBRE,MATCH(C52,T_ID,0)),"⚠ ID no existe"))</f>
        <v/>
      </c>
      <c r="E52" s="69"/>
      <c r="F52" s="67"/>
      <c r="G52" s="67"/>
      <c r="H52" s="67"/>
      <c r="I52" s="67"/>
      <c r="J52" s="67"/>
      <c r="K52" s="85" t="str">
        <f aca="false">IF(AH52="","",N(F52)+N(G52)+N(H52)-N(I52)+N(J52))</f>
        <v/>
      </c>
      <c r="L52" s="67"/>
      <c r="M52" s="67"/>
      <c r="N52" s="67"/>
      <c r="O52" s="67"/>
      <c r="P52" s="85" t="str">
        <f aca="false">IF(AH52="","",K52+N(L52)+N(M52)+N(N52)+N(O52))</f>
        <v/>
      </c>
      <c r="Q52" s="67"/>
      <c r="R52" s="67"/>
      <c r="S52" s="67"/>
      <c r="T52" s="67"/>
      <c r="U52" s="67"/>
      <c r="V52" s="67"/>
      <c r="W52" s="85" t="str">
        <f aca="false">IF(AH52="","",N(Q52)+N(R52)+N(S52)+N(T52)+N(U52)+N(V52))</f>
        <v/>
      </c>
      <c r="X52" s="85" t="str">
        <f aca="false">IF(AH52="","",P52-W52)</f>
        <v/>
      </c>
      <c r="Y52" s="67"/>
      <c r="Z52" s="70" t="str">
        <f aca="false">IF(OR(AH52="",Y52=""),"",IF(ABS(X52-Y52)&lt;=1,"✓ Cuadra","⚠ Diferencia $"&amp;FIXED(X52-Y52,0)))</f>
        <v/>
      </c>
      <c r="AA52" s="72" t="str">
        <f aca="false">IF(AH52="","",IFERROR(INDEX(C_TIPO,MATCH(C52&amp;"-P"&amp;MAX(1,COUNTIFS(C_ID,C52,C_DEFINE,"Sí",C_INICIO,"&lt;="&amp;EOMONTH(B52,0))),C_CLAVE,0))&amp;"","Sin dato"))</f>
        <v/>
      </c>
      <c r="AB52" s="71" t="str">
        <f aca="false">IF(AH52="","",ROUND(MIN(K52,TOPE_AFP_UF*AJ52)*AK52,0))</f>
        <v/>
      </c>
      <c r="AC52" s="71" t="str">
        <f aca="false">IF(AH52="","",ROUND(MIN(K52,TOPE_AFC_UF*AJ52)*IF(AA52="Indefinido",AFC_EMP_INDEF,AFC_EMP_PF),0))</f>
        <v/>
      </c>
      <c r="AD52" s="71" t="str">
        <f aca="false">IF(AH52="","",ROUND(MIN(K52,TOPE_AFP_UF*AJ52)*(MUTUAL_BASICA+MUTUAL_ADIC+SANNA),0))</f>
        <v/>
      </c>
      <c r="AE52" s="71" t="str">
        <f aca="false">IF(AH52="","",P52-N(N52)+AB52+AC52+AD52)</f>
        <v/>
      </c>
      <c r="AF52" s="65"/>
      <c r="AG52" s="64"/>
      <c r="AH52" s="72" t="str">
        <f aca="false">IF(OR(B52="",C52=""),"",C52&amp;"|"&amp;(YEAR(B52)*100+MONTH(B52)))</f>
        <v/>
      </c>
      <c r="AI52" s="70" t="str">
        <f aca="false">IF(AH52="","",IF(COUNTIF(L_CLAVE,AH52)&gt;1,"⚠ Duplicado","OK"))</f>
        <v/>
      </c>
      <c r="AJ52" s="86" t="str">
        <f aca="false">IF(AH52="","",IF(SUMPRODUCT(MAX((IND_PER&lt;=B52)*(IND_UF&lt;&gt;"")*IND_PER))=0,UF_HOY,INDEX(IND_UF,MATCH(SUMPRODUCT(MAX((IND_PER&lt;=B52)*(IND_UF&lt;&gt;"")*IND_PER)),IND_PER,0))))</f>
        <v/>
      </c>
      <c r="AK52" s="87" t="str">
        <f aca="false">IF(AH52="","",IF(COUNTIF(TASA_DESDE,"&lt;="&amp;B52)=0,INDEX(TASA_EMP,1),INDEX(TASA_EMP,COUNTIF(TASA_DESDE,"&lt;="&amp;B52))))</f>
        <v/>
      </c>
    </row>
    <row r="53" customFormat="false" ht="15" hidden="false" customHeight="false" outlineLevel="0" collapsed="false">
      <c r="B53" s="78"/>
      <c r="C53" s="64"/>
      <c r="D53" s="72" t="str">
        <f aca="false">IF(C53="","",IFERROR(INDEX(T_NOMBRE,MATCH(C53,T_ID,0)),"⚠ ID no existe"))</f>
        <v/>
      </c>
      <c r="E53" s="69"/>
      <c r="F53" s="67"/>
      <c r="G53" s="67"/>
      <c r="H53" s="67"/>
      <c r="I53" s="67"/>
      <c r="J53" s="67"/>
      <c r="K53" s="85" t="str">
        <f aca="false">IF(AH53="","",N(F53)+N(G53)+N(H53)-N(I53)+N(J53))</f>
        <v/>
      </c>
      <c r="L53" s="67"/>
      <c r="M53" s="67"/>
      <c r="N53" s="67"/>
      <c r="O53" s="67"/>
      <c r="P53" s="85" t="str">
        <f aca="false">IF(AH53="","",K53+N(L53)+N(M53)+N(N53)+N(O53))</f>
        <v/>
      </c>
      <c r="Q53" s="67"/>
      <c r="R53" s="67"/>
      <c r="S53" s="67"/>
      <c r="T53" s="67"/>
      <c r="U53" s="67"/>
      <c r="V53" s="67"/>
      <c r="W53" s="85" t="str">
        <f aca="false">IF(AH53="","",N(Q53)+N(R53)+N(S53)+N(T53)+N(U53)+N(V53))</f>
        <v/>
      </c>
      <c r="X53" s="85" t="str">
        <f aca="false">IF(AH53="","",P53-W53)</f>
        <v/>
      </c>
      <c r="Y53" s="67"/>
      <c r="Z53" s="70" t="str">
        <f aca="false">IF(OR(AH53="",Y53=""),"",IF(ABS(X53-Y53)&lt;=1,"✓ Cuadra","⚠ Diferencia $"&amp;FIXED(X53-Y53,0)))</f>
        <v/>
      </c>
      <c r="AA53" s="72" t="str">
        <f aca="false">IF(AH53="","",IFERROR(INDEX(C_TIPO,MATCH(C53&amp;"-P"&amp;MAX(1,COUNTIFS(C_ID,C53,C_DEFINE,"Sí",C_INICIO,"&lt;="&amp;EOMONTH(B53,0))),C_CLAVE,0))&amp;"","Sin dato"))</f>
        <v/>
      </c>
      <c r="AB53" s="71" t="str">
        <f aca="false">IF(AH53="","",ROUND(MIN(K53,TOPE_AFP_UF*AJ53)*AK53,0))</f>
        <v/>
      </c>
      <c r="AC53" s="71" t="str">
        <f aca="false">IF(AH53="","",ROUND(MIN(K53,TOPE_AFC_UF*AJ53)*IF(AA53="Indefinido",AFC_EMP_INDEF,AFC_EMP_PF),0))</f>
        <v/>
      </c>
      <c r="AD53" s="71" t="str">
        <f aca="false">IF(AH53="","",ROUND(MIN(K53,TOPE_AFP_UF*AJ53)*(MUTUAL_BASICA+MUTUAL_ADIC+SANNA),0))</f>
        <v/>
      </c>
      <c r="AE53" s="71" t="str">
        <f aca="false">IF(AH53="","",P53-N(N53)+AB53+AC53+AD53)</f>
        <v/>
      </c>
      <c r="AF53" s="65"/>
      <c r="AG53" s="64"/>
      <c r="AH53" s="72" t="str">
        <f aca="false">IF(OR(B53="",C53=""),"",C53&amp;"|"&amp;(YEAR(B53)*100+MONTH(B53)))</f>
        <v/>
      </c>
      <c r="AI53" s="70" t="str">
        <f aca="false">IF(AH53="","",IF(COUNTIF(L_CLAVE,AH53)&gt;1,"⚠ Duplicado","OK"))</f>
        <v/>
      </c>
      <c r="AJ53" s="86" t="str">
        <f aca="false">IF(AH53="","",IF(SUMPRODUCT(MAX((IND_PER&lt;=B53)*(IND_UF&lt;&gt;"")*IND_PER))=0,UF_HOY,INDEX(IND_UF,MATCH(SUMPRODUCT(MAX((IND_PER&lt;=B53)*(IND_UF&lt;&gt;"")*IND_PER)),IND_PER,0))))</f>
        <v/>
      </c>
      <c r="AK53" s="87" t="str">
        <f aca="false">IF(AH53="","",IF(COUNTIF(TASA_DESDE,"&lt;="&amp;B53)=0,INDEX(TASA_EMP,1),INDEX(TASA_EMP,COUNTIF(TASA_DESDE,"&lt;="&amp;B53))))</f>
        <v/>
      </c>
    </row>
    <row r="54" customFormat="false" ht="15" hidden="false" customHeight="false" outlineLevel="0" collapsed="false">
      <c r="B54" s="78"/>
      <c r="C54" s="64"/>
      <c r="D54" s="72" t="str">
        <f aca="false">IF(C54="","",IFERROR(INDEX(T_NOMBRE,MATCH(C54,T_ID,0)),"⚠ ID no existe"))</f>
        <v/>
      </c>
      <c r="E54" s="69"/>
      <c r="F54" s="67"/>
      <c r="G54" s="67"/>
      <c r="H54" s="67"/>
      <c r="I54" s="67"/>
      <c r="J54" s="67"/>
      <c r="K54" s="85" t="str">
        <f aca="false">IF(AH54="","",N(F54)+N(G54)+N(H54)-N(I54)+N(J54))</f>
        <v/>
      </c>
      <c r="L54" s="67"/>
      <c r="M54" s="67"/>
      <c r="N54" s="67"/>
      <c r="O54" s="67"/>
      <c r="P54" s="85" t="str">
        <f aca="false">IF(AH54="","",K54+N(L54)+N(M54)+N(N54)+N(O54))</f>
        <v/>
      </c>
      <c r="Q54" s="67"/>
      <c r="R54" s="67"/>
      <c r="S54" s="67"/>
      <c r="T54" s="67"/>
      <c r="U54" s="67"/>
      <c r="V54" s="67"/>
      <c r="W54" s="85" t="str">
        <f aca="false">IF(AH54="","",N(Q54)+N(R54)+N(S54)+N(T54)+N(U54)+N(V54))</f>
        <v/>
      </c>
      <c r="X54" s="85" t="str">
        <f aca="false">IF(AH54="","",P54-W54)</f>
        <v/>
      </c>
      <c r="Y54" s="67"/>
      <c r="Z54" s="70" t="str">
        <f aca="false">IF(OR(AH54="",Y54=""),"",IF(ABS(X54-Y54)&lt;=1,"✓ Cuadra","⚠ Diferencia $"&amp;FIXED(X54-Y54,0)))</f>
        <v/>
      </c>
      <c r="AA54" s="72" t="str">
        <f aca="false">IF(AH54="","",IFERROR(INDEX(C_TIPO,MATCH(C54&amp;"-P"&amp;MAX(1,COUNTIFS(C_ID,C54,C_DEFINE,"Sí",C_INICIO,"&lt;="&amp;EOMONTH(B54,0))),C_CLAVE,0))&amp;"","Sin dato"))</f>
        <v/>
      </c>
      <c r="AB54" s="71" t="str">
        <f aca="false">IF(AH54="","",ROUND(MIN(K54,TOPE_AFP_UF*AJ54)*AK54,0))</f>
        <v/>
      </c>
      <c r="AC54" s="71" t="str">
        <f aca="false">IF(AH54="","",ROUND(MIN(K54,TOPE_AFC_UF*AJ54)*IF(AA54="Indefinido",AFC_EMP_INDEF,AFC_EMP_PF),0))</f>
        <v/>
      </c>
      <c r="AD54" s="71" t="str">
        <f aca="false">IF(AH54="","",ROUND(MIN(K54,TOPE_AFP_UF*AJ54)*(MUTUAL_BASICA+MUTUAL_ADIC+SANNA),0))</f>
        <v/>
      </c>
      <c r="AE54" s="71" t="str">
        <f aca="false">IF(AH54="","",P54-N(N54)+AB54+AC54+AD54)</f>
        <v/>
      </c>
      <c r="AF54" s="65"/>
      <c r="AG54" s="64"/>
      <c r="AH54" s="72" t="str">
        <f aca="false">IF(OR(B54="",C54=""),"",C54&amp;"|"&amp;(YEAR(B54)*100+MONTH(B54)))</f>
        <v/>
      </c>
      <c r="AI54" s="70" t="str">
        <f aca="false">IF(AH54="","",IF(COUNTIF(L_CLAVE,AH54)&gt;1,"⚠ Duplicado","OK"))</f>
        <v/>
      </c>
      <c r="AJ54" s="86" t="str">
        <f aca="false">IF(AH54="","",IF(SUMPRODUCT(MAX((IND_PER&lt;=B54)*(IND_UF&lt;&gt;"")*IND_PER))=0,UF_HOY,INDEX(IND_UF,MATCH(SUMPRODUCT(MAX((IND_PER&lt;=B54)*(IND_UF&lt;&gt;"")*IND_PER)),IND_PER,0))))</f>
        <v/>
      </c>
      <c r="AK54" s="87" t="str">
        <f aca="false">IF(AH54="","",IF(COUNTIF(TASA_DESDE,"&lt;="&amp;B54)=0,INDEX(TASA_EMP,1),INDEX(TASA_EMP,COUNTIF(TASA_DESDE,"&lt;="&amp;B54))))</f>
        <v/>
      </c>
    </row>
    <row r="55" customFormat="false" ht="15" hidden="false" customHeight="false" outlineLevel="0" collapsed="false">
      <c r="B55" s="78"/>
      <c r="C55" s="64"/>
      <c r="D55" s="72" t="str">
        <f aca="false">IF(C55="","",IFERROR(INDEX(T_NOMBRE,MATCH(C55,T_ID,0)),"⚠ ID no existe"))</f>
        <v/>
      </c>
      <c r="E55" s="69"/>
      <c r="F55" s="67"/>
      <c r="G55" s="67"/>
      <c r="H55" s="67"/>
      <c r="I55" s="67"/>
      <c r="J55" s="67"/>
      <c r="K55" s="85" t="str">
        <f aca="false">IF(AH55="","",N(F55)+N(G55)+N(H55)-N(I55)+N(J55))</f>
        <v/>
      </c>
      <c r="L55" s="67"/>
      <c r="M55" s="67"/>
      <c r="N55" s="67"/>
      <c r="O55" s="67"/>
      <c r="P55" s="85" t="str">
        <f aca="false">IF(AH55="","",K55+N(L55)+N(M55)+N(N55)+N(O55))</f>
        <v/>
      </c>
      <c r="Q55" s="67"/>
      <c r="R55" s="67"/>
      <c r="S55" s="67"/>
      <c r="T55" s="67"/>
      <c r="U55" s="67"/>
      <c r="V55" s="67"/>
      <c r="W55" s="85" t="str">
        <f aca="false">IF(AH55="","",N(Q55)+N(R55)+N(S55)+N(T55)+N(U55)+N(V55))</f>
        <v/>
      </c>
      <c r="X55" s="85" t="str">
        <f aca="false">IF(AH55="","",P55-W55)</f>
        <v/>
      </c>
      <c r="Y55" s="67"/>
      <c r="Z55" s="70" t="str">
        <f aca="false">IF(OR(AH55="",Y55=""),"",IF(ABS(X55-Y55)&lt;=1,"✓ Cuadra","⚠ Diferencia $"&amp;FIXED(X55-Y55,0)))</f>
        <v/>
      </c>
      <c r="AA55" s="72" t="str">
        <f aca="false">IF(AH55="","",IFERROR(INDEX(C_TIPO,MATCH(C55&amp;"-P"&amp;MAX(1,COUNTIFS(C_ID,C55,C_DEFINE,"Sí",C_INICIO,"&lt;="&amp;EOMONTH(B55,0))),C_CLAVE,0))&amp;"","Sin dato"))</f>
        <v/>
      </c>
      <c r="AB55" s="71" t="str">
        <f aca="false">IF(AH55="","",ROUND(MIN(K55,TOPE_AFP_UF*AJ55)*AK55,0))</f>
        <v/>
      </c>
      <c r="AC55" s="71" t="str">
        <f aca="false">IF(AH55="","",ROUND(MIN(K55,TOPE_AFC_UF*AJ55)*IF(AA55="Indefinido",AFC_EMP_INDEF,AFC_EMP_PF),0))</f>
        <v/>
      </c>
      <c r="AD55" s="71" t="str">
        <f aca="false">IF(AH55="","",ROUND(MIN(K55,TOPE_AFP_UF*AJ55)*(MUTUAL_BASICA+MUTUAL_ADIC+SANNA),0))</f>
        <v/>
      </c>
      <c r="AE55" s="71" t="str">
        <f aca="false">IF(AH55="","",P55-N(N55)+AB55+AC55+AD55)</f>
        <v/>
      </c>
      <c r="AF55" s="65"/>
      <c r="AG55" s="64"/>
      <c r="AH55" s="72" t="str">
        <f aca="false">IF(OR(B55="",C55=""),"",C55&amp;"|"&amp;(YEAR(B55)*100+MONTH(B55)))</f>
        <v/>
      </c>
      <c r="AI55" s="70" t="str">
        <f aca="false">IF(AH55="","",IF(COUNTIF(L_CLAVE,AH55)&gt;1,"⚠ Duplicado","OK"))</f>
        <v/>
      </c>
      <c r="AJ55" s="86" t="str">
        <f aca="false">IF(AH55="","",IF(SUMPRODUCT(MAX((IND_PER&lt;=B55)*(IND_UF&lt;&gt;"")*IND_PER))=0,UF_HOY,INDEX(IND_UF,MATCH(SUMPRODUCT(MAX((IND_PER&lt;=B55)*(IND_UF&lt;&gt;"")*IND_PER)),IND_PER,0))))</f>
        <v/>
      </c>
      <c r="AK55" s="87" t="str">
        <f aca="false">IF(AH55="","",IF(COUNTIF(TASA_DESDE,"&lt;="&amp;B55)=0,INDEX(TASA_EMP,1),INDEX(TASA_EMP,COUNTIF(TASA_DESDE,"&lt;="&amp;B55))))</f>
        <v/>
      </c>
    </row>
    <row r="56" customFormat="false" ht="15" hidden="false" customHeight="false" outlineLevel="0" collapsed="false">
      <c r="B56" s="78"/>
      <c r="C56" s="64"/>
      <c r="D56" s="72" t="str">
        <f aca="false">IF(C56="","",IFERROR(INDEX(T_NOMBRE,MATCH(C56,T_ID,0)),"⚠ ID no existe"))</f>
        <v/>
      </c>
      <c r="E56" s="69"/>
      <c r="F56" s="67"/>
      <c r="G56" s="67"/>
      <c r="H56" s="67"/>
      <c r="I56" s="67"/>
      <c r="J56" s="67"/>
      <c r="K56" s="85" t="str">
        <f aca="false">IF(AH56="","",N(F56)+N(G56)+N(H56)-N(I56)+N(J56))</f>
        <v/>
      </c>
      <c r="L56" s="67"/>
      <c r="M56" s="67"/>
      <c r="N56" s="67"/>
      <c r="O56" s="67"/>
      <c r="P56" s="85" t="str">
        <f aca="false">IF(AH56="","",K56+N(L56)+N(M56)+N(N56)+N(O56))</f>
        <v/>
      </c>
      <c r="Q56" s="67"/>
      <c r="R56" s="67"/>
      <c r="S56" s="67"/>
      <c r="T56" s="67"/>
      <c r="U56" s="67"/>
      <c r="V56" s="67"/>
      <c r="W56" s="85" t="str">
        <f aca="false">IF(AH56="","",N(Q56)+N(R56)+N(S56)+N(T56)+N(U56)+N(V56))</f>
        <v/>
      </c>
      <c r="X56" s="85" t="str">
        <f aca="false">IF(AH56="","",P56-W56)</f>
        <v/>
      </c>
      <c r="Y56" s="67"/>
      <c r="Z56" s="70" t="str">
        <f aca="false">IF(OR(AH56="",Y56=""),"",IF(ABS(X56-Y56)&lt;=1,"✓ Cuadra","⚠ Diferencia $"&amp;FIXED(X56-Y56,0)))</f>
        <v/>
      </c>
      <c r="AA56" s="72" t="str">
        <f aca="false">IF(AH56="","",IFERROR(INDEX(C_TIPO,MATCH(C56&amp;"-P"&amp;MAX(1,COUNTIFS(C_ID,C56,C_DEFINE,"Sí",C_INICIO,"&lt;="&amp;EOMONTH(B56,0))),C_CLAVE,0))&amp;"","Sin dato"))</f>
        <v/>
      </c>
      <c r="AB56" s="71" t="str">
        <f aca="false">IF(AH56="","",ROUND(MIN(K56,TOPE_AFP_UF*AJ56)*AK56,0))</f>
        <v/>
      </c>
      <c r="AC56" s="71" t="str">
        <f aca="false">IF(AH56="","",ROUND(MIN(K56,TOPE_AFC_UF*AJ56)*IF(AA56="Indefinido",AFC_EMP_INDEF,AFC_EMP_PF),0))</f>
        <v/>
      </c>
      <c r="AD56" s="71" t="str">
        <f aca="false">IF(AH56="","",ROUND(MIN(K56,TOPE_AFP_UF*AJ56)*(MUTUAL_BASICA+MUTUAL_ADIC+SANNA),0))</f>
        <v/>
      </c>
      <c r="AE56" s="71" t="str">
        <f aca="false">IF(AH56="","",P56-N(N56)+AB56+AC56+AD56)</f>
        <v/>
      </c>
      <c r="AF56" s="65"/>
      <c r="AG56" s="64"/>
      <c r="AH56" s="72" t="str">
        <f aca="false">IF(OR(B56="",C56=""),"",C56&amp;"|"&amp;(YEAR(B56)*100+MONTH(B56)))</f>
        <v/>
      </c>
      <c r="AI56" s="70" t="str">
        <f aca="false">IF(AH56="","",IF(COUNTIF(L_CLAVE,AH56)&gt;1,"⚠ Duplicado","OK"))</f>
        <v/>
      </c>
      <c r="AJ56" s="86" t="str">
        <f aca="false">IF(AH56="","",IF(SUMPRODUCT(MAX((IND_PER&lt;=B56)*(IND_UF&lt;&gt;"")*IND_PER))=0,UF_HOY,INDEX(IND_UF,MATCH(SUMPRODUCT(MAX((IND_PER&lt;=B56)*(IND_UF&lt;&gt;"")*IND_PER)),IND_PER,0))))</f>
        <v/>
      </c>
      <c r="AK56" s="87" t="str">
        <f aca="false">IF(AH56="","",IF(COUNTIF(TASA_DESDE,"&lt;="&amp;B56)=0,INDEX(TASA_EMP,1),INDEX(TASA_EMP,COUNTIF(TASA_DESDE,"&lt;="&amp;B56))))</f>
        <v/>
      </c>
    </row>
    <row r="57" customFormat="false" ht="15" hidden="false" customHeight="false" outlineLevel="0" collapsed="false">
      <c r="B57" s="78"/>
      <c r="C57" s="64"/>
      <c r="D57" s="72" t="str">
        <f aca="false">IF(C57="","",IFERROR(INDEX(T_NOMBRE,MATCH(C57,T_ID,0)),"⚠ ID no existe"))</f>
        <v/>
      </c>
      <c r="E57" s="69"/>
      <c r="F57" s="67"/>
      <c r="G57" s="67"/>
      <c r="H57" s="67"/>
      <c r="I57" s="67"/>
      <c r="J57" s="67"/>
      <c r="K57" s="85" t="str">
        <f aca="false">IF(AH57="","",N(F57)+N(G57)+N(H57)-N(I57)+N(J57))</f>
        <v/>
      </c>
      <c r="L57" s="67"/>
      <c r="M57" s="67"/>
      <c r="N57" s="67"/>
      <c r="O57" s="67"/>
      <c r="P57" s="85" t="str">
        <f aca="false">IF(AH57="","",K57+N(L57)+N(M57)+N(N57)+N(O57))</f>
        <v/>
      </c>
      <c r="Q57" s="67"/>
      <c r="R57" s="67"/>
      <c r="S57" s="67"/>
      <c r="T57" s="67"/>
      <c r="U57" s="67"/>
      <c r="V57" s="67"/>
      <c r="W57" s="85" t="str">
        <f aca="false">IF(AH57="","",N(Q57)+N(R57)+N(S57)+N(T57)+N(U57)+N(V57))</f>
        <v/>
      </c>
      <c r="X57" s="85" t="str">
        <f aca="false">IF(AH57="","",P57-W57)</f>
        <v/>
      </c>
      <c r="Y57" s="67"/>
      <c r="Z57" s="70" t="str">
        <f aca="false">IF(OR(AH57="",Y57=""),"",IF(ABS(X57-Y57)&lt;=1,"✓ Cuadra","⚠ Diferencia $"&amp;FIXED(X57-Y57,0)))</f>
        <v/>
      </c>
      <c r="AA57" s="72" t="str">
        <f aca="false">IF(AH57="","",IFERROR(INDEX(C_TIPO,MATCH(C57&amp;"-P"&amp;MAX(1,COUNTIFS(C_ID,C57,C_DEFINE,"Sí",C_INICIO,"&lt;="&amp;EOMONTH(B57,0))),C_CLAVE,0))&amp;"","Sin dato"))</f>
        <v/>
      </c>
      <c r="AB57" s="71" t="str">
        <f aca="false">IF(AH57="","",ROUND(MIN(K57,TOPE_AFP_UF*AJ57)*AK57,0))</f>
        <v/>
      </c>
      <c r="AC57" s="71" t="str">
        <f aca="false">IF(AH57="","",ROUND(MIN(K57,TOPE_AFC_UF*AJ57)*IF(AA57="Indefinido",AFC_EMP_INDEF,AFC_EMP_PF),0))</f>
        <v/>
      </c>
      <c r="AD57" s="71" t="str">
        <f aca="false">IF(AH57="","",ROUND(MIN(K57,TOPE_AFP_UF*AJ57)*(MUTUAL_BASICA+MUTUAL_ADIC+SANNA),0))</f>
        <v/>
      </c>
      <c r="AE57" s="71" t="str">
        <f aca="false">IF(AH57="","",P57-N(N57)+AB57+AC57+AD57)</f>
        <v/>
      </c>
      <c r="AF57" s="65"/>
      <c r="AG57" s="64"/>
      <c r="AH57" s="72" t="str">
        <f aca="false">IF(OR(B57="",C57=""),"",C57&amp;"|"&amp;(YEAR(B57)*100+MONTH(B57)))</f>
        <v/>
      </c>
      <c r="AI57" s="70" t="str">
        <f aca="false">IF(AH57="","",IF(COUNTIF(L_CLAVE,AH57)&gt;1,"⚠ Duplicado","OK"))</f>
        <v/>
      </c>
      <c r="AJ57" s="86" t="str">
        <f aca="false">IF(AH57="","",IF(SUMPRODUCT(MAX((IND_PER&lt;=B57)*(IND_UF&lt;&gt;"")*IND_PER))=0,UF_HOY,INDEX(IND_UF,MATCH(SUMPRODUCT(MAX((IND_PER&lt;=B57)*(IND_UF&lt;&gt;"")*IND_PER)),IND_PER,0))))</f>
        <v/>
      </c>
      <c r="AK57" s="87" t="str">
        <f aca="false">IF(AH57="","",IF(COUNTIF(TASA_DESDE,"&lt;="&amp;B57)=0,INDEX(TASA_EMP,1),INDEX(TASA_EMP,COUNTIF(TASA_DESDE,"&lt;="&amp;B57))))</f>
        <v/>
      </c>
    </row>
    <row r="58" customFormat="false" ht="15" hidden="false" customHeight="false" outlineLevel="0" collapsed="false">
      <c r="B58" s="78"/>
      <c r="C58" s="64"/>
      <c r="D58" s="72" t="str">
        <f aca="false">IF(C58="","",IFERROR(INDEX(T_NOMBRE,MATCH(C58,T_ID,0)),"⚠ ID no existe"))</f>
        <v/>
      </c>
      <c r="E58" s="69"/>
      <c r="F58" s="67"/>
      <c r="G58" s="67"/>
      <c r="H58" s="67"/>
      <c r="I58" s="67"/>
      <c r="J58" s="67"/>
      <c r="K58" s="85" t="str">
        <f aca="false">IF(AH58="","",N(F58)+N(G58)+N(H58)-N(I58)+N(J58))</f>
        <v/>
      </c>
      <c r="L58" s="67"/>
      <c r="M58" s="67"/>
      <c r="N58" s="67"/>
      <c r="O58" s="67"/>
      <c r="P58" s="85" t="str">
        <f aca="false">IF(AH58="","",K58+N(L58)+N(M58)+N(N58)+N(O58))</f>
        <v/>
      </c>
      <c r="Q58" s="67"/>
      <c r="R58" s="67"/>
      <c r="S58" s="67"/>
      <c r="T58" s="67"/>
      <c r="U58" s="67"/>
      <c r="V58" s="67"/>
      <c r="W58" s="85" t="str">
        <f aca="false">IF(AH58="","",N(Q58)+N(R58)+N(S58)+N(T58)+N(U58)+N(V58))</f>
        <v/>
      </c>
      <c r="X58" s="85" t="str">
        <f aca="false">IF(AH58="","",P58-W58)</f>
        <v/>
      </c>
      <c r="Y58" s="67"/>
      <c r="Z58" s="70" t="str">
        <f aca="false">IF(OR(AH58="",Y58=""),"",IF(ABS(X58-Y58)&lt;=1,"✓ Cuadra","⚠ Diferencia $"&amp;FIXED(X58-Y58,0)))</f>
        <v/>
      </c>
      <c r="AA58" s="72" t="str">
        <f aca="false">IF(AH58="","",IFERROR(INDEX(C_TIPO,MATCH(C58&amp;"-P"&amp;MAX(1,COUNTIFS(C_ID,C58,C_DEFINE,"Sí",C_INICIO,"&lt;="&amp;EOMONTH(B58,0))),C_CLAVE,0))&amp;"","Sin dato"))</f>
        <v/>
      </c>
      <c r="AB58" s="71" t="str">
        <f aca="false">IF(AH58="","",ROUND(MIN(K58,TOPE_AFP_UF*AJ58)*AK58,0))</f>
        <v/>
      </c>
      <c r="AC58" s="71" t="str">
        <f aca="false">IF(AH58="","",ROUND(MIN(K58,TOPE_AFC_UF*AJ58)*IF(AA58="Indefinido",AFC_EMP_INDEF,AFC_EMP_PF),0))</f>
        <v/>
      </c>
      <c r="AD58" s="71" t="str">
        <f aca="false">IF(AH58="","",ROUND(MIN(K58,TOPE_AFP_UF*AJ58)*(MUTUAL_BASICA+MUTUAL_ADIC+SANNA),0))</f>
        <v/>
      </c>
      <c r="AE58" s="71" t="str">
        <f aca="false">IF(AH58="","",P58-N(N58)+AB58+AC58+AD58)</f>
        <v/>
      </c>
      <c r="AF58" s="65"/>
      <c r="AG58" s="64"/>
      <c r="AH58" s="72" t="str">
        <f aca="false">IF(OR(B58="",C58=""),"",C58&amp;"|"&amp;(YEAR(B58)*100+MONTH(B58)))</f>
        <v/>
      </c>
      <c r="AI58" s="70" t="str">
        <f aca="false">IF(AH58="","",IF(COUNTIF(L_CLAVE,AH58)&gt;1,"⚠ Duplicado","OK"))</f>
        <v/>
      </c>
      <c r="AJ58" s="86" t="str">
        <f aca="false">IF(AH58="","",IF(SUMPRODUCT(MAX((IND_PER&lt;=B58)*(IND_UF&lt;&gt;"")*IND_PER))=0,UF_HOY,INDEX(IND_UF,MATCH(SUMPRODUCT(MAX((IND_PER&lt;=B58)*(IND_UF&lt;&gt;"")*IND_PER)),IND_PER,0))))</f>
        <v/>
      </c>
      <c r="AK58" s="87" t="str">
        <f aca="false">IF(AH58="","",IF(COUNTIF(TASA_DESDE,"&lt;="&amp;B58)=0,INDEX(TASA_EMP,1),INDEX(TASA_EMP,COUNTIF(TASA_DESDE,"&lt;="&amp;B58))))</f>
        <v/>
      </c>
    </row>
    <row r="59" customFormat="false" ht="15" hidden="false" customHeight="false" outlineLevel="0" collapsed="false">
      <c r="B59" s="78"/>
      <c r="C59" s="64"/>
      <c r="D59" s="72" t="str">
        <f aca="false">IF(C59="","",IFERROR(INDEX(T_NOMBRE,MATCH(C59,T_ID,0)),"⚠ ID no existe"))</f>
        <v/>
      </c>
      <c r="E59" s="69"/>
      <c r="F59" s="67"/>
      <c r="G59" s="67"/>
      <c r="H59" s="67"/>
      <c r="I59" s="67"/>
      <c r="J59" s="67"/>
      <c r="K59" s="85" t="str">
        <f aca="false">IF(AH59="","",N(F59)+N(G59)+N(H59)-N(I59)+N(J59))</f>
        <v/>
      </c>
      <c r="L59" s="67"/>
      <c r="M59" s="67"/>
      <c r="N59" s="67"/>
      <c r="O59" s="67"/>
      <c r="P59" s="85" t="str">
        <f aca="false">IF(AH59="","",K59+N(L59)+N(M59)+N(N59)+N(O59))</f>
        <v/>
      </c>
      <c r="Q59" s="67"/>
      <c r="R59" s="67"/>
      <c r="S59" s="67"/>
      <c r="T59" s="67"/>
      <c r="U59" s="67"/>
      <c r="V59" s="67"/>
      <c r="W59" s="85" t="str">
        <f aca="false">IF(AH59="","",N(Q59)+N(R59)+N(S59)+N(T59)+N(U59)+N(V59))</f>
        <v/>
      </c>
      <c r="X59" s="85" t="str">
        <f aca="false">IF(AH59="","",P59-W59)</f>
        <v/>
      </c>
      <c r="Y59" s="67"/>
      <c r="Z59" s="70" t="str">
        <f aca="false">IF(OR(AH59="",Y59=""),"",IF(ABS(X59-Y59)&lt;=1,"✓ Cuadra","⚠ Diferencia $"&amp;FIXED(X59-Y59,0)))</f>
        <v/>
      </c>
      <c r="AA59" s="72" t="str">
        <f aca="false">IF(AH59="","",IFERROR(INDEX(C_TIPO,MATCH(C59&amp;"-P"&amp;MAX(1,COUNTIFS(C_ID,C59,C_DEFINE,"Sí",C_INICIO,"&lt;="&amp;EOMONTH(B59,0))),C_CLAVE,0))&amp;"","Sin dato"))</f>
        <v/>
      </c>
      <c r="AB59" s="71" t="str">
        <f aca="false">IF(AH59="","",ROUND(MIN(K59,TOPE_AFP_UF*AJ59)*AK59,0))</f>
        <v/>
      </c>
      <c r="AC59" s="71" t="str">
        <f aca="false">IF(AH59="","",ROUND(MIN(K59,TOPE_AFC_UF*AJ59)*IF(AA59="Indefinido",AFC_EMP_INDEF,AFC_EMP_PF),0))</f>
        <v/>
      </c>
      <c r="AD59" s="71" t="str">
        <f aca="false">IF(AH59="","",ROUND(MIN(K59,TOPE_AFP_UF*AJ59)*(MUTUAL_BASICA+MUTUAL_ADIC+SANNA),0))</f>
        <v/>
      </c>
      <c r="AE59" s="71" t="str">
        <f aca="false">IF(AH59="","",P59-N(N59)+AB59+AC59+AD59)</f>
        <v/>
      </c>
      <c r="AF59" s="65"/>
      <c r="AG59" s="64"/>
      <c r="AH59" s="72" t="str">
        <f aca="false">IF(OR(B59="",C59=""),"",C59&amp;"|"&amp;(YEAR(B59)*100+MONTH(B59)))</f>
        <v/>
      </c>
      <c r="AI59" s="70" t="str">
        <f aca="false">IF(AH59="","",IF(COUNTIF(L_CLAVE,AH59)&gt;1,"⚠ Duplicado","OK"))</f>
        <v/>
      </c>
      <c r="AJ59" s="86" t="str">
        <f aca="false">IF(AH59="","",IF(SUMPRODUCT(MAX((IND_PER&lt;=B59)*(IND_UF&lt;&gt;"")*IND_PER))=0,UF_HOY,INDEX(IND_UF,MATCH(SUMPRODUCT(MAX((IND_PER&lt;=B59)*(IND_UF&lt;&gt;"")*IND_PER)),IND_PER,0))))</f>
        <v/>
      </c>
      <c r="AK59" s="87" t="str">
        <f aca="false">IF(AH59="","",IF(COUNTIF(TASA_DESDE,"&lt;="&amp;B59)=0,INDEX(TASA_EMP,1),INDEX(TASA_EMP,COUNTIF(TASA_DESDE,"&lt;="&amp;B59))))</f>
        <v/>
      </c>
    </row>
    <row r="60" customFormat="false" ht="15" hidden="false" customHeight="false" outlineLevel="0" collapsed="false">
      <c r="B60" s="78"/>
      <c r="C60" s="64"/>
      <c r="D60" s="72" t="str">
        <f aca="false">IF(C60="","",IFERROR(INDEX(T_NOMBRE,MATCH(C60,T_ID,0)),"⚠ ID no existe"))</f>
        <v/>
      </c>
      <c r="E60" s="69"/>
      <c r="F60" s="67"/>
      <c r="G60" s="67"/>
      <c r="H60" s="67"/>
      <c r="I60" s="67"/>
      <c r="J60" s="67"/>
      <c r="K60" s="85" t="str">
        <f aca="false">IF(AH60="","",N(F60)+N(G60)+N(H60)-N(I60)+N(J60))</f>
        <v/>
      </c>
      <c r="L60" s="67"/>
      <c r="M60" s="67"/>
      <c r="N60" s="67"/>
      <c r="O60" s="67"/>
      <c r="P60" s="85" t="str">
        <f aca="false">IF(AH60="","",K60+N(L60)+N(M60)+N(N60)+N(O60))</f>
        <v/>
      </c>
      <c r="Q60" s="67"/>
      <c r="R60" s="67"/>
      <c r="S60" s="67"/>
      <c r="T60" s="67"/>
      <c r="U60" s="67"/>
      <c r="V60" s="67"/>
      <c r="W60" s="85" t="str">
        <f aca="false">IF(AH60="","",N(Q60)+N(R60)+N(S60)+N(T60)+N(U60)+N(V60))</f>
        <v/>
      </c>
      <c r="X60" s="85" t="str">
        <f aca="false">IF(AH60="","",P60-W60)</f>
        <v/>
      </c>
      <c r="Y60" s="67"/>
      <c r="Z60" s="70" t="str">
        <f aca="false">IF(OR(AH60="",Y60=""),"",IF(ABS(X60-Y60)&lt;=1,"✓ Cuadra","⚠ Diferencia $"&amp;FIXED(X60-Y60,0)))</f>
        <v/>
      </c>
      <c r="AA60" s="72" t="str">
        <f aca="false">IF(AH60="","",IFERROR(INDEX(C_TIPO,MATCH(C60&amp;"-P"&amp;MAX(1,COUNTIFS(C_ID,C60,C_DEFINE,"Sí",C_INICIO,"&lt;="&amp;EOMONTH(B60,0))),C_CLAVE,0))&amp;"","Sin dato"))</f>
        <v/>
      </c>
      <c r="AB60" s="71" t="str">
        <f aca="false">IF(AH60="","",ROUND(MIN(K60,TOPE_AFP_UF*AJ60)*AK60,0))</f>
        <v/>
      </c>
      <c r="AC60" s="71" t="str">
        <f aca="false">IF(AH60="","",ROUND(MIN(K60,TOPE_AFC_UF*AJ60)*IF(AA60="Indefinido",AFC_EMP_INDEF,AFC_EMP_PF),0))</f>
        <v/>
      </c>
      <c r="AD60" s="71" t="str">
        <f aca="false">IF(AH60="","",ROUND(MIN(K60,TOPE_AFP_UF*AJ60)*(MUTUAL_BASICA+MUTUAL_ADIC+SANNA),0))</f>
        <v/>
      </c>
      <c r="AE60" s="71" t="str">
        <f aca="false">IF(AH60="","",P60-N(N60)+AB60+AC60+AD60)</f>
        <v/>
      </c>
      <c r="AF60" s="65"/>
      <c r="AG60" s="64"/>
      <c r="AH60" s="72" t="str">
        <f aca="false">IF(OR(B60="",C60=""),"",C60&amp;"|"&amp;(YEAR(B60)*100+MONTH(B60)))</f>
        <v/>
      </c>
      <c r="AI60" s="70" t="str">
        <f aca="false">IF(AH60="","",IF(COUNTIF(L_CLAVE,AH60)&gt;1,"⚠ Duplicado","OK"))</f>
        <v/>
      </c>
      <c r="AJ60" s="86" t="str">
        <f aca="false">IF(AH60="","",IF(SUMPRODUCT(MAX((IND_PER&lt;=B60)*(IND_UF&lt;&gt;"")*IND_PER))=0,UF_HOY,INDEX(IND_UF,MATCH(SUMPRODUCT(MAX((IND_PER&lt;=B60)*(IND_UF&lt;&gt;"")*IND_PER)),IND_PER,0))))</f>
        <v/>
      </c>
      <c r="AK60" s="87" t="str">
        <f aca="false">IF(AH60="","",IF(COUNTIF(TASA_DESDE,"&lt;="&amp;B60)=0,INDEX(TASA_EMP,1),INDEX(TASA_EMP,COUNTIF(TASA_DESDE,"&lt;="&amp;B60))))</f>
        <v/>
      </c>
    </row>
    <row r="61" customFormat="false" ht="15" hidden="false" customHeight="false" outlineLevel="0" collapsed="false">
      <c r="B61" s="78"/>
      <c r="C61" s="64"/>
      <c r="D61" s="72" t="str">
        <f aca="false">IF(C61="","",IFERROR(INDEX(T_NOMBRE,MATCH(C61,T_ID,0)),"⚠ ID no existe"))</f>
        <v/>
      </c>
      <c r="E61" s="69"/>
      <c r="F61" s="67"/>
      <c r="G61" s="67"/>
      <c r="H61" s="67"/>
      <c r="I61" s="67"/>
      <c r="J61" s="67"/>
      <c r="K61" s="85" t="str">
        <f aca="false">IF(AH61="","",N(F61)+N(G61)+N(H61)-N(I61)+N(J61))</f>
        <v/>
      </c>
      <c r="L61" s="67"/>
      <c r="M61" s="67"/>
      <c r="N61" s="67"/>
      <c r="O61" s="67"/>
      <c r="P61" s="85" t="str">
        <f aca="false">IF(AH61="","",K61+N(L61)+N(M61)+N(N61)+N(O61))</f>
        <v/>
      </c>
      <c r="Q61" s="67"/>
      <c r="R61" s="67"/>
      <c r="S61" s="67"/>
      <c r="T61" s="67"/>
      <c r="U61" s="67"/>
      <c r="V61" s="67"/>
      <c r="W61" s="85" t="str">
        <f aca="false">IF(AH61="","",N(Q61)+N(R61)+N(S61)+N(T61)+N(U61)+N(V61))</f>
        <v/>
      </c>
      <c r="X61" s="85" t="str">
        <f aca="false">IF(AH61="","",P61-W61)</f>
        <v/>
      </c>
      <c r="Y61" s="67"/>
      <c r="Z61" s="70" t="str">
        <f aca="false">IF(OR(AH61="",Y61=""),"",IF(ABS(X61-Y61)&lt;=1,"✓ Cuadra","⚠ Diferencia $"&amp;FIXED(X61-Y61,0)))</f>
        <v/>
      </c>
      <c r="AA61" s="72" t="str">
        <f aca="false">IF(AH61="","",IFERROR(INDEX(C_TIPO,MATCH(C61&amp;"-P"&amp;MAX(1,COUNTIFS(C_ID,C61,C_DEFINE,"Sí",C_INICIO,"&lt;="&amp;EOMONTH(B61,0))),C_CLAVE,0))&amp;"","Sin dato"))</f>
        <v/>
      </c>
      <c r="AB61" s="71" t="str">
        <f aca="false">IF(AH61="","",ROUND(MIN(K61,TOPE_AFP_UF*AJ61)*AK61,0))</f>
        <v/>
      </c>
      <c r="AC61" s="71" t="str">
        <f aca="false">IF(AH61="","",ROUND(MIN(K61,TOPE_AFC_UF*AJ61)*IF(AA61="Indefinido",AFC_EMP_INDEF,AFC_EMP_PF),0))</f>
        <v/>
      </c>
      <c r="AD61" s="71" t="str">
        <f aca="false">IF(AH61="","",ROUND(MIN(K61,TOPE_AFP_UF*AJ61)*(MUTUAL_BASICA+MUTUAL_ADIC+SANNA),0))</f>
        <v/>
      </c>
      <c r="AE61" s="71" t="str">
        <f aca="false">IF(AH61="","",P61-N(N61)+AB61+AC61+AD61)</f>
        <v/>
      </c>
      <c r="AF61" s="65"/>
      <c r="AG61" s="64"/>
      <c r="AH61" s="72" t="str">
        <f aca="false">IF(OR(B61="",C61=""),"",C61&amp;"|"&amp;(YEAR(B61)*100+MONTH(B61)))</f>
        <v/>
      </c>
      <c r="AI61" s="70" t="str">
        <f aca="false">IF(AH61="","",IF(COUNTIF(L_CLAVE,AH61)&gt;1,"⚠ Duplicado","OK"))</f>
        <v/>
      </c>
      <c r="AJ61" s="86" t="str">
        <f aca="false">IF(AH61="","",IF(SUMPRODUCT(MAX((IND_PER&lt;=B61)*(IND_UF&lt;&gt;"")*IND_PER))=0,UF_HOY,INDEX(IND_UF,MATCH(SUMPRODUCT(MAX((IND_PER&lt;=B61)*(IND_UF&lt;&gt;"")*IND_PER)),IND_PER,0))))</f>
        <v/>
      </c>
      <c r="AK61" s="87" t="str">
        <f aca="false">IF(AH61="","",IF(COUNTIF(TASA_DESDE,"&lt;="&amp;B61)=0,INDEX(TASA_EMP,1),INDEX(TASA_EMP,COUNTIF(TASA_DESDE,"&lt;="&amp;B61))))</f>
        <v/>
      </c>
    </row>
    <row r="62" customFormat="false" ht="15" hidden="false" customHeight="false" outlineLevel="0" collapsed="false">
      <c r="B62" s="78"/>
      <c r="C62" s="64"/>
      <c r="D62" s="72" t="str">
        <f aca="false">IF(C62="","",IFERROR(INDEX(T_NOMBRE,MATCH(C62,T_ID,0)),"⚠ ID no existe"))</f>
        <v/>
      </c>
      <c r="E62" s="69"/>
      <c r="F62" s="67"/>
      <c r="G62" s="67"/>
      <c r="H62" s="67"/>
      <c r="I62" s="67"/>
      <c r="J62" s="67"/>
      <c r="K62" s="85" t="str">
        <f aca="false">IF(AH62="","",N(F62)+N(G62)+N(H62)-N(I62)+N(J62))</f>
        <v/>
      </c>
      <c r="L62" s="67"/>
      <c r="M62" s="67"/>
      <c r="N62" s="67"/>
      <c r="O62" s="67"/>
      <c r="P62" s="85" t="str">
        <f aca="false">IF(AH62="","",K62+N(L62)+N(M62)+N(N62)+N(O62))</f>
        <v/>
      </c>
      <c r="Q62" s="67"/>
      <c r="R62" s="67"/>
      <c r="S62" s="67"/>
      <c r="T62" s="67"/>
      <c r="U62" s="67"/>
      <c r="V62" s="67"/>
      <c r="W62" s="85" t="str">
        <f aca="false">IF(AH62="","",N(Q62)+N(R62)+N(S62)+N(T62)+N(U62)+N(V62))</f>
        <v/>
      </c>
      <c r="X62" s="85" t="str">
        <f aca="false">IF(AH62="","",P62-W62)</f>
        <v/>
      </c>
      <c r="Y62" s="67"/>
      <c r="Z62" s="70" t="str">
        <f aca="false">IF(OR(AH62="",Y62=""),"",IF(ABS(X62-Y62)&lt;=1,"✓ Cuadra","⚠ Diferencia $"&amp;FIXED(X62-Y62,0)))</f>
        <v/>
      </c>
      <c r="AA62" s="72" t="str">
        <f aca="false">IF(AH62="","",IFERROR(INDEX(C_TIPO,MATCH(C62&amp;"-P"&amp;MAX(1,COUNTIFS(C_ID,C62,C_DEFINE,"Sí",C_INICIO,"&lt;="&amp;EOMONTH(B62,0))),C_CLAVE,0))&amp;"","Sin dato"))</f>
        <v/>
      </c>
      <c r="AB62" s="71" t="str">
        <f aca="false">IF(AH62="","",ROUND(MIN(K62,TOPE_AFP_UF*AJ62)*AK62,0))</f>
        <v/>
      </c>
      <c r="AC62" s="71" t="str">
        <f aca="false">IF(AH62="","",ROUND(MIN(K62,TOPE_AFC_UF*AJ62)*IF(AA62="Indefinido",AFC_EMP_INDEF,AFC_EMP_PF),0))</f>
        <v/>
      </c>
      <c r="AD62" s="71" t="str">
        <f aca="false">IF(AH62="","",ROUND(MIN(K62,TOPE_AFP_UF*AJ62)*(MUTUAL_BASICA+MUTUAL_ADIC+SANNA),0))</f>
        <v/>
      </c>
      <c r="AE62" s="71" t="str">
        <f aca="false">IF(AH62="","",P62-N(N62)+AB62+AC62+AD62)</f>
        <v/>
      </c>
      <c r="AF62" s="65"/>
      <c r="AG62" s="64"/>
      <c r="AH62" s="72" t="str">
        <f aca="false">IF(OR(B62="",C62=""),"",C62&amp;"|"&amp;(YEAR(B62)*100+MONTH(B62)))</f>
        <v/>
      </c>
      <c r="AI62" s="70" t="str">
        <f aca="false">IF(AH62="","",IF(COUNTIF(L_CLAVE,AH62)&gt;1,"⚠ Duplicado","OK"))</f>
        <v/>
      </c>
      <c r="AJ62" s="86" t="str">
        <f aca="false">IF(AH62="","",IF(SUMPRODUCT(MAX((IND_PER&lt;=B62)*(IND_UF&lt;&gt;"")*IND_PER))=0,UF_HOY,INDEX(IND_UF,MATCH(SUMPRODUCT(MAX((IND_PER&lt;=B62)*(IND_UF&lt;&gt;"")*IND_PER)),IND_PER,0))))</f>
        <v/>
      </c>
      <c r="AK62" s="87" t="str">
        <f aca="false">IF(AH62="","",IF(COUNTIF(TASA_DESDE,"&lt;="&amp;B62)=0,INDEX(TASA_EMP,1),INDEX(TASA_EMP,COUNTIF(TASA_DESDE,"&lt;="&amp;B62))))</f>
        <v/>
      </c>
    </row>
    <row r="63" customFormat="false" ht="15" hidden="false" customHeight="false" outlineLevel="0" collapsed="false">
      <c r="B63" s="78"/>
      <c r="C63" s="64"/>
      <c r="D63" s="72" t="str">
        <f aca="false">IF(C63="","",IFERROR(INDEX(T_NOMBRE,MATCH(C63,T_ID,0)),"⚠ ID no existe"))</f>
        <v/>
      </c>
      <c r="E63" s="69"/>
      <c r="F63" s="67"/>
      <c r="G63" s="67"/>
      <c r="H63" s="67"/>
      <c r="I63" s="67"/>
      <c r="J63" s="67"/>
      <c r="K63" s="85" t="str">
        <f aca="false">IF(AH63="","",N(F63)+N(G63)+N(H63)-N(I63)+N(J63))</f>
        <v/>
      </c>
      <c r="L63" s="67"/>
      <c r="M63" s="67"/>
      <c r="N63" s="67"/>
      <c r="O63" s="67"/>
      <c r="P63" s="85" t="str">
        <f aca="false">IF(AH63="","",K63+N(L63)+N(M63)+N(N63)+N(O63))</f>
        <v/>
      </c>
      <c r="Q63" s="67"/>
      <c r="R63" s="67"/>
      <c r="S63" s="67"/>
      <c r="T63" s="67"/>
      <c r="U63" s="67"/>
      <c r="V63" s="67"/>
      <c r="W63" s="85" t="str">
        <f aca="false">IF(AH63="","",N(Q63)+N(R63)+N(S63)+N(T63)+N(U63)+N(V63))</f>
        <v/>
      </c>
      <c r="X63" s="85" t="str">
        <f aca="false">IF(AH63="","",P63-W63)</f>
        <v/>
      </c>
      <c r="Y63" s="67"/>
      <c r="Z63" s="70" t="str">
        <f aca="false">IF(OR(AH63="",Y63=""),"",IF(ABS(X63-Y63)&lt;=1,"✓ Cuadra","⚠ Diferencia $"&amp;FIXED(X63-Y63,0)))</f>
        <v/>
      </c>
      <c r="AA63" s="72" t="str">
        <f aca="false">IF(AH63="","",IFERROR(INDEX(C_TIPO,MATCH(C63&amp;"-P"&amp;MAX(1,COUNTIFS(C_ID,C63,C_DEFINE,"Sí",C_INICIO,"&lt;="&amp;EOMONTH(B63,0))),C_CLAVE,0))&amp;"","Sin dato"))</f>
        <v/>
      </c>
      <c r="AB63" s="71" t="str">
        <f aca="false">IF(AH63="","",ROUND(MIN(K63,TOPE_AFP_UF*AJ63)*AK63,0))</f>
        <v/>
      </c>
      <c r="AC63" s="71" t="str">
        <f aca="false">IF(AH63="","",ROUND(MIN(K63,TOPE_AFC_UF*AJ63)*IF(AA63="Indefinido",AFC_EMP_INDEF,AFC_EMP_PF),0))</f>
        <v/>
      </c>
      <c r="AD63" s="71" t="str">
        <f aca="false">IF(AH63="","",ROUND(MIN(K63,TOPE_AFP_UF*AJ63)*(MUTUAL_BASICA+MUTUAL_ADIC+SANNA),0))</f>
        <v/>
      </c>
      <c r="AE63" s="71" t="str">
        <f aca="false">IF(AH63="","",P63-N(N63)+AB63+AC63+AD63)</f>
        <v/>
      </c>
      <c r="AF63" s="65"/>
      <c r="AG63" s="64"/>
      <c r="AH63" s="72" t="str">
        <f aca="false">IF(OR(B63="",C63=""),"",C63&amp;"|"&amp;(YEAR(B63)*100+MONTH(B63)))</f>
        <v/>
      </c>
      <c r="AI63" s="70" t="str">
        <f aca="false">IF(AH63="","",IF(COUNTIF(L_CLAVE,AH63)&gt;1,"⚠ Duplicado","OK"))</f>
        <v/>
      </c>
      <c r="AJ63" s="86" t="str">
        <f aca="false">IF(AH63="","",IF(SUMPRODUCT(MAX((IND_PER&lt;=B63)*(IND_UF&lt;&gt;"")*IND_PER))=0,UF_HOY,INDEX(IND_UF,MATCH(SUMPRODUCT(MAX((IND_PER&lt;=B63)*(IND_UF&lt;&gt;"")*IND_PER)),IND_PER,0))))</f>
        <v/>
      </c>
      <c r="AK63" s="87" t="str">
        <f aca="false">IF(AH63="","",IF(COUNTIF(TASA_DESDE,"&lt;="&amp;B63)=0,INDEX(TASA_EMP,1),INDEX(TASA_EMP,COUNTIF(TASA_DESDE,"&lt;="&amp;B63))))</f>
        <v/>
      </c>
    </row>
    <row r="64" customFormat="false" ht="15" hidden="false" customHeight="false" outlineLevel="0" collapsed="false">
      <c r="B64" s="78"/>
      <c r="C64" s="64"/>
      <c r="D64" s="72" t="str">
        <f aca="false">IF(C64="","",IFERROR(INDEX(T_NOMBRE,MATCH(C64,T_ID,0)),"⚠ ID no existe"))</f>
        <v/>
      </c>
      <c r="E64" s="69"/>
      <c r="F64" s="67"/>
      <c r="G64" s="67"/>
      <c r="H64" s="67"/>
      <c r="I64" s="67"/>
      <c r="J64" s="67"/>
      <c r="K64" s="85" t="str">
        <f aca="false">IF(AH64="","",N(F64)+N(G64)+N(H64)-N(I64)+N(J64))</f>
        <v/>
      </c>
      <c r="L64" s="67"/>
      <c r="M64" s="67"/>
      <c r="N64" s="67"/>
      <c r="O64" s="67"/>
      <c r="P64" s="85" t="str">
        <f aca="false">IF(AH64="","",K64+N(L64)+N(M64)+N(N64)+N(O64))</f>
        <v/>
      </c>
      <c r="Q64" s="67"/>
      <c r="R64" s="67"/>
      <c r="S64" s="67"/>
      <c r="T64" s="67"/>
      <c r="U64" s="67"/>
      <c r="V64" s="67"/>
      <c r="W64" s="85" t="str">
        <f aca="false">IF(AH64="","",N(Q64)+N(R64)+N(S64)+N(T64)+N(U64)+N(V64))</f>
        <v/>
      </c>
      <c r="X64" s="85" t="str">
        <f aca="false">IF(AH64="","",P64-W64)</f>
        <v/>
      </c>
      <c r="Y64" s="67"/>
      <c r="Z64" s="70" t="str">
        <f aca="false">IF(OR(AH64="",Y64=""),"",IF(ABS(X64-Y64)&lt;=1,"✓ Cuadra","⚠ Diferencia $"&amp;FIXED(X64-Y64,0)))</f>
        <v/>
      </c>
      <c r="AA64" s="72" t="str">
        <f aca="false">IF(AH64="","",IFERROR(INDEX(C_TIPO,MATCH(C64&amp;"-P"&amp;MAX(1,COUNTIFS(C_ID,C64,C_DEFINE,"Sí",C_INICIO,"&lt;="&amp;EOMONTH(B64,0))),C_CLAVE,0))&amp;"","Sin dato"))</f>
        <v/>
      </c>
      <c r="AB64" s="71" t="str">
        <f aca="false">IF(AH64="","",ROUND(MIN(K64,TOPE_AFP_UF*AJ64)*AK64,0))</f>
        <v/>
      </c>
      <c r="AC64" s="71" t="str">
        <f aca="false">IF(AH64="","",ROUND(MIN(K64,TOPE_AFC_UF*AJ64)*IF(AA64="Indefinido",AFC_EMP_INDEF,AFC_EMP_PF),0))</f>
        <v/>
      </c>
      <c r="AD64" s="71" t="str">
        <f aca="false">IF(AH64="","",ROUND(MIN(K64,TOPE_AFP_UF*AJ64)*(MUTUAL_BASICA+MUTUAL_ADIC+SANNA),0))</f>
        <v/>
      </c>
      <c r="AE64" s="71" t="str">
        <f aca="false">IF(AH64="","",P64-N(N64)+AB64+AC64+AD64)</f>
        <v/>
      </c>
      <c r="AF64" s="65"/>
      <c r="AG64" s="64"/>
      <c r="AH64" s="72" t="str">
        <f aca="false">IF(OR(B64="",C64=""),"",C64&amp;"|"&amp;(YEAR(B64)*100+MONTH(B64)))</f>
        <v/>
      </c>
      <c r="AI64" s="70" t="str">
        <f aca="false">IF(AH64="","",IF(COUNTIF(L_CLAVE,AH64)&gt;1,"⚠ Duplicado","OK"))</f>
        <v/>
      </c>
      <c r="AJ64" s="86" t="str">
        <f aca="false">IF(AH64="","",IF(SUMPRODUCT(MAX((IND_PER&lt;=B64)*(IND_UF&lt;&gt;"")*IND_PER))=0,UF_HOY,INDEX(IND_UF,MATCH(SUMPRODUCT(MAX((IND_PER&lt;=B64)*(IND_UF&lt;&gt;"")*IND_PER)),IND_PER,0))))</f>
        <v/>
      </c>
      <c r="AK64" s="87" t="str">
        <f aca="false">IF(AH64="","",IF(COUNTIF(TASA_DESDE,"&lt;="&amp;B64)=0,INDEX(TASA_EMP,1),INDEX(TASA_EMP,COUNTIF(TASA_DESDE,"&lt;="&amp;B64))))</f>
        <v/>
      </c>
    </row>
    <row r="65" customFormat="false" ht="15" hidden="false" customHeight="false" outlineLevel="0" collapsed="false">
      <c r="B65" s="78"/>
      <c r="C65" s="64"/>
      <c r="D65" s="72" t="str">
        <f aca="false">IF(C65="","",IFERROR(INDEX(T_NOMBRE,MATCH(C65,T_ID,0)),"⚠ ID no existe"))</f>
        <v/>
      </c>
      <c r="E65" s="69"/>
      <c r="F65" s="67"/>
      <c r="G65" s="67"/>
      <c r="H65" s="67"/>
      <c r="I65" s="67"/>
      <c r="J65" s="67"/>
      <c r="K65" s="85" t="str">
        <f aca="false">IF(AH65="","",N(F65)+N(G65)+N(H65)-N(I65)+N(J65))</f>
        <v/>
      </c>
      <c r="L65" s="67"/>
      <c r="M65" s="67"/>
      <c r="N65" s="67"/>
      <c r="O65" s="67"/>
      <c r="P65" s="85" t="str">
        <f aca="false">IF(AH65="","",K65+N(L65)+N(M65)+N(N65)+N(O65))</f>
        <v/>
      </c>
      <c r="Q65" s="67"/>
      <c r="R65" s="67"/>
      <c r="S65" s="67"/>
      <c r="T65" s="67"/>
      <c r="U65" s="67"/>
      <c r="V65" s="67"/>
      <c r="W65" s="85" t="str">
        <f aca="false">IF(AH65="","",N(Q65)+N(R65)+N(S65)+N(T65)+N(U65)+N(V65))</f>
        <v/>
      </c>
      <c r="X65" s="85" t="str">
        <f aca="false">IF(AH65="","",P65-W65)</f>
        <v/>
      </c>
      <c r="Y65" s="67"/>
      <c r="Z65" s="70" t="str">
        <f aca="false">IF(OR(AH65="",Y65=""),"",IF(ABS(X65-Y65)&lt;=1,"✓ Cuadra","⚠ Diferencia $"&amp;FIXED(X65-Y65,0)))</f>
        <v/>
      </c>
      <c r="AA65" s="72" t="str">
        <f aca="false">IF(AH65="","",IFERROR(INDEX(C_TIPO,MATCH(C65&amp;"-P"&amp;MAX(1,COUNTIFS(C_ID,C65,C_DEFINE,"Sí",C_INICIO,"&lt;="&amp;EOMONTH(B65,0))),C_CLAVE,0))&amp;"","Sin dato"))</f>
        <v/>
      </c>
      <c r="AB65" s="71" t="str">
        <f aca="false">IF(AH65="","",ROUND(MIN(K65,TOPE_AFP_UF*AJ65)*AK65,0))</f>
        <v/>
      </c>
      <c r="AC65" s="71" t="str">
        <f aca="false">IF(AH65="","",ROUND(MIN(K65,TOPE_AFC_UF*AJ65)*IF(AA65="Indefinido",AFC_EMP_INDEF,AFC_EMP_PF),0))</f>
        <v/>
      </c>
      <c r="AD65" s="71" t="str">
        <f aca="false">IF(AH65="","",ROUND(MIN(K65,TOPE_AFP_UF*AJ65)*(MUTUAL_BASICA+MUTUAL_ADIC+SANNA),0))</f>
        <v/>
      </c>
      <c r="AE65" s="71" t="str">
        <f aca="false">IF(AH65="","",P65-N(N65)+AB65+AC65+AD65)</f>
        <v/>
      </c>
      <c r="AF65" s="65"/>
      <c r="AG65" s="64"/>
      <c r="AH65" s="72" t="str">
        <f aca="false">IF(OR(B65="",C65=""),"",C65&amp;"|"&amp;(YEAR(B65)*100+MONTH(B65)))</f>
        <v/>
      </c>
      <c r="AI65" s="70" t="str">
        <f aca="false">IF(AH65="","",IF(COUNTIF(L_CLAVE,AH65)&gt;1,"⚠ Duplicado","OK"))</f>
        <v/>
      </c>
      <c r="AJ65" s="86" t="str">
        <f aca="false">IF(AH65="","",IF(SUMPRODUCT(MAX((IND_PER&lt;=B65)*(IND_UF&lt;&gt;"")*IND_PER))=0,UF_HOY,INDEX(IND_UF,MATCH(SUMPRODUCT(MAX((IND_PER&lt;=B65)*(IND_UF&lt;&gt;"")*IND_PER)),IND_PER,0))))</f>
        <v/>
      </c>
      <c r="AK65" s="87" t="str">
        <f aca="false">IF(AH65="","",IF(COUNTIF(TASA_DESDE,"&lt;="&amp;B65)=0,INDEX(TASA_EMP,1),INDEX(TASA_EMP,COUNTIF(TASA_DESDE,"&lt;="&amp;B65))))</f>
        <v/>
      </c>
    </row>
    <row r="66" customFormat="false" ht="15" hidden="false" customHeight="false" outlineLevel="0" collapsed="false">
      <c r="B66" s="78"/>
      <c r="C66" s="64"/>
      <c r="D66" s="72" t="str">
        <f aca="false">IF(C66="","",IFERROR(INDEX(T_NOMBRE,MATCH(C66,T_ID,0)),"⚠ ID no existe"))</f>
        <v/>
      </c>
      <c r="E66" s="69"/>
      <c r="F66" s="67"/>
      <c r="G66" s="67"/>
      <c r="H66" s="67"/>
      <c r="I66" s="67"/>
      <c r="J66" s="67"/>
      <c r="K66" s="85" t="str">
        <f aca="false">IF(AH66="","",N(F66)+N(G66)+N(H66)-N(I66)+N(J66))</f>
        <v/>
      </c>
      <c r="L66" s="67"/>
      <c r="M66" s="67"/>
      <c r="N66" s="67"/>
      <c r="O66" s="67"/>
      <c r="P66" s="85" t="str">
        <f aca="false">IF(AH66="","",K66+N(L66)+N(M66)+N(N66)+N(O66))</f>
        <v/>
      </c>
      <c r="Q66" s="67"/>
      <c r="R66" s="67"/>
      <c r="S66" s="67"/>
      <c r="T66" s="67"/>
      <c r="U66" s="67"/>
      <c r="V66" s="67"/>
      <c r="W66" s="85" t="str">
        <f aca="false">IF(AH66="","",N(Q66)+N(R66)+N(S66)+N(T66)+N(U66)+N(V66))</f>
        <v/>
      </c>
      <c r="X66" s="85" t="str">
        <f aca="false">IF(AH66="","",P66-W66)</f>
        <v/>
      </c>
      <c r="Y66" s="67"/>
      <c r="Z66" s="70" t="str">
        <f aca="false">IF(OR(AH66="",Y66=""),"",IF(ABS(X66-Y66)&lt;=1,"✓ Cuadra","⚠ Diferencia $"&amp;FIXED(X66-Y66,0)))</f>
        <v/>
      </c>
      <c r="AA66" s="72" t="str">
        <f aca="false">IF(AH66="","",IFERROR(INDEX(C_TIPO,MATCH(C66&amp;"-P"&amp;MAX(1,COUNTIFS(C_ID,C66,C_DEFINE,"Sí",C_INICIO,"&lt;="&amp;EOMONTH(B66,0))),C_CLAVE,0))&amp;"","Sin dato"))</f>
        <v/>
      </c>
      <c r="AB66" s="71" t="str">
        <f aca="false">IF(AH66="","",ROUND(MIN(K66,TOPE_AFP_UF*AJ66)*AK66,0))</f>
        <v/>
      </c>
      <c r="AC66" s="71" t="str">
        <f aca="false">IF(AH66="","",ROUND(MIN(K66,TOPE_AFC_UF*AJ66)*IF(AA66="Indefinido",AFC_EMP_INDEF,AFC_EMP_PF),0))</f>
        <v/>
      </c>
      <c r="AD66" s="71" t="str">
        <f aca="false">IF(AH66="","",ROUND(MIN(K66,TOPE_AFP_UF*AJ66)*(MUTUAL_BASICA+MUTUAL_ADIC+SANNA),0))</f>
        <v/>
      </c>
      <c r="AE66" s="71" t="str">
        <f aca="false">IF(AH66="","",P66-N(N66)+AB66+AC66+AD66)</f>
        <v/>
      </c>
      <c r="AF66" s="65"/>
      <c r="AG66" s="64"/>
      <c r="AH66" s="72" t="str">
        <f aca="false">IF(OR(B66="",C66=""),"",C66&amp;"|"&amp;(YEAR(B66)*100+MONTH(B66)))</f>
        <v/>
      </c>
      <c r="AI66" s="70" t="str">
        <f aca="false">IF(AH66="","",IF(COUNTIF(L_CLAVE,AH66)&gt;1,"⚠ Duplicado","OK"))</f>
        <v/>
      </c>
      <c r="AJ66" s="86" t="str">
        <f aca="false">IF(AH66="","",IF(SUMPRODUCT(MAX((IND_PER&lt;=B66)*(IND_UF&lt;&gt;"")*IND_PER))=0,UF_HOY,INDEX(IND_UF,MATCH(SUMPRODUCT(MAX((IND_PER&lt;=B66)*(IND_UF&lt;&gt;"")*IND_PER)),IND_PER,0))))</f>
        <v/>
      </c>
      <c r="AK66" s="87" t="str">
        <f aca="false">IF(AH66="","",IF(COUNTIF(TASA_DESDE,"&lt;="&amp;B66)=0,INDEX(TASA_EMP,1),INDEX(TASA_EMP,COUNTIF(TASA_DESDE,"&lt;="&amp;B66))))</f>
        <v/>
      </c>
    </row>
    <row r="67" customFormat="false" ht="15" hidden="false" customHeight="false" outlineLevel="0" collapsed="false">
      <c r="B67" s="78"/>
      <c r="C67" s="64"/>
      <c r="D67" s="72" t="str">
        <f aca="false">IF(C67="","",IFERROR(INDEX(T_NOMBRE,MATCH(C67,T_ID,0)),"⚠ ID no existe"))</f>
        <v/>
      </c>
      <c r="E67" s="69"/>
      <c r="F67" s="67"/>
      <c r="G67" s="67"/>
      <c r="H67" s="67"/>
      <c r="I67" s="67"/>
      <c r="J67" s="67"/>
      <c r="K67" s="85" t="str">
        <f aca="false">IF(AH67="","",N(F67)+N(G67)+N(H67)-N(I67)+N(J67))</f>
        <v/>
      </c>
      <c r="L67" s="67"/>
      <c r="M67" s="67"/>
      <c r="N67" s="67"/>
      <c r="O67" s="67"/>
      <c r="P67" s="85" t="str">
        <f aca="false">IF(AH67="","",K67+N(L67)+N(M67)+N(N67)+N(O67))</f>
        <v/>
      </c>
      <c r="Q67" s="67"/>
      <c r="R67" s="67"/>
      <c r="S67" s="67"/>
      <c r="T67" s="67"/>
      <c r="U67" s="67"/>
      <c r="V67" s="67"/>
      <c r="W67" s="85" t="str">
        <f aca="false">IF(AH67="","",N(Q67)+N(R67)+N(S67)+N(T67)+N(U67)+N(V67))</f>
        <v/>
      </c>
      <c r="X67" s="85" t="str">
        <f aca="false">IF(AH67="","",P67-W67)</f>
        <v/>
      </c>
      <c r="Y67" s="67"/>
      <c r="Z67" s="70" t="str">
        <f aca="false">IF(OR(AH67="",Y67=""),"",IF(ABS(X67-Y67)&lt;=1,"✓ Cuadra","⚠ Diferencia $"&amp;FIXED(X67-Y67,0)))</f>
        <v/>
      </c>
      <c r="AA67" s="72" t="str">
        <f aca="false">IF(AH67="","",IFERROR(INDEX(C_TIPO,MATCH(C67&amp;"-P"&amp;MAX(1,COUNTIFS(C_ID,C67,C_DEFINE,"Sí",C_INICIO,"&lt;="&amp;EOMONTH(B67,0))),C_CLAVE,0))&amp;"","Sin dato"))</f>
        <v/>
      </c>
      <c r="AB67" s="71" t="str">
        <f aca="false">IF(AH67="","",ROUND(MIN(K67,TOPE_AFP_UF*AJ67)*AK67,0))</f>
        <v/>
      </c>
      <c r="AC67" s="71" t="str">
        <f aca="false">IF(AH67="","",ROUND(MIN(K67,TOPE_AFC_UF*AJ67)*IF(AA67="Indefinido",AFC_EMP_INDEF,AFC_EMP_PF),0))</f>
        <v/>
      </c>
      <c r="AD67" s="71" t="str">
        <f aca="false">IF(AH67="","",ROUND(MIN(K67,TOPE_AFP_UF*AJ67)*(MUTUAL_BASICA+MUTUAL_ADIC+SANNA),0))</f>
        <v/>
      </c>
      <c r="AE67" s="71" t="str">
        <f aca="false">IF(AH67="","",P67-N(N67)+AB67+AC67+AD67)</f>
        <v/>
      </c>
      <c r="AF67" s="65"/>
      <c r="AG67" s="64"/>
      <c r="AH67" s="72" t="str">
        <f aca="false">IF(OR(B67="",C67=""),"",C67&amp;"|"&amp;(YEAR(B67)*100+MONTH(B67)))</f>
        <v/>
      </c>
      <c r="AI67" s="70" t="str">
        <f aca="false">IF(AH67="","",IF(COUNTIF(L_CLAVE,AH67)&gt;1,"⚠ Duplicado","OK"))</f>
        <v/>
      </c>
      <c r="AJ67" s="86" t="str">
        <f aca="false">IF(AH67="","",IF(SUMPRODUCT(MAX((IND_PER&lt;=B67)*(IND_UF&lt;&gt;"")*IND_PER))=0,UF_HOY,INDEX(IND_UF,MATCH(SUMPRODUCT(MAX((IND_PER&lt;=B67)*(IND_UF&lt;&gt;"")*IND_PER)),IND_PER,0))))</f>
        <v/>
      </c>
      <c r="AK67" s="87" t="str">
        <f aca="false">IF(AH67="","",IF(COUNTIF(TASA_DESDE,"&lt;="&amp;B67)=0,INDEX(TASA_EMP,1),INDEX(TASA_EMP,COUNTIF(TASA_DESDE,"&lt;="&amp;B67))))</f>
        <v/>
      </c>
    </row>
    <row r="68" customFormat="false" ht="15" hidden="false" customHeight="false" outlineLevel="0" collapsed="false">
      <c r="B68" s="78"/>
      <c r="C68" s="64"/>
      <c r="D68" s="72" t="str">
        <f aca="false">IF(C68="","",IFERROR(INDEX(T_NOMBRE,MATCH(C68,T_ID,0)),"⚠ ID no existe"))</f>
        <v/>
      </c>
      <c r="E68" s="69"/>
      <c r="F68" s="67"/>
      <c r="G68" s="67"/>
      <c r="H68" s="67"/>
      <c r="I68" s="67"/>
      <c r="J68" s="67"/>
      <c r="K68" s="85" t="str">
        <f aca="false">IF(AH68="","",N(F68)+N(G68)+N(H68)-N(I68)+N(J68))</f>
        <v/>
      </c>
      <c r="L68" s="67"/>
      <c r="M68" s="67"/>
      <c r="N68" s="67"/>
      <c r="O68" s="67"/>
      <c r="P68" s="85" t="str">
        <f aca="false">IF(AH68="","",K68+N(L68)+N(M68)+N(N68)+N(O68))</f>
        <v/>
      </c>
      <c r="Q68" s="67"/>
      <c r="R68" s="67"/>
      <c r="S68" s="67"/>
      <c r="T68" s="67"/>
      <c r="U68" s="67"/>
      <c r="V68" s="67"/>
      <c r="W68" s="85" t="str">
        <f aca="false">IF(AH68="","",N(Q68)+N(R68)+N(S68)+N(T68)+N(U68)+N(V68))</f>
        <v/>
      </c>
      <c r="X68" s="85" t="str">
        <f aca="false">IF(AH68="","",P68-W68)</f>
        <v/>
      </c>
      <c r="Y68" s="67"/>
      <c r="Z68" s="70" t="str">
        <f aca="false">IF(OR(AH68="",Y68=""),"",IF(ABS(X68-Y68)&lt;=1,"✓ Cuadra","⚠ Diferencia $"&amp;FIXED(X68-Y68,0)))</f>
        <v/>
      </c>
      <c r="AA68" s="72" t="str">
        <f aca="false">IF(AH68="","",IFERROR(INDEX(C_TIPO,MATCH(C68&amp;"-P"&amp;MAX(1,COUNTIFS(C_ID,C68,C_DEFINE,"Sí",C_INICIO,"&lt;="&amp;EOMONTH(B68,0))),C_CLAVE,0))&amp;"","Sin dato"))</f>
        <v/>
      </c>
      <c r="AB68" s="71" t="str">
        <f aca="false">IF(AH68="","",ROUND(MIN(K68,TOPE_AFP_UF*AJ68)*AK68,0))</f>
        <v/>
      </c>
      <c r="AC68" s="71" t="str">
        <f aca="false">IF(AH68="","",ROUND(MIN(K68,TOPE_AFC_UF*AJ68)*IF(AA68="Indefinido",AFC_EMP_INDEF,AFC_EMP_PF),0))</f>
        <v/>
      </c>
      <c r="AD68" s="71" t="str">
        <f aca="false">IF(AH68="","",ROUND(MIN(K68,TOPE_AFP_UF*AJ68)*(MUTUAL_BASICA+MUTUAL_ADIC+SANNA),0))</f>
        <v/>
      </c>
      <c r="AE68" s="71" t="str">
        <f aca="false">IF(AH68="","",P68-N(N68)+AB68+AC68+AD68)</f>
        <v/>
      </c>
      <c r="AF68" s="65"/>
      <c r="AG68" s="64"/>
      <c r="AH68" s="72" t="str">
        <f aca="false">IF(OR(B68="",C68=""),"",C68&amp;"|"&amp;(YEAR(B68)*100+MONTH(B68)))</f>
        <v/>
      </c>
      <c r="AI68" s="70" t="str">
        <f aca="false">IF(AH68="","",IF(COUNTIF(L_CLAVE,AH68)&gt;1,"⚠ Duplicado","OK"))</f>
        <v/>
      </c>
      <c r="AJ68" s="86" t="str">
        <f aca="false">IF(AH68="","",IF(SUMPRODUCT(MAX((IND_PER&lt;=B68)*(IND_UF&lt;&gt;"")*IND_PER))=0,UF_HOY,INDEX(IND_UF,MATCH(SUMPRODUCT(MAX((IND_PER&lt;=B68)*(IND_UF&lt;&gt;"")*IND_PER)),IND_PER,0))))</f>
        <v/>
      </c>
      <c r="AK68" s="87" t="str">
        <f aca="false">IF(AH68="","",IF(COUNTIF(TASA_DESDE,"&lt;="&amp;B68)=0,INDEX(TASA_EMP,1),INDEX(TASA_EMP,COUNTIF(TASA_DESDE,"&lt;="&amp;B68))))</f>
        <v/>
      </c>
    </row>
    <row r="69" customFormat="false" ht="15" hidden="false" customHeight="false" outlineLevel="0" collapsed="false">
      <c r="B69" s="78"/>
      <c r="C69" s="64"/>
      <c r="D69" s="72" t="str">
        <f aca="false">IF(C69="","",IFERROR(INDEX(T_NOMBRE,MATCH(C69,T_ID,0)),"⚠ ID no existe"))</f>
        <v/>
      </c>
      <c r="E69" s="69"/>
      <c r="F69" s="67"/>
      <c r="G69" s="67"/>
      <c r="H69" s="67"/>
      <c r="I69" s="67"/>
      <c r="J69" s="67"/>
      <c r="K69" s="85" t="str">
        <f aca="false">IF(AH69="","",N(F69)+N(G69)+N(H69)-N(I69)+N(J69))</f>
        <v/>
      </c>
      <c r="L69" s="67"/>
      <c r="M69" s="67"/>
      <c r="N69" s="67"/>
      <c r="O69" s="67"/>
      <c r="P69" s="85" t="str">
        <f aca="false">IF(AH69="","",K69+N(L69)+N(M69)+N(N69)+N(O69))</f>
        <v/>
      </c>
      <c r="Q69" s="67"/>
      <c r="R69" s="67"/>
      <c r="S69" s="67"/>
      <c r="T69" s="67"/>
      <c r="U69" s="67"/>
      <c r="V69" s="67"/>
      <c r="W69" s="85" t="str">
        <f aca="false">IF(AH69="","",N(Q69)+N(R69)+N(S69)+N(T69)+N(U69)+N(V69))</f>
        <v/>
      </c>
      <c r="X69" s="85" t="str">
        <f aca="false">IF(AH69="","",P69-W69)</f>
        <v/>
      </c>
      <c r="Y69" s="67"/>
      <c r="Z69" s="70" t="str">
        <f aca="false">IF(OR(AH69="",Y69=""),"",IF(ABS(X69-Y69)&lt;=1,"✓ Cuadra","⚠ Diferencia $"&amp;FIXED(X69-Y69,0)))</f>
        <v/>
      </c>
      <c r="AA69" s="72" t="str">
        <f aca="false">IF(AH69="","",IFERROR(INDEX(C_TIPO,MATCH(C69&amp;"-P"&amp;MAX(1,COUNTIFS(C_ID,C69,C_DEFINE,"Sí",C_INICIO,"&lt;="&amp;EOMONTH(B69,0))),C_CLAVE,0))&amp;"","Sin dato"))</f>
        <v/>
      </c>
      <c r="AB69" s="71" t="str">
        <f aca="false">IF(AH69="","",ROUND(MIN(K69,TOPE_AFP_UF*AJ69)*AK69,0))</f>
        <v/>
      </c>
      <c r="AC69" s="71" t="str">
        <f aca="false">IF(AH69="","",ROUND(MIN(K69,TOPE_AFC_UF*AJ69)*IF(AA69="Indefinido",AFC_EMP_INDEF,AFC_EMP_PF),0))</f>
        <v/>
      </c>
      <c r="AD69" s="71" t="str">
        <f aca="false">IF(AH69="","",ROUND(MIN(K69,TOPE_AFP_UF*AJ69)*(MUTUAL_BASICA+MUTUAL_ADIC+SANNA),0))</f>
        <v/>
      </c>
      <c r="AE69" s="71" t="str">
        <f aca="false">IF(AH69="","",P69-N(N69)+AB69+AC69+AD69)</f>
        <v/>
      </c>
      <c r="AF69" s="65"/>
      <c r="AG69" s="64"/>
      <c r="AH69" s="72" t="str">
        <f aca="false">IF(OR(B69="",C69=""),"",C69&amp;"|"&amp;(YEAR(B69)*100+MONTH(B69)))</f>
        <v/>
      </c>
      <c r="AI69" s="70" t="str">
        <f aca="false">IF(AH69="","",IF(COUNTIF(L_CLAVE,AH69)&gt;1,"⚠ Duplicado","OK"))</f>
        <v/>
      </c>
      <c r="AJ69" s="86" t="str">
        <f aca="false">IF(AH69="","",IF(SUMPRODUCT(MAX((IND_PER&lt;=B69)*(IND_UF&lt;&gt;"")*IND_PER))=0,UF_HOY,INDEX(IND_UF,MATCH(SUMPRODUCT(MAX((IND_PER&lt;=B69)*(IND_UF&lt;&gt;"")*IND_PER)),IND_PER,0))))</f>
        <v/>
      </c>
      <c r="AK69" s="87" t="str">
        <f aca="false">IF(AH69="","",IF(COUNTIF(TASA_DESDE,"&lt;="&amp;B69)=0,INDEX(TASA_EMP,1),INDEX(TASA_EMP,COUNTIF(TASA_DESDE,"&lt;="&amp;B69))))</f>
        <v/>
      </c>
    </row>
    <row r="70" customFormat="false" ht="15" hidden="false" customHeight="false" outlineLevel="0" collapsed="false">
      <c r="B70" s="78"/>
      <c r="C70" s="64"/>
      <c r="D70" s="72" t="str">
        <f aca="false">IF(C70="","",IFERROR(INDEX(T_NOMBRE,MATCH(C70,T_ID,0)),"⚠ ID no existe"))</f>
        <v/>
      </c>
      <c r="E70" s="69"/>
      <c r="F70" s="67"/>
      <c r="G70" s="67"/>
      <c r="H70" s="67"/>
      <c r="I70" s="67"/>
      <c r="J70" s="67"/>
      <c r="K70" s="85" t="str">
        <f aca="false">IF(AH70="","",N(F70)+N(G70)+N(H70)-N(I70)+N(J70))</f>
        <v/>
      </c>
      <c r="L70" s="67"/>
      <c r="M70" s="67"/>
      <c r="N70" s="67"/>
      <c r="O70" s="67"/>
      <c r="P70" s="85" t="str">
        <f aca="false">IF(AH70="","",K70+N(L70)+N(M70)+N(N70)+N(O70))</f>
        <v/>
      </c>
      <c r="Q70" s="67"/>
      <c r="R70" s="67"/>
      <c r="S70" s="67"/>
      <c r="T70" s="67"/>
      <c r="U70" s="67"/>
      <c r="V70" s="67"/>
      <c r="W70" s="85" t="str">
        <f aca="false">IF(AH70="","",N(Q70)+N(R70)+N(S70)+N(T70)+N(U70)+N(V70))</f>
        <v/>
      </c>
      <c r="X70" s="85" t="str">
        <f aca="false">IF(AH70="","",P70-W70)</f>
        <v/>
      </c>
      <c r="Y70" s="67"/>
      <c r="Z70" s="70" t="str">
        <f aca="false">IF(OR(AH70="",Y70=""),"",IF(ABS(X70-Y70)&lt;=1,"✓ Cuadra","⚠ Diferencia $"&amp;FIXED(X70-Y70,0)))</f>
        <v/>
      </c>
      <c r="AA70" s="72" t="str">
        <f aca="false">IF(AH70="","",IFERROR(INDEX(C_TIPO,MATCH(C70&amp;"-P"&amp;MAX(1,COUNTIFS(C_ID,C70,C_DEFINE,"Sí",C_INICIO,"&lt;="&amp;EOMONTH(B70,0))),C_CLAVE,0))&amp;"","Sin dato"))</f>
        <v/>
      </c>
      <c r="AB70" s="71" t="str">
        <f aca="false">IF(AH70="","",ROUND(MIN(K70,TOPE_AFP_UF*AJ70)*AK70,0))</f>
        <v/>
      </c>
      <c r="AC70" s="71" t="str">
        <f aca="false">IF(AH70="","",ROUND(MIN(K70,TOPE_AFC_UF*AJ70)*IF(AA70="Indefinido",AFC_EMP_INDEF,AFC_EMP_PF),0))</f>
        <v/>
      </c>
      <c r="AD70" s="71" t="str">
        <f aca="false">IF(AH70="","",ROUND(MIN(K70,TOPE_AFP_UF*AJ70)*(MUTUAL_BASICA+MUTUAL_ADIC+SANNA),0))</f>
        <v/>
      </c>
      <c r="AE70" s="71" t="str">
        <f aca="false">IF(AH70="","",P70-N(N70)+AB70+AC70+AD70)</f>
        <v/>
      </c>
      <c r="AF70" s="65"/>
      <c r="AG70" s="64"/>
      <c r="AH70" s="72" t="str">
        <f aca="false">IF(OR(B70="",C70=""),"",C70&amp;"|"&amp;(YEAR(B70)*100+MONTH(B70)))</f>
        <v/>
      </c>
      <c r="AI70" s="70" t="str">
        <f aca="false">IF(AH70="","",IF(COUNTIF(L_CLAVE,AH70)&gt;1,"⚠ Duplicado","OK"))</f>
        <v/>
      </c>
      <c r="AJ70" s="86" t="str">
        <f aca="false">IF(AH70="","",IF(SUMPRODUCT(MAX((IND_PER&lt;=B70)*(IND_UF&lt;&gt;"")*IND_PER))=0,UF_HOY,INDEX(IND_UF,MATCH(SUMPRODUCT(MAX((IND_PER&lt;=B70)*(IND_UF&lt;&gt;"")*IND_PER)),IND_PER,0))))</f>
        <v/>
      </c>
      <c r="AK70" s="87" t="str">
        <f aca="false">IF(AH70="","",IF(COUNTIF(TASA_DESDE,"&lt;="&amp;B70)=0,INDEX(TASA_EMP,1),INDEX(TASA_EMP,COUNTIF(TASA_DESDE,"&lt;="&amp;B70))))</f>
        <v/>
      </c>
    </row>
    <row r="71" customFormat="false" ht="15" hidden="false" customHeight="false" outlineLevel="0" collapsed="false">
      <c r="B71" s="78"/>
      <c r="C71" s="64"/>
      <c r="D71" s="72" t="str">
        <f aca="false">IF(C71="","",IFERROR(INDEX(T_NOMBRE,MATCH(C71,T_ID,0)),"⚠ ID no existe"))</f>
        <v/>
      </c>
      <c r="E71" s="69"/>
      <c r="F71" s="67"/>
      <c r="G71" s="67"/>
      <c r="H71" s="67"/>
      <c r="I71" s="67"/>
      <c r="J71" s="67"/>
      <c r="K71" s="85" t="str">
        <f aca="false">IF(AH71="","",N(F71)+N(G71)+N(H71)-N(I71)+N(J71))</f>
        <v/>
      </c>
      <c r="L71" s="67"/>
      <c r="M71" s="67"/>
      <c r="N71" s="67"/>
      <c r="O71" s="67"/>
      <c r="P71" s="85" t="str">
        <f aca="false">IF(AH71="","",K71+N(L71)+N(M71)+N(N71)+N(O71))</f>
        <v/>
      </c>
      <c r="Q71" s="67"/>
      <c r="R71" s="67"/>
      <c r="S71" s="67"/>
      <c r="T71" s="67"/>
      <c r="U71" s="67"/>
      <c r="V71" s="67"/>
      <c r="W71" s="85" t="str">
        <f aca="false">IF(AH71="","",N(Q71)+N(R71)+N(S71)+N(T71)+N(U71)+N(V71))</f>
        <v/>
      </c>
      <c r="X71" s="85" t="str">
        <f aca="false">IF(AH71="","",P71-W71)</f>
        <v/>
      </c>
      <c r="Y71" s="67"/>
      <c r="Z71" s="70" t="str">
        <f aca="false">IF(OR(AH71="",Y71=""),"",IF(ABS(X71-Y71)&lt;=1,"✓ Cuadra","⚠ Diferencia $"&amp;FIXED(X71-Y71,0)))</f>
        <v/>
      </c>
      <c r="AA71" s="72" t="str">
        <f aca="false">IF(AH71="","",IFERROR(INDEX(C_TIPO,MATCH(C71&amp;"-P"&amp;MAX(1,COUNTIFS(C_ID,C71,C_DEFINE,"Sí",C_INICIO,"&lt;="&amp;EOMONTH(B71,0))),C_CLAVE,0))&amp;"","Sin dato"))</f>
        <v/>
      </c>
      <c r="AB71" s="71" t="str">
        <f aca="false">IF(AH71="","",ROUND(MIN(K71,TOPE_AFP_UF*AJ71)*AK71,0))</f>
        <v/>
      </c>
      <c r="AC71" s="71" t="str">
        <f aca="false">IF(AH71="","",ROUND(MIN(K71,TOPE_AFC_UF*AJ71)*IF(AA71="Indefinido",AFC_EMP_INDEF,AFC_EMP_PF),0))</f>
        <v/>
      </c>
      <c r="AD71" s="71" t="str">
        <f aca="false">IF(AH71="","",ROUND(MIN(K71,TOPE_AFP_UF*AJ71)*(MUTUAL_BASICA+MUTUAL_ADIC+SANNA),0))</f>
        <v/>
      </c>
      <c r="AE71" s="71" t="str">
        <f aca="false">IF(AH71="","",P71-N(N71)+AB71+AC71+AD71)</f>
        <v/>
      </c>
      <c r="AF71" s="65"/>
      <c r="AG71" s="64"/>
      <c r="AH71" s="72" t="str">
        <f aca="false">IF(OR(B71="",C71=""),"",C71&amp;"|"&amp;(YEAR(B71)*100+MONTH(B71)))</f>
        <v/>
      </c>
      <c r="AI71" s="70" t="str">
        <f aca="false">IF(AH71="","",IF(COUNTIF(L_CLAVE,AH71)&gt;1,"⚠ Duplicado","OK"))</f>
        <v/>
      </c>
      <c r="AJ71" s="86" t="str">
        <f aca="false">IF(AH71="","",IF(SUMPRODUCT(MAX((IND_PER&lt;=B71)*(IND_UF&lt;&gt;"")*IND_PER))=0,UF_HOY,INDEX(IND_UF,MATCH(SUMPRODUCT(MAX((IND_PER&lt;=B71)*(IND_UF&lt;&gt;"")*IND_PER)),IND_PER,0))))</f>
        <v/>
      </c>
      <c r="AK71" s="87" t="str">
        <f aca="false">IF(AH71="","",IF(COUNTIF(TASA_DESDE,"&lt;="&amp;B71)=0,INDEX(TASA_EMP,1),INDEX(TASA_EMP,COUNTIF(TASA_DESDE,"&lt;="&amp;B71))))</f>
        <v/>
      </c>
    </row>
    <row r="72" customFormat="false" ht="15" hidden="false" customHeight="false" outlineLevel="0" collapsed="false">
      <c r="B72" s="78"/>
      <c r="C72" s="64"/>
      <c r="D72" s="72" t="str">
        <f aca="false">IF(C72="","",IFERROR(INDEX(T_NOMBRE,MATCH(C72,T_ID,0)),"⚠ ID no existe"))</f>
        <v/>
      </c>
      <c r="E72" s="69"/>
      <c r="F72" s="67"/>
      <c r="G72" s="67"/>
      <c r="H72" s="67"/>
      <c r="I72" s="67"/>
      <c r="J72" s="67"/>
      <c r="K72" s="85" t="str">
        <f aca="false">IF(AH72="","",N(F72)+N(G72)+N(H72)-N(I72)+N(J72))</f>
        <v/>
      </c>
      <c r="L72" s="67"/>
      <c r="M72" s="67"/>
      <c r="N72" s="67"/>
      <c r="O72" s="67"/>
      <c r="P72" s="85" t="str">
        <f aca="false">IF(AH72="","",K72+N(L72)+N(M72)+N(N72)+N(O72))</f>
        <v/>
      </c>
      <c r="Q72" s="67"/>
      <c r="R72" s="67"/>
      <c r="S72" s="67"/>
      <c r="T72" s="67"/>
      <c r="U72" s="67"/>
      <c r="V72" s="67"/>
      <c r="W72" s="85" t="str">
        <f aca="false">IF(AH72="","",N(Q72)+N(R72)+N(S72)+N(T72)+N(U72)+N(V72))</f>
        <v/>
      </c>
      <c r="X72" s="85" t="str">
        <f aca="false">IF(AH72="","",P72-W72)</f>
        <v/>
      </c>
      <c r="Y72" s="67"/>
      <c r="Z72" s="70" t="str">
        <f aca="false">IF(OR(AH72="",Y72=""),"",IF(ABS(X72-Y72)&lt;=1,"✓ Cuadra","⚠ Diferencia $"&amp;FIXED(X72-Y72,0)))</f>
        <v/>
      </c>
      <c r="AA72" s="72" t="str">
        <f aca="false">IF(AH72="","",IFERROR(INDEX(C_TIPO,MATCH(C72&amp;"-P"&amp;MAX(1,COUNTIFS(C_ID,C72,C_DEFINE,"Sí",C_INICIO,"&lt;="&amp;EOMONTH(B72,0))),C_CLAVE,0))&amp;"","Sin dato"))</f>
        <v/>
      </c>
      <c r="AB72" s="71" t="str">
        <f aca="false">IF(AH72="","",ROUND(MIN(K72,TOPE_AFP_UF*AJ72)*AK72,0))</f>
        <v/>
      </c>
      <c r="AC72" s="71" t="str">
        <f aca="false">IF(AH72="","",ROUND(MIN(K72,TOPE_AFC_UF*AJ72)*IF(AA72="Indefinido",AFC_EMP_INDEF,AFC_EMP_PF),0))</f>
        <v/>
      </c>
      <c r="AD72" s="71" t="str">
        <f aca="false">IF(AH72="","",ROUND(MIN(K72,TOPE_AFP_UF*AJ72)*(MUTUAL_BASICA+MUTUAL_ADIC+SANNA),0))</f>
        <v/>
      </c>
      <c r="AE72" s="71" t="str">
        <f aca="false">IF(AH72="","",P72-N(N72)+AB72+AC72+AD72)</f>
        <v/>
      </c>
      <c r="AF72" s="65"/>
      <c r="AG72" s="64"/>
      <c r="AH72" s="72" t="str">
        <f aca="false">IF(OR(B72="",C72=""),"",C72&amp;"|"&amp;(YEAR(B72)*100+MONTH(B72)))</f>
        <v/>
      </c>
      <c r="AI72" s="70" t="str">
        <f aca="false">IF(AH72="","",IF(COUNTIF(L_CLAVE,AH72)&gt;1,"⚠ Duplicado","OK"))</f>
        <v/>
      </c>
      <c r="AJ72" s="86" t="str">
        <f aca="false">IF(AH72="","",IF(SUMPRODUCT(MAX((IND_PER&lt;=B72)*(IND_UF&lt;&gt;"")*IND_PER))=0,UF_HOY,INDEX(IND_UF,MATCH(SUMPRODUCT(MAX((IND_PER&lt;=B72)*(IND_UF&lt;&gt;"")*IND_PER)),IND_PER,0))))</f>
        <v/>
      </c>
      <c r="AK72" s="87" t="str">
        <f aca="false">IF(AH72="","",IF(COUNTIF(TASA_DESDE,"&lt;="&amp;B72)=0,INDEX(TASA_EMP,1),INDEX(TASA_EMP,COUNTIF(TASA_DESDE,"&lt;="&amp;B72))))</f>
        <v/>
      </c>
    </row>
    <row r="73" customFormat="false" ht="15" hidden="false" customHeight="false" outlineLevel="0" collapsed="false">
      <c r="B73" s="78"/>
      <c r="C73" s="64"/>
      <c r="D73" s="72" t="str">
        <f aca="false">IF(C73="","",IFERROR(INDEX(T_NOMBRE,MATCH(C73,T_ID,0)),"⚠ ID no existe"))</f>
        <v/>
      </c>
      <c r="E73" s="69"/>
      <c r="F73" s="67"/>
      <c r="G73" s="67"/>
      <c r="H73" s="67"/>
      <c r="I73" s="67"/>
      <c r="J73" s="67"/>
      <c r="K73" s="85" t="str">
        <f aca="false">IF(AH73="","",N(F73)+N(G73)+N(H73)-N(I73)+N(J73))</f>
        <v/>
      </c>
      <c r="L73" s="67"/>
      <c r="M73" s="67"/>
      <c r="N73" s="67"/>
      <c r="O73" s="67"/>
      <c r="P73" s="85" t="str">
        <f aca="false">IF(AH73="","",K73+N(L73)+N(M73)+N(N73)+N(O73))</f>
        <v/>
      </c>
      <c r="Q73" s="67"/>
      <c r="R73" s="67"/>
      <c r="S73" s="67"/>
      <c r="T73" s="67"/>
      <c r="U73" s="67"/>
      <c r="V73" s="67"/>
      <c r="W73" s="85" t="str">
        <f aca="false">IF(AH73="","",N(Q73)+N(R73)+N(S73)+N(T73)+N(U73)+N(V73))</f>
        <v/>
      </c>
      <c r="X73" s="85" t="str">
        <f aca="false">IF(AH73="","",P73-W73)</f>
        <v/>
      </c>
      <c r="Y73" s="67"/>
      <c r="Z73" s="70" t="str">
        <f aca="false">IF(OR(AH73="",Y73=""),"",IF(ABS(X73-Y73)&lt;=1,"✓ Cuadra","⚠ Diferencia $"&amp;FIXED(X73-Y73,0)))</f>
        <v/>
      </c>
      <c r="AA73" s="72" t="str">
        <f aca="false">IF(AH73="","",IFERROR(INDEX(C_TIPO,MATCH(C73&amp;"-P"&amp;MAX(1,COUNTIFS(C_ID,C73,C_DEFINE,"Sí",C_INICIO,"&lt;="&amp;EOMONTH(B73,0))),C_CLAVE,0))&amp;"","Sin dato"))</f>
        <v/>
      </c>
      <c r="AB73" s="71" t="str">
        <f aca="false">IF(AH73="","",ROUND(MIN(K73,TOPE_AFP_UF*AJ73)*AK73,0))</f>
        <v/>
      </c>
      <c r="AC73" s="71" t="str">
        <f aca="false">IF(AH73="","",ROUND(MIN(K73,TOPE_AFC_UF*AJ73)*IF(AA73="Indefinido",AFC_EMP_INDEF,AFC_EMP_PF),0))</f>
        <v/>
      </c>
      <c r="AD73" s="71" t="str">
        <f aca="false">IF(AH73="","",ROUND(MIN(K73,TOPE_AFP_UF*AJ73)*(MUTUAL_BASICA+MUTUAL_ADIC+SANNA),0))</f>
        <v/>
      </c>
      <c r="AE73" s="71" t="str">
        <f aca="false">IF(AH73="","",P73-N(N73)+AB73+AC73+AD73)</f>
        <v/>
      </c>
      <c r="AF73" s="65"/>
      <c r="AG73" s="64"/>
      <c r="AH73" s="72" t="str">
        <f aca="false">IF(OR(B73="",C73=""),"",C73&amp;"|"&amp;(YEAR(B73)*100+MONTH(B73)))</f>
        <v/>
      </c>
      <c r="AI73" s="70" t="str">
        <f aca="false">IF(AH73="","",IF(COUNTIF(L_CLAVE,AH73)&gt;1,"⚠ Duplicado","OK"))</f>
        <v/>
      </c>
      <c r="AJ73" s="86" t="str">
        <f aca="false">IF(AH73="","",IF(SUMPRODUCT(MAX((IND_PER&lt;=B73)*(IND_UF&lt;&gt;"")*IND_PER))=0,UF_HOY,INDEX(IND_UF,MATCH(SUMPRODUCT(MAX((IND_PER&lt;=B73)*(IND_UF&lt;&gt;"")*IND_PER)),IND_PER,0))))</f>
        <v/>
      </c>
      <c r="AK73" s="87" t="str">
        <f aca="false">IF(AH73="","",IF(COUNTIF(TASA_DESDE,"&lt;="&amp;B73)=0,INDEX(TASA_EMP,1),INDEX(TASA_EMP,COUNTIF(TASA_DESDE,"&lt;="&amp;B73))))</f>
        <v/>
      </c>
    </row>
    <row r="74" customFormat="false" ht="15" hidden="false" customHeight="false" outlineLevel="0" collapsed="false">
      <c r="B74" s="78"/>
      <c r="C74" s="64"/>
      <c r="D74" s="72" t="str">
        <f aca="false">IF(C74="","",IFERROR(INDEX(T_NOMBRE,MATCH(C74,T_ID,0)),"⚠ ID no existe"))</f>
        <v/>
      </c>
      <c r="E74" s="69"/>
      <c r="F74" s="67"/>
      <c r="G74" s="67"/>
      <c r="H74" s="67"/>
      <c r="I74" s="67"/>
      <c r="J74" s="67"/>
      <c r="K74" s="85" t="str">
        <f aca="false">IF(AH74="","",N(F74)+N(G74)+N(H74)-N(I74)+N(J74))</f>
        <v/>
      </c>
      <c r="L74" s="67"/>
      <c r="M74" s="67"/>
      <c r="N74" s="67"/>
      <c r="O74" s="67"/>
      <c r="P74" s="85" t="str">
        <f aca="false">IF(AH74="","",K74+N(L74)+N(M74)+N(N74)+N(O74))</f>
        <v/>
      </c>
      <c r="Q74" s="67"/>
      <c r="R74" s="67"/>
      <c r="S74" s="67"/>
      <c r="T74" s="67"/>
      <c r="U74" s="67"/>
      <c r="V74" s="67"/>
      <c r="W74" s="85" t="str">
        <f aca="false">IF(AH74="","",N(Q74)+N(R74)+N(S74)+N(T74)+N(U74)+N(V74))</f>
        <v/>
      </c>
      <c r="X74" s="85" t="str">
        <f aca="false">IF(AH74="","",P74-W74)</f>
        <v/>
      </c>
      <c r="Y74" s="67"/>
      <c r="Z74" s="70" t="str">
        <f aca="false">IF(OR(AH74="",Y74=""),"",IF(ABS(X74-Y74)&lt;=1,"✓ Cuadra","⚠ Diferencia $"&amp;FIXED(X74-Y74,0)))</f>
        <v/>
      </c>
      <c r="AA74" s="72" t="str">
        <f aca="false">IF(AH74="","",IFERROR(INDEX(C_TIPO,MATCH(C74&amp;"-P"&amp;MAX(1,COUNTIFS(C_ID,C74,C_DEFINE,"Sí",C_INICIO,"&lt;="&amp;EOMONTH(B74,0))),C_CLAVE,0))&amp;"","Sin dato"))</f>
        <v/>
      </c>
      <c r="AB74" s="71" t="str">
        <f aca="false">IF(AH74="","",ROUND(MIN(K74,TOPE_AFP_UF*AJ74)*AK74,0))</f>
        <v/>
      </c>
      <c r="AC74" s="71" t="str">
        <f aca="false">IF(AH74="","",ROUND(MIN(K74,TOPE_AFC_UF*AJ74)*IF(AA74="Indefinido",AFC_EMP_INDEF,AFC_EMP_PF),0))</f>
        <v/>
      </c>
      <c r="AD74" s="71" t="str">
        <f aca="false">IF(AH74="","",ROUND(MIN(K74,TOPE_AFP_UF*AJ74)*(MUTUAL_BASICA+MUTUAL_ADIC+SANNA),0))</f>
        <v/>
      </c>
      <c r="AE74" s="71" t="str">
        <f aca="false">IF(AH74="","",P74-N(N74)+AB74+AC74+AD74)</f>
        <v/>
      </c>
      <c r="AF74" s="65"/>
      <c r="AG74" s="64"/>
      <c r="AH74" s="72" t="str">
        <f aca="false">IF(OR(B74="",C74=""),"",C74&amp;"|"&amp;(YEAR(B74)*100+MONTH(B74)))</f>
        <v/>
      </c>
      <c r="AI74" s="70" t="str">
        <f aca="false">IF(AH74="","",IF(COUNTIF(L_CLAVE,AH74)&gt;1,"⚠ Duplicado","OK"))</f>
        <v/>
      </c>
      <c r="AJ74" s="86" t="str">
        <f aca="false">IF(AH74="","",IF(SUMPRODUCT(MAX((IND_PER&lt;=B74)*(IND_UF&lt;&gt;"")*IND_PER))=0,UF_HOY,INDEX(IND_UF,MATCH(SUMPRODUCT(MAX((IND_PER&lt;=B74)*(IND_UF&lt;&gt;"")*IND_PER)),IND_PER,0))))</f>
        <v/>
      </c>
      <c r="AK74" s="87" t="str">
        <f aca="false">IF(AH74="","",IF(COUNTIF(TASA_DESDE,"&lt;="&amp;B74)=0,INDEX(TASA_EMP,1),INDEX(TASA_EMP,COUNTIF(TASA_DESDE,"&lt;="&amp;B74))))</f>
        <v/>
      </c>
    </row>
    <row r="75" customFormat="false" ht="15" hidden="false" customHeight="false" outlineLevel="0" collapsed="false">
      <c r="B75" s="78"/>
      <c r="C75" s="64"/>
      <c r="D75" s="72" t="str">
        <f aca="false">IF(C75="","",IFERROR(INDEX(T_NOMBRE,MATCH(C75,T_ID,0)),"⚠ ID no existe"))</f>
        <v/>
      </c>
      <c r="E75" s="69"/>
      <c r="F75" s="67"/>
      <c r="G75" s="67"/>
      <c r="H75" s="67"/>
      <c r="I75" s="67"/>
      <c r="J75" s="67"/>
      <c r="K75" s="85" t="str">
        <f aca="false">IF(AH75="","",N(F75)+N(G75)+N(H75)-N(I75)+N(J75))</f>
        <v/>
      </c>
      <c r="L75" s="67"/>
      <c r="M75" s="67"/>
      <c r="N75" s="67"/>
      <c r="O75" s="67"/>
      <c r="P75" s="85" t="str">
        <f aca="false">IF(AH75="","",K75+N(L75)+N(M75)+N(N75)+N(O75))</f>
        <v/>
      </c>
      <c r="Q75" s="67"/>
      <c r="R75" s="67"/>
      <c r="S75" s="67"/>
      <c r="T75" s="67"/>
      <c r="U75" s="67"/>
      <c r="V75" s="67"/>
      <c r="W75" s="85" t="str">
        <f aca="false">IF(AH75="","",N(Q75)+N(R75)+N(S75)+N(T75)+N(U75)+N(V75))</f>
        <v/>
      </c>
      <c r="X75" s="85" t="str">
        <f aca="false">IF(AH75="","",P75-W75)</f>
        <v/>
      </c>
      <c r="Y75" s="67"/>
      <c r="Z75" s="70" t="str">
        <f aca="false">IF(OR(AH75="",Y75=""),"",IF(ABS(X75-Y75)&lt;=1,"✓ Cuadra","⚠ Diferencia $"&amp;FIXED(X75-Y75,0)))</f>
        <v/>
      </c>
      <c r="AA75" s="72" t="str">
        <f aca="false">IF(AH75="","",IFERROR(INDEX(C_TIPO,MATCH(C75&amp;"-P"&amp;MAX(1,COUNTIFS(C_ID,C75,C_DEFINE,"Sí",C_INICIO,"&lt;="&amp;EOMONTH(B75,0))),C_CLAVE,0))&amp;"","Sin dato"))</f>
        <v/>
      </c>
      <c r="AB75" s="71" t="str">
        <f aca="false">IF(AH75="","",ROUND(MIN(K75,TOPE_AFP_UF*AJ75)*AK75,0))</f>
        <v/>
      </c>
      <c r="AC75" s="71" t="str">
        <f aca="false">IF(AH75="","",ROUND(MIN(K75,TOPE_AFC_UF*AJ75)*IF(AA75="Indefinido",AFC_EMP_INDEF,AFC_EMP_PF),0))</f>
        <v/>
      </c>
      <c r="AD75" s="71" t="str">
        <f aca="false">IF(AH75="","",ROUND(MIN(K75,TOPE_AFP_UF*AJ75)*(MUTUAL_BASICA+MUTUAL_ADIC+SANNA),0))</f>
        <v/>
      </c>
      <c r="AE75" s="71" t="str">
        <f aca="false">IF(AH75="","",P75-N(N75)+AB75+AC75+AD75)</f>
        <v/>
      </c>
      <c r="AF75" s="65"/>
      <c r="AG75" s="64"/>
      <c r="AH75" s="72" t="str">
        <f aca="false">IF(OR(B75="",C75=""),"",C75&amp;"|"&amp;(YEAR(B75)*100+MONTH(B75)))</f>
        <v/>
      </c>
      <c r="AI75" s="70" t="str">
        <f aca="false">IF(AH75="","",IF(COUNTIF(L_CLAVE,AH75)&gt;1,"⚠ Duplicado","OK"))</f>
        <v/>
      </c>
      <c r="AJ75" s="86" t="str">
        <f aca="false">IF(AH75="","",IF(SUMPRODUCT(MAX((IND_PER&lt;=B75)*(IND_UF&lt;&gt;"")*IND_PER))=0,UF_HOY,INDEX(IND_UF,MATCH(SUMPRODUCT(MAX((IND_PER&lt;=B75)*(IND_UF&lt;&gt;"")*IND_PER)),IND_PER,0))))</f>
        <v/>
      </c>
      <c r="AK75" s="87" t="str">
        <f aca="false">IF(AH75="","",IF(COUNTIF(TASA_DESDE,"&lt;="&amp;B75)=0,INDEX(TASA_EMP,1),INDEX(TASA_EMP,COUNTIF(TASA_DESDE,"&lt;="&amp;B75))))</f>
        <v/>
      </c>
    </row>
    <row r="76" customFormat="false" ht="15" hidden="false" customHeight="false" outlineLevel="0" collapsed="false">
      <c r="B76" s="78"/>
      <c r="C76" s="64"/>
      <c r="D76" s="72" t="str">
        <f aca="false">IF(C76="","",IFERROR(INDEX(T_NOMBRE,MATCH(C76,T_ID,0)),"⚠ ID no existe"))</f>
        <v/>
      </c>
      <c r="E76" s="69"/>
      <c r="F76" s="67"/>
      <c r="G76" s="67"/>
      <c r="H76" s="67"/>
      <c r="I76" s="67"/>
      <c r="J76" s="67"/>
      <c r="K76" s="85" t="str">
        <f aca="false">IF(AH76="","",N(F76)+N(G76)+N(H76)-N(I76)+N(J76))</f>
        <v/>
      </c>
      <c r="L76" s="67"/>
      <c r="M76" s="67"/>
      <c r="N76" s="67"/>
      <c r="O76" s="67"/>
      <c r="P76" s="85" t="str">
        <f aca="false">IF(AH76="","",K76+N(L76)+N(M76)+N(N76)+N(O76))</f>
        <v/>
      </c>
      <c r="Q76" s="67"/>
      <c r="R76" s="67"/>
      <c r="S76" s="67"/>
      <c r="T76" s="67"/>
      <c r="U76" s="67"/>
      <c r="V76" s="67"/>
      <c r="W76" s="85" t="str">
        <f aca="false">IF(AH76="","",N(Q76)+N(R76)+N(S76)+N(T76)+N(U76)+N(V76))</f>
        <v/>
      </c>
      <c r="X76" s="85" t="str">
        <f aca="false">IF(AH76="","",P76-W76)</f>
        <v/>
      </c>
      <c r="Y76" s="67"/>
      <c r="Z76" s="70" t="str">
        <f aca="false">IF(OR(AH76="",Y76=""),"",IF(ABS(X76-Y76)&lt;=1,"✓ Cuadra","⚠ Diferencia $"&amp;FIXED(X76-Y76,0)))</f>
        <v/>
      </c>
      <c r="AA76" s="72" t="str">
        <f aca="false">IF(AH76="","",IFERROR(INDEX(C_TIPO,MATCH(C76&amp;"-P"&amp;MAX(1,COUNTIFS(C_ID,C76,C_DEFINE,"Sí",C_INICIO,"&lt;="&amp;EOMONTH(B76,0))),C_CLAVE,0))&amp;"","Sin dato"))</f>
        <v/>
      </c>
      <c r="AB76" s="71" t="str">
        <f aca="false">IF(AH76="","",ROUND(MIN(K76,TOPE_AFP_UF*AJ76)*AK76,0))</f>
        <v/>
      </c>
      <c r="AC76" s="71" t="str">
        <f aca="false">IF(AH76="","",ROUND(MIN(K76,TOPE_AFC_UF*AJ76)*IF(AA76="Indefinido",AFC_EMP_INDEF,AFC_EMP_PF),0))</f>
        <v/>
      </c>
      <c r="AD76" s="71" t="str">
        <f aca="false">IF(AH76="","",ROUND(MIN(K76,TOPE_AFP_UF*AJ76)*(MUTUAL_BASICA+MUTUAL_ADIC+SANNA),0))</f>
        <v/>
      </c>
      <c r="AE76" s="71" t="str">
        <f aca="false">IF(AH76="","",P76-N(N76)+AB76+AC76+AD76)</f>
        <v/>
      </c>
      <c r="AF76" s="65"/>
      <c r="AG76" s="64"/>
      <c r="AH76" s="72" t="str">
        <f aca="false">IF(OR(B76="",C76=""),"",C76&amp;"|"&amp;(YEAR(B76)*100+MONTH(B76)))</f>
        <v/>
      </c>
      <c r="AI76" s="70" t="str">
        <f aca="false">IF(AH76="","",IF(COUNTIF(L_CLAVE,AH76)&gt;1,"⚠ Duplicado","OK"))</f>
        <v/>
      </c>
      <c r="AJ76" s="86" t="str">
        <f aca="false">IF(AH76="","",IF(SUMPRODUCT(MAX((IND_PER&lt;=B76)*(IND_UF&lt;&gt;"")*IND_PER))=0,UF_HOY,INDEX(IND_UF,MATCH(SUMPRODUCT(MAX((IND_PER&lt;=B76)*(IND_UF&lt;&gt;"")*IND_PER)),IND_PER,0))))</f>
        <v/>
      </c>
      <c r="AK76" s="87" t="str">
        <f aca="false">IF(AH76="","",IF(COUNTIF(TASA_DESDE,"&lt;="&amp;B76)=0,INDEX(TASA_EMP,1),INDEX(TASA_EMP,COUNTIF(TASA_DESDE,"&lt;="&amp;B76))))</f>
        <v/>
      </c>
    </row>
    <row r="77" customFormat="false" ht="15" hidden="false" customHeight="false" outlineLevel="0" collapsed="false">
      <c r="B77" s="78"/>
      <c r="C77" s="64"/>
      <c r="D77" s="72" t="str">
        <f aca="false">IF(C77="","",IFERROR(INDEX(T_NOMBRE,MATCH(C77,T_ID,0)),"⚠ ID no existe"))</f>
        <v/>
      </c>
      <c r="E77" s="69"/>
      <c r="F77" s="67"/>
      <c r="G77" s="67"/>
      <c r="H77" s="67"/>
      <c r="I77" s="67"/>
      <c r="J77" s="67"/>
      <c r="K77" s="85" t="str">
        <f aca="false">IF(AH77="","",N(F77)+N(G77)+N(H77)-N(I77)+N(J77))</f>
        <v/>
      </c>
      <c r="L77" s="67"/>
      <c r="M77" s="67"/>
      <c r="N77" s="67"/>
      <c r="O77" s="67"/>
      <c r="P77" s="85" t="str">
        <f aca="false">IF(AH77="","",K77+N(L77)+N(M77)+N(N77)+N(O77))</f>
        <v/>
      </c>
      <c r="Q77" s="67"/>
      <c r="R77" s="67"/>
      <c r="S77" s="67"/>
      <c r="T77" s="67"/>
      <c r="U77" s="67"/>
      <c r="V77" s="67"/>
      <c r="W77" s="85" t="str">
        <f aca="false">IF(AH77="","",N(Q77)+N(R77)+N(S77)+N(T77)+N(U77)+N(V77))</f>
        <v/>
      </c>
      <c r="X77" s="85" t="str">
        <f aca="false">IF(AH77="","",P77-W77)</f>
        <v/>
      </c>
      <c r="Y77" s="67"/>
      <c r="Z77" s="70" t="str">
        <f aca="false">IF(OR(AH77="",Y77=""),"",IF(ABS(X77-Y77)&lt;=1,"✓ Cuadra","⚠ Diferencia $"&amp;FIXED(X77-Y77,0)))</f>
        <v/>
      </c>
      <c r="AA77" s="72" t="str">
        <f aca="false">IF(AH77="","",IFERROR(INDEX(C_TIPO,MATCH(C77&amp;"-P"&amp;MAX(1,COUNTIFS(C_ID,C77,C_DEFINE,"Sí",C_INICIO,"&lt;="&amp;EOMONTH(B77,0))),C_CLAVE,0))&amp;"","Sin dato"))</f>
        <v/>
      </c>
      <c r="AB77" s="71" t="str">
        <f aca="false">IF(AH77="","",ROUND(MIN(K77,TOPE_AFP_UF*AJ77)*AK77,0))</f>
        <v/>
      </c>
      <c r="AC77" s="71" t="str">
        <f aca="false">IF(AH77="","",ROUND(MIN(K77,TOPE_AFC_UF*AJ77)*IF(AA77="Indefinido",AFC_EMP_INDEF,AFC_EMP_PF),0))</f>
        <v/>
      </c>
      <c r="AD77" s="71" t="str">
        <f aca="false">IF(AH77="","",ROUND(MIN(K77,TOPE_AFP_UF*AJ77)*(MUTUAL_BASICA+MUTUAL_ADIC+SANNA),0))</f>
        <v/>
      </c>
      <c r="AE77" s="71" t="str">
        <f aca="false">IF(AH77="","",P77-N(N77)+AB77+AC77+AD77)</f>
        <v/>
      </c>
      <c r="AF77" s="65"/>
      <c r="AG77" s="64"/>
      <c r="AH77" s="72" t="str">
        <f aca="false">IF(OR(B77="",C77=""),"",C77&amp;"|"&amp;(YEAR(B77)*100+MONTH(B77)))</f>
        <v/>
      </c>
      <c r="AI77" s="70" t="str">
        <f aca="false">IF(AH77="","",IF(COUNTIF(L_CLAVE,AH77)&gt;1,"⚠ Duplicado","OK"))</f>
        <v/>
      </c>
      <c r="AJ77" s="86" t="str">
        <f aca="false">IF(AH77="","",IF(SUMPRODUCT(MAX((IND_PER&lt;=B77)*(IND_UF&lt;&gt;"")*IND_PER))=0,UF_HOY,INDEX(IND_UF,MATCH(SUMPRODUCT(MAX((IND_PER&lt;=B77)*(IND_UF&lt;&gt;"")*IND_PER)),IND_PER,0))))</f>
        <v/>
      </c>
      <c r="AK77" s="87" t="str">
        <f aca="false">IF(AH77="","",IF(COUNTIF(TASA_DESDE,"&lt;="&amp;B77)=0,INDEX(TASA_EMP,1),INDEX(TASA_EMP,COUNTIF(TASA_DESDE,"&lt;="&amp;B77))))</f>
        <v/>
      </c>
    </row>
    <row r="78" customFormat="false" ht="15" hidden="false" customHeight="false" outlineLevel="0" collapsed="false">
      <c r="B78" s="78"/>
      <c r="C78" s="64"/>
      <c r="D78" s="72" t="str">
        <f aca="false">IF(C78="","",IFERROR(INDEX(T_NOMBRE,MATCH(C78,T_ID,0)),"⚠ ID no existe"))</f>
        <v/>
      </c>
      <c r="E78" s="69"/>
      <c r="F78" s="67"/>
      <c r="G78" s="67"/>
      <c r="H78" s="67"/>
      <c r="I78" s="67"/>
      <c r="J78" s="67"/>
      <c r="K78" s="85" t="str">
        <f aca="false">IF(AH78="","",N(F78)+N(G78)+N(H78)-N(I78)+N(J78))</f>
        <v/>
      </c>
      <c r="L78" s="67"/>
      <c r="M78" s="67"/>
      <c r="N78" s="67"/>
      <c r="O78" s="67"/>
      <c r="P78" s="85" t="str">
        <f aca="false">IF(AH78="","",K78+N(L78)+N(M78)+N(N78)+N(O78))</f>
        <v/>
      </c>
      <c r="Q78" s="67"/>
      <c r="R78" s="67"/>
      <c r="S78" s="67"/>
      <c r="T78" s="67"/>
      <c r="U78" s="67"/>
      <c r="V78" s="67"/>
      <c r="W78" s="85" t="str">
        <f aca="false">IF(AH78="","",N(Q78)+N(R78)+N(S78)+N(T78)+N(U78)+N(V78))</f>
        <v/>
      </c>
      <c r="X78" s="85" t="str">
        <f aca="false">IF(AH78="","",P78-W78)</f>
        <v/>
      </c>
      <c r="Y78" s="67"/>
      <c r="Z78" s="70" t="str">
        <f aca="false">IF(OR(AH78="",Y78=""),"",IF(ABS(X78-Y78)&lt;=1,"✓ Cuadra","⚠ Diferencia $"&amp;FIXED(X78-Y78,0)))</f>
        <v/>
      </c>
      <c r="AA78" s="72" t="str">
        <f aca="false">IF(AH78="","",IFERROR(INDEX(C_TIPO,MATCH(C78&amp;"-P"&amp;MAX(1,COUNTIFS(C_ID,C78,C_DEFINE,"Sí",C_INICIO,"&lt;="&amp;EOMONTH(B78,0))),C_CLAVE,0))&amp;"","Sin dato"))</f>
        <v/>
      </c>
      <c r="AB78" s="71" t="str">
        <f aca="false">IF(AH78="","",ROUND(MIN(K78,TOPE_AFP_UF*AJ78)*AK78,0))</f>
        <v/>
      </c>
      <c r="AC78" s="71" t="str">
        <f aca="false">IF(AH78="","",ROUND(MIN(K78,TOPE_AFC_UF*AJ78)*IF(AA78="Indefinido",AFC_EMP_INDEF,AFC_EMP_PF),0))</f>
        <v/>
      </c>
      <c r="AD78" s="71" t="str">
        <f aca="false">IF(AH78="","",ROUND(MIN(K78,TOPE_AFP_UF*AJ78)*(MUTUAL_BASICA+MUTUAL_ADIC+SANNA),0))</f>
        <v/>
      </c>
      <c r="AE78" s="71" t="str">
        <f aca="false">IF(AH78="","",P78-N(N78)+AB78+AC78+AD78)</f>
        <v/>
      </c>
      <c r="AF78" s="65"/>
      <c r="AG78" s="64"/>
      <c r="AH78" s="72" t="str">
        <f aca="false">IF(OR(B78="",C78=""),"",C78&amp;"|"&amp;(YEAR(B78)*100+MONTH(B78)))</f>
        <v/>
      </c>
      <c r="AI78" s="70" t="str">
        <f aca="false">IF(AH78="","",IF(COUNTIF(L_CLAVE,AH78)&gt;1,"⚠ Duplicado","OK"))</f>
        <v/>
      </c>
      <c r="AJ78" s="86" t="str">
        <f aca="false">IF(AH78="","",IF(SUMPRODUCT(MAX((IND_PER&lt;=B78)*(IND_UF&lt;&gt;"")*IND_PER))=0,UF_HOY,INDEX(IND_UF,MATCH(SUMPRODUCT(MAX((IND_PER&lt;=B78)*(IND_UF&lt;&gt;"")*IND_PER)),IND_PER,0))))</f>
        <v/>
      </c>
      <c r="AK78" s="87" t="str">
        <f aca="false">IF(AH78="","",IF(COUNTIF(TASA_DESDE,"&lt;="&amp;B78)=0,INDEX(TASA_EMP,1),INDEX(TASA_EMP,COUNTIF(TASA_DESDE,"&lt;="&amp;B78))))</f>
        <v/>
      </c>
    </row>
    <row r="79" customFormat="false" ht="15" hidden="false" customHeight="false" outlineLevel="0" collapsed="false">
      <c r="B79" s="78"/>
      <c r="C79" s="64"/>
      <c r="D79" s="72" t="str">
        <f aca="false">IF(C79="","",IFERROR(INDEX(T_NOMBRE,MATCH(C79,T_ID,0)),"⚠ ID no existe"))</f>
        <v/>
      </c>
      <c r="E79" s="69"/>
      <c r="F79" s="67"/>
      <c r="G79" s="67"/>
      <c r="H79" s="67"/>
      <c r="I79" s="67"/>
      <c r="J79" s="67"/>
      <c r="K79" s="85" t="str">
        <f aca="false">IF(AH79="","",N(F79)+N(G79)+N(H79)-N(I79)+N(J79))</f>
        <v/>
      </c>
      <c r="L79" s="67"/>
      <c r="M79" s="67"/>
      <c r="N79" s="67"/>
      <c r="O79" s="67"/>
      <c r="P79" s="85" t="str">
        <f aca="false">IF(AH79="","",K79+N(L79)+N(M79)+N(N79)+N(O79))</f>
        <v/>
      </c>
      <c r="Q79" s="67"/>
      <c r="R79" s="67"/>
      <c r="S79" s="67"/>
      <c r="T79" s="67"/>
      <c r="U79" s="67"/>
      <c r="V79" s="67"/>
      <c r="W79" s="85" t="str">
        <f aca="false">IF(AH79="","",N(Q79)+N(R79)+N(S79)+N(T79)+N(U79)+N(V79))</f>
        <v/>
      </c>
      <c r="X79" s="85" t="str">
        <f aca="false">IF(AH79="","",P79-W79)</f>
        <v/>
      </c>
      <c r="Y79" s="67"/>
      <c r="Z79" s="70" t="str">
        <f aca="false">IF(OR(AH79="",Y79=""),"",IF(ABS(X79-Y79)&lt;=1,"✓ Cuadra","⚠ Diferencia $"&amp;FIXED(X79-Y79,0)))</f>
        <v/>
      </c>
      <c r="AA79" s="72" t="str">
        <f aca="false">IF(AH79="","",IFERROR(INDEX(C_TIPO,MATCH(C79&amp;"-P"&amp;MAX(1,COUNTIFS(C_ID,C79,C_DEFINE,"Sí",C_INICIO,"&lt;="&amp;EOMONTH(B79,0))),C_CLAVE,0))&amp;"","Sin dato"))</f>
        <v/>
      </c>
      <c r="AB79" s="71" t="str">
        <f aca="false">IF(AH79="","",ROUND(MIN(K79,TOPE_AFP_UF*AJ79)*AK79,0))</f>
        <v/>
      </c>
      <c r="AC79" s="71" t="str">
        <f aca="false">IF(AH79="","",ROUND(MIN(K79,TOPE_AFC_UF*AJ79)*IF(AA79="Indefinido",AFC_EMP_INDEF,AFC_EMP_PF),0))</f>
        <v/>
      </c>
      <c r="AD79" s="71" t="str">
        <f aca="false">IF(AH79="","",ROUND(MIN(K79,TOPE_AFP_UF*AJ79)*(MUTUAL_BASICA+MUTUAL_ADIC+SANNA),0))</f>
        <v/>
      </c>
      <c r="AE79" s="71" t="str">
        <f aca="false">IF(AH79="","",P79-N(N79)+AB79+AC79+AD79)</f>
        <v/>
      </c>
      <c r="AF79" s="65"/>
      <c r="AG79" s="64"/>
      <c r="AH79" s="72" t="str">
        <f aca="false">IF(OR(B79="",C79=""),"",C79&amp;"|"&amp;(YEAR(B79)*100+MONTH(B79)))</f>
        <v/>
      </c>
      <c r="AI79" s="70" t="str">
        <f aca="false">IF(AH79="","",IF(COUNTIF(L_CLAVE,AH79)&gt;1,"⚠ Duplicado","OK"))</f>
        <v/>
      </c>
      <c r="AJ79" s="86" t="str">
        <f aca="false">IF(AH79="","",IF(SUMPRODUCT(MAX((IND_PER&lt;=B79)*(IND_UF&lt;&gt;"")*IND_PER))=0,UF_HOY,INDEX(IND_UF,MATCH(SUMPRODUCT(MAX((IND_PER&lt;=B79)*(IND_UF&lt;&gt;"")*IND_PER)),IND_PER,0))))</f>
        <v/>
      </c>
      <c r="AK79" s="87" t="str">
        <f aca="false">IF(AH79="","",IF(COUNTIF(TASA_DESDE,"&lt;="&amp;B79)=0,INDEX(TASA_EMP,1),INDEX(TASA_EMP,COUNTIF(TASA_DESDE,"&lt;="&amp;B79))))</f>
        <v/>
      </c>
    </row>
    <row r="80" customFormat="false" ht="15" hidden="false" customHeight="false" outlineLevel="0" collapsed="false">
      <c r="B80" s="78"/>
      <c r="C80" s="64"/>
      <c r="D80" s="72" t="str">
        <f aca="false">IF(C80="","",IFERROR(INDEX(T_NOMBRE,MATCH(C80,T_ID,0)),"⚠ ID no existe"))</f>
        <v/>
      </c>
      <c r="E80" s="69"/>
      <c r="F80" s="67"/>
      <c r="G80" s="67"/>
      <c r="H80" s="67"/>
      <c r="I80" s="67"/>
      <c r="J80" s="67"/>
      <c r="K80" s="85" t="str">
        <f aca="false">IF(AH80="","",N(F80)+N(G80)+N(H80)-N(I80)+N(J80))</f>
        <v/>
      </c>
      <c r="L80" s="67"/>
      <c r="M80" s="67"/>
      <c r="N80" s="67"/>
      <c r="O80" s="67"/>
      <c r="P80" s="85" t="str">
        <f aca="false">IF(AH80="","",K80+N(L80)+N(M80)+N(N80)+N(O80))</f>
        <v/>
      </c>
      <c r="Q80" s="67"/>
      <c r="R80" s="67"/>
      <c r="S80" s="67"/>
      <c r="T80" s="67"/>
      <c r="U80" s="67"/>
      <c r="V80" s="67"/>
      <c r="W80" s="85" t="str">
        <f aca="false">IF(AH80="","",N(Q80)+N(R80)+N(S80)+N(T80)+N(U80)+N(V80))</f>
        <v/>
      </c>
      <c r="X80" s="85" t="str">
        <f aca="false">IF(AH80="","",P80-W80)</f>
        <v/>
      </c>
      <c r="Y80" s="67"/>
      <c r="Z80" s="70" t="str">
        <f aca="false">IF(OR(AH80="",Y80=""),"",IF(ABS(X80-Y80)&lt;=1,"✓ Cuadra","⚠ Diferencia $"&amp;FIXED(X80-Y80,0)))</f>
        <v/>
      </c>
      <c r="AA80" s="72" t="str">
        <f aca="false">IF(AH80="","",IFERROR(INDEX(C_TIPO,MATCH(C80&amp;"-P"&amp;MAX(1,COUNTIFS(C_ID,C80,C_DEFINE,"Sí",C_INICIO,"&lt;="&amp;EOMONTH(B80,0))),C_CLAVE,0))&amp;"","Sin dato"))</f>
        <v/>
      </c>
      <c r="AB80" s="71" t="str">
        <f aca="false">IF(AH80="","",ROUND(MIN(K80,TOPE_AFP_UF*AJ80)*AK80,0))</f>
        <v/>
      </c>
      <c r="AC80" s="71" t="str">
        <f aca="false">IF(AH80="","",ROUND(MIN(K80,TOPE_AFC_UF*AJ80)*IF(AA80="Indefinido",AFC_EMP_INDEF,AFC_EMP_PF),0))</f>
        <v/>
      </c>
      <c r="AD80" s="71" t="str">
        <f aca="false">IF(AH80="","",ROUND(MIN(K80,TOPE_AFP_UF*AJ80)*(MUTUAL_BASICA+MUTUAL_ADIC+SANNA),0))</f>
        <v/>
      </c>
      <c r="AE80" s="71" t="str">
        <f aca="false">IF(AH80="","",P80-N(N80)+AB80+AC80+AD80)</f>
        <v/>
      </c>
      <c r="AF80" s="65"/>
      <c r="AG80" s="64"/>
      <c r="AH80" s="72" t="str">
        <f aca="false">IF(OR(B80="",C80=""),"",C80&amp;"|"&amp;(YEAR(B80)*100+MONTH(B80)))</f>
        <v/>
      </c>
      <c r="AI80" s="70" t="str">
        <f aca="false">IF(AH80="","",IF(COUNTIF(L_CLAVE,AH80)&gt;1,"⚠ Duplicado","OK"))</f>
        <v/>
      </c>
      <c r="AJ80" s="86" t="str">
        <f aca="false">IF(AH80="","",IF(SUMPRODUCT(MAX((IND_PER&lt;=B80)*(IND_UF&lt;&gt;"")*IND_PER))=0,UF_HOY,INDEX(IND_UF,MATCH(SUMPRODUCT(MAX((IND_PER&lt;=B80)*(IND_UF&lt;&gt;"")*IND_PER)),IND_PER,0))))</f>
        <v/>
      </c>
      <c r="AK80" s="87" t="str">
        <f aca="false">IF(AH80="","",IF(COUNTIF(TASA_DESDE,"&lt;="&amp;B80)=0,INDEX(TASA_EMP,1),INDEX(TASA_EMP,COUNTIF(TASA_DESDE,"&lt;="&amp;B80))))</f>
        <v/>
      </c>
    </row>
    <row r="81" customFormat="false" ht="15" hidden="false" customHeight="false" outlineLevel="0" collapsed="false">
      <c r="B81" s="78"/>
      <c r="C81" s="64"/>
      <c r="D81" s="72" t="str">
        <f aca="false">IF(C81="","",IFERROR(INDEX(T_NOMBRE,MATCH(C81,T_ID,0)),"⚠ ID no existe"))</f>
        <v/>
      </c>
      <c r="E81" s="69"/>
      <c r="F81" s="67"/>
      <c r="G81" s="67"/>
      <c r="H81" s="67"/>
      <c r="I81" s="67"/>
      <c r="J81" s="67"/>
      <c r="K81" s="85" t="str">
        <f aca="false">IF(AH81="","",N(F81)+N(G81)+N(H81)-N(I81)+N(J81))</f>
        <v/>
      </c>
      <c r="L81" s="67"/>
      <c r="M81" s="67"/>
      <c r="N81" s="67"/>
      <c r="O81" s="67"/>
      <c r="P81" s="85" t="str">
        <f aca="false">IF(AH81="","",K81+N(L81)+N(M81)+N(N81)+N(O81))</f>
        <v/>
      </c>
      <c r="Q81" s="67"/>
      <c r="R81" s="67"/>
      <c r="S81" s="67"/>
      <c r="T81" s="67"/>
      <c r="U81" s="67"/>
      <c r="V81" s="67"/>
      <c r="W81" s="85" t="str">
        <f aca="false">IF(AH81="","",N(Q81)+N(R81)+N(S81)+N(T81)+N(U81)+N(V81))</f>
        <v/>
      </c>
      <c r="X81" s="85" t="str">
        <f aca="false">IF(AH81="","",P81-W81)</f>
        <v/>
      </c>
      <c r="Y81" s="67"/>
      <c r="Z81" s="70" t="str">
        <f aca="false">IF(OR(AH81="",Y81=""),"",IF(ABS(X81-Y81)&lt;=1,"✓ Cuadra","⚠ Diferencia $"&amp;FIXED(X81-Y81,0)))</f>
        <v/>
      </c>
      <c r="AA81" s="72" t="str">
        <f aca="false">IF(AH81="","",IFERROR(INDEX(C_TIPO,MATCH(C81&amp;"-P"&amp;MAX(1,COUNTIFS(C_ID,C81,C_DEFINE,"Sí",C_INICIO,"&lt;="&amp;EOMONTH(B81,0))),C_CLAVE,0))&amp;"","Sin dato"))</f>
        <v/>
      </c>
      <c r="AB81" s="71" t="str">
        <f aca="false">IF(AH81="","",ROUND(MIN(K81,TOPE_AFP_UF*AJ81)*AK81,0))</f>
        <v/>
      </c>
      <c r="AC81" s="71" t="str">
        <f aca="false">IF(AH81="","",ROUND(MIN(K81,TOPE_AFC_UF*AJ81)*IF(AA81="Indefinido",AFC_EMP_INDEF,AFC_EMP_PF),0))</f>
        <v/>
      </c>
      <c r="AD81" s="71" t="str">
        <f aca="false">IF(AH81="","",ROUND(MIN(K81,TOPE_AFP_UF*AJ81)*(MUTUAL_BASICA+MUTUAL_ADIC+SANNA),0))</f>
        <v/>
      </c>
      <c r="AE81" s="71" t="str">
        <f aca="false">IF(AH81="","",P81-N(N81)+AB81+AC81+AD81)</f>
        <v/>
      </c>
      <c r="AF81" s="65"/>
      <c r="AG81" s="64"/>
      <c r="AH81" s="72" t="str">
        <f aca="false">IF(OR(B81="",C81=""),"",C81&amp;"|"&amp;(YEAR(B81)*100+MONTH(B81)))</f>
        <v/>
      </c>
      <c r="AI81" s="70" t="str">
        <f aca="false">IF(AH81="","",IF(COUNTIF(L_CLAVE,AH81)&gt;1,"⚠ Duplicado","OK"))</f>
        <v/>
      </c>
      <c r="AJ81" s="86" t="str">
        <f aca="false">IF(AH81="","",IF(SUMPRODUCT(MAX((IND_PER&lt;=B81)*(IND_UF&lt;&gt;"")*IND_PER))=0,UF_HOY,INDEX(IND_UF,MATCH(SUMPRODUCT(MAX((IND_PER&lt;=B81)*(IND_UF&lt;&gt;"")*IND_PER)),IND_PER,0))))</f>
        <v/>
      </c>
      <c r="AK81" s="87" t="str">
        <f aca="false">IF(AH81="","",IF(COUNTIF(TASA_DESDE,"&lt;="&amp;B81)=0,INDEX(TASA_EMP,1),INDEX(TASA_EMP,COUNTIF(TASA_DESDE,"&lt;="&amp;B81))))</f>
        <v/>
      </c>
    </row>
    <row r="82" customFormat="false" ht="15" hidden="false" customHeight="false" outlineLevel="0" collapsed="false">
      <c r="B82" s="78"/>
      <c r="C82" s="64"/>
      <c r="D82" s="72" t="str">
        <f aca="false">IF(C82="","",IFERROR(INDEX(T_NOMBRE,MATCH(C82,T_ID,0)),"⚠ ID no existe"))</f>
        <v/>
      </c>
      <c r="E82" s="69"/>
      <c r="F82" s="67"/>
      <c r="G82" s="67"/>
      <c r="H82" s="67"/>
      <c r="I82" s="67"/>
      <c r="J82" s="67"/>
      <c r="K82" s="85" t="str">
        <f aca="false">IF(AH82="","",N(F82)+N(G82)+N(H82)-N(I82)+N(J82))</f>
        <v/>
      </c>
      <c r="L82" s="67"/>
      <c r="M82" s="67"/>
      <c r="N82" s="67"/>
      <c r="O82" s="67"/>
      <c r="P82" s="85" t="str">
        <f aca="false">IF(AH82="","",K82+N(L82)+N(M82)+N(N82)+N(O82))</f>
        <v/>
      </c>
      <c r="Q82" s="67"/>
      <c r="R82" s="67"/>
      <c r="S82" s="67"/>
      <c r="T82" s="67"/>
      <c r="U82" s="67"/>
      <c r="V82" s="67"/>
      <c r="W82" s="85" t="str">
        <f aca="false">IF(AH82="","",N(Q82)+N(R82)+N(S82)+N(T82)+N(U82)+N(V82))</f>
        <v/>
      </c>
      <c r="X82" s="85" t="str">
        <f aca="false">IF(AH82="","",P82-W82)</f>
        <v/>
      </c>
      <c r="Y82" s="67"/>
      <c r="Z82" s="70" t="str">
        <f aca="false">IF(OR(AH82="",Y82=""),"",IF(ABS(X82-Y82)&lt;=1,"✓ Cuadra","⚠ Diferencia $"&amp;FIXED(X82-Y82,0)))</f>
        <v/>
      </c>
      <c r="AA82" s="72" t="str">
        <f aca="false">IF(AH82="","",IFERROR(INDEX(C_TIPO,MATCH(C82&amp;"-P"&amp;MAX(1,COUNTIFS(C_ID,C82,C_DEFINE,"Sí",C_INICIO,"&lt;="&amp;EOMONTH(B82,0))),C_CLAVE,0))&amp;"","Sin dato"))</f>
        <v/>
      </c>
      <c r="AB82" s="71" t="str">
        <f aca="false">IF(AH82="","",ROUND(MIN(K82,TOPE_AFP_UF*AJ82)*AK82,0))</f>
        <v/>
      </c>
      <c r="AC82" s="71" t="str">
        <f aca="false">IF(AH82="","",ROUND(MIN(K82,TOPE_AFC_UF*AJ82)*IF(AA82="Indefinido",AFC_EMP_INDEF,AFC_EMP_PF),0))</f>
        <v/>
      </c>
      <c r="AD82" s="71" t="str">
        <f aca="false">IF(AH82="","",ROUND(MIN(K82,TOPE_AFP_UF*AJ82)*(MUTUAL_BASICA+MUTUAL_ADIC+SANNA),0))</f>
        <v/>
      </c>
      <c r="AE82" s="71" t="str">
        <f aca="false">IF(AH82="","",P82-N(N82)+AB82+AC82+AD82)</f>
        <v/>
      </c>
      <c r="AF82" s="65"/>
      <c r="AG82" s="64"/>
      <c r="AH82" s="72" t="str">
        <f aca="false">IF(OR(B82="",C82=""),"",C82&amp;"|"&amp;(YEAR(B82)*100+MONTH(B82)))</f>
        <v/>
      </c>
      <c r="AI82" s="70" t="str">
        <f aca="false">IF(AH82="","",IF(COUNTIF(L_CLAVE,AH82)&gt;1,"⚠ Duplicado","OK"))</f>
        <v/>
      </c>
      <c r="AJ82" s="86" t="str">
        <f aca="false">IF(AH82="","",IF(SUMPRODUCT(MAX((IND_PER&lt;=B82)*(IND_UF&lt;&gt;"")*IND_PER))=0,UF_HOY,INDEX(IND_UF,MATCH(SUMPRODUCT(MAX((IND_PER&lt;=B82)*(IND_UF&lt;&gt;"")*IND_PER)),IND_PER,0))))</f>
        <v/>
      </c>
      <c r="AK82" s="87" t="str">
        <f aca="false">IF(AH82="","",IF(COUNTIF(TASA_DESDE,"&lt;="&amp;B82)=0,INDEX(TASA_EMP,1),INDEX(TASA_EMP,COUNTIF(TASA_DESDE,"&lt;="&amp;B82))))</f>
        <v/>
      </c>
    </row>
    <row r="83" customFormat="false" ht="15" hidden="false" customHeight="false" outlineLevel="0" collapsed="false">
      <c r="B83" s="78"/>
      <c r="C83" s="64"/>
      <c r="D83" s="72" t="str">
        <f aca="false">IF(C83="","",IFERROR(INDEX(T_NOMBRE,MATCH(C83,T_ID,0)),"⚠ ID no existe"))</f>
        <v/>
      </c>
      <c r="E83" s="69"/>
      <c r="F83" s="67"/>
      <c r="G83" s="67"/>
      <c r="H83" s="67"/>
      <c r="I83" s="67"/>
      <c r="J83" s="67"/>
      <c r="K83" s="85" t="str">
        <f aca="false">IF(AH83="","",N(F83)+N(G83)+N(H83)-N(I83)+N(J83))</f>
        <v/>
      </c>
      <c r="L83" s="67"/>
      <c r="M83" s="67"/>
      <c r="N83" s="67"/>
      <c r="O83" s="67"/>
      <c r="P83" s="85" t="str">
        <f aca="false">IF(AH83="","",K83+N(L83)+N(M83)+N(N83)+N(O83))</f>
        <v/>
      </c>
      <c r="Q83" s="67"/>
      <c r="R83" s="67"/>
      <c r="S83" s="67"/>
      <c r="T83" s="67"/>
      <c r="U83" s="67"/>
      <c r="V83" s="67"/>
      <c r="W83" s="85" t="str">
        <f aca="false">IF(AH83="","",N(Q83)+N(R83)+N(S83)+N(T83)+N(U83)+N(V83))</f>
        <v/>
      </c>
      <c r="X83" s="85" t="str">
        <f aca="false">IF(AH83="","",P83-W83)</f>
        <v/>
      </c>
      <c r="Y83" s="67"/>
      <c r="Z83" s="70" t="str">
        <f aca="false">IF(OR(AH83="",Y83=""),"",IF(ABS(X83-Y83)&lt;=1,"✓ Cuadra","⚠ Diferencia $"&amp;FIXED(X83-Y83,0)))</f>
        <v/>
      </c>
      <c r="AA83" s="72" t="str">
        <f aca="false">IF(AH83="","",IFERROR(INDEX(C_TIPO,MATCH(C83&amp;"-P"&amp;MAX(1,COUNTIFS(C_ID,C83,C_DEFINE,"Sí",C_INICIO,"&lt;="&amp;EOMONTH(B83,0))),C_CLAVE,0))&amp;"","Sin dato"))</f>
        <v/>
      </c>
      <c r="AB83" s="71" t="str">
        <f aca="false">IF(AH83="","",ROUND(MIN(K83,TOPE_AFP_UF*AJ83)*AK83,0))</f>
        <v/>
      </c>
      <c r="AC83" s="71" t="str">
        <f aca="false">IF(AH83="","",ROUND(MIN(K83,TOPE_AFC_UF*AJ83)*IF(AA83="Indefinido",AFC_EMP_INDEF,AFC_EMP_PF),0))</f>
        <v/>
      </c>
      <c r="AD83" s="71" t="str">
        <f aca="false">IF(AH83="","",ROUND(MIN(K83,TOPE_AFP_UF*AJ83)*(MUTUAL_BASICA+MUTUAL_ADIC+SANNA),0))</f>
        <v/>
      </c>
      <c r="AE83" s="71" t="str">
        <f aca="false">IF(AH83="","",P83-N(N83)+AB83+AC83+AD83)</f>
        <v/>
      </c>
      <c r="AF83" s="65"/>
      <c r="AG83" s="64"/>
      <c r="AH83" s="72" t="str">
        <f aca="false">IF(OR(B83="",C83=""),"",C83&amp;"|"&amp;(YEAR(B83)*100+MONTH(B83)))</f>
        <v/>
      </c>
      <c r="AI83" s="70" t="str">
        <f aca="false">IF(AH83="","",IF(COUNTIF(L_CLAVE,AH83)&gt;1,"⚠ Duplicado","OK"))</f>
        <v/>
      </c>
      <c r="AJ83" s="86" t="str">
        <f aca="false">IF(AH83="","",IF(SUMPRODUCT(MAX((IND_PER&lt;=B83)*(IND_UF&lt;&gt;"")*IND_PER))=0,UF_HOY,INDEX(IND_UF,MATCH(SUMPRODUCT(MAX((IND_PER&lt;=B83)*(IND_UF&lt;&gt;"")*IND_PER)),IND_PER,0))))</f>
        <v/>
      </c>
      <c r="AK83" s="87" t="str">
        <f aca="false">IF(AH83="","",IF(COUNTIF(TASA_DESDE,"&lt;="&amp;B83)=0,INDEX(TASA_EMP,1),INDEX(TASA_EMP,COUNTIF(TASA_DESDE,"&lt;="&amp;B83))))</f>
        <v/>
      </c>
    </row>
    <row r="84" customFormat="false" ht="15" hidden="false" customHeight="false" outlineLevel="0" collapsed="false">
      <c r="B84" s="78"/>
      <c r="C84" s="64"/>
      <c r="D84" s="72" t="str">
        <f aca="false">IF(C84="","",IFERROR(INDEX(T_NOMBRE,MATCH(C84,T_ID,0)),"⚠ ID no existe"))</f>
        <v/>
      </c>
      <c r="E84" s="69"/>
      <c r="F84" s="67"/>
      <c r="G84" s="67"/>
      <c r="H84" s="67"/>
      <c r="I84" s="67"/>
      <c r="J84" s="67"/>
      <c r="K84" s="85" t="str">
        <f aca="false">IF(AH84="","",N(F84)+N(G84)+N(H84)-N(I84)+N(J84))</f>
        <v/>
      </c>
      <c r="L84" s="67"/>
      <c r="M84" s="67"/>
      <c r="N84" s="67"/>
      <c r="O84" s="67"/>
      <c r="P84" s="85" t="str">
        <f aca="false">IF(AH84="","",K84+N(L84)+N(M84)+N(N84)+N(O84))</f>
        <v/>
      </c>
      <c r="Q84" s="67"/>
      <c r="R84" s="67"/>
      <c r="S84" s="67"/>
      <c r="T84" s="67"/>
      <c r="U84" s="67"/>
      <c r="V84" s="67"/>
      <c r="W84" s="85" t="str">
        <f aca="false">IF(AH84="","",N(Q84)+N(R84)+N(S84)+N(T84)+N(U84)+N(V84))</f>
        <v/>
      </c>
      <c r="X84" s="85" t="str">
        <f aca="false">IF(AH84="","",P84-W84)</f>
        <v/>
      </c>
      <c r="Y84" s="67"/>
      <c r="Z84" s="70" t="str">
        <f aca="false">IF(OR(AH84="",Y84=""),"",IF(ABS(X84-Y84)&lt;=1,"✓ Cuadra","⚠ Diferencia $"&amp;FIXED(X84-Y84,0)))</f>
        <v/>
      </c>
      <c r="AA84" s="72" t="str">
        <f aca="false">IF(AH84="","",IFERROR(INDEX(C_TIPO,MATCH(C84&amp;"-P"&amp;MAX(1,COUNTIFS(C_ID,C84,C_DEFINE,"Sí",C_INICIO,"&lt;="&amp;EOMONTH(B84,0))),C_CLAVE,0))&amp;"","Sin dato"))</f>
        <v/>
      </c>
      <c r="AB84" s="71" t="str">
        <f aca="false">IF(AH84="","",ROUND(MIN(K84,TOPE_AFP_UF*AJ84)*AK84,0))</f>
        <v/>
      </c>
      <c r="AC84" s="71" t="str">
        <f aca="false">IF(AH84="","",ROUND(MIN(K84,TOPE_AFC_UF*AJ84)*IF(AA84="Indefinido",AFC_EMP_INDEF,AFC_EMP_PF),0))</f>
        <v/>
      </c>
      <c r="AD84" s="71" t="str">
        <f aca="false">IF(AH84="","",ROUND(MIN(K84,TOPE_AFP_UF*AJ84)*(MUTUAL_BASICA+MUTUAL_ADIC+SANNA),0))</f>
        <v/>
      </c>
      <c r="AE84" s="71" t="str">
        <f aca="false">IF(AH84="","",P84-N(N84)+AB84+AC84+AD84)</f>
        <v/>
      </c>
      <c r="AF84" s="65"/>
      <c r="AG84" s="64"/>
      <c r="AH84" s="72" t="str">
        <f aca="false">IF(OR(B84="",C84=""),"",C84&amp;"|"&amp;(YEAR(B84)*100+MONTH(B84)))</f>
        <v/>
      </c>
      <c r="AI84" s="70" t="str">
        <f aca="false">IF(AH84="","",IF(COUNTIF(L_CLAVE,AH84)&gt;1,"⚠ Duplicado","OK"))</f>
        <v/>
      </c>
      <c r="AJ84" s="86" t="str">
        <f aca="false">IF(AH84="","",IF(SUMPRODUCT(MAX((IND_PER&lt;=B84)*(IND_UF&lt;&gt;"")*IND_PER))=0,UF_HOY,INDEX(IND_UF,MATCH(SUMPRODUCT(MAX((IND_PER&lt;=B84)*(IND_UF&lt;&gt;"")*IND_PER)),IND_PER,0))))</f>
        <v/>
      </c>
      <c r="AK84" s="87" t="str">
        <f aca="false">IF(AH84="","",IF(COUNTIF(TASA_DESDE,"&lt;="&amp;B84)=0,INDEX(TASA_EMP,1),INDEX(TASA_EMP,COUNTIF(TASA_DESDE,"&lt;="&amp;B84))))</f>
        <v/>
      </c>
    </row>
    <row r="85" customFormat="false" ht="15" hidden="false" customHeight="false" outlineLevel="0" collapsed="false">
      <c r="B85" s="78"/>
      <c r="C85" s="64"/>
      <c r="D85" s="72" t="str">
        <f aca="false">IF(C85="","",IFERROR(INDEX(T_NOMBRE,MATCH(C85,T_ID,0)),"⚠ ID no existe"))</f>
        <v/>
      </c>
      <c r="E85" s="69"/>
      <c r="F85" s="67"/>
      <c r="G85" s="67"/>
      <c r="H85" s="67"/>
      <c r="I85" s="67"/>
      <c r="J85" s="67"/>
      <c r="K85" s="85" t="str">
        <f aca="false">IF(AH85="","",N(F85)+N(G85)+N(H85)-N(I85)+N(J85))</f>
        <v/>
      </c>
      <c r="L85" s="67"/>
      <c r="M85" s="67"/>
      <c r="N85" s="67"/>
      <c r="O85" s="67"/>
      <c r="P85" s="85" t="str">
        <f aca="false">IF(AH85="","",K85+N(L85)+N(M85)+N(N85)+N(O85))</f>
        <v/>
      </c>
      <c r="Q85" s="67"/>
      <c r="R85" s="67"/>
      <c r="S85" s="67"/>
      <c r="T85" s="67"/>
      <c r="U85" s="67"/>
      <c r="V85" s="67"/>
      <c r="W85" s="85" t="str">
        <f aca="false">IF(AH85="","",N(Q85)+N(R85)+N(S85)+N(T85)+N(U85)+N(V85))</f>
        <v/>
      </c>
      <c r="X85" s="85" t="str">
        <f aca="false">IF(AH85="","",P85-W85)</f>
        <v/>
      </c>
      <c r="Y85" s="67"/>
      <c r="Z85" s="70" t="str">
        <f aca="false">IF(OR(AH85="",Y85=""),"",IF(ABS(X85-Y85)&lt;=1,"✓ Cuadra","⚠ Diferencia $"&amp;FIXED(X85-Y85,0)))</f>
        <v/>
      </c>
      <c r="AA85" s="72" t="str">
        <f aca="false">IF(AH85="","",IFERROR(INDEX(C_TIPO,MATCH(C85&amp;"-P"&amp;MAX(1,COUNTIFS(C_ID,C85,C_DEFINE,"Sí",C_INICIO,"&lt;="&amp;EOMONTH(B85,0))),C_CLAVE,0))&amp;"","Sin dato"))</f>
        <v/>
      </c>
      <c r="AB85" s="71" t="str">
        <f aca="false">IF(AH85="","",ROUND(MIN(K85,TOPE_AFP_UF*AJ85)*AK85,0))</f>
        <v/>
      </c>
      <c r="AC85" s="71" t="str">
        <f aca="false">IF(AH85="","",ROUND(MIN(K85,TOPE_AFC_UF*AJ85)*IF(AA85="Indefinido",AFC_EMP_INDEF,AFC_EMP_PF),0))</f>
        <v/>
      </c>
      <c r="AD85" s="71" t="str">
        <f aca="false">IF(AH85="","",ROUND(MIN(K85,TOPE_AFP_UF*AJ85)*(MUTUAL_BASICA+MUTUAL_ADIC+SANNA),0))</f>
        <v/>
      </c>
      <c r="AE85" s="71" t="str">
        <f aca="false">IF(AH85="","",P85-N(N85)+AB85+AC85+AD85)</f>
        <v/>
      </c>
      <c r="AF85" s="65"/>
      <c r="AG85" s="64"/>
      <c r="AH85" s="72" t="str">
        <f aca="false">IF(OR(B85="",C85=""),"",C85&amp;"|"&amp;(YEAR(B85)*100+MONTH(B85)))</f>
        <v/>
      </c>
      <c r="AI85" s="70" t="str">
        <f aca="false">IF(AH85="","",IF(COUNTIF(L_CLAVE,AH85)&gt;1,"⚠ Duplicado","OK"))</f>
        <v/>
      </c>
      <c r="AJ85" s="86" t="str">
        <f aca="false">IF(AH85="","",IF(SUMPRODUCT(MAX((IND_PER&lt;=B85)*(IND_UF&lt;&gt;"")*IND_PER))=0,UF_HOY,INDEX(IND_UF,MATCH(SUMPRODUCT(MAX((IND_PER&lt;=B85)*(IND_UF&lt;&gt;"")*IND_PER)),IND_PER,0))))</f>
        <v/>
      </c>
      <c r="AK85" s="87" t="str">
        <f aca="false">IF(AH85="","",IF(COUNTIF(TASA_DESDE,"&lt;="&amp;B85)=0,INDEX(TASA_EMP,1),INDEX(TASA_EMP,COUNTIF(TASA_DESDE,"&lt;="&amp;B85))))</f>
        <v/>
      </c>
    </row>
    <row r="86" customFormat="false" ht="15" hidden="false" customHeight="false" outlineLevel="0" collapsed="false">
      <c r="B86" s="78"/>
      <c r="C86" s="64"/>
      <c r="D86" s="72" t="str">
        <f aca="false">IF(C86="","",IFERROR(INDEX(T_NOMBRE,MATCH(C86,T_ID,0)),"⚠ ID no existe"))</f>
        <v/>
      </c>
      <c r="E86" s="69"/>
      <c r="F86" s="67"/>
      <c r="G86" s="67"/>
      <c r="H86" s="67"/>
      <c r="I86" s="67"/>
      <c r="J86" s="67"/>
      <c r="K86" s="85" t="str">
        <f aca="false">IF(AH86="","",N(F86)+N(G86)+N(H86)-N(I86)+N(J86))</f>
        <v/>
      </c>
      <c r="L86" s="67"/>
      <c r="M86" s="67"/>
      <c r="N86" s="67"/>
      <c r="O86" s="67"/>
      <c r="P86" s="85" t="str">
        <f aca="false">IF(AH86="","",K86+N(L86)+N(M86)+N(N86)+N(O86))</f>
        <v/>
      </c>
      <c r="Q86" s="67"/>
      <c r="R86" s="67"/>
      <c r="S86" s="67"/>
      <c r="T86" s="67"/>
      <c r="U86" s="67"/>
      <c r="V86" s="67"/>
      <c r="W86" s="85" t="str">
        <f aca="false">IF(AH86="","",N(Q86)+N(R86)+N(S86)+N(T86)+N(U86)+N(V86))</f>
        <v/>
      </c>
      <c r="X86" s="85" t="str">
        <f aca="false">IF(AH86="","",P86-W86)</f>
        <v/>
      </c>
      <c r="Y86" s="67"/>
      <c r="Z86" s="70" t="str">
        <f aca="false">IF(OR(AH86="",Y86=""),"",IF(ABS(X86-Y86)&lt;=1,"✓ Cuadra","⚠ Diferencia $"&amp;FIXED(X86-Y86,0)))</f>
        <v/>
      </c>
      <c r="AA86" s="72" t="str">
        <f aca="false">IF(AH86="","",IFERROR(INDEX(C_TIPO,MATCH(C86&amp;"-P"&amp;MAX(1,COUNTIFS(C_ID,C86,C_DEFINE,"Sí",C_INICIO,"&lt;="&amp;EOMONTH(B86,0))),C_CLAVE,0))&amp;"","Sin dato"))</f>
        <v/>
      </c>
      <c r="AB86" s="71" t="str">
        <f aca="false">IF(AH86="","",ROUND(MIN(K86,TOPE_AFP_UF*AJ86)*AK86,0))</f>
        <v/>
      </c>
      <c r="AC86" s="71" t="str">
        <f aca="false">IF(AH86="","",ROUND(MIN(K86,TOPE_AFC_UF*AJ86)*IF(AA86="Indefinido",AFC_EMP_INDEF,AFC_EMP_PF),0))</f>
        <v/>
      </c>
      <c r="AD86" s="71" t="str">
        <f aca="false">IF(AH86="","",ROUND(MIN(K86,TOPE_AFP_UF*AJ86)*(MUTUAL_BASICA+MUTUAL_ADIC+SANNA),0))</f>
        <v/>
      </c>
      <c r="AE86" s="71" t="str">
        <f aca="false">IF(AH86="","",P86-N(N86)+AB86+AC86+AD86)</f>
        <v/>
      </c>
      <c r="AF86" s="65"/>
      <c r="AG86" s="64"/>
      <c r="AH86" s="72" t="str">
        <f aca="false">IF(OR(B86="",C86=""),"",C86&amp;"|"&amp;(YEAR(B86)*100+MONTH(B86)))</f>
        <v/>
      </c>
      <c r="AI86" s="70" t="str">
        <f aca="false">IF(AH86="","",IF(COUNTIF(L_CLAVE,AH86)&gt;1,"⚠ Duplicado","OK"))</f>
        <v/>
      </c>
      <c r="AJ86" s="86" t="str">
        <f aca="false">IF(AH86="","",IF(SUMPRODUCT(MAX((IND_PER&lt;=B86)*(IND_UF&lt;&gt;"")*IND_PER))=0,UF_HOY,INDEX(IND_UF,MATCH(SUMPRODUCT(MAX((IND_PER&lt;=B86)*(IND_UF&lt;&gt;"")*IND_PER)),IND_PER,0))))</f>
        <v/>
      </c>
      <c r="AK86" s="87" t="str">
        <f aca="false">IF(AH86="","",IF(COUNTIF(TASA_DESDE,"&lt;="&amp;B86)=0,INDEX(TASA_EMP,1),INDEX(TASA_EMP,COUNTIF(TASA_DESDE,"&lt;="&amp;B86))))</f>
        <v/>
      </c>
    </row>
    <row r="87" customFormat="false" ht="15" hidden="false" customHeight="false" outlineLevel="0" collapsed="false">
      <c r="B87" s="78"/>
      <c r="C87" s="64"/>
      <c r="D87" s="72" t="str">
        <f aca="false">IF(C87="","",IFERROR(INDEX(T_NOMBRE,MATCH(C87,T_ID,0)),"⚠ ID no existe"))</f>
        <v/>
      </c>
      <c r="E87" s="69"/>
      <c r="F87" s="67"/>
      <c r="G87" s="67"/>
      <c r="H87" s="67"/>
      <c r="I87" s="67"/>
      <c r="J87" s="67"/>
      <c r="K87" s="85" t="str">
        <f aca="false">IF(AH87="","",N(F87)+N(G87)+N(H87)-N(I87)+N(J87))</f>
        <v/>
      </c>
      <c r="L87" s="67"/>
      <c r="M87" s="67"/>
      <c r="N87" s="67"/>
      <c r="O87" s="67"/>
      <c r="P87" s="85" t="str">
        <f aca="false">IF(AH87="","",K87+N(L87)+N(M87)+N(N87)+N(O87))</f>
        <v/>
      </c>
      <c r="Q87" s="67"/>
      <c r="R87" s="67"/>
      <c r="S87" s="67"/>
      <c r="T87" s="67"/>
      <c r="U87" s="67"/>
      <c r="V87" s="67"/>
      <c r="W87" s="85" t="str">
        <f aca="false">IF(AH87="","",N(Q87)+N(R87)+N(S87)+N(T87)+N(U87)+N(V87))</f>
        <v/>
      </c>
      <c r="X87" s="85" t="str">
        <f aca="false">IF(AH87="","",P87-W87)</f>
        <v/>
      </c>
      <c r="Y87" s="67"/>
      <c r="Z87" s="70" t="str">
        <f aca="false">IF(OR(AH87="",Y87=""),"",IF(ABS(X87-Y87)&lt;=1,"✓ Cuadra","⚠ Diferencia $"&amp;FIXED(X87-Y87,0)))</f>
        <v/>
      </c>
      <c r="AA87" s="72" t="str">
        <f aca="false">IF(AH87="","",IFERROR(INDEX(C_TIPO,MATCH(C87&amp;"-P"&amp;MAX(1,COUNTIFS(C_ID,C87,C_DEFINE,"Sí",C_INICIO,"&lt;="&amp;EOMONTH(B87,0))),C_CLAVE,0))&amp;"","Sin dato"))</f>
        <v/>
      </c>
      <c r="AB87" s="71" t="str">
        <f aca="false">IF(AH87="","",ROUND(MIN(K87,TOPE_AFP_UF*AJ87)*AK87,0))</f>
        <v/>
      </c>
      <c r="AC87" s="71" t="str">
        <f aca="false">IF(AH87="","",ROUND(MIN(K87,TOPE_AFC_UF*AJ87)*IF(AA87="Indefinido",AFC_EMP_INDEF,AFC_EMP_PF),0))</f>
        <v/>
      </c>
      <c r="AD87" s="71" t="str">
        <f aca="false">IF(AH87="","",ROUND(MIN(K87,TOPE_AFP_UF*AJ87)*(MUTUAL_BASICA+MUTUAL_ADIC+SANNA),0))</f>
        <v/>
      </c>
      <c r="AE87" s="71" t="str">
        <f aca="false">IF(AH87="","",P87-N(N87)+AB87+AC87+AD87)</f>
        <v/>
      </c>
      <c r="AF87" s="65"/>
      <c r="AG87" s="64"/>
      <c r="AH87" s="72" t="str">
        <f aca="false">IF(OR(B87="",C87=""),"",C87&amp;"|"&amp;(YEAR(B87)*100+MONTH(B87)))</f>
        <v/>
      </c>
      <c r="AI87" s="70" t="str">
        <f aca="false">IF(AH87="","",IF(COUNTIF(L_CLAVE,AH87)&gt;1,"⚠ Duplicado","OK"))</f>
        <v/>
      </c>
      <c r="AJ87" s="86" t="str">
        <f aca="false">IF(AH87="","",IF(SUMPRODUCT(MAX((IND_PER&lt;=B87)*(IND_UF&lt;&gt;"")*IND_PER))=0,UF_HOY,INDEX(IND_UF,MATCH(SUMPRODUCT(MAX((IND_PER&lt;=B87)*(IND_UF&lt;&gt;"")*IND_PER)),IND_PER,0))))</f>
        <v/>
      </c>
      <c r="AK87" s="87" t="str">
        <f aca="false">IF(AH87="","",IF(COUNTIF(TASA_DESDE,"&lt;="&amp;B87)=0,INDEX(TASA_EMP,1),INDEX(TASA_EMP,COUNTIF(TASA_DESDE,"&lt;="&amp;B87))))</f>
        <v/>
      </c>
    </row>
    <row r="88" customFormat="false" ht="15" hidden="false" customHeight="false" outlineLevel="0" collapsed="false">
      <c r="B88" s="78"/>
      <c r="C88" s="64"/>
      <c r="D88" s="72" t="str">
        <f aca="false">IF(C88="","",IFERROR(INDEX(T_NOMBRE,MATCH(C88,T_ID,0)),"⚠ ID no existe"))</f>
        <v/>
      </c>
      <c r="E88" s="69"/>
      <c r="F88" s="67"/>
      <c r="G88" s="67"/>
      <c r="H88" s="67"/>
      <c r="I88" s="67"/>
      <c r="J88" s="67"/>
      <c r="K88" s="85" t="str">
        <f aca="false">IF(AH88="","",N(F88)+N(G88)+N(H88)-N(I88)+N(J88))</f>
        <v/>
      </c>
      <c r="L88" s="67"/>
      <c r="M88" s="67"/>
      <c r="N88" s="67"/>
      <c r="O88" s="67"/>
      <c r="P88" s="85" t="str">
        <f aca="false">IF(AH88="","",K88+N(L88)+N(M88)+N(N88)+N(O88))</f>
        <v/>
      </c>
      <c r="Q88" s="67"/>
      <c r="R88" s="67"/>
      <c r="S88" s="67"/>
      <c r="T88" s="67"/>
      <c r="U88" s="67"/>
      <c r="V88" s="67"/>
      <c r="W88" s="85" t="str">
        <f aca="false">IF(AH88="","",N(Q88)+N(R88)+N(S88)+N(T88)+N(U88)+N(V88))</f>
        <v/>
      </c>
      <c r="X88" s="85" t="str">
        <f aca="false">IF(AH88="","",P88-W88)</f>
        <v/>
      </c>
      <c r="Y88" s="67"/>
      <c r="Z88" s="70" t="str">
        <f aca="false">IF(OR(AH88="",Y88=""),"",IF(ABS(X88-Y88)&lt;=1,"✓ Cuadra","⚠ Diferencia $"&amp;FIXED(X88-Y88,0)))</f>
        <v/>
      </c>
      <c r="AA88" s="72" t="str">
        <f aca="false">IF(AH88="","",IFERROR(INDEX(C_TIPO,MATCH(C88&amp;"-P"&amp;MAX(1,COUNTIFS(C_ID,C88,C_DEFINE,"Sí",C_INICIO,"&lt;="&amp;EOMONTH(B88,0))),C_CLAVE,0))&amp;"","Sin dato"))</f>
        <v/>
      </c>
      <c r="AB88" s="71" t="str">
        <f aca="false">IF(AH88="","",ROUND(MIN(K88,TOPE_AFP_UF*AJ88)*AK88,0))</f>
        <v/>
      </c>
      <c r="AC88" s="71" t="str">
        <f aca="false">IF(AH88="","",ROUND(MIN(K88,TOPE_AFC_UF*AJ88)*IF(AA88="Indefinido",AFC_EMP_INDEF,AFC_EMP_PF),0))</f>
        <v/>
      </c>
      <c r="AD88" s="71" t="str">
        <f aca="false">IF(AH88="","",ROUND(MIN(K88,TOPE_AFP_UF*AJ88)*(MUTUAL_BASICA+MUTUAL_ADIC+SANNA),0))</f>
        <v/>
      </c>
      <c r="AE88" s="71" t="str">
        <f aca="false">IF(AH88="","",P88-N(N88)+AB88+AC88+AD88)</f>
        <v/>
      </c>
      <c r="AF88" s="65"/>
      <c r="AG88" s="64"/>
      <c r="AH88" s="72" t="str">
        <f aca="false">IF(OR(B88="",C88=""),"",C88&amp;"|"&amp;(YEAR(B88)*100+MONTH(B88)))</f>
        <v/>
      </c>
      <c r="AI88" s="70" t="str">
        <f aca="false">IF(AH88="","",IF(COUNTIF(L_CLAVE,AH88)&gt;1,"⚠ Duplicado","OK"))</f>
        <v/>
      </c>
      <c r="AJ88" s="86" t="str">
        <f aca="false">IF(AH88="","",IF(SUMPRODUCT(MAX((IND_PER&lt;=B88)*(IND_UF&lt;&gt;"")*IND_PER))=0,UF_HOY,INDEX(IND_UF,MATCH(SUMPRODUCT(MAX((IND_PER&lt;=B88)*(IND_UF&lt;&gt;"")*IND_PER)),IND_PER,0))))</f>
        <v/>
      </c>
      <c r="AK88" s="87" t="str">
        <f aca="false">IF(AH88="","",IF(COUNTIF(TASA_DESDE,"&lt;="&amp;B88)=0,INDEX(TASA_EMP,1),INDEX(TASA_EMP,COUNTIF(TASA_DESDE,"&lt;="&amp;B88))))</f>
        <v/>
      </c>
    </row>
    <row r="89" customFormat="false" ht="15" hidden="false" customHeight="false" outlineLevel="0" collapsed="false">
      <c r="B89" s="78"/>
      <c r="C89" s="64"/>
      <c r="D89" s="72" t="str">
        <f aca="false">IF(C89="","",IFERROR(INDEX(T_NOMBRE,MATCH(C89,T_ID,0)),"⚠ ID no existe"))</f>
        <v/>
      </c>
      <c r="E89" s="69"/>
      <c r="F89" s="67"/>
      <c r="G89" s="67"/>
      <c r="H89" s="67"/>
      <c r="I89" s="67"/>
      <c r="J89" s="67"/>
      <c r="K89" s="85" t="str">
        <f aca="false">IF(AH89="","",N(F89)+N(G89)+N(H89)-N(I89)+N(J89))</f>
        <v/>
      </c>
      <c r="L89" s="67"/>
      <c r="M89" s="67"/>
      <c r="N89" s="67"/>
      <c r="O89" s="67"/>
      <c r="P89" s="85" t="str">
        <f aca="false">IF(AH89="","",K89+N(L89)+N(M89)+N(N89)+N(O89))</f>
        <v/>
      </c>
      <c r="Q89" s="67"/>
      <c r="R89" s="67"/>
      <c r="S89" s="67"/>
      <c r="T89" s="67"/>
      <c r="U89" s="67"/>
      <c r="V89" s="67"/>
      <c r="W89" s="85" t="str">
        <f aca="false">IF(AH89="","",N(Q89)+N(R89)+N(S89)+N(T89)+N(U89)+N(V89))</f>
        <v/>
      </c>
      <c r="X89" s="85" t="str">
        <f aca="false">IF(AH89="","",P89-W89)</f>
        <v/>
      </c>
      <c r="Y89" s="67"/>
      <c r="Z89" s="70" t="str">
        <f aca="false">IF(OR(AH89="",Y89=""),"",IF(ABS(X89-Y89)&lt;=1,"✓ Cuadra","⚠ Diferencia $"&amp;FIXED(X89-Y89,0)))</f>
        <v/>
      </c>
      <c r="AA89" s="72" t="str">
        <f aca="false">IF(AH89="","",IFERROR(INDEX(C_TIPO,MATCH(C89&amp;"-P"&amp;MAX(1,COUNTIFS(C_ID,C89,C_DEFINE,"Sí",C_INICIO,"&lt;="&amp;EOMONTH(B89,0))),C_CLAVE,0))&amp;"","Sin dato"))</f>
        <v/>
      </c>
      <c r="AB89" s="71" t="str">
        <f aca="false">IF(AH89="","",ROUND(MIN(K89,TOPE_AFP_UF*AJ89)*AK89,0))</f>
        <v/>
      </c>
      <c r="AC89" s="71" t="str">
        <f aca="false">IF(AH89="","",ROUND(MIN(K89,TOPE_AFC_UF*AJ89)*IF(AA89="Indefinido",AFC_EMP_INDEF,AFC_EMP_PF),0))</f>
        <v/>
      </c>
      <c r="AD89" s="71" t="str">
        <f aca="false">IF(AH89="","",ROUND(MIN(K89,TOPE_AFP_UF*AJ89)*(MUTUAL_BASICA+MUTUAL_ADIC+SANNA),0))</f>
        <v/>
      </c>
      <c r="AE89" s="71" t="str">
        <f aca="false">IF(AH89="","",P89-N(N89)+AB89+AC89+AD89)</f>
        <v/>
      </c>
      <c r="AF89" s="65"/>
      <c r="AG89" s="64"/>
      <c r="AH89" s="72" t="str">
        <f aca="false">IF(OR(B89="",C89=""),"",C89&amp;"|"&amp;(YEAR(B89)*100+MONTH(B89)))</f>
        <v/>
      </c>
      <c r="AI89" s="70" t="str">
        <f aca="false">IF(AH89="","",IF(COUNTIF(L_CLAVE,AH89)&gt;1,"⚠ Duplicado","OK"))</f>
        <v/>
      </c>
      <c r="AJ89" s="86" t="str">
        <f aca="false">IF(AH89="","",IF(SUMPRODUCT(MAX((IND_PER&lt;=B89)*(IND_UF&lt;&gt;"")*IND_PER))=0,UF_HOY,INDEX(IND_UF,MATCH(SUMPRODUCT(MAX((IND_PER&lt;=B89)*(IND_UF&lt;&gt;"")*IND_PER)),IND_PER,0))))</f>
        <v/>
      </c>
      <c r="AK89" s="87" t="str">
        <f aca="false">IF(AH89="","",IF(COUNTIF(TASA_DESDE,"&lt;="&amp;B89)=0,INDEX(TASA_EMP,1),INDEX(TASA_EMP,COUNTIF(TASA_DESDE,"&lt;="&amp;B89))))</f>
        <v/>
      </c>
    </row>
    <row r="90" customFormat="false" ht="15" hidden="false" customHeight="false" outlineLevel="0" collapsed="false">
      <c r="B90" s="78"/>
      <c r="C90" s="64"/>
      <c r="D90" s="72" t="str">
        <f aca="false">IF(C90="","",IFERROR(INDEX(T_NOMBRE,MATCH(C90,T_ID,0)),"⚠ ID no existe"))</f>
        <v/>
      </c>
      <c r="E90" s="69"/>
      <c r="F90" s="67"/>
      <c r="G90" s="67"/>
      <c r="H90" s="67"/>
      <c r="I90" s="67"/>
      <c r="J90" s="67"/>
      <c r="K90" s="85" t="str">
        <f aca="false">IF(AH90="","",N(F90)+N(G90)+N(H90)-N(I90)+N(J90))</f>
        <v/>
      </c>
      <c r="L90" s="67"/>
      <c r="M90" s="67"/>
      <c r="N90" s="67"/>
      <c r="O90" s="67"/>
      <c r="P90" s="85" t="str">
        <f aca="false">IF(AH90="","",K90+N(L90)+N(M90)+N(N90)+N(O90))</f>
        <v/>
      </c>
      <c r="Q90" s="67"/>
      <c r="R90" s="67"/>
      <c r="S90" s="67"/>
      <c r="T90" s="67"/>
      <c r="U90" s="67"/>
      <c r="V90" s="67"/>
      <c r="W90" s="85" t="str">
        <f aca="false">IF(AH90="","",N(Q90)+N(R90)+N(S90)+N(T90)+N(U90)+N(V90))</f>
        <v/>
      </c>
      <c r="X90" s="85" t="str">
        <f aca="false">IF(AH90="","",P90-W90)</f>
        <v/>
      </c>
      <c r="Y90" s="67"/>
      <c r="Z90" s="70" t="str">
        <f aca="false">IF(OR(AH90="",Y90=""),"",IF(ABS(X90-Y90)&lt;=1,"✓ Cuadra","⚠ Diferencia $"&amp;FIXED(X90-Y90,0)))</f>
        <v/>
      </c>
      <c r="AA90" s="72" t="str">
        <f aca="false">IF(AH90="","",IFERROR(INDEX(C_TIPO,MATCH(C90&amp;"-P"&amp;MAX(1,COUNTIFS(C_ID,C90,C_DEFINE,"Sí",C_INICIO,"&lt;="&amp;EOMONTH(B90,0))),C_CLAVE,0))&amp;"","Sin dato"))</f>
        <v/>
      </c>
      <c r="AB90" s="71" t="str">
        <f aca="false">IF(AH90="","",ROUND(MIN(K90,TOPE_AFP_UF*AJ90)*AK90,0))</f>
        <v/>
      </c>
      <c r="AC90" s="71" t="str">
        <f aca="false">IF(AH90="","",ROUND(MIN(K90,TOPE_AFC_UF*AJ90)*IF(AA90="Indefinido",AFC_EMP_INDEF,AFC_EMP_PF),0))</f>
        <v/>
      </c>
      <c r="AD90" s="71" t="str">
        <f aca="false">IF(AH90="","",ROUND(MIN(K90,TOPE_AFP_UF*AJ90)*(MUTUAL_BASICA+MUTUAL_ADIC+SANNA),0))</f>
        <v/>
      </c>
      <c r="AE90" s="71" t="str">
        <f aca="false">IF(AH90="","",P90-N(N90)+AB90+AC90+AD90)</f>
        <v/>
      </c>
      <c r="AF90" s="65"/>
      <c r="AG90" s="64"/>
      <c r="AH90" s="72" t="str">
        <f aca="false">IF(OR(B90="",C90=""),"",C90&amp;"|"&amp;(YEAR(B90)*100+MONTH(B90)))</f>
        <v/>
      </c>
      <c r="AI90" s="70" t="str">
        <f aca="false">IF(AH90="","",IF(COUNTIF(L_CLAVE,AH90)&gt;1,"⚠ Duplicado","OK"))</f>
        <v/>
      </c>
      <c r="AJ90" s="86" t="str">
        <f aca="false">IF(AH90="","",IF(SUMPRODUCT(MAX((IND_PER&lt;=B90)*(IND_UF&lt;&gt;"")*IND_PER))=0,UF_HOY,INDEX(IND_UF,MATCH(SUMPRODUCT(MAX((IND_PER&lt;=B90)*(IND_UF&lt;&gt;"")*IND_PER)),IND_PER,0))))</f>
        <v/>
      </c>
      <c r="AK90" s="87" t="str">
        <f aca="false">IF(AH90="","",IF(COUNTIF(TASA_DESDE,"&lt;="&amp;B90)=0,INDEX(TASA_EMP,1),INDEX(TASA_EMP,COUNTIF(TASA_DESDE,"&lt;="&amp;B90))))</f>
        <v/>
      </c>
    </row>
    <row r="91" customFormat="false" ht="15" hidden="false" customHeight="false" outlineLevel="0" collapsed="false">
      <c r="B91" s="78"/>
      <c r="C91" s="64"/>
      <c r="D91" s="72" t="str">
        <f aca="false">IF(C91="","",IFERROR(INDEX(T_NOMBRE,MATCH(C91,T_ID,0)),"⚠ ID no existe"))</f>
        <v/>
      </c>
      <c r="E91" s="69"/>
      <c r="F91" s="67"/>
      <c r="G91" s="67"/>
      <c r="H91" s="67"/>
      <c r="I91" s="67"/>
      <c r="J91" s="67"/>
      <c r="K91" s="85" t="str">
        <f aca="false">IF(AH91="","",N(F91)+N(G91)+N(H91)-N(I91)+N(J91))</f>
        <v/>
      </c>
      <c r="L91" s="67"/>
      <c r="M91" s="67"/>
      <c r="N91" s="67"/>
      <c r="O91" s="67"/>
      <c r="P91" s="85" t="str">
        <f aca="false">IF(AH91="","",K91+N(L91)+N(M91)+N(N91)+N(O91))</f>
        <v/>
      </c>
      <c r="Q91" s="67"/>
      <c r="R91" s="67"/>
      <c r="S91" s="67"/>
      <c r="T91" s="67"/>
      <c r="U91" s="67"/>
      <c r="V91" s="67"/>
      <c r="W91" s="85" t="str">
        <f aca="false">IF(AH91="","",N(Q91)+N(R91)+N(S91)+N(T91)+N(U91)+N(V91))</f>
        <v/>
      </c>
      <c r="X91" s="85" t="str">
        <f aca="false">IF(AH91="","",P91-W91)</f>
        <v/>
      </c>
      <c r="Y91" s="67"/>
      <c r="Z91" s="70" t="str">
        <f aca="false">IF(OR(AH91="",Y91=""),"",IF(ABS(X91-Y91)&lt;=1,"✓ Cuadra","⚠ Diferencia $"&amp;FIXED(X91-Y91,0)))</f>
        <v/>
      </c>
      <c r="AA91" s="72" t="str">
        <f aca="false">IF(AH91="","",IFERROR(INDEX(C_TIPO,MATCH(C91&amp;"-P"&amp;MAX(1,COUNTIFS(C_ID,C91,C_DEFINE,"Sí",C_INICIO,"&lt;="&amp;EOMONTH(B91,0))),C_CLAVE,0))&amp;"","Sin dato"))</f>
        <v/>
      </c>
      <c r="AB91" s="71" t="str">
        <f aca="false">IF(AH91="","",ROUND(MIN(K91,TOPE_AFP_UF*AJ91)*AK91,0))</f>
        <v/>
      </c>
      <c r="AC91" s="71" t="str">
        <f aca="false">IF(AH91="","",ROUND(MIN(K91,TOPE_AFC_UF*AJ91)*IF(AA91="Indefinido",AFC_EMP_INDEF,AFC_EMP_PF),0))</f>
        <v/>
      </c>
      <c r="AD91" s="71" t="str">
        <f aca="false">IF(AH91="","",ROUND(MIN(K91,TOPE_AFP_UF*AJ91)*(MUTUAL_BASICA+MUTUAL_ADIC+SANNA),0))</f>
        <v/>
      </c>
      <c r="AE91" s="71" t="str">
        <f aca="false">IF(AH91="","",P91-N(N91)+AB91+AC91+AD91)</f>
        <v/>
      </c>
      <c r="AF91" s="65"/>
      <c r="AG91" s="64"/>
      <c r="AH91" s="72" t="str">
        <f aca="false">IF(OR(B91="",C91=""),"",C91&amp;"|"&amp;(YEAR(B91)*100+MONTH(B91)))</f>
        <v/>
      </c>
      <c r="AI91" s="70" t="str">
        <f aca="false">IF(AH91="","",IF(COUNTIF(L_CLAVE,AH91)&gt;1,"⚠ Duplicado","OK"))</f>
        <v/>
      </c>
      <c r="AJ91" s="86" t="str">
        <f aca="false">IF(AH91="","",IF(SUMPRODUCT(MAX((IND_PER&lt;=B91)*(IND_UF&lt;&gt;"")*IND_PER))=0,UF_HOY,INDEX(IND_UF,MATCH(SUMPRODUCT(MAX((IND_PER&lt;=B91)*(IND_UF&lt;&gt;"")*IND_PER)),IND_PER,0))))</f>
        <v/>
      </c>
      <c r="AK91" s="87" t="str">
        <f aca="false">IF(AH91="","",IF(COUNTIF(TASA_DESDE,"&lt;="&amp;B91)=0,INDEX(TASA_EMP,1),INDEX(TASA_EMP,COUNTIF(TASA_DESDE,"&lt;="&amp;B91))))</f>
        <v/>
      </c>
    </row>
    <row r="92" customFormat="false" ht="15" hidden="false" customHeight="false" outlineLevel="0" collapsed="false">
      <c r="B92" s="78"/>
      <c r="C92" s="64"/>
      <c r="D92" s="72" t="str">
        <f aca="false">IF(C92="","",IFERROR(INDEX(T_NOMBRE,MATCH(C92,T_ID,0)),"⚠ ID no existe"))</f>
        <v/>
      </c>
      <c r="E92" s="69"/>
      <c r="F92" s="67"/>
      <c r="G92" s="67"/>
      <c r="H92" s="67"/>
      <c r="I92" s="67"/>
      <c r="J92" s="67"/>
      <c r="K92" s="85" t="str">
        <f aca="false">IF(AH92="","",N(F92)+N(G92)+N(H92)-N(I92)+N(J92))</f>
        <v/>
      </c>
      <c r="L92" s="67"/>
      <c r="M92" s="67"/>
      <c r="N92" s="67"/>
      <c r="O92" s="67"/>
      <c r="P92" s="85" t="str">
        <f aca="false">IF(AH92="","",K92+N(L92)+N(M92)+N(N92)+N(O92))</f>
        <v/>
      </c>
      <c r="Q92" s="67"/>
      <c r="R92" s="67"/>
      <c r="S92" s="67"/>
      <c r="T92" s="67"/>
      <c r="U92" s="67"/>
      <c r="V92" s="67"/>
      <c r="W92" s="85" t="str">
        <f aca="false">IF(AH92="","",N(Q92)+N(R92)+N(S92)+N(T92)+N(U92)+N(V92))</f>
        <v/>
      </c>
      <c r="X92" s="85" t="str">
        <f aca="false">IF(AH92="","",P92-W92)</f>
        <v/>
      </c>
      <c r="Y92" s="67"/>
      <c r="Z92" s="70" t="str">
        <f aca="false">IF(OR(AH92="",Y92=""),"",IF(ABS(X92-Y92)&lt;=1,"✓ Cuadra","⚠ Diferencia $"&amp;FIXED(X92-Y92,0)))</f>
        <v/>
      </c>
      <c r="AA92" s="72" t="str">
        <f aca="false">IF(AH92="","",IFERROR(INDEX(C_TIPO,MATCH(C92&amp;"-P"&amp;MAX(1,COUNTIFS(C_ID,C92,C_DEFINE,"Sí",C_INICIO,"&lt;="&amp;EOMONTH(B92,0))),C_CLAVE,0))&amp;"","Sin dato"))</f>
        <v/>
      </c>
      <c r="AB92" s="71" t="str">
        <f aca="false">IF(AH92="","",ROUND(MIN(K92,TOPE_AFP_UF*AJ92)*AK92,0))</f>
        <v/>
      </c>
      <c r="AC92" s="71" t="str">
        <f aca="false">IF(AH92="","",ROUND(MIN(K92,TOPE_AFC_UF*AJ92)*IF(AA92="Indefinido",AFC_EMP_INDEF,AFC_EMP_PF),0))</f>
        <v/>
      </c>
      <c r="AD92" s="71" t="str">
        <f aca="false">IF(AH92="","",ROUND(MIN(K92,TOPE_AFP_UF*AJ92)*(MUTUAL_BASICA+MUTUAL_ADIC+SANNA),0))</f>
        <v/>
      </c>
      <c r="AE92" s="71" t="str">
        <f aca="false">IF(AH92="","",P92-N(N92)+AB92+AC92+AD92)</f>
        <v/>
      </c>
      <c r="AF92" s="65"/>
      <c r="AG92" s="64"/>
      <c r="AH92" s="72" t="str">
        <f aca="false">IF(OR(B92="",C92=""),"",C92&amp;"|"&amp;(YEAR(B92)*100+MONTH(B92)))</f>
        <v/>
      </c>
      <c r="AI92" s="70" t="str">
        <f aca="false">IF(AH92="","",IF(COUNTIF(L_CLAVE,AH92)&gt;1,"⚠ Duplicado","OK"))</f>
        <v/>
      </c>
      <c r="AJ92" s="86" t="str">
        <f aca="false">IF(AH92="","",IF(SUMPRODUCT(MAX((IND_PER&lt;=B92)*(IND_UF&lt;&gt;"")*IND_PER))=0,UF_HOY,INDEX(IND_UF,MATCH(SUMPRODUCT(MAX((IND_PER&lt;=B92)*(IND_UF&lt;&gt;"")*IND_PER)),IND_PER,0))))</f>
        <v/>
      </c>
      <c r="AK92" s="87" t="str">
        <f aca="false">IF(AH92="","",IF(COUNTIF(TASA_DESDE,"&lt;="&amp;B92)=0,INDEX(TASA_EMP,1),INDEX(TASA_EMP,COUNTIF(TASA_DESDE,"&lt;="&amp;B92))))</f>
        <v/>
      </c>
    </row>
    <row r="93" customFormat="false" ht="15" hidden="false" customHeight="false" outlineLevel="0" collapsed="false">
      <c r="B93" s="78"/>
      <c r="C93" s="64"/>
      <c r="D93" s="72" t="str">
        <f aca="false">IF(C93="","",IFERROR(INDEX(T_NOMBRE,MATCH(C93,T_ID,0)),"⚠ ID no existe"))</f>
        <v/>
      </c>
      <c r="E93" s="69"/>
      <c r="F93" s="67"/>
      <c r="G93" s="67"/>
      <c r="H93" s="67"/>
      <c r="I93" s="67"/>
      <c r="J93" s="67"/>
      <c r="K93" s="85" t="str">
        <f aca="false">IF(AH93="","",N(F93)+N(G93)+N(H93)-N(I93)+N(J93))</f>
        <v/>
      </c>
      <c r="L93" s="67"/>
      <c r="M93" s="67"/>
      <c r="N93" s="67"/>
      <c r="O93" s="67"/>
      <c r="P93" s="85" t="str">
        <f aca="false">IF(AH93="","",K93+N(L93)+N(M93)+N(N93)+N(O93))</f>
        <v/>
      </c>
      <c r="Q93" s="67"/>
      <c r="R93" s="67"/>
      <c r="S93" s="67"/>
      <c r="T93" s="67"/>
      <c r="U93" s="67"/>
      <c r="V93" s="67"/>
      <c r="W93" s="85" t="str">
        <f aca="false">IF(AH93="","",N(Q93)+N(R93)+N(S93)+N(T93)+N(U93)+N(V93))</f>
        <v/>
      </c>
      <c r="X93" s="85" t="str">
        <f aca="false">IF(AH93="","",P93-W93)</f>
        <v/>
      </c>
      <c r="Y93" s="67"/>
      <c r="Z93" s="70" t="str">
        <f aca="false">IF(OR(AH93="",Y93=""),"",IF(ABS(X93-Y93)&lt;=1,"✓ Cuadra","⚠ Diferencia $"&amp;FIXED(X93-Y93,0)))</f>
        <v/>
      </c>
      <c r="AA93" s="72" t="str">
        <f aca="false">IF(AH93="","",IFERROR(INDEX(C_TIPO,MATCH(C93&amp;"-P"&amp;MAX(1,COUNTIFS(C_ID,C93,C_DEFINE,"Sí",C_INICIO,"&lt;="&amp;EOMONTH(B93,0))),C_CLAVE,0))&amp;"","Sin dato"))</f>
        <v/>
      </c>
      <c r="AB93" s="71" t="str">
        <f aca="false">IF(AH93="","",ROUND(MIN(K93,TOPE_AFP_UF*AJ93)*AK93,0))</f>
        <v/>
      </c>
      <c r="AC93" s="71" t="str">
        <f aca="false">IF(AH93="","",ROUND(MIN(K93,TOPE_AFC_UF*AJ93)*IF(AA93="Indefinido",AFC_EMP_INDEF,AFC_EMP_PF),0))</f>
        <v/>
      </c>
      <c r="AD93" s="71" t="str">
        <f aca="false">IF(AH93="","",ROUND(MIN(K93,TOPE_AFP_UF*AJ93)*(MUTUAL_BASICA+MUTUAL_ADIC+SANNA),0))</f>
        <v/>
      </c>
      <c r="AE93" s="71" t="str">
        <f aca="false">IF(AH93="","",P93-N(N93)+AB93+AC93+AD93)</f>
        <v/>
      </c>
      <c r="AF93" s="65"/>
      <c r="AG93" s="64"/>
      <c r="AH93" s="72" t="str">
        <f aca="false">IF(OR(B93="",C93=""),"",C93&amp;"|"&amp;(YEAR(B93)*100+MONTH(B93)))</f>
        <v/>
      </c>
      <c r="AI93" s="70" t="str">
        <f aca="false">IF(AH93="","",IF(COUNTIF(L_CLAVE,AH93)&gt;1,"⚠ Duplicado","OK"))</f>
        <v/>
      </c>
      <c r="AJ93" s="86" t="str">
        <f aca="false">IF(AH93="","",IF(SUMPRODUCT(MAX((IND_PER&lt;=B93)*(IND_UF&lt;&gt;"")*IND_PER))=0,UF_HOY,INDEX(IND_UF,MATCH(SUMPRODUCT(MAX((IND_PER&lt;=B93)*(IND_UF&lt;&gt;"")*IND_PER)),IND_PER,0))))</f>
        <v/>
      </c>
      <c r="AK93" s="87" t="str">
        <f aca="false">IF(AH93="","",IF(COUNTIF(TASA_DESDE,"&lt;="&amp;B93)=0,INDEX(TASA_EMP,1),INDEX(TASA_EMP,COUNTIF(TASA_DESDE,"&lt;="&amp;B93))))</f>
        <v/>
      </c>
    </row>
    <row r="94" customFormat="false" ht="15" hidden="false" customHeight="false" outlineLevel="0" collapsed="false">
      <c r="B94" s="78"/>
      <c r="C94" s="64"/>
      <c r="D94" s="72" t="str">
        <f aca="false">IF(C94="","",IFERROR(INDEX(T_NOMBRE,MATCH(C94,T_ID,0)),"⚠ ID no existe"))</f>
        <v/>
      </c>
      <c r="E94" s="69"/>
      <c r="F94" s="67"/>
      <c r="G94" s="67"/>
      <c r="H94" s="67"/>
      <c r="I94" s="67"/>
      <c r="J94" s="67"/>
      <c r="K94" s="85" t="str">
        <f aca="false">IF(AH94="","",N(F94)+N(G94)+N(H94)-N(I94)+N(J94))</f>
        <v/>
      </c>
      <c r="L94" s="67"/>
      <c r="M94" s="67"/>
      <c r="N94" s="67"/>
      <c r="O94" s="67"/>
      <c r="P94" s="85" t="str">
        <f aca="false">IF(AH94="","",K94+N(L94)+N(M94)+N(N94)+N(O94))</f>
        <v/>
      </c>
      <c r="Q94" s="67"/>
      <c r="R94" s="67"/>
      <c r="S94" s="67"/>
      <c r="T94" s="67"/>
      <c r="U94" s="67"/>
      <c r="V94" s="67"/>
      <c r="W94" s="85" t="str">
        <f aca="false">IF(AH94="","",N(Q94)+N(R94)+N(S94)+N(T94)+N(U94)+N(V94))</f>
        <v/>
      </c>
      <c r="X94" s="85" t="str">
        <f aca="false">IF(AH94="","",P94-W94)</f>
        <v/>
      </c>
      <c r="Y94" s="67"/>
      <c r="Z94" s="70" t="str">
        <f aca="false">IF(OR(AH94="",Y94=""),"",IF(ABS(X94-Y94)&lt;=1,"✓ Cuadra","⚠ Diferencia $"&amp;FIXED(X94-Y94,0)))</f>
        <v/>
      </c>
      <c r="AA94" s="72" t="str">
        <f aca="false">IF(AH94="","",IFERROR(INDEX(C_TIPO,MATCH(C94&amp;"-P"&amp;MAX(1,COUNTIFS(C_ID,C94,C_DEFINE,"Sí",C_INICIO,"&lt;="&amp;EOMONTH(B94,0))),C_CLAVE,0))&amp;"","Sin dato"))</f>
        <v/>
      </c>
      <c r="AB94" s="71" t="str">
        <f aca="false">IF(AH94="","",ROUND(MIN(K94,TOPE_AFP_UF*AJ94)*AK94,0))</f>
        <v/>
      </c>
      <c r="AC94" s="71" t="str">
        <f aca="false">IF(AH94="","",ROUND(MIN(K94,TOPE_AFC_UF*AJ94)*IF(AA94="Indefinido",AFC_EMP_INDEF,AFC_EMP_PF),0))</f>
        <v/>
      </c>
      <c r="AD94" s="71" t="str">
        <f aca="false">IF(AH94="","",ROUND(MIN(K94,TOPE_AFP_UF*AJ94)*(MUTUAL_BASICA+MUTUAL_ADIC+SANNA),0))</f>
        <v/>
      </c>
      <c r="AE94" s="71" t="str">
        <f aca="false">IF(AH94="","",P94-N(N94)+AB94+AC94+AD94)</f>
        <v/>
      </c>
      <c r="AF94" s="65"/>
      <c r="AG94" s="64"/>
      <c r="AH94" s="72" t="str">
        <f aca="false">IF(OR(B94="",C94=""),"",C94&amp;"|"&amp;(YEAR(B94)*100+MONTH(B94)))</f>
        <v/>
      </c>
      <c r="AI94" s="70" t="str">
        <f aca="false">IF(AH94="","",IF(COUNTIF(L_CLAVE,AH94)&gt;1,"⚠ Duplicado","OK"))</f>
        <v/>
      </c>
      <c r="AJ94" s="86" t="str">
        <f aca="false">IF(AH94="","",IF(SUMPRODUCT(MAX((IND_PER&lt;=B94)*(IND_UF&lt;&gt;"")*IND_PER))=0,UF_HOY,INDEX(IND_UF,MATCH(SUMPRODUCT(MAX((IND_PER&lt;=B94)*(IND_UF&lt;&gt;"")*IND_PER)),IND_PER,0))))</f>
        <v/>
      </c>
      <c r="AK94" s="87" t="str">
        <f aca="false">IF(AH94="","",IF(COUNTIF(TASA_DESDE,"&lt;="&amp;B94)=0,INDEX(TASA_EMP,1),INDEX(TASA_EMP,COUNTIF(TASA_DESDE,"&lt;="&amp;B94))))</f>
        <v/>
      </c>
    </row>
    <row r="95" customFormat="false" ht="15" hidden="false" customHeight="false" outlineLevel="0" collapsed="false">
      <c r="B95" s="78"/>
      <c r="C95" s="64"/>
      <c r="D95" s="72" t="str">
        <f aca="false">IF(C95="","",IFERROR(INDEX(T_NOMBRE,MATCH(C95,T_ID,0)),"⚠ ID no existe"))</f>
        <v/>
      </c>
      <c r="E95" s="69"/>
      <c r="F95" s="67"/>
      <c r="G95" s="67"/>
      <c r="H95" s="67"/>
      <c r="I95" s="67"/>
      <c r="J95" s="67"/>
      <c r="K95" s="85" t="str">
        <f aca="false">IF(AH95="","",N(F95)+N(G95)+N(H95)-N(I95)+N(J95))</f>
        <v/>
      </c>
      <c r="L95" s="67"/>
      <c r="M95" s="67"/>
      <c r="N95" s="67"/>
      <c r="O95" s="67"/>
      <c r="P95" s="85" t="str">
        <f aca="false">IF(AH95="","",K95+N(L95)+N(M95)+N(N95)+N(O95))</f>
        <v/>
      </c>
      <c r="Q95" s="67"/>
      <c r="R95" s="67"/>
      <c r="S95" s="67"/>
      <c r="T95" s="67"/>
      <c r="U95" s="67"/>
      <c r="V95" s="67"/>
      <c r="W95" s="85" t="str">
        <f aca="false">IF(AH95="","",N(Q95)+N(R95)+N(S95)+N(T95)+N(U95)+N(V95))</f>
        <v/>
      </c>
      <c r="X95" s="85" t="str">
        <f aca="false">IF(AH95="","",P95-W95)</f>
        <v/>
      </c>
      <c r="Y95" s="67"/>
      <c r="Z95" s="70" t="str">
        <f aca="false">IF(OR(AH95="",Y95=""),"",IF(ABS(X95-Y95)&lt;=1,"✓ Cuadra","⚠ Diferencia $"&amp;FIXED(X95-Y95,0)))</f>
        <v/>
      </c>
      <c r="AA95" s="72" t="str">
        <f aca="false">IF(AH95="","",IFERROR(INDEX(C_TIPO,MATCH(C95&amp;"-P"&amp;MAX(1,COUNTIFS(C_ID,C95,C_DEFINE,"Sí",C_INICIO,"&lt;="&amp;EOMONTH(B95,0))),C_CLAVE,0))&amp;"","Sin dato"))</f>
        <v/>
      </c>
      <c r="AB95" s="71" t="str">
        <f aca="false">IF(AH95="","",ROUND(MIN(K95,TOPE_AFP_UF*AJ95)*AK95,0))</f>
        <v/>
      </c>
      <c r="AC95" s="71" t="str">
        <f aca="false">IF(AH95="","",ROUND(MIN(K95,TOPE_AFC_UF*AJ95)*IF(AA95="Indefinido",AFC_EMP_INDEF,AFC_EMP_PF),0))</f>
        <v/>
      </c>
      <c r="AD95" s="71" t="str">
        <f aca="false">IF(AH95="","",ROUND(MIN(K95,TOPE_AFP_UF*AJ95)*(MUTUAL_BASICA+MUTUAL_ADIC+SANNA),0))</f>
        <v/>
      </c>
      <c r="AE95" s="71" t="str">
        <f aca="false">IF(AH95="","",P95-N(N95)+AB95+AC95+AD95)</f>
        <v/>
      </c>
      <c r="AF95" s="65"/>
      <c r="AG95" s="64"/>
      <c r="AH95" s="72" t="str">
        <f aca="false">IF(OR(B95="",C95=""),"",C95&amp;"|"&amp;(YEAR(B95)*100+MONTH(B95)))</f>
        <v/>
      </c>
      <c r="AI95" s="70" t="str">
        <f aca="false">IF(AH95="","",IF(COUNTIF(L_CLAVE,AH95)&gt;1,"⚠ Duplicado","OK"))</f>
        <v/>
      </c>
      <c r="AJ95" s="86" t="str">
        <f aca="false">IF(AH95="","",IF(SUMPRODUCT(MAX((IND_PER&lt;=B95)*(IND_UF&lt;&gt;"")*IND_PER))=0,UF_HOY,INDEX(IND_UF,MATCH(SUMPRODUCT(MAX((IND_PER&lt;=B95)*(IND_UF&lt;&gt;"")*IND_PER)),IND_PER,0))))</f>
        <v/>
      </c>
      <c r="AK95" s="87" t="str">
        <f aca="false">IF(AH95="","",IF(COUNTIF(TASA_DESDE,"&lt;="&amp;B95)=0,INDEX(TASA_EMP,1),INDEX(TASA_EMP,COUNTIF(TASA_DESDE,"&lt;="&amp;B95))))</f>
        <v/>
      </c>
    </row>
    <row r="96" customFormat="false" ht="15" hidden="false" customHeight="false" outlineLevel="0" collapsed="false">
      <c r="B96" s="78"/>
      <c r="C96" s="64"/>
      <c r="D96" s="72" t="str">
        <f aca="false">IF(C96="","",IFERROR(INDEX(T_NOMBRE,MATCH(C96,T_ID,0)),"⚠ ID no existe"))</f>
        <v/>
      </c>
      <c r="E96" s="69"/>
      <c r="F96" s="67"/>
      <c r="G96" s="67"/>
      <c r="H96" s="67"/>
      <c r="I96" s="67"/>
      <c r="J96" s="67"/>
      <c r="K96" s="85" t="str">
        <f aca="false">IF(AH96="","",N(F96)+N(G96)+N(H96)-N(I96)+N(J96))</f>
        <v/>
      </c>
      <c r="L96" s="67"/>
      <c r="M96" s="67"/>
      <c r="N96" s="67"/>
      <c r="O96" s="67"/>
      <c r="P96" s="85" t="str">
        <f aca="false">IF(AH96="","",K96+N(L96)+N(M96)+N(N96)+N(O96))</f>
        <v/>
      </c>
      <c r="Q96" s="67"/>
      <c r="R96" s="67"/>
      <c r="S96" s="67"/>
      <c r="T96" s="67"/>
      <c r="U96" s="67"/>
      <c r="V96" s="67"/>
      <c r="W96" s="85" t="str">
        <f aca="false">IF(AH96="","",N(Q96)+N(R96)+N(S96)+N(T96)+N(U96)+N(V96))</f>
        <v/>
      </c>
      <c r="X96" s="85" t="str">
        <f aca="false">IF(AH96="","",P96-W96)</f>
        <v/>
      </c>
      <c r="Y96" s="67"/>
      <c r="Z96" s="70" t="str">
        <f aca="false">IF(OR(AH96="",Y96=""),"",IF(ABS(X96-Y96)&lt;=1,"✓ Cuadra","⚠ Diferencia $"&amp;FIXED(X96-Y96,0)))</f>
        <v/>
      </c>
      <c r="AA96" s="72" t="str">
        <f aca="false">IF(AH96="","",IFERROR(INDEX(C_TIPO,MATCH(C96&amp;"-P"&amp;MAX(1,COUNTIFS(C_ID,C96,C_DEFINE,"Sí",C_INICIO,"&lt;="&amp;EOMONTH(B96,0))),C_CLAVE,0))&amp;"","Sin dato"))</f>
        <v/>
      </c>
      <c r="AB96" s="71" t="str">
        <f aca="false">IF(AH96="","",ROUND(MIN(K96,TOPE_AFP_UF*AJ96)*AK96,0))</f>
        <v/>
      </c>
      <c r="AC96" s="71" t="str">
        <f aca="false">IF(AH96="","",ROUND(MIN(K96,TOPE_AFC_UF*AJ96)*IF(AA96="Indefinido",AFC_EMP_INDEF,AFC_EMP_PF),0))</f>
        <v/>
      </c>
      <c r="AD96" s="71" t="str">
        <f aca="false">IF(AH96="","",ROUND(MIN(K96,TOPE_AFP_UF*AJ96)*(MUTUAL_BASICA+MUTUAL_ADIC+SANNA),0))</f>
        <v/>
      </c>
      <c r="AE96" s="71" t="str">
        <f aca="false">IF(AH96="","",P96-N(N96)+AB96+AC96+AD96)</f>
        <v/>
      </c>
      <c r="AF96" s="65"/>
      <c r="AG96" s="64"/>
      <c r="AH96" s="72" t="str">
        <f aca="false">IF(OR(B96="",C96=""),"",C96&amp;"|"&amp;(YEAR(B96)*100+MONTH(B96)))</f>
        <v/>
      </c>
      <c r="AI96" s="70" t="str">
        <f aca="false">IF(AH96="","",IF(COUNTIF(L_CLAVE,AH96)&gt;1,"⚠ Duplicado","OK"))</f>
        <v/>
      </c>
      <c r="AJ96" s="86" t="str">
        <f aca="false">IF(AH96="","",IF(SUMPRODUCT(MAX((IND_PER&lt;=B96)*(IND_UF&lt;&gt;"")*IND_PER))=0,UF_HOY,INDEX(IND_UF,MATCH(SUMPRODUCT(MAX((IND_PER&lt;=B96)*(IND_UF&lt;&gt;"")*IND_PER)),IND_PER,0))))</f>
        <v/>
      </c>
      <c r="AK96" s="87" t="str">
        <f aca="false">IF(AH96="","",IF(COUNTIF(TASA_DESDE,"&lt;="&amp;B96)=0,INDEX(TASA_EMP,1),INDEX(TASA_EMP,COUNTIF(TASA_DESDE,"&lt;="&amp;B96))))</f>
        <v/>
      </c>
    </row>
    <row r="97" customFormat="false" ht="15" hidden="false" customHeight="false" outlineLevel="0" collapsed="false">
      <c r="B97" s="78"/>
      <c r="C97" s="64"/>
      <c r="D97" s="72" t="str">
        <f aca="false">IF(C97="","",IFERROR(INDEX(T_NOMBRE,MATCH(C97,T_ID,0)),"⚠ ID no existe"))</f>
        <v/>
      </c>
      <c r="E97" s="69"/>
      <c r="F97" s="67"/>
      <c r="G97" s="67"/>
      <c r="H97" s="67"/>
      <c r="I97" s="67"/>
      <c r="J97" s="67"/>
      <c r="K97" s="85" t="str">
        <f aca="false">IF(AH97="","",N(F97)+N(G97)+N(H97)-N(I97)+N(J97))</f>
        <v/>
      </c>
      <c r="L97" s="67"/>
      <c r="M97" s="67"/>
      <c r="N97" s="67"/>
      <c r="O97" s="67"/>
      <c r="P97" s="85" t="str">
        <f aca="false">IF(AH97="","",K97+N(L97)+N(M97)+N(N97)+N(O97))</f>
        <v/>
      </c>
      <c r="Q97" s="67"/>
      <c r="R97" s="67"/>
      <c r="S97" s="67"/>
      <c r="T97" s="67"/>
      <c r="U97" s="67"/>
      <c r="V97" s="67"/>
      <c r="W97" s="85" t="str">
        <f aca="false">IF(AH97="","",N(Q97)+N(R97)+N(S97)+N(T97)+N(U97)+N(V97))</f>
        <v/>
      </c>
      <c r="X97" s="85" t="str">
        <f aca="false">IF(AH97="","",P97-W97)</f>
        <v/>
      </c>
      <c r="Y97" s="67"/>
      <c r="Z97" s="70" t="str">
        <f aca="false">IF(OR(AH97="",Y97=""),"",IF(ABS(X97-Y97)&lt;=1,"✓ Cuadra","⚠ Diferencia $"&amp;FIXED(X97-Y97,0)))</f>
        <v/>
      </c>
      <c r="AA97" s="72" t="str">
        <f aca="false">IF(AH97="","",IFERROR(INDEX(C_TIPO,MATCH(C97&amp;"-P"&amp;MAX(1,COUNTIFS(C_ID,C97,C_DEFINE,"Sí",C_INICIO,"&lt;="&amp;EOMONTH(B97,0))),C_CLAVE,0))&amp;"","Sin dato"))</f>
        <v/>
      </c>
      <c r="AB97" s="71" t="str">
        <f aca="false">IF(AH97="","",ROUND(MIN(K97,TOPE_AFP_UF*AJ97)*AK97,0))</f>
        <v/>
      </c>
      <c r="AC97" s="71" t="str">
        <f aca="false">IF(AH97="","",ROUND(MIN(K97,TOPE_AFC_UF*AJ97)*IF(AA97="Indefinido",AFC_EMP_INDEF,AFC_EMP_PF),0))</f>
        <v/>
      </c>
      <c r="AD97" s="71" t="str">
        <f aca="false">IF(AH97="","",ROUND(MIN(K97,TOPE_AFP_UF*AJ97)*(MUTUAL_BASICA+MUTUAL_ADIC+SANNA),0))</f>
        <v/>
      </c>
      <c r="AE97" s="71" t="str">
        <f aca="false">IF(AH97="","",P97-N(N97)+AB97+AC97+AD97)</f>
        <v/>
      </c>
      <c r="AF97" s="65"/>
      <c r="AG97" s="64"/>
      <c r="AH97" s="72" t="str">
        <f aca="false">IF(OR(B97="",C97=""),"",C97&amp;"|"&amp;(YEAR(B97)*100+MONTH(B97)))</f>
        <v/>
      </c>
      <c r="AI97" s="70" t="str">
        <f aca="false">IF(AH97="","",IF(COUNTIF(L_CLAVE,AH97)&gt;1,"⚠ Duplicado","OK"))</f>
        <v/>
      </c>
      <c r="AJ97" s="86" t="str">
        <f aca="false">IF(AH97="","",IF(SUMPRODUCT(MAX((IND_PER&lt;=B97)*(IND_UF&lt;&gt;"")*IND_PER))=0,UF_HOY,INDEX(IND_UF,MATCH(SUMPRODUCT(MAX((IND_PER&lt;=B97)*(IND_UF&lt;&gt;"")*IND_PER)),IND_PER,0))))</f>
        <v/>
      </c>
      <c r="AK97" s="87" t="str">
        <f aca="false">IF(AH97="","",IF(COUNTIF(TASA_DESDE,"&lt;="&amp;B97)=0,INDEX(TASA_EMP,1),INDEX(TASA_EMP,COUNTIF(TASA_DESDE,"&lt;="&amp;B97))))</f>
        <v/>
      </c>
    </row>
    <row r="98" customFormat="false" ht="15" hidden="false" customHeight="false" outlineLevel="0" collapsed="false">
      <c r="B98" s="78"/>
      <c r="C98" s="64"/>
      <c r="D98" s="72" t="str">
        <f aca="false">IF(C98="","",IFERROR(INDEX(T_NOMBRE,MATCH(C98,T_ID,0)),"⚠ ID no existe"))</f>
        <v/>
      </c>
      <c r="E98" s="69"/>
      <c r="F98" s="67"/>
      <c r="G98" s="67"/>
      <c r="H98" s="67"/>
      <c r="I98" s="67"/>
      <c r="J98" s="67"/>
      <c r="K98" s="85" t="str">
        <f aca="false">IF(AH98="","",N(F98)+N(G98)+N(H98)-N(I98)+N(J98))</f>
        <v/>
      </c>
      <c r="L98" s="67"/>
      <c r="M98" s="67"/>
      <c r="N98" s="67"/>
      <c r="O98" s="67"/>
      <c r="P98" s="85" t="str">
        <f aca="false">IF(AH98="","",K98+N(L98)+N(M98)+N(N98)+N(O98))</f>
        <v/>
      </c>
      <c r="Q98" s="67"/>
      <c r="R98" s="67"/>
      <c r="S98" s="67"/>
      <c r="T98" s="67"/>
      <c r="U98" s="67"/>
      <c r="V98" s="67"/>
      <c r="W98" s="85" t="str">
        <f aca="false">IF(AH98="","",N(Q98)+N(R98)+N(S98)+N(T98)+N(U98)+N(V98))</f>
        <v/>
      </c>
      <c r="X98" s="85" t="str">
        <f aca="false">IF(AH98="","",P98-W98)</f>
        <v/>
      </c>
      <c r="Y98" s="67"/>
      <c r="Z98" s="70" t="str">
        <f aca="false">IF(OR(AH98="",Y98=""),"",IF(ABS(X98-Y98)&lt;=1,"✓ Cuadra","⚠ Diferencia $"&amp;FIXED(X98-Y98,0)))</f>
        <v/>
      </c>
      <c r="AA98" s="72" t="str">
        <f aca="false">IF(AH98="","",IFERROR(INDEX(C_TIPO,MATCH(C98&amp;"-P"&amp;MAX(1,COUNTIFS(C_ID,C98,C_DEFINE,"Sí",C_INICIO,"&lt;="&amp;EOMONTH(B98,0))),C_CLAVE,0))&amp;"","Sin dato"))</f>
        <v/>
      </c>
      <c r="AB98" s="71" t="str">
        <f aca="false">IF(AH98="","",ROUND(MIN(K98,TOPE_AFP_UF*AJ98)*AK98,0))</f>
        <v/>
      </c>
      <c r="AC98" s="71" t="str">
        <f aca="false">IF(AH98="","",ROUND(MIN(K98,TOPE_AFC_UF*AJ98)*IF(AA98="Indefinido",AFC_EMP_INDEF,AFC_EMP_PF),0))</f>
        <v/>
      </c>
      <c r="AD98" s="71" t="str">
        <f aca="false">IF(AH98="","",ROUND(MIN(K98,TOPE_AFP_UF*AJ98)*(MUTUAL_BASICA+MUTUAL_ADIC+SANNA),0))</f>
        <v/>
      </c>
      <c r="AE98" s="71" t="str">
        <f aca="false">IF(AH98="","",P98-N(N98)+AB98+AC98+AD98)</f>
        <v/>
      </c>
      <c r="AF98" s="65"/>
      <c r="AG98" s="64"/>
      <c r="AH98" s="72" t="str">
        <f aca="false">IF(OR(B98="",C98=""),"",C98&amp;"|"&amp;(YEAR(B98)*100+MONTH(B98)))</f>
        <v/>
      </c>
      <c r="AI98" s="70" t="str">
        <f aca="false">IF(AH98="","",IF(COUNTIF(L_CLAVE,AH98)&gt;1,"⚠ Duplicado","OK"))</f>
        <v/>
      </c>
      <c r="AJ98" s="86" t="str">
        <f aca="false">IF(AH98="","",IF(SUMPRODUCT(MAX((IND_PER&lt;=B98)*(IND_UF&lt;&gt;"")*IND_PER))=0,UF_HOY,INDEX(IND_UF,MATCH(SUMPRODUCT(MAX((IND_PER&lt;=B98)*(IND_UF&lt;&gt;"")*IND_PER)),IND_PER,0))))</f>
        <v/>
      </c>
      <c r="AK98" s="87" t="str">
        <f aca="false">IF(AH98="","",IF(COUNTIF(TASA_DESDE,"&lt;="&amp;B98)=0,INDEX(TASA_EMP,1),INDEX(TASA_EMP,COUNTIF(TASA_DESDE,"&lt;="&amp;B98))))</f>
        <v/>
      </c>
    </row>
    <row r="99" customFormat="false" ht="15" hidden="false" customHeight="false" outlineLevel="0" collapsed="false">
      <c r="B99" s="78"/>
      <c r="C99" s="64"/>
      <c r="D99" s="72" t="str">
        <f aca="false">IF(C99="","",IFERROR(INDEX(T_NOMBRE,MATCH(C99,T_ID,0)),"⚠ ID no existe"))</f>
        <v/>
      </c>
      <c r="E99" s="69"/>
      <c r="F99" s="67"/>
      <c r="G99" s="67"/>
      <c r="H99" s="67"/>
      <c r="I99" s="67"/>
      <c r="J99" s="67"/>
      <c r="K99" s="85" t="str">
        <f aca="false">IF(AH99="","",N(F99)+N(G99)+N(H99)-N(I99)+N(J99))</f>
        <v/>
      </c>
      <c r="L99" s="67"/>
      <c r="M99" s="67"/>
      <c r="N99" s="67"/>
      <c r="O99" s="67"/>
      <c r="P99" s="85" t="str">
        <f aca="false">IF(AH99="","",K99+N(L99)+N(M99)+N(N99)+N(O99))</f>
        <v/>
      </c>
      <c r="Q99" s="67"/>
      <c r="R99" s="67"/>
      <c r="S99" s="67"/>
      <c r="T99" s="67"/>
      <c r="U99" s="67"/>
      <c r="V99" s="67"/>
      <c r="W99" s="85" t="str">
        <f aca="false">IF(AH99="","",N(Q99)+N(R99)+N(S99)+N(T99)+N(U99)+N(V99))</f>
        <v/>
      </c>
      <c r="X99" s="85" t="str">
        <f aca="false">IF(AH99="","",P99-W99)</f>
        <v/>
      </c>
      <c r="Y99" s="67"/>
      <c r="Z99" s="70" t="str">
        <f aca="false">IF(OR(AH99="",Y99=""),"",IF(ABS(X99-Y99)&lt;=1,"✓ Cuadra","⚠ Diferencia $"&amp;FIXED(X99-Y99,0)))</f>
        <v/>
      </c>
      <c r="AA99" s="72" t="str">
        <f aca="false">IF(AH99="","",IFERROR(INDEX(C_TIPO,MATCH(C99&amp;"-P"&amp;MAX(1,COUNTIFS(C_ID,C99,C_DEFINE,"Sí",C_INICIO,"&lt;="&amp;EOMONTH(B99,0))),C_CLAVE,0))&amp;"","Sin dato"))</f>
        <v/>
      </c>
      <c r="AB99" s="71" t="str">
        <f aca="false">IF(AH99="","",ROUND(MIN(K99,TOPE_AFP_UF*AJ99)*AK99,0))</f>
        <v/>
      </c>
      <c r="AC99" s="71" t="str">
        <f aca="false">IF(AH99="","",ROUND(MIN(K99,TOPE_AFC_UF*AJ99)*IF(AA99="Indefinido",AFC_EMP_INDEF,AFC_EMP_PF),0))</f>
        <v/>
      </c>
      <c r="AD99" s="71" t="str">
        <f aca="false">IF(AH99="","",ROUND(MIN(K99,TOPE_AFP_UF*AJ99)*(MUTUAL_BASICA+MUTUAL_ADIC+SANNA),0))</f>
        <v/>
      </c>
      <c r="AE99" s="71" t="str">
        <f aca="false">IF(AH99="","",P99-N(N99)+AB99+AC99+AD99)</f>
        <v/>
      </c>
      <c r="AF99" s="65"/>
      <c r="AG99" s="64"/>
      <c r="AH99" s="72" t="str">
        <f aca="false">IF(OR(B99="",C99=""),"",C99&amp;"|"&amp;(YEAR(B99)*100+MONTH(B99)))</f>
        <v/>
      </c>
      <c r="AI99" s="70" t="str">
        <f aca="false">IF(AH99="","",IF(COUNTIF(L_CLAVE,AH99)&gt;1,"⚠ Duplicado","OK"))</f>
        <v/>
      </c>
      <c r="AJ99" s="86" t="str">
        <f aca="false">IF(AH99="","",IF(SUMPRODUCT(MAX((IND_PER&lt;=B99)*(IND_UF&lt;&gt;"")*IND_PER))=0,UF_HOY,INDEX(IND_UF,MATCH(SUMPRODUCT(MAX((IND_PER&lt;=B99)*(IND_UF&lt;&gt;"")*IND_PER)),IND_PER,0))))</f>
        <v/>
      </c>
      <c r="AK99" s="87" t="str">
        <f aca="false">IF(AH99="","",IF(COUNTIF(TASA_DESDE,"&lt;="&amp;B99)=0,INDEX(TASA_EMP,1),INDEX(TASA_EMP,COUNTIF(TASA_DESDE,"&lt;="&amp;B99))))</f>
        <v/>
      </c>
    </row>
    <row r="100" customFormat="false" ht="15" hidden="false" customHeight="false" outlineLevel="0" collapsed="false">
      <c r="B100" s="78"/>
      <c r="C100" s="64"/>
      <c r="D100" s="72" t="str">
        <f aca="false">IF(C100="","",IFERROR(INDEX(T_NOMBRE,MATCH(C100,T_ID,0)),"⚠ ID no existe"))</f>
        <v/>
      </c>
      <c r="E100" s="69"/>
      <c r="F100" s="67"/>
      <c r="G100" s="67"/>
      <c r="H100" s="67"/>
      <c r="I100" s="67"/>
      <c r="J100" s="67"/>
      <c r="K100" s="85" t="str">
        <f aca="false">IF(AH100="","",N(F100)+N(G100)+N(H100)-N(I100)+N(J100))</f>
        <v/>
      </c>
      <c r="L100" s="67"/>
      <c r="M100" s="67"/>
      <c r="N100" s="67"/>
      <c r="O100" s="67"/>
      <c r="P100" s="85" t="str">
        <f aca="false">IF(AH100="","",K100+N(L100)+N(M100)+N(N100)+N(O100))</f>
        <v/>
      </c>
      <c r="Q100" s="67"/>
      <c r="R100" s="67"/>
      <c r="S100" s="67"/>
      <c r="T100" s="67"/>
      <c r="U100" s="67"/>
      <c r="V100" s="67"/>
      <c r="W100" s="85" t="str">
        <f aca="false">IF(AH100="","",N(Q100)+N(R100)+N(S100)+N(T100)+N(U100)+N(V100))</f>
        <v/>
      </c>
      <c r="X100" s="85" t="str">
        <f aca="false">IF(AH100="","",P100-W100)</f>
        <v/>
      </c>
      <c r="Y100" s="67"/>
      <c r="Z100" s="70" t="str">
        <f aca="false">IF(OR(AH100="",Y100=""),"",IF(ABS(X100-Y100)&lt;=1,"✓ Cuadra","⚠ Diferencia $"&amp;FIXED(X100-Y100,0)))</f>
        <v/>
      </c>
      <c r="AA100" s="72" t="str">
        <f aca="false">IF(AH100="","",IFERROR(INDEX(C_TIPO,MATCH(C100&amp;"-P"&amp;MAX(1,COUNTIFS(C_ID,C100,C_DEFINE,"Sí",C_INICIO,"&lt;="&amp;EOMONTH(B100,0))),C_CLAVE,0))&amp;"","Sin dato"))</f>
        <v/>
      </c>
      <c r="AB100" s="71" t="str">
        <f aca="false">IF(AH100="","",ROUND(MIN(K100,TOPE_AFP_UF*AJ100)*AK100,0))</f>
        <v/>
      </c>
      <c r="AC100" s="71" t="str">
        <f aca="false">IF(AH100="","",ROUND(MIN(K100,TOPE_AFC_UF*AJ100)*IF(AA100="Indefinido",AFC_EMP_INDEF,AFC_EMP_PF),0))</f>
        <v/>
      </c>
      <c r="AD100" s="71" t="str">
        <f aca="false">IF(AH100="","",ROUND(MIN(K100,TOPE_AFP_UF*AJ100)*(MUTUAL_BASICA+MUTUAL_ADIC+SANNA),0))</f>
        <v/>
      </c>
      <c r="AE100" s="71" t="str">
        <f aca="false">IF(AH100="","",P100-N(N100)+AB100+AC100+AD100)</f>
        <v/>
      </c>
      <c r="AF100" s="65"/>
      <c r="AG100" s="64"/>
      <c r="AH100" s="72" t="str">
        <f aca="false">IF(OR(B100="",C100=""),"",C100&amp;"|"&amp;(YEAR(B100)*100+MONTH(B100)))</f>
        <v/>
      </c>
      <c r="AI100" s="70" t="str">
        <f aca="false">IF(AH100="","",IF(COUNTIF(L_CLAVE,AH100)&gt;1,"⚠ Duplicado","OK"))</f>
        <v/>
      </c>
      <c r="AJ100" s="86" t="str">
        <f aca="false">IF(AH100="","",IF(SUMPRODUCT(MAX((IND_PER&lt;=B100)*(IND_UF&lt;&gt;"")*IND_PER))=0,UF_HOY,INDEX(IND_UF,MATCH(SUMPRODUCT(MAX((IND_PER&lt;=B100)*(IND_UF&lt;&gt;"")*IND_PER)),IND_PER,0))))</f>
        <v/>
      </c>
      <c r="AK100" s="87" t="str">
        <f aca="false">IF(AH100="","",IF(COUNTIF(TASA_DESDE,"&lt;="&amp;B100)=0,INDEX(TASA_EMP,1),INDEX(TASA_EMP,COUNTIF(TASA_DESDE,"&lt;="&amp;B100))))</f>
        <v/>
      </c>
    </row>
    <row r="101" customFormat="false" ht="15" hidden="false" customHeight="false" outlineLevel="0" collapsed="false">
      <c r="B101" s="78"/>
      <c r="C101" s="64"/>
      <c r="D101" s="72" t="str">
        <f aca="false">IF(C101="","",IFERROR(INDEX(T_NOMBRE,MATCH(C101,T_ID,0)),"⚠ ID no existe"))</f>
        <v/>
      </c>
      <c r="E101" s="69"/>
      <c r="F101" s="67"/>
      <c r="G101" s="67"/>
      <c r="H101" s="67"/>
      <c r="I101" s="67"/>
      <c r="J101" s="67"/>
      <c r="K101" s="85" t="str">
        <f aca="false">IF(AH101="","",N(F101)+N(G101)+N(H101)-N(I101)+N(J101))</f>
        <v/>
      </c>
      <c r="L101" s="67"/>
      <c r="M101" s="67"/>
      <c r="N101" s="67"/>
      <c r="O101" s="67"/>
      <c r="P101" s="85" t="str">
        <f aca="false">IF(AH101="","",K101+N(L101)+N(M101)+N(N101)+N(O101))</f>
        <v/>
      </c>
      <c r="Q101" s="67"/>
      <c r="R101" s="67"/>
      <c r="S101" s="67"/>
      <c r="T101" s="67"/>
      <c r="U101" s="67"/>
      <c r="V101" s="67"/>
      <c r="W101" s="85" t="str">
        <f aca="false">IF(AH101="","",N(Q101)+N(R101)+N(S101)+N(T101)+N(U101)+N(V101))</f>
        <v/>
      </c>
      <c r="X101" s="85" t="str">
        <f aca="false">IF(AH101="","",P101-W101)</f>
        <v/>
      </c>
      <c r="Y101" s="67"/>
      <c r="Z101" s="70" t="str">
        <f aca="false">IF(OR(AH101="",Y101=""),"",IF(ABS(X101-Y101)&lt;=1,"✓ Cuadra","⚠ Diferencia $"&amp;FIXED(X101-Y101,0)))</f>
        <v/>
      </c>
      <c r="AA101" s="72" t="str">
        <f aca="false">IF(AH101="","",IFERROR(INDEX(C_TIPO,MATCH(C101&amp;"-P"&amp;MAX(1,COUNTIFS(C_ID,C101,C_DEFINE,"Sí",C_INICIO,"&lt;="&amp;EOMONTH(B101,0))),C_CLAVE,0))&amp;"","Sin dato"))</f>
        <v/>
      </c>
      <c r="AB101" s="71" t="str">
        <f aca="false">IF(AH101="","",ROUND(MIN(K101,TOPE_AFP_UF*AJ101)*AK101,0))</f>
        <v/>
      </c>
      <c r="AC101" s="71" t="str">
        <f aca="false">IF(AH101="","",ROUND(MIN(K101,TOPE_AFC_UF*AJ101)*IF(AA101="Indefinido",AFC_EMP_INDEF,AFC_EMP_PF),0))</f>
        <v/>
      </c>
      <c r="AD101" s="71" t="str">
        <f aca="false">IF(AH101="","",ROUND(MIN(K101,TOPE_AFP_UF*AJ101)*(MUTUAL_BASICA+MUTUAL_ADIC+SANNA),0))</f>
        <v/>
      </c>
      <c r="AE101" s="71" t="str">
        <f aca="false">IF(AH101="","",P101-N(N101)+AB101+AC101+AD101)</f>
        <v/>
      </c>
      <c r="AF101" s="65"/>
      <c r="AG101" s="64"/>
      <c r="AH101" s="72" t="str">
        <f aca="false">IF(OR(B101="",C101=""),"",C101&amp;"|"&amp;(YEAR(B101)*100+MONTH(B101)))</f>
        <v/>
      </c>
      <c r="AI101" s="70" t="str">
        <f aca="false">IF(AH101="","",IF(COUNTIF(L_CLAVE,AH101)&gt;1,"⚠ Duplicado","OK"))</f>
        <v/>
      </c>
      <c r="AJ101" s="86" t="str">
        <f aca="false">IF(AH101="","",IF(SUMPRODUCT(MAX((IND_PER&lt;=B101)*(IND_UF&lt;&gt;"")*IND_PER))=0,UF_HOY,INDEX(IND_UF,MATCH(SUMPRODUCT(MAX((IND_PER&lt;=B101)*(IND_UF&lt;&gt;"")*IND_PER)),IND_PER,0))))</f>
        <v/>
      </c>
      <c r="AK101" s="87" t="str">
        <f aca="false">IF(AH101="","",IF(COUNTIF(TASA_DESDE,"&lt;="&amp;B101)=0,INDEX(TASA_EMP,1),INDEX(TASA_EMP,COUNTIF(TASA_DESDE,"&lt;="&amp;B101))))</f>
        <v/>
      </c>
    </row>
    <row r="102" customFormat="false" ht="15" hidden="false" customHeight="false" outlineLevel="0" collapsed="false">
      <c r="B102" s="78"/>
      <c r="C102" s="64"/>
      <c r="D102" s="72" t="str">
        <f aca="false">IF(C102="","",IFERROR(INDEX(T_NOMBRE,MATCH(C102,T_ID,0)),"⚠ ID no existe"))</f>
        <v/>
      </c>
      <c r="E102" s="69"/>
      <c r="F102" s="67"/>
      <c r="G102" s="67"/>
      <c r="H102" s="67"/>
      <c r="I102" s="67"/>
      <c r="J102" s="67"/>
      <c r="K102" s="85" t="str">
        <f aca="false">IF(AH102="","",N(F102)+N(G102)+N(H102)-N(I102)+N(J102))</f>
        <v/>
      </c>
      <c r="L102" s="67"/>
      <c r="M102" s="67"/>
      <c r="N102" s="67"/>
      <c r="O102" s="67"/>
      <c r="P102" s="85" t="str">
        <f aca="false">IF(AH102="","",K102+N(L102)+N(M102)+N(N102)+N(O102))</f>
        <v/>
      </c>
      <c r="Q102" s="67"/>
      <c r="R102" s="67"/>
      <c r="S102" s="67"/>
      <c r="T102" s="67"/>
      <c r="U102" s="67"/>
      <c r="V102" s="67"/>
      <c r="W102" s="85" t="str">
        <f aca="false">IF(AH102="","",N(Q102)+N(R102)+N(S102)+N(T102)+N(U102)+N(V102))</f>
        <v/>
      </c>
      <c r="X102" s="85" t="str">
        <f aca="false">IF(AH102="","",P102-W102)</f>
        <v/>
      </c>
      <c r="Y102" s="67"/>
      <c r="Z102" s="70" t="str">
        <f aca="false">IF(OR(AH102="",Y102=""),"",IF(ABS(X102-Y102)&lt;=1,"✓ Cuadra","⚠ Diferencia $"&amp;FIXED(X102-Y102,0)))</f>
        <v/>
      </c>
      <c r="AA102" s="72" t="str">
        <f aca="false">IF(AH102="","",IFERROR(INDEX(C_TIPO,MATCH(C102&amp;"-P"&amp;MAX(1,COUNTIFS(C_ID,C102,C_DEFINE,"Sí",C_INICIO,"&lt;="&amp;EOMONTH(B102,0))),C_CLAVE,0))&amp;"","Sin dato"))</f>
        <v/>
      </c>
      <c r="AB102" s="71" t="str">
        <f aca="false">IF(AH102="","",ROUND(MIN(K102,TOPE_AFP_UF*AJ102)*AK102,0))</f>
        <v/>
      </c>
      <c r="AC102" s="71" t="str">
        <f aca="false">IF(AH102="","",ROUND(MIN(K102,TOPE_AFC_UF*AJ102)*IF(AA102="Indefinido",AFC_EMP_INDEF,AFC_EMP_PF),0))</f>
        <v/>
      </c>
      <c r="AD102" s="71" t="str">
        <f aca="false">IF(AH102="","",ROUND(MIN(K102,TOPE_AFP_UF*AJ102)*(MUTUAL_BASICA+MUTUAL_ADIC+SANNA),0))</f>
        <v/>
      </c>
      <c r="AE102" s="71" t="str">
        <f aca="false">IF(AH102="","",P102-N(N102)+AB102+AC102+AD102)</f>
        <v/>
      </c>
      <c r="AF102" s="65"/>
      <c r="AG102" s="64"/>
      <c r="AH102" s="72" t="str">
        <f aca="false">IF(OR(B102="",C102=""),"",C102&amp;"|"&amp;(YEAR(B102)*100+MONTH(B102)))</f>
        <v/>
      </c>
      <c r="AI102" s="70" t="str">
        <f aca="false">IF(AH102="","",IF(COUNTIF(L_CLAVE,AH102)&gt;1,"⚠ Duplicado","OK"))</f>
        <v/>
      </c>
      <c r="AJ102" s="86" t="str">
        <f aca="false">IF(AH102="","",IF(SUMPRODUCT(MAX((IND_PER&lt;=B102)*(IND_UF&lt;&gt;"")*IND_PER))=0,UF_HOY,INDEX(IND_UF,MATCH(SUMPRODUCT(MAX((IND_PER&lt;=B102)*(IND_UF&lt;&gt;"")*IND_PER)),IND_PER,0))))</f>
        <v/>
      </c>
      <c r="AK102" s="87" t="str">
        <f aca="false">IF(AH102="","",IF(COUNTIF(TASA_DESDE,"&lt;="&amp;B102)=0,INDEX(TASA_EMP,1),INDEX(TASA_EMP,COUNTIF(TASA_DESDE,"&lt;="&amp;B102))))</f>
        <v/>
      </c>
    </row>
    <row r="103" customFormat="false" ht="15" hidden="false" customHeight="false" outlineLevel="0" collapsed="false">
      <c r="B103" s="78"/>
      <c r="C103" s="64"/>
      <c r="D103" s="72" t="str">
        <f aca="false">IF(C103="","",IFERROR(INDEX(T_NOMBRE,MATCH(C103,T_ID,0)),"⚠ ID no existe"))</f>
        <v/>
      </c>
      <c r="E103" s="69"/>
      <c r="F103" s="67"/>
      <c r="G103" s="67"/>
      <c r="H103" s="67"/>
      <c r="I103" s="67"/>
      <c r="J103" s="67"/>
      <c r="K103" s="85" t="str">
        <f aca="false">IF(AH103="","",N(F103)+N(G103)+N(H103)-N(I103)+N(J103))</f>
        <v/>
      </c>
      <c r="L103" s="67"/>
      <c r="M103" s="67"/>
      <c r="N103" s="67"/>
      <c r="O103" s="67"/>
      <c r="P103" s="85" t="str">
        <f aca="false">IF(AH103="","",K103+N(L103)+N(M103)+N(N103)+N(O103))</f>
        <v/>
      </c>
      <c r="Q103" s="67"/>
      <c r="R103" s="67"/>
      <c r="S103" s="67"/>
      <c r="T103" s="67"/>
      <c r="U103" s="67"/>
      <c r="V103" s="67"/>
      <c r="W103" s="85" t="str">
        <f aca="false">IF(AH103="","",N(Q103)+N(R103)+N(S103)+N(T103)+N(U103)+N(V103))</f>
        <v/>
      </c>
      <c r="X103" s="85" t="str">
        <f aca="false">IF(AH103="","",P103-W103)</f>
        <v/>
      </c>
      <c r="Y103" s="67"/>
      <c r="Z103" s="70" t="str">
        <f aca="false">IF(OR(AH103="",Y103=""),"",IF(ABS(X103-Y103)&lt;=1,"✓ Cuadra","⚠ Diferencia $"&amp;FIXED(X103-Y103,0)))</f>
        <v/>
      </c>
      <c r="AA103" s="72" t="str">
        <f aca="false">IF(AH103="","",IFERROR(INDEX(C_TIPO,MATCH(C103&amp;"-P"&amp;MAX(1,COUNTIFS(C_ID,C103,C_DEFINE,"Sí",C_INICIO,"&lt;="&amp;EOMONTH(B103,0))),C_CLAVE,0))&amp;"","Sin dato"))</f>
        <v/>
      </c>
      <c r="AB103" s="71" t="str">
        <f aca="false">IF(AH103="","",ROUND(MIN(K103,TOPE_AFP_UF*AJ103)*AK103,0))</f>
        <v/>
      </c>
      <c r="AC103" s="71" t="str">
        <f aca="false">IF(AH103="","",ROUND(MIN(K103,TOPE_AFC_UF*AJ103)*IF(AA103="Indefinido",AFC_EMP_INDEF,AFC_EMP_PF),0))</f>
        <v/>
      </c>
      <c r="AD103" s="71" t="str">
        <f aca="false">IF(AH103="","",ROUND(MIN(K103,TOPE_AFP_UF*AJ103)*(MUTUAL_BASICA+MUTUAL_ADIC+SANNA),0))</f>
        <v/>
      </c>
      <c r="AE103" s="71" t="str">
        <f aca="false">IF(AH103="","",P103-N(N103)+AB103+AC103+AD103)</f>
        <v/>
      </c>
      <c r="AF103" s="65"/>
      <c r="AG103" s="64"/>
      <c r="AH103" s="72" t="str">
        <f aca="false">IF(OR(B103="",C103=""),"",C103&amp;"|"&amp;(YEAR(B103)*100+MONTH(B103)))</f>
        <v/>
      </c>
      <c r="AI103" s="70" t="str">
        <f aca="false">IF(AH103="","",IF(COUNTIF(L_CLAVE,AH103)&gt;1,"⚠ Duplicado","OK"))</f>
        <v/>
      </c>
      <c r="AJ103" s="86" t="str">
        <f aca="false">IF(AH103="","",IF(SUMPRODUCT(MAX((IND_PER&lt;=B103)*(IND_UF&lt;&gt;"")*IND_PER))=0,UF_HOY,INDEX(IND_UF,MATCH(SUMPRODUCT(MAX((IND_PER&lt;=B103)*(IND_UF&lt;&gt;"")*IND_PER)),IND_PER,0))))</f>
        <v/>
      </c>
      <c r="AK103" s="87" t="str">
        <f aca="false">IF(AH103="","",IF(COUNTIF(TASA_DESDE,"&lt;="&amp;B103)=0,INDEX(TASA_EMP,1),INDEX(TASA_EMP,COUNTIF(TASA_DESDE,"&lt;="&amp;B103))))</f>
        <v/>
      </c>
    </row>
    <row r="104" customFormat="false" ht="15" hidden="false" customHeight="false" outlineLevel="0" collapsed="false">
      <c r="B104" s="78"/>
      <c r="C104" s="64"/>
      <c r="D104" s="72" t="str">
        <f aca="false">IF(C104="","",IFERROR(INDEX(T_NOMBRE,MATCH(C104,T_ID,0)),"⚠ ID no existe"))</f>
        <v/>
      </c>
      <c r="E104" s="69"/>
      <c r="F104" s="67"/>
      <c r="G104" s="67"/>
      <c r="H104" s="67"/>
      <c r="I104" s="67"/>
      <c r="J104" s="67"/>
      <c r="K104" s="85" t="str">
        <f aca="false">IF(AH104="","",N(F104)+N(G104)+N(H104)-N(I104)+N(J104))</f>
        <v/>
      </c>
      <c r="L104" s="67"/>
      <c r="M104" s="67"/>
      <c r="N104" s="67"/>
      <c r="O104" s="67"/>
      <c r="P104" s="85" t="str">
        <f aca="false">IF(AH104="","",K104+N(L104)+N(M104)+N(N104)+N(O104))</f>
        <v/>
      </c>
      <c r="Q104" s="67"/>
      <c r="R104" s="67"/>
      <c r="S104" s="67"/>
      <c r="T104" s="67"/>
      <c r="U104" s="67"/>
      <c r="V104" s="67"/>
      <c r="W104" s="85" t="str">
        <f aca="false">IF(AH104="","",N(Q104)+N(R104)+N(S104)+N(T104)+N(U104)+N(V104))</f>
        <v/>
      </c>
      <c r="X104" s="85" t="str">
        <f aca="false">IF(AH104="","",P104-W104)</f>
        <v/>
      </c>
      <c r="Y104" s="67"/>
      <c r="Z104" s="70" t="str">
        <f aca="false">IF(OR(AH104="",Y104=""),"",IF(ABS(X104-Y104)&lt;=1,"✓ Cuadra","⚠ Diferencia $"&amp;FIXED(X104-Y104,0)))</f>
        <v/>
      </c>
      <c r="AA104" s="72" t="str">
        <f aca="false">IF(AH104="","",IFERROR(INDEX(C_TIPO,MATCH(C104&amp;"-P"&amp;MAX(1,COUNTIFS(C_ID,C104,C_DEFINE,"Sí",C_INICIO,"&lt;="&amp;EOMONTH(B104,0))),C_CLAVE,0))&amp;"","Sin dato"))</f>
        <v/>
      </c>
      <c r="AB104" s="71" t="str">
        <f aca="false">IF(AH104="","",ROUND(MIN(K104,TOPE_AFP_UF*AJ104)*AK104,0))</f>
        <v/>
      </c>
      <c r="AC104" s="71" t="str">
        <f aca="false">IF(AH104="","",ROUND(MIN(K104,TOPE_AFC_UF*AJ104)*IF(AA104="Indefinido",AFC_EMP_INDEF,AFC_EMP_PF),0))</f>
        <v/>
      </c>
      <c r="AD104" s="71" t="str">
        <f aca="false">IF(AH104="","",ROUND(MIN(K104,TOPE_AFP_UF*AJ104)*(MUTUAL_BASICA+MUTUAL_ADIC+SANNA),0))</f>
        <v/>
      </c>
      <c r="AE104" s="71" t="str">
        <f aca="false">IF(AH104="","",P104-N(N104)+AB104+AC104+AD104)</f>
        <v/>
      </c>
      <c r="AF104" s="65"/>
      <c r="AG104" s="64"/>
      <c r="AH104" s="72" t="str">
        <f aca="false">IF(OR(B104="",C104=""),"",C104&amp;"|"&amp;(YEAR(B104)*100+MONTH(B104)))</f>
        <v/>
      </c>
      <c r="AI104" s="70" t="str">
        <f aca="false">IF(AH104="","",IF(COUNTIF(L_CLAVE,AH104)&gt;1,"⚠ Duplicado","OK"))</f>
        <v/>
      </c>
      <c r="AJ104" s="86" t="str">
        <f aca="false">IF(AH104="","",IF(SUMPRODUCT(MAX((IND_PER&lt;=B104)*(IND_UF&lt;&gt;"")*IND_PER))=0,UF_HOY,INDEX(IND_UF,MATCH(SUMPRODUCT(MAX((IND_PER&lt;=B104)*(IND_UF&lt;&gt;"")*IND_PER)),IND_PER,0))))</f>
        <v/>
      </c>
      <c r="AK104" s="87" t="str">
        <f aca="false">IF(AH104="","",IF(COUNTIF(TASA_DESDE,"&lt;="&amp;B104)=0,INDEX(TASA_EMP,1),INDEX(TASA_EMP,COUNTIF(TASA_DESDE,"&lt;="&amp;B104))))</f>
        <v/>
      </c>
    </row>
    <row r="105" customFormat="false" ht="15" hidden="false" customHeight="false" outlineLevel="0" collapsed="false">
      <c r="B105" s="78"/>
      <c r="C105" s="64"/>
      <c r="D105" s="72" t="str">
        <f aca="false">IF(C105="","",IFERROR(INDEX(T_NOMBRE,MATCH(C105,T_ID,0)),"⚠ ID no existe"))</f>
        <v/>
      </c>
      <c r="E105" s="69"/>
      <c r="F105" s="67"/>
      <c r="G105" s="67"/>
      <c r="H105" s="67"/>
      <c r="I105" s="67"/>
      <c r="J105" s="67"/>
      <c r="K105" s="85" t="str">
        <f aca="false">IF(AH105="","",N(F105)+N(G105)+N(H105)-N(I105)+N(J105))</f>
        <v/>
      </c>
      <c r="L105" s="67"/>
      <c r="M105" s="67"/>
      <c r="N105" s="67"/>
      <c r="O105" s="67"/>
      <c r="P105" s="85" t="str">
        <f aca="false">IF(AH105="","",K105+N(L105)+N(M105)+N(N105)+N(O105))</f>
        <v/>
      </c>
      <c r="Q105" s="67"/>
      <c r="R105" s="67"/>
      <c r="S105" s="67"/>
      <c r="T105" s="67"/>
      <c r="U105" s="67"/>
      <c r="V105" s="67"/>
      <c r="W105" s="85" t="str">
        <f aca="false">IF(AH105="","",N(Q105)+N(R105)+N(S105)+N(T105)+N(U105)+N(V105))</f>
        <v/>
      </c>
      <c r="X105" s="85" t="str">
        <f aca="false">IF(AH105="","",P105-W105)</f>
        <v/>
      </c>
      <c r="Y105" s="67"/>
      <c r="Z105" s="70" t="str">
        <f aca="false">IF(OR(AH105="",Y105=""),"",IF(ABS(X105-Y105)&lt;=1,"✓ Cuadra","⚠ Diferencia $"&amp;FIXED(X105-Y105,0)))</f>
        <v/>
      </c>
      <c r="AA105" s="72" t="str">
        <f aca="false">IF(AH105="","",IFERROR(INDEX(C_TIPO,MATCH(C105&amp;"-P"&amp;MAX(1,COUNTIFS(C_ID,C105,C_DEFINE,"Sí",C_INICIO,"&lt;="&amp;EOMONTH(B105,0))),C_CLAVE,0))&amp;"","Sin dato"))</f>
        <v/>
      </c>
      <c r="AB105" s="71" t="str">
        <f aca="false">IF(AH105="","",ROUND(MIN(K105,TOPE_AFP_UF*AJ105)*AK105,0))</f>
        <v/>
      </c>
      <c r="AC105" s="71" t="str">
        <f aca="false">IF(AH105="","",ROUND(MIN(K105,TOPE_AFC_UF*AJ105)*IF(AA105="Indefinido",AFC_EMP_INDEF,AFC_EMP_PF),0))</f>
        <v/>
      </c>
      <c r="AD105" s="71" t="str">
        <f aca="false">IF(AH105="","",ROUND(MIN(K105,TOPE_AFP_UF*AJ105)*(MUTUAL_BASICA+MUTUAL_ADIC+SANNA),0))</f>
        <v/>
      </c>
      <c r="AE105" s="71" t="str">
        <f aca="false">IF(AH105="","",P105-N(N105)+AB105+AC105+AD105)</f>
        <v/>
      </c>
      <c r="AF105" s="65"/>
      <c r="AG105" s="64"/>
      <c r="AH105" s="72" t="str">
        <f aca="false">IF(OR(B105="",C105=""),"",C105&amp;"|"&amp;(YEAR(B105)*100+MONTH(B105)))</f>
        <v/>
      </c>
      <c r="AI105" s="70" t="str">
        <f aca="false">IF(AH105="","",IF(COUNTIF(L_CLAVE,AH105)&gt;1,"⚠ Duplicado","OK"))</f>
        <v/>
      </c>
      <c r="AJ105" s="86" t="str">
        <f aca="false">IF(AH105="","",IF(SUMPRODUCT(MAX((IND_PER&lt;=B105)*(IND_UF&lt;&gt;"")*IND_PER))=0,UF_HOY,INDEX(IND_UF,MATCH(SUMPRODUCT(MAX((IND_PER&lt;=B105)*(IND_UF&lt;&gt;"")*IND_PER)),IND_PER,0))))</f>
        <v/>
      </c>
      <c r="AK105" s="87" t="str">
        <f aca="false">IF(AH105="","",IF(COUNTIF(TASA_DESDE,"&lt;="&amp;B105)=0,INDEX(TASA_EMP,1),INDEX(TASA_EMP,COUNTIF(TASA_DESDE,"&lt;="&amp;B105))))</f>
        <v/>
      </c>
    </row>
    <row r="106" customFormat="false" ht="15" hidden="false" customHeight="false" outlineLevel="0" collapsed="false">
      <c r="B106" s="78"/>
      <c r="C106" s="64"/>
      <c r="D106" s="72" t="str">
        <f aca="false">IF(C106="","",IFERROR(INDEX(T_NOMBRE,MATCH(C106,T_ID,0)),"⚠ ID no existe"))</f>
        <v/>
      </c>
      <c r="E106" s="69"/>
      <c r="F106" s="67"/>
      <c r="G106" s="67"/>
      <c r="H106" s="67"/>
      <c r="I106" s="67"/>
      <c r="J106" s="67"/>
      <c r="K106" s="85" t="str">
        <f aca="false">IF(AH106="","",N(F106)+N(G106)+N(H106)-N(I106)+N(J106))</f>
        <v/>
      </c>
      <c r="L106" s="67"/>
      <c r="M106" s="67"/>
      <c r="N106" s="67"/>
      <c r="O106" s="67"/>
      <c r="P106" s="85" t="str">
        <f aca="false">IF(AH106="","",K106+N(L106)+N(M106)+N(N106)+N(O106))</f>
        <v/>
      </c>
      <c r="Q106" s="67"/>
      <c r="R106" s="67"/>
      <c r="S106" s="67"/>
      <c r="T106" s="67"/>
      <c r="U106" s="67"/>
      <c r="V106" s="67"/>
      <c r="W106" s="85" t="str">
        <f aca="false">IF(AH106="","",N(Q106)+N(R106)+N(S106)+N(T106)+N(U106)+N(V106))</f>
        <v/>
      </c>
      <c r="X106" s="85" t="str">
        <f aca="false">IF(AH106="","",P106-W106)</f>
        <v/>
      </c>
      <c r="Y106" s="67"/>
      <c r="Z106" s="70" t="str">
        <f aca="false">IF(OR(AH106="",Y106=""),"",IF(ABS(X106-Y106)&lt;=1,"✓ Cuadra","⚠ Diferencia $"&amp;FIXED(X106-Y106,0)))</f>
        <v/>
      </c>
      <c r="AA106" s="72" t="str">
        <f aca="false">IF(AH106="","",IFERROR(INDEX(C_TIPO,MATCH(C106&amp;"-P"&amp;MAX(1,COUNTIFS(C_ID,C106,C_DEFINE,"Sí",C_INICIO,"&lt;="&amp;EOMONTH(B106,0))),C_CLAVE,0))&amp;"","Sin dato"))</f>
        <v/>
      </c>
      <c r="AB106" s="71" t="str">
        <f aca="false">IF(AH106="","",ROUND(MIN(K106,TOPE_AFP_UF*AJ106)*AK106,0))</f>
        <v/>
      </c>
      <c r="AC106" s="71" t="str">
        <f aca="false">IF(AH106="","",ROUND(MIN(K106,TOPE_AFC_UF*AJ106)*IF(AA106="Indefinido",AFC_EMP_INDEF,AFC_EMP_PF),0))</f>
        <v/>
      </c>
      <c r="AD106" s="71" t="str">
        <f aca="false">IF(AH106="","",ROUND(MIN(K106,TOPE_AFP_UF*AJ106)*(MUTUAL_BASICA+MUTUAL_ADIC+SANNA),0))</f>
        <v/>
      </c>
      <c r="AE106" s="71" t="str">
        <f aca="false">IF(AH106="","",P106-N(N106)+AB106+AC106+AD106)</f>
        <v/>
      </c>
      <c r="AF106" s="65"/>
      <c r="AG106" s="64"/>
      <c r="AH106" s="72" t="str">
        <f aca="false">IF(OR(B106="",C106=""),"",C106&amp;"|"&amp;(YEAR(B106)*100+MONTH(B106)))</f>
        <v/>
      </c>
      <c r="AI106" s="70" t="str">
        <f aca="false">IF(AH106="","",IF(COUNTIF(L_CLAVE,AH106)&gt;1,"⚠ Duplicado","OK"))</f>
        <v/>
      </c>
      <c r="AJ106" s="86" t="str">
        <f aca="false">IF(AH106="","",IF(SUMPRODUCT(MAX((IND_PER&lt;=B106)*(IND_UF&lt;&gt;"")*IND_PER))=0,UF_HOY,INDEX(IND_UF,MATCH(SUMPRODUCT(MAX((IND_PER&lt;=B106)*(IND_UF&lt;&gt;"")*IND_PER)),IND_PER,0))))</f>
        <v/>
      </c>
      <c r="AK106" s="87" t="str">
        <f aca="false">IF(AH106="","",IF(COUNTIF(TASA_DESDE,"&lt;="&amp;B106)=0,INDEX(TASA_EMP,1),INDEX(TASA_EMP,COUNTIF(TASA_DESDE,"&lt;="&amp;B106))))</f>
        <v/>
      </c>
    </row>
    <row r="107" customFormat="false" ht="15" hidden="false" customHeight="false" outlineLevel="0" collapsed="false">
      <c r="B107" s="78"/>
      <c r="C107" s="64"/>
      <c r="D107" s="72" t="str">
        <f aca="false">IF(C107="","",IFERROR(INDEX(T_NOMBRE,MATCH(C107,T_ID,0)),"⚠ ID no existe"))</f>
        <v/>
      </c>
      <c r="E107" s="69"/>
      <c r="F107" s="67"/>
      <c r="G107" s="67"/>
      <c r="H107" s="67"/>
      <c r="I107" s="67"/>
      <c r="J107" s="67"/>
      <c r="K107" s="85" t="str">
        <f aca="false">IF(AH107="","",N(F107)+N(G107)+N(H107)-N(I107)+N(J107))</f>
        <v/>
      </c>
      <c r="L107" s="67"/>
      <c r="M107" s="67"/>
      <c r="N107" s="67"/>
      <c r="O107" s="67"/>
      <c r="P107" s="85" t="str">
        <f aca="false">IF(AH107="","",K107+N(L107)+N(M107)+N(N107)+N(O107))</f>
        <v/>
      </c>
      <c r="Q107" s="67"/>
      <c r="R107" s="67"/>
      <c r="S107" s="67"/>
      <c r="T107" s="67"/>
      <c r="U107" s="67"/>
      <c r="V107" s="67"/>
      <c r="W107" s="85" t="str">
        <f aca="false">IF(AH107="","",N(Q107)+N(R107)+N(S107)+N(T107)+N(U107)+N(V107))</f>
        <v/>
      </c>
      <c r="X107" s="85" t="str">
        <f aca="false">IF(AH107="","",P107-W107)</f>
        <v/>
      </c>
      <c r="Y107" s="67"/>
      <c r="Z107" s="70" t="str">
        <f aca="false">IF(OR(AH107="",Y107=""),"",IF(ABS(X107-Y107)&lt;=1,"✓ Cuadra","⚠ Diferencia $"&amp;FIXED(X107-Y107,0)))</f>
        <v/>
      </c>
      <c r="AA107" s="72" t="str">
        <f aca="false">IF(AH107="","",IFERROR(INDEX(C_TIPO,MATCH(C107&amp;"-P"&amp;MAX(1,COUNTIFS(C_ID,C107,C_DEFINE,"Sí",C_INICIO,"&lt;="&amp;EOMONTH(B107,0))),C_CLAVE,0))&amp;"","Sin dato"))</f>
        <v/>
      </c>
      <c r="AB107" s="71" t="str">
        <f aca="false">IF(AH107="","",ROUND(MIN(K107,TOPE_AFP_UF*AJ107)*AK107,0))</f>
        <v/>
      </c>
      <c r="AC107" s="71" t="str">
        <f aca="false">IF(AH107="","",ROUND(MIN(K107,TOPE_AFC_UF*AJ107)*IF(AA107="Indefinido",AFC_EMP_INDEF,AFC_EMP_PF),0))</f>
        <v/>
      </c>
      <c r="AD107" s="71" t="str">
        <f aca="false">IF(AH107="","",ROUND(MIN(K107,TOPE_AFP_UF*AJ107)*(MUTUAL_BASICA+MUTUAL_ADIC+SANNA),0))</f>
        <v/>
      </c>
      <c r="AE107" s="71" t="str">
        <f aca="false">IF(AH107="","",P107-N(N107)+AB107+AC107+AD107)</f>
        <v/>
      </c>
      <c r="AF107" s="65"/>
      <c r="AG107" s="64"/>
      <c r="AH107" s="72" t="str">
        <f aca="false">IF(OR(B107="",C107=""),"",C107&amp;"|"&amp;(YEAR(B107)*100+MONTH(B107)))</f>
        <v/>
      </c>
      <c r="AI107" s="70" t="str">
        <f aca="false">IF(AH107="","",IF(COUNTIF(L_CLAVE,AH107)&gt;1,"⚠ Duplicado","OK"))</f>
        <v/>
      </c>
      <c r="AJ107" s="86" t="str">
        <f aca="false">IF(AH107="","",IF(SUMPRODUCT(MAX((IND_PER&lt;=B107)*(IND_UF&lt;&gt;"")*IND_PER))=0,UF_HOY,INDEX(IND_UF,MATCH(SUMPRODUCT(MAX((IND_PER&lt;=B107)*(IND_UF&lt;&gt;"")*IND_PER)),IND_PER,0))))</f>
        <v/>
      </c>
      <c r="AK107" s="87" t="str">
        <f aca="false">IF(AH107="","",IF(COUNTIF(TASA_DESDE,"&lt;="&amp;B107)=0,INDEX(TASA_EMP,1),INDEX(TASA_EMP,COUNTIF(TASA_DESDE,"&lt;="&amp;B107))))</f>
        <v/>
      </c>
    </row>
    <row r="108" customFormat="false" ht="15" hidden="false" customHeight="false" outlineLevel="0" collapsed="false">
      <c r="B108" s="78"/>
      <c r="C108" s="64"/>
      <c r="D108" s="72" t="str">
        <f aca="false">IF(C108="","",IFERROR(INDEX(T_NOMBRE,MATCH(C108,T_ID,0)),"⚠ ID no existe"))</f>
        <v/>
      </c>
      <c r="E108" s="69"/>
      <c r="F108" s="67"/>
      <c r="G108" s="67"/>
      <c r="H108" s="67"/>
      <c r="I108" s="67"/>
      <c r="J108" s="67"/>
      <c r="K108" s="85" t="str">
        <f aca="false">IF(AH108="","",N(F108)+N(G108)+N(H108)-N(I108)+N(J108))</f>
        <v/>
      </c>
      <c r="L108" s="67"/>
      <c r="M108" s="67"/>
      <c r="N108" s="67"/>
      <c r="O108" s="67"/>
      <c r="P108" s="85" t="str">
        <f aca="false">IF(AH108="","",K108+N(L108)+N(M108)+N(N108)+N(O108))</f>
        <v/>
      </c>
      <c r="Q108" s="67"/>
      <c r="R108" s="67"/>
      <c r="S108" s="67"/>
      <c r="T108" s="67"/>
      <c r="U108" s="67"/>
      <c r="V108" s="67"/>
      <c r="W108" s="85" t="str">
        <f aca="false">IF(AH108="","",N(Q108)+N(R108)+N(S108)+N(T108)+N(U108)+N(V108))</f>
        <v/>
      </c>
      <c r="X108" s="85" t="str">
        <f aca="false">IF(AH108="","",P108-W108)</f>
        <v/>
      </c>
      <c r="Y108" s="67"/>
      <c r="Z108" s="70" t="str">
        <f aca="false">IF(OR(AH108="",Y108=""),"",IF(ABS(X108-Y108)&lt;=1,"✓ Cuadra","⚠ Diferencia $"&amp;FIXED(X108-Y108,0)))</f>
        <v/>
      </c>
      <c r="AA108" s="72" t="str">
        <f aca="false">IF(AH108="","",IFERROR(INDEX(C_TIPO,MATCH(C108&amp;"-P"&amp;MAX(1,COUNTIFS(C_ID,C108,C_DEFINE,"Sí",C_INICIO,"&lt;="&amp;EOMONTH(B108,0))),C_CLAVE,0))&amp;"","Sin dato"))</f>
        <v/>
      </c>
      <c r="AB108" s="71" t="str">
        <f aca="false">IF(AH108="","",ROUND(MIN(K108,TOPE_AFP_UF*AJ108)*AK108,0))</f>
        <v/>
      </c>
      <c r="AC108" s="71" t="str">
        <f aca="false">IF(AH108="","",ROUND(MIN(K108,TOPE_AFC_UF*AJ108)*IF(AA108="Indefinido",AFC_EMP_INDEF,AFC_EMP_PF),0))</f>
        <v/>
      </c>
      <c r="AD108" s="71" t="str">
        <f aca="false">IF(AH108="","",ROUND(MIN(K108,TOPE_AFP_UF*AJ108)*(MUTUAL_BASICA+MUTUAL_ADIC+SANNA),0))</f>
        <v/>
      </c>
      <c r="AE108" s="71" t="str">
        <f aca="false">IF(AH108="","",P108-N(N108)+AB108+AC108+AD108)</f>
        <v/>
      </c>
      <c r="AF108" s="65"/>
      <c r="AG108" s="64"/>
      <c r="AH108" s="72" t="str">
        <f aca="false">IF(OR(B108="",C108=""),"",C108&amp;"|"&amp;(YEAR(B108)*100+MONTH(B108)))</f>
        <v/>
      </c>
      <c r="AI108" s="70" t="str">
        <f aca="false">IF(AH108="","",IF(COUNTIF(L_CLAVE,AH108)&gt;1,"⚠ Duplicado","OK"))</f>
        <v/>
      </c>
      <c r="AJ108" s="86" t="str">
        <f aca="false">IF(AH108="","",IF(SUMPRODUCT(MAX((IND_PER&lt;=B108)*(IND_UF&lt;&gt;"")*IND_PER))=0,UF_HOY,INDEX(IND_UF,MATCH(SUMPRODUCT(MAX((IND_PER&lt;=B108)*(IND_UF&lt;&gt;"")*IND_PER)),IND_PER,0))))</f>
        <v/>
      </c>
      <c r="AK108" s="87" t="str">
        <f aca="false">IF(AH108="","",IF(COUNTIF(TASA_DESDE,"&lt;="&amp;B108)=0,INDEX(TASA_EMP,1),INDEX(TASA_EMP,COUNTIF(TASA_DESDE,"&lt;="&amp;B108))))</f>
        <v/>
      </c>
    </row>
    <row r="109" customFormat="false" ht="15" hidden="false" customHeight="false" outlineLevel="0" collapsed="false">
      <c r="B109" s="78"/>
      <c r="C109" s="64"/>
      <c r="D109" s="72" t="str">
        <f aca="false">IF(C109="","",IFERROR(INDEX(T_NOMBRE,MATCH(C109,T_ID,0)),"⚠ ID no existe"))</f>
        <v/>
      </c>
      <c r="E109" s="69"/>
      <c r="F109" s="67"/>
      <c r="G109" s="67"/>
      <c r="H109" s="67"/>
      <c r="I109" s="67"/>
      <c r="J109" s="67"/>
      <c r="K109" s="85" t="str">
        <f aca="false">IF(AH109="","",N(F109)+N(G109)+N(H109)-N(I109)+N(J109))</f>
        <v/>
      </c>
      <c r="L109" s="67"/>
      <c r="M109" s="67"/>
      <c r="N109" s="67"/>
      <c r="O109" s="67"/>
      <c r="P109" s="85" t="str">
        <f aca="false">IF(AH109="","",K109+N(L109)+N(M109)+N(N109)+N(O109))</f>
        <v/>
      </c>
      <c r="Q109" s="67"/>
      <c r="R109" s="67"/>
      <c r="S109" s="67"/>
      <c r="T109" s="67"/>
      <c r="U109" s="67"/>
      <c r="V109" s="67"/>
      <c r="W109" s="85" t="str">
        <f aca="false">IF(AH109="","",N(Q109)+N(R109)+N(S109)+N(T109)+N(U109)+N(V109))</f>
        <v/>
      </c>
      <c r="X109" s="85" t="str">
        <f aca="false">IF(AH109="","",P109-W109)</f>
        <v/>
      </c>
      <c r="Y109" s="67"/>
      <c r="Z109" s="70" t="str">
        <f aca="false">IF(OR(AH109="",Y109=""),"",IF(ABS(X109-Y109)&lt;=1,"✓ Cuadra","⚠ Diferencia $"&amp;FIXED(X109-Y109,0)))</f>
        <v/>
      </c>
      <c r="AA109" s="72" t="str">
        <f aca="false">IF(AH109="","",IFERROR(INDEX(C_TIPO,MATCH(C109&amp;"-P"&amp;MAX(1,COUNTIFS(C_ID,C109,C_DEFINE,"Sí",C_INICIO,"&lt;="&amp;EOMONTH(B109,0))),C_CLAVE,0))&amp;"","Sin dato"))</f>
        <v/>
      </c>
      <c r="AB109" s="71" t="str">
        <f aca="false">IF(AH109="","",ROUND(MIN(K109,TOPE_AFP_UF*AJ109)*AK109,0))</f>
        <v/>
      </c>
      <c r="AC109" s="71" t="str">
        <f aca="false">IF(AH109="","",ROUND(MIN(K109,TOPE_AFC_UF*AJ109)*IF(AA109="Indefinido",AFC_EMP_INDEF,AFC_EMP_PF),0))</f>
        <v/>
      </c>
      <c r="AD109" s="71" t="str">
        <f aca="false">IF(AH109="","",ROUND(MIN(K109,TOPE_AFP_UF*AJ109)*(MUTUAL_BASICA+MUTUAL_ADIC+SANNA),0))</f>
        <v/>
      </c>
      <c r="AE109" s="71" t="str">
        <f aca="false">IF(AH109="","",P109-N(N109)+AB109+AC109+AD109)</f>
        <v/>
      </c>
      <c r="AF109" s="65"/>
      <c r="AG109" s="64"/>
      <c r="AH109" s="72" t="str">
        <f aca="false">IF(OR(B109="",C109=""),"",C109&amp;"|"&amp;(YEAR(B109)*100+MONTH(B109)))</f>
        <v/>
      </c>
      <c r="AI109" s="70" t="str">
        <f aca="false">IF(AH109="","",IF(COUNTIF(L_CLAVE,AH109)&gt;1,"⚠ Duplicado","OK"))</f>
        <v/>
      </c>
      <c r="AJ109" s="86" t="str">
        <f aca="false">IF(AH109="","",IF(SUMPRODUCT(MAX((IND_PER&lt;=B109)*(IND_UF&lt;&gt;"")*IND_PER))=0,UF_HOY,INDEX(IND_UF,MATCH(SUMPRODUCT(MAX((IND_PER&lt;=B109)*(IND_UF&lt;&gt;"")*IND_PER)),IND_PER,0))))</f>
        <v/>
      </c>
      <c r="AK109" s="87" t="str">
        <f aca="false">IF(AH109="","",IF(COUNTIF(TASA_DESDE,"&lt;="&amp;B109)=0,INDEX(TASA_EMP,1),INDEX(TASA_EMP,COUNTIF(TASA_DESDE,"&lt;="&amp;B109))))</f>
        <v/>
      </c>
    </row>
    <row r="110" customFormat="false" ht="15" hidden="false" customHeight="false" outlineLevel="0" collapsed="false">
      <c r="B110" s="78"/>
      <c r="C110" s="64"/>
      <c r="D110" s="72" t="str">
        <f aca="false">IF(C110="","",IFERROR(INDEX(T_NOMBRE,MATCH(C110,T_ID,0)),"⚠ ID no existe"))</f>
        <v/>
      </c>
      <c r="E110" s="69"/>
      <c r="F110" s="67"/>
      <c r="G110" s="67"/>
      <c r="H110" s="67"/>
      <c r="I110" s="67"/>
      <c r="J110" s="67"/>
      <c r="K110" s="85" t="str">
        <f aca="false">IF(AH110="","",N(F110)+N(G110)+N(H110)-N(I110)+N(J110))</f>
        <v/>
      </c>
      <c r="L110" s="67"/>
      <c r="M110" s="67"/>
      <c r="N110" s="67"/>
      <c r="O110" s="67"/>
      <c r="P110" s="85" t="str">
        <f aca="false">IF(AH110="","",K110+N(L110)+N(M110)+N(N110)+N(O110))</f>
        <v/>
      </c>
      <c r="Q110" s="67"/>
      <c r="R110" s="67"/>
      <c r="S110" s="67"/>
      <c r="T110" s="67"/>
      <c r="U110" s="67"/>
      <c r="V110" s="67"/>
      <c r="W110" s="85" t="str">
        <f aca="false">IF(AH110="","",N(Q110)+N(R110)+N(S110)+N(T110)+N(U110)+N(V110))</f>
        <v/>
      </c>
      <c r="X110" s="85" t="str">
        <f aca="false">IF(AH110="","",P110-W110)</f>
        <v/>
      </c>
      <c r="Y110" s="67"/>
      <c r="Z110" s="70" t="str">
        <f aca="false">IF(OR(AH110="",Y110=""),"",IF(ABS(X110-Y110)&lt;=1,"✓ Cuadra","⚠ Diferencia $"&amp;FIXED(X110-Y110,0)))</f>
        <v/>
      </c>
      <c r="AA110" s="72" t="str">
        <f aca="false">IF(AH110="","",IFERROR(INDEX(C_TIPO,MATCH(C110&amp;"-P"&amp;MAX(1,COUNTIFS(C_ID,C110,C_DEFINE,"Sí",C_INICIO,"&lt;="&amp;EOMONTH(B110,0))),C_CLAVE,0))&amp;"","Sin dato"))</f>
        <v/>
      </c>
      <c r="AB110" s="71" t="str">
        <f aca="false">IF(AH110="","",ROUND(MIN(K110,TOPE_AFP_UF*AJ110)*AK110,0))</f>
        <v/>
      </c>
      <c r="AC110" s="71" t="str">
        <f aca="false">IF(AH110="","",ROUND(MIN(K110,TOPE_AFC_UF*AJ110)*IF(AA110="Indefinido",AFC_EMP_INDEF,AFC_EMP_PF),0))</f>
        <v/>
      </c>
      <c r="AD110" s="71" t="str">
        <f aca="false">IF(AH110="","",ROUND(MIN(K110,TOPE_AFP_UF*AJ110)*(MUTUAL_BASICA+MUTUAL_ADIC+SANNA),0))</f>
        <v/>
      </c>
      <c r="AE110" s="71" t="str">
        <f aca="false">IF(AH110="","",P110-N(N110)+AB110+AC110+AD110)</f>
        <v/>
      </c>
      <c r="AF110" s="65"/>
      <c r="AG110" s="64"/>
      <c r="AH110" s="72" t="str">
        <f aca="false">IF(OR(B110="",C110=""),"",C110&amp;"|"&amp;(YEAR(B110)*100+MONTH(B110)))</f>
        <v/>
      </c>
      <c r="AI110" s="70" t="str">
        <f aca="false">IF(AH110="","",IF(COUNTIF(L_CLAVE,AH110)&gt;1,"⚠ Duplicado","OK"))</f>
        <v/>
      </c>
      <c r="AJ110" s="86" t="str">
        <f aca="false">IF(AH110="","",IF(SUMPRODUCT(MAX((IND_PER&lt;=B110)*(IND_UF&lt;&gt;"")*IND_PER))=0,UF_HOY,INDEX(IND_UF,MATCH(SUMPRODUCT(MAX((IND_PER&lt;=B110)*(IND_UF&lt;&gt;"")*IND_PER)),IND_PER,0))))</f>
        <v/>
      </c>
      <c r="AK110" s="87" t="str">
        <f aca="false">IF(AH110="","",IF(COUNTIF(TASA_DESDE,"&lt;="&amp;B110)=0,INDEX(TASA_EMP,1),INDEX(TASA_EMP,COUNTIF(TASA_DESDE,"&lt;="&amp;B110))))</f>
        <v/>
      </c>
    </row>
    <row r="111" customFormat="false" ht="15" hidden="false" customHeight="false" outlineLevel="0" collapsed="false">
      <c r="B111" s="78"/>
      <c r="C111" s="64"/>
      <c r="D111" s="72" t="str">
        <f aca="false">IF(C111="","",IFERROR(INDEX(T_NOMBRE,MATCH(C111,T_ID,0)),"⚠ ID no existe"))</f>
        <v/>
      </c>
      <c r="E111" s="69"/>
      <c r="F111" s="67"/>
      <c r="G111" s="67"/>
      <c r="H111" s="67"/>
      <c r="I111" s="67"/>
      <c r="J111" s="67"/>
      <c r="K111" s="85" t="str">
        <f aca="false">IF(AH111="","",N(F111)+N(G111)+N(H111)-N(I111)+N(J111))</f>
        <v/>
      </c>
      <c r="L111" s="67"/>
      <c r="M111" s="67"/>
      <c r="N111" s="67"/>
      <c r="O111" s="67"/>
      <c r="P111" s="85" t="str">
        <f aca="false">IF(AH111="","",K111+N(L111)+N(M111)+N(N111)+N(O111))</f>
        <v/>
      </c>
      <c r="Q111" s="67"/>
      <c r="R111" s="67"/>
      <c r="S111" s="67"/>
      <c r="T111" s="67"/>
      <c r="U111" s="67"/>
      <c r="V111" s="67"/>
      <c r="W111" s="85" t="str">
        <f aca="false">IF(AH111="","",N(Q111)+N(R111)+N(S111)+N(T111)+N(U111)+N(V111))</f>
        <v/>
      </c>
      <c r="X111" s="85" t="str">
        <f aca="false">IF(AH111="","",P111-W111)</f>
        <v/>
      </c>
      <c r="Y111" s="67"/>
      <c r="Z111" s="70" t="str">
        <f aca="false">IF(OR(AH111="",Y111=""),"",IF(ABS(X111-Y111)&lt;=1,"✓ Cuadra","⚠ Diferencia $"&amp;FIXED(X111-Y111,0)))</f>
        <v/>
      </c>
      <c r="AA111" s="72" t="str">
        <f aca="false">IF(AH111="","",IFERROR(INDEX(C_TIPO,MATCH(C111&amp;"-P"&amp;MAX(1,COUNTIFS(C_ID,C111,C_DEFINE,"Sí",C_INICIO,"&lt;="&amp;EOMONTH(B111,0))),C_CLAVE,0))&amp;"","Sin dato"))</f>
        <v/>
      </c>
      <c r="AB111" s="71" t="str">
        <f aca="false">IF(AH111="","",ROUND(MIN(K111,TOPE_AFP_UF*AJ111)*AK111,0))</f>
        <v/>
      </c>
      <c r="AC111" s="71" t="str">
        <f aca="false">IF(AH111="","",ROUND(MIN(K111,TOPE_AFC_UF*AJ111)*IF(AA111="Indefinido",AFC_EMP_INDEF,AFC_EMP_PF),0))</f>
        <v/>
      </c>
      <c r="AD111" s="71" t="str">
        <f aca="false">IF(AH111="","",ROUND(MIN(K111,TOPE_AFP_UF*AJ111)*(MUTUAL_BASICA+MUTUAL_ADIC+SANNA),0))</f>
        <v/>
      </c>
      <c r="AE111" s="71" t="str">
        <f aca="false">IF(AH111="","",P111-N(N111)+AB111+AC111+AD111)</f>
        <v/>
      </c>
      <c r="AF111" s="65"/>
      <c r="AG111" s="64"/>
      <c r="AH111" s="72" t="str">
        <f aca="false">IF(OR(B111="",C111=""),"",C111&amp;"|"&amp;(YEAR(B111)*100+MONTH(B111)))</f>
        <v/>
      </c>
      <c r="AI111" s="70" t="str">
        <f aca="false">IF(AH111="","",IF(COUNTIF(L_CLAVE,AH111)&gt;1,"⚠ Duplicado","OK"))</f>
        <v/>
      </c>
      <c r="AJ111" s="86" t="str">
        <f aca="false">IF(AH111="","",IF(SUMPRODUCT(MAX((IND_PER&lt;=B111)*(IND_UF&lt;&gt;"")*IND_PER))=0,UF_HOY,INDEX(IND_UF,MATCH(SUMPRODUCT(MAX((IND_PER&lt;=B111)*(IND_UF&lt;&gt;"")*IND_PER)),IND_PER,0))))</f>
        <v/>
      </c>
      <c r="AK111" s="87" t="str">
        <f aca="false">IF(AH111="","",IF(COUNTIF(TASA_DESDE,"&lt;="&amp;B111)=0,INDEX(TASA_EMP,1),INDEX(TASA_EMP,COUNTIF(TASA_DESDE,"&lt;="&amp;B111))))</f>
        <v/>
      </c>
    </row>
    <row r="112" customFormat="false" ht="15" hidden="false" customHeight="false" outlineLevel="0" collapsed="false">
      <c r="B112" s="78"/>
      <c r="C112" s="64"/>
      <c r="D112" s="72" t="str">
        <f aca="false">IF(C112="","",IFERROR(INDEX(T_NOMBRE,MATCH(C112,T_ID,0)),"⚠ ID no existe"))</f>
        <v/>
      </c>
      <c r="E112" s="69"/>
      <c r="F112" s="67"/>
      <c r="G112" s="67"/>
      <c r="H112" s="67"/>
      <c r="I112" s="67"/>
      <c r="J112" s="67"/>
      <c r="K112" s="85" t="str">
        <f aca="false">IF(AH112="","",N(F112)+N(G112)+N(H112)-N(I112)+N(J112))</f>
        <v/>
      </c>
      <c r="L112" s="67"/>
      <c r="M112" s="67"/>
      <c r="N112" s="67"/>
      <c r="O112" s="67"/>
      <c r="P112" s="85" t="str">
        <f aca="false">IF(AH112="","",K112+N(L112)+N(M112)+N(N112)+N(O112))</f>
        <v/>
      </c>
      <c r="Q112" s="67"/>
      <c r="R112" s="67"/>
      <c r="S112" s="67"/>
      <c r="T112" s="67"/>
      <c r="U112" s="67"/>
      <c r="V112" s="67"/>
      <c r="W112" s="85" t="str">
        <f aca="false">IF(AH112="","",N(Q112)+N(R112)+N(S112)+N(T112)+N(U112)+N(V112))</f>
        <v/>
      </c>
      <c r="X112" s="85" t="str">
        <f aca="false">IF(AH112="","",P112-W112)</f>
        <v/>
      </c>
      <c r="Y112" s="67"/>
      <c r="Z112" s="70" t="str">
        <f aca="false">IF(OR(AH112="",Y112=""),"",IF(ABS(X112-Y112)&lt;=1,"✓ Cuadra","⚠ Diferencia $"&amp;FIXED(X112-Y112,0)))</f>
        <v/>
      </c>
      <c r="AA112" s="72" t="str">
        <f aca="false">IF(AH112="","",IFERROR(INDEX(C_TIPO,MATCH(C112&amp;"-P"&amp;MAX(1,COUNTIFS(C_ID,C112,C_DEFINE,"Sí",C_INICIO,"&lt;="&amp;EOMONTH(B112,0))),C_CLAVE,0))&amp;"","Sin dato"))</f>
        <v/>
      </c>
      <c r="AB112" s="71" t="str">
        <f aca="false">IF(AH112="","",ROUND(MIN(K112,TOPE_AFP_UF*AJ112)*AK112,0))</f>
        <v/>
      </c>
      <c r="AC112" s="71" t="str">
        <f aca="false">IF(AH112="","",ROUND(MIN(K112,TOPE_AFC_UF*AJ112)*IF(AA112="Indefinido",AFC_EMP_INDEF,AFC_EMP_PF),0))</f>
        <v/>
      </c>
      <c r="AD112" s="71" t="str">
        <f aca="false">IF(AH112="","",ROUND(MIN(K112,TOPE_AFP_UF*AJ112)*(MUTUAL_BASICA+MUTUAL_ADIC+SANNA),0))</f>
        <v/>
      </c>
      <c r="AE112" s="71" t="str">
        <f aca="false">IF(AH112="","",P112-N(N112)+AB112+AC112+AD112)</f>
        <v/>
      </c>
      <c r="AF112" s="65"/>
      <c r="AG112" s="64"/>
      <c r="AH112" s="72" t="str">
        <f aca="false">IF(OR(B112="",C112=""),"",C112&amp;"|"&amp;(YEAR(B112)*100+MONTH(B112)))</f>
        <v/>
      </c>
      <c r="AI112" s="70" t="str">
        <f aca="false">IF(AH112="","",IF(COUNTIF(L_CLAVE,AH112)&gt;1,"⚠ Duplicado","OK"))</f>
        <v/>
      </c>
      <c r="AJ112" s="86" t="str">
        <f aca="false">IF(AH112="","",IF(SUMPRODUCT(MAX((IND_PER&lt;=B112)*(IND_UF&lt;&gt;"")*IND_PER))=0,UF_HOY,INDEX(IND_UF,MATCH(SUMPRODUCT(MAX((IND_PER&lt;=B112)*(IND_UF&lt;&gt;"")*IND_PER)),IND_PER,0))))</f>
        <v/>
      </c>
      <c r="AK112" s="87" t="str">
        <f aca="false">IF(AH112="","",IF(COUNTIF(TASA_DESDE,"&lt;="&amp;B112)=0,INDEX(TASA_EMP,1),INDEX(TASA_EMP,COUNTIF(TASA_DESDE,"&lt;="&amp;B112))))</f>
        <v/>
      </c>
    </row>
    <row r="113" customFormat="false" ht="15" hidden="false" customHeight="false" outlineLevel="0" collapsed="false">
      <c r="B113" s="78"/>
      <c r="C113" s="64"/>
      <c r="D113" s="72" t="str">
        <f aca="false">IF(C113="","",IFERROR(INDEX(T_NOMBRE,MATCH(C113,T_ID,0)),"⚠ ID no existe"))</f>
        <v/>
      </c>
      <c r="E113" s="69"/>
      <c r="F113" s="67"/>
      <c r="G113" s="67"/>
      <c r="H113" s="67"/>
      <c r="I113" s="67"/>
      <c r="J113" s="67"/>
      <c r="K113" s="85" t="str">
        <f aca="false">IF(AH113="","",N(F113)+N(G113)+N(H113)-N(I113)+N(J113))</f>
        <v/>
      </c>
      <c r="L113" s="67"/>
      <c r="M113" s="67"/>
      <c r="N113" s="67"/>
      <c r="O113" s="67"/>
      <c r="P113" s="85" t="str">
        <f aca="false">IF(AH113="","",K113+N(L113)+N(M113)+N(N113)+N(O113))</f>
        <v/>
      </c>
      <c r="Q113" s="67"/>
      <c r="R113" s="67"/>
      <c r="S113" s="67"/>
      <c r="T113" s="67"/>
      <c r="U113" s="67"/>
      <c r="V113" s="67"/>
      <c r="W113" s="85" t="str">
        <f aca="false">IF(AH113="","",N(Q113)+N(R113)+N(S113)+N(T113)+N(U113)+N(V113))</f>
        <v/>
      </c>
      <c r="X113" s="85" t="str">
        <f aca="false">IF(AH113="","",P113-W113)</f>
        <v/>
      </c>
      <c r="Y113" s="67"/>
      <c r="Z113" s="70" t="str">
        <f aca="false">IF(OR(AH113="",Y113=""),"",IF(ABS(X113-Y113)&lt;=1,"✓ Cuadra","⚠ Diferencia $"&amp;FIXED(X113-Y113,0)))</f>
        <v/>
      </c>
      <c r="AA113" s="72" t="str">
        <f aca="false">IF(AH113="","",IFERROR(INDEX(C_TIPO,MATCH(C113&amp;"-P"&amp;MAX(1,COUNTIFS(C_ID,C113,C_DEFINE,"Sí",C_INICIO,"&lt;="&amp;EOMONTH(B113,0))),C_CLAVE,0))&amp;"","Sin dato"))</f>
        <v/>
      </c>
      <c r="AB113" s="71" t="str">
        <f aca="false">IF(AH113="","",ROUND(MIN(K113,TOPE_AFP_UF*AJ113)*AK113,0))</f>
        <v/>
      </c>
      <c r="AC113" s="71" t="str">
        <f aca="false">IF(AH113="","",ROUND(MIN(K113,TOPE_AFC_UF*AJ113)*IF(AA113="Indefinido",AFC_EMP_INDEF,AFC_EMP_PF),0))</f>
        <v/>
      </c>
      <c r="AD113" s="71" t="str">
        <f aca="false">IF(AH113="","",ROUND(MIN(K113,TOPE_AFP_UF*AJ113)*(MUTUAL_BASICA+MUTUAL_ADIC+SANNA),0))</f>
        <v/>
      </c>
      <c r="AE113" s="71" t="str">
        <f aca="false">IF(AH113="","",P113-N(N113)+AB113+AC113+AD113)</f>
        <v/>
      </c>
      <c r="AF113" s="65"/>
      <c r="AG113" s="64"/>
      <c r="AH113" s="72" t="str">
        <f aca="false">IF(OR(B113="",C113=""),"",C113&amp;"|"&amp;(YEAR(B113)*100+MONTH(B113)))</f>
        <v/>
      </c>
      <c r="AI113" s="70" t="str">
        <f aca="false">IF(AH113="","",IF(COUNTIF(L_CLAVE,AH113)&gt;1,"⚠ Duplicado","OK"))</f>
        <v/>
      </c>
      <c r="AJ113" s="86" t="str">
        <f aca="false">IF(AH113="","",IF(SUMPRODUCT(MAX((IND_PER&lt;=B113)*(IND_UF&lt;&gt;"")*IND_PER))=0,UF_HOY,INDEX(IND_UF,MATCH(SUMPRODUCT(MAX((IND_PER&lt;=B113)*(IND_UF&lt;&gt;"")*IND_PER)),IND_PER,0))))</f>
        <v/>
      </c>
      <c r="AK113" s="87" t="str">
        <f aca="false">IF(AH113="","",IF(COUNTIF(TASA_DESDE,"&lt;="&amp;B113)=0,INDEX(TASA_EMP,1),INDEX(TASA_EMP,COUNTIF(TASA_DESDE,"&lt;="&amp;B113))))</f>
        <v/>
      </c>
    </row>
    <row r="114" customFormat="false" ht="15" hidden="false" customHeight="false" outlineLevel="0" collapsed="false">
      <c r="B114" s="78"/>
      <c r="C114" s="64"/>
      <c r="D114" s="72" t="str">
        <f aca="false">IF(C114="","",IFERROR(INDEX(T_NOMBRE,MATCH(C114,T_ID,0)),"⚠ ID no existe"))</f>
        <v/>
      </c>
      <c r="E114" s="69"/>
      <c r="F114" s="67"/>
      <c r="G114" s="67"/>
      <c r="H114" s="67"/>
      <c r="I114" s="67"/>
      <c r="J114" s="67"/>
      <c r="K114" s="85" t="str">
        <f aca="false">IF(AH114="","",N(F114)+N(G114)+N(H114)-N(I114)+N(J114))</f>
        <v/>
      </c>
      <c r="L114" s="67"/>
      <c r="M114" s="67"/>
      <c r="N114" s="67"/>
      <c r="O114" s="67"/>
      <c r="P114" s="85" t="str">
        <f aca="false">IF(AH114="","",K114+N(L114)+N(M114)+N(N114)+N(O114))</f>
        <v/>
      </c>
      <c r="Q114" s="67"/>
      <c r="R114" s="67"/>
      <c r="S114" s="67"/>
      <c r="T114" s="67"/>
      <c r="U114" s="67"/>
      <c r="V114" s="67"/>
      <c r="W114" s="85" t="str">
        <f aca="false">IF(AH114="","",N(Q114)+N(R114)+N(S114)+N(T114)+N(U114)+N(V114))</f>
        <v/>
      </c>
      <c r="X114" s="85" t="str">
        <f aca="false">IF(AH114="","",P114-W114)</f>
        <v/>
      </c>
      <c r="Y114" s="67"/>
      <c r="Z114" s="70" t="str">
        <f aca="false">IF(OR(AH114="",Y114=""),"",IF(ABS(X114-Y114)&lt;=1,"✓ Cuadra","⚠ Diferencia $"&amp;FIXED(X114-Y114,0)))</f>
        <v/>
      </c>
      <c r="AA114" s="72" t="str">
        <f aca="false">IF(AH114="","",IFERROR(INDEX(C_TIPO,MATCH(C114&amp;"-P"&amp;MAX(1,COUNTIFS(C_ID,C114,C_DEFINE,"Sí",C_INICIO,"&lt;="&amp;EOMONTH(B114,0))),C_CLAVE,0))&amp;"","Sin dato"))</f>
        <v/>
      </c>
      <c r="AB114" s="71" t="str">
        <f aca="false">IF(AH114="","",ROUND(MIN(K114,TOPE_AFP_UF*AJ114)*AK114,0))</f>
        <v/>
      </c>
      <c r="AC114" s="71" t="str">
        <f aca="false">IF(AH114="","",ROUND(MIN(K114,TOPE_AFC_UF*AJ114)*IF(AA114="Indefinido",AFC_EMP_INDEF,AFC_EMP_PF),0))</f>
        <v/>
      </c>
      <c r="AD114" s="71" t="str">
        <f aca="false">IF(AH114="","",ROUND(MIN(K114,TOPE_AFP_UF*AJ114)*(MUTUAL_BASICA+MUTUAL_ADIC+SANNA),0))</f>
        <v/>
      </c>
      <c r="AE114" s="71" t="str">
        <f aca="false">IF(AH114="","",P114-N(N114)+AB114+AC114+AD114)</f>
        <v/>
      </c>
      <c r="AF114" s="65"/>
      <c r="AG114" s="64"/>
      <c r="AH114" s="72" t="str">
        <f aca="false">IF(OR(B114="",C114=""),"",C114&amp;"|"&amp;(YEAR(B114)*100+MONTH(B114)))</f>
        <v/>
      </c>
      <c r="AI114" s="70" t="str">
        <f aca="false">IF(AH114="","",IF(COUNTIF(L_CLAVE,AH114)&gt;1,"⚠ Duplicado","OK"))</f>
        <v/>
      </c>
      <c r="AJ114" s="86" t="str">
        <f aca="false">IF(AH114="","",IF(SUMPRODUCT(MAX((IND_PER&lt;=B114)*(IND_UF&lt;&gt;"")*IND_PER))=0,UF_HOY,INDEX(IND_UF,MATCH(SUMPRODUCT(MAX((IND_PER&lt;=B114)*(IND_UF&lt;&gt;"")*IND_PER)),IND_PER,0))))</f>
        <v/>
      </c>
      <c r="AK114" s="87" t="str">
        <f aca="false">IF(AH114="","",IF(COUNTIF(TASA_DESDE,"&lt;="&amp;B114)=0,INDEX(TASA_EMP,1),INDEX(TASA_EMP,COUNTIF(TASA_DESDE,"&lt;="&amp;B114))))</f>
        <v/>
      </c>
    </row>
    <row r="115" customFormat="false" ht="15" hidden="false" customHeight="false" outlineLevel="0" collapsed="false">
      <c r="B115" s="78"/>
      <c r="C115" s="64"/>
      <c r="D115" s="72" t="str">
        <f aca="false">IF(C115="","",IFERROR(INDEX(T_NOMBRE,MATCH(C115,T_ID,0)),"⚠ ID no existe"))</f>
        <v/>
      </c>
      <c r="E115" s="69"/>
      <c r="F115" s="67"/>
      <c r="G115" s="67"/>
      <c r="H115" s="67"/>
      <c r="I115" s="67"/>
      <c r="J115" s="67"/>
      <c r="K115" s="85" t="str">
        <f aca="false">IF(AH115="","",N(F115)+N(G115)+N(H115)-N(I115)+N(J115))</f>
        <v/>
      </c>
      <c r="L115" s="67"/>
      <c r="M115" s="67"/>
      <c r="N115" s="67"/>
      <c r="O115" s="67"/>
      <c r="P115" s="85" t="str">
        <f aca="false">IF(AH115="","",K115+N(L115)+N(M115)+N(N115)+N(O115))</f>
        <v/>
      </c>
      <c r="Q115" s="67"/>
      <c r="R115" s="67"/>
      <c r="S115" s="67"/>
      <c r="T115" s="67"/>
      <c r="U115" s="67"/>
      <c r="V115" s="67"/>
      <c r="W115" s="85" t="str">
        <f aca="false">IF(AH115="","",N(Q115)+N(R115)+N(S115)+N(T115)+N(U115)+N(V115))</f>
        <v/>
      </c>
      <c r="X115" s="85" t="str">
        <f aca="false">IF(AH115="","",P115-W115)</f>
        <v/>
      </c>
      <c r="Y115" s="67"/>
      <c r="Z115" s="70" t="str">
        <f aca="false">IF(OR(AH115="",Y115=""),"",IF(ABS(X115-Y115)&lt;=1,"✓ Cuadra","⚠ Diferencia $"&amp;FIXED(X115-Y115,0)))</f>
        <v/>
      </c>
      <c r="AA115" s="72" t="str">
        <f aca="false">IF(AH115="","",IFERROR(INDEX(C_TIPO,MATCH(C115&amp;"-P"&amp;MAX(1,COUNTIFS(C_ID,C115,C_DEFINE,"Sí",C_INICIO,"&lt;="&amp;EOMONTH(B115,0))),C_CLAVE,0))&amp;"","Sin dato"))</f>
        <v/>
      </c>
      <c r="AB115" s="71" t="str">
        <f aca="false">IF(AH115="","",ROUND(MIN(K115,TOPE_AFP_UF*AJ115)*AK115,0))</f>
        <v/>
      </c>
      <c r="AC115" s="71" t="str">
        <f aca="false">IF(AH115="","",ROUND(MIN(K115,TOPE_AFC_UF*AJ115)*IF(AA115="Indefinido",AFC_EMP_INDEF,AFC_EMP_PF),0))</f>
        <v/>
      </c>
      <c r="AD115" s="71" t="str">
        <f aca="false">IF(AH115="","",ROUND(MIN(K115,TOPE_AFP_UF*AJ115)*(MUTUAL_BASICA+MUTUAL_ADIC+SANNA),0))</f>
        <v/>
      </c>
      <c r="AE115" s="71" t="str">
        <f aca="false">IF(AH115="","",P115-N(N115)+AB115+AC115+AD115)</f>
        <v/>
      </c>
      <c r="AF115" s="65"/>
      <c r="AG115" s="64"/>
      <c r="AH115" s="72" t="str">
        <f aca="false">IF(OR(B115="",C115=""),"",C115&amp;"|"&amp;(YEAR(B115)*100+MONTH(B115)))</f>
        <v/>
      </c>
      <c r="AI115" s="70" t="str">
        <f aca="false">IF(AH115="","",IF(COUNTIF(L_CLAVE,AH115)&gt;1,"⚠ Duplicado","OK"))</f>
        <v/>
      </c>
      <c r="AJ115" s="86" t="str">
        <f aca="false">IF(AH115="","",IF(SUMPRODUCT(MAX((IND_PER&lt;=B115)*(IND_UF&lt;&gt;"")*IND_PER))=0,UF_HOY,INDEX(IND_UF,MATCH(SUMPRODUCT(MAX((IND_PER&lt;=B115)*(IND_UF&lt;&gt;"")*IND_PER)),IND_PER,0))))</f>
        <v/>
      </c>
      <c r="AK115" s="87" t="str">
        <f aca="false">IF(AH115="","",IF(COUNTIF(TASA_DESDE,"&lt;="&amp;B115)=0,INDEX(TASA_EMP,1),INDEX(TASA_EMP,COUNTIF(TASA_DESDE,"&lt;="&amp;B115))))</f>
        <v/>
      </c>
    </row>
    <row r="116" customFormat="false" ht="15" hidden="false" customHeight="false" outlineLevel="0" collapsed="false">
      <c r="B116" s="78"/>
      <c r="C116" s="64"/>
      <c r="D116" s="72" t="str">
        <f aca="false">IF(C116="","",IFERROR(INDEX(T_NOMBRE,MATCH(C116,T_ID,0)),"⚠ ID no existe"))</f>
        <v/>
      </c>
      <c r="E116" s="69"/>
      <c r="F116" s="67"/>
      <c r="G116" s="67"/>
      <c r="H116" s="67"/>
      <c r="I116" s="67"/>
      <c r="J116" s="67"/>
      <c r="K116" s="85" t="str">
        <f aca="false">IF(AH116="","",N(F116)+N(G116)+N(H116)-N(I116)+N(J116))</f>
        <v/>
      </c>
      <c r="L116" s="67"/>
      <c r="M116" s="67"/>
      <c r="N116" s="67"/>
      <c r="O116" s="67"/>
      <c r="P116" s="85" t="str">
        <f aca="false">IF(AH116="","",K116+N(L116)+N(M116)+N(N116)+N(O116))</f>
        <v/>
      </c>
      <c r="Q116" s="67"/>
      <c r="R116" s="67"/>
      <c r="S116" s="67"/>
      <c r="T116" s="67"/>
      <c r="U116" s="67"/>
      <c r="V116" s="67"/>
      <c r="W116" s="85" t="str">
        <f aca="false">IF(AH116="","",N(Q116)+N(R116)+N(S116)+N(T116)+N(U116)+N(V116))</f>
        <v/>
      </c>
      <c r="X116" s="85" t="str">
        <f aca="false">IF(AH116="","",P116-W116)</f>
        <v/>
      </c>
      <c r="Y116" s="67"/>
      <c r="Z116" s="70" t="str">
        <f aca="false">IF(OR(AH116="",Y116=""),"",IF(ABS(X116-Y116)&lt;=1,"✓ Cuadra","⚠ Diferencia $"&amp;FIXED(X116-Y116,0)))</f>
        <v/>
      </c>
      <c r="AA116" s="72" t="str">
        <f aca="false">IF(AH116="","",IFERROR(INDEX(C_TIPO,MATCH(C116&amp;"-P"&amp;MAX(1,COUNTIFS(C_ID,C116,C_DEFINE,"Sí",C_INICIO,"&lt;="&amp;EOMONTH(B116,0))),C_CLAVE,0))&amp;"","Sin dato"))</f>
        <v/>
      </c>
      <c r="AB116" s="71" t="str">
        <f aca="false">IF(AH116="","",ROUND(MIN(K116,TOPE_AFP_UF*AJ116)*AK116,0))</f>
        <v/>
      </c>
      <c r="AC116" s="71" t="str">
        <f aca="false">IF(AH116="","",ROUND(MIN(K116,TOPE_AFC_UF*AJ116)*IF(AA116="Indefinido",AFC_EMP_INDEF,AFC_EMP_PF),0))</f>
        <v/>
      </c>
      <c r="AD116" s="71" t="str">
        <f aca="false">IF(AH116="","",ROUND(MIN(K116,TOPE_AFP_UF*AJ116)*(MUTUAL_BASICA+MUTUAL_ADIC+SANNA),0))</f>
        <v/>
      </c>
      <c r="AE116" s="71" t="str">
        <f aca="false">IF(AH116="","",P116-N(N116)+AB116+AC116+AD116)</f>
        <v/>
      </c>
      <c r="AF116" s="65"/>
      <c r="AG116" s="64"/>
      <c r="AH116" s="72" t="str">
        <f aca="false">IF(OR(B116="",C116=""),"",C116&amp;"|"&amp;(YEAR(B116)*100+MONTH(B116)))</f>
        <v/>
      </c>
      <c r="AI116" s="70" t="str">
        <f aca="false">IF(AH116="","",IF(COUNTIF(L_CLAVE,AH116)&gt;1,"⚠ Duplicado","OK"))</f>
        <v/>
      </c>
      <c r="AJ116" s="86" t="str">
        <f aca="false">IF(AH116="","",IF(SUMPRODUCT(MAX((IND_PER&lt;=B116)*(IND_UF&lt;&gt;"")*IND_PER))=0,UF_HOY,INDEX(IND_UF,MATCH(SUMPRODUCT(MAX((IND_PER&lt;=B116)*(IND_UF&lt;&gt;"")*IND_PER)),IND_PER,0))))</f>
        <v/>
      </c>
      <c r="AK116" s="87" t="str">
        <f aca="false">IF(AH116="","",IF(COUNTIF(TASA_DESDE,"&lt;="&amp;B116)=0,INDEX(TASA_EMP,1),INDEX(TASA_EMP,COUNTIF(TASA_DESDE,"&lt;="&amp;B116))))</f>
        <v/>
      </c>
    </row>
    <row r="117" customFormat="false" ht="15" hidden="false" customHeight="false" outlineLevel="0" collapsed="false">
      <c r="B117" s="78"/>
      <c r="C117" s="64"/>
      <c r="D117" s="72" t="str">
        <f aca="false">IF(C117="","",IFERROR(INDEX(T_NOMBRE,MATCH(C117,T_ID,0)),"⚠ ID no existe"))</f>
        <v/>
      </c>
      <c r="E117" s="69"/>
      <c r="F117" s="67"/>
      <c r="G117" s="67"/>
      <c r="H117" s="67"/>
      <c r="I117" s="67"/>
      <c r="J117" s="67"/>
      <c r="K117" s="85" t="str">
        <f aca="false">IF(AH117="","",N(F117)+N(G117)+N(H117)-N(I117)+N(J117))</f>
        <v/>
      </c>
      <c r="L117" s="67"/>
      <c r="M117" s="67"/>
      <c r="N117" s="67"/>
      <c r="O117" s="67"/>
      <c r="P117" s="85" t="str">
        <f aca="false">IF(AH117="","",K117+N(L117)+N(M117)+N(N117)+N(O117))</f>
        <v/>
      </c>
      <c r="Q117" s="67"/>
      <c r="R117" s="67"/>
      <c r="S117" s="67"/>
      <c r="T117" s="67"/>
      <c r="U117" s="67"/>
      <c r="V117" s="67"/>
      <c r="W117" s="85" t="str">
        <f aca="false">IF(AH117="","",N(Q117)+N(R117)+N(S117)+N(T117)+N(U117)+N(V117))</f>
        <v/>
      </c>
      <c r="X117" s="85" t="str">
        <f aca="false">IF(AH117="","",P117-W117)</f>
        <v/>
      </c>
      <c r="Y117" s="67"/>
      <c r="Z117" s="70" t="str">
        <f aca="false">IF(OR(AH117="",Y117=""),"",IF(ABS(X117-Y117)&lt;=1,"✓ Cuadra","⚠ Diferencia $"&amp;FIXED(X117-Y117,0)))</f>
        <v/>
      </c>
      <c r="AA117" s="72" t="str">
        <f aca="false">IF(AH117="","",IFERROR(INDEX(C_TIPO,MATCH(C117&amp;"-P"&amp;MAX(1,COUNTIFS(C_ID,C117,C_DEFINE,"Sí",C_INICIO,"&lt;="&amp;EOMONTH(B117,0))),C_CLAVE,0))&amp;"","Sin dato"))</f>
        <v/>
      </c>
      <c r="AB117" s="71" t="str">
        <f aca="false">IF(AH117="","",ROUND(MIN(K117,TOPE_AFP_UF*AJ117)*AK117,0))</f>
        <v/>
      </c>
      <c r="AC117" s="71" t="str">
        <f aca="false">IF(AH117="","",ROUND(MIN(K117,TOPE_AFC_UF*AJ117)*IF(AA117="Indefinido",AFC_EMP_INDEF,AFC_EMP_PF),0))</f>
        <v/>
      </c>
      <c r="AD117" s="71" t="str">
        <f aca="false">IF(AH117="","",ROUND(MIN(K117,TOPE_AFP_UF*AJ117)*(MUTUAL_BASICA+MUTUAL_ADIC+SANNA),0))</f>
        <v/>
      </c>
      <c r="AE117" s="71" t="str">
        <f aca="false">IF(AH117="","",P117-N(N117)+AB117+AC117+AD117)</f>
        <v/>
      </c>
      <c r="AF117" s="65"/>
      <c r="AG117" s="64"/>
      <c r="AH117" s="72" t="str">
        <f aca="false">IF(OR(B117="",C117=""),"",C117&amp;"|"&amp;(YEAR(B117)*100+MONTH(B117)))</f>
        <v/>
      </c>
      <c r="AI117" s="70" t="str">
        <f aca="false">IF(AH117="","",IF(COUNTIF(L_CLAVE,AH117)&gt;1,"⚠ Duplicado","OK"))</f>
        <v/>
      </c>
      <c r="AJ117" s="86" t="str">
        <f aca="false">IF(AH117="","",IF(SUMPRODUCT(MAX((IND_PER&lt;=B117)*(IND_UF&lt;&gt;"")*IND_PER))=0,UF_HOY,INDEX(IND_UF,MATCH(SUMPRODUCT(MAX((IND_PER&lt;=B117)*(IND_UF&lt;&gt;"")*IND_PER)),IND_PER,0))))</f>
        <v/>
      </c>
      <c r="AK117" s="87" t="str">
        <f aca="false">IF(AH117="","",IF(COUNTIF(TASA_DESDE,"&lt;="&amp;B117)=0,INDEX(TASA_EMP,1),INDEX(TASA_EMP,COUNTIF(TASA_DESDE,"&lt;="&amp;B117))))</f>
        <v/>
      </c>
    </row>
    <row r="118" customFormat="false" ht="15" hidden="false" customHeight="false" outlineLevel="0" collapsed="false">
      <c r="B118" s="78"/>
      <c r="C118" s="64"/>
      <c r="D118" s="72" t="str">
        <f aca="false">IF(C118="","",IFERROR(INDEX(T_NOMBRE,MATCH(C118,T_ID,0)),"⚠ ID no existe"))</f>
        <v/>
      </c>
      <c r="E118" s="69"/>
      <c r="F118" s="67"/>
      <c r="G118" s="67"/>
      <c r="H118" s="67"/>
      <c r="I118" s="67"/>
      <c r="J118" s="67"/>
      <c r="K118" s="85" t="str">
        <f aca="false">IF(AH118="","",N(F118)+N(G118)+N(H118)-N(I118)+N(J118))</f>
        <v/>
      </c>
      <c r="L118" s="67"/>
      <c r="M118" s="67"/>
      <c r="N118" s="67"/>
      <c r="O118" s="67"/>
      <c r="P118" s="85" t="str">
        <f aca="false">IF(AH118="","",K118+N(L118)+N(M118)+N(N118)+N(O118))</f>
        <v/>
      </c>
      <c r="Q118" s="67"/>
      <c r="R118" s="67"/>
      <c r="S118" s="67"/>
      <c r="T118" s="67"/>
      <c r="U118" s="67"/>
      <c r="V118" s="67"/>
      <c r="W118" s="85" t="str">
        <f aca="false">IF(AH118="","",N(Q118)+N(R118)+N(S118)+N(T118)+N(U118)+N(V118))</f>
        <v/>
      </c>
      <c r="X118" s="85" t="str">
        <f aca="false">IF(AH118="","",P118-W118)</f>
        <v/>
      </c>
      <c r="Y118" s="67"/>
      <c r="Z118" s="70" t="str">
        <f aca="false">IF(OR(AH118="",Y118=""),"",IF(ABS(X118-Y118)&lt;=1,"✓ Cuadra","⚠ Diferencia $"&amp;FIXED(X118-Y118,0)))</f>
        <v/>
      </c>
      <c r="AA118" s="72" t="str">
        <f aca="false">IF(AH118="","",IFERROR(INDEX(C_TIPO,MATCH(C118&amp;"-P"&amp;MAX(1,COUNTIFS(C_ID,C118,C_DEFINE,"Sí",C_INICIO,"&lt;="&amp;EOMONTH(B118,0))),C_CLAVE,0))&amp;"","Sin dato"))</f>
        <v/>
      </c>
      <c r="AB118" s="71" t="str">
        <f aca="false">IF(AH118="","",ROUND(MIN(K118,TOPE_AFP_UF*AJ118)*AK118,0))</f>
        <v/>
      </c>
      <c r="AC118" s="71" t="str">
        <f aca="false">IF(AH118="","",ROUND(MIN(K118,TOPE_AFC_UF*AJ118)*IF(AA118="Indefinido",AFC_EMP_INDEF,AFC_EMP_PF),0))</f>
        <v/>
      </c>
      <c r="AD118" s="71" t="str">
        <f aca="false">IF(AH118="","",ROUND(MIN(K118,TOPE_AFP_UF*AJ118)*(MUTUAL_BASICA+MUTUAL_ADIC+SANNA),0))</f>
        <v/>
      </c>
      <c r="AE118" s="71" t="str">
        <f aca="false">IF(AH118="","",P118-N(N118)+AB118+AC118+AD118)</f>
        <v/>
      </c>
      <c r="AF118" s="65"/>
      <c r="AG118" s="64"/>
      <c r="AH118" s="72" t="str">
        <f aca="false">IF(OR(B118="",C118=""),"",C118&amp;"|"&amp;(YEAR(B118)*100+MONTH(B118)))</f>
        <v/>
      </c>
      <c r="AI118" s="70" t="str">
        <f aca="false">IF(AH118="","",IF(COUNTIF(L_CLAVE,AH118)&gt;1,"⚠ Duplicado","OK"))</f>
        <v/>
      </c>
      <c r="AJ118" s="86" t="str">
        <f aca="false">IF(AH118="","",IF(SUMPRODUCT(MAX((IND_PER&lt;=B118)*(IND_UF&lt;&gt;"")*IND_PER))=0,UF_HOY,INDEX(IND_UF,MATCH(SUMPRODUCT(MAX((IND_PER&lt;=B118)*(IND_UF&lt;&gt;"")*IND_PER)),IND_PER,0))))</f>
        <v/>
      </c>
      <c r="AK118" s="87" t="str">
        <f aca="false">IF(AH118="","",IF(COUNTIF(TASA_DESDE,"&lt;="&amp;B118)=0,INDEX(TASA_EMP,1),INDEX(TASA_EMP,COUNTIF(TASA_DESDE,"&lt;="&amp;B118))))</f>
        <v/>
      </c>
    </row>
    <row r="119" customFormat="false" ht="15" hidden="false" customHeight="false" outlineLevel="0" collapsed="false">
      <c r="B119" s="78"/>
      <c r="C119" s="64"/>
      <c r="D119" s="72" t="str">
        <f aca="false">IF(C119="","",IFERROR(INDEX(T_NOMBRE,MATCH(C119,T_ID,0)),"⚠ ID no existe"))</f>
        <v/>
      </c>
      <c r="E119" s="69"/>
      <c r="F119" s="67"/>
      <c r="G119" s="67"/>
      <c r="H119" s="67"/>
      <c r="I119" s="67"/>
      <c r="J119" s="67"/>
      <c r="K119" s="85" t="str">
        <f aca="false">IF(AH119="","",N(F119)+N(G119)+N(H119)-N(I119)+N(J119))</f>
        <v/>
      </c>
      <c r="L119" s="67"/>
      <c r="M119" s="67"/>
      <c r="N119" s="67"/>
      <c r="O119" s="67"/>
      <c r="P119" s="85" t="str">
        <f aca="false">IF(AH119="","",K119+N(L119)+N(M119)+N(N119)+N(O119))</f>
        <v/>
      </c>
      <c r="Q119" s="67"/>
      <c r="R119" s="67"/>
      <c r="S119" s="67"/>
      <c r="T119" s="67"/>
      <c r="U119" s="67"/>
      <c r="V119" s="67"/>
      <c r="W119" s="85" t="str">
        <f aca="false">IF(AH119="","",N(Q119)+N(R119)+N(S119)+N(T119)+N(U119)+N(V119))</f>
        <v/>
      </c>
      <c r="X119" s="85" t="str">
        <f aca="false">IF(AH119="","",P119-W119)</f>
        <v/>
      </c>
      <c r="Y119" s="67"/>
      <c r="Z119" s="70" t="str">
        <f aca="false">IF(OR(AH119="",Y119=""),"",IF(ABS(X119-Y119)&lt;=1,"✓ Cuadra","⚠ Diferencia $"&amp;FIXED(X119-Y119,0)))</f>
        <v/>
      </c>
      <c r="AA119" s="72" t="str">
        <f aca="false">IF(AH119="","",IFERROR(INDEX(C_TIPO,MATCH(C119&amp;"-P"&amp;MAX(1,COUNTIFS(C_ID,C119,C_DEFINE,"Sí",C_INICIO,"&lt;="&amp;EOMONTH(B119,0))),C_CLAVE,0))&amp;"","Sin dato"))</f>
        <v/>
      </c>
      <c r="AB119" s="71" t="str">
        <f aca="false">IF(AH119="","",ROUND(MIN(K119,TOPE_AFP_UF*AJ119)*AK119,0))</f>
        <v/>
      </c>
      <c r="AC119" s="71" t="str">
        <f aca="false">IF(AH119="","",ROUND(MIN(K119,TOPE_AFC_UF*AJ119)*IF(AA119="Indefinido",AFC_EMP_INDEF,AFC_EMP_PF),0))</f>
        <v/>
      </c>
      <c r="AD119" s="71" t="str">
        <f aca="false">IF(AH119="","",ROUND(MIN(K119,TOPE_AFP_UF*AJ119)*(MUTUAL_BASICA+MUTUAL_ADIC+SANNA),0))</f>
        <v/>
      </c>
      <c r="AE119" s="71" t="str">
        <f aca="false">IF(AH119="","",P119-N(N119)+AB119+AC119+AD119)</f>
        <v/>
      </c>
      <c r="AF119" s="65"/>
      <c r="AG119" s="64"/>
      <c r="AH119" s="72" t="str">
        <f aca="false">IF(OR(B119="",C119=""),"",C119&amp;"|"&amp;(YEAR(B119)*100+MONTH(B119)))</f>
        <v/>
      </c>
      <c r="AI119" s="70" t="str">
        <f aca="false">IF(AH119="","",IF(COUNTIF(L_CLAVE,AH119)&gt;1,"⚠ Duplicado","OK"))</f>
        <v/>
      </c>
      <c r="AJ119" s="86" t="str">
        <f aca="false">IF(AH119="","",IF(SUMPRODUCT(MAX((IND_PER&lt;=B119)*(IND_UF&lt;&gt;"")*IND_PER))=0,UF_HOY,INDEX(IND_UF,MATCH(SUMPRODUCT(MAX((IND_PER&lt;=B119)*(IND_UF&lt;&gt;"")*IND_PER)),IND_PER,0))))</f>
        <v/>
      </c>
      <c r="AK119" s="87" t="str">
        <f aca="false">IF(AH119="","",IF(COUNTIF(TASA_DESDE,"&lt;="&amp;B119)=0,INDEX(TASA_EMP,1),INDEX(TASA_EMP,COUNTIF(TASA_DESDE,"&lt;="&amp;B119))))</f>
        <v/>
      </c>
    </row>
    <row r="120" customFormat="false" ht="15" hidden="false" customHeight="false" outlineLevel="0" collapsed="false">
      <c r="B120" s="78"/>
      <c r="C120" s="64"/>
      <c r="D120" s="72" t="str">
        <f aca="false">IF(C120="","",IFERROR(INDEX(T_NOMBRE,MATCH(C120,T_ID,0)),"⚠ ID no existe"))</f>
        <v/>
      </c>
      <c r="E120" s="69"/>
      <c r="F120" s="67"/>
      <c r="G120" s="67"/>
      <c r="H120" s="67"/>
      <c r="I120" s="67"/>
      <c r="J120" s="67"/>
      <c r="K120" s="85" t="str">
        <f aca="false">IF(AH120="","",N(F120)+N(G120)+N(H120)-N(I120)+N(J120))</f>
        <v/>
      </c>
      <c r="L120" s="67"/>
      <c r="M120" s="67"/>
      <c r="N120" s="67"/>
      <c r="O120" s="67"/>
      <c r="P120" s="85" t="str">
        <f aca="false">IF(AH120="","",K120+N(L120)+N(M120)+N(N120)+N(O120))</f>
        <v/>
      </c>
      <c r="Q120" s="67"/>
      <c r="R120" s="67"/>
      <c r="S120" s="67"/>
      <c r="T120" s="67"/>
      <c r="U120" s="67"/>
      <c r="V120" s="67"/>
      <c r="W120" s="85" t="str">
        <f aca="false">IF(AH120="","",N(Q120)+N(R120)+N(S120)+N(T120)+N(U120)+N(V120))</f>
        <v/>
      </c>
      <c r="X120" s="85" t="str">
        <f aca="false">IF(AH120="","",P120-W120)</f>
        <v/>
      </c>
      <c r="Y120" s="67"/>
      <c r="Z120" s="70" t="str">
        <f aca="false">IF(OR(AH120="",Y120=""),"",IF(ABS(X120-Y120)&lt;=1,"✓ Cuadra","⚠ Diferencia $"&amp;FIXED(X120-Y120,0)))</f>
        <v/>
      </c>
      <c r="AA120" s="72" t="str">
        <f aca="false">IF(AH120="","",IFERROR(INDEX(C_TIPO,MATCH(C120&amp;"-P"&amp;MAX(1,COUNTIFS(C_ID,C120,C_DEFINE,"Sí",C_INICIO,"&lt;="&amp;EOMONTH(B120,0))),C_CLAVE,0))&amp;"","Sin dato"))</f>
        <v/>
      </c>
      <c r="AB120" s="71" t="str">
        <f aca="false">IF(AH120="","",ROUND(MIN(K120,TOPE_AFP_UF*AJ120)*AK120,0))</f>
        <v/>
      </c>
      <c r="AC120" s="71" t="str">
        <f aca="false">IF(AH120="","",ROUND(MIN(K120,TOPE_AFC_UF*AJ120)*IF(AA120="Indefinido",AFC_EMP_INDEF,AFC_EMP_PF),0))</f>
        <v/>
      </c>
      <c r="AD120" s="71" t="str">
        <f aca="false">IF(AH120="","",ROUND(MIN(K120,TOPE_AFP_UF*AJ120)*(MUTUAL_BASICA+MUTUAL_ADIC+SANNA),0))</f>
        <v/>
      </c>
      <c r="AE120" s="71" t="str">
        <f aca="false">IF(AH120="","",P120-N(N120)+AB120+AC120+AD120)</f>
        <v/>
      </c>
      <c r="AF120" s="65"/>
      <c r="AG120" s="64"/>
      <c r="AH120" s="72" t="str">
        <f aca="false">IF(OR(B120="",C120=""),"",C120&amp;"|"&amp;(YEAR(B120)*100+MONTH(B120)))</f>
        <v/>
      </c>
      <c r="AI120" s="70" t="str">
        <f aca="false">IF(AH120="","",IF(COUNTIF(L_CLAVE,AH120)&gt;1,"⚠ Duplicado","OK"))</f>
        <v/>
      </c>
      <c r="AJ120" s="86" t="str">
        <f aca="false">IF(AH120="","",IF(SUMPRODUCT(MAX((IND_PER&lt;=B120)*(IND_UF&lt;&gt;"")*IND_PER))=0,UF_HOY,INDEX(IND_UF,MATCH(SUMPRODUCT(MAX((IND_PER&lt;=B120)*(IND_UF&lt;&gt;"")*IND_PER)),IND_PER,0))))</f>
        <v/>
      </c>
      <c r="AK120" s="87" t="str">
        <f aca="false">IF(AH120="","",IF(COUNTIF(TASA_DESDE,"&lt;="&amp;B120)=0,INDEX(TASA_EMP,1),INDEX(TASA_EMP,COUNTIF(TASA_DESDE,"&lt;="&amp;B120))))</f>
        <v/>
      </c>
    </row>
    <row r="121" customFormat="false" ht="15" hidden="false" customHeight="false" outlineLevel="0" collapsed="false">
      <c r="B121" s="78"/>
      <c r="C121" s="64"/>
      <c r="D121" s="72" t="str">
        <f aca="false">IF(C121="","",IFERROR(INDEX(T_NOMBRE,MATCH(C121,T_ID,0)),"⚠ ID no existe"))</f>
        <v/>
      </c>
      <c r="E121" s="69"/>
      <c r="F121" s="67"/>
      <c r="G121" s="67"/>
      <c r="H121" s="67"/>
      <c r="I121" s="67"/>
      <c r="J121" s="67"/>
      <c r="K121" s="85" t="str">
        <f aca="false">IF(AH121="","",N(F121)+N(G121)+N(H121)-N(I121)+N(J121))</f>
        <v/>
      </c>
      <c r="L121" s="67"/>
      <c r="M121" s="67"/>
      <c r="N121" s="67"/>
      <c r="O121" s="67"/>
      <c r="P121" s="85" t="str">
        <f aca="false">IF(AH121="","",K121+N(L121)+N(M121)+N(N121)+N(O121))</f>
        <v/>
      </c>
      <c r="Q121" s="67"/>
      <c r="R121" s="67"/>
      <c r="S121" s="67"/>
      <c r="T121" s="67"/>
      <c r="U121" s="67"/>
      <c r="V121" s="67"/>
      <c r="W121" s="85" t="str">
        <f aca="false">IF(AH121="","",N(Q121)+N(R121)+N(S121)+N(T121)+N(U121)+N(V121))</f>
        <v/>
      </c>
      <c r="X121" s="85" t="str">
        <f aca="false">IF(AH121="","",P121-W121)</f>
        <v/>
      </c>
      <c r="Y121" s="67"/>
      <c r="Z121" s="70" t="str">
        <f aca="false">IF(OR(AH121="",Y121=""),"",IF(ABS(X121-Y121)&lt;=1,"✓ Cuadra","⚠ Diferencia $"&amp;FIXED(X121-Y121,0)))</f>
        <v/>
      </c>
      <c r="AA121" s="72" t="str">
        <f aca="false">IF(AH121="","",IFERROR(INDEX(C_TIPO,MATCH(C121&amp;"-P"&amp;MAX(1,COUNTIFS(C_ID,C121,C_DEFINE,"Sí",C_INICIO,"&lt;="&amp;EOMONTH(B121,0))),C_CLAVE,0))&amp;"","Sin dato"))</f>
        <v/>
      </c>
      <c r="AB121" s="71" t="str">
        <f aca="false">IF(AH121="","",ROUND(MIN(K121,TOPE_AFP_UF*AJ121)*AK121,0))</f>
        <v/>
      </c>
      <c r="AC121" s="71" t="str">
        <f aca="false">IF(AH121="","",ROUND(MIN(K121,TOPE_AFC_UF*AJ121)*IF(AA121="Indefinido",AFC_EMP_INDEF,AFC_EMP_PF),0))</f>
        <v/>
      </c>
      <c r="AD121" s="71" t="str">
        <f aca="false">IF(AH121="","",ROUND(MIN(K121,TOPE_AFP_UF*AJ121)*(MUTUAL_BASICA+MUTUAL_ADIC+SANNA),0))</f>
        <v/>
      </c>
      <c r="AE121" s="71" t="str">
        <f aca="false">IF(AH121="","",P121-N(N121)+AB121+AC121+AD121)</f>
        <v/>
      </c>
      <c r="AF121" s="65"/>
      <c r="AG121" s="64"/>
      <c r="AH121" s="72" t="str">
        <f aca="false">IF(OR(B121="",C121=""),"",C121&amp;"|"&amp;(YEAR(B121)*100+MONTH(B121)))</f>
        <v/>
      </c>
      <c r="AI121" s="70" t="str">
        <f aca="false">IF(AH121="","",IF(COUNTIF(L_CLAVE,AH121)&gt;1,"⚠ Duplicado","OK"))</f>
        <v/>
      </c>
      <c r="AJ121" s="86" t="str">
        <f aca="false">IF(AH121="","",IF(SUMPRODUCT(MAX((IND_PER&lt;=B121)*(IND_UF&lt;&gt;"")*IND_PER))=0,UF_HOY,INDEX(IND_UF,MATCH(SUMPRODUCT(MAX((IND_PER&lt;=B121)*(IND_UF&lt;&gt;"")*IND_PER)),IND_PER,0))))</f>
        <v/>
      </c>
      <c r="AK121" s="87" t="str">
        <f aca="false">IF(AH121="","",IF(COUNTIF(TASA_DESDE,"&lt;="&amp;B121)=0,INDEX(TASA_EMP,1),INDEX(TASA_EMP,COUNTIF(TASA_DESDE,"&lt;="&amp;B121))))</f>
        <v/>
      </c>
    </row>
    <row r="122" customFormat="false" ht="15" hidden="false" customHeight="false" outlineLevel="0" collapsed="false">
      <c r="B122" s="78"/>
      <c r="C122" s="64"/>
      <c r="D122" s="72" t="str">
        <f aca="false">IF(C122="","",IFERROR(INDEX(T_NOMBRE,MATCH(C122,T_ID,0)),"⚠ ID no existe"))</f>
        <v/>
      </c>
      <c r="E122" s="69"/>
      <c r="F122" s="67"/>
      <c r="G122" s="67"/>
      <c r="H122" s="67"/>
      <c r="I122" s="67"/>
      <c r="J122" s="67"/>
      <c r="K122" s="85" t="str">
        <f aca="false">IF(AH122="","",N(F122)+N(G122)+N(H122)-N(I122)+N(J122))</f>
        <v/>
      </c>
      <c r="L122" s="67"/>
      <c r="M122" s="67"/>
      <c r="N122" s="67"/>
      <c r="O122" s="67"/>
      <c r="P122" s="85" t="str">
        <f aca="false">IF(AH122="","",K122+N(L122)+N(M122)+N(N122)+N(O122))</f>
        <v/>
      </c>
      <c r="Q122" s="67"/>
      <c r="R122" s="67"/>
      <c r="S122" s="67"/>
      <c r="T122" s="67"/>
      <c r="U122" s="67"/>
      <c r="V122" s="67"/>
      <c r="W122" s="85" t="str">
        <f aca="false">IF(AH122="","",N(Q122)+N(R122)+N(S122)+N(T122)+N(U122)+N(V122))</f>
        <v/>
      </c>
      <c r="X122" s="85" t="str">
        <f aca="false">IF(AH122="","",P122-W122)</f>
        <v/>
      </c>
      <c r="Y122" s="67"/>
      <c r="Z122" s="70" t="str">
        <f aca="false">IF(OR(AH122="",Y122=""),"",IF(ABS(X122-Y122)&lt;=1,"✓ Cuadra","⚠ Diferencia $"&amp;FIXED(X122-Y122,0)))</f>
        <v/>
      </c>
      <c r="AA122" s="72" t="str">
        <f aca="false">IF(AH122="","",IFERROR(INDEX(C_TIPO,MATCH(C122&amp;"-P"&amp;MAX(1,COUNTIFS(C_ID,C122,C_DEFINE,"Sí",C_INICIO,"&lt;="&amp;EOMONTH(B122,0))),C_CLAVE,0))&amp;"","Sin dato"))</f>
        <v/>
      </c>
      <c r="AB122" s="71" t="str">
        <f aca="false">IF(AH122="","",ROUND(MIN(K122,TOPE_AFP_UF*AJ122)*AK122,0))</f>
        <v/>
      </c>
      <c r="AC122" s="71" t="str">
        <f aca="false">IF(AH122="","",ROUND(MIN(K122,TOPE_AFC_UF*AJ122)*IF(AA122="Indefinido",AFC_EMP_INDEF,AFC_EMP_PF),0))</f>
        <v/>
      </c>
      <c r="AD122" s="71" t="str">
        <f aca="false">IF(AH122="","",ROUND(MIN(K122,TOPE_AFP_UF*AJ122)*(MUTUAL_BASICA+MUTUAL_ADIC+SANNA),0))</f>
        <v/>
      </c>
      <c r="AE122" s="71" t="str">
        <f aca="false">IF(AH122="","",P122-N(N122)+AB122+AC122+AD122)</f>
        <v/>
      </c>
      <c r="AF122" s="65"/>
      <c r="AG122" s="64"/>
      <c r="AH122" s="72" t="str">
        <f aca="false">IF(OR(B122="",C122=""),"",C122&amp;"|"&amp;(YEAR(B122)*100+MONTH(B122)))</f>
        <v/>
      </c>
      <c r="AI122" s="70" t="str">
        <f aca="false">IF(AH122="","",IF(COUNTIF(L_CLAVE,AH122)&gt;1,"⚠ Duplicado","OK"))</f>
        <v/>
      </c>
      <c r="AJ122" s="86" t="str">
        <f aca="false">IF(AH122="","",IF(SUMPRODUCT(MAX((IND_PER&lt;=B122)*(IND_UF&lt;&gt;"")*IND_PER))=0,UF_HOY,INDEX(IND_UF,MATCH(SUMPRODUCT(MAX((IND_PER&lt;=B122)*(IND_UF&lt;&gt;"")*IND_PER)),IND_PER,0))))</f>
        <v/>
      </c>
      <c r="AK122" s="87" t="str">
        <f aca="false">IF(AH122="","",IF(COUNTIF(TASA_DESDE,"&lt;="&amp;B122)=0,INDEX(TASA_EMP,1),INDEX(TASA_EMP,COUNTIF(TASA_DESDE,"&lt;="&amp;B122))))</f>
        <v/>
      </c>
    </row>
    <row r="123" customFormat="false" ht="15" hidden="false" customHeight="false" outlineLevel="0" collapsed="false">
      <c r="B123" s="78"/>
      <c r="C123" s="64"/>
      <c r="D123" s="72" t="str">
        <f aca="false">IF(C123="","",IFERROR(INDEX(T_NOMBRE,MATCH(C123,T_ID,0)),"⚠ ID no existe"))</f>
        <v/>
      </c>
      <c r="E123" s="69"/>
      <c r="F123" s="67"/>
      <c r="G123" s="67"/>
      <c r="H123" s="67"/>
      <c r="I123" s="67"/>
      <c r="J123" s="67"/>
      <c r="K123" s="85" t="str">
        <f aca="false">IF(AH123="","",N(F123)+N(G123)+N(H123)-N(I123)+N(J123))</f>
        <v/>
      </c>
      <c r="L123" s="67"/>
      <c r="M123" s="67"/>
      <c r="N123" s="67"/>
      <c r="O123" s="67"/>
      <c r="P123" s="85" t="str">
        <f aca="false">IF(AH123="","",K123+N(L123)+N(M123)+N(N123)+N(O123))</f>
        <v/>
      </c>
      <c r="Q123" s="67"/>
      <c r="R123" s="67"/>
      <c r="S123" s="67"/>
      <c r="T123" s="67"/>
      <c r="U123" s="67"/>
      <c r="V123" s="67"/>
      <c r="W123" s="85" t="str">
        <f aca="false">IF(AH123="","",N(Q123)+N(R123)+N(S123)+N(T123)+N(U123)+N(V123))</f>
        <v/>
      </c>
      <c r="X123" s="85" t="str">
        <f aca="false">IF(AH123="","",P123-W123)</f>
        <v/>
      </c>
      <c r="Y123" s="67"/>
      <c r="Z123" s="70" t="str">
        <f aca="false">IF(OR(AH123="",Y123=""),"",IF(ABS(X123-Y123)&lt;=1,"✓ Cuadra","⚠ Diferencia $"&amp;FIXED(X123-Y123,0)))</f>
        <v/>
      </c>
      <c r="AA123" s="72" t="str">
        <f aca="false">IF(AH123="","",IFERROR(INDEX(C_TIPO,MATCH(C123&amp;"-P"&amp;MAX(1,COUNTIFS(C_ID,C123,C_DEFINE,"Sí",C_INICIO,"&lt;="&amp;EOMONTH(B123,0))),C_CLAVE,0))&amp;"","Sin dato"))</f>
        <v/>
      </c>
      <c r="AB123" s="71" t="str">
        <f aca="false">IF(AH123="","",ROUND(MIN(K123,TOPE_AFP_UF*AJ123)*AK123,0))</f>
        <v/>
      </c>
      <c r="AC123" s="71" t="str">
        <f aca="false">IF(AH123="","",ROUND(MIN(K123,TOPE_AFC_UF*AJ123)*IF(AA123="Indefinido",AFC_EMP_INDEF,AFC_EMP_PF),0))</f>
        <v/>
      </c>
      <c r="AD123" s="71" t="str">
        <f aca="false">IF(AH123="","",ROUND(MIN(K123,TOPE_AFP_UF*AJ123)*(MUTUAL_BASICA+MUTUAL_ADIC+SANNA),0))</f>
        <v/>
      </c>
      <c r="AE123" s="71" t="str">
        <f aca="false">IF(AH123="","",P123-N(N123)+AB123+AC123+AD123)</f>
        <v/>
      </c>
      <c r="AF123" s="65"/>
      <c r="AG123" s="64"/>
      <c r="AH123" s="72" t="str">
        <f aca="false">IF(OR(B123="",C123=""),"",C123&amp;"|"&amp;(YEAR(B123)*100+MONTH(B123)))</f>
        <v/>
      </c>
      <c r="AI123" s="70" t="str">
        <f aca="false">IF(AH123="","",IF(COUNTIF(L_CLAVE,AH123)&gt;1,"⚠ Duplicado","OK"))</f>
        <v/>
      </c>
      <c r="AJ123" s="86" t="str">
        <f aca="false">IF(AH123="","",IF(SUMPRODUCT(MAX((IND_PER&lt;=B123)*(IND_UF&lt;&gt;"")*IND_PER))=0,UF_HOY,INDEX(IND_UF,MATCH(SUMPRODUCT(MAX((IND_PER&lt;=B123)*(IND_UF&lt;&gt;"")*IND_PER)),IND_PER,0))))</f>
        <v/>
      </c>
      <c r="AK123" s="87" t="str">
        <f aca="false">IF(AH123="","",IF(COUNTIF(TASA_DESDE,"&lt;="&amp;B123)=0,INDEX(TASA_EMP,1),INDEX(TASA_EMP,COUNTIF(TASA_DESDE,"&lt;="&amp;B123))))</f>
        <v/>
      </c>
    </row>
    <row r="124" customFormat="false" ht="15" hidden="false" customHeight="false" outlineLevel="0" collapsed="false">
      <c r="B124" s="78"/>
      <c r="C124" s="64"/>
      <c r="D124" s="72" t="str">
        <f aca="false">IF(C124="","",IFERROR(INDEX(T_NOMBRE,MATCH(C124,T_ID,0)),"⚠ ID no existe"))</f>
        <v/>
      </c>
      <c r="E124" s="69"/>
      <c r="F124" s="67"/>
      <c r="G124" s="67"/>
      <c r="H124" s="67"/>
      <c r="I124" s="67"/>
      <c r="J124" s="67"/>
      <c r="K124" s="85" t="str">
        <f aca="false">IF(AH124="","",N(F124)+N(G124)+N(H124)-N(I124)+N(J124))</f>
        <v/>
      </c>
      <c r="L124" s="67"/>
      <c r="M124" s="67"/>
      <c r="N124" s="67"/>
      <c r="O124" s="67"/>
      <c r="P124" s="85" t="str">
        <f aca="false">IF(AH124="","",K124+N(L124)+N(M124)+N(N124)+N(O124))</f>
        <v/>
      </c>
      <c r="Q124" s="67"/>
      <c r="R124" s="67"/>
      <c r="S124" s="67"/>
      <c r="T124" s="67"/>
      <c r="U124" s="67"/>
      <c r="V124" s="67"/>
      <c r="W124" s="85" t="str">
        <f aca="false">IF(AH124="","",N(Q124)+N(R124)+N(S124)+N(T124)+N(U124)+N(V124))</f>
        <v/>
      </c>
      <c r="X124" s="85" t="str">
        <f aca="false">IF(AH124="","",P124-W124)</f>
        <v/>
      </c>
      <c r="Y124" s="67"/>
      <c r="Z124" s="70" t="str">
        <f aca="false">IF(OR(AH124="",Y124=""),"",IF(ABS(X124-Y124)&lt;=1,"✓ Cuadra","⚠ Diferencia $"&amp;FIXED(X124-Y124,0)))</f>
        <v/>
      </c>
      <c r="AA124" s="72" t="str">
        <f aca="false">IF(AH124="","",IFERROR(INDEX(C_TIPO,MATCH(C124&amp;"-P"&amp;MAX(1,COUNTIFS(C_ID,C124,C_DEFINE,"Sí",C_INICIO,"&lt;="&amp;EOMONTH(B124,0))),C_CLAVE,0))&amp;"","Sin dato"))</f>
        <v/>
      </c>
      <c r="AB124" s="71" t="str">
        <f aca="false">IF(AH124="","",ROUND(MIN(K124,TOPE_AFP_UF*AJ124)*AK124,0))</f>
        <v/>
      </c>
      <c r="AC124" s="71" t="str">
        <f aca="false">IF(AH124="","",ROUND(MIN(K124,TOPE_AFC_UF*AJ124)*IF(AA124="Indefinido",AFC_EMP_INDEF,AFC_EMP_PF),0))</f>
        <v/>
      </c>
      <c r="AD124" s="71" t="str">
        <f aca="false">IF(AH124="","",ROUND(MIN(K124,TOPE_AFP_UF*AJ124)*(MUTUAL_BASICA+MUTUAL_ADIC+SANNA),0))</f>
        <v/>
      </c>
      <c r="AE124" s="71" t="str">
        <f aca="false">IF(AH124="","",P124-N(N124)+AB124+AC124+AD124)</f>
        <v/>
      </c>
      <c r="AF124" s="65"/>
      <c r="AG124" s="64"/>
      <c r="AH124" s="72" t="str">
        <f aca="false">IF(OR(B124="",C124=""),"",C124&amp;"|"&amp;(YEAR(B124)*100+MONTH(B124)))</f>
        <v/>
      </c>
      <c r="AI124" s="70" t="str">
        <f aca="false">IF(AH124="","",IF(COUNTIF(L_CLAVE,AH124)&gt;1,"⚠ Duplicado","OK"))</f>
        <v/>
      </c>
      <c r="AJ124" s="86" t="str">
        <f aca="false">IF(AH124="","",IF(SUMPRODUCT(MAX((IND_PER&lt;=B124)*(IND_UF&lt;&gt;"")*IND_PER))=0,UF_HOY,INDEX(IND_UF,MATCH(SUMPRODUCT(MAX((IND_PER&lt;=B124)*(IND_UF&lt;&gt;"")*IND_PER)),IND_PER,0))))</f>
        <v/>
      </c>
      <c r="AK124" s="87" t="str">
        <f aca="false">IF(AH124="","",IF(COUNTIF(TASA_DESDE,"&lt;="&amp;B124)=0,INDEX(TASA_EMP,1),INDEX(TASA_EMP,COUNTIF(TASA_DESDE,"&lt;="&amp;B124))))</f>
        <v/>
      </c>
    </row>
    <row r="125" customFormat="false" ht="15" hidden="false" customHeight="false" outlineLevel="0" collapsed="false">
      <c r="B125" s="78"/>
      <c r="C125" s="64"/>
      <c r="D125" s="72" t="str">
        <f aca="false">IF(C125="","",IFERROR(INDEX(T_NOMBRE,MATCH(C125,T_ID,0)),"⚠ ID no existe"))</f>
        <v/>
      </c>
      <c r="E125" s="69"/>
      <c r="F125" s="67"/>
      <c r="G125" s="67"/>
      <c r="H125" s="67"/>
      <c r="I125" s="67"/>
      <c r="J125" s="67"/>
      <c r="K125" s="85" t="str">
        <f aca="false">IF(AH125="","",N(F125)+N(G125)+N(H125)-N(I125)+N(J125))</f>
        <v/>
      </c>
      <c r="L125" s="67"/>
      <c r="M125" s="67"/>
      <c r="N125" s="67"/>
      <c r="O125" s="67"/>
      <c r="P125" s="85" t="str">
        <f aca="false">IF(AH125="","",K125+N(L125)+N(M125)+N(N125)+N(O125))</f>
        <v/>
      </c>
      <c r="Q125" s="67"/>
      <c r="R125" s="67"/>
      <c r="S125" s="67"/>
      <c r="T125" s="67"/>
      <c r="U125" s="67"/>
      <c r="V125" s="67"/>
      <c r="W125" s="85" t="str">
        <f aca="false">IF(AH125="","",N(Q125)+N(R125)+N(S125)+N(T125)+N(U125)+N(V125))</f>
        <v/>
      </c>
      <c r="X125" s="85" t="str">
        <f aca="false">IF(AH125="","",P125-W125)</f>
        <v/>
      </c>
      <c r="Y125" s="67"/>
      <c r="Z125" s="70" t="str">
        <f aca="false">IF(OR(AH125="",Y125=""),"",IF(ABS(X125-Y125)&lt;=1,"✓ Cuadra","⚠ Diferencia $"&amp;FIXED(X125-Y125,0)))</f>
        <v/>
      </c>
      <c r="AA125" s="72" t="str">
        <f aca="false">IF(AH125="","",IFERROR(INDEX(C_TIPO,MATCH(C125&amp;"-P"&amp;MAX(1,COUNTIFS(C_ID,C125,C_DEFINE,"Sí",C_INICIO,"&lt;="&amp;EOMONTH(B125,0))),C_CLAVE,0))&amp;"","Sin dato"))</f>
        <v/>
      </c>
      <c r="AB125" s="71" t="str">
        <f aca="false">IF(AH125="","",ROUND(MIN(K125,TOPE_AFP_UF*AJ125)*AK125,0))</f>
        <v/>
      </c>
      <c r="AC125" s="71" t="str">
        <f aca="false">IF(AH125="","",ROUND(MIN(K125,TOPE_AFC_UF*AJ125)*IF(AA125="Indefinido",AFC_EMP_INDEF,AFC_EMP_PF),0))</f>
        <v/>
      </c>
      <c r="AD125" s="71" t="str">
        <f aca="false">IF(AH125="","",ROUND(MIN(K125,TOPE_AFP_UF*AJ125)*(MUTUAL_BASICA+MUTUAL_ADIC+SANNA),0))</f>
        <v/>
      </c>
      <c r="AE125" s="71" t="str">
        <f aca="false">IF(AH125="","",P125-N(N125)+AB125+AC125+AD125)</f>
        <v/>
      </c>
      <c r="AF125" s="65"/>
      <c r="AG125" s="64"/>
      <c r="AH125" s="72" t="str">
        <f aca="false">IF(OR(B125="",C125=""),"",C125&amp;"|"&amp;(YEAR(B125)*100+MONTH(B125)))</f>
        <v/>
      </c>
      <c r="AI125" s="70" t="str">
        <f aca="false">IF(AH125="","",IF(COUNTIF(L_CLAVE,AH125)&gt;1,"⚠ Duplicado","OK"))</f>
        <v/>
      </c>
      <c r="AJ125" s="86" t="str">
        <f aca="false">IF(AH125="","",IF(SUMPRODUCT(MAX((IND_PER&lt;=B125)*(IND_UF&lt;&gt;"")*IND_PER))=0,UF_HOY,INDEX(IND_UF,MATCH(SUMPRODUCT(MAX((IND_PER&lt;=B125)*(IND_UF&lt;&gt;"")*IND_PER)),IND_PER,0))))</f>
        <v/>
      </c>
      <c r="AK125" s="87" t="str">
        <f aca="false">IF(AH125="","",IF(COUNTIF(TASA_DESDE,"&lt;="&amp;B125)=0,INDEX(TASA_EMP,1),INDEX(TASA_EMP,COUNTIF(TASA_DESDE,"&lt;="&amp;B125))))</f>
        <v/>
      </c>
    </row>
    <row r="126" customFormat="false" ht="15" hidden="false" customHeight="false" outlineLevel="0" collapsed="false">
      <c r="B126" s="78"/>
      <c r="C126" s="64"/>
      <c r="D126" s="72" t="str">
        <f aca="false">IF(C126="","",IFERROR(INDEX(T_NOMBRE,MATCH(C126,T_ID,0)),"⚠ ID no existe"))</f>
        <v/>
      </c>
      <c r="E126" s="69"/>
      <c r="F126" s="67"/>
      <c r="G126" s="67"/>
      <c r="H126" s="67"/>
      <c r="I126" s="67"/>
      <c r="J126" s="67"/>
      <c r="K126" s="85" t="str">
        <f aca="false">IF(AH126="","",N(F126)+N(G126)+N(H126)-N(I126)+N(J126))</f>
        <v/>
      </c>
      <c r="L126" s="67"/>
      <c r="M126" s="67"/>
      <c r="N126" s="67"/>
      <c r="O126" s="67"/>
      <c r="P126" s="85" t="str">
        <f aca="false">IF(AH126="","",K126+N(L126)+N(M126)+N(N126)+N(O126))</f>
        <v/>
      </c>
      <c r="Q126" s="67"/>
      <c r="R126" s="67"/>
      <c r="S126" s="67"/>
      <c r="T126" s="67"/>
      <c r="U126" s="67"/>
      <c r="V126" s="67"/>
      <c r="W126" s="85" t="str">
        <f aca="false">IF(AH126="","",N(Q126)+N(R126)+N(S126)+N(T126)+N(U126)+N(V126))</f>
        <v/>
      </c>
      <c r="X126" s="85" t="str">
        <f aca="false">IF(AH126="","",P126-W126)</f>
        <v/>
      </c>
      <c r="Y126" s="67"/>
      <c r="Z126" s="70" t="str">
        <f aca="false">IF(OR(AH126="",Y126=""),"",IF(ABS(X126-Y126)&lt;=1,"✓ Cuadra","⚠ Diferencia $"&amp;FIXED(X126-Y126,0)))</f>
        <v/>
      </c>
      <c r="AA126" s="72" t="str">
        <f aca="false">IF(AH126="","",IFERROR(INDEX(C_TIPO,MATCH(C126&amp;"-P"&amp;MAX(1,COUNTIFS(C_ID,C126,C_DEFINE,"Sí",C_INICIO,"&lt;="&amp;EOMONTH(B126,0))),C_CLAVE,0))&amp;"","Sin dato"))</f>
        <v/>
      </c>
      <c r="AB126" s="71" t="str">
        <f aca="false">IF(AH126="","",ROUND(MIN(K126,TOPE_AFP_UF*AJ126)*AK126,0))</f>
        <v/>
      </c>
      <c r="AC126" s="71" t="str">
        <f aca="false">IF(AH126="","",ROUND(MIN(K126,TOPE_AFC_UF*AJ126)*IF(AA126="Indefinido",AFC_EMP_INDEF,AFC_EMP_PF),0))</f>
        <v/>
      </c>
      <c r="AD126" s="71" t="str">
        <f aca="false">IF(AH126="","",ROUND(MIN(K126,TOPE_AFP_UF*AJ126)*(MUTUAL_BASICA+MUTUAL_ADIC+SANNA),0))</f>
        <v/>
      </c>
      <c r="AE126" s="71" t="str">
        <f aca="false">IF(AH126="","",P126-N(N126)+AB126+AC126+AD126)</f>
        <v/>
      </c>
      <c r="AF126" s="65"/>
      <c r="AG126" s="64"/>
      <c r="AH126" s="72" t="str">
        <f aca="false">IF(OR(B126="",C126=""),"",C126&amp;"|"&amp;(YEAR(B126)*100+MONTH(B126)))</f>
        <v/>
      </c>
      <c r="AI126" s="70" t="str">
        <f aca="false">IF(AH126="","",IF(COUNTIF(L_CLAVE,AH126)&gt;1,"⚠ Duplicado","OK"))</f>
        <v/>
      </c>
      <c r="AJ126" s="86" t="str">
        <f aca="false">IF(AH126="","",IF(SUMPRODUCT(MAX((IND_PER&lt;=B126)*(IND_UF&lt;&gt;"")*IND_PER))=0,UF_HOY,INDEX(IND_UF,MATCH(SUMPRODUCT(MAX((IND_PER&lt;=B126)*(IND_UF&lt;&gt;"")*IND_PER)),IND_PER,0))))</f>
        <v/>
      </c>
      <c r="AK126" s="87" t="str">
        <f aca="false">IF(AH126="","",IF(COUNTIF(TASA_DESDE,"&lt;="&amp;B126)=0,INDEX(TASA_EMP,1),INDEX(TASA_EMP,COUNTIF(TASA_DESDE,"&lt;="&amp;B126))))</f>
        <v/>
      </c>
    </row>
    <row r="127" customFormat="false" ht="15" hidden="false" customHeight="false" outlineLevel="0" collapsed="false">
      <c r="B127" s="78"/>
      <c r="C127" s="64"/>
      <c r="D127" s="72" t="str">
        <f aca="false">IF(C127="","",IFERROR(INDEX(T_NOMBRE,MATCH(C127,T_ID,0)),"⚠ ID no existe"))</f>
        <v/>
      </c>
      <c r="E127" s="69"/>
      <c r="F127" s="67"/>
      <c r="G127" s="67"/>
      <c r="H127" s="67"/>
      <c r="I127" s="67"/>
      <c r="J127" s="67"/>
      <c r="K127" s="85" t="str">
        <f aca="false">IF(AH127="","",N(F127)+N(G127)+N(H127)-N(I127)+N(J127))</f>
        <v/>
      </c>
      <c r="L127" s="67"/>
      <c r="M127" s="67"/>
      <c r="N127" s="67"/>
      <c r="O127" s="67"/>
      <c r="P127" s="85" t="str">
        <f aca="false">IF(AH127="","",K127+N(L127)+N(M127)+N(N127)+N(O127))</f>
        <v/>
      </c>
      <c r="Q127" s="67"/>
      <c r="R127" s="67"/>
      <c r="S127" s="67"/>
      <c r="T127" s="67"/>
      <c r="U127" s="67"/>
      <c r="V127" s="67"/>
      <c r="W127" s="85" t="str">
        <f aca="false">IF(AH127="","",N(Q127)+N(R127)+N(S127)+N(T127)+N(U127)+N(V127))</f>
        <v/>
      </c>
      <c r="X127" s="85" t="str">
        <f aca="false">IF(AH127="","",P127-W127)</f>
        <v/>
      </c>
      <c r="Y127" s="67"/>
      <c r="Z127" s="70" t="str">
        <f aca="false">IF(OR(AH127="",Y127=""),"",IF(ABS(X127-Y127)&lt;=1,"✓ Cuadra","⚠ Diferencia $"&amp;FIXED(X127-Y127,0)))</f>
        <v/>
      </c>
      <c r="AA127" s="72" t="str">
        <f aca="false">IF(AH127="","",IFERROR(INDEX(C_TIPO,MATCH(C127&amp;"-P"&amp;MAX(1,COUNTIFS(C_ID,C127,C_DEFINE,"Sí",C_INICIO,"&lt;="&amp;EOMONTH(B127,0))),C_CLAVE,0))&amp;"","Sin dato"))</f>
        <v/>
      </c>
      <c r="AB127" s="71" t="str">
        <f aca="false">IF(AH127="","",ROUND(MIN(K127,TOPE_AFP_UF*AJ127)*AK127,0))</f>
        <v/>
      </c>
      <c r="AC127" s="71" t="str">
        <f aca="false">IF(AH127="","",ROUND(MIN(K127,TOPE_AFC_UF*AJ127)*IF(AA127="Indefinido",AFC_EMP_INDEF,AFC_EMP_PF),0))</f>
        <v/>
      </c>
      <c r="AD127" s="71" t="str">
        <f aca="false">IF(AH127="","",ROUND(MIN(K127,TOPE_AFP_UF*AJ127)*(MUTUAL_BASICA+MUTUAL_ADIC+SANNA),0))</f>
        <v/>
      </c>
      <c r="AE127" s="71" t="str">
        <f aca="false">IF(AH127="","",P127-N(N127)+AB127+AC127+AD127)</f>
        <v/>
      </c>
      <c r="AF127" s="65"/>
      <c r="AG127" s="64"/>
      <c r="AH127" s="72" t="str">
        <f aca="false">IF(OR(B127="",C127=""),"",C127&amp;"|"&amp;(YEAR(B127)*100+MONTH(B127)))</f>
        <v/>
      </c>
      <c r="AI127" s="70" t="str">
        <f aca="false">IF(AH127="","",IF(COUNTIF(L_CLAVE,AH127)&gt;1,"⚠ Duplicado","OK"))</f>
        <v/>
      </c>
      <c r="AJ127" s="86" t="str">
        <f aca="false">IF(AH127="","",IF(SUMPRODUCT(MAX((IND_PER&lt;=B127)*(IND_UF&lt;&gt;"")*IND_PER))=0,UF_HOY,INDEX(IND_UF,MATCH(SUMPRODUCT(MAX((IND_PER&lt;=B127)*(IND_UF&lt;&gt;"")*IND_PER)),IND_PER,0))))</f>
        <v/>
      </c>
      <c r="AK127" s="87" t="str">
        <f aca="false">IF(AH127="","",IF(COUNTIF(TASA_DESDE,"&lt;="&amp;B127)=0,INDEX(TASA_EMP,1),INDEX(TASA_EMP,COUNTIF(TASA_DESDE,"&lt;="&amp;B127))))</f>
        <v/>
      </c>
    </row>
    <row r="128" customFormat="false" ht="15" hidden="false" customHeight="false" outlineLevel="0" collapsed="false">
      <c r="B128" s="78"/>
      <c r="C128" s="64"/>
      <c r="D128" s="72" t="str">
        <f aca="false">IF(C128="","",IFERROR(INDEX(T_NOMBRE,MATCH(C128,T_ID,0)),"⚠ ID no existe"))</f>
        <v/>
      </c>
      <c r="E128" s="69"/>
      <c r="F128" s="67"/>
      <c r="G128" s="67"/>
      <c r="H128" s="67"/>
      <c r="I128" s="67"/>
      <c r="J128" s="67"/>
      <c r="K128" s="85" t="str">
        <f aca="false">IF(AH128="","",N(F128)+N(G128)+N(H128)-N(I128)+N(J128))</f>
        <v/>
      </c>
      <c r="L128" s="67"/>
      <c r="M128" s="67"/>
      <c r="N128" s="67"/>
      <c r="O128" s="67"/>
      <c r="P128" s="85" t="str">
        <f aca="false">IF(AH128="","",K128+N(L128)+N(M128)+N(N128)+N(O128))</f>
        <v/>
      </c>
      <c r="Q128" s="67"/>
      <c r="R128" s="67"/>
      <c r="S128" s="67"/>
      <c r="T128" s="67"/>
      <c r="U128" s="67"/>
      <c r="V128" s="67"/>
      <c r="W128" s="85" t="str">
        <f aca="false">IF(AH128="","",N(Q128)+N(R128)+N(S128)+N(T128)+N(U128)+N(V128))</f>
        <v/>
      </c>
      <c r="X128" s="85" t="str">
        <f aca="false">IF(AH128="","",P128-W128)</f>
        <v/>
      </c>
      <c r="Y128" s="67"/>
      <c r="Z128" s="70" t="str">
        <f aca="false">IF(OR(AH128="",Y128=""),"",IF(ABS(X128-Y128)&lt;=1,"✓ Cuadra","⚠ Diferencia $"&amp;FIXED(X128-Y128,0)))</f>
        <v/>
      </c>
      <c r="AA128" s="72" t="str">
        <f aca="false">IF(AH128="","",IFERROR(INDEX(C_TIPO,MATCH(C128&amp;"-P"&amp;MAX(1,COUNTIFS(C_ID,C128,C_DEFINE,"Sí",C_INICIO,"&lt;="&amp;EOMONTH(B128,0))),C_CLAVE,0))&amp;"","Sin dato"))</f>
        <v/>
      </c>
      <c r="AB128" s="71" t="str">
        <f aca="false">IF(AH128="","",ROUND(MIN(K128,TOPE_AFP_UF*AJ128)*AK128,0))</f>
        <v/>
      </c>
      <c r="AC128" s="71" t="str">
        <f aca="false">IF(AH128="","",ROUND(MIN(K128,TOPE_AFC_UF*AJ128)*IF(AA128="Indefinido",AFC_EMP_INDEF,AFC_EMP_PF),0))</f>
        <v/>
      </c>
      <c r="AD128" s="71" t="str">
        <f aca="false">IF(AH128="","",ROUND(MIN(K128,TOPE_AFP_UF*AJ128)*(MUTUAL_BASICA+MUTUAL_ADIC+SANNA),0))</f>
        <v/>
      </c>
      <c r="AE128" s="71" t="str">
        <f aca="false">IF(AH128="","",P128-N(N128)+AB128+AC128+AD128)</f>
        <v/>
      </c>
      <c r="AF128" s="65"/>
      <c r="AG128" s="64"/>
      <c r="AH128" s="72" t="str">
        <f aca="false">IF(OR(B128="",C128=""),"",C128&amp;"|"&amp;(YEAR(B128)*100+MONTH(B128)))</f>
        <v/>
      </c>
      <c r="AI128" s="70" t="str">
        <f aca="false">IF(AH128="","",IF(COUNTIF(L_CLAVE,AH128)&gt;1,"⚠ Duplicado","OK"))</f>
        <v/>
      </c>
      <c r="AJ128" s="86" t="str">
        <f aca="false">IF(AH128="","",IF(SUMPRODUCT(MAX((IND_PER&lt;=B128)*(IND_UF&lt;&gt;"")*IND_PER))=0,UF_HOY,INDEX(IND_UF,MATCH(SUMPRODUCT(MAX((IND_PER&lt;=B128)*(IND_UF&lt;&gt;"")*IND_PER)),IND_PER,0))))</f>
        <v/>
      </c>
      <c r="AK128" s="87" t="str">
        <f aca="false">IF(AH128="","",IF(COUNTIF(TASA_DESDE,"&lt;="&amp;B128)=0,INDEX(TASA_EMP,1),INDEX(TASA_EMP,COUNTIF(TASA_DESDE,"&lt;="&amp;B128))))</f>
        <v/>
      </c>
    </row>
    <row r="129" customFormat="false" ht="15" hidden="false" customHeight="false" outlineLevel="0" collapsed="false">
      <c r="B129" s="78"/>
      <c r="C129" s="64"/>
      <c r="D129" s="72" t="str">
        <f aca="false">IF(C129="","",IFERROR(INDEX(T_NOMBRE,MATCH(C129,T_ID,0)),"⚠ ID no existe"))</f>
        <v/>
      </c>
      <c r="E129" s="69"/>
      <c r="F129" s="67"/>
      <c r="G129" s="67"/>
      <c r="H129" s="67"/>
      <c r="I129" s="67"/>
      <c r="J129" s="67"/>
      <c r="K129" s="85" t="str">
        <f aca="false">IF(AH129="","",N(F129)+N(G129)+N(H129)-N(I129)+N(J129))</f>
        <v/>
      </c>
      <c r="L129" s="67"/>
      <c r="M129" s="67"/>
      <c r="N129" s="67"/>
      <c r="O129" s="67"/>
      <c r="P129" s="85" t="str">
        <f aca="false">IF(AH129="","",K129+N(L129)+N(M129)+N(N129)+N(O129))</f>
        <v/>
      </c>
      <c r="Q129" s="67"/>
      <c r="R129" s="67"/>
      <c r="S129" s="67"/>
      <c r="T129" s="67"/>
      <c r="U129" s="67"/>
      <c r="V129" s="67"/>
      <c r="W129" s="85" t="str">
        <f aca="false">IF(AH129="","",N(Q129)+N(R129)+N(S129)+N(T129)+N(U129)+N(V129))</f>
        <v/>
      </c>
      <c r="X129" s="85" t="str">
        <f aca="false">IF(AH129="","",P129-W129)</f>
        <v/>
      </c>
      <c r="Y129" s="67"/>
      <c r="Z129" s="70" t="str">
        <f aca="false">IF(OR(AH129="",Y129=""),"",IF(ABS(X129-Y129)&lt;=1,"✓ Cuadra","⚠ Diferencia $"&amp;FIXED(X129-Y129,0)))</f>
        <v/>
      </c>
      <c r="AA129" s="72" t="str">
        <f aca="false">IF(AH129="","",IFERROR(INDEX(C_TIPO,MATCH(C129&amp;"-P"&amp;MAX(1,COUNTIFS(C_ID,C129,C_DEFINE,"Sí",C_INICIO,"&lt;="&amp;EOMONTH(B129,0))),C_CLAVE,0))&amp;"","Sin dato"))</f>
        <v/>
      </c>
      <c r="AB129" s="71" t="str">
        <f aca="false">IF(AH129="","",ROUND(MIN(K129,TOPE_AFP_UF*AJ129)*AK129,0))</f>
        <v/>
      </c>
      <c r="AC129" s="71" t="str">
        <f aca="false">IF(AH129="","",ROUND(MIN(K129,TOPE_AFC_UF*AJ129)*IF(AA129="Indefinido",AFC_EMP_INDEF,AFC_EMP_PF),0))</f>
        <v/>
      </c>
      <c r="AD129" s="71" t="str">
        <f aca="false">IF(AH129="","",ROUND(MIN(K129,TOPE_AFP_UF*AJ129)*(MUTUAL_BASICA+MUTUAL_ADIC+SANNA),0))</f>
        <v/>
      </c>
      <c r="AE129" s="71" t="str">
        <f aca="false">IF(AH129="","",P129-N(N129)+AB129+AC129+AD129)</f>
        <v/>
      </c>
      <c r="AF129" s="65"/>
      <c r="AG129" s="64"/>
      <c r="AH129" s="72" t="str">
        <f aca="false">IF(OR(B129="",C129=""),"",C129&amp;"|"&amp;(YEAR(B129)*100+MONTH(B129)))</f>
        <v/>
      </c>
      <c r="AI129" s="70" t="str">
        <f aca="false">IF(AH129="","",IF(COUNTIF(L_CLAVE,AH129)&gt;1,"⚠ Duplicado","OK"))</f>
        <v/>
      </c>
      <c r="AJ129" s="86" t="str">
        <f aca="false">IF(AH129="","",IF(SUMPRODUCT(MAX((IND_PER&lt;=B129)*(IND_UF&lt;&gt;"")*IND_PER))=0,UF_HOY,INDEX(IND_UF,MATCH(SUMPRODUCT(MAX((IND_PER&lt;=B129)*(IND_UF&lt;&gt;"")*IND_PER)),IND_PER,0))))</f>
        <v/>
      </c>
      <c r="AK129" s="87" t="str">
        <f aca="false">IF(AH129="","",IF(COUNTIF(TASA_DESDE,"&lt;="&amp;B129)=0,INDEX(TASA_EMP,1),INDEX(TASA_EMP,COUNTIF(TASA_DESDE,"&lt;="&amp;B129))))</f>
        <v/>
      </c>
    </row>
    <row r="130" customFormat="false" ht="15" hidden="false" customHeight="false" outlineLevel="0" collapsed="false">
      <c r="B130" s="78"/>
      <c r="C130" s="64"/>
      <c r="D130" s="72" t="str">
        <f aca="false">IF(C130="","",IFERROR(INDEX(T_NOMBRE,MATCH(C130,T_ID,0)),"⚠ ID no existe"))</f>
        <v/>
      </c>
      <c r="E130" s="69"/>
      <c r="F130" s="67"/>
      <c r="G130" s="67"/>
      <c r="H130" s="67"/>
      <c r="I130" s="67"/>
      <c r="J130" s="67"/>
      <c r="K130" s="85" t="str">
        <f aca="false">IF(AH130="","",N(F130)+N(G130)+N(H130)-N(I130)+N(J130))</f>
        <v/>
      </c>
      <c r="L130" s="67"/>
      <c r="M130" s="67"/>
      <c r="N130" s="67"/>
      <c r="O130" s="67"/>
      <c r="P130" s="85" t="str">
        <f aca="false">IF(AH130="","",K130+N(L130)+N(M130)+N(N130)+N(O130))</f>
        <v/>
      </c>
      <c r="Q130" s="67"/>
      <c r="R130" s="67"/>
      <c r="S130" s="67"/>
      <c r="T130" s="67"/>
      <c r="U130" s="67"/>
      <c r="V130" s="67"/>
      <c r="W130" s="85" t="str">
        <f aca="false">IF(AH130="","",N(Q130)+N(R130)+N(S130)+N(T130)+N(U130)+N(V130))</f>
        <v/>
      </c>
      <c r="X130" s="85" t="str">
        <f aca="false">IF(AH130="","",P130-W130)</f>
        <v/>
      </c>
      <c r="Y130" s="67"/>
      <c r="Z130" s="70" t="str">
        <f aca="false">IF(OR(AH130="",Y130=""),"",IF(ABS(X130-Y130)&lt;=1,"✓ Cuadra","⚠ Diferencia $"&amp;FIXED(X130-Y130,0)))</f>
        <v/>
      </c>
      <c r="AA130" s="72" t="str">
        <f aca="false">IF(AH130="","",IFERROR(INDEX(C_TIPO,MATCH(C130&amp;"-P"&amp;MAX(1,COUNTIFS(C_ID,C130,C_DEFINE,"Sí",C_INICIO,"&lt;="&amp;EOMONTH(B130,0))),C_CLAVE,0))&amp;"","Sin dato"))</f>
        <v/>
      </c>
      <c r="AB130" s="71" t="str">
        <f aca="false">IF(AH130="","",ROUND(MIN(K130,TOPE_AFP_UF*AJ130)*AK130,0))</f>
        <v/>
      </c>
      <c r="AC130" s="71" t="str">
        <f aca="false">IF(AH130="","",ROUND(MIN(K130,TOPE_AFC_UF*AJ130)*IF(AA130="Indefinido",AFC_EMP_INDEF,AFC_EMP_PF),0))</f>
        <v/>
      </c>
      <c r="AD130" s="71" t="str">
        <f aca="false">IF(AH130="","",ROUND(MIN(K130,TOPE_AFP_UF*AJ130)*(MUTUAL_BASICA+MUTUAL_ADIC+SANNA),0))</f>
        <v/>
      </c>
      <c r="AE130" s="71" t="str">
        <f aca="false">IF(AH130="","",P130-N(N130)+AB130+AC130+AD130)</f>
        <v/>
      </c>
      <c r="AF130" s="65"/>
      <c r="AG130" s="64"/>
      <c r="AH130" s="72" t="str">
        <f aca="false">IF(OR(B130="",C130=""),"",C130&amp;"|"&amp;(YEAR(B130)*100+MONTH(B130)))</f>
        <v/>
      </c>
      <c r="AI130" s="70" t="str">
        <f aca="false">IF(AH130="","",IF(COUNTIF(L_CLAVE,AH130)&gt;1,"⚠ Duplicado","OK"))</f>
        <v/>
      </c>
      <c r="AJ130" s="86" t="str">
        <f aca="false">IF(AH130="","",IF(SUMPRODUCT(MAX((IND_PER&lt;=B130)*(IND_UF&lt;&gt;"")*IND_PER))=0,UF_HOY,INDEX(IND_UF,MATCH(SUMPRODUCT(MAX((IND_PER&lt;=B130)*(IND_UF&lt;&gt;"")*IND_PER)),IND_PER,0))))</f>
        <v/>
      </c>
      <c r="AK130" s="87" t="str">
        <f aca="false">IF(AH130="","",IF(COUNTIF(TASA_DESDE,"&lt;="&amp;B130)=0,INDEX(TASA_EMP,1),INDEX(TASA_EMP,COUNTIF(TASA_DESDE,"&lt;="&amp;B130))))</f>
        <v/>
      </c>
    </row>
    <row r="131" customFormat="false" ht="15" hidden="false" customHeight="false" outlineLevel="0" collapsed="false">
      <c r="B131" s="78"/>
      <c r="C131" s="64"/>
      <c r="D131" s="72" t="str">
        <f aca="false">IF(C131="","",IFERROR(INDEX(T_NOMBRE,MATCH(C131,T_ID,0)),"⚠ ID no existe"))</f>
        <v/>
      </c>
      <c r="E131" s="69"/>
      <c r="F131" s="67"/>
      <c r="G131" s="67"/>
      <c r="H131" s="67"/>
      <c r="I131" s="67"/>
      <c r="J131" s="67"/>
      <c r="K131" s="85" t="str">
        <f aca="false">IF(AH131="","",N(F131)+N(G131)+N(H131)-N(I131)+N(J131))</f>
        <v/>
      </c>
      <c r="L131" s="67"/>
      <c r="M131" s="67"/>
      <c r="N131" s="67"/>
      <c r="O131" s="67"/>
      <c r="P131" s="85" t="str">
        <f aca="false">IF(AH131="","",K131+N(L131)+N(M131)+N(N131)+N(O131))</f>
        <v/>
      </c>
      <c r="Q131" s="67"/>
      <c r="R131" s="67"/>
      <c r="S131" s="67"/>
      <c r="T131" s="67"/>
      <c r="U131" s="67"/>
      <c r="V131" s="67"/>
      <c r="W131" s="85" t="str">
        <f aca="false">IF(AH131="","",N(Q131)+N(R131)+N(S131)+N(T131)+N(U131)+N(V131))</f>
        <v/>
      </c>
      <c r="X131" s="85" t="str">
        <f aca="false">IF(AH131="","",P131-W131)</f>
        <v/>
      </c>
      <c r="Y131" s="67"/>
      <c r="Z131" s="70" t="str">
        <f aca="false">IF(OR(AH131="",Y131=""),"",IF(ABS(X131-Y131)&lt;=1,"✓ Cuadra","⚠ Diferencia $"&amp;FIXED(X131-Y131,0)))</f>
        <v/>
      </c>
      <c r="AA131" s="72" t="str">
        <f aca="false">IF(AH131="","",IFERROR(INDEX(C_TIPO,MATCH(C131&amp;"-P"&amp;MAX(1,COUNTIFS(C_ID,C131,C_DEFINE,"Sí",C_INICIO,"&lt;="&amp;EOMONTH(B131,0))),C_CLAVE,0))&amp;"","Sin dato"))</f>
        <v/>
      </c>
      <c r="AB131" s="71" t="str">
        <f aca="false">IF(AH131="","",ROUND(MIN(K131,TOPE_AFP_UF*AJ131)*AK131,0))</f>
        <v/>
      </c>
      <c r="AC131" s="71" t="str">
        <f aca="false">IF(AH131="","",ROUND(MIN(K131,TOPE_AFC_UF*AJ131)*IF(AA131="Indefinido",AFC_EMP_INDEF,AFC_EMP_PF),0))</f>
        <v/>
      </c>
      <c r="AD131" s="71" t="str">
        <f aca="false">IF(AH131="","",ROUND(MIN(K131,TOPE_AFP_UF*AJ131)*(MUTUAL_BASICA+MUTUAL_ADIC+SANNA),0))</f>
        <v/>
      </c>
      <c r="AE131" s="71" t="str">
        <f aca="false">IF(AH131="","",P131-N(N131)+AB131+AC131+AD131)</f>
        <v/>
      </c>
      <c r="AF131" s="65"/>
      <c r="AG131" s="64"/>
      <c r="AH131" s="72" t="str">
        <f aca="false">IF(OR(B131="",C131=""),"",C131&amp;"|"&amp;(YEAR(B131)*100+MONTH(B131)))</f>
        <v/>
      </c>
      <c r="AI131" s="70" t="str">
        <f aca="false">IF(AH131="","",IF(COUNTIF(L_CLAVE,AH131)&gt;1,"⚠ Duplicado","OK"))</f>
        <v/>
      </c>
      <c r="AJ131" s="86" t="str">
        <f aca="false">IF(AH131="","",IF(SUMPRODUCT(MAX((IND_PER&lt;=B131)*(IND_UF&lt;&gt;"")*IND_PER))=0,UF_HOY,INDEX(IND_UF,MATCH(SUMPRODUCT(MAX((IND_PER&lt;=B131)*(IND_UF&lt;&gt;"")*IND_PER)),IND_PER,0))))</f>
        <v/>
      </c>
      <c r="AK131" s="87" t="str">
        <f aca="false">IF(AH131="","",IF(COUNTIF(TASA_DESDE,"&lt;="&amp;B131)=0,INDEX(TASA_EMP,1),INDEX(TASA_EMP,COUNTIF(TASA_DESDE,"&lt;="&amp;B131))))</f>
        <v/>
      </c>
    </row>
    <row r="132" customFormat="false" ht="15" hidden="false" customHeight="false" outlineLevel="0" collapsed="false">
      <c r="B132" s="78"/>
      <c r="C132" s="64"/>
      <c r="D132" s="72" t="str">
        <f aca="false">IF(C132="","",IFERROR(INDEX(T_NOMBRE,MATCH(C132,T_ID,0)),"⚠ ID no existe"))</f>
        <v/>
      </c>
      <c r="E132" s="69"/>
      <c r="F132" s="67"/>
      <c r="G132" s="67"/>
      <c r="H132" s="67"/>
      <c r="I132" s="67"/>
      <c r="J132" s="67"/>
      <c r="K132" s="85" t="str">
        <f aca="false">IF(AH132="","",N(F132)+N(G132)+N(H132)-N(I132)+N(J132))</f>
        <v/>
      </c>
      <c r="L132" s="67"/>
      <c r="M132" s="67"/>
      <c r="N132" s="67"/>
      <c r="O132" s="67"/>
      <c r="P132" s="85" t="str">
        <f aca="false">IF(AH132="","",K132+N(L132)+N(M132)+N(N132)+N(O132))</f>
        <v/>
      </c>
      <c r="Q132" s="67"/>
      <c r="R132" s="67"/>
      <c r="S132" s="67"/>
      <c r="T132" s="67"/>
      <c r="U132" s="67"/>
      <c r="V132" s="67"/>
      <c r="W132" s="85" t="str">
        <f aca="false">IF(AH132="","",N(Q132)+N(R132)+N(S132)+N(T132)+N(U132)+N(V132))</f>
        <v/>
      </c>
      <c r="X132" s="85" t="str">
        <f aca="false">IF(AH132="","",P132-W132)</f>
        <v/>
      </c>
      <c r="Y132" s="67"/>
      <c r="Z132" s="70" t="str">
        <f aca="false">IF(OR(AH132="",Y132=""),"",IF(ABS(X132-Y132)&lt;=1,"✓ Cuadra","⚠ Diferencia $"&amp;FIXED(X132-Y132,0)))</f>
        <v/>
      </c>
      <c r="AA132" s="72" t="str">
        <f aca="false">IF(AH132="","",IFERROR(INDEX(C_TIPO,MATCH(C132&amp;"-P"&amp;MAX(1,COUNTIFS(C_ID,C132,C_DEFINE,"Sí",C_INICIO,"&lt;="&amp;EOMONTH(B132,0))),C_CLAVE,0))&amp;"","Sin dato"))</f>
        <v/>
      </c>
      <c r="AB132" s="71" t="str">
        <f aca="false">IF(AH132="","",ROUND(MIN(K132,TOPE_AFP_UF*AJ132)*AK132,0))</f>
        <v/>
      </c>
      <c r="AC132" s="71" t="str">
        <f aca="false">IF(AH132="","",ROUND(MIN(K132,TOPE_AFC_UF*AJ132)*IF(AA132="Indefinido",AFC_EMP_INDEF,AFC_EMP_PF),0))</f>
        <v/>
      </c>
      <c r="AD132" s="71" t="str">
        <f aca="false">IF(AH132="","",ROUND(MIN(K132,TOPE_AFP_UF*AJ132)*(MUTUAL_BASICA+MUTUAL_ADIC+SANNA),0))</f>
        <v/>
      </c>
      <c r="AE132" s="71" t="str">
        <f aca="false">IF(AH132="","",P132-N(N132)+AB132+AC132+AD132)</f>
        <v/>
      </c>
      <c r="AF132" s="65"/>
      <c r="AG132" s="64"/>
      <c r="AH132" s="72" t="str">
        <f aca="false">IF(OR(B132="",C132=""),"",C132&amp;"|"&amp;(YEAR(B132)*100+MONTH(B132)))</f>
        <v/>
      </c>
      <c r="AI132" s="70" t="str">
        <f aca="false">IF(AH132="","",IF(COUNTIF(L_CLAVE,AH132)&gt;1,"⚠ Duplicado","OK"))</f>
        <v/>
      </c>
      <c r="AJ132" s="86" t="str">
        <f aca="false">IF(AH132="","",IF(SUMPRODUCT(MAX((IND_PER&lt;=B132)*(IND_UF&lt;&gt;"")*IND_PER))=0,UF_HOY,INDEX(IND_UF,MATCH(SUMPRODUCT(MAX((IND_PER&lt;=B132)*(IND_UF&lt;&gt;"")*IND_PER)),IND_PER,0))))</f>
        <v/>
      </c>
      <c r="AK132" s="87" t="str">
        <f aca="false">IF(AH132="","",IF(COUNTIF(TASA_DESDE,"&lt;="&amp;B132)=0,INDEX(TASA_EMP,1),INDEX(TASA_EMP,COUNTIF(TASA_DESDE,"&lt;="&amp;B132))))</f>
        <v/>
      </c>
    </row>
    <row r="133" customFormat="false" ht="15" hidden="false" customHeight="false" outlineLevel="0" collapsed="false">
      <c r="B133" s="78"/>
      <c r="C133" s="64"/>
      <c r="D133" s="72" t="str">
        <f aca="false">IF(C133="","",IFERROR(INDEX(T_NOMBRE,MATCH(C133,T_ID,0)),"⚠ ID no existe"))</f>
        <v/>
      </c>
      <c r="E133" s="69"/>
      <c r="F133" s="67"/>
      <c r="G133" s="67"/>
      <c r="H133" s="67"/>
      <c r="I133" s="67"/>
      <c r="J133" s="67"/>
      <c r="K133" s="85" t="str">
        <f aca="false">IF(AH133="","",N(F133)+N(G133)+N(H133)-N(I133)+N(J133))</f>
        <v/>
      </c>
      <c r="L133" s="67"/>
      <c r="M133" s="67"/>
      <c r="N133" s="67"/>
      <c r="O133" s="67"/>
      <c r="P133" s="85" t="str">
        <f aca="false">IF(AH133="","",K133+N(L133)+N(M133)+N(N133)+N(O133))</f>
        <v/>
      </c>
      <c r="Q133" s="67"/>
      <c r="R133" s="67"/>
      <c r="S133" s="67"/>
      <c r="T133" s="67"/>
      <c r="U133" s="67"/>
      <c r="V133" s="67"/>
      <c r="W133" s="85" t="str">
        <f aca="false">IF(AH133="","",N(Q133)+N(R133)+N(S133)+N(T133)+N(U133)+N(V133))</f>
        <v/>
      </c>
      <c r="X133" s="85" t="str">
        <f aca="false">IF(AH133="","",P133-W133)</f>
        <v/>
      </c>
      <c r="Y133" s="67"/>
      <c r="Z133" s="70" t="str">
        <f aca="false">IF(OR(AH133="",Y133=""),"",IF(ABS(X133-Y133)&lt;=1,"✓ Cuadra","⚠ Diferencia $"&amp;FIXED(X133-Y133,0)))</f>
        <v/>
      </c>
      <c r="AA133" s="72" t="str">
        <f aca="false">IF(AH133="","",IFERROR(INDEX(C_TIPO,MATCH(C133&amp;"-P"&amp;MAX(1,COUNTIFS(C_ID,C133,C_DEFINE,"Sí",C_INICIO,"&lt;="&amp;EOMONTH(B133,0))),C_CLAVE,0))&amp;"","Sin dato"))</f>
        <v/>
      </c>
      <c r="AB133" s="71" t="str">
        <f aca="false">IF(AH133="","",ROUND(MIN(K133,TOPE_AFP_UF*AJ133)*AK133,0))</f>
        <v/>
      </c>
      <c r="AC133" s="71" t="str">
        <f aca="false">IF(AH133="","",ROUND(MIN(K133,TOPE_AFC_UF*AJ133)*IF(AA133="Indefinido",AFC_EMP_INDEF,AFC_EMP_PF),0))</f>
        <v/>
      </c>
      <c r="AD133" s="71" t="str">
        <f aca="false">IF(AH133="","",ROUND(MIN(K133,TOPE_AFP_UF*AJ133)*(MUTUAL_BASICA+MUTUAL_ADIC+SANNA),0))</f>
        <v/>
      </c>
      <c r="AE133" s="71" t="str">
        <f aca="false">IF(AH133="","",P133-N(N133)+AB133+AC133+AD133)</f>
        <v/>
      </c>
      <c r="AF133" s="65"/>
      <c r="AG133" s="64"/>
      <c r="AH133" s="72" t="str">
        <f aca="false">IF(OR(B133="",C133=""),"",C133&amp;"|"&amp;(YEAR(B133)*100+MONTH(B133)))</f>
        <v/>
      </c>
      <c r="AI133" s="70" t="str">
        <f aca="false">IF(AH133="","",IF(COUNTIF(L_CLAVE,AH133)&gt;1,"⚠ Duplicado","OK"))</f>
        <v/>
      </c>
      <c r="AJ133" s="86" t="str">
        <f aca="false">IF(AH133="","",IF(SUMPRODUCT(MAX((IND_PER&lt;=B133)*(IND_UF&lt;&gt;"")*IND_PER))=0,UF_HOY,INDEX(IND_UF,MATCH(SUMPRODUCT(MAX((IND_PER&lt;=B133)*(IND_UF&lt;&gt;"")*IND_PER)),IND_PER,0))))</f>
        <v/>
      </c>
      <c r="AK133" s="87" t="str">
        <f aca="false">IF(AH133="","",IF(COUNTIF(TASA_DESDE,"&lt;="&amp;B133)=0,INDEX(TASA_EMP,1),INDEX(TASA_EMP,COUNTIF(TASA_DESDE,"&lt;="&amp;B133))))</f>
        <v/>
      </c>
    </row>
    <row r="134" customFormat="false" ht="15" hidden="false" customHeight="false" outlineLevel="0" collapsed="false">
      <c r="B134" s="78"/>
      <c r="C134" s="64"/>
      <c r="D134" s="72" t="str">
        <f aca="false">IF(C134="","",IFERROR(INDEX(T_NOMBRE,MATCH(C134,T_ID,0)),"⚠ ID no existe"))</f>
        <v/>
      </c>
      <c r="E134" s="69"/>
      <c r="F134" s="67"/>
      <c r="G134" s="67"/>
      <c r="H134" s="67"/>
      <c r="I134" s="67"/>
      <c r="J134" s="67"/>
      <c r="K134" s="85" t="str">
        <f aca="false">IF(AH134="","",N(F134)+N(G134)+N(H134)-N(I134)+N(J134))</f>
        <v/>
      </c>
      <c r="L134" s="67"/>
      <c r="M134" s="67"/>
      <c r="N134" s="67"/>
      <c r="O134" s="67"/>
      <c r="P134" s="85" t="str">
        <f aca="false">IF(AH134="","",K134+N(L134)+N(M134)+N(N134)+N(O134))</f>
        <v/>
      </c>
      <c r="Q134" s="67"/>
      <c r="R134" s="67"/>
      <c r="S134" s="67"/>
      <c r="T134" s="67"/>
      <c r="U134" s="67"/>
      <c r="V134" s="67"/>
      <c r="W134" s="85" t="str">
        <f aca="false">IF(AH134="","",N(Q134)+N(R134)+N(S134)+N(T134)+N(U134)+N(V134))</f>
        <v/>
      </c>
      <c r="X134" s="85" t="str">
        <f aca="false">IF(AH134="","",P134-W134)</f>
        <v/>
      </c>
      <c r="Y134" s="67"/>
      <c r="Z134" s="70" t="str">
        <f aca="false">IF(OR(AH134="",Y134=""),"",IF(ABS(X134-Y134)&lt;=1,"✓ Cuadra","⚠ Diferencia $"&amp;FIXED(X134-Y134,0)))</f>
        <v/>
      </c>
      <c r="AA134" s="72" t="str">
        <f aca="false">IF(AH134="","",IFERROR(INDEX(C_TIPO,MATCH(C134&amp;"-P"&amp;MAX(1,COUNTIFS(C_ID,C134,C_DEFINE,"Sí",C_INICIO,"&lt;="&amp;EOMONTH(B134,0))),C_CLAVE,0))&amp;"","Sin dato"))</f>
        <v/>
      </c>
      <c r="AB134" s="71" t="str">
        <f aca="false">IF(AH134="","",ROUND(MIN(K134,TOPE_AFP_UF*AJ134)*AK134,0))</f>
        <v/>
      </c>
      <c r="AC134" s="71" t="str">
        <f aca="false">IF(AH134="","",ROUND(MIN(K134,TOPE_AFC_UF*AJ134)*IF(AA134="Indefinido",AFC_EMP_INDEF,AFC_EMP_PF),0))</f>
        <v/>
      </c>
      <c r="AD134" s="71" t="str">
        <f aca="false">IF(AH134="","",ROUND(MIN(K134,TOPE_AFP_UF*AJ134)*(MUTUAL_BASICA+MUTUAL_ADIC+SANNA),0))</f>
        <v/>
      </c>
      <c r="AE134" s="71" t="str">
        <f aca="false">IF(AH134="","",P134-N(N134)+AB134+AC134+AD134)</f>
        <v/>
      </c>
      <c r="AF134" s="65"/>
      <c r="AG134" s="64"/>
      <c r="AH134" s="72" t="str">
        <f aca="false">IF(OR(B134="",C134=""),"",C134&amp;"|"&amp;(YEAR(B134)*100+MONTH(B134)))</f>
        <v/>
      </c>
      <c r="AI134" s="70" t="str">
        <f aca="false">IF(AH134="","",IF(COUNTIF(L_CLAVE,AH134)&gt;1,"⚠ Duplicado","OK"))</f>
        <v/>
      </c>
      <c r="AJ134" s="86" t="str">
        <f aca="false">IF(AH134="","",IF(SUMPRODUCT(MAX((IND_PER&lt;=B134)*(IND_UF&lt;&gt;"")*IND_PER))=0,UF_HOY,INDEX(IND_UF,MATCH(SUMPRODUCT(MAX((IND_PER&lt;=B134)*(IND_UF&lt;&gt;"")*IND_PER)),IND_PER,0))))</f>
        <v/>
      </c>
      <c r="AK134" s="87" t="str">
        <f aca="false">IF(AH134="","",IF(COUNTIF(TASA_DESDE,"&lt;="&amp;B134)=0,INDEX(TASA_EMP,1),INDEX(TASA_EMP,COUNTIF(TASA_DESDE,"&lt;="&amp;B134))))</f>
        <v/>
      </c>
    </row>
    <row r="135" customFormat="false" ht="15" hidden="false" customHeight="false" outlineLevel="0" collapsed="false">
      <c r="B135" s="78"/>
      <c r="C135" s="64"/>
      <c r="D135" s="72" t="str">
        <f aca="false">IF(C135="","",IFERROR(INDEX(T_NOMBRE,MATCH(C135,T_ID,0)),"⚠ ID no existe"))</f>
        <v/>
      </c>
      <c r="E135" s="69"/>
      <c r="F135" s="67"/>
      <c r="G135" s="67"/>
      <c r="H135" s="67"/>
      <c r="I135" s="67"/>
      <c r="J135" s="67"/>
      <c r="K135" s="85" t="str">
        <f aca="false">IF(AH135="","",N(F135)+N(G135)+N(H135)-N(I135)+N(J135))</f>
        <v/>
      </c>
      <c r="L135" s="67"/>
      <c r="M135" s="67"/>
      <c r="N135" s="67"/>
      <c r="O135" s="67"/>
      <c r="P135" s="85" t="str">
        <f aca="false">IF(AH135="","",K135+N(L135)+N(M135)+N(N135)+N(O135))</f>
        <v/>
      </c>
      <c r="Q135" s="67"/>
      <c r="R135" s="67"/>
      <c r="S135" s="67"/>
      <c r="T135" s="67"/>
      <c r="U135" s="67"/>
      <c r="V135" s="67"/>
      <c r="W135" s="85" t="str">
        <f aca="false">IF(AH135="","",N(Q135)+N(R135)+N(S135)+N(T135)+N(U135)+N(V135))</f>
        <v/>
      </c>
      <c r="X135" s="85" t="str">
        <f aca="false">IF(AH135="","",P135-W135)</f>
        <v/>
      </c>
      <c r="Y135" s="67"/>
      <c r="Z135" s="70" t="str">
        <f aca="false">IF(OR(AH135="",Y135=""),"",IF(ABS(X135-Y135)&lt;=1,"✓ Cuadra","⚠ Diferencia $"&amp;FIXED(X135-Y135,0)))</f>
        <v/>
      </c>
      <c r="AA135" s="72" t="str">
        <f aca="false">IF(AH135="","",IFERROR(INDEX(C_TIPO,MATCH(C135&amp;"-P"&amp;MAX(1,COUNTIFS(C_ID,C135,C_DEFINE,"Sí",C_INICIO,"&lt;="&amp;EOMONTH(B135,0))),C_CLAVE,0))&amp;"","Sin dato"))</f>
        <v/>
      </c>
      <c r="AB135" s="71" t="str">
        <f aca="false">IF(AH135="","",ROUND(MIN(K135,TOPE_AFP_UF*AJ135)*AK135,0))</f>
        <v/>
      </c>
      <c r="AC135" s="71" t="str">
        <f aca="false">IF(AH135="","",ROUND(MIN(K135,TOPE_AFC_UF*AJ135)*IF(AA135="Indefinido",AFC_EMP_INDEF,AFC_EMP_PF),0))</f>
        <v/>
      </c>
      <c r="AD135" s="71" t="str">
        <f aca="false">IF(AH135="","",ROUND(MIN(K135,TOPE_AFP_UF*AJ135)*(MUTUAL_BASICA+MUTUAL_ADIC+SANNA),0))</f>
        <v/>
      </c>
      <c r="AE135" s="71" t="str">
        <f aca="false">IF(AH135="","",P135-N(N135)+AB135+AC135+AD135)</f>
        <v/>
      </c>
      <c r="AF135" s="65"/>
      <c r="AG135" s="64"/>
      <c r="AH135" s="72" t="str">
        <f aca="false">IF(OR(B135="",C135=""),"",C135&amp;"|"&amp;(YEAR(B135)*100+MONTH(B135)))</f>
        <v/>
      </c>
      <c r="AI135" s="70" t="str">
        <f aca="false">IF(AH135="","",IF(COUNTIF(L_CLAVE,AH135)&gt;1,"⚠ Duplicado","OK"))</f>
        <v/>
      </c>
      <c r="AJ135" s="86" t="str">
        <f aca="false">IF(AH135="","",IF(SUMPRODUCT(MAX((IND_PER&lt;=B135)*(IND_UF&lt;&gt;"")*IND_PER))=0,UF_HOY,INDEX(IND_UF,MATCH(SUMPRODUCT(MAX((IND_PER&lt;=B135)*(IND_UF&lt;&gt;"")*IND_PER)),IND_PER,0))))</f>
        <v/>
      </c>
      <c r="AK135" s="87" t="str">
        <f aca="false">IF(AH135="","",IF(COUNTIF(TASA_DESDE,"&lt;="&amp;B135)=0,INDEX(TASA_EMP,1),INDEX(TASA_EMP,COUNTIF(TASA_DESDE,"&lt;="&amp;B135))))</f>
        <v/>
      </c>
    </row>
    <row r="136" customFormat="false" ht="15" hidden="false" customHeight="false" outlineLevel="0" collapsed="false">
      <c r="B136" s="78"/>
      <c r="C136" s="64"/>
      <c r="D136" s="72" t="str">
        <f aca="false">IF(C136="","",IFERROR(INDEX(T_NOMBRE,MATCH(C136,T_ID,0)),"⚠ ID no existe"))</f>
        <v/>
      </c>
      <c r="E136" s="69"/>
      <c r="F136" s="67"/>
      <c r="G136" s="67"/>
      <c r="H136" s="67"/>
      <c r="I136" s="67"/>
      <c r="J136" s="67"/>
      <c r="K136" s="85" t="str">
        <f aca="false">IF(AH136="","",N(F136)+N(G136)+N(H136)-N(I136)+N(J136))</f>
        <v/>
      </c>
      <c r="L136" s="67"/>
      <c r="M136" s="67"/>
      <c r="N136" s="67"/>
      <c r="O136" s="67"/>
      <c r="P136" s="85" t="str">
        <f aca="false">IF(AH136="","",K136+N(L136)+N(M136)+N(N136)+N(O136))</f>
        <v/>
      </c>
      <c r="Q136" s="67"/>
      <c r="R136" s="67"/>
      <c r="S136" s="67"/>
      <c r="T136" s="67"/>
      <c r="U136" s="67"/>
      <c r="V136" s="67"/>
      <c r="W136" s="85" t="str">
        <f aca="false">IF(AH136="","",N(Q136)+N(R136)+N(S136)+N(T136)+N(U136)+N(V136))</f>
        <v/>
      </c>
      <c r="X136" s="85" t="str">
        <f aca="false">IF(AH136="","",P136-W136)</f>
        <v/>
      </c>
      <c r="Y136" s="67"/>
      <c r="Z136" s="70" t="str">
        <f aca="false">IF(OR(AH136="",Y136=""),"",IF(ABS(X136-Y136)&lt;=1,"✓ Cuadra","⚠ Diferencia $"&amp;FIXED(X136-Y136,0)))</f>
        <v/>
      </c>
      <c r="AA136" s="72" t="str">
        <f aca="false">IF(AH136="","",IFERROR(INDEX(C_TIPO,MATCH(C136&amp;"-P"&amp;MAX(1,COUNTIFS(C_ID,C136,C_DEFINE,"Sí",C_INICIO,"&lt;="&amp;EOMONTH(B136,0))),C_CLAVE,0))&amp;"","Sin dato"))</f>
        <v/>
      </c>
      <c r="AB136" s="71" t="str">
        <f aca="false">IF(AH136="","",ROUND(MIN(K136,TOPE_AFP_UF*AJ136)*AK136,0))</f>
        <v/>
      </c>
      <c r="AC136" s="71" t="str">
        <f aca="false">IF(AH136="","",ROUND(MIN(K136,TOPE_AFC_UF*AJ136)*IF(AA136="Indefinido",AFC_EMP_INDEF,AFC_EMP_PF),0))</f>
        <v/>
      </c>
      <c r="AD136" s="71" t="str">
        <f aca="false">IF(AH136="","",ROUND(MIN(K136,TOPE_AFP_UF*AJ136)*(MUTUAL_BASICA+MUTUAL_ADIC+SANNA),0))</f>
        <v/>
      </c>
      <c r="AE136" s="71" t="str">
        <f aca="false">IF(AH136="","",P136-N(N136)+AB136+AC136+AD136)</f>
        <v/>
      </c>
      <c r="AF136" s="65"/>
      <c r="AG136" s="64"/>
      <c r="AH136" s="72" t="str">
        <f aca="false">IF(OR(B136="",C136=""),"",C136&amp;"|"&amp;(YEAR(B136)*100+MONTH(B136)))</f>
        <v/>
      </c>
      <c r="AI136" s="70" t="str">
        <f aca="false">IF(AH136="","",IF(COUNTIF(L_CLAVE,AH136)&gt;1,"⚠ Duplicado","OK"))</f>
        <v/>
      </c>
      <c r="AJ136" s="86" t="str">
        <f aca="false">IF(AH136="","",IF(SUMPRODUCT(MAX((IND_PER&lt;=B136)*(IND_UF&lt;&gt;"")*IND_PER))=0,UF_HOY,INDEX(IND_UF,MATCH(SUMPRODUCT(MAX((IND_PER&lt;=B136)*(IND_UF&lt;&gt;"")*IND_PER)),IND_PER,0))))</f>
        <v/>
      </c>
      <c r="AK136" s="87" t="str">
        <f aca="false">IF(AH136="","",IF(COUNTIF(TASA_DESDE,"&lt;="&amp;B136)=0,INDEX(TASA_EMP,1),INDEX(TASA_EMP,COUNTIF(TASA_DESDE,"&lt;="&amp;B136))))</f>
        <v/>
      </c>
    </row>
    <row r="137" customFormat="false" ht="15" hidden="false" customHeight="false" outlineLevel="0" collapsed="false">
      <c r="B137" s="78"/>
      <c r="C137" s="64"/>
      <c r="D137" s="72" t="str">
        <f aca="false">IF(C137="","",IFERROR(INDEX(T_NOMBRE,MATCH(C137,T_ID,0)),"⚠ ID no existe"))</f>
        <v/>
      </c>
      <c r="E137" s="69"/>
      <c r="F137" s="67"/>
      <c r="G137" s="67"/>
      <c r="H137" s="67"/>
      <c r="I137" s="67"/>
      <c r="J137" s="67"/>
      <c r="K137" s="85" t="str">
        <f aca="false">IF(AH137="","",N(F137)+N(G137)+N(H137)-N(I137)+N(J137))</f>
        <v/>
      </c>
      <c r="L137" s="67"/>
      <c r="M137" s="67"/>
      <c r="N137" s="67"/>
      <c r="O137" s="67"/>
      <c r="P137" s="85" t="str">
        <f aca="false">IF(AH137="","",K137+N(L137)+N(M137)+N(N137)+N(O137))</f>
        <v/>
      </c>
      <c r="Q137" s="67"/>
      <c r="R137" s="67"/>
      <c r="S137" s="67"/>
      <c r="T137" s="67"/>
      <c r="U137" s="67"/>
      <c r="V137" s="67"/>
      <c r="W137" s="85" t="str">
        <f aca="false">IF(AH137="","",N(Q137)+N(R137)+N(S137)+N(T137)+N(U137)+N(V137))</f>
        <v/>
      </c>
      <c r="X137" s="85" t="str">
        <f aca="false">IF(AH137="","",P137-W137)</f>
        <v/>
      </c>
      <c r="Y137" s="67"/>
      <c r="Z137" s="70" t="str">
        <f aca="false">IF(OR(AH137="",Y137=""),"",IF(ABS(X137-Y137)&lt;=1,"✓ Cuadra","⚠ Diferencia $"&amp;FIXED(X137-Y137,0)))</f>
        <v/>
      </c>
      <c r="AA137" s="72" t="str">
        <f aca="false">IF(AH137="","",IFERROR(INDEX(C_TIPO,MATCH(C137&amp;"-P"&amp;MAX(1,COUNTIFS(C_ID,C137,C_DEFINE,"Sí",C_INICIO,"&lt;="&amp;EOMONTH(B137,0))),C_CLAVE,0))&amp;"","Sin dato"))</f>
        <v/>
      </c>
      <c r="AB137" s="71" t="str">
        <f aca="false">IF(AH137="","",ROUND(MIN(K137,TOPE_AFP_UF*AJ137)*AK137,0))</f>
        <v/>
      </c>
      <c r="AC137" s="71" t="str">
        <f aca="false">IF(AH137="","",ROUND(MIN(K137,TOPE_AFC_UF*AJ137)*IF(AA137="Indefinido",AFC_EMP_INDEF,AFC_EMP_PF),0))</f>
        <v/>
      </c>
      <c r="AD137" s="71" t="str">
        <f aca="false">IF(AH137="","",ROUND(MIN(K137,TOPE_AFP_UF*AJ137)*(MUTUAL_BASICA+MUTUAL_ADIC+SANNA),0))</f>
        <v/>
      </c>
      <c r="AE137" s="71" t="str">
        <f aca="false">IF(AH137="","",P137-N(N137)+AB137+AC137+AD137)</f>
        <v/>
      </c>
      <c r="AF137" s="65"/>
      <c r="AG137" s="64"/>
      <c r="AH137" s="72" t="str">
        <f aca="false">IF(OR(B137="",C137=""),"",C137&amp;"|"&amp;(YEAR(B137)*100+MONTH(B137)))</f>
        <v/>
      </c>
      <c r="AI137" s="70" t="str">
        <f aca="false">IF(AH137="","",IF(COUNTIF(L_CLAVE,AH137)&gt;1,"⚠ Duplicado","OK"))</f>
        <v/>
      </c>
      <c r="AJ137" s="86" t="str">
        <f aca="false">IF(AH137="","",IF(SUMPRODUCT(MAX((IND_PER&lt;=B137)*(IND_UF&lt;&gt;"")*IND_PER))=0,UF_HOY,INDEX(IND_UF,MATCH(SUMPRODUCT(MAX((IND_PER&lt;=B137)*(IND_UF&lt;&gt;"")*IND_PER)),IND_PER,0))))</f>
        <v/>
      </c>
      <c r="AK137" s="87" t="str">
        <f aca="false">IF(AH137="","",IF(COUNTIF(TASA_DESDE,"&lt;="&amp;B137)=0,INDEX(TASA_EMP,1),INDEX(TASA_EMP,COUNTIF(TASA_DESDE,"&lt;="&amp;B137))))</f>
        <v/>
      </c>
    </row>
    <row r="138" customFormat="false" ht="15" hidden="false" customHeight="false" outlineLevel="0" collapsed="false">
      <c r="B138" s="78"/>
      <c r="C138" s="64"/>
      <c r="D138" s="72" t="str">
        <f aca="false">IF(C138="","",IFERROR(INDEX(T_NOMBRE,MATCH(C138,T_ID,0)),"⚠ ID no existe"))</f>
        <v/>
      </c>
      <c r="E138" s="69"/>
      <c r="F138" s="67"/>
      <c r="G138" s="67"/>
      <c r="H138" s="67"/>
      <c r="I138" s="67"/>
      <c r="J138" s="67"/>
      <c r="K138" s="85" t="str">
        <f aca="false">IF(AH138="","",N(F138)+N(G138)+N(H138)-N(I138)+N(J138))</f>
        <v/>
      </c>
      <c r="L138" s="67"/>
      <c r="M138" s="67"/>
      <c r="N138" s="67"/>
      <c r="O138" s="67"/>
      <c r="P138" s="85" t="str">
        <f aca="false">IF(AH138="","",K138+N(L138)+N(M138)+N(N138)+N(O138))</f>
        <v/>
      </c>
      <c r="Q138" s="67"/>
      <c r="R138" s="67"/>
      <c r="S138" s="67"/>
      <c r="T138" s="67"/>
      <c r="U138" s="67"/>
      <c r="V138" s="67"/>
      <c r="W138" s="85" t="str">
        <f aca="false">IF(AH138="","",N(Q138)+N(R138)+N(S138)+N(T138)+N(U138)+N(V138))</f>
        <v/>
      </c>
      <c r="X138" s="85" t="str">
        <f aca="false">IF(AH138="","",P138-W138)</f>
        <v/>
      </c>
      <c r="Y138" s="67"/>
      <c r="Z138" s="70" t="str">
        <f aca="false">IF(OR(AH138="",Y138=""),"",IF(ABS(X138-Y138)&lt;=1,"✓ Cuadra","⚠ Diferencia $"&amp;FIXED(X138-Y138,0)))</f>
        <v/>
      </c>
      <c r="AA138" s="72" t="str">
        <f aca="false">IF(AH138="","",IFERROR(INDEX(C_TIPO,MATCH(C138&amp;"-P"&amp;MAX(1,COUNTIFS(C_ID,C138,C_DEFINE,"Sí",C_INICIO,"&lt;="&amp;EOMONTH(B138,0))),C_CLAVE,0))&amp;"","Sin dato"))</f>
        <v/>
      </c>
      <c r="AB138" s="71" t="str">
        <f aca="false">IF(AH138="","",ROUND(MIN(K138,TOPE_AFP_UF*AJ138)*AK138,0))</f>
        <v/>
      </c>
      <c r="AC138" s="71" t="str">
        <f aca="false">IF(AH138="","",ROUND(MIN(K138,TOPE_AFC_UF*AJ138)*IF(AA138="Indefinido",AFC_EMP_INDEF,AFC_EMP_PF),0))</f>
        <v/>
      </c>
      <c r="AD138" s="71" t="str">
        <f aca="false">IF(AH138="","",ROUND(MIN(K138,TOPE_AFP_UF*AJ138)*(MUTUAL_BASICA+MUTUAL_ADIC+SANNA),0))</f>
        <v/>
      </c>
      <c r="AE138" s="71" t="str">
        <f aca="false">IF(AH138="","",P138-N(N138)+AB138+AC138+AD138)</f>
        <v/>
      </c>
      <c r="AF138" s="65"/>
      <c r="AG138" s="64"/>
      <c r="AH138" s="72" t="str">
        <f aca="false">IF(OR(B138="",C138=""),"",C138&amp;"|"&amp;(YEAR(B138)*100+MONTH(B138)))</f>
        <v/>
      </c>
      <c r="AI138" s="70" t="str">
        <f aca="false">IF(AH138="","",IF(COUNTIF(L_CLAVE,AH138)&gt;1,"⚠ Duplicado","OK"))</f>
        <v/>
      </c>
      <c r="AJ138" s="86" t="str">
        <f aca="false">IF(AH138="","",IF(SUMPRODUCT(MAX((IND_PER&lt;=B138)*(IND_UF&lt;&gt;"")*IND_PER))=0,UF_HOY,INDEX(IND_UF,MATCH(SUMPRODUCT(MAX((IND_PER&lt;=B138)*(IND_UF&lt;&gt;"")*IND_PER)),IND_PER,0))))</f>
        <v/>
      </c>
      <c r="AK138" s="87" t="str">
        <f aca="false">IF(AH138="","",IF(COUNTIF(TASA_DESDE,"&lt;="&amp;B138)=0,INDEX(TASA_EMP,1),INDEX(TASA_EMP,COUNTIF(TASA_DESDE,"&lt;="&amp;B138))))</f>
        <v/>
      </c>
    </row>
    <row r="139" customFormat="false" ht="15" hidden="false" customHeight="false" outlineLevel="0" collapsed="false">
      <c r="B139" s="78"/>
      <c r="C139" s="64"/>
      <c r="D139" s="72" t="str">
        <f aca="false">IF(C139="","",IFERROR(INDEX(T_NOMBRE,MATCH(C139,T_ID,0)),"⚠ ID no existe"))</f>
        <v/>
      </c>
      <c r="E139" s="69"/>
      <c r="F139" s="67"/>
      <c r="G139" s="67"/>
      <c r="H139" s="67"/>
      <c r="I139" s="67"/>
      <c r="J139" s="67"/>
      <c r="K139" s="85" t="str">
        <f aca="false">IF(AH139="","",N(F139)+N(G139)+N(H139)-N(I139)+N(J139))</f>
        <v/>
      </c>
      <c r="L139" s="67"/>
      <c r="M139" s="67"/>
      <c r="N139" s="67"/>
      <c r="O139" s="67"/>
      <c r="P139" s="85" t="str">
        <f aca="false">IF(AH139="","",K139+N(L139)+N(M139)+N(N139)+N(O139))</f>
        <v/>
      </c>
      <c r="Q139" s="67"/>
      <c r="R139" s="67"/>
      <c r="S139" s="67"/>
      <c r="T139" s="67"/>
      <c r="U139" s="67"/>
      <c r="V139" s="67"/>
      <c r="W139" s="85" t="str">
        <f aca="false">IF(AH139="","",N(Q139)+N(R139)+N(S139)+N(T139)+N(U139)+N(V139))</f>
        <v/>
      </c>
      <c r="X139" s="85" t="str">
        <f aca="false">IF(AH139="","",P139-W139)</f>
        <v/>
      </c>
      <c r="Y139" s="67"/>
      <c r="Z139" s="70" t="str">
        <f aca="false">IF(OR(AH139="",Y139=""),"",IF(ABS(X139-Y139)&lt;=1,"✓ Cuadra","⚠ Diferencia $"&amp;FIXED(X139-Y139,0)))</f>
        <v/>
      </c>
      <c r="AA139" s="72" t="str">
        <f aca="false">IF(AH139="","",IFERROR(INDEX(C_TIPO,MATCH(C139&amp;"-P"&amp;MAX(1,COUNTIFS(C_ID,C139,C_DEFINE,"Sí",C_INICIO,"&lt;="&amp;EOMONTH(B139,0))),C_CLAVE,0))&amp;"","Sin dato"))</f>
        <v/>
      </c>
      <c r="AB139" s="71" t="str">
        <f aca="false">IF(AH139="","",ROUND(MIN(K139,TOPE_AFP_UF*AJ139)*AK139,0))</f>
        <v/>
      </c>
      <c r="AC139" s="71" t="str">
        <f aca="false">IF(AH139="","",ROUND(MIN(K139,TOPE_AFC_UF*AJ139)*IF(AA139="Indefinido",AFC_EMP_INDEF,AFC_EMP_PF),0))</f>
        <v/>
      </c>
      <c r="AD139" s="71" t="str">
        <f aca="false">IF(AH139="","",ROUND(MIN(K139,TOPE_AFP_UF*AJ139)*(MUTUAL_BASICA+MUTUAL_ADIC+SANNA),0))</f>
        <v/>
      </c>
      <c r="AE139" s="71" t="str">
        <f aca="false">IF(AH139="","",P139-N(N139)+AB139+AC139+AD139)</f>
        <v/>
      </c>
      <c r="AF139" s="65"/>
      <c r="AG139" s="64"/>
      <c r="AH139" s="72" t="str">
        <f aca="false">IF(OR(B139="",C139=""),"",C139&amp;"|"&amp;(YEAR(B139)*100+MONTH(B139)))</f>
        <v/>
      </c>
      <c r="AI139" s="70" t="str">
        <f aca="false">IF(AH139="","",IF(COUNTIF(L_CLAVE,AH139)&gt;1,"⚠ Duplicado","OK"))</f>
        <v/>
      </c>
      <c r="AJ139" s="86" t="str">
        <f aca="false">IF(AH139="","",IF(SUMPRODUCT(MAX((IND_PER&lt;=B139)*(IND_UF&lt;&gt;"")*IND_PER))=0,UF_HOY,INDEX(IND_UF,MATCH(SUMPRODUCT(MAX((IND_PER&lt;=B139)*(IND_UF&lt;&gt;"")*IND_PER)),IND_PER,0))))</f>
        <v/>
      </c>
      <c r="AK139" s="87" t="str">
        <f aca="false">IF(AH139="","",IF(COUNTIF(TASA_DESDE,"&lt;="&amp;B139)=0,INDEX(TASA_EMP,1),INDEX(TASA_EMP,COUNTIF(TASA_DESDE,"&lt;="&amp;B139))))</f>
        <v/>
      </c>
    </row>
    <row r="140" customFormat="false" ht="15" hidden="false" customHeight="false" outlineLevel="0" collapsed="false">
      <c r="B140" s="78"/>
      <c r="C140" s="64"/>
      <c r="D140" s="72" t="str">
        <f aca="false">IF(C140="","",IFERROR(INDEX(T_NOMBRE,MATCH(C140,T_ID,0)),"⚠ ID no existe"))</f>
        <v/>
      </c>
      <c r="E140" s="69"/>
      <c r="F140" s="67"/>
      <c r="G140" s="67"/>
      <c r="H140" s="67"/>
      <c r="I140" s="67"/>
      <c r="J140" s="67"/>
      <c r="K140" s="85" t="str">
        <f aca="false">IF(AH140="","",N(F140)+N(G140)+N(H140)-N(I140)+N(J140))</f>
        <v/>
      </c>
      <c r="L140" s="67"/>
      <c r="M140" s="67"/>
      <c r="N140" s="67"/>
      <c r="O140" s="67"/>
      <c r="P140" s="85" t="str">
        <f aca="false">IF(AH140="","",K140+N(L140)+N(M140)+N(N140)+N(O140))</f>
        <v/>
      </c>
      <c r="Q140" s="67"/>
      <c r="R140" s="67"/>
      <c r="S140" s="67"/>
      <c r="T140" s="67"/>
      <c r="U140" s="67"/>
      <c r="V140" s="67"/>
      <c r="W140" s="85" t="str">
        <f aca="false">IF(AH140="","",N(Q140)+N(R140)+N(S140)+N(T140)+N(U140)+N(V140))</f>
        <v/>
      </c>
      <c r="X140" s="85" t="str">
        <f aca="false">IF(AH140="","",P140-W140)</f>
        <v/>
      </c>
      <c r="Y140" s="67"/>
      <c r="Z140" s="70" t="str">
        <f aca="false">IF(OR(AH140="",Y140=""),"",IF(ABS(X140-Y140)&lt;=1,"✓ Cuadra","⚠ Diferencia $"&amp;FIXED(X140-Y140,0)))</f>
        <v/>
      </c>
      <c r="AA140" s="72" t="str">
        <f aca="false">IF(AH140="","",IFERROR(INDEX(C_TIPO,MATCH(C140&amp;"-P"&amp;MAX(1,COUNTIFS(C_ID,C140,C_DEFINE,"Sí",C_INICIO,"&lt;="&amp;EOMONTH(B140,0))),C_CLAVE,0))&amp;"","Sin dato"))</f>
        <v/>
      </c>
      <c r="AB140" s="71" t="str">
        <f aca="false">IF(AH140="","",ROUND(MIN(K140,TOPE_AFP_UF*AJ140)*AK140,0))</f>
        <v/>
      </c>
      <c r="AC140" s="71" t="str">
        <f aca="false">IF(AH140="","",ROUND(MIN(K140,TOPE_AFC_UF*AJ140)*IF(AA140="Indefinido",AFC_EMP_INDEF,AFC_EMP_PF),0))</f>
        <v/>
      </c>
      <c r="AD140" s="71" t="str">
        <f aca="false">IF(AH140="","",ROUND(MIN(K140,TOPE_AFP_UF*AJ140)*(MUTUAL_BASICA+MUTUAL_ADIC+SANNA),0))</f>
        <v/>
      </c>
      <c r="AE140" s="71" t="str">
        <f aca="false">IF(AH140="","",P140-N(N140)+AB140+AC140+AD140)</f>
        <v/>
      </c>
      <c r="AF140" s="65"/>
      <c r="AG140" s="64"/>
      <c r="AH140" s="72" t="str">
        <f aca="false">IF(OR(B140="",C140=""),"",C140&amp;"|"&amp;(YEAR(B140)*100+MONTH(B140)))</f>
        <v/>
      </c>
      <c r="AI140" s="70" t="str">
        <f aca="false">IF(AH140="","",IF(COUNTIF(L_CLAVE,AH140)&gt;1,"⚠ Duplicado","OK"))</f>
        <v/>
      </c>
      <c r="AJ140" s="86" t="str">
        <f aca="false">IF(AH140="","",IF(SUMPRODUCT(MAX((IND_PER&lt;=B140)*(IND_UF&lt;&gt;"")*IND_PER))=0,UF_HOY,INDEX(IND_UF,MATCH(SUMPRODUCT(MAX((IND_PER&lt;=B140)*(IND_UF&lt;&gt;"")*IND_PER)),IND_PER,0))))</f>
        <v/>
      </c>
      <c r="AK140" s="87" t="str">
        <f aca="false">IF(AH140="","",IF(COUNTIF(TASA_DESDE,"&lt;="&amp;B140)=0,INDEX(TASA_EMP,1),INDEX(TASA_EMP,COUNTIF(TASA_DESDE,"&lt;="&amp;B140))))</f>
        <v/>
      </c>
    </row>
    <row r="141" customFormat="false" ht="15" hidden="false" customHeight="false" outlineLevel="0" collapsed="false">
      <c r="B141" s="78"/>
      <c r="C141" s="64"/>
      <c r="D141" s="72" t="str">
        <f aca="false">IF(C141="","",IFERROR(INDEX(T_NOMBRE,MATCH(C141,T_ID,0)),"⚠ ID no existe"))</f>
        <v/>
      </c>
      <c r="E141" s="69"/>
      <c r="F141" s="67"/>
      <c r="G141" s="67"/>
      <c r="H141" s="67"/>
      <c r="I141" s="67"/>
      <c r="J141" s="67"/>
      <c r="K141" s="85" t="str">
        <f aca="false">IF(AH141="","",N(F141)+N(G141)+N(H141)-N(I141)+N(J141))</f>
        <v/>
      </c>
      <c r="L141" s="67"/>
      <c r="M141" s="67"/>
      <c r="N141" s="67"/>
      <c r="O141" s="67"/>
      <c r="P141" s="85" t="str">
        <f aca="false">IF(AH141="","",K141+N(L141)+N(M141)+N(N141)+N(O141))</f>
        <v/>
      </c>
      <c r="Q141" s="67"/>
      <c r="R141" s="67"/>
      <c r="S141" s="67"/>
      <c r="T141" s="67"/>
      <c r="U141" s="67"/>
      <c r="V141" s="67"/>
      <c r="W141" s="85" t="str">
        <f aca="false">IF(AH141="","",N(Q141)+N(R141)+N(S141)+N(T141)+N(U141)+N(V141))</f>
        <v/>
      </c>
      <c r="X141" s="85" t="str">
        <f aca="false">IF(AH141="","",P141-W141)</f>
        <v/>
      </c>
      <c r="Y141" s="67"/>
      <c r="Z141" s="70" t="str">
        <f aca="false">IF(OR(AH141="",Y141=""),"",IF(ABS(X141-Y141)&lt;=1,"✓ Cuadra","⚠ Diferencia $"&amp;FIXED(X141-Y141,0)))</f>
        <v/>
      </c>
      <c r="AA141" s="72" t="str">
        <f aca="false">IF(AH141="","",IFERROR(INDEX(C_TIPO,MATCH(C141&amp;"-P"&amp;MAX(1,COUNTIFS(C_ID,C141,C_DEFINE,"Sí",C_INICIO,"&lt;="&amp;EOMONTH(B141,0))),C_CLAVE,0))&amp;"","Sin dato"))</f>
        <v/>
      </c>
      <c r="AB141" s="71" t="str">
        <f aca="false">IF(AH141="","",ROUND(MIN(K141,TOPE_AFP_UF*AJ141)*AK141,0))</f>
        <v/>
      </c>
      <c r="AC141" s="71" t="str">
        <f aca="false">IF(AH141="","",ROUND(MIN(K141,TOPE_AFC_UF*AJ141)*IF(AA141="Indefinido",AFC_EMP_INDEF,AFC_EMP_PF),0))</f>
        <v/>
      </c>
      <c r="AD141" s="71" t="str">
        <f aca="false">IF(AH141="","",ROUND(MIN(K141,TOPE_AFP_UF*AJ141)*(MUTUAL_BASICA+MUTUAL_ADIC+SANNA),0))</f>
        <v/>
      </c>
      <c r="AE141" s="71" t="str">
        <f aca="false">IF(AH141="","",P141-N(N141)+AB141+AC141+AD141)</f>
        <v/>
      </c>
      <c r="AF141" s="65"/>
      <c r="AG141" s="64"/>
      <c r="AH141" s="72" t="str">
        <f aca="false">IF(OR(B141="",C141=""),"",C141&amp;"|"&amp;(YEAR(B141)*100+MONTH(B141)))</f>
        <v/>
      </c>
      <c r="AI141" s="70" t="str">
        <f aca="false">IF(AH141="","",IF(COUNTIF(L_CLAVE,AH141)&gt;1,"⚠ Duplicado","OK"))</f>
        <v/>
      </c>
      <c r="AJ141" s="86" t="str">
        <f aca="false">IF(AH141="","",IF(SUMPRODUCT(MAX((IND_PER&lt;=B141)*(IND_UF&lt;&gt;"")*IND_PER))=0,UF_HOY,INDEX(IND_UF,MATCH(SUMPRODUCT(MAX((IND_PER&lt;=B141)*(IND_UF&lt;&gt;"")*IND_PER)),IND_PER,0))))</f>
        <v/>
      </c>
      <c r="AK141" s="87" t="str">
        <f aca="false">IF(AH141="","",IF(COUNTIF(TASA_DESDE,"&lt;="&amp;B141)=0,INDEX(TASA_EMP,1),INDEX(TASA_EMP,COUNTIF(TASA_DESDE,"&lt;="&amp;B141))))</f>
        <v/>
      </c>
    </row>
    <row r="142" customFormat="false" ht="15" hidden="false" customHeight="false" outlineLevel="0" collapsed="false">
      <c r="B142" s="78"/>
      <c r="C142" s="64"/>
      <c r="D142" s="72" t="str">
        <f aca="false">IF(C142="","",IFERROR(INDEX(T_NOMBRE,MATCH(C142,T_ID,0)),"⚠ ID no existe"))</f>
        <v/>
      </c>
      <c r="E142" s="69"/>
      <c r="F142" s="67"/>
      <c r="G142" s="67"/>
      <c r="H142" s="67"/>
      <c r="I142" s="67"/>
      <c r="J142" s="67"/>
      <c r="K142" s="85" t="str">
        <f aca="false">IF(AH142="","",N(F142)+N(G142)+N(H142)-N(I142)+N(J142))</f>
        <v/>
      </c>
      <c r="L142" s="67"/>
      <c r="M142" s="67"/>
      <c r="N142" s="67"/>
      <c r="O142" s="67"/>
      <c r="P142" s="85" t="str">
        <f aca="false">IF(AH142="","",K142+N(L142)+N(M142)+N(N142)+N(O142))</f>
        <v/>
      </c>
      <c r="Q142" s="67"/>
      <c r="R142" s="67"/>
      <c r="S142" s="67"/>
      <c r="T142" s="67"/>
      <c r="U142" s="67"/>
      <c r="V142" s="67"/>
      <c r="W142" s="85" t="str">
        <f aca="false">IF(AH142="","",N(Q142)+N(R142)+N(S142)+N(T142)+N(U142)+N(V142))</f>
        <v/>
      </c>
      <c r="X142" s="85" t="str">
        <f aca="false">IF(AH142="","",P142-W142)</f>
        <v/>
      </c>
      <c r="Y142" s="67"/>
      <c r="Z142" s="70" t="str">
        <f aca="false">IF(OR(AH142="",Y142=""),"",IF(ABS(X142-Y142)&lt;=1,"✓ Cuadra","⚠ Diferencia $"&amp;FIXED(X142-Y142,0)))</f>
        <v/>
      </c>
      <c r="AA142" s="72" t="str">
        <f aca="false">IF(AH142="","",IFERROR(INDEX(C_TIPO,MATCH(C142&amp;"-P"&amp;MAX(1,COUNTIFS(C_ID,C142,C_DEFINE,"Sí",C_INICIO,"&lt;="&amp;EOMONTH(B142,0))),C_CLAVE,0))&amp;"","Sin dato"))</f>
        <v/>
      </c>
      <c r="AB142" s="71" t="str">
        <f aca="false">IF(AH142="","",ROUND(MIN(K142,TOPE_AFP_UF*AJ142)*AK142,0))</f>
        <v/>
      </c>
      <c r="AC142" s="71" t="str">
        <f aca="false">IF(AH142="","",ROUND(MIN(K142,TOPE_AFC_UF*AJ142)*IF(AA142="Indefinido",AFC_EMP_INDEF,AFC_EMP_PF),0))</f>
        <v/>
      </c>
      <c r="AD142" s="71" t="str">
        <f aca="false">IF(AH142="","",ROUND(MIN(K142,TOPE_AFP_UF*AJ142)*(MUTUAL_BASICA+MUTUAL_ADIC+SANNA),0))</f>
        <v/>
      </c>
      <c r="AE142" s="71" t="str">
        <f aca="false">IF(AH142="","",P142-N(N142)+AB142+AC142+AD142)</f>
        <v/>
      </c>
      <c r="AF142" s="65"/>
      <c r="AG142" s="64"/>
      <c r="AH142" s="72" t="str">
        <f aca="false">IF(OR(B142="",C142=""),"",C142&amp;"|"&amp;(YEAR(B142)*100+MONTH(B142)))</f>
        <v/>
      </c>
      <c r="AI142" s="70" t="str">
        <f aca="false">IF(AH142="","",IF(COUNTIF(L_CLAVE,AH142)&gt;1,"⚠ Duplicado","OK"))</f>
        <v/>
      </c>
      <c r="AJ142" s="86" t="str">
        <f aca="false">IF(AH142="","",IF(SUMPRODUCT(MAX((IND_PER&lt;=B142)*(IND_UF&lt;&gt;"")*IND_PER))=0,UF_HOY,INDEX(IND_UF,MATCH(SUMPRODUCT(MAX((IND_PER&lt;=B142)*(IND_UF&lt;&gt;"")*IND_PER)),IND_PER,0))))</f>
        <v/>
      </c>
      <c r="AK142" s="87" t="str">
        <f aca="false">IF(AH142="","",IF(COUNTIF(TASA_DESDE,"&lt;="&amp;B142)=0,INDEX(TASA_EMP,1),INDEX(TASA_EMP,COUNTIF(TASA_DESDE,"&lt;="&amp;B142))))</f>
        <v/>
      </c>
    </row>
    <row r="143" customFormat="false" ht="15" hidden="false" customHeight="false" outlineLevel="0" collapsed="false">
      <c r="B143" s="78"/>
      <c r="C143" s="64"/>
      <c r="D143" s="72" t="str">
        <f aca="false">IF(C143="","",IFERROR(INDEX(T_NOMBRE,MATCH(C143,T_ID,0)),"⚠ ID no existe"))</f>
        <v/>
      </c>
      <c r="E143" s="69"/>
      <c r="F143" s="67"/>
      <c r="G143" s="67"/>
      <c r="H143" s="67"/>
      <c r="I143" s="67"/>
      <c r="J143" s="67"/>
      <c r="K143" s="85" t="str">
        <f aca="false">IF(AH143="","",N(F143)+N(G143)+N(H143)-N(I143)+N(J143))</f>
        <v/>
      </c>
      <c r="L143" s="67"/>
      <c r="M143" s="67"/>
      <c r="N143" s="67"/>
      <c r="O143" s="67"/>
      <c r="P143" s="85" t="str">
        <f aca="false">IF(AH143="","",K143+N(L143)+N(M143)+N(N143)+N(O143))</f>
        <v/>
      </c>
      <c r="Q143" s="67"/>
      <c r="R143" s="67"/>
      <c r="S143" s="67"/>
      <c r="T143" s="67"/>
      <c r="U143" s="67"/>
      <c r="V143" s="67"/>
      <c r="W143" s="85" t="str">
        <f aca="false">IF(AH143="","",N(Q143)+N(R143)+N(S143)+N(T143)+N(U143)+N(V143))</f>
        <v/>
      </c>
      <c r="X143" s="85" t="str">
        <f aca="false">IF(AH143="","",P143-W143)</f>
        <v/>
      </c>
      <c r="Y143" s="67"/>
      <c r="Z143" s="70" t="str">
        <f aca="false">IF(OR(AH143="",Y143=""),"",IF(ABS(X143-Y143)&lt;=1,"✓ Cuadra","⚠ Diferencia $"&amp;FIXED(X143-Y143,0)))</f>
        <v/>
      </c>
      <c r="AA143" s="72" t="str">
        <f aca="false">IF(AH143="","",IFERROR(INDEX(C_TIPO,MATCH(C143&amp;"-P"&amp;MAX(1,COUNTIFS(C_ID,C143,C_DEFINE,"Sí",C_INICIO,"&lt;="&amp;EOMONTH(B143,0))),C_CLAVE,0))&amp;"","Sin dato"))</f>
        <v/>
      </c>
      <c r="AB143" s="71" t="str">
        <f aca="false">IF(AH143="","",ROUND(MIN(K143,TOPE_AFP_UF*AJ143)*AK143,0))</f>
        <v/>
      </c>
      <c r="AC143" s="71" t="str">
        <f aca="false">IF(AH143="","",ROUND(MIN(K143,TOPE_AFC_UF*AJ143)*IF(AA143="Indefinido",AFC_EMP_INDEF,AFC_EMP_PF),0))</f>
        <v/>
      </c>
      <c r="AD143" s="71" t="str">
        <f aca="false">IF(AH143="","",ROUND(MIN(K143,TOPE_AFP_UF*AJ143)*(MUTUAL_BASICA+MUTUAL_ADIC+SANNA),0))</f>
        <v/>
      </c>
      <c r="AE143" s="71" t="str">
        <f aca="false">IF(AH143="","",P143-N(N143)+AB143+AC143+AD143)</f>
        <v/>
      </c>
      <c r="AF143" s="65"/>
      <c r="AG143" s="64"/>
      <c r="AH143" s="72" t="str">
        <f aca="false">IF(OR(B143="",C143=""),"",C143&amp;"|"&amp;(YEAR(B143)*100+MONTH(B143)))</f>
        <v/>
      </c>
      <c r="AI143" s="70" t="str">
        <f aca="false">IF(AH143="","",IF(COUNTIF(L_CLAVE,AH143)&gt;1,"⚠ Duplicado","OK"))</f>
        <v/>
      </c>
      <c r="AJ143" s="86" t="str">
        <f aca="false">IF(AH143="","",IF(SUMPRODUCT(MAX((IND_PER&lt;=B143)*(IND_UF&lt;&gt;"")*IND_PER))=0,UF_HOY,INDEX(IND_UF,MATCH(SUMPRODUCT(MAX((IND_PER&lt;=B143)*(IND_UF&lt;&gt;"")*IND_PER)),IND_PER,0))))</f>
        <v/>
      </c>
      <c r="AK143" s="87" t="str">
        <f aca="false">IF(AH143="","",IF(COUNTIF(TASA_DESDE,"&lt;="&amp;B143)=0,INDEX(TASA_EMP,1),INDEX(TASA_EMP,COUNTIF(TASA_DESDE,"&lt;="&amp;B143))))</f>
        <v/>
      </c>
    </row>
    <row r="144" customFormat="false" ht="15" hidden="false" customHeight="false" outlineLevel="0" collapsed="false">
      <c r="B144" s="78"/>
      <c r="C144" s="64"/>
      <c r="D144" s="72" t="str">
        <f aca="false">IF(C144="","",IFERROR(INDEX(T_NOMBRE,MATCH(C144,T_ID,0)),"⚠ ID no existe"))</f>
        <v/>
      </c>
      <c r="E144" s="69"/>
      <c r="F144" s="67"/>
      <c r="G144" s="67"/>
      <c r="H144" s="67"/>
      <c r="I144" s="67"/>
      <c r="J144" s="67"/>
      <c r="K144" s="85" t="str">
        <f aca="false">IF(AH144="","",N(F144)+N(G144)+N(H144)-N(I144)+N(J144))</f>
        <v/>
      </c>
      <c r="L144" s="67"/>
      <c r="M144" s="67"/>
      <c r="N144" s="67"/>
      <c r="O144" s="67"/>
      <c r="P144" s="85" t="str">
        <f aca="false">IF(AH144="","",K144+N(L144)+N(M144)+N(N144)+N(O144))</f>
        <v/>
      </c>
      <c r="Q144" s="67"/>
      <c r="R144" s="67"/>
      <c r="S144" s="67"/>
      <c r="T144" s="67"/>
      <c r="U144" s="67"/>
      <c r="V144" s="67"/>
      <c r="W144" s="85" t="str">
        <f aca="false">IF(AH144="","",N(Q144)+N(R144)+N(S144)+N(T144)+N(U144)+N(V144))</f>
        <v/>
      </c>
      <c r="X144" s="85" t="str">
        <f aca="false">IF(AH144="","",P144-W144)</f>
        <v/>
      </c>
      <c r="Y144" s="67"/>
      <c r="Z144" s="70" t="str">
        <f aca="false">IF(OR(AH144="",Y144=""),"",IF(ABS(X144-Y144)&lt;=1,"✓ Cuadra","⚠ Diferencia $"&amp;FIXED(X144-Y144,0)))</f>
        <v/>
      </c>
      <c r="AA144" s="72" t="str">
        <f aca="false">IF(AH144="","",IFERROR(INDEX(C_TIPO,MATCH(C144&amp;"-P"&amp;MAX(1,COUNTIFS(C_ID,C144,C_DEFINE,"Sí",C_INICIO,"&lt;="&amp;EOMONTH(B144,0))),C_CLAVE,0))&amp;"","Sin dato"))</f>
        <v/>
      </c>
      <c r="AB144" s="71" t="str">
        <f aca="false">IF(AH144="","",ROUND(MIN(K144,TOPE_AFP_UF*AJ144)*AK144,0))</f>
        <v/>
      </c>
      <c r="AC144" s="71" t="str">
        <f aca="false">IF(AH144="","",ROUND(MIN(K144,TOPE_AFC_UF*AJ144)*IF(AA144="Indefinido",AFC_EMP_INDEF,AFC_EMP_PF),0))</f>
        <v/>
      </c>
      <c r="AD144" s="71" t="str">
        <f aca="false">IF(AH144="","",ROUND(MIN(K144,TOPE_AFP_UF*AJ144)*(MUTUAL_BASICA+MUTUAL_ADIC+SANNA),0))</f>
        <v/>
      </c>
      <c r="AE144" s="71" t="str">
        <f aca="false">IF(AH144="","",P144-N(N144)+AB144+AC144+AD144)</f>
        <v/>
      </c>
      <c r="AF144" s="65"/>
      <c r="AG144" s="64"/>
      <c r="AH144" s="72" t="str">
        <f aca="false">IF(OR(B144="",C144=""),"",C144&amp;"|"&amp;(YEAR(B144)*100+MONTH(B144)))</f>
        <v/>
      </c>
      <c r="AI144" s="70" t="str">
        <f aca="false">IF(AH144="","",IF(COUNTIF(L_CLAVE,AH144)&gt;1,"⚠ Duplicado","OK"))</f>
        <v/>
      </c>
      <c r="AJ144" s="86" t="str">
        <f aca="false">IF(AH144="","",IF(SUMPRODUCT(MAX((IND_PER&lt;=B144)*(IND_UF&lt;&gt;"")*IND_PER))=0,UF_HOY,INDEX(IND_UF,MATCH(SUMPRODUCT(MAX((IND_PER&lt;=B144)*(IND_UF&lt;&gt;"")*IND_PER)),IND_PER,0))))</f>
        <v/>
      </c>
      <c r="AK144" s="87" t="str">
        <f aca="false">IF(AH144="","",IF(COUNTIF(TASA_DESDE,"&lt;="&amp;B144)=0,INDEX(TASA_EMP,1),INDEX(TASA_EMP,COUNTIF(TASA_DESDE,"&lt;="&amp;B144))))</f>
        <v/>
      </c>
    </row>
    <row r="145" customFormat="false" ht="15" hidden="false" customHeight="false" outlineLevel="0" collapsed="false">
      <c r="B145" s="78"/>
      <c r="C145" s="64"/>
      <c r="D145" s="72" t="str">
        <f aca="false">IF(C145="","",IFERROR(INDEX(T_NOMBRE,MATCH(C145,T_ID,0)),"⚠ ID no existe"))</f>
        <v/>
      </c>
      <c r="E145" s="69"/>
      <c r="F145" s="67"/>
      <c r="G145" s="67"/>
      <c r="H145" s="67"/>
      <c r="I145" s="67"/>
      <c r="J145" s="67"/>
      <c r="K145" s="85" t="str">
        <f aca="false">IF(AH145="","",N(F145)+N(G145)+N(H145)-N(I145)+N(J145))</f>
        <v/>
      </c>
      <c r="L145" s="67"/>
      <c r="M145" s="67"/>
      <c r="N145" s="67"/>
      <c r="O145" s="67"/>
      <c r="P145" s="85" t="str">
        <f aca="false">IF(AH145="","",K145+N(L145)+N(M145)+N(N145)+N(O145))</f>
        <v/>
      </c>
      <c r="Q145" s="67"/>
      <c r="R145" s="67"/>
      <c r="S145" s="67"/>
      <c r="T145" s="67"/>
      <c r="U145" s="67"/>
      <c r="V145" s="67"/>
      <c r="W145" s="85" t="str">
        <f aca="false">IF(AH145="","",N(Q145)+N(R145)+N(S145)+N(T145)+N(U145)+N(V145))</f>
        <v/>
      </c>
      <c r="X145" s="85" t="str">
        <f aca="false">IF(AH145="","",P145-W145)</f>
        <v/>
      </c>
      <c r="Y145" s="67"/>
      <c r="Z145" s="70" t="str">
        <f aca="false">IF(OR(AH145="",Y145=""),"",IF(ABS(X145-Y145)&lt;=1,"✓ Cuadra","⚠ Diferencia $"&amp;FIXED(X145-Y145,0)))</f>
        <v/>
      </c>
      <c r="AA145" s="72" t="str">
        <f aca="false">IF(AH145="","",IFERROR(INDEX(C_TIPO,MATCH(C145&amp;"-P"&amp;MAX(1,COUNTIFS(C_ID,C145,C_DEFINE,"Sí",C_INICIO,"&lt;="&amp;EOMONTH(B145,0))),C_CLAVE,0))&amp;"","Sin dato"))</f>
        <v/>
      </c>
      <c r="AB145" s="71" t="str">
        <f aca="false">IF(AH145="","",ROUND(MIN(K145,TOPE_AFP_UF*AJ145)*AK145,0))</f>
        <v/>
      </c>
      <c r="AC145" s="71" t="str">
        <f aca="false">IF(AH145="","",ROUND(MIN(K145,TOPE_AFC_UF*AJ145)*IF(AA145="Indefinido",AFC_EMP_INDEF,AFC_EMP_PF),0))</f>
        <v/>
      </c>
      <c r="AD145" s="71" t="str">
        <f aca="false">IF(AH145="","",ROUND(MIN(K145,TOPE_AFP_UF*AJ145)*(MUTUAL_BASICA+MUTUAL_ADIC+SANNA),0))</f>
        <v/>
      </c>
      <c r="AE145" s="71" t="str">
        <f aca="false">IF(AH145="","",P145-N(N145)+AB145+AC145+AD145)</f>
        <v/>
      </c>
      <c r="AF145" s="65"/>
      <c r="AG145" s="64"/>
      <c r="AH145" s="72" t="str">
        <f aca="false">IF(OR(B145="",C145=""),"",C145&amp;"|"&amp;(YEAR(B145)*100+MONTH(B145)))</f>
        <v/>
      </c>
      <c r="AI145" s="70" t="str">
        <f aca="false">IF(AH145="","",IF(COUNTIF(L_CLAVE,AH145)&gt;1,"⚠ Duplicado","OK"))</f>
        <v/>
      </c>
      <c r="AJ145" s="86" t="str">
        <f aca="false">IF(AH145="","",IF(SUMPRODUCT(MAX((IND_PER&lt;=B145)*(IND_UF&lt;&gt;"")*IND_PER))=0,UF_HOY,INDEX(IND_UF,MATCH(SUMPRODUCT(MAX((IND_PER&lt;=B145)*(IND_UF&lt;&gt;"")*IND_PER)),IND_PER,0))))</f>
        <v/>
      </c>
      <c r="AK145" s="87" t="str">
        <f aca="false">IF(AH145="","",IF(COUNTIF(TASA_DESDE,"&lt;="&amp;B145)=0,INDEX(TASA_EMP,1),INDEX(TASA_EMP,COUNTIF(TASA_DESDE,"&lt;="&amp;B145))))</f>
        <v/>
      </c>
    </row>
    <row r="146" customFormat="false" ht="15" hidden="false" customHeight="false" outlineLevel="0" collapsed="false">
      <c r="B146" s="78"/>
      <c r="C146" s="64"/>
      <c r="D146" s="72" t="str">
        <f aca="false">IF(C146="","",IFERROR(INDEX(T_NOMBRE,MATCH(C146,T_ID,0)),"⚠ ID no existe"))</f>
        <v/>
      </c>
      <c r="E146" s="69"/>
      <c r="F146" s="67"/>
      <c r="G146" s="67"/>
      <c r="H146" s="67"/>
      <c r="I146" s="67"/>
      <c r="J146" s="67"/>
      <c r="K146" s="85" t="str">
        <f aca="false">IF(AH146="","",N(F146)+N(G146)+N(H146)-N(I146)+N(J146))</f>
        <v/>
      </c>
      <c r="L146" s="67"/>
      <c r="M146" s="67"/>
      <c r="N146" s="67"/>
      <c r="O146" s="67"/>
      <c r="P146" s="85" t="str">
        <f aca="false">IF(AH146="","",K146+N(L146)+N(M146)+N(N146)+N(O146))</f>
        <v/>
      </c>
      <c r="Q146" s="67"/>
      <c r="R146" s="67"/>
      <c r="S146" s="67"/>
      <c r="T146" s="67"/>
      <c r="U146" s="67"/>
      <c r="V146" s="67"/>
      <c r="W146" s="85" t="str">
        <f aca="false">IF(AH146="","",N(Q146)+N(R146)+N(S146)+N(T146)+N(U146)+N(V146))</f>
        <v/>
      </c>
      <c r="X146" s="85" t="str">
        <f aca="false">IF(AH146="","",P146-W146)</f>
        <v/>
      </c>
      <c r="Y146" s="67"/>
      <c r="Z146" s="70" t="str">
        <f aca="false">IF(OR(AH146="",Y146=""),"",IF(ABS(X146-Y146)&lt;=1,"✓ Cuadra","⚠ Diferencia $"&amp;FIXED(X146-Y146,0)))</f>
        <v/>
      </c>
      <c r="AA146" s="72" t="str">
        <f aca="false">IF(AH146="","",IFERROR(INDEX(C_TIPO,MATCH(C146&amp;"-P"&amp;MAX(1,COUNTIFS(C_ID,C146,C_DEFINE,"Sí",C_INICIO,"&lt;="&amp;EOMONTH(B146,0))),C_CLAVE,0))&amp;"","Sin dato"))</f>
        <v/>
      </c>
      <c r="AB146" s="71" t="str">
        <f aca="false">IF(AH146="","",ROUND(MIN(K146,TOPE_AFP_UF*AJ146)*AK146,0))</f>
        <v/>
      </c>
      <c r="AC146" s="71" t="str">
        <f aca="false">IF(AH146="","",ROUND(MIN(K146,TOPE_AFC_UF*AJ146)*IF(AA146="Indefinido",AFC_EMP_INDEF,AFC_EMP_PF),0))</f>
        <v/>
      </c>
      <c r="AD146" s="71" t="str">
        <f aca="false">IF(AH146="","",ROUND(MIN(K146,TOPE_AFP_UF*AJ146)*(MUTUAL_BASICA+MUTUAL_ADIC+SANNA),0))</f>
        <v/>
      </c>
      <c r="AE146" s="71" t="str">
        <f aca="false">IF(AH146="","",P146-N(N146)+AB146+AC146+AD146)</f>
        <v/>
      </c>
      <c r="AF146" s="65"/>
      <c r="AG146" s="64"/>
      <c r="AH146" s="72" t="str">
        <f aca="false">IF(OR(B146="",C146=""),"",C146&amp;"|"&amp;(YEAR(B146)*100+MONTH(B146)))</f>
        <v/>
      </c>
      <c r="AI146" s="70" t="str">
        <f aca="false">IF(AH146="","",IF(COUNTIF(L_CLAVE,AH146)&gt;1,"⚠ Duplicado","OK"))</f>
        <v/>
      </c>
      <c r="AJ146" s="86" t="str">
        <f aca="false">IF(AH146="","",IF(SUMPRODUCT(MAX((IND_PER&lt;=B146)*(IND_UF&lt;&gt;"")*IND_PER))=0,UF_HOY,INDEX(IND_UF,MATCH(SUMPRODUCT(MAX((IND_PER&lt;=B146)*(IND_UF&lt;&gt;"")*IND_PER)),IND_PER,0))))</f>
        <v/>
      </c>
      <c r="AK146" s="87" t="str">
        <f aca="false">IF(AH146="","",IF(COUNTIF(TASA_DESDE,"&lt;="&amp;B146)=0,INDEX(TASA_EMP,1),INDEX(TASA_EMP,COUNTIF(TASA_DESDE,"&lt;="&amp;B146))))</f>
        <v/>
      </c>
    </row>
    <row r="147" customFormat="false" ht="15" hidden="false" customHeight="false" outlineLevel="0" collapsed="false">
      <c r="B147" s="78"/>
      <c r="C147" s="64"/>
      <c r="D147" s="72" t="str">
        <f aca="false">IF(C147="","",IFERROR(INDEX(T_NOMBRE,MATCH(C147,T_ID,0)),"⚠ ID no existe"))</f>
        <v/>
      </c>
      <c r="E147" s="69"/>
      <c r="F147" s="67"/>
      <c r="G147" s="67"/>
      <c r="H147" s="67"/>
      <c r="I147" s="67"/>
      <c r="J147" s="67"/>
      <c r="K147" s="85" t="str">
        <f aca="false">IF(AH147="","",N(F147)+N(G147)+N(H147)-N(I147)+N(J147))</f>
        <v/>
      </c>
      <c r="L147" s="67"/>
      <c r="M147" s="67"/>
      <c r="N147" s="67"/>
      <c r="O147" s="67"/>
      <c r="P147" s="85" t="str">
        <f aca="false">IF(AH147="","",K147+N(L147)+N(M147)+N(N147)+N(O147))</f>
        <v/>
      </c>
      <c r="Q147" s="67"/>
      <c r="R147" s="67"/>
      <c r="S147" s="67"/>
      <c r="T147" s="67"/>
      <c r="U147" s="67"/>
      <c r="V147" s="67"/>
      <c r="W147" s="85" t="str">
        <f aca="false">IF(AH147="","",N(Q147)+N(R147)+N(S147)+N(T147)+N(U147)+N(V147))</f>
        <v/>
      </c>
      <c r="X147" s="85" t="str">
        <f aca="false">IF(AH147="","",P147-W147)</f>
        <v/>
      </c>
      <c r="Y147" s="67"/>
      <c r="Z147" s="70" t="str">
        <f aca="false">IF(OR(AH147="",Y147=""),"",IF(ABS(X147-Y147)&lt;=1,"✓ Cuadra","⚠ Diferencia $"&amp;FIXED(X147-Y147,0)))</f>
        <v/>
      </c>
      <c r="AA147" s="72" t="str">
        <f aca="false">IF(AH147="","",IFERROR(INDEX(C_TIPO,MATCH(C147&amp;"-P"&amp;MAX(1,COUNTIFS(C_ID,C147,C_DEFINE,"Sí",C_INICIO,"&lt;="&amp;EOMONTH(B147,0))),C_CLAVE,0))&amp;"","Sin dato"))</f>
        <v/>
      </c>
      <c r="AB147" s="71" t="str">
        <f aca="false">IF(AH147="","",ROUND(MIN(K147,TOPE_AFP_UF*AJ147)*AK147,0))</f>
        <v/>
      </c>
      <c r="AC147" s="71" t="str">
        <f aca="false">IF(AH147="","",ROUND(MIN(K147,TOPE_AFC_UF*AJ147)*IF(AA147="Indefinido",AFC_EMP_INDEF,AFC_EMP_PF),0))</f>
        <v/>
      </c>
      <c r="AD147" s="71" t="str">
        <f aca="false">IF(AH147="","",ROUND(MIN(K147,TOPE_AFP_UF*AJ147)*(MUTUAL_BASICA+MUTUAL_ADIC+SANNA),0))</f>
        <v/>
      </c>
      <c r="AE147" s="71" t="str">
        <f aca="false">IF(AH147="","",P147-N(N147)+AB147+AC147+AD147)</f>
        <v/>
      </c>
      <c r="AF147" s="65"/>
      <c r="AG147" s="64"/>
      <c r="AH147" s="72" t="str">
        <f aca="false">IF(OR(B147="",C147=""),"",C147&amp;"|"&amp;(YEAR(B147)*100+MONTH(B147)))</f>
        <v/>
      </c>
      <c r="AI147" s="70" t="str">
        <f aca="false">IF(AH147="","",IF(COUNTIF(L_CLAVE,AH147)&gt;1,"⚠ Duplicado","OK"))</f>
        <v/>
      </c>
      <c r="AJ147" s="86" t="str">
        <f aca="false">IF(AH147="","",IF(SUMPRODUCT(MAX((IND_PER&lt;=B147)*(IND_UF&lt;&gt;"")*IND_PER))=0,UF_HOY,INDEX(IND_UF,MATCH(SUMPRODUCT(MAX((IND_PER&lt;=B147)*(IND_UF&lt;&gt;"")*IND_PER)),IND_PER,0))))</f>
        <v/>
      </c>
      <c r="AK147" s="87" t="str">
        <f aca="false">IF(AH147="","",IF(COUNTIF(TASA_DESDE,"&lt;="&amp;B147)=0,INDEX(TASA_EMP,1),INDEX(TASA_EMP,COUNTIF(TASA_DESDE,"&lt;="&amp;B147))))</f>
        <v/>
      </c>
    </row>
    <row r="148" customFormat="false" ht="15" hidden="false" customHeight="false" outlineLevel="0" collapsed="false">
      <c r="B148" s="78"/>
      <c r="C148" s="64"/>
      <c r="D148" s="72" t="str">
        <f aca="false">IF(C148="","",IFERROR(INDEX(T_NOMBRE,MATCH(C148,T_ID,0)),"⚠ ID no existe"))</f>
        <v/>
      </c>
      <c r="E148" s="69"/>
      <c r="F148" s="67"/>
      <c r="G148" s="67"/>
      <c r="H148" s="67"/>
      <c r="I148" s="67"/>
      <c r="J148" s="67"/>
      <c r="K148" s="85" t="str">
        <f aca="false">IF(AH148="","",N(F148)+N(G148)+N(H148)-N(I148)+N(J148))</f>
        <v/>
      </c>
      <c r="L148" s="67"/>
      <c r="M148" s="67"/>
      <c r="N148" s="67"/>
      <c r="O148" s="67"/>
      <c r="P148" s="85" t="str">
        <f aca="false">IF(AH148="","",K148+N(L148)+N(M148)+N(N148)+N(O148))</f>
        <v/>
      </c>
      <c r="Q148" s="67"/>
      <c r="R148" s="67"/>
      <c r="S148" s="67"/>
      <c r="T148" s="67"/>
      <c r="U148" s="67"/>
      <c r="V148" s="67"/>
      <c r="W148" s="85" t="str">
        <f aca="false">IF(AH148="","",N(Q148)+N(R148)+N(S148)+N(T148)+N(U148)+N(V148))</f>
        <v/>
      </c>
      <c r="X148" s="85" t="str">
        <f aca="false">IF(AH148="","",P148-W148)</f>
        <v/>
      </c>
      <c r="Y148" s="67"/>
      <c r="Z148" s="70" t="str">
        <f aca="false">IF(OR(AH148="",Y148=""),"",IF(ABS(X148-Y148)&lt;=1,"✓ Cuadra","⚠ Diferencia $"&amp;FIXED(X148-Y148,0)))</f>
        <v/>
      </c>
      <c r="AA148" s="72" t="str">
        <f aca="false">IF(AH148="","",IFERROR(INDEX(C_TIPO,MATCH(C148&amp;"-P"&amp;MAX(1,COUNTIFS(C_ID,C148,C_DEFINE,"Sí",C_INICIO,"&lt;="&amp;EOMONTH(B148,0))),C_CLAVE,0))&amp;"","Sin dato"))</f>
        <v/>
      </c>
      <c r="AB148" s="71" t="str">
        <f aca="false">IF(AH148="","",ROUND(MIN(K148,TOPE_AFP_UF*AJ148)*AK148,0))</f>
        <v/>
      </c>
      <c r="AC148" s="71" t="str">
        <f aca="false">IF(AH148="","",ROUND(MIN(K148,TOPE_AFC_UF*AJ148)*IF(AA148="Indefinido",AFC_EMP_INDEF,AFC_EMP_PF),0))</f>
        <v/>
      </c>
      <c r="AD148" s="71" t="str">
        <f aca="false">IF(AH148="","",ROUND(MIN(K148,TOPE_AFP_UF*AJ148)*(MUTUAL_BASICA+MUTUAL_ADIC+SANNA),0))</f>
        <v/>
      </c>
      <c r="AE148" s="71" t="str">
        <f aca="false">IF(AH148="","",P148-N(N148)+AB148+AC148+AD148)</f>
        <v/>
      </c>
      <c r="AF148" s="65"/>
      <c r="AG148" s="64"/>
      <c r="AH148" s="72" t="str">
        <f aca="false">IF(OR(B148="",C148=""),"",C148&amp;"|"&amp;(YEAR(B148)*100+MONTH(B148)))</f>
        <v/>
      </c>
      <c r="AI148" s="70" t="str">
        <f aca="false">IF(AH148="","",IF(COUNTIF(L_CLAVE,AH148)&gt;1,"⚠ Duplicado","OK"))</f>
        <v/>
      </c>
      <c r="AJ148" s="86" t="str">
        <f aca="false">IF(AH148="","",IF(SUMPRODUCT(MAX((IND_PER&lt;=B148)*(IND_UF&lt;&gt;"")*IND_PER))=0,UF_HOY,INDEX(IND_UF,MATCH(SUMPRODUCT(MAX((IND_PER&lt;=B148)*(IND_UF&lt;&gt;"")*IND_PER)),IND_PER,0))))</f>
        <v/>
      </c>
      <c r="AK148" s="87" t="str">
        <f aca="false">IF(AH148="","",IF(COUNTIF(TASA_DESDE,"&lt;="&amp;B148)=0,INDEX(TASA_EMP,1),INDEX(TASA_EMP,COUNTIF(TASA_DESDE,"&lt;="&amp;B148))))</f>
        <v/>
      </c>
    </row>
    <row r="149" customFormat="false" ht="15" hidden="false" customHeight="false" outlineLevel="0" collapsed="false">
      <c r="B149" s="78"/>
      <c r="C149" s="64"/>
      <c r="D149" s="72" t="str">
        <f aca="false">IF(C149="","",IFERROR(INDEX(T_NOMBRE,MATCH(C149,T_ID,0)),"⚠ ID no existe"))</f>
        <v/>
      </c>
      <c r="E149" s="69"/>
      <c r="F149" s="67"/>
      <c r="G149" s="67"/>
      <c r="H149" s="67"/>
      <c r="I149" s="67"/>
      <c r="J149" s="67"/>
      <c r="K149" s="85" t="str">
        <f aca="false">IF(AH149="","",N(F149)+N(G149)+N(H149)-N(I149)+N(J149))</f>
        <v/>
      </c>
      <c r="L149" s="67"/>
      <c r="M149" s="67"/>
      <c r="N149" s="67"/>
      <c r="O149" s="67"/>
      <c r="P149" s="85" t="str">
        <f aca="false">IF(AH149="","",K149+N(L149)+N(M149)+N(N149)+N(O149))</f>
        <v/>
      </c>
      <c r="Q149" s="67"/>
      <c r="R149" s="67"/>
      <c r="S149" s="67"/>
      <c r="T149" s="67"/>
      <c r="U149" s="67"/>
      <c r="V149" s="67"/>
      <c r="W149" s="85" t="str">
        <f aca="false">IF(AH149="","",N(Q149)+N(R149)+N(S149)+N(T149)+N(U149)+N(V149))</f>
        <v/>
      </c>
      <c r="X149" s="85" t="str">
        <f aca="false">IF(AH149="","",P149-W149)</f>
        <v/>
      </c>
      <c r="Y149" s="67"/>
      <c r="Z149" s="70" t="str">
        <f aca="false">IF(OR(AH149="",Y149=""),"",IF(ABS(X149-Y149)&lt;=1,"✓ Cuadra","⚠ Diferencia $"&amp;FIXED(X149-Y149,0)))</f>
        <v/>
      </c>
      <c r="AA149" s="72" t="str">
        <f aca="false">IF(AH149="","",IFERROR(INDEX(C_TIPO,MATCH(C149&amp;"-P"&amp;MAX(1,COUNTIFS(C_ID,C149,C_DEFINE,"Sí",C_INICIO,"&lt;="&amp;EOMONTH(B149,0))),C_CLAVE,0))&amp;"","Sin dato"))</f>
        <v/>
      </c>
      <c r="AB149" s="71" t="str">
        <f aca="false">IF(AH149="","",ROUND(MIN(K149,TOPE_AFP_UF*AJ149)*AK149,0))</f>
        <v/>
      </c>
      <c r="AC149" s="71" t="str">
        <f aca="false">IF(AH149="","",ROUND(MIN(K149,TOPE_AFC_UF*AJ149)*IF(AA149="Indefinido",AFC_EMP_INDEF,AFC_EMP_PF),0))</f>
        <v/>
      </c>
      <c r="AD149" s="71" t="str">
        <f aca="false">IF(AH149="","",ROUND(MIN(K149,TOPE_AFP_UF*AJ149)*(MUTUAL_BASICA+MUTUAL_ADIC+SANNA),0))</f>
        <v/>
      </c>
      <c r="AE149" s="71" t="str">
        <f aca="false">IF(AH149="","",P149-N(N149)+AB149+AC149+AD149)</f>
        <v/>
      </c>
      <c r="AF149" s="65"/>
      <c r="AG149" s="64"/>
      <c r="AH149" s="72" t="str">
        <f aca="false">IF(OR(B149="",C149=""),"",C149&amp;"|"&amp;(YEAR(B149)*100+MONTH(B149)))</f>
        <v/>
      </c>
      <c r="AI149" s="70" t="str">
        <f aca="false">IF(AH149="","",IF(COUNTIF(L_CLAVE,AH149)&gt;1,"⚠ Duplicado","OK"))</f>
        <v/>
      </c>
      <c r="AJ149" s="86" t="str">
        <f aca="false">IF(AH149="","",IF(SUMPRODUCT(MAX((IND_PER&lt;=B149)*(IND_UF&lt;&gt;"")*IND_PER))=0,UF_HOY,INDEX(IND_UF,MATCH(SUMPRODUCT(MAX((IND_PER&lt;=B149)*(IND_UF&lt;&gt;"")*IND_PER)),IND_PER,0))))</f>
        <v/>
      </c>
      <c r="AK149" s="87" t="str">
        <f aca="false">IF(AH149="","",IF(COUNTIF(TASA_DESDE,"&lt;="&amp;B149)=0,INDEX(TASA_EMP,1),INDEX(TASA_EMP,COUNTIF(TASA_DESDE,"&lt;="&amp;B149))))</f>
        <v/>
      </c>
    </row>
    <row r="150" customFormat="false" ht="15" hidden="false" customHeight="false" outlineLevel="0" collapsed="false">
      <c r="B150" s="78"/>
      <c r="C150" s="64"/>
      <c r="D150" s="72" t="str">
        <f aca="false">IF(C150="","",IFERROR(INDEX(T_NOMBRE,MATCH(C150,T_ID,0)),"⚠ ID no existe"))</f>
        <v/>
      </c>
      <c r="E150" s="69"/>
      <c r="F150" s="67"/>
      <c r="G150" s="67"/>
      <c r="H150" s="67"/>
      <c r="I150" s="67"/>
      <c r="J150" s="67"/>
      <c r="K150" s="85" t="str">
        <f aca="false">IF(AH150="","",N(F150)+N(G150)+N(H150)-N(I150)+N(J150))</f>
        <v/>
      </c>
      <c r="L150" s="67"/>
      <c r="M150" s="67"/>
      <c r="N150" s="67"/>
      <c r="O150" s="67"/>
      <c r="P150" s="85" t="str">
        <f aca="false">IF(AH150="","",K150+N(L150)+N(M150)+N(N150)+N(O150))</f>
        <v/>
      </c>
      <c r="Q150" s="67"/>
      <c r="R150" s="67"/>
      <c r="S150" s="67"/>
      <c r="T150" s="67"/>
      <c r="U150" s="67"/>
      <c r="V150" s="67"/>
      <c r="W150" s="85" t="str">
        <f aca="false">IF(AH150="","",N(Q150)+N(R150)+N(S150)+N(T150)+N(U150)+N(V150))</f>
        <v/>
      </c>
      <c r="X150" s="85" t="str">
        <f aca="false">IF(AH150="","",P150-W150)</f>
        <v/>
      </c>
      <c r="Y150" s="67"/>
      <c r="Z150" s="70" t="str">
        <f aca="false">IF(OR(AH150="",Y150=""),"",IF(ABS(X150-Y150)&lt;=1,"✓ Cuadra","⚠ Diferencia $"&amp;FIXED(X150-Y150,0)))</f>
        <v/>
      </c>
      <c r="AA150" s="72" t="str">
        <f aca="false">IF(AH150="","",IFERROR(INDEX(C_TIPO,MATCH(C150&amp;"-P"&amp;MAX(1,COUNTIFS(C_ID,C150,C_DEFINE,"Sí",C_INICIO,"&lt;="&amp;EOMONTH(B150,0))),C_CLAVE,0))&amp;"","Sin dato"))</f>
        <v/>
      </c>
      <c r="AB150" s="71" t="str">
        <f aca="false">IF(AH150="","",ROUND(MIN(K150,TOPE_AFP_UF*AJ150)*AK150,0))</f>
        <v/>
      </c>
      <c r="AC150" s="71" t="str">
        <f aca="false">IF(AH150="","",ROUND(MIN(K150,TOPE_AFC_UF*AJ150)*IF(AA150="Indefinido",AFC_EMP_INDEF,AFC_EMP_PF),0))</f>
        <v/>
      </c>
      <c r="AD150" s="71" t="str">
        <f aca="false">IF(AH150="","",ROUND(MIN(K150,TOPE_AFP_UF*AJ150)*(MUTUAL_BASICA+MUTUAL_ADIC+SANNA),0))</f>
        <v/>
      </c>
      <c r="AE150" s="71" t="str">
        <f aca="false">IF(AH150="","",P150-N(N150)+AB150+AC150+AD150)</f>
        <v/>
      </c>
      <c r="AF150" s="65"/>
      <c r="AG150" s="64"/>
      <c r="AH150" s="72" t="str">
        <f aca="false">IF(OR(B150="",C150=""),"",C150&amp;"|"&amp;(YEAR(B150)*100+MONTH(B150)))</f>
        <v/>
      </c>
      <c r="AI150" s="70" t="str">
        <f aca="false">IF(AH150="","",IF(COUNTIF(L_CLAVE,AH150)&gt;1,"⚠ Duplicado","OK"))</f>
        <v/>
      </c>
      <c r="AJ150" s="86" t="str">
        <f aca="false">IF(AH150="","",IF(SUMPRODUCT(MAX((IND_PER&lt;=B150)*(IND_UF&lt;&gt;"")*IND_PER))=0,UF_HOY,INDEX(IND_UF,MATCH(SUMPRODUCT(MAX((IND_PER&lt;=B150)*(IND_UF&lt;&gt;"")*IND_PER)),IND_PER,0))))</f>
        <v/>
      </c>
      <c r="AK150" s="87" t="str">
        <f aca="false">IF(AH150="","",IF(COUNTIF(TASA_DESDE,"&lt;="&amp;B150)=0,INDEX(TASA_EMP,1),INDEX(TASA_EMP,COUNTIF(TASA_DESDE,"&lt;="&amp;B150))))</f>
        <v/>
      </c>
    </row>
    <row r="151" customFormat="false" ht="15" hidden="false" customHeight="false" outlineLevel="0" collapsed="false">
      <c r="B151" s="78"/>
      <c r="C151" s="64"/>
      <c r="D151" s="72" t="str">
        <f aca="false">IF(C151="","",IFERROR(INDEX(T_NOMBRE,MATCH(C151,T_ID,0)),"⚠ ID no existe"))</f>
        <v/>
      </c>
      <c r="E151" s="69"/>
      <c r="F151" s="67"/>
      <c r="G151" s="67"/>
      <c r="H151" s="67"/>
      <c r="I151" s="67"/>
      <c r="J151" s="67"/>
      <c r="K151" s="85" t="str">
        <f aca="false">IF(AH151="","",N(F151)+N(G151)+N(H151)-N(I151)+N(J151))</f>
        <v/>
      </c>
      <c r="L151" s="67"/>
      <c r="M151" s="67"/>
      <c r="N151" s="67"/>
      <c r="O151" s="67"/>
      <c r="P151" s="85" t="str">
        <f aca="false">IF(AH151="","",K151+N(L151)+N(M151)+N(N151)+N(O151))</f>
        <v/>
      </c>
      <c r="Q151" s="67"/>
      <c r="R151" s="67"/>
      <c r="S151" s="67"/>
      <c r="T151" s="67"/>
      <c r="U151" s="67"/>
      <c r="V151" s="67"/>
      <c r="W151" s="85" t="str">
        <f aca="false">IF(AH151="","",N(Q151)+N(R151)+N(S151)+N(T151)+N(U151)+N(V151))</f>
        <v/>
      </c>
      <c r="X151" s="85" t="str">
        <f aca="false">IF(AH151="","",P151-W151)</f>
        <v/>
      </c>
      <c r="Y151" s="67"/>
      <c r="Z151" s="70" t="str">
        <f aca="false">IF(OR(AH151="",Y151=""),"",IF(ABS(X151-Y151)&lt;=1,"✓ Cuadra","⚠ Diferencia $"&amp;FIXED(X151-Y151,0)))</f>
        <v/>
      </c>
      <c r="AA151" s="72" t="str">
        <f aca="false">IF(AH151="","",IFERROR(INDEX(C_TIPO,MATCH(C151&amp;"-P"&amp;MAX(1,COUNTIFS(C_ID,C151,C_DEFINE,"Sí",C_INICIO,"&lt;="&amp;EOMONTH(B151,0))),C_CLAVE,0))&amp;"","Sin dato"))</f>
        <v/>
      </c>
      <c r="AB151" s="71" t="str">
        <f aca="false">IF(AH151="","",ROUND(MIN(K151,TOPE_AFP_UF*AJ151)*AK151,0))</f>
        <v/>
      </c>
      <c r="AC151" s="71" t="str">
        <f aca="false">IF(AH151="","",ROUND(MIN(K151,TOPE_AFC_UF*AJ151)*IF(AA151="Indefinido",AFC_EMP_INDEF,AFC_EMP_PF),0))</f>
        <v/>
      </c>
      <c r="AD151" s="71" t="str">
        <f aca="false">IF(AH151="","",ROUND(MIN(K151,TOPE_AFP_UF*AJ151)*(MUTUAL_BASICA+MUTUAL_ADIC+SANNA),0))</f>
        <v/>
      </c>
      <c r="AE151" s="71" t="str">
        <f aca="false">IF(AH151="","",P151-N(N151)+AB151+AC151+AD151)</f>
        <v/>
      </c>
      <c r="AF151" s="65"/>
      <c r="AG151" s="64"/>
      <c r="AH151" s="72" t="str">
        <f aca="false">IF(OR(B151="",C151=""),"",C151&amp;"|"&amp;(YEAR(B151)*100+MONTH(B151)))</f>
        <v/>
      </c>
      <c r="AI151" s="70" t="str">
        <f aca="false">IF(AH151="","",IF(COUNTIF(L_CLAVE,AH151)&gt;1,"⚠ Duplicado","OK"))</f>
        <v/>
      </c>
      <c r="AJ151" s="86" t="str">
        <f aca="false">IF(AH151="","",IF(SUMPRODUCT(MAX((IND_PER&lt;=B151)*(IND_UF&lt;&gt;"")*IND_PER))=0,UF_HOY,INDEX(IND_UF,MATCH(SUMPRODUCT(MAX((IND_PER&lt;=B151)*(IND_UF&lt;&gt;"")*IND_PER)),IND_PER,0))))</f>
        <v/>
      </c>
      <c r="AK151" s="87" t="str">
        <f aca="false">IF(AH151="","",IF(COUNTIF(TASA_DESDE,"&lt;="&amp;B151)=0,INDEX(TASA_EMP,1),INDEX(TASA_EMP,COUNTIF(TASA_DESDE,"&lt;="&amp;B151))))</f>
        <v/>
      </c>
    </row>
    <row r="152" customFormat="false" ht="15" hidden="false" customHeight="false" outlineLevel="0" collapsed="false">
      <c r="B152" s="78"/>
      <c r="C152" s="64"/>
      <c r="D152" s="72" t="str">
        <f aca="false">IF(C152="","",IFERROR(INDEX(T_NOMBRE,MATCH(C152,T_ID,0)),"⚠ ID no existe"))</f>
        <v/>
      </c>
      <c r="E152" s="69"/>
      <c r="F152" s="67"/>
      <c r="G152" s="67"/>
      <c r="H152" s="67"/>
      <c r="I152" s="67"/>
      <c r="J152" s="67"/>
      <c r="K152" s="85" t="str">
        <f aca="false">IF(AH152="","",N(F152)+N(G152)+N(H152)-N(I152)+N(J152))</f>
        <v/>
      </c>
      <c r="L152" s="67"/>
      <c r="M152" s="67"/>
      <c r="N152" s="67"/>
      <c r="O152" s="67"/>
      <c r="P152" s="85" t="str">
        <f aca="false">IF(AH152="","",K152+N(L152)+N(M152)+N(N152)+N(O152))</f>
        <v/>
      </c>
      <c r="Q152" s="67"/>
      <c r="R152" s="67"/>
      <c r="S152" s="67"/>
      <c r="T152" s="67"/>
      <c r="U152" s="67"/>
      <c r="V152" s="67"/>
      <c r="W152" s="85" t="str">
        <f aca="false">IF(AH152="","",N(Q152)+N(R152)+N(S152)+N(T152)+N(U152)+N(V152))</f>
        <v/>
      </c>
      <c r="X152" s="85" t="str">
        <f aca="false">IF(AH152="","",P152-W152)</f>
        <v/>
      </c>
      <c r="Y152" s="67"/>
      <c r="Z152" s="70" t="str">
        <f aca="false">IF(OR(AH152="",Y152=""),"",IF(ABS(X152-Y152)&lt;=1,"✓ Cuadra","⚠ Diferencia $"&amp;FIXED(X152-Y152,0)))</f>
        <v/>
      </c>
      <c r="AA152" s="72" t="str">
        <f aca="false">IF(AH152="","",IFERROR(INDEX(C_TIPO,MATCH(C152&amp;"-P"&amp;MAX(1,COUNTIFS(C_ID,C152,C_DEFINE,"Sí",C_INICIO,"&lt;="&amp;EOMONTH(B152,0))),C_CLAVE,0))&amp;"","Sin dato"))</f>
        <v/>
      </c>
      <c r="AB152" s="71" t="str">
        <f aca="false">IF(AH152="","",ROUND(MIN(K152,TOPE_AFP_UF*AJ152)*AK152,0))</f>
        <v/>
      </c>
      <c r="AC152" s="71" t="str">
        <f aca="false">IF(AH152="","",ROUND(MIN(K152,TOPE_AFC_UF*AJ152)*IF(AA152="Indefinido",AFC_EMP_INDEF,AFC_EMP_PF),0))</f>
        <v/>
      </c>
      <c r="AD152" s="71" t="str">
        <f aca="false">IF(AH152="","",ROUND(MIN(K152,TOPE_AFP_UF*AJ152)*(MUTUAL_BASICA+MUTUAL_ADIC+SANNA),0))</f>
        <v/>
      </c>
      <c r="AE152" s="71" t="str">
        <f aca="false">IF(AH152="","",P152-N(N152)+AB152+AC152+AD152)</f>
        <v/>
      </c>
      <c r="AF152" s="65"/>
      <c r="AG152" s="64"/>
      <c r="AH152" s="72" t="str">
        <f aca="false">IF(OR(B152="",C152=""),"",C152&amp;"|"&amp;(YEAR(B152)*100+MONTH(B152)))</f>
        <v/>
      </c>
      <c r="AI152" s="70" t="str">
        <f aca="false">IF(AH152="","",IF(COUNTIF(L_CLAVE,AH152)&gt;1,"⚠ Duplicado","OK"))</f>
        <v/>
      </c>
      <c r="AJ152" s="86" t="str">
        <f aca="false">IF(AH152="","",IF(SUMPRODUCT(MAX((IND_PER&lt;=B152)*(IND_UF&lt;&gt;"")*IND_PER))=0,UF_HOY,INDEX(IND_UF,MATCH(SUMPRODUCT(MAX((IND_PER&lt;=B152)*(IND_UF&lt;&gt;"")*IND_PER)),IND_PER,0))))</f>
        <v/>
      </c>
      <c r="AK152" s="87" t="str">
        <f aca="false">IF(AH152="","",IF(COUNTIF(TASA_DESDE,"&lt;="&amp;B152)=0,INDEX(TASA_EMP,1),INDEX(TASA_EMP,COUNTIF(TASA_DESDE,"&lt;="&amp;B152))))</f>
        <v/>
      </c>
    </row>
    <row r="153" customFormat="false" ht="15" hidden="false" customHeight="false" outlineLevel="0" collapsed="false">
      <c r="B153" s="78"/>
      <c r="C153" s="64"/>
      <c r="D153" s="72" t="str">
        <f aca="false">IF(C153="","",IFERROR(INDEX(T_NOMBRE,MATCH(C153,T_ID,0)),"⚠ ID no existe"))</f>
        <v/>
      </c>
      <c r="E153" s="69"/>
      <c r="F153" s="67"/>
      <c r="G153" s="67"/>
      <c r="H153" s="67"/>
      <c r="I153" s="67"/>
      <c r="J153" s="67"/>
      <c r="K153" s="85" t="str">
        <f aca="false">IF(AH153="","",N(F153)+N(G153)+N(H153)-N(I153)+N(J153))</f>
        <v/>
      </c>
      <c r="L153" s="67"/>
      <c r="M153" s="67"/>
      <c r="N153" s="67"/>
      <c r="O153" s="67"/>
      <c r="P153" s="85" t="str">
        <f aca="false">IF(AH153="","",K153+N(L153)+N(M153)+N(N153)+N(O153))</f>
        <v/>
      </c>
      <c r="Q153" s="67"/>
      <c r="R153" s="67"/>
      <c r="S153" s="67"/>
      <c r="T153" s="67"/>
      <c r="U153" s="67"/>
      <c r="V153" s="67"/>
      <c r="W153" s="85" t="str">
        <f aca="false">IF(AH153="","",N(Q153)+N(R153)+N(S153)+N(T153)+N(U153)+N(V153))</f>
        <v/>
      </c>
      <c r="X153" s="85" t="str">
        <f aca="false">IF(AH153="","",P153-W153)</f>
        <v/>
      </c>
      <c r="Y153" s="67"/>
      <c r="Z153" s="70" t="str">
        <f aca="false">IF(OR(AH153="",Y153=""),"",IF(ABS(X153-Y153)&lt;=1,"✓ Cuadra","⚠ Diferencia $"&amp;FIXED(X153-Y153,0)))</f>
        <v/>
      </c>
      <c r="AA153" s="72" t="str">
        <f aca="false">IF(AH153="","",IFERROR(INDEX(C_TIPO,MATCH(C153&amp;"-P"&amp;MAX(1,COUNTIFS(C_ID,C153,C_DEFINE,"Sí",C_INICIO,"&lt;="&amp;EOMONTH(B153,0))),C_CLAVE,0))&amp;"","Sin dato"))</f>
        <v/>
      </c>
      <c r="AB153" s="71" t="str">
        <f aca="false">IF(AH153="","",ROUND(MIN(K153,TOPE_AFP_UF*AJ153)*AK153,0))</f>
        <v/>
      </c>
      <c r="AC153" s="71" t="str">
        <f aca="false">IF(AH153="","",ROUND(MIN(K153,TOPE_AFC_UF*AJ153)*IF(AA153="Indefinido",AFC_EMP_INDEF,AFC_EMP_PF),0))</f>
        <v/>
      </c>
      <c r="AD153" s="71" t="str">
        <f aca="false">IF(AH153="","",ROUND(MIN(K153,TOPE_AFP_UF*AJ153)*(MUTUAL_BASICA+MUTUAL_ADIC+SANNA),0))</f>
        <v/>
      </c>
      <c r="AE153" s="71" t="str">
        <f aca="false">IF(AH153="","",P153-N(N153)+AB153+AC153+AD153)</f>
        <v/>
      </c>
      <c r="AF153" s="65"/>
      <c r="AG153" s="64"/>
      <c r="AH153" s="72" t="str">
        <f aca="false">IF(OR(B153="",C153=""),"",C153&amp;"|"&amp;(YEAR(B153)*100+MONTH(B153)))</f>
        <v/>
      </c>
      <c r="AI153" s="70" t="str">
        <f aca="false">IF(AH153="","",IF(COUNTIF(L_CLAVE,AH153)&gt;1,"⚠ Duplicado","OK"))</f>
        <v/>
      </c>
      <c r="AJ153" s="86" t="str">
        <f aca="false">IF(AH153="","",IF(SUMPRODUCT(MAX((IND_PER&lt;=B153)*(IND_UF&lt;&gt;"")*IND_PER))=0,UF_HOY,INDEX(IND_UF,MATCH(SUMPRODUCT(MAX((IND_PER&lt;=B153)*(IND_UF&lt;&gt;"")*IND_PER)),IND_PER,0))))</f>
        <v/>
      </c>
      <c r="AK153" s="87" t="str">
        <f aca="false">IF(AH153="","",IF(COUNTIF(TASA_DESDE,"&lt;="&amp;B153)=0,INDEX(TASA_EMP,1),INDEX(TASA_EMP,COUNTIF(TASA_DESDE,"&lt;="&amp;B153))))</f>
        <v/>
      </c>
    </row>
    <row r="154" customFormat="false" ht="15" hidden="false" customHeight="false" outlineLevel="0" collapsed="false">
      <c r="B154" s="78"/>
      <c r="C154" s="64"/>
      <c r="D154" s="72" t="str">
        <f aca="false">IF(C154="","",IFERROR(INDEX(T_NOMBRE,MATCH(C154,T_ID,0)),"⚠ ID no existe"))</f>
        <v/>
      </c>
      <c r="E154" s="69"/>
      <c r="F154" s="67"/>
      <c r="G154" s="67"/>
      <c r="H154" s="67"/>
      <c r="I154" s="67"/>
      <c r="J154" s="67"/>
      <c r="K154" s="85" t="str">
        <f aca="false">IF(AH154="","",N(F154)+N(G154)+N(H154)-N(I154)+N(J154))</f>
        <v/>
      </c>
      <c r="L154" s="67"/>
      <c r="M154" s="67"/>
      <c r="N154" s="67"/>
      <c r="O154" s="67"/>
      <c r="P154" s="85" t="str">
        <f aca="false">IF(AH154="","",K154+N(L154)+N(M154)+N(N154)+N(O154))</f>
        <v/>
      </c>
      <c r="Q154" s="67"/>
      <c r="R154" s="67"/>
      <c r="S154" s="67"/>
      <c r="T154" s="67"/>
      <c r="U154" s="67"/>
      <c r="V154" s="67"/>
      <c r="W154" s="85" t="str">
        <f aca="false">IF(AH154="","",N(Q154)+N(R154)+N(S154)+N(T154)+N(U154)+N(V154))</f>
        <v/>
      </c>
      <c r="X154" s="85" t="str">
        <f aca="false">IF(AH154="","",P154-W154)</f>
        <v/>
      </c>
      <c r="Y154" s="67"/>
      <c r="Z154" s="70" t="str">
        <f aca="false">IF(OR(AH154="",Y154=""),"",IF(ABS(X154-Y154)&lt;=1,"✓ Cuadra","⚠ Diferencia $"&amp;FIXED(X154-Y154,0)))</f>
        <v/>
      </c>
      <c r="AA154" s="72" t="str">
        <f aca="false">IF(AH154="","",IFERROR(INDEX(C_TIPO,MATCH(C154&amp;"-P"&amp;MAX(1,COUNTIFS(C_ID,C154,C_DEFINE,"Sí",C_INICIO,"&lt;="&amp;EOMONTH(B154,0))),C_CLAVE,0))&amp;"","Sin dato"))</f>
        <v/>
      </c>
      <c r="AB154" s="71" t="str">
        <f aca="false">IF(AH154="","",ROUND(MIN(K154,TOPE_AFP_UF*AJ154)*AK154,0))</f>
        <v/>
      </c>
      <c r="AC154" s="71" t="str">
        <f aca="false">IF(AH154="","",ROUND(MIN(K154,TOPE_AFC_UF*AJ154)*IF(AA154="Indefinido",AFC_EMP_INDEF,AFC_EMP_PF),0))</f>
        <v/>
      </c>
      <c r="AD154" s="71" t="str">
        <f aca="false">IF(AH154="","",ROUND(MIN(K154,TOPE_AFP_UF*AJ154)*(MUTUAL_BASICA+MUTUAL_ADIC+SANNA),0))</f>
        <v/>
      </c>
      <c r="AE154" s="71" t="str">
        <f aca="false">IF(AH154="","",P154-N(N154)+AB154+AC154+AD154)</f>
        <v/>
      </c>
      <c r="AF154" s="65"/>
      <c r="AG154" s="64"/>
      <c r="AH154" s="72" t="str">
        <f aca="false">IF(OR(B154="",C154=""),"",C154&amp;"|"&amp;(YEAR(B154)*100+MONTH(B154)))</f>
        <v/>
      </c>
      <c r="AI154" s="70" t="str">
        <f aca="false">IF(AH154="","",IF(COUNTIF(L_CLAVE,AH154)&gt;1,"⚠ Duplicado","OK"))</f>
        <v/>
      </c>
      <c r="AJ154" s="86" t="str">
        <f aca="false">IF(AH154="","",IF(SUMPRODUCT(MAX((IND_PER&lt;=B154)*(IND_UF&lt;&gt;"")*IND_PER))=0,UF_HOY,INDEX(IND_UF,MATCH(SUMPRODUCT(MAX((IND_PER&lt;=B154)*(IND_UF&lt;&gt;"")*IND_PER)),IND_PER,0))))</f>
        <v/>
      </c>
      <c r="AK154" s="87" t="str">
        <f aca="false">IF(AH154="","",IF(COUNTIF(TASA_DESDE,"&lt;="&amp;B154)=0,INDEX(TASA_EMP,1),INDEX(TASA_EMP,COUNTIF(TASA_DESDE,"&lt;="&amp;B154))))</f>
        <v/>
      </c>
    </row>
    <row r="155" customFormat="false" ht="15" hidden="false" customHeight="false" outlineLevel="0" collapsed="false">
      <c r="B155" s="78"/>
      <c r="C155" s="64"/>
      <c r="D155" s="72" t="str">
        <f aca="false">IF(C155="","",IFERROR(INDEX(T_NOMBRE,MATCH(C155,T_ID,0)),"⚠ ID no existe"))</f>
        <v/>
      </c>
      <c r="E155" s="69"/>
      <c r="F155" s="67"/>
      <c r="G155" s="67"/>
      <c r="H155" s="67"/>
      <c r="I155" s="67"/>
      <c r="J155" s="67"/>
      <c r="K155" s="85" t="str">
        <f aca="false">IF(AH155="","",N(F155)+N(G155)+N(H155)-N(I155)+N(J155))</f>
        <v/>
      </c>
      <c r="L155" s="67"/>
      <c r="M155" s="67"/>
      <c r="N155" s="67"/>
      <c r="O155" s="67"/>
      <c r="P155" s="85" t="str">
        <f aca="false">IF(AH155="","",K155+N(L155)+N(M155)+N(N155)+N(O155))</f>
        <v/>
      </c>
      <c r="Q155" s="67"/>
      <c r="R155" s="67"/>
      <c r="S155" s="67"/>
      <c r="T155" s="67"/>
      <c r="U155" s="67"/>
      <c r="V155" s="67"/>
      <c r="W155" s="85" t="str">
        <f aca="false">IF(AH155="","",N(Q155)+N(R155)+N(S155)+N(T155)+N(U155)+N(V155))</f>
        <v/>
      </c>
      <c r="X155" s="85" t="str">
        <f aca="false">IF(AH155="","",P155-W155)</f>
        <v/>
      </c>
      <c r="Y155" s="67"/>
      <c r="Z155" s="70" t="str">
        <f aca="false">IF(OR(AH155="",Y155=""),"",IF(ABS(X155-Y155)&lt;=1,"✓ Cuadra","⚠ Diferencia $"&amp;FIXED(X155-Y155,0)))</f>
        <v/>
      </c>
      <c r="AA155" s="72" t="str">
        <f aca="false">IF(AH155="","",IFERROR(INDEX(C_TIPO,MATCH(C155&amp;"-P"&amp;MAX(1,COUNTIFS(C_ID,C155,C_DEFINE,"Sí",C_INICIO,"&lt;="&amp;EOMONTH(B155,0))),C_CLAVE,0))&amp;"","Sin dato"))</f>
        <v/>
      </c>
      <c r="AB155" s="71" t="str">
        <f aca="false">IF(AH155="","",ROUND(MIN(K155,TOPE_AFP_UF*AJ155)*AK155,0))</f>
        <v/>
      </c>
      <c r="AC155" s="71" t="str">
        <f aca="false">IF(AH155="","",ROUND(MIN(K155,TOPE_AFC_UF*AJ155)*IF(AA155="Indefinido",AFC_EMP_INDEF,AFC_EMP_PF),0))</f>
        <v/>
      </c>
      <c r="AD155" s="71" t="str">
        <f aca="false">IF(AH155="","",ROUND(MIN(K155,TOPE_AFP_UF*AJ155)*(MUTUAL_BASICA+MUTUAL_ADIC+SANNA),0))</f>
        <v/>
      </c>
      <c r="AE155" s="71" t="str">
        <f aca="false">IF(AH155="","",P155-N(N155)+AB155+AC155+AD155)</f>
        <v/>
      </c>
      <c r="AF155" s="65"/>
      <c r="AG155" s="64"/>
      <c r="AH155" s="72" t="str">
        <f aca="false">IF(OR(B155="",C155=""),"",C155&amp;"|"&amp;(YEAR(B155)*100+MONTH(B155)))</f>
        <v/>
      </c>
      <c r="AI155" s="70" t="str">
        <f aca="false">IF(AH155="","",IF(COUNTIF(L_CLAVE,AH155)&gt;1,"⚠ Duplicado","OK"))</f>
        <v/>
      </c>
      <c r="AJ155" s="86" t="str">
        <f aca="false">IF(AH155="","",IF(SUMPRODUCT(MAX((IND_PER&lt;=B155)*(IND_UF&lt;&gt;"")*IND_PER))=0,UF_HOY,INDEX(IND_UF,MATCH(SUMPRODUCT(MAX((IND_PER&lt;=B155)*(IND_UF&lt;&gt;"")*IND_PER)),IND_PER,0))))</f>
        <v/>
      </c>
      <c r="AK155" s="87" t="str">
        <f aca="false">IF(AH155="","",IF(COUNTIF(TASA_DESDE,"&lt;="&amp;B155)=0,INDEX(TASA_EMP,1),INDEX(TASA_EMP,COUNTIF(TASA_DESDE,"&lt;="&amp;B155))))</f>
        <v/>
      </c>
    </row>
    <row r="156" customFormat="false" ht="15" hidden="false" customHeight="false" outlineLevel="0" collapsed="false">
      <c r="B156" s="78"/>
      <c r="C156" s="64"/>
      <c r="D156" s="72" t="str">
        <f aca="false">IF(C156="","",IFERROR(INDEX(T_NOMBRE,MATCH(C156,T_ID,0)),"⚠ ID no existe"))</f>
        <v/>
      </c>
      <c r="E156" s="69"/>
      <c r="F156" s="67"/>
      <c r="G156" s="67"/>
      <c r="H156" s="67"/>
      <c r="I156" s="67"/>
      <c r="J156" s="67"/>
      <c r="K156" s="85" t="str">
        <f aca="false">IF(AH156="","",N(F156)+N(G156)+N(H156)-N(I156)+N(J156))</f>
        <v/>
      </c>
      <c r="L156" s="67"/>
      <c r="M156" s="67"/>
      <c r="N156" s="67"/>
      <c r="O156" s="67"/>
      <c r="P156" s="85" t="str">
        <f aca="false">IF(AH156="","",K156+N(L156)+N(M156)+N(N156)+N(O156))</f>
        <v/>
      </c>
      <c r="Q156" s="67"/>
      <c r="R156" s="67"/>
      <c r="S156" s="67"/>
      <c r="T156" s="67"/>
      <c r="U156" s="67"/>
      <c r="V156" s="67"/>
      <c r="W156" s="85" t="str">
        <f aca="false">IF(AH156="","",N(Q156)+N(R156)+N(S156)+N(T156)+N(U156)+N(V156))</f>
        <v/>
      </c>
      <c r="X156" s="85" t="str">
        <f aca="false">IF(AH156="","",P156-W156)</f>
        <v/>
      </c>
      <c r="Y156" s="67"/>
      <c r="Z156" s="70" t="str">
        <f aca="false">IF(OR(AH156="",Y156=""),"",IF(ABS(X156-Y156)&lt;=1,"✓ Cuadra","⚠ Diferencia $"&amp;FIXED(X156-Y156,0)))</f>
        <v/>
      </c>
      <c r="AA156" s="72" t="str">
        <f aca="false">IF(AH156="","",IFERROR(INDEX(C_TIPO,MATCH(C156&amp;"-P"&amp;MAX(1,COUNTIFS(C_ID,C156,C_DEFINE,"Sí",C_INICIO,"&lt;="&amp;EOMONTH(B156,0))),C_CLAVE,0))&amp;"","Sin dato"))</f>
        <v/>
      </c>
      <c r="AB156" s="71" t="str">
        <f aca="false">IF(AH156="","",ROUND(MIN(K156,TOPE_AFP_UF*AJ156)*AK156,0))</f>
        <v/>
      </c>
      <c r="AC156" s="71" t="str">
        <f aca="false">IF(AH156="","",ROUND(MIN(K156,TOPE_AFC_UF*AJ156)*IF(AA156="Indefinido",AFC_EMP_INDEF,AFC_EMP_PF),0))</f>
        <v/>
      </c>
      <c r="AD156" s="71" t="str">
        <f aca="false">IF(AH156="","",ROUND(MIN(K156,TOPE_AFP_UF*AJ156)*(MUTUAL_BASICA+MUTUAL_ADIC+SANNA),0))</f>
        <v/>
      </c>
      <c r="AE156" s="71" t="str">
        <f aca="false">IF(AH156="","",P156-N(N156)+AB156+AC156+AD156)</f>
        <v/>
      </c>
      <c r="AF156" s="65"/>
      <c r="AG156" s="64"/>
      <c r="AH156" s="72" t="str">
        <f aca="false">IF(OR(B156="",C156=""),"",C156&amp;"|"&amp;(YEAR(B156)*100+MONTH(B156)))</f>
        <v/>
      </c>
      <c r="AI156" s="70" t="str">
        <f aca="false">IF(AH156="","",IF(COUNTIF(L_CLAVE,AH156)&gt;1,"⚠ Duplicado","OK"))</f>
        <v/>
      </c>
      <c r="AJ156" s="86" t="str">
        <f aca="false">IF(AH156="","",IF(SUMPRODUCT(MAX((IND_PER&lt;=B156)*(IND_UF&lt;&gt;"")*IND_PER))=0,UF_HOY,INDEX(IND_UF,MATCH(SUMPRODUCT(MAX((IND_PER&lt;=B156)*(IND_UF&lt;&gt;"")*IND_PER)),IND_PER,0))))</f>
        <v/>
      </c>
      <c r="AK156" s="87" t="str">
        <f aca="false">IF(AH156="","",IF(COUNTIF(TASA_DESDE,"&lt;="&amp;B156)=0,INDEX(TASA_EMP,1),INDEX(TASA_EMP,COUNTIF(TASA_DESDE,"&lt;="&amp;B156))))</f>
        <v/>
      </c>
    </row>
    <row r="157" customFormat="false" ht="15" hidden="false" customHeight="false" outlineLevel="0" collapsed="false">
      <c r="B157" s="78"/>
      <c r="C157" s="64"/>
      <c r="D157" s="72" t="str">
        <f aca="false">IF(C157="","",IFERROR(INDEX(T_NOMBRE,MATCH(C157,T_ID,0)),"⚠ ID no existe"))</f>
        <v/>
      </c>
      <c r="E157" s="69"/>
      <c r="F157" s="67"/>
      <c r="G157" s="67"/>
      <c r="H157" s="67"/>
      <c r="I157" s="67"/>
      <c r="J157" s="67"/>
      <c r="K157" s="85" t="str">
        <f aca="false">IF(AH157="","",N(F157)+N(G157)+N(H157)-N(I157)+N(J157))</f>
        <v/>
      </c>
      <c r="L157" s="67"/>
      <c r="M157" s="67"/>
      <c r="N157" s="67"/>
      <c r="O157" s="67"/>
      <c r="P157" s="85" t="str">
        <f aca="false">IF(AH157="","",K157+N(L157)+N(M157)+N(N157)+N(O157))</f>
        <v/>
      </c>
      <c r="Q157" s="67"/>
      <c r="R157" s="67"/>
      <c r="S157" s="67"/>
      <c r="T157" s="67"/>
      <c r="U157" s="67"/>
      <c r="V157" s="67"/>
      <c r="W157" s="85" t="str">
        <f aca="false">IF(AH157="","",N(Q157)+N(R157)+N(S157)+N(T157)+N(U157)+N(V157))</f>
        <v/>
      </c>
      <c r="X157" s="85" t="str">
        <f aca="false">IF(AH157="","",P157-W157)</f>
        <v/>
      </c>
      <c r="Y157" s="67"/>
      <c r="Z157" s="70" t="str">
        <f aca="false">IF(OR(AH157="",Y157=""),"",IF(ABS(X157-Y157)&lt;=1,"✓ Cuadra","⚠ Diferencia $"&amp;FIXED(X157-Y157,0)))</f>
        <v/>
      </c>
      <c r="AA157" s="72" t="str">
        <f aca="false">IF(AH157="","",IFERROR(INDEX(C_TIPO,MATCH(C157&amp;"-P"&amp;MAX(1,COUNTIFS(C_ID,C157,C_DEFINE,"Sí",C_INICIO,"&lt;="&amp;EOMONTH(B157,0))),C_CLAVE,0))&amp;"","Sin dato"))</f>
        <v/>
      </c>
      <c r="AB157" s="71" t="str">
        <f aca="false">IF(AH157="","",ROUND(MIN(K157,TOPE_AFP_UF*AJ157)*AK157,0))</f>
        <v/>
      </c>
      <c r="AC157" s="71" t="str">
        <f aca="false">IF(AH157="","",ROUND(MIN(K157,TOPE_AFC_UF*AJ157)*IF(AA157="Indefinido",AFC_EMP_INDEF,AFC_EMP_PF),0))</f>
        <v/>
      </c>
      <c r="AD157" s="71" t="str">
        <f aca="false">IF(AH157="","",ROUND(MIN(K157,TOPE_AFP_UF*AJ157)*(MUTUAL_BASICA+MUTUAL_ADIC+SANNA),0))</f>
        <v/>
      </c>
      <c r="AE157" s="71" t="str">
        <f aca="false">IF(AH157="","",P157-N(N157)+AB157+AC157+AD157)</f>
        <v/>
      </c>
      <c r="AF157" s="65"/>
      <c r="AG157" s="64"/>
      <c r="AH157" s="72" t="str">
        <f aca="false">IF(OR(B157="",C157=""),"",C157&amp;"|"&amp;(YEAR(B157)*100+MONTH(B157)))</f>
        <v/>
      </c>
      <c r="AI157" s="70" t="str">
        <f aca="false">IF(AH157="","",IF(COUNTIF(L_CLAVE,AH157)&gt;1,"⚠ Duplicado","OK"))</f>
        <v/>
      </c>
      <c r="AJ157" s="86" t="str">
        <f aca="false">IF(AH157="","",IF(SUMPRODUCT(MAX((IND_PER&lt;=B157)*(IND_UF&lt;&gt;"")*IND_PER))=0,UF_HOY,INDEX(IND_UF,MATCH(SUMPRODUCT(MAX((IND_PER&lt;=B157)*(IND_UF&lt;&gt;"")*IND_PER)),IND_PER,0))))</f>
        <v/>
      </c>
      <c r="AK157" s="87" t="str">
        <f aca="false">IF(AH157="","",IF(COUNTIF(TASA_DESDE,"&lt;="&amp;B157)=0,INDEX(TASA_EMP,1),INDEX(TASA_EMP,COUNTIF(TASA_DESDE,"&lt;="&amp;B157))))</f>
        <v/>
      </c>
    </row>
    <row r="158" customFormat="false" ht="15" hidden="false" customHeight="false" outlineLevel="0" collapsed="false">
      <c r="B158" s="78"/>
      <c r="C158" s="64"/>
      <c r="D158" s="72" t="str">
        <f aca="false">IF(C158="","",IFERROR(INDEX(T_NOMBRE,MATCH(C158,T_ID,0)),"⚠ ID no existe"))</f>
        <v/>
      </c>
      <c r="E158" s="69"/>
      <c r="F158" s="67"/>
      <c r="G158" s="67"/>
      <c r="H158" s="67"/>
      <c r="I158" s="67"/>
      <c r="J158" s="67"/>
      <c r="K158" s="85" t="str">
        <f aca="false">IF(AH158="","",N(F158)+N(G158)+N(H158)-N(I158)+N(J158))</f>
        <v/>
      </c>
      <c r="L158" s="67"/>
      <c r="M158" s="67"/>
      <c r="N158" s="67"/>
      <c r="O158" s="67"/>
      <c r="P158" s="85" t="str">
        <f aca="false">IF(AH158="","",K158+N(L158)+N(M158)+N(N158)+N(O158))</f>
        <v/>
      </c>
      <c r="Q158" s="67"/>
      <c r="R158" s="67"/>
      <c r="S158" s="67"/>
      <c r="T158" s="67"/>
      <c r="U158" s="67"/>
      <c r="V158" s="67"/>
      <c r="W158" s="85" t="str">
        <f aca="false">IF(AH158="","",N(Q158)+N(R158)+N(S158)+N(T158)+N(U158)+N(V158))</f>
        <v/>
      </c>
      <c r="X158" s="85" t="str">
        <f aca="false">IF(AH158="","",P158-W158)</f>
        <v/>
      </c>
      <c r="Y158" s="67"/>
      <c r="Z158" s="70" t="str">
        <f aca="false">IF(OR(AH158="",Y158=""),"",IF(ABS(X158-Y158)&lt;=1,"✓ Cuadra","⚠ Diferencia $"&amp;FIXED(X158-Y158,0)))</f>
        <v/>
      </c>
      <c r="AA158" s="72" t="str">
        <f aca="false">IF(AH158="","",IFERROR(INDEX(C_TIPO,MATCH(C158&amp;"-P"&amp;MAX(1,COUNTIFS(C_ID,C158,C_DEFINE,"Sí",C_INICIO,"&lt;="&amp;EOMONTH(B158,0))),C_CLAVE,0))&amp;"","Sin dato"))</f>
        <v/>
      </c>
      <c r="AB158" s="71" t="str">
        <f aca="false">IF(AH158="","",ROUND(MIN(K158,TOPE_AFP_UF*AJ158)*AK158,0))</f>
        <v/>
      </c>
      <c r="AC158" s="71" t="str">
        <f aca="false">IF(AH158="","",ROUND(MIN(K158,TOPE_AFC_UF*AJ158)*IF(AA158="Indefinido",AFC_EMP_INDEF,AFC_EMP_PF),0))</f>
        <v/>
      </c>
      <c r="AD158" s="71" t="str">
        <f aca="false">IF(AH158="","",ROUND(MIN(K158,TOPE_AFP_UF*AJ158)*(MUTUAL_BASICA+MUTUAL_ADIC+SANNA),0))</f>
        <v/>
      </c>
      <c r="AE158" s="71" t="str">
        <f aca="false">IF(AH158="","",P158-N(N158)+AB158+AC158+AD158)</f>
        <v/>
      </c>
      <c r="AF158" s="65"/>
      <c r="AG158" s="64"/>
      <c r="AH158" s="72" t="str">
        <f aca="false">IF(OR(B158="",C158=""),"",C158&amp;"|"&amp;(YEAR(B158)*100+MONTH(B158)))</f>
        <v/>
      </c>
      <c r="AI158" s="70" t="str">
        <f aca="false">IF(AH158="","",IF(COUNTIF(L_CLAVE,AH158)&gt;1,"⚠ Duplicado","OK"))</f>
        <v/>
      </c>
      <c r="AJ158" s="86" t="str">
        <f aca="false">IF(AH158="","",IF(SUMPRODUCT(MAX((IND_PER&lt;=B158)*(IND_UF&lt;&gt;"")*IND_PER))=0,UF_HOY,INDEX(IND_UF,MATCH(SUMPRODUCT(MAX((IND_PER&lt;=B158)*(IND_UF&lt;&gt;"")*IND_PER)),IND_PER,0))))</f>
        <v/>
      </c>
      <c r="AK158" s="87" t="str">
        <f aca="false">IF(AH158="","",IF(COUNTIF(TASA_DESDE,"&lt;="&amp;B158)=0,INDEX(TASA_EMP,1),INDEX(TASA_EMP,COUNTIF(TASA_DESDE,"&lt;="&amp;B158))))</f>
        <v/>
      </c>
    </row>
    <row r="159" customFormat="false" ht="15" hidden="false" customHeight="false" outlineLevel="0" collapsed="false">
      <c r="B159" s="78"/>
      <c r="C159" s="64"/>
      <c r="D159" s="72" t="str">
        <f aca="false">IF(C159="","",IFERROR(INDEX(T_NOMBRE,MATCH(C159,T_ID,0)),"⚠ ID no existe"))</f>
        <v/>
      </c>
      <c r="E159" s="69"/>
      <c r="F159" s="67"/>
      <c r="G159" s="67"/>
      <c r="H159" s="67"/>
      <c r="I159" s="67"/>
      <c r="J159" s="67"/>
      <c r="K159" s="85" t="str">
        <f aca="false">IF(AH159="","",N(F159)+N(G159)+N(H159)-N(I159)+N(J159))</f>
        <v/>
      </c>
      <c r="L159" s="67"/>
      <c r="M159" s="67"/>
      <c r="N159" s="67"/>
      <c r="O159" s="67"/>
      <c r="P159" s="85" t="str">
        <f aca="false">IF(AH159="","",K159+N(L159)+N(M159)+N(N159)+N(O159))</f>
        <v/>
      </c>
      <c r="Q159" s="67"/>
      <c r="R159" s="67"/>
      <c r="S159" s="67"/>
      <c r="T159" s="67"/>
      <c r="U159" s="67"/>
      <c r="V159" s="67"/>
      <c r="W159" s="85" t="str">
        <f aca="false">IF(AH159="","",N(Q159)+N(R159)+N(S159)+N(T159)+N(U159)+N(V159))</f>
        <v/>
      </c>
      <c r="X159" s="85" t="str">
        <f aca="false">IF(AH159="","",P159-W159)</f>
        <v/>
      </c>
      <c r="Y159" s="67"/>
      <c r="Z159" s="70" t="str">
        <f aca="false">IF(OR(AH159="",Y159=""),"",IF(ABS(X159-Y159)&lt;=1,"✓ Cuadra","⚠ Diferencia $"&amp;FIXED(X159-Y159,0)))</f>
        <v/>
      </c>
      <c r="AA159" s="72" t="str">
        <f aca="false">IF(AH159="","",IFERROR(INDEX(C_TIPO,MATCH(C159&amp;"-P"&amp;MAX(1,COUNTIFS(C_ID,C159,C_DEFINE,"Sí",C_INICIO,"&lt;="&amp;EOMONTH(B159,0))),C_CLAVE,0))&amp;"","Sin dato"))</f>
        <v/>
      </c>
      <c r="AB159" s="71" t="str">
        <f aca="false">IF(AH159="","",ROUND(MIN(K159,TOPE_AFP_UF*AJ159)*AK159,0))</f>
        <v/>
      </c>
      <c r="AC159" s="71" t="str">
        <f aca="false">IF(AH159="","",ROUND(MIN(K159,TOPE_AFC_UF*AJ159)*IF(AA159="Indefinido",AFC_EMP_INDEF,AFC_EMP_PF),0))</f>
        <v/>
      </c>
      <c r="AD159" s="71" t="str">
        <f aca="false">IF(AH159="","",ROUND(MIN(K159,TOPE_AFP_UF*AJ159)*(MUTUAL_BASICA+MUTUAL_ADIC+SANNA),0))</f>
        <v/>
      </c>
      <c r="AE159" s="71" t="str">
        <f aca="false">IF(AH159="","",P159-N(N159)+AB159+AC159+AD159)</f>
        <v/>
      </c>
      <c r="AF159" s="65"/>
      <c r="AG159" s="64"/>
      <c r="AH159" s="72" t="str">
        <f aca="false">IF(OR(B159="",C159=""),"",C159&amp;"|"&amp;(YEAR(B159)*100+MONTH(B159)))</f>
        <v/>
      </c>
      <c r="AI159" s="70" t="str">
        <f aca="false">IF(AH159="","",IF(COUNTIF(L_CLAVE,AH159)&gt;1,"⚠ Duplicado","OK"))</f>
        <v/>
      </c>
      <c r="AJ159" s="86" t="str">
        <f aca="false">IF(AH159="","",IF(SUMPRODUCT(MAX((IND_PER&lt;=B159)*(IND_UF&lt;&gt;"")*IND_PER))=0,UF_HOY,INDEX(IND_UF,MATCH(SUMPRODUCT(MAX((IND_PER&lt;=B159)*(IND_UF&lt;&gt;"")*IND_PER)),IND_PER,0))))</f>
        <v/>
      </c>
      <c r="AK159" s="87" t="str">
        <f aca="false">IF(AH159="","",IF(COUNTIF(TASA_DESDE,"&lt;="&amp;B159)=0,INDEX(TASA_EMP,1),INDEX(TASA_EMP,COUNTIF(TASA_DESDE,"&lt;="&amp;B159))))</f>
        <v/>
      </c>
    </row>
    <row r="160" customFormat="false" ht="15" hidden="false" customHeight="false" outlineLevel="0" collapsed="false">
      <c r="B160" s="78"/>
      <c r="C160" s="64"/>
      <c r="D160" s="72" t="str">
        <f aca="false">IF(C160="","",IFERROR(INDEX(T_NOMBRE,MATCH(C160,T_ID,0)),"⚠ ID no existe"))</f>
        <v/>
      </c>
      <c r="E160" s="69"/>
      <c r="F160" s="67"/>
      <c r="G160" s="67"/>
      <c r="H160" s="67"/>
      <c r="I160" s="67"/>
      <c r="J160" s="67"/>
      <c r="K160" s="85" t="str">
        <f aca="false">IF(AH160="","",N(F160)+N(G160)+N(H160)-N(I160)+N(J160))</f>
        <v/>
      </c>
      <c r="L160" s="67"/>
      <c r="M160" s="67"/>
      <c r="N160" s="67"/>
      <c r="O160" s="67"/>
      <c r="P160" s="85" t="str">
        <f aca="false">IF(AH160="","",K160+N(L160)+N(M160)+N(N160)+N(O160))</f>
        <v/>
      </c>
      <c r="Q160" s="67"/>
      <c r="R160" s="67"/>
      <c r="S160" s="67"/>
      <c r="T160" s="67"/>
      <c r="U160" s="67"/>
      <c r="V160" s="67"/>
      <c r="W160" s="85" t="str">
        <f aca="false">IF(AH160="","",N(Q160)+N(R160)+N(S160)+N(T160)+N(U160)+N(V160))</f>
        <v/>
      </c>
      <c r="X160" s="85" t="str">
        <f aca="false">IF(AH160="","",P160-W160)</f>
        <v/>
      </c>
      <c r="Y160" s="67"/>
      <c r="Z160" s="70" t="str">
        <f aca="false">IF(OR(AH160="",Y160=""),"",IF(ABS(X160-Y160)&lt;=1,"✓ Cuadra","⚠ Diferencia $"&amp;FIXED(X160-Y160,0)))</f>
        <v/>
      </c>
      <c r="AA160" s="72" t="str">
        <f aca="false">IF(AH160="","",IFERROR(INDEX(C_TIPO,MATCH(C160&amp;"-P"&amp;MAX(1,COUNTIFS(C_ID,C160,C_DEFINE,"Sí",C_INICIO,"&lt;="&amp;EOMONTH(B160,0))),C_CLAVE,0))&amp;"","Sin dato"))</f>
        <v/>
      </c>
      <c r="AB160" s="71" t="str">
        <f aca="false">IF(AH160="","",ROUND(MIN(K160,TOPE_AFP_UF*AJ160)*AK160,0))</f>
        <v/>
      </c>
      <c r="AC160" s="71" t="str">
        <f aca="false">IF(AH160="","",ROUND(MIN(K160,TOPE_AFC_UF*AJ160)*IF(AA160="Indefinido",AFC_EMP_INDEF,AFC_EMP_PF),0))</f>
        <v/>
      </c>
      <c r="AD160" s="71" t="str">
        <f aca="false">IF(AH160="","",ROUND(MIN(K160,TOPE_AFP_UF*AJ160)*(MUTUAL_BASICA+MUTUAL_ADIC+SANNA),0))</f>
        <v/>
      </c>
      <c r="AE160" s="71" t="str">
        <f aca="false">IF(AH160="","",P160-N(N160)+AB160+AC160+AD160)</f>
        <v/>
      </c>
      <c r="AF160" s="65"/>
      <c r="AG160" s="64"/>
      <c r="AH160" s="72" t="str">
        <f aca="false">IF(OR(B160="",C160=""),"",C160&amp;"|"&amp;(YEAR(B160)*100+MONTH(B160)))</f>
        <v/>
      </c>
      <c r="AI160" s="70" t="str">
        <f aca="false">IF(AH160="","",IF(COUNTIF(L_CLAVE,AH160)&gt;1,"⚠ Duplicado","OK"))</f>
        <v/>
      </c>
      <c r="AJ160" s="86" t="str">
        <f aca="false">IF(AH160="","",IF(SUMPRODUCT(MAX((IND_PER&lt;=B160)*(IND_UF&lt;&gt;"")*IND_PER))=0,UF_HOY,INDEX(IND_UF,MATCH(SUMPRODUCT(MAX((IND_PER&lt;=B160)*(IND_UF&lt;&gt;"")*IND_PER)),IND_PER,0))))</f>
        <v/>
      </c>
      <c r="AK160" s="87" t="str">
        <f aca="false">IF(AH160="","",IF(COUNTIF(TASA_DESDE,"&lt;="&amp;B160)=0,INDEX(TASA_EMP,1),INDEX(TASA_EMP,COUNTIF(TASA_DESDE,"&lt;="&amp;B160))))</f>
        <v/>
      </c>
    </row>
    <row r="161" customFormat="false" ht="15" hidden="false" customHeight="false" outlineLevel="0" collapsed="false">
      <c r="B161" s="78"/>
      <c r="C161" s="64"/>
      <c r="D161" s="72" t="str">
        <f aca="false">IF(C161="","",IFERROR(INDEX(T_NOMBRE,MATCH(C161,T_ID,0)),"⚠ ID no existe"))</f>
        <v/>
      </c>
      <c r="E161" s="69"/>
      <c r="F161" s="67"/>
      <c r="G161" s="67"/>
      <c r="H161" s="67"/>
      <c r="I161" s="67"/>
      <c r="J161" s="67"/>
      <c r="K161" s="85" t="str">
        <f aca="false">IF(AH161="","",N(F161)+N(G161)+N(H161)-N(I161)+N(J161))</f>
        <v/>
      </c>
      <c r="L161" s="67"/>
      <c r="M161" s="67"/>
      <c r="N161" s="67"/>
      <c r="O161" s="67"/>
      <c r="P161" s="85" t="str">
        <f aca="false">IF(AH161="","",K161+N(L161)+N(M161)+N(N161)+N(O161))</f>
        <v/>
      </c>
      <c r="Q161" s="67"/>
      <c r="R161" s="67"/>
      <c r="S161" s="67"/>
      <c r="T161" s="67"/>
      <c r="U161" s="67"/>
      <c r="V161" s="67"/>
      <c r="W161" s="85" t="str">
        <f aca="false">IF(AH161="","",N(Q161)+N(R161)+N(S161)+N(T161)+N(U161)+N(V161))</f>
        <v/>
      </c>
      <c r="X161" s="85" t="str">
        <f aca="false">IF(AH161="","",P161-W161)</f>
        <v/>
      </c>
      <c r="Y161" s="67"/>
      <c r="Z161" s="70" t="str">
        <f aca="false">IF(OR(AH161="",Y161=""),"",IF(ABS(X161-Y161)&lt;=1,"✓ Cuadra","⚠ Diferencia $"&amp;FIXED(X161-Y161,0)))</f>
        <v/>
      </c>
      <c r="AA161" s="72" t="str">
        <f aca="false">IF(AH161="","",IFERROR(INDEX(C_TIPO,MATCH(C161&amp;"-P"&amp;MAX(1,COUNTIFS(C_ID,C161,C_DEFINE,"Sí",C_INICIO,"&lt;="&amp;EOMONTH(B161,0))),C_CLAVE,0))&amp;"","Sin dato"))</f>
        <v/>
      </c>
      <c r="AB161" s="71" t="str">
        <f aca="false">IF(AH161="","",ROUND(MIN(K161,TOPE_AFP_UF*AJ161)*AK161,0))</f>
        <v/>
      </c>
      <c r="AC161" s="71" t="str">
        <f aca="false">IF(AH161="","",ROUND(MIN(K161,TOPE_AFC_UF*AJ161)*IF(AA161="Indefinido",AFC_EMP_INDEF,AFC_EMP_PF),0))</f>
        <v/>
      </c>
      <c r="AD161" s="71" t="str">
        <f aca="false">IF(AH161="","",ROUND(MIN(K161,TOPE_AFP_UF*AJ161)*(MUTUAL_BASICA+MUTUAL_ADIC+SANNA),0))</f>
        <v/>
      </c>
      <c r="AE161" s="71" t="str">
        <f aca="false">IF(AH161="","",P161-N(N161)+AB161+AC161+AD161)</f>
        <v/>
      </c>
      <c r="AF161" s="65"/>
      <c r="AG161" s="64"/>
      <c r="AH161" s="72" t="str">
        <f aca="false">IF(OR(B161="",C161=""),"",C161&amp;"|"&amp;(YEAR(B161)*100+MONTH(B161)))</f>
        <v/>
      </c>
      <c r="AI161" s="70" t="str">
        <f aca="false">IF(AH161="","",IF(COUNTIF(L_CLAVE,AH161)&gt;1,"⚠ Duplicado","OK"))</f>
        <v/>
      </c>
      <c r="AJ161" s="86" t="str">
        <f aca="false">IF(AH161="","",IF(SUMPRODUCT(MAX((IND_PER&lt;=B161)*(IND_UF&lt;&gt;"")*IND_PER))=0,UF_HOY,INDEX(IND_UF,MATCH(SUMPRODUCT(MAX((IND_PER&lt;=B161)*(IND_UF&lt;&gt;"")*IND_PER)),IND_PER,0))))</f>
        <v/>
      </c>
      <c r="AK161" s="87" t="str">
        <f aca="false">IF(AH161="","",IF(COUNTIF(TASA_DESDE,"&lt;="&amp;B161)=0,INDEX(TASA_EMP,1),INDEX(TASA_EMP,COUNTIF(TASA_DESDE,"&lt;="&amp;B161))))</f>
        <v/>
      </c>
    </row>
    <row r="162" customFormat="false" ht="15" hidden="false" customHeight="false" outlineLevel="0" collapsed="false">
      <c r="B162" s="78"/>
      <c r="C162" s="64"/>
      <c r="D162" s="72" t="str">
        <f aca="false">IF(C162="","",IFERROR(INDEX(T_NOMBRE,MATCH(C162,T_ID,0)),"⚠ ID no existe"))</f>
        <v/>
      </c>
      <c r="E162" s="69"/>
      <c r="F162" s="67"/>
      <c r="G162" s="67"/>
      <c r="H162" s="67"/>
      <c r="I162" s="67"/>
      <c r="J162" s="67"/>
      <c r="K162" s="85" t="str">
        <f aca="false">IF(AH162="","",N(F162)+N(G162)+N(H162)-N(I162)+N(J162))</f>
        <v/>
      </c>
      <c r="L162" s="67"/>
      <c r="M162" s="67"/>
      <c r="N162" s="67"/>
      <c r="O162" s="67"/>
      <c r="P162" s="85" t="str">
        <f aca="false">IF(AH162="","",K162+N(L162)+N(M162)+N(N162)+N(O162))</f>
        <v/>
      </c>
      <c r="Q162" s="67"/>
      <c r="R162" s="67"/>
      <c r="S162" s="67"/>
      <c r="T162" s="67"/>
      <c r="U162" s="67"/>
      <c r="V162" s="67"/>
      <c r="W162" s="85" t="str">
        <f aca="false">IF(AH162="","",N(Q162)+N(R162)+N(S162)+N(T162)+N(U162)+N(V162))</f>
        <v/>
      </c>
      <c r="X162" s="85" t="str">
        <f aca="false">IF(AH162="","",P162-W162)</f>
        <v/>
      </c>
      <c r="Y162" s="67"/>
      <c r="Z162" s="70" t="str">
        <f aca="false">IF(OR(AH162="",Y162=""),"",IF(ABS(X162-Y162)&lt;=1,"✓ Cuadra","⚠ Diferencia $"&amp;FIXED(X162-Y162,0)))</f>
        <v/>
      </c>
      <c r="AA162" s="72" t="str">
        <f aca="false">IF(AH162="","",IFERROR(INDEX(C_TIPO,MATCH(C162&amp;"-P"&amp;MAX(1,COUNTIFS(C_ID,C162,C_DEFINE,"Sí",C_INICIO,"&lt;="&amp;EOMONTH(B162,0))),C_CLAVE,0))&amp;"","Sin dato"))</f>
        <v/>
      </c>
      <c r="AB162" s="71" t="str">
        <f aca="false">IF(AH162="","",ROUND(MIN(K162,TOPE_AFP_UF*AJ162)*AK162,0))</f>
        <v/>
      </c>
      <c r="AC162" s="71" t="str">
        <f aca="false">IF(AH162="","",ROUND(MIN(K162,TOPE_AFC_UF*AJ162)*IF(AA162="Indefinido",AFC_EMP_INDEF,AFC_EMP_PF),0))</f>
        <v/>
      </c>
      <c r="AD162" s="71" t="str">
        <f aca="false">IF(AH162="","",ROUND(MIN(K162,TOPE_AFP_UF*AJ162)*(MUTUAL_BASICA+MUTUAL_ADIC+SANNA),0))</f>
        <v/>
      </c>
      <c r="AE162" s="71" t="str">
        <f aca="false">IF(AH162="","",P162-N(N162)+AB162+AC162+AD162)</f>
        <v/>
      </c>
      <c r="AF162" s="65"/>
      <c r="AG162" s="64"/>
      <c r="AH162" s="72" t="str">
        <f aca="false">IF(OR(B162="",C162=""),"",C162&amp;"|"&amp;(YEAR(B162)*100+MONTH(B162)))</f>
        <v/>
      </c>
      <c r="AI162" s="70" t="str">
        <f aca="false">IF(AH162="","",IF(COUNTIF(L_CLAVE,AH162)&gt;1,"⚠ Duplicado","OK"))</f>
        <v/>
      </c>
      <c r="AJ162" s="86" t="str">
        <f aca="false">IF(AH162="","",IF(SUMPRODUCT(MAX((IND_PER&lt;=B162)*(IND_UF&lt;&gt;"")*IND_PER))=0,UF_HOY,INDEX(IND_UF,MATCH(SUMPRODUCT(MAX((IND_PER&lt;=B162)*(IND_UF&lt;&gt;"")*IND_PER)),IND_PER,0))))</f>
        <v/>
      </c>
      <c r="AK162" s="87" t="str">
        <f aca="false">IF(AH162="","",IF(COUNTIF(TASA_DESDE,"&lt;="&amp;B162)=0,INDEX(TASA_EMP,1),INDEX(TASA_EMP,COUNTIF(TASA_DESDE,"&lt;="&amp;B162))))</f>
        <v/>
      </c>
    </row>
    <row r="163" customFormat="false" ht="15" hidden="false" customHeight="false" outlineLevel="0" collapsed="false">
      <c r="B163" s="78"/>
      <c r="C163" s="64"/>
      <c r="D163" s="72" t="str">
        <f aca="false">IF(C163="","",IFERROR(INDEX(T_NOMBRE,MATCH(C163,T_ID,0)),"⚠ ID no existe"))</f>
        <v/>
      </c>
      <c r="E163" s="69"/>
      <c r="F163" s="67"/>
      <c r="G163" s="67"/>
      <c r="H163" s="67"/>
      <c r="I163" s="67"/>
      <c r="J163" s="67"/>
      <c r="K163" s="85" t="str">
        <f aca="false">IF(AH163="","",N(F163)+N(G163)+N(H163)-N(I163)+N(J163))</f>
        <v/>
      </c>
      <c r="L163" s="67"/>
      <c r="M163" s="67"/>
      <c r="N163" s="67"/>
      <c r="O163" s="67"/>
      <c r="P163" s="85" t="str">
        <f aca="false">IF(AH163="","",K163+N(L163)+N(M163)+N(N163)+N(O163))</f>
        <v/>
      </c>
      <c r="Q163" s="67"/>
      <c r="R163" s="67"/>
      <c r="S163" s="67"/>
      <c r="T163" s="67"/>
      <c r="U163" s="67"/>
      <c r="V163" s="67"/>
      <c r="W163" s="85" t="str">
        <f aca="false">IF(AH163="","",N(Q163)+N(R163)+N(S163)+N(T163)+N(U163)+N(V163))</f>
        <v/>
      </c>
      <c r="X163" s="85" t="str">
        <f aca="false">IF(AH163="","",P163-W163)</f>
        <v/>
      </c>
      <c r="Y163" s="67"/>
      <c r="Z163" s="70" t="str">
        <f aca="false">IF(OR(AH163="",Y163=""),"",IF(ABS(X163-Y163)&lt;=1,"✓ Cuadra","⚠ Diferencia $"&amp;FIXED(X163-Y163,0)))</f>
        <v/>
      </c>
      <c r="AA163" s="72" t="str">
        <f aca="false">IF(AH163="","",IFERROR(INDEX(C_TIPO,MATCH(C163&amp;"-P"&amp;MAX(1,COUNTIFS(C_ID,C163,C_DEFINE,"Sí",C_INICIO,"&lt;="&amp;EOMONTH(B163,0))),C_CLAVE,0))&amp;"","Sin dato"))</f>
        <v/>
      </c>
      <c r="AB163" s="71" t="str">
        <f aca="false">IF(AH163="","",ROUND(MIN(K163,TOPE_AFP_UF*AJ163)*AK163,0))</f>
        <v/>
      </c>
      <c r="AC163" s="71" t="str">
        <f aca="false">IF(AH163="","",ROUND(MIN(K163,TOPE_AFC_UF*AJ163)*IF(AA163="Indefinido",AFC_EMP_INDEF,AFC_EMP_PF),0))</f>
        <v/>
      </c>
      <c r="AD163" s="71" t="str">
        <f aca="false">IF(AH163="","",ROUND(MIN(K163,TOPE_AFP_UF*AJ163)*(MUTUAL_BASICA+MUTUAL_ADIC+SANNA),0))</f>
        <v/>
      </c>
      <c r="AE163" s="71" t="str">
        <f aca="false">IF(AH163="","",P163-N(N163)+AB163+AC163+AD163)</f>
        <v/>
      </c>
      <c r="AF163" s="65"/>
      <c r="AG163" s="64"/>
      <c r="AH163" s="72" t="str">
        <f aca="false">IF(OR(B163="",C163=""),"",C163&amp;"|"&amp;(YEAR(B163)*100+MONTH(B163)))</f>
        <v/>
      </c>
      <c r="AI163" s="70" t="str">
        <f aca="false">IF(AH163="","",IF(COUNTIF(L_CLAVE,AH163)&gt;1,"⚠ Duplicado","OK"))</f>
        <v/>
      </c>
      <c r="AJ163" s="86" t="str">
        <f aca="false">IF(AH163="","",IF(SUMPRODUCT(MAX((IND_PER&lt;=B163)*(IND_UF&lt;&gt;"")*IND_PER))=0,UF_HOY,INDEX(IND_UF,MATCH(SUMPRODUCT(MAX((IND_PER&lt;=B163)*(IND_UF&lt;&gt;"")*IND_PER)),IND_PER,0))))</f>
        <v/>
      </c>
      <c r="AK163" s="87" t="str">
        <f aca="false">IF(AH163="","",IF(COUNTIF(TASA_DESDE,"&lt;="&amp;B163)=0,INDEX(TASA_EMP,1),INDEX(TASA_EMP,COUNTIF(TASA_DESDE,"&lt;="&amp;B163))))</f>
        <v/>
      </c>
    </row>
    <row r="164" customFormat="false" ht="15" hidden="false" customHeight="false" outlineLevel="0" collapsed="false">
      <c r="B164" s="78"/>
      <c r="C164" s="64"/>
      <c r="D164" s="72" t="str">
        <f aca="false">IF(C164="","",IFERROR(INDEX(T_NOMBRE,MATCH(C164,T_ID,0)),"⚠ ID no existe"))</f>
        <v/>
      </c>
      <c r="E164" s="69"/>
      <c r="F164" s="67"/>
      <c r="G164" s="67"/>
      <c r="H164" s="67"/>
      <c r="I164" s="67"/>
      <c r="J164" s="67"/>
      <c r="K164" s="85" t="str">
        <f aca="false">IF(AH164="","",N(F164)+N(G164)+N(H164)-N(I164)+N(J164))</f>
        <v/>
      </c>
      <c r="L164" s="67"/>
      <c r="M164" s="67"/>
      <c r="N164" s="67"/>
      <c r="O164" s="67"/>
      <c r="P164" s="85" t="str">
        <f aca="false">IF(AH164="","",K164+N(L164)+N(M164)+N(N164)+N(O164))</f>
        <v/>
      </c>
      <c r="Q164" s="67"/>
      <c r="R164" s="67"/>
      <c r="S164" s="67"/>
      <c r="T164" s="67"/>
      <c r="U164" s="67"/>
      <c r="V164" s="67"/>
      <c r="W164" s="85" t="str">
        <f aca="false">IF(AH164="","",N(Q164)+N(R164)+N(S164)+N(T164)+N(U164)+N(V164))</f>
        <v/>
      </c>
      <c r="X164" s="85" t="str">
        <f aca="false">IF(AH164="","",P164-W164)</f>
        <v/>
      </c>
      <c r="Y164" s="67"/>
      <c r="Z164" s="70" t="str">
        <f aca="false">IF(OR(AH164="",Y164=""),"",IF(ABS(X164-Y164)&lt;=1,"✓ Cuadra","⚠ Diferencia $"&amp;FIXED(X164-Y164,0)))</f>
        <v/>
      </c>
      <c r="AA164" s="72" t="str">
        <f aca="false">IF(AH164="","",IFERROR(INDEX(C_TIPO,MATCH(C164&amp;"-P"&amp;MAX(1,COUNTIFS(C_ID,C164,C_DEFINE,"Sí",C_INICIO,"&lt;="&amp;EOMONTH(B164,0))),C_CLAVE,0))&amp;"","Sin dato"))</f>
        <v/>
      </c>
      <c r="AB164" s="71" t="str">
        <f aca="false">IF(AH164="","",ROUND(MIN(K164,TOPE_AFP_UF*AJ164)*AK164,0))</f>
        <v/>
      </c>
      <c r="AC164" s="71" t="str">
        <f aca="false">IF(AH164="","",ROUND(MIN(K164,TOPE_AFC_UF*AJ164)*IF(AA164="Indefinido",AFC_EMP_INDEF,AFC_EMP_PF),0))</f>
        <v/>
      </c>
      <c r="AD164" s="71" t="str">
        <f aca="false">IF(AH164="","",ROUND(MIN(K164,TOPE_AFP_UF*AJ164)*(MUTUAL_BASICA+MUTUAL_ADIC+SANNA),0))</f>
        <v/>
      </c>
      <c r="AE164" s="71" t="str">
        <f aca="false">IF(AH164="","",P164-N(N164)+AB164+AC164+AD164)</f>
        <v/>
      </c>
      <c r="AF164" s="65"/>
      <c r="AG164" s="64"/>
      <c r="AH164" s="72" t="str">
        <f aca="false">IF(OR(B164="",C164=""),"",C164&amp;"|"&amp;(YEAR(B164)*100+MONTH(B164)))</f>
        <v/>
      </c>
      <c r="AI164" s="70" t="str">
        <f aca="false">IF(AH164="","",IF(COUNTIF(L_CLAVE,AH164)&gt;1,"⚠ Duplicado","OK"))</f>
        <v/>
      </c>
      <c r="AJ164" s="86" t="str">
        <f aca="false">IF(AH164="","",IF(SUMPRODUCT(MAX((IND_PER&lt;=B164)*(IND_UF&lt;&gt;"")*IND_PER))=0,UF_HOY,INDEX(IND_UF,MATCH(SUMPRODUCT(MAX((IND_PER&lt;=B164)*(IND_UF&lt;&gt;"")*IND_PER)),IND_PER,0))))</f>
        <v/>
      </c>
      <c r="AK164" s="87" t="str">
        <f aca="false">IF(AH164="","",IF(COUNTIF(TASA_DESDE,"&lt;="&amp;B164)=0,INDEX(TASA_EMP,1),INDEX(TASA_EMP,COUNTIF(TASA_DESDE,"&lt;="&amp;B164))))</f>
        <v/>
      </c>
    </row>
    <row r="165" customFormat="false" ht="15" hidden="false" customHeight="false" outlineLevel="0" collapsed="false">
      <c r="B165" s="78"/>
      <c r="C165" s="64"/>
      <c r="D165" s="72" t="str">
        <f aca="false">IF(C165="","",IFERROR(INDEX(T_NOMBRE,MATCH(C165,T_ID,0)),"⚠ ID no existe"))</f>
        <v/>
      </c>
      <c r="E165" s="69"/>
      <c r="F165" s="67"/>
      <c r="G165" s="67"/>
      <c r="H165" s="67"/>
      <c r="I165" s="67"/>
      <c r="J165" s="67"/>
      <c r="K165" s="85" t="str">
        <f aca="false">IF(AH165="","",N(F165)+N(G165)+N(H165)-N(I165)+N(J165))</f>
        <v/>
      </c>
      <c r="L165" s="67"/>
      <c r="M165" s="67"/>
      <c r="N165" s="67"/>
      <c r="O165" s="67"/>
      <c r="P165" s="85" t="str">
        <f aca="false">IF(AH165="","",K165+N(L165)+N(M165)+N(N165)+N(O165))</f>
        <v/>
      </c>
      <c r="Q165" s="67"/>
      <c r="R165" s="67"/>
      <c r="S165" s="67"/>
      <c r="T165" s="67"/>
      <c r="U165" s="67"/>
      <c r="V165" s="67"/>
      <c r="W165" s="85" t="str">
        <f aca="false">IF(AH165="","",N(Q165)+N(R165)+N(S165)+N(T165)+N(U165)+N(V165))</f>
        <v/>
      </c>
      <c r="X165" s="85" t="str">
        <f aca="false">IF(AH165="","",P165-W165)</f>
        <v/>
      </c>
      <c r="Y165" s="67"/>
      <c r="Z165" s="70" t="str">
        <f aca="false">IF(OR(AH165="",Y165=""),"",IF(ABS(X165-Y165)&lt;=1,"✓ Cuadra","⚠ Diferencia $"&amp;FIXED(X165-Y165,0)))</f>
        <v/>
      </c>
      <c r="AA165" s="72" t="str">
        <f aca="false">IF(AH165="","",IFERROR(INDEX(C_TIPO,MATCH(C165&amp;"-P"&amp;MAX(1,COUNTIFS(C_ID,C165,C_DEFINE,"Sí",C_INICIO,"&lt;="&amp;EOMONTH(B165,0))),C_CLAVE,0))&amp;"","Sin dato"))</f>
        <v/>
      </c>
      <c r="AB165" s="71" t="str">
        <f aca="false">IF(AH165="","",ROUND(MIN(K165,TOPE_AFP_UF*AJ165)*AK165,0))</f>
        <v/>
      </c>
      <c r="AC165" s="71" t="str">
        <f aca="false">IF(AH165="","",ROUND(MIN(K165,TOPE_AFC_UF*AJ165)*IF(AA165="Indefinido",AFC_EMP_INDEF,AFC_EMP_PF),0))</f>
        <v/>
      </c>
      <c r="AD165" s="71" t="str">
        <f aca="false">IF(AH165="","",ROUND(MIN(K165,TOPE_AFP_UF*AJ165)*(MUTUAL_BASICA+MUTUAL_ADIC+SANNA),0))</f>
        <v/>
      </c>
      <c r="AE165" s="71" t="str">
        <f aca="false">IF(AH165="","",P165-N(N165)+AB165+AC165+AD165)</f>
        <v/>
      </c>
      <c r="AF165" s="65"/>
      <c r="AG165" s="64"/>
      <c r="AH165" s="72" t="str">
        <f aca="false">IF(OR(B165="",C165=""),"",C165&amp;"|"&amp;(YEAR(B165)*100+MONTH(B165)))</f>
        <v/>
      </c>
      <c r="AI165" s="70" t="str">
        <f aca="false">IF(AH165="","",IF(COUNTIF(L_CLAVE,AH165)&gt;1,"⚠ Duplicado","OK"))</f>
        <v/>
      </c>
      <c r="AJ165" s="86" t="str">
        <f aca="false">IF(AH165="","",IF(SUMPRODUCT(MAX((IND_PER&lt;=B165)*(IND_UF&lt;&gt;"")*IND_PER))=0,UF_HOY,INDEX(IND_UF,MATCH(SUMPRODUCT(MAX((IND_PER&lt;=B165)*(IND_UF&lt;&gt;"")*IND_PER)),IND_PER,0))))</f>
        <v/>
      </c>
      <c r="AK165" s="87" t="str">
        <f aca="false">IF(AH165="","",IF(COUNTIF(TASA_DESDE,"&lt;="&amp;B165)=0,INDEX(TASA_EMP,1),INDEX(TASA_EMP,COUNTIF(TASA_DESDE,"&lt;="&amp;B165))))</f>
        <v/>
      </c>
    </row>
    <row r="166" customFormat="false" ht="15" hidden="false" customHeight="false" outlineLevel="0" collapsed="false">
      <c r="B166" s="78"/>
      <c r="C166" s="64"/>
      <c r="D166" s="72" t="str">
        <f aca="false">IF(C166="","",IFERROR(INDEX(T_NOMBRE,MATCH(C166,T_ID,0)),"⚠ ID no existe"))</f>
        <v/>
      </c>
      <c r="E166" s="69"/>
      <c r="F166" s="67"/>
      <c r="G166" s="67"/>
      <c r="H166" s="67"/>
      <c r="I166" s="67"/>
      <c r="J166" s="67"/>
      <c r="K166" s="85" t="str">
        <f aca="false">IF(AH166="","",N(F166)+N(G166)+N(H166)-N(I166)+N(J166))</f>
        <v/>
      </c>
      <c r="L166" s="67"/>
      <c r="M166" s="67"/>
      <c r="N166" s="67"/>
      <c r="O166" s="67"/>
      <c r="P166" s="85" t="str">
        <f aca="false">IF(AH166="","",K166+N(L166)+N(M166)+N(N166)+N(O166))</f>
        <v/>
      </c>
      <c r="Q166" s="67"/>
      <c r="R166" s="67"/>
      <c r="S166" s="67"/>
      <c r="T166" s="67"/>
      <c r="U166" s="67"/>
      <c r="V166" s="67"/>
      <c r="W166" s="85" t="str">
        <f aca="false">IF(AH166="","",N(Q166)+N(R166)+N(S166)+N(T166)+N(U166)+N(V166))</f>
        <v/>
      </c>
      <c r="X166" s="85" t="str">
        <f aca="false">IF(AH166="","",P166-W166)</f>
        <v/>
      </c>
      <c r="Y166" s="67"/>
      <c r="Z166" s="70" t="str">
        <f aca="false">IF(OR(AH166="",Y166=""),"",IF(ABS(X166-Y166)&lt;=1,"✓ Cuadra","⚠ Diferencia $"&amp;FIXED(X166-Y166,0)))</f>
        <v/>
      </c>
      <c r="AA166" s="72" t="str">
        <f aca="false">IF(AH166="","",IFERROR(INDEX(C_TIPO,MATCH(C166&amp;"-P"&amp;MAX(1,COUNTIFS(C_ID,C166,C_DEFINE,"Sí",C_INICIO,"&lt;="&amp;EOMONTH(B166,0))),C_CLAVE,0))&amp;"","Sin dato"))</f>
        <v/>
      </c>
      <c r="AB166" s="71" t="str">
        <f aca="false">IF(AH166="","",ROUND(MIN(K166,TOPE_AFP_UF*AJ166)*AK166,0))</f>
        <v/>
      </c>
      <c r="AC166" s="71" t="str">
        <f aca="false">IF(AH166="","",ROUND(MIN(K166,TOPE_AFC_UF*AJ166)*IF(AA166="Indefinido",AFC_EMP_INDEF,AFC_EMP_PF),0))</f>
        <v/>
      </c>
      <c r="AD166" s="71" t="str">
        <f aca="false">IF(AH166="","",ROUND(MIN(K166,TOPE_AFP_UF*AJ166)*(MUTUAL_BASICA+MUTUAL_ADIC+SANNA),0))</f>
        <v/>
      </c>
      <c r="AE166" s="71" t="str">
        <f aca="false">IF(AH166="","",P166-N(N166)+AB166+AC166+AD166)</f>
        <v/>
      </c>
      <c r="AF166" s="65"/>
      <c r="AG166" s="64"/>
      <c r="AH166" s="72" t="str">
        <f aca="false">IF(OR(B166="",C166=""),"",C166&amp;"|"&amp;(YEAR(B166)*100+MONTH(B166)))</f>
        <v/>
      </c>
      <c r="AI166" s="70" t="str">
        <f aca="false">IF(AH166="","",IF(COUNTIF(L_CLAVE,AH166)&gt;1,"⚠ Duplicado","OK"))</f>
        <v/>
      </c>
      <c r="AJ166" s="86" t="str">
        <f aca="false">IF(AH166="","",IF(SUMPRODUCT(MAX((IND_PER&lt;=B166)*(IND_UF&lt;&gt;"")*IND_PER))=0,UF_HOY,INDEX(IND_UF,MATCH(SUMPRODUCT(MAX((IND_PER&lt;=B166)*(IND_UF&lt;&gt;"")*IND_PER)),IND_PER,0))))</f>
        <v/>
      </c>
      <c r="AK166" s="87" t="str">
        <f aca="false">IF(AH166="","",IF(COUNTIF(TASA_DESDE,"&lt;="&amp;B166)=0,INDEX(TASA_EMP,1),INDEX(TASA_EMP,COUNTIF(TASA_DESDE,"&lt;="&amp;B166))))</f>
        <v/>
      </c>
    </row>
    <row r="167" customFormat="false" ht="15" hidden="false" customHeight="false" outlineLevel="0" collapsed="false">
      <c r="B167" s="78"/>
      <c r="C167" s="64"/>
      <c r="D167" s="72" t="str">
        <f aca="false">IF(C167="","",IFERROR(INDEX(T_NOMBRE,MATCH(C167,T_ID,0)),"⚠ ID no existe"))</f>
        <v/>
      </c>
      <c r="E167" s="69"/>
      <c r="F167" s="67"/>
      <c r="G167" s="67"/>
      <c r="H167" s="67"/>
      <c r="I167" s="67"/>
      <c r="J167" s="67"/>
      <c r="K167" s="85" t="str">
        <f aca="false">IF(AH167="","",N(F167)+N(G167)+N(H167)-N(I167)+N(J167))</f>
        <v/>
      </c>
      <c r="L167" s="67"/>
      <c r="M167" s="67"/>
      <c r="N167" s="67"/>
      <c r="O167" s="67"/>
      <c r="P167" s="85" t="str">
        <f aca="false">IF(AH167="","",K167+N(L167)+N(M167)+N(N167)+N(O167))</f>
        <v/>
      </c>
      <c r="Q167" s="67"/>
      <c r="R167" s="67"/>
      <c r="S167" s="67"/>
      <c r="T167" s="67"/>
      <c r="U167" s="67"/>
      <c r="V167" s="67"/>
      <c r="W167" s="85" t="str">
        <f aca="false">IF(AH167="","",N(Q167)+N(R167)+N(S167)+N(T167)+N(U167)+N(V167))</f>
        <v/>
      </c>
      <c r="X167" s="85" t="str">
        <f aca="false">IF(AH167="","",P167-W167)</f>
        <v/>
      </c>
      <c r="Y167" s="67"/>
      <c r="Z167" s="70" t="str">
        <f aca="false">IF(OR(AH167="",Y167=""),"",IF(ABS(X167-Y167)&lt;=1,"✓ Cuadra","⚠ Diferencia $"&amp;FIXED(X167-Y167,0)))</f>
        <v/>
      </c>
      <c r="AA167" s="72" t="str">
        <f aca="false">IF(AH167="","",IFERROR(INDEX(C_TIPO,MATCH(C167&amp;"-P"&amp;MAX(1,COUNTIFS(C_ID,C167,C_DEFINE,"Sí",C_INICIO,"&lt;="&amp;EOMONTH(B167,0))),C_CLAVE,0))&amp;"","Sin dato"))</f>
        <v/>
      </c>
      <c r="AB167" s="71" t="str">
        <f aca="false">IF(AH167="","",ROUND(MIN(K167,TOPE_AFP_UF*AJ167)*AK167,0))</f>
        <v/>
      </c>
      <c r="AC167" s="71" t="str">
        <f aca="false">IF(AH167="","",ROUND(MIN(K167,TOPE_AFC_UF*AJ167)*IF(AA167="Indefinido",AFC_EMP_INDEF,AFC_EMP_PF),0))</f>
        <v/>
      </c>
      <c r="AD167" s="71" t="str">
        <f aca="false">IF(AH167="","",ROUND(MIN(K167,TOPE_AFP_UF*AJ167)*(MUTUAL_BASICA+MUTUAL_ADIC+SANNA),0))</f>
        <v/>
      </c>
      <c r="AE167" s="71" t="str">
        <f aca="false">IF(AH167="","",P167-N(N167)+AB167+AC167+AD167)</f>
        <v/>
      </c>
      <c r="AF167" s="65"/>
      <c r="AG167" s="64"/>
      <c r="AH167" s="72" t="str">
        <f aca="false">IF(OR(B167="",C167=""),"",C167&amp;"|"&amp;(YEAR(B167)*100+MONTH(B167)))</f>
        <v/>
      </c>
      <c r="AI167" s="70" t="str">
        <f aca="false">IF(AH167="","",IF(COUNTIF(L_CLAVE,AH167)&gt;1,"⚠ Duplicado","OK"))</f>
        <v/>
      </c>
      <c r="AJ167" s="86" t="str">
        <f aca="false">IF(AH167="","",IF(SUMPRODUCT(MAX((IND_PER&lt;=B167)*(IND_UF&lt;&gt;"")*IND_PER))=0,UF_HOY,INDEX(IND_UF,MATCH(SUMPRODUCT(MAX((IND_PER&lt;=B167)*(IND_UF&lt;&gt;"")*IND_PER)),IND_PER,0))))</f>
        <v/>
      </c>
      <c r="AK167" s="87" t="str">
        <f aca="false">IF(AH167="","",IF(COUNTIF(TASA_DESDE,"&lt;="&amp;B167)=0,INDEX(TASA_EMP,1),INDEX(TASA_EMP,COUNTIF(TASA_DESDE,"&lt;="&amp;B167))))</f>
        <v/>
      </c>
    </row>
    <row r="168" customFormat="false" ht="15" hidden="false" customHeight="false" outlineLevel="0" collapsed="false">
      <c r="B168" s="78"/>
      <c r="C168" s="64"/>
      <c r="D168" s="72" t="str">
        <f aca="false">IF(C168="","",IFERROR(INDEX(T_NOMBRE,MATCH(C168,T_ID,0)),"⚠ ID no existe"))</f>
        <v/>
      </c>
      <c r="E168" s="69"/>
      <c r="F168" s="67"/>
      <c r="G168" s="67"/>
      <c r="H168" s="67"/>
      <c r="I168" s="67"/>
      <c r="J168" s="67"/>
      <c r="K168" s="85" t="str">
        <f aca="false">IF(AH168="","",N(F168)+N(G168)+N(H168)-N(I168)+N(J168))</f>
        <v/>
      </c>
      <c r="L168" s="67"/>
      <c r="M168" s="67"/>
      <c r="N168" s="67"/>
      <c r="O168" s="67"/>
      <c r="P168" s="85" t="str">
        <f aca="false">IF(AH168="","",K168+N(L168)+N(M168)+N(N168)+N(O168))</f>
        <v/>
      </c>
      <c r="Q168" s="67"/>
      <c r="R168" s="67"/>
      <c r="S168" s="67"/>
      <c r="T168" s="67"/>
      <c r="U168" s="67"/>
      <c r="V168" s="67"/>
      <c r="W168" s="85" t="str">
        <f aca="false">IF(AH168="","",N(Q168)+N(R168)+N(S168)+N(T168)+N(U168)+N(V168))</f>
        <v/>
      </c>
      <c r="X168" s="85" t="str">
        <f aca="false">IF(AH168="","",P168-W168)</f>
        <v/>
      </c>
      <c r="Y168" s="67"/>
      <c r="Z168" s="70" t="str">
        <f aca="false">IF(OR(AH168="",Y168=""),"",IF(ABS(X168-Y168)&lt;=1,"✓ Cuadra","⚠ Diferencia $"&amp;FIXED(X168-Y168,0)))</f>
        <v/>
      </c>
      <c r="AA168" s="72" t="str">
        <f aca="false">IF(AH168="","",IFERROR(INDEX(C_TIPO,MATCH(C168&amp;"-P"&amp;MAX(1,COUNTIFS(C_ID,C168,C_DEFINE,"Sí",C_INICIO,"&lt;="&amp;EOMONTH(B168,0))),C_CLAVE,0))&amp;"","Sin dato"))</f>
        <v/>
      </c>
      <c r="AB168" s="71" t="str">
        <f aca="false">IF(AH168="","",ROUND(MIN(K168,TOPE_AFP_UF*AJ168)*AK168,0))</f>
        <v/>
      </c>
      <c r="AC168" s="71" t="str">
        <f aca="false">IF(AH168="","",ROUND(MIN(K168,TOPE_AFC_UF*AJ168)*IF(AA168="Indefinido",AFC_EMP_INDEF,AFC_EMP_PF),0))</f>
        <v/>
      </c>
      <c r="AD168" s="71" t="str">
        <f aca="false">IF(AH168="","",ROUND(MIN(K168,TOPE_AFP_UF*AJ168)*(MUTUAL_BASICA+MUTUAL_ADIC+SANNA),0))</f>
        <v/>
      </c>
      <c r="AE168" s="71" t="str">
        <f aca="false">IF(AH168="","",P168-N(N168)+AB168+AC168+AD168)</f>
        <v/>
      </c>
      <c r="AF168" s="65"/>
      <c r="AG168" s="64"/>
      <c r="AH168" s="72" t="str">
        <f aca="false">IF(OR(B168="",C168=""),"",C168&amp;"|"&amp;(YEAR(B168)*100+MONTH(B168)))</f>
        <v/>
      </c>
      <c r="AI168" s="70" t="str">
        <f aca="false">IF(AH168="","",IF(COUNTIF(L_CLAVE,AH168)&gt;1,"⚠ Duplicado","OK"))</f>
        <v/>
      </c>
      <c r="AJ168" s="86" t="str">
        <f aca="false">IF(AH168="","",IF(SUMPRODUCT(MAX((IND_PER&lt;=B168)*(IND_UF&lt;&gt;"")*IND_PER))=0,UF_HOY,INDEX(IND_UF,MATCH(SUMPRODUCT(MAX((IND_PER&lt;=B168)*(IND_UF&lt;&gt;"")*IND_PER)),IND_PER,0))))</f>
        <v/>
      </c>
      <c r="AK168" s="87" t="str">
        <f aca="false">IF(AH168="","",IF(COUNTIF(TASA_DESDE,"&lt;="&amp;B168)=0,INDEX(TASA_EMP,1),INDEX(TASA_EMP,COUNTIF(TASA_DESDE,"&lt;="&amp;B168))))</f>
        <v/>
      </c>
    </row>
    <row r="169" customFormat="false" ht="15" hidden="false" customHeight="false" outlineLevel="0" collapsed="false">
      <c r="B169" s="78"/>
      <c r="C169" s="64"/>
      <c r="D169" s="72" t="str">
        <f aca="false">IF(C169="","",IFERROR(INDEX(T_NOMBRE,MATCH(C169,T_ID,0)),"⚠ ID no existe"))</f>
        <v/>
      </c>
      <c r="E169" s="69"/>
      <c r="F169" s="67"/>
      <c r="G169" s="67"/>
      <c r="H169" s="67"/>
      <c r="I169" s="67"/>
      <c r="J169" s="67"/>
      <c r="K169" s="85" t="str">
        <f aca="false">IF(AH169="","",N(F169)+N(G169)+N(H169)-N(I169)+N(J169))</f>
        <v/>
      </c>
      <c r="L169" s="67"/>
      <c r="M169" s="67"/>
      <c r="N169" s="67"/>
      <c r="O169" s="67"/>
      <c r="P169" s="85" t="str">
        <f aca="false">IF(AH169="","",K169+N(L169)+N(M169)+N(N169)+N(O169))</f>
        <v/>
      </c>
      <c r="Q169" s="67"/>
      <c r="R169" s="67"/>
      <c r="S169" s="67"/>
      <c r="T169" s="67"/>
      <c r="U169" s="67"/>
      <c r="V169" s="67"/>
      <c r="W169" s="85" t="str">
        <f aca="false">IF(AH169="","",N(Q169)+N(R169)+N(S169)+N(T169)+N(U169)+N(V169))</f>
        <v/>
      </c>
      <c r="X169" s="85" t="str">
        <f aca="false">IF(AH169="","",P169-W169)</f>
        <v/>
      </c>
      <c r="Y169" s="67"/>
      <c r="Z169" s="70" t="str">
        <f aca="false">IF(OR(AH169="",Y169=""),"",IF(ABS(X169-Y169)&lt;=1,"✓ Cuadra","⚠ Diferencia $"&amp;FIXED(X169-Y169,0)))</f>
        <v/>
      </c>
      <c r="AA169" s="72" t="str">
        <f aca="false">IF(AH169="","",IFERROR(INDEX(C_TIPO,MATCH(C169&amp;"-P"&amp;MAX(1,COUNTIFS(C_ID,C169,C_DEFINE,"Sí",C_INICIO,"&lt;="&amp;EOMONTH(B169,0))),C_CLAVE,0))&amp;"","Sin dato"))</f>
        <v/>
      </c>
      <c r="AB169" s="71" t="str">
        <f aca="false">IF(AH169="","",ROUND(MIN(K169,TOPE_AFP_UF*AJ169)*AK169,0))</f>
        <v/>
      </c>
      <c r="AC169" s="71" t="str">
        <f aca="false">IF(AH169="","",ROUND(MIN(K169,TOPE_AFC_UF*AJ169)*IF(AA169="Indefinido",AFC_EMP_INDEF,AFC_EMP_PF),0))</f>
        <v/>
      </c>
      <c r="AD169" s="71" t="str">
        <f aca="false">IF(AH169="","",ROUND(MIN(K169,TOPE_AFP_UF*AJ169)*(MUTUAL_BASICA+MUTUAL_ADIC+SANNA),0))</f>
        <v/>
      </c>
      <c r="AE169" s="71" t="str">
        <f aca="false">IF(AH169="","",P169-N(N169)+AB169+AC169+AD169)</f>
        <v/>
      </c>
      <c r="AF169" s="65"/>
      <c r="AG169" s="64"/>
      <c r="AH169" s="72" t="str">
        <f aca="false">IF(OR(B169="",C169=""),"",C169&amp;"|"&amp;(YEAR(B169)*100+MONTH(B169)))</f>
        <v/>
      </c>
      <c r="AI169" s="70" t="str">
        <f aca="false">IF(AH169="","",IF(COUNTIF(L_CLAVE,AH169)&gt;1,"⚠ Duplicado","OK"))</f>
        <v/>
      </c>
      <c r="AJ169" s="86" t="str">
        <f aca="false">IF(AH169="","",IF(SUMPRODUCT(MAX((IND_PER&lt;=B169)*(IND_UF&lt;&gt;"")*IND_PER))=0,UF_HOY,INDEX(IND_UF,MATCH(SUMPRODUCT(MAX((IND_PER&lt;=B169)*(IND_UF&lt;&gt;"")*IND_PER)),IND_PER,0))))</f>
        <v/>
      </c>
      <c r="AK169" s="87" t="str">
        <f aca="false">IF(AH169="","",IF(COUNTIF(TASA_DESDE,"&lt;="&amp;B169)=0,INDEX(TASA_EMP,1),INDEX(TASA_EMP,COUNTIF(TASA_DESDE,"&lt;="&amp;B169))))</f>
        <v/>
      </c>
    </row>
    <row r="170" customFormat="false" ht="15" hidden="false" customHeight="false" outlineLevel="0" collapsed="false">
      <c r="B170" s="78"/>
      <c r="C170" s="64"/>
      <c r="D170" s="72" t="str">
        <f aca="false">IF(C170="","",IFERROR(INDEX(T_NOMBRE,MATCH(C170,T_ID,0)),"⚠ ID no existe"))</f>
        <v/>
      </c>
      <c r="E170" s="69"/>
      <c r="F170" s="67"/>
      <c r="G170" s="67"/>
      <c r="H170" s="67"/>
      <c r="I170" s="67"/>
      <c r="J170" s="67"/>
      <c r="K170" s="85" t="str">
        <f aca="false">IF(AH170="","",N(F170)+N(G170)+N(H170)-N(I170)+N(J170))</f>
        <v/>
      </c>
      <c r="L170" s="67"/>
      <c r="M170" s="67"/>
      <c r="N170" s="67"/>
      <c r="O170" s="67"/>
      <c r="P170" s="85" t="str">
        <f aca="false">IF(AH170="","",K170+N(L170)+N(M170)+N(N170)+N(O170))</f>
        <v/>
      </c>
      <c r="Q170" s="67"/>
      <c r="R170" s="67"/>
      <c r="S170" s="67"/>
      <c r="T170" s="67"/>
      <c r="U170" s="67"/>
      <c r="V170" s="67"/>
      <c r="W170" s="85" t="str">
        <f aca="false">IF(AH170="","",N(Q170)+N(R170)+N(S170)+N(T170)+N(U170)+N(V170))</f>
        <v/>
      </c>
      <c r="X170" s="85" t="str">
        <f aca="false">IF(AH170="","",P170-W170)</f>
        <v/>
      </c>
      <c r="Y170" s="67"/>
      <c r="Z170" s="70" t="str">
        <f aca="false">IF(OR(AH170="",Y170=""),"",IF(ABS(X170-Y170)&lt;=1,"✓ Cuadra","⚠ Diferencia $"&amp;FIXED(X170-Y170,0)))</f>
        <v/>
      </c>
      <c r="AA170" s="72" t="str">
        <f aca="false">IF(AH170="","",IFERROR(INDEX(C_TIPO,MATCH(C170&amp;"-P"&amp;MAX(1,COUNTIFS(C_ID,C170,C_DEFINE,"Sí",C_INICIO,"&lt;="&amp;EOMONTH(B170,0))),C_CLAVE,0))&amp;"","Sin dato"))</f>
        <v/>
      </c>
      <c r="AB170" s="71" t="str">
        <f aca="false">IF(AH170="","",ROUND(MIN(K170,TOPE_AFP_UF*AJ170)*AK170,0))</f>
        <v/>
      </c>
      <c r="AC170" s="71" t="str">
        <f aca="false">IF(AH170="","",ROUND(MIN(K170,TOPE_AFC_UF*AJ170)*IF(AA170="Indefinido",AFC_EMP_INDEF,AFC_EMP_PF),0))</f>
        <v/>
      </c>
      <c r="AD170" s="71" t="str">
        <f aca="false">IF(AH170="","",ROUND(MIN(K170,TOPE_AFP_UF*AJ170)*(MUTUAL_BASICA+MUTUAL_ADIC+SANNA),0))</f>
        <v/>
      </c>
      <c r="AE170" s="71" t="str">
        <f aca="false">IF(AH170="","",P170-N(N170)+AB170+AC170+AD170)</f>
        <v/>
      </c>
      <c r="AF170" s="65"/>
      <c r="AG170" s="64"/>
      <c r="AH170" s="72" t="str">
        <f aca="false">IF(OR(B170="",C170=""),"",C170&amp;"|"&amp;(YEAR(B170)*100+MONTH(B170)))</f>
        <v/>
      </c>
      <c r="AI170" s="70" t="str">
        <f aca="false">IF(AH170="","",IF(COUNTIF(L_CLAVE,AH170)&gt;1,"⚠ Duplicado","OK"))</f>
        <v/>
      </c>
      <c r="AJ170" s="86" t="str">
        <f aca="false">IF(AH170="","",IF(SUMPRODUCT(MAX((IND_PER&lt;=B170)*(IND_UF&lt;&gt;"")*IND_PER))=0,UF_HOY,INDEX(IND_UF,MATCH(SUMPRODUCT(MAX((IND_PER&lt;=B170)*(IND_UF&lt;&gt;"")*IND_PER)),IND_PER,0))))</f>
        <v/>
      </c>
      <c r="AK170" s="87" t="str">
        <f aca="false">IF(AH170="","",IF(COUNTIF(TASA_DESDE,"&lt;="&amp;B170)=0,INDEX(TASA_EMP,1),INDEX(TASA_EMP,COUNTIF(TASA_DESDE,"&lt;="&amp;B170))))</f>
        <v/>
      </c>
    </row>
    <row r="171" customFormat="false" ht="15" hidden="false" customHeight="false" outlineLevel="0" collapsed="false">
      <c r="B171" s="78"/>
      <c r="C171" s="64"/>
      <c r="D171" s="72" t="str">
        <f aca="false">IF(C171="","",IFERROR(INDEX(T_NOMBRE,MATCH(C171,T_ID,0)),"⚠ ID no existe"))</f>
        <v/>
      </c>
      <c r="E171" s="69"/>
      <c r="F171" s="67"/>
      <c r="G171" s="67"/>
      <c r="H171" s="67"/>
      <c r="I171" s="67"/>
      <c r="J171" s="67"/>
      <c r="K171" s="85" t="str">
        <f aca="false">IF(AH171="","",N(F171)+N(G171)+N(H171)-N(I171)+N(J171))</f>
        <v/>
      </c>
      <c r="L171" s="67"/>
      <c r="M171" s="67"/>
      <c r="N171" s="67"/>
      <c r="O171" s="67"/>
      <c r="P171" s="85" t="str">
        <f aca="false">IF(AH171="","",K171+N(L171)+N(M171)+N(N171)+N(O171))</f>
        <v/>
      </c>
      <c r="Q171" s="67"/>
      <c r="R171" s="67"/>
      <c r="S171" s="67"/>
      <c r="T171" s="67"/>
      <c r="U171" s="67"/>
      <c r="V171" s="67"/>
      <c r="W171" s="85" t="str">
        <f aca="false">IF(AH171="","",N(Q171)+N(R171)+N(S171)+N(T171)+N(U171)+N(V171))</f>
        <v/>
      </c>
      <c r="X171" s="85" t="str">
        <f aca="false">IF(AH171="","",P171-W171)</f>
        <v/>
      </c>
      <c r="Y171" s="67"/>
      <c r="Z171" s="70" t="str">
        <f aca="false">IF(OR(AH171="",Y171=""),"",IF(ABS(X171-Y171)&lt;=1,"✓ Cuadra","⚠ Diferencia $"&amp;FIXED(X171-Y171,0)))</f>
        <v/>
      </c>
      <c r="AA171" s="72" t="str">
        <f aca="false">IF(AH171="","",IFERROR(INDEX(C_TIPO,MATCH(C171&amp;"-P"&amp;MAX(1,COUNTIFS(C_ID,C171,C_DEFINE,"Sí",C_INICIO,"&lt;="&amp;EOMONTH(B171,0))),C_CLAVE,0))&amp;"","Sin dato"))</f>
        <v/>
      </c>
      <c r="AB171" s="71" t="str">
        <f aca="false">IF(AH171="","",ROUND(MIN(K171,TOPE_AFP_UF*AJ171)*AK171,0))</f>
        <v/>
      </c>
      <c r="AC171" s="71" t="str">
        <f aca="false">IF(AH171="","",ROUND(MIN(K171,TOPE_AFC_UF*AJ171)*IF(AA171="Indefinido",AFC_EMP_INDEF,AFC_EMP_PF),0))</f>
        <v/>
      </c>
      <c r="AD171" s="71" t="str">
        <f aca="false">IF(AH171="","",ROUND(MIN(K171,TOPE_AFP_UF*AJ171)*(MUTUAL_BASICA+MUTUAL_ADIC+SANNA),0))</f>
        <v/>
      </c>
      <c r="AE171" s="71" t="str">
        <f aca="false">IF(AH171="","",P171-N(N171)+AB171+AC171+AD171)</f>
        <v/>
      </c>
      <c r="AF171" s="65"/>
      <c r="AG171" s="64"/>
      <c r="AH171" s="72" t="str">
        <f aca="false">IF(OR(B171="",C171=""),"",C171&amp;"|"&amp;(YEAR(B171)*100+MONTH(B171)))</f>
        <v/>
      </c>
      <c r="AI171" s="70" t="str">
        <f aca="false">IF(AH171="","",IF(COUNTIF(L_CLAVE,AH171)&gt;1,"⚠ Duplicado","OK"))</f>
        <v/>
      </c>
      <c r="AJ171" s="86" t="str">
        <f aca="false">IF(AH171="","",IF(SUMPRODUCT(MAX((IND_PER&lt;=B171)*(IND_UF&lt;&gt;"")*IND_PER))=0,UF_HOY,INDEX(IND_UF,MATCH(SUMPRODUCT(MAX((IND_PER&lt;=B171)*(IND_UF&lt;&gt;"")*IND_PER)),IND_PER,0))))</f>
        <v/>
      </c>
      <c r="AK171" s="87" t="str">
        <f aca="false">IF(AH171="","",IF(COUNTIF(TASA_DESDE,"&lt;="&amp;B171)=0,INDEX(TASA_EMP,1),INDEX(TASA_EMP,COUNTIF(TASA_DESDE,"&lt;="&amp;B171))))</f>
        <v/>
      </c>
    </row>
    <row r="172" customFormat="false" ht="15" hidden="false" customHeight="false" outlineLevel="0" collapsed="false">
      <c r="B172" s="78"/>
      <c r="C172" s="64"/>
      <c r="D172" s="72" t="str">
        <f aca="false">IF(C172="","",IFERROR(INDEX(T_NOMBRE,MATCH(C172,T_ID,0)),"⚠ ID no existe"))</f>
        <v/>
      </c>
      <c r="E172" s="69"/>
      <c r="F172" s="67"/>
      <c r="G172" s="67"/>
      <c r="H172" s="67"/>
      <c r="I172" s="67"/>
      <c r="J172" s="67"/>
      <c r="K172" s="85" t="str">
        <f aca="false">IF(AH172="","",N(F172)+N(G172)+N(H172)-N(I172)+N(J172))</f>
        <v/>
      </c>
      <c r="L172" s="67"/>
      <c r="M172" s="67"/>
      <c r="N172" s="67"/>
      <c r="O172" s="67"/>
      <c r="P172" s="85" t="str">
        <f aca="false">IF(AH172="","",K172+N(L172)+N(M172)+N(N172)+N(O172))</f>
        <v/>
      </c>
      <c r="Q172" s="67"/>
      <c r="R172" s="67"/>
      <c r="S172" s="67"/>
      <c r="T172" s="67"/>
      <c r="U172" s="67"/>
      <c r="V172" s="67"/>
      <c r="W172" s="85" t="str">
        <f aca="false">IF(AH172="","",N(Q172)+N(R172)+N(S172)+N(T172)+N(U172)+N(V172))</f>
        <v/>
      </c>
      <c r="X172" s="85" t="str">
        <f aca="false">IF(AH172="","",P172-W172)</f>
        <v/>
      </c>
      <c r="Y172" s="67"/>
      <c r="Z172" s="70" t="str">
        <f aca="false">IF(OR(AH172="",Y172=""),"",IF(ABS(X172-Y172)&lt;=1,"✓ Cuadra","⚠ Diferencia $"&amp;FIXED(X172-Y172,0)))</f>
        <v/>
      </c>
      <c r="AA172" s="72" t="str">
        <f aca="false">IF(AH172="","",IFERROR(INDEX(C_TIPO,MATCH(C172&amp;"-P"&amp;MAX(1,COUNTIFS(C_ID,C172,C_DEFINE,"Sí",C_INICIO,"&lt;="&amp;EOMONTH(B172,0))),C_CLAVE,0))&amp;"","Sin dato"))</f>
        <v/>
      </c>
      <c r="AB172" s="71" t="str">
        <f aca="false">IF(AH172="","",ROUND(MIN(K172,TOPE_AFP_UF*AJ172)*AK172,0))</f>
        <v/>
      </c>
      <c r="AC172" s="71" t="str">
        <f aca="false">IF(AH172="","",ROUND(MIN(K172,TOPE_AFC_UF*AJ172)*IF(AA172="Indefinido",AFC_EMP_INDEF,AFC_EMP_PF),0))</f>
        <v/>
      </c>
      <c r="AD172" s="71" t="str">
        <f aca="false">IF(AH172="","",ROUND(MIN(K172,TOPE_AFP_UF*AJ172)*(MUTUAL_BASICA+MUTUAL_ADIC+SANNA),0))</f>
        <v/>
      </c>
      <c r="AE172" s="71" t="str">
        <f aca="false">IF(AH172="","",P172-N(N172)+AB172+AC172+AD172)</f>
        <v/>
      </c>
      <c r="AF172" s="65"/>
      <c r="AG172" s="64"/>
      <c r="AH172" s="72" t="str">
        <f aca="false">IF(OR(B172="",C172=""),"",C172&amp;"|"&amp;(YEAR(B172)*100+MONTH(B172)))</f>
        <v/>
      </c>
      <c r="AI172" s="70" t="str">
        <f aca="false">IF(AH172="","",IF(COUNTIF(L_CLAVE,AH172)&gt;1,"⚠ Duplicado","OK"))</f>
        <v/>
      </c>
      <c r="AJ172" s="86" t="str">
        <f aca="false">IF(AH172="","",IF(SUMPRODUCT(MAX((IND_PER&lt;=B172)*(IND_UF&lt;&gt;"")*IND_PER))=0,UF_HOY,INDEX(IND_UF,MATCH(SUMPRODUCT(MAX((IND_PER&lt;=B172)*(IND_UF&lt;&gt;"")*IND_PER)),IND_PER,0))))</f>
        <v/>
      </c>
      <c r="AK172" s="87" t="str">
        <f aca="false">IF(AH172="","",IF(COUNTIF(TASA_DESDE,"&lt;="&amp;B172)=0,INDEX(TASA_EMP,1),INDEX(TASA_EMP,COUNTIF(TASA_DESDE,"&lt;="&amp;B172))))</f>
        <v/>
      </c>
    </row>
    <row r="173" customFormat="false" ht="15" hidden="false" customHeight="false" outlineLevel="0" collapsed="false">
      <c r="B173" s="78"/>
      <c r="C173" s="64"/>
      <c r="D173" s="72" t="str">
        <f aca="false">IF(C173="","",IFERROR(INDEX(T_NOMBRE,MATCH(C173,T_ID,0)),"⚠ ID no existe"))</f>
        <v/>
      </c>
      <c r="E173" s="69"/>
      <c r="F173" s="67"/>
      <c r="G173" s="67"/>
      <c r="H173" s="67"/>
      <c r="I173" s="67"/>
      <c r="J173" s="67"/>
      <c r="K173" s="85" t="str">
        <f aca="false">IF(AH173="","",N(F173)+N(G173)+N(H173)-N(I173)+N(J173))</f>
        <v/>
      </c>
      <c r="L173" s="67"/>
      <c r="M173" s="67"/>
      <c r="N173" s="67"/>
      <c r="O173" s="67"/>
      <c r="P173" s="85" t="str">
        <f aca="false">IF(AH173="","",K173+N(L173)+N(M173)+N(N173)+N(O173))</f>
        <v/>
      </c>
      <c r="Q173" s="67"/>
      <c r="R173" s="67"/>
      <c r="S173" s="67"/>
      <c r="T173" s="67"/>
      <c r="U173" s="67"/>
      <c r="V173" s="67"/>
      <c r="W173" s="85" t="str">
        <f aca="false">IF(AH173="","",N(Q173)+N(R173)+N(S173)+N(T173)+N(U173)+N(V173))</f>
        <v/>
      </c>
      <c r="X173" s="85" t="str">
        <f aca="false">IF(AH173="","",P173-W173)</f>
        <v/>
      </c>
      <c r="Y173" s="67"/>
      <c r="Z173" s="70" t="str">
        <f aca="false">IF(OR(AH173="",Y173=""),"",IF(ABS(X173-Y173)&lt;=1,"✓ Cuadra","⚠ Diferencia $"&amp;FIXED(X173-Y173,0)))</f>
        <v/>
      </c>
      <c r="AA173" s="72" t="str">
        <f aca="false">IF(AH173="","",IFERROR(INDEX(C_TIPO,MATCH(C173&amp;"-P"&amp;MAX(1,COUNTIFS(C_ID,C173,C_DEFINE,"Sí",C_INICIO,"&lt;="&amp;EOMONTH(B173,0))),C_CLAVE,0))&amp;"","Sin dato"))</f>
        <v/>
      </c>
      <c r="AB173" s="71" t="str">
        <f aca="false">IF(AH173="","",ROUND(MIN(K173,TOPE_AFP_UF*AJ173)*AK173,0))</f>
        <v/>
      </c>
      <c r="AC173" s="71" t="str">
        <f aca="false">IF(AH173="","",ROUND(MIN(K173,TOPE_AFC_UF*AJ173)*IF(AA173="Indefinido",AFC_EMP_INDEF,AFC_EMP_PF),0))</f>
        <v/>
      </c>
      <c r="AD173" s="71" t="str">
        <f aca="false">IF(AH173="","",ROUND(MIN(K173,TOPE_AFP_UF*AJ173)*(MUTUAL_BASICA+MUTUAL_ADIC+SANNA),0))</f>
        <v/>
      </c>
      <c r="AE173" s="71" t="str">
        <f aca="false">IF(AH173="","",P173-N(N173)+AB173+AC173+AD173)</f>
        <v/>
      </c>
      <c r="AF173" s="65"/>
      <c r="AG173" s="64"/>
      <c r="AH173" s="72" t="str">
        <f aca="false">IF(OR(B173="",C173=""),"",C173&amp;"|"&amp;(YEAR(B173)*100+MONTH(B173)))</f>
        <v/>
      </c>
      <c r="AI173" s="70" t="str">
        <f aca="false">IF(AH173="","",IF(COUNTIF(L_CLAVE,AH173)&gt;1,"⚠ Duplicado","OK"))</f>
        <v/>
      </c>
      <c r="AJ173" s="86" t="str">
        <f aca="false">IF(AH173="","",IF(SUMPRODUCT(MAX((IND_PER&lt;=B173)*(IND_UF&lt;&gt;"")*IND_PER))=0,UF_HOY,INDEX(IND_UF,MATCH(SUMPRODUCT(MAX((IND_PER&lt;=B173)*(IND_UF&lt;&gt;"")*IND_PER)),IND_PER,0))))</f>
        <v/>
      </c>
      <c r="AK173" s="87" t="str">
        <f aca="false">IF(AH173="","",IF(COUNTIF(TASA_DESDE,"&lt;="&amp;B173)=0,INDEX(TASA_EMP,1),INDEX(TASA_EMP,COUNTIF(TASA_DESDE,"&lt;="&amp;B173))))</f>
        <v/>
      </c>
    </row>
    <row r="174" customFormat="false" ht="15" hidden="false" customHeight="false" outlineLevel="0" collapsed="false">
      <c r="B174" s="78"/>
      <c r="C174" s="64"/>
      <c r="D174" s="72" t="str">
        <f aca="false">IF(C174="","",IFERROR(INDEX(T_NOMBRE,MATCH(C174,T_ID,0)),"⚠ ID no existe"))</f>
        <v/>
      </c>
      <c r="E174" s="69"/>
      <c r="F174" s="67"/>
      <c r="G174" s="67"/>
      <c r="H174" s="67"/>
      <c r="I174" s="67"/>
      <c r="J174" s="67"/>
      <c r="K174" s="85" t="str">
        <f aca="false">IF(AH174="","",N(F174)+N(G174)+N(H174)-N(I174)+N(J174))</f>
        <v/>
      </c>
      <c r="L174" s="67"/>
      <c r="M174" s="67"/>
      <c r="N174" s="67"/>
      <c r="O174" s="67"/>
      <c r="P174" s="85" t="str">
        <f aca="false">IF(AH174="","",K174+N(L174)+N(M174)+N(N174)+N(O174))</f>
        <v/>
      </c>
      <c r="Q174" s="67"/>
      <c r="R174" s="67"/>
      <c r="S174" s="67"/>
      <c r="T174" s="67"/>
      <c r="U174" s="67"/>
      <c r="V174" s="67"/>
      <c r="W174" s="85" t="str">
        <f aca="false">IF(AH174="","",N(Q174)+N(R174)+N(S174)+N(T174)+N(U174)+N(V174))</f>
        <v/>
      </c>
      <c r="X174" s="85" t="str">
        <f aca="false">IF(AH174="","",P174-W174)</f>
        <v/>
      </c>
      <c r="Y174" s="67"/>
      <c r="Z174" s="70" t="str">
        <f aca="false">IF(OR(AH174="",Y174=""),"",IF(ABS(X174-Y174)&lt;=1,"✓ Cuadra","⚠ Diferencia $"&amp;FIXED(X174-Y174,0)))</f>
        <v/>
      </c>
      <c r="AA174" s="72" t="str">
        <f aca="false">IF(AH174="","",IFERROR(INDEX(C_TIPO,MATCH(C174&amp;"-P"&amp;MAX(1,COUNTIFS(C_ID,C174,C_DEFINE,"Sí",C_INICIO,"&lt;="&amp;EOMONTH(B174,0))),C_CLAVE,0))&amp;"","Sin dato"))</f>
        <v/>
      </c>
      <c r="AB174" s="71" t="str">
        <f aca="false">IF(AH174="","",ROUND(MIN(K174,TOPE_AFP_UF*AJ174)*AK174,0))</f>
        <v/>
      </c>
      <c r="AC174" s="71" t="str">
        <f aca="false">IF(AH174="","",ROUND(MIN(K174,TOPE_AFC_UF*AJ174)*IF(AA174="Indefinido",AFC_EMP_INDEF,AFC_EMP_PF),0))</f>
        <v/>
      </c>
      <c r="AD174" s="71" t="str">
        <f aca="false">IF(AH174="","",ROUND(MIN(K174,TOPE_AFP_UF*AJ174)*(MUTUAL_BASICA+MUTUAL_ADIC+SANNA),0))</f>
        <v/>
      </c>
      <c r="AE174" s="71" t="str">
        <f aca="false">IF(AH174="","",P174-N(N174)+AB174+AC174+AD174)</f>
        <v/>
      </c>
      <c r="AF174" s="65"/>
      <c r="AG174" s="64"/>
      <c r="AH174" s="72" t="str">
        <f aca="false">IF(OR(B174="",C174=""),"",C174&amp;"|"&amp;(YEAR(B174)*100+MONTH(B174)))</f>
        <v/>
      </c>
      <c r="AI174" s="70" t="str">
        <f aca="false">IF(AH174="","",IF(COUNTIF(L_CLAVE,AH174)&gt;1,"⚠ Duplicado","OK"))</f>
        <v/>
      </c>
      <c r="AJ174" s="86" t="str">
        <f aca="false">IF(AH174="","",IF(SUMPRODUCT(MAX((IND_PER&lt;=B174)*(IND_UF&lt;&gt;"")*IND_PER))=0,UF_HOY,INDEX(IND_UF,MATCH(SUMPRODUCT(MAX((IND_PER&lt;=B174)*(IND_UF&lt;&gt;"")*IND_PER)),IND_PER,0))))</f>
        <v/>
      </c>
      <c r="AK174" s="87" t="str">
        <f aca="false">IF(AH174="","",IF(COUNTIF(TASA_DESDE,"&lt;="&amp;B174)=0,INDEX(TASA_EMP,1),INDEX(TASA_EMP,COUNTIF(TASA_DESDE,"&lt;="&amp;B174))))</f>
        <v/>
      </c>
    </row>
    <row r="175" customFormat="false" ht="15" hidden="false" customHeight="false" outlineLevel="0" collapsed="false">
      <c r="B175" s="78"/>
      <c r="C175" s="64"/>
      <c r="D175" s="72" t="str">
        <f aca="false">IF(C175="","",IFERROR(INDEX(T_NOMBRE,MATCH(C175,T_ID,0)),"⚠ ID no existe"))</f>
        <v/>
      </c>
      <c r="E175" s="69"/>
      <c r="F175" s="67"/>
      <c r="G175" s="67"/>
      <c r="H175" s="67"/>
      <c r="I175" s="67"/>
      <c r="J175" s="67"/>
      <c r="K175" s="85" t="str">
        <f aca="false">IF(AH175="","",N(F175)+N(G175)+N(H175)-N(I175)+N(J175))</f>
        <v/>
      </c>
      <c r="L175" s="67"/>
      <c r="M175" s="67"/>
      <c r="N175" s="67"/>
      <c r="O175" s="67"/>
      <c r="P175" s="85" t="str">
        <f aca="false">IF(AH175="","",K175+N(L175)+N(M175)+N(N175)+N(O175))</f>
        <v/>
      </c>
      <c r="Q175" s="67"/>
      <c r="R175" s="67"/>
      <c r="S175" s="67"/>
      <c r="T175" s="67"/>
      <c r="U175" s="67"/>
      <c r="V175" s="67"/>
      <c r="W175" s="85" t="str">
        <f aca="false">IF(AH175="","",N(Q175)+N(R175)+N(S175)+N(T175)+N(U175)+N(V175))</f>
        <v/>
      </c>
      <c r="X175" s="85" t="str">
        <f aca="false">IF(AH175="","",P175-W175)</f>
        <v/>
      </c>
      <c r="Y175" s="67"/>
      <c r="Z175" s="70" t="str">
        <f aca="false">IF(OR(AH175="",Y175=""),"",IF(ABS(X175-Y175)&lt;=1,"✓ Cuadra","⚠ Diferencia $"&amp;FIXED(X175-Y175,0)))</f>
        <v/>
      </c>
      <c r="AA175" s="72" t="str">
        <f aca="false">IF(AH175="","",IFERROR(INDEX(C_TIPO,MATCH(C175&amp;"-P"&amp;MAX(1,COUNTIFS(C_ID,C175,C_DEFINE,"Sí",C_INICIO,"&lt;="&amp;EOMONTH(B175,0))),C_CLAVE,0))&amp;"","Sin dato"))</f>
        <v/>
      </c>
      <c r="AB175" s="71" t="str">
        <f aca="false">IF(AH175="","",ROUND(MIN(K175,TOPE_AFP_UF*AJ175)*AK175,0))</f>
        <v/>
      </c>
      <c r="AC175" s="71" t="str">
        <f aca="false">IF(AH175="","",ROUND(MIN(K175,TOPE_AFC_UF*AJ175)*IF(AA175="Indefinido",AFC_EMP_INDEF,AFC_EMP_PF),0))</f>
        <v/>
      </c>
      <c r="AD175" s="71" t="str">
        <f aca="false">IF(AH175="","",ROUND(MIN(K175,TOPE_AFP_UF*AJ175)*(MUTUAL_BASICA+MUTUAL_ADIC+SANNA),0))</f>
        <v/>
      </c>
      <c r="AE175" s="71" t="str">
        <f aca="false">IF(AH175="","",P175-N(N175)+AB175+AC175+AD175)</f>
        <v/>
      </c>
      <c r="AF175" s="65"/>
      <c r="AG175" s="64"/>
      <c r="AH175" s="72" t="str">
        <f aca="false">IF(OR(B175="",C175=""),"",C175&amp;"|"&amp;(YEAR(B175)*100+MONTH(B175)))</f>
        <v/>
      </c>
      <c r="AI175" s="70" t="str">
        <f aca="false">IF(AH175="","",IF(COUNTIF(L_CLAVE,AH175)&gt;1,"⚠ Duplicado","OK"))</f>
        <v/>
      </c>
      <c r="AJ175" s="86" t="str">
        <f aca="false">IF(AH175="","",IF(SUMPRODUCT(MAX((IND_PER&lt;=B175)*(IND_UF&lt;&gt;"")*IND_PER))=0,UF_HOY,INDEX(IND_UF,MATCH(SUMPRODUCT(MAX((IND_PER&lt;=B175)*(IND_UF&lt;&gt;"")*IND_PER)),IND_PER,0))))</f>
        <v/>
      </c>
      <c r="AK175" s="87" t="str">
        <f aca="false">IF(AH175="","",IF(COUNTIF(TASA_DESDE,"&lt;="&amp;B175)=0,INDEX(TASA_EMP,1),INDEX(TASA_EMP,COUNTIF(TASA_DESDE,"&lt;="&amp;B175))))</f>
        <v/>
      </c>
    </row>
    <row r="176" customFormat="false" ht="15" hidden="false" customHeight="false" outlineLevel="0" collapsed="false">
      <c r="B176" s="78"/>
      <c r="C176" s="64"/>
      <c r="D176" s="72" t="str">
        <f aca="false">IF(C176="","",IFERROR(INDEX(T_NOMBRE,MATCH(C176,T_ID,0)),"⚠ ID no existe"))</f>
        <v/>
      </c>
      <c r="E176" s="69"/>
      <c r="F176" s="67"/>
      <c r="G176" s="67"/>
      <c r="H176" s="67"/>
      <c r="I176" s="67"/>
      <c r="J176" s="67"/>
      <c r="K176" s="85" t="str">
        <f aca="false">IF(AH176="","",N(F176)+N(G176)+N(H176)-N(I176)+N(J176))</f>
        <v/>
      </c>
      <c r="L176" s="67"/>
      <c r="M176" s="67"/>
      <c r="N176" s="67"/>
      <c r="O176" s="67"/>
      <c r="P176" s="85" t="str">
        <f aca="false">IF(AH176="","",K176+N(L176)+N(M176)+N(N176)+N(O176))</f>
        <v/>
      </c>
      <c r="Q176" s="67"/>
      <c r="R176" s="67"/>
      <c r="S176" s="67"/>
      <c r="T176" s="67"/>
      <c r="U176" s="67"/>
      <c r="V176" s="67"/>
      <c r="W176" s="85" t="str">
        <f aca="false">IF(AH176="","",N(Q176)+N(R176)+N(S176)+N(T176)+N(U176)+N(V176))</f>
        <v/>
      </c>
      <c r="X176" s="85" t="str">
        <f aca="false">IF(AH176="","",P176-W176)</f>
        <v/>
      </c>
      <c r="Y176" s="67"/>
      <c r="Z176" s="70" t="str">
        <f aca="false">IF(OR(AH176="",Y176=""),"",IF(ABS(X176-Y176)&lt;=1,"✓ Cuadra","⚠ Diferencia $"&amp;FIXED(X176-Y176,0)))</f>
        <v/>
      </c>
      <c r="AA176" s="72" t="str">
        <f aca="false">IF(AH176="","",IFERROR(INDEX(C_TIPO,MATCH(C176&amp;"-P"&amp;MAX(1,COUNTIFS(C_ID,C176,C_DEFINE,"Sí",C_INICIO,"&lt;="&amp;EOMONTH(B176,0))),C_CLAVE,0))&amp;"","Sin dato"))</f>
        <v/>
      </c>
      <c r="AB176" s="71" t="str">
        <f aca="false">IF(AH176="","",ROUND(MIN(K176,TOPE_AFP_UF*AJ176)*AK176,0))</f>
        <v/>
      </c>
      <c r="AC176" s="71" t="str">
        <f aca="false">IF(AH176="","",ROUND(MIN(K176,TOPE_AFC_UF*AJ176)*IF(AA176="Indefinido",AFC_EMP_INDEF,AFC_EMP_PF),0))</f>
        <v/>
      </c>
      <c r="AD176" s="71" t="str">
        <f aca="false">IF(AH176="","",ROUND(MIN(K176,TOPE_AFP_UF*AJ176)*(MUTUAL_BASICA+MUTUAL_ADIC+SANNA),0))</f>
        <v/>
      </c>
      <c r="AE176" s="71" t="str">
        <f aca="false">IF(AH176="","",P176-N(N176)+AB176+AC176+AD176)</f>
        <v/>
      </c>
      <c r="AF176" s="65"/>
      <c r="AG176" s="64"/>
      <c r="AH176" s="72" t="str">
        <f aca="false">IF(OR(B176="",C176=""),"",C176&amp;"|"&amp;(YEAR(B176)*100+MONTH(B176)))</f>
        <v/>
      </c>
      <c r="AI176" s="70" t="str">
        <f aca="false">IF(AH176="","",IF(COUNTIF(L_CLAVE,AH176)&gt;1,"⚠ Duplicado","OK"))</f>
        <v/>
      </c>
      <c r="AJ176" s="86" t="str">
        <f aca="false">IF(AH176="","",IF(SUMPRODUCT(MAX((IND_PER&lt;=B176)*(IND_UF&lt;&gt;"")*IND_PER))=0,UF_HOY,INDEX(IND_UF,MATCH(SUMPRODUCT(MAX((IND_PER&lt;=B176)*(IND_UF&lt;&gt;"")*IND_PER)),IND_PER,0))))</f>
        <v/>
      </c>
      <c r="AK176" s="87" t="str">
        <f aca="false">IF(AH176="","",IF(COUNTIF(TASA_DESDE,"&lt;="&amp;B176)=0,INDEX(TASA_EMP,1),INDEX(TASA_EMP,COUNTIF(TASA_DESDE,"&lt;="&amp;B176))))</f>
        <v/>
      </c>
    </row>
    <row r="177" customFormat="false" ht="15" hidden="false" customHeight="false" outlineLevel="0" collapsed="false">
      <c r="B177" s="78"/>
      <c r="C177" s="64"/>
      <c r="D177" s="72" t="str">
        <f aca="false">IF(C177="","",IFERROR(INDEX(T_NOMBRE,MATCH(C177,T_ID,0)),"⚠ ID no existe"))</f>
        <v/>
      </c>
      <c r="E177" s="69"/>
      <c r="F177" s="67"/>
      <c r="G177" s="67"/>
      <c r="H177" s="67"/>
      <c r="I177" s="67"/>
      <c r="J177" s="67"/>
      <c r="K177" s="85" t="str">
        <f aca="false">IF(AH177="","",N(F177)+N(G177)+N(H177)-N(I177)+N(J177))</f>
        <v/>
      </c>
      <c r="L177" s="67"/>
      <c r="M177" s="67"/>
      <c r="N177" s="67"/>
      <c r="O177" s="67"/>
      <c r="P177" s="85" t="str">
        <f aca="false">IF(AH177="","",K177+N(L177)+N(M177)+N(N177)+N(O177))</f>
        <v/>
      </c>
      <c r="Q177" s="67"/>
      <c r="R177" s="67"/>
      <c r="S177" s="67"/>
      <c r="T177" s="67"/>
      <c r="U177" s="67"/>
      <c r="V177" s="67"/>
      <c r="W177" s="85" t="str">
        <f aca="false">IF(AH177="","",N(Q177)+N(R177)+N(S177)+N(T177)+N(U177)+N(V177))</f>
        <v/>
      </c>
      <c r="X177" s="85" t="str">
        <f aca="false">IF(AH177="","",P177-W177)</f>
        <v/>
      </c>
      <c r="Y177" s="67"/>
      <c r="Z177" s="70" t="str">
        <f aca="false">IF(OR(AH177="",Y177=""),"",IF(ABS(X177-Y177)&lt;=1,"✓ Cuadra","⚠ Diferencia $"&amp;FIXED(X177-Y177,0)))</f>
        <v/>
      </c>
      <c r="AA177" s="72" t="str">
        <f aca="false">IF(AH177="","",IFERROR(INDEX(C_TIPO,MATCH(C177&amp;"-P"&amp;MAX(1,COUNTIFS(C_ID,C177,C_DEFINE,"Sí",C_INICIO,"&lt;="&amp;EOMONTH(B177,0))),C_CLAVE,0))&amp;"","Sin dato"))</f>
        <v/>
      </c>
      <c r="AB177" s="71" t="str">
        <f aca="false">IF(AH177="","",ROUND(MIN(K177,TOPE_AFP_UF*AJ177)*AK177,0))</f>
        <v/>
      </c>
      <c r="AC177" s="71" t="str">
        <f aca="false">IF(AH177="","",ROUND(MIN(K177,TOPE_AFC_UF*AJ177)*IF(AA177="Indefinido",AFC_EMP_INDEF,AFC_EMP_PF),0))</f>
        <v/>
      </c>
      <c r="AD177" s="71" t="str">
        <f aca="false">IF(AH177="","",ROUND(MIN(K177,TOPE_AFP_UF*AJ177)*(MUTUAL_BASICA+MUTUAL_ADIC+SANNA),0))</f>
        <v/>
      </c>
      <c r="AE177" s="71" t="str">
        <f aca="false">IF(AH177="","",P177-N(N177)+AB177+AC177+AD177)</f>
        <v/>
      </c>
      <c r="AF177" s="65"/>
      <c r="AG177" s="64"/>
      <c r="AH177" s="72" t="str">
        <f aca="false">IF(OR(B177="",C177=""),"",C177&amp;"|"&amp;(YEAR(B177)*100+MONTH(B177)))</f>
        <v/>
      </c>
      <c r="AI177" s="70" t="str">
        <f aca="false">IF(AH177="","",IF(COUNTIF(L_CLAVE,AH177)&gt;1,"⚠ Duplicado","OK"))</f>
        <v/>
      </c>
      <c r="AJ177" s="86" t="str">
        <f aca="false">IF(AH177="","",IF(SUMPRODUCT(MAX((IND_PER&lt;=B177)*(IND_UF&lt;&gt;"")*IND_PER))=0,UF_HOY,INDEX(IND_UF,MATCH(SUMPRODUCT(MAX((IND_PER&lt;=B177)*(IND_UF&lt;&gt;"")*IND_PER)),IND_PER,0))))</f>
        <v/>
      </c>
      <c r="AK177" s="87" t="str">
        <f aca="false">IF(AH177="","",IF(COUNTIF(TASA_DESDE,"&lt;="&amp;B177)=0,INDEX(TASA_EMP,1),INDEX(TASA_EMP,COUNTIF(TASA_DESDE,"&lt;="&amp;B177))))</f>
        <v/>
      </c>
    </row>
    <row r="178" customFormat="false" ht="15" hidden="false" customHeight="false" outlineLevel="0" collapsed="false">
      <c r="B178" s="78"/>
      <c r="C178" s="64"/>
      <c r="D178" s="72" t="str">
        <f aca="false">IF(C178="","",IFERROR(INDEX(T_NOMBRE,MATCH(C178,T_ID,0)),"⚠ ID no existe"))</f>
        <v/>
      </c>
      <c r="E178" s="69"/>
      <c r="F178" s="67"/>
      <c r="G178" s="67"/>
      <c r="H178" s="67"/>
      <c r="I178" s="67"/>
      <c r="J178" s="67"/>
      <c r="K178" s="85" t="str">
        <f aca="false">IF(AH178="","",N(F178)+N(G178)+N(H178)-N(I178)+N(J178))</f>
        <v/>
      </c>
      <c r="L178" s="67"/>
      <c r="M178" s="67"/>
      <c r="N178" s="67"/>
      <c r="O178" s="67"/>
      <c r="P178" s="85" t="str">
        <f aca="false">IF(AH178="","",K178+N(L178)+N(M178)+N(N178)+N(O178))</f>
        <v/>
      </c>
      <c r="Q178" s="67"/>
      <c r="R178" s="67"/>
      <c r="S178" s="67"/>
      <c r="T178" s="67"/>
      <c r="U178" s="67"/>
      <c r="V178" s="67"/>
      <c r="W178" s="85" t="str">
        <f aca="false">IF(AH178="","",N(Q178)+N(R178)+N(S178)+N(T178)+N(U178)+N(V178))</f>
        <v/>
      </c>
      <c r="X178" s="85" t="str">
        <f aca="false">IF(AH178="","",P178-W178)</f>
        <v/>
      </c>
      <c r="Y178" s="67"/>
      <c r="Z178" s="70" t="str">
        <f aca="false">IF(OR(AH178="",Y178=""),"",IF(ABS(X178-Y178)&lt;=1,"✓ Cuadra","⚠ Diferencia $"&amp;FIXED(X178-Y178,0)))</f>
        <v/>
      </c>
      <c r="AA178" s="72" t="str">
        <f aca="false">IF(AH178="","",IFERROR(INDEX(C_TIPO,MATCH(C178&amp;"-P"&amp;MAX(1,COUNTIFS(C_ID,C178,C_DEFINE,"Sí",C_INICIO,"&lt;="&amp;EOMONTH(B178,0))),C_CLAVE,0))&amp;"","Sin dato"))</f>
        <v/>
      </c>
      <c r="AB178" s="71" t="str">
        <f aca="false">IF(AH178="","",ROUND(MIN(K178,TOPE_AFP_UF*AJ178)*AK178,0))</f>
        <v/>
      </c>
      <c r="AC178" s="71" t="str">
        <f aca="false">IF(AH178="","",ROUND(MIN(K178,TOPE_AFC_UF*AJ178)*IF(AA178="Indefinido",AFC_EMP_INDEF,AFC_EMP_PF),0))</f>
        <v/>
      </c>
      <c r="AD178" s="71" t="str">
        <f aca="false">IF(AH178="","",ROUND(MIN(K178,TOPE_AFP_UF*AJ178)*(MUTUAL_BASICA+MUTUAL_ADIC+SANNA),0))</f>
        <v/>
      </c>
      <c r="AE178" s="71" t="str">
        <f aca="false">IF(AH178="","",P178-N(N178)+AB178+AC178+AD178)</f>
        <v/>
      </c>
      <c r="AF178" s="65"/>
      <c r="AG178" s="64"/>
      <c r="AH178" s="72" t="str">
        <f aca="false">IF(OR(B178="",C178=""),"",C178&amp;"|"&amp;(YEAR(B178)*100+MONTH(B178)))</f>
        <v/>
      </c>
      <c r="AI178" s="70" t="str">
        <f aca="false">IF(AH178="","",IF(COUNTIF(L_CLAVE,AH178)&gt;1,"⚠ Duplicado","OK"))</f>
        <v/>
      </c>
      <c r="AJ178" s="86" t="str">
        <f aca="false">IF(AH178="","",IF(SUMPRODUCT(MAX((IND_PER&lt;=B178)*(IND_UF&lt;&gt;"")*IND_PER))=0,UF_HOY,INDEX(IND_UF,MATCH(SUMPRODUCT(MAX((IND_PER&lt;=B178)*(IND_UF&lt;&gt;"")*IND_PER)),IND_PER,0))))</f>
        <v/>
      </c>
      <c r="AK178" s="87" t="str">
        <f aca="false">IF(AH178="","",IF(COUNTIF(TASA_DESDE,"&lt;="&amp;B178)=0,INDEX(TASA_EMP,1),INDEX(TASA_EMP,COUNTIF(TASA_DESDE,"&lt;="&amp;B178))))</f>
        <v/>
      </c>
    </row>
    <row r="179" customFormat="false" ht="15" hidden="false" customHeight="false" outlineLevel="0" collapsed="false">
      <c r="B179" s="78"/>
      <c r="C179" s="64"/>
      <c r="D179" s="72" t="str">
        <f aca="false">IF(C179="","",IFERROR(INDEX(T_NOMBRE,MATCH(C179,T_ID,0)),"⚠ ID no existe"))</f>
        <v/>
      </c>
      <c r="E179" s="69"/>
      <c r="F179" s="67"/>
      <c r="G179" s="67"/>
      <c r="H179" s="67"/>
      <c r="I179" s="67"/>
      <c r="J179" s="67"/>
      <c r="K179" s="85" t="str">
        <f aca="false">IF(AH179="","",N(F179)+N(G179)+N(H179)-N(I179)+N(J179))</f>
        <v/>
      </c>
      <c r="L179" s="67"/>
      <c r="M179" s="67"/>
      <c r="N179" s="67"/>
      <c r="O179" s="67"/>
      <c r="P179" s="85" t="str">
        <f aca="false">IF(AH179="","",K179+N(L179)+N(M179)+N(N179)+N(O179))</f>
        <v/>
      </c>
      <c r="Q179" s="67"/>
      <c r="R179" s="67"/>
      <c r="S179" s="67"/>
      <c r="T179" s="67"/>
      <c r="U179" s="67"/>
      <c r="V179" s="67"/>
      <c r="W179" s="85" t="str">
        <f aca="false">IF(AH179="","",N(Q179)+N(R179)+N(S179)+N(T179)+N(U179)+N(V179))</f>
        <v/>
      </c>
      <c r="X179" s="85" t="str">
        <f aca="false">IF(AH179="","",P179-W179)</f>
        <v/>
      </c>
      <c r="Y179" s="67"/>
      <c r="Z179" s="70" t="str">
        <f aca="false">IF(OR(AH179="",Y179=""),"",IF(ABS(X179-Y179)&lt;=1,"✓ Cuadra","⚠ Diferencia $"&amp;FIXED(X179-Y179,0)))</f>
        <v/>
      </c>
      <c r="AA179" s="72" t="str">
        <f aca="false">IF(AH179="","",IFERROR(INDEX(C_TIPO,MATCH(C179&amp;"-P"&amp;MAX(1,COUNTIFS(C_ID,C179,C_DEFINE,"Sí",C_INICIO,"&lt;="&amp;EOMONTH(B179,0))),C_CLAVE,0))&amp;"","Sin dato"))</f>
        <v/>
      </c>
      <c r="AB179" s="71" t="str">
        <f aca="false">IF(AH179="","",ROUND(MIN(K179,TOPE_AFP_UF*AJ179)*AK179,0))</f>
        <v/>
      </c>
      <c r="AC179" s="71" t="str">
        <f aca="false">IF(AH179="","",ROUND(MIN(K179,TOPE_AFC_UF*AJ179)*IF(AA179="Indefinido",AFC_EMP_INDEF,AFC_EMP_PF),0))</f>
        <v/>
      </c>
      <c r="AD179" s="71" t="str">
        <f aca="false">IF(AH179="","",ROUND(MIN(K179,TOPE_AFP_UF*AJ179)*(MUTUAL_BASICA+MUTUAL_ADIC+SANNA),0))</f>
        <v/>
      </c>
      <c r="AE179" s="71" t="str">
        <f aca="false">IF(AH179="","",P179-N(N179)+AB179+AC179+AD179)</f>
        <v/>
      </c>
      <c r="AF179" s="65"/>
      <c r="AG179" s="64"/>
      <c r="AH179" s="72" t="str">
        <f aca="false">IF(OR(B179="",C179=""),"",C179&amp;"|"&amp;(YEAR(B179)*100+MONTH(B179)))</f>
        <v/>
      </c>
      <c r="AI179" s="70" t="str">
        <f aca="false">IF(AH179="","",IF(COUNTIF(L_CLAVE,AH179)&gt;1,"⚠ Duplicado","OK"))</f>
        <v/>
      </c>
      <c r="AJ179" s="86" t="str">
        <f aca="false">IF(AH179="","",IF(SUMPRODUCT(MAX((IND_PER&lt;=B179)*(IND_UF&lt;&gt;"")*IND_PER))=0,UF_HOY,INDEX(IND_UF,MATCH(SUMPRODUCT(MAX((IND_PER&lt;=B179)*(IND_UF&lt;&gt;"")*IND_PER)),IND_PER,0))))</f>
        <v/>
      </c>
      <c r="AK179" s="87" t="str">
        <f aca="false">IF(AH179="","",IF(COUNTIF(TASA_DESDE,"&lt;="&amp;B179)=0,INDEX(TASA_EMP,1),INDEX(TASA_EMP,COUNTIF(TASA_DESDE,"&lt;="&amp;B179))))</f>
        <v/>
      </c>
    </row>
    <row r="180" customFormat="false" ht="15" hidden="false" customHeight="false" outlineLevel="0" collapsed="false">
      <c r="B180" s="78"/>
      <c r="C180" s="64"/>
      <c r="D180" s="72" t="str">
        <f aca="false">IF(C180="","",IFERROR(INDEX(T_NOMBRE,MATCH(C180,T_ID,0)),"⚠ ID no existe"))</f>
        <v/>
      </c>
      <c r="E180" s="69"/>
      <c r="F180" s="67"/>
      <c r="G180" s="67"/>
      <c r="H180" s="67"/>
      <c r="I180" s="67"/>
      <c r="J180" s="67"/>
      <c r="K180" s="85" t="str">
        <f aca="false">IF(AH180="","",N(F180)+N(G180)+N(H180)-N(I180)+N(J180))</f>
        <v/>
      </c>
      <c r="L180" s="67"/>
      <c r="M180" s="67"/>
      <c r="N180" s="67"/>
      <c r="O180" s="67"/>
      <c r="P180" s="85" t="str">
        <f aca="false">IF(AH180="","",K180+N(L180)+N(M180)+N(N180)+N(O180))</f>
        <v/>
      </c>
      <c r="Q180" s="67"/>
      <c r="R180" s="67"/>
      <c r="S180" s="67"/>
      <c r="T180" s="67"/>
      <c r="U180" s="67"/>
      <c r="V180" s="67"/>
      <c r="W180" s="85" t="str">
        <f aca="false">IF(AH180="","",N(Q180)+N(R180)+N(S180)+N(T180)+N(U180)+N(V180))</f>
        <v/>
      </c>
      <c r="X180" s="85" t="str">
        <f aca="false">IF(AH180="","",P180-W180)</f>
        <v/>
      </c>
      <c r="Y180" s="67"/>
      <c r="Z180" s="70" t="str">
        <f aca="false">IF(OR(AH180="",Y180=""),"",IF(ABS(X180-Y180)&lt;=1,"✓ Cuadra","⚠ Diferencia $"&amp;FIXED(X180-Y180,0)))</f>
        <v/>
      </c>
      <c r="AA180" s="72" t="str">
        <f aca="false">IF(AH180="","",IFERROR(INDEX(C_TIPO,MATCH(C180&amp;"-P"&amp;MAX(1,COUNTIFS(C_ID,C180,C_DEFINE,"Sí",C_INICIO,"&lt;="&amp;EOMONTH(B180,0))),C_CLAVE,0))&amp;"","Sin dato"))</f>
        <v/>
      </c>
      <c r="AB180" s="71" t="str">
        <f aca="false">IF(AH180="","",ROUND(MIN(K180,TOPE_AFP_UF*AJ180)*AK180,0))</f>
        <v/>
      </c>
      <c r="AC180" s="71" t="str">
        <f aca="false">IF(AH180="","",ROUND(MIN(K180,TOPE_AFC_UF*AJ180)*IF(AA180="Indefinido",AFC_EMP_INDEF,AFC_EMP_PF),0))</f>
        <v/>
      </c>
      <c r="AD180" s="71" t="str">
        <f aca="false">IF(AH180="","",ROUND(MIN(K180,TOPE_AFP_UF*AJ180)*(MUTUAL_BASICA+MUTUAL_ADIC+SANNA),0))</f>
        <v/>
      </c>
      <c r="AE180" s="71" t="str">
        <f aca="false">IF(AH180="","",P180-N(N180)+AB180+AC180+AD180)</f>
        <v/>
      </c>
      <c r="AF180" s="65"/>
      <c r="AG180" s="64"/>
      <c r="AH180" s="72" t="str">
        <f aca="false">IF(OR(B180="",C180=""),"",C180&amp;"|"&amp;(YEAR(B180)*100+MONTH(B180)))</f>
        <v/>
      </c>
      <c r="AI180" s="70" t="str">
        <f aca="false">IF(AH180="","",IF(COUNTIF(L_CLAVE,AH180)&gt;1,"⚠ Duplicado","OK"))</f>
        <v/>
      </c>
      <c r="AJ180" s="86" t="str">
        <f aca="false">IF(AH180="","",IF(SUMPRODUCT(MAX((IND_PER&lt;=B180)*(IND_UF&lt;&gt;"")*IND_PER))=0,UF_HOY,INDEX(IND_UF,MATCH(SUMPRODUCT(MAX((IND_PER&lt;=B180)*(IND_UF&lt;&gt;"")*IND_PER)),IND_PER,0))))</f>
        <v/>
      </c>
      <c r="AK180" s="87" t="str">
        <f aca="false">IF(AH180="","",IF(COUNTIF(TASA_DESDE,"&lt;="&amp;B180)=0,INDEX(TASA_EMP,1),INDEX(TASA_EMP,COUNTIF(TASA_DESDE,"&lt;="&amp;B180))))</f>
        <v/>
      </c>
    </row>
    <row r="181" customFormat="false" ht="15" hidden="false" customHeight="false" outlineLevel="0" collapsed="false">
      <c r="B181" s="78"/>
      <c r="C181" s="64"/>
      <c r="D181" s="72" t="str">
        <f aca="false">IF(C181="","",IFERROR(INDEX(T_NOMBRE,MATCH(C181,T_ID,0)),"⚠ ID no existe"))</f>
        <v/>
      </c>
      <c r="E181" s="69"/>
      <c r="F181" s="67"/>
      <c r="G181" s="67"/>
      <c r="H181" s="67"/>
      <c r="I181" s="67"/>
      <c r="J181" s="67"/>
      <c r="K181" s="85" t="str">
        <f aca="false">IF(AH181="","",N(F181)+N(G181)+N(H181)-N(I181)+N(J181))</f>
        <v/>
      </c>
      <c r="L181" s="67"/>
      <c r="M181" s="67"/>
      <c r="N181" s="67"/>
      <c r="O181" s="67"/>
      <c r="P181" s="85" t="str">
        <f aca="false">IF(AH181="","",K181+N(L181)+N(M181)+N(N181)+N(O181))</f>
        <v/>
      </c>
      <c r="Q181" s="67"/>
      <c r="R181" s="67"/>
      <c r="S181" s="67"/>
      <c r="T181" s="67"/>
      <c r="U181" s="67"/>
      <c r="V181" s="67"/>
      <c r="W181" s="85" t="str">
        <f aca="false">IF(AH181="","",N(Q181)+N(R181)+N(S181)+N(T181)+N(U181)+N(V181))</f>
        <v/>
      </c>
      <c r="X181" s="85" t="str">
        <f aca="false">IF(AH181="","",P181-W181)</f>
        <v/>
      </c>
      <c r="Y181" s="67"/>
      <c r="Z181" s="70" t="str">
        <f aca="false">IF(OR(AH181="",Y181=""),"",IF(ABS(X181-Y181)&lt;=1,"✓ Cuadra","⚠ Diferencia $"&amp;FIXED(X181-Y181,0)))</f>
        <v/>
      </c>
      <c r="AA181" s="72" t="str">
        <f aca="false">IF(AH181="","",IFERROR(INDEX(C_TIPO,MATCH(C181&amp;"-P"&amp;MAX(1,COUNTIFS(C_ID,C181,C_DEFINE,"Sí",C_INICIO,"&lt;="&amp;EOMONTH(B181,0))),C_CLAVE,0))&amp;"","Sin dato"))</f>
        <v/>
      </c>
      <c r="AB181" s="71" t="str">
        <f aca="false">IF(AH181="","",ROUND(MIN(K181,TOPE_AFP_UF*AJ181)*AK181,0))</f>
        <v/>
      </c>
      <c r="AC181" s="71" t="str">
        <f aca="false">IF(AH181="","",ROUND(MIN(K181,TOPE_AFC_UF*AJ181)*IF(AA181="Indefinido",AFC_EMP_INDEF,AFC_EMP_PF),0))</f>
        <v/>
      </c>
      <c r="AD181" s="71" t="str">
        <f aca="false">IF(AH181="","",ROUND(MIN(K181,TOPE_AFP_UF*AJ181)*(MUTUAL_BASICA+MUTUAL_ADIC+SANNA),0))</f>
        <v/>
      </c>
      <c r="AE181" s="71" t="str">
        <f aca="false">IF(AH181="","",P181-N(N181)+AB181+AC181+AD181)</f>
        <v/>
      </c>
      <c r="AF181" s="65"/>
      <c r="AG181" s="64"/>
      <c r="AH181" s="72" t="str">
        <f aca="false">IF(OR(B181="",C181=""),"",C181&amp;"|"&amp;(YEAR(B181)*100+MONTH(B181)))</f>
        <v/>
      </c>
      <c r="AI181" s="70" t="str">
        <f aca="false">IF(AH181="","",IF(COUNTIF(L_CLAVE,AH181)&gt;1,"⚠ Duplicado","OK"))</f>
        <v/>
      </c>
      <c r="AJ181" s="86" t="str">
        <f aca="false">IF(AH181="","",IF(SUMPRODUCT(MAX((IND_PER&lt;=B181)*(IND_UF&lt;&gt;"")*IND_PER))=0,UF_HOY,INDEX(IND_UF,MATCH(SUMPRODUCT(MAX((IND_PER&lt;=B181)*(IND_UF&lt;&gt;"")*IND_PER)),IND_PER,0))))</f>
        <v/>
      </c>
      <c r="AK181" s="87" t="str">
        <f aca="false">IF(AH181="","",IF(COUNTIF(TASA_DESDE,"&lt;="&amp;B181)=0,INDEX(TASA_EMP,1),INDEX(TASA_EMP,COUNTIF(TASA_DESDE,"&lt;="&amp;B181))))</f>
        <v/>
      </c>
    </row>
    <row r="182" customFormat="false" ht="15" hidden="false" customHeight="false" outlineLevel="0" collapsed="false">
      <c r="B182" s="78"/>
      <c r="C182" s="64"/>
      <c r="D182" s="72" t="str">
        <f aca="false">IF(C182="","",IFERROR(INDEX(T_NOMBRE,MATCH(C182,T_ID,0)),"⚠ ID no existe"))</f>
        <v/>
      </c>
      <c r="E182" s="69"/>
      <c r="F182" s="67"/>
      <c r="G182" s="67"/>
      <c r="H182" s="67"/>
      <c r="I182" s="67"/>
      <c r="J182" s="67"/>
      <c r="K182" s="85" t="str">
        <f aca="false">IF(AH182="","",N(F182)+N(G182)+N(H182)-N(I182)+N(J182))</f>
        <v/>
      </c>
      <c r="L182" s="67"/>
      <c r="M182" s="67"/>
      <c r="N182" s="67"/>
      <c r="O182" s="67"/>
      <c r="P182" s="85" t="str">
        <f aca="false">IF(AH182="","",K182+N(L182)+N(M182)+N(N182)+N(O182))</f>
        <v/>
      </c>
      <c r="Q182" s="67"/>
      <c r="R182" s="67"/>
      <c r="S182" s="67"/>
      <c r="T182" s="67"/>
      <c r="U182" s="67"/>
      <c r="V182" s="67"/>
      <c r="W182" s="85" t="str">
        <f aca="false">IF(AH182="","",N(Q182)+N(R182)+N(S182)+N(T182)+N(U182)+N(V182))</f>
        <v/>
      </c>
      <c r="X182" s="85" t="str">
        <f aca="false">IF(AH182="","",P182-W182)</f>
        <v/>
      </c>
      <c r="Y182" s="67"/>
      <c r="Z182" s="70" t="str">
        <f aca="false">IF(OR(AH182="",Y182=""),"",IF(ABS(X182-Y182)&lt;=1,"✓ Cuadra","⚠ Diferencia $"&amp;FIXED(X182-Y182,0)))</f>
        <v/>
      </c>
      <c r="AA182" s="72" t="str">
        <f aca="false">IF(AH182="","",IFERROR(INDEX(C_TIPO,MATCH(C182&amp;"-P"&amp;MAX(1,COUNTIFS(C_ID,C182,C_DEFINE,"Sí",C_INICIO,"&lt;="&amp;EOMONTH(B182,0))),C_CLAVE,0))&amp;"","Sin dato"))</f>
        <v/>
      </c>
      <c r="AB182" s="71" t="str">
        <f aca="false">IF(AH182="","",ROUND(MIN(K182,TOPE_AFP_UF*AJ182)*AK182,0))</f>
        <v/>
      </c>
      <c r="AC182" s="71" t="str">
        <f aca="false">IF(AH182="","",ROUND(MIN(K182,TOPE_AFC_UF*AJ182)*IF(AA182="Indefinido",AFC_EMP_INDEF,AFC_EMP_PF),0))</f>
        <v/>
      </c>
      <c r="AD182" s="71" t="str">
        <f aca="false">IF(AH182="","",ROUND(MIN(K182,TOPE_AFP_UF*AJ182)*(MUTUAL_BASICA+MUTUAL_ADIC+SANNA),0))</f>
        <v/>
      </c>
      <c r="AE182" s="71" t="str">
        <f aca="false">IF(AH182="","",P182-N(N182)+AB182+AC182+AD182)</f>
        <v/>
      </c>
      <c r="AF182" s="65"/>
      <c r="AG182" s="64"/>
      <c r="AH182" s="72" t="str">
        <f aca="false">IF(OR(B182="",C182=""),"",C182&amp;"|"&amp;(YEAR(B182)*100+MONTH(B182)))</f>
        <v/>
      </c>
      <c r="AI182" s="70" t="str">
        <f aca="false">IF(AH182="","",IF(COUNTIF(L_CLAVE,AH182)&gt;1,"⚠ Duplicado","OK"))</f>
        <v/>
      </c>
      <c r="AJ182" s="86" t="str">
        <f aca="false">IF(AH182="","",IF(SUMPRODUCT(MAX((IND_PER&lt;=B182)*(IND_UF&lt;&gt;"")*IND_PER))=0,UF_HOY,INDEX(IND_UF,MATCH(SUMPRODUCT(MAX((IND_PER&lt;=B182)*(IND_UF&lt;&gt;"")*IND_PER)),IND_PER,0))))</f>
        <v/>
      </c>
      <c r="AK182" s="87" t="str">
        <f aca="false">IF(AH182="","",IF(COUNTIF(TASA_DESDE,"&lt;="&amp;B182)=0,INDEX(TASA_EMP,1),INDEX(TASA_EMP,COUNTIF(TASA_DESDE,"&lt;="&amp;B182))))</f>
        <v/>
      </c>
    </row>
    <row r="183" customFormat="false" ht="15" hidden="false" customHeight="false" outlineLevel="0" collapsed="false">
      <c r="B183" s="78"/>
      <c r="C183" s="64"/>
      <c r="D183" s="72" t="str">
        <f aca="false">IF(C183="","",IFERROR(INDEX(T_NOMBRE,MATCH(C183,T_ID,0)),"⚠ ID no existe"))</f>
        <v/>
      </c>
      <c r="E183" s="69"/>
      <c r="F183" s="67"/>
      <c r="G183" s="67"/>
      <c r="H183" s="67"/>
      <c r="I183" s="67"/>
      <c r="J183" s="67"/>
      <c r="K183" s="85" t="str">
        <f aca="false">IF(AH183="","",N(F183)+N(G183)+N(H183)-N(I183)+N(J183))</f>
        <v/>
      </c>
      <c r="L183" s="67"/>
      <c r="M183" s="67"/>
      <c r="N183" s="67"/>
      <c r="O183" s="67"/>
      <c r="P183" s="85" t="str">
        <f aca="false">IF(AH183="","",K183+N(L183)+N(M183)+N(N183)+N(O183))</f>
        <v/>
      </c>
      <c r="Q183" s="67"/>
      <c r="R183" s="67"/>
      <c r="S183" s="67"/>
      <c r="T183" s="67"/>
      <c r="U183" s="67"/>
      <c r="V183" s="67"/>
      <c r="W183" s="85" t="str">
        <f aca="false">IF(AH183="","",N(Q183)+N(R183)+N(S183)+N(T183)+N(U183)+N(V183))</f>
        <v/>
      </c>
      <c r="X183" s="85" t="str">
        <f aca="false">IF(AH183="","",P183-W183)</f>
        <v/>
      </c>
      <c r="Y183" s="67"/>
      <c r="Z183" s="70" t="str">
        <f aca="false">IF(OR(AH183="",Y183=""),"",IF(ABS(X183-Y183)&lt;=1,"✓ Cuadra","⚠ Diferencia $"&amp;FIXED(X183-Y183,0)))</f>
        <v/>
      </c>
      <c r="AA183" s="72" t="str">
        <f aca="false">IF(AH183="","",IFERROR(INDEX(C_TIPO,MATCH(C183&amp;"-P"&amp;MAX(1,COUNTIFS(C_ID,C183,C_DEFINE,"Sí",C_INICIO,"&lt;="&amp;EOMONTH(B183,0))),C_CLAVE,0))&amp;"","Sin dato"))</f>
        <v/>
      </c>
      <c r="AB183" s="71" t="str">
        <f aca="false">IF(AH183="","",ROUND(MIN(K183,TOPE_AFP_UF*AJ183)*AK183,0))</f>
        <v/>
      </c>
      <c r="AC183" s="71" t="str">
        <f aca="false">IF(AH183="","",ROUND(MIN(K183,TOPE_AFC_UF*AJ183)*IF(AA183="Indefinido",AFC_EMP_INDEF,AFC_EMP_PF),0))</f>
        <v/>
      </c>
      <c r="AD183" s="71" t="str">
        <f aca="false">IF(AH183="","",ROUND(MIN(K183,TOPE_AFP_UF*AJ183)*(MUTUAL_BASICA+MUTUAL_ADIC+SANNA),0))</f>
        <v/>
      </c>
      <c r="AE183" s="71" t="str">
        <f aca="false">IF(AH183="","",P183-N(N183)+AB183+AC183+AD183)</f>
        <v/>
      </c>
      <c r="AF183" s="65"/>
      <c r="AG183" s="64"/>
      <c r="AH183" s="72" t="str">
        <f aca="false">IF(OR(B183="",C183=""),"",C183&amp;"|"&amp;(YEAR(B183)*100+MONTH(B183)))</f>
        <v/>
      </c>
      <c r="AI183" s="70" t="str">
        <f aca="false">IF(AH183="","",IF(COUNTIF(L_CLAVE,AH183)&gt;1,"⚠ Duplicado","OK"))</f>
        <v/>
      </c>
      <c r="AJ183" s="86" t="str">
        <f aca="false">IF(AH183="","",IF(SUMPRODUCT(MAX((IND_PER&lt;=B183)*(IND_UF&lt;&gt;"")*IND_PER))=0,UF_HOY,INDEX(IND_UF,MATCH(SUMPRODUCT(MAX((IND_PER&lt;=B183)*(IND_UF&lt;&gt;"")*IND_PER)),IND_PER,0))))</f>
        <v/>
      </c>
      <c r="AK183" s="87" t="str">
        <f aca="false">IF(AH183="","",IF(COUNTIF(TASA_DESDE,"&lt;="&amp;B183)=0,INDEX(TASA_EMP,1),INDEX(TASA_EMP,COUNTIF(TASA_DESDE,"&lt;="&amp;B183))))</f>
        <v/>
      </c>
    </row>
    <row r="184" customFormat="false" ht="15" hidden="false" customHeight="false" outlineLevel="0" collapsed="false">
      <c r="B184" s="78"/>
      <c r="C184" s="64"/>
      <c r="D184" s="72" t="str">
        <f aca="false">IF(C184="","",IFERROR(INDEX(T_NOMBRE,MATCH(C184,T_ID,0)),"⚠ ID no existe"))</f>
        <v/>
      </c>
      <c r="E184" s="69"/>
      <c r="F184" s="67"/>
      <c r="G184" s="67"/>
      <c r="H184" s="67"/>
      <c r="I184" s="67"/>
      <c r="J184" s="67"/>
      <c r="K184" s="85" t="str">
        <f aca="false">IF(AH184="","",N(F184)+N(G184)+N(H184)-N(I184)+N(J184))</f>
        <v/>
      </c>
      <c r="L184" s="67"/>
      <c r="M184" s="67"/>
      <c r="N184" s="67"/>
      <c r="O184" s="67"/>
      <c r="P184" s="85" t="str">
        <f aca="false">IF(AH184="","",K184+N(L184)+N(M184)+N(N184)+N(O184))</f>
        <v/>
      </c>
      <c r="Q184" s="67"/>
      <c r="R184" s="67"/>
      <c r="S184" s="67"/>
      <c r="T184" s="67"/>
      <c r="U184" s="67"/>
      <c r="V184" s="67"/>
      <c r="W184" s="85" t="str">
        <f aca="false">IF(AH184="","",N(Q184)+N(R184)+N(S184)+N(T184)+N(U184)+N(V184))</f>
        <v/>
      </c>
      <c r="X184" s="85" t="str">
        <f aca="false">IF(AH184="","",P184-W184)</f>
        <v/>
      </c>
      <c r="Y184" s="67"/>
      <c r="Z184" s="70" t="str">
        <f aca="false">IF(OR(AH184="",Y184=""),"",IF(ABS(X184-Y184)&lt;=1,"✓ Cuadra","⚠ Diferencia $"&amp;FIXED(X184-Y184,0)))</f>
        <v/>
      </c>
      <c r="AA184" s="72" t="str">
        <f aca="false">IF(AH184="","",IFERROR(INDEX(C_TIPO,MATCH(C184&amp;"-P"&amp;MAX(1,COUNTIFS(C_ID,C184,C_DEFINE,"Sí",C_INICIO,"&lt;="&amp;EOMONTH(B184,0))),C_CLAVE,0))&amp;"","Sin dato"))</f>
        <v/>
      </c>
      <c r="AB184" s="71" t="str">
        <f aca="false">IF(AH184="","",ROUND(MIN(K184,TOPE_AFP_UF*AJ184)*AK184,0))</f>
        <v/>
      </c>
      <c r="AC184" s="71" t="str">
        <f aca="false">IF(AH184="","",ROUND(MIN(K184,TOPE_AFC_UF*AJ184)*IF(AA184="Indefinido",AFC_EMP_INDEF,AFC_EMP_PF),0))</f>
        <v/>
      </c>
      <c r="AD184" s="71" t="str">
        <f aca="false">IF(AH184="","",ROUND(MIN(K184,TOPE_AFP_UF*AJ184)*(MUTUAL_BASICA+MUTUAL_ADIC+SANNA),0))</f>
        <v/>
      </c>
      <c r="AE184" s="71" t="str">
        <f aca="false">IF(AH184="","",P184-N(N184)+AB184+AC184+AD184)</f>
        <v/>
      </c>
      <c r="AF184" s="65"/>
      <c r="AG184" s="64"/>
      <c r="AH184" s="72" t="str">
        <f aca="false">IF(OR(B184="",C184=""),"",C184&amp;"|"&amp;(YEAR(B184)*100+MONTH(B184)))</f>
        <v/>
      </c>
      <c r="AI184" s="70" t="str">
        <f aca="false">IF(AH184="","",IF(COUNTIF(L_CLAVE,AH184)&gt;1,"⚠ Duplicado","OK"))</f>
        <v/>
      </c>
      <c r="AJ184" s="86" t="str">
        <f aca="false">IF(AH184="","",IF(SUMPRODUCT(MAX((IND_PER&lt;=B184)*(IND_UF&lt;&gt;"")*IND_PER))=0,UF_HOY,INDEX(IND_UF,MATCH(SUMPRODUCT(MAX((IND_PER&lt;=B184)*(IND_UF&lt;&gt;"")*IND_PER)),IND_PER,0))))</f>
        <v/>
      </c>
      <c r="AK184" s="87" t="str">
        <f aca="false">IF(AH184="","",IF(COUNTIF(TASA_DESDE,"&lt;="&amp;B184)=0,INDEX(TASA_EMP,1),INDEX(TASA_EMP,COUNTIF(TASA_DESDE,"&lt;="&amp;B184))))</f>
        <v/>
      </c>
    </row>
    <row r="185" customFormat="false" ht="15" hidden="false" customHeight="false" outlineLevel="0" collapsed="false">
      <c r="B185" s="78"/>
      <c r="C185" s="64"/>
      <c r="D185" s="72" t="str">
        <f aca="false">IF(C185="","",IFERROR(INDEX(T_NOMBRE,MATCH(C185,T_ID,0)),"⚠ ID no existe"))</f>
        <v/>
      </c>
      <c r="E185" s="69"/>
      <c r="F185" s="67"/>
      <c r="G185" s="67"/>
      <c r="H185" s="67"/>
      <c r="I185" s="67"/>
      <c r="J185" s="67"/>
      <c r="K185" s="85" t="str">
        <f aca="false">IF(AH185="","",N(F185)+N(G185)+N(H185)-N(I185)+N(J185))</f>
        <v/>
      </c>
      <c r="L185" s="67"/>
      <c r="M185" s="67"/>
      <c r="N185" s="67"/>
      <c r="O185" s="67"/>
      <c r="P185" s="85" t="str">
        <f aca="false">IF(AH185="","",K185+N(L185)+N(M185)+N(N185)+N(O185))</f>
        <v/>
      </c>
      <c r="Q185" s="67"/>
      <c r="R185" s="67"/>
      <c r="S185" s="67"/>
      <c r="T185" s="67"/>
      <c r="U185" s="67"/>
      <c r="V185" s="67"/>
      <c r="W185" s="85" t="str">
        <f aca="false">IF(AH185="","",N(Q185)+N(R185)+N(S185)+N(T185)+N(U185)+N(V185))</f>
        <v/>
      </c>
      <c r="X185" s="85" t="str">
        <f aca="false">IF(AH185="","",P185-W185)</f>
        <v/>
      </c>
      <c r="Y185" s="67"/>
      <c r="Z185" s="70" t="str">
        <f aca="false">IF(OR(AH185="",Y185=""),"",IF(ABS(X185-Y185)&lt;=1,"✓ Cuadra","⚠ Diferencia $"&amp;FIXED(X185-Y185,0)))</f>
        <v/>
      </c>
      <c r="AA185" s="72" t="str">
        <f aca="false">IF(AH185="","",IFERROR(INDEX(C_TIPO,MATCH(C185&amp;"-P"&amp;MAX(1,COUNTIFS(C_ID,C185,C_DEFINE,"Sí",C_INICIO,"&lt;="&amp;EOMONTH(B185,0))),C_CLAVE,0))&amp;"","Sin dato"))</f>
        <v/>
      </c>
      <c r="AB185" s="71" t="str">
        <f aca="false">IF(AH185="","",ROUND(MIN(K185,TOPE_AFP_UF*AJ185)*AK185,0))</f>
        <v/>
      </c>
      <c r="AC185" s="71" t="str">
        <f aca="false">IF(AH185="","",ROUND(MIN(K185,TOPE_AFC_UF*AJ185)*IF(AA185="Indefinido",AFC_EMP_INDEF,AFC_EMP_PF),0))</f>
        <v/>
      </c>
      <c r="AD185" s="71" t="str">
        <f aca="false">IF(AH185="","",ROUND(MIN(K185,TOPE_AFP_UF*AJ185)*(MUTUAL_BASICA+MUTUAL_ADIC+SANNA),0))</f>
        <v/>
      </c>
      <c r="AE185" s="71" t="str">
        <f aca="false">IF(AH185="","",P185-N(N185)+AB185+AC185+AD185)</f>
        <v/>
      </c>
      <c r="AF185" s="65"/>
      <c r="AG185" s="64"/>
      <c r="AH185" s="72" t="str">
        <f aca="false">IF(OR(B185="",C185=""),"",C185&amp;"|"&amp;(YEAR(B185)*100+MONTH(B185)))</f>
        <v/>
      </c>
      <c r="AI185" s="70" t="str">
        <f aca="false">IF(AH185="","",IF(COUNTIF(L_CLAVE,AH185)&gt;1,"⚠ Duplicado","OK"))</f>
        <v/>
      </c>
      <c r="AJ185" s="86" t="str">
        <f aca="false">IF(AH185="","",IF(SUMPRODUCT(MAX((IND_PER&lt;=B185)*(IND_UF&lt;&gt;"")*IND_PER))=0,UF_HOY,INDEX(IND_UF,MATCH(SUMPRODUCT(MAX((IND_PER&lt;=B185)*(IND_UF&lt;&gt;"")*IND_PER)),IND_PER,0))))</f>
        <v/>
      </c>
      <c r="AK185" s="87" t="str">
        <f aca="false">IF(AH185="","",IF(COUNTIF(TASA_DESDE,"&lt;="&amp;B185)=0,INDEX(TASA_EMP,1),INDEX(TASA_EMP,COUNTIF(TASA_DESDE,"&lt;="&amp;B185))))</f>
        <v/>
      </c>
    </row>
    <row r="186" customFormat="false" ht="15" hidden="false" customHeight="false" outlineLevel="0" collapsed="false">
      <c r="B186" s="78"/>
      <c r="C186" s="64"/>
      <c r="D186" s="72" t="str">
        <f aca="false">IF(C186="","",IFERROR(INDEX(T_NOMBRE,MATCH(C186,T_ID,0)),"⚠ ID no existe"))</f>
        <v/>
      </c>
      <c r="E186" s="69"/>
      <c r="F186" s="67"/>
      <c r="G186" s="67"/>
      <c r="H186" s="67"/>
      <c r="I186" s="67"/>
      <c r="J186" s="67"/>
      <c r="K186" s="85" t="str">
        <f aca="false">IF(AH186="","",N(F186)+N(G186)+N(H186)-N(I186)+N(J186))</f>
        <v/>
      </c>
      <c r="L186" s="67"/>
      <c r="M186" s="67"/>
      <c r="N186" s="67"/>
      <c r="O186" s="67"/>
      <c r="P186" s="85" t="str">
        <f aca="false">IF(AH186="","",K186+N(L186)+N(M186)+N(N186)+N(O186))</f>
        <v/>
      </c>
      <c r="Q186" s="67"/>
      <c r="R186" s="67"/>
      <c r="S186" s="67"/>
      <c r="T186" s="67"/>
      <c r="U186" s="67"/>
      <c r="V186" s="67"/>
      <c r="W186" s="85" t="str">
        <f aca="false">IF(AH186="","",N(Q186)+N(R186)+N(S186)+N(T186)+N(U186)+N(V186))</f>
        <v/>
      </c>
      <c r="X186" s="85" t="str">
        <f aca="false">IF(AH186="","",P186-W186)</f>
        <v/>
      </c>
      <c r="Y186" s="67"/>
      <c r="Z186" s="70" t="str">
        <f aca="false">IF(OR(AH186="",Y186=""),"",IF(ABS(X186-Y186)&lt;=1,"✓ Cuadra","⚠ Diferencia $"&amp;FIXED(X186-Y186,0)))</f>
        <v/>
      </c>
      <c r="AA186" s="72" t="str">
        <f aca="false">IF(AH186="","",IFERROR(INDEX(C_TIPO,MATCH(C186&amp;"-P"&amp;MAX(1,COUNTIFS(C_ID,C186,C_DEFINE,"Sí",C_INICIO,"&lt;="&amp;EOMONTH(B186,0))),C_CLAVE,0))&amp;"","Sin dato"))</f>
        <v/>
      </c>
      <c r="AB186" s="71" t="str">
        <f aca="false">IF(AH186="","",ROUND(MIN(K186,TOPE_AFP_UF*AJ186)*AK186,0))</f>
        <v/>
      </c>
      <c r="AC186" s="71" t="str">
        <f aca="false">IF(AH186="","",ROUND(MIN(K186,TOPE_AFC_UF*AJ186)*IF(AA186="Indefinido",AFC_EMP_INDEF,AFC_EMP_PF),0))</f>
        <v/>
      </c>
      <c r="AD186" s="71" t="str">
        <f aca="false">IF(AH186="","",ROUND(MIN(K186,TOPE_AFP_UF*AJ186)*(MUTUAL_BASICA+MUTUAL_ADIC+SANNA),0))</f>
        <v/>
      </c>
      <c r="AE186" s="71" t="str">
        <f aca="false">IF(AH186="","",P186-N(N186)+AB186+AC186+AD186)</f>
        <v/>
      </c>
      <c r="AF186" s="65"/>
      <c r="AG186" s="64"/>
      <c r="AH186" s="72" t="str">
        <f aca="false">IF(OR(B186="",C186=""),"",C186&amp;"|"&amp;(YEAR(B186)*100+MONTH(B186)))</f>
        <v/>
      </c>
      <c r="AI186" s="70" t="str">
        <f aca="false">IF(AH186="","",IF(COUNTIF(L_CLAVE,AH186)&gt;1,"⚠ Duplicado","OK"))</f>
        <v/>
      </c>
      <c r="AJ186" s="86" t="str">
        <f aca="false">IF(AH186="","",IF(SUMPRODUCT(MAX((IND_PER&lt;=B186)*(IND_UF&lt;&gt;"")*IND_PER))=0,UF_HOY,INDEX(IND_UF,MATCH(SUMPRODUCT(MAX((IND_PER&lt;=B186)*(IND_UF&lt;&gt;"")*IND_PER)),IND_PER,0))))</f>
        <v/>
      </c>
      <c r="AK186" s="87" t="str">
        <f aca="false">IF(AH186="","",IF(COUNTIF(TASA_DESDE,"&lt;="&amp;B186)=0,INDEX(TASA_EMP,1),INDEX(TASA_EMP,COUNTIF(TASA_DESDE,"&lt;="&amp;B186))))</f>
        <v/>
      </c>
    </row>
    <row r="187" customFormat="false" ht="15" hidden="false" customHeight="false" outlineLevel="0" collapsed="false">
      <c r="B187" s="78"/>
      <c r="C187" s="64"/>
      <c r="D187" s="72" t="str">
        <f aca="false">IF(C187="","",IFERROR(INDEX(T_NOMBRE,MATCH(C187,T_ID,0)),"⚠ ID no existe"))</f>
        <v/>
      </c>
      <c r="E187" s="69"/>
      <c r="F187" s="67"/>
      <c r="G187" s="67"/>
      <c r="H187" s="67"/>
      <c r="I187" s="67"/>
      <c r="J187" s="67"/>
      <c r="K187" s="85" t="str">
        <f aca="false">IF(AH187="","",N(F187)+N(G187)+N(H187)-N(I187)+N(J187))</f>
        <v/>
      </c>
      <c r="L187" s="67"/>
      <c r="M187" s="67"/>
      <c r="N187" s="67"/>
      <c r="O187" s="67"/>
      <c r="P187" s="85" t="str">
        <f aca="false">IF(AH187="","",K187+N(L187)+N(M187)+N(N187)+N(O187))</f>
        <v/>
      </c>
      <c r="Q187" s="67"/>
      <c r="R187" s="67"/>
      <c r="S187" s="67"/>
      <c r="T187" s="67"/>
      <c r="U187" s="67"/>
      <c r="V187" s="67"/>
      <c r="W187" s="85" t="str">
        <f aca="false">IF(AH187="","",N(Q187)+N(R187)+N(S187)+N(T187)+N(U187)+N(V187))</f>
        <v/>
      </c>
      <c r="X187" s="85" t="str">
        <f aca="false">IF(AH187="","",P187-W187)</f>
        <v/>
      </c>
      <c r="Y187" s="67"/>
      <c r="Z187" s="70" t="str">
        <f aca="false">IF(OR(AH187="",Y187=""),"",IF(ABS(X187-Y187)&lt;=1,"✓ Cuadra","⚠ Diferencia $"&amp;FIXED(X187-Y187,0)))</f>
        <v/>
      </c>
      <c r="AA187" s="72" t="str">
        <f aca="false">IF(AH187="","",IFERROR(INDEX(C_TIPO,MATCH(C187&amp;"-P"&amp;MAX(1,COUNTIFS(C_ID,C187,C_DEFINE,"Sí",C_INICIO,"&lt;="&amp;EOMONTH(B187,0))),C_CLAVE,0))&amp;"","Sin dato"))</f>
        <v/>
      </c>
      <c r="AB187" s="71" t="str">
        <f aca="false">IF(AH187="","",ROUND(MIN(K187,TOPE_AFP_UF*AJ187)*AK187,0))</f>
        <v/>
      </c>
      <c r="AC187" s="71" t="str">
        <f aca="false">IF(AH187="","",ROUND(MIN(K187,TOPE_AFC_UF*AJ187)*IF(AA187="Indefinido",AFC_EMP_INDEF,AFC_EMP_PF),0))</f>
        <v/>
      </c>
      <c r="AD187" s="71" t="str">
        <f aca="false">IF(AH187="","",ROUND(MIN(K187,TOPE_AFP_UF*AJ187)*(MUTUAL_BASICA+MUTUAL_ADIC+SANNA),0))</f>
        <v/>
      </c>
      <c r="AE187" s="71" t="str">
        <f aca="false">IF(AH187="","",P187-N(N187)+AB187+AC187+AD187)</f>
        <v/>
      </c>
      <c r="AF187" s="65"/>
      <c r="AG187" s="64"/>
      <c r="AH187" s="72" t="str">
        <f aca="false">IF(OR(B187="",C187=""),"",C187&amp;"|"&amp;(YEAR(B187)*100+MONTH(B187)))</f>
        <v/>
      </c>
      <c r="AI187" s="70" t="str">
        <f aca="false">IF(AH187="","",IF(COUNTIF(L_CLAVE,AH187)&gt;1,"⚠ Duplicado","OK"))</f>
        <v/>
      </c>
      <c r="AJ187" s="86" t="str">
        <f aca="false">IF(AH187="","",IF(SUMPRODUCT(MAX((IND_PER&lt;=B187)*(IND_UF&lt;&gt;"")*IND_PER))=0,UF_HOY,INDEX(IND_UF,MATCH(SUMPRODUCT(MAX((IND_PER&lt;=B187)*(IND_UF&lt;&gt;"")*IND_PER)),IND_PER,0))))</f>
        <v/>
      </c>
      <c r="AK187" s="87" t="str">
        <f aca="false">IF(AH187="","",IF(COUNTIF(TASA_DESDE,"&lt;="&amp;B187)=0,INDEX(TASA_EMP,1),INDEX(TASA_EMP,COUNTIF(TASA_DESDE,"&lt;="&amp;B187))))</f>
        <v/>
      </c>
    </row>
    <row r="188" customFormat="false" ht="15" hidden="false" customHeight="false" outlineLevel="0" collapsed="false">
      <c r="B188" s="78"/>
      <c r="C188" s="64"/>
      <c r="D188" s="72" t="str">
        <f aca="false">IF(C188="","",IFERROR(INDEX(T_NOMBRE,MATCH(C188,T_ID,0)),"⚠ ID no existe"))</f>
        <v/>
      </c>
      <c r="E188" s="69"/>
      <c r="F188" s="67"/>
      <c r="G188" s="67"/>
      <c r="H188" s="67"/>
      <c r="I188" s="67"/>
      <c r="J188" s="67"/>
      <c r="K188" s="85" t="str">
        <f aca="false">IF(AH188="","",N(F188)+N(G188)+N(H188)-N(I188)+N(J188))</f>
        <v/>
      </c>
      <c r="L188" s="67"/>
      <c r="M188" s="67"/>
      <c r="N188" s="67"/>
      <c r="O188" s="67"/>
      <c r="P188" s="85" t="str">
        <f aca="false">IF(AH188="","",K188+N(L188)+N(M188)+N(N188)+N(O188))</f>
        <v/>
      </c>
      <c r="Q188" s="67"/>
      <c r="R188" s="67"/>
      <c r="S188" s="67"/>
      <c r="T188" s="67"/>
      <c r="U188" s="67"/>
      <c r="V188" s="67"/>
      <c r="W188" s="85" t="str">
        <f aca="false">IF(AH188="","",N(Q188)+N(R188)+N(S188)+N(T188)+N(U188)+N(V188))</f>
        <v/>
      </c>
      <c r="X188" s="85" t="str">
        <f aca="false">IF(AH188="","",P188-W188)</f>
        <v/>
      </c>
      <c r="Y188" s="67"/>
      <c r="Z188" s="70" t="str">
        <f aca="false">IF(OR(AH188="",Y188=""),"",IF(ABS(X188-Y188)&lt;=1,"✓ Cuadra","⚠ Diferencia $"&amp;FIXED(X188-Y188,0)))</f>
        <v/>
      </c>
      <c r="AA188" s="72" t="str">
        <f aca="false">IF(AH188="","",IFERROR(INDEX(C_TIPO,MATCH(C188&amp;"-P"&amp;MAX(1,COUNTIFS(C_ID,C188,C_DEFINE,"Sí",C_INICIO,"&lt;="&amp;EOMONTH(B188,0))),C_CLAVE,0))&amp;"","Sin dato"))</f>
        <v/>
      </c>
      <c r="AB188" s="71" t="str">
        <f aca="false">IF(AH188="","",ROUND(MIN(K188,TOPE_AFP_UF*AJ188)*AK188,0))</f>
        <v/>
      </c>
      <c r="AC188" s="71" t="str">
        <f aca="false">IF(AH188="","",ROUND(MIN(K188,TOPE_AFC_UF*AJ188)*IF(AA188="Indefinido",AFC_EMP_INDEF,AFC_EMP_PF),0))</f>
        <v/>
      </c>
      <c r="AD188" s="71" t="str">
        <f aca="false">IF(AH188="","",ROUND(MIN(K188,TOPE_AFP_UF*AJ188)*(MUTUAL_BASICA+MUTUAL_ADIC+SANNA),0))</f>
        <v/>
      </c>
      <c r="AE188" s="71" t="str">
        <f aca="false">IF(AH188="","",P188-N(N188)+AB188+AC188+AD188)</f>
        <v/>
      </c>
      <c r="AF188" s="65"/>
      <c r="AG188" s="64"/>
      <c r="AH188" s="72" t="str">
        <f aca="false">IF(OR(B188="",C188=""),"",C188&amp;"|"&amp;(YEAR(B188)*100+MONTH(B188)))</f>
        <v/>
      </c>
      <c r="AI188" s="70" t="str">
        <f aca="false">IF(AH188="","",IF(COUNTIF(L_CLAVE,AH188)&gt;1,"⚠ Duplicado","OK"))</f>
        <v/>
      </c>
      <c r="AJ188" s="86" t="str">
        <f aca="false">IF(AH188="","",IF(SUMPRODUCT(MAX((IND_PER&lt;=B188)*(IND_UF&lt;&gt;"")*IND_PER))=0,UF_HOY,INDEX(IND_UF,MATCH(SUMPRODUCT(MAX((IND_PER&lt;=B188)*(IND_UF&lt;&gt;"")*IND_PER)),IND_PER,0))))</f>
        <v/>
      </c>
      <c r="AK188" s="87" t="str">
        <f aca="false">IF(AH188="","",IF(COUNTIF(TASA_DESDE,"&lt;="&amp;B188)=0,INDEX(TASA_EMP,1),INDEX(TASA_EMP,COUNTIF(TASA_DESDE,"&lt;="&amp;B188))))</f>
        <v/>
      </c>
    </row>
    <row r="189" customFormat="false" ht="15" hidden="false" customHeight="false" outlineLevel="0" collapsed="false">
      <c r="B189" s="78"/>
      <c r="C189" s="64"/>
      <c r="D189" s="72" t="str">
        <f aca="false">IF(C189="","",IFERROR(INDEX(T_NOMBRE,MATCH(C189,T_ID,0)),"⚠ ID no existe"))</f>
        <v/>
      </c>
      <c r="E189" s="69"/>
      <c r="F189" s="67"/>
      <c r="G189" s="67"/>
      <c r="H189" s="67"/>
      <c r="I189" s="67"/>
      <c r="J189" s="67"/>
      <c r="K189" s="85" t="str">
        <f aca="false">IF(AH189="","",N(F189)+N(G189)+N(H189)-N(I189)+N(J189))</f>
        <v/>
      </c>
      <c r="L189" s="67"/>
      <c r="M189" s="67"/>
      <c r="N189" s="67"/>
      <c r="O189" s="67"/>
      <c r="P189" s="85" t="str">
        <f aca="false">IF(AH189="","",K189+N(L189)+N(M189)+N(N189)+N(O189))</f>
        <v/>
      </c>
      <c r="Q189" s="67"/>
      <c r="R189" s="67"/>
      <c r="S189" s="67"/>
      <c r="T189" s="67"/>
      <c r="U189" s="67"/>
      <c r="V189" s="67"/>
      <c r="W189" s="85" t="str">
        <f aca="false">IF(AH189="","",N(Q189)+N(R189)+N(S189)+N(T189)+N(U189)+N(V189))</f>
        <v/>
      </c>
      <c r="X189" s="85" t="str">
        <f aca="false">IF(AH189="","",P189-W189)</f>
        <v/>
      </c>
      <c r="Y189" s="67"/>
      <c r="Z189" s="70" t="str">
        <f aca="false">IF(OR(AH189="",Y189=""),"",IF(ABS(X189-Y189)&lt;=1,"✓ Cuadra","⚠ Diferencia $"&amp;FIXED(X189-Y189,0)))</f>
        <v/>
      </c>
      <c r="AA189" s="72" t="str">
        <f aca="false">IF(AH189="","",IFERROR(INDEX(C_TIPO,MATCH(C189&amp;"-P"&amp;MAX(1,COUNTIFS(C_ID,C189,C_DEFINE,"Sí",C_INICIO,"&lt;="&amp;EOMONTH(B189,0))),C_CLAVE,0))&amp;"","Sin dato"))</f>
        <v/>
      </c>
      <c r="AB189" s="71" t="str">
        <f aca="false">IF(AH189="","",ROUND(MIN(K189,TOPE_AFP_UF*AJ189)*AK189,0))</f>
        <v/>
      </c>
      <c r="AC189" s="71" t="str">
        <f aca="false">IF(AH189="","",ROUND(MIN(K189,TOPE_AFC_UF*AJ189)*IF(AA189="Indefinido",AFC_EMP_INDEF,AFC_EMP_PF),0))</f>
        <v/>
      </c>
      <c r="AD189" s="71" t="str">
        <f aca="false">IF(AH189="","",ROUND(MIN(K189,TOPE_AFP_UF*AJ189)*(MUTUAL_BASICA+MUTUAL_ADIC+SANNA),0))</f>
        <v/>
      </c>
      <c r="AE189" s="71" t="str">
        <f aca="false">IF(AH189="","",P189-N(N189)+AB189+AC189+AD189)</f>
        <v/>
      </c>
      <c r="AF189" s="65"/>
      <c r="AG189" s="64"/>
      <c r="AH189" s="72" t="str">
        <f aca="false">IF(OR(B189="",C189=""),"",C189&amp;"|"&amp;(YEAR(B189)*100+MONTH(B189)))</f>
        <v/>
      </c>
      <c r="AI189" s="70" t="str">
        <f aca="false">IF(AH189="","",IF(COUNTIF(L_CLAVE,AH189)&gt;1,"⚠ Duplicado","OK"))</f>
        <v/>
      </c>
      <c r="AJ189" s="86" t="str">
        <f aca="false">IF(AH189="","",IF(SUMPRODUCT(MAX((IND_PER&lt;=B189)*(IND_UF&lt;&gt;"")*IND_PER))=0,UF_HOY,INDEX(IND_UF,MATCH(SUMPRODUCT(MAX((IND_PER&lt;=B189)*(IND_UF&lt;&gt;"")*IND_PER)),IND_PER,0))))</f>
        <v/>
      </c>
      <c r="AK189" s="87" t="str">
        <f aca="false">IF(AH189="","",IF(COUNTIF(TASA_DESDE,"&lt;="&amp;B189)=0,INDEX(TASA_EMP,1),INDEX(TASA_EMP,COUNTIF(TASA_DESDE,"&lt;="&amp;B189))))</f>
        <v/>
      </c>
    </row>
    <row r="190" customFormat="false" ht="15" hidden="false" customHeight="false" outlineLevel="0" collapsed="false">
      <c r="B190" s="78"/>
      <c r="C190" s="64"/>
      <c r="D190" s="72" t="str">
        <f aca="false">IF(C190="","",IFERROR(INDEX(T_NOMBRE,MATCH(C190,T_ID,0)),"⚠ ID no existe"))</f>
        <v/>
      </c>
      <c r="E190" s="69"/>
      <c r="F190" s="67"/>
      <c r="G190" s="67"/>
      <c r="H190" s="67"/>
      <c r="I190" s="67"/>
      <c r="J190" s="67"/>
      <c r="K190" s="85" t="str">
        <f aca="false">IF(AH190="","",N(F190)+N(G190)+N(H190)-N(I190)+N(J190))</f>
        <v/>
      </c>
      <c r="L190" s="67"/>
      <c r="M190" s="67"/>
      <c r="N190" s="67"/>
      <c r="O190" s="67"/>
      <c r="P190" s="85" t="str">
        <f aca="false">IF(AH190="","",K190+N(L190)+N(M190)+N(N190)+N(O190))</f>
        <v/>
      </c>
      <c r="Q190" s="67"/>
      <c r="R190" s="67"/>
      <c r="S190" s="67"/>
      <c r="T190" s="67"/>
      <c r="U190" s="67"/>
      <c r="V190" s="67"/>
      <c r="W190" s="85" t="str">
        <f aca="false">IF(AH190="","",N(Q190)+N(R190)+N(S190)+N(T190)+N(U190)+N(V190))</f>
        <v/>
      </c>
      <c r="X190" s="85" t="str">
        <f aca="false">IF(AH190="","",P190-W190)</f>
        <v/>
      </c>
      <c r="Y190" s="67"/>
      <c r="Z190" s="70" t="str">
        <f aca="false">IF(OR(AH190="",Y190=""),"",IF(ABS(X190-Y190)&lt;=1,"✓ Cuadra","⚠ Diferencia $"&amp;FIXED(X190-Y190,0)))</f>
        <v/>
      </c>
      <c r="AA190" s="72" t="str">
        <f aca="false">IF(AH190="","",IFERROR(INDEX(C_TIPO,MATCH(C190&amp;"-P"&amp;MAX(1,COUNTIFS(C_ID,C190,C_DEFINE,"Sí",C_INICIO,"&lt;="&amp;EOMONTH(B190,0))),C_CLAVE,0))&amp;"","Sin dato"))</f>
        <v/>
      </c>
      <c r="AB190" s="71" t="str">
        <f aca="false">IF(AH190="","",ROUND(MIN(K190,TOPE_AFP_UF*AJ190)*AK190,0))</f>
        <v/>
      </c>
      <c r="AC190" s="71" t="str">
        <f aca="false">IF(AH190="","",ROUND(MIN(K190,TOPE_AFC_UF*AJ190)*IF(AA190="Indefinido",AFC_EMP_INDEF,AFC_EMP_PF),0))</f>
        <v/>
      </c>
      <c r="AD190" s="71" t="str">
        <f aca="false">IF(AH190="","",ROUND(MIN(K190,TOPE_AFP_UF*AJ190)*(MUTUAL_BASICA+MUTUAL_ADIC+SANNA),0))</f>
        <v/>
      </c>
      <c r="AE190" s="71" t="str">
        <f aca="false">IF(AH190="","",P190-N(N190)+AB190+AC190+AD190)</f>
        <v/>
      </c>
      <c r="AF190" s="65"/>
      <c r="AG190" s="64"/>
      <c r="AH190" s="72" t="str">
        <f aca="false">IF(OR(B190="",C190=""),"",C190&amp;"|"&amp;(YEAR(B190)*100+MONTH(B190)))</f>
        <v/>
      </c>
      <c r="AI190" s="70" t="str">
        <f aca="false">IF(AH190="","",IF(COUNTIF(L_CLAVE,AH190)&gt;1,"⚠ Duplicado","OK"))</f>
        <v/>
      </c>
      <c r="AJ190" s="86" t="str">
        <f aca="false">IF(AH190="","",IF(SUMPRODUCT(MAX((IND_PER&lt;=B190)*(IND_UF&lt;&gt;"")*IND_PER))=0,UF_HOY,INDEX(IND_UF,MATCH(SUMPRODUCT(MAX((IND_PER&lt;=B190)*(IND_UF&lt;&gt;"")*IND_PER)),IND_PER,0))))</f>
        <v/>
      </c>
      <c r="AK190" s="87" t="str">
        <f aca="false">IF(AH190="","",IF(COUNTIF(TASA_DESDE,"&lt;="&amp;B190)=0,INDEX(TASA_EMP,1),INDEX(TASA_EMP,COUNTIF(TASA_DESDE,"&lt;="&amp;B190))))</f>
        <v/>
      </c>
    </row>
    <row r="191" customFormat="false" ht="15" hidden="false" customHeight="false" outlineLevel="0" collapsed="false">
      <c r="B191" s="78"/>
      <c r="C191" s="64"/>
      <c r="D191" s="72" t="str">
        <f aca="false">IF(C191="","",IFERROR(INDEX(T_NOMBRE,MATCH(C191,T_ID,0)),"⚠ ID no existe"))</f>
        <v/>
      </c>
      <c r="E191" s="69"/>
      <c r="F191" s="67"/>
      <c r="G191" s="67"/>
      <c r="H191" s="67"/>
      <c r="I191" s="67"/>
      <c r="J191" s="67"/>
      <c r="K191" s="85" t="str">
        <f aca="false">IF(AH191="","",N(F191)+N(G191)+N(H191)-N(I191)+N(J191))</f>
        <v/>
      </c>
      <c r="L191" s="67"/>
      <c r="M191" s="67"/>
      <c r="N191" s="67"/>
      <c r="O191" s="67"/>
      <c r="P191" s="85" t="str">
        <f aca="false">IF(AH191="","",K191+N(L191)+N(M191)+N(N191)+N(O191))</f>
        <v/>
      </c>
      <c r="Q191" s="67"/>
      <c r="R191" s="67"/>
      <c r="S191" s="67"/>
      <c r="T191" s="67"/>
      <c r="U191" s="67"/>
      <c r="V191" s="67"/>
      <c r="W191" s="85" t="str">
        <f aca="false">IF(AH191="","",N(Q191)+N(R191)+N(S191)+N(T191)+N(U191)+N(V191))</f>
        <v/>
      </c>
      <c r="X191" s="85" t="str">
        <f aca="false">IF(AH191="","",P191-W191)</f>
        <v/>
      </c>
      <c r="Y191" s="67"/>
      <c r="Z191" s="70" t="str">
        <f aca="false">IF(OR(AH191="",Y191=""),"",IF(ABS(X191-Y191)&lt;=1,"✓ Cuadra","⚠ Diferencia $"&amp;FIXED(X191-Y191,0)))</f>
        <v/>
      </c>
      <c r="AA191" s="72" t="str">
        <f aca="false">IF(AH191="","",IFERROR(INDEX(C_TIPO,MATCH(C191&amp;"-P"&amp;MAX(1,COUNTIFS(C_ID,C191,C_DEFINE,"Sí",C_INICIO,"&lt;="&amp;EOMONTH(B191,0))),C_CLAVE,0))&amp;"","Sin dato"))</f>
        <v/>
      </c>
      <c r="AB191" s="71" t="str">
        <f aca="false">IF(AH191="","",ROUND(MIN(K191,TOPE_AFP_UF*AJ191)*AK191,0))</f>
        <v/>
      </c>
      <c r="AC191" s="71" t="str">
        <f aca="false">IF(AH191="","",ROUND(MIN(K191,TOPE_AFC_UF*AJ191)*IF(AA191="Indefinido",AFC_EMP_INDEF,AFC_EMP_PF),0))</f>
        <v/>
      </c>
      <c r="AD191" s="71" t="str">
        <f aca="false">IF(AH191="","",ROUND(MIN(K191,TOPE_AFP_UF*AJ191)*(MUTUAL_BASICA+MUTUAL_ADIC+SANNA),0))</f>
        <v/>
      </c>
      <c r="AE191" s="71" t="str">
        <f aca="false">IF(AH191="","",P191-N(N191)+AB191+AC191+AD191)</f>
        <v/>
      </c>
      <c r="AF191" s="65"/>
      <c r="AG191" s="64"/>
      <c r="AH191" s="72" t="str">
        <f aca="false">IF(OR(B191="",C191=""),"",C191&amp;"|"&amp;(YEAR(B191)*100+MONTH(B191)))</f>
        <v/>
      </c>
      <c r="AI191" s="70" t="str">
        <f aca="false">IF(AH191="","",IF(COUNTIF(L_CLAVE,AH191)&gt;1,"⚠ Duplicado","OK"))</f>
        <v/>
      </c>
      <c r="AJ191" s="86" t="str">
        <f aca="false">IF(AH191="","",IF(SUMPRODUCT(MAX((IND_PER&lt;=B191)*(IND_UF&lt;&gt;"")*IND_PER))=0,UF_HOY,INDEX(IND_UF,MATCH(SUMPRODUCT(MAX((IND_PER&lt;=B191)*(IND_UF&lt;&gt;"")*IND_PER)),IND_PER,0))))</f>
        <v/>
      </c>
      <c r="AK191" s="87" t="str">
        <f aca="false">IF(AH191="","",IF(COUNTIF(TASA_DESDE,"&lt;="&amp;B191)=0,INDEX(TASA_EMP,1),INDEX(TASA_EMP,COUNTIF(TASA_DESDE,"&lt;="&amp;B191))))</f>
        <v/>
      </c>
    </row>
    <row r="192" customFormat="false" ht="15" hidden="false" customHeight="false" outlineLevel="0" collapsed="false">
      <c r="B192" s="78"/>
      <c r="C192" s="64"/>
      <c r="D192" s="72" t="str">
        <f aca="false">IF(C192="","",IFERROR(INDEX(T_NOMBRE,MATCH(C192,T_ID,0)),"⚠ ID no existe"))</f>
        <v/>
      </c>
      <c r="E192" s="69"/>
      <c r="F192" s="67"/>
      <c r="G192" s="67"/>
      <c r="H192" s="67"/>
      <c r="I192" s="67"/>
      <c r="J192" s="67"/>
      <c r="K192" s="85" t="str">
        <f aca="false">IF(AH192="","",N(F192)+N(G192)+N(H192)-N(I192)+N(J192))</f>
        <v/>
      </c>
      <c r="L192" s="67"/>
      <c r="M192" s="67"/>
      <c r="N192" s="67"/>
      <c r="O192" s="67"/>
      <c r="P192" s="85" t="str">
        <f aca="false">IF(AH192="","",K192+N(L192)+N(M192)+N(N192)+N(O192))</f>
        <v/>
      </c>
      <c r="Q192" s="67"/>
      <c r="R192" s="67"/>
      <c r="S192" s="67"/>
      <c r="T192" s="67"/>
      <c r="U192" s="67"/>
      <c r="V192" s="67"/>
      <c r="W192" s="85" t="str">
        <f aca="false">IF(AH192="","",N(Q192)+N(R192)+N(S192)+N(T192)+N(U192)+N(V192))</f>
        <v/>
      </c>
      <c r="X192" s="85" t="str">
        <f aca="false">IF(AH192="","",P192-W192)</f>
        <v/>
      </c>
      <c r="Y192" s="67"/>
      <c r="Z192" s="70" t="str">
        <f aca="false">IF(OR(AH192="",Y192=""),"",IF(ABS(X192-Y192)&lt;=1,"✓ Cuadra","⚠ Diferencia $"&amp;FIXED(X192-Y192,0)))</f>
        <v/>
      </c>
      <c r="AA192" s="72" t="str">
        <f aca="false">IF(AH192="","",IFERROR(INDEX(C_TIPO,MATCH(C192&amp;"-P"&amp;MAX(1,COUNTIFS(C_ID,C192,C_DEFINE,"Sí",C_INICIO,"&lt;="&amp;EOMONTH(B192,0))),C_CLAVE,0))&amp;"","Sin dato"))</f>
        <v/>
      </c>
      <c r="AB192" s="71" t="str">
        <f aca="false">IF(AH192="","",ROUND(MIN(K192,TOPE_AFP_UF*AJ192)*AK192,0))</f>
        <v/>
      </c>
      <c r="AC192" s="71" t="str">
        <f aca="false">IF(AH192="","",ROUND(MIN(K192,TOPE_AFC_UF*AJ192)*IF(AA192="Indefinido",AFC_EMP_INDEF,AFC_EMP_PF),0))</f>
        <v/>
      </c>
      <c r="AD192" s="71" t="str">
        <f aca="false">IF(AH192="","",ROUND(MIN(K192,TOPE_AFP_UF*AJ192)*(MUTUAL_BASICA+MUTUAL_ADIC+SANNA),0))</f>
        <v/>
      </c>
      <c r="AE192" s="71" t="str">
        <f aca="false">IF(AH192="","",P192-N(N192)+AB192+AC192+AD192)</f>
        <v/>
      </c>
      <c r="AF192" s="65"/>
      <c r="AG192" s="64"/>
      <c r="AH192" s="72" t="str">
        <f aca="false">IF(OR(B192="",C192=""),"",C192&amp;"|"&amp;(YEAR(B192)*100+MONTH(B192)))</f>
        <v/>
      </c>
      <c r="AI192" s="70" t="str">
        <f aca="false">IF(AH192="","",IF(COUNTIF(L_CLAVE,AH192)&gt;1,"⚠ Duplicado","OK"))</f>
        <v/>
      </c>
      <c r="AJ192" s="86" t="str">
        <f aca="false">IF(AH192="","",IF(SUMPRODUCT(MAX((IND_PER&lt;=B192)*(IND_UF&lt;&gt;"")*IND_PER))=0,UF_HOY,INDEX(IND_UF,MATCH(SUMPRODUCT(MAX((IND_PER&lt;=B192)*(IND_UF&lt;&gt;"")*IND_PER)),IND_PER,0))))</f>
        <v/>
      </c>
      <c r="AK192" s="87" t="str">
        <f aca="false">IF(AH192="","",IF(COUNTIF(TASA_DESDE,"&lt;="&amp;B192)=0,INDEX(TASA_EMP,1),INDEX(TASA_EMP,COUNTIF(TASA_DESDE,"&lt;="&amp;B192))))</f>
        <v/>
      </c>
    </row>
    <row r="193" customFormat="false" ht="15" hidden="false" customHeight="false" outlineLevel="0" collapsed="false">
      <c r="B193" s="78"/>
      <c r="C193" s="64"/>
      <c r="D193" s="72" t="str">
        <f aca="false">IF(C193="","",IFERROR(INDEX(T_NOMBRE,MATCH(C193,T_ID,0)),"⚠ ID no existe"))</f>
        <v/>
      </c>
      <c r="E193" s="69"/>
      <c r="F193" s="67"/>
      <c r="G193" s="67"/>
      <c r="H193" s="67"/>
      <c r="I193" s="67"/>
      <c r="J193" s="67"/>
      <c r="K193" s="85" t="str">
        <f aca="false">IF(AH193="","",N(F193)+N(G193)+N(H193)-N(I193)+N(J193))</f>
        <v/>
      </c>
      <c r="L193" s="67"/>
      <c r="M193" s="67"/>
      <c r="N193" s="67"/>
      <c r="O193" s="67"/>
      <c r="P193" s="85" t="str">
        <f aca="false">IF(AH193="","",K193+N(L193)+N(M193)+N(N193)+N(O193))</f>
        <v/>
      </c>
      <c r="Q193" s="67"/>
      <c r="R193" s="67"/>
      <c r="S193" s="67"/>
      <c r="T193" s="67"/>
      <c r="U193" s="67"/>
      <c r="V193" s="67"/>
      <c r="W193" s="85" t="str">
        <f aca="false">IF(AH193="","",N(Q193)+N(R193)+N(S193)+N(T193)+N(U193)+N(V193))</f>
        <v/>
      </c>
      <c r="X193" s="85" t="str">
        <f aca="false">IF(AH193="","",P193-W193)</f>
        <v/>
      </c>
      <c r="Y193" s="67"/>
      <c r="Z193" s="70" t="str">
        <f aca="false">IF(OR(AH193="",Y193=""),"",IF(ABS(X193-Y193)&lt;=1,"✓ Cuadra","⚠ Diferencia $"&amp;FIXED(X193-Y193,0)))</f>
        <v/>
      </c>
      <c r="AA193" s="72" t="str">
        <f aca="false">IF(AH193="","",IFERROR(INDEX(C_TIPO,MATCH(C193&amp;"-P"&amp;MAX(1,COUNTIFS(C_ID,C193,C_DEFINE,"Sí",C_INICIO,"&lt;="&amp;EOMONTH(B193,0))),C_CLAVE,0))&amp;"","Sin dato"))</f>
        <v/>
      </c>
      <c r="AB193" s="71" t="str">
        <f aca="false">IF(AH193="","",ROUND(MIN(K193,TOPE_AFP_UF*AJ193)*AK193,0))</f>
        <v/>
      </c>
      <c r="AC193" s="71" t="str">
        <f aca="false">IF(AH193="","",ROUND(MIN(K193,TOPE_AFC_UF*AJ193)*IF(AA193="Indefinido",AFC_EMP_INDEF,AFC_EMP_PF),0))</f>
        <v/>
      </c>
      <c r="AD193" s="71" t="str">
        <f aca="false">IF(AH193="","",ROUND(MIN(K193,TOPE_AFP_UF*AJ193)*(MUTUAL_BASICA+MUTUAL_ADIC+SANNA),0))</f>
        <v/>
      </c>
      <c r="AE193" s="71" t="str">
        <f aca="false">IF(AH193="","",P193-N(N193)+AB193+AC193+AD193)</f>
        <v/>
      </c>
      <c r="AF193" s="65"/>
      <c r="AG193" s="64"/>
      <c r="AH193" s="72" t="str">
        <f aca="false">IF(OR(B193="",C193=""),"",C193&amp;"|"&amp;(YEAR(B193)*100+MONTH(B193)))</f>
        <v/>
      </c>
      <c r="AI193" s="70" t="str">
        <f aca="false">IF(AH193="","",IF(COUNTIF(L_CLAVE,AH193)&gt;1,"⚠ Duplicado","OK"))</f>
        <v/>
      </c>
      <c r="AJ193" s="86" t="str">
        <f aca="false">IF(AH193="","",IF(SUMPRODUCT(MAX((IND_PER&lt;=B193)*(IND_UF&lt;&gt;"")*IND_PER))=0,UF_HOY,INDEX(IND_UF,MATCH(SUMPRODUCT(MAX((IND_PER&lt;=B193)*(IND_UF&lt;&gt;"")*IND_PER)),IND_PER,0))))</f>
        <v/>
      </c>
      <c r="AK193" s="87" t="str">
        <f aca="false">IF(AH193="","",IF(COUNTIF(TASA_DESDE,"&lt;="&amp;B193)=0,INDEX(TASA_EMP,1),INDEX(TASA_EMP,COUNTIF(TASA_DESDE,"&lt;="&amp;B193))))</f>
        <v/>
      </c>
    </row>
    <row r="194" customFormat="false" ht="15" hidden="false" customHeight="false" outlineLevel="0" collapsed="false">
      <c r="B194" s="78"/>
      <c r="C194" s="64"/>
      <c r="D194" s="72" t="str">
        <f aca="false">IF(C194="","",IFERROR(INDEX(T_NOMBRE,MATCH(C194,T_ID,0)),"⚠ ID no existe"))</f>
        <v/>
      </c>
      <c r="E194" s="69"/>
      <c r="F194" s="67"/>
      <c r="G194" s="67"/>
      <c r="H194" s="67"/>
      <c r="I194" s="67"/>
      <c r="J194" s="67"/>
      <c r="K194" s="85" t="str">
        <f aca="false">IF(AH194="","",N(F194)+N(G194)+N(H194)-N(I194)+N(J194))</f>
        <v/>
      </c>
      <c r="L194" s="67"/>
      <c r="M194" s="67"/>
      <c r="N194" s="67"/>
      <c r="O194" s="67"/>
      <c r="P194" s="85" t="str">
        <f aca="false">IF(AH194="","",K194+N(L194)+N(M194)+N(N194)+N(O194))</f>
        <v/>
      </c>
      <c r="Q194" s="67"/>
      <c r="R194" s="67"/>
      <c r="S194" s="67"/>
      <c r="T194" s="67"/>
      <c r="U194" s="67"/>
      <c r="V194" s="67"/>
      <c r="W194" s="85" t="str">
        <f aca="false">IF(AH194="","",N(Q194)+N(R194)+N(S194)+N(T194)+N(U194)+N(V194))</f>
        <v/>
      </c>
      <c r="X194" s="85" t="str">
        <f aca="false">IF(AH194="","",P194-W194)</f>
        <v/>
      </c>
      <c r="Y194" s="67"/>
      <c r="Z194" s="70" t="str">
        <f aca="false">IF(OR(AH194="",Y194=""),"",IF(ABS(X194-Y194)&lt;=1,"✓ Cuadra","⚠ Diferencia $"&amp;FIXED(X194-Y194,0)))</f>
        <v/>
      </c>
      <c r="AA194" s="72" t="str">
        <f aca="false">IF(AH194="","",IFERROR(INDEX(C_TIPO,MATCH(C194&amp;"-P"&amp;MAX(1,COUNTIFS(C_ID,C194,C_DEFINE,"Sí",C_INICIO,"&lt;="&amp;EOMONTH(B194,0))),C_CLAVE,0))&amp;"","Sin dato"))</f>
        <v/>
      </c>
      <c r="AB194" s="71" t="str">
        <f aca="false">IF(AH194="","",ROUND(MIN(K194,TOPE_AFP_UF*AJ194)*AK194,0))</f>
        <v/>
      </c>
      <c r="AC194" s="71" t="str">
        <f aca="false">IF(AH194="","",ROUND(MIN(K194,TOPE_AFC_UF*AJ194)*IF(AA194="Indefinido",AFC_EMP_INDEF,AFC_EMP_PF),0))</f>
        <v/>
      </c>
      <c r="AD194" s="71" t="str">
        <f aca="false">IF(AH194="","",ROUND(MIN(K194,TOPE_AFP_UF*AJ194)*(MUTUAL_BASICA+MUTUAL_ADIC+SANNA),0))</f>
        <v/>
      </c>
      <c r="AE194" s="71" t="str">
        <f aca="false">IF(AH194="","",P194-N(N194)+AB194+AC194+AD194)</f>
        <v/>
      </c>
      <c r="AF194" s="65"/>
      <c r="AG194" s="64"/>
      <c r="AH194" s="72" t="str">
        <f aca="false">IF(OR(B194="",C194=""),"",C194&amp;"|"&amp;(YEAR(B194)*100+MONTH(B194)))</f>
        <v/>
      </c>
      <c r="AI194" s="70" t="str">
        <f aca="false">IF(AH194="","",IF(COUNTIF(L_CLAVE,AH194)&gt;1,"⚠ Duplicado","OK"))</f>
        <v/>
      </c>
      <c r="AJ194" s="86" t="str">
        <f aca="false">IF(AH194="","",IF(SUMPRODUCT(MAX((IND_PER&lt;=B194)*(IND_UF&lt;&gt;"")*IND_PER))=0,UF_HOY,INDEX(IND_UF,MATCH(SUMPRODUCT(MAX((IND_PER&lt;=B194)*(IND_UF&lt;&gt;"")*IND_PER)),IND_PER,0))))</f>
        <v/>
      </c>
      <c r="AK194" s="87" t="str">
        <f aca="false">IF(AH194="","",IF(COUNTIF(TASA_DESDE,"&lt;="&amp;B194)=0,INDEX(TASA_EMP,1),INDEX(TASA_EMP,COUNTIF(TASA_DESDE,"&lt;="&amp;B194))))</f>
        <v/>
      </c>
    </row>
    <row r="195" customFormat="false" ht="15" hidden="false" customHeight="false" outlineLevel="0" collapsed="false">
      <c r="B195" s="78"/>
      <c r="C195" s="64"/>
      <c r="D195" s="72" t="str">
        <f aca="false">IF(C195="","",IFERROR(INDEX(T_NOMBRE,MATCH(C195,T_ID,0)),"⚠ ID no existe"))</f>
        <v/>
      </c>
      <c r="E195" s="69"/>
      <c r="F195" s="67"/>
      <c r="G195" s="67"/>
      <c r="H195" s="67"/>
      <c r="I195" s="67"/>
      <c r="J195" s="67"/>
      <c r="K195" s="85" t="str">
        <f aca="false">IF(AH195="","",N(F195)+N(G195)+N(H195)-N(I195)+N(J195))</f>
        <v/>
      </c>
      <c r="L195" s="67"/>
      <c r="M195" s="67"/>
      <c r="N195" s="67"/>
      <c r="O195" s="67"/>
      <c r="P195" s="85" t="str">
        <f aca="false">IF(AH195="","",K195+N(L195)+N(M195)+N(N195)+N(O195))</f>
        <v/>
      </c>
      <c r="Q195" s="67"/>
      <c r="R195" s="67"/>
      <c r="S195" s="67"/>
      <c r="T195" s="67"/>
      <c r="U195" s="67"/>
      <c r="V195" s="67"/>
      <c r="W195" s="85" t="str">
        <f aca="false">IF(AH195="","",N(Q195)+N(R195)+N(S195)+N(T195)+N(U195)+N(V195))</f>
        <v/>
      </c>
      <c r="X195" s="85" t="str">
        <f aca="false">IF(AH195="","",P195-W195)</f>
        <v/>
      </c>
      <c r="Y195" s="67"/>
      <c r="Z195" s="70" t="str">
        <f aca="false">IF(OR(AH195="",Y195=""),"",IF(ABS(X195-Y195)&lt;=1,"✓ Cuadra","⚠ Diferencia $"&amp;FIXED(X195-Y195,0)))</f>
        <v/>
      </c>
      <c r="AA195" s="72" t="str">
        <f aca="false">IF(AH195="","",IFERROR(INDEX(C_TIPO,MATCH(C195&amp;"-P"&amp;MAX(1,COUNTIFS(C_ID,C195,C_DEFINE,"Sí",C_INICIO,"&lt;="&amp;EOMONTH(B195,0))),C_CLAVE,0))&amp;"","Sin dato"))</f>
        <v/>
      </c>
      <c r="AB195" s="71" t="str">
        <f aca="false">IF(AH195="","",ROUND(MIN(K195,TOPE_AFP_UF*AJ195)*AK195,0))</f>
        <v/>
      </c>
      <c r="AC195" s="71" t="str">
        <f aca="false">IF(AH195="","",ROUND(MIN(K195,TOPE_AFC_UF*AJ195)*IF(AA195="Indefinido",AFC_EMP_INDEF,AFC_EMP_PF),0))</f>
        <v/>
      </c>
      <c r="AD195" s="71" t="str">
        <f aca="false">IF(AH195="","",ROUND(MIN(K195,TOPE_AFP_UF*AJ195)*(MUTUAL_BASICA+MUTUAL_ADIC+SANNA),0))</f>
        <v/>
      </c>
      <c r="AE195" s="71" t="str">
        <f aca="false">IF(AH195="","",P195-N(N195)+AB195+AC195+AD195)</f>
        <v/>
      </c>
      <c r="AF195" s="65"/>
      <c r="AG195" s="64"/>
      <c r="AH195" s="72" t="str">
        <f aca="false">IF(OR(B195="",C195=""),"",C195&amp;"|"&amp;(YEAR(B195)*100+MONTH(B195)))</f>
        <v/>
      </c>
      <c r="AI195" s="70" t="str">
        <f aca="false">IF(AH195="","",IF(COUNTIF(L_CLAVE,AH195)&gt;1,"⚠ Duplicado","OK"))</f>
        <v/>
      </c>
      <c r="AJ195" s="86" t="str">
        <f aca="false">IF(AH195="","",IF(SUMPRODUCT(MAX((IND_PER&lt;=B195)*(IND_UF&lt;&gt;"")*IND_PER))=0,UF_HOY,INDEX(IND_UF,MATCH(SUMPRODUCT(MAX((IND_PER&lt;=B195)*(IND_UF&lt;&gt;"")*IND_PER)),IND_PER,0))))</f>
        <v/>
      </c>
      <c r="AK195" s="87" t="str">
        <f aca="false">IF(AH195="","",IF(COUNTIF(TASA_DESDE,"&lt;="&amp;B195)=0,INDEX(TASA_EMP,1),INDEX(TASA_EMP,COUNTIF(TASA_DESDE,"&lt;="&amp;B195))))</f>
        <v/>
      </c>
    </row>
    <row r="196" customFormat="false" ht="15" hidden="false" customHeight="false" outlineLevel="0" collapsed="false">
      <c r="B196" s="78"/>
      <c r="C196" s="64"/>
      <c r="D196" s="72" t="str">
        <f aca="false">IF(C196="","",IFERROR(INDEX(T_NOMBRE,MATCH(C196,T_ID,0)),"⚠ ID no existe"))</f>
        <v/>
      </c>
      <c r="E196" s="69"/>
      <c r="F196" s="67"/>
      <c r="G196" s="67"/>
      <c r="H196" s="67"/>
      <c r="I196" s="67"/>
      <c r="J196" s="67"/>
      <c r="K196" s="85" t="str">
        <f aca="false">IF(AH196="","",N(F196)+N(G196)+N(H196)-N(I196)+N(J196))</f>
        <v/>
      </c>
      <c r="L196" s="67"/>
      <c r="M196" s="67"/>
      <c r="N196" s="67"/>
      <c r="O196" s="67"/>
      <c r="P196" s="85" t="str">
        <f aca="false">IF(AH196="","",K196+N(L196)+N(M196)+N(N196)+N(O196))</f>
        <v/>
      </c>
      <c r="Q196" s="67"/>
      <c r="R196" s="67"/>
      <c r="S196" s="67"/>
      <c r="T196" s="67"/>
      <c r="U196" s="67"/>
      <c r="V196" s="67"/>
      <c r="W196" s="85" t="str">
        <f aca="false">IF(AH196="","",N(Q196)+N(R196)+N(S196)+N(T196)+N(U196)+N(V196))</f>
        <v/>
      </c>
      <c r="X196" s="85" t="str">
        <f aca="false">IF(AH196="","",P196-W196)</f>
        <v/>
      </c>
      <c r="Y196" s="67"/>
      <c r="Z196" s="70" t="str">
        <f aca="false">IF(OR(AH196="",Y196=""),"",IF(ABS(X196-Y196)&lt;=1,"✓ Cuadra","⚠ Diferencia $"&amp;FIXED(X196-Y196,0)))</f>
        <v/>
      </c>
      <c r="AA196" s="72" t="str">
        <f aca="false">IF(AH196="","",IFERROR(INDEX(C_TIPO,MATCH(C196&amp;"-P"&amp;MAX(1,COUNTIFS(C_ID,C196,C_DEFINE,"Sí",C_INICIO,"&lt;="&amp;EOMONTH(B196,0))),C_CLAVE,0))&amp;"","Sin dato"))</f>
        <v/>
      </c>
      <c r="AB196" s="71" t="str">
        <f aca="false">IF(AH196="","",ROUND(MIN(K196,TOPE_AFP_UF*AJ196)*AK196,0))</f>
        <v/>
      </c>
      <c r="AC196" s="71" t="str">
        <f aca="false">IF(AH196="","",ROUND(MIN(K196,TOPE_AFC_UF*AJ196)*IF(AA196="Indefinido",AFC_EMP_INDEF,AFC_EMP_PF),0))</f>
        <v/>
      </c>
      <c r="AD196" s="71" t="str">
        <f aca="false">IF(AH196="","",ROUND(MIN(K196,TOPE_AFP_UF*AJ196)*(MUTUAL_BASICA+MUTUAL_ADIC+SANNA),0))</f>
        <v/>
      </c>
      <c r="AE196" s="71" t="str">
        <f aca="false">IF(AH196="","",P196-N(N196)+AB196+AC196+AD196)</f>
        <v/>
      </c>
      <c r="AF196" s="65"/>
      <c r="AG196" s="64"/>
      <c r="AH196" s="72" t="str">
        <f aca="false">IF(OR(B196="",C196=""),"",C196&amp;"|"&amp;(YEAR(B196)*100+MONTH(B196)))</f>
        <v/>
      </c>
      <c r="AI196" s="70" t="str">
        <f aca="false">IF(AH196="","",IF(COUNTIF(L_CLAVE,AH196)&gt;1,"⚠ Duplicado","OK"))</f>
        <v/>
      </c>
      <c r="AJ196" s="86" t="str">
        <f aca="false">IF(AH196="","",IF(SUMPRODUCT(MAX((IND_PER&lt;=B196)*(IND_UF&lt;&gt;"")*IND_PER))=0,UF_HOY,INDEX(IND_UF,MATCH(SUMPRODUCT(MAX((IND_PER&lt;=B196)*(IND_UF&lt;&gt;"")*IND_PER)),IND_PER,0))))</f>
        <v/>
      </c>
      <c r="AK196" s="87" t="str">
        <f aca="false">IF(AH196="","",IF(COUNTIF(TASA_DESDE,"&lt;="&amp;B196)=0,INDEX(TASA_EMP,1),INDEX(TASA_EMP,COUNTIF(TASA_DESDE,"&lt;="&amp;B196))))</f>
        <v/>
      </c>
    </row>
    <row r="197" customFormat="false" ht="15" hidden="false" customHeight="false" outlineLevel="0" collapsed="false">
      <c r="B197" s="78"/>
      <c r="C197" s="64"/>
      <c r="D197" s="72" t="str">
        <f aca="false">IF(C197="","",IFERROR(INDEX(T_NOMBRE,MATCH(C197,T_ID,0)),"⚠ ID no existe"))</f>
        <v/>
      </c>
      <c r="E197" s="69"/>
      <c r="F197" s="67"/>
      <c r="G197" s="67"/>
      <c r="H197" s="67"/>
      <c r="I197" s="67"/>
      <c r="J197" s="67"/>
      <c r="K197" s="85" t="str">
        <f aca="false">IF(AH197="","",N(F197)+N(G197)+N(H197)-N(I197)+N(J197))</f>
        <v/>
      </c>
      <c r="L197" s="67"/>
      <c r="M197" s="67"/>
      <c r="N197" s="67"/>
      <c r="O197" s="67"/>
      <c r="P197" s="85" t="str">
        <f aca="false">IF(AH197="","",K197+N(L197)+N(M197)+N(N197)+N(O197))</f>
        <v/>
      </c>
      <c r="Q197" s="67"/>
      <c r="R197" s="67"/>
      <c r="S197" s="67"/>
      <c r="T197" s="67"/>
      <c r="U197" s="67"/>
      <c r="V197" s="67"/>
      <c r="W197" s="85" t="str">
        <f aca="false">IF(AH197="","",N(Q197)+N(R197)+N(S197)+N(T197)+N(U197)+N(V197))</f>
        <v/>
      </c>
      <c r="X197" s="85" t="str">
        <f aca="false">IF(AH197="","",P197-W197)</f>
        <v/>
      </c>
      <c r="Y197" s="67"/>
      <c r="Z197" s="70" t="str">
        <f aca="false">IF(OR(AH197="",Y197=""),"",IF(ABS(X197-Y197)&lt;=1,"✓ Cuadra","⚠ Diferencia $"&amp;FIXED(X197-Y197,0)))</f>
        <v/>
      </c>
      <c r="AA197" s="72" t="str">
        <f aca="false">IF(AH197="","",IFERROR(INDEX(C_TIPO,MATCH(C197&amp;"-P"&amp;MAX(1,COUNTIFS(C_ID,C197,C_DEFINE,"Sí",C_INICIO,"&lt;="&amp;EOMONTH(B197,0))),C_CLAVE,0))&amp;"","Sin dato"))</f>
        <v/>
      </c>
      <c r="AB197" s="71" t="str">
        <f aca="false">IF(AH197="","",ROUND(MIN(K197,TOPE_AFP_UF*AJ197)*AK197,0))</f>
        <v/>
      </c>
      <c r="AC197" s="71" t="str">
        <f aca="false">IF(AH197="","",ROUND(MIN(K197,TOPE_AFC_UF*AJ197)*IF(AA197="Indefinido",AFC_EMP_INDEF,AFC_EMP_PF),0))</f>
        <v/>
      </c>
      <c r="AD197" s="71" t="str">
        <f aca="false">IF(AH197="","",ROUND(MIN(K197,TOPE_AFP_UF*AJ197)*(MUTUAL_BASICA+MUTUAL_ADIC+SANNA),0))</f>
        <v/>
      </c>
      <c r="AE197" s="71" t="str">
        <f aca="false">IF(AH197="","",P197-N(N197)+AB197+AC197+AD197)</f>
        <v/>
      </c>
      <c r="AF197" s="65"/>
      <c r="AG197" s="64"/>
      <c r="AH197" s="72" t="str">
        <f aca="false">IF(OR(B197="",C197=""),"",C197&amp;"|"&amp;(YEAR(B197)*100+MONTH(B197)))</f>
        <v/>
      </c>
      <c r="AI197" s="70" t="str">
        <f aca="false">IF(AH197="","",IF(COUNTIF(L_CLAVE,AH197)&gt;1,"⚠ Duplicado","OK"))</f>
        <v/>
      </c>
      <c r="AJ197" s="86" t="str">
        <f aca="false">IF(AH197="","",IF(SUMPRODUCT(MAX((IND_PER&lt;=B197)*(IND_UF&lt;&gt;"")*IND_PER))=0,UF_HOY,INDEX(IND_UF,MATCH(SUMPRODUCT(MAX((IND_PER&lt;=B197)*(IND_UF&lt;&gt;"")*IND_PER)),IND_PER,0))))</f>
        <v/>
      </c>
      <c r="AK197" s="87" t="str">
        <f aca="false">IF(AH197="","",IF(COUNTIF(TASA_DESDE,"&lt;="&amp;B197)=0,INDEX(TASA_EMP,1),INDEX(TASA_EMP,COUNTIF(TASA_DESDE,"&lt;="&amp;B197))))</f>
        <v/>
      </c>
    </row>
    <row r="198" customFormat="false" ht="15" hidden="false" customHeight="false" outlineLevel="0" collapsed="false">
      <c r="B198" s="78"/>
      <c r="C198" s="64"/>
      <c r="D198" s="72" t="str">
        <f aca="false">IF(C198="","",IFERROR(INDEX(T_NOMBRE,MATCH(C198,T_ID,0)),"⚠ ID no existe"))</f>
        <v/>
      </c>
      <c r="E198" s="69"/>
      <c r="F198" s="67"/>
      <c r="G198" s="67"/>
      <c r="H198" s="67"/>
      <c r="I198" s="67"/>
      <c r="J198" s="67"/>
      <c r="K198" s="85" t="str">
        <f aca="false">IF(AH198="","",N(F198)+N(G198)+N(H198)-N(I198)+N(J198))</f>
        <v/>
      </c>
      <c r="L198" s="67"/>
      <c r="M198" s="67"/>
      <c r="N198" s="67"/>
      <c r="O198" s="67"/>
      <c r="P198" s="85" t="str">
        <f aca="false">IF(AH198="","",K198+N(L198)+N(M198)+N(N198)+N(O198))</f>
        <v/>
      </c>
      <c r="Q198" s="67"/>
      <c r="R198" s="67"/>
      <c r="S198" s="67"/>
      <c r="T198" s="67"/>
      <c r="U198" s="67"/>
      <c r="V198" s="67"/>
      <c r="W198" s="85" t="str">
        <f aca="false">IF(AH198="","",N(Q198)+N(R198)+N(S198)+N(T198)+N(U198)+N(V198))</f>
        <v/>
      </c>
      <c r="X198" s="85" t="str">
        <f aca="false">IF(AH198="","",P198-W198)</f>
        <v/>
      </c>
      <c r="Y198" s="67"/>
      <c r="Z198" s="70" t="str">
        <f aca="false">IF(OR(AH198="",Y198=""),"",IF(ABS(X198-Y198)&lt;=1,"✓ Cuadra","⚠ Diferencia $"&amp;FIXED(X198-Y198,0)))</f>
        <v/>
      </c>
      <c r="AA198" s="72" t="str">
        <f aca="false">IF(AH198="","",IFERROR(INDEX(C_TIPO,MATCH(C198&amp;"-P"&amp;MAX(1,COUNTIFS(C_ID,C198,C_DEFINE,"Sí",C_INICIO,"&lt;="&amp;EOMONTH(B198,0))),C_CLAVE,0))&amp;"","Sin dato"))</f>
        <v/>
      </c>
      <c r="AB198" s="71" t="str">
        <f aca="false">IF(AH198="","",ROUND(MIN(K198,TOPE_AFP_UF*AJ198)*AK198,0))</f>
        <v/>
      </c>
      <c r="AC198" s="71" t="str">
        <f aca="false">IF(AH198="","",ROUND(MIN(K198,TOPE_AFC_UF*AJ198)*IF(AA198="Indefinido",AFC_EMP_INDEF,AFC_EMP_PF),0))</f>
        <v/>
      </c>
      <c r="AD198" s="71" t="str">
        <f aca="false">IF(AH198="","",ROUND(MIN(K198,TOPE_AFP_UF*AJ198)*(MUTUAL_BASICA+MUTUAL_ADIC+SANNA),0))</f>
        <v/>
      </c>
      <c r="AE198" s="71" t="str">
        <f aca="false">IF(AH198="","",P198-N(N198)+AB198+AC198+AD198)</f>
        <v/>
      </c>
      <c r="AF198" s="65"/>
      <c r="AG198" s="64"/>
      <c r="AH198" s="72" t="str">
        <f aca="false">IF(OR(B198="",C198=""),"",C198&amp;"|"&amp;(YEAR(B198)*100+MONTH(B198)))</f>
        <v/>
      </c>
      <c r="AI198" s="70" t="str">
        <f aca="false">IF(AH198="","",IF(COUNTIF(L_CLAVE,AH198)&gt;1,"⚠ Duplicado","OK"))</f>
        <v/>
      </c>
      <c r="AJ198" s="86" t="str">
        <f aca="false">IF(AH198="","",IF(SUMPRODUCT(MAX((IND_PER&lt;=B198)*(IND_UF&lt;&gt;"")*IND_PER))=0,UF_HOY,INDEX(IND_UF,MATCH(SUMPRODUCT(MAX((IND_PER&lt;=B198)*(IND_UF&lt;&gt;"")*IND_PER)),IND_PER,0))))</f>
        <v/>
      </c>
      <c r="AK198" s="87" t="str">
        <f aca="false">IF(AH198="","",IF(COUNTIF(TASA_DESDE,"&lt;="&amp;B198)=0,INDEX(TASA_EMP,1),INDEX(TASA_EMP,COUNTIF(TASA_DESDE,"&lt;="&amp;B198))))</f>
        <v/>
      </c>
    </row>
    <row r="199" customFormat="false" ht="15" hidden="false" customHeight="false" outlineLevel="0" collapsed="false">
      <c r="B199" s="78"/>
      <c r="C199" s="64"/>
      <c r="D199" s="72" t="str">
        <f aca="false">IF(C199="","",IFERROR(INDEX(T_NOMBRE,MATCH(C199,T_ID,0)),"⚠ ID no existe"))</f>
        <v/>
      </c>
      <c r="E199" s="69"/>
      <c r="F199" s="67"/>
      <c r="G199" s="67"/>
      <c r="H199" s="67"/>
      <c r="I199" s="67"/>
      <c r="J199" s="67"/>
      <c r="K199" s="85" t="str">
        <f aca="false">IF(AH199="","",N(F199)+N(G199)+N(H199)-N(I199)+N(J199))</f>
        <v/>
      </c>
      <c r="L199" s="67"/>
      <c r="M199" s="67"/>
      <c r="N199" s="67"/>
      <c r="O199" s="67"/>
      <c r="P199" s="85" t="str">
        <f aca="false">IF(AH199="","",K199+N(L199)+N(M199)+N(N199)+N(O199))</f>
        <v/>
      </c>
      <c r="Q199" s="67"/>
      <c r="R199" s="67"/>
      <c r="S199" s="67"/>
      <c r="T199" s="67"/>
      <c r="U199" s="67"/>
      <c r="V199" s="67"/>
      <c r="W199" s="85" t="str">
        <f aca="false">IF(AH199="","",N(Q199)+N(R199)+N(S199)+N(T199)+N(U199)+N(V199))</f>
        <v/>
      </c>
      <c r="X199" s="85" t="str">
        <f aca="false">IF(AH199="","",P199-W199)</f>
        <v/>
      </c>
      <c r="Y199" s="67"/>
      <c r="Z199" s="70" t="str">
        <f aca="false">IF(OR(AH199="",Y199=""),"",IF(ABS(X199-Y199)&lt;=1,"✓ Cuadra","⚠ Diferencia $"&amp;FIXED(X199-Y199,0)))</f>
        <v/>
      </c>
      <c r="AA199" s="72" t="str">
        <f aca="false">IF(AH199="","",IFERROR(INDEX(C_TIPO,MATCH(C199&amp;"-P"&amp;MAX(1,COUNTIFS(C_ID,C199,C_DEFINE,"Sí",C_INICIO,"&lt;="&amp;EOMONTH(B199,0))),C_CLAVE,0))&amp;"","Sin dato"))</f>
        <v/>
      </c>
      <c r="AB199" s="71" t="str">
        <f aca="false">IF(AH199="","",ROUND(MIN(K199,TOPE_AFP_UF*AJ199)*AK199,0))</f>
        <v/>
      </c>
      <c r="AC199" s="71" t="str">
        <f aca="false">IF(AH199="","",ROUND(MIN(K199,TOPE_AFC_UF*AJ199)*IF(AA199="Indefinido",AFC_EMP_INDEF,AFC_EMP_PF),0))</f>
        <v/>
      </c>
      <c r="AD199" s="71" t="str">
        <f aca="false">IF(AH199="","",ROUND(MIN(K199,TOPE_AFP_UF*AJ199)*(MUTUAL_BASICA+MUTUAL_ADIC+SANNA),0))</f>
        <v/>
      </c>
      <c r="AE199" s="71" t="str">
        <f aca="false">IF(AH199="","",P199-N(N199)+AB199+AC199+AD199)</f>
        <v/>
      </c>
      <c r="AF199" s="65"/>
      <c r="AG199" s="64"/>
      <c r="AH199" s="72" t="str">
        <f aca="false">IF(OR(B199="",C199=""),"",C199&amp;"|"&amp;(YEAR(B199)*100+MONTH(B199)))</f>
        <v/>
      </c>
      <c r="AI199" s="70" t="str">
        <f aca="false">IF(AH199="","",IF(COUNTIF(L_CLAVE,AH199)&gt;1,"⚠ Duplicado","OK"))</f>
        <v/>
      </c>
      <c r="AJ199" s="86" t="str">
        <f aca="false">IF(AH199="","",IF(SUMPRODUCT(MAX((IND_PER&lt;=B199)*(IND_UF&lt;&gt;"")*IND_PER))=0,UF_HOY,INDEX(IND_UF,MATCH(SUMPRODUCT(MAX((IND_PER&lt;=B199)*(IND_UF&lt;&gt;"")*IND_PER)),IND_PER,0))))</f>
        <v/>
      </c>
      <c r="AK199" s="87" t="str">
        <f aca="false">IF(AH199="","",IF(COUNTIF(TASA_DESDE,"&lt;="&amp;B199)=0,INDEX(TASA_EMP,1),INDEX(TASA_EMP,COUNTIF(TASA_DESDE,"&lt;="&amp;B199))))</f>
        <v/>
      </c>
    </row>
    <row r="200" customFormat="false" ht="15" hidden="false" customHeight="false" outlineLevel="0" collapsed="false">
      <c r="B200" s="78"/>
      <c r="C200" s="64"/>
      <c r="D200" s="72" t="str">
        <f aca="false">IF(C200="","",IFERROR(INDEX(T_NOMBRE,MATCH(C200,T_ID,0)),"⚠ ID no existe"))</f>
        <v/>
      </c>
      <c r="E200" s="69"/>
      <c r="F200" s="67"/>
      <c r="G200" s="67"/>
      <c r="H200" s="67"/>
      <c r="I200" s="67"/>
      <c r="J200" s="67"/>
      <c r="K200" s="85" t="str">
        <f aca="false">IF(AH200="","",N(F200)+N(G200)+N(H200)-N(I200)+N(J200))</f>
        <v/>
      </c>
      <c r="L200" s="67"/>
      <c r="M200" s="67"/>
      <c r="N200" s="67"/>
      <c r="O200" s="67"/>
      <c r="P200" s="85" t="str">
        <f aca="false">IF(AH200="","",K200+N(L200)+N(M200)+N(N200)+N(O200))</f>
        <v/>
      </c>
      <c r="Q200" s="67"/>
      <c r="R200" s="67"/>
      <c r="S200" s="67"/>
      <c r="T200" s="67"/>
      <c r="U200" s="67"/>
      <c r="V200" s="67"/>
      <c r="W200" s="85" t="str">
        <f aca="false">IF(AH200="","",N(Q200)+N(R200)+N(S200)+N(T200)+N(U200)+N(V200))</f>
        <v/>
      </c>
      <c r="X200" s="85" t="str">
        <f aca="false">IF(AH200="","",P200-W200)</f>
        <v/>
      </c>
      <c r="Y200" s="67"/>
      <c r="Z200" s="70" t="str">
        <f aca="false">IF(OR(AH200="",Y200=""),"",IF(ABS(X200-Y200)&lt;=1,"✓ Cuadra","⚠ Diferencia $"&amp;FIXED(X200-Y200,0)))</f>
        <v/>
      </c>
      <c r="AA200" s="72" t="str">
        <f aca="false">IF(AH200="","",IFERROR(INDEX(C_TIPO,MATCH(C200&amp;"-P"&amp;MAX(1,COUNTIFS(C_ID,C200,C_DEFINE,"Sí",C_INICIO,"&lt;="&amp;EOMONTH(B200,0))),C_CLAVE,0))&amp;"","Sin dato"))</f>
        <v/>
      </c>
      <c r="AB200" s="71" t="str">
        <f aca="false">IF(AH200="","",ROUND(MIN(K200,TOPE_AFP_UF*AJ200)*AK200,0))</f>
        <v/>
      </c>
      <c r="AC200" s="71" t="str">
        <f aca="false">IF(AH200="","",ROUND(MIN(K200,TOPE_AFC_UF*AJ200)*IF(AA200="Indefinido",AFC_EMP_INDEF,AFC_EMP_PF),0))</f>
        <v/>
      </c>
      <c r="AD200" s="71" t="str">
        <f aca="false">IF(AH200="","",ROUND(MIN(K200,TOPE_AFP_UF*AJ200)*(MUTUAL_BASICA+MUTUAL_ADIC+SANNA),0))</f>
        <v/>
      </c>
      <c r="AE200" s="71" t="str">
        <f aca="false">IF(AH200="","",P200-N(N200)+AB200+AC200+AD200)</f>
        <v/>
      </c>
      <c r="AF200" s="65"/>
      <c r="AG200" s="64"/>
      <c r="AH200" s="72" t="str">
        <f aca="false">IF(OR(B200="",C200=""),"",C200&amp;"|"&amp;(YEAR(B200)*100+MONTH(B200)))</f>
        <v/>
      </c>
      <c r="AI200" s="70" t="str">
        <f aca="false">IF(AH200="","",IF(COUNTIF(L_CLAVE,AH200)&gt;1,"⚠ Duplicado","OK"))</f>
        <v/>
      </c>
      <c r="AJ200" s="86" t="str">
        <f aca="false">IF(AH200="","",IF(SUMPRODUCT(MAX((IND_PER&lt;=B200)*(IND_UF&lt;&gt;"")*IND_PER))=0,UF_HOY,INDEX(IND_UF,MATCH(SUMPRODUCT(MAX((IND_PER&lt;=B200)*(IND_UF&lt;&gt;"")*IND_PER)),IND_PER,0))))</f>
        <v/>
      </c>
      <c r="AK200" s="87" t="str">
        <f aca="false">IF(AH200="","",IF(COUNTIF(TASA_DESDE,"&lt;="&amp;B200)=0,INDEX(TASA_EMP,1),INDEX(TASA_EMP,COUNTIF(TASA_DESDE,"&lt;="&amp;B200))))</f>
        <v/>
      </c>
    </row>
    <row r="201" customFormat="false" ht="15" hidden="false" customHeight="false" outlineLevel="0" collapsed="false">
      <c r="B201" s="78"/>
      <c r="C201" s="64"/>
      <c r="D201" s="72" t="str">
        <f aca="false">IF(C201="","",IFERROR(INDEX(T_NOMBRE,MATCH(C201,T_ID,0)),"⚠ ID no existe"))</f>
        <v/>
      </c>
      <c r="E201" s="69"/>
      <c r="F201" s="67"/>
      <c r="G201" s="67"/>
      <c r="H201" s="67"/>
      <c r="I201" s="67"/>
      <c r="J201" s="67"/>
      <c r="K201" s="85" t="str">
        <f aca="false">IF(AH201="","",N(F201)+N(G201)+N(H201)-N(I201)+N(J201))</f>
        <v/>
      </c>
      <c r="L201" s="67"/>
      <c r="M201" s="67"/>
      <c r="N201" s="67"/>
      <c r="O201" s="67"/>
      <c r="P201" s="85" t="str">
        <f aca="false">IF(AH201="","",K201+N(L201)+N(M201)+N(N201)+N(O201))</f>
        <v/>
      </c>
      <c r="Q201" s="67"/>
      <c r="R201" s="67"/>
      <c r="S201" s="67"/>
      <c r="T201" s="67"/>
      <c r="U201" s="67"/>
      <c r="V201" s="67"/>
      <c r="W201" s="85" t="str">
        <f aca="false">IF(AH201="","",N(Q201)+N(R201)+N(S201)+N(T201)+N(U201)+N(V201))</f>
        <v/>
      </c>
      <c r="X201" s="85" t="str">
        <f aca="false">IF(AH201="","",P201-W201)</f>
        <v/>
      </c>
      <c r="Y201" s="67"/>
      <c r="Z201" s="70" t="str">
        <f aca="false">IF(OR(AH201="",Y201=""),"",IF(ABS(X201-Y201)&lt;=1,"✓ Cuadra","⚠ Diferencia $"&amp;FIXED(X201-Y201,0)))</f>
        <v/>
      </c>
      <c r="AA201" s="72" t="str">
        <f aca="false">IF(AH201="","",IFERROR(INDEX(C_TIPO,MATCH(C201&amp;"-P"&amp;MAX(1,COUNTIFS(C_ID,C201,C_DEFINE,"Sí",C_INICIO,"&lt;="&amp;EOMONTH(B201,0))),C_CLAVE,0))&amp;"","Sin dato"))</f>
        <v/>
      </c>
      <c r="AB201" s="71" t="str">
        <f aca="false">IF(AH201="","",ROUND(MIN(K201,TOPE_AFP_UF*AJ201)*AK201,0))</f>
        <v/>
      </c>
      <c r="AC201" s="71" t="str">
        <f aca="false">IF(AH201="","",ROUND(MIN(K201,TOPE_AFC_UF*AJ201)*IF(AA201="Indefinido",AFC_EMP_INDEF,AFC_EMP_PF),0))</f>
        <v/>
      </c>
      <c r="AD201" s="71" t="str">
        <f aca="false">IF(AH201="","",ROUND(MIN(K201,TOPE_AFP_UF*AJ201)*(MUTUAL_BASICA+MUTUAL_ADIC+SANNA),0))</f>
        <v/>
      </c>
      <c r="AE201" s="71" t="str">
        <f aca="false">IF(AH201="","",P201-N(N201)+AB201+AC201+AD201)</f>
        <v/>
      </c>
      <c r="AF201" s="65"/>
      <c r="AG201" s="64"/>
      <c r="AH201" s="72" t="str">
        <f aca="false">IF(OR(B201="",C201=""),"",C201&amp;"|"&amp;(YEAR(B201)*100+MONTH(B201)))</f>
        <v/>
      </c>
      <c r="AI201" s="70" t="str">
        <f aca="false">IF(AH201="","",IF(COUNTIF(L_CLAVE,AH201)&gt;1,"⚠ Duplicado","OK"))</f>
        <v/>
      </c>
      <c r="AJ201" s="86" t="str">
        <f aca="false">IF(AH201="","",IF(SUMPRODUCT(MAX((IND_PER&lt;=B201)*(IND_UF&lt;&gt;"")*IND_PER))=0,UF_HOY,INDEX(IND_UF,MATCH(SUMPRODUCT(MAX((IND_PER&lt;=B201)*(IND_UF&lt;&gt;"")*IND_PER)),IND_PER,0))))</f>
        <v/>
      </c>
      <c r="AK201" s="87" t="str">
        <f aca="false">IF(AH201="","",IF(COUNTIF(TASA_DESDE,"&lt;="&amp;B201)=0,INDEX(TASA_EMP,1),INDEX(TASA_EMP,COUNTIF(TASA_DESDE,"&lt;="&amp;B201))))</f>
        <v/>
      </c>
    </row>
    <row r="202" customFormat="false" ht="15" hidden="false" customHeight="false" outlineLevel="0" collapsed="false">
      <c r="B202" s="78"/>
      <c r="C202" s="64"/>
      <c r="D202" s="72" t="str">
        <f aca="false">IF(C202="","",IFERROR(INDEX(T_NOMBRE,MATCH(C202,T_ID,0)),"⚠ ID no existe"))</f>
        <v/>
      </c>
      <c r="E202" s="69"/>
      <c r="F202" s="67"/>
      <c r="G202" s="67"/>
      <c r="H202" s="67"/>
      <c r="I202" s="67"/>
      <c r="J202" s="67"/>
      <c r="K202" s="85" t="str">
        <f aca="false">IF(AH202="","",N(F202)+N(G202)+N(H202)-N(I202)+N(J202))</f>
        <v/>
      </c>
      <c r="L202" s="67"/>
      <c r="M202" s="67"/>
      <c r="N202" s="67"/>
      <c r="O202" s="67"/>
      <c r="P202" s="85" t="str">
        <f aca="false">IF(AH202="","",K202+N(L202)+N(M202)+N(N202)+N(O202))</f>
        <v/>
      </c>
      <c r="Q202" s="67"/>
      <c r="R202" s="67"/>
      <c r="S202" s="67"/>
      <c r="T202" s="67"/>
      <c r="U202" s="67"/>
      <c r="V202" s="67"/>
      <c r="W202" s="85" t="str">
        <f aca="false">IF(AH202="","",N(Q202)+N(R202)+N(S202)+N(T202)+N(U202)+N(V202))</f>
        <v/>
      </c>
      <c r="X202" s="85" t="str">
        <f aca="false">IF(AH202="","",P202-W202)</f>
        <v/>
      </c>
      <c r="Y202" s="67"/>
      <c r="Z202" s="70" t="str">
        <f aca="false">IF(OR(AH202="",Y202=""),"",IF(ABS(X202-Y202)&lt;=1,"✓ Cuadra","⚠ Diferencia $"&amp;FIXED(X202-Y202,0)))</f>
        <v/>
      </c>
      <c r="AA202" s="72" t="str">
        <f aca="false">IF(AH202="","",IFERROR(INDEX(C_TIPO,MATCH(C202&amp;"-P"&amp;MAX(1,COUNTIFS(C_ID,C202,C_DEFINE,"Sí",C_INICIO,"&lt;="&amp;EOMONTH(B202,0))),C_CLAVE,0))&amp;"","Sin dato"))</f>
        <v/>
      </c>
      <c r="AB202" s="71" t="str">
        <f aca="false">IF(AH202="","",ROUND(MIN(K202,TOPE_AFP_UF*AJ202)*AK202,0))</f>
        <v/>
      </c>
      <c r="AC202" s="71" t="str">
        <f aca="false">IF(AH202="","",ROUND(MIN(K202,TOPE_AFC_UF*AJ202)*IF(AA202="Indefinido",AFC_EMP_INDEF,AFC_EMP_PF),0))</f>
        <v/>
      </c>
      <c r="AD202" s="71" t="str">
        <f aca="false">IF(AH202="","",ROUND(MIN(K202,TOPE_AFP_UF*AJ202)*(MUTUAL_BASICA+MUTUAL_ADIC+SANNA),0))</f>
        <v/>
      </c>
      <c r="AE202" s="71" t="str">
        <f aca="false">IF(AH202="","",P202-N(N202)+AB202+AC202+AD202)</f>
        <v/>
      </c>
      <c r="AF202" s="65"/>
      <c r="AG202" s="64"/>
      <c r="AH202" s="72" t="str">
        <f aca="false">IF(OR(B202="",C202=""),"",C202&amp;"|"&amp;(YEAR(B202)*100+MONTH(B202)))</f>
        <v/>
      </c>
      <c r="AI202" s="70" t="str">
        <f aca="false">IF(AH202="","",IF(COUNTIF(L_CLAVE,AH202)&gt;1,"⚠ Duplicado","OK"))</f>
        <v/>
      </c>
      <c r="AJ202" s="86" t="str">
        <f aca="false">IF(AH202="","",IF(SUMPRODUCT(MAX((IND_PER&lt;=B202)*(IND_UF&lt;&gt;"")*IND_PER))=0,UF_HOY,INDEX(IND_UF,MATCH(SUMPRODUCT(MAX((IND_PER&lt;=B202)*(IND_UF&lt;&gt;"")*IND_PER)),IND_PER,0))))</f>
        <v/>
      </c>
      <c r="AK202" s="87" t="str">
        <f aca="false">IF(AH202="","",IF(COUNTIF(TASA_DESDE,"&lt;="&amp;B202)=0,INDEX(TASA_EMP,1),INDEX(TASA_EMP,COUNTIF(TASA_DESDE,"&lt;="&amp;B202))))</f>
        <v/>
      </c>
    </row>
    <row r="203" customFormat="false" ht="15" hidden="false" customHeight="false" outlineLevel="0" collapsed="false">
      <c r="B203" s="78"/>
      <c r="C203" s="64"/>
      <c r="D203" s="72" t="str">
        <f aca="false">IF(C203="","",IFERROR(INDEX(T_NOMBRE,MATCH(C203,T_ID,0)),"⚠ ID no existe"))</f>
        <v/>
      </c>
      <c r="E203" s="69"/>
      <c r="F203" s="67"/>
      <c r="G203" s="67"/>
      <c r="H203" s="67"/>
      <c r="I203" s="67"/>
      <c r="J203" s="67"/>
      <c r="K203" s="85" t="str">
        <f aca="false">IF(AH203="","",N(F203)+N(G203)+N(H203)-N(I203)+N(J203))</f>
        <v/>
      </c>
      <c r="L203" s="67"/>
      <c r="M203" s="67"/>
      <c r="N203" s="67"/>
      <c r="O203" s="67"/>
      <c r="P203" s="85" t="str">
        <f aca="false">IF(AH203="","",K203+N(L203)+N(M203)+N(N203)+N(O203))</f>
        <v/>
      </c>
      <c r="Q203" s="67"/>
      <c r="R203" s="67"/>
      <c r="S203" s="67"/>
      <c r="T203" s="67"/>
      <c r="U203" s="67"/>
      <c r="V203" s="67"/>
      <c r="W203" s="85" t="str">
        <f aca="false">IF(AH203="","",N(Q203)+N(R203)+N(S203)+N(T203)+N(U203)+N(V203))</f>
        <v/>
      </c>
      <c r="X203" s="85" t="str">
        <f aca="false">IF(AH203="","",P203-W203)</f>
        <v/>
      </c>
      <c r="Y203" s="67"/>
      <c r="Z203" s="70" t="str">
        <f aca="false">IF(OR(AH203="",Y203=""),"",IF(ABS(X203-Y203)&lt;=1,"✓ Cuadra","⚠ Diferencia $"&amp;FIXED(X203-Y203,0)))</f>
        <v/>
      </c>
      <c r="AA203" s="72" t="str">
        <f aca="false">IF(AH203="","",IFERROR(INDEX(C_TIPO,MATCH(C203&amp;"-P"&amp;MAX(1,COUNTIFS(C_ID,C203,C_DEFINE,"Sí",C_INICIO,"&lt;="&amp;EOMONTH(B203,0))),C_CLAVE,0))&amp;"","Sin dato"))</f>
        <v/>
      </c>
      <c r="AB203" s="71" t="str">
        <f aca="false">IF(AH203="","",ROUND(MIN(K203,TOPE_AFP_UF*AJ203)*AK203,0))</f>
        <v/>
      </c>
      <c r="AC203" s="71" t="str">
        <f aca="false">IF(AH203="","",ROUND(MIN(K203,TOPE_AFC_UF*AJ203)*IF(AA203="Indefinido",AFC_EMP_INDEF,AFC_EMP_PF),0))</f>
        <v/>
      </c>
      <c r="AD203" s="71" t="str">
        <f aca="false">IF(AH203="","",ROUND(MIN(K203,TOPE_AFP_UF*AJ203)*(MUTUAL_BASICA+MUTUAL_ADIC+SANNA),0))</f>
        <v/>
      </c>
      <c r="AE203" s="71" t="str">
        <f aca="false">IF(AH203="","",P203-N(N203)+AB203+AC203+AD203)</f>
        <v/>
      </c>
      <c r="AF203" s="65"/>
      <c r="AG203" s="64"/>
      <c r="AH203" s="72" t="str">
        <f aca="false">IF(OR(B203="",C203=""),"",C203&amp;"|"&amp;(YEAR(B203)*100+MONTH(B203)))</f>
        <v/>
      </c>
      <c r="AI203" s="70" t="str">
        <f aca="false">IF(AH203="","",IF(COUNTIF(L_CLAVE,AH203)&gt;1,"⚠ Duplicado","OK"))</f>
        <v/>
      </c>
      <c r="AJ203" s="86" t="str">
        <f aca="false">IF(AH203="","",IF(SUMPRODUCT(MAX((IND_PER&lt;=B203)*(IND_UF&lt;&gt;"")*IND_PER))=0,UF_HOY,INDEX(IND_UF,MATCH(SUMPRODUCT(MAX((IND_PER&lt;=B203)*(IND_UF&lt;&gt;"")*IND_PER)),IND_PER,0))))</f>
        <v/>
      </c>
      <c r="AK203" s="87" t="str">
        <f aca="false">IF(AH203="","",IF(COUNTIF(TASA_DESDE,"&lt;="&amp;B203)=0,INDEX(TASA_EMP,1),INDEX(TASA_EMP,COUNTIF(TASA_DESDE,"&lt;="&amp;B203))))</f>
        <v/>
      </c>
    </row>
    <row r="204" customFormat="false" ht="15" hidden="false" customHeight="false" outlineLevel="0" collapsed="false">
      <c r="B204" s="78"/>
      <c r="C204" s="64"/>
      <c r="D204" s="72" t="str">
        <f aca="false">IF(C204="","",IFERROR(INDEX(T_NOMBRE,MATCH(C204,T_ID,0)),"⚠ ID no existe"))</f>
        <v/>
      </c>
      <c r="E204" s="69"/>
      <c r="F204" s="67"/>
      <c r="G204" s="67"/>
      <c r="H204" s="67"/>
      <c r="I204" s="67"/>
      <c r="J204" s="67"/>
      <c r="K204" s="85" t="str">
        <f aca="false">IF(AH204="","",N(F204)+N(G204)+N(H204)-N(I204)+N(J204))</f>
        <v/>
      </c>
      <c r="L204" s="67"/>
      <c r="M204" s="67"/>
      <c r="N204" s="67"/>
      <c r="O204" s="67"/>
      <c r="P204" s="85" t="str">
        <f aca="false">IF(AH204="","",K204+N(L204)+N(M204)+N(N204)+N(O204))</f>
        <v/>
      </c>
      <c r="Q204" s="67"/>
      <c r="R204" s="67"/>
      <c r="S204" s="67"/>
      <c r="T204" s="67"/>
      <c r="U204" s="67"/>
      <c r="V204" s="67"/>
      <c r="W204" s="85" t="str">
        <f aca="false">IF(AH204="","",N(Q204)+N(R204)+N(S204)+N(T204)+N(U204)+N(V204))</f>
        <v/>
      </c>
      <c r="X204" s="85" t="str">
        <f aca="false">IF(AH204="","",P204-W204)</f>
        <v/>
      </c>
      <c r="Y204" s="67"/>
      <c r="Z204" s="70" t="str">
        <f aca="false">IF(OR(AH204="",Y204=""),"",IF(ABS(X204-Y204)&lt;=1,"✓ Cuadra","⚠ Diferencia $"&amp;FIXED(X204-Y204,0)))</f>
        <v/>
      </c>
      <c r="AA204" s="72" t="str">
        <f aca="false">IF(AH204="","",IFERROR(INDEX(C_TIPO,MATCH(C204&amp;"-P"&amp;MAX(1,COUNTIFS(C_ID,C204,C_DEFINE,"Sí",C_INICIO,"&lt;="&amp;EOMONTH(B204,0))),C_CLAVE,0))&amp;"","Sin dato"))</f>
        <v/>
      </c>
      <c r="AB204" s="71" t="str">
        <f aca="false">IF(AH204="","",ROUND(MIN(K204,TOPE_AFP_UF*AJ204)*AK204,0))</f>
        <v/>
      </c>
      <c r="AC204" s="71" t="str">
        <f aca="false">IF(AH204="","",ROUND(MIN(K204,TOPE_AFC_UF*AJ204)*IF(AA204="Indefinido",AFC_EMP_INDEF,AFC_EMP_PF),0))</f>
        <v/>
      </c>
      <c r="AD204" s="71" t="str">
        <f aca="false">IF(AH204="","",ROUND(MIN(K204,TOPE_AFP_UF*AJ204)*(MUTUAL_BASICA+MUTUAL_ADIC+SANNA),0))</f>
        <v/>
      </c>
      <c r="AE204" s="71" t="str">
        <f aca="false">IF(AH204="","",P204-N(N204)+AB204+AC204+AD204)</f>
        <v/>
      </c>
      <c r="AF204" s="65"/>
      <c r="AG204" s="64"/>
      <c r="AH204" s="72" t="str">
        <f aca="false">IF(OR(B204="",C204=""),"",C204&amp;"|"&amp;(YEAR(B204)*100+MONTH(B204)))</f>
        <v/>
      </c>
      <c r="AI204" s="70" t="str">
        <f aca="false">IF(AH204="","",IF(COUNTIF(L_CLAVE,AH204)&gt;1,"⚠ Duplicado","OK"))</f>
        <v/>
      </c>
      <c r="AJ204" s="86" t="str">
        <f aca="false">IF(AH204="","",IF(SUMPRODUCT(MAX((IND_PER&lt;=B204)*(IND_UF&lt;&gt;"")*IND_PER))=0,UF_HOY,INDEX(IND_UF,MATCH(SUMPRODUCT(MAX((IND_PER&lt;=B204)*(IND_UF&lt;&gt;"")*IND_PER)),IND_PER,0))))</f>
        <v/>
      </c>
      <c r="AK204" s="87" t="str">
        <f aca="false">IF(AH204="","",IF(COUNTIF(TASA_DESDE,"&lt;="&amp;B204)=0,INDEX(TASA_EMP,1),INDEX(TASA_EMP,COUNTIF(TASA_DESDE,"&lt;="&amp;B204))))</f>
        <v/>
      </c>
    </row>
    <row r="205" customFormat="false" ht="15" hidden="false" customHeight="false" outlineLevel="0" collapsed="false">
      <c r="B205" s="78"/>
      <c r="C205" s="64"/>
      <c r="D205" s="72" t="str">
        <f aca="false">IF(C205="","",IFERROR(INDEX(T_NOMBRE,MATCH(C205,T_ID,0)),"⚠ ID no existe"))</f>
        <v/>
      </c>
      <c r="E205" s="69"/>
      <c r="F205" s="67"/>
      <c r="G205" s="67"/>
      <c r="H205" s="67"/>
      <c r="I205" s="67"/>
      <c r="J205" s="67"/>
      <c r="K205" s="85" t="str">
        <f aca="false">IF(AH205="","",N(F205)+N(G205)+N(H205)-N(I205)+N(J205))</f>
        <v/>
      </c>
      <c r="L205" s="67"/>
      <c r="M205" s="67"/>
      <c r="N205" s="67"/>
      <c r="O205" s="67"/>
      <c r="P205" s="85" t="str">
        <f aca="false">IF(AH205="","",K205+N(L205)+N(M205)+N(N205)+N(O205))</f>
        <v/>
      </c>
      <c r="Q205" s="67"/>
      <c r="R205" s="67"/>
      <c r="S205" s="67"/>
      <c r="T205" s="67"/>
      <c r="U205" s="67"/>
      <c r="V205" s="67"/>
      <c r="W205" s="85" t="str">
        <f aca="false">IF(AH205="","",N(Q205)+N(R205)+N(S205)+N(T205)+N(U205)+N(V205))</f>
        <v/>
      </c>
      <c r="X205" s="85" t="str">
        <f aca="false">IF(AH205="","",P205-W205)</f>
        <v/>
      </c>
      <c r="Y205" s="67"/>
      <c r="Z205" s="70" t="str">
        <f aca="false">IF(OR(AH205="",Y205=""),"",IF(ABS(X205-Y205)&lt;=1,"✓ Cuadra","⚠ Diferencia $"&amp;FIXED(X205-Y205,0)))</f>
        <v/>
      </c>
      <c r="AA205" s="72" t="str">
        <f aca="false">IF(AH205="","",IFERROR(INDEX(C_TIPO,MATCH(C205&amp;"-P"&amp;MAX(1,COUNTIFS(C_ID,C205,C_DEFINE,"Sí",C_INICIO,"&lt;="&amp;EOMONTH(B205,0))),C_CLAVE,0))&amp;"","Sin dato"))</f>
        <v/>
      </c>
      <c r="AB205" s="71" t="str">
        <f aca="false">IF(AH205="","",ROUND(MIN(K205,TOPE_AFP_UF*AJ205)*AK205,0))</f>
        <v/>
      </c>
      <c r="AC205" s="71" t="str">
        <f aca="false">IF(AH205="","",ROUND(MIN(K205,TOPE_AFC_UF*AJ205)*IF(AA205="Indefinido",AFC_EMP_INDEF,AFC_EMP_PF),0))</f>
        <v/>
      </c>
      <c r="AD205" s="71" t="str">
        <f aca="false">IF(AH205="","",ROUND(MIN(K205,TOPE_AFP_UF*AJ205)*(MUTUAL_BASICA+MUTUAL_ADIC+SANNA),0))</f>
        <v/>
      </c>
      <c r="AE205" s="71" t="str">
        <f aca="false">IF(AH205="","",P205-N(N205)+AB205+AC205+AD205)</f>
        <v/>
      </c>
      <c r="AF205" s="65"/>
      <c r="AG205" s="64"/>
      <c r="AH205" s="72" t="str">
        <f aca="false">IF(OR(B205="",C205=""),"",C205&amp;"|"&amp;(YEAR(B205)*100+MONTH(B205)))</f>
        <v/>
      </c>
      <c r="AI205" s="70" t="str">
        <f aca="false">IF(AH205="","",IF(COUNTIF(L_CLAVE,AH205)&gt;1,"⚠ Duplicado","OK"))</f>
        <v/>
      </c>
      <c r="AJ205" s="86" t="str">
        <f aca="false">IF(AH205="","",IF(SUMPRODUCT(MAX((IND_PER&lt;=B205)*(IND_UF&lt;&gt;"")*IND_PER))=0,UF_HOY,INDEX(IND_UF,MATCH(SUMPRODUCT(MAX((IND_PER&lt;=B205)*(IND_UF&lt;&gt;"")*IND_PER)),IND_PER,0))))</f>
        <v/>
      </c>
      <c r="AK205" s="87" t="str">
        <f aca="false">IF(AH205="","",IF(COUNTIF(TASA_DESDE,"&lt;="&amp;B205)=0,INDEX(TASA_EMP,1),INDEX(TASA_EMP,COUNTIF(TASA_DESDE,"&lt;="&amp;B205))))</f>
        <v/>
      </c>
    </row>
    <row r="206" customFormat="false" ht="15" hidden="false" customHeight="false" outlineLevel="0" collapsed="false">
      <c r="B206" s="78"/>
      <c r="C206" s="64"/>
      <c r="D206" s="72" t="str">
        <f aca="false">IF(C206="","",IFERROR(INDEX(T_NOMBRE,MATCH(C206,T_ID,0)),"⚠ ID no existe"))</f>
        <v/>
      </c>
      <c r="E206" s="69"/>
      <c r="F206" s="67"/>
      <c r="G206" s="67"/>
      <c r="H206" s="67"/>
      <c r="I206" s="67"/>
      <c r="J206" s="67"/>
      <c r="K206" s="85" t="str">
        <f aca="false">IF(AH206="","",N(F206)+N(G206)+N(H206)-N(I206)+N(J206))</f>
        <v/>
      </c>
      <c r="L206" s="67"/>
      <c r="M206" s="67"/>
      <c r="N206" s="67"/>
      <c r="O206" s="67"/>
      <c r="P206" s="85" t="str">
        <f aca="false">IF(AH206="","",K206+N(L206)+N(M206)+N(N206)+N(O206))</f>
        <v/>
      </c>
      <c r="Q206" s="67"/>
      <c r="R206" s="67"/>
      <c r="S206" s="67"/>
      <c r="T206" s="67"/>
      <c r="U206" s="67"/>
      <c r="V206" s="67"/>
      <c r="W206" s="85" t="str">
        <f aca="false">IF(AH206="","",N(Q206)+N(R206)+N(S206)+N(T206)+N(U206)+N(V206))</f>
        <v/>
      </c>
      <c r="X206" s="85" t="str">
        <f aca="false">IF(AH206="","",P206-W206)</f>
        <v/>
      </c>
      <c r="Y206" s="67"/>
      <c r="Z206" s="70" t="str">
        <f aca="false">IF(OR(AH206="",Y206=""),"",IF(ABS(X206-Y206)&lt;=1,"✓ Cuadra","⚠ Diferencia $"&amp;FIXED(X206-Y206,0)))</f>
        <v/>
      </c>
      <c r="AA206" s="72" t="str">
        <f aca="false">IF(AH206="","",IFERROR(INDEX(C_TIPO,MATCH(C206&amp;"-P"&amp;MAX(1,COUNTIFS(C_ID,C206,C_DEFINE,"Sí",C_INICIO,"&lt;="&amp;EOMONTH(B206,0))),C_CLAVE,0))&amp;"","Sin dato"))</f>
        <v/>
      </c>
      <c r="AB206" s="71" t="str">
        <f aca="false">IF(AH206="","",ROUND(MIN(K206,TOPE_AFP_UF*AJ206)*AK206,0))</f>
        <v/>
      </c>
      <c r="AC206" s="71" t="str">
        <f aca="false">IF(AH206="","",ROUND(MIN(K206,TOPE_AFC_UF*AJ206)*IF(AA206="Indefinido",AFC_EMP_INDEF,AFC_EMP_PF),0))</f>
        <v/>
      </c>
      <c r="AD206" s="71" t="str">
        <f aca="false">IF(AH206="","",ROUND(MIN(K206,TOPE_AFP_UF*AJ206)*(MUTUAL_BASICA+MUTUAL_ADIC+SANNA),0))</f>
        <v/>
      </c>
      <c r="AE206" s="71" t="str">
        <f aca="false">IF(AH206="","",P206-N(N206)+AB206+AC206+AD206)</f>
        <v/>
      </c>
      <c r="AF206" s="65"/>
      <c r="AG206" s="64"/>
      <c r="AH206" s="72" t="str">
        <f aca="false">IF(OR(B206="",C206=""),"",C206&amp;"|"&amp;(YEAR(B206)*100+MONTH(B206)))</f>
        <v/>
      </c>
      <c r="AI206" s="70" t="str">
        <f aca="false">IF(AH206="","",IF(COUNTIF(L_CLAVE,AH206)&gt;1,"⚠ Duplicado","OK"))</f>
        <v/>
      </c>
      <c r="AJ206" s="86" t="str">
        <f aca="false">IF(AH206="","",IF(SUMPRODUCT(MAX((IND_PER&lt;=B206)*(IND_UF&lt;&gt;"")*IND_PER))=0,UF_HOY,INDEX(IND_UF,MATCH(SUMPRODUCT(MAX((IND_PER&lt;=B206)*(IND_UF&lt;&gt;"")*IND_PER)),IND_PER,0))))</f>
        <v/>
      </c>
      <c r="AK206" s="87" t="str">
        <f aca="false">IF(AH206="","",IF(COUNTIF(TASA_DESDE,"&lt;="&amp;B206)=0,INDEX(TASA_EMP,1),INDEX(TASA_EMP,COUNTIF(TASA_DESDE,"&lt;="&amp;B206))))</f>
        <v/>
      </c>
    </row>
    <row r="207" customFormat="false" ht="15" hidden="false" customHeight="false" outlineLevel="0" collapsed="false">
      <c r="B207" s="78"/>
      <c r="C207" s="64"/>
      <c r="D207" s="72" t="str">
        <f aca="false">IF(C207="","",IFERROR(INDEX(T_NOMBRE,MATCH(C207,T_ID,0)),"⚠ ID no existe"))</f>
        <v/>
      </c>
      <c r="E207" s="69"/>
      <c r="F207" s="67"/>
      <c r="G207" s="67"/>
      <c r="H207" s="67"/>
      <c r="I207" s="67"/>
      <c r="J207" s="67"/>
      <c r="K207" s="85" t="str">
        <f aca="false">IF(AH207="","",N(F207)+N(G207)+N(H207)-N(I207)+N(J207))</f>
        <v/>
      </c>
      <c r="L207" s="67"/>
      <c r="M207" s="67"/>
      <c r="N207" s="67"/>
      <c r="O207" s="67"/>
      <c r="P207" s="85" t="str">
        <f aca="false">IF(AH207="","",K207+N(L207)+N(M207)+N(N207)+N(O207))</f>
        <v/>
      </c>
      <c r="Q207" s="67"/>
      <c r="R207" s="67"/>
      <c r="S207" s="67"/>
      <c r="T207" s="67"/>
      <c r="U207" s="67"/>
      <c r="V207" s="67"/>
      <c r="W207" s="85" t="str">
        <f aca="false">IF(AH207="","",N(Q207)+N(R207)+N(S207)+N(T207)+N(U207)+N(V207))</f>
        <v/>
      </c>
      <c r="X207" s="85" t="str">
        <f aca="false">IF(AH207="","",P207-W207)</f>
        <v/>
      </c>
      <c r="Y207" s="67"/>
      <c r="Z207" s="70" t="str">
        <f aca="false">IF(OR(AH207="",Y207=""),"",IF(ABS(X207-Y207)&lt;=1,"✓ Cuadra","⚠ Diferencia $"&amp;FIXED(X207-Y207,0)))</f>
        <v/>
      </c>
      <c r="AA207" s="72" t="str">
        <f aca="false">IF(AH207="","",IFERROR(INDEX(C_TIPO,MATCH(C207&amp;"-P"&amp;MAX(1,COUNTIFS(C_ID,C207,C_DEFINE,"Sí",C_INICIO,"&lt;="&amp;EOMONTH(B207,0))),C_CLAVE,0))&amp;"","Sin dato"))</f>
        <v/>
      </c>
      <c r="AB207" s="71" t="str">
        <f aca="false">IF(AH207="","",ROUND(MIN(K207,TOPE_AFP_UF*AJ207)*AK207,0))</f>
        <v/>
      </c>
      <c r="AC207" s="71" t="str">
        <f aca="false">IF(AH207="","",ROUND(MIN(K207,TOPE_AFC_UF*AJ207)*IF(AA207="Indefinido",AFC_EMP_INDEF,AFC_EMP_PF),0))</f>
        <v/>
      </c>
      <c r="AD207" s="71" t="str">
        <f aca="false">IF(AH207="","",ROUND(MIN(K207,TOPE_AFP_UF*AJ207)*(MUTUAL_BASICA+MUTUAL_ADIC+SANNA),0))</f>
        <v/>
      </c>
      <c r="AE207" s="71" t="str">
        <f aca="false">IF(AH207="","",P207-N(N207)+AB207+AC207+AD207)</f>
        <v/>
      </c>
      <c r="AF207" s="65"/>
      <c r="AG207" s="64"/>
      <c r="AH207" s="72" t="str">
        <f aca="false">IF(OR(B207="",C207=""),"",C207&amp;"|"&amp;(YEAR(B207)*100+MONTH(B207)))</f>
        <v/>
      </c>
      <c r="AI207" s="70" t="str">
        <f aca="false">IF(AH207="","",IF(COUNTIF(L_CLAVE,AH207)&gt;1,"⚠ Duplicado","OK"))</f>
        <v/>
      </c>
      <c r="AJ207" s="86" t="str">
        <f aca="false">IF(AH207="","",IF(SUMPRODUCT(MAX((IND_PER&lt;=B207)*(IND_UF&lt;&gt;"")*IND_PER))=0,UF_HOY,INDEX(IND_UF,MATCH(SUMPRODUCT(MAX((IND_PER&lt;=B207)*(IND_UF&lt;&gt;"")*IND_PER)),IND_PER,0))))</f>
        <v/>
      </c>
      <c r="AK207" s="87" t="str">
        <f aca="false">IF(AH207="","",IF(COUNTIF(TASA_DESDE,"&lt;="&amp;B207)=0,INDEX(TASA_EMP,1),INDEX(TASA_EMP,COUNTIF(TASA_DESDE,"&lt;="&amp;B207))))</f>
        <v/>
      </c>
    </row>
    <row r="208" customFormat="false" ht="15" hidden="false" customHeight="false" outlineLevel="0" collapsed="false">
      <c r="B208" s="78"/>
      <c r="C208" s="64"/>
      <c r="D208" s="72" t="str">
        <f aca="false">IF(C208="","",IFERROR(INDEX(T_NOMBRE,MATCH(C208,T_ID,0)),"⚠ ID no existe"))</f>
        <v/>
      </c>
      <c r="E208" s="69"/>
      <c r="F208" s="67"/>
      <c r="G208" s="67"/>
      <c r="H208" s="67"/>
      <c r="I208" s="67"/>
      <c r="J208" s="67"/>
      <c r="K208" s="85" t="str">
        <f aca="false">IF(AH208="","",N(F208)+N(G208)+N(H208)-N(I208)+N(J208))</f>
        <v/>
      </c>
      <c r="L208" s="67"/>
      <c r="M208" s="67"/>
      <c r="N208" s="67"/>
      <c r="O208" s="67"/>
      <c r="P208" s="85" t="str">
        <f aca="false">IF(AH208="","",K208+N(L208)+N(M208)+N(N208)+N(O208))</f>
        <v/>
      </c>
      <c r="Q208" s="67"/>
      <c r="R208" s="67"/>
      <c r="S208" s="67"/>
      <c r="T208" s="67"/>
      <c r="U208" s="67"/>
      <c r="V208" s="67"/>
      <c r="W208" s="85" t="str">
        <f aca="false">IF(AH208="","",N(Q208)+N(R208)+N(S208)+N(T208)+N(U208)+N(V208))</f>
        <v/>
      </c>
      <c r="X208" s="85" t="str">
        <f aca="false">IF(AH208="","",P208-W208)</f>
        <v/>
      </c>
      <c r="Y208" s="67"/>
      <c r="Z208" s="70" t="str">
        <f aca="false">IF(OR(AH208="",Y208=""),"",IF(ABS(X208-Y208)&lt;=1,"✓ Cuadra","⚠ Diferencia $"&amp;FIXED(X208-Y208,0)))</f>
        <v/>
      </c>
      <c r="AA208" s="72" t="str">
        <f aca="false">IF(AH208="","",IFERROR(INDEX(C_TIPO,MATCH(C208&amp;"-P"&amp;MAX(1,COUNTIFS(C_ID,C208,C_DEFINE,"Sí",C_INICIO,"&lt;="&amp;EOMONTH(B208,0))),C_CLAVE,0))&amp;"","Sin dato"))</f>
        <v/>
      </c>
      <c r="AB208" s="71" t="str">
        <f aca="false">IF(AH208="","",ROUND(MIN(K208,TOPE_AFP_UF*AJ208)*AK208,0))</f>
        <v/>
      </c>
      <c r="AC208" s="71" t="str">
        <f aca="false">IF(AH208="","",ROUND(MIN(K208,TOPE_AFC_UF*AJ208)*IF(AA208="Indefinido",AFC_EMP_INDEF,AFC_EMP_PF),0))</f>
        <v/>
      </c>
      <c r="AD208" s="71" t="str">
        <f aca="false">IF(AH208="","",ROUND(MIN(K208,TOPE_AFP_UF*AJ208)*(MUTUAL_BASICA+MUTUAL_ADIC+SANNA),0))</f>
        <v/>
      </c>
      <c r="AE208" s="71" t="str">
        <f aca="false">IF(AH208="","",P208-N(N208)+AB208+AC208+AD208)</f>
        <v/>
      </c>
      <c r="AF208" s="65"/>
      <c r="AG208" s="64"/>
      <c r="AH208" s="72" t="str">
        <f aca="false">IF(OR(B208="",C208=""),"",C208&amp;"|"&amp;(YEAR(B208)*100+MONTH(B208)))</f>
        <v/>
      </c>
      <c r="AI208" s="70" t="str">
        <f aca="false">IF(AH208="","",IF(COUNTIF(L_CLAVE,AH208)&gt;1,"⚠ Duplicado","OK"))</f>
        <v/>
      </c>
      <c r="AJ208" s="86" t="str">
        <f aca="false">IF(AH208="","",IF(SUMPRODUCT(MAX((IND_PER&lt;=B208)*(IND_UF&lt;&gt;"")*IND_PER))=0,UF_HOY,INDEX(IND_UF,MATCH(SUMPRODUCT(MAX((IND_PER&lt;=B208)*(IND_UF&lt;&gt;"")*IND_PER)),IND_PER,0))))</f>
        <v/>
      </c>
      <c r="AK208" s="87" t="str">
        <f aca="false">IF(AH208="","",IF(COUNTIF(TASA_DESDE,"&lt;="&amp;B208)=0,INDEX(TASA_EMP,1),INDEX(TASA_EMP,COUNTIF(TASA_DESDE,"&lt;="&amp;B208))))</f>
        <v/>
      </c>
    </row>
    <row r="209" customFormat="false" ht="15" hidden="false" customHeight="false" outlineLevel="0" collapsed="false">
      <c r="B209" s="78"/>
      <c r="C209" s="64"/>
      <c r="D209" s="72" t="str">
        <f aca="false">IF(C209="","",IFERROR(INDEX(T_NOMBRE,MATCH(C209,T_ID,0)),"⚠ ID no existe"))</f>
        <v/>
      </c>
      <c r="E209" s="69"/>
      <c r="F209" s="67"/>
      <c r="G209" s="67"/>
      <c r="H209" s="67"/>
      <c r="I209" s="67"/>
      <c r="J209" s="67"/>
      <c r="K209" s="85" t="str">
        <f aca="false">IF(AH209="","",N(F209)+N(G209)+N(H209)-N(I209)+N(J209))</f>
        <v/>
      </c>
      <c r="L209" s="67"/>
      <c r="M209" s="67"/>
      <c r="N209" s="67"/>
      <c r="O209" s="67"/>
      <c r="P209" s="85" t="str">
        <f aca="false">IF(AH209="","",K209+N(L209)+N(M209)+N(N209)+N(O209))</f>
        <v/>
      </c>
      <c r="Q209" s="67"/>
      <c r="R209" s="67"/>
      <c r="S209" s="67"/>
      <c r="T209" s="67"/>
      <c r="U209" s="67"/>
      <c r="V209" s="67"/>
      <c r="W209" s="85" t="str">
        <f aca="false">IF(AH209="","",N(Q209)+N(R209)+N(S209)+N(T209)+N(U209)+N(V209))</f>
        <v/>
      </c>
      <c r="X209" s="85" t="str">
        <f aca="false">IF(AH209="","",P209-W209)</f>
        <v/>
      </c>
      <c r="Y209" s="67"/>
      <c r="Z209" s="70" t="str">
        <f aca="false">IF(OR(AH209="",Y209=""),"",IF(ABS(X209-Y209)&lt;=1,"✓ Cuadra","⚠ Diferencia $"&amp;FIXED(X209-Y209,0)))</f>
        <v/>
      </c>
      <c r="AA209" s="72" t="str">
        <f aca="false">IF(AH209="","",IFERROR(INDEX(C_TIPO,MATCH(C209&amp;"-P"&amp;MAX(1,COUNTIFS(C_ID,C209,C_DEFINE,"Sí",C_INICIO,"&lt;="&amp;EOMONTH(B209,0))),C_CLAVE,0))&amp;"","Sin dato"))</f>
        <v/>
      </c>
      <c r="AB209" s="71" t="str">
        <f aca="false">IF(AH209="","",ROUND(MIN(K209,TOPE_AFP_UF*AJ209)*AK209,0))</f>
        <v/>
      </c>
      <c r="AC209" s="71" t="str">
        <f aca="false">IF(AH209="","",ROUND(MIN(K209,TOPE_AFC_UF*AJ209)*IF(AA209="Indefinido",AFC_EMP_INDEF,AFC_EMP_PF),0))</f>
        <v/>
      </c>
      <c r="AD209" s="71" t="str">
        <f aca="false">IF(AH209="","",ROUND(MIN(K209,TOPE_AFP_UF*AJ209)*(MUTUAL_BASICA+MUTUAL_ADIC+SANNA),0))</f>
        <v/>
      </c>
      <c r="AE209" s="71" t="str">
        <f aca="false">IF(AH209="","",P209-N(N209)+AB209+AC209+AD209)</f>
        <v/>
      </c>
      <c r="AF209" s="65"/>
      <c r="AG209" s="64"/>
      <c r="AH209" s="72" t="str">
        <f aca="false">IF(OR(B209="",C209=""),"",C209&amp;"|"&amp;(YEAR(B209)*100+MONTH(B209)))</f>
        <v/>
      </c>
      <c r="AI209" s="70" t="str">
        <f aca="false">IF(AH209="","",IF(COUNTIF(L_CLAVE,AH209)&gt;1,"⚠ Duplicado","OK"))</f>
        <v/>
      </c>
      <c r="AJ209" s="86" t="str">
        <f aca="false">IF(AH209="","",IF(SUMPRODUCT(MAX((IND_PER&lt;=B209)*(IND_UF&lt;&gt;"")*IND_PER))=0,UF_HOY,INDEX(IND_UF,MATCH(SUMPRODUCT(MAX((IND_PER&lt;=B209)*(IND_UF&lt;&gt;"")*IND_PER)),IND_PER,0))))</f>
        <v/>
      </c>
      <c r="AK209" s="87" t="str">
        <f aca="false">IF(AH209="","",IF(COUNTIF(TASA_DESDE,"&lt;="&amp;B209)=0,INDEX(TASA_EMP,1),INDEX(TASA_EMP,COUNTIF(TASA_DESDE,"&lt;="&amp;B209))))</f>
        <v/>
      </c>
    </row>
    <row r="210" customFormat="false" ht="15" hidden="false" customHeight="false" outlineLevel="0" collapsed="false">
      <c r="B210" s="78"/>
      <c r="C210" s="64"/>
      <c r="D210" s="72" t="str">
        <f aca="false">IF(C210="","",IFERROR(INDEX(T_NOMBRE,MATCH(C210,T_ID,0)),"⚠ ID no existe"))</f>
        <v/>
      </c>
      <c r="E210" s="69"/>
      <c r="F210" s="67"/>
      <c r="G210" s="67"/>
      <c r="H210" s="67"/>
      <c r="I210" s="67"/>
      <c r="J210" s="67"/>
      <c r="K210" s="85" t="str">
        <f aca="false">IF(AH210="","",N(F210)+N(G210)+N(H210)-N(I210)+N(J210))</f>
        <v/>
      </c>
      <c r="L210" s="67"/>
      <c r="M210" s="67"/>
      <c r="N210" s="67"/>
      <c r="O210" s="67"/>
      <c r="P210" s="85" t="str">
        <f aca="false">IF(AH210="","",K210+N(L210)+N(M210)+N(N210)+N(O210))</f>
        <v/>
      </c>
      <c r="Q210" s="67"/>
      <c r="R210" s="67"/>
      <c r="S210" s="67"/>
      <c r="T210" s="67"/>
      <c r="U210" s="67"/>
      <c r="V210" s="67"/>
      <c r="W210" s="85" t="str">
        <f aca="false">IF(AH210="","",N(Q210)+N(R210)+N(S210)+N(T210)+N(U210)+N(V210))</f>
        <v/>
      </c>
      <c r="X210" s="85" t="str">
        <f aca="false">IF(AH210="","",P210-W210)</f>
        <v/>
      </c>
      <c r="Y210" s="67"/>
      <c r="Z210" s="70" t="str">
        <f aca="false">IF(OR(AH210="",Y210=""),"",IF(ABS(X210-Y210)&lt;=1,"✓ Cuadra","⚠ Diferencia $"&amp;FIXED(X210-Y210,0)))</f>
        <v/>
      </c>
      <c r="AA210" s="72" t="str">
        <f aca="false">IF(AH210="","",IFERROR(INDEX(C_TIPO,MATCH(C210&amp;"-P"&amp;MAX(1,COUNTIFS(C_ID,C210,C_DEFINE,"Sí",C_INICIO,"&lt;="&amp;EOMONTH(B210,0))),C_CLAVE,0))&amp;"","Sin dato"))</f>
        <v/>
      </c>
      <c r="AB210" s="71" t="str">
        <f aca="false">IF(AH210="","",ROUND(MIN(K210,TOPE_AFP_UF*AJ210)*AK210,0))</f>
        <v/>
      </c>
      <c r="AC210" s="71" t="str">
        <f aca="false">IF(AH210="","",ROUND(MIN(K210,TOPE_AFC_UF*AJ210)*IF(AA210="Indefinido",AFC_EMP_INDEF,AFC_EMP_PF),0))</f>
        <v/>
      </c>
      <c r="AD210" s="71" t="str">
        <f aca="false">IF(AH210="","",ROUND(MIN(K210,TOPE_AFP_UF*AJ210)*(MUTUAL_BASICA+MUTUAL_ADIC+SANNA),0))</f>
        <v/>
      </c>
      <c r="AE210" s="71" t="str">
        <f aca="false">IF(AH210="","",P210-N(N210)+AB210+AC210+AD210)</f>
        <v/>
      </c>
      <c r="AF210" s="65"/>
      <c r="AG210" s="64"/>
      <c r="AH210" s="72" t="str">
        <f aca="false">IF(OR(B210="",C210=""),"",C210&amp;"|"&amp;(YEAR(B210)*100+MONTH(B210)))</f>
        <v/>
      </c>
      <c r="AI210" s="70" t="str">
        <f aca="false">IF(AH210="","",IF(COUNTIF(L_CLAVE,AH210)&gt;1,"⚠ Duplicado","OK"))</f>
        <v/>
      </c>
      <c r="AJ210" s="86" t="str">
        <f aca="false">IF(AH210="","",IF(SUMPRODUCT(MAX((IND_PER&lt;=B210)*(IND_UF&lt;&gt;"")*IND_PER))=0,UF_HOY,INDEX(IND_UF,MATCH(SUMPRODUCT(MAX((IND_PER&lt;=B210)*(IND_UF&lt;&gt;"")*IND_PER)),IND_PER,0))))</f>
        <v/>
      </c>
      <c r="AK210" s="87" t="str">
        <f aca="false">IF(AH210="","",IF(COUNTIF(TASA_DESDE,"&lt;="&amp;B210)=0,INDEX(TASA_EMP,1),INDEX(TASA_EMP,COUNTIF(TASA_DESDE,"&lt;="&amp;B210))))</f>
        <v/>
      </c>
    </row>
    <row r="211" customFormat="false" ht="15" hidden="false" customHeight="false" outlineLevel="0" collapsed="false">
      <c r="B211" s="78"/>
      <c r="C211" s="64"/>
      <c r="D211" s="72" t="str">
        <f aca="false">IF(C211="","",IFERROR(INDEX(T_NOMBRE,MATCH(C211,T_ID,0)),"⚠ ID no existe"))</f>
        <v/>
      </c>
      <c r="E211" s="69"/>
      <c r="F211" s="67"/>
      <c r="G211" s="67"/>
      <c r="H211" s="67"/>
      <c r="I211" s="67"/>
      <c r="J211" s="67"/>
      <c r="K211" s="85" t="str">
        <f aca="false">IF(AH211="","",N(F211)+N(G211)+N(H211)-N(I211)+N(J211))</f>
        <v/>
      </c>
      <c r="L211" s="67"/>
      <c r="M211" s="67"/>
      <c r="N211" s="67"/>
      <c r="O211" s="67"/>
      <c r="P211" s="85" t="str">
        <f aca="false">IF(AH211="","",K211+N(L211)+N(M211)+N(N211)+N(O211))</f>
        <v/>
      </c>
      <c r="Q211" s="67"/>
      <c r="R211" s="67"/>
      <c r="S211" s="67"/>
      <c r="T211" s="67"/>
      <c r="U211" s="67"/>
      <c r="V211" s="67"/>
      <c r="W211" s="85" t="str">
        <f aca="false">IF(AH211="","",N(Q211)+N(R211)+N(S211)+N(T211)+N(U211)+N(V211))</f>
        <v/>
      </c>
      <c r="X211" s="85" t="str">
        <f aca="false">IF(AH211="","",P211-W211)</f>
        <v/>
      </c>
      <c r="Y211" s="67"/>
      <c r="Z211" s="70" t="str">
        <f aca="false">IF(OR(AH211="",Y211=""),"",IF(ABS(X211-Y211)&lt;=1,"✓ Cuadra","⚠ Diferencia $"&amp;FIXED(X211-Y211,0)))</f>
        <v/>
      </c>
      <c r="AA211" s="72" t="str">
        <f aca="false">IF(AH211="","",IFERROR(INDEX(C_TIPO,MATCH(C211&amp;"-P"&amp;MAX(1,COUNTIFS(C_ID,C211,C_DEFINE,"Sí",C_INICIO,"&lt;="&amp;EOMONTH(B211,0))),C_CLAVE,0))&amp;"","Sin dato"))</f>
        <v/>
      </c>
      <c r="AB211" s="71" t="str">
        <f aca="false">IF(AH211="","",ROUND(MIN(K211,TOPE_AFP_UF*AJ211)*AK211,0))</f>
        <v/>
      </c>
      <c r="AC211" s="71" t="str">
        <f aca="false">IF(AH211="","",ROUND(MIN(K211,TOPE_AFC_UF*AJ211)*IF(AA211="Indefinido",AFC_EMP_INDEF,AFC_EMP_PF),0))</f>
        <v/>
      </c>
      <c r="AD211" s="71" t="str">
        <f aca="false">IF(AH211="","",ROUND(MIN(K211,TOPE_AFP_UF*AJ211)*(MUTUAL_BASICA+MUTUAL_ADIC+SANNA),0))</f>
        <v/>
      </c>
      <c r="AE211" s="71" t="str">
        <f aca="false">IF(AH211="","",P211-N(N211)+AB211+AC211+AD211)</f>
        <v/>
      </c>
      <c r="AF211" s="65"/>
      <c r="AG211" s="64"/>
      <c r="AH211" s="72" t="str">
        <f aca="false">IF(OR(B211="",C211=""),"",C211&amp;"|"&amp;(YEAR(B211)*100+MONTH(B211)))</f>
        <v/>
      </c>
      <c r="AI211" s="70" t="str">
        <f aca="false">IF(AH211="","",IF(COUNTIF(L_CLAVE,AH211)&gt;1,"⚠ Duplicado","OK"))</f>
        <v/>
      </c>
      <c r="AJ211" s="86" t="str">
        <f aca="false">IF(AH211="","",IF(SUMPRODUCT(MAX((IND_PER&lt;=B211)*(IND_UF&lt;&gt;"")*IND_PER))=0,UF_HOY,INDEX(IND_UF,MATCH(SUMPRODUCT(MAX((IND_PER&lt;=B211)*(IND_UF&lt;&gt;"")*IND_PER)),IND_PER,0))))</f>
        <v/>
      </c>
      <c r="AK211" s="87" t="str">
        <f aca="false">IF(AH211="","",IF(COUNTIF(TASA_DESDE,"&lt;="&amp;B211)=0,INDEX(TASA_EMP,1),INDEX(TASA_EMP,COUNTIF(TASA_DESDE,"&lt;="&amp;B211))))</f>
        <v/>
      </c>
    </row>
    <row r="212" customFormat="false" ht="15" hidden="false" customHeight="false" outlineLevel="0" collapsed="false">
      <c r="B212" s="78"/>
      <c r="C212" s="64"/>
      <c r="D212" s="72" t="str">
        <f aca="false">IF(C212="","",IFERROR(INDEX(T_NOMBRE,MATCH(C212,T_ID,0)),"⚠ ID no existe"))</f>
        <v/>
      </c>
      <c r="E212" s="69"/>
      <c r="F212" s="67"/>
      <c r="G212" s="67"/>
      <c r="H212" s="67"/>
      <c r="I212" s="67"/>
      <c r="J212" s="67"/>
      <c r="K212" s="85" t="str">
        <f aca="false">IF(AH212="","",N(F212)+N(G212)+N(H212)-N(I212)+N(J212))</f>
        <v/>
      </c>
      <c r="L212" s="67"/>
      <c r="M212" s="67"/>
      <c r="N212" s="67"/>
      <c r="O212" s="67"/>
      <c r="P212" s="85" t="str">
        <f aca="false">IF(AH212="","",K212+N(L212)+N(M212)+N(N212)+N(O212))</f>
        <v/>
      </c>
      <c r="Q212" s="67"/>
      <c r="R212" s="67"/>
      <c r="S212" s="67"/>
      <c r="T212" s="67"/>
      <c r="U212" s="67"/>
      <c r="V212" s="67"/>
      <c r="W212" s="85" t="str">
        <f aca="false">IF(AH212="","",N(Q212)+N(R212)+N(S212)+N(T212)+N(U212)+N(V212))</f>
        <v/>
      </c>
      <c r="X212" s="85" t="str">
        <f aca="false">IF(AH212="","",P212-W212)</f>
        <v/>
      </c>
      <c r="Y212" s="67"/>
      <c r="Z212" s="70" t="str">
        <f aca="false">IF(OR(AH212="",Y212=""),"",IF(ABS(X212-Y212)&lt;=1,"✓ Cuadra","⚠ Diferencia $"&amp;FIXED(X212-Y212,0)))</f>
        <v/>
      </c>
      <c r="AA212" s="72" t="str">
        <f aca="false">IF(AH212="","",IFERROR(INDEX(C_TIPO,MATCH(C212&amp;"-P"&amp;MAX(1,COUNTIFS(C_ID,C212,C_DEFINE,"Sí",C_INICIO,"&lt;="&amp;EOMONTH(B212,0))),C_CLAVE,0))&amp;"","Sin dato"))</f>
        <v/>
      </c>
      <c r="AB212" s="71" t="str">
        <f aca="false">IF(AH212="","",ROUND(MIN(K212,TOPE_AFP_UF*AJ212)*AK212,0))</f>
        <v/>
      </c>
      <c r="AC212" s="71" t="str">
        <f aca="false">IF(AH212="","",ROUND(MIN(K212,TOPE_AFC_UF*AJ212)*IF(AA212="Indefinido",AFC_EMP_INDEF,AFC_EMP_PF),0))</f>
        <v/>
      </c>
      <c r="AD212" s="71" t="str">
        <f aca="false">IF(AH212="","",ROUND(MIN(K212,TOPE_AFP_UF*AJ212)*(MUTUAL_BASICA+MUTUAL_ADIC+SANNA),0))</f>
        <v/>
      </c>
      <c r="AE212" s="71" t="str">
        <f aca="false">IF(AH212="","",P212-N(N212)+AB212+AC212+AD212)</f>
        <v/>
      </c>
      <c r="AF212" s="65"/>
      <c r="AG212" s="64"/>
      <c r="AH212" s="72" t="str">
        <f aca="false">IF(OR(B212="",C212=""),"",C212&amp;"|"&amp;(YEAR(B212)*100+MONTH(B212)))</f>
        <v/>
      </c>
      <c r="AI212" s="70" t="str">
        <f aca="false">IF(AH212="","",IF(COUNTIF(L_CLAVE,AH212)&gt;1,"⚠ Duplicado","OK"))</f>
        <v/>
      </c>
      <c r="AJ212" s="86" t="str">
        <f aca="false">IF(AH212="","",IF(SUMPRODUCT(MAX((IND_PER&lt;=B212)*(IND_UF&lt;&gt;"")*IND_PER))=0,UF_HOY,INDEX(IND_UF,MATCH(SUMPRODUCT(MAX((IND_PER&lt;=B212)*(IND_UF&lt;&gt;"")*IND_PER)),IND_PER,0))))</f>
        <v/>
      </c>
      <c r="AK212" s="87" t="str">
        <f aca="false">IF(AH212="","",IF(COUNTIF(TASA_DESDE,"&lt;="&amp;B212)=0,INDEX(TASA_EMP,1),INDEX(TASA_EMP,COUNTIF(TASA_DESDE,"&lt;="&amp;B212))))</f>
        <v/>
      </c>
    </row>
    <row r="213" customFormat="false" ht="15" hidden="false" customHeight="false" outlineLevel="0" collapsed="false">
      <c r="B213" s="78"/>
      <c r="C213" s="64"/>
      <c r="D213" s="72" t="str">
        <f aca="false">IF(C213="","",IFERROR(INDEX(T_NOMBRE,MATCH(C213,T_ID,0)),"⚠ ID no existe"))</f>
        <v/>
      </c>
      <c r="E213" s="69"/>
      <c r="F213" s="67"/>
      <c r="G213" s="67"/>
      <c r="H213" s="67"/>
      <c r="I213" s="67"/>
      <c r="J213" s="67"/>
      <c r="K213" s="85" t="str">
        <f aca="false">IF(AH213="","",N(F213)+N(G213)+N(H213)-N(I213)+N(J213))</f>
        <v/>
      </c>
      <c r="L213" s="67"/>
      <c r="M213" s="67"/>
      <c r="N213" s="67"/>
      <c r="O213" s="67"/>
      <c r="P213" s="85" t="str">
        <f aca="false">IF(AH213="","",K213+N(L213)+N(M213)+N(N213)+N(O213))</f>
        <v/>
      </c>
      <c r="Q213" s="67"/>
      <c r="R213" s="67"/>
      <c r="S213" s="67"/>
      <c r="T213" s="67"/>
      <c r="U213" s="67"/>
      <c r="V213" s="67"/>
      <c r="W213" s="85" t="str">
        <f aca="false">IF(AH213="","",N(Q213)+N(R213)+N(S213)+N(T213)+N(U213)+N(V213))</f>
        <v/>
      </c>
      <c r="X213" s="85" t="str">
        <f aca="false">IF(AH213="","",P213-W213)</f>
        <v/>
      </c>
      <c r="Y213" s="67"/>
      <c r="Z213" s="70" t="str">
        <f aca="false">IF(OR(AH213="",Y213=""),"",IF(ABS(X213-Y213)&lt;=1,"✓ Cuadra","⚠ Diferencia $"&amp;FIXED(X213-Y213,0)))</f>
        <v/>
      </c>
      <c r="AA213" s="72" t="str">
        <f aca="false">IF(AH213="","",IFERROR(INDEX(C_TIPO,MATCH(C213&amp;"-P"&amp;MAX(1,COUNTIFS(C_ID,C213,C_DEFINE,"Sí",C_INICIO,"&lt;="&amp;EOMONTH(B213,0))),C_CLAVE,0))&amp;"","Sin dato"))</f>
        <v/>
      </c>
      <c r="AB213" s="71" t="str">
        <f aca="false">IF(AH213="","",ROUND(MIN(K213,TOPE_AFP_UF*AJ213)*AK213,0))</f>
        <v/>
      </c>
      <c r="AC213" s="71" t="str">
        <f aca="false">IF(AH213="","",ROUND(MIN(K213,TOPE_AFC_UF*AJ213)*IF(AA213="Indefinido",AFC_EMP_INDEF,AFC_EMP_PF),0))</f>
        <v/>
      </c>
      <c r="AD213" s="71" t="str">
        <f aca="false">IF(AH213="","",ROUND(MIN(K213,TOPE_AFP_UF*AJ213)*(MUTUAL_BASICA+MUTUAL_ADIC+SANNA),0))</f>
        <v/>
      </c>
      <c r="AE213" s="71" t="str">
        <f aca="false">IF(AH213="","",P213-N(N213)+AB213+AC213+AD213)</f>
        <v/>
      </c>
      <c r="AF213" s="65"/>
      <c r="AG213" s="64"/>
      <c r="AH213" s="72" t="str">
        <f aca="false">IF(OR(B213="",C213=""),"",C213&amp;"|"&amp;(YEAR(B213)*100+MONTH(B213)))</f>
        <v/>
      </c>
      <c r="AI213" s="70" t="str">
        <f aca="false">IF(AH213="","",IF(COUNTIF(L_CLAVE,AH213)&gt;1,"⚠ Duplicado","OK"))</f>
        <v/>
      </c>
      <c r="AJ213" s="86" t="str">
        <f aca="false">IF(AH213="","",IF(SUMPRODUCT(MAX((IND_PER&lt;=B213)*(IND_UF&lt;&gt;"")*IND_PER))=0,UF_HOY,INDEX(IND_UF,MATCH(SUMPRODUCT(MAX((IND_PER&lt;=B213)*(IND_UF&lt;&gt;"")*IND_PER)),IND_PER,0))))</f>
        <v/>
      </c>
      <c r="AK213" s="87" t="str">
        <f aca="false">IF(AH213="","",IF(COUNTIF(TASA_DESDE,"&lt;="&amp;B213)=0,INDEX(TASA_EMP,1),INDEX(TASA_EMP,COUNTIF(TASA_DESDE,"&lt;="&amp;B213))))</f>
        <v/>
      </c>
    </row>
    <row r="214" customFormat="false" ht="15" hidden="false" customHeight="false" outlineLevel="0" collapsed="false">
      <c r="B214" s="78"/>
      <c r="C214" s="64"/>
      <c r="D214" s="72" t="str">
        <f aca="false">IF(C214="","",IFERROR(INDEX(T_NOMBRE,MATCH(C214,T_ID,0)),"⚠ ID no existe"))</f>
        <v/>
      </c>
      <c r="E214" s="69"/>
      <c r="F214" s="67"/>
      <c r="G214" s="67"/>
      <c r="H214" s="67"/>
      <c r="I214" s="67"/>
      <c r="J214" s="67"/>
      <c r="K214" s="85" t="str">
        <f aca="false">IF(AH214="","",N(F214)+N(G214)+N(H214)-N(I214)+N(J214))</f>
        <v/>
      </c>
      <c r="L214" s="67"/>
      <c r="M214" s="67"/>
      <c r="N214" s="67"/>
      <c r="O214" s="67"/>
      <c r="P214" s="85" t="str">
        <f aca="false">IF(AH214="","",K214+N(L214)+N(M214)+N(N214)+N(O214))</f>
        <v/>
      </c>
      <c r="Q214" s="67"/>
      <c r="R214" s="67"/>
      <c r="S214" s="67"/>
      <c r="T214" s="67"/>
      <c r="U214" s="67"/>
      <c r="V214" s="67"/>
      <c r="W214" s="85" t="str">
        <f aca="false">IF(AH214="","",N(Q214)+N(R214)+N(S214)+N(T214)+N(U214)+N(V214))</f>
        <v/>
      </c>
      <c r="X214" s="85" t="str">
        <f aca="false">IF(AH214="","",P214-W214)</f>
        <v/>
      </c>
      <c r="Y214" s="67"/>
      <c r="Z214" s="70" t="str">
        <f aca="false">IF(OR(AH214="",Y214=""),"",IF(ABS(X214-Y214)&lt;=1,"✓ Cuadra","⚠ Diferencia $"&amp;FIXED(X214-Y214,0)))</f>
        <v/>
      </c>
      <c r="AA214" s="72" t="str">
        <f aca="false">IF(AH214="","",IFERROR(INDEX(C_TIPO,MATCH(C214&amp;"-P"&amp;MAX(1,COUNTIFS(C_ID,C214,C_DEFINE,"Sí",C_INICIO,"&lt;="&amp;EOMONTH(B214,0))),C_CLAVE,0))&amp;"","Sin dato"))</f>
        <v/>
      </c>
      <c r="AB214" s="71" t="str">
        <f aca="false">IF(AH214="","",ROUND(MIN(K214,TOPE_AFP_UF*AJ214)*AK214,0))</f>
        <v/>
      </c>
      <c r="AC214" s="71" t="str">
        <f aca="false">IF(AH214="","",ROUND(MIN(K214,TOPE_AFC_UF*AJ214)*IF(AA214="Indefinido",AFC_EMP_INDEF,AFC_EMP_PF),0))</f>
        <v/>
      </c>
      <c r="AD214" s="71" t="str">
        <f aca="false">IF(AH214="","",ROUND(MIN(K214,TOPE_AFP_UF*AJ214)*(MUTUAL_BASICA+MUTUAL_ADIC+SANNA),0))</f>
        <v/>
      </c>
      <c r="AE214" s="71" t="str">
        <f aca="false">IF(AH214="","",P214-N(N214)+AB214+AC214+AD214)</f>
        <v/>
      </c>
      <c r="AF214" s="65"/>
      <c r="AG214" s="64"/>
      <c r="AH214" s="72" t="str">
        <f aca="false">IF(OR(B214="",C214=""),"",C214&amp;"|"&amp;(YEAR(B214)*100+MONTH(B214)))</f>
        <v/>
      </c>
      <c r="AI214" s="70" t="str">
        <f aca="false">IF(AH214="","",IF(COUNTIF(L_CLAVE,AH214)&gt;1,"⚠ Duplicado","OK"))</f>
        <v/>
      </c>
      <c r="AJ214" s="86" t="str">
        <f aca="false">IF(AH214="","",IF(SUMPRODUCT(MAX((IND_PER&lt;=B214)*(IND_UF&lt;&gt;"")*IND_PER))=0,UF_HOY,INDEX(IND_UF,MATCH(SUMPRODUCT(MAX((IND_PER&lt;=B214)*(IND_UF&lt;&gt;"")*IND_PER)),IND_PER,0))))</f>
        <v/>
      </c>
      <c r="AK214" s="87" t="str">
        <f aca="false">IF(AH214="","",IF(COUNTIF(TASA_DESDE,"&lt;="&amp;B214)=0,INDEX(TASA_EMP,1),INDEX(TASA_EMP,COUNTIF(TASA_DESDE,"&lt;="&amp;B214))))</f>
        <v/>
      </c>
    </row>
    <row r="215" customFormat="false" ht="15" hidden="false" customHeight="false" outlineLevel="0" collapsed="false">
      <c r="B215" s="78"/>
      <c r="C215" s="64"/>
      <c r="D215" s="72" t="str">
        <f aca="false">IF(C215="","",IFERROR(INDEX(T_NOMBRE,MATCH(C215,T_ID,0)),"⚠ ID no existe"))</f>
        <v/>
      </c>
      <c r="E215" s="69"/>
      <c r="F215" s="67"/>
      <c r="G215" s="67"/>
      <c r="H215" s="67"/>
      <c r="I215" s="67"/>
      <c r="J215" s="67"/>
      <c r="K215" s="85" t="str">
        <f aca="false">IF(AH215="","",N(F215)+N(G215)+N(H215)-N(I215)+N(J215))</f>
        <v/>
      </c>
      <c r="L215" s="67"/>
      <c r="M215" s="67"/>
      <c r="N215" s="67"/>
      <c r="O215" s="67"/>
      <c r="P215" s="85" t="str">
        <f aca="false">IF(AH215="","",K215+N(L215)+N(M215)+N(N215)+N(O215))</f>
        <v/>
      </c>
      <c r="Q215" s="67"/>
      <c r="R215" s="67"/>
      <c r="S215" s="67"/>
      <c r="T215" s="67"/>
      <c r="U215" s="67"/>
      <c r="V215" s="67"/>
      <c r="W215" s="85" t="str">
        <f aca="false">IF(AH215="","",N(Q215)+N(R215)+N(S215)+N(T215)+N(U215)+N(V215))</f>
        <v/>
      </c>
      <c r="X215" s="85" t="str">
        <f aca="false">IF(AH215="","",P215-W215)</f>
        <v/>
      </c>
      <c r="Y215" s="67"/>
      <c r="Z215" s="70" t="str">
        <f aca="false">IF(OR(AH215="",Y215=""),"",IF(ABS(X215-Y215)&lt;=1,"✓ Cuadra","⚠ Diferencia $"&amp;FIXED(X215-Y215,0)))</f>
        <v/>
      </c>
      <c r="AA215" s="72" t="str">
        <f aca="false">IF(AH215="","",IFERROR(INDEX(C_TIPO,MATCH(C215&amp;"-P"&amp;MAX(1,COUNTIFS(C_ID,C215,C_DEFINE,"Sí",C_INICIO,"&lt;="&amp;EOMONTH(B215,0))),C_CLAVE,0))&amp;"","Sin dato"))</f>
        <v/>
      </c>
      <c r="AB215" s="71" t="str">
        <f aca="false">IF(AH215="","",ROUND(MIN(K215,TOPE_AFP_UF*AJ215)*AK215,0))</f>
        <v/>
      </c>
      <c r="AC215" s="71" t="str">
        <f aca="false">IF(AH215="","",ROUND(MIN(K215,TOPE_AFC_UF*AJ215)*IF(AA215="Indefinido",AFC_EMP_INDEF,AFC_EMP_PF),0))</f>
        <v/>
      </c>
      <c r="AD215" s="71" t="str">
        <f aca="false">IF(AH215="","",ROUND(MIN(K215,TOPE_AFP_UF*AJ215)*(MUTUAL_BASICA+MUTUAL_ADIC+SANNA),0))</f>
        <v/>
      </c>
      <c r="AE215" s="71" t="str">
        <f aca="false">IF(AH215="","",P215-N(N215)+AB215+AC215+AD215)</f>
        <v/>
      </c>
      <c r="AF215" s="65"/>
      <c r="AG215" s="64"/>
      <c r="AH215" s="72" t="str">
        <f aca="false">IF(OR(B215="",C215=""),"",C215&amp;"|"&amp;(YEAR(B215)*100+MONTH(B215)))</f>
        <v/>
      </c>
      <c r="AI215" s="70" t="str">
        <f aca="false">IF(AH215="","",IF(COUNTIF(L_CLAVE,AH215)&gt;1,"⚠ Duplicado","OK"))</f>
        <v/>
      </c>
      <c r="AJ215" s="86" t="str">
        <f aca="false">IF(AH215="","",IF(SUMPRODUCT(MAX((IND_PER&lt;=B215)*(IND_UF&lt;&gt;"")*IND_PER))=0,UF_HOY,INDEX(IND_UF,MATCH(SUMPRODUCT(MAX((IND_PER&lt;=B215)*(IND_UF&lt;&gt;"")*IND_PER)),IND_PER,0))))</f>
        <v/>
      </c>
      <c r="AK215" s="87" t="str">
        <f aca="false">IF(AH215="","",IF(COUNTIF(TASA_DESDE,"&lt;="&amp;B215)=0,INDEX(TASA_EMP,1),INDEX(TASA_EMP,COUNTIF(TASA_DESDE,"&lt;="&amp;B215))))</f>
        <v/>
      </c>
    </row>
    <row r="216" customFormat="false" ht="15" hidden="false" customHeight="false" outlineLevel="0" collapsed="false">
      <c r="B216" s="78"/>
      <c r="C216" s="64"/>
      <c r="D216" s="72" t="str">
        <f aca="false">IF(C216="","",IFERROR(INDEX(T_NOMBRE,MATCH(C216,T_ID,0)),"⚠ ID no existe"))</f>
        <v/>
      </c>
      <c r="E216" s="69"/>
      <c r="F216" s="67"/>
      <c r="G216" s="67"/>
      <c r="H216" s="67"/>
      <c r="I216" s="67"/>
      <c r="J216" s="67"/>
      <c r="K216" s="85" t="str">
        <f aca="false">IF(AH216="","",N(F216)+N(G216)+N(H216)-N(I216)+N(J216))</f>
        <v/>
      </c>
      <c r="L216" s="67"/>
      <c r="M216" s="67"/>
      <c r="N216" s="67"/>
      <c r="O216" s="67"/>
      <c r="P216" s="85" t="str">
        <f aca="false">IF(AH216="","",K216+N(L216)+N(M216)+N(N216)+N(O216))</f>
        <v/>
      </c>
      <c r="Q216" s="67"/>
      <c r="R216" s="67"/>
      <c r="S216" s="67"/>
      <c r="T216" s="67"/>
      <c r="U216" s="67"/>
      <c r="V216" s="67"/>
      <c r="W216" s="85" t="str">
        <f aca="false">IF(AH216="","",N(Q216)+N(R216)+N(S216)+N(T216)+N(U216)+N(V216))</f>
        <v/>
      </c>
      <c r="X216" s="85" t="str">
        <f aca="false">IF(AH216="","",P216-W216)</f>
        <v/>
      </c>
      <c r="Y216" s="67"/>
      <c r="Z216" s="70" t="str">
        <f aca="false">IF(OR(AH216="",Y216=""),"",IF(ABS(X216-Y216)&lt;=1,"✓ Cuadra","⚠ Diferencia $"&amp;FIXED(X216-Y216,0)))</f>
        <v/>
      </c>
      <c r="AA216" s="72" t="str">
        <f aca="false">IF(AH216="","",IFERROR(INDEX(C_TIPO,MATCH(C216&amp;"-P"&amp;MAX(1,COUNTIFS(C_ID,C216,C_DEFINE,"Sí",C_INICIO,"&lt;="&amp;EOMONTH(B216,0))),C_CLAVE,0))&amp;"","Sin dato"))</f>
        <v/>
      </c>
      <c r="AB216" s="71" t="str">
        <f aca="false">IF(AH216="","",ROUND(MIN(K216,TOPE_AFP_UF*AJ216)*AK216,0))</f>
        <v/>
      </c>
      <c r="AC216" s="71" t="str">
        <f aca="false">IF(AH216="","",ROUND(MIN(K216,TOPE_AFC_UF*AJ216)*IF(AA216="Indefinido",AFC_EMP_INDEF,AFC_EMP_PF),0))</f>
        <v/>
      </c>
      <c r="AD216" s="71" t="str">
        <f aca="false">IF(AH216="","",ROUND(MIN(K216,TOPE_AFP_UF*AJ216)*(MUTUAL_BASICA+MUTUAL_ADIC+SANNA),0))</f>
        <v/>
      </c>
      <c r="AE216" s="71" t="str">
        <f aca="false">IF(AH216="","",P216-N(N216)+AB216+AC216+AD216)</f>
        <v/>
      </c>
      <c r="AF216" s="65"/>
      <c r="AG216" s="64"/>
      <c r="AH216" s="72" t="str">
        <f aca="false">IF(OR(B216="",C216=""),"",C216&amp;"|"&amp;(YEAR(B216)*100+MONTH(B216)))</f>
        <v/>
      </c>
      <c r="AI216" s="70" t="str">
        <f aca="false">IF(AH216="","",IF(COUNTIF(L_CLAVE,AH216)&gt;1,"⚠ Duplicado","OK"))</f>
        <v/>
      </c>
      <c r="AJ216" s="86" t="str">
        <f aca="false">IF(AH216="","",IF(SUMPRODUCT(MAX((IND_PER&lt;=B216)*(IND_UF&lt;&gt;"")*IND_PER))=0,UF_HOY,INDEX(IND_UF,MATCH(SUMPRODUCT(MAX((IND_PER&lt;=B216)*(IND_UF&lt;&gt;"")*IND_PER)),IND_PER,0))))</f>
        <v/>
      </c>
      <c r="AK216" s="87" t="str">
        <f aca="false">IF(AH216="","",IF(COUNTIF(TASA_DESDE,"&lt;="&amp;B216)=0,INDEX(TASA_EMP,1),INDEX(TASA_EMP,COUNTIF(TASA_DESDE,"&lt;="&amp;B216))))</f>
        <v/>
      </c>
    </row>
    <row r="217" customFormat="false" ht="15" hidden="false" customHeight="false" outlineLevel="0" collapsed="false">
      <c r="B217" s="78"/>
      <c r="C217" s="64"/>
      <c r="D217" s="72" t="str">
        <f aca="false">IF(C217="","",IFERROR(INDEX(T_NOMBRE,MATCH(C217,T_ID,0)),"⚠ ID no existe"))</f>
        <v/>
      </c>
      <c r="E217" s="69"/>
      <c r="F217" s="67"/>
      <c r="G217" s="67"/>
      <c r="H217" s="67"/>
      <c r="I217" s="67"/>
      <c r="J217" s="67"/>
      <c r="K217" s="85" t="str">
        <f aca="false">IF(AH217="","",N(F217)+N(G217)+N(H217)-N(I217)+N(J217))</f>
        <v/>
      </c>
      <c r="L217" s="67"/>
      <c r="M217" s="67"/>
      <c r="N217" s="67"/>
      <c r="O217" s="67"/>
      <c r="P217" s="85" t="str">
        <f aca="false">IF(AH217="","",K217+N(L217)+N(M217)+N(N217)+N(O217))</f>
        <v/>
      </c>
      <c r="Q217" s="67"/>
      <c r="R217" s="67"/>
      <c r="S217" s="67"/>
      <c r="T217" s="67"/>
      <c r="U217" s="67"/>
      <c r="V217" s="67"/>
      <c r="W217" s="85" t="str">
        <f aca="false">IF(AH217="","",N(Q217)+N(R217)+N(S217)+N(T217)+N(U217)+N(V217))</f>
        <v/>
      </c>
      <c r="X217" s="85" t="str">
        <f aca="false">IF(AH217="","",P217-W217)</f>
        <v/>
      </c>
      <c r="Y217" s="67"/>
      <c r="Z217" s="70" t="str">
        <f aca="false">IF(OR(AH217="",Y217=""),"",IF(ABS(X217-Y217)&lt;=1,"✓ Cuadra","⚠ Diferencia $"&amp;FIXED(X217-Y217,0)))</f>
        <v/>
      </c>
      <c r="AA217" s="72" t="str">
        <f aca="false">IF(AH217="","",IFERROR(INDEX(C_TIPO,MATCH(C217&amp;"-P"&amp;MAX(1,COUNTIFS(C_ID,C217,C_DEFINE,"Sí",C_INICIO,"&lt;="&amp;EOMONTH(B217,0))),C_CLAVE,0))&amp;"","Sin dato"))</f>
        <v/>
      </c>
      <c r="AB217" s="71" t="str">
        <f aca="false">IF(AH217="","",ROUND(MIN(K217,TOPE_AFP_UF*AJ217)*AK217,0))</f>
        <v/>
      </c>
      <c r="AC217" s="71" t="str">
        <f aca="false">IF(AH217="","",ROUND(MIN(K217,TOPE_AFC_UF*AJ217)*IF(AA217="Indefinido",AFC_EMP_INDEF,AFC_EMP_PF),0))</f>
        <v/>
      </c>
      <c r="AD217" s="71" t="str">
        <f aca="false">IF(AH217="","",ROUND(MIN(K217,TOPE_AFP_UF*AJ217)*(MUTUAL_BASICA+MUTUAL_ADIC+SANNA),0))</f>
        <v/>
      </c>
      <c r="AE217" s="71" t="str">
        <f aca="false">IF(AH217="","",P217-N(N217)+AB217+AC217+AD217)</f>
        <v/>
      </c>
      <c r="AF217" s="65"/>
      <c r="AG217" s="64"/>
      <c r="AH217" s="72" t="str">
        <f aca="false">IF(OR(B217="",C217=""),"",C217&amp;"|"&amp;(YEAR(B217)*100+MONTH(B217)))</f>
        <v/>
      </c>
      <c r="AI217" s="70" t="str">
        <f aca="false">IF(AH217="","",IF(COUNTIF(L_CLAVE,AH217)&gt;1,"⚠ Duplicado","OK"))</f>
        <v/>
      </c>
      <c r="AJ217" s="86" t="str">
        <f aca="false">IF(AH217="","",IF(SUMPRODUCT(MAX((IND_PER&lt;=B217)*(IND_UF&lt;&gt;"")*IND_PER))=0,UF_HOY,INDEX(IND_UF,MATCH(SUMPRODUCT(MAX((IND_PER&lt;=B217)*(IND_UF&lt;&gt;"")*IND_PER)),IND_PER,0))))</f>
        <v/>
      </c>
      <c r="AK217" s="87" t="str">
        <f aca="false">IF(AH217="","",IF(COUNTIF(TASA_DESDE,"&lt;="&amp;B217)=0,INDEX(TASA_EMP,1),INDEX(TASA_EMP,COUNTIF(TASA_DESDE,"&lt;="&amp;B217))))</f>
        <v/>
      </c>
    </row>
    <row r="218" customFormat="false" ht="15" hidden="false" customHeight="false" outlineLevel="0" collapsed="false">
      <c r="B218" s="78"/>
      <c r="C218" s="64"/>
      <c r="D218" s="72" t="str">
        <f aca="false">IF(C218="","",IFERROR(INDEX(T_NOMBRE,MATCH(C218,T_ID,0)),"⚠ ID no existe"))</f>
        <v/>
      </c>
      <c r="E218" s="69"/>
      <c r="F218" s="67"/>
      <c r="G218" s="67"/>
      <c r="H218" s="67"/>
      <c r="I218" s="67"/>
      <c r="J218" s="67"/>
      <c r="K218" s="85" t="str">
        <f aca="false">IF(AH218="","",N(F218)+N(G218)+N(H218)-N(I218)+N(J218))</f>
        <v/>
      </c>
      <c r="L218" s="67"/>
      <c r="M218" s="67"/>
      <c r="N218" s="67"/>
      <c r="O218" s="67"/>
      <c r="P218" s="85" t="str">
        <f aca="false">IF(AH218="","",K218+N(L218)+N(M218)+N(N218)+N(O218))</f>
        <v/>
      </c>
      <c r="Q218" s="67"/>
      <c r="R218" s="67"/>
      <c r="S218" s="67"/>
      <c r="T218" s="67"/>
      <c r="U218" s="67"/>
      <c r="V218" s="67"/>
      <c r="W218" s="85" t="str">
        <f aca="false">IF(AH218="","",N(Q218)+N(R218)+N(S218)+N(T218)+N(U218)+N(V218))</f>
        <v/>
      </c>
      <c r="X218" s="85" t="str">
        <f aca="false">IF(AH218="","",P218-W218)</f>
        <v/>
      </c>
      <c r="Y218" s="67"/>
      <c r="Z218" s="70" t="str">
        <f aca="false">IF(OR(AH218="",Y218=""),"",IF(ABS(X218-Y218)&lt;=1,"✓ Cuadra","⚠ Diferencia $"&amp;FIXED(X218-Y218,0)))</f>
        <v/>
      </c>
      <c r="AA218" s="72" t="str">
        <f aca="false">IF(AH218="","",IFERROR(INDEX(C_TIPO,MATCH(C218&amp;"-P"&amp;MAX(1,COUNTIFS(C_ID,C218,C_DEFINE,"Sí",C_INICIO,"&lt;="&amp;EOMONTH(B218,0))),C_CLAVE,0))&amp;"","Sin dato"))</f>
        <v/>
      </c>
      <c r="AB218" s="71" t="str">
        <f aca="false">IF(AH218="","",ROUND(MIN(K218,TOPE_AFP_UF*AJ218)*AK218,0))</f>
        <v/>
      </c>
      <c r="AC218" s="71" t="str">
        <f aca="false">IF(AH218="","",ROUND(MIN(K218,TOPE_AFC_UF*AJ218)*IF(AA218="Indefinido",AFC_EMP_INDEF,AFC_EMP_PF),0))</f>
        <v/>
      </c>
      <c r="AD218" s="71" t="str">
        <f aca="false">IF(AH218="","",ROUND(MIN(K218,TOPE_AFP_UF*AJ218)*(MUTUAL_BASICA+MUTUAL_ADIC+SANNA),0))</f>
        <v/>
      </c>
      <c r="AE218" s="71" t="str">
        <f aca="false">IF(AH218="","",P218-N(N218)+AB218+AC218+AD218)</f>
        <v/>
      </c>
      <c r="AF218" s="65"/>
      <c r="AG218" s="64"/>
      <c r="AH218" s="72" t="str">
        <f aca="false">IF(OR(B218="",C218=""),"",C218&amp;"|"&amp;(YEAR(B218)*100+MONTH(B218)))</f>
        <v/>
      </c>
      <c r="AI218" s="70" t="str">
        <f aca="false">IF(AH218="","",IF(COUNTIF(L_CLAVE,AH218)&gt;1,"⚠ Duplicado","OK"))</f>
        <v/>
      </c>
      <c r="AJ218" s="86" t="str">
        <f aca="false">IF(AH218="","",IF(SUMPRODUCT(MAX((IND_PER&lt;=B218)*(IND_UF&lt;&gt;"")*IND_PER))=0,UF_HOY,INDEX(IND_UF,MATCH(SUMPRODUCT(MAX((IND_PER&lt;=B218)*(IND_UF&lt;&gt;"")*IND_PER)),IND_PER,0))))</f>
        <v/>
      </c>
      <c r="AK218" s="87" t="str">
        <f aca="false">IF(AH218="","",IF(COUNTIF(TASA_DESDE,"&lt;="&amp;B218)=0,INDEX(TASA_EMP,1),INDEX(TASA_EMP,COUNTIF(TASA_DESDE,"&lt;="&amp;B218))))</f>
        <v/>
      </c>
    </row>
    <row r="219" customFormat="false" ht="15" hidden="false" customHeight="false" outlineLevel="0" collapsed="false">
      <c r="B219" s="78"/>
      <c r="C219" s="64"/>
      <c r="D219" s="72" t="str">
        <f aca="false">IF(C219="","",IFERROR(INDEX(T_NOMBRE,MATCH(C219,T_ID,0)),"⚠ ID no existe"))</f>
        <v/>
      </c>
      <c r="E219" s="69"/>
      <c r="F219" s="67"/>
      <c r="G219" s="67"/>
      <c r="H219" s="67"/>
      <c r="I219" s="67"/>
      <c r="J219" s="67"/>
      <c r="K219" s="85" t="str">
        <f aca="false">IF(AH219="","",N(F219)+N(G219)+N(H219)-N(I219)+N(J219))</f>
        <v/>
      </c>
      <c r="L219" s="67"/>
      <c r="M219" s="67"/>
      <c r="N219" s="67"/>
      <c r="O219" s="67"/>
      <c r="P219" s="85" t="str">
        <f aca="false">IF(AH219="","",K219+N(L219)+N(M219)+N(N219)+N(O219))</f>
        <v/>
      </c>
      <c r="Q219" s="67"/>
      <c r="R219" s="67"/>
      <c r="S219" s="67"/>
      <c r="T219" s="67"/>
      <c r="U219" s="67"/>
      <c r="V219" s="67"/>
      <c r="W219" s="85" t="str">
        <f aca="false">IF(AH219="","",N(Q219)+N(R219)+N(S219)+N(T219)+N(U219)+N(V219))</f>
        <v/>
      </c>
      <c r="X219" s="85" t="str">
        <f aca="false">IF(AH219="","",P219-W219)</f>
        <v/>
      </c>
      <c r="Y219" s="67"/>
      <c r="Z219" s="70" t="str">
        <f aca="false">IF(OR(AH219="",Y219=""),"",IF(ABS(X219-Y219)&lt;=1,"✓ Cuadra","⚠ Diferencia $"&amp;FIXED(X219-Y219,0)))</f>
        <v/>
      </c>
      <c r="AA219" s="72" t="str">
        <f aca="false">IF(AH219="","",IFERROR(INDEX(C_TIPO,MATCH(C219&amp;"-P"&amp;MAX(1,COUNTIFS(C_ID,C219,C_DEFINE,"Sí",C_INICIO,"&lt;="&amp;EOMONTH(B219,0))),C_CLAVE,0))&amp;"","Sin dato"))</f>
        <v/>
      </c>
      <c r="AB219" s="71" t="str">
        <f aca="false">IF(AH219="","",ROUND(MIN(K219,TOPE_AFP_UF*AJ219)*AK219,0))</f>
        <v/>
      </c>
      <c r="AC219" s="71" t="str">
        <f aca="false">IF(AH219="","",ROUND(MIN(K219,TOPE_AFC_UF*AJ219)*IF(AA219="Indefinido",AFC_EMP_INDEF,AFC_EMP_PF),0))</f>
        <v/>
      </c>
      <c r="AD219" s="71" t="str">
        <f aca="false">IF(AH219="","",ROUND(MIN(K219,TOPE_AFP_UF*AJ219)*(MUTUAL_BASICA+MUTUAL_ADIC+SANNA),0))</f>
        <v/>
      </c>
      <c r="AE219" s="71" t="str">
        <f aca="false">IF(AH219="","",P219-N(N219)+AB219+AC219+AD219)</f>
        <v/>
      </c>
      <c r="AF219" s="65"/>
      <c r="AG219" s="64"/>
      <c r="AH219" s="72" t="str">
        <f aca="false">IF(OR(B219="",C219=""),"",C219&amp;"|"&amp;(YEAR(B219)*100+MONTH(B219)))</f>
        <v/>
      </c>
      <c r="AI219" s="70" t="str">
        <f aca="false">IF(AH219="","",IF(COUNTIF(L_CLAVE,AH219)&gt;1,"⚠ Duplicado","OK"))</f>
        <v/>
      </c>
      <c r="AJ219" s="86" t="str">
        <f aca="false">IF(AH219="","",IF(SUMPRODUCT(MAX((IND_PER&lt;=B219)*(IND_UF&lt;&gt;"")*IND_PER))=0,UF_HOY,INDEX(IND_UF,MATCH(SUMPRODUCT(MAX((IND_PER&lt;=B219)*(IND_UF&lt;&gt;"")*IND_PER)),IND_PER,0))))</f>
        <v/>
      </c>
      <c r="AK219" s="87" t="str">
        <f aca="false">IF(AH219="","",IF(COUNTIF(TASA_DESDE,"&lt;="&amp;B219)=0,INDEX(TASA_EMP,1),INDEX(TASA_EMP,COUNTIF(TASA_DESDE,"&lt;="&amp;B219))))</f>
        <v/>
      </c>
    </row>
    <row r="220" customFormat="false" ht="15" hidden="false" customHeight="false" outlineLevel="0" collapsed="false">
      <c r="B220" s="78"/>
      <c r="C220" s="64"/>
      <c r="D220" s="72" t="str">
        <f aca="false">IF(C220="","",IFERROR(INDEX(T_NOMBRE,MATCH(C220,T_ID,0)),"⚠ ID no existe"))</f>
        <v/>
      </c>
      <c r="E220" s="69"/>
      <c r="F220" s="67"/>
      <c r="G220" s="67"/>
      <c r="H220" s="67"/>
      <c r="I220" s="67"/>
      <c r="J220" s="67"/>
      <c r="K220" s="85" t="str">
        <f aca="false">IF(AH220="","",N(F220)+N(G220)+N(H220)-N(I220)+N(J220))</f>
        <v/>
      </c>
      <c r="L220" s="67"/>
      <c r="M220" s="67"/>
      <c r="N220" s="67"/>
      <c r="O220" s="67"/>
      <c r="P220" s="85" t="str">
        <f aca="false">IF(AH220="","",K220+N(L220)+N(M220)+N(N220)+N(O220))</f>
        <v/>
      </c>
      <c r="Q220" s="67"/>
      <c r="R220" s="67"/>
      <c r="S220" s="67"/>
      <c r="T220" s="67"/>
      <c r="U220" s="67"/>
      <c r="V220" s="67"/>
      <c r="W220" s="85" t="str">
        <f aca="false">IF(AH220="","",N(Q220)+N(R220)+N(S220)+N(T220)+N(U220)+N(V220))</f>
        <v/>
      </c>
      <c r="X220" s="85" t="str">
        <f aca="false">IF(AH220="","",P220-W220)</f>
        <v/>
      </c>
      <c r="Y220" s="67"/>
      <c r="Z220" s="70" t="str">
        <f aca="false">IF(OR(AH220="",Y220=""),"",IF(ABS(X220-Y220)&lt;=1,"✓ Cuadra","⚠ Diferencia $"&amp;FIXED(X220-Y220,0)))</f>
        <v/>
      </c>
      <c r="AA220" s="72" t="str">
        <f aca="false">IF(AH220="","",IFERROR(INDEX(C_TIPO,MATCH(C220&amp;"-P"&amp;MAX(1,COUNTIFS(C_ID,C220,C_DEFINE,"Sí",C_INICIO,"&lt;="&amp;EOMONTH(B220,0))),C_CLAVE,0))&amp;"","Sin dato"))</f>
        <v/>
      </c>
      <c r="AB220" s="71" t="str">
        <f aca="false">IF(AH220="","",ROUND(MIN(K220,TOPE_AFP_UF*AJ220)*AK220,0))</f>
        <v/>
      </c>
      <c r="AC220" s="71" t="str">
        <f aca="false">IF(AH220="","",ROUND(MIN(K220,TOPE_AFC_UF*AJ220)*IF(AA220="Indefinido",AFC_EMP_INDEF,AFC_EMP_PF),0))</f>
        <v/>
      </c>
      <c r="AD220" s="71" t="str">
        <f aca="false">IF(AH220="","",ROUND(MIN(K220,TOPE_AFP_UF*AJ220)*(MUTUAL_BASICA+MUTUAL_ADIC+SANNA),0))</f>
        <v/>
      </c>
      <c r="AE220" s="71" t="str">
        <f aca="false">IF(AH220="","",P220-N(N220)+AB220+AC220+AD220)</f>
        <v/>
      </c>
      <c r="AF220" s="65"/>
      <c r="AG220" s="64"/>
      <c r="AH220" s="72" t="str">
        <f aca="false">IF(OR(B220="",C220=""),"",C220&amp;"|"&amp;(YEAR(B220)*100+MONTH(B220)))</f>
        <v/>
      </c>
      <c r="AI220" s="70" t="str">
        <f aca="false">IF(AH220="","",IF(COUNTIF(L_CLAVE,AH220)&gt;1,"⚠ Duplicado","OK"))</f>
        <v/>
      </c>
      <c r="AJ220" s="86" t="str">
        <f aca="false">IF(AH220="","",IF(SUMPRODUCT(MAX((IND_PER&lt;=B220)*(IND_UF&lt;&gt;"")*IND_PER))=0,UF_HOY,INDEX(IND_UF,MATCH(SUMPRODUCT(MAX((IND_PER&lt;=B220)*(IND_UF&lt;&gt;"")*IND_PER)),IND_PER,0))))</f>
        <v/>
      </c>
      <c r="AK220" s="87" t="str">
        <f aca="false">IF(AH220="","",IF(COUNTIF(TASA_DESDE,"&lt;="&amp;B220)=0,INDEX(TASA_EMP,1),INDEX(TASA_EMP,COUNTIF(TASA_DESDE,"&lt;="&amp;B220))))</f>
        <v/>
      </c>
    </row>
    <row r="221" customFormat="false" ht="15" hidden="false" customHeight="false" outlineLevel="0" collapsed="false">
      <c r="B221" s="78"/>
      <c r="C221" s="64"/>
      <c r="D221" s="72" t="str">
        <f aca="false">IF(C221="","",IFERROR(INDEX(T_NOMBRE,MATCH(C221,T_ID,0)),"⚠ ID no existe"))</f>
        <v/>
      </c>
      <c r="E221" s="69"/>
      <c r="F221" s="67"/>
      <c r="G221" s="67"/>
      <c r="H221" s="67"/>
      <c r="I221" s="67"/>
      <c r="J221" s="67"/>
      <c r="K221" s="85" t="str">
        <f aca="false">IF(AH221="","",N(F221)+N(G221)+N(H221)-N(I221)+N(J221))</f>
        <v/>
      </c>
      <c r="L221" s="67"/>
      <c r="M221" s="67"/>
      <c r="N221" s="67"/>
      <c r="O221" s="67"/>
      <c r="P221" s="85" t="str">
        <f aca="false">IF(AH221="","",K221+N(L221)+N(M221)+N(N221)+N(O221))</f>
        <v/>
      </c>
      <c r="Q221" s="67"/>
      <c r="R221" s="67"/>
      <c r="S221" s="67"/>
      <c r="T221" s="67"/>
      <c r="U221" s="67"/>
      <c r="V221" s="67"/>
      <c r="W221" s="85" t="str">
        <f aca="false">IF(AH221="","",N(Q221)+N(R221)+N(S221)+N(T221)+N(U221)+N(V221))</f>
        <v/>
      </c>
      <c r="X221" s="85" t="str">
        <f aca="false">IF(AH221="","",P221-W221)</f>
        <v/>
      </c>
      <c r="Y221" s="67"/>
      <c r="Z221" s="70" t="str">
        <f aca="false">IF(OR(AH221="",Y221=""),"",IF(ABS(X221-Y221)&lt;=1,"✓ Cuadra","⚠ Diferencia $"&amp;FIXED(X221-Y221,0)))</f>
        <v/>
      </c>
      <c r="AA221" s="72" t="str">
        <f aca="false">IF(AH221="","",IFERROR(INDEX(C_TIPO,MATCH(C221&amp;"-P"&amp;MAX(1,COUNTIFS(C_ID,C221,C_DEFINE,"Sí",C_INICIO,"&lt;="&amp;EOMONTH(B221,0))),C_CLAVE,0))&amp;"","Sin dato"))</f>
        <v/>
      </c>
      <c r="AB221" s="71" t="str">
        <f aca="false">IF(AH221="","",ROUND(MIN(K221,TOPE_AFP_UF*AJ221)*AK221,0))</f>
        <v/>
      </c>
      <c r="AC221" s="71" t="str">
        <f aca="false">IF(AH221="","",ROUND(MIN(K221,TOPE_AFC_UF*AJ221)*IF(AA221="Indefinido",AFC_EMP_INDEF,AFC_EMP_PF),0))</f>
        <v/>
      </c>
      <c r="AD221" s="71" t="str">
        <f aca="false">IF(AH221="","",ROUND(MIN(K221,TOPE_AFP_UF*AJ221)*(MUTUAL_BASICA+MUTUAL_ADIC+SANNA),0))</f>
        <v/>
      </c>
      <c r="AE221" s="71" t="str">
        <f aca="false">IF(AH221="","",P221-N(N221)+AB221+AC221+AD221)</f>
        <v/>
      </c>
      <c r="AF221" s="65"/>
      <c r="AG221" s="64"/>
      <c r="AH221" s="72" t="str">
        <f aca="false">IF(OR(B221="",C221=""),"",C221&amp;"|"&amp;(YEAR(B221)*100+MONTH(B221)))</f>
        <v/>
      </c>
      <c r="AI221" s="70" t="str">
        <f aca="false">IF(AH221="","",IF(COUNTIF(L_CLAVE,AH221)&gt;1,"⚠ Duplicado","OK"))</f>
        <v/>
      </c>
      <c r="AJ221" s="86" t="str">
        <f aca="false">IF(AH221="","",IF(SUMPRODUCT(MAX((IND_PER&lt;=B221)*(IND_UF&lt;&gt;"")*IND_PER))=0,UF_HOY,INDEX(IND_UF,MATCH(SUMPRODUCT(MAX((IND_PER&lt;=B221)*(IND_UF&lt;&gt;"")*IND_PER)),IND_PER,0))))</f>
        <v/>
      </c>
      <c r="AK221" s="87" t="str">
        <f aca="false">IF(AH221="","",IF(COUNTIF(TASA_DESDE,"&lt;="&amp;B221)=0,INDEX(TASA_EMP,1),INDEX(TASA_EMP,COUNTIF(TASA_DESDE,"&lt;="&amp;B221))))</f>
        <v/>
      </c>
    </row>
    <row r="222" customFormat="false" ht="15" hidden="false" customHeight="false" outlineLevel="0" collapsed="false">
      <c r="B222" s="78"/>
      <c r="C222" s="64"/>
      <c r="D222" s="72" t="str">
        <f aca="false">IF(C222="","",IFERROR(INDEX(T_NOMBRE,MATCH(C222,T_ID,0)),"⚠ ID no existe"))</f>
        <v/>
      </c>
      <c r="E222" s="69"/>
      <c r="F222" s="67"/>
      <c r="G222" s="67"/>
      <c r="H222" s="67"/>
      <c r="I222" s="67"/>
      <c r="J222" s="67"/>
      <c r="K222" s="85" t="str">
        <f aca="false">IF(AH222="","",N(F222)+N(G222)+N(H222)-N(I222)+N(J222))</f>
        <v/>
      </c>
      <c r="L222" s="67"/>
      <c r="M222" s="67"/>
      <c r="N222" s="67"/>
      <c r="O222" s="67"/>
      <c r="P222" s="85" t="str">
        <f aca="false">IF(AH222="","",K222+N(L222)+N(M222)+N(N222)+N(O222))</f>
        <v/>
      </c>
      <c r="Q222" s="67"/>
      <c r="R222" s="67"/>
      <c r="S222" s="67"/>
      <c r="T222" s="67"/>
      <c r="U222" s="67"/>
      <c r="V222" s="67"/>
      <c r="W222" s="85" t="str">
        <f aca="false">IF(AH222="","",N(Q222)+N(R222)+N(S222)+N(T222)+N(U222)+N(V222))</f>
        <v/>
      </c>
      <c r="X222" s="85" t="str">
        <f aca="false">IF(AH222="","",P222-W222)</f>
        <v/>
      </c>
      <c r="Y222" s="67"/>
      <c r="Z222" s="70" t="str">
        <f aca="false">IF(OR(AH222="",Y222=""),"",IF(ABS(X222-Y222)&lt;=1,"✓ Cuadra","⚠ Diferencia $"&amp;FIXED(X222-Y222,0)))</f>
        <v/>
      </c>
      <c r="AA222" s="72" t="str">
        <f aca="false">IF(AH222="","",IFERROR(INDEX(C_TIPO,MATCH(C222&amp;"-P"&amp;MAX(1,COUNTIFS(C_ID,C222,C_DEFINE,"Sí",C_INICIO,"&lt;="&amp;EOMONTH(B222,0))),C_CLAVE,0))&amp;"","Sin dato"))</f>
        <v/>
      </c>
      <c r="AB222" s="71" t="str">
        <f aca="false">IF(AH222="","",ROUND(MIN(K222,TOPE_AFP_UF*AJ222)*AK222,0))</f>
        <v/>
      </c>
      <c r="AC222" s="71" t="str">
        <f aca="false">IF(AH222="","",ROUND(MIN(K222,TOPE_AFC_UF*AJ222)*IF(AA222="Indefinido",AFC_EMP_INDEF,AFC_EMP_PF),0))</f>
        <v/>
      </c>
      <c r="AD222" s="71" t="str">
        <f aca="false">IF(AH222="","",ROUND(MIN(K222,TOPE_AFP_UF*AJ222)*(MUTUAL_BASICA+MUTUAL_ADIC+SANNA),0))</f>
        <v/>
      </c>
      <c r="AE222" s="71" t="str">
        <f aca="false">IF(AH222="","",P222-N(N222)+AB222+AC222+AD222)</f>
        <v/>
      </c>
      <c r="AF222" s="65"/>
      <c r="AG222" s="64"/>
      <c r="AH222" s="72" t="str">
        <f aca="false">IF(OR(B222="",C222=""),"",C222&amp;"|"&amp;(YEAR(B222)*100+MONTH(B222)))</f>
        <v/>
      </c>
      <c r="AI222" s="70" t="str">
        <f aca="false">IF(AH222="","",IF(COUNTIF(L_CLAVE,AH222)&gt;1,"⚠ Duplicado","OK"))</f>
        <v/>
      </c>
      <c r="AJ222" s="86" t="str">
        <f aca="false">IF(AH222="","",IF(SUMPRODUCT(MAX((IND_PER&lt;=B222)*(IND_UF&lt;&gt;"")*IND_PER))=0,UF_HOY,INDEX(IND_UF,MATCH(SUMPRODUCT(MAX((IND_PER&lt;=B222)*(IND_UF&lt;&gt;"")*IND_PER)),IND_PER,0))))</f>
        <v/>
      </c>
      <c r="AK222" s="87" t="str">
        <f aca="false">IF(AH222="","",IF(COUNTIF(TASA_DESDE,"&lt;="&amp;B222)=0,INDEX(TASA_EMP,1),INDEX(TASA_EMP,COUNTIF(TASA_DESDE,"&lt;="&amp;B222))))</f>
        <v/>
      </c>
    </row>
    <row r="223" customFormat="false" ht="15" hidden="false" customHeight="false" outlineLevel="0" collapsed="false">
      <c r="B223" s="78"/>
      <c r="C223" s="64"/>
      <c r="D223" s="72" t="str">
        <f aca="false">IF(C223="","",IFERROR(INDEX(T_NOMBRE,MATCH(C223,T_ID,0)),"⚠ ID no existe"))</f>
        <v/>
      </c>
      <c r="E223" s="69"/>
      <c r="F223" s="67"/>
      <c r="G223" s="67"/>
      <c r="H223" s="67"/>
      <c r="I223" s="67"/>
      <c r="J223" s="67"/>
      <c r="K223" s="85" t="str">
        <f aca="false">IF(AH223="","",N(F223)+N(G223)+N(H223)-N(I223)+N(J223))</f>
        <v/>
      </c>
      <c r="L223" s="67"/>
      <c r="M223" s="67"/>
      <c r="N223" s="67"/>
      <c r="O223" s="67"/>
      <c r="P223" s="85" t="str">
        <f aca="false">IF(AH223="","",K223+N(L223)+N(M223)+N(N223)+N(O223))</f>
        <v/>
      </c>
      <c r="Q223" s="67"/>
      <c r="R223" s="67"/>
      <c r="S223" s="67"/>
      <c r="T223" s="67"/>
      <c r="U223" s="67"/>
      <c r="V223" s="67"/>
      <c r="W223" s="85" t="str">
        <f aca="false">IF(AH223="","",N(Q223)+N(R223)+N(S223)+N(T223)+N(U223)+N(V223))</f>
        <v/>
      </c>
      <c r="X223" s="85" t="str">
        <f aca="false">IF(AH223="","",P223-W223)</f>
        <v/>
      </c>
      <c r="Y223" s="67"/>
      <c r="Z223" s="70" t="str">
        <f aca="false">IF(OR(AH223="",Y223=""),"",IF(ABS(X223-Y223)&lt;=1,"✓ Cuadra","⚠ Diferencia $"&amp;FIXED(X223-Y223,0)))</f>
        <v/>
      </c>
      <c r="AA223" s="72" t="str">
        <f aca="false">IF(AH223="","",IFERROR(INDEX(C_TIPO,MATCH(C223&amp;"-P"&amp;MAX(1,COUNTIFS(C_ID,C223,C_DEFINE,"Sí",C_INICIO,"&lt;="&amp;EOMONTH(B223,0))),C_CLAVE,0))&amp;"","Sin dato"))</f>
        <v/>
      </c>
      <c r="AB223" s="71" t="str">
        <f aca="false">IF(AH223="","",ROUND(MIN(K223,TOPE_AFP_UF*AJ223)*AK223,0))</f>
        <v/>
      </c>
      <c r="AC223" s="71" t="str">
        <f aca="false">IF(AH223="","",ROUND(MIN(K223,TOPE_AFC_UF*AJ223)*IF(AA223="Indefinido",AFC_EMP_INDEF,AFC_EMP_PF),0))</f>
        <v/>
      </c>
      <c r="AD223" s="71" t="str">
        <f aca="false">IF(AH223="","",ROUND(MIN(K223,TOPE_AFP_UF*AJ223)*(MUTUAL_BASICA+MUTUAL_ADIC+SANNA),0))</f>
        <v/>
      </c>
      <c r="AE223" s="71" t="str">
        <f aca="false">IF(AH223="","",P223-N(N223)+AB223+AC223+AD223)</f>
        <v/>
      </c>
      <c r="AF223" s="65"/>
      <c r="AG223" s="64"/>
      <c r="AH223" s="72" t="str">
        <f aca="false">IF(OR(B223="",C223=""),"",C223&amp;"|"&amp;(YEAR(B223)*100+MONTH(B223)))</f>
        <v/>
      </c>
      <c r="AI223" s="70" t="str">
        <f aca="false">IF(AH223="","",IF(COUNTIF(L_CLAVE,AH223)&gt;1,"⚠ Duplicado","OK"))</f>
        <v/>
      </c>
      <c r="AJ223" s="86" t="str">
        <f aca="false">IF(AH223="","",IF(SUMPRODUCT(MAX((IND_PER&lt;=B223)*(IND_UF&lt;&gt;"")*IND_PER))=0,UF_HOY,INDEX(IND_UF,MATCH(SUMPRODUCT(MAX((IND_PER&lt;=B223)*(IND_UF&lt;&gt;"")*IND_PER)),IND_PER,0))))</f>
        <v/>
      </c>
      <c r="AK223" s="87" t="str">
        <f aca="false">IF(AH223="","",IF(COUNTIF(TASA_DESDE,"&lt;="&amp;B223)=0,INDEX(TASA_EMP,1),INDEX(TASA_EMP,COUNTIF(TASA_DESDE,"&lt;="&amp;B223))))</f>
        <v/>
      </c>
    </row>
    <row r="224" customFormat="false" ht="15" hidden="false" customHeight="false" outlineLevel="0" collapsed="false">
      <c r="B224" s="78"/>
      <c r="C224" s="64"/>
      <c r="D224" s="72" t="str">
        <f aca="false">IF(C224="","",IFERROR(INDEX(T_NOMBRE,MATCH(C224,T_ID,0)),"⚠ ID no existe"))</f>
        <v/>
      </c>
      <c r="E224" s="69"/>
      <c r="F224" s="67"/>
      <c r="G224" s="67"/>
      <c r="H224" s="67"/>
      <c r="I224" s="67"/>
      <c r="J224" s="67"/>
      <c r="K224" s="85" t="str">
        <f aca="false">IF(AH224="","",N(F224)+N(G224)+N(H224)-N(I224)+N(J224))</f>
        <v/>
      </c>
      <c r="L224" s="67"/>
      <c r="M224" s="67"/>
      <c r="N224" s="67"/>
      <c r="O224" s="67"/>
      <c r="P224" s="85" t="str">
        <f aca="false">IF(AH224="","",K224+N(L224)+N(M224)+N(N224)+N(O224))</f>
        <v/>
      </c>
      <c r="Q224" s="67"/>
      <c r="R224" s="67"/>
      <c r="S224" s="67"/>
      <c r="T224" s="67"/>
      <c r="U224" s="67"/>
      <c r="V224" s="67"/>
      <c r="W224" s="85" t="str">
        <f aca="false">IF(AH224="","",N(Q224)+N(R224)+N(S224)+N(T224)+N(U224)+N(V224))</f>
        <v/>
      </c>
      <c r="X224" s="85" t="str">
        <f aca="false">IF(AH224="","",P224-W224)</f>
        <v/>
      </c>
      <c r="Y224" s="67"/>
      <c r="Z224" s="70" t="str">
        <f aca="false">IF(OR(AH224="",Y224=""),"",IF(ABS(X224-Y224)&lt;=1,"✓ Cuadra","⚠ Diferencia $"&amp;FIXED(X224-Y224,0)))</f>
        <v/>
      </c>
      <c r="AA224" s="72" t="str">
        <f aca="false">IF(AH224="","",IFERROR(INDEX(C_TIPO,MATCH(C224&amp;"-P"&amp;MAX(1,COUNTIFS(C_ID,C224,C_DEFINE,"Sí",C_INICIO,"&lt;="&amp;EOMONTH(B224,0))),C_CLAVE,0))&amp;"","Sin dato"))</f>
        <v/>
      </c>
      <c r="AB224" s="71" t="str">
        <f aca="false">IF(AH224="","",ROUND(MIN(K224,TOPE_AFP_UF*AJ224)*AK224,0))</f>
        <v/>
      </c>
      <c r="AC224" s="71" t="str">
        <f aca="false">IF(AH224="","",ROUND(MIN(K224,TOPE_AFC_UF*AJ224)*IF(AA224="Indefinido",AFC_EMP_INDEF,AFC_EMP_PF),0))</f>
        <v/>
      </c>
      <c r="AD224" s="71" t="str">
        <f aca="false">IF(AH224="","",ROUND(MIN(K224,TOPE_AFP_UF*AJ224)*(MUTUAL_BASICA+MUTUAL_ADIC+SANNA),0))</f>
        <v/>
      </c>
      <c r="AE224" s="71" t="str">
        <f aca="false">IF(AH224="","",P224-N(N224)+AB224+AC224+AD224)</f>
        <v/>
      </c>
      <c r="AF224" s="65"/>
      <c r="AG224" s="64"/>
      <c r="AH224" s="72" t="str">
        <f aca="false">IF(OR(B224="",C224=""),"",C224&amp;"|"&amp;(YEAR(B224)*100+MONTH(B224)))</f>
        <v/>
      </c>
      <c r="AI224" s="70" t="str">
        <f aca="false">IF(AH224="","",IF(COUNTIF(L_CLAVE,AH224)&gt;1,"⚠ Duplicado","OK"))</f>
        <v/>
      </c>
      <c r="AJ224" s="86" t="str">
        <f aca="false">IF(AH224="","",IF(SUMPRODUCT(MAX((IND_PER&lt;=B224)*(IND_UF&lt;&gt;"")*IND_PER))=0,UF_HOY,INDEX(IND_UF,MATCH(SUMPRODUCT(MAX((IND_PER&lt;=B224)*(IND_UF&lt;&gt;"")*IND_PER)),IND_PER,0))))</f>
        <v/>
      </c>
      <c r="AK224" s="87" t="str">
        <f aca="false">IF(AH224="","",IF(COUNTIF(TASA_DESDE,"&lt;="&amp;B224)=0,INDEX(TASA_EMP,1),INDEX(TASA_EMP,COUNTIF(TASA_DESDE,"&lt;="&amp;B224))))</f>
        <v/>
      </c>
    </row>
    <row r="225" customFormat="false" ht="15" hidden="false" customHeight="false" outlineLevel="0" collapsed="false">
      <c r="B225" s="78"/>
      <c r="C225" s="64"/>
      <c r="D225" s="72" t="str">
        <f aca="false">IF(C225="","",IFERROR(INDEX(T_NOMBRE,MATCH(C225,T_ID,0)),"⚠ ID no existe"))</f>
        <v/>
      </c>
      <c r="E225" s="69"/>
      <c r="F225" s="67"/>
      <c r="G225" s="67"/>
      <c r="H225" s="67"/>
      <c r="I225" s="67"/>
      <c r="J225" s="67"/>
      <c r="K225" s="85" t="str">
        <f aca="false">IF(AH225="","",N(F225)+N(G225)+N(H225)-N(I225)+N(J225))</f>
        <v/>
      </c>
      <c r="L225" s="67"/>
      <c r="M225" s="67"/>
      <c r="N225" s="67"/>
      <c r="O225" s="67"/>
      <c r="P225" s="85" t="str">
        <f aca="false">IF(AH225="","",K225+N(L225)+N(M225)+N(N225)+N(O225))</f>
        <v/>
      </c>
      <c r="Q225" s="67"/>
      <c r="R225" s="67"/>
      <c r="S225" s="67"/>
      <c r="T225" s="67"/>
      <c r="U225" s="67"/>
      <c r="V225" s="67"/>
      <c r="W225" s="85" t="str">
        <f aca="false">IF(AH225="","",N(Q225)+N(R225)+N(S225)+N(T225)+N(U225)+N(V225))</f>
        <v/>
      </c>
      <c r="X225" s="85" t="str">
        <f aca="false">IF(AH225="","",P225-W225)</f>
        <v/>
      </c>
      <c r="Y225" s="67"/>
      <c r="Z225" s="70" t="str">
        <f aca="false">IF(OR(AH225="",Y225=""),"",IF(ABS(X225-Y225)&lt;=1,"✓ Cuadra","⚠ Diferencia $"&amp;FIXED(X225-Y225,0)))</f>
        <v/>
      </c>
      <c r="AA225" s="72" t="str">
        <f aca="false">IF(AH225="","",IFERROR(INDEX(C_TIPO,MATCH(C225&amp;"-P"&amp;MAX(1,COUNTIFS(C_ID,C225,C_DEFINE,"Sí",C_INICIO,"&lt;="&amp;EOMONTH(B225,0))),C_CLAVE,0))&amp;"","Sin dato"))</f>
        <v/>
      </c>
      <c r="AB225" s="71" t="str">
        <f aca="false">IF(AH225="","",ROUND(MIN(K225,TOPE_AFP_UF*AJ225)*AK225,0))</f>
        <v/>
      </c>
      <c r="AC225" s="71" t="str">
        <f aca="false">IF(AH225="","",ROUND(MIN(K225,TOPE_AFC_UF*AJ225)*IF(AA225="Indefinido",AFC_EMP_INDEF,AFC_EMP_PF),0))</f>
        <v/>
      </c>
      <c r="AD225" s="71" t="str">
        <f aca="false">IF(AH225="","",ROUND(MIN(K225,TOPE_AFP_UF*AJ225)*(MUTUAL_BASICA+MUTUAL_ADIC+SANNA),0))</f>
        <v/>
      </c>
      <c r="AE225" s="71" t="str">
        <f aca="false">IF(AH225="","",P225-N(N225)+AB225+AC225+AD225)</f>
        <v/>
      </c>
      <c r="AF225" s="65"/>
      <c r="AG225" s="64"/>
      <c r="AH225" s="72" t="str">
        <f aca="false">IF(OR(B225="",C225=""),"",C225&amp;"|"&amp;(YEAR(B225)*100+MONTH(B225)))</f>
        <v/>
      </c>
      <c r="AI225" s="70" t="str">
        <f aca="false">IF(AH225="","",IF(COUNTIF(L_CLAVE,AH225)&gt;1,"⚠ Duplicado","OK"))</f>
        <v/>
      </c>
      <c r="AJ225" s="86" t="str">
        <f aca="false">IF(AH225="","",IF(SUMPRODUCT(MAX((IND_PER&lt;=B225)*(IND_UF&lt;&gt;"")*IND_PER))=0,UF_HOY,INDEX(IND_UF,MATCH(SUMPRODUCT(MAX((IND_PER&lt;=B225)*(IND_UF&lt;&gt;"")*IND_PER)),IND_PER,0))))</f>
        <v/>
      </c>
      <c r="AK225" s="87" t="str">
        <f aca="false">IF(AH225="","",IF(COUNTIF(TASA_DESDE,"&lt;="&amp;B225)=0,INDEX(TASA_EMP,1),INDEX(TASA_EMP,COUNTIF(TASA_DESDE,"&lt;="&amp;B225))))</f>
        <v/>
      </c>
    </row>
    <row r="226" customFormat="false" ht="15" hidden="false" customHeight="false" outlineLevel="0" collapsed="false">
      <c r="B226" s="78"/>
      <c r="C226" s="64"/>
      <c r="D226" s="72" t="str">
        <f aca="false">IF(C226="","",IFERROR(INDEX(T_NOMBRE,MATCH(C226,T_ID,0)),"⚠ ID no existe"))</f>
        <v/>
      </c>
      <c r="E226" s="69"/>
      <c r="F226" s="67"/>
      <c r="G226" s="67"/>
      <c r="H226" s="67"/>
      <c r="I226" s="67"/>
      <c r="J226" s="67"/>
      <c r="K226" s="85" t="str">
        <f aca="false">IF(AH226="","",N(F226)+N(G226)+N(H226)-N(I226)+N(J226))</f>
        <v/>
      </c>
      <c r="L226" s="67"/>
      <c r="M226" s="67"/>
      <c r="N226" s="67"/>
      <c r="O226" s="67"/>
      <c r="P226" s="85" t="str">
        <f aca="false">IF(AH226="","",K226+N(L226)+N(M226)+N(N226)+N(O226))</f>
        <v/>
      </c>
      <c r="Q226" s="67"/>
      <c r="R226" s="67"/>
      <c r="S226" s="67"/>
      <c r="T226" s="67"/>
      <c r="U226" s="67"/>
      <c r="V226" s="67"/>
      <c r="W226" s="85" t="str">
        <f aca="false">IF(AH226="","",N(Q226)+N(R226)+N(S226)+N(T226)+N(U226)+N(V226))</f>
        <v/>
      </c>
      <c r="X226" s="85" t="str">
        <f aca="false">IF(AH226="","",P226-W226)</f>
        <v/>
      </c>
      <c r="Y226" s="67"/>
      <c r="Z226" s="70" t="str">
        <f aca="false">IF(OR(AH226="",Y226=""),"",IF(ABS(X226-Y226)&lt;=1,"✓ Cuadra","⚠ Diferencia $"&amp;FIXED(X226-Y226,0)))</f>
        <v/>
      </c>
      <c r="AA226" s="72" t="str">
        <f aca="false">IF(AH226="","",IFERROR(INDEX(C_TIPO,MATCH(C226&amp;"-P"&amp;MAX(1,COUNTIFS(C_ID,C226,C_DEFINE,"Sí",C_INICIO,"&lt;="&amp;EOMONTH(B226,0))),C_CLAVE,0))&amp;"","Sin dato"))</f>
        <v/>
      </c>
      <c r="AB226" s="71" t="str">
        <f aca="false">IF(AH226="","",ROUND(MIN(K226,TOPE_AFP_UF*AJ226)*AK226,0))</f>
        <v/>
      </c>
      <c r="AC226" s="71" t="str">
        <f aca="false">IF(AH226="","",ROUND(MIN(K226,TOPE_AFC_UF*AJ226)*IF(AA226="Indefinido",AFC_EMP_INDEF,AFC_EMP_PF),0))</f>
        <v/>
      </c>
      <c r="AD226" s="71" t="str">
        <f aca="false">IF(AH226="","",ROUND(MIN(K226,TOPE_AFP_UF*AJ226)*(MUTUAL_BASICA+MUTUAL_ADIC+SANNA),0))</f>
        <v/>
      </c>
      <c r="AE226" s="71" t="str">
        <f aca="false">IF(AH226="","",P226-N(N226)+AB226+AC226+AD226)</f>
        <v/>
      </c>
      <c r="AF226" s="65"/>
      <c r="AG226" s="64"/>
      <c r="AH226" s="72" t="str">
        <f aca="false">IF(OR(B226="",C226=""),"",C226&amp;"|"&amp;(YEAR(B226)*100+MONTH(B226)))</f>
        <v/>
      </c>
      <c r="AI226" s="70" t="str">
        <f aca="false">IF(AH226="","",IF(COUNTIF(L_CLAVE,AH226)&gt;1,"⚠ Duplicado","OK"))</f>
        <v/>
      </c>
      <c r="AJ226" s="86" t="str">
        <f aca="false">IF(AH226="","",IF(SUMPRODUCT(MAX((IND_PER&lt;=B226)*(IND_UF&lt;&gt;"")*IND_PER))=0,UF_HOY,INDEX(IND_UF,MATCH(SUMPRODUCT(MAX((IND_PER&lt;=B226)*(IND_UF&lt;&gt;"")*IND_PER)),IND_PER,0))))</f>
        <v/>
      </c>
      <c r="AK226" s="87" t="str">
        <f aca="false">IF(AH226="","",IF(COUNTIF(TASA_DESDE,"&lt;="&amp;B226)=0,INDEX(TASA_EMP,1),INDEX(TASA_EMP,COUNTIF(TASA_DESDE,"&lt;="&amp;B226))))</f>
        <v/>
      </c>
    </row>
    <row r="227" customFormat="false" ht="15" hidden="false" customHeight="false" outlineLevel="0" collapsed="false">
      <c r="B227" s="78"/>
      <c r="C227" s="64"/>
      <c r="D227" s="72" t="str">
        <f aca="false">IF(C227="","",IFERROR(INDEX(T_NOMBRE,MATCH(C227,T_ID,0)),"⚠ ID no existe"))</f>
        <v/>
      </c>
      <c r="E227" s="69"/>
      <c r="F227" s="67"/>
      <c r="G227" s="67"/>
      <c r="H227" s="67"/>
      <c r="I227" s="67"/>
      <c r="J227" s="67"/>
      <c r="K227" s="85" t="str">
        <f aca="false">IF(AH227="","",N(F227)+N(G227)+N(H227)-N(I227)+N(J227))</f>
        <v/>
      </c>
      <c r="L227" s="67"/>
      <c r="M227" s="67"/>
      <c r="N227" s="67"/>
      <c r="O227" s="67"/>
      <c r="P227" s="85" t="str">
        <f aca="false">IF(AH227="","",K227+N(L227)+N(M227)+N(N227)+N(O227))</f>
        <v/>
      </c>
      <c r="Q227" s="67"/>
      <c r="R227" s="67"/>
      <c r="S227" s="67"/>
      <c r="T227" s="67"/>
      <c r="U227" s="67"/>
      <c r="V227" s="67"/>
      <c r="W227" s="85" t="str">
        <f aca="false">IF(AH227="","",N(Q227)+N(R227)+N(S227)+N(T227)+N(U227)+N(V227))</f>
        <v/>
      </c>
      <c r="X227" s="85" t="str">
        <f aca="false">IF(AH227="","",P227-W227)</f>
        <v/>
      </c>
      <c r="Y227" s="67"/>
      <c r="Z227" s="70" t="str">
        <f aca="false">IF(OR(AH227="",Y227=""),"",IF(ABS(X227-Y227)&lt;=1,"✓ Cuadra","⚠ Diferencia $"&amp;FIXED(X227-Y227,0)))</f>
        <v/>
      </c>
      <c r="AA227" s="72" t="str">
        <f aca="false">IF(AH227="","",IFERROR(INDEX(C_TIPO,MATCH(C227&amp;"-P"&amp;MAX(1,COUNTIFS(C_ID,C227,C_DEFINE,"Sí",C_INICIO,"&lt;="&amp;EOMONTH(B227,0))),C_CLAVE,0))&amp;"","Sin dato"))</f>
        <v/>
      </c>
      <c r="AB227" s="71" t="str">
        <f aca="false">IF(AH227="","",ROUND(MIN(K227,TOPE_AFP_UF*AJ227)*AK227,0))</f>
        <v/>
      </c>
      <c r="AC227" s="71" t="str">
        <f aca="false">IF(AH227="","",ROUND(MIN(K227,TOPE_AFC_UF*AJ227)*IF(AA227="Indefinido",AFC_EMP_INDEF,AFC_EMP_PF),0))</f>
        <v/>
      </c>
      <c r="AD227" s="71" t="str">
        <f aca="false">IF(AH227="","",ROUND(MIN(K227,TOPE_AFP_UF*AJ227)*(MUTUAL_BASICA+MUTUAL_ADIC+SANNA),0))</f>
        <v/>
      </c>
      <c r="AE227" s="71" t="str">
        <f aca="false">IF(AH227="","",P227-N(N227)+AB227+AC227+AD227)</f>
        <v/>
      </c>
      <c r="AF227" s="65"/>
      <c r="AG227" s="64"/>
      <c r="AH227" s="72" t="str">
        <f aca="false">IF(OR(B227="",C227=""),"",C227&amp;"|"&amp;(YEAR(B227)*100+MONTH(B227)))</f>
        <v/>
      </c>
      <c r="AI227" s="70" t="str">
        <f aca="false">IF(AH227="","",IF(COUNTIF(L_CLAVE,AH227)&gt;1,"⚠ Duplicado","OK"))</f>
        <v/>
      </c>
      <c r="AJ227" s="86" t="str">
        <f aca="false">IF(AH227="","",IF(SUMPRODUCT(MAX((IND_PER&lt;=B227)*(IND_UF&lt;&gt;"")*IND_PER))=0,UF_HOY,INDEX(IND_UF,MATCH(SUMPRODUCT(MAX((IND_PER&lt;=B227)*(IND_UF&lt;&gt;"")*IND_PER)),IND_PER,0))))</f>
        <v/>
      </c>
      <c r="AK227" s="87" t="str">
        <f aca="false">IF(AH227="","",IF(COUNTIF(TASA_DESDE,"&lt;="&amp;B227)=0,INDEX(TASA_EMP,1),INDEX(TASA_EMP,COUNTIF(TASA_DESDE,"&lt;="&amp;B227))))</f>
        <v/>
      </c>
    </row>
    <row r="228" customFormat="false" ht="15" hidden="false" customHeight="false" outlineLevel="0" collapsed="false">
      <c r="B228" s="78"/>
      <c r="C228" s="64"/>
      <c r="D228" s="72" t="str">
        <f aca="false">IF(C228="","",IFERROR(INDEX(T_NOMBRE,MATCH(C228,T_ID,0)),"⚠ ID no existe"))</f>
        <v/>
      </c>
      <c r="E228" s="69"/>
      <c r="F228" s="67"/>
      <c r="G228" s="67"/>
      <c r="H228" s="67"/>
      <c r="I228" s="67"/>
      <c r="J228" s="67"/>
      <c r="K228" s="85" t="str">
        <f aca="false">IF(AH228="","",N(F228)+N(G228)+N(H228)-N(I228)+N(J228))</f>
        <v/>
      </c>
      <c r="L228" s="67"/>
      <c r="M228" s="67"/>
      <c r="N228" s="67"/>
      <c r="O228" s="67"/>
      <c r="P228" s="85" t="str">
        <f aca="false">IF(AH228="","",K228+N(L228)+N(M228)+N(N228)+N(O228))</f>
        <v/>
      </c>
      <c r="Q228" s="67"/>
      <c r="R228" s="67"/>
      <c r="S228" s="67"/>
      <c r="T228" s="67"/>
      <c r="U228" s="67"/>
      <c r="V228" s="67"/>
      <c r="W228" s="85" t="str">
        <f aca="false">IF(AH228="","",N(Q228)+N(R228)+N(S228)+N(T228)+N(U228)+N(V228))</f>
        <v/>
      </c>
      <c r="X228" s="85" t="str">
        <f aca="false">IF(AH228="","",P228-W228)</f>
        <v/>
      </c>
      <c r="Y228" s="67"/>
      <c r="Z228" s="70" t="str">
        <f aca="false">IF(OR(AH228="",Y228=""),"",IF(ABS(X228-Y228)&lt;=1,"✓ Cuadra","⚠ Diferencia $"&amp;FIXED(X228-Y228,0)))</f>
        <v/>
      </c>
      <c r="AA228" s="72" t="str">
        <f aca="false">IF(AH228="","",IFERROR(INDEX(C_TIPO,MATCH(C228&amp;"-P"&amp;MAX(1,COUNTIFS(C_ID,C228,C_DEFINE,"Sí",C_INICIO,"&lt;="&amp;EOMONTH(B228,0))),C_CLAVE,0))&amp;"","Sin dato"))</f>
        <v/>
      </c>
      <c r="AB228" s="71" t="str">
        <f aca="false">IF(AH228="","",ROUND(MIN(K228,TOPE_AFP_UF*AJ228)*AK228,0))</f>
        <v/>
      </c>
      <c r="AC228" s="71" t="str">
        <f aca="false">IF(AH228="","",ROUND(MIN(K228,TOPE_AFC_UF*AJ228)*IF(AA228="Indefinido",AFC_EMP_INDEF,AFC_EMP_PF),0))</f>
        <v/>
      </c>
      <c r="AD228" s="71" t="str">
        <f aca="false">IF(AH228="","",ROUND(MIN(K228,TOPE_AFP_UF*AJ228)*(MUTUAL_BASICA+MUTUAL_ADIC+SANNA),0))</f>
        <v/>
      </c>
      <c r="AE228" s="71" t="str">
        <f aca="false">IF(AH228="","",P228-N(N228)+AB228+AC228+AD228)</f>
        <v/>
      </c>
      <c r="AF228" s="65"/>
      <c r="AG228" s="64"/>
      <c r="AH228" s="72" t="str">
        <f aca="false">IF(OR(B228="",C228=""),"",C228&amp;"|"&amp;(YEAR(B228)*100+MONTH(B228)))</f>
        <v/>
      </c>
      <c r="AI228" s="70" t="str">
        <f aca="false">IF(AH228="","",IF(COUNTIF(L_CLAVE,AH228)&gt;1,"⚠ Duplicado","OK"))</f>
        <v/>
      </c>
      <c r="AJ228" s="86" t="str">
        <f aca="false">IF(AH228="","",IF(SUMPRODUCT(MAX((IND_PER&lt;=B228)*(IND_UF&lt;&gt;"")*IND_PER))=0,UF_HOY,INDEX(IND_UF,MATCH(SUMPRODUCT(MAX((IND_PER&lt;=B228)*(IND_UF&lt;&gt;"")*IND_PER)),IND_PER,0))))</f>
        <v/>
      </c>
      <c r="AK228" s="87" t="str">
        <f aca="false">IF(AH228="","",IF(COUNTIF(TASA_DESDE,"&lt;="&amp;B228)=0,INDEX(TASA_EMP,1),INDEX(TASA_EMP,COUNTIF(TASA_DESDE,"&lt;="&amp;B228))))</f>
        <v/>
      </c>
    </row>
    <row r="229" customFormat="false" ht="15" hidden="false" customHeight="false" outlineLevel="0" collapsed="false">
      <c r="B229" s="78"/>
      <c r="C229" s="64"/>
      <c r="D229" s="72" t="str">
        <f aca="false">IF(C229="","",IFERROR(INDEX(T_NOMBRE,MATCH(C229,T_ID,0)),"⚠ ID no existe"))</f>
        <v/>
      </c>
      <c r="E229" s="69"/>
      <c r="F229" s="67"/>
      <c r="G229" s="67"/>
      <c r="H229" s="67"/>
      <c r="I229" s="67"/>
      <c r="J229" s="67"/>
      <c r="K229" s="85" t="str">
        <f aca="false">IF(AH229="","",N(F229)+N(G229)+N(H229)-N(I229)+N(J229))</f>
        <v/>
      </c>
      <c r="L229" s="67"/>
      <c r="M229" s="67"/>
      <c r="N229" s="67"/>
      <c r="O229" s="67"/>
      <c r="P229" s="85" t="str">
        <f aca="false">IF(AH229="","",K229+N(L229)+N(M229)+N(N229)+N(O229))</f>
        <v/>
      </c>
      <c r="Q229" s="67"/>
      <c r="R229" s="67"/>
      <c r="S229" s="67"/>
      <c r="T229" s="67"/>
      <c r="U229" s="67"/>
      <c r="V229" s="67"/>
      <c r="W229" s="85" t="str">
        <f aca="false">IF(AH229="","",N(Q229)+N(R229)+N(S229)+N(T229)+N(U229)+N(V229))</f>
        <v/>
      </c>
      <c r="X229" s="85" t="str">
        <f aca="false">IF(AH229="","",P229-W229)</f>
        <v/>
      </c>
      <c r="Y229" s="67"/>
      <c r="Z229" s="70" t="str">
        <f aca="false">IF(OR(AH229="",Y229=""),"",IF(ABS(X229-Y229)&lt;=1,"✓ Cuadra","⚠ Diferencia $"&amp;FIXED(X229-Y229,0)))</f>
        <v/>
      </c>
      <c r="AA229" s="72" t="str">
        <f aca="false">IF(AH229="","",IFERROR(INDEX(C_TIPO,MATCH(C229&amp;"-P"&amp;MAX(1,COUNTIFS(C_ID,C229,C_DEFINE,"Sí",C_INICIO,"&lt;="&amp;EOMONTH(B229,0))),C_CLAVE,0))&amp;"","Sin dato"))</f>
        <v/>
      </c>
      <c r="AB229" s="71" t="str">
        <f aca="false">IF(AH229="","",ROUND(MIN(K229,TOPE_AFP_UF*AJ229)*AK229,0))</f>
        <v/>
      </c>
      <c r="AC229" s="71" t="str">
        <f aca="false">IF(AH229="","",ROUND(MIN(K229,TOPE_AFC_UF*AJ229)*IF(AA229="Indefinido",AFC_EMP_INDEF,AFC_EMP_PF),0))</f>
        <v/>
      </c>
      <c r="AD229" s="71" t="str">
        <f aca="false">IF(AH229="","",ROUND(MIN(K229,TOPE_AFP_UF*AJ229)*(MUTUAL_BASICA+MUTUAL_ADIC+SANNA),0))</f>
        <v/>
      </c>
      <c r="AE229" s="71" t="str">
        <f aca="false">IF(AH229="","",P229-N(N229)+AB229+AC229+AD229)</f>
        <v/>
      </c>
      <c r="AF229" s="65"/>
      <c r="AG229" s="64"/>
      <c r="AH229" s="72" t="str">
        <f aca="false">IF(OR(B229="",C229=""),"",C229&amp;"|"&amp;(YEAR(B229)*100+MONTH(B229)))</f>
        <v/>
      </c>
      <c r="AI229" s="70" t="str">
        <f aca="false">IF(AH229="","",IF(COUNTIF(L_CLAVE,AH229)&gt;1,"⚠ Duplicado","OK"))</f>
        <v/>
      </c>
      <c r="AJ229" s="86" t="str">
        <f aca="false">IF(AH229="","",IF(SUMPRODUCT(MAX((IND_PER&lt;=B229)*(IND_UF&lt;&gt;"")*IND_PER))=0,UF_HOY,INDEX(IND_UF,MATCH(SUMPRODUCT(MAX((IND_PER&lt;=B229)*(IND_UF&lt;&gt;"")*IND_PER)),IND_PER,0))))</f>
        <v/>
      </c>
      <c r="AK229" s="87" t="str">
        <f aca="false">IF(AH229="","",IF(COUNTIF(TASA_DESDE,"&lt;="&amp;B229)=0,INDEX(TASA_EMP,1),INDEX(TASA_EMP,COUNTIF(TASA_DESDE,"&lt;="&amp;B229))))</f>
        <v/>
      </c>
    </row>
    <row r="230" customFormat="false" ht="15" hidden="false" customHeight="false" outlineLevel="0" collapsed="false">
      <c r="B230" s="78"/>
      <c r="C230" s="64"/>
      <c r="D230" s="72" t="str">
        <f aca="false">IF(C230="","",IFERROR(INDEX(T_NOMBRE,MATCH(C230,T_ID,0)),"⚠ ID no existe"))</f>
        <v/>
      </c>
      <c r="E230" s="69"/>
      <c r="F230" s="67"/>
      <c r="G230" s="67"/>
      <c r="H230" s="67"/>
      <c r="I230" s="67"/>
      <c r="J230" s="67"/>
      <c r="K230" s="85" t="str">
        <f aca="false">IF(AH230="","",N(F230)+N(G230)+N(H230)-N(I230)+N(J230))</f>
        <v/>
      </c>
      <c r="L230" s="67"/>
      <c r="M230" s="67"/>
      <c r="N230" s="67"/>
      <c r="O230" s="67"/>
      <c r="P230" s="85" t="str">
        <f aca="false">IF(AH230="","",K230+N(L230)+N(M230)+N(N230)+N(O230))</f>
        <v/>
      </c>
      <c r="Q230" s="67"/>
      <c r="R230" s="67"/>
      <c r="S230" s="67"/>
      <c r="T230" s="67"/>
      <c r="U230" s="67"/>
      <c r="V230" s="67"/>
      <c r="W230" s="85" t="str">
        <f aca="false">IF(AH230="","",N(Q230)+N(R230)+N(S230)+N(T230)+N(U230)+N(V230))</f>
        <v/>
      </c>
      <c r="X230" s="85" t="str">
        <f aca="false">IF(AH230="","",P230-W230)</f>
        <v/>
      </c>
      <c r="Y230" s="67"/>
      <c r="Z230" s="70" t="str">
        <f aca="false">IF(OR(AH230="",Y230=""),"",IF(ABS(X230-Y230)&lt;=1,"✓ Cuadra","⚠ Diferencia $"&amp;FIXED(X230-Y230,0)))</f>
        <v/>
      </c>
      <c r="AA230" s="72" t="str">
        <f aca="false">IF(AH230="","",IFERROR(INDEX(C_TIPO,MATCH(C230&amp;"-P"&amp;MAX(1,COUNTIFS(C_ID,C230,C_DEFINE,"Sí",C_INICIO,"&lt;="&amp;EOMONTH(B230,0))),C_CLAVE,0))&amp;"","Sin dato"))</f>
        <v/>
      </c>
      <c r="AB230" s="71" t="str">
        <f aca="false">IF(AH230="","",ROUND(MIN(K230,TOPE_AFP_UF*AJ230)*AK230,0))</f>
        <v/>
      </c>
      <c r="AC230" s="71" t="str">
        <f aca="false">IF(AH230="","",ROUND(MIN(K230,TOPE_AFC_UF*AJ230)*IF(AA230="Indefinido",AFC_EMP_INDEF,AFC_EMP_PF),0))</f>
        <v/>
      </c>
      <c r="AD230" s="71" t="str">
        <f aca="false">IF(AH230="","",ROUND(MIN(K230,TOPE_AFP_UF*AJ230)*(MUTUAL_BASICA+MUTUAL_ADIC+SANNA),0))</f>
        <v/>
      </c>
      <c r="AE230" s="71" t="str">
        <f aca="false">IF(AH230="","",P230-N(N230)+AB230+AC230+AD230)</f>
        <v/>
      </c>
      <c r="AF230" s="65"/>
      <c r="AG230" s="64"/>
      <c r="AH230" s="72" t="str">
        <f aca="false">IF(OR(B230="",C230=""),"",C230&amp;"|"&amp;(YEAR(B230)*100+MONTH(B230)))</f>
        <v/>
      </c>
      <c r="AI230" s="70" t="str">
        <f aca="false">IF(AH230="","",IF(COUNTIF(L_CLAVE,AH230)&gt;1,"⚠ Duplicado","OK"))</f>
        <v/>
      </c>
      <c r="AJ230" s="86" t="str">
        <f aca="false">IF(AH230="","",IF(SUMPRODUCT(MAX((IND_PER&lt;=B230)*(IND_UF&lt;&gt;"")*IND_PER))=0,UF_HOY,INDEX(IND_UF,MATCH(SUMPRODUCT(MAX((IND_PER&lt;=B230)*(IND_UF&lt;&gt;"")*IND_PER)),IND_PER,0))))</f>
        <v/>
      </c>
      <c r="AK230" s="87" t="str">
        <f aca="false">IF(AH230="","",IF(COUNTIF(TASA_DESDE,"&lt;="&amp;B230)=0,INDEX(TASA_EMP,1),INDEX(TASA_EMP,COUNTIF(TASA_DESDE,"&lt;="&amp;B230))))</f>
        <v/>
      </c>
    </row>
    <row r="231" customFormat="false" ht="15" hidden="false" customHeight="false" outlineLevel="0" collapsed="false">
      <c r="B231" s="78"/>
      <c r="C231" s="64"/>
      <c r="D231" s="72" t="str">
        <f aca="false">IF(C231="","",IFERROR(INDEX(T_NOMBRE,MATCH(C231,T_ID,0)),"⚠ ID no existe"))</f>
        <v/>
      </c>
      <c r="E231" s="69"/>
      <c r="F231" s="67"/>
      <c r="G231" s="67"/>
      <c r="H231" s="67"/>
      <c r="I231" s="67"/>
      <c r="J231" s="67"/>
      <c r="K231" s="85" t="str">
        <f aca="false">IF(AH231="","",N(F231)+N(G231)+N(H231)-N(I231)+N(J231))</f>
        <v/>
      </c>
      <c r="L231" s="67"/>
      <c r="M231" s="67"/>
      <c r="N231" s="67"/>
      <c r="O231" s="67"/>
      <c r="P231" s="85" t="str">
        <f aca="false">IF(AH231="","",K231+N(L231)+N(M231)+N(N231)+N(O231))</f>
        <v/>
      </c>
      <c r="Q231" s="67"/>
      <c r="R231" s="67"/>
      <c r="S231" s="67"/>
      <c r="T231" s="67"/>
      <c r="U231" s="67"/>
      <c r="V231" s="67"/>
      <c r="W231" s="85" t="str">
        <f aca="false">IF(AH231="","",N(Q231)+N(R231)+N(S231)+N(T231)+N(U231)+N(V231))</f>
        <v/>
      </c>
      <c r="X231" s="85" t="str">
        <f aca="false">IF(AH231="","",P231-W231)</f>
        <v/>
      </c>
      <c r="Y231" s="67"/>
      <c r="Z231" s="70" t="str">
        <f aca="false">IF(OR(AH231="",Y231=""),"",IF(ABS(X231-Y231)&lt;=1,"✓ Cuadra","⚠ Diferencia $"&amp;FIXED(X231-Y231,0)))</f>
        <v/>
      </c>
      <c r="AA231" s="72" t="str">
        <f aca="false">IF(AH231="","",IFERROR(INDEX(C_TIPO,MATCH(C231&amp;"-P"&amp;MAX(1,COUNTIFS(C_ID,C231,C_DEFINE,"Sí",C_INICIO,"&lt;="&amp;EOMONTH(B231,0))),C_CLAVE,0))&amp;"","Sin dato"))</f>
        <v/>
      </c>
      <c r="AB231" s="71" t="str">
        <f aca="false">IF(AH231="","",ROUND(MIN(K231,TOPE_AFP_UF*AJ231)*AK231,0))</f>
        <v/>
      </c>
      <c r="AC231" s="71" t="str">
        <f aca="false">IF(AH231="","",ROUND(MIN(K231,TOPE_AFC_UF*AJ231)*IF(AA231="Indefinido",AFC_EMP_INDEF,AFC_EMP_PF),0))</f>
        <v/>
      </c>
      <c r="AD231" s="71" t="str">
        <f aca="false">IF(AH231="","",ROUND(MIN(K231,TOPE_AFP_UF*AJ231)*(MUTUAL_BASICA+MUTUAL_ADIC+SANNA),0))</f>
        <v/>
      </c>
      <c r="AE231" s="71" t="str">
        <f aca="false">IF(AH231="","",P231-N(N231)+AB231+AC231+AD231)</f>
        <v/>
      </c>
      <c r="AF231" s="65"/>
      <c r="AG231" s="64"/>
      <c r="AH231" s="72" t="str">
        <f aca="false">IF(OR(B231="",C231=""),"",C231&amp;"|"&amp;(YEAR(B231)*100+MONTH(B231)))</f>
        <v/>
      </c>
      <c r="AI231" s="70" t="str">
        <f aca="false">IF(AH231="","",IF(COUNTIF(L_CLAVE,AH231)&gt;1,"⚠ Duplicado","OK"))</f>
        <v/>
      </c>
      <c r="AJ231" s="86" t="str">
        <f aca="false">IF(AH231="","",IF(SUMPRODUCT(MAX((IND_PER&lt;=B231)*(IND_UF&lt;&gt;"")*IND_PER))=0,UF_HOY,INDEX(IND_UF,MATCH(SUMPRODUCT(MAX((IND_PER&lt;=B231)*(IND_UF&lt;&gt;"")*IND_PER)),IND_PER,0))))</f>
        <v/>
      </c>
      <c r="AK231" s="87" t="str">
        <f aca="false">IF(AH231="","",IF(COUNTIF(TASA_DESDE,"&lt;="&amp;B231)=0,INDEX(TASA_EMP,1),INDEX(TASA_EMP,COUNTIF(TASA_DESDE,"&lt;="&amp;B231))))</f>
        <v/>
      </c>
    </row>
    <row r="232" customFormat="false" ht="15" hidden="false" customHeight="false" outlineLevel="0" collapsed="false">
      <c r="B232" s="78"/>
      <c r="C232" s="64"/>
      <c r="D232" s="72" t="str">
        <f aca="false">IF(C232="","",IFERROR(INDEX(T_NOMBRE,MATCH(C232,T_ID,0)),"⚠ ID no existe"))</f>
        <v/>
      </c>
      <c r="E232" s="69"/>
      <c r="F232" s="67"/>
      <c r="G232" s="67"/>
      <c r="H232" s="67"/>
      <c r="I232" s="67"/>
      <c r="J232" s="67"/>
      <c r="K232" s="85" t="str">
        <f aca="false">IF(AH232="","",N(F232)+N(G232)+N(H232)-N(I232)+N(J232))</f>
        <v/>
      </c>
      <c r="L232" s="67"/>
      <c r="M232" s="67"/>
      <c r="N232" s="67"/>
      <c r="O232" s="67"/>
      <c r="P232" s="85" t="str">
        <f aca="false">IF(AH232="","",K232+N(L232)+N(M232)+N(N232)+N(O232))</f>
        <v/>
      </c>
      <c r="Q232" s="67"/>
      <c r="R232" s="67"/>
      <c r="S232" s="67"/>
      <c r="T232" s="67"/>
      <c r="U232" s="67"/>
      <c r="V232" s="67"/>
      <c r="W232" s="85" t="str">
        <f aca="false">IF(AH232="","",N(Q232)+N(R232)+N(S232)+N(T232)+N(U232)+N(V232))</f>
        <v/>
      </c>
      <c r="X232" s="85" t="str">
        <f aca="false">IF(AH232="","",P232-W232)</f>
        <v/>
      </c>
      <c r="Y232" s="67"/>
      <c r="Z232" s="70" t="str">
        <f aca="false">IF(OR(AH232="",Y232=""),"",IF(ABS(X232-Y232)&lt;=1,"✓ Cuadra","⚠ Diferencia $"&amp;FIXED(X232-Y232,0)))</f>
        <v/>
      </c>
      <c r="AA232" s="72" t="str">
        <f aca="false">IF(AH232="","",IFERROR(INDEX(C_TIPO,MATCH(C232&amp;"-P"&amp;MAX(1,COUNTIFS(C_ID,C232,C_DEFINE,"Sí",C_INICIO,"&lt;="&amp;EOMONTH(B232,0))),C_CLAVE,0))&amp;"","Sin dato"))</f>
        <v/>
      </c>
      <c r="AB232" s="71" t="str">
        <f aca="false">IF(AH232="","",ROUND(MIN(K232,TOPE_AFP_UF*AJ232)*AK232,0))</f>
        <v/>
      </c>
      <c r="AC232" s="71" t="str">
        <f aca="false">IF(AH232="","",ROUND(MIN(K232,TOPE_AFC_UF*AJ232)*IF(AA232="Indefinido",AFC_EMP_INDEF,AFC_EMP_PF),0))</f>
        <v/>
      </c>
      <c r="AD232" s="71" t="str">
        <f aca="false">IF(AH232="","",ROUND(MIN(K232,TOPE_AFP_UF*AJ232)*(MUTUAL_BASICA+MUTUAL_ADIC+SANNA),0))</f>
        <v/>
      </c>
      <c r="AE232" s="71" t="str">
        <f aca="false">IF(AH232="","",P232-N(N232)+AB232+AC232+AD232)</f>
        <v/>
      </c>
      <c r="AF232" s="65"/>
      <c r="AG232" s="64"/>
      <c r="AH232" s="72" t="str">
        <f aca="false">IF(OR(B232="",C232=""),"",C232&amp;"|"&amp;(YEAR(B232)*100+MONTH(B232)))</f>
        <v/>
      </c>
      <c r="AI232" s="70" t="str">
        <f aca="false">IF(AH232="","",IF(COUNTIF(L_CLAVE,AH232)&gt;1,"⚠ Duplicado","OK"))</f>
        <v/>
      </c>
      <c r="AJ232" s="86" t="str">
        <f aca="false">IF(AH232="","",IF(SUMPRODUCT(MAX((IND_PER&lt;=B232)*(IND_UF&lt;&gt;"")*IND_PER))=0,UF_HOY,INDEX(IND_UF,MATCH(SUMPRODUCT(MAX((IND_PER&lt;=B232)*(IND_UF&lt;&gt;"")*IND_PER)),IND_PER,0))))</f>
        <v/>
      </c>
      <c r="AK232" s="87" t="str">
        <f aca="false">IF(AH232="","",IF(COUNTIF(TASA_DESDE,"&lt;="&amp;B232)=0,INDEX(TASA_EMP,1),INDEX(TASA_EMP,COUNTIF(TASA_DESDE,"&lt;="&amp;B232))))</f>
        <v/>
      </c>
    </row>
    <row r="233" customFormat="false" ht="15" hidden="false" customHeight="false" outlineLevel="0" collapsed="false">
      <c r="B233" s="78"/>
      <c r="C233" s="64"/>
      <c r="D233" s="72" t="str">
        <f aca="false">IF(C233="","",IFERROR(INDEX(T_NOMBRE,MATCH(C233,T_ID,0)),"⚠ ID no existe"))</f>
        <v/>
      </c>
      <c r="E233" s="69"/>
      <c r="F233" s="67"/>
      <c r="G233" s="67"/>
      <c r="H233" s="67"/>
      <c r="I233" s="67"/>
      <c r="J233" s="67"/>
      <c r="K233" s="85" t="str">
        <f aca="false">IF(AH233="","",N(F233)+N(G233)+N(H233)-N(I233)+N(J233))</f>
        <v/>
      </c>
      <c r="L233" s="67"/>
      <c r="M233" s="67"/>
      <c r="N233" s="67"/>
      <c r="O233" s="67"/>
      <c r="P233" s="85" t="str">
        <f aca="false">IF(AH233="","",K233+N(L233)+N(M233)+N(N233)+N(O233))</f>
        <v/>
      </c>
      <c r="Q233" s="67"/>
      <c r="R233" s="67"/>
      <c r="S233" s="67"/>
      <c r="T233" s="67"/>
      <c r="U233" s="67"/>
      <c r="V233" s="67"/>
      <c r="W233" s="85" t="str">
        <f aca="false">IF(AH233="","",N(Q233)+N(R233)+N(S233)+N(T233)+N(U233)+N(V233))</f>
        <v/>
      </c>
      <c r="X233" s="85" t="str">
        <f aca="false">IF(AH233="","",P233-W233)</f>
        <v/>
      </c>
      <c r="Y233" s="67"/>
      <c r="Z233" s="70" t="str">
        <f aca="false">IF(OR(AH233="",Y233=""),"",IF(ABS(X233-Y233)&lt;=1,"✓ Cuadra","⚠ Diferencia $"&amp;FIXED(X233-Y233,0)))</f>
        <v/>
      </c>
      <c r="AA233" s="72" t="str">
        <f aca="false">IF(AH233="","",IFERROR(INDEX(C_TIPO,MATCH(C233&amp;"-P"&amp;MAX(1,COUNTIFS(C_ID,C233,C_DEFINE,"Sí",C_INICIO,"&lt;="&amp;EOMONTH(B233,0))),C_CLAVE,0))&amp;"","Sin dato"))</f>
        <v/>
      </c>
      <c r="AB233" s="71" t="str">
        <f aca="false">IF(AH233="","",ROUND(MIN(K233,TOPE_AFP_UF*AJ233)*AK233,0))</f>
        <v/>
      </c>
      <c r="AC233" s="71" t="str">
        <f aca="false">IF(AH233="","",ROUND(MIN(K233,TOPE_AFC_UF*AJ233)*IF(AA233="Indefinido",AFC_EMP_INDEF,AFC_EMP_PF),0))</f>
        <v/>
      </c>
      <c r="AD233" s="71" t="str">
        <f aca="false">IF(AH233="","",ROUND(MIN(K233,TOPE_AFP_UF*AJ233)*(MUTUAL_BASICA+MUTUAL_ADIC+SANNA),0))</f>
        <v/>
      </c>
      <c r="AE233" s="71" t="str">
        <f aca="false">IF(AH233="","",P233-N(N233)+AB233+AC233+AD233)</f>
        <v/>
      </c>
      <c r="AF233" s="65"/>
      <c r="AG233" s="64"/>
      <c r="AH233" s="72" t="str">
        <f aca="false">IF(OR(B233="",C233=""),"",C233&amp;"|"&amp;(YEAR(B233)*100+MONTH(B233)))</f>
        <v/>
      </c>
      <c r="AI233" s="70" t="str">
        <f aca="false">IF(AH233="","",IF(COUNTIF(L_CLAVE,AH233)&gt;1,"⚠ Duplicado","OK"))</f>
        <v/>
      </c>
      <c r="AJ233" s="86" t="str">
        <f aca="false">IF(AH233="","",IF(SUMPRODUCT(MAX((IND_PER&lt;=B233)*(IND_UF&lt;&gt;"")*IND_PER))=0,UF_HOY,INDEX(IND_UF,MATCH(SUMPRODUCT(MAX((IND_PER&lt;=B233)*(IND_UF&lt;&gt;"")*IND_PER)),IND_PER,0))))</f>
        <v/>
      </c>
      <c r="AK233" s="87" t="str">
        <f aca="false">IF(AH233="","",IF(COUNTIF(TASA_DESDE,"&lt;="&amp;B233)=0,INDEX(TASA_EMP,1),INDEX(TASA_EMP,COUNTIF(TASA_DESDE,"&lt;="&amp;B233))))</f>
        <v/>
      </c>
    </row>
    <row r="234" customFormat="false" ht="15" hidden="false" customHeight="false" outlineLevel="0" collapsed="false">
      <c r="B234" s="78"/>
      <c r="C234" s="64"/>
      <c r="D234" s="72" t="str">
        <f aca="false">IF(C234="","",IFERROR(INDEX(T_NOMBRE,MATCH(C234,T_ID,0)),"⚠ ID no existe"))</f>
        <v/>
      </c>
      <c r="E234" s="69"/>
      <c r="F234" s="67"/>
      <c r="G234" s="67"/>
      <c r="H234" s="67"/>
      <c r="I234" s="67"/>
      <c r="J234" s="67"/>
      <c r="K234" s="85" t="str">
        <f aca="false">IF(AH234="","",N(F234)+N(G234)+N(H234)-N(I234)+N(J234))</f>
        <v/>
      </c>
      <c r="L234" s="67"/>
      <c r="M234" s="67"/>
      <c r="N234" s="67"/>
      <c r="O234" s="67"/>
      <c r="P234" s="85" t="str">
        <f aca="false">IF(AH234="","",K234+N(L234)+N(M234)+N(N234)+N(O234))</f>
        <v/>
      </c>
      <c r="Q234" s="67"/>
      <c r="R234" s="67"/>
      <c r="S234" s="67"/>
      <c r="T234" s="67"/>
      <c r="U234" s="67"/>
      <c r="V234" s="67"/>
      <c r="W234" s="85" t="str">
        <f aca="false">IF(AH234="","",N(Q234)+N(R234)+N(S234)+N(T234)+N(U234)+N(V234))</f>
        <v/>
      </c>
      <c r="X234" s="85" t="str">
        <f aca="false">IF(AH234="","",P234-W234)</f>
        <v/>
      </c>
      <c r="Y234" s="67"/>
      <c r="Z234" s="70" t="str">
        <f aca="false">IF(OR(AH234="",Y234=""),"",IF(ABS(X234-Y234)&lt;=1,"✓ Cuadra","⚠ Diferencia $"&amp;FIXED(X234-Y234,0)))</f>
        <v/>
      </c>
      <c r="AA234" s="72" t="str">
        <f aca="false">IF(AH234="","",IFERROR(INDEX(C_TIPO,MATCH(C234&amp;"-P"&amp;MAX(1,COUNTIFS(C_ID,C234,C_DEFINE,"Sí",C_INICIO,"&lt;="&amp;EOMONTH(B234,0))),C_CLAVE,0))&amp;"","Sin dato"))</f>
        <v/>
      </c>
      <c r="AB234" s="71" t="str">
        <f aca="false">IF(AH234="","",ROUND(MIN(K234,TOPE_AFP_UF*AJ234)*AK234,0))</f>
        <v/>
      </c>
      <c r="AC234" s="71" t="str">
        <f aca="false">IF(AH234="","",ROUND(MIN(K234,TOPE_AFC_UF*AJ234)*IF(AA234="Indefinido",AFC_EMP_INDEF,AFC_EMP_PF),0))</f>
        <v/>
      </c>
      <c r="AD234" s="71" t="str">
        <f aca="false">IF(AH234="","",ROUND(MIN(K234,TOPE_AFP_UF*AJ234)*(MUTUAL_BASICA+MUTUAL_ADIC+SANNA),0))</f>
        <v/>
      </c>
      <c r="AE234" s="71" t="str">
        <f aca="false">IF(AH234="","",P234-N(N234)+AB234+AC234+AD234)</f>
        <v/>
      </c>
      <c r="AF234" s="65"/>
      <c r="AG234" s="64"/>
      <c r="AH234" s="72" t="str">
        <f aca="false">IF(OR(B234="",C234=""),"",C234&amp;"|"&amp;(YEAR(B234)*100+MONTH(B234)))</f>
        <v/>
      </c>
      <c r="AI234" s="70" t="str">
        <f aca="false">IF(AH234="","",IF(COUNTIF(L_CLAVE,AH234)&gt;1,"⚠ Duplicado","OK"))</f>
        <v/>
      </c>
      <c r="AJ234" s="86" t="str">
        <f aca="false">IF(AH234="","",IF(SUMPRODUCT(MAX((IND_PER&lt;=B234)*(IND_UF&lt;&gt;"")*IND_PER))=0,UF_HOY,INDEX(IND_UF,MATCH(SUMPRODUCT(MAX((IND_PER&lt;=B234)*(IND_UF&lt;&gt;"")*IND_PER)),IND_PER,0))))</f>
        <v/>
      </c>
      <c r="AK234" s="87" t="str">
        <f aca="false">IF(AH234="","",IF(COUNTIF(TASA_DESDE,"&lt;="&amp;B234)=0,INDEX(TASA_EMP,1),INDEX(TASA_EMP,COUNTIF(TASA_DESDE,"&lt;="&amp;B234))))</f>
        <v/>
      </c>
    </row>
    <row r="235" customFormat="false" ht="15" hidden="false" customHeight="false" outlineLevel="0" collapsed="false">
      <c r="B235" s="78"/>
      <c r="C235" s="64"/>
      <c r="D235" s="72" t="str">
        <f aca="false">IF(C235="","",IFERROR(INDEX(T_NOMBRE,MATCH(C235,T_ID,0)),"⚠ ID no existe"))</f>
        <v/>
      </c>
      <c r="E235" s="69"/>
      <c r="F235" s="67"/>
      <c r="G235" s="67"/>
      <c r="H235" s="67"/>
      <c r="I235" s="67"/>
      <c r="J235" s="67"/>
      <c r="K235" s="85" t="str">
        <f aca="false">IF(AH235="","",N(F235)+N(G235)+N(H235)-N(I235)+N(J235))</f>
        <v/>
      </c>
      <c r="L235" s="67"/>
      <c r="M235" s="67"/>
      <c r="N235" s="67"/>
      <c r="O235" s="67"/>
      <c r="P235" s="85" t="str">
        <f aca="false">IF(AH235="","",K235+N(L235)+N(M235)+N(N235)+N(O235))</f>
        <v/>
      </c>
      <c r="Q235" s="67"/>
      <c r="R235" s="67"/>
      <c r="S235" s="67"/>
      <c r="T235" s="67"/>
      <c r="U235" s="67"/>
      <c r="V235" s="67"/>
      <c r="W235" s="85" t="str">
        <f aca="false">IF(AH235="","",N(Q235)+N(R235)+N(S235)+N(T235)+N(U235)+N(V235))</f>
        <v/>
      </c>
      <c r="X235" s="85" t="str">
        <f aca="false">IF(AH235="","",P235-W235)</f>
        <v/>
      </c>
      <c r="Y235" s="67"/>
      <c r="Z235" s="70" t="str">
        <f aca="false">IF(OR(AH235="",Y235=""),"",IF(ABS(X235-Y235)&lt;=1,"✓ Cuadra","⚠ Diferencia $"&amp;FIXED(X235-Y235,0)))</f>
        <v/>
      </c>
      <c r="AA235" s="72" t="str">
        <f aca="false">IF(AH235="","",IFERROR(INDEX(C_TIPO,MATCH(C235&amp;"-P"&amp;MAX(1,COUNTIFS(C_ID,C235,C_DEFINE,"Sí",C_INICIO,"&lt;="&amp;EOMONTH(B235,0))),C_CLAVE,0))&amp;"","Sin dato"))</f>
        <v/>
      </c>
      <c r="AB235" s="71" t="str">
        <f aca="false">IF(AH235="","",ROUND(MIN(K235,TOPE_AFP_UF*AJ235)*AK235,0))</f>
        <v/>
      </c>
      <c r="AC235" s="71" t="str">
        <f aca="false">IF(AH235="","",ROUND(MIN(K235,TOPE_AFC_UF*AJ235)*IF(AA235="Indefinido",AFC_EMP_INDEF,AFC_EMP_PF),0))</f>
        <v/>
      </c>
      <c r="AD235" s="71" t="str">
        <f aca="false">IF(AH235="","",ROUND(MIN(K235,TOPE_AFP_UF*AJ235)*(MUTUAL_BASICA+MUTUAL_ADIC+SANNA),0))</f>
        <v/>
      </c>
      <c r="AE235" s="71" t="str">
        <f aca="false">IF(AH235="","",P235-N(N235)+AB235+AC235+AD235)</f>
        <v/>
      </c>
      <c r="AF235" s="65"/>
      <c r="AG235" s="64"/>
      <c r="AH235" s="72" t="str">
        <f aca="false">IF(OR(B235="",C235=""),"",C235&amp;"|"&amp;(YEAR(B235)*100+MONTH(B235)))</f>
        <v/>
      </c>
      <c r="AI235" s="70" t="str">
        <f aca="false">IF(AH235="","",IF(COUNTIF(L_CLAVE,AH235)&gt;1,"⚠ Duplicado","OK"))</f>
        <v/>
      </c>
      <c r="AJ235" s="86" t="str">
        <f aca="false">IF(AH235="","",IF(SUMPRODUCT(MAX((IND_PER&lt;=B235)*(IND_UF&lt;&gt;"")*IND_PER))=0,UF_HOY,INDEX(IND_UF,MATCH(SUMPRODUCT(MAX((IND_PER&lt;=B235)*(IND_UF&lt;&gt;"")*IND_PER)),IND_PER,0))))</f>
        <v/>
      </c>
      <c r="AK235" s="87" t="str">
        <f aca="false">IF(AH235="","",IF(COUNTIF(TASA_DESDE,"&lt;="&amp;B235)=0,INDEX(TASA_EMP,1),INDEX(TASA_EMP,COUNTIF(TASA_DESDE,"&lt;="&amp;B235))))</f>
        <v/>
      </c>
    </row>
    <row r="236" customFormat="false" ht="15" hidden="false" customHeight="false" outlineLevel="0" collapsed="false">
      <c r="B236" s="78"/>
      <c r="C236" s="64"/>
      <c r="D236" s="72" t="str">
        <f aca="false">IF(C236="","",IFERROR(INDEX(T_NOMBRE,MATCH(C236,T_ID,0)),"⚠ ID no existe"))</f>
        <v/>
      </c>
      <c r="E236" s="69"/>
      <c r="F236" s="67"/>
      <c r="G236" s="67"/>
      <c r="H236" s="67"/>
      <c r="I236" s="67"/>
      <c r="J236" s="67"/>
      <c r="K236" s="85" t="str">
        <f aca="false">IF(AH236="","",N(F236)+N(G236)+N(H236)-N(I236)+N(J236))</f>
        <v/>
      </c>
      <c r="L236" s="67"/>
      <c r="M236" s="67"/>
      <c r="N236" s="67"/>
      <c r="O236" s="67"/>
      <c r="P236" s="85" t="str">
        <f aca="false">IF(AH236="","",K236+N(L236)+N(M236)+N(N236)+N(O236))</f>
        <v/>
      </c>
      <c r="Q236" s="67"/>
      <c r="R236" s="67"/>
      <c r="S236" s="67"/>
      <c r="T236" s="67"/>
      <c r="U236" s="67"/>
      <c r="V236" s="67"/>
      <c r="W236" s="85" t="str">
        <f aca="false">IF(AH236="","",N(Q236)+N(R236)+N(S236)+N(T236)+N(U236)+N(V236))</f>
        <v/>
      </c>
      <c r="X236" s="85" t="str">
        <f aca="false">IF(AH236="","",P236-W236)</f>
        <v/>
      </c>
      <c r="Y236" s="67"/>
      <c r="Z236" s="70" t="str">
        <f aca="false">IF(OR(AH236="",Y236=""),"",IF(ABS(X236-Y236)&lt;=1,"✓ Cuadra","⚠ Diferencia $"&amp;FIXED(X236-Y236,0)))</f>
        <v/>
      </c>
      <c r="AA236" s="72" t="str">
        <f aca="false">IF(AH236="","",IFERROR(INDEX(C_TIPO,MATCH(C236&amp;"-P"&amp;MAX(1,COUNTIFS(C_ID,C236,C_DEFINE,"Sí",C_INICIO,"&lt;="&amp;EOMONTH(B236,0))),C_CLAVE,0))&amp;"","Sin dato"))</f>
        <v/>
      </c>
      <c r="AB236" s="71" t="str">
        <f aca="false">IF(AH236="","",ROUND(MIN(K236,TOPE_AFP_UF*AJ236)*AK236,0))</f>
        <v/>
      </c>
      <c r="AC236" s="71" t="str">
        <f aca="false">IF(AH236="","",ROUND(MIN(K236,TOPE_AFC_UF*AJ236)*IF(AA236="Indefinido",AFC_EMP_INDEF,AFC_EMP_PF),0))</f>
        <v/>
      </c>
      <c r="AD236" s="71" t="str">
        <f aca="false">IF(AH236="","",ROUND(MIN(K236,TOPE_AFP_UF*AJ236)*(MUTUAL_BASICA+MUTUAL_ADIC+SANNA),0))</f>
        <v/>
      </c>
      <c r="AE236" s="71" t="str">
        <f aca="false">IF(AH236="","",P236-N(N236)+AB236+AC236+AD236)</f>
        <v/>
      </c>
      <c r="AF236" s="65"/>
      <c r="AG236" s="64"/>
      <c r="AH236" s="72" t="str">
        <f aca="false">IF(OR(B236="",C236=""),"",C236&amp;"|"&amp;(YEAR(B236)*100+MONTH(B236)))</f>
        <v/>
      </c>
      <c r="AI236" s="70" t="str">
        <f aca="false">IF(AH236="","",IF(COUNTIF(L_CLAVE,AH236)&gt;1,"⚠ Duplicado","OK"))</f>
        <v/>
      </c>
      <c r="AJ236" s="86" t="str">
        <f aca="false">IF(AH236="","",IF(SUMPRODUCT(MAX((IND_PER&lt;=B236)*(IND_UF&lt;&gt;"")*IND_PER))=0,UF_HOY,INDEX(IND_UF,MATCH(SUMPRODUCT(MAX((IND_PER&lt;=B236)*(IND_UF&lt;&gt;"")*IND_PER)),IND_PER,0))))</f>
        <v/>
      </c>
      <c r="AK236" s="87" t="str">
        <f aca="false">IF(AH236="","",IF(COUNTIF(TASA_DESDE,"&lt;="&amp;B236)=0,INDEX(TASA_EMP,1),INDEX(TASA_EMP,COUNTIF(TASA_DESDE,"&lt;="&amp;B236))))</f>
        <v/>
      </c>
    </row>
    <row r="237" customFormat="false" ht="15" hidden="false" customHeight="false" outlineLevel="0" collapsed="false">
      <c r="B237" s="78"/>
      <c r="C237" s="64"/>
      <c r="D237" s="72" t="str">
        <f aca="false">IF(C237="","",IFERROR(INDEX(T_NOMBRE,MATCH(C237,T_ID,0)),"⚠ ID no existe"))</f>
        <v/>
      </c>
      <c r="E237" s="69"/>
      <c r="F237" s="67"/>
      <c r="G237" s="67"/>
      <c r="H237" s="67"/>
      <c r="I237" s="67"/>
      <c r="J237" s="67"/>
      <c r="K237" s="85" t="str">
        <f aca="false">IF(AH237="","",N(F237)+N(G237)+N(H237)-N(I237)+N(J237))</f>
        <v/>
      </c>
      <c r="L237" s="67"/>
      <c r="M237" s="67"/>
      <c r="N237" s="67"/>
      <c r="O237" s="67"/>
      <c r="P237" s="85" t="str">
        <f aca="false">IF(AH237="","",K237+N(L237)+N(M237)+N(N237)+N(O237))</f>
        <v/>
      </c>
      <c r="Q237" s="67"/>
      <c r="R237" s="67"/>
      <c r="S237" s="67"/>
      <c r="T237" s="67"/>
      <c r="U237" s="67"/>
      <c r="V237" s="67"/>
      <c r="W237" s="85" t="str">
        <f aca="false">IF(AH237="","",N(Q237)+N(R237)+N(S237)+N(T237)+N(U237)+N(V237))</f>
        <v/>
      </c>
      <c r="X237" s="85" t="str">
        <f aca="false">IF(AH237="","",P237-W237)</f>
        <v/>
      </c>
      <c r="Y237" s="67"/>
      <c r="Z237" s="70" t="str">
        <f aca="false">IF(OR(AH237="",Y237=""),"",IF(ABS(X237-Y237)&lt;=1,"✓ Cuadra","⚠ Diferencia $"&amp;FIXED(X237-Y237,0)))</f>
        <v/>
      </c>
      <c r="AA237" s="72" t="str">
        <f aca="false">IF(AH237="","",IFERROR(INDEX(C_TIPO,MATCH(C237&amp;"-P"&amp;MAX(1,COUNTIFS(C_ID,C237,C_DEFINE,"Sí",C_INICIO,"&lt;="&amp;EOMONTH(B237,0))),C_CLAVE,0))&amp;"","Sin dato"))</f>
        <v/>
      </c>
      <c r="AB237" s="71" t="str">
        <f aca="false">IF(AH237="","",ROUND(MIN(K237,TOPE_AFP_UF*AJ237)*AK237,0))</f>
        <v/>
      </c>
      <c r="AC237" s="71" t="str">
        <f aca="false">IF(AH237="","",ROUND(MIN(K237,TOPE_AFC_UF*AJ237)*IF(AA237="Indefinido",AFC_EMP_INDEF,AFC_EMP_PF),0))</f>
        <v/>
      </c>
      <c r="AD237" s="71" t="str">
        <f aca="false">IF(AH237="","",ROUND(MIN(K237,TOPE_AFP_UF*AJ237)*(MUTUAL_BASICA+MUTUAL_ADIC+SANNA),0))</f>
        <v/>
      </c>
      <c r="AE237" s="71" t="str">
        <f aca="false">IF(AH237="","",P237-N(N237)+AB237+AC237+AD237)</f>
        <v/>
      </c>
      <c r="AF237" s="65"/>
      <c r="AG237" s="64"/>
      <c r="AH237" s="72" t="str">
        <f aca="false">IF(OR(B237="",C237=""),"",C237&amp;"|"&amp;(YEAR(B237)*100+MONTH(B237)))</f>
        <v/>
      </c>
      <c r="AI237" s="70" t="str">
        <f aca="false">IF(AH237="","",IF(COUNTIF(L_CLAVE,AH237)&gt;1,"⚠ Duplicado","OK"))</f>
        <v/>
      </c>
      <c r="AJ237" s="86" t="str">
        <f aca="false">IF(AH237="","",IF(SUMPRODUCT(MAX((IND_PER&lt;=B237)*(IND_UF&lt;&gt;"")*IND_PER))=0,UF_HOY,INDEX(IND_UF,MATCH(SUMPRODUCT(MAX((IND_PER&lt;=B237)*(IND_UF&lt;&gt;"")*IND_PER)),IND_PER,0))))</f>
        <v/>
      </c>
      <c r="AK237" s="87" t="str">
        <f aca="false">IF(AH237="","",IF(COUNTIF(TASA_DESDE,"&lt;="&amp;B237)=0,INDEX(TASA_EMP,1),INDEX(TASA_EMP,COUNTIF(TASA_DESDE,"&lt;="&amp;B237))))</f>
        <v/>
      </c>
    </row>
    <row r="238" customFormat="false" ht="15" hidden="false" customHeight="false" outlineLevel="0" collapsed="false">
      <c r="B238" s="78"/>
      <c r="C238" s="64"/>
      <c r="D238" s="72" t="str">
        <f aca="false">IF(C238="","",IFERROR(INDEX(T_NOMBRE,MATCH(C238,T_ID,0)),"⚠ ID no existe"))</f>
        <v/>
      </c>
      <c r="E238" s="69"/>
      <c r="F238" s="67"/>
      <c r="G238" s="67"/>
      <c r="H238" s="67"/>
      <c r="I238" s="67"/>
      <c r="J238" s="67"/>
      <c r="K238" s="85" t="str">
        <f aca="false">IF(AH238="","",N(F238)+N(G238)+N(H238)-N(I238)+N(J238))</f>
        <v/>
      </c>
      <c r="L238" s="67"/>
      <c r="M238" s="67"/>
      <c r="N238" s="67"/>
      <c r="O238" s="67"/>
      <c r="P238" s="85" t="str">
        <f aca="false">IF(AH238="","",K238+N(L238)+N(M238)+N(N238)+N(O238))</f>
        <v/>
      </c>
      <c r="Q238" s="67"/>
      <c r="R238" s="67"/>
      <c r="S238" s="67"/>
      <c r="T238" s="67"/>
      <c r="U238" s="67"/>
      <c r="V238" s="67"/>
      <c r="W238" s="85" t="str">
        <f aca="false">IF(AH238="","",N(Q238)+N(R238)+N(S238)+N(T238)+N(U238)+N(V238))</f>
        <v/>
      </c>
      <c r="X238" s="85" t="str">
        <f aca="false">IF(AH238="","",P238-W238)</f>
        <v/>
      </c>
      <c r="Y238" s="67"/>
      <c r="Z238" s="70" t="str">
        <f aca="false">IF(OR(AH238="",Y238=""),"",IF(ABS(X238-Y238)&lt;=1,"✓ Cuadra","⚠ Diferencia $"&amp;FIXED(X238-Y238,0)))</f>
        <v/>
      </c>
      <c r="AA238" s="72" t="str">
        <f aca="false">IF(AH238="","",IFERROR(INDEX(C_TIPO,MATCH(C238&amp;"-P"&amp;MAX(1,COUNTIFS(C_ID,C238,C_DEFINE,"Sí",C_INICIO,"&lt;="&amp;EOMONTH(B238,0))),C_CLAVE,0))&amp;"","Sin dato"))</f>
        <v/>
      </c>
      <c r="AB238" s="71" t="str">
        <f aca="false">IF(AH238="","",ROUND(MIN(K238,TOPE_AFP_UF*AJ238)*AK238,0))</f>
        <v/>
      </c>
      <c r="AC238" s="71" t="str">
        <f aca="false">IF(AH238="","",ROUND(MIN(K238,TOPE_AFC_UF*AJ238)*IF(AA238="Indefinido",AFC_EMP_INDEF,AFC_EMP_PF),0))</f>
        <v/>
      </c>
      <c r="AD238" s="71" t="str">
        <f aca="false">IF(AH238="","",ROUND(MIN(K238,TOPE_AFP_UF*AJ238)*(MUTUAL_BASICA+MUTUAL_ADIC+SANNA),0))</f>
        <v/>
      </c>
      <c r="AE238" s="71" t="str">
        <f aca="false">IF(AH238="","",P238-N(N238)+AB238+AC238+AD238)</f>
        <v/>
      </c>
      <c r="AF238" s="65"/>
      <c r="AG238" s="64"/>
      <c r="AH238" s="72" t="str">
        <f aca="false">IF(OR(B238="",C238=""),"",C238&amp;"|"&amp;(YEAR(B238)*100+MONTH(B238)))</f>
        <v/>
      </c>
      <c r="AI238" s="70" t="str">
        <f aca="false">IF(AH238="","",IF(COUNTIF(L_CLAVE,AH238)&gt;1,"⚠ Duplicado","OK"))</f>
        <v/>
      </c>
      <c r="AJ238" s="86" t="str">
        <f aca="false">IF(AH238="","",IF(SUMPRODUCT(MAX((IND_PER&lt;=B238)*(IND_UF&lt;&gt;"")*IND_PER))=0,UF_HOY,INDEX(IND_UF,MATCH(SUMPRODUCT(MAX((IND_PER&lt;=B238)*(IND_UF&lt;&gt;"")*IND_PER)),IND_PER,0))))</f>
        <v/>
      </c>
      <c r="AK238" s="87" t="str">
        <f aca="false">IF(AH238="","",IF(COUNTIF(TASA_DESDE,"&lt;="&amp;B238)=0,INDEX(TASA_EMP,1),INDEX(TASA_EMP,COUNTIF(TASA_DESDE,"&lt;="&amp;B238))))</f>
        <v/>
      </c>
    </row>
    <row r="239" customFormat="false" ht="15" hidden="false" customHeight="false" outlineLevel="0" collapsed="false">
      <c r="B239" s="78"/>
      <c r="C239" s="64"/>
      <c r="D239" s="72" t="str">
        <f aca="false">IF(C239="","",IFERROR(INDEX(T_NOMBRE,MATCH(C239,T_ID,0)),"⚠ ID no existe"))</f>
        <v/>
      </c>
      <c r="E239" s="69"/>
      <c r="F239" s="67"/>
      <c r="G239" s="67"/>
      <c r="H239" s="67"/>
      <c r="I239" s="67"/>
      <c r="J239" s="67"/>
      <c r="K239" s="85" t="str">
        <f aca="false">IF(AH239="","",N(F239)+N(G239)+N(H239)-N(I239)+N(J239))</f>
        <v/>
      </c>
      <c r="L239" s="67"/>
      <c r="M239" s="67"/>
      <c r="N239" s="67"/>
      <c r="O239" s="67"/>
      <c r="P239" s="85" t="str">
        <f aca="false">IF(AH239="","",K239+N(L239)+N(M239)+N(N239)+N(O239))</f>
        <v/>
      </c>
      <c r="Q239" s="67"/>
      <c r="R239" s="67"/>
      <c r="S239" s="67"/>
      <c r="T239" s="67"/>
      <c r="U239" s="67"/>
      <c r="V239" s="67"/>
      <c r="W239" s="85" t="str">
        <f aca="false">IF(AH239="","",N(Q239)+N(R239)+N(S239)+N(T239)+N(U239)+N(V239))</f>
        <v/>
      </c>
      <c r="X239" s="85" t="str">
        <f aca="false">IF(AH239="","",P239-W239)</f>
        <v/>
      </c>
      <c r="Y239" s="67"/>
      <c r="Z239" s="70" t="str">
        <f aca="false">IF(OR(AH239="",Y239=""),"",IF(ABS(X239-Y239)&lt;=1,"✓ Cuadra","⚠ Diferencia $"&amp;FIXED(X239-Y239,0)))</f>
        <v/>
      </c>
      <c r="AA239" s="72" t="str">
        <f aca="false">IF(AH239="","",IFERROR(INDEX(C_TIPO,MATCH(C239&amp;"-P"&amp;MAX(1,COUNTIFS(C_ID,C239,C_DEFINE,"Sí",C_INICIO,"&lt;="&amp;EOMONTH(B239,0))),C_CLAVE,0))&amp;"","Sin dato"))</f>
        <v/>
      </c>
      <c r="AB239" s="71" t="str">
        <f aca="false">IF(AH239="","",ROUND(MIN(K239,TOPE_AFP_UF*AJ239)*AK239,0))</f>
        <v/>
      </c>
      <c r="AC239" s="71" t="str">
        <f aca="false">IF(AH239="","",ROUND(MIN(K239,TOPE_AFC_UF*AJ239)*IF(AA239="Indefinido",AFC_EMP_INDEF,AFC_EMP_PF),0))</f>
        <v/>
      </c>
      <c r="AD239" s="71" t="str">
        <f aca="false">IF(AH239="","",ROUND(MIN(K239,TOPE_AFP_UF*AJ239)*(MUTUAL_BASICA+MUTUAL_ADIC+SANNA),0))</f>
        <v/>
      </c>
      <c r="AE239" s="71" t="str">
        <f aca="false">IF(AH239="","",P239-N(N239)+AB239+AC239+AD239)</f>
        <v/>
      </c>
      <c r="AF239" s="65"/>
      <c r="AG239" s="64"/>
      <c r="AH239" s="72" t="str">
        <f aca="false">IF(OR(B239="",C239=""),"",C239&amp;"|"&amp;(YEAR(B239)*100+MONTH(B239)))</f>
        <v/>
      </c>
      <c r="AI239" s="70" t="str">
        <f aca="false">IF(AH239="","",IF(COUNTIF(L_CLAVE,AH239)&gt;1,"⚠ Duplicado","OK"))</f>
        <v/>
      </c>
      <c r="AJ239" s="86" t="str">
        <f aca="false">IF(AH239="","",IF(SUMPRODUCT(MAX((IND_PER&lt;=B239)*(IND_UF&lt;&gt;"")*IND_PER))=0,UF_HOY,INDEX(IND_UF,MATCH(SUMPRODUCT(MAX((IND_PER&lt;=B239)*(IND_UF&lt;&gt;"")*IND_PER)),IND_PER,0))))</f>
        <v/>
      </c>
      <c r="AK239" s="87" t="str">
        <f aca="false">IF(AH239="","",IF(COUNTIF(TASA_DESDE,"&lt;="&amp;B239)=0,INDEX(TASA_EMP,1),INDEX(TASA_EMP,COUNTIF(TASA_DESDE,"&lt;="&amp;B239))))</f>
        <v/>
      </c>
    </row>
    <row r="240" customFormat="false" ht="15" hidden="false" customHeight="false" outlineLevel="0" collapsed="false">
      <c r="B240" s="78"/>
      <c r="C240" s="64"/>
      <c r="D240" s="72" t="str">
        <f aca="false">IF(C240="","",IFERROR(INDEX(T_NOMBRE,MATCH(C240,T_ID,0)),"⚠ ID no existe"))</f>
        <v/>
      </c>
      <c r="E240" s="69"/>
      <c r="F240" s="67"/>
      <c r="G240" s="67"/>
      <c r="H240" s="67"/>
      <c r="I240" s="67"/>
      <c r="J240" s="67"/>
      <c r="K240" s="85" t="str">
        <f aca="false">IF(AH240="","",N(F240)+N(G240)+N(H240)-N(I240)+N(J240))</f>
        <v/>
      </c>
      <c r="L240" s="67"/>
      <c r="M240" s="67"/>
      <c r="N240" s="67"/>
      <c r="O240" s="67"/>
      <c r="P240" s="85" t="str">
        <f aca="false">IF(AH240="","",K240+N(L240)+N(M240)+N(N240)+N(O240))</f>
        <v/>
      </c>
      <c r="Q240" s="67"/>
      <c r="R240" s="67"/>
      <c r="S240" s="67"/>
      <c r="T240" s="67"/>
      <c r="U240" s="67"/>
      <c r="V240" s="67"/>
      <c r="W240" s="85" t="str">
        <f aca="false">IF(AH240="","",N(Q240)+N(R240)+N(S240)+N(T240)+N(U240)+N(V240))</f>
        <v/>
      </c>
      <c r="X240" s="85" t="str">
        <f aca="false">IF(AH240="","",P240-W240)</f>
        <v/>
      </c>
      <c r="Y240" s="67"/>
      <c r="Z240" s="70" t="str">
        <f aca="false">IF(OR(AH240="",Y240=""),"",IF(ABS(X240-Y240)&lt;=1,"✓ Cuadra","⚠ Diferencia $"&amp;FIXED(X240-Y240,0)))</f>
        <v/>
      </c>
      <c r="AA240" s="72" t="str">
        <f aca="false">IF(AH240="","",IFERROR(INDEX(C_TIPO,MATCH(C240&amp;"-P"&amp;MAX(1,COUNTIFS(C_ID,C240,C_DEFINE,"Sí",C_INICIO,"&lt;="&amp;EOMONTH(B240,0))),C_CLAVE,0))&amp;"","Sin dato"))</f>
        <v/>
      </c>
      <c r="AB240" s="71" t="str">
        <f aca="false">IF(AH240="","",ROUND(MIN(K240,TOPE_AFP_UF*AJ240)*AK240,0))</f>
        <v/>
      </c>
      <c r="AC240" s="71" t="str">
        <f aca="false">IF(AH240="","",ROUND(MIN(K240,TOPE_AFC_UF*AJ240)*IF(AA240="Indefinido",AFC_EMP_INDEF,AFC_EMP_PF),0))</f>
        <v/>
      </c>
      <c r="AD240" s="71" t="str">
        <f aca="false">IF(AH240="","",ROUND(MIN(K240,TOPE_AFP_UF*AJ240)*(MUTUAL_BASICA+MUTUAL_ADIC+SANNA),0))</f>
        <v/>
      </c>
      <c r="AE240" s="71" t="str">
        <f aca="false">IF(AH240="","",P240-N(N240)+AB240+AC240+AD240)</f>
        <v/>
      </c>
      <c r="AF240" s="65"/>
      <c r="AG240" s="64"/>
      <c r="AH240" s="72" t="str">
        <f aca="false">IF(OR(B240="",C240=""),"",C240&amp;"|"&amp;(YEAR(B240)*100+MONTH(B240)))</f>
        <v/>
      </c>
      <c r="AI240" s="70" t="str">
        <f aca="false">IF(AH240="","",IF(COUNTIF(L_CLAVE,AH240)&gt;1,"⚠ Duplicado","OK"))</f>
        <v/>
      </c>
      <c r="AJ240" s="86" t="str">
        <f aca="false">IF(AH240="","",IF(SUMPRODUCT(MAX((IND_PER&lt;=B240)*(IND_UF&lt;&gt;"")*IND_PER))=0,UF_HOY,INDEX(IND_UF,MATCH(SUMPRODUCT(MAX((IND_PER&lt;=B240)*(IND_UF&lt;&gt;"")*IND_PER)),IND_PER,0))))</f>
        <v/>
      </c>
      <c r="AK240" s="87" t="str">
        <f aca="false">IF(AH240="","",IF(COUNTIF(TASA_DESDE,"&lt;="&amp;B240)=0,INDEX(TASA_EMP,1),INDEX(TASA_EMP,COUNTIF(TASA_DESDE,"&lt;="&amp;B240))))</f>
        <v/>
      </c>
    </row>
    <row r="241" customFormat="false" ht="15" hidden="false" customHeight="false" outlineLevel="0" collapsed="false">
      <c r="B241" s="78"/>
      <c r="C241" s="64"/>
      <c r="D241" s="72" t="str">
        <f aca="false">IF(C241="","",IFERROR(INDEX(T_NOMBRE,MATCH(C241,T_ID,0)),"⚠ ID no existe"))</f>
        <v/>
      </c>
      <c r="E241" s="69"/>
      <c r="F241" s="67"/>
      <c r="G241" s="67"/>
      <c r="H241" s="67"/>
      <c r="I241" s="67"/>
      <c r="J241" s="67"/>
      <c r="K241" s="85" t="str">
        <f aca="false">IF(AH241="","",N(F241)+N(G241)+N(H241)-N(I241)+N(J241))</f>
        <v/>
      </c>
      <c r="L241" s="67"/>
      <c r="M241" s="67"/>
      <c r="N241" s="67"/>
      <c r="O241" s="67"/>
      <c r="P241" s="85" t="str">
        <f aca="false">IF(AH241="","",K241+N(L241)+N(M241)+N(N241)+N(O241))</f>
        <v/>
      </c>
      <c r="Q241" s="67"/>
      <c r="R241" s="67"/>
      <c r="S241" s="67"/>
      <c r="T241" s="67"/>
      <c r="U241" s="67"/>
      <c r="V241" s="67"/>
      <c r="W241" s="85" t="str">
        <f aca="false">IF(AH241="","",N(Q241)+N(R241)+N(S241)+N(T241)+N(U241)+N(V241))</f>
        <v/>
      </c>
      <c r="X241" s="85" t="str">
        <f aca="false">IF(AH241="","",P241-W241)</f>
        <v/>
      </c>
      <c r="Y241" s="67"/>
      <c r="Z241" s="70" t="str">
        <f aca="false">IF(OR(AH241="",Y241=""),"",IF(ABS(X241-Y241)&lt;=1,"✓ Cuadra","⚠ Diferencia $"&amp;FIXED(X241-Y241,0)))</f>
        <v/>
      </c>
      <c r="AA241" s="72" t="str">
        <f aca="false">IF(AH241="","",IFERROR(INDEX(C_TIPO,MATCH(C241&amp;"-P"&amp;MAX(1,COUNTIFS(C_ID,C241,C_DEFINE,"Sí",C_INICIO,"&lt;="&amp;EOMONTH(B241,0))),C_CLAVE,0))&amp;"","Sin dato"))</f>
        <v/>
      </c>
      <c r="AB241" s="71" t="str">
        <f aca="false">IF(AH241="","",ROUND(MIN(K241,TOPE_AFP_UF*AJ241)*AK241,0))</f>
        <v/>
      </c>
      <c r="AC241" s="71" t="str">
        <f aca="false">IF(AH241="","",ROUND(MIN(K241,TOPE_AFC_UF*AJ241)*IF(AA241="Indefinido",AFC_EMP_INDEF,AFC_EMP_PF),0))</f>
        <v/>
      </c>
      <c r="AD241" s="71" t="str">
        <f aca="false">IF(AH241="","",ROUND(MIN(K241,TOPE_AFP_UF*AJ241)*(MUTUAL_BASICA+MUTUAL_ADIC+SANNA),0))</f>
        <v/>
      </c>
      <c r="AE241" s="71" t="str">
        <f aca="false">IF(AH241="","",P241-N(N241)+AB241+AC241+AD241)</f>
        <v/>
      </c>
      <c r="AF241" s="65"/>
      <c r="AG241" s="64"/>
      <c r="AH241" s="72" t="str">
        <f aca="false">IF(OR(B241="",C241=""),"",C241&amp;"|"&amp;(YEAR(B241)*100+MONTH(B241)))</f>
        <v/>
      </c>
      <c r="AI241" s="70" t="str">
        <f aca="false">IF(AH241="","",IF(COUNTIF(L_CLAVE,AH241)&gt;1,"⚠ Duplicado","OK"))</f>
        <v/>
      </c>
      <c r="AJ241" s="86" t="str">
        <f aca="false">IF(AH241="","",IF(SUMPRODUCT(MAX((IND_PER&lt;=B241)*(IND_UF&lt;&gt;"")*IND_PER))=0,UF_HOY,INDEX(IND_UF,MATCH(SUMPRODUCT(MAX((IND_PER&lt;=B241)*(IND_UF&lt;&gt;"")*IND_PER)),IND_PER,0))))</f>
        <v/>
      </c>
      <c r="AK241" s="87" t="str">
        <f aca="false">IF(AH241="","",IF(COUNTIF(TASA_DESDE,"&lt;="&amp;B241)=0,INDEX(TASA_EMP,1),INDEX(TASA_EMP,COUNTIF(TASA_DESDE,"&lt;="&amp;B241))))</f>
        <v/>
      </c>
    </row>
    <row r="242" customFormat="false" ht="15" hidden="false" customHeight="false" outlineLevel="0" collapsed="false">
      <c r="B242" s="78"/>
      <c r="C242" s="64"/>
      <c r="D242" s="72" t="str">
        <f aca="false">IF(C242="","",IFERROR(INDEX(T_NOMBRE,MATCH(C242,T_ID,0)),"⚠ ID no existe"))</f>
        <v/>
      </c>
      <c r="E242" s="69"/>
      <c r="F242" s="67"/>
      <c r="G242" s="67"/>
      <c r="H242" s="67"/>
      <c r="I242" s="67"/>
      <c r="J242" s="67"/>
      <c r="K242" s="85" t="str">
        <f aca="false">IF(AH242="","",N(F242)+N(G242)+N(H242)-N(I242)+N(J242))</f>
        <v/>
      </c>
      <c r="L242" s="67"/>
      <c r="M242" s="67"/>
      <c r="N242" s="67"/>
      <c r="O242" s="67"/>
      <c r="P242" s="85" t="str">
        <f aca="false">IF(AH242="","",K242+N(L242)+N(M242)+N(N242)+N(O242))</f>
        <v/>
      </c>
      <c r="Q242" s="67"/>
      <c r="R242" s="67"/>
      <c r="S242" s="67"/>
      <c r="T242" s="67"/>
      <c r="U242" s="67"/>
      <c r="V242" s="67"/>
      <c r="W242" s="85" t="str">
        <f aca="false">IF(AH242="","",N(Q242)+N(R242)+N(S242)+N(T242)+N(U242)+N(V242))</f>
        <v/>
      </c>
      <c r="X242" s="85" t="str">
        <f aca="false">IF(AH242="","",P242-W242)</f>
        <v/>
      </c>
      <c r="Y242" s="67"/>
      <c r="Z242" s="70" t="str">
        <f aca="false">IF(OR(AH242="",Y242=""),"",IF(ABS(X242-Y242)&lt;=1,"✓ Cuadra","⚠ Diferencia $"&amp;FIXED(X242-Y242,0)))</f>
        <v/>
      </c>
      <c r="AA242" s="72" t="str">
        <f aca="false">IF(AH242="","",IFERROR(INDEX(C_TIPO,MATCH(C242&amp;"-P"&amp;MAX(1,COUNTIFS(C_ID,C242,C_DEFINE,"Sí",C_INICIO,"&lt;="&amp;EOMONTH(B242,0))),C_CLAVE,0))&amp;"","Sin dato"))</f>
        <v/>
      </c>
      <c r="AB242" s="71" t="str">
        <f aca="false">IF(AH242="","",ROUND(MIN(K242,TOPE_AFP_UF*AJ242)*AK242,0))</f>
        <v/>
      </c>
      <c r="AC242" s="71" t="str">
        <f aca="false">IF(AH242="","",ROUND(MIN(K242,TOPE_AFC_UF*AJ242)*IF(AA242="Indefinido",AFC_EMP_INDEF,AFC_EMP_PF),0))</f>
        <v/>
      </c>
      <c r="AD242" s="71" t="str">
        <f aca="false">IF(AH242="","",ROUND(MIN(K242,TOPE_AFP_UF*AJ242)*(MUTUAL_BASICA+MUTUAL_ADIC+SANNA),0))</f>
        <v/>
      </c>
      <c r="AE242" s="71" t="str">
        <f aca="false">IF(AH242="","",P242-N(N242)+AB242+AC242+AD242)</f>
        <v/>
      </c>
      <c r="AF242" s="65"/>
      <c r="AG242" s="64"/>
      <c r="AH242" s="72" t="str">
        <f aca="false">IF(OR(B242="",C242=""),"",C242&amp;"|"&amp;(YEAR(B242)*100+MONTH(B242)))</f>
        <v/>
      </c>
      <c r="AI242" s="70" t="str">
        <f aca="false">IF(AH242="","",IF(COUNTIF(L_CLAVE,AH242)&gt;1,"⚠ Duplicado","OK"))</f>
        <v/>
      </c>
      <c r="AJ242" s="86" t="str">
        <f aca="false">IF(AH242="","",IF(SUMPRODUCT(MAX((IND_PER&lt;=B242)*(IND_UF&lt;&gt;"")*IND_PER))=0,UF_HOY,INDEX(IND_UF,MATCH(SUMPRODUCT(MAX((IND_PER&lt;=B242)*(IND_UF&lt;&gt;"")*IND_PER)),IND_PER,0))))</f>
        <v/>
      </c>
      <c r="AK242" s="87" t="str">
        <f aca="false">IF(AH242="","",IF(COUNTIF(TASA_DESDE,"&lt;="&amp;B242)=0,INDEX(TASA_EMP,1),INDEX(TASA_EMP,COUNTIF(TASA_DESDE,"&lt;="&amp;B242))))</f>
        <v/>
      </c>
    </row>
    <row r="243" customFormat="false" ht="15" hidden="false" customHeight="false" outlineLevel="0" collapsed="false">
      <c r="B243" s="78"/>
      <c r="C243" s="64"/>
      <c r="D243" s="72" t="str">
        <f aca="false">IF(C243="","",IFERROR(INDEX(T_NOMBRE,MATCH(C243,T_ID,0)),"⚠ ID no existe"))</f>
        <v/>
      </c>
      <c r="E243" s="69"/>
      <c r="F243" s="67"/>
      <c r="G243" s="67"/>
      <c r="H243" s="67"/>
      <c r="I243" s="67"/>
      <c r="J243" s="67"/>
      <c r="K243" s="85" t="str">
        <f aca="false">IF(AH243="","",N(F243)+N(G243)+N(H243)-N(I243)+N(J243))</f>
        <v/>
      </c>
      <c r="L243" s="67"/>
      <c r="M243" s="67"/>
      <c r="N243" s="67"/>
      <c r="O243" s="67"/>
      <c r="P243" s="85" t="str">
        <f aca="false">IF(AH243="","",K243+N(L243)+N(M243)+N(N243)+N(O243))</f>
        <v/>
      </c>
      <c r="Q243" s="67"/>
      <c r="R243" s="67"/>
      <c r="S243" s="67"/>
      <c r="T243" s="67"/>
      <c r="U243" s="67"/>
      <c r="V243" s="67"/>
      <c r="W243" s="85" t="str">
        <f aca="false">IF(AH243="","",N(Q243)+N(R243)+N(S243)+N(T243)+N(U243)+N(V243))</f>
        <v/>
      </c>
      <c r="X243" s="85" t="str">
        <f aca="false">IF(AH243="","",P243-W243)</f>
        <v/>
      </c>
      <c r="Y243" s="67"/>
      <c r="Z243" s="70" t="str">
        <f aca="false">IF(OR(AH243="",Y243=""),"",IF(ABS(X243-Y243)&lt;=1,"✓ Cuadra","⚠ Diferencia $"&amp;FIXED(X243-Y243,0)))</f>
        <v/>
      </c>
      <c r="AA243" s="72" t="str">
        <f aca="false">IF(AH243="","",IFERROR(INDEX(C_TIPO,MATCH(C243&amp;"-P"&amp;MAX(1,COUNTIFS(C_ID,C243,C_DEFINE,"Sí",C_INICIO,"&lt;="&amp;EOMONTH(B243,0))),C_CLAVE,0))&amp;"","Sin dato"))</f>
        <v/>
      </c>
      <c r="AB243" s="71" t="str">
        <f aca="false">IF(AH243="","",ROUND(MIN(K243,TOPE_AFP_UF*AJ243)*AK243,0))</f>
        <v/>
      </c>
      <c r="AC243" s="71" t="str">
        <f aca="false">IF(AH243="","",ROUND(MIN(K243,TOPE_AFC_UF*AJ243)*IF(AA243="Indefinido",AFC_EMP_INDEF,AFC_EMP_PF),0))</f>
        <v/>
      </c>
      <c r="AD243" s="71" t="str">
        <f aca="false">IF(AH243="","",ROUND(MIN(K243,TOPE_AFP_UF*AJ243)*(MUTUAL_BASICA+MUTUAL_ADIC+SANNA),0))</f>
        <v/>
      </c>
      <c r="AE243" s="71" t="str">
        <f aca="false">IF(AH243="","",P243-N(N243)+AB243+AC243+AD243)</f>
        <v/>
      </c>
      <c r="AF243" s="65"/>
      <c r="AG243" s="64"/>
      <c r="AH243" s="72" t="str">
        <f aca="false">IF(OR(B243="",C243=""),"",C243&amp;"|"&amp;(YEAR(B243)*100+MONTH(B243)))</f>
        <v/>
      </c>
      <c r="AI243" s="70" t="str">
        <f aca="false">IF(AH243="","",IF(COUNTIF(L_CLAVE,AH243)&gt;1,"⚠ Duplicado","OK"))</f>
        <v/>
      </c>
      <c r="AJ243" s="86" t="str">
        <f aca="false">IF(AH243="","",IF(SUMPRODUCT(MAX((IND_PER&lt;=B243)*(IND_UF&lt;&gt;"")*IND_PER))=0,UF_HOY,INDEX(IND_UF,MATCH(SUMPRODUCT(MAX((IND_PER&lt;=B243)*(IND_UF&lt;&gt;"")*IND_PER)),IND_PER,0))))</f>
        <v/>
      </c>
      <c r="AK243" s="87" t="str">
        <f aca="false">IF(AH243="","",IF(COUNTIF(TASA_DESDE,"&lt;="&amp;B243)=0,INDEX(TASA_EMP,1),INDEX(TASA_EMP,COUNTIF(TASA_DESDE,"&lt;="&amp;B243))))</f>
        <v/>
      </c>
    </row>
    <row r="244" customFormat="false" ht="15" hidden="false" customHeight="false" outlineLevel="0" collapsed="false">
      <c r="B244" s="78"/>
      <c r="C244" s="64"/>
      <c r="D244" s="72" t="str">
        <f aca="false">IF(C244="","",IFERROR(INDEX(T_NOMBRE,MATCH(C244,T_ID,0)),"⚠ ID no existe"))</f>
        <v/>
      </c>
      <c r="E244" s="69"/>
      <c r="F244" s="67"/>
      <c r="G244" s="67"/>
      <c r="H244" s="67"/>
      <c r="I244" s="67"/>
      <c r="J244" s="67"/>
      <c r="K244" s="85" t="str">
        <f aca="false">IF(AH244="","",N(F244)+N(G244)+N(H244)-N(I244)+N(J244))</f>
        <v/>
      </c>
      <c r="L244" s="67"/>
      <c r="M244" s="67"/>
      <c r="N244" s="67"/>
      <c r="O244" s="67"/>
      <c r="P244" s="85" t="str">
        <f aca="false">IF(AH244="","",K244+N(L244)+N(M244)+N(N244)+N(O244))</f>
        <v/>
      </c>
      <c r="Q244" s="67"/>
      <c r="R244" s="67"/>
      <c r="S244" s="67"/>
      <c r="T244" s="67"/>
      <c r="U244" s="67"/>
      <c r="V244" s="67"/>
      <c r="W244" s="85" t="str">
        <f aca="false">IF(AH244="","",N(Q244)+N(R244)+N(S244)+N(T244)+N(U244)+N(V244))</f>
        <v/>
      </c>
      <c r="X244" s="85" t="str">
        <f aca="false">IF(AH244="","",P244-W244)</f>
        <v/>
      </c>
      <c r="Y244" s="67"/>
      <c r="Z244" s="70" t="str">
        <f aca="false">IF(OR(AH244="",Y244=""),"",IF(ABS(X244-Y244)&lt;=1,"✓ Cuadra","⚠ Diferencia $"&amp;FIXED(X244-Y244,0)))</f>
        <v/>
      </c>
      <c r="AA244" s="72" t="str">
        <f aca="false">IF(AH244="","",IFERROR(INDEX(C_TIPO,MATCH(C244&amp;"-P"&amp;MAX(1,COUNTIFS(C_ID,C244,C_DEFINE,"Sí",C_INICIO,"&lt;="&amp;EOMONTH(B244,0))),C_CLAVE,0))&amp;"","Sin dato"))</f>
        <v/>
      </c>
      <c r="AB244" s="71" t="str">
        <f aca="false">IF(AH244="","",ROUND(MIN(K244,TOPE_AFP_UF*AJ244)*AK244,0))</f>
        <v/>
      </c>
      <c r="AC244" s="71" t="str">
        <f aca="false">IF(AH244="","",ROUND(MIN(K244,TOPE_AFC_UF*AJ244)*IF(AA244="Indefinido",AFC_EMP_INDEF,AFC_EMP_PF),0))</f>
        <v/>
      </c>
      <c r="AD244" s="71" t="str">
        <f aca="false">IF(AH244="","",ROUND(MIN(K244,TOPE_AFP_UF*AJ244)*(MUTUAL_BASICA+MUTUAL_ADIC+SANNA),0))</f>
        <v/>
      </c>
      <c r="AE244" s="71" t="str">
        <f aca="false">IF(AH244="","",P244-N(N244)+AB244+AC244+AD244)</f>
        <v/>
      </c>
      <c r="AF244" s="65"/>
      <c r="AG244" s="64"/>
      <c r="AH244" s="72" t="str">
        <f aca="false">IF(OR(B244="",C244=""),"",C244&amp;"|"&amp;(YEAR(B244)*100+MONTH(B244)))</f>
        <v/>
      </c>
      <c r="AI244" s="70" t="str">
        <f aca="false">IF(AH244="","",IF(COUNTIF(L_CLAVE,AH244)&gt;1,"⚠ Duplicado","OK"))</f>
        <v/>
      </c>
      <c r="AJ244" s="86" t="str">
        <f aca="false">IF(AH244="","",IF(SUMPRODUCT(MAX((IND_PER&lt;=B244)*(IND_UF&lt;&gt;"")*IND_PER))=0,UF_HOY,INDEX(IND_UF,MATCH(SUMPRODUCT(MAX((IND_PER&lt;=B244)*(IND_UF&lt;&gt;"")*IND_PER)),IND_PER,0))))</f>
        <v/>
      </c>
      <c r="AK244" s="87" t="str">
        <f aca="false">IF(AH244="","",IF(COUNTIF(TASA_DESDE,"&lt;="&amp;B244)=0,INDEX(TASA_EMP,1),INDEX(TASA_EMP,COUNTIF(TASA_DESDE,"&lt;="&amp;B244))))</f>
        <v/>
      </c>
    </row>
    <row r="245" customFormat="false" ht="15" hidden="false" customHeight="false" outlineLevel="0" collapsed="false">
      <c r="B245" s="78"/>
      <c r="C245" s="64"/>
      <c r="D245" s="72" t="str">
        <f aca="false">IF(C245="","",IFERROR(INDEX(T_NOMBRE,MATCH(C245,T_ID,0)),"⚠ ID no existe"))</f>
        <v/>
      </c>
      <c r="E245" s="69"/>
      <c r="F245" s="67"/>
      <c r="G245" s="67"/>
      <c r="H245" s="67"/>
      <c r="I245" s="67"/>
      <c r="J245" s="67"/>
      <c r="K245" s="85" t="str">
        <f aca="false">IF(AH245="","",N(F245)+N(G245)+N(H245)-N(I245)+N(J245))</f>
        <v/>
      </c>
      <c r="L245" s="67"/>
      <c r="M245" s="67"/>
      <c r="N245" s="67"/>
      <c r="O245" s="67"/>
      <c r="P245" s="85" t="str">
        <f aca="false">IF(AH245="","",K245+N(L245)+N(M245)+N(N245)+N(O245))</f>
        <v/>
      </c>
      <c r="Q245" s="67"/>
      <c r="R245" s="67"/>
      <c r="S245" s="67"/>
      <c r="T245" s="67"/>
      <c r="U245" s="67"/>
      <c r="V245" s="67"/>
      <c r="W245" s="85" t="str">
        <f aca="false">IF(AH245="","",N(Q245)+N(R245)+N(S245)+N(T245)+N(U245)+N(V245))</f>
        <v/>
      </c>
      <c r="X245" s="85" t="str">
        <f aca="false">IF(AH245="","",P245-W245)</f>
        <v/>
      </c>
      <c r="Y245" s="67"/>
      <c r="Z245" s="70" t="str">
        <f aca="false">IF(OR(AH245="",Y245=""),"",IF(ABS(X245-Y245)&lt;=1,"✓ Cuadra","⚠ Diferencia $"&amp;FIXED(X245-Y245,0)))</f>
        <v/>
      </c>
      <c r="AA245" s="72" t="str">
        <f aca="false">IF(AH245="","",IFERROR(INDEX(C_TIPO,MATCH(C245&amp;"-P"&amp;MAX(1,COUNTIFS(C_ID,C245,C_DEFINE,"Sí",C_INICIO,"&lt;="&amp;EOMONTH(B245,0))),C_CLAVE,0))&amp;"","Sin dato"))</f>
        <v/>
      </c>
      <c r="AB245" s="71" t="str">
        <f aca="false">IF(AH245="","",ROUND(MIN(K245,TOPE_AFP_UF*AJ245)*AK245,0))</f>
        <v/>
      </c>
      <c r="AC245" s="71" t="str">
        <f aca="false">IF(AH245="","",ROUND(MIN(K245,TOPE_AFC_UF*AJ245)*IF(AA245="Indefinido",AFC_EMP_INDEF,AFC_EMP_PF),0))</f>
        <v/>
      </c>
      <c r="AD245" s="71" t="str">
        <f aca="false">IF(AH245="","",ROUND(MIN(K245,TOPE_AFP_UF*AJ245)*(MUTUAL_BASICA+MUTUAL_ADIC+SANNA),0))</f>
        <v/>
      </c>
      <c r="AE245" s="71" t="str">
        <f aca="false">IF(AH245="","",P245-N(N245)+AB245+AC245+AD245)</f>
        <v/>
      </c>
      <c r="AF245" s="65"/>
      <c r="AG245" s="64"/>
      <c r="AH245" s="72" t="str">
        <f aca="false">IF(OR(B245="",C245=""),"",C245&amp;"|"&amp;(YEAR(B245)*100+MONTH(B245)))</f>
        <v/>
      </c>
      <c r="AI245" s="70" t="str">
        <f aca="false">IF(AH245="","",IF(COUNTIF(L_CLAVE,AH245)&gt;1,"⚠ Duplicado","OK"))</f>
        <v/>
      </c>
      <c r="AJ245" s="86" t="str">
        <f aca="false">IF(AH245="","",IF(SUMPRODUCT(MAX((IND_PER&lt;=B245)*(IND_UF&lt;&gt;"")*IND_PER))=0,UF_HOY,INDEX(IND_UF,MATCH(SUMPRODUCT(MAX((IND_PER&lt;=B245)*(IND_UF&lt;&gt;"")*IND_PER)),IND_PER,0))))</f>
        <v/>
      </c>
      <c r="AK245" s="87" t="str">
        <f aca="false">IF(AH245="","",IF(COUNTIF(TASA_DESDE,"&lt;="&amp;B245)=0,INDEX(TASA_EMP,1),INDEX(TASA_EMP,COUNTIF(TASA_DESDE,"&lt;="&amp;B245))))</f>
        <v/>
      </c>
    </row>
    <row r="246" customFormat="false" ht="15" hidden="false" customHeight="false" outlineLevel="0" collapsed="false">
      <c r="B246" s="78"/>
      <c r="C246" s="64"/>
      <c r="D246" s="72" t="str">
        <f aca="false">IF(C246="","",IFERROR(INDEX(T_NOMBRE,MATCH(C246,T_ID,0)),"⚠ ID no existe"))</f>
        <v/>
      </c>
      <c r="E246" s="69"/>
      <c r="F246" s="67"/>
      <c r="G246" s="67"/>
      <c r="H246" s="67"/>
      <c r="I246" s="67"/>
      <c r="J246" s="67"/>
      <c r="K246" s="85" t="str">
        <f aca="false">IF(AH246="","",N(F246)+N(G246)+N(H246)-N(I246)+N(J246))</f>
        <v/>
      </c>
      <c r="L246" s="67"/>
      <c r="M246" s="67"/>
      <c r="N246" s="67"/>
      <c r="O246" s="67"/>
      <c r="P246" s="85" t="str">
        <f aca="false">IF(AH246="","",K246+N(L246)+N(M246)+N(N246)+N(O246))</f>
        <v/>
      </c>
      <c r="Q246" s="67"/>
      <c r="R246" s="67"/>
      <c r="S246" s="67"/>
      <c r="T246" s="67"/>
      <c r="U246" s="67"/>
      <c r="V246" s="67"/>
      <c r="W246" s="85" t="str">
        <f aca="false">IF(AH246="","",N(Q246)+N(R246)+N(S246)+N(T246)+N(U246)+N(V246))</f>
        <v/>
      </c>
      <c r="X246" s="85" t="str">
        <f aca="false">IF(AH246="","",P246-W246)</f>
        <v/>
      </c>
      <c r="Y246" s="67"/>
      <c r="Z246" s="70" t="str">
        <f aca="false">IF(OR(AH246="",Y246=""),"",IF(ABS(X246-Y246)&lt;=1,"✓ Cuadra","⚠ Diferencia $"&amp;FIXED(X246-Y246,0)))</f>
        <v/>
      </c>
      <c r="AA246" s="72" t="str">
        <f aca="false">IF(AH246="","",IFERROR(INDEX(C_TIPO,MATCH(C246&amp;"-P"&amp;MAX(1,COUNTIFS(C_ID,C246,C_DEFINE,"Sí",C_INICIO,"&lt;="&amp;EOMONTH(B246,0))),C_CLAVE,0))&amp;"","Sin dato"))</f>
        <v/>
      </c>
      <c r="AB246" s="71" t="str">
        <f aca="false">IF(AH246="","",ROUND(MIN(K246,TOPE_AFP_UF*AJ246)*AK246,0))</f>
        <v/>
      </c>
      <c r="AC246" s="71" t="str">
        <f aca="false">IF(AH246="","",ROUND(MIN(K246,TOPE_AFC_UF*AJ246)*IF(AA246="Indefinido",AFC_EMP_INDEF,AFC_EMP_PF),0))</f>
        <v/>
      </c>
      <c r="AD246" s="71" t="str">
        <f aca="false">IF(AH246="","",ROUND(MIN(K246,TOPE_AFP_UF*AJ246)*(MUTUAL_BASICA+MUTUAL_ADIC+SANNA),0))</f>
        <v/>
      </c>
      <c r="AE246" s="71" t="str">
        <f aca="false">IF(AH246="","",P246-N(N246)+AB246+AC246+AD246)</f>
        <v/>
      </c>
      <c r="AF246" s="65"/>
      <c r="AG246" s="64"/>
      <c r="AH246" s="72" t="str">
        <f aca="false">IF(OR(B246="",C246=""),"",C246&amp;"|"&amp;(YEAR(B246)*100+MONTH(B246)))</f>
        <v/>
      </c>
      <c r="AI246" s="70" t="str">
        <f aca="false">IF(AH246="","",IF(COUNTIF(L_CLAVE,AH246)&gt;1,"⚠ Duplicado","OK"))</f>
        <v/>
      </c>
      <c r="AJ246" s="86" t="str">
        <f aca="false">IF(AH246="","",IF(SUMPRODUCT(MAX((IND_PER&lt;=B246)*(IND_UF&lt;&gt;"")*IND_PER))=0,UF_HOY,INDEX(IND_UF,MATCH(SUMPRODUCT(MAX((IND_PER&lt;=B246)*(IND_UF&lt;&gt;"")*IND_PER)),IND_PER,0))))</f>
        <v/>
      </c>
      <c r="AK246" s="87" t="str">
        <f aca="false">IF(AH246="","",IF(COUNTIF(TASA_DESDE,"&lt;="&amp;B246)=0,INDEX(TASA_EMP,1),INDEX(TASA_EMP,COUNTIF(TASA_DESDE,"&lt;="&amp;B246))))</f>
        <v/>
      </c>
    </row>
    <row r="247" customFormat="false" ht="15" hidden="false" customHeight="false" outlineLevel="0" collapsed="false">
      <c r="B247" s="78"/>
      <c r="C247" s="64"/>
      <c r="D247" s="72" t="str">
        <f aca="false">IF(C247="","",IFERROR(INDEX(T_NOMBRE,MATCH(C247,T_ID,0)),"⚠ ID no existe"))</f>
        <v/>
      </c>
      <c r="E247" s="69"/>
      <c r="F247" s="67"/>
      <c r="G247" s="67"/>
      <c r="H247" s="67"/>
      <c r="I247" s="67"/>
      <c r="J247" s="67"/>
      <c r="K247" s="85" t="str">
        <f aca="false">IF(AH247="","",N(F247)+N(G247)+N(H247)-N(I247)+N(J247))</f>
        <v/>
      </c>
      <c r="L247" s="67"/>
      <c r="M247" s="67"/>
      <c r="N247" s="67"/>
      <c r="O247" s="67"/>
      <c r="P247" s="85" t="str">
        <f aca="false">IF(AH247="","",K247+N(L247)+N(M247)+N(N247)+N(O247))</f>
        <v/>
      </c>
      <c r="Q247" s="67"/>
      <c r="R247" s="67"/>
      <c r="S247" s="67"/>
      <c r="T247" s="67"/>
      <c r="U247" s="67"/>
      <c r="V247" s="67"/>
      <c r="W247" s="85" t="str">
        <f aca="false">IF(AH247="","",N(Q247)+N(R247)+N(S247)+N(T247)+N(U247)+N(V247))</f>
        <v/>
      </c>
      <c r="X247" s="85" t="str">
        <f aca="false">IF(AH247="","",P247-W247)</f>
        <v/>
      </c>
      <c r="Y247" s="67"/>
      <c r="Z247" s="70" t="str">
        <f aca="false">IF(OR(AH247="",Y247=""),"",IF(ABS(X247-Y247)&lt;=1,"✓ Cuadra","⚠ Diferencia $"&amp;FIXED(X247-Y247,0)))</f>
        <v/>
      </c>
      <c r="AA247" s="72" t="str">
        <f aca="false">IF(AH247="","",IFERROR(INDEX(C_TIPO,MATCH(C247&amp;"-P"&amp;MAX(1,COUNTIFS(C_ID,C247,C_DEFINE,"Sí",C_INICIO,"&lt;="&amp;EOMONTH(B247,0))),C_CLAVE,0))&amp;"","Sin dato"))</f>
        <v/>
      </c>
      <c r="AB247" s="71" t="str">
        <f aca="false">IF(AH247="","",ROUND(MIN(K247,TOPE_AFP_UF*AJ247)*AK247,0))</f>
        <v/>
      </c>
      <c r="AC247" s="71" t="str">
        <f aca="false">IF(AH247="","",ROUND(MIN(K247,TOPE_AFC_UF*AJ247)*IF(AA247="Indefinido",AFC_EMP_INDEF,AFC_EMP_PF),0))</f>
        <v/>
      </c>
      <c r="AD247" s="71" t="str">
        <f aca="false">IF(AH247="","",ROUND(MIN(K247,TOPE_AFP_UF*AJ247)*(MUTUAL_BASICA+MUTUAL_ADIC+SANNA),0))</f>
        <v/>
      </c>
      <c r="AE247" s="71" t="str">
        <f aca="false">IF(AH247="","",P247-N(N247)+AB247+AC247+AD247)</f>
        <v/>
      </c>
      <c r="AF247" s="65"/>
      <c r="AG247" s="64"/>
      <c r="AH247" s="72" t="str">
        <f aca="false">IF(OR(B247="",C247=""),"",C247&amp;"|"&amp;(YEAR(B247)*100+MONTH(B247)))</f>
        <v/>
      </c>
      <c r="AI247" s="70" t="str">
        <f aca="false">IF(AH247="","",IF(COUNTIF(L_CLAVE,AH247)&gt;1,"⚠ Duplicado","OK"))</f>
        <v/>
      </c>
      <c r="AJ247" s="86" t="str">
        <f aca="false">IF(AH247="","",IF(SUMPRODUCT(MAX((IND_PER&lt;=B247)*(IND_UF&lt;&gt;"")*IND_PER))=0,UF_HOY,INDEX(IND_UF,MATCH(SUMPRODUCT(MAX((IND_PER&lt;=B247)*(IND_UF&lt;&gt;"")*IND_PER)),IND_PER,0))))</f>
        <v/>
      </c>
      <c r="AK247" s="87" t="str">
        <f aca="false">IF(AH247="","",IF(COUNTIF(TASA_DESDE,"&lt;="&amp;B247)=0,INDEX(TASA_EMP,1),INDEX(TASA_EMP,COUNTIF(TASA_DESDE,"&lt;="&amp;B247))))</f>
        <v/>
      </c>
    </row>
    <row r="248" customFormat="false" ht="15" hidden="false" customHeight="false" outlineLevel="0" collapsed="false">
      <c r="B248" s="78"/>
      <c r="C248" s="64"/>
      <c r="D248" s="72" t="str">
        <f aca="false">IF(C248="","",IFERROR(INDEX(T_NOMBRE,MATCH(C248,T_ID,0)),"⚠ ID no existe"))</f>
        <v/>
      </c>
      <c r="E248" s="69"/>
      <c r="F248" s="67"/>
      <c r="G248" s="67"/>
      <c r="H248" s="67"/>
      <c r="I248" s="67"/>
      <c r="J248" s="67"/>
      <c r="K248" s="85" t="str">
        <f aca="false">IF(AH248="","",N(F248)+N(G248)+N(H248)-N(I248)+N(J248))</f>
        <v/>
      </c>
      <c r="L248" s="67"/>
      <c r="M248" s="67"/>
      <c r="N248" s="67"/>
      <c r="O248" s="67"/>
      <c r="P248" s="85" t="str">
        <f aca="false">IF(AH248="","",K248+N(L248)+N(M248)+N(N248)+N(O248))</f>
        <v/>
      </c>
      <c r="Q248" s="67"/>
      <c r="R248" s="67"/>
      <c r="S248" s="67"/>
      <c r="T248" s="67"/>
      <c r="U248" s="67"/>
      <c r="V248" s="67"/>
      <c r="W248" s="85" t="str">
        <f aca="false">IF(AH248="","",N(Q248)+N(R248)+N(S248)+N(T248)+N(U248)+N(V248))</f>
        <v/>
      </c>
      <c r="X248" s="85" t="str">
        <f aca="false">IF(AH248="","",P248-W248)</f>
        <v/>
      </c>
      <c r="Y248" s="67"/>
      <c r="Z248" s="70" t="str">
        <f aca="false">IF(OR(AH248="",Y248=""),"",IF(ABS(X248-Y248)&lt;=1,"✓ Cuadra","⚠ Diferencia $"&amp;FIXED(X248-Y248,0)))</f>
        <v/>
      </c>
      <c r="AA248" s="72" t="str">
        <f aca="false">IF(AH248="","",IFERROR(INDEX(C_TIPO,MATCH(C248&amp;"-P"&amp;MAX(1,COUNTIFS(C_ID,C248,C_DEFINE,"Sí",C_INICIO,"&lt;="&amp;EOMONTH(B248,0))),C_CLAVE,0))&amp;"","Sin dato"))</f>
        <v/>
      </c>
      <c r="AB248" s="71" t="str">
        <f aca="false">IF(AH248="","",ROUND(MIN(K248,TOPE_AFP_UF*AJ248)*AK248,0))</f>
        <v/>
      </c>
      <c r="AC248" s="71" t="str">
        <f aca="false">IF(AH248="","",ROUND(MIN(K248,TOPE_AFC_UF*AJ248)*IF(AA248="Indefinido",AFC_EMP_INDEF,AFC_EMP_PF),0))</f>
        <v/>
      </c>
      <c r="AD248" s="71" t="str">
        <f aca="false">IF(AH248="","",ROUND(MIN(K248,TOPE_AFP_UF*AJ248)*(MUTUAL_BASICA+MUTUAL_ADIC+SANNA),0))</f>
        <v/>
      </c>
      <c r="AE248" s="71" t="str">
        <f aca="false">IF(AH248="","",P248-N(N248)+AB248+AC248+AD248)</f>
        <v/>
      </c>
      <c r="AF248" s="65"/>
      <c r="AG248" s="64"/>
      <c r="AH248" s="72" t="str">
        <f aca="false">IF(OR(B248="",C248=""),"",C248&amp;"|"&amp;(YEAR(B248)*100+MONTH(B248)))</f>
        <v/>
      </c>
      <c r="AI248" s="70" t="str">
        <f aca="false">IF(AH248="","",IF(COUNTIF(L_CLAVE,AH248)&gt;1,"⚠ Duplicado","OK"))</f>
        <v/>
      </c>
      <c r="AJ248" s="86" t="str">
        <f aca="false">IF(AH248="","",IF(SUMPRODUCT(MAX((IND_PER&lt;=B248)*(IND_UF&lt;&gt;"")*IND_PER))=0,UF_HOY,INDEX(IND_UF,MATCH(SUMPRODUCT(MAX((IND_PER&lt;=B248)*(IND_UF&lt;&gt;"")*IND_PER)),IND_PER,0))))</f>
        <v/>
      </c>
      <c r="AK248" s="87" t="str">
        <f aca="false">IF(AH248="","",IF(COUNTIF(TASA_DESDE,"&lt;="&amp;B248)=0,INDEX(TASA_EMP,1),INDEX(TASA_EMP,COUNTIF(TASA_DESDE,"&lt;="&amp;B248))))</f>
        <v/>
      </c>
    </row>
    <row r="249" customFormat="false" ht="15" hidden="false" customHeight="false" outlineLevel="0" collapsed="false">
      <c r="B249" s="78"/>
      <c r="C249" s="64"/>
      <c r="D249" s="72" t="str">
        <f aca="false">IF(C249="","",IFERROR(INDEX(T_NOMBRE,MATCH(C249,T_ID,0)),"⚠ ID no existe"))</f>
        <v/>
      </c>
      <c r="E249" s="69"/>
      <c r="F249" s="67"/>
      <c r="G249" s="67"/>
      <c r="H249" s="67"/>
      <c r="I249" s="67"/>
      <c r="J249" s="67"/>
      <c r="K249" s="85" t="str">
        <f aca="false">IF(AH249="","",N(F249)+N(G249)+N(H249)-N(I249)+N(J249))</f>
        <v/>
      </c>
      <c r="L249" s="67"/>
      <c r="M249" s="67"/>
      <c r="N249" s="67"/>
      <c r="O249" s="67"/>
      <c r="P249" s="85" t="str">
        <f aca="false">IF(AH249="","",K249+N(L249)+N(M249)+N(N249)+N(O249))</f>
        <v/>
      </c>
      <c r="Q249" s="67"/>
      <c r="R249" s="67"/>
      <c r="S249" s="67"/>
      <c r="T249" s="67"/>
      <c r="U249" s="67"/>
      <c r="V249" s="67"/>
      <c r="W249" s="85" t="str">
        <f aca="false">IF(AH249="","",N(Q249)+N(R249)+N(S249)+N(T249)+N(U249)+N(V249))</f>
        <v/>
      </c>
      <c r="X249" s="85" t="str">
        <f aca="false">IF(AH249="","",P249-W249)</f>
        <v/>
      </c>
      <c r="Y249" s="67"/>
      <c r="Z249" s="70" t="str">
        <f aca="false">IF(OR(AH249="",Y249=""),"",IF(ABS(X249-Y249)&lt;=1,"✓ Cuadra","⚠ Diferencia $"&amp;FIXED(X249-Y249,0)))</f>
        <v/>
      </c>
      <c r="AA249" s="72" t="str">
        <f aca="false">IF(AH249="","",IFERROR(INDEX(C_TIPO,MATCH(C249&amp;"-P"&amp;MAX(1,COUNTIFS(C_ID,C249,C_DEFINE,"Sí",C_INICIO,"&lt;="&amp;EOMONTH(B249,0))),C_CLAVE,0))&amp;"","Sin dato"))</f>
        <v/>
      </c>
      <c r="AB249" s="71" t="str">
        <f aca="false">IF(AH249="","",ROUND(MIN(K249,TOPE_AFP_UF*AJ249)*AK249,0))</f>
        <v/>
      </c>
      <c r="AC249" s="71" t="str">
        <f aca="false">IF(AH249="","",ROUND(MIN(K249,TOPE_AFC_UF*AJ249)*IF(AA249="Indefinido",AFC_EMP_INDEF,AFC_EMP_PF),0))</f>
        <v/>
      </c>
      <c r="AD249" s="71" t="str">
        <f aca="false">IF(AH249="","",ROUND(MIN(K249,TOPE_AFP_UF*AJ249)*(MUTUAL_BASICA+MUTUAL_ADIC+SANNA),0))</f>
        <v/>
      </c>
      <c r="AE249" s="71" t="str">
        <f aca="false">IF(AH249="","",P249-N(N249)+AB249+AC249+AD249)</f>
        <v/>
      </c>
      <c r="AF249" s="65"/>
      <c r="AG249" s="64"/>
      <c r="AH249" s="72" t="str">
        <f aca="false">IF(OR(B249="",C249=""),"",C249&amp;"|"&amp;(YEAR(B249)*100+MONTH(B249)))</f>
        <v/>
      </c>
      <c r="AI249" s="70" t="str">
        <f aca="false">IF(AH249="","",IF(COUNTIF(L_CLAVE,AH249)&gt;1,"⚠ Duplicado","OK"))</f>
        <v/>
      </c>
      <c r="AJ249" s="86" t="str">
        <f aca="false">IF(AH249="","",IF(SUMPRODUCT(MAX((IND_PER&lt;=B249)*(IND_UF&lt;&gt;"")*IND_PER))=0,UF_HOY,INDEX(IND_UF,MATCH(SUMPRODUCT(MAX((IND_PER&lt;=B249)*(IND_UF&lt;&gt;"")*IND_PER)),IND_PER,0))))</f>
        <v/>
      </c>
      <c r="AK249" s="87" t="str">
        <f aca="false">IF(AH249="","",IF(COUNTIF(TASA_DESDE,"&lt;="&amp;B249)=0,INDEX(TASA_EMP,1),INDEX(TASA_EMP,COUNTIF(TASA_DESDE,"&lt;="&amp;B249))))</f>
        <v/>
      </c>
    </row>
    <row r="250" customFormat="false" ht="15" hidden="false" customHeight="false" outlineLevel="0" collapsed="false">
      <c r="B250" s="78"/>
      <c r="C250" s="64"/>
      <c r="D250" s="72" t="str">
        <f aca="false">IF(C250="","",IFERROR(INDEX(T_NOMBRE,MATCH(C250,T_ID,0)),"⚠ ID no existe"))</f>
        <v/>
      </c>
      <c r="E250" s="69"/>
      <c r="F250" s="67"/>
      <c r="G250" s="67"/>
      <c r="H250" s="67"/>
      <c r="I250" s="67"/>
      <c r="J250" s="67"/>
      <c r="K250" s="85" t="str">
        <f aca="false">IF(AH250="","",N(F250)+N(G250)+N(H250)-N(I250)+N(J250))</f>
        <v/>
      </c>
      <c r="L250" s="67"/>
      <c r="M250" s="67"/>
      <c r="N250" s="67"/>
      <c r="O250" s="67"/>
      <c r="P250" s="85" t="str">
        <f aca="false">IF(AH250="","",K250+N(L250)+N(M250)+N(N250)+N(O250))</f>
        <v/>
      </c>
      <c r="Q250" s="67"/>
      <c r="R250" s="67"/>
      <c r="S250" s="67"/>
      <c r="T250" s="67"/>
      <c r="U250" s="67"/>
      <c r="V250" s="67"/>
      <c r="W250" s="85" t="str">
        <f aca="false">IF(AH250="","",N(Q250)+N(R250)+N(S250)+N(T250)+N(U250)+N(V250))</f>
        <v/>
      </c>
      <c r="X250" s="85" t="str">
        <f aca="false">IF(AH250="","",P250-W250)</f>
        <v/>
      </c>
      <c r="Y250" s="67"/>
      <c r="Z250" s="70" t="str">
        <f aca="false">IF(OR(AH250="",Y250=""),"",IF(ABS(X250-Y250)&lt;=1,"✓ Cuadra","⚠ Diferencia $"&amp;FIXED(X250-Y250,0)))</f>
        <v/>
      </c>
      <c r="AA250" s="72" t="str">
        <f aca="false">IF(AH250="","",IFERROR(INDEX(C_TIPO,MATCH(C250&amp;"-P"&amp;MAX(1,COUNTIFS(C_ID,C250,C_DEFINE,"Sí",C_INICIO,"&lt;="&amp;EOMONTH(B250,0))),C_CLAVE,0))&amp;"","Sin dato"))</f>
        <v/>
      </c>
      <c r="AB250" s="71" t="str">
        <f aca="false">IF(AH250="","",ROUND(MIN(K250,TOPE_AFP_UF*AJ250)*AK250,0))</f>
        <v/>
      </c>
      <c r="AC250" s="71" t="str">
        <f aca="false">IF(AH250="","",ROUND(MIN(K250,TOPE_AFC_UF*AJ250)*IF(AA250="Indefinido",AFC_EMP_INDEF,AFC_EMP_PF),0))</f>
        <v/>
      </c>
      <c r="AD250" s="71" t="str">
        <f aca="false">IF(AH250="","",ROUND(MIN(K250,TOPE_AFP_UF*AJ250)*(MUTUAL_BASICA+MUTUAL_ADIC+SANNA),0))</f>
        <v/>
      </c>
      <c r="AE250" s="71" t="str">
        <f aca="false">IF(AH250="","",P250-N(N250)+AB250+AC250+AD250)</f>
        <v/>
      </c>
      <c r="AF250" s="65"/>
      <c r="AG250" s="64"/>
      <c r="AH250" s="72" t="str">
        <f aca="false">IF(OR(B250="",C250=""),"",C250&amp;"|"&amp;(YEAR(B250)*100+MONTH(B250)))</f>
        <v/>
      </c>
      <c r="AI250" s="70" t="str">
        <f aca="false">IF(AH250="","",IF(COUNTIF(L_CLAVE,AH250)&gt;1,"⚠ Duplicado","OK"))</f>
        <v/>
      </c>
      <c r="AJ250" s="86" t="str">
        <f aca="false">IF(AH250="","",IF(SUMPRODUCT(MAX((IND_PER&lt;=B250)*(IND_UF&lt;&gt;"")*IND_PER))=0,UF_HOY,INDEX(IND_UF,MATCH(SUMPRODUCT(MAX((IND_PER&lt;=B250)*(IND_UF&lt;&gt;"")*IND_PER)),IND_PER,0))))</f>
        <v/>
      </c>
      <c r="AK250" s="87" t="str">
        <f aca="false">IF(AH250="","",IF(COUNTIF(TASA_DESDE,"&lt;="&amp;B250)=0,INDEX(TASA_EMP,1),INDEX(TASA_EMP,COUNTIF(TASA_DESDE,"&lt;="&amp;B250))))</f>
        <v/>
      </c>
    </row>
    <row r="251" customFormat="false" ht="15" hidden="false" customHeight="false" outlineLevel="0" collapsed="false">
      <c r="B251" s="78"/>
      <c r="C251" s="64"/>
      <c r="D251" s="72" t="str">
        <f aca="false">IF(C251="","",IFERROR(INDEX(T_NOMBRE,MATCH(C251,T_ID,0)),"⚠ ID no existe"))</f>
        <v/>
      </c>
      <c r="E251" s="69"/>
      <c r="F251" s="67"/>
      <c r="G251" s="67"/>
      <c r="H251" s="67"/>
      <c r="I251" s="67"/>
      <c r="J251" s="67"/>
      <c r="K251" s="85" t="str">
        <f aca="false">IF(AH251="","",N(F251)+N(G251)+N(H251)-N(I251)+N(J251))</f>
        <v/>
      </c>
      <c r="L251" s="67"/>
      <c r="M251" s="67"/>
      <c r="N251" s="67"/>
      <c r="O251" s="67"/>
      <c r="P251" s="85" t="str">
        <f aca="false">IF(AH251="","",K251+N(L251)+N(M251)+N(N251)+N(O251))</f>
        <v/>
      </c>
      <c r="Q251" s="67"/>
      <c r="R251" s="67"/>
      <c r="S251" s="67"/>
      <c r="T251" s="67"/>
      <c r="U251" s="67"/>
      <c r="V251" s="67"/>
      <c r="W251" s="85" t="str">
        <f aca="false">IF(AH251="","",N(Q251)+N(R251)+N(S251)+N(T251)+N(U251)+N(V251))</f>
        <v/>
      </c>
      <c r="X251" s="85" t="str">
        <f aca="false">IF(AH251="","",P251-W251)</f>
        <v/>
      </c>
      <c r="Y251" s="67"/>
      <c r="Z251" s="70" t="str">
        <f aca="false">IF(OR(AH251="",Y251=""),"",IF(ABS(X251-Y251)&lt;=1,"✓ Cuadra","⚠ Diferencia $"&amp;FIXED(X251-Y251,0)))</f>
        <v/>
      </c>
      <c r="AA251" s="72" t="str">
        <f aca="false">IF(AH251="","",IFERROR(INDEX(C_TIPO,MATCH(C251&amp;"-P"&amp;MAX(1,COUNTIFS(C_ID,C251,C_DEFINE,"Sí",C_INICIO,"&lt;="&amp;EOMONTH(B251,0))),C_CLAVE,0))&amp;"","Sin dato"))</f>
        <v/>
      </c>
      <c r="AB251" s="71" t="str">
        <f aca="false">IF(AH251="","",ROUND(MIN(K251,TOPE_AFP_UF*AJ251)*AK251,0))</f>
        <v/>
      </c>
      <c r="AC251" s="71" t="str">
        <f aca="false">IF(AH251="","",ROUND(MIN(K251,TOPE_AFC_UF*AJ251)*IF(AA251="Indefinido",AFC_EMP_INDEF,AFC_EMP_PF),0))</f>
        <v/>
      </c>
      <c r="AD251" s="71" t="str">
        <f aca="false">IF(AH251="","",ROUND(MIN(K251,TOPE_AFP_UF*AJ251)*(MUTUAL_BASICA+MUTUAL_ADIC+SANNA),0))</f>
        <v/>
      </c>
      <c r="AE251" s="71" t="str">
        <f aca="false">IF(AH251="","",P251-N(N251)+AB251+AC251+AD251)</f>
        <v/>
      </c>
      <c r="AF251" s="65"/>
      <c r="AG251" s="64"/>
      <c r="AH251" s="72" t="str">
        <f aca="false">IF(OR(B251="",C251=""),"",C251&amp;"|"&amp;(YEAR(B251)*100+MONTH(B251)))</f>
        <v/>
      </c>
      <c r="AI251" s="70" t="str">
        <f aca="false">IF(AH251="","",IF(COUNTIF(L_CLAVE,AH251)&gt;1,"⚠ Duplicado","OK"))</f>
        <v/>
      </c>
      <c r="AJ251" s="86" t="str">
        <f aca="false">IF(AH251="","",IF(SUMPRODUCT(MAX((IND_PER&lt;=B251)*(IND_UF&lt;&gt;"")*IND_PER))=0,UF_HOY,INDEX(IND_UF,MATCH(SUMPRODUCT(MAX((IND_PER&lt;=B251)*(IND_UF&lt;&gt;"")*IND_PER)),IND_PER,0))))</f>
        <v/>
      </c>
      <c r="AK251" s="87" t="str">
        <f aca="false">IF(AH251="","",IF(COUNTIF(TASA_DESDE,"&lt;="&amp;B251)=0,INDEX(TASA_EMP,1),INDEX(TASA_EMP,COUNTIF(TASA_DESDE,"&lt;="&amp;B251))))</f>
        <v/>
      </c>
    </row>
    <row r="252" customFormat="false" ht="15" hidden="false" customHeight="false" outlineLevel="0" collapsed="false">
      <c r="B252" s="78"/>
      <c r="C252" s="64"/>
      <c r="D252" s="72" t="str">
        <f aca="false">IF(C252="","",IFERROR(INDEX(T_NOMBRE,MATCH(C252,T_ID,0)),"⚠ ID no existe"))</f>
        <v/>
      </c>
      <c r="E252" s="69"/>
      <c r="F252" s="67"/>
      <c r="G252" s="67"/>
      <c r="H252" s="67"/>
      <c r="I252" s="67"/>
      <c r="J252" s="67"/>
      <c r="K252" s="85" t="str">
        <f aca="false">IF(AH252="","",N(F252)+N(G252)+N(H252)-N(I252)+N(J252))</f>
        <v/>
      </c>
      <c r="L252" s="67"/>
      <c r="M252" s="67"/>
      <c r="N252" s="67"/>
      <c r="O252" s="67"/>
      <c r="P252" s="85" t="str">
        <f aca="false">IF(AH252="","",K252+N(L252)+N(M252)+N(N252)+N(O252))</f>
        <v/>
      </c>
      <c r="Q252" s="67"/>
      <c r="R252" s="67"/>
      <c r="S252" s="67"/>
      <c r="T252" s="67"/>
      <c r="U252" s="67"/>
      <c r="V252" s="67"/>
      <c r="W252" s="85" t="str">
        <f aca="false">IF(AH252="","",N(Q252)+N(R252)+N(S252)+N(T252)+N(U252)+N(V252))</f>
        <v/>
      </c>
      <c r="X252" s="85" t="str">
        <f aca="false">IF(AH252="","",P252-W252)</f>
        <v/>
      </c>
      <c r="Y252" s="67"/>
      <c r="Z252" s="70" t="str">
        <f aca="false">IF(OR(AH252="",Y252=""),"",IF(ABS(X252-Y252)&lt;=1,"✓ Cuadra","⚠ Diferencia $"&amp;FIXED(X252-Y252,0)))</f>
        <v/>
      </c>
      <c r="AA252" s="72" t="str">
        <f aca="false">IF(AH252="","",IFERROR(INDEX(C_TIPO,MATCH(C252&amp;"-P"&amp;MAX(1,COUNTIFS(C_ID,C252,C_DEFINE,"Sí",C_INICIO,"&lt;="&amp;EOMONTH(B252,0))),C_CLAVE,0))&amp;"","Sin dato"))</f>
        <v/>
      </c>
      <c r="AB252" s="71" t="str">
        <f aca="false">IF(AH252="","",ROUND(MIN(K252,TOPE_AFP_UF*AJ252)*AK252,0))</f>
        <v/>
      </c>
      <c r="AC252" s="71" t="str">
        <f aca="false">IF(AH252="","",ROUND(MIN(K252,TOPE_AFC_UF*AJ252)*IF(AA252="Indefinido",AFC_EMP_INDEF,AFC_EMP_PF),0))</f>
        <v/>
      </c>
      <c r="AD252" s="71" t="str">
        <f aca="false">IF(AH252="","",ROUND(MIN(K252,TOPE_AFP_UF*AJ252)*(MUTUAL_BASICA+MUTUAL_ADIC+SANNA),0))</f>
        <v/>
      </c>
      <c r="AE252" s="71" t="str">
        <f aca="false">IF(AH252="","",P252-N(N252)+AB252+AC252+AD252)</f>
        <v/>
      </c>
      <c r="AF252" s="65"/>
      <c r="AG252" s="64"/>
      <c r="AH252" s="72" t="str">
        <f aca="false">IF(OR(B252="",C252=""),"",C252&amp;"|"&amp;(YEAR(B252)*100+MONTH(B252)))</f>
        <v/>
      </c>
      <c r="AI252" s="70" t="str">
        <f aca="false">IF(AH252="","",IF(COUNTIF(L_CLAVE,AH252)&gt;1,"⚠ Duplicado","OK"))</f>
        <v/>
      </c>
      <c r="AJ252" s="86" t="str">
        <f aca="false">IF(AH252="","",IF(SUMPRODUCT(MAX((IND_PER&lt;=B252)*(IND_UF&lt;&gt;"")*IND_PER))=0,UF_HOY,INDEX(IND_UF,MATCH(SUMPRODUCT(MAX((IND_PER&lt;=B252)*(IND_UF&lt;&gt;"")*IND_PER)),IND_PER,0))))</f>
        <v/>
      </c>
      <c r="AK252" s="87" t="str">
        <f aca="false">IF(AH252="","",IF(COUNTIF(TASA_DESDE,"&lt;="&amp;B252)=0,INDEX(TASA_EMP,1),INDEX(TASA_EMP,COUNTIF(TASA_DESDE,"&lt;="&amp;B252))))</f>
        <v/>
      </c>
    </row>
    <row r="253" customFormat="false" ht="15" hidden="false" customHeight="false" outlineLevel="0" collapsed="false">
      <c r="B253" s="78"/>
      <c r="C253" s="64"/>
      <c r="D253" s="72" t="str">
        <f aca="false">IF(C253="","",IFERROR(INDEX(T_NOMBRE,MATCH(C253,T_ID,0)),"⚠ ID no existe"))</f>
        <v/>
      </c>
      <c r="E253" s="69"/>
      <c r="F253" s="67"/>
      <c r="G253" s="67"/>
      <c r="H253" s="67"/>
      <c r="I253" s="67"/>
      <c r="J253" s="67"/>
      <c r="K253" s="85" t="str">
        <f aca="false">IF(AH253="","",N(F253)+N(G253)+N(H253)-N(I253)+N(J253))</f>
        <v/>
      </c>
      <c r="L253" s="67"/>
      <c r="M253" s="67"/>
      <c r="N253" s="67"/>
      <c r="O253" s="67"/>
      <c r="P253" s="85" t="str">
        <f aca="false">IF(AH253="","",K253+N(L253)+N(M253)+N(N253)+N(O253))</f>
        <v/>
      </c>
      <c r="Q253" s="67"/>
      <c r="R253" s="67"/>
      <c r="S253" s="67"/>
      <c r="T253" s="67"/>
      <c r="U253" s="67"/>
      <c r="V253" s="67"/>
      <c r="W253" s="85" t="str">
        <f aca="false">IF(AH253="","",N(Q253)+N(R253)+N(S253)+N(T253)+N(U253)+N(V253))</f>
        <v/>
      </c>
      <c r="X253" s="85" t="str">
        <f aca="false">IF(AH253="","",P253-W253)</f>
        <v/>
      </c>
      <c r="Y253" s="67"/>
      <c r="Z253" s="70" t="str">
        <f aca="false">IF(OR(AH253="",Y253=""),"",IF(ABS(X253-Y253)&lt;=1,"✓ Cuadra","⚠ Diferencia $"&amp;FIXED(X253-Y253,0)))</f>
        <v/>
      </c>
      <c r="AA253" s="72" t="str">
        <f aca="false">IF(AH253="","",IFERROR(INDEX(C_TIPO,MATCH(C253&amp;"-P"&amp;MAX(1,COUNTIFS(C_ID,C253,C_DEFINE,"Sí",C_INICIO,"&lt;="&amp;EOMONTH(B253,0))),C_CLAVE,0))&amp;"","Sin dato"))</f>
        <v/>
      </c>
      <c r="AB253" s="71" t="str">
        <f aca="false">IF(AH253="","",ROUND(MIN(K253,TOPE_AFP_UF*AJ253)*AK253,0))</f>
        <v/>
      </c>
      <c r="AC253" s="71" t="str">
        <f aca="false">IF(AH253="","",ROUND(MIN(K253,TOPE_AFC_UF*AJ253)*IF(AA253="Indefinido",AFC_EMP_INDEF,AFC_EMP_PF),0))</f>
        <v/>
      </c>
      <c r="AD253" s="71" t="str">
        <f aca="false">IF(AH253="","",ROUND(MIN(K253,TOPE_AFP_UF*AJ253)*(MUTUAL_BASICA+MUTUAL_ADIC+SANNA),0))</f>
        <v/>
      </c>
      <c r="AE253" s="71" t="str">
        <f aca="false">IF(AH253="","",P253-N(N253)+AB253+AC253+AD253)</f>
        <v/>
      </c>
      <c r="AF253" s="65"/>
      <c r="AG253" s="64"/>
      <c r="AH253" s="72" t="str">
        <f aca="false">IF(OR(B253="",C253=""),"",C253&amp;"|"&amp;(YEAR(B253)*100+MONTH(B253)))</f>
        <v/>
      </c>
      <c r="AI253" s="70" t="str">
        <f aca="false">IF(AH253="","",IF(COUNTIF(L_CLAVE,AH253)&gt;1,"⚠ Duplicado","OK"))</f>
        <v/>
      </c>
      <c r="AJ253" s="86" t="str">
        <f aca="false">IF(AH253="","",IF(SUMPRODUCT(MAX((IND_PER&lt;=B253)*(IND_UF&lt;&gt;"")*IND_PER))=0,UF_HOY,INDEX(IND_UF,MATCH(SUMPRODUCT(MAX((IND_PER&lt;=B253)*(IND_UF&lt;&gt;"")*IND_PER)),IND_PER,0))))</f>
        <v/>
      </c>
      <c r="AK253" s="87" t="str">
        <f aca="false">IF(AH253="","",IF(COUNTIF(TASA_DESDE,"&lt;="&amp;B253)=0,INDEX(TASA_EMP,1),INDEX(TASA_EMP,COUNTIF(TASA_DESDE,"&lt;="&amp;B253))))</f>
        <v/>
      </c>
    </row>
    <row r="254" customFormat="false" ht="15" hidden="false" customHeight="false" outlineLevel="0" collapsed="false">
      <c r="B254" s="78"/>
      <c r="C254" s="64"/>
      <c r="D254" s="72" t="str">
        <f aca="false">IF(C254="","",IFERROR(INDEX(T_NOMBRE,MATCH(C254,T_ID,0)),"⚠ ID no existe"))</f>
        <v/>
      </c>
      <c r="E254" s="69"/>
      <c r="F254" s="67"/>
      <c r="G254" s="67"/>
      <c r="H254" s="67"/>
      <c r="I254" s="67"/>
      <c r="J254" s="67"/>
      <c r="K254" s="85" t="str">
        <f aca="false">IF(AH254="","",N(F254)+N(G254)+N(H254)-N(I254)+N(J254))</f>
        <v/>
      </c>
      <c r="L254" s="67"/>
      <c r="M254" s="67"/>
      <c r="N254" s="67"/>
      <c r="O254" s="67"/>
      <c r="P254" s="85" t="str">
        <f aca="false">IF(AH254="","",K254+N(L254)+N(M254)+N(N254)+N(O254))</f>
        <v/>
      </c>
      <c r="Q254" s="67"/>
      <c r="R254" s="67"/>
      <c r="S254" s="67"/>
      <c r="T254" s="67"/>
      <c r="U254" s="67"/>
      <c r="V254" s="67"/>
      <c r="W254" s="85" t="str">
        <f aca="false">IF(AH254="","",N(Q254)+N(R254)+N(S254)+N(T254)+N(U254)+N(V254))</f>
        <v/>
      </c>
      <c r="X254" s="85" t="str">
        <f aca="false">IF(AH254="","",P254-W254)</f>
        <v/>
      </c>
      <c r="Y254" s="67"/>
      <c r="Z254" s="70" t="str">
        <f aca="false">IF(OR(AH254="",Y254=""),"",IF(ABS(X254-Y254)&lt;=1,"✓ Cuadra","⚠ Diferencia $"&amp;FIXED(X254-Y254,0)))</f>
        <v/>
      </c>
      <c r="AA254" s="72" t="str">
        <f aca="false">IF(AH254="","",IFERROR(INDEX(C_TIPO,MATCH(C254&amp;"-P"&amp;MAX(1,COUNTIFS(C_ID,C254,C_DEFINE,"Sí",C_INICIO,"&lt;="&amp;EOMONTH(B254,0))),C_CLAVE,0))&amp;"","Sin dato"))</f>
        <v/>
      </c>
      <c r="AB254" s="71" t="str">
        <f aca="false">IF(AH254="","",ROUND(MIN(K254,TOPE_AFP_UF*AJ254)*AK254,0))</f>
        <v/>
      </c>
      <c r="AC254" s="71" t="str">
        <f aca="false">IF(AH254="","",ROUND(MIN(K254,TOPE_AFC_UF*AJ254)*IF(AA254="Indefinido",AFC_EMP_INDEF,AFC_EMP_PF),0))</f>
        <v/>
      </c>
      <c r="AD254" s="71" t="str">
        <f aca="false">IF(AH254="","",ROUND(MIN(K254,TOPE_AFP_UF*AJ254)*(MUTUAL_BASICA+MUTUAL_ADIC+SANNA),0))</f>
        <v/>
      </c>
      <c r="AE254" s="71" t="str">
        <f aca="false">IF(AH254="","",P254-N(N254)+AB254+AC254+AD254)</f>
        <v/>
      </c>
      <c r="AF254" s="65"/>
      <c r="AG254" s="64"/>
      <c r="AH254" s="72" t="str">
        <f aca="false">IF(OR(B254="",C254=""),"",C254&amp;"|"&amp;(YEAR(B254)*100+MONTH(B254)))</f>
        <v/>
      </c>
      <c r="AI254" s="70" t="str">
        <f aca="false">IF(AH254="","",IF(COUNTIF(L_CLAVE,AH254)&gt;1,"⚠ Duplicado","OK"))</f>
        <v/>
      </c>
      <c r="AJ254" s="86" t="str">
        <f aca="false">IF(AH254="","",IF(SUMPRODUCT(MAX((IND_PER&lt;=B254)*(IND_UF&lt;&gt;"")*IND_PER))=0,UF_HOY,INDEX(IND_UF,MATCH(SUMPRODUCT(MAX((IND_PER&lt;=B254)*(IND_UF&lt;&gt;"")*IND_PER)),IND_PER,0))))</f>
        <v/>
      </c>
      <c r="AK254" s="87" t="str">
        <f aca="false">IF(AH254="","",IF(COUNTIF(TASA_DESDE,"&lt;="&amp;B254)=0,INDEX(TASA_EMP,1),INDEX(TASA_EMP,COUNTIF(TASA_DESDE,"&lt;="&amp;B254))))</f>
        <v/>
      </c>
    </row>
    <row r="255" customFormat="false" ht="15" hidden="false" customHeight="false" outlineLevel="0" collapsed="false">
      <c r="B255" s="78"/>
      <c r="C255" s="64"/>
      <c r="D255" s="72" t="str">
        <f aca="false">IF(C255="","",IFERROR(INDEX(T_NOMBRE,MATCH(C255,T_ID,0)),"⚠ ID no existe"))</f>
        <v/>
      </c>
      <c r="E255" s="69"/>
      <c r="F255" s="67"/>
      <c r="G255" s="67"/>
      <c r="H255" s="67"/>
      <c r="I255" s="67"/>
      <c r="J255" s="67"/>
      <c r="K255" s="85" t="str">
        <f aca="false">IF(AH255="","",N(F255)+N(G255)+N(H255)-N(I255)+N(J255))</f>
        <v/>
      </c>
      <c r="L255" s="67"/>
      <c r="M255" s="67"/>
      <c r="N255" s="67"/>
      <c r="O255" s="67"/>
      <c r="P255" s="85" t="str">
        <f aca="false">IF(AH255="","",K255+N(L255)+N(M255)+N(N255)+N(O255))</f>
        <v/>
      </c>
      <c r="Q255" s="67"/>
      <c r="R255" s="67"/>
      <c r="S255" s="67"/>
      <c r="T255" s="67"/>
      <c r="U255" s="67"/>
      <c r="V255" s="67"/>
      <c r="W255" s="85" t="str">
        <f aca="false">IF(AH255="","",N(Q255)+N(R255)+N(S255)+N(T255)+N(U255)+N(V255))</f>
        <v/>
      </c>
      <c r="X255" s="85" t="str">
        <f aca="false">IF(AH255="","",P255-W255)</f>
        <v/>
      </c>
      <c r="Y255" s="67"/>
      <c r="Z255" s="70" t="str">
        <f aca="false">IF(OR(AH255="",Y255=""),"",IF(ABS(X255-Y255)&lt;=1,"✓ Cuadra","⚠ Diferencia $"&amp;FIXED(X255-Y255,0)))</f>
        <v/>
      </c>
      <c r="AA255" s="72" t="str">
        <f aca="false">IF(AH255="","",IFERROR(INDEX(C_TIPO,MATCH(C255&amp;"-P"&amp;MAX(1,COUNTIFS(C_ID,C255,C_DEFINE,"Sí",C_INICIO,"&lt;="&amp;EOMONTH(B255,0))),C_CLAVE,0))&amp;"","Sin dato"))</f>
        <v/>
      </c>
      <c r="AB255" s="71" t="str">
        <f aca="false">IF(AH255="","",ROUND(MIN(K255,TOPE_AFP_UF*AJ255)*AK255,0))</f>
        <v/>
      </c>
      <c r="AC255" s="71" t="str">
        <f aca="false">IF(AH255="","",ROUND(MIN(K255,TOPE_AFC_UF*AJ255)*IF(AA255="Indefinido",AFC_EMP_INDEF,AFC_EMP_PF),0))</f>
        <v/>
      </c>
      <c r="AD255" s="71" t="str">
        <f aca="false">IF(AH255="","",ROUND(MIN(K255,TOPE_AFP_UF*AJ255)*(MUTUAL_BASICA+MUTUAL_ADIC+SANNA),0))</f>
        <v/>
      </c>
      <c r="AE255" s="71" t="str">
        <f aca="false">IF(AH255="","",P255-N(N255)+AB255+AC255+AD255)</f>
        <v/>
      </c>
      <c r="AF255" s="65"/>
      <c r="AG255" s="64"/>
      <c r="AH255" s="72" t="str">
        <f aca="false">IF(OR(B255="",C255=""),"",C255&amp;"|"&amp;(YEAR(B255)*100+MONTH(B255)))</f>
        <v/>
      </c>
      <c r="AI255" s="70" t="str">
        <f aca="false">IF(AH255="","",IF(COUNTIF(L_CLAVE,AH255)&gt;1,"⚠ Duplicado","OK"))</f>
        <v/>
      </c>
      <c r="AJ255" s="86" t="str">
        <f aca="false">IF(AH255="","",IF(SUMPRODUCT(MAX((IND_PER&lt;=B255)*(IND_UF&lt;&gt;"")*IND_PER))=0,UF_HOY,INDEX(IND_UF,MATCH(SUMPRODUCT(MAX((IND_PER&lt;=B255)*(IND_UF&lt;&gt;"")*IND_PER)),IND_PER,0))))</f>
        <v/>
      </c>
      <c r="AK255" s="87" t="str">
        <f aca="false">IF(AH255="","",IF(COUNTIF(TASA_DESDE,"&lt;="&amp;B255)=0,INDEX(TASA_EMP,1),INDEX(TASA_EMP,COUNTIF(TASA_DESDE,"&lt;="&amp;B255))))</f>
        <v/>
      </c>
    </row>
    <row r="256" customFormat="false" ht="15" hidden="false" customHeight="false" outlineLevel="0" collapsed="false">
      <c r="B256" s="78"/>
      <c r="C256" s="64"/>
      <c r="D256" s="72" t="str">
        <f aca="false">IF(C256="","",IFERROR(INDEX(T_NOMBRE,MATCH(C256,T_ID,0)),"⚠ ID no existe"))</f>
        <v/>
      </c>
      <c r="E256" s="69"/>
      <c r="F256" s="67"/>
      <c r="G256" s="67"/>
      <c r="H256" s="67"/>
      <c r="I256" s="67"/>
      <c r="J256" s="67"/>
      <c r="K256" s="85" t="str">
        <f aca="false">IF(AH256="","",N(F256)+N(G256)+N(H256)-N(I256)+N(J256))</f>
        <v/>
      </c>
      <c r="L256" s="67"/>
      <c r="M256" s="67"/>
      <c r="N256" s="67"/>
      <c r="O256" s="67"/>
      <c r="P256" s="85" t="str">
        <f aca="false">IF(AH256="","",K256+N(L256)+N(M256)+N(N256)+N(O256))</f>
        <v/>
      </c>
      <c r="Q256" s="67"/>
      <c r="R256" s="67"/>
      <c r="S256" s="67"/>
      <c r="T256" s="67"/>
      <c r="U256" s="67"/>
      <c r="V256" s="67"/>
      <c r="W256" s="85" t="str">
        <f aca="false">IF(AH256="","",N(Q256)+N(R256)+N(S256)+N(T256)+N(U256)+N(V256))</f>
        <v/>
      </c>
      <c r="X256" s="85" t="str">
        <f aca="false">IF(AH256="","",P256-W256)</f>
        <v/>
      </c>
      <c r="Y256" s="67"/>
      <c r="Z256" s="70" t="str">
        <f aca="false">IF(OR(AH256="",Y256=""),"",IF(ABS(X256-Y256)&lt;=1,"✓ Cuadra","⚠ Diferencia $"&amp;FIXED(X256-Y256,0)))</f>
        <v/>
      </c>
      <c r="AA256" s="72" t="str">
        <f aca="false">IF(AH256="","",IFERROR(INDEX(C_TIPO,MATCH(C256&amp;"-P"&amp;MAX(1,COUNTIFS(C_ID,C256,C_DEFINE,"Sí",C_INICIO,"&lt;="&amp;EOMONTH(B256,0))),C_CLAVE,0))&amp;"","Sin dato"))</f>
        <v/>
      </c>
      <c r="AB256" s="71" t="str">
        <f aca="false">IF(AH256="","",ROUND(MIN(K256,TOPE_AFP_UF*AJ256)*AK256,0))</f>
        <v/>
      </c>
      <c r="AC256" s="71" t="str">
        <f aca="false">IF(AH256="","",ROUND(MIN(K256,TOPE_AFC_UF*AJ256)*IF(AA256="Indefinido",AFC_EMP_INDEF,AFC_EMP_PF),0))</f>
        <v/>
      </c>
      <c r="AD256" s="71" t="str">
        <f aca="false">IF(AH256="","",ROUND(MIN(K256,TOPE_AFP_UF*AJ256)*(MUTUAL_BASICA+MUTUAL_ADIC+SANNA),0))</f>
        <v/>
      </c>
      <c r="AE256" s="71" t="str">
        <f aca="false">IF(AH256="","",P256-N(N256)+AB256+AC256+AD256)</f>
        <v/>
      </c>
      <c r="AF256" s="65"/>
      <c r="AG256" s="64"/>
      <c r="AH256" s="72" t="str">
        <f aca="false">IF(OR(B256="",C256=""),"",C256&amp;"|"&amp;(YEAR(B256)*100+MONTH(B256)))</f>
        <v/>
      </c>
      <c r="AI256" s="70" t="str">
        <f aca="false">IF(AH256="","",IF(COUNTIF(L_CLAVE,AH256)&gt;1,"⚠ Duplicado","OK"))</f>
        <v/>
      </c>
      <c r="AJ256" s="86" t="str">
        <f aca="false">IF(AH256="","",IF(SUMPRODUCT(MAX((IND_PER&lt;=B256)*(IND_UF&lt;&gt;"")*IND_PER))=0,UF_HOY,INDEX(IND_UF,MATCH(SUMPRODUCT(MAX((IND_PER&lt;=B256)*(IND_UF&lt;&gt;"")*IND_PER)),IND_PER,0))))</f>
        <v/>
      </c>
      <c r="AK256" s="87" t="str">
        <f aca="false">IF(AH256="","",IF(COUNTIF(TASA_DESDE,"&lt;="&amp;B256)=0,INDEX(TASA_EMP,1),INDEX(TASA_EMP,COUNTIF(TASA_DESDE,"&lt;="&amp;B256))))</f>
        <v/>
      </c>
    </row>
    <row r="257" customFormat="false" ht="15" hidden="false" customHeight="false" outlineLevel="0" collapsed="false">
      <c r="B257" s="78"/>
      <c r="C257" s="64"/>
      <c r="D257" s="72" t="str">
        <f aca="false">IF(C257="","",IFERROR(INDEX(T_NOMBRE,MATCH(C257,T_ID,0)),"⚠ ID no existe"))</f>
        <v/>
      </c>
      <c r="E257" s="69"/>
      <c r="F257" s="67"/>
      <c r="G257" s="67"/>
      <c r="H257" s="67"/>
      <c r="I257" s="67"/>
      <c r="J257" s="67"/>
      <c r="K257" s="85" t="str">
        <f aca="false">IF(AH257="","",N(F257)+N(G257)+N(H257)-N(I257)+N(J257))</f>
        <v/>
      </c>
      <c r="L257" s="67"/>
      <c r="M257" s="67"/>
      <c r="N257" s="67"/>
      <c r="O257" s="67"/>
      <c r="P257" s="85" t="str">
        <f aca="false">IF(AH257="","",K257+N(L257)+N(M257)+N(N257)+N(O257))</f>
        <v/>
      </c>
      <c r="Q257" s="67"/>
      <c r="R257" s="67"/>
      <c r="S257" s="67"/>
      <c r="T257" s="67"/>
      <c r="U257" s="67"/>
      <c r="V257" s="67"/>
      <c r="W257" s="85" t="str">
        <f aca="false">IF(AH257="","",N(Q257)+N(R257)+N(S257)+N(T257)+N(U257)+N(V257))</f>
        <v/>
      </c>
      <c r="X257" s="85" t="str">
        <f aca="false">IF(AH257="","",P257-W257)</f>
        <v/>
      </c>
      <c r="Y257" s="67"/>
      <c r="Z257" s="70" t="str">
        <f aca="false">IF(OR(AH257="",Y257=""),"",IF(ABS(X257-Y257)&lt;=1,"✓ Cuadra","⚠ Diferencia $"&amp;FIXED(X257-Y257,0)))</f>
        <v/>
      </c>
      <c r="AA257" s="72" t="str">
        <f aca="false">IF(AH257="","",IFERROR(INDEX(C_TIPO,MATCH(C257&amp;"-P"&amp;MAX(1,COUNTIFS(C_ID,C257,C_DEFINE,"Sí",C_INICIO,"&lt;="&amp;EOMONTH(B257,0))),C_CLAVE,0))&amp;"","Sin dato"))</f>
        <v/>
      </c>
      <c r="AB257" s="71" t="str">
        <f aca="false">IF(AH257="","",ROUND(MIN(K257,TOPE_AFP_UF*AJ257)*AK257,0))</f>
        <v/>
      </c>
      <c r="AC257" s="71" t="str">
        <f aca="false">IF(AH257="","",ROUND(MIN(K257,TOPE_AFC_UF*AJ257)*IF(AA257="Indefinido",AFC_EMP_INDEF,AFC_EMP_PF),0))</f>
        <v/>
      </c>
      <c r="AD257" s="71" t="str">
        <f aca="false">IF(AH257="","",ROUND(MIN(K257,TOPE_AFP_UF*AJ257)*(MUTUAL_BASICA+MUTUAL_ADIC+SANNA),0))</f>
        <v/>
      </c>
      <c r="AE257" s="71" t="str">
        <f aca="false">IF(AH257="","",P257-N(N257)+AB257+AC257+AD257)</f>
        <v/>
      </c>
      <c r="AF257" s="65"/>
      <c r="AG257" s="64"/>
      <c r="AH257" s="72" t="str">
        <f aca="false">IF(OR(B257="",C257=""),"",C257&amp;"|"&amp;(YEAR(B257)*100+MONTH(B257)))</f>
        <v/>
      </c>
      <c r="AI257" s="70" t="str">
        <f aca="false">IF(AH257="","",IF(COUNTIF(L_CLAVE,AH257)&gt;1,"⚠ Duplicado","OK"))</f>
        <v/>
      </c>
      <c r="AJ257" s="86" t="str">
        <f aca="false">IF(AH257="","",IF(SUMPRODUCT(MAX((IND_PER&lt;=B257)*(IND_UF&lt;&gt;"")*IND_PER))=0,UF_HOY,INDEX(IND_UF,MATCH(SUMPRODUCT(MAX((IND_PER&lt;=B257)*(IND_UF&lt;&gt;"")*IND_PER)),IND_PER,0))))</f>
        <v/>
      </c>
      <c r="AK257" s="87" t="str">
        <f aca="false">IF(AH257="","",IF(COUNTIF(TASA_DESDE,"&lt;="&amp;B257)=0,INDEX(TASA_EMP,1),INDEX(TASA_EMP,COUNTIF(TASA_DESDE,"&lt;="&amp;B257))))</f>
        <v/>
      </c>
    </row>
    <row r="258" customFormat="false" ht="15" hidden="false" customHeight="false" outlineLevel="0" collapsed="false">
      <c r="B258" s="78"/>
      <c r="C258" s="64"/>
      <c r="D258" s="72" t="str">
        <f aca="false">IF(C258="","",IFERROR(INDEX(T_NOMBRE,MATCH(C258,T_ID,0)),"⚠ ID no existe"))</f>
        <v/>
      </c>
      <c r="E258" s="69"/>
      <c r="F258" s="67"/>
      <c r="G258" s="67"/>
      <c r="H258" s="67"/>
      <c r="I258" s="67"/>
      <c r="J258" s="67"/>
      <c r="K258" s="85" t="str">
        <f aca="false">IF(AH258="","",N(F258)+N(G258)+N(H258)-N(I258)+N(J258))</f>
        <v/>
      </c>
      <c r="L258" s="67"/>
      <c r="M258" s="67"/>
      <c r="N258" s="67"/>
      <c r="O258" s="67"/>
      <c r="P258" s="85" t="str">
        <f aca="false">IF(AH258="","",K258+N(L258)+N(M258)+N(N258)+N(O258))</f>
        <v/>
      </c>
      <c r="Q258" s="67"/>
      <c r="R258" s="67"/>
      <c r="S258" s="67"/>
      <c r="T258" s="67"/>
      <c r="U258" s="67"/>
      <c r="V258" s="67"/>
      <c r="W258" s="85" t="str">
        <f aca="false">IF(AH258="","",N(Q258)+N(R258)+N(S258)+N(T258)+N(U258)+N(V258))</f>
        <v/>
      </c>
      <c r="X258" s="85" t="str">
        <f aca="false">IF(AH258="","",P258-W258)</f>
        <v/>
      </c>
      <c r="Y258" s="67"/>
      <c r="Z258" s="70" t="str">
        <f aca="false">IF(OR(AH258="",Y258=""),"",IF(ABS(X258-Y258)&lt;=1,"✓ Cuadra","⚠ Diferencia $"&amp;FIXED(X258-Y258,0)))</f>
        <v/>
      </c>
      <c r="AA258" s="72" t="str">
        <f aca="false">IF(AH258="","",IFERROR(INDEX(C_TIPO,MATCH(C258&amp;"-P"&amp;MAX(1,COUNTIFS(C_ID,C258,C_DEFINE,"Sí",C_INICIO,"&lt;="&amp;EOMONTH(B258,0))),C_CLAVE,0))&amp;"","Sin dato"))</f>
        <v/>
      </c>
      <c r="AB258" s="71" t="str">
        <f aca="false">IF(AH258="","",ROUND(MIN(K258,TOPE_AFP_UF*AJ258)*AK258,0))</f>
        <v/>
      </c>
      <c r="AC258" s="71" t="str">
        <f aca="false">IF(AH258="","",ROUND(MIN(K258,TOPE_AFC_UF*AJ258)*IF(AA258="Indefinido",AFC_EMP_INDEF,AFC_EMP_PF),0))</f>
        <v/>
      </c>
      <c r="AD258" s="71" t="str">
        <f aca="false">IF(AH258="","",ROUND(MIN(K258,TOPE_AFP_UF*AJ258)*(MUTUAL_BASICA+MUTUAL_ADIC+SANNA),0))</f>
        <v/>
      </c>
      <c r="AE258" s="71" t="str">
        <f aca="false">IF(AH258="","",P258-N(N258)+AB258+AC258+AD258)</f>
        <v/>
      </c>
      <c r="AF258" s="65"/>
      <c r="AG258" s="64"/>
      <c r="AH258" s="72" t="str">
        <f aca="false">IF(OR(B258="",C258=""),"",C258&amp;"|"&amp;(YEAR(B258)*100+MONTH(B258)))</f>
        <v/>
      </c>
      <c r="AI258" s="70" t="str">
        <f aca="false">IF(AH258="","",IF(COUNTIF(L_CLAVE,AH258)&gt;1,"⚠ Duplicado","OK"))</f>
        <v/>
      </c>
      <c r="AJ258" s="86" t="str">
        <f aca="false">IF(AH258="","",IF(SUMPRODUCT(MAX((IND_PER&lt;=B258)*(IND_UF&lt;&gt;"")*IND_PER))=0,UF_HOY,INDEX(IND_UF,MATCH(SUMPRODUCT(MAX((IND_PER&lt;=B258)*(IND_UF&lt;&gt;"")*IND_PER)),IND_PER,0))))</f>
        <v/>
      </c>
      <c r="AK258" s="87" t="str">
        <f aca="false">IF(AH258="","",IF(COUNTIF(TASA_DESDE,"&lt;="&amp;B258)=0,INDEX(TASA_EMP,1),INDEX(TASA_EMP,COUNTIF(TASA_DESDE,"&lt;="&amp;B258))))</f>
        <v/>
      </c>
    </row>
    <row r="259" customFormat="false" ht="15" hidden="false" customHeight="false" outlineLevel="0" collapsed="false">
      <c r="B259" s="78"/>
      <c r="C259" s="64"/>
      <c r="D259" s="72" t="str">
        <f aca="false">IF(C259="","",IFERROR(INDEX(T_NOMBRE,MATCH(C259,T_ID,0)),"⚠ ID no existe"))</f>
        <v/>
      </c>
      <c r="E259" s="69"/>
      <c r="F259" s="67"/>
      <c r="G259" s="67"/>
      <c r="H259" s="67"/>
      <c r="I259" s="67"/>
      <c r="J259" s="67"/>
      <c r="K259" s="85" t="str">
        <f aca="false">IF(AH259="","",N(F259)+N(G259)+N(H259)-N(I259)+N(J259))</f>
        <v/>
      </c>
      <c r="L259" s="67"/>
      <c r="M259" s="67"/>
      <c r="N259" s="67"/>
      <c r="O259" s="67"/>
      <c r="P259" s="85" t="str">
        <f aca="false">IF(AH259="","",K259+N(L259)+N(M259)+N(N259)+N(O259))</f>
        <v/>
      </c>
      <c r="Q259" s="67"/>
      <c r="R259" s="67"/>
      <c r="S259" s="67"/>
      <c r="T259" s="67"/>
      <c r="U259" s="67"/>
      <c r="V259" s="67"/>
      <c r="W259" s="85" t="str">
        <f aca="false">IF(AH259="","",N(Q259)+N(R259)+N(S259)+N(T259)+N(U259)+N(V259))</f>
        <v/>
      </c>
      <c r="X259" s="85" t="str">
        <f aca="false">IF(AH259="","",P259-W259)</f>
        <v/>
      </c>
      <c r="Y259" s="67"/>
      <c r="Z259" s="70" t="str">
        <f aca="false">IF(OR(AH259="",Y259=""),"",IF(ABS(X259-Y259)&lt;=1,"✓ Cuadra","⚠ Diferencia $"&amp;FIXED(X259-Y259,0)))</f>
        <v/>
      </c>
      <c r="AA259" s="72" t="str">
        <f aca="false">IF(AH259="","",IFERROR(INDEX(C_TIPO,MATCH(C259&amp;"-P"&amp;MAX(1,COUNTIFS(C_ID,C259,C_DEFINE,"Sí",C_INICIO,"&lt;="&amp;EOMONTH(B259,0))),C_CLAVE,0))&amp;"","Sin dato"))</f>
        <v/>
      </c>
      <c r="AB259" s="71" t="str">
        <f aca="false">IF(AH259="","",ROUND(MIN(K259,TOPE_AFP_UF*AJ259)*AK259,0))</f>
        <v/>
      </c>
      <c r="AC259" s="71" t="str">
        <f aca="false">IF(AH259="","",ROUND(MIN(K259,TOPE_AFC_UF*AJ259)*IF(AA259="Indefinido",AFC_EMP_INDEF,AFC_EMP_PF),0))</f>
        <v/>
      </c>
      <c r="AD259" s="71" t="str">
        <f aca="false">IF(AH259="","",ROUND(MIN(K259,TOPE_AFP_UF*AJ259)*(MUTUAL_BASICA+MUTUAL_ADIC+SANNA),0))</f>
        <v/>
      </c>
      <c r="AE259" s="71" t="str">
        <f aca="false">IF(AH259="","",P259-N(N259)+AB259+AC259+AD259)</f>
        <v/>
      </c>
      <c r="AF259" s="65"/>
      <c r="AG259" s="64"/>
      <c r="AH259" s="72" t="str">
        <f aca="false">IF(OR(B259="",C259=""),"",C259&amp;"|"&amp;(YEAR(B259)*100+MONTH(B259)))</f>
        <v/>
      </c>
      <c r="AI259" s="70" t="str">
        <f aca="false">IF(AH259="","",IF(COUNTIF(L_CLAVE,AH259)&gt;1,"⚠ Duplicado","OK"))</f>
        <v/>
      </c>
      <c r="AJ259" s="86" t="str">
        <f aca="false">IF(AH259="","",IF(SUMPRODUCT(MAX((IND_PER&lt;=B259)*(IND_UF&lt;&gt;"")*IND_PER))=0,UF_HOY,INDEX(IND_UF,MATCH(SUMPRODUCT(MAX((IND_PER&lt;=B259)*(IND_UF&lt;&gt;"")*IND_PER)),IND_PER,0))))</f>
        <v/>
      </c>
      <c r="AK259" s="87" t="str">
        <f aca="false">IF(AH259="","",IF(COUNTIF(TASA_DESDE,"&lt;="&amp;B259)=0,INDEX(TASA_EMP,1),INDEX(TASA_EMP,COUNTIF(TASA_DESDE,"&lt;="&amp;B259))))</f>
        <v/>
      </c>
    </row>
    <row r="260" customFormat="false" ht="15" hidden="false" customHeight="false" outlineLevel="0" collapsed="false">
      <c r="B260" s="78"/>
      <c r="C260" s="64"/>
      <c r="D260" s="72" t="str">
        <f aca="false">IF(C260="","",IFERROR(INDEX(T_NOMBRE,MATCH(C260,T_ID,0)),"⚠ ID no existe"))</f>
        <v/>
      </c>
      <c r="E260" s="69"/>
      <c r="F260" s="67"/>
      <c r="G260" s="67"/>
      <c r="H260" s="67"/>
      <c r="I260" s="67"/>
      <c r="J260" s="67"/>
      <c r="K260" s="85" t="str">
        <f aca="false">IF(AH260="","",N(F260)+N(G260)+N(H260)-N(I260)+N(J260))</f>
        <v/>
      </c>
      <c r="L260" s="67"/>
      <c r="M260" s="67"/>
      <c r="N260" s="67"/>
      <c r="O260" s="67"/>
      <c r="P260" s="85" t="str">
        <f aca="false">IF(AH260="","",K260+N(L260)+N(M260)+N(N260)+N(O260))</f>
        <v/>
      </c>
      <c r="Q260" s="67"/>
      <c r="R260" s="67"/>
      <c r="S260" s="67"/>
      <c r="T260" s="67"/>
      <c r="U260" s="67"/>
      <c r="V260" s="67"/>
      <c r="W260" s="85" t="str">
        <f aca="false">IF(AH260="","",N(Q260)+N(R260)+N(S260)+N(T260)+N(U260)+N(V260))</f>
        <v/>
      </c>
      <c r="X260" s="85" t="str">
        <f aca="false">IF(AH260="","",P260-W260)</f>
        <v/>
      </c>
      <c r="Y260" s="67"/>
      <c r="Z260" s="70" t="str">
        <f aca="false">IF(OR(AH260="",Y260=""),"",IF(ABS(X260-Y260)&lt;=1,"✓ Cuadra","⚠ Diferencia $"&amp;FIXED(X260-Y260,0)))</f>
        <v/>
      </c>
      <c r="AA260" s="72" t="str">
        <f aca="false">IF(AH260="","",IFERROR(INDEX(C_TIPO,MATCH(C260&amp;"-P"&amp;MAX(1,COUNTIFS(C_ID,C260,C_DEFINE,"Sí",C_INICIO,"&lt;="&amp;EOMONTH(B260,0))),C_CLAVE,0))&amp;"","Sin dato"))</f>
        <v/>
      </c>
      <c r="AB260" s="71" t="str">
        <f aca="false">IF(AH260="","",ROUND(MIN(K260,TOPE_AFP_UF*AJ260)*AK260,0))</f>
        <v/>
      </c>
      <c r="AC260" s="71" t="str">
        <f aca="false">IF(AH260="","",ROUND(MIN(K260,TOPE_AFC_UF*AJ260)*IF(AA260="Indefinido",AFC_EMP_INDEF,AFC_EMP_PF),0))</f>
        <v/>
      </c>
      <c r="AD260" s="71" t="str">
        <f aca="false">IF(AH260="","",ROUND(MIN(K260,TOPE_AFP_UF*AJ260)*(MUTUAL_BASICA+MUTUAL_ADIC+SANNA),0))</f>
        <v/>
      </c>
      <c r="AE260" s="71" t="str">
        <f aca="false">IF(AH260="","",P260-N(N260)+AB260+AC260+AD260)</f>
        <v/>
      </c>
      <c r="AF260" s="65"/>
      <c r="AG260" s="64"/>
      <c r="AH260" s="72" t="str">
        <f aca="false">IF(OR(B260="",C260=""),"",C260&amp;"|"&amp;(YEAR(B260)*100+MONTH(B260)))</f>
        <v/>
      </c>
      <c r="AI260" s="70" t="str">
        <f aca="false">IF(AH260="","",IF(COUNTIF(L_CLAVE,AH260)&gt;1,"⚠ Duplicado","OK"))</f>
        <v/>
      </c>
      <c r="AJ260" s="86" t="str">
        <f aca="false">IF(AH260="","",IF(SUMPRODUCT(MAX((IND_PER&lt;=B260)*(IND_UF&lt;&gt;"")*IND_PER))=0,UF_HOY,INDEX(IND_UF,MATCH(SUMPRODUCT(MAX((IND_PER&lt;=B260)*(IND_UF&lt;&gt;"")*IND_PER)),IND_PER,0))))</f>
        <v/>
      </c>
      <c r="AK260" s="87" t="str">
        <f aca="false">IF(AH260="","",IF(COUNTIF(TASA_DESDE,"&lt;="&amp;B260)=0,INDEX(TASA_EMP,1),INDEX(TASA_EMP,COUNTIF(TASA_DESDE,"&lt;="&amp;B260))))</f>
        <v/>
      </c>
    </row>
    <row r="261" customFormat="false" ht="15" hidden="false" customHeight="false" outlineLevel="0" collapsed="false">
      <c r="B261" s="78"/>
      <c r="C261" s="64"/>
      <c r="D261" s="72" t="str">
        <f aca="false">IF(C261="","",IFERROR(INDEX(T_NOMBRE,MATCH(C261,T_ID,0)),"⚠ ID no existe"))</f>
        <v/>
      </c>
      <c r="E261" s="69"/>
      <c r="F261" s="67"/>
      <c r="G261" s="67"/>
      <c r="H261" s="67"/>
      <c r="I261" s="67"/>
      <c r="J261" s="67"/>
      <c r="K261" s="85" t="str">
        <f aca="false">IF(AH261="","",N(F261)+N(G261)+N(H261)-N(I261)+N(J261))</f>
        <v/>
      </c>
      <c r="L261" s="67"/>
      <c r="M261" s="67"/>
      <c r="N261" s="67"/>
      <c r="O261" s="67"/>
      <c r="P261" s="85" t="str">
        <f aca="false">IF(AH261="","",K261+N(L261)+N(M261)+N(N261)+N(O261))</f>
        <v/>
      </c>
      <c r="Q261" s="67"/>
      <c r="R261" s="67"/>
      <c r="S261" s="67"/>
      <c r="T261" s="67"/>
      <c r="U261" s="67"/>
      <c r="V261" s="67"/>
      <c r="W261" s="85" t="str">
        <f aca="false">IF(AH261="","",N(Q261)+N(R261)+N(S261)+N(T261)+N(U261)+N(V261))</f>
        <v/>
      </c>
      <c r="X261" s="85" t="str">
        <f aca="false">IF(AH261="","",P261-W261)</f>
        <v/>
      </c>
      <c r="Y261" s="67"/>
      <c r="Z261" s="70" t="str">
        <f aca="false">IF(OR(AH261="",Y261=""),"",IF(ABS(X261-Y261)&lt;=1,"✓ Cuadra","⚠ Diferencia $"&amp;FIXED(X261-Y261,0)))</f>
        <v/>
      </c>
      <c r="AA261" s="72" t="str">
        <f aca="false">IF(AH261="","",IFERROR(INDEX(C_TIPO,MATCH(C261&amp;"-P"&amp;MAX(1,COUNTIFS(C_ID,C261,C_DEFINE,"Sí",C_INICIO,"&lt;="&amp;EOMONTH(B261,0))),C_CLAVE,0))&amp;"","Sin dato"))</f>
        <v/>
      </c>
      <c r="AB261" s="71" t="str">
        <f aca="false">IF(AH261="","",ROUND(MIN(K261,TOPE_AFP_UF*AJ261)*AK261,0))</f>
        <v/>
      </c>
      <c r="AC261" s="71" t="str">
        <f aca="false">IF(AH261="","",ROUND(MIN(K261,TOPE_AFC_UF*AJ261)*IF(AA261="Indefinido",AFC_EMP_INDEF,AFC_EMP_PF),0))</f>
        <v/>
      </c>
      <c r="AD261" s="71" t="str">
        <f aca="false">IF(AH261="","",ROUND(MIN(K261,TOPE_AFP_UF*AJ261)*(MUTUAL_BASICA+MUTUAL_ADIC+SANNA),0))</f>
        <v/>
      </c>
      <c r="AE261" s="71" t="str">
        <f aca="false">IF(AH261="","",P261-N(N261)+AB261+AC261+AD261)</f>
        <v/>
      </c>
      <c r="AF261" s="65"/>
      <c r="AG261" s="64"/>
      <c r="AH261" s="72" t="str">
        <f aca="false">IF(OR(B261="",C261=""),"",C261&amp;"|"&amp;(YEAR(B261)*100+MONTH(B261)))</f>
        <v/>
      </c>
      <c r="AI261" s="70" t="str">
        <f aca="false">IF(AH261="","",IF(COUNTIF(L_CLAVE,AH261)&gt;1,"⚠ Duplicado","OK"))</f>
        <v/>
      </c>
      <c r="AJ261" s="86" t="str">
        <f aca="false">IF(AH261="","",IF(SUMPRODUCT(MAX((IND_PER&lt;=B261)*(IND_UF&lt;&gt;"")*IND_PER))=0,UF_HOY,INDEX(IND_UF,MATCH(SUMPRODUCT(MAX((IND_PER&lt;=B261)*(IND_UF&lt;&gt;"")*IND_PER)),IND_PER,0))))</f>
        <v/>
      </c>
      <c r="AK261" s="87" t="str">
        <f aca="false">IF(AH261="","",IF(COUNTIF(TASA_DESDE,"&lt;="&amp;B261)=0,INDEX(TASA_EMP,1),INDEX(TASA_EMP,COUNTIF(TASA_DESDE,"&lt;="&amp;B261))))</f>
        <v/>
      </c>
    </row>
    <row r="262" customFormat="false" ht="15" hidden="false" customHeight="false" outlineLevel="0" collapsed="false">
      <c r="B262" s="78"/>
      <c r="C262" s="64"/>
      <c r="D262" s="72" t="str">
        <f aca="false">IF(C262="","",IFERROR(INDEX(T_NOMBRE,MATCH(C262,T_ID,0)),"⚠ ID no existe"))</f>
        <v/>
      </c>
      <c r="E262" s="69"/>
      <c r="F262" s="67"/>
      <c r="G262" s="67"/>
      <c r="H262" s="67"/>
      <c r="I262" s="67"/>
      <c r="J262" s="67"/>
      <c r="K262" s="85" t="str">
        <f aca="false">IF(AH262="","",N(F262)+N(G262)+N(H262)-N(I262)+N(J262))</f>
        <v/>
      </c>
      <c r="L262" s="67"/>
      <c r="M262" s="67"/>
      <c r="N262" s="67"/>
      <c r="O262" s="67"/>
      <c r="P262" s="85" t="str">
        <f aca="false">IF(AH262="","",K262+N(L262)+N(M262)+N(N262)+N(O262))</f>
        <v/>
      </c>
      <c r="Q262" s="67"/>
      <c r="R262" s="67"/>
      <c r="S262" s="67"/>
      <c r="T262" s="67"/>
      <c r="U262" s="67"/>
      <c r="V262" s="67"/>
      <c r="W262" s="85" t="str">
        <f aca="false">IF(AH262="","",N(Q262)+N(R262)+N(S262)+N(T262)+N(U262)+N(V262))</f>
        <v/>
      </c>
      <c r="X262" s="85" t="str">
        <f aca="false">IF(AH262="","",P262-W262)</f>
        <v/>
      </c>
      <c r="Y262" s="67"/>
      <c r="Z262" s="70" t="str">
        <f aca="false">IF(OR(AH262="",Y262=""),"",IF(ABS(X262-Y262)&lt;=1,"✓ Cuadra","⚠ Diferencia $"&amp;FIXED(X262-Y262,0)))</f>
        <v/>
      </c>
      <c r="AA262" s="72" t="str">
        <f aca="false">IF(AH262="","",IFERROR(INDEX(C_TIPO,MATCH(C262&amp;"-P"&amp;MAX(1,COUNTIFS(C_ID,C262,C_DEFINE,"Sí",C_INICIO,"&lt;="&amp;EOMONTH(B262,0))),C_CLAVE,0))&amp;"","Sin dato"))</f>
        <v/>
      </c>
      <c r="AB262" s="71" t="str">
        <f aca="false">IF(AH262="","",ROUND(MIN(K262,TOPE_AFP_UF*AJ262)*AK262,0))</f>
        <v/>
      </c>
      <c r="AC262" s="71" t="str">
        <f aca="false">IF(AH262="","",ROUND(MIN(K262,TOPE_AFC_UF*AJ262)*IF(AA262="Indefinido",AFC_EMP_INDEF,AFC_EMP_PF),0))</f>
        <v/>
      </c>
      <c r="AD262" s="71" t="str">
        <f aca="false">IF(AH262="","",ROUND(MIN(K262,TOPE_AFP_UF*AJ262)*(MUTUAL_BASICA+MUTUAL_ADIC+SANNA),0))</f>
        <v/>
      </c>
      <c r="AE262" s="71" t="str">
        <f aca="false">IF(AH262="","",P262-N(N262)+AB262+AC262+AD262)</f>
        <v/>
      </c>
      <c r="AF262" s="65"/>
      <c r="AG262" s="64"/>
      <c r="AH262" s="72" t="str">
        <f aca="false">IF(OR(B262="",C262=""),"",C262&amp;"|"&amp;(YEAR(B262)*100+MONTH(B262)))</f>
        <v/>
      </c>
      <c r="AI262" s="70" t="str">
        <f aca="false">IF(AH262="","",IF(COUNTIF(L_CLAVE,AH262)&gt;1,"⚠ Duplicado","OK"))</f>
        <v/>
      </c>
      <c r="AJ262" s="86" t="str">
        <f aca="false">IF(AH262="","",IF(SUMPRODUCT(MAX((IND_PER&lt;=B262)*(IND_UF&lt;&gt;"")*IND_PER))=0,UF_HOY,INDEX(IND_UF,MATCH(SUMPRODUCT(MAX((IND_PER&lt;=B262)*(IND_UF&lt;&gt;"")*IND_PER)),IND_PER,0))))</f>
        <v/>
      </c>
      <c r="AK262" s="87" t="str">
        <f aca="false">IF(AH262="","",IF(COUNTIF(TASA_DESDE,"&lt;="&amp;B262)=0,INDEX(TASA_EMP,1),INDEX(TASA_EMP,COUNTIF(TASA_DESDE,"&lt;="&amp;B262))))</f>
        <v/>
      </c>
    </row>
    <row r="263" customFormat="false" ht="15" hidden="false" customHeight="false" outlineLevel="0" collapsed="false">
      <c r="B263" s="78"/>
      <c r="C263" s="64"/>
      <c r="D263" s="72" t="str">
        <f aca="false">IF(C263="","",IFERROR(INDEX(T_NOMBRE,MATCH(C263,T_ID,0)),"⚠ ID no existe"))</f>
        <v/>
      </c>
      <c r="E263" s="69"/>
      <c r="F263" s="67"/>
      <c r="G263" s="67"/>
      <c r="H263" s="67"/>
      <c r="I263" s="67"/>
      <c r="J263" s="67"/>
      <c r="K263" s="85" t="str">
        <f aca="false">IF(AH263="","",N(F263)+N(G263)+N(H263)-N(I263)+N(J263))</f>
        <v/>
      </c>
      <c r="L263" s="67"/>
      <c r="M263" s="67"/>
      <c r="N263" s="67"/>
      <c r="O263" s="67"/>
      <c r="P263" s="85" t="str">
        <f aca="false">IF(AH263="","",K263+N(L263)+N(M263)+N(N263)+N(O263))</f>
        <v/>
      </c>
      <c r="Q263" s="67"/>
      <c r="R263" s="67"/>
      <c r="S263" s="67"/>
      <c r="T263" s="67"/>
      <c r="U263" s="67"/>
      <c r="V263" s="67"/>
      <c r="W263" s="85" t="str">
        <f aca="false">IF(AH263="","",N(Q263)+N(R263)+N(S263)+N(T263)+N(U263)+N(V263))</f>
        <v/>
      </c>
      <c r="X263" s="85" t="str">
        <f aca="false">IF(AH263="","",P263-W263)</f>
        <v/>
      </c>
      <c r="Y263" s="67"/>
      <c r="Z263" s="70" t="str">
        <f aca="false">IF(OR(AH263="",Y263=""),"",IF(ABS(X263-Y263)&lt;=1,"✓ Cuadra","⚠ Diferencia $"&amp;FIXED(X263-Y263,0)))</f>
        <v/>
      </c>
      <c r="AA263" s="72" t="str">
        <f aca="false">IF(AH263="","",IFERROR(INDEX(C_TIPO,MATCH(C263&amp;"-P"&amp;MAX(1,COUNTIFS(C_ID,C263,C_DEFINE,"Sí",C_INICIO,"&lt;="&amp;EOMONTH(B263,0))),C_CLAVE,0))&amp;"","Sin dato"))</f>
        <v/>
      </c>
      <c r="AB263" s="71" t="str">
        <f aca="false">IF(AH263="","",ROUND(MIN(K263,TOPE_AFP_UF*AJ263)*AK263,0))</f>
        <v/>
      </c>
      <c r="AC263" s="71" t="str">
        <f aca="false">IF(AH263="","",ROUND(MIN(K263,TOPE_AFC_UF*AJ263)*IF(AA263="Indefinido",AFC_EMP_INDEF,AFC_EMP_PF),0))</f>
        <v/>
      </c>
      <c r="AD263" s="71" t="str">
        <f aca="false">IF(AH263="","",ROUND(MIN(K263,TOPE_AFP_UF*AJ263)*(MUTUAL_BASICA+MUTUAL_ADIC+SANNA),0))</f>
        <v/>
      </c>
      <c r="AE263" s="71" t="str">
        <f aca="false">IF(AH263="","",P263-N(N263)+AB263+AC263+AD263)</f>
        <v/>
      </c>
      <c r="AF263" s="65"/>
      <c r="AG263" s="64"/>
      <c r="AH263" s="72" t="str">
        <f aca="false">IF(OR(B263="",C263=""),"",C263&amp;"|"&amp;(YEAR(B263)*100+MONTH(B263)))</f>
        <v/>
      </c>
      <c r="AI263" s="70" t="str">
        <f aca="false">IF(AH263="","",IF(COUNTIF(L_CLAVE,AH263)&gt;1,"⚠ Duplicado","OK"))</f>
        <v/>
      </c>
      <c r="AJ263" s="86" t="str">
        <f aca="false">IF(AH263="","",IF(SUMPRODUCT(MAX((IND_PER&lt;=B263)*(IND_UF&lt;&gt;"")*IND_PER))=0,UF_HOY,INDEX(IND_UF,MATCH(SUMPRODUCT(MAX((IND_PER&lt;=B263)*(IND_UF&lt;&gt;"")*IND_PER)),IND_PER,0))))</f>
        <v/>
      </c>
      <c r="AK263" s="87" t="str">
        <f aca="false">IF(AH263="","",IF(COUNTIF(TASA_DESDE,"&lt;="&amp;B263)=0,INDEX(TASA_EMP,1),INDEX(TASA_EMP,COUNTIF(TASA_DESDE,"&lt;="&amp;B263))))</f>
        <v/>
      </c>
    </row>
    <row r="264" customFormat="false" ht="15" hidden="false" customHeight="false" outlineLevel="0" collapsed="false">
      <c r="B264" s="78"/>
      <c r="C264" s="64"/>
      <c r="D264" s="72" t="str">
        <f aca="false">IF(C264="","",IFERROR(INDEX(T_NOMBRE,MATCH(C264,T_ID,0)),"⚠ ID no existe"))</f>
        <v/>
      </c>
      <c r="E264" s="69"/>
      <c r="F264" s="67"/>
      <c r="G264" s="67"/>
      <c r="H264" s="67"/>
      <c r="I264" s="67"/>
      <c r="J264" s="67"/>
      <c r="K264" s="85" t="str">
        <f aca="false">IF(AH264="","",N(F264)+N(G264)+N(H264)-N(I264)+N(J264))</f>
        <v/>
      </c>
      <c r="L264" s="67"/>
      <c r="M264" s="67"/>
      <c r="N264" s="67"/>
      <c r="O264" s="67"/>
      <c r="P264" s="85" t="str">
        <f aca="false">IF(AH264="","",K264+N(L264)+N(M264)+N(N264)+N(O264))</f>
        <v/>
      </c>
      <c r="Q264" s="67"/>
      <c r="R264" s="67"/>
      <c r="S264" s="67"/>
      <c r="T264" s="67"/>
      <c r="U264" s="67"/>
      <c r="V264" s="67"/>
      <c r="W264" s="85" t="str">
        <f aca="false">IF(AH264="","",N(Q264)+N(R264)+N(S264)+N(T264)+N(U264)+N(V264))</f>
        <v/>
      </c>
      <c r="X264" s="85" t="str">
        <f aca="false">IF(AH264="","",P264-W264)</f>
        <v/>
      </c>
      <c r="Y264" s="67"/>
      <c r="Z264" s="70" t="str">
        <f aca="false">IF(OR(AH264="",Y264=""),"",IF(ABS(X264-Y264)&lt;=1,"✓ Cuadra","⚠ Diferencia $"&amp;FIXED(X264-Y264,0)))</f>
        <v/>
      </c>
      <c r="AA264" s="72" t="str">
        <f aca="false">IF(AH264="","",IFERROR(INDEX(C_TIPO,MATCH(C264&amp;"-P"&amp;MAX(1,COUNTIFS(C_ID,C264,C_DEFINE,"Sí",C_INICIO,"&lt;="&amp;EOMONTH(B264,0))),C_CLAVE,0))&amp;"","Sin dato"))</f>
        <v/>
      </c>
      <c r="AB264" s="71" t="str">
        <f aca="false">IF(AH264="","",ROUND(MIN(K264,TOPE_AFP_UF*AJ264)*AK264,0))</f>
        <v/>
      </c>
      <c r="AC264" s="71" t="str">
        <f aca="false">IF(AH264="","",ROUND(MIN(K264,TOPE_AFC_UF*AJ264)*IF(AA264="Indefinido",AFC_EMP_INDEF,AFC_EMP_PF),0))</f>
        <v/>
      </c>
      <c r="AD264" s="71" t="str">
        <f aca="false">IF(AH264="","",ROUND(MIN(K264,TOPE_AFP_UF*AJ264)*(MUTUAL_BASICA+MUTUAL_ADIC+SANNA),0))</f>
        <v/>
      </c>
      <c r="AE264" s="71" t="str">
        <f aca="false">IF(AH264="","",P264-N(N264)+AB264+AC264+AD264)</f>
        <v/>
      </c>
      <c r="AF264" s="65"/>
      <c r="AG264" s="64"/>
      <c r="AH264" s="72" t="str">
        <f aca="false">IF(OR(B264="",C264=""),"",C264&amp;"|"&amp;(YEAR(B264)*100+MONTH(B264)))</f>
        <v/>
      </c>
      <c r="AI264" s="70" t="str">
        <f aca="false">IF(AH264="","",IF(COUNTIF(L_CLAVE,AH264)&gt;1,"⚠ Duplicado","OK"))</f>
        <v/>
      </c>
      <c r="AJ264" s="86" t="str">
        <f aca="false">IF(AH264="","",IF(SUMPRODUCT(MAX((IND_PER&lt;=B264)*(IND_UF&lt;&gt;"")*IND_PER))=0,UF_HOY,INDEX(IND_UF,MATCH(SUMPRODUCT(MAX((IND_PER&lt;=B264)*(IND_UF&lt;&gt;"")*IND_PER)),IND_PER,0))))</f>
        <v/>
      </c>
      <c r="AK264" s="87" t="str">
        <f aca="false">IF(AH264="","",IF(COUNTIF(TASA_DESDE,"&lt;="&amp;B264)=0,INDEX(TASA_EMP,1),INDEX(TASA_EMP,COUNTIF(TASA_DESDE,"&lt;="&amp;B264))))</f>
        <v/>
      </c>
    </row>
    <row r="265" customFormat="false" ht="15" hidden="false" customHeight="false" outlineLevel="0" collapsed="false">
      <c r="B265" s="78"/>
      <c r="C265" s="64"/>
      <c r="D265" s="72" t="str">
        <f aca="false">IF(C265="","",IFERROR(INDEX(T_NOMBRE,MATCH(C265,T_ID,0)),"⚠ ID no existe"))</f>
        <v/>
      </c>
      <c r="E265" s="69"/>
      <c r="F265" s="67"/>
      <c r="G265" s="67"/>
      <c r="H265" s="67"/>
      <c r="I265" s="67"/>
      <c r="J265" s="67"/>
      <c r="K265" s="85" t="str">
        <f aca="false">IF(AH265="","",N(F265)+N(G265)+N(H265)-N(I265)+N(J265))</f>
        <v/>
      </c>
      <c r="L265" s="67"/>
      <c r="M265" s="67"/>
      <c r="N265" s="67"/>
      <c r="O265" s="67"/>
      <c r="P265" s="85" t="str">
        <f aca="false">IF(AH265="","",K265+N(L265)+N(M265)+N(N265)+N(O265))</f>
        <v/>
      </c>
      <c r="Q265" s="67"/>
      <c r="R265" s="67"/>
      <c r="S265" s="67"/>
      <c r="T265" s="67"/>
      <c r="U265" s="67"/>
      <c r="V265" s="67"/>
      <c r="W265" s="85" t="str">
        <f aca="false">IF(AH265="","",N(Q265)+N(R265)+N(S265)+N(T265)+N(U265)+N(V265))</f>
        <v/>
      </c>
      <c r="X265" s="85" t="str">
        <f aca="false">IF(AH265="","",P265-W265)</f>
        <v/>
      </c>
      <c r="Y265" s="67"/>
      <c r="Z265" s="70" t="str">
        <f aca="false">IF(OR(AH265="",Y265=""),"",IF(ABS(X265-Y265)&lt;=1,"✓ Cuadra","⚠ Diferencia $"&amp;FIXED(X265-Y265,0)))</f>
        <v/>
      </c>
      <c r="AA265" s="72" t="str">
        <f aca="false">IF(AH265="","",IFERROR(INDEX(C_TIPO,MATCH(C265&amp;"-P"&amp;MAX(1,COUNTIFS(C_ID,C265,C_DEFINE,"Sí",C_INICIO,"&lt;="&amp;EOMONTH(B265,0))),C_CLAVE,0))&amp;"","Sin dato"))</f>
        <v/>
      </c>
      <c r="AB265" s="71" t="str">
        <f aca="false">IF(AH265="","",ROUND(MIN(K265,TOPE_AFP_UF*AJ265)*AK265,0))</f>
        <v/>
      </c>
      <c r="AC265" s="71" t="str">
        <f aca="false">IF(AH265="","",ROUND(MIN(K265,TOPE_AFC_UF*AJ265)*IF(AA265="Indefinido",AFC_EMP_INDEF,AFC_EMP_PF),0))</f>
        <v/>
      </c>
      <c r="AD265" s="71" t="str">
        <f aca="false">IF(AH265="","",ROUND(MIN(K265,TOPE_AFP_UF*AJ265)*(MUTUAL_BASICA+MUTUAL_ADIC+SANNA),0))</f>
        <v/>
      </c>
      <c r="AE265" s="71" t="str">
        <f aca="false">IF(AH265="","",P265-N(N265)+AB265+AC265+AD265)</f>
        <v/>
      </c>
      <c r="AF265" s="65"/>
      <c r="AG265" s="64"/>
      <c r="AH265" s="72" t="str">
        <f aca="false">IF(OR(B265="",C265=""),"",C265&amp;"|"&amp;(YEAR(B265)*100+MONTH(B265)))</f>
        <v/>
      </c>
      <c r="AI265" s="70" t="str">
        <f aca="false">IF(AH265="","",IF(COUNTIF(L_CLAVE,AH265)&gt;1,"⚠ Duplicado","OK"))</f>
        <v/>
      </c>
      <c r="AJ265" s="86" t="str">
        <f aca="false">IF(AH265="","",IF(SUMPRODUCT(MAX((IND_PER&lt;=B265)*(IND_UF&lt;&gt;"")*IND_PER))=0,UF_HOY,INDEX(IND_UF,MATCH(SUMPRODUCT(MAX((IND_PER&lt;=B265)*(IND_UF&lt;&gt;"")*IND_PER)),IND_PER,0))))</f>
        <v/>
      </c>
      <c r="AK265" s="87" t="str">
        <f aca="false">IF(AH265="","",IF(COUNTIF(TASA_DESDE,"&lt;="&amp;B265)=0,INDEX(TASA_EMP,1),INDEX(TASA_EMP,COUNTIF(TASA_DESDE,"&lt;="&amp;B265))))</f>
        <v/>
      </c>
    </row>
    <row r="266" customFormat="false" ht="15" hidden="false" customHeight="false" outlineLevel="0" collapsed="false">
      <c r="B266" s="78"/>
      <c r="C266" s="64"/>
      <c r="D266" s="72" t="str">
        <f aca="false">IF(C266="","",IFERROR(INDEX(T_NOMBRE,MATCH(C266,T_ID,0)),"⚠ ID no existe"))</f>
        <v/>
      </c>
      <c r="E266" s="69"/>
      <c r="F266" s="67"/>
      <c r="G266" s="67"/>
      <c r="H266" s="67"/>
      <c r="I266" s="67"/>
      <c r="J266" s="67"/>
      <c r="K266" s="85" t="str">
        <f aca="false">IF(AH266="","",N(F266)+N(G266)+N(H266)-N(I266)+N(J266))</f>
        <v/>
      </c>
      <c r="L266" s="67"/>
      <c r="M266" s="67"/>
      <c r="N266" s="67"/>
      <c r="O266" s="67"/>
      <c r="P266" s="85" t="str">
        <f aca="false">IF(AH266="","",K266+N(L266)+N(M266)+N(N266)+N(O266))</f>
        <v/>
      </c>
      <c r="Q266" s="67"/>
      <c r="R266" s="67"/>
      <c r="S266" s="67"/>
      <c r="T266" s="67"/>
      <c r="U266" s="67"/>
      <c r="V266" s="67"/>
      <c r="W266" s="85" t="str">
        <f aca="false">IF(AH266="","",N(Q266)+N(R266)+N(S266)+N(T266)+N(U266)+N(V266))</f>
        <v/>
      </c>
      <c r="X266" s="85" t="str">
        <f aca="false">IF(AH266="","",P266-W266)</f>
        <v/>
      </c>
      <c r="Y266" s="67"/>
      <c r="Z266" s="70" t="str">
        <f aca="false">IF(OR(AH266="",Y266=""),"",IF(ABS(X266-Y266)&lt;=1,"✓ Cuadra","⚠ Diferencia $"&amp;FIXED(X266-Y266,0)))</f>
        <v/>
      </c>
      <c r="AA266" s="72" t="str">
        <f aca="false">IF(AH266="","",IFERROR(INDEX(C_TIPO,MATCH(C266&amp;"-P"&amp;MAX(1,COUNTIFS(C_ID,C266,C_DEFINE,"Sí",C_INICIO,"&lt;="&amp;EOMONTH(B266,0))),C_CLAVE,0))&amp;"","Sin dato"))</f>
        <v/>
      </c>
      <c r="AB266" s="71" t="str">
        <f aca="false">IF(AH266="","",ROUND(MIN(K266,TOPE_AFP_UF*AJ266)*AK266,0))</f>
        <v/>
      </c>
      <c r="AC266" s="71" t="str">
        <f aca="false">IF(AH266="","",ROUND(MIN(K266,TOPE_AFC_UF*AJ266)*IF(AA266="Indefinido",AFC_EMP_INDEF,AFC_EMP_PF),0))</f>
        <v/>
      </c>
      <c r="AD266" s="71" t="str">
        <f aca="false">IF(AH266="","",ROUND(MIN(K266,TOPE_AFP_UF*AJ266)*(MUTUAL_BASICA+MUTUAL_ADIC+SANNA),0))</f>
        <v/>
      </c>
      <c r="AE266" s="71" t="str">
        <f aca="false">IF(AH266="","",P266-N(N266)+AB266+AC266+AD266)</f>
        <v/>
      </c>
      <c r="AF266" s="65"/>
      <c r="AG266" s="64"/>
      <c r="AH266" s="72" t="str">
        <f aca="false">IF(OR(B266="",C266=""),"",C266&amp;"|"&amp;(YEAR(B266)*100+MONTH(B266)))</f>
        <v/>
      </c>
      <c r="AI266" s="70" t="str">
        <f aca="false">IF(AH266="","",IF(COUNTIF(L_CLAVE,AH266)&gt;1,"⚠ Duplicado","OK"))</f>
        <v/>
      </c>
      <c r="AJ266" s="86" t="str">
        <f aca="false">IF(AH266="","",IF(SUMPRODUCT(MAX((IND_PER&lt;=B266)*(IND_UF&lt;&gt;"")*IND_PER))=0,UF_HOY,INDEX(IND_UF,MATCH(SUMPRODUCT(MAX((IND_PER&lt;=B266)*(IND_UF&lt;&gt;"")*IND_PER)),IND_PER,0))))</f>
        <v/>
      </c>
      <c r="AK266" s="87" t="str">
        <f aca="false">IF(AH266="","",IF(COUNTIF(TASA_DESDE,"&lt;="&amp;B266)=0,INDEX(TASA_EMP,1),INDEX(TASA_EMP,COUNTIF(TASA_DESDE,"&lt;="&amp;B266))))</f>
        <v/>
      </c>
    </row>
    <row r="267" customFormat="false" ht="15" hidden="false" customHeight="false" outlineLevel="0" collapsed="false">
      <c r="B267" s="78"/>
      <c r="C267" s="64"/>
      <c r="D267" s="72" t="str">
        <f aca="false">IF(C267="","",IFERROR(INDEX(T_NOMBRE,MATCH(C267,T_ID,0)),"⚠ ID no existe"))</f>
        <v/>
      </c>
      <c r="E267" s="69"/>
      <c r="F267" s="67"/>
      <c r="G267" s="67"/>
      <c r="H267" s="67"/>
      <c r="I267" s="67"/>
      <c r="J267" s="67"/>
      <c r="K267" s="85" t="str">
        <f aca="false">IF(AH267="","",N(F267)+N(G267)+N(H267)-N(I267)+N(J267))</f>
        <v/>
      </c>
      <c r="L267" s="67"/>
      <c r="M267" s="67"/>
      <c r="N267" s="67"/>
      <c r="O267" s="67"/>
      <c r="P267" s="85" t="str">
        <f aca="false">IF(AH267="","",K267+N(L267)+N(M267)+N(N267)+N(O267))</f>
        <v/>
      </c>
      <c r="Q267" s="67"/>
      <c r="R267" s="67"/>
      <c r="S267" s="67"/>
      <c r="T267" s="67"/>
      <c r="U267" s="67"/>
      <c r="V267" s="67"/>
      <c r="W267" s="85" t="str">
        <f aca="false">IF(AH267="","",N(Q267)+N(R267)+N(S267)+N(T267)+N(U267)+N(V267))</f>
        <v/>
      </c>
      <c r="X267" s="85" t="str">
        <f aca="false">IF(AH267="","",P267-W267)</f>
        <v/>
      </c>
      <c r="Y267" s="67"/>
      <c r="Z267" s="70" t="str">
        <f aca="false">IF(OR(AH267="",Y267=""),"",IF(ABS(X267-Y267)&lt;=1,"✓ Cuadra","⚠ Diferencia $"&amp;FIXED(X267-Y267,0)))</f>
        <v/>
      </c>
      <c r="AA267" s="72" t="str">
        <f aca="false">IF(AH267="","",IFERROR(INDEX(C_TIPO,MATCH(C267&amp;"-P"&amp;MAX(1,COUNTIFS(C_ID,C267,C_DEFINE,"Sí",C_INICIO,"&lt;="&amp;EOMONTH(B267,0))),C_CLAVE,0))&amp;"","Sin dato"))</f>
        <v/>
      </c>
      <c r="AB267" s="71" t="str">
        <f aca="false">IF(AH267="","",ROUND(MIN(K267,TOPE_AFP_UF*AJ267)*AK267,0))</f>
        <v/>
      </c>
      <c r="AC267" s="71" t="str">
        <f aca="false">IF(AH267="","",ROUND(MIN(K267,TOPE_AFC_UF*AJ267)*IF(AA267="Indefinido",AFC_EMP_INDEF,AFC_EMP_PF),0))</f>
        <v/>
      </c>
      <c r="AD267" s="71" t="str">
        <f aca="false">IF(AH267="","",ROUND(MIN(K267,TOPE_AFP_UF*AJ267)*(MUTUAL_BASICA+MUTUAL_ADIC+SANNA),0))</f>
        <v/>
      </c>
      <c r="AE267" s="71" t="str">
        <f aca="false">IF(AH267="","",P267-N(N267)+AB267+AC267+AD267)</f>
        <v/>
      </c>
      <c r="AF267" s="65"/>
      <c r="AG267" s="64"/>
      <c r="AH267" s="72" t="str">
        <f aca="false">IF(OR(B267="",C267=""),"",C267&amp;"|"&amp;(YEAR(B267)*100+MONTH(B267)))</f>
        <v/>
      </c>
      <c r="AI267" s="70" t="str">
        <f aca="false">IF(AH267="","",IF(COUNTIF(L_CLAVE,AH267)&gt;1,"⚠ Duplicado","OK"))</f>
        <v/>
      </c>
      <c r="AJ267" s="86" t="str">
        <f aca="false">IF(AH267="","",IF(SUMPRODUCT(MAX((IND_PER&lt;=B267)*(IND_UF&lt;&gt;"")*IND_PER))=0,UF_HOY,INDEX(IND_UF,MATCH(SUMPRODUCT(MAX((IND_PER&lt;=B267)*(IND_UF&lt;&gt;"")*IND_PER)),IND_PER,0))))</f>
        <v/>
      </c>
      <c r="AK267" s="87" t="str">
        <f aca="false">IF(AH267="","",IF(COUNTIF(TASA_DESDE,"&lt;="&amp;B267)=0,INDEX(TASA_EMP,1),INDEX(TASA_EMP,COUNTIF(TASA_DESDE,"&lt;="&amp;B267))))</f>
        <v/>
      </c>
    </row>
    <row r="268" customFormat="false" ht="15" hidden="false" customHeight="false" outlineLevel="0" collapsed="false">
      <c r="B268" s="78"/>
      <c r="C268" s="64"/>
      <c r="D268" s="72" t="str">
        <f aca="false">IF(C268="","",IFERROR(INDEX(T_NOMBRE,MATCH(C268,T_ID,0)),"⚠ ID no existe"))</f>
        <v/>
      </c>
      <c r="E268" s="69"/>
      <c r="F268" s="67"/>
      <c r="G268" s="67"/>
      <c r="H268" s="67"/>
      <c r="I268" s="67"/>
      <c r="J268" s="67"/>
      <c r="K268" s="85" t="str">
        <f aca="false">IF(AH268="","",N(F268)+N(G268)+N(H268)-N(I268)+N(J268))</f>
        <v/>
      </c>
      <c r="L268" s="67"/>
      <c r="M268" s="67"/>
      <c r="N268" s="67"/>
      <c r="O268" s="67"/>
      <c r="P268" s="85" t="str">
        <f aca="false">IF(AH268="","",K268+N(L268)+N(M268)+N(N268)+N(O268))</f>
        <v/>
      </c>
      <c r="Q268" s="67"/>
      <c r="R268" s="67"/>
      <c r="S268" s="67"/>
      <c r="T268" s="67"/>
      <c r="U268" s="67"/>
      <c r="V268" s="67"/>
      <c r="W268" s="85" t="str">
        <f aca="false">IF(AH268="","",N(Q268)+N(R268)+N(S268)+N(T268)+N(U268)+N(V268))</f>
        <v/>
      </c>
      <c r="X268" s="85" t="str">
        <f aca="false">IF(AH268="","",P268-W268)</f>
        <v/>
      </c>
      <c r="Y268" s="67"/>
      <c r="Z268" s="70" t="str">
        <f aca="false">IF(OR(AH268="",Y268=""),"",IF(ABS(X268-Y268)&lt;=1,"✓ Cuadra","⚠ Diferencia $"&amp;FIXED(X268-Y268,0)))</f>
        <v/>
      </c>
      <c r="AA268" s="72" t="str">
        <f aca="false">IF(AH268="","",IFERROR(INDEX(C_TIPO,MATCH(C268&amp;"-P"&amp;MAX(1,COUNTIFS(C_ID,C268,C_DEFINE,"Sí",C_INICIO,"&lt;="&amp;EOMONTH(B268,0))),C_CLAVE,0))&amp;"","Sin dato"))</f>
        <v/>
      </c>
      <c r="AB268" s="71" t="str">
        <f aca="false">IF(AH268="","",ROUND(MIN(K268,TOPE_AFP_UF*AJ268)*AK268,0))</f>
        <v/>
      </c>
      <c r="AC268" s="71" t="str">
        <f aca="false">IF(AH268="","",ROUND(MIN(K268,TOPE_AFC_UF*AJ268)*IF(AA268="Indefinido",AFC_EMP_INDEF,AFC_EMP_PF),0))</f>
        <v/>
      </c>
      <c r="AD268" s="71" t="str">
        <f aca="false">IF(AH268="","",ROUND(MIN(K268,TOPE_AFP_UF*AJ268)*(MUTUAL_BASICA+MUTUAL_ADIC+SANNA),0))</f>
        <v/>
      </c>
      <c r="AE268" s="71" t="str">
        <f aca="false">IF(AH268="","",P268-N(N268)+AB268+AC268+AD268)</f>
        <v/>
      </c>
      <c r="AF268" s="65"/>
      <c r="AG268" s="64"/>
      <c r="AH268" s="72" t="str">
        <f aca="false">IF(OR(B268="",C268=""),"",C268&amp;"|"&amp;(YEAR(B268)*100+MONTH(B268)))</f>
        <v/>
      </c>
      <c r="AI268" s="70" t="str">
        <f aca="false">IF(AH268="","",IF(COUNTIF(L_CLAVE,AH268)&gt;1,"⚠ Duplicado","OK"))</f>
        <v/>
      </c>
      <c r="AJ268" s="86" t="str">
        <f aca="false">IF(AH268="","",IF(SUMPRODUCT(MAX((IND_PER&lt;=B268)*(IND_UF&lt;&gt;"")*IND_PER))=0,UF_HOY,INDEX(IND_UF,MATCH(SUMPRODUCT(MAX((IND_PER&lt;=B268)*(IND_UF&lt;&gt;"")*IND_PER)),IND_PER,0))))</f>
        <v/>
      </c>
      <c r="AK268" s="87" t="str">
        <f aca="false">IF(AH268="","",IF(COUNTIF(TASA_DESDE,"&lt;="&amp;B268)=0,INDEX(TASA_EMP,1),INDEX(TASA_EMP,COUNTIF(TASA_DESDE,"&lt;="&amp;B268))))</f>
        <v/>
      </c>
    </row>
    <row r="269" customFormat="false" ht="15" hidden="false" customHeight="false" outlineLevel="0" collapsed="false">
      <c r="B269" s="78"/>
      <c r="C269" s="64"/>
      <c r="D269" s="72" t="str">
        <f aca="false">IF(C269="","",IFERROR(INDEX(T_NOMBRE,MATCH(C269,T_ID,0)),"⚠ ID no existe"))</f>
        <v/>
      </c>
      <c r="E269" s="69"/>
      <c r="F269" s="67"/>
      <c r="G269" s="67"/>
      <c r="H269" s="67"/>
      <c r="I269" s="67"/>
      <c r="J269" s="67"/>
      <c r="K269" s="85" t="str">
        <f aca="false">IF(AH269="","",N(F269)+N(G269)+N(H269)-N(I269)+N(J269))</f>
        <v/>
      </c>
      <c r="L269" s="67"/>
      <c r="M269" s="67"/>
      <c r="N269" s="67"/>
      <c r="O269" s="67"/>
      <c r="P269" s="85" t="str">
        <f aca="false">IF(AH269="","",K269+N(L269)+N(M269)+N(N269)+N(O269))</f>
        <v/>
      </c>
      <c r="Q269" s="67"/>
      <c r="R269" s="67"/>
      <c r="S269" s="67"/>
      <c r="T269" s="67"/>
      <c r="U269" s="67"/>
      <c r="V269" s="67"/>
      <c r="W269" s="85" t="str">
        <f aca="false">IF(AH269="","",N(Q269)+N(R269)+N(S269)+N(T269)+N(U269)+N(V269))</f>
        <v/>
      </c>
      <c r="X269" s="85" t="str">
        <f aca="false">IF(AH269="","",P269-W269)</f>
        <v/>
      </c>
      <c r="Y269" s="67"/>
      <c r="Z269" s="70" t="str">
        <f aca="false">IF(OR(AH269="",Y269=""),"",IF(ABS(X269-Y269)&lt;=1,"✓ Cuadra","⚠ Diferencia $"&amp;FIXED(X269-Y269,0)))</f>
        <v/>
      </c>
      <c r="AA269" s="72" t="str">
        <f aca="false">IF(AH269="","",IFERROR(INDEX(C_TIPO,MATCH(C269&amp;"-P"&amp;MAX(1,COUNTIFS(C_ID,C269,C_DEFINE,"Sí",C_INICIO,"&lt;="&amp;EOMONTH(B269,0))),C_CLAVE,0))&amp;"","Sin dato"))</f>
        <v/>
      </c>
      <c r="AB269" s="71" t="str">
        <f aca="false">IF(AH269="","",ROUND(MIN(K269,TOPE_AFP_UF*AJ269)*AK269,0))</f>
        <v/>
      </c>
      <c r="AC269" s="71" t="str">
        <f aca="false">IF(AH269="","",ROUND(MIN(K269,TOPE_AFC_UF*AJ269)*IF(AA269="Indefinido",AFC_EMP_INDEF,AFC_EMP_PF),0))</f>
        <v/>
      </c>
      <c r="AD269" s="71" t="str">
        <f aca="false">IF(AH269="","",ROUND(MIN(K269,TOPE_AFP_UF*AJ269)*(MUTUAL_BASICA+MUTUAL_ADIC+SANNA),0))</f>
        <v/>
      </c>
      <c r="AE269" s="71" t="str">
        <f aca="false">IF(AH269="","",P269-N(N269)+AB269+AC269+AD269)</f>
        <v/>
      </c>
      <c r="AF269" s="65"/>
      <c r="AG269" s="64"/>
      <c r="AH269" s="72" t="str">
        <f aca="false">IF(OR(B269="",C269=""),"",C269&amp;"|"&amp;(YEAR(B269)*100+MONTH(B269)))</f>
        <v/>
      </c>
      <c r="AI269" s="70" t="str">
        <f aca="false">IF(AH269="","",IF(COUNTIF(L_CLAVE,AH269)&gt;1,"⚠ Duplicado","OK"))</f>
        <v/>
      </c>
      <c r="AJ269" s="86" t="str">
        <f aca="false">IF(AH269="","",IF(SUMPRODUCT(MAX((IND_PER&lt;=B269)*(IND_UF&lt;&gt;"")*IND_PER))=0,UF_HOY,INDEX(IND_UF,MATCH(SUMPRODUCT(MAX((IND_PER&lt;=B269)*(IND_UF&lt;&gt;"")*IND_PER)),IND_PER,0))))</f>
        <v/>
      </c>
      <c r="AK269" s="87" t="str">
        <f aca="false">IF(AH269="","",IF(COUNTIF(TASA_DESDE,"&lt;="&amp;B269)=0,INDEX(TASA_EMP,1),INDEX(TASA_EMP,COUNTIF(TASA_DESDE,"&lt;="&amp;B269))))</f>
        <v/>
      </c>
    </row>
    <row r="270" customFormat="false" ht="15" hidden="false" customHeight="false" outlineLevel="0" collapsed="false">
      <c r="B270" s="78"/>
      <c r="C270" s="64"/>
      <c r="D270" s="72" t="str">
        <f aca="false">IF(C270="","",IFERROR(INDEX(T_NOMBRE,MATCH(C270,T_ID,0)),"⚠ ID no existe"))</f>
        <v/>
      </c>
      <c r="E270" s="69"/>
      <c r="F270" s="67"/>
      <c r="G270" s="67"/>
      <c r="H270" s="67"/>
      <c r="I270" s="67"/>
      <c r="J270" s="67"/>
      <c r="K270" s="85" t="str">
        <f aca="false">IF(AH270="","",N(F270)+N(G270)+N(H270)-N(I270)+N(J270))</f>
        <v/>
      </c>
      <c r="L270" s="67"/>
      <c r="M270" s="67"/>
      <c r="N270" s="67"/>
      <c r="O270" s="67"/>
      <c r="P270" s="85" t="str">
        <f aca="false">IF(AH270="","",K270+N(L270)+N(M270)+N(N270)+N(O270))</f>
        <v/>
      </c>
      <c r="Q270" s="67"/>
      <c r="R270" s="67"/>
      <c r="S270" s="67"/>
      <c r="T270" s="67"/>
      <c r="U270" s="67"/>
      <c r="V270" s="67"/>
      <c r="W270" s="85" t="str">
        <f aca="false">IF(AH270="","",N(Q270)+N(R270)+N(S270)+N(T270)+N(U270)+N(V270))</f>
        <v/>
      </c>
      <c r="X270" s="85" t="str">
        <f aca="false">IF(AH270="","",P270-W270)</f>
        <v/>
      </c>
      <c r="Y270" s="67"/>
      <c r="Z270" s="70" t="str">
        <f aca="false">IF(OR(AH270="",Y270=""),"",IF(ABS(X270-Y270)&lt;=1,"✓ Cuadra","⚠ Diferencia $"&amp;FIXED(X270-Y270,0)))</f>
        <v/>
      </c>
      <c r="AA270" s="72" t="str">
        <f aca="false">IF(AH270="","",IFERROR(INDEX(C_TIPO,MATCH(C270&amp;"-P"&amp;MAX(1,COUNTIFS(C_ID,C270,C_DEFINE,"Sí",C_INICIO,"&lt;="&amp;EOMONTH(B270,0))),C_CLAVE,0))&amp;"","Sin dato"))</f>
        <v/>
      </c>
      <c r="AB270" s="71" t="str">
        <f aca="false">IF(AH270="","",ROUND(MIN(K270,TOPE_AFP_UF*AJ270)*AK270,0))</f>
        <v/>
      </c>
      <c r="AC270" s="71" t="str">
        <f aca="false">IF(AH270="","",ROUND(MIN(K270,TOPE_AFC_UF*AJ270)*IF(AA270="Indefinido",AFC_EMP_INDEF,AFC_EMP_PF),0))</f>
        <v/>
      </c>
      <c r="AD270" s="71" t="str">
        <f aca="false">IF(AH270="","",ROUND(MIN(K270,TOPE_AFP_UF*AJ270)*(MUTUAL_BASICA+MUTUAL_ADIC+SANNA),0))</f>
        <v/>
      </c>
      <c r="AE270" s="71" t="str">
        <f aca="false">IF(AH270="","",P270-N(N270)+AB270+AC270+AD270)</f>
        <v/>
      </c>
      <c r="AF270" s="65"/>
      <c r="AG270" s="64"/>
      <c r="AH270" s="72" t="str">
        <f aca="false">IF(OR(B270="",C270=""),"",C270&amp;"|"&amp;(YEAR(B270)*100+MONTH(B270)))</f>
        <v/>
      </c>
      <c r="AI270" s="70" t="str">
        <f aca="false">IF(AH270="","",IF(COUNTIF(L_CLAVE,AH270)&gt;1,"⚠ Duplicado","OK"))</f>
        <v/>
      </c>
      <c r="AJ270" s="86" t="str">
        <f aca="false">IF(AH270="","",IF(SUMPRODUCT(MAX((IND_PER&lt;=B270)*(IND_UF&lt;&gt;"")*IND_PER))=0,UF_HOY,INDEX(IND_UF,MATCH(SUMPRODUCT(MAX((IND_PER&lt;=B270)*(IND_UF&lt;&gt;"")*IND_PER)),IND_PER,0))))</f>
        <v/>
      </c>
      <c r="AK270" s="87" t="str">
        <f aca="false">IF(AH270="","",IF(COUNTIF(TASA_DESDE,"&lt;="&amp;B270)=0,INDEX(TASA_EMP,1),INDEX(TASA_EMP,COUNTIF(TASA_DESDE,"&lt;="&amp;B270))))</f>
        <v/>
      </c>
    </row>
    <row r="271" customFormat="false" ht="15" hidden="false" customHeight="false" outlineLevel="0" collapsed="false">
      <c r="B271" s="78"/>
      <c r="C271" s="64"/>
      <c r="D271" s="72" t="str">
        <f aca="false">IF(C271="","",IFERROR(INDEX(T_NOMBRE,MATCH(C271,T_ID,0)),"⚠ ID no existe"))</f>
        <v/>
      </c>
      <c r="E271" s="69"/>
      <c r="F271" s="67"/>
      <c r="G271" s="67"/>
      <c r="H271" s="67"/>
      <c r="I271" s="67"/>
      <c r="J271" s="67"/>
      <c r="K271" s="85" t="str">
        <f aca="false">IF(AH271="","",N(F271)+N(G271)+N(H271)-N(I271)+N(J271))</f>
        <v/>
      </c>
      <c r="L271" s="67"/>
      <c r="M271" s="67"/>
      <c r="N271" s="67"/>
      <c r="O271" s="67"/>
      <c r="P271" s="85" t="str">
        <f aca="false">IF(AH271="","",K271+N(L271)+N(M271)+N(N271)+N(O271))</f>
        <v/>
      </c>
      <c r="Q271" s="67"/>
      <c r="R271" s="67"/>
      <c r="S271" s="67"/>
      <c r="T271" s="67"/>
      <c r="U271" s="67"/>
      <c r="V271" s="67"/>
      <c r="W271" s="85" t="str">
        <f aca="false">IF(AH271="","",N(Q271)+N(R271)+N(S271)+N(T271)+N(U271)+N(V271))</f>
        <v/>
      </c>
      <c r="X271" s="85" t="str">
        <f aca="false">IF(AH271="","",P271-W271)</f>
        <v/>
      </c>
      <c r="Y271" s="67"/>
      <c r="Z271" s="70" t="str">
        <f aca="false">IF(OR(AH271="",Y271=""),"",IF(ABS(X271-Y271)&lt;=1,"✓ Cuadra","⚠ Diferencia $"&amp;FIXED(X271-Y271,0)))</f>
        <v/>
      </c>
      <c r="AA271" s="72" t="str">
        <f aca="false">IF(AH271="","",IFERROR(INDEX(C_TIPO,MATCH(C271&amp;"-P"&amp;MAX(1,COUNTIFS(C_ID,C271,C_DEFINE,"Sí",C_INICIO,"&lt;="&amp;EOMONTH(B271,0))),C_CLAVE,0))&amp;"","Sin dato"))</f>
        <v/>
      </c>
      <c r="AB271" s="71" t="str">
        <f aca="false">IF(AH271="","",ROUND(MIN(K271,TOPE_AFP_UF*AJ271)*AK271,0))</f>
        <v/>
      </c>
      <c r="AC271" s="71" t="str">
        <f aca="false">IF(AH271="","",ROUND(MIN(K271,TOPE_AFC_UF*AJ271)*IF(AA271="Indefinido",AFC_EMP_INDEF,AFC_EMP_PF),0))</f>
        <v/>
      </c>
      <c r="AD271" s="71" t="str">
        <f aca="false">IF(AH271="","",ROUND(MIN(K271,TOPE_AFP_UF*AJ271)*(MUTUAL_BASICA+MUTUAL_ADIC+SANNA),0))</f>
        <v/>
      </c>
      <c r="AE271" s="71" t="str">
        <f aca="false">IF(AH271="","",P271-N(N271)+AB271+AC271+AD271)</f>
        <v/>
      </c>
      <c r="AF271" s="65"/>
      <c r="AG271" s="64"/>
      <c r="AH271" s="72" t="str">
        <f aca="false">IF(OR(B271="",C271=""),"",C271&amp;"|"&amp;(YEAR(B271)*100+MONTH(B271)))</f>
        <v/>
      </c>
      <c r="AI271" s="70" t="str">
        <f aca="false">IF(AH271="","",IF(COUNTIF(L_CLAVE,AH271)&gt;1,"⚠ Duplicado","OK"))</f>
        <v/>
      </c>
      <c r="AJ271" s="86" t="str">
        <f aca="false">IF(AH271="","",IF(SUMPRODUCT(MAX((IND_PER&lt;=B271)*(IND_UF&lt;&gt;"")*IND_PER))=0,UF_HOY,INDEX(IND_UF,MATCH(SUMPRODUCT(MAX((IND_PER&lt;=B271)*(IND_UF&lt;&gt;"")*IND_PER)),IND_PER,0))))</f>
        <v/>
      </c>
      <c r="AK271" s="87" t="str">
        <f aca="false">IF(AH271="","",IF(COUNTIF(TASA_DESDE,"&lt;="&amp;B271)=0,INDEX(TASA_EMP,1),INDEX(TASA_EMP,COUNTIF(TASA_DESDE,"&lt;="&amp;B271))))</f>
        <v/>
      </c>
    </row>
    <row r="272" customFormat="false" ht="15" hidden="false" customHeight="false" outlineLevel="0" collapsed="false">
      <c r="B272" s="78"/>
      <c r="C272" s="64"/>
      <c r="D272" s="72" t="str">
        <f aca="false">IF(C272="","",IFERROR(INDEX(T_NOMBRE,MATCH(C272,T_ID,0)),"⚠ ID no existe"))</f>
        <v/>
      </c>
      <c r="E272" s="69"/>
      <c r="F272" s="67"/>
      <c r="G272" s="67"/>
      <c r="H272" s="67"/>
      <c r="I272" s="67"/>
      <c r="J272" s="67"/>
      <c r="K272" s="85" t="str">
        <f aca="false">IF(AH272="","",N(F272)+N(G272)+N(H272)-N(I272)+N(J272))</f>
        <v/>
      </c>
      <c r="L272" s="67"/>
      <c r="M272" s="67"/>
      <c r="N272" s="67"/>
      <c r="O272" s="67"/>
      <c r="P272" s="85" t="str">
        <f aca="false">IF(AH272="","",K272+N(L272)+N(M272)+N(N272)+N(O272))</f>
        <v/>
      </c>
      <c r="Q272" s="67"/>
      <c r="R272" s="67"/>
      <c r="S272" s="67"/>
      <c r="T272" s="67"/>
      <c r="U272" s="67"/>
      <c r="V272" s="67"/>
      <c r="W272" s="85" t="str">
        <f aca="false">IF(AH272="","",N(Q272)+N(R272)+N(S272)+N(T272)+N(U272)+N(V272))</f>
        <v/>
      </c>
      <c r="X272" s="85" t="str">
        <f aca="false">IF(AH272="","",P272-W272)</f>
        <v/>
      </c>
      <c r="Y272" s="67"/>
      <c r="Z272" s="70" t="str">
        <f aca="false">IF(OR(AH272="",Y272=""),"",IF(ABS(X272-Y272)&lt;=1,"✓ Cuadra","⚠ Diferencia $"&amp;FIXED(X272-Y272,0)))</f>
        <v/>
      </c>
      <c r="AA272" s="72" t="str">
        <f aca="false">IF(AH272="","",IFERROR(INDEX(C_TIPO,MATCH(C272&amp;"-P"&amp;MAX(1,COUNTIFS(C_ID,C272,C_DEFINE,"Sí",C_INICIO,"&lt;="&amp;EOMONTH(B272,0))),C_CLAVE,0))&amp;"","Sin dato"))</f>
        <v/>
      </c>
      <c r="AB272" s="71" t="str">
        <f aca="false">IF(AH272="","",ROUND(MIN(K272,TOPE_AFP_UF*AJ272)*AK272,0))</f>
        <v/>
      </c>
      <c r="AC272" s="71" t="str">
        <f aca="false">IF(AH272="","",ROUND(MIN(K272,TOPE_AFC_UF*AJ272)*IF(AA272="Indefinido",AFC_EMP_INDEF,AFC_EMP_PF),0))</f>
        <v/>
      </c>
      <c r="AD272" s="71" t="str">
        <f aca="false">IF(AH272="","",ROUND(MIN(K272,TOPE_AFP_UF*AJ272)*(MUTUAL_BASICA+MUTUAL_ADIC+SANNA),0))</f>
        <v/>
      </c>
      <c r="AE272" s="71" t="str">
        <f aca="false">IF(AH272="","",P272-N(N272)+AB272+AC272+AD272)</f>
        <v/>
      </c>
      <c r="AF272" s="65"/>
      <c r="AG272" s="64"/>
      <c r="AH272" s="72" t="str">
        <f aca="false">IF(OR(B272="",C272=""),"",C272&amp;"|"&amp;(YEAR(B272)*100+MONTH(B272)))</f>
        <v/>
      </c>
      <c r="AI272" s="70" t="str">
        <f aca="false">IF(AH272="","",IF(COUNTIF(L_CLAVE,AH272)&gt;1,"⚠ Duplicado","OK"))</f>
        <v/>
      </c>
      <c r="AJ272" s="86" t="str">
        <f aca="false">IF(AH272="","",IF(SUMPRODUCT(MAX((IND_PER&lt;=B272)*(IND_UF&lt;&gt;"")*IND_PER))=0,UF_HOY,INDEX(IND_UF,MATCH(SUMPRODUCT(MAX((IND_PER&lt;=B272)*(IND_UF&lt;&gt;"")*IND_PER)),IND_PER,0))))</f>
        <v/>
      </c>
      <c r="AK272" s="87" t="str">
        <f aca="false">IF(AH272="","",IF(COUNTIF(TASA_DESDE,"&lt;="&amp;B272)=0,INDEX(TASA_EMP,1),INDEX(TASA_EMP,COUNTIF(TASA_DESDE,"&lt;="&amp;B272))))</f>
        <v/>
      </c>
    </row>
    <row r="273" customFormat="false" ht="15" hidden="false" customHeight="false" outlineLevel="0" collapsed="false">
      <c r="B273" s="78"/>
      <c r="C273" s="64"/>
      <c r="D273" s="72" t="str">
        <f aca="false">IF(C273="","",IFERROR(INDEX(T_NOMBRE,MATCH(C273,T_ID,0)),"⚠ ID no existe"))</f>
        <v/>
      </c>
      <c r="E273" s="69"/>
      <c r="F273" s="67"/>
      <c r="G273" s="67"/>
      <c r="H273" s="67"/>
      <c r="I273" s="67"/>
      <c r="J273" s="67"/>
      <c r="K273" s="85" t="str">
        <f aca="false">IF(AH273="","",N(F273)+N(G273)+N(H273)-N(I273)+N(J273))</f>
        <v/>
      </c>
      <c r="L273" s="67"/>
      <c r="M273" s="67"/>
      <c r="N273" s="67"/>
      <c r="O273" s="67"/>
      <c r="P273" s="85" t="str">
        <f aca="false">IF(AH273="","",K273+N(L273)+N(M273)+N(N273)+N(O273))</f>
        <v/>
      </c>
      <c r="Q273" s="67"/>
      <c r="R273" s="67"/>
      <c r="S273" s="67"/>
      <c r="T273" s="67"/>
      <c r="U273" s="67"/>
      <c r="V273" s="67"/>
      <c r="W273" s="85" t="str">
        <f aca="false">IF(AH273="","",N(Q273)+N(R273)+N(S273)+N(T273)+N(U273)+N(V273))</f>
        <v/>
      </c>
      <c r="X273" s="85" t="str">
        <f aca="false">IF(AH273="","",P273-W273)</f>
        <v/>
      </c>
      <c r="Y273" s="67"/>
      <c r="Z273" s="70" t="str">
        <f aca="false">IF(OR(AH273="",Y273=""),"",IF(ABS(X273-Y273)&lt;=1,"✓ Cuadra","⚠ Diferencia $"&amp;FIXED(X273-Y273,0)))</f>
        <v/>
      </c>
      <c r="AA273" s="72" t="str">
        <f aca="false">IF(AH273="","",IFERROR(INDEX(C_TIPO,MATCH(C273&amp;"-P"&amp;MAX(1,COUNTIFS(C_ID,C273,C_DEFINE,"Sí",C_INICIO,"&lt;="&amp;EOMONTH(B273,0))),C_CLAVE,0))&amp;"","Sin dato"))</f>
        <v/>
      </c>
      <c r="AB273" s="71" t="str">
        <f aca="false">IF(AH273="","",ROUND(MIN(K273,TOPE_AFP_UF*AJ273)*AK273,0))</f>
        <v/>
      </c>
      <c r="AC273" s="71" t="str">
        <f aca="false">IF(AH273="","",ROUND(MIN(K273,TOPE_AFC_UF*AJ273)*IF(AA273="Indefinido",AFC_EMP_INDEF,AFC_EMP_PF),0))</f>
        <v/>
      </c>
      <c r="AD273" s="71" t="str">
        <f aca="false">IF(AH273="","",ROUND(MIN(K273,TOPE_AFP_UF*AJ273)*(MUTUAL_BASICA+MUTUAL_ADIC+SANNA),0))</f>
        <v/>
      </c>
      <c r="AE273" s="71" t="str">
        <f aca="false">IF(AH273="","",P273-N(N273)+AB273+AC273+AD273)</f>
        <v/>
      </c>
      <c r="AF273" s="65"/>
      <c r="AG273" s="64"/>
      <c r="AH273" s="72" t="str">
        <f aca="false">IF(OR(B273="",C273=""),"",C273&amp;"|"&amp;(YEAR(B273)*100+MONTH(B273)))</f>
        <v/>
      </c>
      <c r="AI273" s="70" t="str">
        <f aca="false">IF(AH273="","",IF(COUNTIF(L_CLAVE,AH273)&gt;1,"⚠ Duplicado","OK"))</f>
        <v/>
      </c>
      <c r="AJ273" s="86" t="str">
        <f aca="false">IF(AH273="","",IF(SUMPRODUCT(MAX((IND_PER&lt;=B273)*(IND_UF&lt;&gt;"")*IND_PER))=0,UF_HOY,INDEX(IND_UF,MATCH(SUMPRODUCT(MAX((IND_PER&lt;=B273)*(IND_UF&lt;&gt;"")*IND_PER)),IND_PER,0))))</f>
        <v/>
      </c>
      <c r="AK273" s="87" t="str">
        <f aca="false">IF(AH273="","",IF(COUNTIF(TASA_DESDE,"&lt;="&amp;B273)=0,INDEX(TASA_EMP,1),INDEX(TASA_EMP,COUNTIF(TASA_DESDE,"&lt;="&amp;B273))))</f>
        <v/>
      </c>
    </row>
    <row r="274" customFormat="false" ht="15" hidden="false" customHeight="false" outlineLevel="0" collapsed="false">
      <c r="B274" s="78"/>
      <c r="C274" s="64"/>
      <c r="D274" s="72" t="str">
        <f aca="false">IF(C274="","",IFERROR(INDEX(T_NOMBRE,MATCH(C274,T_ID,0)),"⚠ ID no existe"))</f>
        <v/>
      </c>
      <c r="E274" s="69"/>
      <c r="F274" s="67"/>
      <c r="G274" s="67"/>
      <c r="H274" s="67"/>
      <c r="I274" s="67"/>
      <c r="J274" s="67"/>
      <c r="K274" s="85" t="str">
        <f aca="false">IF(AH274="","",N(F274)+N(G274)+N(H274)-N(I274)+N(J274))</f>
        <v/>
      </c>
      <c r="L274" s="67"/>
      <c r="M274" s="67"/>
      <c r="N274" s="67"/>
      <c r="O274" s="67"/>
      <c r="P274" s="85" t="str">
        <f aca="false">IF(AH274="","",K274+N(L274)+N(M274)+N(N274)+N(O274))</f>
        <v/>
      </c>
      <c r="Q274" s="67"/>
      <c r="R274" s="67"/>
      <c r="S274" s="67"/>
      <c r="T274" s="67"/>
      <c r="U274" s="67"/>
      <c r="V274" s="67"/>
      <c r="W274" s="85" t="str">
        <f aca="false">IF(AH274="","",N(Q274)+N(R274)+N(S274)+N(T274)+N(U274)+N(V274))</f>
        <v/>
      </c>
      <c r="X274" s="85" t="str">
        <f aca="false">IF(AH274="","",P274-W274)</f>
        <v/>
      </c>
      <c r="Y274" s="67"/>
      <c r="Z274" s="70" t="str">
        <f aca="false">IF(OR(AH274="",Y274=""),"",IF(ABS(X274-Y274)&lt;=1,"✓ Cuadra","⚠ Diferencia $"&amp;FIXED(X274-Y274,0)))</f>
        <v/>
      </c>
      <c r="AA274" s="72" t="str">
        <f aca="false">IF(AH274="","",IFERROR(INDEX(C_TIPO,MATCH(C274&amp;"-P"&amp;MAX(1,COUNTIFS(C_ID,C274,C_DEFINE,"Sí",C_INICIO,"&lt;="&amp;EOMONTH(B274,0))),C_CLAVE,0))&amp;"","Sin dato"))</f>
        <v/>
      </c>
      <c r="AB274" s="71" t="str">
        <f aca="false">IF(AH274="","",ROUND(MIN(K274,TOPE_AFP_UF*AJ274)*AK274,0))</f>
        <v/>
      </c>
      <c r="AC274" s="71" t="str">
        <f aca="false">IF(AH274="","",ROUND(MIN(K274,TOPE_AFC_UF*AJ274)*IF(AA274="Indefinido",AFC_EMP_INDEF,AFC_EMP_PF),0))</f>
        <v/>
      </c>
      <c r="AD274" s="71" t="str">
        <f aca="false">IF(AH274="","",ROUND(MIN(K274,TOPE_AFP_UF*AJ274)*(MUTUAL_BASICA+MUTUAL_ADIC+SANNA),0))</f>
        <v/>
      </c>
      <c r="AE274" s="71" t="str">
        <f aca="false">IF(AH274="","",P274-N(N274)+AB274+AC274+AD274)</f>
        <v/>
      </c>
      <c r="AF274" s="65"/>
      <c r="AG274" s="64"/>
      <c r="AH274" s="72" t="str">
        <f aca="false">IF(OR(B274="",C274=""),"",C274&amp;"|"&amp;(YEAR(B274)*100+MONTH(B274)))</f>
        <v/>
      </c>
      <c r="AI274" s="70" t="str">
        <f aca="false">IF(AH274="","",IF(COUNTIF(L_CLAVE,AH274)&gt;1,"⚠ Duplicado","OK"))</f>
        <v/>
      </c>
      <c r="AJ274" s="86" t="str">
        <f aca="false">IF(AH274="","",IF(SUMPRODUCT(MAX((IND_PER&lt;=B274)*(IND_UF&lt;&gt;"")*IND_PER))=0,UF_HOY,INDEX(IND_UF,MATCH(SUMPRODUCT(MAX((IND_PER&lt;=B274)*(IND_UF&lt;&gt;"")*IND_PER)),IND_PER,0))))</f>
        <v/>
      </c>
      <c r="AK274" s="87" t="str">
        <f aca="false">IF(AH274="","",IF(COUNTIF(TASA_DESDE,"&lt;="&amp;B274)=0,INDEX(TASA_EMP,1),INDEX(TASA_EMP,COUNTIF(TASA_DESDE,"&lt;="&amp;B274))))</f>
        <v/>
      </c>
    </row>
    <row r="275" customFormat="false" ht="15" hidden="false" customHeight="false" outlineLevel="0" collapsed="false">
      <c r="B275" s="78"/>
      <c r="C275" s="64"/>
      <c r="D275" s="72" t="str">
        <f aca="false">IF(C275="","",IFERROR(INDEX(T_NOMBRE,MATCH(C275,T_ID,0)),"⚠ ID no existe"))</f>
        <v/>
      </c>
      <c r="E275" s="69"/>
      <c r="F275" s="67"/>
      <c r="G275" s="67"/>
      <c r="H275" s="67"/>
      <c r="I275" s="67"/>
      <c r="J275" s="67"/>
      <c r="K275" s="85" t="str">
        <f aca="false">IF(AH275="","",N(F275)+N(G275)+N(H275)-N(I275)+N(J275))</f>
        <v/>
      </c>
      <c r="L275" s="67"/>
      <c r="M275" s="67"/>
      <c r="N275" s="67"/>
      <c r="O275" s="67"/>
      <c r="P275" s="85" t="str">
        <f aca="false">IF(AH275="","",K275+N(L275)+N(M275)+N(N275)+N(O275))</f>
        <v/>
      </c>
      <c r="Q275" s="67"/>
      <c r="R275" s="67"/>
      <c r="S275" s="67"/>
      <c r="T275" s="67"/>
      <c r="U275" s="67"/>
      <c r="V275" s="67"/>
      <c r="W275" s="85" t="str">
        <f aca="false">IF(AH275="","",N(Q275)+N(R275)+N(S275)+N(T275)+N(U275)+N(V275))</f>
        <v/>
      </c>
      <c r="X275" s="85" t="str">
        <f aca="false">IF(AH275="","",P275-W275)</f>
        <v/>
      </c>
      <c r="Y275" s="67"/>
      <c r="Z275" s="70" t="str">
        <f aca="false">IF(OR(AH275="",Y275=""),"",IF(ABS(X275-Y275)&lt;=1,"✓ Cuadra","⚠ Diferencia $"&amp;FIXED(X275-Y275,0)))</f>
        <v/>
      </c>
      <c r="AA275" s="72" t="str">
        <f aca="false">IF(AH275="","",IFERROR(INDEX(C_TIPO,MATCH(C275&amp;"-P"&amp;MAX(1,COUNTIFS(C_ID,C275,C_DEFINE,"Sí",C_INICIO,"&lt;="&amp;EOMONTH(B275,0))),C_CLAVE,0))&amp;"","Sin dato"))</f>
        <v/>
      </c>
      <c r="AB275" s="71" t="str">
        <f aca="false">IF(AH275="","",ROUND(MIN(K275,TOPE_AFP_UF*AJ275)*AK275,0))</f>
        <v/>
      </c>
      <c r="AC275" s="71" t="str">
        <f aca="false">IF(AH275="","",ROUND(MIN(K275,TOPE_AFC_UF*AJ275)*IF(AA275="Indefinido",AFC_EMP_INDEF,AFC_EMP_PF),0))</f>
        <v/>
      </c>
      <c r="AD275" s="71" t="str">
        <f aca="false">IF(AH275="","",ROUND(MIN(K275,TOPE_AFP_UF*AJ275)*(MUTUAL_BASICA+MUTUAL_ADIC+SANNA),0))</f>
        <v/>
      </c>
      <c r="AE275" s="71" t="str">
        <f aca="false">IF(AH275="","",P275-N(N275)+AB275+AC275+AD275)</f>
        <v/>
      </c>
      <c r="AF275" s="65"/>
      <c r="AG275" s="64"/>
      <c r="AH275" s="72" t="str">
        <f aca="false">IF(OR(B275="",C275=""),"",C275&amp;"|"&amp;(YEAR(B275)*100+MONTH(B275)))</f>
        <v/>
      </c>
      <c r="AI275" s="70" t="str">
        <f aca="false">IF(AH275="","",IF(COUNTIF(L_CLAVE,AH275)&gt;1,"⚠ Duplicado","OK"))</f>
        <v/>
      </c>
      <c r="AJ275" s="86" t="str">
        <f aca="false">IF(AH275="","",IF(SUMPRODUCT(MAX((IND_PER&lt;=B275)*(IND_UF&lt;&gt;"")*IND_PER))=0,UF_HOY,INDEX(IND_UF,MATCH(SUMPRODUCT(MAX((IND_PER&lt;=B275)*(IND_UF&lt;&gt;"")*IND_PER)),IND_PER,0))))</f>
        <v/>
      </c>
      <c r="AK275" s="87" t="str">
        <f aca="false">IF(AH275="","",IF(COUNTIF(TASA_DESDE,"&lt;="&amp;B275)=0,INDEX(TASA_EMP,1),INDEX(TASA_EMP,COUNTIF(TASA_DESDE,"&lt;="&amp;B275))))</f>
        <v/>
      </c>
    </row>
    <row r="276" customFormat="false" ht="15" hidden="false" customHeight="false" outlineLevel="0" collapsed="false">
      <c r="B276" s="78"/>
      <c r="C276" s="64"/>
      <c r="D276" s="72" t="str">
        <f aca="false">IF(C276="","",IFERROR(INDEX(T_NOMBRE,MATCH(C276,T_ID,0)),"⚠ ID no existe"))</f>
        <v/>
      </c>
      <c r="E276" s="69"/>
      <c r="F276" s="67"/>
      <c r="G276" s="67"/>
      <c r="H276" s="67"/>
      <c r="I276" s="67"/>
      <c r="J276" s="67"/>
      <c r="K276" s="85" t="str">
        <f aca="false">IF(AH276="","",N(F276)+N(G276)+N(H276)-N(I276)+N(J276))</f>
        <v/>
      </c>
      <c r="L276" s="67"/>
      <c r="M276" s="67"/>
      <c r="N276" s="67"/>
      <c r="O276" s="67"/>
      <c r="P276" s="85" t="str">
        <f aca="false">IF(AH276="","",K276+N(L276)+N(M276)+N(N276)+N(O276))</f>
        <v/>
      </c>
      <c r="Q276" s="67"/>
      <c r="R276" s="67"/>
      <c r="S276" s="67"/>
      <c r="T276" s="67"/>
      <c r="U276" s="67"/>
      <c r="V276" s="67"/>
      <c r="W276" s="85" t="str">
        <f aca="false">IF(AH276="","",N(Q276)+N(R276)+N(S276)+N(T276)+N(U276)+N(V276))</f>
        <v/>
      </c>
      <c r="X276" s="85" t="str">
        <f aca="false">IF(AH276="","",P276-W276)</f>
        <v/>
      </c>
      <c r="Y276" s="67"/>
      <c r="Z276" s="70" t="str">
        <f aca="false">IF(OR(AH276="",Y276=""),"",IF(ABS(X276-Y276)&lt;=1,"✓ Cuadra","⚠ Diferencia $"&amp;FIXED(X276-Y276,0)))</f>
        <v/>
      </c>
      <c r="AA276" s="72" t="str">
        <f aca="false">IF(AH276="","",IFERROR(INDEX(C_TIPO,MATCH(C276&amp;"-P"&amp;MAX(1,COUNTIFS(C_ID,C276,C_DEFINE,"Sí",C_INICIO,"&lt;="&amp;EOMONTH(B276,0))),C_CLAVE,0))&amp;"","Sin dato"))</f>
        <v/>
      </c>
      <c r="AB276" s="71" t="str">
        <f aca="false">IF(AH276="","",ROUND(MIN(K276,TOPE_AFP_UF*AJ276)*AK276,0))</f>
        <v/>
      </c>
      <c r="AC276" s="71" t="str">
        <f aca="false">IF(AH276="","",ROUND(MIN(K276,TOPE_AFC_UF*AJ276)*IF(AA276="Indefinido",AFC_EMP_INDEF,AFC_EMP_PF),0))</f>
        <v/>
      </c>
      <c r="AD276" s="71" t="str">
        <f aca="false">IF(AH276="","",ROUND(MIN(K276,TOPE_AFP_UF*AJ276)*(MUTUAL_BASICA+MUTUAL_ADIC+SANNA),0))</f>
        <v/>
      </c>
      <c r="AE276" s="71" t="str">
        <f aca="false">IF(AH276="","",P276-N(N276)+AB276+AC276+AD276)</f>
        <v/>
      </c>
      <c r="AF276" s="65"/>
      <c r="AG276" s="64"/>
      <c r="AH276" s="72" t="str">
        <f aca="false">IF(OR(B276="",C276=""),"",C276&amp;"|"&amp;(YEAR(B276)*100+MONTH(B276)))</f>
        <v/>
      </c>
      <c r="AI276" s="70" t="str">
        <f aca="false">IF(AH276="","",IF(COUNTIF(L_CLAVE,AH276)&gt;1,"⚠ Duplicado","OK"))</f>
        <v/>
      </c>
      <c r="AJ276" s="86" t="str">
        <f aca="false">IF(AH276="","",IF(SUMPRODUCT(MAX((IND_PER&lt;=B276)*(IND_UF&lt;&gt;"")*IND_PER))=0,UF_HOY,INDEX(IND_UF,MATCH(SUMPRODUCT(MAX((IND_PER&lt;=B276)*(IND_UF&lt;&gt;"")*IND_PER)),IND_PER,0))))</f>
        <v/>
      </c>
      <c r="AK276" s="87" t="str">
        <f aca="false">IF(AH276="","",IF(COUNTIF(TASA_DESDE,"&lt;="&amp;B276)=0,INDEX(TASA_EMP,1),INDEX(TASA_EMP,COUNTIF(TASA_DESDE,"&lt;="&amp;B276))))</f>
        <v/>
      </c>
    </row>
    <row r="277" customFormat="false" ht="15" hidden="false" customHeight="false" outlineLevel="0" collapsed="false">
      <c r="B277" s="78"/>
      <c r="C277" s="64"/>
      <c r="D277" s="72" t="str">
        <f aca="false">IF(C277="","",IFERROR(INDEX(T_NOMBRE,MATCH(C277,T_ID,0)),"⚠ ID no existe"))</f>
        <v/>
      </c>
      <c r="E277" s="69"/>
      <c r="F277" s="67"/>
      <c r="G277" s="67"/>
      <c r="H277" s="67"/>
      <c r="I277" s="67"/>
      <c r="J277" s="67"/>
      <c r="K277" s="85" t="str">
        <f aca="false">IF(AH277="","",N(F277)+N(G277)+N(H277)-N(I277)+N(J277))</f>
        <v/>
      </c>
      <c r="L277" s="67"/>
      <c r="M277" s="67"/>
      <c r="N277" s="67"/>
      <c r="O277" s="67"/>
      <c r="P277" s="85" t="str">
        <f aca="false">IF(AH277="","",K277+N(L277)+N(M277)+N(N277)+N(O277))</f>
        <v/>
      </c>
      <c r="Q277" s="67"/>
      <c r="R277" s="67"/>
      <c r="S277" s="67"/>
      <c r="T277" s="67"/>
      <c r="U277" s="67"/>
      <c r="V277" s="67"/>
      <c r="W277" s="85" t="str">
        <f aca="false">IF(AH277="","",N(Q277)+N(R277)+N(S277)+N(T277)+N(U277)+N(V277))</f>
        <v/>
      </c>
      <c r="X277" s="85" t="str">
        <f aca="false">IF(AH277="","",P277-W277)</f>
        <v/>
      </c>
      <c r="Y277" s="67"/>
      <c r="Z277" s="70" t="str">
        <f aca="false">IF(OR(AH277="",Y277=""),"",IF(ABS(X277-Y277)&lt;=1,"✓ Cuadra","⚠ Diferencia $"&amp;FIXED(X277-Y277,0)))</f>
        <v/>
      </c>
      <c r="AA277" s="72" t="str">
        <f aca="false">IF(AH277="","",IFERROR(INDEX(C_TIPO,MATCH(C277&amp;"-P"&amp;MAX(1,COUNTIFS(C_ID,C277,C_DEFINE,"Sí",C_INICIO,"&lt;="&amp;EOMONTH(B277,0))),C_CLAVE,0))&amp;"","Sin dato"))</f>
        <v/>
      </c>
      <c r="AB277" s="71" t="str">
        <f aca="false">IF(AH277="","",ROUND(MIN(K277,TOPE_AFP_UF*AJ277)*AK277,0))</f>
        <v/>
      </c>
      <c r="AC277" s="71" t="str">
        <f aca="false">IF(AH277="","",ROUND(MIN(K277,TOPE_AFC_UF*AJ277)*IF(AA277="Indefinido",AFC_EMP_INDEF,AFC_EMP_PF),0))</f>
        <v/>
      </c>
      <c r="AD277" s="71" t="str">
        <f aca="false">IF(AH277="","",ROUND(MIN(K277,TOPE_AFP_UF*AJ277)*(MUTUAL_BASICA+MUTUAL_ADIC+SANNA),0))</f>
        <v/>
      </c>
      <c r="AE277" s="71" t="str">
        <f aca="false">IF(AH277="","",P277-N(N277)+AB277+AC277+AD277)</f>
        <v/>
      </c>
      <c r="AF277" s="65"/>
      <c r="AG277" s="64"/>
      <c r="AH277" s="72" t="str">
        <f aca="false">IF(OR(B277="",C277=""),"",C277&amp;"|"&amp;(YEAR(B277)*100+MONTH(B277)))</f>
        <v/>
      </c>
      <c r="AI277" s="70" t="str">
        <f aca="false">IF(AH277="","",IF(COUNTIF(L_CLAVE,AH277)&gt;1,"⚠ Duplicado","OK"))</f>
        <v/>
      </c>
      <c r="AJ277" s="86" t="str">
        <f aca="false">IF(AH277="","",IF(SUMPRODUCT(MAX((IND_PER&lt;=B277)*(IND_UF&lt;&gt;"")*IND_PER))=0,UF_HOY,INDEX(IND_UF,MATCH(SUMPRODUCT(MAX((IND_PER&lt;=B277)*(IND_UF&lt;&gt;"")*IND_PER)),IND_PER,0))))</f>
        <v/>
      </c>
      <c r="AK277" s="87" t="str">
        <f aca="false">IF(AH277="","",IF(COUNTIF(TASA_DESDE,"&lt;="&amp;B277)=0,INDEX(TASA_EMP,1),INDEX(TASA_EMP,COUNTIF(TASA_DESDE,"&lt;="&amp;B277))))</f>
        <v/>
      </c>
    </row>
    <row r="278" customFormat="false" ht="15" hidden="false" customHeight="false" outlineLevel="0" collapsed="false">
      <c r="B278" s="78"/>
      <c r="C278" s="64"/>
      <c r="D278" s="72" t="str">
        <f aca="false">IF(C278="","",IFERROR(INDEX(T_NOMBRE,MATCH(C278,T_ID,0)),"⚠ ID no existe"))</f>
        <v/>
      </c>
      <c r="E278" s="69"/>
      <c r="F278" s="67"/>
      <c r="G278" s="67"/>
      <c r="H278" s="67"/>
      <c r="I278" s="67"/>
      <c r="J278" s="67"/>
      <c r="K278" s="85" t="str">
        <f aca="false">IF(AH278="","",N(F278)+N(G278)+N(H278)-N(I278)+N(J278))</f>
        <v/>
      </c>
      <c r="L278" s="67"/>
      <c r="M278" s="67"/>
      <c r="N278" s="67"/>
      <c r="O278" s="67"/>
      <c r="P278" s="85" t="str">
        <f aca="false">IF(AH278="","",K278+N(L278)+N(M278)+N(N278)+N(O278))</f>
        <v/>
      </c>
      <c r="Q278" s="67"/>
      <c r="R278" s="67"/>
      <c r="S278" s="67"/>
      <c r="T278" s="67"/>
      <c r="U278" s="67"/>
      <c r="V278" s="67"/>
      <c r="W278" s="85" t="str">
        <f aca="false">IF(AH278="","",N(Q278)+N(R278)+N(S278)+N(T278)+N(U278)+N(V278))</f>
        <v/>
      </c>
      <c r="X278" s="85" t="str">
        <f aca="false">IF(AH278="","",P278-W278)</f>
        <v/>
      </c>
      <c r="Y278" s="67"/>
      <c r="Z278" s="70" t="str">
        <f aca="false">IF(OR(AH278="",Y278=""),"",IF(ABS(X278-Y278)&lt;=1,"✓ Cuadra","⚠ Diferencia $"&amp;FIXED(X278-Y278,0)))</f>
        <v/>
      </c>
      <c r="AA278" s="72" t="str">
        <f aca="false">IF(AH278="","",IFERROR(INDEX(C_TIPO,MATCH(C278&amp;"-P"&amp;MAX(1,COUNTIFS(C_ID,C278,C_DEFINE,"Sí",C_INICIO,"&lt;="&amp;EOMONTH(B278,0))),C_CLAVE,0))&amp;"","Sin dato"))</f>
        <v/>
      </c>
      <c r="AB278" s="71" t="str">
        <f aca="false">IF(AH278="","",ROUND(MIN(K278,TOPE_AFP_UF*AJ278)*AK278,0))</f>
        <v/>
      </c>
      <c r="AC278" s="71" t="str">
        <f aca="false">IF(AH278="","",ROUND(MIN(K278,TOPE_AFC_UF*AJ278)*IF(AA278="Indefinido",AFC_EMP_INDEF,AFC_EMP_PF),0))</f>
        <v/>
      </c>
      <c r="AD278" s="71" t="str">
        <f aca="false">IF(AH278="","",ROUND(MIN(K278,TOPE_AFP_UF*AJ278)*(MUTUAL_BASICA+MUTUAL_ADIC+SANNA),0))</f>
        <v/>
      </c>
      <c r="AE278" s="71" t="str">
        <f aca="false">IF(AH278="","",P278-N(N278)+AB278+AC278+AD278)</f>
        <v/>
      </c>
      <c r="AF278" s="65"/>
      <c r="AG278" s="64"/>
      <c r="AH278" s="72" t="str">
        <f aca="false">IF(OR(B278="",C278=""),"",C278&amp;"|"&amp;(YEAR(B278)*100+MONTH(B278)))</f>
        <v/>
      </c>
      <c r="AI278" s="70" t="str">
        <f aca="false">IF(AH278="","",IF(COUNTIF(L_CLAVE,AH278)&gt;1,"⚠ Duplicado","OK"))</f>
        <v/>
      </c>
      <c r="AJ278" s="86" t="str">
        <f aca="false">IF(AH278="","",IF(SUMPRODUCT(MAX((IND_PER&lt;=B278)*(IND_UF&lt;&gt;"")*IND_PER))=0,UF_HOY,INDEX(IND_UF,MATCH(SUMPRODUCT(MAX((IND_PER&lt;=B278)*(IND_UF&lt;&gt;"")*IND_PER)),IND_PER,0))))</f>
        <v/>
      </c>
      <c r="AK278" s="87" t="str">
        <f aca="false">IF(AH278="","",IF(COUNTIF(TASA_DESDE,"&lt;="&amp;B278)=0,INDEX(TASA_EMP,1),INDEX(TASA_EMP,COUNTIF(TASA_DESDE,"&lt;="&amp;B278))))</f>
        <v/>
      </c>
    </row>
    <row r="279" customFormat="false" ht="15" hidden="false" customHeight="false" outlineLevel="0" collapsed="false">
      <c r="B279" s="78"/>
      <c r="C279" s="64"/>
      <c r="D279" s="72" t="str">
        <f aca="false">IF(C279="","",IFERROR(INDEX(T_NOMBRE,MATCH(C279,T_ID,0)),"⚠ ID no existe"))</f>
        <v/>
      </c>
      <c r="E279" s="69"/>
      <c r="F279" s="67"/>
      <c r="G279" s="67"/>
      <c r="H279" s="67"/>
      <c r="I279" s="67"/>
      <c r="J279" s="67"/>
      <c r="K279" s="85" t="str">
        <f aca="false">IF(AH279="","",N(F279)+N(G279)+N(H279)-N(I279)+N(J279))</f>
        <v/>
      </c>
      <c r="L279" s="67"/>
      <c r="M279" s="67"/>
      <c r="N279" s="67"/>
      <c r="O279" s="67"/>
      <c r="P279" s="85" t="str">
        <f aca="false">IF(AH279="","",K279+N(L279)+N(M279)+N(N279)+N(O279))</f>
        <v/>
      </c>
      <c r="Q279" s="67"/>
      <c r="R279" s="67"/>
      <c r="S279" s="67"/>
      <c r="T279" s="67"/>
      <c r="U279" s="67"/>
      <c r="V279" s="67"/>
      <c r="W279" s="85" t="str">
        <f aca="false">IF(AH279="","",N(Q279)+N(R279)+N(S279)+N(T279)+N(U279)+N(V279))</f>
        <v/>
      </c>
      <c r="X279" s="85" t="str">
        <f aca="false">IF(AH279="","",P279-W279)</f>
        <v/>
      </c>
      <c r="Y279" s="67"/>
      <c r="Z279" s="70" t="str">
        <f aca="false">IF(OR(AH279="",Y279=""),"",IF(ABS(X279-Y279)&lt;=1,"✓ Cuadra","⚠ Diferencia $"&amp;FIXED(X279-Y279,0)))</f>
        <v/>
      </c>
      <c r="AA279" s="72" t="str">
        <f aca="false">IF(AH279="","",IFERROR(INDEX(C_TIPO,MATCH(C279&amp;"-P"&amp;MAX(1,COUNTIFS(C_ID,C279,C_DEFINE,"Sí",C_INICIO,"&lt;="&amp;EOMONTH(B279,0))),C_CLAVE,0))&amp;"","Sin dato"))</f>
        <v/>
      </c>
      <c r="AB279" s="71" t="str">
        <f aca="false">IF(AH279="","",ROUND(MIN(K279,TOPE_AFP_UF*AJ279)*AK279,0))</f>
        <v/>
      </c>
      <c r="AC279" s="71" t="str">
        <f aca="false">IF(AH279="","",ROUND(MIN(K279,TOPE_AFC_UF*AJ279)*IF(AA279="Indefinido",AFC_EMP_INDEF,AFC_EMP_PF),0))</f>
        <v/>
      </c>
      <c r="AD279" s="71" t="str">
        <f aca="false">IF(AH279="","",ROUND(MIN(K279,TOPE_AFP_UF*AJ279)*(MUTUAL_BASICA+MUTUAL_ADIC+SANNA),0))</f>
        <v/>
      </c>
      <c r="AE279" s="71" t="str">
        <f aca="false">IF(AH279="","",P279-N(N279)+AB279+AC279+AD279)</f>
        <v/>
      </c>
      <c r="AF279" s="65"/>
      <c r="AG279" s="64"/>
      <c r="AH279" s="72" t="str">
        <f aca="false">IF(OR(B279="",C279=""),"",C279&amp;"|"&amp;(YEAR(B279)*100+MONTH(B279)))</f>
        <v/>
      </c>
      <c r="AI279" s="70" t="str">
        <f aca="false">IF(AH279="","",IF(COUNTIF(L_CLAVE,AH279)&gt;1,"⚠ Duplicado","OK"))</f>
        <v/>
      </c>
      <c r="AJ279" s="86" t="str">
        <f aca="false">IF(AH279="","",IF(SUMPRODUCT(MAX((IND_PER&lt;=B279)*(IND_UF&lt;&gt;"")*IND_PER))=0,UF_HOY,INDEX(IND_UF,MATCH(SUMPRODUCT(MAX((IND_PER&lt;=B279)*(IND_UF&lt;&gt;"")*IND_PER)),IND_PER,0))))</f>
        <v/>
      </c>
      <c r="AK279" s="87" t="str">
        <f aca="false">IF(AH279="","",IF(COUNTIF(TASA_DESDE,"&lt;="&amp;B279)=0,INDEX(TASA_EMP,1),INDEX(TASA_EMP,COUNTIF(TASA_DESDE,"&lt;="&amp;B279))))</f>
        <v/>
      </c>
    </row>
    <row r="280" customFormat="false" ht="15" hidden="false" customHeight="false" outlineLevel="0" collapsed="false">
      <c r="B280" s="78"/>
      <c r="C280" s="64"/>
      <c r="D280" s="72" t="str">
        <f aca="false">IF(C280="","",IFERROR(INDEX(T_NOMBRE,MATCH(C280,T_ID,0)),"⚠ ID no existe"))</f>
        <v/>
      </c>
      <c r="E280" s="69"/>
      <c r="F280" s="67"/>
      <c r="G280" s="67"/>
      <c r="H280" s="67"/>
      <c r="I280" s="67"/>
      <c r="J280" s="67"/>
      <c r="K280" s="85" t="str">
        <f aca="false">IF(AH280="","",N(F280)+N(G280)+N(H280)-N(I280)+N(J280))</f>
        <v/>
      </c>
      <c r="L280" s="67"/>
      <c r="M280" s="67"/>
      <c r="N280" s="67"/>
      <c r="O280" s="67"/>
      <c r="P280" s="85" t="str">
        <f aca="false">IF(AH280="","",K280+N(L280)+N(M280)+N(N280)+N(O280))</f>
        <v/>
      </c>
      <c r="Q280" s="67"/>
      <c r="R280" s="67"/>
      <c r="S280" s="67"/>
      <c r="T280" s="67"/>
      <c r="U280" s="67"/>
      <c r="V280" s="67"/>
      <c r="W280" s="85" t="str">
        <f aca="false">IF(AH280="","",N(Q280)+N(R280)+N(S280)+N(T280)+N(U280)+N(V280))</f>
        <v/>
      </c>
      <c r="X280" s="85" t="str">
        <f aca="false">IF(AH280="","",P280-W280)</f>
        <v/>
      </c>
      <c r="Y280" s="67"/>
      <c r="Z280" s="70" t="str">
        <f aca="false">IF(OR(AH280="",Y280=""),"",IF(ABS(X280-Y280)&lt;=1,"✓ Cuadra","⚠ Diferencia $"&amp;FIXED(X280-Y280,0)))</f>
        <v/>
      </c>
      <c r="AA280" s="72" t="str">
        <f aca="false">IF(AH280="","",IFERROR(INDEX(C_TIPO,MATCH(C280&amp;"-P"&amp;MAX(1,COUNTIFS(C_ID,C280,C_DEFINE,"Sí",C_INICIO,"&lt;="&amp;EOMONTH(B280,0))),C_CLAVE,0))&amp;"","Sin dato"))</f>
        <v/>
      </c>
      <c r="AB280" s="71" t="str">
        <f aca="false">IF(AH280="","",ROUND(MIN(K280,TOPE_AFP_UF*AJ280)*AK280,0))</f>
        <v/>
      </c>
      <c r="AC280" s="71" t="str">
        <f aca="false">IF(AH280="","",ROUND(MIN(K280,TOPE_AFC_UF*AJ280)*IF(AA280="Indefinido",AFC_EMP_INDEF,AFC_EMP_PF),0))</f>
        <v/>
      </c>
      <c r="AD280" s="71" t="str">
        <f aca="false">IF(AH280="","",ROUND(MIN(K280,TOPE_AFP_UF*AJ280)*(MUTUAL_BASICA+MUTUAL_ADIC+SANNA),0))</f>
        <v/>
      </c>
      <c r="AE280" s="71" t="str">
        <f aca="false">IF(AH280="","",P280-N(N280)+AB280+AC280+AD280)</f>
        <v/>
      </c>
      <c r="AF280" s="65"/>
      <c r="AG280" s="64"/>
      <c r="AH280" s="72" t="str">
        <f aca="false">IF(OR(B280="",C280=""),"",C280&amp;"|"&amp;(YEAR(B280)*100+MONTH(B280)))</f>
        <v/>
      </c>
      <c r="AI280" s="70" t="str">
        <f aca="false">IF(AH280="","",IF(COUNTIF(L_CLAVE,AH280)&gt;1,"⚠ Duplicado","OK"))</f>
        <v/>
      </c>
      <c r="AJ280" s="86" t="str">
        <f aca="false">IF(AH280="","",IF(SUMPRODUCT(MAX((IND_PER&lt;=B280)*(IND_UF&lt;&gt;"")*IND_PER))=0,UF_HOY,INDEX(IND_UF,MATCH(SUMPRODUCT(MAX((IND_PER&lt;=B280)*(IND_UF&lt;&gt;"")*IND_PER)),IND_PER,0))))</f>
        <v/>
      </c>
      <c r="AK280" s="87" t="str">
        <f aca="false">IF(AH280="","",IF(COUNTIF(TASA_DESDE,"&lt;="&amp;B280)=0,INDEX(TASA_EMP,1),INDEX(TASA_EMP,COUNTIF(TASA_DESDE,"&lt;="&amp;B280))))</f>
        <v/>
      </c>
    </row>
    <row r="281" customFormat="false" ht="15" hidden="false" customHeight="false" outlineLevel="0" collapsed="false">
      <c r="B281" s="78"/>
      <c r="C281" s="64"/>
      <c r="D281" s="72" t="str">
        <f aca="false">IF(C281="","",IFERROR(INDEX(T_NOMBRE,MATCH(C281,T_ID,0)),"⚠ ID no existe"))</f>
        <v/>
      </c>
      <c r="E281" s="69"/>
      <c r="F281" s="67"/>
      <c r="G281" s="67"/>
      <c r="H281" s="67"/>
      <c r="I281" s="67"/>
      <c r="J281" s="67"/>
      <c r="K281" s="85" t="str">
        <f aca="false">IF(AH281="","",N(F281)+N(G281)+N(H281)-N(I281)+N(J281))</f>
        <v/>
      </c>
      <c r="L281" s="67"/>
      <c r="M281" s="67"/>
      <c r="N281" s="67"/>
      <c r="O281" s="67"/>
      <c r="P281" s="85" t="str">
        <f aca="false">IF(AH281="","",K281+N(L281)+N(M281)+N(N281)+N(O281))</f>
        <v/>
      </c>
      <c r="Q281" s="67"/>
      <c r="R281" s="67"/>
      <c r="S281" s="67"/>
      <c r="T281" s="67"/>
      <c r="U281" s="67"/>
      <c r="V281" s="67"/>
      <c r="W281" s="85" t="str">
        <f aca="false">IF(AH281="","",N(Q281)+N(R281)+N(S281)+N(T281)+N(U281)+N(V281))</f>
        <v/>
      </c>
      <c r="X281" s="85" t="str">
        <f aca="false">IF(AH281="","",P281-W281)</f>
        <v/>
      </c>
      <c r="Y281" s="67"/>
      <c r="Z281" s="70" t="str">
        <f aca="false">IF(OR(AH281="",Y281=""),"",IF(ABS(X281-Y281)&lt;=1,"✓ Cuadra","⚠ Diferencia $"&amp;FIXED(X281-Y281,0)))</f>
        <v/>
      </c>
      <c r="AA281" s="72" t="str">
        <f aca="false">IF(AH281="","",IFERROR(INDEX(C_TIPO,MATCH(C281&amp;"-P"&amp;MAX(1,COUNTIFS(C_ID,C281,C_DEFINE,"Sí",C_INICIO,"&lt;="&amp;EOMONTH(B281,0))),C_CLAVE,0))&amp;"","Sin dato"))</f>
        <v/>
      </c>
      <c r="AB281" s="71" t="str">
        <f aca="false">IF(AH281="","",ROUND(MIN(K281,TOPE_AFP_UF*AJ281)*AK281,0))</f>
        <v/>
      </c>
      <c r="AC281" s="71" t="str">
        <f aca="false">IF(AH281="","",ROUND(MIN(K281,TOPE_AFC_UF*AJ281)*IF(AA281="Indefinido",AFC_EMP_INDEF,AFC_EMP_PF),0))</f>
        <v/>
      </c>
      <c r="AD281" s="71" t="str">
        <f aca="false">IF(AH281="","",ROUND(MIN(K281,TOPE_AFP_UF*AJ281)*(MUTUAL_BASICA+MUTUAL_ADIC+SANNA),0))</f>
        <v/>
      </c>
      <c r="AE281" s="71" t="str">
        <f aca="false">IF(AH281="","",P281-N(N281)+AB281+AC281+AD281)</f>
        <v/>
      </c>
      <c r="AF281" s="65"/>
      <c r="AG281" s="64"/>
      <c r="AH281" s="72" t="str">
        <f aca="false">IF(OR(B281="",C281=""),"",C281&amp;"|"&amp;(YEAR(B281)*100+MONTH(B281)))</f>
        <v/>
      </c>
      <c r="AI281" s="70" t="str">
        <f aca="false">IF(AH281="","",IF(COUNTIF(L_CLAVE,AH281)&gt;1,"⚠ Duplicado","OK"))</f>
        <v/>
      </c>
      <c r="AJ281" s="86" t="str">
        <f aca="false">IF(AH281="","",IF(SUMPRODUCT(MAX((IND_PER&lt;=B281)*(IND_UF&lt;&gt;"")*IND_PER))=0,UF_HOY,INDEX(IND_UF,MATCH(SUMPRODUCT(MAX((IND_PER&lt;=B281)*(IND_UF&lt;&gt;"")*IND_PER)),IND_PER,0))))</f>
        <v/>
      </c>
      <c r="AK281" s="87" t="str">
        <f aca="false">IF(AH281="","",IF(COUNTIF(TASA_DESDE,"&lt;="&amp;B281)=0,INDEX(TASA_EMP,1),INDEX(TASA_EMP,COUNTIF(TASA_DESDE,"&lt;="&amp;B281))))</f>
        <v/>
      </c>
    </row>
    <row r="282" customFormat="false" ht="15" hidden="false" customHeight="false" outlineLevel="0" collapsed="false">
      <c r="B282" s="78"/>
      <c r="C282" s="64"/>
      <c r="D282" s="72" t="str">
        <f aca="false">IF(C282="","",IFERROR(INDEX(T_NOMBRE,MATCH(C282,T_ID,0)),"⚠ ID no existe"))</f>
        <v/>
      </c>
      <c r="E282" s="69"/>
      <c r="F282" s="67"/>
      <c r="G282" s="67"/>
      <c r="H282" s="67"/>
      <c r="I282" s="67"/>
      <c r="J282" s="67"/>
      <c r="K282" s="85" t="str">
        <f aca="false">IF(AH282="","",N(F282)+N(G282)+N(H282)-N(I282)+N(J282))</f>
        <v/>
      </c>
      <c r="L282" s="67"/>
      <c r="M282" s="67"/>
      <c r="N282" s="67"/>
      <c r="O282" s="67"/>
      <c r="P282" s="85" t="str">
        <f aca="false">IF(AH282="","",K282+N(L282)+N(M282)+N(N282)+N(O282))</f>
        <v/>
      </c>
      <c r="Q282" s="67"/>
      <c r="R282" s="67"/>
      <c r="S282" s="67"/>
      <c r="T282" s="67"/>
      <c r="U282" s="67"/>
      <c r="V282" s="67"/>
      <c r="W282" s="85" t="str">
        <f aca="false">IF(AH282="","",N(Q282)+N(R282)+N(S282)+N(T282)+N(U282)+N(V282))</f>
        <v/>
      </c>
      <c r="X282" s="85" t="str">
        <f aca="false">IF(AH282="","",P282-W282)</f>
        <v/>
      </c>
      <c r="Y282" s="67"/>
      <c r="Z282" s="70" t="str">
        <f aca="false">IF(OR(AH282="",Y282=""),"",IF(ABS(X282-Y282)&lt;=1,"✓ Cuadra","⚠ Diferencia $"&amp;FIXED(X282-Y282,0)))</f>
        <v/>
      </c>
      <c r="AA282" s="72" t="str">
        <f aca="false">IF(AH282="","",IFERROR(INDEX(C_TIPO,MATCH(C282&amp;"-P"&amp;MAX(1,COUNTIFS(C_ID,C282,C_DEFINE,"Sí",C_INICIO,"&lt;="&amp;EOMONTH(B282,0))),C_CLAVE,0))&amp;"","Sin dato"))</f>
        <v/>
      </c>
      <c r="AB282" s="71" t="str">
        <f aca="false">IF(AH282="","",ROUND(MIN(K282,TOPE_AFP_UF*AJ282)*AK282,0))</f>
        <v/>
      </c>
      <c r="AC282" s="71" t="str">
        <f aca="false">IF(AH282="","",ROUND(MIN(K282,TOPE_AFC_UF*AJ282)*IF(AA282="Indefinido",AFC_EMP_INDEF,AFC_EMP_PF),0))</f>
        <v/>
      </c>
      <c r="AD282" s="71" t="str">
        <f aca="false">IF(AH282="","",ROUND(MIN(K282,TOPE_AFP_UF*AJ282)*(MUTUAL_BASICA+MUTUAL_ADIC+SANNA),0))</f>
        <v/>
      </c>
      <c r="AE282" s="71" t="str">
        <f aca="false">IF(AH282="","",P282-N(N282)+AB282+AC282+AD282)</f>
        <v/>
      </c>
      <c r="AF282" s="65"/>
      <c r="AG282" s="64"/>
      <c r="AH282" s="72" t="str">
        <f aca="false">IF(OR(B282="",C282=""),"",C282&amp;"|"&amp;(YEAR(B282)*100+MONTH(B282)))</f>
        <v/>
      </c>
      <c r="AI282" s="70" t="str">
        <f aca="false">IF(AH282="","",IF(COUNTIF(L_CLAVE,AH282)&gt;1,"⚠ Duplicado","OK"))</f>
        <v/>
      </c>
      <c r="AJ282" s="86" t="str">
        <f aca="false">IF(AH282="","",IF(SUMPRODUCT(MAX((IND_PER&lt;=B282)*(IND_UF&lt;&gt;"")*IND_PER))=0,UF_HOY,INDEX(IND_UF,MATCH(SUMPRODUCT(MAX((IND_PER&lt;=B282)*(IND_UF&lt;&gt;"")*IND_PER)),IND_PER,0))))</f>
        <v/>
      </c>
      <c r="AK282" s="87" t="str">
        <f aca="false">IF(AH282="","",IF(COUNTIF(TASA_DESDE,"&lt;="&amp;B282)=0,INDEX(TASA_EMP,1),INDEX(TASA_EMP,COUNTIF(TASA_DESDE,"&lt;="&amp;B282))))</f>
        <v/>
      </c>
    </row>
    <row r="283" customFormat="false" ht="15" hidden="false" customHeight="false" outlineLevel="0" collapsed="false">
      <c r="B283" s="78"/>
      <c r="C283" s="64"/>
      <c r="D283" s="72" t="str">
        <f aca="false">IF(C283="","",IFERROR(INDEX(T_NOMBRE,MATCH(C283,T_ID,0)),"⚠ ID no existe"))</f>
        <v/>
      </c>
      <c r="E283" s="69"/>
      <c r="F283" s="67"/>
      <c r="G283" s="67"/>
      <c r="H283" s="67"/>
      <c r="I283" s="67"/>
      <c r="J283" s="67"/>
      <c r="K283" s="85" t="str">
        <f aca="false">IF(AH283="","",N(F283)+N(G283)+N(H283)-N(I283)+N(J283))</f>
        <v/>
      </c>
      <c r="L283" s="67"/>
      <c r="M283" s="67"/>
      <c r="N283" s="67"/>
      <c r="O283" s="67"/>
      <c r="P283" s="85" t="str">
        <f aca="false">IF(AH283="","",K283+N(L283)+N(M283)+N(N283)+N(O283))</f>
        <v/>
      </c>
      <c r="Q283" s="67"/>
      <c r="R283" s="67"/>
      <c r="S283" s="67"/>
      <c r="T283" s="67"/>
      <c r="U283" s="67"/>
      <c r="V283" s="67"/>
      <c r="W283" s="85" t="str">
        <f aca="false">IF(AH283="","",N(Q283)+N(R283)+N(S283)+N(T283)+N(U283)+N(V283))</f>
        <v/>
      </c>
      <c r="X283" s="85" t="str">
        <f aca="false">IF(AH283="","",P283-W283)</f>
        <v/>
      </c>
      <c r="Y283" s="67"/>
      <c r="Z283" s="70" t="str">
        <f aca="false">IF(OR(AH283="",Y283=""),"",IF(ABS(X283-Y283)&lt;=1,"✓ Cuadra","⚠ Diferencia $"&amp;FIXED(X283-Y283,0)))</f>
        <v/>
      </c>
      <c r="AA283" s="72" t="str">
        <f aca="false">IF(AH283="","",IFERROR(INDEX(C_TIPO,MATCH(C283&amp;"-P"&amp;MAX(1,COUNTIFS(C_ID,C283,C_DEFINE,"Sí",C_INICIO,"&lt;="&amp;EOMONTH(B283,0))),C_CLAVE,0))&amp;"","Sin dato"))</f>
        <v/>
      </c>
      <c r="AB283" s="71" t="str">
        <f aca="false">IF(AH283="","",ROUND(MIN(K283,TOPE_AFP_UF*AJ283)*AK283,0))</f>
        <v/>
      </c>
      <c r="AC283" s="71" t="str">
        <f aca="false">IF(AH283="","",ROUND(MIN(K283,TOPE_AFC_UF*AJ283)*IF(AA283="Indefinido",AFC_EMP_INDEF,AFC_EMP_PF),0))</f>
        <v/>
      </c>
      <c r="AD283" s="71" t="str">
        <f aca="false">IF(AH283="","",ROUND(MIN(K283,TOPE_AFP_UF*AJ283)*(MUTUAL_BASICA+MUTUAL_ADIC+SANNA),0))</f>
        <v/>
      </c>
      <c r="AE283" s="71" t="str">
        <f aca="false">IF(AH283="","",P283-N(N283)+AB283+AC283+AD283)</f>
        <v/>
      </c>
      <c r="AF283" s="65"/>
      <c r="AG283" s="64"/>
      <c r="AH283" s="72" t="str">
        <f aca="false">IF(OR(B283="",C283=""),"",C283&amp;"|"&amp;(YEAR(B283)*100+MONTH(B283)))</f>
        <v/>
      </c>
      <c r="AI283" s="70" t="str">
        <f aca="false">IF(AH283="","",IF(COUNTIF(L_CLAVE,AH283)&gt;1,"⚠ Duplicado","OK"))</f>
        <v/>
      </c>
      <c r="AJ283" s="86" t="str">
        <f aca="false">IF(AH283="","",IF(SUMPRODUCT(MAX((IND_PER&lt;=B283)*(IND_UF&lt;&gt;"")*IND_PER))=0,UF_HOY,INDEX(IND_UF,MATCH(SUMPRODUCT(MAX((IND_PER&lt;=B283)*(IND_UF&lt;&gt;"")*IND_PER)),IND_PER,0))))</f>
        <v/>
      </c>
      <c r="AK283" s="87" t="str">
        <f aca="false">IF(AH283="","",IF(COUNTIF(TASA_DESDE,"&lt;="&amp;B283)=0,INDEX(TASA_EMP,1),INDEX(TASA_EMP,COUNTIF(TASA_DESDE,"&lt;="&amp;B283))))</f>
        <v/>
      </c>
    </row>
    <row r="284" customFormat="false" ht="15" hidden="false" customHeight="false" outlineLevel="0" collapsed="false">
      <c r="B284" s="78"/>
      <c r="C284" s="64"/>
      <c r="D284" s="72" t="str">
        <f aca="false">IF(C284="","",IFERROR(INDEX(T_NOMBRE,MATCH(C284,T_ID,0)),"⚠ ID no existe"))</f>
        <v/>
      </c>
      <c r="E284" s="69"/>
      <c r="F284" s="67"/>
      <c r="G284" s="67"/>
      <c r="H284" s="67"/>
      <c r="I284" s="67"/>
      <c r="J284" s="67"/>
      <c r="K284" s="85" t="str">
        <f aca="false">IF(AH284="","",N(F284)+N(G284)+N(H284)-N(I284)+N(J284))</f>
        <v/>
      </c>
      <c r="L284" s="67"/>
      <c r="M284" s="67"/>
      <c r="N284" s="67"/>
      <c r="O284" s="67"/>
      <c r="P284" s="85" t="str">
        <f aca="false">IF(AH284="","",K284+N(L284)+N(M284)+N(N284)+N(O284))</f>
        <v/>
      </c>
      <c r="Q284" s="67"/>
      <c r="R284" s="67"/>
      <c r="S284" s="67"/>
      <c r="T284" s="67"/>
      <c r="U284" s="67"/>
      <c r="V284" s="67"/>
      <c r="W284" s="85" t="str">
        <f aca="false">IF(AH284="","",N(Q284)+N(R284)+N(S284)+N(T284)+N(U284)+N(V284))</f>
        <v/>
      </c>
      <c r="X284" s="85" t="str">
        <f aca="false">IF(AH284="","",P284-W284)</f>
        <v/>
      </c>
      <c r="Y284" s="67"/>
      <c r="Z284" s="70" t="str">
        <f aca="false">IF(OR(AH284="",Y284=""),"",IF(ABS(X284-Y284)&lt;=1,"✓ Cuadra","⚠ Diferencia $"&amp;FIXED(X284-Y284,0)))</f>
        <v/>
      </c>
      <c r="AA284" s="72" t="str">
        <f aca="false">IF(AH284="","",IFERROR(INDEX(C_TIPO,MATCH(C284&amp;"-P"&amp;MAX(1,COUNTIFS(C_ID,C284,C_DEFINE,"Sí",C_INICIO,"&lt;="&amp;EOMONTH(B284,0))),C_CLAVE,0))&amp;"","Sin dato"))</f>
        <v/>
      </c>
      <c r="AB284" s="71" t="str">
        <f aca="false">IF(AH284="","",ROUND(MIN(K284,TOPE_AFP_UF*AJ284)*AK284,0))</f>
        <v/>
      </c>
      <c r="AC284" s="71" t="str">
        <f aca="false">IF(AH284="","",ROUND(MIN(K284,TOPE_AFC_UF*AJ284)*IF(AA284="Indefinido",AFC_EMP_INDEF,AFC_EMP_PF),0))</f>
        <v/>
      </c>
      <c r="AD284" s="71" t="str">
        <f aca="false">IF(AH284="","",ROUND(MIN(K284,TOPE_AFP_UF*AJ284)*(MUTUAL_BASICA+MUTUAL_ADIC+SANNA),0))</f>
        <v/>
      </c>
      <c r="AE284" s="71" t="str">
        <f aca="false">IF(AH284="","",P284-N(N284)+AB284+AC284+AD284)</f>
        <v/>
      </c>
      <c r="AF284" s="65"/>
      <c r="AG284" s="64"/>
      <c r="AH284" s="72" t="str">
        <f aca="false">IF(OR(B284="",C284=""),"",C284&amp;"|"&amp;(YEAR(B284)*100+MONTH(B284)))</f>
        <v/>
      </c>
      <c r="AI284" s="70" t="str">
        <f aca="false">IF(AH284="","",IF(COUNTIF(L_CLAVE,AH284)&gt;1,"⚠ Duplicado","OK"))</f>
        <v/>
      </c>
      <c r="AJ284" s="86" t="str">
        <f aca="false">IF(AH284="","",IF(SUMPRODUCT(MAX((IND_PER&lt;=B284)*(IND_UF&lt;&gt;"")*IND_PER))=0,UF_HOY,INDEX(IND_UF,MATCH(SUMPRODUCT(MAX((IND_PER&lt;=B284)*(IND_UF&lt;&gt;"")*IND_PER)),IND_PER,0))))</f>
        <v/>
      </c>
      <c r="AK284" s="87" t="str">
        <f aca="false">IF(AH284="","",IF(COUNTIF(TASA_DESDE,"&lt;="&amp;B284)=0,INDEX(TASA_EMP,1),INDEX(TASA_EMP,COUNTIF(TASA_DESDE,"&lt;="&amp;B284))))</f>
        <v/>
      </c>
    </row>
    <row r="285" customFormat="false" ht="15" hidden="false" customHeight="false" outlineLevel="0" collapsed="false">
      <c r="B285" s="78"/>
      <c r="C285" s="64"/>
      <c r="D285" s="72" t="str">
        <f aca="false">IF(C285="","",IFERROR(INDEX(T_NOMBRE,MATCH(C285,T_ID,0)),"⚠ ID no existe"))</f>
        <v/>
      </c>
      <c r="E285" s="69"/>
      <c r="F285" s="67"/>
      <c r="G285" s="67"/>
      <c r="H285" s="67"/>
      <c r="I285" s="67"/>
      <c r="J285" s="67"/>
      <c r="K285" s="85" t="str">
        <f aca="false">IF(AH285="","",N(F285)+N(G285)+N(H285)-N(I285)+N(J285))</f>
        <v/>
      </c>
      <c r="L285" s="67"/>
      <c r="M285" s="67"/>
      <c r="N285" s="67"/>
      <c r="O285" s="67"/>
      <c r="P285" s="85" t="str">
        <f aca="false">IF(AH285="","",K285+N(L285)+N(M285)+N(N285)+N(O285))</f>
        <v/>
      </c>
      <c r="Q285" s="67"/>
      <c r="R285" s="67"/>
      <c r="S285" s="67"/>
      <c r="T285" s="67"/>
      <c r="U285" s="67"/>
      <c r="V285" s="67"/>
      <c r="W285" s="85" t="str">
        <f aca="false">IF(AH285="","",N(Q285)+N(R285)+N(S285)+N(T285)+N(U285)+N(V285))</f>
        <v/>
      </c>
      <c r="X285" s="85" t="str">
        <f aca="false">IF(AH285="","",P285-W285)</f>
        <v/>
      </c>
      <c r="Y285" s="67"/>
      <c r="Z285" s="70" t="str">
        <f aca="false">IF(OR(AH285="",Y285=""),"",IF(ABS(X285-Y285)&lt;=1,"✓ Cuadra","⚠ Diferencia $"&amp;FIXED(X285-Y285,0)))</f>
        <v/>
      </c>
      <c r="AA285" s="72" t="str">
        <f aca="false">IF(AH285="","",IFERROR(INDEX(C_TIPO,MATCH(C285&amp;"-P"&amp;MAX(1,COUNTIFS(C_ID,C285,C_DEFINE,"Sí",C_INICIO,"&lt;="&amp;EOMONTH(B285,0))),C_CLAVE,0))&amp;"","Sin dato"))</f>
        <v/>
      </c>
      <c r="AB285" s="71" t="str">
        <f aca="false">IF(AH285="","",ROUND(MIN(K285,TOPE_AFP_UF*AJ285)*AK285,0))</f>
        <v/>
      </c>
      <c r="AC285" s="71" t="str">
        <f aca="false">IF(AH285="","",ROUND(MIN(K285,TOPE_AFC_UF*AJ285)*IF(AA285="Indefinido",AFC_EMP_INDEF,AFC_EMP_PF),0))</f>
        <v/>
      </c>
      <c r="AD285" s="71" t="str">
        <f aca="false">IF(AH285="","",ROUND(MIN(K285,TOPE_AFP_UF*AJ285)*(MUTUAL_BASICA+MUTUAL_ADIC+SANNA),0))</f>
        <v/>
      </c>
      <c r="AE285" s="71" t="str">
        <f aca="false">IF(AH285="","",P285-N(N285)+AB285+AC285+AD285)</f>
        <v/>
      </c>
      <c r="AF285" s="65"/>
      <c r="AG285" s="64"/>
      <c r="AH285" s="72" t="str">
        <f aca="false">IF(OR(B285="",C285=""),"",C285&amp;"|"&amp;(YEAR(B285)*100+MONTH(B285)))</f>
        <v/>
      </c>
      <c r="AI285" s="70" t="str">
        <f aca="false">IF(AH285="","",IF(COUNTIF(L_CLAVE,AH285)&gt;1,"⚠ Duplicado","OK"))</f>
        <v/>
      </c>
      <c r="AJ285" s="86" t="str">
        <f aca="false">IF(AH285="","",IF(SUMPRODUCT(MAX((IND_PER&lt;=B285)*(IND_UF&lt;&gt;"")*IND_PER))=0,UF_HOY,INDEX(IND_UF,MATCH(SUMPRODUCT(MAX((IND_PER&lt;=B285)*(IND_UF&lt;&gt;"")*IND_PER)),IND_PER,0))))</f>
        <v/>
      </c>
      <c r="AK285" s="87" t="str">
        <f aca="false">IF(AH285="","",IF(COUNTIF(TASA_DESDE,"&lt;="&amp;B285)=0,INDEX(TASA_EMP,1),INDEX(TASA_EMP,COUNTIF(TASA_DESDE,"&lt;="&amp;B285))))</f>
        <v/>
      </c>
    </row>
    <row r="286" customFormat="false" ht="15" hidden="false" customHeight="false" outlineLevel="0" collapsed="false">
      <c r="B286" s="78"/>
      <c r="C286" s="64"/>
      <c r="D286" s="72" t="str">
        <f aca="false">IF(C286="","",IFERROR(INDEX(T_NOMBRE,MATCH(C286,T_ID,0)),"⚠ ID no existe"))</f>
        <v/>
      </c>
      <c r="E286" s="69"/>
      <c r="F286" s="67"/>
      <c r="G286" s="67"/>
      <c r="H286" s="67"/>
      <c r="I286" s="67"/>
      <c r="J286" s="67"/>
      <c r="K286" s="85" t="str">
        <f aca="false">IF(AH286="","",N(F286)+N(G286)+N(H286)-N(I286)+N(J286))</f>
        <v/>
      </c>
      <c r="L286" s="67"/>
      <c r="M286" s="67"/>
      <c r="N286" s="67"/>
      <c r="O286" s="67"/>
      <c r="P286" s="85" t="str">
        <f aca="false">IF(AH286="","",K286+N(L286)+N(M286)+N(N286)+N(O286))</f>
        <v/>
      </c>
      <c r="Q286" s="67"/>
      <c r="R286" s="67"/>
      <c r="S286" s="67"/>
      <c r="T286" s="67"/>
      <c r="U286" s="67"/>
      <c r="V286" s="67"/>
      <c r="W286" s="85" t="str">
        <f aca="false">IF(AH286="","",N(Q286)+N(R286)+N(S286)+N(T286)+N(U286)+N(V286))</f>
        <v/>
      </c>
      <c r="X286" s="85" t="str">
        <f aca="false">IF(AH286="","",P286-W286)</f>
        <v/>
      </c>
      <c r="Y286" s="67"/>
      <c r="Z286" s="70" t="str">
        <f aca="false">IF(OR(AH286="",Y286=""),"",IF(ABS(X286-Y286)&lt;=1,"✓ Cuadra","⚠ Diferencia $"&amp;FIXED(X286-Y286,0)))</f>
        <v/>
      </c>
      <c r="AA286" s="72" t="str">
        <f aca="false">IF(AH286="","",IFERROR(INDEX(C_TIPO,MATCH(C286&amp;"-P"&amp;MAX(1,COUNTIFS(C_ID,C286,C_DEFINE,"Sí",C_INICIO,"&lt;="&amp;EOMONTH(B286,0))),C_CLAVE,0))&amp;"","Sin dato"))</f>
        <v/>
      </c>
      <c r="AB286" s="71" t="str">
        <f aca="false">IF(AH286="","",ROUND(MIN(K286,TOPE_AFP_UF*AJ286)*AK286,0))</f>
        <v/>
      </c>
      <c r="AC286" s="71" t="str">
        <f aca="false">IF(AH286="","",ROUND(MIN(K286,TOPE_AFC_UF*AJ286)*IF(AA286="Indefinido",AFC_EMP_INDEF,AFC_EMP_PF),0))</f>
        <v/>
      </c>
      <c r="AD286" s="71" t="str">
        <f aca="false">IF(AH286="","",ROUND(MIN(K286,TOPE_AFP_UF*AJ286)*(MUTUAL_BASICA+MUTUAL_ADIC+SANNA),0))</f>
        <v/>
      </c>
      <c r="AE286" s="71" t="str">
        <f aca="false">IF(AH286="","",P286-N(N286)+AB286+AC286+AD286)</f>
        <v/>
      </c>
      <c r="AF286" s="65"/>
      <c r="AG286" s="64"/>
      <c r="AH286" s="72" t="str">
        <f aca="false">IF(OR(B286="",C286=""),"",C286&amp;"|"&amp;(YEAR(B286)*100+MONTH(B286)))</f>
        <v/>
      </c>
      <c r="AI286" s="70" t="str">
        <f aca="false">IF(AH286="","",IF(COUNTIF(L_CLAVE,AH286)&gt;1,"⚠ Duplicado","OK"))</f>
        <v/>
      </c>
      <c r="AJ286" s="86" t="str">
        <f aca="false">IF(AH286="","",IF(SUMPRODUCT(MAX((IND_PER&lt;=B286)*(IND_UF&lt;&gt;"")*IND_PER))=0,UF_HOY,INDEX(IND_UF,MATCH(SUMPRODUCT(MAX((IND_PER&lt;=B286)*(IND_UF&lt;&gt;"")*IND_PER)),IND_PER,0))))</f>
        <v/>
      </c>
      <c r="AK286" s="87" t="str">
        <f aca="false">IF(AH286="","",IF(COUNTIF(TASA_DESDE,"&lt;="&amp;B286)=0,INDEX(TASA_EMP,1),INDEX(TASA_EMP,COUNTIF(TASA_DESDE,"&lt;="&amp;B286))))</f>
        <v/>
      </c>
    </row>
    <row r="287" customFormat="false" ht="15" hidden="false" customHeight="false" outlineLevel="0" collapsed="false">
      <c r="B287" s="78"/>
      <c r="C287" s="64"/>
      <c r="D287" s="72" t="str">
        <f aca="false">IF(C287="","",IFERROR(INDEX(T_NOMBRE,MATCH(C287,T_ID,0)),"⚠ ID no existe"))</f>
        <v/>
      </c>
      <c r="E287" s="69"/>
      <c r="F287" s="67"/>
      <c r="G287" s="67"/>
      <c r="H287" s="67"/>
      <c r="I287" s="67"/>
      <c r="J287" s="67"/>
      <c r="K287" s="85" t="str">
        <f aca="false">IF(AH287="","",N(F287)+N(G287)+N(H287)-N(I287)+N(J287))</f>
        <v/>
      </c>
      <c r="L287" s="67"/>
      <c r="M287" s="67"/>
      <c r="N287" s="67"/>
      <c r="O287" s="67"/>
      <c r="P287" s="85" t="str">
        <f aca="false">IF(AH287="","",K287+N(L287)+N(M287)+N(N287)+N(O287))</f>
        <v/>
      </c>
      <c r="Q287" s="67"/>
      <c r="R287" s="67"/>
      <c r="S287" s="67"/>
      <c r="T287" s="67"/>
      <c r="U287" s="67"/>
      <c r="V287" s="67"/>
      <c r="W287" s="85" t="str">
        <f aca="false">IF(AH287="","",N(Q287)+N(R287)+N(S287)+N(T287)+N(U287)+N(V287))</f>
        <v/>
      </c>
      <c r="X287" s="85" t="str">
        <f aca="false">IF(AH287="","",P287-W287)</f>
        <v/>
      </c>
      <c r="Y287" s="67"/>
      <c r="Z287" s="70" t="str">
        <f aca="false">IF(OR(AH287="",Y287=""),"",IF(ABS(X287-Y287)&lt;=1,"✓ Cuadra","⚠ Diferencia $"&amp;FIXED(X287-Y287,0)))</f>
        <v/>
      </c>
      <c r="AA287" s="72" t="str">
        <f aca="false">IF(AH287="","",IFERROR(INDEX(C_TIPO,MATCH(C287&amp;"-P"&amp;MAX(1,COUNTIFS(C_ID,C287,C_DEFINE,"Sí",C_INICIO,"&lt;="&amp;EOMONTH(B287,0))),C_CLAVE,0))&amp;"","Sin dato"))</f>
        <v/>
      </c>
      <c r="AB287" s="71" t="str">
        <f aca="false">IF(AH287="","",ROUND(MIN(K287,TOPE_AFP_UF*AJ287)*AK287,0))</f>
        <v/>
      </c>
      <c r="AC287" s="71" t="str">
        <f aca="false">IF(AH287="","",ROUND(MIN(K287,TOPE_AFC_UF*AJ287)*IF(AA287="Indefinido",AFC_EMP_INDEF,AFC_EMP_PF),0))</f>
        <v/>
      </c>
      <c r="AD287" s="71" t="str">
        <f aca="false">IF(AH287="","",ROUND(MIN(K287,TOPE_AFP_UF*AJ287)*(MUTUAL_BASICA+MUTUAL_ADIC+SANNA),0))</f>
        <v/>
      </c>
      <c r="AE287" s="71" t="str">
        <f aca="false">IF(AH287="","",P287-N(N287)+AB287+AC287+AD287)</f>
        <v/>
      </c>
      <c r="AF287" s="65"/>
      <c r="AG287" s="64"/>
      <c r="AH287" s="72" t="str">
        <f aca="false">IF(OR(B287="",C287=""),"",C287&amp;"|"&amp;(YEAR(B287)*100+MONTH(B287)))</f>
        <v/>
      </c>
      <c r="AI287" s="70" t="str">
        <f aca="false">IF(AH287="","",IF(COUNTIF(L_CLAVE,AH287)&gt;1,"⚠ Duplicado","OK"))</f>
        <v/>
      </c>
      <c r="AJ287" s="86" t="str">
        <f aca="false">IF(AH287="","",IF(SUMPRODUCT(MAX((IND_PER&lt;=B287)*(IND_UF&lt;&gt;"")*IND_PER))=0,UF_HOY,INDEX(IND_UF,MATCH(SUMPRODUCT(MAX((IND_PER&lt;=B287)*(IND_UF&lt;&gt;"")*IND_PER)),IND_PER,0))))</f>
        <v/>
      </c>
      <c r="AK287" s="87" t="str">
        <f aca="false">IF(AH287="","",IF(COUNTIF(TASA_DESDE,"&lt;="&amp;B287)=0,INDEX(TASA_EMP,1),INDEX(TASA_EMP,COUNTIF(TASA_DESDE,"&lt;="&amp;B287))))</f>
        <v/>
      </c>
    </row>
    <row r="288" customFormat="false" ht="15" hidden="false" customHeight="false" outlineLevel="0" collapsed="false">
      <c r="B288" s="78"/>
      <c r="C288" s="64"/>
      <c r="D288" s="72" t="str">
        <f aca="false">IF(C288="","",IFERROR(INDEX(T_NOMBRE,MATCH(C288,T_ID,0)),"⚠ ID no existe"))</f>
        <v/>
      </c>
      <c r="E288" s="69"/>
      <c r="F288" s="67"/>
      <c r="G288" s="67"/>
      <c r="H288" s="67"/>
      <c r="I288" s="67"/>
      <c r="J288" s="67"/>
      <c r="K288" s="85" t="str">
        <f aca="false">IF(AH288="","",N(F288)+N(G288)+N(H288)-N(I288)+N(J288))</f>
        <v/>
      </c>
      <c r="L288" s="67"/>
      <c r="M288" s="67"/>
      <c r="N288" s="67"/>
      <c r="O288" s="67"/>
      <c r="P288" s="85" t="str">
        <f aca="false">IF(AH288="","",K288+N(L288)+N(M288)+N(N288)+N(O288))</f>
        <v/>
      </c>
      <c r="Q288" s="67"/>
      <c r="R288" s="67"/>
      <c r="S288" s="67"/>
      <c r="T288" s="67"/>
      <c r="U288" s="67"/>
      <c r="V288" s="67"/>
      <c r="W288" s="85" t="str">
        <f aca="false">IF(AH288="","",N(Q288)+N(R288)+N(S288)+N(T288)+N(U288)+N(V288))</f>
        <v/>
      </c>
      <c r="X288" s="85" t="str">
        <f aca="false">IF(AH288="","",P288-W288)</f>
        <v/>
      </c>
      <c r="Y288" s="67"/>
      <c r="Z288" s="70" t="str">
        <f aca="false">IF(OR(AH288="",Y288=""),"",IF(ABS(X288-Y288)&lt;=1,"✓ Cuadra","⚠ Diferencia $"&amp;FIXED(X288-Y288,0)))</f>
        <v/>
      </c>
      <c r="AA288" s="72" t="str">
        <f aca="false">IF(AH288="","",IFERROR(INDEX(C_TIPO,MATCH(C288&amp;"-P"&amp;MAX(1,COUNTIFS(C_ID,C288,C_DEFINE,"Sí",C_INICIO,"&lt;="&amp;EOMONTH(B288,0))),C_CLAVE,0))&amp;"","Sin dato"))</f>
        <v/>
      </c>
      <c r="AB288" s="71" t="str">
        <f aca="false">IF(AH288="","",ROUND(MIN(K288,TOPE_AFP_UF*AJ288)*AK288,0))</f>
        <v/>
      </c>
      <c r="AC288" s="71" t="str">
        <f aca="false">IF(AH288="","",ROUND(MIN(K288,TOPE_AFC_UF*AJ288)*IF(AA288="Indefinido",AFC_EMP_INDEF,AFC_EMP_PF),0))</f>
        <v/>
      </c>
      <c r="AD288" s="71" t="str">
        <f aca="false">IF(AH288="","",ROUND(MIN(K288,TOPE_AFP_UF*AJ288)*(MUTUAL_BASICA+MUTUAL_ADIC+SANNA),0))</f>
        <v/>
      </c>
      <c r="AE288" s="71" t="str">
        <f aca="false">IF(AH288="","",P288-N(N288)+AB288+AC288+AD288)</f>
        <v/>
      </c>
      <c r="AF288" s="65"/>
      <c r="AG288" s="64"/>
      <c r="AH288" s="72" t="str">
        <f aca="false">IF(OR(B288="",C288=""),"",C288&amp;"|"&amp;(YEAR(B288)*100+MONTH(B288)))</f>
        <v/>
      </c>
      <c r="AI288" s="70" t="str">
        <f aca="false">IF(AH288="","",IF(COUNTIF(L_CLAVE,AH288)&gt;1,"⚠ Duplicado","OK"))</f>
        <v/>
      </c>
      <c r="AJ288" s="86" t="str">
        <f aca="false">IF(AH288="","",IF(SUMPRODUCT(MAX((IND_PER&lt;=B288)*(IND_UF&lt;&gt;"")*IND_PER))=0,UF_HOY,INDEX(IND_UF,MATCH(SUMPRODUCT(MAX((IND_PER&lt;=B288)*(IND_UF&lt;&gt;"")*IND_PER)),IND_PER,0))))</f>
        <v/>
      </c>
      <c r="AK288" s="87" t="str">
        <f aca="false">IF(AH288="","",IF(COUNTIF(TASA_DESDE,"&lt;="&amp;B288)=0,INDEX(TASA_EMP,1),INDEX(TASA_EMP,COUNTIF(TASA_DESDE,"&lt;="&amp;B288))))</f>
        <v/>
      </c>
    </row>
    <row r="289" customFormat="false" ht="15" hidden="false" customHeight="false" outlineLevel="0" collapsed="false">
      <c r="B289" s="78"/>
      <c r="C289" s="64"/>
      <c r="D289" s="72" t="str">
        <f aca="false">IF(C289="","",IFERROR(INDEX(T_NOMBRE,MATCH(C289,T_ID,0)),"⚠ ID no existe"))</f>
        <v/>
      </c>
      <c r="E289" s="69"/>
      <c r="F289" s="67"/>
      <c r="G289" s="67"/>
      <c r="H289" s="67"/>
      <c r="I289" s="67"/>
      <c r="J289" s="67"/>
      <c r="K289" s="85" t="str">
        <f aca="false">IF(AH289="","",N(F289)+N(G289)+N(H289)-N(I289)+N(J289))</f>
        <v/>
      </c>
      <c r="L289" s="67"/>
      <c r="M289" s="67"/>
      <c r="N289" s="67"/>
      <c r="O289" s="67"/>
      <c r="P289" s="85" t="str">
        <f aca="false">IF(AH289="","",K289+N(L289)+N(M289)+N(N289)+N(O289))</f>
        <v/>
      </c>
      <c r="Q289" s="67"/>
      <c r="R289" s="67"/>
      <c r="S289" s="67"/>
      <c r="T289" s="67"/>
      <c r="U289" s="67"/>
      <c r="V289" s="67"/>
      <c r="W289" s="85" t="str">
        <f aca="false">IF(AH289="","",N(Q289)+N(R289)+N(S289)+N(T289)+N(U289)+N(V289))</f>
        <v/>
      </c>
      <c r="X289" s="85" t="str">
        <f aca="false">IF(AH289="","",P289-W289)</f>
        <v/>
      </c>
      <c r="Y289" s="67"/>
      <c r="Z289" s="70" t="str">
        <f aca="false">IF(OR(AH289="",Y289=""),"",IF(ABS(X289-Y289)&lt;=1,"✓ Cuadra","⚠ Diferencia $"&amp;FIXED(X289-Y289,0)))</f>
        <v/>
      </c>
      <c r="AA289" s="72" t="str">
        <f aca="false">IF(AH289="","",IFERROR(INDEX(C_TIPO,MATCH(C289&amp;"-P"&amp;MAX(1,COUNTIFS(C_ID,C289,C_DEFINE,"Sí",C_INICIO,"&lt;="&amp;EOMONTH(B289,0))),C_CLAVE,0))&amp;"","Sin dato"))</f>
        <v/>
      </c>
      <c r="AB289" s="71" t="str">
        <f aca="false">IF(AH289="","",ROUND(MIN(K289,TOPE_AFP_UF*AJ289)*AK289,0))</f>
        <v/>
      </c>
      <c r="AC289" s="71" t="str">
        <f aca="false">IF(AH289="","",ROUND(MIN(K289,TOPE_AFC_UF*AJ289)*IF(AA289="Indefinido",AFC_EMP_INDEF,AFC_EMP_PF),0))</f>
        <v/>
      </c>
      <c r="AD289" s="71" t="str">
        <f aca="false">IF(AH289="","",ROUND(MIN(K289,TOPE_AFP_UF*AJ289)*(MUTUAL_BASICA+MUTUAL_ADIC+SANNA),0))</f>
        <v/>
      </c>
      <c r="AE289" s="71" t="str">
        <f aca="false">IF(AH289="","",P289-N(N289)+AB289+AC289+AD289)</f>
        <v/>
      </c>
      <c r="AF289" s="65"/>
      <c r="AG289" s="64"/>
      <c r="AH289" s="72" t="str">
        <f aca="false">IF(OR(B289="",C289=""),"",C289&amp;"|"&amp;(YEAR(B289)*100+MONTH(B289)))</f>
        <v/>
      </c>
      <c r="AI289" s="70" t="str">
        <f aca="false">IF(AH289="","",IF(COUNTIF(L_CLAVE,AH289)&gt;1,"⚠ Duplicado","OK"))</f>
        <v/>
      </c>
      <c r="AJ289" s="86" t="str">
        <f aca="false">IF(AH289="","",IF(SUMPRODUCT(MAX((IND_PER&lt;=B289)*(IND_UF&lt;&gt;"")*IND_PER))=0,UF_HOY,INDEX(IND_UF,MATCH(SUMPRODUCT(MAX((IND_PER&lt;=B289)*(IND_UF&lt;&gt;"")*IND_PER)),IND_PER,0))))</f>
        <v/>
      </c>
      <c r="AK289" s="87" t="str">
        <f aca="false">IF(AH289="","",IF(COUNTIF(TASA_DESDE,"&lt;="&amp;B289)=0,INDEX(TASA_EMP,1),INDEX(TASA_EMP,COUNTIF(TASA_DESDE,"&lt;="&amp;B289))))</f>
        <v/>
      </c>
    </row>
    <row r="290" customFormat="false" ht="15" hidden="false" customHeight="false" outlineLevel="0" collapsed="false">
      <c r="B290" s="78"/>
      <c r="C290" s="64"/>
      <c r="D290" s="72" t="str">
        <f aca="false">IF(C290="","",IFERROR(INDEX(T_NOMBRE,MATCH(C290,T_ID,0)),"⚠ ID no existe"))</f>
        <v/>
      </c>
      <c r="E290" s="69"/>
      <c r="F290" s="67"/>
      <c r="G290" s="67"/>
      <c r="H290" s="67"/>
      <c r="I290" s="67"/>
      <c r="J290" s="67"/>
      <c r="K290" s="85" t="str">
        <f aca="false">IF(AH290="","",N(F290)+N(G290)+N(H290)-N(I290)+N(J290))</f>
        <v/>
      </c>
      <c r="L290" s="67"/>
      <c r="M290" s="67"/>
      <c r="N290" s="67"/>
      <c r="O290" s="67"/>
      <c r="P290" s="85" t="str">
        <f aca="false">IF(AH290="","",K290+N(L290)+N(M290)+N(N290)+N(O290))</f>
        <v/>
      </c>
      <c r="Q290" s="67"/>
      <c r="R290" s="67"/>
      <c r="S290" s="67"/>
      <c r="T290" s="67"/>
      <c r="U290" s="67"/>
      <c r="V290" s="67"/>
      <c r="W290" s="85" t="str">
        <f aca="false">IF(AH290="","",N(Q290)+N(R290)+N(S290)+N(T290)+N(U290)+N(V290))</f>
        <v/>
      </c>
      <c r="X290" s="85" t="str">
        <f aca="false">IF(AH290="","",P290-W290)</f>
        <v/>
      </c>
      <c r="Y290" s="67"/>
      <c r="Z290" s="70" t="str">
        <f aca="false">IF(OR(AH290="",Y290=""),"",IF(ABS(X290-Y290)&lt;=1,"✓ Cuadra","⚠ Diferencia $"&amp;FIXED(X290-Y290,0)))</f>
        <v/>
      </c>
      <c r="AA290" s="72" t="str">
        <f aca="false">IF(AH290="","",IFERROR(INDEX(C_TIPO,MATCH(C290&amp;"-P"&amp;MAX(1,COUNTIFS(C_ID,C290,C_DEFINE,"Sí",C_INICIO,"&lt;="&amp;EOMONTH(B290,0))),C_CLAVE,0))&amp;"","Sin dato"))</f>
        <v/>
      </c>
      <c r="AB290" s="71" t="str">
        <f aca="false">IF(AH290="","",ROUND(MIN(K290,TOPE_AFP_UF*AJ290)*AK290,0))</f>
        <v/>
      </c>
      <c r="AC290" s="71" t="str">
        <f aca="false">IF(AH290="","",ROUND(MIN(K290,TOPE_AFC_UF*AJ290)*IF(AA290="Indefinido",AFC_EMP_INDEF,AFC_EMP_PF),0))</f>
        <v/>
      </c>
      <c r="AD290" s="71" t="str">
        <f aca="false">IF(AH290="","",ROUND(MIN(K290,TOPE_AFP_UF*AJ290)*(MUTUAL_BASICA+MUTUAL_ADIC+SANNA),0))</f>
        <v/>
      </c>
      <c r="AE290" s="71" t="str">
        <f aca="false">IF(AH290="","",P290-N(N290)+AB290+AC290+AD290)</f>
        <v/>
      </c>
      <c r="AF290" s="65"/>
      <c r="AG290" s="64"/>
      <c r="AH290" s="72" t="str">
        <f aca="false">IF(OR(B290="",C290=""),"",C290&amp;"|"&amp;(YEAR(B290)*100+MONTH(B290)))</f>
        <v/>
      </c>
      <c r="AI290" s="70" t="str">
        <f aca="false">IF(AH290="","",IF(COUNTIF(L_CLAVE,AH290)&gt;1,"⚠ Duplicado","OK"))</f>
        <v/>
      </c>
      <c r="AJ290" s="86" t="str">
        <f aca="false">IF(AH290="","",IF(SUMPRODUCT(MAX((IND_PER&lt;=B290)*(IND_UF&lt;&gt;"")*IND_PER))=0,UF_HOY,INDEX(IND_UF,MATCH(SUMPRODUCT(MAX((IND_PER&lt;=B290)*(IND_UF&lt;&gt;"")*IND_PER)),IND_PER,0))))</f>
        <v/>
      </c>
      <c r="AK290" s="87" t="str">
        <f aca="false">IF(AH290="","",IF(COUNTIF(TASA_DESDE,"&lt;="&amp;B290)=0,INDEX(TASA_EMP,1),INDEX(TASA_EMP,COUNTIF(TASA_DESDE,"&lt;="&amp;B290))))</f>
        <v/>
      </c>
    </row>
    <row r="291" customFormat="false" ht="15" hidden="false" customHeight="false" outlineLevel="0" collapsed="false">
      <c r="B291" s="78"/>
      <c r="C291" s="64"/>
      <c r="D291" s="72" t="str">
        <f aca="false">IF(C291="","",IFERROR(INDEX(T_NOMBRE,MATCH(C291,T_ID,0)),"⚠ ID no existe"))</f>
        <v/>
      </c>
      <c r="E291" s="69"/>
      <c r="F291" s="67"/>
      <c r="G291" s="67"/>
      <c r="H291" s="67"/>
      <c r="I291" s="67"/>
      <c r="J291" s="67"/>
      <c r="K291" s="85" t="str">
        <f aca="false">IF(AH291="","",N(F291)+N(G291)+N(H291)-N(I291)+N(J291))</f>
        <v/>
      </c>
      <c r="L291" s="67"/>
      <c r="M291" s="67"/>
      <c r="N291" s="67"/>
      <c r="O291" s="67"/>
      <c r="P291" s="85" t="str">
        <f aca="false">IF(AH291="","",K291+N(L291)+N(M291)+N(N291)+N(O291))</f>
        <v/>
      </c>
      <c r="Q291" s="67"/>
      <c r="R291" s="67"/>
      <c r="S291" s="67"/>
      <c r="T291" s="67"/>
      <c r="U291" s="67"/>
      <c r="V291" s="67"/>
      <c r="W291" s="85" t="str">
        <f aca="false">IF(AH291="","",N(Q291)+N(R291)+N(S291)+N(T291)+N(U291)+N(V291))</f>
        <v/>
      </c>
      <c r="X291" s="85" t="str">
        <f aca="false">IF(AH291="","",P291-W291)</f>
        <v/>
      </c>
      <c r="Y291" s="67"/>
      <c r="Z291" s="70" t="str">
        <f aca="false">IF(OR(AH291="",Y291=""),"",IF(ABS(X291-Y291)&lt;=1,"✓ Cuadra","⚠ Diferencia $"&amp;FIXED(X291-Y291,0)))</f>
        <v/>
      </c>
      <c r="AA291" s="72" t="str">
        <f aca="false">IF(AH291="","",IFERROR(INDEX(C_TIPO,MATCH(C291&amp;"-P"&amp;MAX(1,COUNTIFS(C_ID,C291,C_DEFINE,"Sí",C_INICIO,"&lt;="&amp;EOMONTH(B291,0))),C_CLAVE,0))&amp;"","Sin dato"))</f>
        <v/>
      </c>
      <c r="AB291" s="71" t="str">
        <f aca="false">IF(AH291="","",ROUND(MIN(K291,TOPE_AFP_UF*AJ291)*AK291,0))</f>
        <v/>
      </c>
      <c r="AC291" s="71" t="str">
        <f aca="false">IF(AH291="","",ROUND(MIN(K291,TOPE_AFC_UF*AJ291)*IF(AA291="Indefinido",AFC_EMP_INDEF,AFC_EMP_PF),0))</f>
        <v/>
      </c>
      <c r="AD291" s="71" t="str">
        <f aca="false">IF(AH291="","",ROUND(MIN(K291,TOPE_AFP_UF*AJ291)*(MUTUAL_BASICA+MUTUAL_ADIC+SANNA),0))</f>
        <v/>
      </c>
      <c r="AE291" s="71" t="str">
        <f aca="false">IF(AH291="","",P291-N(N291)+AB291+AC291+AD291)</f>
        <v/>
      </c>
      <c r="AF291" s="65"/>
      <c r="AG291" s="64"/>
      <c r="AH291" s="72" t="str">
        <f aca="false">IF(OR(B291="",C291=""),"",C291&amp;"|"&amp;(YEAR(B291)*100+MONTH(B291)))</f>
        <v/>
      </c>
      <c r="AI291" s="70" t="str">
        <f aca="false">IF(AH291="","",IF(COUNTIF(L_CLAVE,AH291)&gt;1,"⚠ Duplicado","OK"))</f>
        <v/>
      </c>
      <c r="AJ291" s="86" t="str">
        <f aca="false">IF(AH291="","",IF(SUMPRODUCT(MAX((IND_PER&lt;=B291)*(IND_UF&lt;&gt;"")*IND_PER))=0,UF_HOY,INDEX(IND_UF,MATCH(SUMPRODUCT(MAX((IND_PER&lt;=B291)*(IND_UF&lt;&gt;"")*IND_PER)),IND_PER,0))))</f>
        <v/>
      </c>
      <c r="AK291" s="87" t="str">
        <f aca="false">IF(AH291="","",IF(COUNTIF(TASA_DESDE,"&lt;="&amp;B291)=0,INDEX(TASA_EMP,1),INDEX(TASA_EMP,COUNTIF(TASA_DESDE,"&lt;="&amp;B291))))</f>
        <v/>
      </c>
    </row>
    <row r="292" customFormat="false" ht="15" hidden="false" customHeight="false" outlineLevel="0" collapsed="false">
      <c r="B292" s="78"/>
      <c r="C292" s="64"/>
      <c r="D292" s="72" t="str">
        <f aca="false">IF(C292="","",IFERROR(INDEX(T_NOMBRE,MATCH(C292,T_ID,0)),"⚠ ID no existe"))</f>
        <v/>
      </c>
      <c r="E292" s="69"/>
      <c r="F292" s="67"/>
      <c r="G292" s="67"/>
      <c r="H292" s="67"/>
      <c r="I292" s="67"/>
      <c r="J292" s="67"/>
      <c r="K292" s="85" t="str">
        <f aca="false">IF(AH292="","",N(F292)+N(G292)+N(H292)-N(I292)+N(J292))</f>
        <v/>
      </c>
      <c r="L292" s="67"/>
      <c r="M292" s="67"/>
      <c r="N292" s="67"/>
      <c r="O292" s="67"/>
      <c r="P292" s="85" t="str">
        <f aca="false">IF(AH292="","",K292+N(L292)+N(M292)+N(N292)+N(O292))</f>
        <v/>
      </c>
      <c r="Q292" s="67"/>
      <c r="R292" s="67"/>
      <c r="S292" s="67"/>
      <c r="T292" s="67"/>
      <c r="U292" s="67"/>
      <c r="V292" s="67"/>
      <c r="W292" s="85" t="str">
        <f aca="false">IF(AH292="","",N(Q292)+N(R292)+N(S292)+N(T292)+N(U292)+N(V292))</f>
        <v/>
      </c>
      <c r="X292" s="85" t="str">
        <f aca="false">IF(AH292="","",P292-W292)</f>
        <v/>
      </c>
      <c r="Y292" s="67"/>
      <c r="Z292" s="70" t="str">
        <f aca="false">IF(OR(AH292="",Y292=""),"",IF(ABS(X292-Y292)&lt;=1,"✓ Cuadra","⚠ Diferencia $"&amp;FIXED(X292-Y292,0)))</f>
        <v/>
      </c>
      <c r="AA292" s="72" t="str">
        <f aca="false">IF(AH292="","",IFERROR(INDEX(C_TIPO,MATCH(C292&amp;"-P"&amp;MAX(1,COUNTIFS(C_ID,C292,C_DEFINE,"Sí",C_INICIO,"&lt;="&amp;EOMONTH(B292,0))),C_CLAVE,0))&amp;"","Sin dato"))</f>
        <v/>
      </c>
      <c r="AB292" s="71" t="str">
        <f aca="false">IF(AH292="","",ROUND(MIN(K292,TOPE_AFP_UF*AJ292)*AK292,0))</f>
        <v/>
      </c>
      <c r="AC292" s="71" t="str">
        <f aca="false">IF(AH292="","",ROUND(MIN(K292,TOPE_AFC_UF*AJ292)*IF(AA292="Indefinido",AFC_EMP_INDEF,AFC_EMP_PF),0))</f>
        <v/>
      </c>
      <c r="AD292" s="71" t="str">
        <f aca="false">IF(AH292="","",ROUND(MIN(K292,TOPE_AFP_UF*AJ292)*(MUTUAL_BASICA+MUTUAL_ADIC+SANNA),0))</f>
        <v/>
      </c>
      <c r="AE292" s="71" t="str">
        <f aca="false">IF(AH292="","",P292-N(N292)+AB292+AC292+AD292)</f>
        <v/>
      </c>
      <c r="AF292" s="65"/>
      <c r="AG292" s="64"/>
      <c r="AH292" s="72" t="str">
        <f aca="false">IF(OR(B292="",C292=""),"",C292&amp;"|"&amp;(YEAR(B292)*100+MONTH(B292)))</f>
        <v/>
      </c>
      <c r="AI292" s="70" t="str">
        <f aca="false">IF(AH292="","",IF(COUNTIF(L_CLAVE,AH292)&gt;1,"⚠ Duplicado","OK"))</f>
        <v/>
      </c>
      <c r="AJ292" s="86" t="str">
        <f aca="false">IF(AH292="","",IF(SUMPRODUCT(MAX((IND_PER&lt;=B292)*(IND_UF&lt;&gt;"")*IND_PER))=0,UF_HOY,INDEX(IND_UF,MATCH(SUMPRODUCT(MAX((IND_PER&lt;=B292)*(IND_UF&lt;&gt;"")*IND_PER)),IND_PER,0))))</f>
        <v/>
      </c>
      <c r="AK292" s="87" t="str">
        <f aca="false">IF(AH292="","",IF(COUNTIF(TASA_DESDE,"&lt;="&amp;B292)=0,INDEX(TASA_EMP,1),INDEX(TASA_EMP,COUNTIF(TASA_DESDE,"&lt;="&amp;B292))))</f>
        <v/>
      </c>
    </row>
    <row r="293" customFormat="false" ht="15" hidden="false" customHeight="false" outlineLevel="0" collapsed="false">
      <c r="B293" s="78"/>
      <c r="C293" s="64"/>
      <c r="D293" s="72" t="str">
        <f aca="false">IF(C293="","",IFERROR(INDEX(T_NOMBRE,MATCH(C293,T_ID,0)),"⚠ ID no existe"))</f>
        <v/>
      </c>
      <c r="E293" s="69"/>
      <c r="F293" s="67"/>
      <c r="G293" s="67"/>
      <c r="H293" s="67"/>
      <c r="I293" s="67"/>
      <c r="J293" s="67"/>
      <c r="K293" s="85" t="str">
        <f aca="false">IF(AH293="","",N(F293)+N(G293)+N(H293)-N(I293)+N(J293))</f>
        <v/>
      </c>
      <c r="L293" s="67"/>
      <c r="M293" s="67"/>
      <c r="N293" s="67"/>
      <c r="O293" s="67"/>
      <c r="P293" s="85" t="str">
        <f aca="false">IF(AH293="","",K293+N(L293)+N(M293)+N(N293)+N(O293))</f>
        <v/>
      </c>
      <c r="Q293" s="67"/>
      <c r="R293" s="67"/>
      <c r="S293" s="67"/>
      <c r="T293" s="67"/>
      <c r="U293" s="67"/>
      <c r="V293" s="67"/>
      <c r="W293" s="85" t="str">
        <f aca="false">IF(AH293="","",N(Q293)+N(R293)+N(S293)+N(T293)+N(U293)+N(V293))</f>
        <v/>
      </c>
      <c r="X293" s="85" t="str">
        <f aca="false">IF(AH293="","",P293-W293)</f>
        <v/>
      </c>
      <c r="Y293" s="67"/>
      <c r="Z293" s="70" t="str">
        <f aca="false">IF(OR(AH293="",Y293=""),"",IF(ABS(X293-Y293)&lt;=1,"✓ Cuadra","⚠ Diferencia $"&amp;FIXED(X293-Y293,0)))</f>
        <v/>
      </c>
      <c r="AA293" s="72" t="str">
        <f aca="false">IF(AH293="","",IFERROR(INDEX(C_TIPO,MATCH(C293&amp;"-P"&amp;MAX(1,COUNTIFS(C_ID,C293,C_DEFINE,"Sí",C_INICIO,"&lt;="&amp;EOMONTH(B293,0))),C_CLAVE,0))&amp;"","Sin dato"))</f>
        <v/>
      </c>
      <c r="AB293" s="71" t="str">
        <f aca="false">IF(AH293="","",ROUND(MIN(K293,TOPE_AFP_UF*AJ293)*AK293,0))</f>
        <v/>
      </c>
      <c r="AC293" s="71" t="str">
        <f aca="false">IF(AH293="","",ROUND(MIN(K293,TOPE_AFC_UF*AJ293)*IF(AA293="Indefinido",AFC_EMP_INDEF,AFC_EMP_PF),0))</f>
        <v/>
      </c>
      <c r="AD293" s="71" t="str">
        <f aca="false">IF(AH293="","",ROUND(MIN(K293,TOPE_AFP_UF*AJ293)*(MUTUAL_BASICA+MUTUAL_ADIC+SANNA),0))</f>
        <v/>
      </c>
      <c r="AE293" s="71" t="str">
        <f aca="false">IF(AH293="","",P293-N(N293)+AB293+AC293+AD293)</f>
        <v/>
      </c>
      <c r="AF293" s="65"/>
      <c r="AG293" s="64"/>
      <c r="AH293" s="72" t="str">
        <f aca="false">IF(OR(B293="",C293=""),"",C293&amp;"|"&amp;(YEAR(B293)*100+MONTH(B293)))</f>
        <v/>
      </c>
      <c r="AI293" s="70" t="str">
        <f aca="false">IF(AH293="","",IF(COUNTIF(L_CLAVE,AH293)&gt;1,"⚠ Duplicado","OK"))</f>
        <v/>
      </c>
      <c r="AJ293" s="86" t="str">
        <f aca="false">IF(AH293="","",IF(SUMPRODUCT(MAX((IND_PER&lt;=B293)*(IND_UF&lt;&gt;"")*IND_PER))=0,UF_HOY,INDEX(IND_UF,MATCH(SUMPRODUCT(MAX((IND_PER&lt;=B293)*(IND_UF&lt;&gt;"")*IND_PER)),IND_PER,0))))</f>
        <v/>
      </c>
      <c r="AK293" s="87" t="str">
        <f aca="false">IF(AH293="","",IF(COUNTIF(TASA_DESDE,"&lt;="&amp;B293)=0,INDEX(TASA_EMP,1),INDEX(TASA_EMP,COUNTIF(TASA_DESDE,"&lt;="&amp;B293))))</f>
        <v/>
      </c>
    </row>
    <row r="294" customFormat="false" ht="15" hidden="false" customHeight="false" outlineLevel="0" collapsed="false">
      <c r="B294" s="78"/>
      <c r="C294" s="64"/>
      <c r="D294" s="72" t="str">
        <f aca="false">IF(C294="","",IFERROR(INDEX(T_NOMBRE,MATCH(C294,T_ID,0)),"⚠ ID no existe"))</f>
        <v/>
      </c>
      <c r="E294" s="69"/>
      <c r="F294" s="67"/>
      <c r="G294" s="67"/>
      <c r="H294" s="67"/>
      <c r="I294" s="67"/>
      <c r="J294" s="67"/>
      <c r="K294" s="85" t="str">
        <f aca="false">IF(AH294="","",N(F294)+N(G294)+N(H294)-N(I294)+N(J294))</f>
        <v/>
      </c>
      <c r="L294" s="67"/>
      <c r="M294" s="67"/>
      <c r="N294" s="67"/>
      <c r="O294" s="67"/>
      <c r="P294" s="85" t="str">
        <f aca="false">IF(AH294="","",K294+N(L294)+N(M294)+N(N294)+N(O294))</f>
        <v/>
      </c>
      <c r="Q294" s="67"/>
      <c r="R294" s="67"/>
      <c r="S294" s="67"/>
      <c r="T294" s="67"/>
      <c r="U294" s="67"/>
      <c r="V294" s="67"/>
      <c r="W294" s="85" t="str">
        <f aca="false">IF(AH294="","",N(Q294)+N(R294)+N(S294)+N(T294)+N(U294)+N(V294))</f>
        <v/>
      </c>
      <c r="X294" s="85" t="str">
        <f aca="false">IF(AH294="","",P294-W294)</f>
        <v/>
      </c>
      <c r="Y294" s="67"/>
      <c r="Z294" s="70" t="str">
        <f aca="false">IF(OR(AH294="",Y294=""),"",IF(ABS(X294-Y294)&lt;=1,"✓ Cuadra","⚠ Diferencia $"&amp;FIXED(X294-Y294,0)))</f>
        <v/>
      </c>
      <c r="AA294" s="72" t="str">
        <f aca="false">IF(AH294="","",IFERROR(INDEX(C_TIPO,MATCH(C294&amp;"-P"&amp;MAX(1,COUNTIFS(C_ID,C294,C_DEFINE,"Sí",C_INICIO,"&lt;="&amp;EOMONTH(B294,0))),C_CLAVE,0))&amp;"","Sin dato"))</f>
        <v/>
      </c>
      <c r="AB294" s="71" t="str">
        <f aca="false">IF(AH294="","",ROUND(MIN(K294,TOPE_AFP_UF*AJ294)*AK294,0))</f>
        <v/>
      </c>
      <c r="AC294" s="71" t="str">
        <f aca="false">IF(AH294="","",ROUND(MIN(K294,TOPE_AFC_UF*AJ294)*IF(AA294="Indefinido",AFC_EMP_INDEF,AFC_EMP_PF),0))</f>
        <v/>
      </c>
      <c r="AD294" s="71" t="str">
        <f aca="false">IF(AH294="","",ROUND(MIN(K294,TOPE_AFP_UF*AJ294)*(MUTUAL_BASICA+MUTUAL_ADIC+SANNA),0))</f>
        <v/>
      </c>
      <c r="AE294" s="71" t="str">
        <f aca="false">IF(AH294="","",P294-N(N294)+AB294+AC294+AD294)</f>
        <v/>
      </c>
      <c r="AF294" s="65"/>
      <c r="AG294" s="64"/>
      <c r="AH294" s="72" t="str">
        <f aca="false">IF(OR(B294="",C294=""),"",C294&amp;"|"&amp;(YEAR(B294)*100+MONTH(B294)))</f>
        <v/>
      </c>
      <c r="AI294" s="70" t="str">
        <f aca="false">IF(AH294="","",IF(COUNTIF(L_CLAVE,AH294)&gt;1,"⚠ Duplicado","OK"))</f>
        <v/>
      </c>
      <c r="AJ294" s="86" t="str">
        <f aca="false">IF(AH294="","",IF(SUMPRODUCT(MAX((IND_PER&lt;=B294)*(IND_UF&lt;&gt;"")*IND_PER))=0,UF_HOY,INDEX(IND_UF,MATCH(SUMPRODUCT(MAX((IND_PER&lt;=B294)*(IND_UF&lt;&gt;"")*IND_PER)),IND_PER,0))))</f>
        <v/>
      </c>
      <c r="AK294" s="87" t="str">
        <f aca="false">IF(AH294="","",IF(COUNTIF(TASA_DESDE,"&lt;="&amp;B294)=0,INDEX(TASA_EMP,1),INDEX(TASA_EMP,COUNTIF(TASA_DESDE,"&lt;="&amp;B294))))</f>
        <v/>
      </c>
    </row>
    <row r="295" customFormat="false" ht="15" hidden="false" customHeight="false" outlineLevel="0" collapsed="false">
      <c r="B295" s="78"/>
      <c r="C295" s="64"/>
      <c r="D295" s="72" t="str">
        <f aca="false">IF(C295="","",IFERROR(INDEX(T_NOMBRE,MATCH(C295,T_ID,0)),"⚠ ID no existe"))</f>
        <v/>
      </c>
      <c r="E295" s="69"/>
      <c r="F295" s="67"/>
      <c r="G295" s="67"/>
      <c r="H295" s="67"/>
      <c r="I295" s="67"/>
      <c r="J295" s="67"/>
      <c r="K295" s="85" t="str">
        <f aca="false">IF(AH295="","",N(F295)+N(G295)+N(H295)-N(I295)+N(J295))</f>
        <v/>
      </c>
      <c r="L295" s="67"/>
      <c r="M295" s="67"/>
      <c r="N295" s="67"/>
      <c r="O295" s="67"/>
      <c r="P295" s="85" t="str">
        <f aca="false">IF(AH295="","",K295+N(L295)+N(M295)+N(N295)+N(O295))</f>
        <v/>
      </c>
      <c r="Q295" s="67"/>
      <c r="R295" s="67"/>
      <c r="S295" s="67"/>
      <c r="T295" s="67"/>
      <c r="U295" s="67"/>
      <c r="V295" s="67"/>
      <c r="W295" s="85" t="str">
        <f aca="false">IF(AH295="","",N(Q295)+N(R295)+N(S295)+N(T295)+N(U295)+N(V295))</f>
        <v/>
      </c>
      <c r="X295" s="85" t="str">
        <f aca="false">IF(AH295="","",P295-W295)</f>
        <v/>
      </c>
      <c r="Y295" s="67"/>
      <c r="Z295" s="70" t="str">
        <f aca="false">IF(OR(AH295="",Y295=""),"",IF(ABS(X295-Y295)&lt;=1,"✓ Cuadra","⚠ Diferencia $"&amp;FIXED(X295-Y295,0)))</f>
        <v/>
      </c>
      <c r="AA295" s="72" t="str">
        <f aca="false">IF(AH295="","",IFERROR(INDEX(C_TIPO,MATCH(C295&amp;"-P"&amp;MAX(1,COUNTIFS(C_ID,C295,C_DEFINE,"Sí",C_INICIO,"&lt;="&amp;EOMONTH(B295,0))),C_CLAVE,0))&amp;"","Sin dato"))</f>
        <v/>
      </c>
      <c r="AB295" s="71" t="str">
        <f aca="false">IF(AH295="","",ROUND(MIN(K295,TOPE_AFP_UF*AJ295)*AK295,0))</f>
        <v/>
      </c>
      <c r="AC295" s="71" t="str">
        <f aca="false">IF(AH295="","",ROUND(MIN(K295,TOPE_AFC_UF*AJ295)*IF(AA295="Indefinido",AFC_EMP_INDEF,AFC_EMP_PF),0))</f>
        <v/>
      </c>
      <c r="AD295" s="71" t="str">
        <f aca="false">IF(AH295="","",ROUND(MIN(K295,TOPE_AFP_UF*AJ295)*(MUTUAL_BASICA+MUTUAL_ADIC+SANNA),0))</f>
        <v/>
      </c>
      <c r="AE295" s="71" t="str">
        <f aca="false">IF(AH295="","",P295-N(N295)+AB295+AC295+AD295)</f>
        <v/>
      </c>
      <c r="AF295" s="65"/>
      <c r="AG295" s="64"/>
      <c r="AH295" s="72" t="str">
        <f aca="false">IF(OR(B295="",C295=""),"",C295&amp;"|"&amp;(YEAR(B295)*100+MONTH(B295)))</f>
        <v/>
      </c>
      <c r="AI295" s="70" t="str">
        <f aca="false">IF(AH295="","",IF(COUNTIF(L_CLAVE,AH295)&gt;1,"⚠ Duplicado","OK"))</f>
        <v/>
      </c>
      <c r="AJ295" s="86" t="str">
        <f aca="false">IF(AH295="","",IF(SUMPRODUCT(MAX((IND_PER&lt;=B295)*(IND_UF&lt;&gt;"")*IND_PER))=0,UF_HOY,INDEX(IND_UF,MATCH(SUMPRODUCT(MAX((IND_PER&lt;=B295)*(IND_UF&lt;&gt;"")*IND_PER)),IND_PER,0))))</f>
        <v/>
      </c>
      <c r="AK295" s="87" t="str">
        <f aca="false">IF(AH295="","",IF(COUNTIF(TASA_DESDE,"&lt;="&amp;B295)=0,INDEX(TASA_EMP,1),INDEX(TASA_EMP,COUNTIF(TASA_DESDE,"&lt;="&amp;B295))))</f>
        <v/>
      </c>
    </row>
    <row r="296" customFormat="false" ht="15" hidden="false" customHeight="false" outlineLevel="0" collapsed="false">
      <c r="B296" s="78"/>
      <c r="C296" s="64"/>
      <c r="D296" s="72" t="str">
        <f aca="false">IF(C296="","",IFERROR(INDEX(T_NOMBRE,MATCH(C296,T_ID,0)),"⚠ ID no existe"))</f>
        <v/>
      </c>
      <c r="E296" s="69"/>
      <c r="F296" s="67"/>
      <c r="G296" s="67"/>
      <c r="H296" s="67"/>
      <c r="I296" s="67"/>
      <c r="J296" s="67"/>
      <c r="K296" s="85" t="str">
        <f aca="false">IF(AH296="","",N(F296)+N(G296)+N(H296)-N(I296)+N(J296))</f>
        <v/>
      </c>
      <c r="L296" s="67"/>
      <c r="M296" s="67"/>
      <c r="N296" s="67"/>
      <c r="O296" s="67"/>
      <c r="P296" s="85" t="str">
        <f aca="false">IF(AH296="","",K296+N(L296)+N(M296)+N(N296)+N(O296))</f>
        <v/>
      </c>
      <c r="Q296" s="67"/>
      <c r="R296" s="67"/>
      <c r="S296" s="67"/>
      <c r="T296" s="67"/>
      <c r="U296" s="67"/>
      <c r="V296" s="67"/>
      <c r="W296" s="85" t="str">
        <f aca="false">IF(AH296="","",N(Q296)+N(R296)+N(S296)+N(T296)+N(U296)+N(V296))</f>
        <v/>
      </c>
      <c r="X296" s="85" t="str">
        <f aca="false">IF(AH296="","",P296-W296)</f>
        <v/>
      </c>
      <c r="Y296" s="67"/>
      <c r="Z296" s="70" t="str">
        <f aca="false">IF(OR(AH296="",Y296=""),"",IF(ABS(X296-Y296)&lt;=1,"✓ Cuadra","⚠ Diferencia $"&amp;FIXED(X296-Y296,0)))</f>
        <v/>
      </c>
      <c r="AA296" s="72" t="str">
        <f aca="false">IF(AH296="","",IFERROR(INDEX(C_TIPO,MATCH(C296&amp;"-P"&amp;MAX(1,COUNTIFS(C_ID,C296,C_DEFINE,"Sí",C_INICIO,"&lt;="&amp;EOMONTH(B296,0))),C_CLAVE,0))&amp;"","Sin dato"))</f>
        <v/>
      </c>
      <c r="AB296" s="71" t="str">
        <f aca="false">IF(AH296="","",ROUND(MIN(K296,TOPE_AFP_UF*AJ296)*AK296,0))</f>
        <v/>
      </c>
      <c r="AC296" s="71" t="str">
        <f aca="false">IF(AH296="","",ROUND(MIN(K296,TOPE_AFC_UF*AJ296)*IF(AA296="Indefinido",AFC_EMP_INDEF,AFC_EMP_PF),0))</f>
        <v/>
      </c>
      <c r="AD296" s="71" t="str">
        <f aca="false">IF(AH296="","",ROUND(MIN(K296,TOPE_AFP_UF*AJ296)*(MUTUAL_BASICA+MUTUAL_ADIC+SANNA),0))</f>
        <v/>
      </c>
      <c r="AE296" s="71" t="str">
        <f aca="false">IF(AH296="","",P296-N(N296)+AB296+AC296+AD296)</f>
        <v/>
      </c>
      <c r="AF296" s="65"/>
      <c r="AG296" s="64"/>
      <c r="AH296" s="72" t="str">
        <f aca="false">IF(OR(B296="",C296=""),"",C296&amp;"|"&amp;(YEAR(B296)*100+MONTH(B296)))</f>
        <v/>
      </c>
      <c r="AI296" s="70" t="str">
        <f aca="false">IF(AH296="","",IF(COUNTIF(L_CLAVE,AH296)&gt;1,"⚠ Duplicado","OK"))</f>
        <v/>
      </c>
      <c r="AJ296" s="86" t="str">
        <f aca="false">IF(AH296="","",IF(SUMPRODUCT(MAX((IND_PER&lt;=B296)*(IND_UF&lt;&gt;"")*IND_PER))=0,UF_HOY,INDEX(IND_UF,MATCH(SUMPRODUCT(MAX((IND_PER&lt;=B296)*(IND_UF&lt;&gt;"")*IND_PER)),IND_PER,0))))</f>
        <v/>
      </c>
      <c r="AK296" s="87" t="str">
        <f aca="false">IF(AH296="","",IF(COUNTIF(TASA_DESDE,"&lt;="&amp;B296)=0,INDEX(TASA_EMP,1),INDEX(TASA_EMP,COUNTIF(TASA_DESDE,"&lt;="&amp;B296))))</f>
        <v/>
      </c>
    </row>
    <row r="297" customFormat="false" ht="15" hidden="false" customHeight="false" outlineLevel="0" collapsed="false">
      <c r="B297" s="78"/>
      <c r="C297" s="64"/>
      <c r="D297" s="72" t="str">
        <f aca="false">IF(C297="","",IFERROR(INDEX(T_NOMBRE,MATCH(C297,T_ID,0)),"⚠ ID no existe"))</f>
        <v/>
      </c>
      <c r="E297" s="69"/>
      <c r="F297" s="67"/>
      <c r="G297" s="67"/>
      <c r="H297" s="67"/>
      <c r="I297" s="67"/>
      <c r="J297" s="67"/>
      <c r="K297" s="85" t="str">
        <f aca="false">IF(AH297="","",N(F297)+N(G297)+N(H297)-N(I297)+N(J297))</f>
        <v/>
      </c>
      <c r="L297" s="67"/>
      <c r="M297" s="67"/>
      <c r="N297" s="67"/>
      <c r="O297" s="67"/>
      <c r="P297" s="85" t="str">
        <f aca="false">IF(AH297="","",K297+N(L297)+N(M297)+N(N297)+N(O297))</f>
        <v/>
      </c>
      <c r="Q297" s="67"/>
      <c r="R297" s="67"/>
      <c r="S297" s="67"/>
      <c r="T297" s="67"/>
      <c r="U297" s="67"/>
      <c r="V297" s="67"/>
      <c r="W297" s="85" t="str">
        <f aca="false">IF(AH297="","",N(Q297)+N(R297)+N(S297)+N(T297)+N(U297)+N(V297))</f>
        <v/>
      </c>
      <c r="X297" s="85" t="str">
        <f aca="false">IF(AH297="","",P297-W297)</f>
        <v/>
      </c>
      <c r="Y297" s="67"/>
      <c r="Z297" s="70" t="str">
        <f aca="false">IF(OR(AH297="",Y297=""),"",IF(ABS(X297-Y297)&lt;=1,"✓ Cuadra","⚠ Diferencia $"&amp;FIXED(X297-Y297,0)))</f>
        <v/>
      </c>
      <c r="AA297" s="72" t="str">
        <f aca="false">IF(AH297="","",IFERROR(INDEX(C_TIPO,MATCH(C297&amp;"-P"&amp;MAX(1,COUNTIFS(C_ID,C297,C_DEFINE,"Sí",C_INICIO,"&lt;="&amp;EOMONTH(B297,0))),C_CLAVE,0))&amp;"","Sin dato"))</f>
        <v/>
      </c>
      <c r="AB297" s="71" t="str">
        <f aca="false">IF(AH297="","",ROUND(MIN(K297,TOPE_AFP_UF*AJ297)*AK297,0))</f>
        <v/>
      </c>
      <c r="AC297" s="71" t="str">
        <f aca="false">IF(AH297="","",ROUND(MIN(K297,TOPE_AFC_UF*AJ297)*IF(AA297="Indefinido",AFC_EMP_INDEF,AFC_EMP_PF),0))</f>
        <v/>
      </c>
      <c r="AD297" s="71" t="str">
        <f aca="false">IF(AH297="","",ROUND(MIN(K297,TOPE_AFP_UF*AJ297)*(MUTUAL_BASICA+MUTUAL_ADIC+SANNA),0))</f>
        <v/>
      </c>
      <c r="AE297" s="71" t="str">
        <f aca="false">IF(AH297="","",P297-N(N297)+AB297+AC297+AD297)</f>
        <v/>
      </c>
      <c r="AF297" s="65"/>
      <c r="AG297" s="64"/>
      <c r="AH297" s="72" t="str">
        <f aca="false">IF(OR(B297="",C297=""),"",C297&amp;"|"&amp;(YEAR(B297)*100+MONTH(B297)))</f>
        <v/>
      </c>
      <c r="AI297" s="70" t="str">
        <f aca="false">IF(AH297="","",IF(COUNTIF(L_CLAVE,AH297)&gt;1,"⚠ Duplicado","OK"))</f>
        <v/>
      </c>
      <c r="AJ297" s="86" t="str">
        <f aca="false">IF(AH297="","",IF(SUMPRODUCT(MAX((IND_PER&lt;=B297)*(IND_UF&lt;&gt;"")*IND_PER))=0,UF_HOY,INDEX(IND_UF,MATCH(SUMPRODUCT(MAX((IND_PER&lt;=B297)*(IND_UF&lt;&gt;"")*IND_PER)),IND_PER,0))))</f>
        <v/>
      </c>
      <c r="AK297" s="87" t="str">
        <f aca="false">IF(AH297="","",IF(COUNTIF(TASA_DESDE,"&lt;="&amp;B297)=0,INDEX(TASA_EMP,1),INDEX(TASA_EMP,COUNTIF(TASA_DESDE,"&lt;="&amp;B297))))</f>
        <v/>
      </c>
    </row>
    <row r="298" customFormat="false" ht="15" hidden="false" customHeight="false" outlineLevel="0" collapsed="false">
      <c r="B298" s="78"/>
      <c r="C298" s="64"/>
      <c r="D298" s="72" t="str">
        <f aca="false">IF(C298="","",IFERROR(INDEX(T_NOMBRE,MATCH(C298,T_ID,0)),"⚠ ID no existe"))</f>
        <v/>
      </c>
      <c r="E298" s="69"/>
      <c r="F298" s="67"/>
      <c r="G298" s="67"/>
      <c r="H298" s="67"/>
      <c r="I298" s="67"/>
      <c r="J298" s="67"/>
      <c r="K298" s="85" t="str">
        <f aca="false">IF(AH298="","",N(F298)+N(G298)+N(H298)-N(I298)+N(J298))</f>
        <v/>
      </c>
      <c r="L298" s="67"/>
      <c r="M298" s="67"/>
      <c r="N298" s="67"/>
      <c r="O298" s="67"/>
      <c r="P298" s="85" t="str">
        <f aca="false">IF(AH298="","",K298+N(L298)+N(M298)+N(N298)+N(O298))</f>
        <v/>
      </c>
      <c r="Q298" s="67"/>
      <c r="R298" s="67"/>
      <c r="S298" s="67"/>
      <c r="T298" s="67"/>
      <c r="U298" s="67"/>
      <c r="V298" s="67"/>
      <c r="W298" s="85" t="str">
        <f aca="false">IF(AH298="","",N(Q298)+N(R298)+N(S298)+N(T298)+N(U298)+N(V298))</f>
        <v/>
      </c>
      <c r="X298" s="85" t="str">
        <f aca="false">IF(AH298="","",P298-W298)</f>
        <v/>
      </c>
      <c r="Y298" s="67"/>
      <c r="Z298" s="70" t="str">
        <f aca="false">IF(OR(AH298="",Y298=""),"",IF(ABS(X298-Y298)&lt;=1,"✓ Cuadra","⚠ Diferencia $"&amp;FIXED(X298-Y298,0)))</f>
        <v/>
      </c>
      <c r="AA298" s="72" t="str">
        <f aca="false">IF(AH298="","",IFERROR(INDEX(C_TIPO,MATCH(C298&amp;"-P"&amp;MAX(1,COUNTIFS(C_ID,C298,C_DEFINE,"Sí",C_INICIO,"&lt;="&amp;EOMONTH(B298,0))),C_CLAVE,0))&amp;"","Sin dato"))</f>
        <v/>
      </c>
      <c r="AB298" s="71" t="str">
        <f aca="false">IF(AH298="","",ROUND(MIN(K298,TOPE_AFP_UF*AJ298)*AK298,0))</f>
        <v/>
      </c>
      <c r="AC298" s="71" t="str">
        <f aca="false">IF(AH298="","",ROUND(MIN(K298,TOPE_AFC_UF*AJ298)*IF(AA298="Indefinido",AFC_EMP_INDEF,AFC_EMP_PF),0))</f>
        <v/>
      </c>
      <c r="AD298" s="71" t="str">
        <f aca="false">IF(AH298="","",ROUND(MIN(K298,TOPE_AFP_UF*AJ298)*(MUTUAL_BASICA+MUTUAL_ADIC+SANNA),0))</f>
        <v/>
      </c>
      <c r="AE298" s="71" t="str">
        <f aca="false">IF(AH298="","",P298-N(N298)+AB298+AC298+AD298)</f>
        <v/>
      </c>
      <c r="AF298" s="65"/>
      <c r="AG298" s="64"/>
      <c r="AH298" s="72" t="str">
        <f aca="false">IF(OR(B298="",C298=""),"",C298&amp;"|"&amp;(YEAR(B298)*100+MONTH(B298)))</f>
        <v/>
      </c>
      <c r="AI298" s="70" t="str">
        <f aca="false">IF(AH298="","",IF(COUNTIF(L_CLAVE,AH298)&gt;1,"⚠ Duplicado","OK"))</f>
        <v/>
      </c>
      <c r="AJ298" s="86" t="str">
        <f aca="false">IF(AH298="","",IF(SUMPRODUCT(MAX((IND_PER&lt;=B298)*(IND_UF&lt;&gt;"")*IND_PER))=0,UF_HOY,INDEX(IND_UF,MATCH(SUMPRODUCT(MAX((IND_PER&lt;=B298)*(IND_UF&lt;&gt;"")*IND_PER)),IND_PER,0))))</f>
        <v/>
      </c>
      <c r="AK298" s="87" t="str">
        <f aca="false">IF(AH298="","",IF(COUNTIF(TASA_DESDE,"&lt;="&amp;B298)=0,INDEX(TASA_EMP,1),INDEX(TASA_EMP,COUNTIF(TASA_DESDE,"&lt;="&amp;B298))))</f>
        <v/>
      </c>
    </row>
    <row r="299" customFormat="false" ht="15" hidden="false" customHeight="false" outlineLevel="0" collapsed="false">
      <c r="B299" s="78"/>
      <c r="C299" s="64"/>
      <c r="D299" s="72" t="str">
        <f aca="false">IF(C299="","",IFERROR(INDEX(T_NOMBRE,MATCH(C299,T_ID,0)),"⚠ ID no existe"))</f>
        <v/>
      </c>
      <c r="E299" s="69"/>
      <c r="F299" s="67"/>
      <c r="G299" s="67"/>
      <c r="H299" s="67"/>
      <c r="I299" s="67"/>
      <c r="J299" s="67"/>
      <c r="K299" s="85" t="str">
        <f aca="false">IF(AH299="","",N(F299)+N(G299)+N(H299)-N(I299)+N(J299))</f>
        <v/>
      </c>
      <c r="L299" s="67"/>
      <c r="M299" s="67"/>
      <c r="N299" s="67"/>
      <c r="O299" s="67"/>
      <c r="P299" s="85" t="str">
        <f aca="false">IF(AH299="","",K299+N(L299)+N(M299)+N(N299)+N(O299))</f>
        <v/>
      </c>
      <c r="Q299" s="67"/>
      <c r="R299" s="67"/>
      <c r="S299" s="67"/>
      <c r="T299" s="67"/>
      <c r="U299" s="67"/>
      <c r="V299" s="67"/>
      <c r="W299" s="85" t="str">
        <f aca="false">IF(AH299="","",N(Q299)+N(R299)+N(S299)+N(T299)+N(U299)+N(V299))</f>
        <v/>
      </c>
      <c r="X299" s="85" t="str">
        <f aca="false">IF(AH299="","",P299-W299)</f>
        <v/>
      </c>
      <c r="Y299" s="67"/>
      <c r="Z299" s="70" t="str">
        <f aca="false">IF(OR(AH299="",Y299=""),"",IF(ABS(X299-Y299)&lt;=1,"✓ Cuadra","⚠ Diferencia $"&amp;FIXED(X299-Y299,0)))</f>
        <v/>
      </c>
      <c r="AA299" s="72" t="str">
        <f aca="false">IF(AH299="","",IFERROR(INDEX(C_TIPO,MATCH(C299&amp;"-P"&amp;MAX(1,COUNTIFS(C_ID,C299,C_DEFINE,"Sí",C_INICIO,"&lt;="&amp;EOMONTH(B299,0))),C_CLAVE,0))&amp;"","Sin dato"))</f>
        <v/>
      </c>
      <c r="AB299" s="71" t="str">
        <f aca="false">IF(AH299="","",ROUND(MIN(K299,TOPE_AFP_UF*AJ299)*AK299,0))</f>
        <v/>
      </c>
      <c r="AC299" s="71" t="str">
        <f aca="false">IF(AH299="","",ROUND(MIN(K299,TOPE_AFC_UF*AJ299)*IF(AA299="Indefinido",AFC_EMP_INDEF,AFC_EMP_PF),0))</f>
        <v/>
      </c>
      <c r="AD299" s="71" t="str">
        <f aca="false">IF(AH299="","",ROUND(MIN(K299,TOPE_AFP_UF*AJ299)*(MUTUAL_BASICA+MUTUAL_ADIC+SANNA),0))</f>
        <v/>
      </c>
      <c r="AE299" s="71" t="str">
        <f aca="false">IF(AH299="","",P299-N(N299)+AB299+AC299+AD299)</f>
        <v/>
      </c>
      <c r="AF299" s="65"/>
      <c r="AG299" s="64"/>
      <c r="AH299" s="72" t="str">
        <f aca="false">IF(OR(B299="",C299=""),"",C299&amp;"|"&amp;(YEAR(B299)*100+MONTH(B299)))</f>
        <v/>
      </c>
      <c r="AI299" s="70" t="str">
        <f aca="false">IF(AH299="","",IF(COUNTIF(L_CLAVE,AH299)&gt;1,"⚠ Duplicado","OK"))</f>
        <v/>
      </c>
      <c r="AJ299" s="86" t="str">
        <f aca="false">IF(AH299="","",IF(SUMPRODUCT(MAX((IND_PER&lt;=B299)*(IND_UF&lt;&gt;"")*IND_PER))=0,UF_HOY,INDEX(IND_UF,MATCH(SUMPRODUCT(MAX((IND_PER&lt;=B299)*(IND_UF&lt;&gt;"")*IND_PER)),IND_PER,0))))</f>
        <v/>
      </c>
      <c r="AK299" s="87" t="str">
        <f aca="false">IF(AH299="","",IF(COUNTIF(TASA_DESDE,"&lt;="&amp;B299)=0,INDEX(TASA_EMP,1),INDEX(TASA_EMP,COUNTIF(TASA_DESDE,"&lt;="&amp;B299))))</f>
        <v/>
      </c>
    </row>
    <row r="300" customFormat="false" ht="15" hidden="false" customHeight="false" outlineLevel="0" collapsed="false">
      <c r="B300" s="78"/>
      <c r="C300" s="64"/>
      <c r="D300" s="72" t="str">
        <f aca="false">IF(C300="","",IFERROR(INDEX(T_NOMBRE,MATCH(C300,T_ID,0)),"⚠ ID no existe"))</f>
        <v/>
      </c>
      <c r="E300" s="69"/>
      <c r="F300" s="67"/>
      <c r="G300" s="67"/>
      <c r="H300" s="67"/>
      <c r="I300" s="67"/>
      <c r="J300" s="67"/>
      <c r="K300" s="85" t="str">
        <f aca="false">IF(AH300="","",N(F300)+N(G300)+N(H300)-N(I300)+N(J300))</f>
        <v/>
      </c>
      <c r="L300" s="67"/>
      <c r="M300" s="67"/>
      <c r="N300" s="67"/>
      <c r="O300" s="67"/>
      <c r="P300" s="85" t="str">
        <f aca="false">IF(AH300="","",K300+N(L300)+N(M300)+N(N300)+N(O300))</f>
        <v/>
      </c>
      <c r="Q300" s="67"/>
      <c r="R300" s="67"/>
      <c r="S300" s="67"/>
      <c r="T300" s="67"/>
      <c r="U300" s="67"/>
      <c r="V300" s="67"/>
      <c r="W300" s="85" t="str">
        <f aca="false">IF(AH300="","",N(Q300)+N(R300)+N(S300)+N(T300)+N(U300)+N(V300))</f>
        <v/>
      </c>
      <c r="X300" s="85" t="str">
        <f aca="false">IF(AH300="","",P300-W300)</f>
        <v/>
      </c>
      <c r="Y300" s="67"/>
      <c r="Z300" s="70" t="str">
        <f aca="false">IF(OR(AH300="",Y300=""),"",IF(ABS(X300-Y300)&lt;=1,"✓ Cuadra","⚠ Diferencia $"&amp;FIXED(X300-Y300,0)))</f>
        <v/>
      </c>
      <c r="AA300" s="72" t="str">
        <f aca="false">IF(AH300="","",IFERROR(INDEX(C_TIPO,MATCH(C300&amp;"-P"&amp;MAX(1,COUNTIFS(C_ID,C300,C_DEFINE,"Sí",C_INICIO,"&lt;="&amp;EOMONTH(B300,0))),C_CLAVE,0))&amp;"","Sin dato"))</f>
        <v/>
      </c>
      <c r="AB300" s="71" t="str">
        <f aca="false">IF(AH300="","",ROUND(MIN(K300,TOPE_AFP_UF*AJ300)*AK300,0))</f>
        <v/>
      </c>
      <c r="AC300" s="71" t="str">
        <f aca="false">IF(AH300="","",ROUND(MIN(K300,TOPE_AFC_UF*AJ300)*IF(AA300="Indefinido",AFC_EMP_INDEF,AFC_EMP_PF),0))</f>
        <v/>
      </c>
      <c r="AD300" s="71" t="str">
        <f aca="false">IF(AH300="","",ROUND(MIN(K300,TOPE_AFP_UF*AJ300)*(MUTUAL_BASICA+MUTUAL_ADIC+SANNA),0))</f>
        <v/>
      </c>
      <c r="AE300" s="71" t="str">
        <f aca="false">IF(AH300="","",P300-N(N300)+AB300+AC300+AD300)</f>
        <v/>
      </c>
      <c r="AF300" s="65"/>
      <c r="AG300" s="64"/>
      <c r="AH300" s="72" t="str">
        <f aca="false">IF(OR(B300="",C300=""),"",C300&amp;"|"&amp;(YEAR(B300)*100+MONTH(B300)))</f>
        <v/>
      </c>
      <c r="AI300" s="70" t="str">
        <f aca="false">IF(AH300="","",IF(COUNTIF(L_CLAVE,AH300)&gt;1,"⚠ Duplicado","OK"))</f>
        <v/>
      </c>
      <c r="AJ300" s="86" t="str">
        <f aca="false">IF(AH300="","",IF(SUMPRODUCT(MAX((IND_PER&lt;=B300)*(IND_UF&lt;&gt;"")*IND_PER))=0,UF_HOY,INDEX(IND_UF,MATCH(SUMPRODUCT(MAX((IND_PER&lt;=B300)*(IND_UF&lt;&gt;"")*IND_PER)),IND_PER,0))))</f>
        <v/>
      </c>
      <c r="AK300" s="87" t="str">
        <f aca="false">IF(AH300="","",IF(COUNTIF(TASA_DESDE,"&lt;="&amp;B300)=0,INDEX(TASA_EMP,1),INDEX(TASA_EMP,COUNTIF(TASA_DESDE,"&lt;="&amp;B300))))</f>
        <v/>
      </c>
    </row>
    <row r="301" customFormat="false" ht="15" hidden="false" customHeight="false" outlineLevel="0" collapsed="false">
      <c r="B301" s="78"/>
      <c r="C301" s="64"/>
      <c r="D301" s="72" t="str">
        <f aca="false">IF(C301="","",IFERROR(INDEX(T_NOMBRE,MATCH(C301,T_ID,0)),"⚠ ID no existe"))</f>
        <v/>
      </c>
      <c r="E301" s="69"/>
      <c r="F301" s="67"/>
      <c r="G301" s="67"/>
      <c r="H301" s="67"/>
      <c r="I301" s="67"/>
      <c r="J301" s="67"/>
      <c r="K301" s="85" t="str">
        <f aca="false">IF(AH301="","",N(F301)+N(G301)+N(H301)-N(I301)+N(J301))</f>
        <v/>
      </c>
      <c r="L301" s="67"/>
      <c r="M301" s="67"/>
      <c r="N301" s="67"/>
      <c r="O301" s="67"/>
      <c r="P301" s="85" t="str">
        <f aca="false">IF(AH301="","",K301+N(L301)+N(M301)+N(N301)+N(O301))</f>
        <v/>
      </c>
      <c r="Q301" s="67"/>
      <c r="R301" s="67"/>
      <c r="S301" s="67"/>
      <c r="T301" s="67"/>
      <c r="U301" s="67"/>
      <c r="V301" s="67"/>
      <c r="W301" s="85" t="str">
        <f aca="false">IF(AH301="","",N(Q301)+N(R301)+N(S301)+N(T301)+N(U301)+N(V301))</f>
        <v/>
      </c>
      <c r="X301" s="85" t="str">
        <f aca="false">IF(AH301="","",P301-W301)</f>
        <v/>
      </c>
      <c r="Y301" s="67"/>
      <c r="Z301" s="70" t="str">
        <f aca="false">IF(OR(AH301="",Y301=""),"",IF(ABS(X301-Y301)&lt;=1,"✓ Cuadra","⚠ Diferencia $"&amp;FIXED(X301-Y301,0)))</f>
        <v/>
      </c>
      <c r="AA301" s="72" t="str">
        <f aca="false">IF(AH301="","",IFERROR(INDEX(C_TIPO,MATCH(C301&amp;"-P"&amp;MAX(1,COUNTIFS(C_ID,C301,C_DEFINE,"Sí",C_INICIO,"&lt;="&amp;EOMONTH(B301,0))),C_CLAVE,0))&amp;"","Sin dato"))</f>
        <v/>
      </c>
      <c r="AB301" s="71" t="str">
        <f aca="false">IF(AH301="","",ROUND(MIN(K301,TOPE_AFP_UF*AJ301)*AK301,0))</f>
        <v/>
      </c>
      <c r="AC301" s="71" t="str">
        <f aca="false">IF(AH301="","",ROUND(MIN(K301,TOPE_AFC_UF*AJ301)*IF(AA301="Indefinido",AFC_EMP_INDEF,AFC_EMP_PF),0))</f>
        <v/>
      </c>
      <c r="AD301" s="71" t="str">
        <f aca="false">IF(AH301="","",ROUND(MIN(K301,TOPE_AFP_UF*AJ301)*(MUTUAL_BASICA+MUTUAL_ADIC+SANNA),0))</f>
        <v/>
      </c>
      <c r="AE301" s="71" t="str">
        <f aca="false">IF(AH301="","",P301-N(N301)+AB301+AC301+AD301)</f>
        <v/>
      </c>
      <c r="AF301" s="65"/>
      <c r="AG301" s="64"/>
      <c r="AH301" s="72" t="str">
        <f aca="false">IF(OR(B301="",C301=""),"",C301&amp;"|"&amp;(YEAR(B301)*100+MONTH(B301)))</f>
        <v/>
      </c>
      <c r="AI301" s="70" t="str">
        <f aca="false">IF(AH301="","",IF(COUNTIF(L_CLAVE,AH301)&gt;1,"⚠ Duplicado","OK"))</f>
        <v/>
      </c>
      <c r="AJ301" s="86" t="str">
        <f aca="false">IF(AH301="","",IF(SUMPRODUCT(MAX((IND_PER&lt;=B301)*(IND_UF&lt;&gt;"")*IND_PER))=0,UF_HOY,INDEX(IND_UF,MATCH(SUMPRODUCT(MAX((IND_PER&lt;=B301)*(IND_UF&lt;&gt;"")*IND_PER)),IND_PER,0))))</f>
        <v/>
      </c>
      <c r="AK301" s="87" t="str">
        <f aca="false">IF(AH301="","",IF(COUNTIF(TASA_DESDE,"&lt;="&amp;B301)=0,INDEX(TASA_EMP,1),INDEX(TASA_EMP,COUNTIF(TASA_DESDE,"&lt;="&amp;B301))))</f>
        <v/>
      </c>
    </row>
    <row r="302" customFormat="false" ht="15" hidden="false" customHeight="false" outlineLevel="0" collapsed="false">
      <c r="B302" s="78"/>
      <c r="C302" s="64"/>
      <c r="D302" s="72" t="str">
        <f aca="false">IF(C302="","",IFERROR(INDEX(T_NOMBRE,MATCH(C302,T_ID,0)),"⚠ ID no existe"))</f>
        <v/>
      </c>
      <c r="E302" s="69"/>
      <c r="F302" s="67"/>
      <c r="G302" s="67"/>
      <c r="H302" s="67"/>
      <c r="I302" s="67"/>
      <c r="J302" s="67"/>
      <c r="K302" s="85" t="str">
        <f aca="false">IF(AH302="","",N(F302)+N(G302)+N(H302)-N(I302)+N(J302))</f>
        <v/>
      </c>
      <c r="L302" s="67"/>
      <c r="M302" s="67"/>
      <c r="N302" s="67"/>
      <c r="O302" s="67"/>
      <c r="P302" s="85" t="str">
        <f aca="false">IF(AH302="","",K302+N(L302)+N(M302)+N(N302)+N(O302))</f>
        <v/>
      </c>
      <c r="Q302" s="67"/>
      <c r="R302" s="67"/>
      <c r="S302" s="67"/>
      <c r="T302" s="67"/>
      <c r="U302" s="67"/>
      <c r="V302" s="67"/>
      <c r="W302" s="85" t="str">
        <f aca="false">IF(AH302="","",N(Q302)+N(R302)+N(S302)+N(T302)+N(U302)+N(V302))</f>
        <v/>
      </c>
      <c r="X302" s="85" t="str">
        <f aca="false">IF(AH302="","",P302-W302)</f>
        <v/>
      </c>
      <c r="Y302" s="67"/>
      <c r="Z302" s="70" t="str">
        <f aca="false">IF(OR(AH302="",Y302=""),"",IF(ABS(X302-Y302)&lt;=1,"✓ Cuadra","⚠ Diferencia $"&amp;FIXED(X302-Y302,0)))</f>
        <v/>
      </c>
      <c r="AA302" s="72" t="str">
        <f aca="false">IF(AH302="","",IFERROR(INDEX(C_TIPO,MATCH(C302&amp;"-P"&amp;MAX(1,COUNTIFS(C_ID,C302,C_DEFINE,"Sí",C_INICIO,"&lt;="&amp;EOMONTH(B302,0))),C_CLAVE,0))&amp;"","Sin dato"))</f>
        <v/>
      </c>
      <c r="AB302" s="71" t="str">
        <f aca="false">IF(AH302="","",ROUND(MIN(K302,TOPE_AFP_UF*AJ302)*AK302,0))</f>
        <v/>
      </c>
      <c r="AC302" s="71" t="str">
        <f aca="false">IF(AH302="","",ROUND(MIN(K302,TOPE_AFC_UF*AJ302)*IF(AA302="Indefinido",AFC_EMP_INDEF,AFC_EMP_PF),0))</f>
        <v/>
      </c>
      <c r="AD302" s="71" t="str">
        <f aca="false">IF(AH302="","",ROUND(MIN(K302,TOPE_AFP_UF*AJ302)*(MUTUAL_BASICA+MUTUAL_ADIC+SANNA),0))</f>
        <v/>
      </c>
      <c r="AE302" s="71" t="str">
        <f aca="false">IF(AH302="","",P302-N(N302)+AB302+AC302+AD302)</f>
        <v/>
      </c>
      <c r="AF302" s="65"/>
      <c r="AG302" s="64"/>
      <c r="AH302" s="72" t="str">
        <f aca="false">IF(OR(B302="",C302=""),"",C302&amp;"|"&amp;(YEAR(B302)*100+MONTH(B302)))</f>
        <v/>
      </c>
      <c r="AI302" s="70" t="str">
        <f aca="false">IF(AH302="","",IF(COUNTIF(L_CLAVE,AH302)&gt;1,"⚠ Duplicado","OK"))</f>
        <v/>
      </c>
      <c r="AJ302" s="86" t="str">
        <f aca="false">IF(AH302="","",IF(SUMPRODUCT(MAX((IND_PER&lt;=B302)*(IND_UF&lt;&gt;"")*IND_PER))=0,UF_HOY,INDEX(IND_UF,MATCH(SUMPRODUCT(MAX((IND_PER&lt;=B302)*(IND_UF&lt;&gt;"")*IND_PER)),IND_PER,0))))</f>
        <v/>
      </c>
      <c r="AK302" s="87" t="str">
        <f aca="false">IF(AH302="","",IF(COUNTIF(TASA_DESDE,"&lt;="&amp;B302)=0,INDEX(TASA_EMP,1),INDEX(TASA_EMP,COUNTIF(TASA_DESDE,"&lt;="&amp;B302))))</f>
        <v/>
      </c>
    </row>
    <row r="303" customFormat="false" ht="15" hidden="false" customHeight="false" outlineLevel="0" collapsed="false">
      <c r="B303" s="78"/>
      <c r="C303" s="64"/>
      <c r="D303" s="72" t="str">
        <f aca="false">IF(C303="","",IFERROR(INDEX(T_NOMBRE,MATCH(C303,T_ID,0)),"⚠ ID no existe"))</f>
        <v/>
      </c>
      <c r="E303" s="69"/>
      <c r="F303" s="67"/>
      <c r="G303" s="67"/>
      <c r="H303" s="67"/>
      <c r="I303" s="67"/>
      <c r="J303" s="67"/>
      <c r="K303" s="85" t="str">
        <f aca="false">IF(AH303="","",N(F303)+N(G303)+N(H303)-N(I303)+N(J303))</f>
        <v/>
      </c>
      <c r="L303" s="67"/>
      <c r="M303" s="67"/>
      <c r="N303" s="67"/>
      <c r="O303" s="67"/>
      <c r="P303" s="85" t="str">
        <f aca="false">IF(AH303="","",K303+N(L303)+N(M303)+N(N303)+N(O303))</f>
        <v/>
      </c>
      <c r="Q303" s="67"/>
      <c r="R303" s="67"/>
      <c r="S303" s="67"/>
      <c r="T303" s="67"/>
      <c r="U303" s="67"/>
      <c r="V303" s="67"/>
      <c r="W303" s="85" t="str">
        <f aca="false">IF(AH303="","",N(Q303)+N(R303)+N(S303)+N(T303)+N(U303)+N(V303))</f>
        <v/>
      </c>
      <c r="X303" s="85" t="str">
        <f aca="false">IF(AH303="","",P303-W303)</f>
        <v/>
      </c>
      <c r="Y303" s="67"/>
      <c r="Z303" s="70" t="str">
        <f aca="false">IF(OR(AH303="",Y303=""),"",IF(ABS(X303-Y303)&lt;=1,"✓ Cuadra","⚠ Diferencia $"&amp;FIXED(X303-Y303,0)))</f>
        <v/>
      </c>
      <c r="AA303" s="72" t="str">
        <f aca="false">IF(AH303="","",IFERROR(INDEX(C_TIPO,MATCH(C303&amp;"-P"&amp;MAX(1,COUNTIFS(C_ID,C303,C_DEFINE,"Sí",C_INICIO,"&lt;="&amp;EOMONTH(B303,0))),C_CLAVE,0))&amp;"","Sin dato"))</f>
        <v/>
      </c>
      <c r="AB303" s="71" t="str">
        <f aca="false">IF(AH303="","",ROUND(MIN(K303,TOPE_AFP_UF*AJ303)*AK303,0))</f>
        <v/>
      </c>
      <c r="AC303" s="71" t="str">
        <f aca="false">IF(AH303="","",ROUND(MIN(K303,TOPE_AFC_UF*AJ303)*IF(AA303="Indefinido",AFC_EMP_INDEF,AFC_EMP_PF),0))</f>
        <v/>
      </c>
      <c r="AD303" s="71" t="str">
        <f aca="false">IF(AH303="","",ROUND(MIN(K303,TOPE_AFP_UF*AJ303)*(MUTUAL_BASICA+MUTUAL_ADIC+SANNA),0))</f>
        <v/>
      </c>
      <c r="AE303" s="71" t="str">
        <f aca="false">IF(AH303="","",P303-N(N303)+AB303+AC303+AD303)</f>
        <v/>
      </c>
      <c r="AF303" s="65"/>
      <c r="AG303" s="64"/>
      <c r="AH303" s="72" t="str">
        <f aca="false">IF(OR(B303="",C303=""),"",C303&amp;"|"&amp;(YEAR(B303)*100+MONTH(B303)))</f>
        <v/>
      </c>
      <c r="AI303" s="70" t="str">
        <f aca="false">IF(AH303="","",IF(COUNTIF(L_CLAVE,AH303)&gt;1,"⚠ Duplicado","OK"))</f>
        <v/>
      </c>
      <c r="AJ303" s="86" t="str">
        <f aca="false">IF(AH303="","",IF(SUMPRODUCT(MAX((IND_PER&lt;=B303)*(IND_UF&lt;&gt;"")*IND_PER))=0,UF_HOY,INDEX(IND_UF,MATCH(SUMPRODUCT(MAX((IND_PER&lt;=B303)*(IND_UF&lt;&gt;"")*IND_PER)),IND_PER,0))))</f>
        <v/>
      </c>
      <c r="AK303" s="87" t="str">
        <f aca="false">IF(AH303="","",IF(COUNTIF(TASA_DESDE,"&lt;="&amp;B303)=0,INDEX(TASA_EMP,1),INDEX(TASA_EMP,COUNTIF(TASA_DESDE,"&lt;="&amp;B303))))</f>
        <v/>
      </c>
    </row>
    <row r="304" customFormat="false" ht="15" hidden="false" customHeight="false" outlineLevel="0" collapsed="false">
      <c r="B304" s="78"/>
      <c r="C304" s="64"/>
      <c r="D304" s="72" t="str">
        <f aca="false">IF(C304="","",IFERROR(INDEX(T_NOMBRE,MATCH(C304,T_ID,0)),"⚠ ID no existe"))</f>
        <v/>
      </c>
      <c r="E304" s="69"/>
      <c r="F304" s="67"/>
      <c r="G304" s="67"/>
      <c r="H304" s="67"/>
      <c r="I304" s="67"/>
      <c r="J304" s="67"/>
      <c r="K304" s="85" t="str">
        <f aca="false">IF(AH304="","",N(F304)+N(G304)+N(H304)-N(I304)+N(J304))</f>
        <v/>
      </c>
      <c r="L304" s="67"/>
      <c r="M304" s="67"/>
      <c r="N304" s="67"/>
      <c r="O304" s="67"/>
      <c r="P304" s="85" t="str">
        <f aca="false">IF(AH304="","",K304+N(L304)+N(M304)+N(N304)+N(O304))</f>
        <v/>
      </c>
      <c r="Q304" s="67"/>
      <c r="R304" s="67"/>
      <c r="S304" s="67"/>
      <c r="T304" s="67"/>
      <c r="U304" s="67"/>
      <c r="V304" s="67"/>
      <c r="W304" s="85" t="str">
        <f aca="false">IF(AH304="","",N(Q304)+N(R304)+N(S304)+N(T304)+N(U304)+N(V304))</f>
        <v/>
      </c>
      <c r="X304" s="85" t="str">
        <f aca="false">IF(AH304="","",P304-W304)</f>
        <v/>
      </c>
      <c r="Y304" s="67"/>
      <c r="Z304" s="70" t="str">
        <f aca="false">IF(OR(AH304="",Y304=""),"",IF(ABS(X304-Y304)&lt;=1,"✓ Cuadra","⚠ Diferencia $"&amp;FIXED(X304-Y304,0)))</f>
        <v/>
      </c>
      <c r="AA304" s="72" t="str">
        <f aca="false">IF(AH304="","",IFERROR(INDEX(C_TIPO,MATCH(C304&amp;"-P"&amp;MAX(1,COUNTIFS(C_ID,C304,C_DEFINE,"Sí",C_INICIO,"&lt;="&amp;EOMONTH(B304,0))),C_CLAVE,0))&amp;"","Sin dato"))</f>
        <v/>
      </c>
      <c r="AB304" s="71" t="str">
        <f aca="false">IF(AH304="","",ROUND(MIN(K304,TOPE_AFP_UF*AJ304)*AK304,0))</f>
        <v/>
      </c>
      <c r="AC304" s="71" t="str">
        <f aca="false">IF(AH304="","",ROUND(MIN(K304,TOPE_AFC_UF*AJ304)*IF(AA304="Indefinido",AFC_EMP_INDEF,AFC_EMP_PF),0))</f>
        <v/>
      </c>
      <c r="AD304" s="71" t="str">
        <f aca="false">IF(AH304="","",ROUND(MIN(K304,TOPE_AFP_UF*AJ304)*(MUTUAL_BASICA+MUTUAL_ADIC+SANNA),0))</f>
        <v/>
      </c>
      <c r="AE304" s="71" t="str">
        <f aca="false">IF(AH304="","",P304-N(N304)+AB304+AC304+AD304)</f>
        <v/>
      </c>
      <c r="AF304" s="65"/>
      <c r="AG304" s="64"/>
      <c r="AH304" s="72" t="str">
        <f aca="false">IF(OR(B304="",C304=""),"",C304&amp;"|"&amp;(YEAR(B304)*100+MONTH(B304)))</f>
        <v/>
      </c>
      <c r="AI304" s="70" t="str">
        <f aca="false">IF(AH304="","",IF(COUNTIF(L_CLAVE,AH304)&gt;1,"⚠ Duplicado","OK"))</f>
        <v/>
      </c>
      <c r="AJ304" s="86" t="str">
        <f aca="false">IF(AH304="","",IF(SUMPRODUCT(MAX((IND_PER&lt;=B304)*(IND_UF&lt;&gt;"")*IND_PER))=0,UF_HOY,INDEX(IND_UF,MATCH(SUMPRODUCT(MAX((IND_PER&lt;=B304)*(IND_UF&lt;&gt;"")*IND_PER)),IND_PER,0))))</f>
        <v/>
      </c>
      <c r="AK304" s="87" t="str">
        <f aca="false">IF(AH304="","",IF(COUNTIF(TASA_DESDE,"&lt;="&amp;B304)=0,INDEX(TASA_EMP,1),INDEX(TASA_EMP,COUNTIF(TASA_DESDE,"&lt;="&amp;B304))))</f>
        <v/>
      </c>
    </row>
    <row r="305" customFormat="false" ht="15" hidden="false" customHeight="false" outlineLevel="0" collapsed="false">
      <c r="B305" s="78"/>
      <c r="C305" s="64"/>
      <c r="D305" s="72" t="str">
        <f aca="false">IF(C305="","",IFERROR(INDEX(T_NOMBRE,MATCH(C305,T_ID,0)),"⚠ ID no existe"))</f>
        <v/>
      </c>
      <c r="E305" s="69"/>
      <c r="F305" s="67"/>
      <c r="G305" s="67"/>
      <c r="H305" s="67"/>
      <c r="I305" s="67"/>
      <c r="J305" s="67"/>
      <c r="K305" s="85" t="str">
        <f aca="false">IF(AH305="","",N(F305)+N(G305)+N(H305)-N(I305)+N(J305))</f>
        <v/>
      </c>
      <c r="L305" s="67"/>
      <c r="M305" s="67"/>
      <c r="N305" s="67"/>
      <c r="O305" s="67"/>
      <c r="P305" s="85" t="str">
        <f aca="false">IF(AH305="","",K305+N(L305)+N(M305)+N(N305)+N(O305))</f>
        <v/>
      </c>
      <c r="Q305" s="67"/>
      <c r="R305" s="67"/>
      <c r="S305" s="67"/>
      <c r="T305" s="67"/>
      <c r="U305" s="67"/>
      <c r="V305" s="67"/>
      <c r="W305" s="85" t="str">
        <f aca="false">IF(AH305="","",N(Q305)+N(R305)+N(S305)+N(T305)+N(U305)+N(V305))</f>
        <v/>
      </c>
      <c r="X305" s="85" t="str">
        <f aca="false">IF(AH305="","",P305-W305)</f>
        <v/>
      </c>
      <c r="Y305" s="67"/>
      <c r="Z305" s="70" t="str">
        <f aca="false">IF(OR(AH305="",Y305=""),"",IF(ABS(X305-Y305)&lt;=1,"✓ Cuadra","⚠ Diferencia $"&amp;FIXED(X305-Y305,0)))</f>
        <v/>
      </c>
      <c r="AA305" s="72" t="str">
        <f aca="false">IF(AH305="","",IFERROR(INDEX(C_TIPO,MATCH(C305&amp;"-P"&amp;MAX(1,COUNTIFS(C_ID,C305,C_DEFINE,"Sí",C_INICIO,"&lt;="&amp;EOMONTH(B305,0))),C_CLAVE,0))&amp;"","Sin dato"))</f>
        <v/>
      </c>
      <c r="AB305" s="71" t="str">
        <f aca="false">IF(AH305="","",ROUND(MIN(K305,TOPE_AFP_UF*AJ305)*AK305,0))</f>
        <v/>
      </c>
      <c r="AC305" s="71" t="str">
        <f aca="false">IF(AH305="","",ROUND(MIN(K305,TOPE_AFC_UF*AJ305)*IF(AA305="Indefinido",AFC_EMP_INDEF,AFC_EMP_PF),0))</f>
        <v/>
      </c>
      <c r="AD305" s="71" t="str">
        <f aca="false">IF(AH305="","",ROUND(MIN(K305,TOPE_AFP_UF*AJ305)*(MUTUAL_BASICA+MUTUAL_ADIC+SANNA),0))</f>
        <v/>
      </c>
      <c r="AE305" s="71" t="str">
        <f aca="false">IF(AH305="","",P305-N(N305)+AB305+AC305+AD305)</f>
        <v/>
      </c>
      <c r="AF305" s="65"/>
      <c r="AG305" s="64"/>
      <c r="AH305" s="72" t="str">
        <f aca="false">IF(OR(B305="",C305=""),"",C305&amp;"|"&amp;(YEAR(B305)*100+MONTH(B305)))</f>
        <v/>
      </c>
      <c r="AI305" s="70" t="str">
        <f aca="false">IF(AH305="","",IF(COUNTIF(L_CLAVE,AH305)&gt;1,"⚠ Duplicado","OK"))</f>
        <v/>
      </c>
      <c r="AJ305" s="86" t="str">
        <f aca="false">IF(AH305="","",IF(SUMPRODUCT(MAX((IND_PER&lt;=B305)*(IND_UF&lt;&gt;"")*IND_PER))=0,UF_HOY,INDEX(IND_UF,MATCH(SUMPRODUCT(MAX((IND_PER&lt;=B305)*(IND_UF&lt;&gt;"")*IND_PER)),IND_PER,0))))</f>
        <v/>
      </c>
      <c r="AK305" s="87" t="str">
        <f aca="false">IF(AH305="","",IF(COUNTIF(TASA_DESDE,"&lt;="&amp;B305)=0,INDEX(TASA_EMP,1),INDEX(TASA_EMP,COUNTIF(TASA_DESDE,"&lt;="&amp;B305))))</f>
        <v/>
      </c>
    </row>
    <row r="306" customFormat="false" ht="15" hidden="false" customHeight="false" outlineLevel="0" collapsed="false">
      <c r="B306" s="78"/>
      <c r="C306" s="64"/>
      <c r="D306" s="72" t="str">
        <f aca="false">IF(C306="","",IFERROR(INDEX(T_NOMBRE,MATCH(C306,T_ID,0)),"⚠ ID no existe"))</f>
        <v/>
      </c>
      <c r="E306" s="69"/>
      <c r="F306" s="67"/>
      <c r="G306" s="67"/>
      <c r="H306" s="67"/>
      <c r="I306" s="67"/>
      <c r="J306" s="67"/>
      <c r="K306" s="85" t="str">
        <f aca="false">IF(AH306="","",N(F306)+N(G306)+N(H306)-N(I306)+N(J306))</f>
        <v/>
      </c>
      <c r="L306" s="67"/>
      <c r="M306" s="67"/>
      <c r="N306" s="67"/>
      <c r="O306" s="67"/>
      <c r="P306" s="85" t="str">
        <f aca="false">IF(AH306="","",K306+N(L306)+N(M306)+N(N306)+N(O306))</f>
        <v/>
      </c>
      <c r="Q306" s="67"/>
      <c r="R306" s="67"/>
      <c r="S306" s="67"/>
      <c r="T306" s="67"/>
      <c r="U306" s="67"/>
      <c r="V306" s="67"/>
      <c r="W306" s="85" t="str">
        <f aca="false">IF(AH306="","",N(Q306)+N(R306)+N(S306)+N(T306)+N(U306)+N(V306))</f>
        <v/>
      </c>
      <c r="X306" s="85" t="str">
        <f aca="false">IF(AH306="","",P306-W306)</f>
        <v/>
      </c>
      <c r="Y306" s="67"/>
      <c r="Z306" s="70" t="str">
        <f aca="false">IF(OR(AH306="",Y306=""),"",IF(ABS(X306-Y306)&lt;=1,"✓ Cuadra","⚠ Diferencia $"&amp;FIXED(X306-Y306,0)))</f>
        <v/>
      </c>
      <c r="AA306" s="72" t="str">
        <f aca="false">IF(AH306="","",IFERROR(INDEX(C_TIPO,MATCH(C306&amp;"-P"&amp;MAX(1,COUNTIFS(C_ID,C306,C_DEFINE,"Sí",C_INICIO,"&lt;="&amp;EOMONTH(B306,0))),C_CLAVE,0))&amp;"","Sin dato"))</f>
        <v/>
      </c>
      <c r="AB306" s="71" t="str">
        <f aca="false">IF(AH306="","",ROUND(MIN(K306,TOPE_AFP_UF*AJ306)*AK306,0))</f>
        <v/>
      </c>
      <c r="AC306" s="71" t="str">
        <f aca="false">IF(AH306="","",ROUND(MIN(K306,TOPE_AFC_UF*AJ306)*IF(AA306="Indefinido",AFC_EMP_INDEF,AFC_EMP_PF),0))</f>
        <v/>
      </c>
      <c r="AD306" s="71" t="str">
        <f aca="false">IF(AH306="","",ROUND(MIN(K306,TOPE_AFP_UF*AJ306)*(MUTUAL_BASICA+MUTUAL_ADIC+SANNA),0))</f>
        <v/>
      </c>
      <c r="AE306" s="71" t="str">
        <f aca="false">IF(AH306="","",P306-N(N306)+AB306+AC306+AD306)</f>
        <v/>
      </c>
      <c r="AF306" s="65"/>
      <c r="AG306" s="64"/>
      <c r="AH306" s="72" t="str">
        <f aca="false">IF(OR(B306="",C306=""),"",C306&amp;"|"&amp;(YEAR(B306)*100+MONTH(B306)))</f>
        <v/>
      </c>
      <c r="AI306" s="70" t="str">
        <f aca="false">IF(AH306="","",IF(COUNTIF(L_CLAVE,AH306)&gt;1,"⚠ Duplicado","OK"))</f>
        <v/>
      </c>
      <c r="AJ306" s="86" t="str">
        <f aca="false">IF(AH306="","",IF(SUMPRODUCT(MAX((IND_PER&lt;=B306)*(IND_UF&lt;&gt;"")*IND_PER))=0,UF_HOY,INDEX(IND_UF,MATCH(SUMPRODUCT(MAX((IND_PER&lt;=B306)*(IND_UF&lt;&gt;"")*IND_PER)),IND_PER,0))))</f>
        <v/>
      </c>
      <c r="AK306" s="87" t="str">
        <f aca="false">IF(AH306="","",IF(COUNTIF(TASA_DESDE,"&lt;="&amp;B306)=0,INDEX(TASA_EMP,1),INDEX(TASA_EMP,COUNTIF(TASA_DESDE,"&lt;="&amp;B306))))</f>
        <v/>
      </c>
    </row>
    <row r="307" customFormat="false" ht="15" hidden="false" customHeight="false" outlineLevel="0" collapsed="false">
      <c r="B307" s="78"/>
      <c r="C307" s="64"/>
      <c r="D307" s="72" t="str">
        <f aca="false">IF(C307="","",IFERROR(INDEX(T_NOMBRE,MATCH(C307,T_ID,0)),"⚠ ID no existe"))</f>
        <v/>
      </c>
      <c r="E307" s="69"/>
      <c r="F307" s="67"/>
      <c r="G307" s="67"/>
      <c r="H307" s="67"/>
      <c r="I307" s="67"/>
      <c r="J307" s="67"/>
      <c r="K307" s="85" t="str">
        <f aca="false">IF(AH307="","",N(F307)+N(G307)+N(H307)-N(I307)+N(J307))</f>
        <v/>
      </c>
      <c r="L307" s="67"/>
      <c r="M307" s="67"/>
      <c r="N307" s="67"/>
      <c r="O307" s="67"/>
      <c r="P307" s="85" t="str">
        <f aca="false">IF(AH307="","",K307+N(L307)+N(M307)+N(N307)+N(O307))</f>
        <v/>
      </c>
      <c r="Q307" s="67"/>
      <c r="R307" s="67"/>
      <c r="S307" s="67"/>
      <c r="T307" s="67"/>
      <c r="U307" s="67"/>
      <c r="V307" s="67"/>
      <c r="W307" s="85" t="str">
        <f aca="false">IF(AH307="","",N(Q307)+N(R307)+N(S307)+N(T307)+N(U307)+N(V307))</f>
        <v/>
      </c>
      <c r="X307" s="85" t="str">
        <f aca="false">IF(AH307="","",P307-W307)</f>
        <v/>
      </c>
      <c r="Y307" s="67"/>
      <c r="Z307" s="70" t="str">
        <f aca="false">IF(OR(AH307="",Y307=""),"",IF(ABS(X307-Y307)&lt;=1,"✓ Cuadra","⚠ Diferencia $"&amp;FIXED(X307-Y307,0)))</f>
        <v/>
      </c>
      <c r="AA307" s="72" t="str">
        <f aca="false">IF(AH307="","",IFERROR(INDEX(C_TIPO,MATCH(C307&amp;"-P"&amp;MAX(1,COUNTIFS(C_ID,C307,C_DEFINE,"Sí",C_INICIO,"&lt;="&amp;EOMONTH(B307,0))),C_CLAVE,0))&amp;"","Sin dato"))</f>
        <v/>
      </c>
      <c r="AB307" s="71" t="str">
        <f aca="false">IF(AH307="","",ROUND(MIN(K307,TOPE_AFP_UF*AJ307)*AK307,0))</f>
        <v/>
      </c>
      <c r="AC307" s="71" t="str">
        <f aca="false">IF(AH307="","",ROUND(MIN(K307,TOPE_AFC_UF*AJ307)*IF(AA307="Indefinido",AFC_EMP_INDEF,AFC_EMP_PF),0))</f>
        <v/>
      </c>
      <c r="AD307" s="71" t="str">
        <f aca="false">IF(AH307="","",ROUND(MIN(K307,TOPE_AFP_UF*AJ307)*(MUTUAL_BASICA+MUTUAL_ADIC+SANNA),0))</f>
        <v/>
      </c>
      <c r="AE307" s="71" t="str">
        <f aca="false">IF(AH307="","",P307-N(N307)+AB307+AC307+AD307)</f>
        <v/>
      </c>
      <c r="AF307" s="65"/>
      <c r="AG307" s="64"/>
      <c r="AH307" s="72" t="str">
        <f aca="false">IF(OR(B307="",C307=""),"",C307&amp;"|"&amp;(YEAR(B307)*100+MONTH(B307)))</f>
        <v/>
      </c>
      <c r="AI307" s="70" t="str">
        <f aca="false">IF(AH307="","",IF(COUNTIF(L_CLAVE,AH307)&gt;1,"⚠ Duplicado","OK"))</f>
        <v/>
      </c>
      <c r="AJ307" s="86" t="str">
        <f aca="false">IF(AH307="","",IF(SUMPRODUCT(MAX((IND_PER&lt;=B307)*(IND_UF&lt;&gt;"")*IND_PER))=0,UF_HOY,INDEX(IND_UF,MATCH(SUMPRODUCT(MAX((IND_PER&lt;=B307)*(IND_UF&lt;&gt;"")*IND_PER)),IND_PER,0))))</f>
        <v/>
      </c>
      <c r="AK307" s="87" t="str">
        <f aca="false">IF(AH307="","",IF(COUNTIF(TASA_DESDE,"&lt;="&amp;B307)=0,INDEX(TASA_EMP,1),INDEX(TASA_EMP,COUNTIF(TASA_DESDE,"&lt;="&amp;B307))))</f>
        <v/>
      </c>
    </row>
    <row r="308" customFormat="false" ht="15" hidden="false" customHeight="false" outlineLevel="0" collapsed="false">
      <c r="B308" s="78"/>
      <c r="C308" s="64"/>
      <c r="D308" s="72" t="str">
        <f aca="false">IF(C308="","",IFERROR(INDEX(T_NOMBRE,MATCH(C308,T_ID,0)),"⚠ ID no existe"))</f>
        <v/>
      </c>
      <c r="E308" s="69"/>
      <c r="F308" s="67"/>
      <c r="G308" s="67"/>
      <c r="H308" s="67"/>
      <c r="I308" s="67"/>
      <c r="J308" s="67"/>
      <c r="K308" s="85" t="str">
        <f aca="false">IF(AH308="","",N(F308)+N(G308)+N(H308)-N(I308)+N(J308))</f>
        <v/>
      </c>
      <c r="L308" s="67"/>
      <c r="M308" s="67"/>
      <c r="N308" s="67"/>
      <c r="O308" s="67"/>
      <c r="P308" s="85" t="str">
        <f aca="false">IF(AH308="","",K308+N(L308)+N(M308)+N(N308)+N(O308))</f>
        <v/>
      </c>
      <c r="Q308" s="67"/>
      <c r="R308" s="67"/>
      <c r="S308" s="67"/>
      <c r="T308" s="67"/>
      <c r="U308" s="67"/>
      <c r="V308" s="67"/>
      <c r="W308" s="85" t="str">
        <f aca="false">IF(AH308="","",N(Q308)+N(R308)+N(S308)+N(T308)+N(U308)+N(V308))</f>
        <v/>
      </c>
      <c r="X308" s="85" t="str">
        <f aca="false">IF(AH308="","",P308-W308)</f>
        <v/>
      </c>
      <c r="Y308" s="67"/>
      <c r="Z308" s="70" t="str">
        <f aca="false">IF(OR(AH308="",Y308=""),"",IF(ABS(X308-Y308)&lt;=1,"✓ Cuadra","⚠ Diferencia $"&amp;FIXED(X308-Y308,0)))</f>
        <v/>
      </c>
      <c r="AA308" s="72" t="str">
        <f aca="false">IF(AH308="","",IFERROR(INDEX(C_TIPO,MATCH(C308&amp;"-P"&amp;MAX(1,COUNTIFS(C_ID,C308,C_DEFINE,"Sí",C_INICIO,"&lt;="&amp;EOMONTH(B308,0))),C_CLAVE,0))&amp;"","Sin dato"))</f>
        <v/>
      </c>
      <c r="AB308" s="71" t="str">
        <f aca="false">IF(AH308="","",ROUND(MIN(K308,TOPE_AFP_UF*AJ308)*AK308,0))</f>
        <v/>
      </c>
      <c r="AC308" s="71" t="str">
        <f aca="false">IF(AH308="","",ROUND(MIN(K308,TOPE_AFC_UF*AJ308)*IF(AA308="Indefinido",AFC_EMP_INDEF,AFC_EMP_PF),0))</f>
        <v/>
      </c>
      <c r="AD308" s="71" t="str">
        <f aca="false">IF(AH308="","",ROUND(MIN(K308,TOPE_AFP_UF*AJ308)*(MUTUAL_BASICA+MUTUAL_ADIC+SANNA),0))</f>
        <v/>
      </c>
      <c r="AE308" s="71" t="str">
        <f aca="false">IF(AH308="","",P308-N(N308)+AB308+AC308+AD308)</f>
        <v/>
      </c>
      <c r="AF308" s="65"/>
      <c r="AG308" s="64"/>
      <c r="AH308" s="72" t="str">
        <f aca="false">IF(OR(B308="",C308=""),"",C308&amp;"|"&amp;(YEAR(B308)*100+MONTH(B308)))</f>
        <v/>
      </c>
      <c r="AI308" s="70" t="str">
        <f aca="false">IF(AH308="","",IF(COUNTIF(L_CLAVE,AH308)&gt;1,"⚠ Duplicado","OK"))</f>
        <v/>
      </c>
      <c r="AJ308" s="86" t="str">
        <f aca="false">IF(AH308="","",IF(SUMPRODUCT(MAX((IND_PER&lt;=B308)*(IND_UF&lt;&gt;"")*IND_PER))=0,UF_HOY,INDEX(IND_UF,MATCH(SUMPRODUCT(MAX((IND_PER&lt;=B308)*(IND_UF&lt;&gt;"")*IND_PER)),IND_PER,0))))</f>
        <v/>
      </c>
      <c r="AK308" s="87" t="str">
        <f aca="false">IF(AH308="","",IF(COUNTIF(TASA_DESDE,"&lt;="&amp;B308)=0,INDEX(TASA_EMP,1),INDEX(TASA_EMP,COUNTIF(TASA_DESDE,"&lt;="&amp;B308))))</f>
        <v/>
      </c>
    </row>
    <row r="309" customFormat="false" ht="15" hidden="false" customHeight="false" outlineLevel="0" collapsed="false">
      <c r="B309" s="78"/>
      <c r="C309" s="64"/>
      <c r="D309" s="72" t="str">
        <f aca="false">IF(C309="","",IFERROR(INDEX(T_NOMBRE,MATCH(C309,T_ID,0)),"⚠ ID no existe"))</f>
        <v/>
      </c>
      <c r="E309" s="69"/>
      <c r="F309" s="67"/>
      <c r="G309" s="67"/>
      <c r="H309" s="67"/>
      <c r="I309" s="67"/>
      <c r="J309" s="67"/>
      <c r="K309" s="85" t="str">
        <f aca="false">IF(AH309="","",N(F309)+N(G309)+N(H309)-N(I309)+N(J309))</f>
        <v/>
      </c>
      <c r="L309" s="67"/>
      <c r="M309" s="67"/>
      <c r="N309" s="67"/>
      <c r="O309" s="67"/>
      <c r="P309" s="85" t="str">
        <f aca="false">IF(AH309="","",K309+N(L309)+N(M309)+N(N309)+N(O309))</f>
        <v/>
      </c>
      <c r="Q309" s="67"/>
      <c r="R309" s="67"/>
      <c r="S309" s="67"/>
      <c r="T309" s="67"/>
      <c r="U309" s="67"/>
      <c r="V309" s="67"/>
      <c r="W309" s="85" t="str">
        <f aca="false">IF(AH309="","",N(Q309)+N(R309)+N(S309)+N(T309)+N(U309)+N(V309))</f>
        <v/>
      </c>
      <c r="X309" s="85" t="str">
        <f aca="false">IF(AH309="","",P309-W309)</f>
        <v/>
      </c>
      <c r="Y309" s="67"/>
      <c r="Z309" s="70" t="str">
        <f aca="false">IF(OR(AH309="",Y309=""),"",IF(ABS(X309-Y309)&lt;=1,"✓ Cuadra","⚠ Diferencia $"&amp;FIXED(X309-Y309,0)))</f>
        <v/>
      </c>
      <c r="AA309" s="72" t="str">
        <f aca="false">IF(AH309="","",IFERROR(INDEX(C_TIPO,MATCH(C309&amp;"-P"&amp;MAX(1,COUNTIFS(C_ID,C309,C_DEFINE,"Sí",C_INICIO,"&lt;="&amp;EOMONTH(B309,0))),C_CLAVE,0))&amp;"","Sin dato"))</f>
        <v/>
      </c>
      <c r="AB309" s="71" t="str">
        <f aca="false">IF(AH309="","",ROUND(MIN(K309,TOPE_AFP_UF*AJ309)*AK309,0))</f>
        <v/>
      </c>
      <c r="AC309" s="71" t="str">
        <f aca="false">IF(AH309="","",ROUND(MIN(K309,TOPE_AFC_UF*AJ309)*IF(AA309="Indefinido",AFC_EMP_INDEF,AFC_EMP_PF),0))</f>
        <v/>
      </c>
      <c r="AD309" s="71" t="str">
        <f aca="false">IF(AH309="","",ROUND(MIN(K309,TOPE_AFP_UF*AJ309)*(MUTUAL_BASICA+MUTUAL_ADIC+SANNA),0))</f>
        <v/>
      </c>
      <c r="AE309" s="71" t="str">
        <f aca="false">IF(AH309="","",P309-N(N309)+AB309+AC309+AD309)</f>
        <v/>
      </c>
      <c r="AF309" s="65"/>
      <c r="AG309" s="64"/>
      <c r="AH309" s="72" t="str">
        <f aca="false">IF(OR(B309="",C309=""),"",C309&amp;"|"&amp;(YEAR(B309)*100+MONTH(B309)))</f>
        <v/>
      </c>
      <c r="AI309" s="70" t="str">
        <f aca="false">IF(AH309="","",IF(COUNTIF(L_CLAVE,AH309)&gt;1,"⚠ Duplicado","OK"))</f>
        <v/>
      </c>
      <c r="AJ309" s="86" t="str">
        <f aca="false">IF(AH309="","",IF(SUMPRODUCT(MAX((IND_PER&lt;=B309)*(IND_UF&lt;&gt;"")*IND_PER))=0,UF_HOY,INDEX(IND_UF,MATCH(SUMPRODUCT(MAX((IND_PER&lt;=B309)*(IND_UF&lt;&gt;"")*IND_PER)),IND_PER,0))))</f>
        <v/>
      </c>
      <c r="AK309" s="87" t="str">
        <f aca="false">IF(AH309="","",IF(COUNTIF(TASA_DESDE,"&lt;="&amp;B309)=0,INDEX(TASA_EMP,1),INDEX(TASA_EMP,COUNTIF(TASA_DESDE,"&lt;="&amp;B309))))</f>
        <v/>
      </c>
    </row>
    <row r="310" customFormat="false" ht="15" hidden="false" customHeight="false" outlineLevel="0" collapsed="false">
      <c r="B310" s="78"/>
      <c r="C310" s="64"/>
      <c r="D310" s="72" t="str">
        <f aca="false">IF(C310="","",IFERROR(INDEX(T_NOMBRE,MATCH(C310,T_ID,0)),"⚠ ID no existe"))</f>
        <v/>
      </c>
      <c r="E310" s="69"/>
      <c r="F310" s="67"/>
      <c r="G310" s="67"/>
      <c r="H310" s="67"/>
      <c r="I310" s="67"/>
      <c r="J310" s="67"/>
      <c r="K310" s="85" t="str">
        <f aca="false">IF(AH310="","",N(F310)+N(G310)+N(H310)-N(I310)+N(J310))</f>
        <v/>
      </c>
      <c r="L310" s="67"/>
      <c r="M310" s="67"/>
      <c r="N310" s="67"/>
      <c r="O310" s="67"/>
      <c r="P310" s="85" t="str">
        <f aca="false">IF(AH310="","",K310+N(L310)+N(M310)+N(N310)+N(O310))</f>
        <v/>
      </c>
      <c r="Q310" s="67"/>
      <c r="R310" s="67"/>
      <c r="S310" s="67"/>
      <c r="T310" s="67"/>
      <c r="U310" s="67"/>
      <c r="V310" s="67"/>
      <c r="W310" s="85" t="str">
        <f aca="false">IF(AH310="","",N(Q310)+N(R310)+N(S310)+N(T310)+N(U310)+N(V310))</f>
        <v/>
      </c>
      <c r="X310" s="85" t="str">
        <f aca="false">IF(AH310="","",P310-W310)</f>
        <v/>
      </c>
      <c r="Y310" s="67"/>
      <c r="Z310" s="70" t="str">
        <f aca="false">IF(OR(AH310="",Y310=""),"",IF(ABS(X310-Y310)&lt;=1,"✓ Cuadra","⚠ Diferencia $"&amp;FIXED(X310-Y310,0)))</f>
        <v/>
      </c>
      <c r="AA310" s="72" t="str">
        <f aca="false">IF(AH310="","",IFERROR(INDEX(C_TIPO,MATCH(C310&amp;"-P"&amp;MAX(1,COUNTIFS(C_ID,C310,C_DEFINE,"Sí",C_INICIO,"&lt;="&amp;EOMONTH(B310,0))),C_CLAVE,0))&amp;"","Sin dato"))</f>
        <v/>
      </c>
      <c r="AB310" s="71" t="str">
        <f aca="false">IF(AH310="","",ROUND(MIN(K310,TOPE_AFP_UF*AJ310)*AK310,0))</f>
        <v/>
      </c>
      <c r="AC310" s="71" t="str">
        <f aca="false">IF(AH310="","",ROUND(MIN(K310,TOPE_AFC_UF*AJ310)*IF(AA310="Indefinido",AFC_EMP_INDEF,AFC_EMP_PF),0))</f>
        <v/>
      </c>
      <c r="AD310" s="71" t="str">
        <f aca="false">IF(AH310="","",ROUND(MIN(K310,TOPE_AFP_UF*AJ310)*(MUTUAL_BASICA+MUTUAL_ADIC+SANNA),0))</f>
        <v/>
      </c>
      <c r="AE310" s="71" t="str">
        <f aca="false">IF(AH310="","",P310-N(N310)+AB310+AC310+AD310)</f>
        <v/>
      </c>
      <c r="AF310" s="65"/>
      <c r="AG310" s="64"/>
      <c r="AH310" s="72" t="str">
        <f aca="false">IF(OR(B310="",C310=""),"",C310&amp;"|"&amp;(YEAR(B310)*100+MONTH(B310)))</f>
        <v/>
      </c>
      <c r="AI310" s="70" t="str">
        <f aca="false">IF(AH310="","",IF(COUNTIF(L_CLAVE,AH310)&gt;1,"⚠ Duplicado","OK"))</f>
        <v/>
      </c>
      <c r="AJ310" s="86" t="str">
        <f aca="false">IF(AH310="","",IF(SUMPRODUCT(MAX((IND_PER&lt;=B310)*(IND_UF&lt;&gt;"")*IND_PER))=0,UF_HOY,INDEX(IND_UF,MATCH(SUMPRODUCT(MAX((IND_PER&lt;=B310)*(IND_UF&lt;&gt;"")*IND_PER)),IND_PER,0))))</f>
        <v/>
      </c>
      <c r="AK310" s="87" t="str">
        <f aca="false">IF(AH310="","",IF(COUNTIF(TASA_DESDE,"&lt;="&amp;B310)=0,INDEX(TASA_EMP,1),INDEX(TASA_EMP,COUNTIF(TASA_DESDE,"&lt;="&amp;B310))))</f>
        <v/>
      </c>
    </row>
    <row r="311" customFormat="false" ht="15" hidden="false" customHeight="false" outlineLevel="0" collapsed="false">
      <c r="B311" s="78"/>
      <c r="C311" s="64"/>
      <c r="D311" s="72" t="str">
        <f aca="false">IF(C311="","",IFERROR(INDEX(T_NOMBRE,MATCH(C311,T_ID,0)),"⚠ ID no existe"))</f>
        <v/>
      </c>
      <c r="E311" s="69"/>
      <c r="F311" s="67"/>
      <c r="G311" s="67"/>
      <c r="H311" s="67"/>
      <c r="I311" s="67"/>
      <c r="J311" s="67"/>
      <c r="K311" s="85" t="str">
        <f aca="false">IF(AH311="","",N(F311)+N(G311)+N(H311)-N(I311)+N(J311))</f>
        <v/>
      </c>
      <c r="L311" s="67"/>
      <c r="M311" s="67"/>
      <c r="N311" s="67"/>
      <c r="O311" s="67"/>
      <c r="P311" s="85" t="str">
        <f aca="false">IF(AH311="","",K311+N(L311)+N(M311)+N(N311)+N(O311))</f>
        <v/>
      </c>
      <c r="Q311" s="67"/>
      <c r="R311" s="67"/>
      <c r="S311" s="67"/>
      <c r="T311" s="67"/>
      <c r="U311" s="67"/>
      <c r="V311" s="67"/>
      <c r="W311" s="85" t="str">
        <f aca="false">IF(AH311="","",N(Q311)+N(R311)+N(S311)+N(T311)+N(U311)+N(V311))</f>
        <v/>
      </c>
      <c r="X311" s="85" t="str">
        <f aca="false">IF(AH311="","",P311-W311)</f>
        <v/>
      </c>
      <c r="Y311" s="67"/>
      <c r="Z311" s="70" t="str">
        <f aca="false">IF(OR(AH311="",Y311=""),"",IF(ABS(X311-Y311)&lt;=1,"✓ Cuadra","⚠ Diferencia $"&amp;FIXED(X311-Y311,0)))</f>
        <v/>
      </c>
      <c r="AA311" s="72" t="str">
        <f aca="false">IF(AH311="","",IFERROR(INDEX(C_TIPO,MATCH(C311&amp;"-P"&amp;MAX(1,COUNTIFS(C_ID,C311,C_DEFINE,"Sí",C_INICIO,"&lt;="&amp;EOMONTH(B311,0))),C_CLAVE,0))&amp;"","Sin dato"))</f>
        <v/>
      </c>
      <c r="AB311" s="71" t="str">
        <f aca="false">IF(AH311="","",ROUND(MIN(K311,TOPE_AFP_UF*AJ311)*AK311,0))</f>
        <v/>
      </c>
      <c r="AC311" s="71" t="str">
        <f aca="false">IF(AH311="","",ROUND(MIN(K311,TOPE_AFC_UF*AJ311)*IF(AA311="Indefinido",AFC_EMP_INDEF,AFC_EMP_PF),0))</f>
        <v/>
      </c>
      <c r="AD311" s="71" t="str">
        <f aca="false">IF(AH311="","",ROUND(MIN(K311,TOPE_AFP_UF*AJ311)*(MUTUAL_BASICA+MUTUAL_ADIC+SANNA),0))</f>
        <v/>
      </c>
      <c r="AE311" s="71" t="str">
        <f aca="false">IF(AH311="","",P311-N(N311)+AB311+AC311+AD311)</f>
        <v/>
      </c>
      <c r="AF311" s="65"/>
      <c r="AG311" s="64"/>
      <c r="AH311" s="72" t="str">
        <f aca="false">IF(OR(B311="",C311=""),"",C311&amp;"|"&amp;(YEAR(B311)*100+MONTH(B311)))</f>
        <v/>
      </c>
      <c r="AI311" s="70" t="str">
        <f aca="false">IF(AH311="","",IF(COUNTIF(L_CLAVE,AH311)&gt;1,"⚠ Duplicado","OK"))</f>
        <v/>
      </c>
      <c r="AJ311" s="86" t="str">
        <f aca="false">IF(AH311="","",IF(SUMPRODUCT(MAX((IND_PER&lt;=B311)*(IND_UF&lt;&gt;"")*IND_PER))=0,UF_HOY,INDEX(IND_UF,MATCH(SUMPRODUCT(MAX((IND_PER&lt;=B311)*(IND_UF&lt;&gt;"")*IND_PER)),IND_PER,0))))</f>
        <v/>
      </c>
      <c r="AK311" s="87" t="str">
        <f aca="false">IF(AH311="","",IF(COUNTIF(TASA_DESDE,"&lt;="&amp;B311)=0,INDEX(TASA_EMP,1),INDEX(TASA_EMP,COUNTIF(TASA_DESDE,"&lt;="&amp;B311))))</f>
        <v/>
      </c>
    </row>
    <row r="312" customFormat="false" ht="15" hidden="false" customHeight="false" outlineLevel="0" collapsed="false">
      <c r="B312" s="78"/>
      <c r="C312" s="64"/>
      <c r="D312" s="72" t="str">
        <f aca="false">IF(C312="","",IFERROR(INDEX(T_NOMBRE,MATCH(C312,T_ID,0)),"⚠ ID no existe"))</f>
        <v/>
      </c>
      <c r="E312" s="69"/>
      <c r="F312" s="67"/>
      <c r="G312" s="67"/>
      <c r="H312" s="67"/>
      <c r="I312" s="67"/>
      <c r="J312" s="67"/>
      <c r="K312" s="85" t="str">
        <f aca="false">IF(AH312="","",N(F312)+N(G312)+N(H312)-N(I312)+N(J312))</f>
        <v/>
      </c>
      <c r="L312" s="67"/>
      <c r="M312" s="67"/>
      <c r="N312" s="67"/>
      <c r="O312" s="67"/>
      <c r="P312" s="85" t="str">
        <f aca="false">IF(AH312="","",K312+N(L312)+N(M312)+N(N312)+N(O312))</f>
        <v/>
      </c>
      <c r="Q312" s="67"/>
      <c r="R312" s="67"/>
      <c r="S312" s="67"/>
      <c r="T312" s="67"/>
      <c r="U312" s="67"/>
      <c r="V312" s="67"/>
      <c r="W312" s="85" t="str">
        <f aca="false">IF(AH312="","",N(Q312)+N(R312)+N(S312)+N(T312)+N(U312)+N(V312))</f>
        <v/>
      </c>
      <c r="X312" s="85" t="str">
        <f aca="false">IF(AH312="","",P312-W312)</f>
        <v/>
      </c>
      <c r="Y312" s="67"/>
      <c r="Z312" s="70" t="str">
        <f aca="false">IF(OR(AH312="",Y312=""),"",IF(ABS(X312-Y312)&lt;=1,"✓ Cuadra","⚠ Diferencia $"&amp;FIXED(X312-Y312,0)))</f>
        <v/>
      </c>
      <c r="AA312" s="72" t="str">
        <f aca="false">IF(AH312="","",IFERROR(INDEX(C_TIPO,MATCH(C312&amp;"-P"&amp;MAX(1,COUNTIFS(C_ID,C312,C_DEFINE,"Sí",C_INICIO,"&lt;="&amp;EOMONTH(B312,0))),C_CLAVE,0))&amp;"","Sin dato"))</f>
        <v/>
      </c>
      <c r="AB312" s="71" t="str">
        <f aca="false">IF(AH312="","",ROUND(MIN(K312,TOPE_AFP_UF*AJ312)*AK312,0))</f>
        <v/>
      </c>
      <c r="AC312" s="71" t="str">
        <f aca="false">IF(AH312="","",ROUND(MIN(K312,TOPE_AFC_UF*AJ312)*IF(AA312="Indefinido",AFC_EMP_INDEF,AFC_EMP_PF),0))</f>
        <v/>
      </c>
      <c r="AD312" s="71" t="str">
        <f aca="false">IF(AH312="","",ROUND(MIN(K312,TOPE_AFP_UF*AJ312)*(MUTUAL_BASICA+MUTUAL_ADIC+SANNA),0))</f>
        <v/>
      </c>
      <c r="AE312" s="71" t="str">
        <f aca="false">IF(AH312="","",P312-N(N312)+AB312+AC312+AD312)</f>
        <v/>
      </c>
      <c r="AF312" s="65"/>
      <c r="AG312" s="64"/>
      <c r="AH312" s="72" t="str">
        <f aca="false">IF(OR(B312="",C312=""),"",C312&amp;"|"&amp;(YEAR(B312)*100+MONTH(B312)))</f>
        <v/>
      </c>
      <c r="AI312" s="70" t="str">
        <f aca="false">IF(AH312="","",IF(COUNTIF(L_CLAVE,AH312)&gt;1,"⚠ Duplicado","OK"))</f>
        <v/>
      </c>
      <c r="AJ312" s="86" t="str">
        <f aca="false">IF(AH312="","",IF(SUMPRODUCT(MAX((IND_PER&lt;=B312)*(IND_UF&lt;&gt;"")*IND_PER))=0,UF_HOY,INDEX(IND_UF,MATCH(SUMPRODUCT(MAX((IND_PER&lt;=B312)*(IND_UF&lt;&gt;"")*IND_PER)),IND_PER,0))))</f>
        <v/>
      </c>
      <c r="AK312" s="87" t="str">
        <f aca="false">IF(AH312="","",IF(COUNTIF(TASA_DESDE,"&lt;="&amp;B312)=0,INDEX(TASA_EMP,1),INDEX(TASA_EMP,COUNTIF(TASA_DESDE,"&lt;="&amp;B312))))</f>
        <v/>
      </c>
    </row>
    <row r="313" customFormat="false" ht="15" hidden="false" customHeight="false" outlineLevel="0" collapsed="false">
      <c r="B313" s="78"/>
      <c r="C313" s="64"/>
      <c r="D313" s="72" t="str">
        <f aca="false">IF(C313="","",IFERROR(INDEX(T_NOMBRE,MATCH(C313,T_ID,0)),"⚠ ID no existe"))</f>
        <v/>
      </c>
      <c r="E313" s="69"/>
      <c r="F313" s="67"/>
      <c r="G313" s="67"/>
      <c r="H313" s="67"/>
      <c r="I313" s="67"/>
      <c r="J313" s="67"/>
      <c r="K313" s="85" t="str">
        <f aca="false">IF(AH313="","",N(F313)+N(G313)+N(H313)-N(I313)+N(J313))</f>
        <v/>
      </c>
      <c r="L313" s="67"/>
      <c r="M313" s="67"/>
      <c r="N313" s="67"/>
      <c r="O313" s="67"/>
      <c r="P313" s="85" t="str">
        <f aca="false">IF(AH313="","",K313+N(L313)+N(M313)+N(N313)+N(O313))</f>
        <v/>
      </c>
      <c r="Q313" s="67"/>
      <c r="R313" s="67"/>
      <c r="S313" s="67"/>
      <c r="T313" s="67"/>
      <c r="U313" s="67"/>
      <c r="V313" s="67"/>
      <c r="W313" s="85" t="str">
        <f aca="false">IF(AH313="","",N(Q313)+N(R313)+N(S313)+N(T313)+N(U313)+N(V313))</f>
        <v/>
      </c>
      <c r="X313" s="85" t="str">
        <f aca="false">IF(AH313="","",P313-W313)</f>
        <v/>
      </c>
      <c r="Y313" s="67"/>
      <c r="Z313" s="70" t="str">
        <f aca="false">IF(OR(AH313="",Y313=""),"",IF(ABS(X313-Y313)&lt;=1,"✓ Cuadra","⚠ Diferencia $"&amp;FIXED(X313-Y313,0)))</f>
        <v/>
      </c>
      <c r="AA313" s="72" t="str">
        <f aca="false">IF(AH313="","",IFERROR(INDEX(C_TIPO,MATCH(C313&amp;"-P"&amp;MAX(1,COUNTIFS(C_ID,C313,C_DEFINE,"Sí",C_INICIO,"&lt;="&amp;EOMONTH(B313,0))),C_CLAVE,0))&amp;"","Sin dato"))</f>
        <v/>
      </c>
      <c r="AB313" s="71" t="str">
        <f aca="false">IF(AH313="","",ROUND(MIN(K313,TOPE_AFP_UF*AJ313)*AK313,0))</f>
        <v/>
      </c>
      <c r="AC313" s="71" t="str">
        <f aca="false">IF(AH313="","",ROUND(MIN(K313,TOPE_AFC_UF*AJ313)*IF(AA313="Indefinido",AFC_EMP_INDEF,AFC_EMP_PF),0))</f>
        <v/>
      </c>
      <c r="AD313" s="71" t="str">
        <f aca="false">IF(AH313="","",ROUND(MIN(K313,TOPE_AFP_UF*AJ313)*(MUTUAL_BASICA+MUTUAL_ADIC+SANNA),0))</f>
        <v/>
      </c>
      <c r="AE313" s="71" t="str">
        <f aca="false">IF(AH313="","",P313-N(N313)+AB313+AC313+AD313)</f>
        <v/>
      </c>
      <c r="AF313" s="65"/>
      <c r="AG313" s="64"/>
      <c r="AH313" s="72" t="str">
        <f aca="false">IF(OR(B313="",C313=""),"",C313&amp;"|"&amp;(YEAR(B313)*100+MONTH(B313)))</f>
        <v/>
      </c>
      <c r="AI313" s="70" t="str">
        <f aca="false">IF(AH313="","",IF(COUNTIF(L_CLAVE,AH313)&gt;1,"⚠ Duplicado","OK"))</f>
        <v/>
      </c>
      <c r="AJ313" s="86" t="str">
        <f aca="false">IF(AH313="","",IF(SUMPRODUCT(MAX((IND_PER&lt;=B313)*(IND_UF&lt;&gt;"")*IND_PER))=0,UF_HOY,INDEX(IND_UF,MATCH(SUMPRODUCT(MAX((IND_PER&lt;=B313)*(IND_UF&lt;&gt;"")*IND_PER)),IND_PER,0))))</f>
        <v/>
      </c>
      <c r="AK313" s="87" t="str">
        <f aca="false">IF(AH313="","",IF(COUNTIF(TASA_DESDE,"&lt;="&amp;B313)=0,INDEX(TASA_EMP,1),INDEX(TASA_EMP,COUNTIF(TASA_DESDE,"&lt;="&amp;B313))))</f>
        <v/>
      </c>
    </row>
    <row r="314" customFormat="false" ht="15" hidden="false" customHeight="false" outlineLevel="0" collapsed="false">
      <c r="B314" s="78"/>
      <c r="C314" s="64"/>
      <c r="D314" s="72" t="str">
        <f aca="false">IF(C314="","",IFERROR(INDEX(T_NOMBRE,MATCH(C314,T_ID,0)),"⚠ ID no existe"))</f>
        <v/>
      </c>
      <c r="E314" s="69"/>
      <c r="F314" s="67"/>
      <c r="G314" s="67"/>
      <c r="H314" s="67"/>
      <c r="I314" s="67"/>
      <c r="J314" s="67"/>
      <c r="K314" s="85" t="str">
        <f aca="false">IF(AH314="","",N(F314)+N(G314)+N(H314)-N(I314)+N(J314))</f>
        <v/>
      </c>
      <c r="L314" s="67"/>
      <c r="M314" s="67"/>
      <c r="N314" s="67"/>
      <c r="O314" s="67"/>
      <c r="P314" s="85" t="str">
        <f aca="false">IF(AH314="","",K314+N(L314)+N(M314)+N(N314)+N(O314))</f>
        <v/>
      </c>
      <c r="Q314" s="67"/>
      <c r="R314" s="67"/>
      <c r="S314" s="67"/>
      <c r="T314" s="67"/>
      <c r="U314" s="67"/>
      <c r="V314" s="67"/>
      <c r="W314" s="85" t="str">
        <f aca="false">IF(AH314="","",N(Q314)+N(R314)+N(S314)+N(T314)+N(U314)+N(V314))</f>
        <v/>
      </c>
      <c r="X314" s="85" t="str">
        <f aca="false">IF(AH314="","",P314-W314)</f>
        <v/>
      </c>
      <c r="Y314" s="67"/>
      <c r="Z314" s="70" t="str">
        <f aca="false">IF(OR(AH314="",Y314=""),"",IF(ABS(X314-Y314)&lt;=1,"✓ Cuadra","⚠ Diferencia $"&amp;FIXED(X314-Y314,0)))</f>
        <v/>
      </c>
      <c r="AA314" s="72" t="str">
        <f aca="false">IF(AH314="","",IFERROR(INDEX(C_TIPO,MATCH(C314&amp;"-P"&amp;MAX(1,COUNTIFS(C_ID,C314,C_DEFINE,"Sí",C_INICIO,"&lt;="&amp;EOMONTH(B314,0))),C_CLAVE,0))&amp;"","Sin dato"))</f>
        <v/>
      </c>
      <c r="AB314" s="71" t="str">
        <f aca="false">IF(AH314="","",ROUND(MIN(K314,TOPE_AFP_UF*AJ314)*AK314,0))</f>
        <v/>
      </c>
      <c r="AC314" s="71" t="str">
        <f aca="false">IF(AH314="","",ROUND(MIN(K314,TOPE_AFC_UF*AJ314)*IF(AA314="Indefinido",AFC_EMP_INDEF,AFC_EMP_PF),0))</f>
        <v/>
      </c>
      <c r="AD314" s="71" t="str">
        <f aca="false">IF(AH314="","",ROUND(MIN(K314,TOPE_AFP_UF*AJ314)*(MUTUAL_BASICA+MUTUAL_ADIC+SANNA),0))</f>
        <v/>
      </c>
      <c r="AE314" s="71" t="str">
        <f aca="false">IF(AH314="","",P314-N(N314)+AB314+AC314+AD314)</f>
        <v/>
      </c>
      <c r="AF314" s="65"/>
      <c r="AG314" s="64"/>
      <c r="AH314" s="72" t="str">
        <f aca="false">IF(OR(B314="",C314=""),"",C314&amp;"|"&amp;(YEAR(B314)*100+MONTH(B314)))</f>
        <v/>
      </c>
      <c r="AI314" s="70" t="str">
        <f aca="false">IF(AH314="","",IF(COUNTIF(L_CLAVE,AH314)&gt;1,"⚠ Duplicado","OK"))</f>
        <v/>
      </c>
      <c r="AJ314" s="86" t="str">
        <f aca="false">IF(AH314="","",IF(SUMPRODUCT(MAX((IND_PER&lt;=B314)*(IND_UF&lt;&gt;"")*IND_PER))=0,UF_HOY,INDEX(IND_UF,MATCH(SUMPRODUCT(MAX((IND_PER&lt;=B314)*(IND_UF&lt;&gt;"")*IND_PER)),IND_PER,0))))</f>
        <v/>
      </c>
      <c r="AK314" s="87" t="str">
        <f aca="false">IF(AH314="","",IF(COUNTIF(TASA_DESDE,"&lt;="&amp;B314)=0,INDEX(TASA_EMP,1),INDEX(TASA_EMP,COUNTIF(TASA_DESDE,"&lt;="&amp;B314))))</f>
        <v/>
      </c>
    </row>
    <row r="315" customFormat="false" ht="15" hidden="false" customHeight="false" outlineLevel="0" collapsed="false">
      <c r="B315" s="78"/>
      <c r="C315" s="64"/>
      <c r="D315" s="72" t="str">
        <f aca="false">IF(C315="","",IFERROR(INDEX(T_NOMBRE,MATCH(C315,T_ID,0)),"⚠ ID no existe"))</f>
        <v/>
      </c>
      <c r="E315" s="69"/>
      <c r="F315" s="67"/>
      <c r="G315" s="67"/>
      <c r="H315" s="67"/>
      <c r="I315" s="67"/>
      <c r="J315" s="67"/>
      <c r="K315" s="85" t="str">
        <f aca="false">IF(AH315="","",N(F315)+N(G315)+N(H315)-N(I315)+N(J315))</f>
        <v/>
      </c>
      <c r="L315" s="67"/>
      <c r="M315" s="67"/>
      <c r="N315" s="67"/>
      <c r="O315" s="67"/>
      <c r="P315" s="85" t="str">
        <f aca="false">IF(AH315="","",K315+N(L315)+N(M315)+N(N315)+N(O315))</f>
        <v/>
      </c>
      <c r="Q315" s="67"/>
      <c r="R315" s="67"/>
      <c r="S315" s="67"/>
      <c r="T315" s="67"/>
      <c r="U315" s="67"/>
      <c r="V315" s="67"/>
      <c r="W315" s="85" t="str">
        <f aca="false">IF(AH315="","",N(Q315)+N(R315)+N(S315)+N(T315)+N(U315)+N(V315))</f>
        <v/>
      </c>
      <c r="X315" s="85" t="str">
        <f aca="false">IF(AH315="","",P315-W315)</f>
        <v/>
      </c>
      <c r="Y315" s="67"/>
      <c r="Z315" s="70" t="str">
        <f aca="false">IF(OR(AH315="",Y315=""),"",IF(ABS(X315-Y315)&lt;=1,"✓ Cuadra","⚠ Diferencia $"&amp;FIXED(X315-Y315,0)))</f>
        <v/>
      </c>
      <c r="AA315" s="72" t="str">
        <f aca="false">IF(AH315="","",IFERROR(INDEX(C_TIPO,MATCH(C315&amp;"-P"&amp;MAX(1,COUNTIFS(C_ID,C315,C_DEFINE,"Sí",C_INICIO,"&lt;="&amp;EOMONTH(B315,0))),C_CLAVE,0))&amp;"","Sin dato"))</f>
        <v/>
      </c>
      <c r="AB315" s="71" t="str">
        <f aca="false">IF(AH315="","",ROUND(MIN(K315,TOPE_AFP_UF*AJ315)*AK315,0))</f>
        <v/>
      </c>
      <c r="AC315" s="71" t="str">
        <f aca="false">IF(AH315="","",ROUND(MIN(K315,TOPE_AFC_UF*AJ315)*IF(AA315="Indefinido",AFC_EMP_INDEF,AFC_EMP_PF),0))</f>
        <v/>
      </c>
      <c r="AD315" s="71" t="str">
        <f aca="false">IF(AH315="","",ROUND(MIN(K315,TOPE_AFP_UF*AJ315)*(MUTUAL_BASICA+MUTUAL_ADIC+SANNA),0))</f>
        <v/>
      </c>
      <c r="AE315" s="71" t="str">
        <f aca="false">IF(AH315="","",P315-N(N315)+AB315+AC315+AD315)</f>
        <v/>
      </c>
      <c r="AF315" s="65"/>
      <c r="AG315" s="64"/>
      <c r="AH315" s="72" t="str">
        <f aca="false">IF(OR(B315="",C315=""),"",C315&amp;"|"&amp;(YEAR(B315)*100+MONTH(B315)))</f>
        <v/>
      </c>
      <c r="AI315" s="70" t="str">
        <f aca="false">IF(AH315="","",IF(COUNTIF(L_CLAVE,AH315)&gt;1,"⚠ Duplicado","OK"))</f>
        <v/>
      </c>
      <c r="AJ315" s="86" t="str">
        <f aca="false">IF(AH315="","",IF(SUMPRODUCT(MAX((IND_PER&lt;=B315)*(IND_UF&lt;&gt;"")*IND_PER))=0,UF_HOY,INDEX(IND_UF,MATCH(SUMPRODUCT(MAX((IND_PER&lt;=B315)*(IND_UF&lt;&gt;"")*IND_PER)),IND_PER,0))))</f>
        <v/>
      </c>
      <c r="AK315" s="87" t="str">
        <f aca="false">IF(AH315="","",IF(COUNTIF(TASA_DESDE,"&lt;="&amp;B315)=0,INDEX(TASA_EMP,1),INDEX(TASA_EMP,COUNTIF(TASA_DESDE,"&lt;="&amp;B315))))</f>
        <v/>
      </c>
    </row>
    <row r="316" customFormat="false" ht="15" hidden="false" customHeight="false" outlineLevel="0" collapsed="false">
      <c r="B316" s="78"/>
      <c r="C316" s="64"/>
      <c r="D316" s="72" t="str">
        <f aca="false">IF(C316="","",IFERROR(INDEX(T_NOMBRE,MATCH(C316,T_ID,0)),"⚠ ID no existe"))</f>
        <v/>
      </c>
      <c r="E316" s="69"/>
      <c r="F316" s="67"/>
      <c r="G316" s="67"/>
      <c r="H316" s="67"/>
      <c r="I316" s="67"/>
      <c r="J316" s="67"/>
      <c r="K316" s="85" t="str">
        <f aca="false">IF(AH316="","",N(F316)+N(G316)+N(H316)-N(I316)+N(J316))</f>
        <v/>
      </c>
      <c r="L316" s="67"/>
      <c r="M316" s="67"/>
      <c r="N316" s="67"/>
      <c r="O316" s="67"/>
      <c r="P316" s="85" t="str">
        <f aca="false">IF(AH316="","",K316+N(L316)+N(M316)+N(N316)+N(O316))</f>
        <v/>
      </c>
      <c r="Q316" s="67"/>
      <c r="R316" s="67"/>
      <c r="S316" s="67"/>
      <c r="T316" s="67"/>
      <c r="U316" s="67"/>
      <c r="V316" s="67"/>
      <c r="W316" s="85" t="str">
        <f aca="false">IF(AH316="","",N(Q316)+N(R316)+N(S316)+N(T316)+N(U316)+N(V316))</f>
        <v/>
      </c>
      <c r="X316" s="85" t="str">
        <f aca="false">IF(AH316="","",P316-W316)</f>
        <v/>
      </c>
      <c r="Y316" s="67"/>
      <c r="Z316" s="70" t="str">
        <f aca="false">IF(OR(AH316="",Y316=""),"",IF(ABS(X316-Y316)&lt;=1,"✓ Cuadra","⚠ Diferencia $"&amp;FIXED(X316-Y316,0)))</f>
        <v/>
      </c>
      <c r="AA316" s="72" t="str">
        <f aca="false">IF(AH316="","",IFERROR(INDEX(C_TIPO,MATCH(C316&amp;"-P"&amp;MAX(1,COUNTIFS(C_ID,C316,C_DEFINE,"Sí",C_INICIO,"&lt;="&amp;EOMONTH(B316,0))),C_CLAVE,0))&amp;"","Sin dato"))</f>
        <v/>
      </c>
      <c r="AB316" s="71" t="str">
        <f aca="false">IF(AH316="","",ROUND(MIN(K316,TOPE_AFP_UF*AJ316)*AK316,0))</f>
        <v/>
      </c>
      <c r="AC316" s="71" t="str">
        <f aca="false">IF(AH316="","",ROUND(MIN(K316,TOPE_AFC_UF*AJ316)*IF(AA316="Indefinido",AFC_EMP_INDEF,AFC_EMP_PF),0))</f>
        <v/>
      </c>
      <c r="AD316" s="71" t="str">
        <f aca="false">IF(AH316="","",ROUND(MIN(K316,TOPE_AFP_UF*AJ316)*(MUTUAL_BASICA+MUTUAL_ADIC+SANNA),0))</f>
        <v/>
      </c>
      <c r="AE316" s="71" t="str">
        <f aca="false">IF(AH316="","",P316-N(N316)+AB316+AC316+AD316)</f>
        <v/>
      </c>
      <c r="AF316" s="65"/>
      <c r="AG316" s="64"/>
      <c r="AH316" s="72" t="str">
        <f aca="false">IF(OR(B316="",C316=""),"",C316&amp;"|"&amp;(YEAR(B316)*100+MONTH(B316)))</f>
        <v/>
      </c>
      <c r="AI316" s="70" t="str">
        <f aca="false">IF(AH316="","",IF(COUNTIF(L_CLAVE,AH316)&gt;1,"⚠ Duplicado","OK"))</f>
        <v/>
      </c>
      <c r="AJ316" s="86" t="str">
        <f aca="false">IF(AH316="","",IF(SUMPRODUCT(MAX((IND_PER&lt;=B316)*(IND_UF&lt;&gt;"")*IND_PER))=0,UF_HOY,INDEX(IND_UF,MATCH(SUMPRODUCT(MAX((IND_PER&lt;=B316)*(IND_UF&lt;&gt;"")*IND_PER)),IND_PER,0))))</f>
        <v/>
      </c>
      <c r="AK316" s="87" t="str">
        <f aca="false">IF(AH316="","",IF(COUNTIF(TASA_DESDE,"&lt;="&amp;B316)=0,INDEX(TASA_EMP,1),INDEX(TASA_EMP,COUNTIF(TASA_DESDE,"&lt;="&amp;B316))))</f>
        <v/>
      </c>
    </row>
    <row r="317" customFormat="false" ht="15" hidden="false" customHeight="false" outlineLevel="0" collapsed="false">
      <c r="B317" s="78"/>
      <c r="C317" s="64"/>
      <c r="D317" s="72" t="str">
        <f aca="false">IF(C317="","",IFERROR(INDEX(T_NOMBRE,MATCH(C317,T_ID,0)),"⚠ ID no existe"))</f>
        <v/>
      </c>
      <c r="E317" s="69"/>
      <c r="F317" s="67"/>
      <c r="G317" s="67"/>
      <c r="H317" s="67"/>
      <c r="I317" s="67"/>
      <c r="J317" s="67"/>
      <c r="K317" s="85" t="str">
        <f aca="false">IF(AH317="","",N(F317)+N(G317)+N(H317)-N(I317)+N(J317))</f>
        <v/>
      </c>
      <c r="L317" s="67"/>
      <c r="M317" s="67"/>
      <c r="N317" s="67"/>
      <c r="O317" s="67"/>
      <c r="P317" s="85" t="str">
        <f aca="false">IF(AH317="","",K317+N(L317)+N(M317)+N(N317)+N(O317))</f>
        <v/>
      </c>
      <c r="Q317" s="67"/>
      <c r="R317" s="67"/>
      <c r="S317" s="67"/>
      <c r="T317" s="67"/>
      <c r="U317" s="67"/>
      <c r="V317" s="67"/>
      <c r="W317" s="85" t="str">
        <f aca="false">IF(AH317="","",N(Q317)+N(R317)+N(S317)+N(T317)+N(U317)+N(V317))</f>
        <v/>
      </c>
      <c r="X317" s="85" t="str">
        <f aca="false">IF(AH317="","",P317-W317)</f>
        <v/>
      </c>
      <c r="Y317" s="67"/>
      <c r="Z317" s="70" t="str">
        <f aca="false">IF(OR(AH317="",Y317=""),"",IF(ABS(X317-Y317)&lt;=1,"✓ Cuadra","⚠ Diferencia $"&amp;FIXED(X317-Y317,0)))</f>
        <v/>
      </c>
      <c r="AA317" s="72" t="str">
        <f aca="false">IF(AH317="","",IFERROR(INDEX(C_TIPO,MATCH(C317&amp;"-P"&amp;MAX(1,COUNTIFS(C_ID,C317,C_DEFINE,"Sí",C_INICIO,"&lt;="&amp;EOMONTH(B317,0))),C_CLAVE,0))&amp;"","Sin dato"))</f>
        <v/>
      </c>
      <c r="AB317" s="71" t="str">
        <f aca="false">IF(AH317="","",ROUND(MIN(K317,TOPE_AFP_UF*AJ317)*AK317,0))</f>
        <v/>
      </c>
      <c r="AC317" s="71" t="str">
        <f aca="false">IF(AH317="","",ROUND(MIN(K317,TOPE_AFC_UF*AJ317)*IF(AA317="Indefinido",AFC_EMP_INDEF,AFC_EMP_PF),0))</f>
        <v/>
      </c>
      <c r="AD317" s="71" t="str">
        <f aca="false">IF(AH317="","",ROUND(MIN(K317,TOPE_AFP_UF*AJ317)*(MUTUAL_BASICA+MUTUAL_ADIC+SANNA),0))</f>
        <v/>
      </c>
      <c r="AE317" s="71" t="str">
        <f aca="false">IF(AH317="","",P317-N(N317)+AB317+AC317+AD317)</f>
        <v/>
      </c>
      <c r="AF317" s="65"/>
      <c r="AG317" s="64"/>
      <c r="AH317" s="72" t="str">
        <f aca="false">IF(OR(B317="",C317=""),"",C317&amp;"|"&amp;(YEAR(B317)*100+MONTH(B317)))</f>
        <v/>
      </c>
      <c r="AI317" s="70" t="str">
        <f aca="false">IF(AH317="","",IF(COUNTIF(L_CLAVE,AH317)&gt;1,"⚠ Duplicado","OK"))</f>
        <v/>
      </c>
      <c r="AJ317" s="86" t="str">
        <f aca="false">IF(AH317="","",IF(SUMPRODUCT(MAX((IND_PER&lt;=B317)*(IND_UF&lt;&gt;"")*IND_PER))=0,UF_HOY,INDEX(IND_UF,MATCH(SUMPRODUCT(MAX((IND_PER&lt;=B317)*(IND_UF&lt;&gt;"")*IND_PER)),IND_PER,0))))</f>
        <v/>
      </c>
      <c r="AK317" s="87" t="str">
        <f aca="false">IF(AH317="","",IF(COUNTIF(TASA_DESDE,"&lt;="&amp;B317)=0,INDEX(TASA_EMP,1),INDEX(TASA_EMP,COUNTIF(TASA_DESDE,"&lt;="&amp;B317))))</f>
        <v/>
      </c>
    </row>
    <row r="318" customFormat="false" ht="15" hidden="false" customHeight="false" outlineLevel="0" collapsed="false">
      <c r="B318" s="78"/>
      <c r="C318" s="64"/>
      <c r="D318" s="72" t="str">
        <f aca="false">IF(C318="","",IFERROR(INDEX(T_NOMBRE,MATCH(C318,T_ID,0)),"⚠ ID no existe"))</f>
        <v/>
      </c>
      <c r="E318" s="69"/>
      <c r="F318" s="67"/>
      <c r="G318" s="67"/>
      <c r="H318" s="67"/>
      <c r="I318" s="67"/>
      <c r="J318" s="67"/>
      <c r="K318" s="85" t="str">
        <f aca="false">IF(AH318="","",N(F318)+N(G318)+N(H318)-N(I318)+N(J318))</f>
        <v/>
      </c>
      <c r="L318" s="67"/>
      <c r="M318" s="67"/>
      <c r="N318" s="67"/>
      <c r="O318" s="67"/>
      <c r="P318" s="85" t="str">
        <f aca="false">IF(AH318="","",K318+N(L318)+N(M318)+N(N318)+N(O318))</f>
        <v/>
      </c>
      <c r="Q318" s="67"/>
      <c r="R318" s="67"/>
      <c r="S318" s="67"/>
      <c r="T318" s="67"/>
      <c r="U318" s="67"/>
      <c r="V318" s="67"/>
      <c r="W318" s="85" t="str">
        <f aca="false">IF(AH318="","",N(Q318)+N(R318)+N(S318)+N(T318)+N(U318)+N(V318))</f>
        <v/>
      </c>
      <c r="X318" s="85" t="str">
        <f aca="false">IF(AH318="","",P318-W318)</f>
        <v/>
      </c>
      <c r="Y318" s="67"/>
      <c r="Z318" s="70" t="str">
        <f aca="false">IF(OR(AH318="",Y318=""),"",IF(ABS(X318-Y318)&lt;=1,"✓ Cuadra","⚠ Diferencia $"&amp;FIXED(X318-Y318,0)))</f>
        <v/>
      </c>
      <c r="AA318" s="72" t="str">
        <f aca="false">IF(AH318="","",IFERROR(INDEX(C_TIPO,MATCH(C318&amp;"-P"&amp;MAX(1,COUNTIFS(C_ID,C318,C_DEFINE,"Sí",C_INICIO,"&lt;="&amp;EOMONTH(B318,0))),C_CLAVE,0))&amp;"","Sin dato"))</f>
        <v/>
      </c>
      <c r="AB318" s="71" t="str">
        <f aca="false">IF(AH318="","",ROUND(MIN(K318,TOPE_AFP_UF*AJ318)*AK318,0))</f>
        <v/>
      </c>
      <c r="AC318" s="71" t="str">
        <f aca="false">IF(AH318="","",ROUND(MIN(K318,TOPE_AFC_UF*AJ318)*IF(AA318="Indefinido",AFC_EMP_INDEF,AFC_EMP_PF),0))</f>
        <v/>
      </c>
      <c r="AD318" s="71" t="str">
        <f aca="false">IF(AH318="","",ROUND(MIN(K318,TOPE_AFP_UF*AJ318)*(MUTUAL_BASICA+MUTUAL_ADIC+SANNA),0))</f>
        <v/>
      </c>
      <c r="AE318" s="71" t="str">
        <f aca="false">IF(AH318="","",P318-N(N318)+AB318+AC318+AD318)</f>
        <v/>
      </c>
      <c r="AF318" s="65"/>
      <c r="AG318" s="64"/>
      <c r="AH318" s="72" t="str">
        <f aca="false">IF(OR(B318="",C318=""),"",C318&amp;"|"&amp;(YEAR(B318)*100+MONTH(B318)))</f>
        <v/>
      </c>
      <c r="AI318" s="70" t="str">
        <f aca="false">IF(AH318="","",IF(COUNTIF(L_CLAVE,AH318)&gt;1,"⚠ Duplicado","OK"))</f>
        <v/>
      </c>
      <c r="AJ318" s="86" t="str">
        <f aca="false">IF(AH318="","",IF(SUMPRODUCT(MAX((IND_PER&lt;=B318)*(IND_UF&lt;&gt;"")*IND_PER))=0,UF_HOY,INDEX(IND_UF,MATCH(SUMPRODUCT(MAX((IND_PER&lt;=B318)*(IND_UF&lt;&gt;"")*IND_PER)),IND_PER,0))))</f>
        <v/>
      </c>
      <c r="AK318" s="87" t="str">
        <f aca="false">IF(AH318="","",IF(COUNTIF(TASA_DESDE,"&lt;="&amp;B318)=0,INDEX(TASA_EMP,1),INDEX(TASA_EMP,COUNTIF(TASA_DESDE,"&lt;="&amp;B318))))</f>
        <v/>
      </c>
    </row>
    <row r="319" customFormat="false" ht="15" hidden="false" customHeight="false" outlineLevel="0" collapsed="false">
      <c r="B319" s="78"/>
      <c r="C319" s="64"/>
      <c r="D319" s="72" t="str">
        <f aca="false">IF(C319="","",IFERROR(INDEX(T_NOMBRE,MATCH(C319,T_ID,0)),"⚠ ID no existe"))</f>
        <v/>
      </c>
      <c r="E319" s="69"/>
      <c r="F319" s="67"/>
      <c r="G319" s="67"/>
      <c r="H319" s="67"/>
      <c r="I319" s="67"/>
      <c r="J319" s="67"/>
      <c r="K319" s="85" t="str">
        <f aca="false">IF(AH319="","",N(F319)+N(G319)+N(H319)-N(I319)+N(J319))</f>
        <v/>
      </c>
      <c r="L319" s="67"/>
      <c r="M319" s="67"/>
      <c r="N319" s="67"/>
      <c r="O319" s="67"/>
      <c r="P319" s="85" t="str">
        <f aca="false">IF(AH319="","",K319+N(L319)+N(M319)+N(N319)+N(O319))</f>
        <v/>
      </c>
      <c r="Q319" s="67"/>
      <c r="R319" s="67"/>
      <c r="S319" s="67"/>
      <c r="T319" s="67"/>
      <c r="U319" s="67"/>
      <c r="V319" s="67"/>
      <c r="W319" s="85" t="str">
        <f aca="false">IF(AH319="","",N(Q319)+N(R319)+N(S319)+N(T319)+N(U319)+N(V319))</f>
        <v/>
      </c>
      <c r="X319" s="85" t="str">
        <f aca="false">IF(AH319="","",P319-W319)</f>
        <v/>
      </c>
      <c r="Y319" s="67"/>
      <c r="Z319" s="70" t="str">
        <f aca="false">IF(OR(AH319="",Y319=""),"",IF(ABS(X319-Y319)&lt;=1,"✓ Cuadra","⚠ Diferencia $"&amp;FIXED(X319-Y319,0)))</f>
        <v/>
      </c>
      <c r="AA319" s="72" t="str">
        <f aca="false">IF(AH319="","",IFERROR(INDEX(C_TIPO,MATCH(C319&amp;"-P"&amp;MAX(1,COUNTIFS(C_ID,C319,C_DEFINE,"Sí",C_INICIO,"&lt;="&amp;EOMONTH(B319,0))),C_CLAVE,0))&amp;"","Sin dato"))</f>
        <v/>
      </c>
      <c r="AB319" s="71" t="str">
        <f aca="false">IF(AH319="","",ROUND(MIN(K319,TOPE_AFP_UF*AJ319)*AK319,0))</f>
        <v/>
      </c>
      <c r="AC319" s="71" t="str">
        <f aca="false">IF(AH319="","",ROUND(MIN(K319,TOPE_AFC_UF*AJ319)*IF(AA319="Indefinido",AFC_EMP_INDEF,AFC_EMP_PF),0))</f>
        <v/>
      </c>
      <c r="AD319" s="71" t="str">
        <f aca="false">IF(AH319="","",ROUND(MIN(K319,TOPE_AFP_UF*AJ319)*(MUTUAL_BASICA+MUTUAL_ADIC+SANNA),0))</f>
        <v/>
      </c>
      <c r="AE319" s="71" t="str">
        <f aca="false">IF(AH319="","",P319-N(N319)+AB319+AC319+AD319)</f>
        <v/>
      </c>
      <c r="AF319" s="65"/>
      <c r="AG319" s="64"/>
      <c r="AH319" s="72" t="str">
        <f aca="false">IF(OR(B319="",C319=""),"",C319&amp;"|"&amp;(YEAR(B319)*100+MONTH(B319)))</f>
        <v/>
      </c>
      <c r="AI319" s="70" t="str">
        <f aca="false">IF(AH319="","",IF(COUNTIF(L_CLAVE,AH319)&gt;1,"⚠ Duplicado","OK"))</f>
        <v/>
      </c>
      <c r="AJ319" s="86" t="str">
        <f aca="false">IF(AH319="","",IF(SUMPRODUCT(MAX((IND_PER&lt;=B319)*(IND_UF&lt;&gt;"")*IND_PER))=0,UF_HOY,INDEX(IND_UF,MATCH(SUMPRODUCT(MAX((IND_PER&lt;=B319)*(IND_UF&lt;&gt;"")*IND_PER)),IND_PER,0))))</f>
        <v/>
      </c>
      <c r="AK319" s="87" t="str">
        <f aca="false">IF(AH319="","",IF(COUNTIF(TASA_DESDE,"&lt;="&amp;B319)=0,INDEX(TASA_EMP,1),INDEX(TASA_EMP,COUNTIF(TASA_DESDE,"&lt;="&amp;B319))))</f>
        <v/>
      </c>
    </row>
    <row r="320" customFormat="false" ht="15" hidden="false" customHeight="false" outlineLevel="0" collapsed="false">
      <c r="B320" s="78"/>
      <c r="C320" s="64"/>
      <c r="D320" s="72" t="str">
        <f aca="false">IF(C320="","",IFERROR(INDEX(T_NOMBRE,MATCH(C320,T_ID,0)),"⚠ ID no existe"))</f>
        <v/>
      </c>
      <c r="E320" s="69"/>
      <c r="F320" s="67"/>
      <c r="G320" s="67"/>
      <c r="H320" s="67"/>
      <c r="I320" s="67"/>
      <c r="J320" s="67"/>
      <c r="K320" s="85" t="str">
        <f aca="false">IF(AH320="","",N(F320)+N(G320)+N(H320)-N(I320)+N(J320))</f>
        <v/>
      </c>
      <c r="L320" s="67"/>
      <c r="M320" s="67"/>
      <c r="N320" s="67"/>
      <c r="O320" s="67"/>
      <c r="P320" s="85" t="str">
        <f aca="false">IF(AH320="","",K320+N(L320)+N(M320)+N(N320)+N(O320))</f>
        <v/>
      </c>
      <c r="Q320" s="67"/>
      <c r="R320" s="67"/>
      <c r="S320" s="67"/>
      <c r="T320" s="67"/>
      <c r="U320" s="67"/>
      <c r="V320" s="67"/>
      <c r="W320" s="85" t="str">
        <f aca="false">IF(AH320="","",N(Q320)+N(R320)+N(S320)+N(T320)+N(U320)+N(V320))</f>
        <v/>
      </c>
      <c r="X320" s="85" t="str">
        <f aca="false">IF(AH320="","",P320-W320)</f>
        <v/>
      </c>
      <c r="Y320" s="67"/>
      <c r="Z320" s="70" t="str">
        <f aca="false">IF(OR(AH320="",Y320=""),"",IF(ABS(X320-Y320)&lt;=1,"✓ Cuadra","⚠ Diferencia $"&amp;FIXED(X320-Y320,0)))</f>
        <v/>
      </c>
      <c r="AA320" s="72" t="str">
        <f aca="false">IF(AH320="","",IFERROR(INDEX(C_TIPO,MATCH(C320&amp;"-P"&amp;MAX(1,COUNTIFS(C_ID,C320,C_DEFINE,"Sí",C_INICIO,"&lt;="&amp;EOMONTH(B320,0))),C_CLAVE,0))&amp;"","Sin dato"))</f>
        <v/>
      </c>
      <c r="AB320" s="71" t="str">
        <f aca="false">IF(AH320="","",ROUND(MIN(K320,TOPE_AFP_UF*AJ320)*AK320,0))</f>
        <v/>
      </c>
      <c r="AC320" s="71" t="str">
        <f aca="false">IF(AH320="","",ROUND(MIN(K320,TOPE_AFC_UF*AJ320)*IF(AA320="Indefinido",AFC_EMP_INDEF,AFC_EMP_PF),0))</f>
        <v/>
      </c>
      <c r="AD320" s="71" t="str">
        <f aca="false">IF(AH320="","",ROUND(MIN(K320,TOPE_AFP_UF*AJ320)*(MUTUAL_BASICA+MUTUAL_ADIC+SANNA),0))</f>
        <v/>
      </c>
      <c r="AE320" s="71" t="str">
        <f aca="false">IF(AH320="","",P320-N(N320)+AB320+AC320+AD320)</f>
        <v/>
      </c>
      <c r="AF320" s="65"/>
      <c r="AG320" s="64"/>
      <c r="AH320" s="72" t="str">
        <f aca="false">IF(OR(B320="",C320=""),"",C320&amp;"|"&amp;(YEAR(B320)*100+MONTH(B320)))</f>
        <v/>
      </c>
      <c r="AI320" s="70" t="str">
        <f aca="false">IF(AH320="","",IF(COUNTIF(L_CLAVE,AH320)&gt;1,"⚠ Duplicado","OK"))</f>
        <v/>
      </c>
      <c r="AJ320" s="86" t="str">
        <f aca="false">IF(AH320="","",IF(SUMPRODUCT(MAX((IND_PER&lt;=B320)*(IND_UF&lt;&gt;"")*IND_PER))=0,UF_HOY,INDEX(IND_UF,MATCH(SUMPRODUCT(MAX((IND_PER&lt;=B320)*(IND_UF&lt;&gt;"")*IND_PER)),IND_PER,0))))</f>
        <v/>
      </c>
      <c r="AK320" s="87" t="str">
        <f aca="false">IF(AH320="","",IF(COUNTIF(TASA_DESDE,"&lt;="&amp;B320)=0,INDEX(TASA_EMP,1),INDEX(TASA_EMP,COUNTIF(TASA_DESDE,"&lt;="&amp;B320))))</f>
        <v/>
      </c>
    </row>
    <row r="321" customFormat="false" ht="15" hidden="false" customHeight="false" outlineLevel="0" collapsed="false">
      <c r="B321" s="78"/>
      <c r="C321" s="64"/>
      <c r="D321" s="72" t="str">
        <f aca="false">IF(C321="","",IFERROR(INDEX(T_NOMBRE,MATCH(C321,T_ID,0)),"⚠ ID no existe"))</f>
        <v/>
      </c>
      <c r="E321" s="69"/>
      <c r="F321" s="67"/>
      <c r="G321" s="67"/>
      <c r="H321" s="67"/>
      <c r="I321" s="67"/>
      <c r="J321" s="67"/>
      <c r="K321" s="85" t="str">
        <f aca="false">IF(AH321="","",N(F321)+N(G321)+N(H321)-N(I321)+N(J321))</f>
        <v/>
      </c>
      <c r="L321" s="67"/>
      <c r="M321" s="67"/>
      <c r="N321" s="67"/>
      <c r="O321" s="67"/>
      <c r="P321" s="85" t="str">
        <f aca="false">IF(AH321="","",K321+N(L321)+N(M321)+N(N321)+N(O321))</f>
        <v/>
      </c>
      <c r="Q321" s="67"/>
      <c r="R321" s="67"/>
      <c r="S321" s="67"/>
      <c r="T321" s="67"/>
      <c r="U321" s="67"/>
      <c r="V321" s="67"/>
      <c r="W321" s="85" t="str">
        <f aca="false">IF(AH321="","",N(Q321)+N(R321)+N(S321)+N(T321)+N(U321)+N(V321))</f>
        <v/>
      </c>
      <c r="X321" s="85" t="str">
        <f aca="false">IF(AH321="","",P321-W321)</f>
        <v/>
      </c>
      <c r="Y321" s="67"/>
      <c r="Z321" s="70" t="str">
        <f aca="false">IF(OR(AH321="",Y321=""),"",IF(ABS(X321-Y321)&lt;=1,"✓ Cuadra","⚠ Diferencia $"&amp;FIXED(X321-Y321,0)))</f>
        <v/>
      </c>
      <c r="AA321" s="72" t="str">
        <f aca="false">IF(AH321="","",IFERROR(INDEX(C_TIPO,MATCH(C321&amp;"-P"&amp;MAX(1,COUNTIFS(C_ID,C321,C_DEFINE,"Sí",C_INICIO,"&lt;="&amp;EOMONTH(B321,0))),C_CLAVE,0))&amp;"","Sin dato"))</f>
        <v/>
      </c>
      <c r="AB321" s="71" t="str">
        <f aca="false">IF(AH321="","",ROUND(MIN(K321,TOPE_AFP_UF*AJ321)*AK321,0))</f>
        <v/>
      </c>
      <c r="AC321" s="71" t="str">
        <f aca="false">IF(AH321="","",ROUND(MIN(K321,TOPE_AFC_UF*AJ321)*IF(AA321="Indefinido",AFC_EMP_INDEF,AFC_EMP_PF),0))</f>
        <v/>
      </c>
      <c r="AD321" s="71" t="str">
        <f aca="false">IF(AH321="","",ROUND(MIN(K321,TOPE_AFP_UF*AJ321)*(MUTUAL_BASICA+MUTUAL_ADIC+SANNA),0))</f>
        <v/>
      </c>
      <c r="AE321" s="71" t="str">
        <f aca="false">IF(AH321="","",P321-N(N321)+AB321+AC321+AD321)</f>
        <v/>
      </c>
      <c r="AF321" s="65"/>
      <c r="AG321" s="64"/>
      <c r="AH321" s="72" t="str">
        <f aca="false">IF(OR(B321="",C321=""),"",C321&amp;"|"&amp;(YEAR(B321)*100+MONTH(B321)))</f>
        <v/>
      </c>
      <c r="AI321" s="70" t="str">
        <f aca="false">IF(AH321="","",IF(COUNTIF(L_CLAVE,AH321)&gt;1,"⚠ Duplicado","OK"))</f>
        <v/>
      </c>
      <c r="AJ321" s="86" t="str">
        <f aca="false">IF(AH321="","",IF(SUMPRODUCT(MAX((IND_PER&lt;=B321)*(IND_UF&lt;&gt;"")*IND_PER))=0,UF_HOY,INDEX(IND_UF,MATCH(SUMPRODUCT(MAX((IND_PER&lt;=B321)*(IND_UF&lt;&gt;"")*IND_PER)),IND_PER,0))))</f>
        <v/>
      </c>
      <c r="AK321" s="87" t="str">
        <f aca="false">IF(AH321="","",IF(COUNTIF(TASA_DESDE,"&lt;="&amp;B321)=0,INDEX(TASA_EMP,1),INDEX(TASA_EMP,COUNTIF(TASA_DESDE,"&lt;="&amp;B321))))</f>
        <v/>
      </c>
    </row>
    <row r="322" customFormat="false" ht="15" hidden="false" customHeight="false" outlineLevel="0" collapsed="false">
      <c r="B322" s="78"/>
      <c r="C322" s="64"/>
      <c r="D322" s="72" t="str">
        <f aca="false">IF(C322="","",IFERROR(INDEX(T_NOMBRE,MATCH(C322,T_ID,0)),"⚠ ID no existe"))</f>
        <v/>
      </c>
      <c r="E322" s="69"/>
      <c r="F322" s="67"/>
      <c r="G322" s="67"/>
      <c r="H322" s="67"/>
      <c r="I322" s="67"/>
      <c r="J322" s="67"/>
      <c r="K322" s="85" t="str">
        <f aca="false">IF(AH322="","",N(F322)+N(G322)+N(H322)-N(I322)+N(J322))</f>
        <v/>
      </c>
      <c r="L322" s="67"/>
      <c r="M322" s="67"/>
      <c r="N322" s="67"/>
      <c r="O322" s="67"/>
      <c r="P322" s="85" t="str">
        <f aca="false">IF(AH322="","",K322+N(L322)+N(M322)+N(N322)+N(O322))</f>
        <v/>
      </c>
      <c r="Q322" s="67"/>
      <c r="R322" s="67"/>
      <c r="S322" s="67"/>
      <c r="T322" s="67"/>
      <c r="U322" s="67"/>
      <c r="V322" s="67"/>
      <c r="W322" s="85" t="str">
        <f aca="false">IF(AH322="","",N(Q322)+N(R322)+N(S322)+N(T322)+N(U322)+N(V322))</f>
        <v/>
      </c>
      <c r="X322" s="85" t="str">
        <f aca="false">IF(AH322="","",P322-W322)</f>
        <v/>
      </c>
      <c r="Y322" s="67"/>
      <c r="Z322" s="70" t="str">
        <f aca="false">IF(OR(AH322="",Y322=""),"",IF(ABS(X322-Y322)&lt;=1,"✓ Cuadra","⚠ Diferencia $"&amp;FIXED(X322-Y322,0)))</f>
        <v/>
      </c>
      <c r="AA322" s="72" t="str">
        <f aca="false">IF(AH322="","",IFERROR(INDEX(C_TIPO,MATCH(C322&amp;"-P"&amp;MAX(1,COUNTIFS(C_ID,C322,C_DEFINE,"Sí",C_INICIO,"&lt;="&amp;EOMONTH(B322,0))),C_CLAVE,0))&amp;"","Sin dato"))</f>
        <v/>
      </c>
      <c r="AB322" s="71" t="str">
        <f aca="false">IF(AH322="","",ROUND(MIN(K322,TOPE_AFP_UF*AJ322)*AK322,0))</f>
        <v/>
      </c>
      <c r="AC322" s="71" t="str">
        <f aca="false">IF(AH322="","",ROUND(MIN(K322,TOPE_AFC_UF*AJ322)*IF(AA322="Indefinido",AFC_EMP_INDEF,AFC_EMP_PF),0))</f>
        <v/>
      </c>
      <c r="AD322" s="71" t="str">
        <f aca="false">IF(AH322="","",ROUND(MIN(K322,TOPE_AFP_UF*AJ322)*(MUTUAL_BASICA+MUTUAL_ADIC+SANNA),0))</f>
        <v/>
      </c>
      <c r="AE322" s="71" t="str">
        <f aca="false">IF(AH322="","",P322-N(N322)+AB322+AC322+AD322)</f>
        <v/>
      </c>
      <c r="AF322" s="65"/>
      <c r="AG322" s="64"/>
      <c r="AH322" s="72" t="str">
        <f aca="false">IF(OR(B322="",C322=""),"",C322&amp;"|"&amp;(YEAR(B322)*100+MONTH(B322)))</f>
        <v/>
      </c>
      <c r="AI322" s="70" t="str">
        <f aca="false">IF(AH322="","",IF(COUNTIF(L_CLAVE,AH322)&gt;1,"⚠ Duplicado","OK"))</f>
        <v/>
      </c>
      <c r="AJ322" s="86" t="str">
        <f aca="false">IF(AH322="","",IF(SUMPRODUCT(MAX((IND_PER&lt;=B322)*(IND_UF&lt;&gt;"")*IND_PER))=0,UF_HOY,INDEX(IND_UF,MATCH(SUMPRODUCT(MAX((IND_PER&lt;=B322)*(IND_UF&lt;&gt;"")*IND_PER)),IND_PER,0))))</f>
        <v/>
      </c>
      <c r="AK322" s="87" t="str">
        <f aca="false">IF(AH322="","",IF(COUNTIF(TASA_DESDE,"&lt;="&amp;B322)=0,INDEX(TASA_EMP,1),INDEX(TASA_EMP,COUNTIF(TASA_DESDE,"&lt;="&amp;B322))))</f>
        <v/>
      </c>
    </row>
    <row r="323" customFormat="false" ht="15" hidden="false" customHeight="false" outlineLevel="0" collapsed="false">
      <c r="B323" s="78"/>
      <c r="C323" s="64"/>
      <c r="D323" s="72" t="str">
        <f aca="false">IF(C323="","",IFERROR(INDEX(T_NOMBRE,MATCH(C323,T_ID,0)),"⚠ ID no existe"))</f>
        <v/>
      </c>
      <c r="E323" s="69"/>
      <c r="F323" s="67"/>
      <c r="G323" s="67"/>
      <c r="H323" s="67"/>
      <c r="I323" s="67"/>
      <c r="J323" s="67"/>
      <c r="K323" s="85" t="str">
        <f aca="false">IF(AH323="","",N(F323)+N(G323)+N(H323)-N(I323)+N(J323))</f>
        <v/>
      </c>
      <c r="L323" s="67"/>
      <c r="M323" s="67"/>
      <c r="N323" s="67"/>
      <c r="O323" s="67"/>
      <c r="P323" s="85" t="str">
        <f aca="false">IF(AH323="","",K323+N(L323)+N(M323)+N(N323)+N(O323))</f>
        <v/>
      </c>
      <c r="Q323" s="67"/>
      <c r="R323" s="67"/>
      <c r="S323" s="67"/>
      <c r="T323" s="67"/>
      <c r="U323" s="67"/>
      <c r="V323" s="67"/>
      <c r="W323" s="85" t="str">
        <f aca="false">IF(AH323="","",N(Q323)+N(R323)+N(S323)+N(T323)+N(U323)+N(V323))</f>
        <v/>
      </c>
      <c r="X323" s="85" t="str">
        <f aca="false">IF(AH323="","",P323-W323)</f>
        <v/>
      </c>
      <c r="Y323" s="67"/>
      <c r="Z323" s="70" t="str">
        <f aca="false">IF(OR(AH323="",Y323=""),"",IF(ABS(X323-Y323)&lt;=1,"✓ Cuadra","⚠ Diferencia $"&amp;FIXED(X323-Y323,0)))</f>
        <v/>
      </c>
      <c r="AA323" s="72" t="str">
        <f aca="false">IF(AH323="","",IFERROR(INDEX(C_TIPO,MATCH(C323&amp;"-P"&amp;MAX(1,COUNTIFS(C_ID,C323,C_DEFINE,"Sí",C_INICIO,"&lt;="&amp;EOMONTH(B323,0))),C_CLAVE,0))&amp;"","Sin dato"))</f>
        <v/>
      </c>
      <c r="AB323" s="71" t="str">
        <f aca="false">IF(AH323="","",ROUND(MIN(K323,TOPE_AFP_UF*AJ323)*AK323,0))</f>
        <v/>
      </c>
      <c r="AC323" s="71" t="str">
        <f aca="false">IF(AH323="","",ROUND(MIN(K323,TOPE_AFC_UF*AJ323)*IF(AA323="Indefinido",AFC_EMP_INDEF,AFC_EMP_PF),0))</f>
        <v/>
      </c>
      <c r="AD323" s="71" t="str">
        <f aca="false">IF(AH323="","",ROUND(MIN(K323,TOPE_AFP_UF*AJ323)*(MUTUAL_BASICA+MUTUAL_ADIC+SANNA),0))</f>
        <v/>
      </c>
      <c r="AE323" s="71" t="str">
        <f aca="false">IF(AH323="","",P323-N(N323)+AB323+AC323+AD323)</f>
        <v/>
      </c>
      <c r="AF323" s="65"/>
      <c r="AG323" s="64"/>
      <c r="AH323" s="72" t="str">
        <f aca="false">IF(OR(B323="",C323=""),"",C323&amp;"|"&amp;(YEAR(B323)*100+MONTH(B323)))</f>
        <v/>
      </c>
      <c r="AI323" s="70" t="str">
        <f aca="false">IF(AH323="","",IF(COUNTIF(L_CLAVE,AH323)&gt;1,"⚠ Duplicado","OK"))</f>
        <v/>
      </c>
      <c r="AJ323" s="86" t="str">
        <f aca="false">IF(AH323="","",IF(SUMPRODUCT(MAX((IND_PER&lt;=B323)*(IND_UF&lt;&gt;"")*IND_PER))=0,UF_HOY,INDEX(IND_UF,MATCH(SUMPRODUCT(MAX((IND_PER&lt;=B323)*(IND_UF&lt;&gt;"")*IND_PER)),IND_PER,0))))</f>
        <v/>
      </c>
      <c r="AK323" s="87" t="str">
        <f aca="false">IF(AH323="","",IF(COUNTIF(TASA_DESDE,"&lt;="&amp;B323)=0,INDEX(TASA_EMP,1),INDEX(TASA_EMP,COUNTIF(TASA_DESDE,"&lt;="&amp;B323))))</f>
        <v/>
      </c>
    </row>
    <row r="324" customFormat="false" ht="15" hidden="false" customHeight="false" outlineLevel="0" collapsed="false">
      <c r="B324" s="78"/>
      <c r="C324" s="64"/>
      <c r="D324" s="72" t="str">
        <f aca="false">IF(C324="","",IFERROR(INDEX(T_NOMBRE,MATCH(C324,T_ID,0)),"⚠ ID no existe"))</f>
        <v/>
      </c>
      <c r="E324" s="69"/>
      <c r="F324" s="67"/>
      <c r="G324" s="67"/>
      <c r="H324" s="67"/>
      <c r="I324" s="67"/>
      <c r="J324" s="67"/>
      <c r="K324" s="85" t="str">
        <f aca="false">IF(AH324="","",N(F324)+N(G324)+N(H324)-N(I324)+N(J324))</f>
        <v/>
      </c>
      <c r="L324" s="67"/>
      <c r="M324" s="67"/>
      <c r="N324" s="67"/>
      <c r="O324" s="67"/>
      <c r="P324" s="85" t="str">
        <f aca="false">IF(AH324="","",K324+N(L324)+N(M324)+N(N324)+N(O324))</f>
        <v/>
      </c>
      <c r="Q324" s="67"/>
      <c r="R324" s="67"/>
      <c r="S324" s="67"/>
      <c r="T324" s="67"/>
      <c r="U324" s="67"/>
      <c r="V324" s="67"/>
      <c r="W324" s="85" t="str">
        <f aca="false">IF(AH324="","",N(Q324)+N(R324)+N(S324)+N(T324)+N(U324)+N(V324))</f>
        <v/>
      </c>
      <c r="X324" s="85" t="str">
        <f aca="false">IF(AH324="","",P324-W324)</f>
        <v/>
      </c>
      <c r="Y324" s="67"/>
      <c r="Z324" s="70" t="str">
        <f aca="false">IF(OR(AH324="",Y324=""),"",IF(ABS(X324-Y324)&lt;=1,"✓ Cuadra","⚠ Diferencia $"&amp;FIXED(X324-Y324,0)))</f>
        <v/>
      </c>
      <c r="AA324" s="72" t="str">
        <f aca="false">IF(AH324="","",IFERROR(INDEX(C_TIPO,MATCH(C324&amp;"-P"&amp;MAX(1,COUNTIFS(C_ID,C324,C_DEFINE,"Sí",C_INICIO,"&lt;="&amp;EOMONTH(B324,0))),C_CLAVE,0))&amp;"","Sin dato"))</f>
        <v/>
      </c>
      <c r="AB324" s="71" t="str">
        <f aca="false">IF(AH324="","",ROUND(MIN(K324,TOPE_AFP_UF*AJ324)*AK324,0))</f>
        <v/>
      </c>
      <c r="AC324" s="71" t="str">
        <f aca="false">IF(AH324="","",ROUND(MIN(K324,TOPE_AFC_UF*AJ324)*IF(AA324="Indefinido",AFC_EMP_INDEF,AFC_EMP_PF),0))</f>
        <v/>
      </c>
      <c r="AD324" s="71" t="str">
        <f aca="false">IF(AH324="","",ROUND(MIN(K324,TOPE_AFP_UF*AJ324)*(MUTUAL_BASICA+MUTUAL_ADIC+SANNA),0))</f>
        <v/>
      </c>
      <c r="AE324" s="71" t="str">
        <f aca="false">IF(AH324="","",P324-N(N324)+AB324+AC324+AD324)</f>
        <v/>
      </c>
      <c r="AF324" s="65"/>
      <c r="AG324" s="64"/>
      <c r="AH324" s="72" t="str">
        <f aca="false">IF(OR(B324="",C324=""),"",C324&amp;"|"&amp;(YEAR(B324)*100+MONTH(B324)))</f>
        <v/>
      </c>
      <c r="AI324" s="70" t="str">
        <f aca="false">IF(AH324="","",IF(COUNTIF(L_CLAVE,AH324)&gt;1,"⚠ Duplicado","OK"))</f>
        <v/>
      </c>
      <c r="AJ324" s="86" t="str">
        <f aca="false">IF(AH324="","",IF(SUMPRODUCT(MAX((IND_PER&lt;=B324)*(IND_UF&lt;&gt;"")*IND_PER))=0,UF_HOY,INDEX(IND_UF,MATCH(SUMPRODUCT(MAX((IND_PER&lt;=B324)*(IND_UF&lt;&gt;"")*IND_PER)),IND_PER,0))))</f>
        <v/>
      </c>
      <c r="AK324" s="87" t="str">
        <f aca="false">IF(AH324="","",IF(COUNTIF(TASA_DESDE,"&lt;="&amp;B324)=0,INDEX(TASA_EMP,1),INDEX(TASA_EMP,COUNTIF(TASA_DESDE,"&lt;="&amp;B324))))</f>
        <v/>
      </c>
    </row>
    <row r="325" customFormat="false" ht="15" hidden="false" customHeight="false" outlineLevel="0" collapsed="false">
      <c r="B325" s="78"/>
      <c r="C325" s="64"/>
      <c r="D325" s="72" t="str">
        <f aca="false">IF(C325="","",IFERROR(INDEX(T_NOMBRE,MATCH(C325,T_ID,0)),"⚠ ID no existe"))</f>
        <v/>
      </c>
      <c r="E325" s="69"/>
      <c r="F325" s="67"/>
      <c r="G325" s="67"/>
      <c r="H325" s="67"/>
      <c r="I325" s="67"/>
      <c r="J325" s="67"/>
      <c r="K325" s="85" t="str">
        <f aca="false">IF(AH325="","",N(F325)+N(G325)+N(H325)-N(I325)+N(J325))</f>
        <v/>
      </c>
      <c r="L325" s="67"/>
      <c r="M325" s="67"/>
      <c r="N325" s="67"/>
      <c r="O325" s="67"/>
      <c r="P325" s="85" t="str">
        <f aca="false">IF(AH325="","",K325+N(L325)+N(M325)+N(N325)+N(O325))</f>
        <v/>
      </c>
      <c r="Q325" s="67"/>
      <c r="R325" s="67"/>
      <c r="S325" s="67"/>
      <c r="T325" s="67"/>
      <c r="U325" s="67"/>
      <c r="V325" s="67"/>
      <c r="W325" s="85" t="str">
        <f aca="false">IF(AH325="","",N(Q325)+N(R325)+N(S325)+N(T325)+N(U325)+N(V325))</f>
        <v/>
      </c>
      <c r="X325" s="85" t="str">
        <f aca="false">IF(AH325="","",P325-W325)</f>
        <v/>
      </c>
      <c r="Y325" s="67"/>
      <c r="Z325" s="70" t="str">
        <f aca="false">IF(OR(AH325="",Y325=""),"",IF(ABS(X325-Y325)&lt;=1,"✓ Cuadra","⚠ Diferencia $"&amp;FIXED(X325-Y325,0)))</f>
        <v/>
      </c>
      <c r="AA325" s="72" t="str">
        <f aca="false">IF(AH325="","",IFERROR(INDEX(C_TIPO,MATCH(C325&amp;"-P"&amp;MAX(1,COUNTIFS(C_ID,C325,C_DEFINE,"Sí",C_INICIO,"&lt;="&amp;EOMONTH(B325,0))),C_CLAVE,0))&amp;"","Sin dato"))</f>
        <v/>
      </c>
      <c r="AB325" s="71" t="str">
        <f aca="false">IF(AH325="","",ROUND(MIN(K325,TOPE_AFP_UF*AJ325)*AK325,0))</f>
        <v/>
      </c>
      <c r="AC325" s="71" t="str">
        <f aca="false">IF(AH325="","",ROUND(MIN(K325,TOPE_AFC_UF*AJ325)*IF(AA325="Indefinido",AFC_EMP_INDEF,AFC_EMP_PF),0))</f>
        <v/>
      </c>
      <c r="AD325" s="71" t="str">
        <f aca="false">IF(AH325="","",ROUND(MIN(K325,TOPE_AFP_UF*AJ325)*(MUTUAL_BASICA+MUTUAL_ADIC+SANNA),0))</f>
        <v/>
      </c>
      <c r="AE325" s="71" t="str">
        <f aca="false">IF(AH325="","",P325-N(N325)+AB325+AC325+AD325)</f>
        <v/>
      </c>
      <c r="AF325" s="65"/>
      <c r="AG325" s="64"/>
      <c r="AH325" s="72" t="str">
        <f aca="false">IF(OR(B325="",C325=""),"",C325&amp;"|"&amp;(YEAR(B325)*100+MONTH(B325)))</f>
        <v/>
      </c>
      <c r="AI325" s="70" t="str">
        <f aca="false">IF(AH325="","",IF(COUNTIF(L_CLAVE,AH325)&gt;1,"⚠ Duplicado","OK"))</f>
        <v/>
      </c>
      <c r="AJ325" s="86" t="str">
        <f aca="false">IF(AH325="","",IF(SUMPRODUCT(MAX((IND_PER&lt;=B325)*(IND_UF&lt;&gt;"")*IND_PER))=0,UF_HOY,INDEX(IND_UF,MATCH(SUMPRODUCT(MAX((IND_PER&lt;=B325)*(IND_UF&lt;&gt;"")*IND_PER)),IND_PER,0))))</f>
        <v/>
      </c>
      <c r="AK325" s="87" t="str">
        <f aca="false">IF(AH325="","",IF(COUNTIF(TASA_DESDE,"&lt;="&amp;B325)=0,INDEX(TASA_EMP,1),INDEX(TASA_EMP,COUNTIF(TASA_DESDE,"&lt;="&amp;B325))))</f>
        <v/>
      </c>
    </row>
    <row r="326" customFormat="false" ht="15" hidden="false" customHeight="false" outlineLevel="0" collapsed="false">
      <c r="B326" s="78"/>
      <c r="C326" s="64"/>
      <c r="D326" s="72" t="str">
        <f aca="false">IF(C326="","",IFERROR(INDEX(T_NOMBRE,MATCH(C326,T_ID,0)),"⚠ ID no existe"))</f>
        <v/>
      </c>
      <c r="E326" s="69"/>
      <c r="F326" s="67"/>
      <c r="G326" s="67"/>
      <c r="H326" s="67"/>
      <c r="I326" s="67"/>
      <c r="J326" s="67"/>
      <c r="K326" s="85" t="str">
        <f aca="false">IF(AH326="","",N(F326)+N(G326)+N(H326)-N(I326)+N(J326))</f>
        <v/>
      </c>
      <c r="L326" s="67"/>
      <c r="M326" s="67"/>
      <c r="N326" s="67"/>
      <c r="O326" s="67"/>
      <c r="P326" s="85" t="str">
        <f aca="false">IF(AH326="","",K326+N(L326)+N(M326)+N(N326)+N(O326))</f>
        <v/>
      </c>
      <c r="Q326" s="67"/>
      <c r="R326" s="67"/>
      <c r="S326" s="67"/>
      <c r="T326" s="67"/>
      <c r="U326" s="67"/>
      <c r="V326" s="67"/>
      <c r="W326" s="85" t="str">
        <f aca="false">IF(AH326="","",N(Q326)+N(R326)+N(S326)+N(T326)+N(U326)+N(V326))</f>
        <v/>
      </c>
      <c r="X326" s="85" t="str">
        <f aca="false">IF(AH326="","",P326-W326)</f>
        <v/>
      </c>
      <c r="Y326" s="67"/>
      <c r="Z326" s="70" t="str">
        <f aca="false">IF(OR(AH326="",Y326=""),"",IF(ABS(X326-Y326)&lt;=1,"✓ Cuadra","⚠ Diferencia $"&amp;FIXED(X326-Y326,0)))</f>
        <v/>
      </c>
      <c r="AA326" s="72" t="str">
        <f aca="false">IF(AH326="","",IFERROR(INDEX(C_TIPO,MATCH(C326&amp;"-P"&amp;MAX(1,COUNTIFS(C_ID,C326,C_DEFINE,"Sí",C_INICIO,"&lt;="&amp;EOMONTH(B326,0))),C_CLAVE,0))&amp;"","Sin dato"))</f>
        <v/>
      </c>
      <c r="AB326" s="71" t="str">
        <f aca="false">IF(AH326="","",ROUND(MIN(K326,TOPE_AFP_UF*AJ326)*AK326,0))</f>
        <v/>
      </c>
      <c r="AC326" s="71" t="str">
        <f aca="false">IF(AH326="","",ROUND(MIN(K326,TOPE_AFC_UF*AJ326)*IF(AA326="Indefinido",AFC_EMP_INDEF,AFC_EMP_PF),0))</f>
        <v/>
      </c>
      <c r="AD326" s="71" t="str">
        <f aca="false">IF(AH326="","",ROUND(MIN(K326,TOPE_AFP_UF*AJ326)*(MUTUAL_BASICA+MUTUAL_ADIC+SANNA),0))</f>
        <v/>
      </c>
      <c r="AE326" s="71" t="str">
        <f aca="false">IF(AH326="","",P326-N(N326)+AB326+AC326+AD326)</f>
        <v/>
      </c>
      <c r="AF326" s="65"/>
      <c r="AG326" s="64"/>
      <c r="AH326" s="72" t="str">
        <f aca="false">IF(OR(B326="",C326=""),"",C326&amp;"|"&amp;(YEAR(B326)*100+MONTH(B326)))</f>
        <v/>
      </c>
      <c r="AI326" s="70" t="str">
        <f aca="false">IF(AH326="","",IF(COUNTIF(L_CLAVE,AH326)&gt;1,"⚠ Duplicado","OK"))</f>
        <v/>
      </c>
      <c r="AJ326" s="86" t="str">
        <f aca="false">IF(AH326="","",IF(SUMPRODUCT(MAX((IND_PER&lt;=B326)*(IND_UF&lt;&gt;"")*IND_PER))=0,UF_HOY,INDEX(IND_UF,MATCH(SUMPRODUCT(MAX((IND_PER&lt;=B326)*(IND_UF&lt;&gt;"")*IND_PER)),IND_PER,0))))</f>
        <v/>
      </c>
      <c r="AK326" s="87" t="str">
        <f aca="false">IF(AH326="","",IF(COUNTIF(TASA_DESDE,"&lt;="&amp;B326)=0,INDEX(TASA_EMP,1),INDEX(TASA_EMP,COUNTIF(TASA_DESDE,"&lt;="&amp;B326))))</f>
        <v/>
      </c>
    </row>
    <row r="327" customFormat="false" ht="15" hidden="false" customHeight="false" outlineLevel="0" collapsed="false">
      <c r="B327" s="78"/>
      <c r="C327" s="64"/>
      <c r="D327" s="72" t="str">
        <f aca="false">IF(C327="","",IFERROR(INDEX(T_NOMBRE,MATCH(C327,T_ID,0)),"⚠ ID no existe"))</f>
        <v/>
      </c>
      <c r="E327" s="69"/>
      <c r="F327" s="67"/>
      <c r="G327" s="67"/>
      <c r="H327" s="67"/>
      <c r="I327" s="67"/>
      <c r="J327" s="67"/>
      <c r="K327" s="85" t="str">
        <f aca="false">IF(AH327="","",N(F327)+N(G327)+N(H327)-N(I327)+N(J327))</f>
        <v/>
      </c>
      <c r="L327" s="67"/>
      <c r="M327" s="67"/>
      <c r="N327" s="67"/>
      <c r="O327" s="67"/>
      <c r="P327" s="85" t="str">
        <f aca="false">IF(AH327="","",K327+N(L327)+N(M327)+N(N327)+N(O327))</f>
        <v/>
      </c>
      <c r="Q327" s="67"/>
      <c r="R327" s="67"/>
      <c r="S327" s="67"/>
      <c r="T327" s="67"/>
      <c r="U327" s="67"/>
      <c r="V327" s="67"/>
      <c r="W327" s="85" t="str">
        <f aca="false">IF(AH327="","",N(Q327)+N(R327)+N(S327)+N(T327)+N(U327)+N(V327))</f>
        <v/>
      </c>
      <c r="X327" s="85" t="str">
        <f aca="false">IF(AH327="","",P327-W327)</f>
        <v/>
      </c>
      <c r="Y327" s="67"/>
      <c r="Z327" s="70" t="str">
        <f aca="false">IF(OR(AH327="",Y327=""),"",IF(ABS(X327-Y327)&lt;=1,"✓ Cuadra","⚠ Diferencia $"&amp;FIXED(X327-Y327,0)))</f>
        <v/>
      </c>
      <c r="AA327" s="72" t="str">
        <f aca="false">IF(AH327="","",IFERROR(INDEX(C_TIPO,MATCH(C327&amp;"-P"&amp;MAX(1,COUNTIFS(C_ID,C327,C_DEFINE,"Sí",C_INICIO,"&lt;="&amp;EOMONTH(B327,0))),C_CLAVE,0))&amp;"","Sin dato"))</f>
        <v/>
      </c>
      <c r="AB327" s="71" t="str">
        <f aca="false">IF(AH327="","",ROUND(MIN(K327,TOPE_AFP_UF*AJ327)*AK327,0))</f>
        <v/>
      </c>
      <c r="AC327" s="71" t="str">
        <f aca="false">IF(AH327="","",ROUND(MIN(K327,TOPE_AFC_UF*AJ327)*IF(AA327="Indefinido",AFC_EMP_INDEF,AFC_EMP_PF),0))</f>
        <v/>
      </c>
      <c r="AD327" s="71" t="str">
        <f aca="false">IF(AH327="","",ROUND(MIN(K327,TOPE_AFP_UF*AJ327)*(MUTUAL_BASICA+MUTUAL_ADIC+SANNA),0))</f>
        <v/>
      </c>
      <c r="AE327" s="71" t="str">
        <f aca="false">IF(AH327="","",P327-N(N327)+AB327+AC327+AD327)</f>
        <v/>
      </c>
      <c r="AF327" s="65"/>
      <c r="AG327" s="64"/>
      <c r="AH327" s="72" t="str">
        <f aca="false">IF(OR(B327="",C327=""),"",C327&amp;"|"&amp;(YEAR(B327)*100+MONTH(B327)))</f>
        <v/>
      </c>
      <c r="AI327" s="70" t="str">
        <f aca="false">IF(AH327="","",IF(COUNTIF(L_CLAVE,AH327)&gt;1,"⚠ Duplicado","OK"))</f>
        <v/>
      </c>
      <c r="AJ327" s="86" t="str">
        <f aca="false">IF(AH327="","",IF(SUMPRODUCT(MAX((IND_PER&lt;=B327)*(IND_UF&lt;&gt;"")*IND_PER))=0,UF_HOY,INDEX(IND_UF,MATCH(SUMPRODUCT(MAX((IND_PER&lt;=B327)*(IND_UF&lt;&gt;"")*IND_PER)),IND_PER,0))))</f>
        <v/>
      </c>
      <c r="AK327" s="87" t="str">
        <f aca="false">IF(AH327="","",IF(COUNTIF(TASA_DESDE,"&lt;="&amp;B327)=0,INDEX(TASA_EMP,1),INDEX(TASA_EMP,COUNTIF(TASA_DESDE,"&lt;="&amp;B327))))</f>
        <v/>
      </c>
    </row>
    <row r="328" customFormat="false" ht="15" hidden="false" customHeight="false" outlineLevel="0" collapsed="false">
      <c r="B328" s="78"/>
      <c r="C328" s="64"/>
      <c r="D328" s="72" t="str">
        <f aca="false">IF(C328="","",IFERROR(INDEX(T_NOMBRE,MATCH(C328,T_ID,0)),"⚠ ID no existe"))</f>
        <v/>
      </c>
      <c r="E328" s="69"/>
      <c r="F328" s="67"/>
      <c r="G328" s="67"/>
      <c r="H328" s="67"/>
      <c r="I328" s="67"/>
      <c r="J328" s="67"/>
      <c r="K328" s="85" t="str">
        <f aca="false">IF(AH328="","",N(F328)+N(G328)+N(H328)-N(I328)+N(J328))</f>
        <v/>
      </c>
      <c r="L328" s="67"/>
      <c r="M328" s="67"/>
      <c r="N328" s="67"/>
      <c r="O328" s="67"/>
      <c r="P328" s="85" t="str">
        <f aca="false">IF(AH328="","",K328+N(L328)+N(M328)+N(N328)+N(O328))</f>
        <v/>
      </c>
      <c r="Q328" s="67"/>
      <c r="R328" s="67"/>
      <c r="S328" s="67"/>
      <c r="T328" s="67"/>
      <c r="U328" s="67"/>
      <c r="V328" s="67"/>
      <c r="W328" s="85" t="str">
        <f aca="false">IF(AH328="","",N(Q328)+N(R328)+N(S328)+N(T328)+N(U328)+N(V328))</f>
        <v/>
      </c>
      <c r="X328" s="85" t="str">
        <f aca="false">IF(AH328="","",P328-W328)</f>
        <v/>
      </c>
      <c r="Y328" s="67"/>
      <c r="Z328" s="70" t="str">
        <f aca="false">IF(OR(AH328="",Y328=""),"",IF(ABS(X328-Y328)&lt;=1,"✓ Cuadra","⚠ Diferencia $"&amp;FIXED(X328-Y328,0)))</f>
        <v/>
      </c>
      <c r="AA328" s="72" t="str">
        <f aca="false">IF(AH328="","",IFERROR(INDEX(C_TIPO,MATCH(C328&amp;"-P"&amp;MAX(1,COUNTIFS(C_ID,C328,C_DEFINE,"Sí",C_INICIO,"&lt;="&amp;EOMONTH(B328,0))),C_CLAVE,0))&amp;"","Sin dato"))</f>
        <v/>
      </c>
      <c r="AB328" s="71" t="str">
        <f aca="false">IF(AH328="","",ROUND(MIN(K328,TOPE_AFP_UF*AJ328)*AK328,0))</f>
        <v/>
      </c>
      <c r="AC328" s="71" t="str">
        <f aca="false">IF(AH328="","",ROUND(MIN(K328,TOPE_AFC_UF*AJ328)*IF(AA328="Indefinido",AFC_EMP_INDEF,AFC_EMP_PF),0))</f>
        <v/>
      </c>
      <c r="AD328" s="71" t="str">
        <f aca="false">IF(AH328="","",ROUND(MIN(K328,TOPE_AFP_UF*AJ328)*(MUTUAL_BASICA+MUTUAL_ADIC+SANNA),0))</f>
        <v/>
      </c>
      <c r="AE328" s="71" t="str">
        <f aca="false">IF(AH328="","",P328-N(N328)+AB328+AC328+AD328)</f>
        <v/>
      </c>
      <c r="AF328" s="65"/>
      <c r="AG328" s="64"/>
      <c r="AH328" s="72" t="str">
        <f aca="false">IF(OR(B328="",C328=""),"",C328&amp;"|"&amp;(YEAR(B328)*100+MONTH(B328)))</f>
        <v/>
      </c>
      <c r="AI328" s="70" t="str">
        <f aca="false">IF(AH328="","",IF(COUNTIF(L_CLAVE,AH328)&gt;1,"⚠ Duplicado","OK"))</f>
        <v/>
      </c>
      <c r="AJ328" s="86" t="str">
        <f aca="false">IF(AH328="","",IF(SUMPRODUCT(MAX((IND_PER&lt;=B328)*(IND_UF&lt;&gt;"")*IND_PER))=0,UF_HOY,INDEX(IND_UF,MATCH(SUMPRODUCT(MAX((IND_PER&lt;=B328)*(IND_UF&lt;&gt;"")*IND_PER)),IND_PER,0))))</f>
        <v/>
      </c>
      <c r="AK328" s="87" t="str">
        <f aca="false">IF(AH328="","",IF(COUNTIF(TASA_DESDE,"&lt;="&amp;B328)=0,INDEX(TASA_EMP,1),INDEX(TASA_EMP,COUNTIF(TASA_DESDE,"&lt;="&amp;B328))))</f>
        <v/>
      </c>
    </row>
    <row r="329" customFormat="false" ht="15" hidden="false" customHeight="false" outlineLevel="0" collapsed="false">
      <c r="B329" s="78"/>
      <c r="C329" s="64"/>
      <c r="D329" s="72" t="str">
        <f aca="false">IF(C329="","",IFERROR(INDEX(T_NOMBRE,MATCH(C329,T_ID,0)),"⚠ ID no existe"))</f>
        <v/>
      </c>
      <c r="E329" s="69"/>
      <c r="F329" s="67"/>
      <c r="G329" s="67"/>
      <c r="H329" s="67"/>
      <c r="I329" s="67"/>
      <c r="J329" s="67"/>
      <c r="K329" s="85" t="str">
        <f aca="false">IF(AH329="","",N(F329)+N(G329)+N(H329)-N(I329)+N(J329))</f>
        <v/>
      </c>
      <c r="L329" s="67"/>
      <c r="M329" s="67"/>
      <c r="N329" s="67"/>
      <c r="O329" s="67"/>
      <c r="P329" s="85" t="str">
        <f aca="false">IF(AH329="","",K329+N(L329)+N(M329)+N(N329)+N(O329))</f>
        <v/>
      </c>
      <c r="Q329" s="67"/>
      <c r="R329" s="67"/>
      <c r="S329" s="67"/>
      <c r="T329" s="67"/>
      <c r="U329" s="67"/>
      <c r="V329" s="67"/>
      <c r="W329" s="85" t="str">
        <f aca="false">IF(AH329="","",N(Q329)+N(R329)+N(S329)+N(T329)+N(U329)+N(V329))</f>
        <v/>
      </c>
      <c r="X329" s="85" t="str">
        <f aca="false">IF(AH329="","",P329-W329)</f>
        <v/>
      </c>
      <c r="Y329" s="67"/>
      <c r="Z329" s="70" t="str">
        <f aca="false">IF(OR(AH329="",Y329=""),"",IF(ABS(X329-Y329)&lt;=1,"✓ Cuadra","⚠ Diferencia $"&amp;FIXED(X329-Y329,0)))</f>
        <v/>
      </c>
      <c r="AA329" s="72" t="str">
        <f aca="false">IF(AH329="","",IFERROR(INDEX(C_TIPO,MATCH(C329&amp;"-P"&amp;MAX(1,COUNTIFS(C_ID,C329,C_DEFINE,"Sí",C_INICIO,"&lt;="&amp;EOMONTH(B329,0))),C_CLAVE,0))&amp;"","Sin dato"))</f>
        <v/>
      </c>
      <c r="AB329" s="71" t="str">
        <f aca="false">IF(AH329="","",ROUND(MIN(K329,TOPE_AFP_UF*AJ329)*AK329,0))</f>
        <v/>
      </c>
      <c r="AC329" s="71" t="str">
        <f aca="false">IF(AH329="","",ROUND(MIN(K329,TOPE_AFC_UF*AJ329)*IF(AA329="Indefinido",AFC_EMP_INDEF,AFC_EMP_PF),0))</f>
        <v/>
      </c>
      <c r="AD329" s="71" t="str">
        <f aca="false">IF(AH329="","",ROUND(MIN(K329,TOPE_AFP_UF*AJ329)*(MUTUAL_BASICA+MUTUAL_ADIC+SANNA),0))</f>
        <v/>
      </c>
      <c r="AE329" s="71" t="str">
        <f aca="false">IF(AH329="","",P329-N(N329)+AB329+AC329+AD329)</f>
        <v/>
      </c>
      <c r="AF329" s="65"/>
      <c r="AG329" s="64"/>
      <c r="AH329" s="72" t="str">
        <f aca="false">IF(OR(B329="",C329=""),"",C329&amp;"|"&amp;(YEAR(B329)*100+MONTH(B329)))</f>
        <v/>
      </c>
      <c r="AI329" s="70" t="str">
        <f aca="false">IF(AH329="","",IF(COUNTIF(L_CLAVE,AH329)&gt;1,"⚠ Duplicado","OK"))</f>
        <v/>
      </c>
      <c r="AJ329" s="86" t="str">
        <f aca="false">IF(AH329="","",IF(SUMPRODUCT(MAX((IND_PER&lt;=B329)*(IND_UF&lt;&gt;"")*IND_PER))=0,UF_HOY,INDEX(IND_UF,MATCH(SUMPRODUCT(MAX((IND_PER&lt;=B329)*(IND_UF&lt;&gt;"")*IND_PER)),IND_PER,0))))</f>
        <v/>
      </c>
      <c r="AK329" s="87" t="str">
        <f aca="false">IF(AH329="","",IF(COUNTIF(TASA_DESDE,"&lt;="&amp;B329)=0,INDEX(TASA_EMP,1),INDEX(TASA_EMP,COUNTIF(TASA_DESDE,"&lt;="&amp;B329))))</f>
        <v/>
      </c>
    </row>
    <row r="330" customFormat="false" ht="15" hidden="false" customHeight="false" outlineLevel="0" collapsed="false">
      <c r="B330" s="78"/>
      <c r="C330" s="64"/>
      <c r="D330" s="72" t="str">
        <f aca="false">IF(C330="","",IFERROR(INDEX(T_NOMBRE,MATCH(C330,T_ID,0)),"⚠ ID no existe"))</f>
        <v/>
      </c>
      <c r="E330" s="69"/>
      <c r="F330" s="67"/>
      <c r="G330" s="67"/>
      <c r="H330" s="67"/>
      <c r="I330" s="67"/>
      <c r="J330" s="67"/>
      <c r="K330" s="85" t="str">
        <f aca="false">IF(AH330="","",N(F330)+N(G330)+N(H330)-N(I330)+N(J330))</f>
        <v/>
      </c>
      <c r="L330" s="67"/>
      <c r="M330" s="67"/>
      <c r="N330" s="67"/>
      <c r="O330" s="67"/>
      <c r="P330" s="85" t="str">
        <f aca="false">IF(AH330="","",K330+N(L330)+N(M330)+N(N330)+N(O330))</f>
        <v/>
      </c>
      <c r="Q330" s="67"/>
      <c r="R330" s="67"/>
      <c r="S330" s="67"/>
      <c r="T330" s="67"/>
      <c r="U330" s="67"/>
      <c r="V330" s="67"/>
      <c r="W330" s="85" t="str">
        <f aca="false">IF(AH330="","",N(Q330)+N(R330)+N(S330)+N(T330)+N(U330)+N(V330))</f>
        <v/>
      </c>
      <c r="X330" s="85" t="str">
        <f aca="false">IF(AH330="","",P330-W330)</f>
        <v/>
      </c>
      <c r="Y330" s="67"/>
      <c r="Z330" s="70" t="str">
        <f aca="false">IF(OR(AH330="",Y330=""),"",IF(ABS(X330-Y330)&lt;=1,"✓ Cuadra","⚠ Diferencia $"&amp;FIXED(X330-Y330,0)))</f>
        <v/>
      </c>
      <c r="AA330" s="72" t="str">
        <f aca="false">IF(AH330="","",IFERROR(INDEX(C_TIPO,MATCH(C330&amp;"-P"&amp;MAX(1,COUNTIFS(C_ID,C330,C_DEFINE,"Sí",C_INICIO,"&lt;="&amp;EOMONTH(B330,0))),C_CLAVE,0))&amp;"","Sin dato"))</f>
        <v/>
      </c>
      <c r="AB330" s="71" t="str">
        <f aca="false">IF(AH330="","",ROUND(MIN(K330,TOPE_AFP_UF*AJ330)*AK330,0))</f>
        <v/>
      </c>
      <c r="AC330" s="71" t="str">
        <f aca="false">IF(AH330="","",ROUND(MIN(K330,TOPE_AFC_UF*AJ330)*IF(AA330="Indefinido",AFC_EMP_INDEF,AFC_EMP_PF),0))</f>
        <v/>
      </c>
      <c r="AD330" s="71" t="str">
        <f aca="false">IF(AH330="","",ROUND(MIN(K330,TOPE_AFP_UF*AJ330)*(MUTUAL_BASICA+MUTUAL_ADIC+SANNA),0))</f>
        <v/>
      </c>
      <c r="AE330" s="71" t="str">
        <f aca="false">IF(AH330="","",P330-N(N330)+AB330+AC330+AD330)</f>
        <v/>
      </c>
      <c r="AF330" s="65"/>
      <c r="AG330" s="64"/>
      <c r="AH330" s="72" t="str">
        <f aca="false">IF(OR(B330="",C330=""),"",C330&amp;"|"&amp;(YEAR(B330)*100+MONTH(B330)))</f>
        <v/>
      </c>
      <c r="AI330" s="70" t="str">
        <f aca="false">IF(AH330="","",IF(COUNTIF(L_CLAVE,AH330)&gt;1,"⚠ Duplicado","OK"))</f>
        <v/>
      </c>
      <c r="AJ330" s="86" t="str">
        <f aca="false">IF(AH330="","",IF(SUMPRODUCT(MAX((IND_PER&lt;=B330)*(IND_UF&lt;&gt;"")*IND_PER))=0,UF_HOY,INDEX(IND_UF,MATCH(SUMPRODUCT(MAX((IND_PER&lt;=B330)*(IND_UF&lt;&gt;"")*IND_PER)),IND_PER,0))))</f>
        <v/>
      </c>
      <c r="AK330" s="87" t="str">
        <f aca="false">IF(AH330="","",IF(COUNTIF(TASA_DESDE,"&lt;="&amp;B330)=0,INDEX(TASA_EMP,1),INDEX(TASA_EMP,COUNTIF(TASA_DESDE,"&lt;="&amp;B330))))</f>
        <v/>
      </c>
    </row>
    <row r="331" customFormat="false" ht="15" hidden="false" customHeight="false" outlineLevel="0" collapsed="false">
      <c r="B331" s="78"/>
      <c r="C331" s="64"/>
      <c r="D331" s="72" t="str">
        <f aca="false">IF(C331="","",IFERROR(INDEX(T_NOMBRE,MATCH(C331,T_ID,0)),"⚠ ID no existe"))</f>
        <v/>
      </c>
      <c r="E331" s="69"/>
      <c r="F331" s="67"/>
      <c r="G331" s="67"/>
      <c r="H331" s="67"/>
      <c r="I331" s="67"/>
      <c r="J331" s="67"/>
      <c r="K331" s="85" t="str">
        <f aca="false">IF(AH331="","",N(F331)+N(G331)+N(H331)-N(I331)+N(J331))</f>
        <v/>
      </c>
      <c r="L331" s="67"/>
      <c r="M331" s="67"/>
      <c r="N331" s="67"/>
      <c r="O331" s="67"/>
      <c r="P331" s="85" t="str">
        <f aca="false">IF(AH331="","",K331+N(L331)+N(M331)+N(N331)+N(O331))</f>
        <v/>
      </c>
      <c r="Q331" s="67"/>
      <c r="R331" s="67"/>
      <c r="S331" s="67"/>
      <c r="T331" s="67"/>
      <c r="U331" s="67"/>
      <c r="V331" s="67"/>
      <c r="W331" s="85" t="str">
        <f aca="false">IF(AH331="","",N(Q331)+N(R331)+N(S331)+N(T331)+N(U331)+N(V331))</f>
        <v/>
      </c>
      <c r="X331" s="85" t="str">
        <f aca="false">IF(AH331="","",P331-W331)</f>
        <v/>
      </c>
      <c r="Y331" s="67"/>
      <c r="Z331" s="70" t="str">
        <f aca="false">IF(OR(AH331="",Y331=""),"",IF(ABS(X331-Y331)&lt;=1,"✓ Cuadra","⚠ Diferencia $"&amp;FIXED(X331-Y331,0)))</f>
        <v/>
      </c>
      <c r="AA331" s="72" t="str">
        <f aca="false">IF(AH331="","",IFERROR(INDEX(C_TIPO,MATCH(C331&amp;"-P"&amp;MAX(1,COUNTIFS(C_ID,C331,C_DEFINE,"Sí",C_INICIO,"&lt;="&amp;EOMONTH(B331,0))),C_CLAVE,0))&amp;"","Sin dato"))</f>
        <v/>
      </c>
      <c r="AB331" s="71" t="str">
        <f aca="false">IF(AH331="","",ROUND(MIN(K331,TOPE_AFP_UF*AJ331)*AK331,0))</f>
        <v/>
      </c>
      <c r="AC331" s="71" t="str">
        <f aca="false">IF(AH331="","",ROUND(MIN(K331,TOPE_AFC_UF*AJ331)*IF(AA331="Indefinido",AFC_EMP_INDEF,AFC_EMP_PF),0))</f>
        <v/>
      </c>
      <c r="AD331" s="71" t="str">
        <f aca="false">IF(AH331="","",ROUND(MIN(K331,TOPE_AFP_UF*AJ331)*(MUTUAL_BASICA+MUTUAL_ADIC+SANNA),0))</f>
        <v/>
      </c>
      <c r="AE331" s="71" t="str">
        <f aca="false">IF(AH331="","",P331-N(N331)+AB331+AC331+AD331)</f>
        <v/>
      </c>
      <c r="AF331" s="65"/>
      <c r="AG331" s="64"/>
      <c r="AH331" s="72" t="str">
        <f aca="false">IF(OR(B331="",C331=""),"",C331&amp;"|"&amp;(YEAR(B331)*100+MONTH(B331)))</f>
        <v/>
      </c>
      <c r="AI331" s="70" t="str">
        <f aca="false">IF(AH331="","",IF(COUNTIF(L_CLAVE,AH331)&gt;1,"⚠ Duplicado","OK"))</f>
        <v/>
      </c>
      <c r="AJ331" s="86" t="str">
        <f aca="false">IF(AH331="","",IF(SUMPRODUCT(MAX((IND_PER&lt;=B331)*(IND_UF&lt;&gt;"")*IND_PER))=0,UF_HOY,INDEX(IND_UF,MATCH(SUMPRODUCT(MAX((IND_PER&lt;=B331)*(IND_UF&lt;&gt;"")*IND_PER)),IND_PER,0))))</f>
        <v/>
      </c>
      <c r="AK331" s="87" t="str">
        <f aca="false">IF(AH331="","",IF(COUNTIF(TASA_DESDE,"&lt;="&amp;B331)=0,INDEX(TASA_EMP,1),INDEX(TASA_EMP,COUNTIF(TASA_DESDE,"&lt;="&amp;B331))))</f>
        <v/>
      </c>
    </row>
    <row r="332" customFormat="false" ht="15" hidden="false" customHeight="false" outlineLevel="0" collapsed="false">
      <c r="B332" s="78"/>
      <c r="C332" s="64"/>
      <c r="D332" s="72" t="str">
        <f aca="false">IF(C332="","",IFERROR(INDEX(T_NOMBRE,MATCH(C332,T_ID,0)),"⚠ ID no existe"))</f>
        <v/>
      </c>
      <c r="E332" s="69"/>
      <c r="F332" s="67"/>
      <c r="G332" s="67"/>
      <c r="H332" s="67"/>
      <c r="I332" s="67"/>
      <c r="J332" s="67"/>
      <c r="K332" s="85" t="str">
        <f aca="false">IF(AH332="","",N(F332)+N(G332)+N(H332)-N(I332)+N(J332))</f>
        <v/>
      </c>
      <c r="L332" s="67"/>
      <c r="M332" s="67"/>
      <c r="N332" s="67"/>
      <c r="O332" s="67"/>
      <c r="P332" s="85" t="str">
        <f aca="false">IF(AH332="","",K332+N(L332)+N(M332)+N(N332)+N(O332))</f>
        <v/>
      </c>
      <c r="Q332" s="67"/>
      <c r="R332" s="67"/>
      <c r="S332" s="67"/>
      <c r="T332" s="67"/>
      <c r="U332" s="67"/>
      <c r="V332" s="67"/>
      <c r="W332" s="85" t="str">
        <f aca="false">IF(AH332="","",N(Q332)+N(R332)+N(S332)+N(T332)+N(U332)+N(V332))</f>
        <v/>
      </c>
      <c r="X332" s="85" t="str">
        <f aca="false">IF(AH332="","",P332-W332)</f>
        <v/>
      </c>
      <c r="Y332" s="67"/>
      <c r="Z332" s="70" t="str">
        <f aca="false">IF(OR(AH332="",Y332=""),"",IF(ABS(X332-Y332)&lt;=1,"✓ Cuadra","⚠ Diferencia $"&amp;FIXED(X332-Y332,0)))</f>
        <v/>
      </c>
      <c r="AA332" s="72" t="str">
        <f aca="false">IF(AH332="","",IFERROR(INDEX(C_TIPO,MATCH(C332&amp;"-P"&amp;MAX(1,COUNTIFS(C_ID,C332,C_DEFINE,"Sí",C_INICIO,"&lt;="&amp;EOMONTH(B332,0))),C_CLAVE,0))&amp;"","Sin dato"))</f>
        <v/>
      </c>
      <c r="AB332" s="71" t="str">
        <f aca="false">IF(AH332="","",ROUND(MIN(K332,TOPE_AFP_UF*AJ332)*AK332,0))</f>
        <v/>
      </c>
      <c r="AC332" s="71" t="str">
        <f aca="false">IF(AH332="","",ROUND(MIN(K332,TOPE_AFC_UF*AJ332)*IF(AA332="Indefinido",AFC_EMP_INDEF,AFC_EMP_PF),0))</f>
        <v/>
      </c>
      <c r="AD332" s="71" t="str">
        <f aca="false">IF(AH332="","",ROUND(MIN(K332,TOPE_AFP_UF*AJ332)*(MUTUAL_BASICA+MUTUAL_ADIC+SANNA),0))</f>
        <v/>
      </c>
      <c r="AE332" s="71" t="str">
        <f aca="false">IF(AH332="","",P332-N(N332)+AB332+AC332+AD332)</f>
        <v/>
      </c>
      <c r="AF332" s="65"/>
      <c r="AG332" s="64"/>
      <c r="AH332" s="72" t="str">
        <f aca="false">IF(OR(B332="",C332=""),"",C332&amp;"|"&amp;(YEAR(B332)*100+MONTH(B332)))</f>
        <v/>
      </c>
      <c r="AI332" s="70" t="str">
        <f aca="false">IF(AH332="","",IF(COUNTIF(L_CLAVE,AH332)&gt;1,"⚠ Duplicado","OK"))</f>
        <v/>
      </c>
      <c r="AJ332" s="86" t="str">
        <f aca="false">IF(AH332="","",IF(SUMPRODUCT(MAX((IND_PER&lt;=B332)*(IND_UF&lt;&gt;"")*IND_PER))=0,UF_HOY,INDEX(IND_UF,MATCH(SUMPRODUCT(MAX((IND_PER&lt;=B332)*(IND_UF&lt;&gt;"")*IND_PER)),IND_PER,0))))</f>
        <v/>
      </c>
      <c r="AK332" s="87" t="str">
        <f aca="false">IF(AH332="","",IF(COUNTIF(TASA_DESDE,"&lt;="&amp;B332)=0,INDEX(TASA_EMP,1),INDEX(TASA_EMP,COUNTIF(TASA_DESDE,"&lt;="&amp;B332))))</f>
        <v/>
      </c>
    </row>
    <row r="333" customFormat="false" ht="15" hidden="false" customHeight="false" outlineLevel="0" collapsed="false">
      <c r="B333" s="78"/>
      <c r="C333" s="64"/>
      <c r="D333" s="72" t="str">
        <f aca="false">IF(C333="","",IFERROR(INDEX(T_NOMBRE,MATCH(C333,T_ID,0)),"⚠ ID no existe"))</f>
        <v/>
      </c>
      <c r="E333" s="69"/>
      <c r="F333" s="67"/>
      <c r="G333" s="67"/>
      <c r="H333" s="67"/>
      <c r="I333" s="67"/>
      <c r="J333" s="67"/>
      <c r="K333" s="85" t="str">
        <f aca="false">IF(AH333="","",N(F333)+N(G333)+N(H333)-N(I333)+N(J333))</f>
        <v/>
      </c>
      <c r="L333" s="67"/>
      <c r="M333" s="67"/>
      <c r="N333" s="67"/>
      <c r="O333" s="67"/>
      <c r="P333" s="85" t="str">
        <f aca="false">IF(AH333="","",K333+N(L333)+N(M333)+N(N333)+N(O333))</f>
        <v/>
      </c>
      <c r="Q333" s="67"/>
      <c r="R333" s="67"/>
      <c r="S333" s="67"/>
      <c r="T333" s="67"/>
      <c r="U333" s="67"/>
      <c r="V333" s="67"/>
      <c r="W333" s="85" t="str">
        <f aca="false">IF(AH333="","",N(Q333)+N(R333)+N(S333)+N(T333)+N(U333)+N(V333))</f>
        <v/>
      </c>
      <c r="X333" s="85" t="str">
        <f aca="false">IF(AH333="","",P333-W333)</f>
        <v/>
      </c>
      <c r="Y333" s="67"/>
      <c r="Z333" s="70" t="str">
        <f aca="false">IF(OR(AH333="",Y333=""),"",IF(ABS(X333-Y333)&lt;=1,"✓ Cuadra","⚠ Diferencia $"&amp;FIXED(X333-Y333,0)))</f>
        <v/>
      </c>
      <c r="AA333" s="72" t="str">
        <f aca="false">IF(AH333="","",IFERROR(INDEX(C_TIPO,MATCH(C333&amp;"-P"&amp;MAX(1,COUNTIFS(C_ID,C333,C_DEFINE,"Sí",C_INICIO,"&lt;="&amp;EOMONTH(B333,0))),C_CLAVE,0))&amp;"","Sin dato"))</f>
        <v/>
      </c>
      <c r="AB333" s="71" t="str">
        <f aca="false">IF(AH333="","",ROUND(MIN(K333,TOPE_AFP_UF*AJ333)*AK333,0))</f>
        <v/>
      </c>
      <c r="AC333" s="71" t="str">
        <f aca="false">IF(AH333="","",ROUND(MIN(K333,TOPE_AFC_UF*AJ333)*IF(AA333="Indefinido",AFC_EMP_INDEF,AFC_EMP_PF),0))</f>
        <v/>
      </c>
      <c r="AD333" s="71" t="str">
        <f aca="false">IF(AH333="","",ROUND(MIN(K333,TOPE_AFP_UF*AJ333)*(MUTUAL_BASICA+MUTUAL_ADIC+SANNA),0))</f>
        <v/>
      </c>
      <c r="AE333" s="71" t="str">
        <f aca="false">IF(AH333="","",P333-N(N333)+AB333+AC333+AD333)</f>
        <v/>
      </c>
      <c r="AF333" s="65"/>
      <c r="AG333" s="64"/>
      <c r="AH333" s="72" t="str">
        <f aca="false">IF(OR(B333="",C333=""),"",C333&amp;"|"&amp;(YEAR(B333)*100+MONTH(B333)))</f>
        <v/>
      </c>
      <c r="AI333" s="70" t="str">
        <f aca="false">IF(AH333="","",IF(COUNTIF(L_CLAVE,AH333)&gt;1,"⚠ Duplicado","OK"))</f>
        <v/>
      </c>
      <c r="AJ333" s="86" t="str">
        <f aca="false">IF(AH333="","",IF(SUMPRODUCT(MAX((IND_PER&lt;=B333)*(IND_UF&lt;&gt;"")*IND_PER))=0,UF_HOY,INDEX(IND_UF,MATCH(SUMPRODUCT(MAX((IND_PER&lt;=B333)*(IND_UF&lt;&gt;"")*IND_PER)),IND_PER,0))))</f>
        <v/>
      </c>
      <c r="AK333" s="87" t="str">
        <f aca="false">IF(AH333="","",IF(COUNTIF(TASA_DESDE,"&lt;="&amp;B333)=0,INDEX(TASA_EMP,1),INDEX(TASA_EMP,COUNTIF(TASA_DESDE,"&lt;="&amp;B333))))</f>
        <v/>
      </c>
    </row>
    <row r="334" customFormat="false" ht="15" hidden="false" customHeight="false" outlineLevel="0" collapsed="false">
      <c r="B334" s="78"/>
      <c r="C334" s="64"/>
      <c r="D334" s="72" t="str">
        <f aca="false">IF(C334="","",IFERROR(INDEX(T_NOMBRE,MATCH(C334,T_ID,0)),"⚠ ID no existe"))</f>
        <v/>
      </c>
      <c r="E334" s="69"/>
      <c r="F334" s="67"/>
      <c r="G334" s="67"/>
      <c r="H334" s="67"/>
      <c r="I334" s="67"/>
      <c r="J334" s="67"/>
      <c r="K334" s="85" t="str">
        <f aca="false">IF(AH334="","",N(F334)+N(G334)+N(H334)-N(I334)+N(J334))</f>
        <v/>
      </c>
      <c r="L334" s="67"/>
      <c r="M334" s="67"/>
      <c r="N334" s="67"/>
      <c r="O334" s="67"/>
      <c r="P334" s="85" t="str">
        <f aca="false">IF(AH334="","",K334+N(L334)+N(M334)+N(N334)+N(O334))</f>
        <v/>
      </c>
      <c r="Q334" s="67"/>
      <c r="R334" s="67"/>
      <c r="S334" s="67"/>
      <c r="T334" s="67"/>
      <c r="U334" s="67"/>
      <c r="V334" s="67"/>
      <c r="W334" s="85" t="str">
        <f aca="false">IF(AH334="","",N(Q334)+N(R334)+N(S334)+N(T334)+N(U334)+N(V334))</f>
        <v/>
      </c>
      <c r="X334" s="85" t="str">
        <f aca="false">IF(AH334="","",P334-W334)</f>
        <v/>
      </c>
      <c r="Y334" s="67"/>
      <c r="Z334" s="70" t="str">
        <f aca="false">IF(OR(AH334="",Y334=""),"",IF(ABS(X334-Y334)&lt;=1,"✓ Cuadra","⚠ Diferencia $"&amp;FIXED(X334-Y334,0)))</f>
        <v/>
      </c>
      <c r="AA334" s="72" t="str">
        <f aca="false">IF(AH334="","",IFERROR(INDEX(C_TIPO,MATCH(C334&amp;"-P"&amp;MAX(1,COUNTIFS(C_ID,C334,C_DEFINE,"Sí",C_INICIO,"&lt;="&amp;EOMONTH(B334,0))),C_CLAVE,0))&amp;"","Sin dato"))</f>
        <v/>
      </c>
      <c r="AB334" s="71" t="str">
        <f aca="false">IF(AH334="","",ROUND(MIN(K334,TOPE_AFP_UF*AJ334)*AK334,0))</f>
        <v/>
      </c>
      <c r="AC334" s="71" t="str">
        <f aca="false">IF(AH334="","",ROUND(MIN(K334,TOPE_AFC_UF*AJ334)*IF(AA334="Indefinido",AFC_EMP_INDEF,AFC_EMP_PF),0))</f>
        <v/>
      </c>
      <c r="AD334" s="71" t="str">
        <f aca="false">IF(AH334="","",ROUND(MIN(K334,TOPE_AFP_UF*AJ334)*(MUTUAL_BASICA+MUTUAL_ADIC+SANNA),0))</f>
        <v/>
      </c>
      <c r="AE334" s="71" t="str">
        <f aca="false">IF(AH334="","",P334-N(N334)+AB334+AC334+AD334)</f>
        <v/>
      </c>
      <c r="AF334" s="65"/>
      <c r="AG334" s="64"/>
      <c r="AH334" s="72" t="str">
        <f aca="false">IF(OR(B334="",C334=""),"",C334&amp;"|"&amp;(YEAR(B334)*100+MONTH(B334)))</f>
        <v/>
      </c>
      <c r="AI334" s="70" t="str">
        <f aca="false">IF(AH334="","",IF(COUNTIF(L_CLAVE,AH334)&gt;1,"⚠ Duplicado","OK"))</f>
        <v/>
      </c>
      <c r="AJ334" s="86" t="str">
        <f aca="false">IF(AH334="","",IF(SUMPRODUCT(MAX((IND_PER&lt;=B334)*(IND_UF&lt;&gt;"")*IND_PER))=0,UF_HOY,INDEX(IND_UF,MATCH(SUMPRODUCT(MAX((IND_PER&lt;=B334)*(IND_UF&lt;&gt;"")*IND_PER)),IND_PER,0))))</f>
        <v/>
      </c>
      <c r="AK334" s="87" t="str">
        <f aca="false">IF(AH334="","",IF(COUNTIF(TASA_DESDE,"&lt;="&amp;B334)=0,INDEX(TASA_EMP,1),INDEX(TASA_EMP,COUNTIF(TASA_DESDE,"&lt;="&amp;B334))))</f>
        <v/>
      </c>
    </row>
    <row r="335" customFormat="false" ht="15" hidden="false" customHeight="false" outlineLevel="0" collapsed="false">
      <c r="B335" s="78"/>
      <c r="C335" s="64"/>
      <c r="D335" s="72" t="str">
        <f aca="false">IF(C335="","",IFERROR(INDEX(T_NOMBRE,MATCH(C335,T_ID,0)),"⚠ ID no existe"))</f>
        <v/>
      </c>
      <c r="E335" s="69"/>
      <c r="F335" s="67"/>
      <c r="G335" s="67"/>
      <c r="H335" s="67"/>
      <c r="I335" s="67"/>
      <c r="J335" s="67"/>
      <c r="K335" s="85" t="str">
        <f aca="false">IF(AH335="","",N(F335)+N(G335)+N(H335)-N(I335)+N(J335))</f>
        <v/>
      </c>
      <c r="L335" s="67"/>
      <c r="M335" s="67"/>
      <c r="N335" s="67"/>
      <c r="O335" s="67"/>
      <c r="P335" s="85" t="str">
        <f aca="false">IF(AH335="","",K335+N(L335)+N(M335)+N(N335)+N(O335))</f>
        <v/>
      </c>
      <c r="Q335" s="67"/>
      <c r="R335" s="67"/>
      <c r="S335" s="67"/>
      <c r="T335" s="67"/>
      <c r="U335" s="67"/>
      <c r="V335" s="67"/>
      <c r="W335" s="85" t="str">
        <f aca="false">IF(AH335="","",N(Q335)+N(R335)+N(S335)+N(T335)+N(U335)+N(V335))</f>
        <v/>
      </c>
      <c r="X335" s="85" t="str">
        <f aca="false">IF(AH335="","",P335-W335)</f>
        <v/>
      </c>
      <c r="Y335" s="67"/>
      <c r="Z335" s="70" t="str">
        <f aca="false">IF(OR(AH335="",Y335=""),"",IF(ABS(X335-Y335)&lt;=1,"✓ Cuadra","⚠ Diferencia $"&amp;FIXED(X335-Y335,0)))</f>
        <v/>
      </c>
      <c r="AA335" s="72" t="str">
        <f aca="false">IF(AH335="","",IFERROR(INDEX(C_TIPO,MATCH(C335&amp;"-P"&amp;MAX(1,COUNTIFS(C_ID,C335,C_DEFINE,"Sí",C_INICIO,"&lt;="&amp;EOMONTH(B335,0))),C_CLAVE,0))&amp;"","Sin dato"))</f>
        <v/>
      </c>
      <c r="AB335" s="71" t="str">
        <f aca="false">IF(AH335="","",ROUND(MIN(K335,TOPE_AFP_UF*AJ335)*AK335,0))</f>
        <v/>
      </c>
      <c r="AC335" s="71" t="str">
        <f aca="false">IF(AH335="","",ROUND(MIN(K335,TOPE_AFC_UF*AJ335)*IF(AA335="Indefinido",AFC_EMP_INDEF,AFC_EMP_PF),0))</f>
        <v/>
      </c>
      <c r="AD335" s="71" t="str">
        <f aca="false">IF(AH335="","",ROUND(MIN(K335,TOPE_AFP_UF*AJ335)*(MUTUAL_BASICA+MUTUAL_ADIC+SANNA),0))</f>
        <v/>
      </c>
      <c r="AE335" s="71" t="str">
        <f aca="false">IF(AH335="","",P335-N(N335)+AB335+AC335+AD335)</f>
        <v/>
      </c>
      <c r="AF335" s="65"/>
      <c r="AG335" s="64"/>
      <c r="AH335" s="72" t="str">
        <f aca="false">IF(OR(B335="",C335=""),"",C335&amp;"|"&amp;(YEAR(B335)*100+MONTH(B335)))</f>
        <v/>
      </c>
      <c r="AI335" s="70" t="str">
        <f aca="false">IF(AH335="","",IF(COUNTIF(L_CLAVE,AH335)&gt;1,"⚠ Duplicado","OK"))</f>
        <v/>
      </c>
      <c r="AJ335" s="86" t="str">
        <f aca="false">IF(AH335="","",IF(SUMPRODUCT(MAX((IND_PER&lt;=B335)*(IND_UF&lt;&gt;"")*IND_PER))=0,UF_HOY,INDEX(IND_UF,MATCH(SUMPRODUCT(MAX((IND_PER&lt;=B335)*(IND_UF&lt;&gt;"")*IND_PER)),IND_PER,0))))</f>
        <v/>
      </c>
      <c r="AK335" s="87" t="str">
        <f aca="false">IF(AH335="","",IF(COUNTIF(TASA_DESDE,"&lt;="&amp;B335)=0,INDEX(TASA_EMP,1),INDEX(TASA_EMP,COUNTIF(TASA_DESDE,"&lt;="&amp;B335))))</f>
        <v/>
      </c>
    </row>
    <row r="336" customFormat="false" ht="15" hidden="false" customHeight="false" outlineLevel="0" collapsed="false">
      <c r="B336" s="78"/>
      <c r="C336" s="64"/>
      <c r="D336" s="72" t="str">
        <f aca="false">IF(C336="","",IFERROR(INDEX(T_NOMBRE,MATCH(C336,T_ID,0)),"⚠ ID no existe"))</f>
        <v/>
      </c>
      <c r="E336" s="69"/>
      <c r="F336" s="67"/>
      <c r="G336" s="67"/>
      <c r="H336" s="67"/>
      <c r="I336" s="67"/>
      <c r="J336" s="67"/>
      <c r="K336" s="85" t="str">
        <f aca="false">IF(AH336="","",N(F336)+N(G336)+N(H336)-N(I336)+N(J336))</f>
        <v/>
      </c>
      <c r="L336" s="67"/>
      <c r="M336" s="67"/>
      <c r="N336" s="67"/>
      <c r="O336" s="67"/>
      <c r="P336" s="85" t="str">
        <f aca="false">IF(AH336="","",K336+N(L336)+N(M336)+N(N336)+N(O336))</f>
        <v/>
      </c>
      <c r="Q336" s="67"/>
      <c r="R336" s="67"/>
      <c r="S336" s="67"/>
      <c r="T336" s="67"/>
      <c r="U336" s="67"/>
      <c r="V336" s="67"/>
      <c r="W336" s="85" t="str">
        <f aca="false">IF(AH336="","",N(Q336)+N(R336)+N(S336)+N(T336)+N(U336)+N(V336))</f>
        <v/>
      </c>
      <c r="X336" s="85" t="str">
        <f aca="false">IF(AH336="","",P336-W336)</f>
        <v/>
      </c>
      <c r="Y336" s="67"/>
      <c r="Z336" s="70" t="str">
        <f aca="false">IF(OR(AH336="",Y336=""),"",IF(ABS(X336-Y336)&lt;=1,"✓ Cuadra","⚠ Diferencia $"&amp;FIXED(X336-Y336,0)))</f>
        <v/>
      </c>
      <c r="AA336" s="72" t="str">
        <f aca="false">IF(AH336="","",IFERROR(INDEX(C_TIPO,MATCH(C336&amp;"-P"&amp;MAX(1,COUNTIFS(C_ID,C336,C_DEFINE,"Sí",C_INICIO,"&lt;="&amp;EOMONTH(B336,0))),C_CLAVE,0))&amp;"","Sin dato"))</f>
        <v/>
      </c>
      <c r="AB336" s="71" t="str">
        <f aca="false">IF(AH336="","",ROUND(MIN(K336,TOPE_AFP_UF*AJ336)*AK336,0))</f>
        <v/>
      </c>
      <c r="AC336" s="71" t="str">
        <f aca="false">IF(AH336="","",ROUND(MIN(K336,TOPE_AFC_UF*AJ336)*IF(AA336="Indefinido",AFC_EMP_INDEF,AFC_EMP_PF),0))</f>
        <v/>
      </c>
      <c r="AD336" s="71" t="str">
        <f aca="false">IF(AH336="","",ROUND(MIN(K336,TOPE_AFP_UF*AJ336)*(MUTUAL_BASICA+MUTUAL_ADIC+SANNA),0))</f>
        <v/>
      </c>
      <c r="AE336" s="71" t="str">
        <f aca="false">IF(AH336="","",P336-N(N336)+AB336+AC336+AD336)</f>
        <v/>
      </c>
      <c r="AF336" s="65"/>
      <c r="AG336" s="64"/>
      <c r="AH336" s="72" t="str">
        <f aca="false">IF(OR(B336="",C336=""),"",C336&amp;"|"&amp;(YEAR(B336)*100+MONTH(B336)))</f>
        <v/>
      </c>
      <c r="AI336" s="70" t="str">
        <f aca="false">IF(AH336="","",IF(COUNTIF(L_CLAVE,AH336)&gt;1,"⚠ Duplicado","OK"))</f>
        <v/>
      </c>
      <c r="AJ336" s="86" t="str">
        <f aca="false">IF(AH336="","",IF(SUMPRODUCT(MAX((IND_PER&lt;=B336)*(IND_UF&lt;&gt;"")*IND_PER))=0,UF_HOY,INDEX(IND_UF,MATCH(SUMPRODUCT(MAX((IND_PER&lt;=B336)*(IND_UF&lt;&gt;"")*IND_PER)),IND_PER,0))))</f>
        <v/>
      </c>
      <c r="AK336" s="87" t="str">
        <f aca="false">IF(AH336="","",IF(COUNTIF(TASA_DESDE,"&lt;="&amp;B336)=0,INDEX(TASA_EMP,1),INDEX(TASA_EMP,COUNTIF(TASA_DESDE,"&lt;="&amp;B336))))</f>
        <v/>
      </c>
    </row>
    <row r="337" customFormat="false" ht="15" hidden="false" customHeight="false" outlineLevel="0" collapsed="false">
      <c r="B337" s="78"/>
      <c r="C337" s="64"/>
      <c r="D337" s="72" t="str">
        <f aca="false">IF(C337="","",IFERROR(INDEX(T_NOMBRE,MATCH(C337,T_ID,0)),"⚠ ID no existe"))</f>
        <v/>
      </c>
      <c r="E337" s="69"/>
      <c r="F337" s="67"/>
      <c r="G337" s="67"/>
      <c r="H337" s="67"/>
      <c r="I337" s="67"/>
      <c r="J337" s="67"/>
      <c r="K337" s="85" t="str">
        <f aca="false">IF(AH337="","",N(F337)+N(G337)+N(H337)-N(I337)+N(J337))</f>
        <v/>
      </c>
      <c r="L337" s="67"/>
      <c r="M337" s="67"/>
      <c r="N337" s="67"/>
      <c r="O337" s="67"/>
      <c r="P337" s="85" t="str">
        <f aca="false">IF(AH337="","",K337+N(L337)+N(M337)+N(N337)+N(O337))</f>
        <v/>
      </c>
      <c r="Q337" s="67"/>
      <c r="R337" s="67"/>
      <c r="S337" s="67"/>
      <c r="T337" s="67"/>
      <c r="U337" s="67"/>
      <c r="V337" s="67"/>
      <c r="W337" s="85" t="str">
        <f aca="false">IF(AH337="","",N(Q337)+N(R337)+N(S337)+N(T337)+N(U337)+N(V337))</f>
        <v/>
      </c>
      <c r="X337" s="85" t="str">
        <f aca="false">IF(AH337="","",P337-W337)</f>
        <v/>
      </c>
      <c r="Y337" s="67"/>
      <c r="Z337" s="70" t="str">
        <f aca="false">IF(OR(AH337="",Y337=""),"",IF(ABS(X337-Y337)&lt;=1,"✓ Cuadra","⚠ Diferencia $"&amp;FIXED(X337-Y337,0)))</f>
        <v/>
      </c>
      <c r="AA337" s="72" t="str">
        <f aca="false">IF(AH337="","",IFERROR(INDEX(C_TIPO,MATCH(C337&amp;"-P"&amp;MAX(1,COUNTIFS(C_ID,C337,C_DEFINE,"Sí",C_INICIO,"&lt;="&amp;EOMONTH(B337,0))),C_CLAVE,0))&amp;"","Sin dato"))</f>
        <v/>
      </c>
      <c r="AB337" s="71" t="str">
        <f aca="false">IF(AH337="","",ROUND(MIN(K337,TOPE_AFP_UF*AJ337)*AK337,0))</f>
        <v/>
      </c>
      <c r="AC337" s="71" t="str">
        <f aca="false">IF(AH337="","",ROUND(MIN(K337,TOPE_AFC_UF*AJ337)*IF(AA337="Indefinido",AFC_EMP_INDEF,AFC_EMP_PF),0))</f>
        <v/>
      </c>
      <c r="AD337" s="71" t="str">
        <f aca="false">IF(AH337="","",ROUND(MIN(K337,TOPE_AFP_UF*AJ337)*(MUTUAL_BASICA+MUTUAL_ADIC+SANNA),0))</f>
        <v/>
      </c>
      <c r="AE337" s="71" t="str">
        <f aca="false">IF(AH337="","",P337-N(N337)+AB337+AC337+AD337)</f>
        <v/>
      </c>
      <c r="AF337" s="65"/>
      <c r="AG337" s="64"/>
      <c r="AH337" s="72" t="str">
        <f aca="false">IF(OR(B337="",C337=""),"",C337&amp;"|"&amp;(YEAR(B337)*100+MONTH(B337)))</f>
        <v/>
      </c>
      <c r="AI337" s="70" t="str">
        <f aca="false">IF(AH337="","",IF(COUNTIF(L_CLAVE,AH337)&gt;1,"⚠ Duplicado","OK"))</f>
        <v/>
      </c>
      <c r="AJ337" s="86" t="str">
        <f aca="false">IF(AH337="","",IF(SUMPRODUCT(MAX((IND_PER&lt;=B337)*(IND_UF&lt;&gt;"")*IND_PER))=0,UF_HOY,INDEX(IND_UF,MATCH(SUMPRODUCT(MAX((IND_PER&lt;=B337)*(IND_UF&lt;&gt;"")*IND_PER)),IND_PER,0))))</f>
        <v/>
      </c>
      <c r="AK337" s="87" t="str">
        <f aca="false">IF(AH337="","",IF(COUNTIF(TASA_DESDE,"&lt;="&amp;B337)=0,INDEX(TASA_EMP,1),INDEX(TASA_EMP,COUNTIF(TASA_DESDE,"&lt;="&amp;B337))))</f>
        <v/>
      </c>
    </row>
    <row r="338" customFormat="false" ht="15" hidden="false" customHeight="false" outlineLevel="0" collapsed="false">
      <c r="B338" s="78"/>
      <c r="C338" s="64"/>
      <c r="D338" s="72" t="str">
        <f aca="false">IF(C338="","",IFERROR(INDEX(T_NOMBRE,MATCH(C338,T_ID,0)),"⚠ ID no existe"))</f>
        <v/>
      </c>
      <c r="E338" s="69"/>
      <c r="F338" s="67"/>
      <c r="G338" s="67"/>
      <c r="H338" s="67"/>
      <c r="I338" s="67"/>
      <c r="J338" s="67"/>
      <c r="K338" s="85" t="str">
        <f aca="false">IF(AH338="","",N(F338)+N(G338)+N(H338)-N(I338)+N(J338))</f>
        <v/>
      </c>
      <c r="L338" s="67"/>
      <c r="M338" s="67"/>
      <c r="N338" s="67"/>
      <c r="O338" s="67"/>
      <c r="P338" s="85" t="str">
        <f aca="false">IF(AH338="","",K338+N(L338)+N(M338)+N(N338)+N(O338))</f>
        <v/>
      </c>
      <c r="Q338" s="67"/>
      <c r="R338" s="67"/>
      <c r="S338" s="67"/>
      <c r="T338" s="67"/>
      <c r="U338" s="67"/>
      <c r="V338" s="67"/>
      <c r="W338" s="85" t="str">
        <f aca="false">IF(AH338="","",N(Q338)+N(R338)+N(S338)+N(T338)+N(U338)+N(V338))</f>
        <v/>
      </c>
      <c r="X338" s="85" t="str">
        <f aca="false">IF(AH338="","",P338-W338)</f>
        <v/>
      </c>
      <c r="Y338" s="67"/>
      <c r="Z338" s="70" t="str">
        <f aca="false">IF(OR(AH338="",Y338=""),"",IF(ABS(X338-Y338)&lt;=1,"✓ Cuadra","⚠ Diferencia $"&amp;FIXED(X338-Y338,0)))</f>
        <v/>
      </c>
      <c r="AA338" s="72" t="str">
        <f aca="false">IF(AH338="","",IFERROR(INDEX(C_TIPO,MATCH(C338&amp;"-P"&amp;MAX(1,COUNTIFS(C_ID,C338,C_DEFINE,"Sí",C_INICIO,"&lt;="&amp;EOMONTH(B338,0))),C_CLAVE,0))&amp;"","Sin dato"))</f>
        <v/>
      </c>
      <c r="AB338" s="71" t="str">
        <f aca="false">IF(AH338="","",ROUND(MIN(K338,TOPE_AFP_UF*AJ338)*AK338,0))</f>
        <v/>
      </c>
      <c r="AC338" s="71" t="str">
        <f aca="false">IF(AH338="","",ROUND(MIN(K338,TOPE_AFC_UF*AJ338)*IF(AA338="Indefinido",AFC_EMP_INDEF,AFC_EMP_PF),0))</f>
        <v/>
      </c>
      <c r="AD338" s="71" t="str">
        <f aca="false">IF(AH338="","",ROUND(MIN(K338,TOPE_AFP_UF*AJ338)*(MUTUAL_BASICA+MUTUAL_ADIC+SANNA),0))</f>
        <v/>
      </c>
      <c r="AE338" s="71" t="str">
        <f aca="false">IF(AH338="","",P338-N(N338)+AB338+AC338+AD338)</f>
        <v/>
      </c>
      <c r="AF338" s="65"/>
      <c r="AG338" s="64"/>
      <c r="AH338" s="72" t="str">
        <f aca="false">IF(OR(B338="",C338=""),"",C338&amp;"|"&amp;(YEAR(B338)*100+MONTH(B338)))</f>
        <v/>
      </c>
      <c r="AI338" s="70" t="str">
        <f aca="false">IF(AH338="","",IF(COUNTIF(L_CLAVE,AH338)&gt;1,"⚠ Duplicado","OK"))</f>
        <v/>
      </c>
      <c r="AJ338" s="86" t="str">
        <f aca="false">IF(AH338="","",IF(SUMPRODUCT(MAX((IND_PER&lt;=B338)*(IND_UF&lt;&gt;"")*IND_PER))=0,UF_HOY,INDEX(IND_UF,MATCH(SUMPRODUCT(MAX((IND_PER&lt;=B338)*(IND_UF&lt;&gt;"")*IND_PER)),IND_PER,0))))</f>
        <v/>
      </c>
      <c r="AK338" s="87" t="str">
        <f aca="false">IF(AH338="","",IF(COUNTIF(TASA_DESDE,"&lt;="&amp;B338)=0,INDEX(TASA_EMP,1),INDEX(TASA_EMP,COUNTIF(TASA_DESDE,"&lt;="&amp;B338))))</f>
        <v/>
      </c>
    </row>
    <row r="339" customFormat="false" ht="15" hidden="false" customHeight="false" outlineLevel="0" collapsed="false">
      <c r="B339" s="78"/>
      <c r="C339" s="64"/>
      <c r="D339" s="72" t="str">
        <f aca="false">IF(C339="","",IFERROR(INDEX(T_NOMBRE,MATCH(C339,T_ID,0)),"⚠ ID no existe"))</f>
        <v/>
      </c>
      <c r="E339" s="69"/>
      <c r="F339" s="67"/>
      <c r="G339" s="67"/>
      <c r="H339" s="67"/>
      <c r="I339" s="67"/>
      <c r="J339" s="67"/>
      <c r="K339" s="85" t="str">
        <f aca="false">IF(AH339="","",N(F339)+N(G339)+N(H339)-N(I339)+N(J339))</f>
        <v/>
      </c>
      <c r="L339" s="67"/>
      <c r="M339" s="67"/>
      <c r="N339" s="67"/>
      <c r="O339" s="67"/>
      <c r="P339" s="85" t="str">
        <f aca="false">IF(AH339="","",K339+N(L339)+N(M339)+N(N339)+N(O339))</f>
        <v/>
      </c>
      <c r="Q339" s="67"/>
      <c r="R339" s="67"/>
      <c r="S339" s="67"/>
      <c r="T339" s="67"/>
      <c r="U339" s="67"/>
      <c r="V339" s="67"/>
      <c r="W339" s="85" t="str">
        <f aca="false">IF(AH339="","",N(Q339)+N(R339)+N(S339)+N(T339)+N(U339)+N(V339))</f>
        <v/>
      </c>
      <c r="X339" s="85" t="str">
        <f aca="false">IF(AH339="","",P339-W339)</f>
        <v/>
      </c>
      <c r="Y339" s="67"/>
      <c r="Z339" s="70" t="str">
        <f aca="false">IF(OR(AH339="",Y339=""),"",IF(ABS(X339-Y339)&lt;=1,"✓ Cuadra","⚠ Diferencia $"&amp;FIXED(X339-Y339,0)))</f>
        <v/>
      </c>
      <c r="AA339" s="72" t="str">
        <f aca="false">IF(AH339="","",IFERROR(INDEX(C_TIPO,MATCH(C339&amp;"-P"&amp;MAX(1,COUNTIFS(C_ID,C339,C_DEFINE,"Sí",C_INICIO,"&lt;="&amp;EOMONTH(B339,0))),C_CLAVE,0))&amp;"","Sin dato"))</f>
        <v/>
      </c>
      <c r="AB339" s="71" t="str">
        <f aca="false">IF(AH339="","",ROUND(MIN(K339,TOPE_AFP_UF*AJ339)*AK339,0))</f>
        <v/>
      </c>
      <c r="AC339" s="71" t="str">
        <f aca="false">IF(AH339="","",ROUND(MIN(K339,TOPE_AFC_UF*AJ339)*IF(AA339="Indefinido",AFC_EMP_INDEF,AFC_EMP_PF),0))</f>
        <v/>
      </c>
      <c r="AD339" s="71" t="str">
        <f aca="false">IF(AH339="","",ROUND(MIN(K339,TOPE_AFP_UF*AJ339)*(MUTUAL_BASICA+MUTUAL_ADIC+SANNA),0))</f>
        <v/>
      </c>
      <c r="AE339" s="71" t="str">
        <f aca="false">IF(AH339="","",P339-N(N339)+AB339+AC339+AD339)</f>
        <v/>
      </c>
      <c r="AF339" s="65"/>
      <c r="AG339" s="64"/>
      <c r="AH339" s="72" t="str">
        <f aca="false">IF(OR(B339="",C339=""),"",C339&amp;"|"&amp;(YEAR(B339)*100+MONTH(B339)))</f>
        <v/>
      </c>
      <c r="AI339" s="70" t="str">
        <f aca="false">IF(AH339="","",IF(COUNTIF(L_CLAVE,AH339)&gt;1,"⚠ Duplicado","OK"))</f>
        <v/>
      </c>
      <c r="AJ339" s="86" t="str">
        <f aca="false">IF(AH339="","",IF(SUMPRODUCT(MAX((IND_PER&lt;=B339)*(IND_UF&lt;&gt;"")*IND_PER))=0,UF_HOY,INDEX(IND_UF,MATCH(SUMPRODUCT(MAX((IND_PER&lt;=B339)*(IND_UF&lt;&gt;"")*IND_PER)),IND_PER,0))))</f>
        <v/>
      </c>
      <c r="AK339" s="87" t="str">
        <f aca="false">IF(AH339="","",IF(COUNTIF(TASA_DESDE,"&lt;="&amp;B339)=0,INDEX(TASA_EMP,1),INDEX(TASA_EMP,COUNTIF(TASA_DESDE,"&lt;="&amp;B339))))</f>
        <v/>
      </c>
    </row>
    <row r="340" customFormat="false" ht="15" hidden="false" customHeight="false" outlineLevel="0" collapsed="false">
      <c r="B340" s="78"/>
      <c r="C340" s="64"/>
      <c r="D340" s="72" t="str">
        <f aca="false">IF(C340="","",IFERROR(INDEX(T_NOMBRE,MATCH(C340,T_ID,0)),"⚠ ID no existe"))</f>
        <v/>
      </c>
      <c r="E340" s="69"/>
      <c r="F340" s="67"/>
      <c r="G340" s="67"/>
      <c r="H340" s="67"/>
      <c r="I340" s="67"/>
      <c r="J340" s="67"/>
      <c r="K340" s="85" t="str">
        <f aca="false">IF(AH340="","",N(F340)+N(G340)+N(H340)-N(I340)+N(J340))</f>
        <v/>
      </c>
      <c r="L340" s="67"/>
      <c r="M340" s="67"/>
      <c r="N340" s="67"/>
      <c r="O340" s="67"/>
      <c r="P340" s="85" t="str">
        <f aca="false">IF(AH340="","",K340+N(L340)+N(M340)+N(N340)+N(O340))</f>
        <v/>
      </c>
      <c r="Q340" s="67"/>
      <c r="R340" s="67"/>
      <c r="S340" s="67"/>
      <c r="T340" s="67"/>
      <c r="U340" s="67"/>
      <c r="V340" s="67"/>
      <c r="W340" s="85" t="str">
        <f aca="false">IF(AH340="","",N(Q340)+N(R340)+N(S340)+N(T340)+N(U340)+N(V340))</f>
        <v/>
      </c>
      <c r="X340" s="85" t="str">
        <f aca="false">IF(AH340="","",P340-W340)</f>
        <v/>
      </c>
      <c r="Y340" s="67"/>
      <c r="Z340" s="70" t="str">
        <f aca="false">IF(OR(AH340="",Y340=""),"",IF(ABS(X340-Y340)&lt;=1,"✓ Cuadra","⚠ Diferencia $"&amp;FIXED(X340-Y340,0)))</f>
        <v/>
      </c>
      <c r="AA340" s="72" t="str">
        <f aca="false">IF(AH340="","",IFERROR(INDEX(C_TIPO,MATCH(C340&amp;"-P"&amp;MAX(1,COUNTIFS(C_ID,C340,C_DEFINE,"Sí",C_INICIO,"&lt;="&amp;EOMONTH(B340,0))),C_CLAVE,0))&amp;"","Sin dato"))</f>
        <v/>
      </c>
      <c r="AB340" s="71" t="str">
        <f aca="false">IF(AH340="","",ROUND(MIN(K340,TOPE_AFP_UF*AJ340)*AK340,0))</f>
        <v/>
      </c>
      <c r="AC340" s="71" t="str">
        <f aca="false">IF(AH340="","",ROUND(MIN(K340,TOPE_AFC_UF*AJ340)*IF(AA340="Indefinido",AFC_EMP_INDEF,AFC_EMP_PF),0))</f>
        <v/>
      </c>
      <c r="AD340" s="71" t="str">
        <f aca="false">IF(AH340="","",ROUND(MIN(K340,TOPE_AFP_UF*AJ340)*(MUTUAL_BASICA+MUTUAL_ADIC+SANNA),0))</f>
        <v/>
      </c>
      <c r="AE340" s="71" t="str">
        <f aca="false">IF(AH340="","",P340-N(N340)+AB340+AC340+AD340)</f>
        <v/>
      </c>
      <c r="AF340" s="65"/>
      <c r="AG340" s="64"/>
      <c r="AH340" s="72" t="str">
        <f aca="false">IF(OR(B340="",C340=""),"",C340&amp;"|"&amp;(YEAR(B340)*100+MONTH(B340)))</f>
        <v/>
      </c>
      <c r="AI340" s="70" t="str">
        <f aca="false">IF(AH340="","",IF(COUNTIF(L_CLAVE,AH340)&gt;1,"⚠ Duplicado","OK"))</f>
        <v/>
      </c>
      <c r="AJ340" s="86" t="str">
        <f aca="false">IF(AH340="","",IF(SUMPRODUCT(MAX((IND_PER&lt;=B340)*(IND_UF&lt;&gt;"")*IND_PER))=0,UF_HOY,INDEX(IND_UF,MATCH(SUMPRODUCT(MAX((IND_PER&lt;=B340)*(IND_UF&lt;&gt;"")*IND_PER)),IND_PER,0))))</f>
        <v/>
      </c>
      <c r="AK340" s="87" t="str">
        <f aca="false">IF(AH340="","",IF(COUNTIF(TASA_DESDE,"&lt;="&amp;B340)=0,INDEX(TASA_EMP,1),INDEX(TASA_EMP,COUNTIF(TASA_DESDE,"&lt;="&amp;B340))))</f>
        <v/>
      </c>
    </row>
    <row r="341" customFormat="false" ht="15" hidden="false" customHeight="false" outlineLevel="0" collapsed="false">
      <c r="B341" s="78"/>
      <c r="C341" s="64"/>
      <c r="D341" s="72" t="str">
        <f aca="false">IF(C341="","",IFERROR(INDEX(T_NOMBRE,MATCH(C341,T_ID,0)),"⚠ ID no existe"))</f>
        <v/>
      </c>
      <c r="E341" s="69"/>
      <c r="F341" s="67"/>
      <c r="G341" s="67"/>
      <c r="H341" s="67"/>
      <c r="I341" s="67"/>
      <c r="J341" s="67"/>
      <c r="K341" s="85" t="str">
        <f aca="false">IF(AH341="","",N(F341)+N(G341)+N(H341)-N(I341)+N(J341))</f>
        <v/>
      </c>
      <c r="L341" s="67"/>
      <c r="M341" s="67"/>
      <c r="N341" s="67"/>
      <c r="O341" s="67"/>
      <c r="P341" s="85" t="str">
        <f aca="false">IF(AH341="","",K341+N(L341)+N(M341)+N(N341)+N(O341))</f>
        <v/>
      </c>
      <c r="Q341" s="67"/>
      <c r="R341" s="67"/>
      <c r="S341" s="67"/>
      <c r="T341" s="67"/>
      <c r="U341" s="67"/>
      <c r="V341" s="67"/>
      <c r="W341" s="85" t="str">
        <f aca="false">IF(AH341="","",N(Q341)+N(R341)+N(S341)+N(T341)+N(U341)+N(V341))</f>
        <v/>
      </c>
      <c r="X341" s="85" t="str">
        <f aca="false">IF(AH341="","",P341-W341)</f>
        <v/>
      </c>
      <c r="Y341" s="67"/>
      <c r="Z341" s="70" t="str">
        <f aca="false">IF(OR(AH341="",Y341=""),"",IF(ABS(X341-Y341)&lt;=1,"✓ Cuadra","⚠ Diferencia $"&amp;FIXED(X341-Y341,0)))</f>
        <v/>
      </c>
      <c r="AA341" s="72" t="str">
        <f aca="false">IF(AH341="","",IFERROR(INDEX(C_TIPO,MATCH(C341&amp;"-P"&amp;MAX(1,COUNTIFS(C_ID,C341,C_DEFINE,"Sí",C_INICIO,"&lt;="&amp;EOMONTH(B341,0))),C_CLAVE,0))&amp;"","Sin dato"))</f>
        <v/>
      </c>
      <c r="AB341" s="71" t="str">
        <f aca="false">IF(AH341="","",ROUND(MIN(K341,TOPE_AFP_UF*AJ341)*AK341,0))</f>
        <v/>
      </c>
      <c r="AC341" s="71" t="str">
        <f aca="false">IF(AH341="","",ROUND(MIN(K341,TOPE_AFC_UF*AJ341)*IF(AA341="Indefinido",AFC_EMP_INDEF,AFC_EMP_PF),0))</f>
        <v/>
      </c>
      <c r="AD341" s="71" t="str">
        <f aca="false">IF(AH341="","",ROUND(MIN(K341,TOPE_AFP_UF*AJ341)*(MUTUAL_BASICA+MUTUAL_ADIC+SANNA),0))</f>
        <v/>
      </c>
      <c r="AE341" s="71" t="str">
        <f aca="false">IF(AH341="","",P341-N(N341)+AB341+AC341+AD341)</f>
        <v/>
      </c>
      <c r="AF341" s="65"/>
      <c r="AG341" s="64"/>
      <c r="AH341" s="72" t="str">
        <f aca="false">IF(OR(B341="",C341=""),"",C341&amp;"|"&amp;(YEAR(B341)*100+MONTH(B341)))</f>
        <v/>
      </c>
      <c r="AI341" s="70" t="str">
        <f aca="false">IF(AH341="","",IF(COUNTIF(L_CLAVE,AH341)&gt;1,"⚠ Duplicado","OK"))</f>
        <v/>
      </c>
      <c r="AJ341" s="86" t="str">
        <f aca="false">IF(AH341="","",IF(SUMPRODUCT(MAX((IND_PER&lt;=B341)*(IND_UF&lt;&gt;"")*IND_PER))=0,UF_HOY,INDEX(IND_UF,MATCH(SUMPRODUCT(MAX((IND_PER&lt;=B341)*(IND_UF&lt;&gt;"")*IND_PER)),IND_PER,0))))</f>
        <v/>
      </c>
      <c r="AK341" s="87" t="str">
        <f aca="false">IF(AH341="","",IF(COUNTIF(TASA_DESDE,"&lt;="&amp;B341)=0,INDEX(TASA_EMP,1),INDEX(TASA_EMP,COUNTIF(TASA_DESDE,"&lt;="&amp;B341))))</f>
        <v/>
      </c>
    </row>
    <row r="342" customFormat="false" ht="15" hidden="false" customHeight="false" outlineLevel="0" collapsed="false">
      <c r="B342" s="78"/>
      <c r="C342" s="64"/>
      <c r="D342" s="72" t="str">
        <f aca="false">IF(C342="","",IFERROR(INDEX(T_NOMBRE,MATCH(C342,T_ID,0)),"⚠ ID no existe"))</f>
        <v/>
      </c>
      <c r="E342" s="69"/>
      <c r="F342" s="67"/>
      <c r="G342" s="67"/>
      <c r="H342" s="67"/>
      <c r="I342" s="67"/>
      <c r="J342" s="67"/>
      <c r="K342" s="85" t="str">
        <f aca="false">IF(AH342="","",N(F342)+N(G342)+N(H342)-N(I342)+N(J342))</f>
        <v/>
      </c>
      <c r="L342" s="67"/>
      <c r="M342" s="67"/>
      <c r="N342" s="67"/>
      <c r="O342" s="67"/>
      <c r="P342" s="85" t="str">
        <f aca="false">IF(AH342="","",K342+N(L342)+N(M342)+N(N342)+N(O342))</f>
        <v/>
      </c>
      <c r="Q342" s="67"/>
      <c r="R342" s="67"/>
      <c r="S342" s="67"/>
      <c r="T342" s="67"/>
      <c r="U342" s="67"/>
      <c r="V342" s="67"/>
      <c r="W342" s="85" t="str">
        <f aca="false">IF(AH342="","",N(Q342)+N(R342)+N(S342)+N(T342)+N(U342)+N(V342))</f>
        <v/>
      </c>
      <c r="X342" s="85" t="str">
        <f aca="false">IF(AH342="","",P342-W342)</f>
        <v/>
      </c>
      <c r="Y342" s="67"/>
      <c r="Z342" s="70" t="str">
        <f aca="false">IF(OR(AH342="",Y342=""),"",IF(ABS(X342-Y342)&lt;=1,"✓ Cuadra","⚠ Diferencia $"&amp;FIXED(X342-Y342,0)))</f>
        <v/>
      </c>
      <c r="AA342" s="72" t="str">
        <f aca="false">IF(AH342="","",IFERROR(INDEX(C_TIPO,MATCH(C342&amp;"-P"&amp;MAX(1,COUNTIFS(C_ID,C342,C_DEFINE,"Sí",C_INICIO,"&lt;="&amp;EOMONTH(B342,0))),C_CLAVE,0))&amp;"","Sin dato"))</f>
        <v/>
      </c>
      <c r="AB342" s="71" t="str">
        <f aca="false">IF(AH342="","",ROUND(MIN(K342,TOPE_AFP_UF*AJ342)*AK342,0))</f>
        <v/>
      </c>
      <c r="AC342" s="71" t="str">
        <f aca="false">IF(AH342="","",ROUND(MIN(K342,TOPE_AFC_UF*AJ342)*IF(AA342="Indefinido",AFC_EMP_INDEF,AFC_EMP_PF),0))</f>
        <v/>
      </c>
      <c r="AD342" s="71" t="str">
        <f aca="false">IF(AH342="","",ROUND(MIN(K342,TOPE_AFP_UF*AJ342)*(MUTUAL_BASICA+MUTUAL_ADIC+SANNA),0))</f>
        <v/>
      </c>
      <c r="AE342" s="71" t="str">
        <f aca="false">IF(AH342="","",P342-N(N342)+AB342+AC342+AD342)</f>
        <v/>
      </c>
      <c r="AF342" s="65"/>
      <c r="AG342" s="64"/>
      <c r="AH342" s="72" t="str">
        <f aca="false">IF(OR(B342="",C342=""),"",C342&amp;"|"&amp;(YEAR(B342)*100+MONTH(B342)))</f>
        <v/>
      </c>
      <c r="AI342" s="70" t="str">
        <f aca="false">IF(AH342="","",IF(COUNTIF(L_CLAVE,AH342)&gt;1,"⚠ Duplicado","OK"))</f>
        <v/>
      </c>
      <c r="AJ342" s="86" t="str">
        <f aca="false">IF(AH342="","",IF(SUMPRODUCT(MAX((IND_PER&lt;=B342)*(IND_UF&lt;&gt;"")*IND_PER))=0,UF_HOY,INDEX(IND_UF,MATCH(SUMPRODUCT(MAX((IND_PER&lt;=B342)*(IND_UF&lt;&gt;"")*IND_PER)),IND_PER,0))))</f>
        <v/>
      </c>
      <c r="AK342" s="87" t="str">
        <f aca="false">IF(AH342="","",IF(COUNTIF(TASA_DESDE,"&lt;="&amp;B342)=0,INDEX(TASA_EMP,1),INDEX(TASA_EMP,COUNTIF(TASA_DESDE,"&lt;="&amp;B342))))</f>
        <v/>
      </c>
    </row>
    <row r="343" customFormat="false" ht="15" hidden="false" customHeight="false" outlineLevel="0" collapsed="false">
      <c r="B343" s="78"/>
      <c r="C343" s="64"/>
      <c r="D343" s="72" t="str">
        <f aca="false">IF(C343="","",IFERROR(INDEX(T_NOMBRE,MATCH(C343,T_ID,0)),"⚠ ID no existe"))</f>
        <v/>
      </c>
      <c r="E343" s="69"/>
      <c r="F343" s="67"/>
      <c r="G343" s="67"/>
      <c r="H343" s="67"/>
      <c r="I343" s="67"/>
      <c r="J343" s="67"/>
      <c r="K343" s="85" t="str">
        <f aca="false">IF(AH343="","",N(F343)+N(G343)+N(H343)-N(I343)+N(J343))</f>
        <v/>
      </c>
      <c r="L343" s="67"/>
      <c r="M343" s="67"/>
      <c r="N343" s="67"/>
      <c r="O343" s="67"/>
      <c r="P343" s="85" t="str">
        <f aca="false">IF(AH343="","",K343+N(L343)+N(M343)+N(N343)+N(O343))</f>
        <v/>
      </c>
      <c r="Q343" s="67"/>
      <c r="R343" s="67"/>
      <c r="S343" s="67"/>
      <c r="T343" s="67"/>
      <c r="U343" s="67"/>
      <c r="V343" s="67"/>
      <c r="W343" s="85" t="str">
        <f aca="false">IF(AH343="","",N(Q343)+N(R343)+N(S343)+N(T343)+N(U343)+N(V343))</f>
        <v/>
      </c>
      <c r="X343" s="85" t="str">
        <f aca="false">IF(AH343="","",P343-W343)</f>
        <v/>
      </c>
      <c r="Y343" s="67"/>
      <c r="Z343" s="70" t="str">
        <f aca="false">IF(OR(AH343="",Y343=""),"",IF(ABS(X343-Y343)&lt;=1,"✓ Cuadra","⚠ Diferencia $"&amp;FIXED(X343-Y343,0)))</f>
        <v/>
      </c>
      <c r="AA343" s="72" t="str">
        <f aca="false">IF(AH343="","",IFERROR(INDEX(C_TIPO,MATCH(C343&amp;"-P"&amp;MAX(1,COUNTIFS(C_ID,C343,C_DEFINE,"Sí",C_INICIO,"&lt;="&amp;EOMONTH(B343,0))),C_CLAVE,0))&amp;"","Sin dato"))</f>
        <v/>
      </c>
      <c r="AB343" s="71" t="str">
        <f aca="false">IF(AH343="","",ROUND(MIN(K343,TOPE_AFP_UF*AJ343)*AK343,0))</f>
        <v/>
      </c>
      <c r="AC343" s="71" t="str">
        <f aca="false">IF(AH343="","",ROUND(MIN(K343,TOPE_AFC_UF*AJ343)*IF(AA343="Indefinido",AFC_EMP_INDEF,AFC_EMP_PF),0))</f>
        <v/>
      </c>
      <c r="AD343" s="71" t="str">
        <f aca="false">IF(AH343="","",ROUND(MIN(K343,TOPE_AFP_UF*AJ343)*(MUTUAL_BASICA+MUTUAL_ADIC+SANNA),0))</f>
        <v/>
      </c>
      <c r="AE343" s="71" t="str">
        <f aca="false">IF(AH343="","",P343-N(N343)+AB343+AC343+AD343)</f>
        <v/>
      </c>
      <c r="AF343" s="65"/>
      <c r="AG343" s="64"/>
      <c r="AH343" s="72" t="str">
        <f aca="false">IF(OR(B343="",C343=""),"",C343&amp;"|"&amp;(YEAR(B343)*100+MONTH(B343)))</f>
        <v/>
      </c>
      <c r="AI343" s="70" t="str">
        <f aca="false">IF(AH343="","",IF(COUNTIF(L_CLAVE,AH343)&gt;1,"⚠ Duplicado","OK"))</f>
        <v/>
      </c>
      <c r="AJ343" s="86" t="str">
        <f aca="false">IF(AH343="","",IF(SUMPRODUCT(MAX((IND_PER&lt;=B343)*(IND_UF&lt;&gt;"")*IND_PER))=0,UF_HOY,INDEX(IND_UF,MATCH(SUMPRODUCT(MAX((IND_PER&lt;=B343)*(IND_UF&lt;&gt;"")*IND_PER)),IND_PER,0))))</f>
        <v/>
      </c>
      <c r="AK343" s="87" t="str">
        <f aca="false">IF(AH343="","",IF(COUNTIF(TASA_DESDE,"&lt;="&amp;B343)=0,INDEX(TASA_EMP,1),INDEX(TASA_EMP,COUNTIF(TASA_DESDE,"&lt;="&amp;B343))))</f>
        <v/>
      </c>
    </row>
    <row r="344" customFormat="false" ht="15" hidden="false" customHeight="false" outlineLevel="0" collapsed="false">
      <c r="B344" s="78"/>
      <c r="C344" s="64"/>
      <c r="D344" s="72" t="str">
        <f aca="false">IF(C344="","",IFERROR(INDEX(T_NOMBRE,MATCH(C344,T_ID,0)),"⚠ ID no existe"))</f>
        <v/>
      </c>
      <c r="E344" s="69"/>
      <c r="F344" s="67"/>
      <c r="G344" s="67"/>
      <c r="H344" s="67"/>
      <c r="I344" s="67"/>
      <c r="J344" s="67"/>
      <c r="K344" s="85" t="str">
        <f aca="false">IF(AH344="","",N(F344)+N(G344)+N(H344)-N(I344)+N(J344))</f>
        <v/>
      </c>
      <c r="L344" s="67"/>
      <c r="M344" s="67"/>
      <c r="N344" s="67"/>
      <c r="O344" s="67"/>
      <c r="P344" s="85" t="str">
        <f aca="false">IF(AH344="","",K344+N(L344)+N(M344)+N(N344)+N(O344))</f>
        <v/>
      </c>
      <c r="Q344" s="67"/>
      <c r="R344" s="67"/>
      <c r="S344" s="67"/>
      <c r="T344" s="67"/>
      <c r="U344" s="67"/>
      <c r="V344" s="67"/>
      <c r="W344" s="85" t="str">
        <f aca="false">IF(AH344="","",N(Q344)+N(R344)+N(S344)+N(T344)+N(U344)+N(V344))</f>
        <v/>
      </c>
      <c r="X344" s="85" t="str">
        <f aca="false">IF(AH344="","",P344-W344)</f>
        <v/>
      </c>
      <c r="Y344" s="67"/>
      <c r="Z344" s="70" t="str">
        <f aca="false">IF(OR(AH344="",Y344=""),"",IF(ABS(X344-Y344)&lt;=1,"✓ Cuadra","⚠ Diferencia $"&amp;FIXED(X344-Y344,0)))</f>
        <v/>
      </c>
      <c r="AA344" s="72" t="str">
        <f aca="false">IF(AH344="","",IFERROR(INDEX(C_TIPO,MATCH(C344&amp;"-P"&amp;MAX(1,COUNTIFS(C_ID,C344,C_DEFINE,"Sí",C_INICIO,"&lt;="&amp;EOMONTH(B344,0))),C_CLAVE,0))&amp;"","Sin dato"))</f>
        <v/>
      </c>
      <c r="AB344" s="71" t="str">
        <f aca="false">IF(AH344="","",ROUND(MIN(K344,TOPE_AFP_UF*AJ344)*AK344,0))</f>
        <v/>
      </c>
      <c r="AC344" s="71" t="str">
        <f aca="false">IF(AH344="","",ROUND(MIN(K344,TOPE_AFC_UF*AJ344)*IF(AA344="Indefinido",AFC_EMP_INDEF,AFC_EMP_PF),0))</f>
        <v/>
      </c>
      <c r="AD344" s="71" t="str">
        <f aca="false">IF(AH344="","",ROUND(MIN(K344,TOPE_AFP_UF*AJ344)*(MUTUAL_BASICA+MUTUAL_ADIC+SANNA),0))</f>
        <v/>
      </c>
      <c r="AE344" s="71" t="str">
        <f aca="false">IF(AH344="","",P344-N(N344)+AB344+AC344+AD344)</f>
        <v/>
      </c>
      <c r="AF344" s="65"/>
      <c r="AG344" s="64"/>
      <c r="AH344" s="72" t="str">
        <f aca="false">IF(OR(B344="",C344=""),"",C344&amp;"|"&amp;(YEAR(B344)*100+MONTH(B344)))</f>
        <v/>
      </c>
      <c r="AI344" s="70" t="str">
        <f aca="false">IF(AH344="","",IF(COUNTIF(L_CLAVE,AH344)&gt;1,"⚠ Duplicado","OK"))</f>
        <v/>
      </c>
      <c r="AJ344" s="86" t="str">
        <f aca="false">IF(AH344="","",IF(SUMPRODUCT(MAX((IND_PER&lt;=B344)*(IND_UF&lt;&gt;"")*IND_PER))=0,UF_HOY,INDEX(IND_UF,MATCH(SUMPRODUCT(MAX((IND_PER&lt;=B344)*(IND_UF&lt;&gt;"")*IND_PER)),IND_PER,0))))</f>
        <v/>
      </c>
      <c r="AK344" s="87" t="str">
        <f aca="false">IF(AH344="","",IF(COUNTIF(TASA_DESDE,"&lt;="&amp;B344)=0,INDEX(TASA_EMP,1),INDEX(TASA_EMP,COUNTIF(TASA_DESDE,"&lt;="&amp;B344))))</f>
        <v/>
      </c>
    </row>
    <row r="345" customFormat="false" ht="15" hidden="false" customHeight="false" outlineLevel="0" collapsed="false">
      <c r="B345" s="78"/>
      <c r="C345" s="64"/>
      <c r="D345" s="72" t="str">
        <f aca="false">IF(C345="","",IFERROR(INDEX(T_NOMBRE,MATCH(C345,T_ID,0)),"⚠ ID no existe"))</f>
        <v/>
      </c>
      <c r="E345" s="69"/>
      <c r="F345" s="67"/>
      <c r="G345" s="67"/>
      <c r="H345" s="67"/>
      <c r="I345" s="67"/>
      <c r="J345" s="67"/>
      <c r="K345" s="85" t="str">
        <f aca="false">IF(AH345="","",N(F345)+N(G345)+N(H345)-N(I345)+N(J345))</f>
        <v/>
      </c>
      <c r="L345" s="67"/>
      <c r="M345" s="67"/>
      <c r="N345" s="67"/>
      <c r="O345" s="67"/>
      <c r="P345" s="85" t="str">
        <f aca="false">IF(AH345="","",K345+N(L345)+N(M345)+N(N345)+N(O345))</f>
        <v/>
      </c>
      <c r="Q345" s="67"/>
      <c r="R345" s="67"/>
      <c r="S345" s="67"/>
      <c r="T345" s="67"/>
      <c r="U345" s="67"/>
      <c r="V345" s="67"/>
      <c r="W345" s="85" t="str">
        <f aca="false">IF(AH345="","",N(Q345)+N(R345)+N(S345)+N(T345)+N(U345)+N(V345))</f>
        <v/>
      </c>
      <c r="X345" s="85" t="str">
        <f aca="false">IF(AH345="","",P345-W345)</f>
        <v/>
      </c>
      <c r="Y345" s="67"/>
      <c r="Z345" s="70" t="str">
        <f aca="false">IF(OR(AH345="",Y345=""),"",IF(ABS(X345-Y345)&lt;=1,"✓ Cuadra","⚠ Diferencia $"&amp;FIXED(X345-Y345,0)))</f>
        <v/>
      </c>
      <c r="AA345" s="72" t="str">
        <f aca="false">IF(AH345="","",IFERROR(INDEX(C_TIPO,MATCH(C345&amp;"-P"&amp;MAX(1,COUNTIFS(C_ID,C345,C_DEFINE,"Sí",C_INICIO,"&lt;="&amp;EOMONTH(B345,0))),C_CLAVE,0))&amp;"","Sin dato"))</f>
        <v/>
      </c>
      <c r="AB345" s="71" t="str">
        <f aca="false">IF(AH345="","",ROUND(MIN(K345,TOPE_AFP_UF*AJ345)*AK345,0))</f>
        <v/>
      </c>
      <c r="AC345" s="71" t="str">
        <f aca="false">IF(AH345="","",ROUND(MIN(K345,TOPE_AFC_UF*AJ345)*IF(AA345="Indefinido",AFC_EMP_INDEF,AFC_EMP_PF),0))</f>
        <v/>
      </c>
      <c r="AD345" s="71" t="str">
        <f aca="false">IF(AH345="","",ROUND(MIN(K345,TOPE_AFP_UF*AJ345)*(MUTUAL_BASICA+MUTUAL_ADIC+SANNA),0))</f>
        <v/>
      </c>
      <c r="AE345" s="71" t="str">
        <f aca="false">IF(AH345="","",P345-N(N345)+AB345+AC345+AD345)</f>
        <v/>
      </c>
      <c r="AF345" s="65"/>
      <c r="AG345" s="64"/>
      <c r="AH345" s="72" t="str">
        <f aca="false">IF(OR(B345="",C345=""),"",C345&amp;"|"&amp;(YEAR(B345)*100+MONTH(B345)))</f>
        <v/>
      </c>
      <c r="AI345" s="70" t="str">
        <f aca="false">IF(AH345="","",IF(COUNTIF(L_CLAVE,AH345)&gt;1,"⚠ Duplicado","OK"))</f>
        <v/>
      </c>
      <c r="AJ345" s="86" t="str">
        <f aca="false">IF(AH345="","",IF(SUMPRODUCT(MAX((IND_PER&lt;=B345)*(IND_UF&lt;&gt;"")*IND_PER))=0,UF_HOY,INDEX(IND_UF,MATCH(SUMPRODUCT(MAX((IND_PER&lt;=B345)*(IND_UF&lt;&gt;"")*IND_PER)),IND_PER,0))))</f>
        <v/>
      </c>
      <c r="AK345" s="87" t="str">
        <f aca="false">IF(AH345="","",IF(COUNTIF(TASA_DESDE,"&lt;="&amp;B345)=0,INDEX(TASA_EMP,1),INDEX(TASA_EMP,COUNTIF(TASA_DESDE,"&lt;="&amp;B345))))</f>
        <v/>
      </c>
    </row>
    <row r="346" customFormat="false" ht="15" hidden="false" customHeight="false" outlineLevel="0" collapsed="false">
      <c r="B346" s="78"/>
      <c r="C346" s="64"/>
      <c r="D346" s="72" t="str">
        <f aca="false">IF(C346="","",IFERROR(INDEX(T_NOMBRE,MATCH(C346,T_ID,0)),"⚠ ID no existe"))</f>
        <v/>
      </c>
      <c r="E346" s="69"/>
      <c r="F346" s="67"/>
      <c r="G346" s="67"/>
      <c r="H346" s="67"/>
      <c r="I346" s="67"/>
      <c r="J346" s="67"/>
      <c r="K346" s="85" t="str">
        <f aca="false">IF(AH346="","",N(F346)+N(G346)+N(H346)-N(I346)+N(J346))</f>
        <v/>
      </c>
      <c r="L346" s="67"/>
      <c r="M346" s="67"/>
      <c r="N346" s="67"/>
      <c r="O346" s="67"/>
      <c r="P346" s="85" t="str">
        <f aca="false">IF(AH346="","",K346+N(L346)+N(M346)+N(N346)+N(O346))</f>
        <v/>
      </c>
      <c r="Q346" s="67"/>
      <c r="R346" s="67"/>
      <c r="S346" s="67"/>
      <c r="T346" s="67"/>
      <c r="U346" s="67"/>
      <c r="V346" s="67"/>
      <c r="W346" s="85" t="str">
        <f aca="false">IF(AH346="","",N(Q346)+N(R346)+N(S346)+N(T346)+N(U346)+N(V346))</f>
        <v/>
      </c>
      <c r="X346" s="85" t="str">
        <f aca="false">IF(AH346="","",P346-W346)</f>
        <v/>
      </c>
      <c r="Y346" s="67"/>
      <c r="Z346" s="70" t="str">
        <f aca="false">IF(OR(AH346="",Y346=""),"",IF(ABS(X346-Y346)&lt;=1,"✓ Cuadra","⚠ Diferencia $"&amp;FIXED(X346-Y346,0)))</f>
        <v/>
      </c>
      <c r="AA346" s="72" t="str">
        <f aca="false">IF(AH346="","",IFERROR(INDEX(C_TIPO,MATCH(C346&amp;"-P"&amp;MAX(1,COUNTIFS(C_ID,C346,C_DEFINE,"Sí",C_INICIO,"&lt;="&amp;EOMONTH(B346,0))),C_CLAVE,0))&amp;"","Sin dato"))</f>
        <v/>
      </c>
      <c r="AB346" s="71" t="str">
        <f aca="false">IF(AH346="","",ROUND(MIN(K346,TOPE_AFP_UF*AJ346)*AK346,0))</f>
        <v/>
      </c>
      <c r="AC346" s="71" t="str">
        <f aca="false">IF(AH346="","",ROUND(MIN(K346,TOPE_AFC_UF*AJ346)*IF(AA346="Indefinido",AFC_EMP_INDEF,AFC_EMP_PF),0))</f>
        <v/>
      </c>
      <c r="AD346" s="71" t="str">
        <f aca="false">IF(AH346="","",ROUND(MIN(K346,TOPE_AFP_UF*AJ346)*(MUTUAL_BASICA+MUTUAL_ADIC+SANNA),0))</f>
        <v/>
      </c>
      <c r="AE346" s="71" t="str">
        <f aca="false">IF(AH346="","",P346-N(N346)+AB346+AC346+AD346)</f>
        <v/>
      </c>
      <c r="AF346" s="65"/>
      <c r="AG346" s="64"/>
      <c r="AH346" s="72" t="str">
        <f aca="false">IF(OR(B346="",C346=""),"",C346&amp;"|"&amp;(YEAR(B346)*100+MONTH(B346)))</f>
        <v/>
      </c>
      <c r="AI346" s="70" t="str">
        <f aca="false">IF(AH346="","",IF(COUNTIF(L_CLAVE,AH346)&gt;1,"⚠ Duplicado","OK"))</f>
        <v/>
      </c>
      <c r="AJ346" s="86" t="str">
        <f aca="false">IF(AH346="","",IF(SUMPRODUCT(MAX((IND_PER&lt;=B346)*(IND_UF&lt;&gt;"")*IND_PER))=0,UF_HOY,INDEX(IND_UF,MATCH(SUMPRODUCT(MAX((IND_PER&lt;=B346)*(IND_UF&lt;&gt;"")*IND_PER)),IND_PER,0))))</f>
        <v/>
      </c>
      <c r="AK346" s="87" t="str">
        <f aca="false">IF(AH346="","",IF(COUNTIF(TASA_DESDE,"&lt;="&amp;B346)=0,INDEX(TASA_EMP,1),INDEX(TASA_EMP,COUNTIF(TASA_DESDE,"&lt;="&amp;B346))))</f>
        <v/>
      </c>
    </row>
    <row r="347" customFormat="false" ht="15" hidden="false" customHeight="false" outlineLevel="0" collapsed="false">
      <c r="B347" s="78"/>
      <c r="C347" s="64"/>
      <c r="D347" s="72" t="str">
        <f aca="false">IF(C347="","",IFERROR(INDEX(T_NOMBRE,MATCH(C347,T_ID,0)),"⚠ ID no existe"))</f>
        <v/>
      </c>
      <c r="E347" s="69"/>
      <c r="F347" s="67"/>
      <c r="G347" s="67"/>
      <c r="H347" s="67"/>
      <c r="I347" s="67"/>
      <c r="J347" s="67"/>
      <c r="K347" s="85" t="str">
        <f aca="false">IF(AH347="","",N(F347)+N(G347)+N(H347)-N(I347)+N(J347))</f>
        <v/>
      </c>
      <c r="L347" s="67"/>
      <c r="M347" s="67"/>
      <c r="N347" s="67"/>
      <c r="O347" s="67"/>
      <c r="P347" s="85" t="str">
        <f aca="false">IF(AH347="","",K347+N(L347)+N(M347)+N(N347)+N(O347))</f>
        <v/>
      </c>
      <c r="Q347" s="67"/>
      <c r="R347" s="67"/>
      <c r="S347" s="67"/>
      <c r="T347" s="67"/>
      <c r="U347" s="67"/>
      <c r="V347" s="67"/>
      <c r="W347" s="85" t="str">
        <f aca="false">IF(AH347="","",N(Q347)+N(R347)+N(S347)+N(T347)+N(U347)+N(V347))</f>
        <v/>
      </c>
      <c r="X347" s="85" t="str">
        <f aca="false">IF(AH347="","",P347-W347)</f>
        <v/>
      </c>
      <c r="Y347" s="67"/>
      <c r="Z347" s="70" t="str">
        <f aca="false">IF(OR(AH347="",Y347=""),"",IF(ABS(X347-Y347)&lt;=1,"✓ Cuadra","⚠ Diferencia $"&amp;FIXED(X347-Y347,0)))</f>
        <v/>
      </c>
      <c r="AA347" s="72" t="str">
        <f aca="false">IF(AH347="","",IFERROR(INDEX(C_TIPO,MATCH(C347&amp;"-P"&amp;MAX(1,COUNTIFS(C_ID,C347,C_DEFINE,"Sí",C_INICIO,"&lt;="&amp;EOMONTH(B347,0))),C_CLAVE,0))&amp;"","Sin dato"))</f>
        <v/>
      </c>
      <c r="AB347" s="71" t="str">
        <f aca="false">IF(AH347="","",ROUND(MIN(K347,TOPE_AFP_UF*AJ347)*AK347,0))</f>
        <v/>
      </c>
      <c r="AC347" s="71" t="str">
        <f aca="false">IF(AH347="","",ROUND(MIN(K347,TOPE_AFC_UF*AJ347)*IF(AA347="Indefinido",AFC_EMP_INDEF,AFC_EMP_PF),0))</f>
        <v/>
      </c>
      <c r="AD347" s="71" t="str">
        <f aca="false">IF(AH347="","",ROUND(MIN(K347,TOPE_AFP_UF*AJ347)*(MUTUAL_BASICA+MUTUAL_ADIC+SANNA),0))</f>
        <v/>
      </c>
      <c r="AE347" s="71" t="str">
        <f aca="false">IF(AH347="","",P347-N(N347)+AB347+AC347+AD347)</f>
        <v/>
      </c>
      <c r="AF347" s="65"/>
      <c r="AG347" s="64"/>
      <c r="AH347" s="72" t="str">
        <f aca="false">IF(OR(B347="",C347=""),"",C347&amp;"|"&amp;(YEAR(B347)*100+MONTH(B347)))</f>
        <v/>
      </c>
      <c r="AI347" s="70" t="str">
        <f aca="false">IF(AH347="","",IF(COUNTIF(L_CLAVE,AH347)&gt;1,"⚠ Duplicado","OK"))</f>
        <v/>
      </c>
      <c r="AJ347" s="86" t="str">
        <f aca="false">IF(AH347="","",IF(SUMPRODUCT(MAX((IND_PER&lt;=B347)*(IND_UF&lt;&gt;"")*IND_PER))=0,UF_HOY,INDEX(IND_UF,MATCH(SUMPRODUCT(MAX((IND_PER&lt;=B347)*(IND_UF&lt;&gt;"")*IND_PER)),IND_PER,0))))</f>
        <v/>
      </c>
      <c r="AK347" s="87" t="str">
        <f aca="false">IF(AH347="","",IF(COUNTIF(TASA_DESDE,"&lt;="&amp;B347)=0,INDEX(TASA_EMP,1),INDEX(TASA_EMP,COUNTIF(TASA_DESDE,"&lt;="&amp;B347))))</f>
        <v/>
      </c>
    </row>
    <row r="348" customFormat="false" ht="15" hidden="false" customHeight="false" outlineLevel="0" collapsed="false">
      <c r="B348" s="78"/>
      <c r="C348" s="64"/>
      <c r="D348" s="72" t="str">
        <f aca="false">IF(C348="","",IFERROR(INDEX(T_NOMBRE,MATCH(C348,T_ID,0)),"⚠ ID no existe"))</f>
        <v/>
      </c>
      <c r="E348" s="69"/>
      <c r="F348" s="67"/>
      <c r="G348" s="67"/>
      <c r="H348" s="67"/>
      <c r="I348" s="67"/>
      <c r="J348" s="67"/>
      <c r="K348" s="85" t="str">
        <f aca="false">IF(AH348="","",N(F348)+N(G348)+N(H348)-N(I348)+N(J348))</f>
        <v/>
      </c>
      <c r="L348" s="67"/>
      <c r="M348" s="67"/>
      <c r="N348" s="67"/>
      <c r="O348" s="67"/>
      <c r="P348" s="85" t="str">
        <f aca="false">IF(AH348="","",K348+N(L348)+N(M348)+N(N348)+N(O348))</f>
        <v/>
      </c>
      <c r="Q348" s="67"/>
      <c r="R348" s="67"/>
      <c r="S348" s="67"/>
      <c r="T348" s="67"/>
      <c r="U348" s="67"/>
      <c r="V348" s="67"/>
      <c r="W348" s="85" t="str">
        <f aca="false">IF(AH348="","",N(Q348)+N(R348)+N(S348)+N(T348)+N(U348)+N(V348))</f>
        <v/>
      </c>
      <c r="X348" s="85" t="str">
        <f aca="false">IF(AH348="","",P348-W348)</f>
        <v/>
      </c>
      <c r="Y348" s="67"/>
      <c r="Z348" s="70" t="str">
        <f aca="false">IF(OR(AH348="",Y348=""),"",IF(ABS(X348-Y348)&lt;=1,"✓ Cuadra","⚠ Diferencia $"&amp;FIXED(X348-Y348,0)))</f>
        <v/>
      </c>
      <c r="AA348" s="72" t="str">
        <f aca="false">IF(AH348="","",IFERROR(INDEX(C_TIPO,MATCH(C348&amp;"-P"&amp;MAX(1,COUNTIFS(C_ID,C348,C_DEFINE,"Sí",C_INICIO,"&lt;="&amp;EOMONTH(B348,0))),C_CLAVE,0))&amp;"","Sin dato"))</f>
        <v/>
      </c>
      <c r="AB348" s="71" t="str">
        <f aca="false">IF(AH348="","",ROUND(MIN(K348,TOPE_AFP_UF*AJ348)*AK348,0))</f>
        <v/>
      </c>
      <c r="AC348" s="71" t="str">
        <f aca="false">IF(AH348="","",ROUND(MIN(K348,TOPE_AFC_UF*AJ348)*IF(AA348="Indefinido",AFC_EMP_INDEF,AFC_EMP_PF),0))</f>
        <v/>
      </c>
      <c r="AD348" s="71" t="str">
        <f aca="false">IF(AH348="","",ROUND(MIN(K348,TOPE_AFP_UF*AJ348)*(MUTUAL_BASICA+MUTUAL_ADIC+SANNA),0))</f>
        <v/>
      </c>
      <c r="AE348" s="71" t="str">
        <f aca="false">IF(AH348="","",P348-N(N348)+AB348+AC348+AD348)</f>
        <v/>
      </c>
      <c r="AF348" s="65"/>
      <c r="AG348" s="64"/>
      <c r="AH348" s="72" t="str">
        <f aca="false">IF(OR(B348="",C348=""),"",C348&amp;"|"&amp;(YEAR(B348)*100+MONTH(B348)))</f>
        <v/>
      </c>
      <c r="AI348" s="70" t="str">
        <f aca="false">IF(AH348="","",IF(COUNTIF(L_CLAVE,AH348)&gt;1,"⚠ Duplicado","OK"))</f>
        <v/>
      </c>
      <c r="AJ348" s="86" t="str">
        <f aca="false">IF(AH348="","",IF(SUMPRODUCT(MAX((IND_PER&lt;=B348)*(IND_UF&lt;&gt;"")*IND_PER))=0,UF_HOY,INDEX(IND_UF,MATCH(SUMPRODUCT(MAX((IND_PER&lt;=B348)*(IND_UF&lt;&gt;"")*IND_PER)),IND_PER,0))))</f>
        <v/>
      </c>
      <c r="AK348" s="87" t="str">
        <f aca="false">IF(AH348="","",IF(COUNTIF(TASA_DESDE,"&lt;="&amp;B348)=0,INDEX(TASA_EMP,1),INDEX(TASA_EMP,COUNTIF(TASA_DESDE,"&lt;="&amp;B348))))</f>
        <v/>
      </c>
    </row>
    <row r="349" customFormat="false" ht="15" hidden="false" customHeight="false" outlineLevel="0" collapsed="false">
      <c r="B349" s="78"/>
      <c r="C349" s="64"/>
      <c r="D349" s="72" t="str">
        <f aca="false">IF(C349="","",IFERROR(INDEX(T_NOMBRE,MATCH(C349,T_ID,0)),"⚠ ID no existe"))</f>
        <v/>
      </c>
      <c r="E349" s="69"/>
      <c r="F349" s="67"/>
      <c r="G349" s="67"/>
      <c r="H349" s="67"/>
      <c r="I349" s="67"/>
      <c r="J349" s="67"/>
      <c r="K349" s="85" t="str">
        <f aca="false">IF(AH349="","",N(F349)+N(G349)+N(H349)-N(I349)+N(J349))</f>
        <v/>
      </c>
      <c r="L349" s="67"/>
      <c r="M349" s="67"/>
      <c r="N349" s="67"/>
      <c r="O349" s="67"/>
      <c r="P349" s="85" t="str">
        <f aca="false">IF(AH349="","",K349+N(L349)+N(M349)+N(N349)+N(O349))</f>
        <v/>
      </c>
      <c r="Q349" s="67"/>
      <c r="R349" s="67"/>
      <c r="S349" s="67"/>
      <c r="T349" s="67"/>
      <c r="U349" s="67"/>
      <c r="V349" s="67"/>
      <c r="W349" s="85" t="str">
        <f aca="false">IF(AH349="","",N(Q349)+N(R349)+N(S349)+N(T349)+N(U349)+N(V349))</f>
        <v/>
      </c>
      <c r="X349" s="85" t="str">
        <f aca="false">IF(AH349="","",P349-W349)</f>
        <v/>
      </c>
      <c r="Y349" s="67"/>
      <c r="Z349" s="70" t="str">
        <f aca="false">IF(OR(AH349="",Y349=""),"",IF(ABS(X349-Y349)&lt;=1,"✓ Cuadra","⚠ Diferencia $"&amp;FIXED(X349-Y349,0)))</f>
        <v/>
      </c>
      <c r="AA349" s="72" t="str">
        <f aca="false">IF(AH349="","",IFERROR(INDEX(C_TIPO,MATCH(C349&amp;"-P"&amp;MAX(1,COUNTIFS(C_ID,C349,C_DEFINE,"Sí",C_INICIO,"&lt;="&amp;EOMONTH(B349,0))),C_CLAVE,0))&amp;"","Sin dato"))</f>
        <v/>
      </c>
      <c r="AB349" s="71" t="str">
        <f aca="false">IF(AH349="","",ROUND(MIN(K349,TOPE_AFP_UF*AJ349)*AK349,0))</f>
        <v/>
      </c>
      <c r="AC349" s="71" t="str">
        <f aca="false">IF(AH349="","",ROUND(MIN(K349,TOPE_AFC_UF*AJ349)*IF(AA349="Indefinido",AFC_EMP_INDEF,AFC_EMP_PF),0))</f>
        <v/>
      </c>
      <c r="AD349" s="71" t="str">
        <f aca="false">IF(AH349="","",ROUND(MIN(K349,TOPE_AFP_UF*AJ349)*(MUTUAL_BASICA+MUTUAL_ADIC+SANNA),0))</f>
        <v/>
      </c>
      <c r="AE349" s="71" t="str">
        <f aca="false">IF(AH349="","",P349-N(N349)+AB349+AC349+AD349)</f>
        <v/>
      </c>
      <c r="AF349" s="65"/>
      <c r="AG349" s="64"/>
      <c r="AH349" s="72" t="str">
        <f aca="false">IF(OR(B349="",C349=""),"",C349&amp;"|"&amp;(YEAR(B349)*100+MONTH(B349)))</f>
        <v/>
      </c>
      <c r="AI349" s="70" t="str">
        <f aca="false">IF(AH349="","",IF(COUNTIF(L_CLAVE,AH349)&gt;1,"⚠ Duplicado","OK"))</f>
        <v/>
      </c>
      <c r="AJ349" s="86" t="str">
        <f aca="false">IF(AH349="","",IF(SUMPRODUCT(MAX((IND_PER&lt;=B349)*(IND_UF&lt;&gt;"")*IND_PER))=0,UF_HOY,INDEX(IND_UF,MATCH(SUMPRODUCT(MAX((IND_PER&lt;=B349)*(IND_UF&lt;&gt;"")*IND_PER)),IND_PER,0))))</f>
        <v/>
      </c>
      <c r="AK349" s="87" t="str">
        <f aca="false">IF(AH349="","",IF(COUNTIF(TASA_DESDE,"&lt;="&amp;B349)=0,INDEX(TASA_EMP,1),INDEX(TASA_EMP,COUNTIF(TASA_DESDE,"&lt;="&amp;B349))))</f>
        <v/>
      </c>
    </row>
    <row r="350" customFormat="false" ht="15" hidden="false" customHeight="false" outlineLevel="0" collapsed="false">
      <c r="B350" s="78"/>
      <c r="C350" s="64"/>
      <c r="D350" s="72" t="str">
        <f aca="false">IF(C350="","",IFERROR(INDEX(T_NOMBRE,MATCH(C350,T_ID,0)),"⚠ ID no existe"))</f>
        <v/>
      </c>
      <c r="E350" s="69"/>
      <c r="F350" s="67"/>
      <c r="G350" s="67"/>
      <c r="H350" s="67"/>
      <c r="I350" s="67"/>
      <c r="J350" s="67"/>
      <c r="K350" s="85" t="str">
        <f aca="false">IF(AH350="","",N(F350)+N(G350)+N(H350)-N(I350)+N(J350))</f>
        <v/>
      </c>
      <c r="L350" s="67"/>
      <c r="M350" s="67"/>
      <c r="N350" s="67"/>
      <c r="O350" s="67"/>
      <c r="P350" s="85" t="str">
        <f aca="false">IF(AH350="","",K350+N(L350)+N(M350)+N(N350)+N(O350))</f>
        <v/>
      </c>
      <c r="Q350" s="67"/>
      <c r="R350" s="67"/>
      <c r="S350" s="67"/>
      <c r="T350" s="67"/>
      <c r="U350" s="67"/>
      <c r="V350" s="67"/>
      <c r="W350" s="85" t="str">
        <f aca="false">IF(AH350="","",N(Q350)+N(R350)+N(S350)+N(T350)+N(U350)+N(V350))</f>
        <v/>
      </c>
      <c r="X350" s="85" t="str">
        <f aca="false">IF(AH350="","",P350-W350)</f>
        <v/>
      </c>
      <c r="Y350" s="67"/>
      <c r="Z350" s="70" t="str">
        <f aca="false">IF(OR(AH350="",Y350=""),"",IF(ABS(X350-Y350)&lt;=1,"✓ Cuadra","⚠ Diferencia $"&amp;FIXED(X350-Y350,0)))</f>
        <v/>
      </c>
      <c r="AA350" s="72" t="str">
        <f aca="false">IF(AH350="","",IFERROR(INDEX(C_TIPO,MATCH(C350&amp;"-P"&amp;MAX(1,COUNTIFS(C_ID,C350,C_DEFINE,"Sí",C_INICIO,"&lt;="&amp;EOMONTH(B350,0))),C_CLAVE,0))&amp;"","Sin dato"))</f>
        <v/>
      </c>
      <c r="AB350" s="71" t="str">
        <f aca="false">IF(AH350="","",ROUND(MIN(K350,TOPE_AFP_UF*AJ350)*AK350,0))</f>
        <v/>
      </c>
      <c r="AC350" s="71" t="str">
        <f aca="false">IF(AH350="","",ROUND(MIN(K350,TOPE_AFC_UF*AJ350)*IF(AA350="Indefinido",AFC_EMP_INDEF,AFC_EMP_PF),0))</f>
        <v/>
      </c>
      <c r="AD350" s="71" t="str">
        <f aca="false">IF(AH350="","",ROUND(MIN(K350,TOPE_AFP_UF*AJ350)*(MUTUAL_BASICA+MUTUAL_ADIC+SANNA),0))</f>
        <v/>
      </c>
      <c r="AE350" s="71" t="str">
        <f aca="false">IF(AH350="","",P350-N(N350)+AB350+AC350+AD350)</f>
        <v/>
      </c>
      <c r="AF350" s="65"/>
      <c r="AG350" s="64"/>
      <c r="AH350" s="72" t="str">
        <f aca="false">IF(OR(B350="",C350=""),"",C350&amp;"|"&amp;(YEAR(B350)*100+MONTH(B350)))</f>
        <v/>
      </c>
      <c r="AI350" s="70" t="str">
        <f aca="false">IF(AH350="","",IF(COUNTIF(L_CLAVE,AH350)&gt;1,"⚠ Duplicado","OK"))</f>
        <v/>
      </c>
      <c r="AJ350" s="86" t="str">
        <f aca="false">IF(AH350="","",IF(SUMPRODUCT(MAX((IND_PER&lt;=B350)*(IND_UF&lt;&gt;"")*IND_PER))=0,UF_HOY,INDEX(IND_UF,MATCH(SUMPRODUCT(MAX((IND_PER&lt;=B350)*(IND_UF&lt;&gt;"")*IND_PER)),IND_PER,0))))</f>
        <v/>
      </c>
      <c r="AK350" s="87" t="str">
        <f aca="false">IF(AH350="","",IF(COUNTIF(TASA_DESDE,"&lt;="&amp;B350)=0,INDEX(TASA_EMP,1),INDEX(TASA_EMP,COUNTIF(TASA_DESDE,"&lt;="&amp;B350))))</f>
        <v/>
      </c>
    </row>
    <row r="351" customFormat="false" ht="15" hidden="false" customHeight="false" outlineLevel="0" collapsed="false">
      <c r="B351" s="78"/>
      <c r="C351" s="64"/>
      <c r="D351" s="72" t="str">
        <f aca="false">IF(C351="","",IFERROR(INDEX(T_NOMBRE,MATCH(C351,T_ID,0)),"⚠ ID no existe"))</f>
        <v/>
      </c>
      <c r="E351" s="69"/>
      <c r="F351" s="67"/>
      <c r="G351" s="67"/>
      <c r="H351" s="67"/>
      <c r="I351" s="67"/>
      <c r="J351" s="67"/>
      <c r="K351" s="85" t="str">
        <f aca="false">IF(AH351="","",N(F351)+N(G351)+N(H351)-N(I351)+N(J351))</f>
        <v/>
      </c>
      <c r="L351" s="67"/>
      <c r="M351" s="67"/>
      <c r="N351" s="67"/>
      <c r="O351" s="67"/>
      <c r="P351" s="85" t="str">
        <f aca="false">IF(AH351="","",K351+N(L351)+N(M351)+N(N351)+N(O351))</f>
        <v/>
      </c>
      <c r="Q351" s="67"/>
      <c r="R351" s="67"/>
      <c r="S351" s="67"/>
      <c r="T351" s="67"/>
      <c r="U351" s="67"/>
      <c r="V351" s="67"/>
      <c r="W351" s="85" t="str">
        <f aca="false">IF(AH351="","",N(Q351)+N(R351)+N(S351)+N(T351)+N(U351)+N(V351))</f>
        <v/>
      </c>
      <c r="X351" s="85" t="str">
        <f aca="false">IF(AH351="","",P351-W351)</f>
        <v/>
      </c>
      <c r="Y351" s="67"/>
      <c r="Z351" s="70" t="str">
        <f aca="false">IF(OR(AH351="",Y351=""),"",IF(ABS(X351-Y351)&lt;=1,"✓ Cuadra","⚠ Diferencia $"&amp;FIXED(X351-Y351,0)))</f>
        <v/>
      </c>
      <c r="AA351" s="72" t="str">
        <f aca="false">IF(AH351="","",IFERROR(INDEX(C_TIPO,MATCH(C351&amp;"-P"&amp;MAX(1,COUNTIFS(C_ID,C351,C_DEFINE,"Sí",C_INICIO,"&lt;="&amp;EOMONTH(B351,0))),C_CLAVE,0))&amp;"","Sin dato"))</f>
        <v/>
      </c>
      <c r="AB351" s="71" t="str">
        <f aca="false">IF(AH351="","",ROUND(MIN(K351,TOPE_AFP_UF*AJ351)*AK351,0))</f>
        <v/>
      </c>
      <c r="AC351" s="71" t="str">
        <f aca="false">IF(AH351="","",ROUND(MIN(K351,TOPE_AFC_UF*AJ351)*IF(AA351="Indefinido",AFC_EMP_INDEF,AFC_EMP_PF),0))</f>
        <v/>
      </c>
      <c r="AD351" s="71" t="str">
        <f aca="false">IF(AH351="","",ROUND(MIN(K351,TOPE_AFP_UF*AJ351)*(MUTUAL_BASICA+MUTUAL_ADIC+SANNA),0))</f>
        <v/>
      </c>
      <c r="AE351" s="71" t="str">
        <f aca="false">IF(AH351="","",P351-N(N351)+AB351+AC351+AD351)</f>
        <v/>
      </c>
      <c r="AF351" s="65"/>
      <c r="AG351" s="64"/>
      <c r="AH351" s="72" t="str">
        <f aca="false">IF(OR(B351="",C351=""),"",C351&amp;"|"&amp;(YEAR(B351)*100+MONTH(B351)))</f>
        <v/>
      </c>
      <c r="AI351" s="70" t="str">
        <f aca="false">IF(AH351="","",IF(COUNTIF(L_CLAVE,AH351)&gt;1,"⚠ Duplicado","OK"))</f>
        <v/>
      </c>
      <c r="AJ351" s="86" t="str">
        <f aca="false">IF(AH351="","",IF(SUMPRODUCT(MAX((IND_PER&lt;=B351)*(IND_UF&lt;&gt;"")*IND_PER))=0,UF_HOY,INDEX(IND_UF,MATCH(SUMPRODUCT(MAX((IND_PER&lt;=B351)*(IND_UF&lt;&gt;"")*IND_PER)),IND_PER,0))))</f>
        <v/>
      </c>
      <c r="AK351" s="87" t="str">
        <f aca="false">IF(AH351="","",IF(COUNTIF(TASA_DESDE,"&lt;="&amp;B351)=0,INDEX(TASA_EMP,1),INDEX(TASA_EMP,COUNTIF(TASA_DESDE,"&lt;="&amp;B351))))</f>
        <v/>
      </c>
    </row>
    <row r="352" customFormat="false" ht="15" hidden="false" customHeight="false" outlineLevel="0" collapsed="false">
      <c r="B352" s="78"/>
      <c r="C352" s="64"/>
      <c r="D352" s="72" t="str">
        <f aca="false">IF(C352="","",IFERROR(INDEX(T_NOMBRE,MATCH(C352,T_ID,0)),"⚠ ID no existe"))</f>
        <v/>
      </c>
      <c r="E352" s="69"/>
      <c r="F352" s="67"/>
      <c r="G352" s="67"/>
      <c r="H352" s="67"/>
      <c r="I352" s="67"/>
      <c r="J352" s="67"/>
      <c r="K352" s="85" t="str">
        <f aca="false">IF(AH352="","",N(F352)+N(G352)+N(H352)-N(I352)+N(J352))</f>
        <v/>
      </c>
      <c r="L352" s="67"/>
      <c r="M352" s="67"/>
      <c r="N352" s="67"/>
      <c r="O352" s="67"/>
      <c r="P352" s="85" t="str">
        <f aca="false">IF(AH352="","",K352+N(L352)+N(M352)+N(N352)+N(O352))</f>
        <v/>
      </c>
      <c r="Q352" s="67"/>
      <c r="R352" s="67"/>
      <c r="S352" s="67"/>
      <c r="T352" s="67"/>
      <c r="U352" s="67"/>
      <c r="V352" s="67"/>
      <c r="W352" s="85" t="str">
        <f aca="false">IF(AH352="","",N(Q352)+N(R352)+N(S352)+N(T352)+N(U352)+N(V352))</f>
        <v/>
      </c>
      <c r="X352" s="85" t="str">
        <f aca="false">IF(AH352="","",P352-W352)</f>
        <v/>
      </c>
      <c r="Y352" s="67"/>
      <c r="Z352" s="70" t="str">
        <f aca="false">IF(OR(AH352="",Y352=""),"",IF(ABS(X352-Y352)&lt;=1,"✓ Cuadra","⚠ Diferencia $"&amp;FIXED(X352-Y352,0)))</f>
        <v/>
      </c>
      <c r="AA352" s="72" t="str">
        <f aca="false">IF(AH352="","",IFERROR(INDEX(C_TIPO,MATCH(C352&amp;"-P"&amp;MAX(1,COUNTIFS(C_ID,C352,C_DEFINE,"Sí",C_INICIO,"&lt;="&amp;EOMONTH(B352,0))),C_CLAVE,0))&amp;"","Sin dato"))</f>
        <v/>
      </c>
      <c r="AB352" s="71" t="str">
        <f aca="false">IF(AH352="","",ROUND(MIN(K352,TOPE_AFP_UF*AJ352)*AK352,0))</f>
        <v/>
      </c>
      <c r="AC352" s="71" t="str">
        <f aca="false">IF(AH352="","",ROUND(MIN(K352,TOPE_AFC_UF*AJ352)*IF(AA352="Indefinido",AFC_EMP_INDEF,AFC_EMP_PF),0))</f>
        <v/>
      </c>
      <c r="AD352" s="71" t="str">
        <f aca="false">IF(AH352="","",ROUND(MIN(K352,TOPE_AFP_UF*AJ352)*(MUTUAL_BASICA+MUTUAL_ADIC+SANNA),0))</f>
        <v/>
      </c>
      <c r="AE352" s="71" t="str">
        <f aca="false">IF(AH352="","",P352-N(N352)+AB352+AC352+AD352)</f>
        <v/>
      </c>
      <c r="AF352" s="65"/>
      <c r="AG352" s="64"/>
      <c r="AH352" s="72" t="str">
        <f aca="false">IF(OR(B352="",C352=""),"",C352&amp;"|"&amp;(YEAR(B352)*100+MONTH(B352)))</f>
        <v/>
      </c>
      <c r="AI352" s="70" t="str">
        <f aca="false">IF(AH352="","",IF(COUNTIF(L_CLAVE,AH352)&gt;1,"⚠ Duplicado","OK"))</f>
        <v/>
      </c>
      <c r="AJ352" s="86" t="str">
        <f aca="false">IF(AH352="","",IF(SUMPRODUCT(MAX((IND_PER&lt;=B352)*(IND_UF&lt;&gt;"")*IND_PER))=0,UF_HOY,INDEX(IND_UF,MATCH(SUMPRODUCT(MAX((IND_PER&lt;=B352)*(IND_UF&lt;&gt;"")*IND_PER)),IND_PER,0))))</f>
        <v/>
      </c>
      <c r="AK352" s="87" t="str">
        <f aca="false">IF(AH352="","",IF(COUNTIF(TASA_DESDE,"&lt;="&amp;B352)=0,INDEX(TASA_EMP,1),INDEX(TASA_EMP,COUNTIF(TASA_DESDE,"&lt;="&amp;B352))))</f>
        <v/>
      </c>
    </row>
    <row r="353" customFormat="false" ht="15" hidden="false" customHeight="false" outlineLevel="0" collapsed="false">
      <c r="B353" s="78"/>
      <c r="C353" s="64"/>
      <c r="D353" s="72" t="str">
        <f aca="false">IF(C353="","",IFERROR(INDEX(T_NOMBRE,MATCH(C353,T_ID,0)),"⚠ ID no existe"))</f>
        <v/>
      </c>
      <c r="E353" s="69"/>
      <c r="F353" s="67"/>
      <c r="G353" s="67"/>
      <c r="H353" s="67"/>
      <c r="I353" s="67"/>
      <c r="J353" s="67"/>
      <c r="K353" s="85" t="str">
        <f aca="false">IF(AH353="","",N(F353)+N(G353)+N(H353)-N(I353)+N(J353))</f>
        <v/>
      </c>
      <c r="L353" s="67"/>
      <c r="M353" s="67"/>
      <c r="N353" s="67"/>
      <c r="O353" s="67"/>
      <c r="P353" s="85" t="str">
        <f aca="false">IF(AH353="","",K353+N(L353)+N(M353)+N(N353)+N(O353))</f>
        <v/>
      </c>
      <c r="Q353" s="67"/>
      <c r="R353" s="67"/>
      <c r="S353" s="67"/>
      <c r="T353" s="67"/>
      <c r="U353" s="67"/>
      <c r="V353" s="67"/>
      <c r="W353" s="85" t="str">
        <f aca="false">IF(AH353="","",N(Q353)+N(R353)+N(S353)+N(T353)+N(U353)+N(V353))</f>
        <v/>
      </c>
      <c r="X353" s="85" t="str">
        <f aca="false">IF(AH353="","",P353-W353)</f>
        <v/>
      </c>
      <c r="Y353" s="67"/>
      <c r="Z353" s="70" t="str">
        <f aca="false">IF(OR(AH353="",Y353=""),"",IF(ABS(X353-Y353)&lt;=1,"✓ Cuadra","⚠ Diferencia $"&amp;FIXED(X353-Y353,0)))</f>
        <v/>
      </c>
      <c r="AA353" s="72" t="str">
        <f aca="false">IF(AH353="","",IFERROR(INDEX(C_TIPO,MATCH(C353&amp;"-P"&amp;MAX(1,COUNTIFS(C_ID,C353,C_DEFINE,"Sí",C_INICIO,"&lt;="&amp;EOMONTH(B353,0))),C_CLAVE,0))&amp;"","Sin dato"))</f>
        <v/>
      </c>
      <c r="AB353" s="71" t="str">
        <f aca="false">IF(AH353="","",ROUND(MIN(K353,TOPE_AFP_UF*AJ353)*AK353,0))</f>
        <v/>
      </c>
      <c r="AC353" s="71" t="str">
        <f aca="false">IF(AH353="","",ROUND(MIN(K353,TOPE_AFC_UF*AJ353)*IF(AA353="Indefinido",AFC_EMP_INDEF,AFC_EMP_PF),0))</f>
        <v/>
      </c>
      <c r="AD353" s="71" t="str">
        <f aca="false">IF(AH353="","",ROUND(MIN(K353,TOPE_AFP_UF*AJ353)*(MUTUAL_BASICA+MUTUAL_ADIC+SANNA),0))</f>
        <v/>
      </c>
      <c r="AE353" s="71" t="str">
        <f aca="false">IF(AH353="","",P353-N(N353)+AB353+AC353+AD353)</f>
        <v/>
      </c>
      <c r="AF353" s="65"/>
      <c r="AG353" s="64"/>
      <c r="AH353" s="72" t="str">
        <f aca="false">IF(OR(B353="",C353=""),"",C353&amp;"|"&amp;(YEAR(B353)*100+MONTH(B353)))</f>
        <v/>
      </c>
      <c r="AI353" s="70" t="str">
        <f aca="false">IF(AH353="","",IF(COUNTIF(L_CLAVE,AH353)&gt;1,"⚠ Duplicado","OK"))</f>
        <v/>
      </c>
      <c r="AJ353" s="86" t="str">
        <f aca="false">IF(AH353="","",IF(SUMPRODUCT(MAX((IND_PER&lt;=B353)*(IND_UF&lt;&gt;"")*IND_PER))=0,UF_HOY,INDEX(IND_UF,MATCH(SUMPRODUCT(MAX((IND_PER&lt;=B353)*(IND_UF&lt;&gt;"")*IND_PER)),IND_PER,0))))</f>
        <v/>
      </c>
      <c r="AK353" s="87" t="str">
        <f aca="false">IF(AH353="","",IF(COUNTIF(TASA_DESDE,"&lt;="&amp;B353)=0,INDEX(TASA_EMP,1),INDEX(TASA_EMP,COUNTIF(TASA_DESDE,"&lt;="&amp;B353))))</f>
        <v/>
      </c>
    </row>
    <row r="354" customFormat="false" ht="15" hidden="false" customHeight="false" outlineLevel="0" collapsed="false">
      <c r="B354" s="78"/>
      <c r="C354" s="64"/>
      <c r="D354" s="72" t="str">
        <f aca="false">IF(C354="","",IFERROR(INDEX(T_NOMBRE,MATCH(C354,T_ID,0)),"⚠ ID no existe"))</f>
        <v/>
      </c>
      <c r="E354" s="69"/>
      <c r="F354" s="67"/>
      <c r="G354" s="67"/>
      <c r="H354" s="67"/>
      <c r="I354" s="67"/>
      <c r="J354" s="67"/>
      <c r="K354" s="85" t="str">
        <f aca="false">IF(AH354="","",N(F354)+N(G354)+N(H354)-N(I354)+N(J354))</f>
        <v/>
      </c>
      <c r="L354" s="67"/>
      <c r="M354" s="67"/>
      <c r="N354" s="67"/>
      <c r="O354" s="67"/>
      <c r="P354" s="85" t="str">
        <f aca="false">IF(AH354="","",K354+N(L354)+N(M354)+N(N354)+N(O354))</f>
        <v/>
      </c>
      <c r="Q354" s="67"/>
      <c r="R354" s="67"/>
      <c r="S354" s="67"/>
      <c r="T354" s="67"/>
      <c r="U354" s="67"/>
      <c r="V354" s="67"/>
      <c r="W354" s="85" t="str">
        <f aca="false">IF(AH354="","",N(Q354)+N(R354)+N(S354)+N(T354)+N(U354)+N(V354))</f>
        <v/>
      </c>
      <c r="X354" s="85" t="str">
        <f aca="false">IF(AH354="","",P354-W354)</f>
        <v/>
      </c>
      <c r="Y354" s="67"/>
      <c r="Z354" s="70" t="str">
        <f aca="false">IF(OR(AH354="",Y354=""),"",IF(ABS(X354-Y354)&lt;=1,"✓ Cuadra","⚠ Diferencia $"&amp;FIXED(X354-Y354,0)))</f>
        <v/>
      </c>
      <c r="AA354" s="72" t="str">
        <f aca="false">IF(AH354="","",IFERROR(INDEX(C_TIPO,MATCH(C354&amp;"-P"&amp;MAX(1,COUNTIFS(C_ID,C354,C_DEFINE,"Sí",C_INICIO,"&lt;="&amp;EOMONTH(B354,0))),C_CLAVE,0))&amp;"","Sin dato"))</f>
        <v/>
      </c>
      <c r="AB354" s="71" t="str">
        <f aca="false">IF(AH354="","",ROUND(MIN(K354,TOPE_AFP_UF*AJ354)*AK354,0))</f>
        <v/>
      </c>
      <c r="AC354" s="71" t="str">
        <f aca="false">IF(AH354="","",ROUND(MIN(K354,TOPE_AFC_UF*AJ354)*IF(AA354="Indefinido",AFC_EMP_INDEF,AFC_EMP_PF),0))</f>
        <v/>
      </c>
      <c r="AD354" s="71" t="str">
        <f aca="false">IF(AH354="","",ROUND(MIN(K354,TOPE_AFP_UF*AJ354)*(MUTUAL_BASICA+MUTUAL_ADIC+SANNA),0))</f>
        <v/>
      </c>
      <c r="AE354" s="71" t="str">
        <f aca="false">IF(AH354="","",P354-N(N354)+AB354+AC354+AD354)</f>
        <v/>
      </c>
      <c r="AF354" s="65"/>
      <c r="AG354" s="64"/>
      <c r="AH354" s="72" t="str">
        <f aca="false">IF(OR(B354="",C354=""),"",C354&amp;"|"&amp;(YEAR(B354)*100+MONTH(B354)))</f>
        <v/>
      </c>
      <c r="AI354" s="70" t="str">
        <f aca="false">IF(AH354="","",IF(COUNTIF(L_CLAVE,AH354)&gt;1,"⚠ Duplicado","OK"))</f>
        <v/>
      </c>
      <c r="AJ354" s="86" t="str">
        <f aca="false">IF(AH354="","",IF(SUMPRODUCT(MAX((IND_PER&lt;=B354)*(IND_UF&lt;&gt;"")*IND_PER))=0,UF_HOY,INDEX(IND_UF,MATCH(SUMPRODUCT(MAX((IND_PER&lt;=B354)*(IND_UF&lt;&gt;"")*IND_PER)),IND_PER,0))))</f>
        <v/>
      </c>
      <c r="AK354" s="87" t="str">
        <f aca="false">IF(AH354="","",IF(COUNTIF(TASA_DESDE,"&lt;="&amp;B354)=0,INDEX(TASA_EMP,1),INDEX(TASA_EMP,COUNTIF(TASA_DESDE,"&lt;="&amp;B354))))</f>
        <v/>
      </c>
    </row>
    <row r="355" customFormat="false" ht="15" hidden="false" customHeight="false" outlineLevel="0" collapsed="false">
      <c r="B355" s="78"/>
      <c r="C355" s="64"/>
      <c r="D355" s="72" t="str">
        <f aca="false">IF(C355="","",IFERROR(INDEX(T_NOMBRE,MATCH(C355,T_ID,0)),"⚠ ID no existe"))</f>
        <v/>
      </c>
      <c r="E355" s="69"/>
      <c r="F355" s="67"/>
      <c r="G355" s="67"/>
      <c r="H355" s="67"/>
      <c r="I355" s="67"/>
      <c r="J355" s="67"/>
      <c r="K355" s="85" t="str">
        <f aca="false">IF(AH355="","",N(F355)+N(G355)+N(H355)-N(I355)+N(J355))</f>
        <v/>
      </c>
      <c r="L355" s="67"/>
      <c r="M355" s="67"/>
      <c r="N355" s="67"/>
      <c r="O355" s="67"/>
      <c r="P355" s="85" t="str">
        <f aca="false">IF(AH355="","",K355+N(L355)+N(M355)+N(N355)+N(O355))</f>
        <v/>
      </c>
      <c r="Q355" s="67"/>
      <c r="R355" s="67"/>
      <c r="S355" s="67"/>
      <c r="T355" s="67"/>
      <c r="U355" s="67"/>
      <c r="V355" s="67"/>
      <c r="W355" s="85" t="str">
        <f aca="false">IF(AH355="","",N(Q355)+N(R355)+N(S355)+N(T355)+N(U355)+N(V355))</f>
        <v/>
      </c>
      <c r="X355" s="85" t="str">
        <f aca="false">IF(AH355="","",P355-W355)</f>
        <v/>
      </c>
      <c r="Y355" s="67"/>
      <c r="Z355" s="70" t="str">
        <f aca="false">IF(OR(AH355="",Y355=""),"",IF(ABS(X355-Y355)&lt;=1,"✓ Cuadra","⚠ Diferencia $"&amp;FIXED(X355-Y355,0)))</f>
        <v/>
      </c>
      <c r="AA355" s="72" t="str">
        <f aca="false">IF(AH355="","",IFERROR(INDEX(C_TIPO,MATCH(C355&amp;"-P"&amp;MAX(1,COUNTIFS(C_ID,C355,C_DEFINE,"Sí",C_INICIO,"&lt;="&amp;EOMONTH(B355,0))),C_CLAVE,0))&amp;"","Sin dato"))</f>
        <v/>
      </c>
      <c r="AB355" s="71" t="str">
        <f aca="false">IF(AH355="","",ROUND(MIN(K355,TOPE_AFP_UF*AJ355)*AK355,0))</f>
        <v/>
      </c>
      <c r="AC355" s="71" t="str">
        <f aca="false">IF(AH355="","",ROUND(MIN(K355,TOPE_AFC_UF*AJ355)*IF(AA355="Indefinido",AFC_EMP_INDEF,AFC_EMP_PF),0))</f>
        <v/>
      </c>
      <c r="AD355" s="71" t="str">
        <f aca="false">IF(AH355="","",ROUND(MIN(K355,TOPE_AFP_UF*AJ355)*(MUTUAL_BASICA+MUTUAL_ADIC+SANNA),0))</f>
        <v/>
      </c>
      <c r="AE355" s="71" t="str">
        <f aca="false">IF(AH355="","",P355-N(N355)+AB355+AC355+AD355)</f>
        <v/>
      </c>
      <c r="AF355" s="65"/>
      <c r="AG355" s="64"/>
      <c r="AH355" s="72" t="str">
        <f aca="false">IF(OR(B355="",C355=""),"",C355&amp;"|"&amp;(YEAR(B355)*100+MONTH(B355)))</f>
        <v/>
      </c>
      <c r="AI355" s="70" t="str">
        <f aca="false">IF(AH355="","",IF(COUNTIF(L_CLAVE,AH355)&gt;1,"⚠ Duplicado","OK"))</f>
        <v/>
      </c>
      <c r="AJ355" s="86" t="str">
        <f aca="false">IF(AH355="","",IF(SUMPRODUCT(MAX((IND_PER&lt;=B355)*(IND_UF&lt;&gt;"")*IND_PER))=0,UF_HOY,INDEX(IND_UF,MATCH(SUMPRODUCT(MAX((IND_PER&lt;=B355)*(IND_UF&lt;&gt;"")*IND_PER)),IND_PER,0))))</f>
        <v/>
      </c>
      <c r="AK355" s="87" t="str">
        <f aca="false">IF(AH355="","",IF(COUNTIF(TASA_DESDE,"&lt;="&amp;B355)=0,INDEX(TASA_EMP,1),INDEX(TASA_EMP,COUNTIF(TASA_DESDE,"&lt;="&amp;B355))))</f>
        <v/>
      </c>
    </row>
    <row r="356" customFormat="false" ht="15" hidden="false" customHeight="false" outlineLevel="0" collapsed="false">
      <c r="B356" s="78"/>
      <c r="C356" s="64"/>
      <c r="D356" s="72" t="str">
        <f aca="false">IF(C356="","",IFERROR(INDEX(T_NOMBRE,MATCH(C356,T_ID,0)),"⚠ ID no existe"))</f>
        <v/>
      </c>
      <c r="E356" s="69"/>
      <c r="F356" s="67"/>
      <c r="G356" s="67"/>
      <c r="H356" s="67"/>
      <c r="I356" s="67"/>
      <c r="J356" s="67"/>
      <c r="K356" s="85" t="str">
        <f aca="false">IF(AH356="","",N(F356)+N(G356)+N(H356)-N(I356)+N(J356))</f>
        <v/>
      </c>
      <c r="L356" s="67"/>
      <c r="M356" s="67"/>
      <c r="N356" s="67"/>
      <c r="O356" s="67"/>
      <c r="P356" s="85" t="str">
        <f aca="false">IF(AH356="","",K356+N(L356)+N(M356)+N(N356)+N(O356))</f>
        <v/>
      </c>
      <c r="Q356" s="67"/>
      <c r="R356" s="67"/>
      <c r="S356" s="67"/>
      <c r="T356" s="67"/>
      <c r="U356" s="67"/>
      <c r="V356" s="67"/>
      <c r="W356" s="85" t="str">
        <f aca="false">IF(AH356="","",N(Q356)+N(R356)+N(S356)+N(T356)+N(U356)+N(V356))</f>
        <v/>
      </c>
      <c r="X356" s="85" t="str">
        <f aca="false">IF(AH356="","",P356-W356)</f>
        <v/>
      </c>
      <c r="Y356" s="67"/>
      <c r="Z356" s="70" t="str">
        <f aca="false">IF(OR(AH356="",Y356=""),"",IF(ABS(X356-Y356)&lt;=1,"✓ Cuadra","⚠ Diferencia $"&amp;FIXED(X356-Y356,0)))</f>
        <v/>
      </c>
      <c r="AA356" s="72" t="str">
        <f aca="false">IF(AH356="","",IFERROR(INDEX(C_TIPO,MATCH(C356&amp;"-P"&amp;MAX(1,COUNTIFS(C_ID,C356,C_DEFINE,"Sí",C_INICIO,"&lt;="&amp;EOMONTH(B356,0))),C_CLAVE,0))&amp;"","Sin dato"))</f>
        <v/>
      </c>
      <c r="AB356" s="71" t="str">
        <f aca="false">IF(AH356="","",ROUND(MIN(K356,TOPE_AFP_UF*AJ356)*AK356,0))</f>
        <v/>
      </c>
      <c r="AC356" s="71" t="str">
        <f aca="false">IF(AH356="","",ROUND(MIN(K356,TOPE_AFC_UF*AJ356)*IF(AA356="Indefinido",AFC_EMP_INDEF,AFC_EMP_PF),0))</f>
        <v/>
      </c>
      <c r="AD356" s="71" t="str">
        <f aca="false">IF(AH356="","",ROUND(MIN(K356,TOPE_AFP_UF*AJ356)*(MUTUAL_BASICA+MUTUAL_ADIC+SANNA),0))</f>
        <v/>
      </c>
      <c r="AE356" s="71" t="str">
        <f aca="false">IF(AH356="","",P356-N(N356)+AB356+AC356+AD356)</f>
        <v/>
      </c>
      <c r="AF356" s="65"/>
      <c r="AG356" s="64"/>
      <c r="AH356" s="72" t="str">
        <f aca="false">IF(OR(B356="",C356=""),"",C356&amp;"|"&amp;(YEAR(B356)*100+MONTH(B356)))</f>
        <v/>
      </c>
      <c r="AI356" s="70" t="str">
        <f aca="false">IF(AH356="","",IF(COUNTIF(L_CLAVE,AH356)&gt;1,"⚠ Duplicado","OK"))</f>
        <v/>
      </c>
      <c r="AJ356" s="86" t="str">
        <f aca="false">IF(AH356="","",IF(SUMPRODUCT(MAX((IND_PER&lt;=B356)*(IND_UF&lt;&gt;"")*IND_PER))=0,UF_HOY,INDEX(IND_UF,MATCH(SUMPRODUCT(MAX((IND_PER&lt;=B356)*(IND_UF&lt;&gt;"")*IND_PER)),IND_PER,0))))</f>
        <v/>
      </c>
      <c r="AK356" s="87" t="str">
        <f aca="false">IF(AH356="","",IF(COUNTIF(TASA_DESDE,"&lt;="&amp;B356)=0,INDEX(TASA_EMP,1),INDEX(TASA_EMP,COUNTIF(TASA_DESDE,"&lt;="&amp;B356))))</f>
        <v/>
      </c>
    </row>
    <row r="357" customFormat="false" ht="15" hidden="false" customHeight="false" outlineLevel="0" collapsed="false">
      <c r="B357" s="78"/>
      <c r="C357" s="64"/>
      <c r="D357" s="72" t="str">
        <f aca="false">IF(C357="","",IFERROR(INDEX(T_NOMBRE,MATCH(C357,T_ID,0)),"⚠ ID no existe"))</f>
        <v/>
      </c>
      <c r="E357" s="69"/>
      <c r="F357" s="67"/>
      <c r="G357" s="67"/>
      <c r="H357" s="67"/>
      <c r="I357" s="67"/>
      <c r="J357" s="67"/>
      <c r="K357" s="85" t="str">
        <f aca="false">IF(AH357="","",N(F357)+N(G357)+N(H357)-N(I357)+N(J357))</f>
        <v/>
      </c>
      <c r="L357" s="67"/>
      <c r="M357" s="67"/>
      <c r="N357" s="67"/>
      <c r="O357" s="67"/>
      <c r="P357" s="85" t="str">
        <f aca="false">IF(AH357="","",K357+N(L357)+N(M357)+N(N357)+N(O357))</f>
        <v/>
      </c>
      <c r="Q357" s="67"/>
      <c r="R357" s="67"/>
      <c r="S357" s="67"/>
      <c r="T357" s="67"/>
      <c r="U357" s="67"/>
      <c r="V357" s="67"/>
      <c r="W357" s="85" t="str">
        <f aca="false">IF(AH357="","",N(Q357)+N(R357)+N(S357)+N(T357)+N(U357)+N(V357))</f>
        <v/>
      </c>
      <c r="X357" s="85" t="str">
        <f aca="false">IF(AH357="","",P357-W357)</f>
        <v/>
      </c>
      <c r="Y357" s="67"/>
      <c r="Z357" s="70" t="str">
        <f aca="false">IF(OR(AH357="",Y357=""),"",IF(ABS(X357-Y357)&lt;=1,"✓ Cuadra","⚠ Diferencia $"&amp;FIXED(X357-Y357,0)))</f>
        <v/>
      </c>
      <c r="AA357" s="72" t="str">
        <f aca="false">IF(AH357="","",IFERROR(INDEX(C_TIPO,MATCH(C357&amp;"-P"&amp;MAX(1,COUNTIFS(C_ID,C357,C_DEFINE,"Sí",C_INICIO,"&lt;="&amp;EOMONTH(B357,0))),C_CLAVE,0))&amp;"","Sin dato"))</f>
        <v/>
      </c>
      <c r="AB357" s="71" t="str">
        <f aca="false">IF(AH357="","",ROUND(MIN(K357,TOPE_AFP_UF*AJ357)*AK357,0))</f>
        <v/>
      </c>
      <c r="AC357" s="71" t="str">
        <f aca="false">IF(AH357="","",ROUND(MIN(K357,TOPE_AFC_UF*AJ357)*IF(AA357="Indefinido",AFC_EMP_INDEF,AFC_EMP_PF),0))</f>
        <v/>
      </c>
      <c r="AD357" s="71" t="str">
        <f aca="false">IF(AH357="","",ROUND(MIN(K357,TOPE_AFP_UF*AJ357)*(MUTUAL_BASICA+MUTUAL_ADIC+SANNA),0))</f>
        <v/>
      </c>
      <c r="AE357" s="71" t="str">
        <f aca="false">IF(AH357="","",P357-N(N357)+AB357+AC357+AD357)</f>
        <v/>
      </c>
      <c r="AF357" s="65"/>
      <c r="AG357" s="64"/>
      <c r="AH357" s="72" t="str">
        <f aca="false">IF(OR(B357="",C357=""),"",C357&amp;"|"&amp;(YEAR(B357)*100+MONTH(B357)))</f>
        <v/>
      </c>
      <c r="AI357" s="70" t="str">
        <f aca="false">IF(AH357="","",IF(COUNTIF(L_CLAVE,AH357)&gt;1,"⚠ Duplicado","OK"))</f>
        <v/>
      </c>
      <c r="AJ357" s="86" t="str">
        <f aca="false">IF(AH357="","",IF(SUMPRODUCT(MAX((IND_PER&lt;=B357)*(IND_UF&lt;&gt;"")*IND_PER))=0,UF_HOY,INDEX(IND_UF,MATCH(SUMPRODUCT(MAX((IND_PER&lt;=B357)*(IND_UF&lt;&gt;"")*IND_PER)),IND_PER,0))))</f>
        <v/>
      </c>
      <c r="AK357" s="87" t="str">
        <f aca="false">IF(AH357="","",IF(COUNTIF(TASA_DESDE,"&lt;="&amp;B357)=0,INDEX(TASA_EMP,1),INDEX(TASA_EMP,COUNTIF(TASA_DESDE,"&lt;="&amp;B357))))</f>
        <v/>
      </c>
    </row>
    <row r="358" customFormat="false" ht="15" hidden="false" customHeight="false" outlineLevel="0" collapsed="false">
      <c r="B358" s="78"/>
      <c r="C358" s="64"/>
      <c r="D358" s="72" t="str">
        <f aca="false">IF(C358="","",IFERROR(INDEX(T_NOMBRE,MATCH(C358,T_ID,0)),"⚠ ID no existe"))</f>
        <v/>
      </c>
      <c r="E358" s="69"/>
      <c r="F358" s="67"/>
      <c r="G358" s="67"/>
      <c r="H358" s="67"/>
      <c r="I358" s="67"/>
      <c r="J358" s="67"/>
      <c r="K358" s="85" t="str">
        <f aca="false">IF(AH358="","",N(F358)+N(G358)+N(H358)-N(I358)+N(J358))</f>
        <v/>
      </c>
      <c r="L358" s="67"/>
      <c r="M358" s="67"/>
      <c r="N358" s="67"/>
      <c r="O358" s="67"/>
      <c r="P358" s="85" t="str">
        <f aca="false">IF(AH358="","",K358+N(L358)+N(M358)+N(N358)+N(O358))</f>
        <v/>
      </c>
      <c r="Q358" s="67"/>
      <c r="R358" s="67"/>
      <c r="S358" s="67"/>
      <c r="T358" s="67"/>
      <c r="U358" s="67"/>
      <c r="V358" s="67"/>
      <c r="W358" s="85" t="str">
        <f aca="false">IF(AH358="","",N(Q358)+N(R358)+N(S358)+N(T358)+N(U358)+N(V358))</f>
        <v/>
      </c>
      <c r="X358" s="85" t="str">
        <f aca="false">IF(AH358="","",P358-W358)</f>
        <v/>
      </c>
      <c r="Y358" s="67"/>
      <c r="Z358" s="70" t="str">
        <f aca="false">IF(OR(AH358="",Y358=""),"",IF(ABS(X358-Y358)&lt;=1,"✓ Cuadra","⚠ Diferencia $"&amp;FIXED(X358-Y358,0)))</f>
        <v/>
      </c>
      <c r="AA358" s="72" t="str">
        <f aca="false">IF(AH358="","",IFERROR(INDEX(C_TIPO,MATCH(C358&amp;"-P"&amp;MAX(1,COUNTIFS(C_ID,C358,C_DEFINE,"Sí",C_INICIO,"&lt;="&amp;EOMONTH(B358,0))),C_CLAVE,0))&amp;"","Sin dato"))</f>
        <v/>
      </c>
      <c r="AB358" s="71" t="str">
        <f aca="false">IF(AH358="","",ROUND(MIN(K358,TOPE_AFP_UF*AJ358)*AK358,0))</f>
        <v/>
      </c>
      <c r="AC358" s="71" t="str">
        <f aca="false">IF(AH358="","",ROUND(MIN(K358,TOPE_AFC_UF*AJ358)*IF(AA358="Indefinido",AFC_EMP_INDEF,AFC_EMP_PF),0))</f>
        <v/>
      </c>
      <c r="AD358" s="71" t="str">
        <f aca="false">IF(AH358="","",ROUND(MIN(K358,TOPE_AFP_UF*AJ358)*(MUTUAL_BASICA+MUTUAL_ADIC+SANNA),0))</f>
        <v/>
      </c>
      <c r="AE358" s="71" t="str">
        <f aca="false">IF(AH358="","",P358-N(N358)+AB358+AC358+AD358)</f>
        <v/>
      </c>
      <c r="AF358" s="65"/>
      <c r="AG358" s="64"/>
      <c r="AH358" s="72" t="str">
        <f aca="false">IF(OR(B358="",C358=""),"",C358&amp;"|"&amp;(YEAR(B358)*100+MONTH(B358)))</f>
        <v/>
      </c>
      <c r="AI358" s="70" t="str">
        <f aca="false">IF(AH358="","",IF(COUNTIF(L_CLAVE,AH358)&gt;1,"⚠ Duplicado","OK"))</f>
        <v/>
      </c>
      <c r="AJ358" s="86" t="str">
        <f aca="false">IF(AH358="","",IF(SUMPRODUCT(MAX((IND_PER&lt;=B358)*(IND_UF&lt;&gt;"")*IND_PER))=0,UF_HOY,INDEX(IND_UF,MATCH(SUMPRODUCT(MAX((IND_PER&lt;=B358)*(IND_UF&lt;&gt;"")*IND_PER)),IND_PER,0))))</f>
        <v/>
      </c>
      <c r="AK358" s="87" t="str">
        <f aca="false">IF(AH358="","",IF(COUNTIF(TASA_DESDE,"&lt;="&amp;B358)=0,INDEX(TASA_EMP,1),INDEX(TASA_EMP,COUNTIF(TASA_DESDE,"&lt;="&amp;B358))))</f>
        <v/>
      </c>
    </row>
    <row r="359" customFormat="false" ht="15" hidden="false" customHeight="false" outlineLevel="0" collapsed="false">
      <c r="B359" s="78"/>
      <c r="C359" s="64"/>
      <c r="D359" s="72" t="str">
        <f aca="false">IF(C359="","",IFERROR(INDEX(T_NOMBRE,MATCH(C359,T_ID,0)),"⚠ ID no existe"))</f>
        <v/>
      </c>
      <c r="E359" s="69"/>
      <c r="F359" s="67"/>
      <c r="G359" s="67"/>
      <c r="H359" s="67"/>
      <c r="I359" s="67"/>
      <c r="J359" s="67"/>
      <c r="K359" s="85" t="str">
        <f aca="false">IF(AH359="","",N(F359)+N(G359)+N(H359)-N(I359)+N(J359))</f>
        <v/>
      </c>
      <c r="L359" s="67"/>
      <c r="M359" s="67"/>
      <c r="N359" s="67"/>
      <c r="O359" s="67"/>
      <c r="P359" s="85" t="str">
        <f aca="false">IF(AH359="","",K359+N(L359)+N(M359)+N(N359)+N(O359))</f>
        <v/>
      </c>
      <c r="Q359" s="67"/>
      <c r="R359" s="67"/>
      <c r="S359" s="67"/>
      <c r="T359" s="67"/>
      <c r="U359" s="67"/>
      <c r="V359" s="67"/>
      <c r="W359" s="85" t="str">
        <f aca="false">IF(AH359="","",N(Q359)+N(R359)+N(S359)+N(T359)+N(U359)+N(V359))</f>
        <v/>
      </c>
      <c r="X359" s="85" t="str">
        <f aca="false">IF(AH359="","",P359-W359)</f>
        <v/>
      </c>
      <c r="Y359" s="67"/>
      <c r="Z359" s="70" t="str">
        <f aca="false">IF(OR(AH359="",Y359=""),"",IF(ABS(X359-Y359)&lt;=1,"✓ Cuadra","⚠ Diferencia $"&amp;FIXED(X359-Y359,0)))</f>
        <v/>
      </c>
      <c r="AA359" s="72" t="str">
        <f aca="false">IF(AH359="","",IFERROR(INDEX(C_TIPO,MATCH(C359&amp;"-P"&amp;MAX(1,COUNTIFS(C_ID,C359,C_DEFINE,"Sí",C_INICIO,"&lt;="&amp;EOMONTH(B359,0))),C_CLAVE,0))&amp;"","Sin dato"))</f>
        <v/>
      </c>
      <c r="AB359" s="71" t="str">
        <f aca="false">IF(AH359="","",ROUND(MIN(K359,TOPE_AFP_UF*AJ359)*AK359,0))</f>
        <v/>
      </c>
      <c r="AC359" s="71" t="str">
        <f aca="false">IF(AH359="","",ROUND(MIN(K359,TOPE_AFC_UF*AJ359)*IF(AA359="Indefinido",AFC_EMP_INDEF,AFC_EMP_PF),0))</f>
        <v/>
      </c>
      <c r="AD359" s="71" t="str">
        <f aca="false">IF(AH359="","",ROUND(MIN(K359,TOPE_AFP_UF*AJ359)*(MUTUAL_BASICA+MUTUAL_ADIC+SANNA),0))</f>
        <v/>
      </c>
      <c r="AE359" s="71" t="str">
        <f aca="false">IF(AH359="","",P359-N(N359)+AB359+AC359+AD359)</f>
        <v/>
      </c>
      <c r="AF359" s="65"/>
      <c r="AG359" s="64"/>
      <c r="AH359" s="72" t="str">
        <f aca="false">IF(OR(B359="",C359=""),"",C359&amp;"|"&amp;(YEAR(B359)*100+MONTH(B359)))</f>
        <v/>
      </c>
      <c r="AI359" s="70" t="str">
        <f aca="false">IF(AH359="","",IF(COUNTIF(L_CLAVE,AH359)&gt;1,"⚠ Duplicado","OK"))</f>
        <v/>
      </c>
      <c r="AJ359" s="86" t="str">
        <f aca="false">IF(AH359="","",IF(SUMPRODUCT(MAX((IND_PER&lt;=B359)*(IND_UF&lt;&gt;"")*IND_PER))=0,UF_HOY,INDEX(IND_UF,MATCH(SUMPRODUCT(MAX((IND_PER&lt;=B359)*(IND_UF&lt;&gt;"")*IND_PER)),IND_PER,0))))</f>
        <v/>
      </c>
      <c r="AK359" s="87" t="str">
        <f aca="false">IF(AH359="","",IF(COUNTIF(TASA_DESDE,"&lt;="&amp;B359)=0,INDEX(TASA_EMP,1),INDEX(TASA_EMP,COUNTIF(TASA_DESDE,"&lt;="&amp;B359))))</f>
        <v/>
      </c>
    </row>
    <row r="360" customFormat="false" ht="15" hidden="false" customHeight="false" outlineLevel="0" collapsed="false">
      <c r="B360" s="78"/>
      <c r="C360" s="64"/>
      <c r="D360" s="72" t="str">
        <f aca="false">IF(C360="","",IFERROR(INDEX(T_NOMBRE,MATCH(C360,T_ID,0)),"⚠ ID no existe"))</f>
        <v/>
      </c>
      <c r="E360" s="69"/>
      <c r="F360" s="67"/>
      <c r="G360" s="67"/>
      <c r="H360" s="67"/>
      <c r="I360" s="67"/>
      <c r="J360" s="67"/>
      <c r="K360" s="85" t="str">
        <f aca="false">IF(AH360="","",N(F360)+N(G360)+N(H360)-N(I360)+N(J360))</f>
        <v/>
      </c>
      <c r="L360" s="67"/>
      <c r="M360" s="67"/>
      <c r="N360" s="67"/>
      <c r="O360" s="67"/>
      <c r="P360" s="85" t="str">
        <f aca="false">IF(AH360="","",K360+N(L360)+N(M360)+N(N360)+N(O360))</f>
        <v/>
      </c>
      <c r="Q360" s="67"/>
      <c r="R360" s="67"/>
      <c r="S360" s="67"/>
      <c r="T360" s="67"/>
      <c r="U360" s="67"/>
      <c r="V360" s="67"/>
      <c r="W360" s="85" t="str">
        <f aca="false">IF(AH360="","",N(Q360)+N(R360)+N(S360)+N(T360)+N(U360)+N(V360))</f>
        <v/>
      </c>
      <c r="X360" s="85" t="str">
        <f aca="false">IF(AH360="","",P360-W360)</f>
        <v/>
      </c>
      <c r="Y360" s="67"/>
      <c r="Z360" s="70" t="str">
        <f aca="false">IF(OR(AH360="",Y360=""),"",IF(ABS(X360-Y360)&lt;=1,"✓ Cuadra","⚠ Diferencia $"&amp;FIXED(X360-Y360,0)))</f>
        <v/>
      </c>
      <c r="AA360" s="72" t="str">
        <f aca="false">IF(AH360="","",IFERROR(INDEX(C_TIPO,MATCH(C360&amp;"-P"&amp;MAX(1,COUNTIFS(C_ID,C360,C_DEFINE,"Sí",C_INICIO,"&lt;="&amp;EOMONTH(B360,0))),C_CLAVE,0))&amp;"","Sin dato"))</f>
        <v/>
      </c>
      <c r="AB360" s="71" t="str">
        <f aca="false">IF(AH360="","",ROUND(MIN(K360,TOPE_AFP_UF*AJ360)*AK360,0))</f>
        <v/>
      </c>
      <c r="AC360" s="71" t="str">
        <f aca="false">IF(AH360="","",ROUND(MIN(K360,TOPE_AFC_UF*AJ360)*IF(AA360="Indefinido",AFC_EMP_INDEF,AFC_EMP_PF),0))</f>
        <v/>
      </c>
      <c r="AD360" s="71" t="str">
        <f aca="false">IF(AH360="","",ROUND(MIN(K360,TOPE_AFP_UF*AJ360)*(MUTUAL_BASICA+MUTUAL_ADIC+SANNA),0))</f>
        <v/>
      </c>
      <c r="AE360" s="71" t="str">
        <f aca="false">IF(AH360="","",P360-N(N360)+AB360+AC360+AD360)</f>
        <v/>
      </c>
      <c r="AF360" s="65"/>
      <c r="AG360" s="64"/>
      <c r="AH360" s="72" t="str">
        <f aca="false">IF(OR(B360="",C360=""),"",C360&amp;"|"&amp;(YEAR(B360)*100+MONTH(B360)))</f>
        <v/>
      </c>
      <c r="AI360" s="70" t="str">
        <f aca="false">IF(AH360="","",IF(COUNTIF(L_CLAVE,AH360)&gt;1,"⚠ Duplicado","OK"))</f>
        <v/>
      </c>
      <c r="AJ360" s="86" t="str">
        <f aca="false">IF(AH360="","",IF(SUMPRODUCT(MAX((IND_PER&lt;=B360)*(IND_UF&lt;&gt;"")*IND_PER))=0,UF_HOY,INDEX(IND_UF,MATCH(SUMPRODUCT(MAX((IND_PER&lt;=B360)*(IND_UF&lt;&gt;"")*IND_PER)),IND_PER,0))))</f>
        <v/>
      </c>
      <c r="AK360" s="87" t="str">
        <f aca="false">IF(AH360="","",IF(COUNTIF(TASA_DESDE,"&lt;="&amp;B360)=0,INDEX(TASA_EMP,1),INDEX(TASA_EMP,COUNTIF(TASA_DESDE,"&lt;="&amp;B360))))</f>
        <v/>
      </c>
    </row>
    <row r="361" customFormat="false" ht="15" hidden="false" customHeight="false" outlineLevel="0" collapsed="false">
      <c r="B361" s="78"/>
      <c r="C361" s="64"/>
      <c r="D361" s="72" t="str">
        <f aca="false">IF(C361="","",IFERROR(INDEX(T_NOMBRE,MATCH(C361,T_ID,0)),"⚠ ID no existe"))</f>
        <v/>
      </c>
      <c r="E361" s="69"/>
      <c r="F361" s="67"/>
      <c r="G361" s="67"/>
      <c r="H361" s="67"/>
      <c r="I361" s="67"/>
      <c r="J361" s="67"/>
      <c r="K361" s="85" t="str">
        <f aca="false">IF(AH361="","",N(F361)+N(G361)+N(H361)-N(I361)+N(J361))</f>
        <v/>
      </c>
      <c r="L361" s="67"/>
      <c r="M361" s="67"/>
      <c r="N361" s="67"/>
      <c r="O361" s="67"/>
      <c r="P361" s="85" t="str">
        <f aca="false">IF(AH361="","",K361+N(L361)+N(M361)+N(N361)+N(O361))</f>
        <v/>
      </c>
      <c r="Q361" s="67"/>
      <c r="R361" s="67"/>
      <c r="S361" s="67"/>
      <c r="T361" s="67"/>
      <c r="U361" s="67"/>
      <c r="V361" s="67"/>
      <c r="W361" s="85" t="str">
        <f aca="false">IF(AH361="","",N(Q361)+N(R361)+N(S361)+N(T361)+N(U361)+N(V361))</f>
        <v/>
      </c>
      <c r="X361" s="85" t="str">
        <f aca="false">IF(AH361="","",P361-W361)</f>
        <v/>
      </c>
      <c r="Y361" s="67"/>
      <c r="Z361" s="70" t="str">
        <f aca="false">IF(OR(AH361="",Y361=""),"",IF(ABS(X361-Y361)&lt;=1,"✓ Cuadra","⚠ Diferencia $"&amp;FIXED(X361-Y361,0)))</f>
        <v/>
      </c>
      <c r="AA361" s="72" t="str">
        <f aca="false">IF(AH361="","",IFERROR(INDEX(C_TIPO,MATCH(C361&amp;"-P"&amp;MAX(1,COUNTIFS(C_ID,C361,C_DEFINE,"Sí",C_INICIO,"&lt;="&amp;EOMONTH(B361,0))),C_CLAVE,0))&amp;"","Sin dato"))</f>
        <v/>
      </c>
      <c r="AB361" s="71" t="str">
        <f aca="false">IF(AH361="","",ROUND(MIN(K361,TOPE_AFP_UF*AJ361)*AK361,0))</f>
        <v/>
      </c>
      <c r="AC361" s="71" t="str">
        <f aca="false">IF(AH361="","",ROUND(MIN(K361,TOPE_AFC_UF*AJ361)*IF(AA361="Indefinido",AFC_EMP_INDEF,AFC_EMP_PF),0))</f>
        <v/>
      </c>
      <c r="AD361" s="71" t="str">
        <f aca="false">IF(AH361="","",ROUND(MIN(K361,TOPE_AFP_UF*AJ361)*(MUTUAL_BASICA+MUTUAL_ADIC+SANNA),0))</f>
        <v/>
      </c>
      <c r="AE361" s="71" t="str">
        <f aca="false">IF(AH361="","",P361-N(N361)+AB361+AC361+AD361)</f>
        <v/>
      </c>
      <c r="AF361" s="65"/>
      <c r="AG361" s="64"/>
      <c r="AH361" s="72" t="str">
        <f aca="false">IF(OR(B361="",C361=""),"",C361&amp;"|"&amp;(YEAR(B361)*100+MONTH(B361)))</f>
        <v/>
      </c>
      <c r="AI361" s="70" t="str">
        <f aca="false">IF(AH361="","",IF(COUNTIF(L_CLAVE,AH361)&gt;1,"⚠ Duplicado","OK"))</f>
        <v/>
      </c>
      <c r="AJ361" s="86" t="str">
        <f aca="false">IF(AH361="","",IF(SUMPRODUCT(MAX((IND_PER&lt;=B361)*(IND_UF&lt;&gt;"")*IND_PER))=0,UF_HOY,INDEX(IND_UF,MATCH(SUMPRODUCT(MAX((IND_PER&lt;=B361)*(IND_UF&lt;&gt;"")*IND_PER)),IND_PER,0))))</f>
        <v/>
      </c>
      <c r="AK361" s="87" t="str">
        <f aca="false">IF(AH361="","",IF(COUNTIF(TASA_DESDE,"&lt;="&amp;B361)=0,INDEX(TASA_EMP,1),INDEX(TASA_EMP,COUNTIF(TASA_DESDE,"&lt;="&amp;B361))))</f>
        <v/>
      </c>
    </row>
    <row r="362" customFormat="false" ht="15" hidden="false" customHeight="false" outlineLevel="0" collapsed="false">
      <c r="B362" s="78"/>
      <c r="C362" s="64"/>
      <c r="D362" s="72" t="str">
        <f aca="false">IF(C362="","",IFERROR(INDEX(T_NOMBRE,MATCH(C362,T_ID,0)),"⚠ ID no existe"))</f>
        <v/>
      </c>
      <c r="E362" s="69"/>
      <c r="F362" s="67"/>
      <c r="G362" s="67"/>
      <c r="H362" s="67"/>
      <c r="I362" s="67"/>
      <c r="J362" s="67"/>
      <c r="K362" s="85" t="str">
        <f aca="false">IF(AH362="","",N(F362)+N(G362)+N(H362)-N(I362)+N(J362))</f>
        <v/>
      </c>
      <c r="L362" s="67"/>
      <c r="M362" s="67"/>
      <c r="N362" s="67"/>
      <c r="O362" s="67"/>
      <c r="P362" s="85" t="str">
        <f aca="false">IF(AH362="","",K362+N(L362)+N(M362)+N(N362)+N(O362))</f>
        <v/>
      </c>
      <c r="Q362" s="67"/>
      <c r="R362" s="67"/>
      <c r="S362" s="67"/>
      <c r="T362" s="67"/>
      <c r="U362" s="67"/>
      <c r="V362" s="67"/>
      <c r="W362" s="85" t="str">
        <f aca="false">IF(AH362="","",N(Q362)+N(R362)+N(S362)+N(T362)+N(U362)+N(V362))</f>
        <v/>
      </c>
      <c r="X362" s="85" t="str">
        <f aca="false">IF(AH362="","",P362-W362)</f>
        <v/>
      </c>
      <c r="Y362" s="67"/>
      <c r="Z362" s="70" t="str">
        <f aca="false">IF(OR(AH362="",Y362=""),"",IF(ABS(X362-Y362)&lt;=1,"✓ Cuadra","⚠ Diferencia $"&amp;FIXED(X362-Y362,0)))</f>
        <v/>
      </c>
      <c r="AA362" s="72" t="str">
        <f aca="false">IF(AH362="","",IFERROR(INDEX(C_TIPO,MATCH(C362&amp;"-P"&amp;MAX(1,COUNTIFS(C_ID,C362,C_DEFINE,"Sí",C_INICIO,"&lt;="&amp;EOMONTH(B362,0))),C_CLAVE,0))&amp;"","Sin dato"))</f>
        <v/>
      </c>
      <c r="AB362" s="71" t="str">
        <f aca="false">IF(AH362="","",ROUND(MIN(K362,TOPE_AFP_UF*AJ362)*AK362,0))</f>
        <v/>
      </c>
      <c r="AC362" s="71" t="str">
        <f aca="false">IF(AH362="","",ROUND(MIN(K362,TOPE_AFC_UF*AJ362)*IF(AA362="Indefinido",AFC_EMP_INDEF,AFC_EMP_PF),0))</f>
        <v/>
      </c>
      <c r="AD362" s="71" t="str">
        <f aca="false">IF(AH362="","",ROUND(MIN(K362,TOPE_AFP_UF*AJ362)*(MUTUAL_BASICA+MUTUAL_ADIC+SANNA),0))</f>
        <v/>
      </c>
      <c r="AE362" s="71" t="str">
        <f aca="false">IF(AH362="","",P362-N(N362)+AB362+AC362+AD362)</f>
        <v/>
      </c>
      <c r="AF362" s="65"/>
      <c r="AG362" s="64"/>
      <c r="AH362" s="72" t="str">
        <f aca="false">IF(OR(B362="",C362=""),"",C362&amp;"|"&amp;(YEAR(B362)*100+MONTH(B362)))</f>
        <v/>
      </c>
      <c r="AI362" s="70" t="str">
        <f aca="false">IF(AH362="","",IF(COUNTIF(L_CLAVE,AH362)&gt;1,"⚠ Duplicado","OK"))</f>
        <v/>
      </c>
      <c r="AJ362" s="86" t="str">
        <f aca="false">IF(AH362="","",IF(SUMPRODUCT(MAX((IND_PER&lt;=B362)*(IND_UF&lt;&gt;"")*IND_PER))=0,UF_HOY,INDEX(IND_UF,MATCH(SUMPRODUCT(MAX((IND_PER&lt;=B362)*(IND_UF&lt;&gt;"")*IND_PER)),IND_PER,0))))</f>
        <v/>
      </c>
      <c r="AK362" s="87" t="str">
        <f aca="false">IF(AH362="","",IF(COUNTIF(TASA_DESDE,"&lt;="&amp;B362)=0,INDEX(TASA_EMP,1),INDEX(TASA_EMP,COUNTIF(TASA_DESDE,"&lt;="&amp;B362))))</f>
        <v/>
      </c>
    </row>
    <row r="363" customFormat="false" ht="15" hidden="false" customHeight="false" outlineLevel="0" collapsed="false">
      <c r="B363" s="78"/>
      <c r="C363" s="64"/>
      <c r="D363" s="72" t="str">
        <f aca="false">IF(C363="","",IFERROR(INDEX(T_NOMBRE,MATCH(C363,T_ID,0)),"⚠ ID no existe"))</f>
        <v/>
      </c>
      <c r="E363" s="69"/>
      <c r="F363" s="67"/>
      <c r="G363" s="67"/>
      <c r="H363" s="67"/>
      <c r="I363" s="67"/>
      <c r="J363" s="67"/>
      <c r="K363" s="85" t="str">
        <f aca="false">IF(AH363="","",N(F363)+N(G363)+N(H363)-N(I363)+N(J363))</f>
        <v/>
      </c>
      <c r="L363" s="67"/>
      <c r="M363" s="67"/>
      <c r="N363" s="67"/>
      <c r="O363" s="67"/>
      <c r="P363" s="85" t="str">
        <f aca="false">IF(AH363="","",K363+N(L363)+N(M363)+N(N363)+N(O363))</f>
        <v/>
      </c>
      <c r="Q363" s="67"/>
      <c r="R363" s="67"/>
      <c r="S363" s="67"/>
      <c r="T363" s="67"/>
      <c r="U363" s="67"/>
      <c r="V363" s="67"/>
      <c r="W363" s="85" t="str">
        <f aca="false">IF(AH363="","",N(Q363)+N(R363)+N(S363)+N(T363)+N(U363)+N(V363))</f>
        <v/>
      </c>
      <c r="X363" s="85" t="str">
        <f aca="false">IF(AH363="","",P363-W363)</f>
        <v/>
      </c>
      <c r="Y363" s="67"/>
      <c r="Z363" s="70" t="str">
        <f aca="false">IF(OR(AH363="",Y363=""),"",IF(ABS(X363-Y363)&lt;=1,"✓ Cuadra","⚠ Diferencia $"&amp;FIXED(X363-Y363,0)))</f>
        <v/>
      </c>
      <c r="AA363" s="72" t="str">
        <f aca="false">IF(AH363="","",IFERROR(INDEX(C_TIPO,MATCH(C363&amp;"-P"&amp;MAX(1,COUNTIFS(C_ID,C363,C_DEFINE,"Sí",C_INICIO,"&lt;="&amp;EOMONTH(B363,0))),C_CLAVE,0))&amp;"","Sin dato"))</f>
        <v/>
      </c>
      <c r="AB363" s="71" t="str">
        <f aca="false">IF(AH363="","",ROUND(MIN(K363,TOPE_AFP_UF*AJ363)*AK363,0))</f>
        <v/>
      </c>
      <c r="AC363" s="71" t="str">
        <f aca="false">IF(AH363="","",ROUND(MIN(K363,TOPE_AFC_UF*AJ363)*IF(AA363="Indefinido",AFC_EMP_INDEF,AFC_EMP_PF),0))</f>
        <v/>
      </c>
      <c r="AD363" s="71" t="str">
        <f aca="false">IF(AH363="","",ROUND(MIN(K363,TOPE_AFP_UF*AJ363)*(MUTUAL_BASICA+MUTUAL_ADIC+SANNA),0))</f>
        <v/>
      </c>
      <c r="AE363" s="71" t="str">
        <f aca="false">IF(AH363="","",P363-N(N363)+AB363+AC363+AD363)</f>
        <v/>
      </c>
      <c r="AF363" s="65"/>
      <c r="AG363" s="64"/>
      <c r="AH363" s="72" t="str">
        <f aca="false">IF(OR(B363="",C363=""),"",C363&amp;"|"&amp;(YEAR(B363)*100+MONTH(B363)))</f>
        <v/>
      </c>
      <c r="AI363" s="70" t="str">
        <f aca="false">IF(AH363="","",IF(COUNTIF(L_CLAVE,AH363)&gt;1,"⚠ Duplicado","OK"))</f>
        <v/>
      </c>
      <c r="AJ363" s="86" t="str">
        <f aca="false">IF(AH363="","",IF(SUMPRODUCT(MAX((IND_PER&lt;=B363)*(IND_UF&lt;&gt;"")*IND_PER))=0,UF_HOY,INDEX(IND_UF,MATCH(SUMPRODUCT(MAX((IND_PER&lt;=B363)*(IND_UF&lt;&gt;"")*IND_PER)),IND_PER,0))))</f>
        <v/>
      </c>
      <c r="AK363" s="87" t="str">
        <f aca="false">IF(AH363="","",IF(COUNTIF(TASA_DESDE,"&lt;="&amp;B363)=0,INDEX(TASA_EMP,1),INDEX(TASA_EMP,COUNTIF(TASA_DESDE,"&lt;="&amp;B363))))</f>
        <v/>
      </c>
    </row>
    <row r="364" customFormat="false" ht="15" hidden="false" customHeight="false" outlineLevel="0" collapsed="false">
      <c r="B364" s="78"/>
      <c r="C364" s="64"/>
      <c r="D364" s="72" t="str">
        <f aca="false">IF(C364="","",IFERROR(INDEX(T_NOMBRE,MATCH(C364,T_ID,0)),"⚠ ID no existe"))</f>
        <v/>
      </c>
      <c r="E364" s="69"/>
      <c r="F364" s="67"/>
      <c r="G364" s="67"/>
      <c r="H364" s="67"/>
      <c r="I364" s="67"/>
      <c r="J364" s="67"/>
      <c r="K364" s="85" t="str">
        <f aca="false">IF(AH364="","",N(F364)+N(G364)+N(H364)-N(I364)+N(J364))</f>
        <v/>
      </c>
      <c r="L364" s="67"/>
      <c r="M364" s="67"/>
      <c r="N364" s="67"/>
      <c r="O364" s="67"/>
      <c r="P364" s="85" t="str">
        <f aca="false">IF(AH364="","",K364+N(L364)+N(M364)+N(N364)+N(O364))</f>
        <v/>
      </c>
      <c r="Q364" s="67"/>
      <c r="R364" s="67"/>
      <c r="S364" s="67"/>
      <c r="T364" s="67"/>
      <c r="U364" s="67"/>
      <c r="V364" s="67"/>
      <c r="W364" s="85" t="str">
        <f aca="false">IF(AH364="","",N(Q364)+N(R364)+N(S364)+N(T364)+N(U364)+N(V364))</f>
        <v/>
      </c>
      <c r="X364" s="85" t="str">
        <f aca="false">IF(AH364="","",P364-W364)</f>
        <v/>
      </c>
      <c r="Y364" s="67"/>
      <c r="Z364" s="70" t="str">
        <f aca="false">IF(OR(AH364="",Y364=""),"",IF(ABS(X364-Y364)&lt;=1,"✓ Cuadra","⚠ Diferencia $"&amp;FIXED(X364-Y364,0)))</f>
        <v/>
      </c>
      <c r="AA364" s="72" t="str">
        <f aca="false">IF(AH364="","",IFERROR(INDEX(C_TIPO,MATCH(C364&amp;"-P"&amp;MAX(1,COUNTIFS(C_ID,C364,C_DEFINE,"Sí",C_INICIO,"&lt;="&amp;EOMONTH(B364,0))),C_CLAVE,0))&amp;"","Sin dato"))</f>
        <v/>
      </c>
      <c r="AB364" s="71" t="str">
        <f aca="false">IF(AH364="","",ROUND(MIN(K364,TOPE_AFP_UF*AJ364)*AK364,0))</f>
        <v/>
      </c>
      <c r="AC364" s="71" t="str">
        <f aca="false">IF(AH364="","",ROUND(MIN(K364,TOPE_AFC_UF*AJ364)*IF(AA364="Indefinido",AFC_EMP_INDEF,AFC_EMP_PF),0))</f>
        <v/>
      </c>
      <c r="AD364" s="71" t="str">
        <f aca="false">IF(AH364="","",ROUND(MIN(K364,TOPE_AFP_UF*AJ364)*(MUTUAL_BASICA+MUTUAL_ADIC+SANNA),0))</f>
        <v/>
      </c>
      <c r="AE364" s="71" t="str">
        <f aca="false">IF(AH364="","",P364-N(N364)+AB364+AC364+AD364)</f>
        <v/>
      </c>
      <c r="AF364" s="65"/>
      <c r="AG364" s="64"/>
      <c r="AH364" s="72" t="str">
        <f aca="false">IF(OR(B364="",C364=""),"",C364&amp;"|"&amp;(YEAR(B364)*100+MONTH(B364)))</f>
        <v/>
      </c>
      <c r="AI364" s="70" t="str">
        <f aca="false">IF(AH364="","",IF(COUNTIF(L_CLAVE,AH364)&gt;1,"⚠ Duplicado","OK"))</f>
        <v/>
      </c>
      <c r="AJ364" s="86" t="str">
        <f aca="false">IF(AH364="","",IF(SUMPRODUCT(MAX((IND_PER&lt;=B364)*(IND_UF&lt;&gt;"")*IND_PER))=0,UF_HOY,INDEX(IND_UF,MATCH(SUMPRODUCT(MAX((IND_PER&lt;=B364)*(IND_UF&lt;&gt;"")*IND_PER)),IND_PER,0))))</f>
        <v/>
      </c>
      <c r="AK364" s="87" t="str">
        <f aca="false">IF(AH364="","",IF(COUNTIF(TASA_DESDE,"&lt;="&amp;B364)=0,INDEX(TASA_EMP,1),INDEX(TASA_EMP,COUNTIF(TASA_DESDE,"&lt;="&amp;B364))))</f>
        <v/>
      </c>
    </row>
    <row r="365" customFormat="false" ht="15" hidden="false" customHeight="false" outlineLevel="0" collapsed="false">
      <c r="B365" s="78"/>
      <c r="C365" s="64"/>
      <c r="D365" s="72" t="str">
        <f aca="false">IF(C365="","",IFERROR(INDEX(T_NOMBRE,MATCH(C365,T_ID,0)),"⚠ ID no existe"))</f>
        <v/>
      </c>
      <c r="E365" s="69"/>
      <c r="F365" s="67"/>
      <c r="G365" s="67"/>
      <c r="H365" s="67"/>
      <c r="I365" s="67"/>
      <c r="J365" s="67"/>
      <c r="K365" s="85" t="str">
        <f aca="false">IF(AH365="","",N(F365)+N(G365)+N(H365)-N(I365)+N(J365))</f>
        <v/>
      </c>
      <c r="L365" s="67"/>
      <c r="M365" s="67"/>
      <c r="N365" s="67"/>
      <c r="O365" s="67"/>
      <c r="P365" s="85" t="str">
        <f aca="false">IF(AH365="","",K365+N(L365)+N(M365)+N(N365)+N(O365))</f>
        <v/>
      </c>
      <c r="Q365" s="67"/>
      <c r="R365" s="67"/>
      <c r="S365" s="67"/>
      <c r="T365" s="67"/>
      <c r="U365" s="67"/>
      <c r="V365" s="67"/>
      <c r="W365" s="85" t="str">
        <f aca="false">IF(AH365="","",N(Q365)+N(R365)+N(S365)+N(T365)+N(U365)+N(V365))</f>
        <v/>
      </c>
      <c r="X365" s="85" t="str">
        <f aca="false">IF(AH365="","",P365-W365)</f>
        <v/>
      </c>
      <c r="Y365" s="67"/>
      <c r="Z365" s="70" t="str">
        <f aca="false">IF(OR(AH365="",Y365=""),"",IF(ABS(X365-Y365)&lt;=1,"✓ Cuadra","⚠ Diferencia $"&amp;FIXED(X365-Y365,0)))</f>
        <v/>
      </c>
      <c r="AA365" s="72" t="str">
        <f aca="false">IF(AH365="","",IFERROR(INDEX(C_TIPO,MATCH(C365&amp;"-P"&amp;MAX(1,COUNTIFS(C_ID,C365,C_DEFINE,"Sí",C_INICIO,"&lt;="&amp;EOMONTH(B365,0))),C_CLAVE,0))&amp;"","Sin dato"))</f>
        <v/>
      </c>
      <c r="AB365" s="71" t="str">
        <f aca="false">IF(AH365="","",ROUND(MIN(K365,TOPE_AFP_UF*AJ365)*AK365,0))</f>
        <v/>
      </c>
      <c r="AC365" s="71" t="str">
        <f aca="false">IF(AH365="","",ROUND(MIN(K365,TOPE_AFC_UF*AJ365)*IF(AA365="Indefinido",AFC_EMP_INDEF,AFC_EMP_PF),0))</f>
        <v/>
      </c>
      <c r="AD365" s="71" t="str">
        <f aca="false">IF(AH365="","",ROUND(MIN(K365,TOPE_AFP_UF*AJ365)*(MUTUAL_BASICA+MUTUAL_ADIC+SANNA),0))</f>
        <v/>
      </c>
      <c r="AE365" s="71" t="str">
        <f aca="false">IF(AH365="","",P365-N(N365)+AB365+AC365+AD365)</f>
        <v/>
      </c>
      <c r="AF365" s="65"/>
      <c r="AG365" s="64"/>
      <c r="AH365" s="72" t="str">
        <f aca="false">IF(OR(B365="",C365=""),"",C365&amp;"|"&amp;(YEAR(B365)*100+MONTH(B365)))</f>
        <v/>
      </c>
      <c r="AI365" s="70" t="str">
        <f aca="false">IF(AH365="","",IF(COUNTIF(L_CLAVE,AH365)&gt;1,"⚠ Duplicado","OK"))</f>
        <v/>
      </c>
      <c r="AJ365" s="86" t="str">
        <f aca="false">IF(AH365="","",IF(SUMPRODUCT(MAX((IND_PER&lt;=B365)*(IND_UF&lt;&gt;"")*IND_PER))=0,UF_HOY,INDEX(IND_UF,MATCH(SUMPRODUCT(MAX((IND_PER&lt;=B365)*(IND_UF&lt;&gt;"")*IND_PER)),IND_PER,0))))</f>
        <v/>
      </c>
      <c r="AK365" s="87" t="str">
        <f aca="false">IF(AH365="","",IF(COUNTIF(TASA_DESDE,"&lt;="&amp;B365)=0,INDEX(TASA_EMP,1),INDEX(TASA_EMP,COUNTIF(TASA_DESDE,"&lt;="&amp;B365))))</f>
        <v/>
      </c>
    </row>
    <row r="366" customFormat="false" ht="15" hidden="false" customHeight="false" outlineLevel="0" collapsed="false">
      <c r="B366" s="78"/>
      <c r="C366" s="64"/>
      <c r="D366" s="72" t="str">
        <f aca="false">IF(C366="","",IFERROR(INDEX(T_NOMBRE,MATCH(C366,T_ID,0)),"⚠ ID no existe"))</f>
        <v/>
      </c>
      <c r="E366" s="69"/>
      <c r="F366" s="67"/>
      <c r="G366" s="67"/>
      <c r="H366" s="67"/>
      <c r="I366" s="67"/>
      <c r="J366" s="67"/>
      <c r="K366" s="85" t="str">
        <f aca="false">IF(AH366="","",N(F366)+N(G366)+N(H366)-N(I366)+N(J366))</f>
        <v/>
      </c>
      <c r="L366" s="67"/>
      <c r="M366" s="67"/>
      <c r="N366" s="67"/>
      <c r="O366" s="67"/>
      <c r="P366" s="85" t="str">
        <f aca="false">IF(AH366="","",K366+N(L366)+N(M366)+N(N366)+N(O366))</f>
        <v/>
      </c>
      <c r="Q366" s="67"/>
      <c r="R366" s="67"/>
      <c r="S366" s="67"/>
      <c r="T366" s="67"/>
      <c r="U366" s="67"/>
      <c r="V366" s="67"/>
      <c r="W366" s="85" t="str">
        <f aca="false">IF(AH366="","",N(Q366)+N(R366)+N(S366)+N(T366)+N(U366)+N(V366))</f>
        <v/>
      </c>
      <c r="X366" s="85" t="str">
        <f aca="false">IF(AH366="","",P366-W366)</f>
        <v/>
      </c>
      <c r="Y366" s="67"/>
      <c r="Z366" s="70" t="str">
        <f aca="false">IF(OR(AH366="",Y366=""),"",IF(ABS(X366-Y366)&lt;=1,"✓ Cuadra","⚠ Diferencia $"&amp;FIXED(X366-Y366,0)))</f>
        <v/>
      </c>
      <c r="AA366" s="72" t="str">
        <f aca="false">IF(AH366="","",IFERROR(INDEX(C_TIPO,MATCH(C366&amp;"-P"&amp;MAX(1,COUNTIFS(C_ID,C366,C_DEFINE,"Sí",C_INICIO,"&lt;="&amp;EOMONTH(B366,0))),C_CLAVE,0))&amp;"","Sin dato"))</f>
        <v/>
      </c>
      <c r="AB366" s="71" t="str">
        <f aca="false">IF(AH366="","",ROUND(MIN(K366,TOPE_AFP_UF*AJ366)*AK366,0))</f>
        <v/>
      </c>
      <c r="AC366" s="71" t="str">
        <f aca="false">IF(AH366="","",ROUND(MIN(K366,TOPE_AFC_UF*AJ366)*IF(AA366="Indefinido",AFC_EMP_INDEF,AFC_EMP_PF),0))</f>
        <v/>
      </c>
      <c r="AD366" s="71" t="str">
        <f aca="false">IF(AH366="","",ROUND(MIN(K366,TOPE_AFP_UF*AJ366)*(MUTUAL_BASICA+MUTUAL_ADIC+SANNA),0))</f>
        <v/>
      </c>
      <c r="AE366" s="71" t="str">
        <f aca="false">IF(AH366="","",P366-N(N366)+AB366+AC366+AD366)</f>
        <v/>
      </c>
      <c r="AF366" s="65"/>
      <c r="AG366" s="64"/>
      <c r="AH366" s="72" t="str">
        <f aca="false">IF(OR(B366="",C366=""),"",C366&amp;"|"&amp;(YEAR(B366)*100+MONTH(B366)))</f>
        <v/>
      </c>
      <c r="AI366" s="70" t="str">
        <f aca="false">IF(AH366="","",IF(COUNTIF(L_CLAVE,AH366)&gt;1,"⚠ Duplicado","OK"))</f>
        <v/>
      </c>
      <c r="AJ366" s="86" t="str">
        <f aca="false">IF(AH366="","",IF(SUMPRODUCT(MAX((IND_PER&lt;=B366)*(IND_UF&lt;&gt;"")*IND_PER))=0,UF_HOY,INDEX(IND_UF,MATCH(SUMPRODUCT(MAX((IND_PER&lt;=B366)*(IND_UF&lt;&gt;"")*IND_PER)),IND_PER,0))))</f>
        <v/>
      </c>
      <c r="AK366" s="87" t="str">
        <f aca="false">IF(AH366="","",IF(COUNTIF(TASA_DESDE,"&lt;="&amp;B366)=0,INDEX(TASA_EMP,1),INDEX(TASA_EMP,COUNTIF(TASA_DESDE,"&lt;="&amp;B366))))</f>
        <v/>
      </c>
    </row>
    <row r="367" customFormat="false" ht="15" hidden="false" customHeight="false" outlineLevel="0" collapsed="false">
      <c r="B367" s="78"/>
      <c r="C367" s="64"/>
      <c r="D367" s="72" t="str">
        <f aca="false">IF(C367="","",IFERROR(INDEX(T_NOMBRE,MATCH(C367,T_ID,0)),"⚠ ID no existe"))</f>
        <v/>
      </c>
      <c r="E367" s="69"/>
      <c r="F367" s="67"/>
      <c r="G367" s="67"/>
      <c r="H367" s="67"/>
      <c r="I367" s="67"/>
      <c r="J367" s="67"/>
      <c r="K367" s="85" t="str">
        <f aca="false">IF(AH367="","",N(F367)+N(G367)+N(H367)-N(I367)+N(J367))</f>
        <v/>
      </c>
      <c r="L367" s="67"/>
      <c r="M367" s="67"/>
      <c r="N367" s="67"/>
      <c r="O367" s="67"/>
      <c r="P367" s="85" t="str">
        <f aca="false">IF(AH367="","",K367+N(L367)+N(M367)+N(N367)+N(O367))</f>
        <v/>
      </c>
      <c r="Q367" s="67"/>
      <c r="R367" s="67"/>
      <c r="S367" s="67"/>
      <c r="T367" s="67"/>
      <c r="U367" s="67"/>
      <c r="V367" s="67"/>
      <c r="W367" s="85" t="str">
        <f aca="false">IF(AH367="","",N(Q367)+N(R367)+N(S367)+N(T367)+N(U367)+N(V367))</f>
        <v/>
      </c>
      <c r="X367" s="85" t="str">
        <f aca="false">IF(AH367="","",P367-W367)</f>
        <v/>
      </c>
      <c r="Y367" s="67"/>
      <c r="Z367" s="70" t="str">
        <f aca="false">IF(OR(AH367="",Y367=""),"",IF(ABS(X367-Y367)&lt;=1,"✓ Cuadra","⚠ Diferencia $"&amp;FIXED(X367-Y367,0)))</f>
        <v/>
      </c>
      <c r="AA367" s="72" t="str">
        <f aca="false">IF(AH367="","",IFERROR(INDEX(C_TIPO,MATCH(C367&amp;"-P"&amp;MAX(1,COUNTIFS(C_ID,C367,C_DEFINE,"Sí",C_INICIO,"&lt;="&amp;EOMONTH(B367,0))),C_CLAVE,0))&amp;"","Sin dato"))</f>
        <v/>
      </c>
      <c r="AB367" s="71" t="str">
        <f aca="false">IF(AH367="","",ROUND(MIN(K367,TOPE_AFP_UF*AJ367)*AK367,0))</f>
        <v/>
      </c>
      <c r="AC367" s="71" t="str">
        <f aca="false">IF(AH367="","",ROUND(MIN(K367,TOPE_AFC_UF*AJ367)*IF(AA367="Indefinido",AFC_EMP_INDEF,AFC_EMP_PF),0))</f>
        <v/>
      </c>
      <c r="AD367" s="71" t="str">
        <f aca="false">IF(AH367="","",ROUND(MIN(K367,TOPE_AFP_UF*AJ367)*(MUTUAL_BASICA+MUTUAL_ADIC+SANNA),0))</f>
        <v/>
      </c>
      <c r="AE367" s="71" t="str">
        <f aca="false">IF(AH367="","",P367-N(N367)+AB367+AC367+AD367)</f>
        <v/>
      </c>
      <c r="AF367" s="65"/>
      <c r="AG367" s="64"/>
      <c r="AH367" s="72" t="str">
        <f aca="false">IF(OR(B367="",C367=""),"",C367&amp;"|"&amp;(YEAR(B367)*100+MONTH(B367)))</f>
        <v/>
      </c>
      <c r="AI367" s="70" t="str">
        <f aca="false">IF(AH367="","",IF(COUNTIF(L_CLAVE,AH367)&gt;1,"⚠ Duplicado","OK"))</f>
        <v/>
      </c>
      <c r="AJ367" s="86" t="str">
        <f aca="false">IF(AH367="","",IF(SUMPRODUCT(MAX((IND_PER&lt;=B367)*(IND_UF&lt;&gt;"")*IND_PER))=0,UF_HOY,INDEX(IND_UF,MATCH(SUMPRODUCT(MAX((IND_PER&lt;=B367)*(IND_UF&lt;&gt;"")*IND_PER)),IND_PER,0))))</f>
        <v/>
      </c>
      <c r="AK367" s="87" t="str">
        <f aca="false">IF(AH367="","",IF(COUNTIF(TASA_DESDE,"&lt;="&amp;B367)=0,INDEX(TASA_EMP,1),INDEX(TASA_EMP,COUNTIF(TASA_DESDE,"&lt;="&amp;B367))))</f>
        <v/>
      </c>
    </row>
    <row r="368" customFormat="false" ht="15" hidden="false" customHeight="false" outlineLevel="0" collapsed="false">
      <c r="B368" s="78"/>
      <c r="C368" s="64"/>
      <c r="D368" s="72" t="str">
        <f aca="false">IF(C368="","",IFERROR(INDEX(T_NOMBRE,MATCH(C368,T_ID,0)),"⚠ ID no existe"))</f>
        <v/>
      </c>
      <c r="E368" s="69"/>
      <c r="F368" s="67"/>
      <c r="G368" s="67"/>
      <c r="H368" s="67"/>
      <c r="I368" s="67"/>
      <c r="J368" s="67"/>
      <c r="K368" s="85" t="str">
        <f aca="false">IF(AH368="","",N(F368)+N(G368)+N(H368)-N(I368)+N(J368))</f>
        <v/>
      </c>
      <c r="L368" s="67"/>
      <c r="M368" s="67"/>
      <c r="N368" s="67"/>
      <c r="O368" s="67"/>
      <c r="P368" s="85" t="str">
        <f aca="false">IF(AH368="","",K368+N(L368)+N(M368)+N(N368)+N(O368))</f>
        <v/>
      </c>
      <c r="Q368" s="67"/>
      <c r="R368" s="67"/>
      <c r="S368" s="67"/>
      <c r="T368" s="67"/>
      <c r="U368" s="67"/>
      <c r="V368" s="67"/>
      <c r="W368" s="85" t="str">
        <f aca="false">IF(AH368="","",N(Q368)+N(R368)+N(S368)+N(T368)+N(U368)+N(V368))</f>
        <v/>
      </c>
      <c r="X368" s="85" t="str">
        <f aca="false">IF(AH368="","",P368-W368)</f>
        <v/>
      </c>
      <c r="Y368" s="67"/>
      <c r="Z368" s="70" t="str">
        <f aca="false">IF(OR(AH368="",Y368=""),"",IF(ABS(X368-Y368)&lt;=1,"✓ Cuadra","⚠ Diferencia $"&amp;FIXED(X368-Y368,0)))</f>
        <v/>
      </c>
      <c r="AA368" s="72" t="str">
        <f aca="false">IF(AH368="","",IFERROR(INDEX(C_TIPO,MATCH(C368&amp;"-P"&amp;MAX(1,COUNTIFS(C_ID,C368,C_DEFINE,"Sí",C_INICIO,"&lt;="&amp;EOMONTH(B368,0))),C_CLAVE,0))&amp;"","Sin dato"))</f>
        <v/>
      </c>
      <c r="AB368" s="71" t="str">
        <f aca="false">IF(AH368="","",ROUND(MIN(K368,TOPE_AFP_UF*AJ368)*AK368,0))</f>
        <v/>
      </c>
      <c r="AC368" s="71" t="str">
        <f aca="false">IF(AH368="","",ROUND(MIN(K368,TOPE_AFC_UF*AJ368)*IF(AA368="Indefinido",AFC_EMP_INDEF,AFC_EMP_PF),0))</f>
        <v/>
      </c>
      <c r="AD368" s="71" t="str">
        <f aca="false">IF(AH368="","",ROUND(MIN(K368,TOPE_AFP_UF*AJ368)*(MUTUAL_BASICA+MUTUAL_ADIC+SANNA),0))</f>
        <v/>
      </c>
      <c r="AE368" s="71" t="str">
        <f aca="false">IF(AH368="","",P368-N(N368)+AB368+AC368+AD368)</f>
        <v/>
      </c>
      <c r="AF368" s="65"/>
      <c r="AG368" s="64"/>
      <c r="AH368" s="72" t="str">
        <f aca="false">IF(OR(B368="",C368=""),"",C368&amp;"|"&amp;(YEAR(B368)*100+MONTH(B368)))</f>
        <v/>
      </c>
      <c r="AI368" s="70" t="str">
        <f aca="false">IF(AH368="","",IF(COUNTIF(L_CLAVE,AH368)&gt;1,"⚠ Duplicado","OK"))</f>
        <v/>
      </c>
      <c r="AJ368" s="86" t="str">
        <f aca="false">IF(AH368="","",IF(SUMPRODUCT(MAX((IND_PER&lt;=B368)*(IND_UF&lt;&gt;"")*IND_PER))=0,UF_HOY,INDEX(IND_UF,MATCH(SUMPRODUCT(MAX((IND_PER&lt;=B368)*(IND_UF&lt;&gt;"")*IND_PER)),IND_PER,0))))</f>
        <v/>
      </c>
      <c r="AK368" s="87" t="str">
        <f aca="false">IF(AH368="","",IF(COUNTIF(TASA_DESDE,"&lt;="&amp;B368)=0,INDEX(TASA_EMP,1),INDEX(TASA_EMP,COUNTIF(TASA_DESDE,"&lt;="&amp;B368))))</f>
        <v/>
      </c>
    </row>
    <row r="369" customFormat="false" ht="15" hidden="false" customHeight="false" outlineLevel="0" collapsed="false">
      <c r="B369" s="78"/>
      <c r="C369" s="64"/>
      <c r="D369" s="72" t="str">
        <f aca="false">IF(C369="","",IFERROR(INDEX(T_NOMBRE,MATCH(C369,T_ID,0)),"⚠ ID no existe"))</f>
        <v/>
      </c>
      <c r="E369" s="69"/>
      <c r="F369" s="67"/>
      <c r="G369" s="67"/>
      <c r="H369" s="67"/>
      <c r="I369" s="67"/>
      <c r="J369" s="67"/>
      <c r="K369" s="85" t="str">
        <f aca="false">IF(AH369="","",N(F369)+N(G369)+N(H369)-N(I369)+N(J369))</f>
        <v/>
      </c>
      <c r="L369" s="67"/>
      <c r="M369" s="67"/>
      <c r="N369" s="67"/>
      <c r="O369" s="67"/>
      <c r="P369" s="85" t="str">
        <f aca="false">IF(AH369="","",K369+N(L369)+N(M369)+N(N369)+N(O369))</f>
        <v/>
      </c>
      <c r="Q369" s="67"/>
      <c r="R369" s="67"/>
      <c r="S369" s="67"/>
      <c r="T369" s="67"/>
      <c r="U369" s="67"/>
      <c r="V369" s="67"/>
      <c r="W369" s="85" t="str">
        <f aca="false">IF(AH369="","",N(Q369)+N(R369)+N(S369)+N(T369)+N(U369)+N(V369))</f>
        <v/>
      </c>
      <c r="X369" s="85" t="str">
        <f aca="false">IF(AH369="","",P369-W369)</f>
        <v/>
      </c>
      <c r="Y369" s="67"/>
      <c r="Z369" s="70" t="str">
        <f aca="false">IF(OR(AH369="",Y369=""),"",IF(ABS(X369-Y369)&lt;=1,"✓ Cuadra","⚠ Diferencia $"&amp;FIXED(X369-Y369,0)))</f>
        <v/>
      </c>
      <c r="AA369" s="72" t="str">
        <f aca="false">IF(AH369="","",IFERROR(INDEX(C_TIPO,MATCH(C369&amp;"-P"&amp;MAX(1,COUNTIFS(C_ID,C369,C_DEFINE,"Sí",C_INICIO,"&lt;="&amp;EOMONTH(B369,0))),C_CLAVE,0))&amp;"","Sin dato"))</f>
        <v/>
      </c>
      <c r="AB369" s="71" t="str">
        <f aca="false">IF(AH369="","",ROUND(MIN(K369,TOPE_AFP_UF*AJ369)*AK369,0))</f>
        <v/>
      </c>
      <c r="AC369" s="71" t="str">
        <f aca="false">IF(AH369="","",ROUND(MIN(K369,TOPE_AFC_UF*AJ369)*IF(AA369="Indefinido",AFC_EMP_INDEF,AFC_EMP_PF),0))</f>
        <v/>
      </c>
      <c r="AD369" s="71" t="str">
        <f aca="false">IF(AH369="","",ROUND(MIN(K369,TOPE_AFP_UF*AJ369)*(MUTUAL_BASICA+MUTUAL_ADIC+SANNA),0))</f>
        <v/>
      </c>
      <c r="AE369" s="71" t="str">
        <f aca="false">IF(AH369="","",P369-N(N369)+AB369+AC369+AD369)</f>
        <v/>
      </c>
      <c r="AF369" s="65"/>
      <c r="AG369" s="64"/>
      <c r="AH369" s="72" t="str">
        <f aca="false">IF(OR(B369="",C369=""),"",C369&amp;"|"&amp;(YEAR(B369)*100+MONTH(B369)))</f>
        <v/>
      </c>
      <c r="AI369" s="70" t="str">
        <f aca="false">IF(AH369="","",IF(COUNTIF(L_CLAVE,AH369)&gt;1,"⚠ Duplicado","OK"))</f>
        <v/>
      </c>
      <c r="AJ369" s="86" t="str">
        <f aca="false">IF(AH369="","",IF(SUMPRODUCT(MAX((IND_PER&lt;=B369)*(IND_UF&lt;&gt;"")*IND_PER))=0,UF_HOY,INDEX(IND_UF,MATCH(SUMPRODUCT(MAX((IND_PER&lt;=B369)*(IND_UF&lt;&gt;"")*IND_PER)),IND_PER,0))))</f>
        <v/>
      </c>
      <c r="AK369" s="87" t="str">
        <f aca="false">IF(AH369="","",IF(COUNTIF(TASA_DESDE,"&lt;="&amp;B369)=0,INDEX(TASA_EMP,1),INDEX(TASA_EMP,COUNTIF(TASA_DESDE,"&lt;="&amp;B369))))</f>
        <v/>
      </c>
    </row>
    <row r="370" customFormat="false" ht="15" hidden="false" customHeight="false" outlineLevel="0" collapsed="false">
      <c r="B370" s="78"/>
      <c r="C370" s="64"/>
      <c r="D370" s="72" t="str">
        <f aca="false">IF(C370="","",IFERROR(INDEX(T_NOMBRE,MATCH(C370,T_ID,0)),"⚠ ID no existe"))</f>
        <v/>
      </c>
      <c r="E370" s="69"/>
      <c r="F370" s="67"/>
      <c r="G370" s="67"/>
      <c r="H370" s="67"/>
      <c r="I370" s="67"/>
      <c r="J370" s="67"/>
      <c r="K370" s="85" t="str">
        <f aca="false">IF(AH370="","",N(F370)+N(G370)+N(H370)-N(I370)+N(J370))</f>
        <v/>
      </c>
      <c r="L370" s="67"/>
      <c r="M370" s="67"/>
      <c r="N370" s="67"/>
      <c r="O370" s="67"/>
      <c r="P370" s="85" t="str">
        <f aca="false">IF(AH370="","",K370+N(L370)+N(M370)+N(N370)+N(O370))</f>
        <v/>
      </c>
      <c r="Q370" s="67"/>
      <c r="R370" s="67"/>
      <c r="S370" s="67"/>
      <c r="T370" s="67"/>
      <c r="U370" s="67"/>
      <c r="V370" s="67"/>
      <c r="W370" s="85" t="str">
        <f aca="false">IF(AH370="","",N(Q370)+N(R370)+N(S370)+N(T370)+N(U370)+N(V370))</f>
        <v/>
      </c>
      <c r="X370" s="85" t="str">
        <f aca="false">IF(AH370="","",P370-W370)</f>
        <v/>
      </c>
      <c r="Y370" s="67"/>
      <c r="Z370" s="70" t="str">
        <f aca="false">IF(OR(AH370="",Y370=""),"",IF(ABS(X370-Y370)&lt;=1,"✓ Cuadra","⚠ Diferencia $"&amp;FIXED(X370-Y370,0)))</f>
        <v/>
      </c>
      <c r="AA370" s="72" t="str">
        <f aca="false">IF(AH370="","",IFERROR(INDEX(C_TIPO,MATCH(C370&amp;"-P"&amp;MAX(1,COUNTIFS(C_ID,C370,C_DEFINE,"Sí",C_INICIO,"&lt;="&amp;EOMONTH(B370,0))),C_CLAVE,0))&amp;"","Sin dato"))</f>
        <v/>
      </c>
      <c r="AB370" s="71" t="str">
        <f aca="false">IF(AH370="","",ROUND(MIN(K370,TOPE_AFP_UF*AJ370)*AK370,0))</f>
        <v/>
      </c>
      <c r="AC370" s="71" t="str">
        <f aca="false">IF(AH370="","",ROUND(MIN(K370,TOPE_AFC_UF*AJ370)*IF(AA370="Indefinido",AFC_EMP_INDEF,AFC_EMP_PF),0))</f>
        <v/>
      </c>
      <c r="AD370" s="71" t="str">
        <f aca="false">IF(AH370="","",ROUND(MIN(K370,TOPE_AFP_UF*AJ370)*(MUTUAL_BASICA+MUTUAL_ADIC+SANNA),0))</f>
        <v/>
      </c>
      <c r="AE370" s="71" t="str">
        <f aca="false">IF(AH370="","",P370-N(N370)+AB370+AC370+AD370)</f>
        <v/>
      </c>
      <c r="AF370" s="65"/>
      <c r="AG370" s="64"/>
      <c r="AH370" s="72" t="str">
        <f aca="false">IF(OR(B370="",C370=""),"",C370&amp;"|"&amp;(YEAR(B370)*100+MONTH(B370)))</f>
        <v/>
      </c>
      <c r="AI370" s="70" t="str">
        <f aca="false">IF(AH370="","",IF(COUNTIF(L_CLAVE,AH370)&gt;1,"⚠ Duplicado","OK"))</f>
        <v/>
      </c>
      <c r="AJ370" s="86" t="str">
        <f aca="false">IF(AH370="","",IF(SUMPRODUCT(MAX((IND_PER&lt;=B370)*(IND_UF&lt;&gt;"")*IND_PER))=0,UF_HOY,INDEX(IND_UF,MATCH(SUMPRODUCT(MAX((IND_PER&lt;=B370)*(IND_UF&lt;&gt;"")*IND_PER)),IND_PER,0))))</f>
        <v/>
      </c>
      <c r="AK370" s="87" t="str">
        <f aca="false">IF(AH370="","",IF(COUNTIF(TASA_DESDE,"&lt;="&amp;B370)=0,INDEX(TASA_EMP,1),INDEX(TASA_EMP,COUNTIF(TASA_DESDE,"&lt;="&amp;B370))))</f>
        <v/>
      </c>
    </row>
    <row r="371" customFormat="false" ht="15" hidden="false" customHeight="false" outlineLevel="0" collapsed="false">
      <c r="B371" s="78"/>
      <c r="C371" s="64"/>
      <c r="D371" s="72" t="str">
        <f aca="false">IF(C371="","",IFERROR(INDEX(T_NOMBRE,MATCH(C371,T_ID,0)),"⚠ ID no existe"))</f>
        <v/>
      </c>
      <c r="E371" s="69"/>
      <c r="F371" s="67"/>
      <c r="G371" s="67"/>
      <c r="H371" s="67"/>
      <c r="I371" s="67"/>
      <c r="J371" s="67"/>
      <c r="K371" s="85" t="str">
        <f aca="false">IF(AH371="","",N(F371)+N(G371)+N(H371)-N(I371)+N(J371))</f>
        <v/>
      </c>
      <c r="L371" s="67"/>
      <c r="M371" s="67"/>
      <c r="N371" s="67"/>
      <c r="O371" s="67"/>
      <c r="P371" s="85" t="str">
        <f aca="false">IF(AH371="","",K371+N(L371)+N(M371)+N(N371)+N(O371))</f>
        <v/>
      </c>
      <c r="Q371" s="67"/>
      <c r="R371" s="67"/>
      <c r="S371" s="67"/>
      <c r="T371" s="67"/>
      <c r="U371" s="67"/>
      <c r="V371" s="67"/>
      <c r="W371" s="85" t="str">
        <f aca="false">IF(AH371="","",N(Q371)+N(R371)+N(S371)+N(T371)+N(U371)+N(V371))</f>
        <v/>
      </c>
      <c r="X371" s="85" t="str">
        <f aca="false">IF(AH371="","",P371-W371)</f>
        <v/>
      </c>
      <c r="Y371" s="67"/>
      <c r="Z371" s="70" t="str">
        <f aca="false">IF(OR(AH371="",Y371=""),"",IF(ABS(X371-Y371)&lt;=1,"✓ Cuadra","⚠ Diferencia $"&amp;FIXED(X371-Y371,0)))</f>
        <v/>
      </c>
      <c r="AA371" s="72" t="str">
        <f aca="false">IF(AH371="","",IFERROR(INDEX(C_TIPO,MATCH(C371&amp;"-P"&amp;MAX(1,COUNTIFS(C_ID,C371,C_DEFINE,"Sí",C_INICIO,"&lt;="&amp;EOMONTH(B371,0))),C_CLAVE,0))&amp;"","Sin dato"))</f>
        <v/>
      </c>
      <c r="AB371" s="71" t="str">
        <f aca="false">IF(AH371="","",ROUND(MIN(K371,TOPE_AFP_UF*AJ371)*AK371,0))</f>
        <v/>
      </c>
      <c r="AC371" s="71" t="str">
        <f aca="false">IF(AH371="","",ROUND(MIN(K371,TOPE_AFC_UF*AJ371)*IF(AA371="Indefinido",AFC_EMP_INDEF,AFC_EMP_PF),0))</f>
        <v/>
      </c>
      <c r="AD371" s="71" t="str">
        <f aca="false">IF(AH371="","",ROUND(MIN(K371,TOPE_AFP_UF*AJ371)*(MUTUAL_BASICA+MUTUAL_ADIC+SANNA),0))</f>
        <v/>
      </c>
      <c r="AE371" s="71" t="str">
        <f aca="false">IF(AH371="","",P371-N(N371)+AB371+AC371+AD371)</f>
        <v/>
      </c>
      <c r="AF371" s="65"/>
      <c r="AG371" s="64"/>
      <c r="AH371" s="72" t="str">
        <f aca="false">IF(OR(B371="",C371=""),"",C371&amp;"|"&amp;(YEAR(B371)*100+MONTH(B371)))</f>
        <v/>
      </c>
      <c r="AI371" s="70" t="str">
        <f aca="false">IF(AH371="","",IF(COUNTIF(L_CLAVE,AH371)&gt;1,"⚠ Duplicado","OK"))</f>
        <v/>
      </c>
      <c r="AJ371" s="86" t="str">
        <f aca="false">IF(AH371="","",IF(SUMPRODUCT(MAX((IND_PER&lt;=B371)*(IND_UF&lt;&gt;"")*IND_PER))=0,UF_HOY,INDEX(IND_UF,MATCH(SUMPRODUCT(MAX((IND_PER&lt;=B371)*(IND_UF&lt;&gt;"")*IND_PER)),IND_PER,0))))</f>
        <v/>
      </c>
      <c r="AK371" s="87" t="str">
        <f aca="false">IF(AH371="","",IF(COUNTIF(TASA_DESDE,"&lt;="&amp;B371)=0,INDEX(TASA_EMP,1),INDEX(TASA_EMP,COUNTIF(TASA_DESDE,"&lt;="&amp;B371))))</f>
        <v/>
      </c>
    </row>
    <row r="372" customFormat="false" ht="15" hidden="false" customHeight="false" outlineLevel="0" collapsed="false">
      <c r="B372" s="78"/>
      <c r="C372" s="64"/>
      <c r="D372" s="72" t="str">
        <f aca="false">IF(C372="","",IFERROR(INDEX(T_NOMBRE,MATCH(C372,T_ID,0)),"⚠ ID no existe"))</f>
        <v/>
      </c>
      <c r="E372" s="69"/>
      <c r="F372" s="67"/>
      <c r="G372" s="67"/>
      <c r="H372" s="67"/>
      <c r="I372" s="67"/>
      <c r="J372" s="67"/>
      <c r="K372" s="85" t="str">
        <f aca="false">IF(AH372="","",N(F372)+N(G372)+N(H372)-N(I372)+N(J372))</f>
        <v/>
      </c>
      <c r="L372" s="67"/>
      <c r="M372" s="67"/>
      <c r="N372" s="67"/>
      <c r="O372" s="67"/>
      <c r="P372" s="85" t="str">
        <f aca="false">IF(AH372="","",K372+N(L372)+N(M372)+N(N372)+N(O372))</f>
        <v/>
      </c>
      <c r="Q372" s="67"/>
      <c r="R372" s="67"/>
      <c r="S372" s="67"/>
      <c r="T372" s="67"/>
      <c r="U372" s="67"/>
      <c r="V372" s="67"/>
      <c r="W372" s="85" t="str">
        <f aca="false">IF(AH372="","",N(Q372)+N(R372)+N(S372)+N(T372)+N(U372)+N(V372))</f>
        <v/>
      </c>
      <c r="X372" s="85" t="str">
        <f aca="false">IF(AH372="","",P372-W372)</f>
        <v/>
      </c>
      <c r="Y372" s="67"/>
      <c r="Z372" s="70" t="str">
        <f aca="false">IF(OR(AH372="",Y372=""),"",IF(ABS(X372-Y372)&lt;=1,"✓ Cuadra","⚠ Diferencia $"&amp;FIXED(X372-Y372,0)))</f>
        <v/>
      </c>
      <c r="AA372" s="72" t="str">
        <f aca="false">IF(AH372="","",IFERROR(INDEX(C_TIPO,MATCH(C372&amp;"-P"&amp;MAX(1,COUNTIFS(C_ID,C372,C_DEFINE,"Sí",C_INICIO,"&lt;="&amp;EOMONTH(B372,0))),C_CLAVE,0))&amp;"","Sin dato"))</f>
        <v/>
      </c>
      <c r="AB372" s="71" t="str">
        <f aca="false">IF(AH372="","",ROUND(MIN(K372,TOPE_AFP_UF*AJ372)*AK372,0))</f>
        <v/>
      </c>
      <c r="AC372" s="71" t="str">
        <f aca="false">IF(AH372="","",ROUND(MIN(K372,TOPE_AFC_UF*AJ372)*IF(AA372="Indefinido",AFC_EMP_INDEF,AFC_EMP_PF),0))</f>
        <v/>
      </c>
      <c r="AD372" s="71" t="str">
        <f aca="false">IF(AH372="","",ROUND(MIN(K372,TOPE_AFP_UF*AJ372)*(MUTUAL_BASICA+MUTUAL_ADIC+SANNA),0))</f>
        <v/>
      </c>
      <c r="AE372" s="71" t="str">
        <f aca="false">IF(AH372="","",P372-N(N372)+AB372+AC372+AD372)</f>
        <v/>
      </c>
      <c r="AF372" s="65"/>
      <c r="AG372" s="64"/>
      <c r="AH372" s="72" t="str">
        <f aca="false">IF(OR(B372="",C372=""),"",C372&amp;"|"&amp;(YEAR(B372)*100+MONTH(B372)))</f>
        <v/>
      </c>
      <c r="AI372" s="70" t="str">
        <f aca="false">IF(AH372="","",IF(COUNTIF(L_CLAVE,AH372)&gt;1,"⚠ Duplicado","OK"))</f>
        <v/>
      </c>
      <c r="AJ372" s="86" t="str">
        <f aca="false">IF(AH372="","",IF(SUMPRODUCT(MAX((IND_PER&lt;=B372)*(IND_UF&lt;&gt;"")*IND_PER))=0,UF_HOY,INDEX(IND_UF,MATCH(SUMPRODUCT(MAX((IND_PER&lt;=B372)*(IND_UF&lt;&gt;"")*IND_PER)),IND_PER,0))))</f>
        <v/>
      </c>
      <c r="AK372" s="87" t="str">
        <f aca="false">IF(AH372="","",IF(COUNTIF(TASA_DESDE,"&lt;="&amp;B372)=0,INDEX(TASA_EMP,1),INDEX(TASA_EMP,COUNTIF(TASA_DESDE,"&lt;="&amp;B372))))</f>
        <v/>
      </c>
    </row>
    <row r="373" customFormat="false" ht="15" hidden="false" customHeight="false" outlineLevel="0" collapsed="false">
      <c r="B373" s="78"/>
      <c r="C373" s="64"/>
      <c r="D373" s="72" t="str">
        <f aca="false">IF(C373="","",IFERROR(INDEX(T_NOMBRE,MATCH(C373,T_ID,0)),"⚠ ID no existe"))</f>
        <v/>
      </c>
      <c r="E373" s="69"/>
      <c r="F373" s="67"/>
      <c r="G373" s="67"/>
      <c r="H373" s="67"/>
      <c r="I373" s="67"/>
      <c r="J373" s="67"/>
      <c r="K373" s="85" t="str">
        <f aca="false">IF(AH373="","",N(F373)+N(G373)+N(H373)-N(I373)+N(J373))</f>
        <v/>
      </c>
      <c r="L373" s="67"/>
      <c r="M373" s="67"/>
      <c r="N373" s="67"/>
      <c r="O373" s="67"/>
      <c r="P373" s="85" t="str">
        <f aca="false">IF(AH373="","",K373+N(L373)+N(M373)+N(N373)+N(O373))</f>
        <v/>
      </c>
      <c r="Q373" s="67"/>
      <c r="R373" s="67"/>
      <c r="S373" s="67"/>
      <c r="T373" s="67"/>
      <c r="U373" s="67"/>
      <c r="V373" s="67"/>
      <c r="W373" s="85" t="str">
        <f aca="false">IF(AH373="","",N(Q373)+N(R373)+N(S373)+N(T373)+N(U373)+N(V373))</f>
        <v/>
      </c>
      <c r="X373" s="85" t="str">
        <f aca="false">IF(AH373="","",P373-W373)</f>
        <v/>
      </c>
      <c r="Y373" s="67"/>
      <c r="Z373" s="70" t="str">
        <f aca="false">IF(OR(AH373="",Y373=""),"",IF(ABS(X373-Y373)&lt;=1,"✓ Cuadra","⚠ Diferencia $"&amp;FIXED(X373-Y373,0)))</f>
        <v/>
      </c>
      <c r="AA373" s="72" t="str">
        <f aca="false">IF(AH373="","",IFERROR(INDEX(C_TIPO,MATCH(C373&amp;"-P"&amp;MAX(1,COUNTIFS(C_ID,C373,C_DEFINE,"Sí",C_INICIO,"&lt;="&amp;EOMONTH(B373,0))),C_CLAVE,0))&amp;"","Sin dato"))</f>
        <v/>
      </c>
      <c r="AB373" s="71" t="str">
        <f aca="false">IF(AH373="","",ROUND(MIN(K373,TOPE_AFP_UF*AJ373)*AK373,0))</f>
        <v/>
      </c>
      <c r="AC373" s="71" t="str">
        <f aca="false">IF(AH373="","",ROUND(MIN(K373,TOPE_AFC_UF*AJ373)*IF(AA373="Indefinido",AFC_EMP_INDEF,AFC_EMP_PF),0))</f>
        <v/>
      </c>
      <c r="AD373" s="71" t="str">
        <f aca="false">IF(AH373="","",ROUND(MIN(K373,TOPE_AFP_UF*AJ373)*(MUTUAL_BASICA+MUTUAL_ADIC+SANNA),0))</f>
        <v/>
      </c>
      <c r="AE373" s="71" t="str">
        <f aca="false">IF(AH373="","",P373-N(N373)+AB373+AC373+AD373)</f>
        <v/>
      </c>
      <c r="AF373" s="65"/>
      <c r="AG373" s="64"/>
      <c r="AH373" s="72" t="str">
        <f aca="false">IF(OR(B373="",C373=""),"",C373&amp;"|"&amp;(YEAR(B373)*100+MONTH(B373)))</f>
        <v/>
      </c>
      <c r="AI373" s="70" t="str">
        <f aca="false">IF(AH373="","",IF(COUNTIF(L_CLAVE,AH373)&gt;1,"⚠ Duplicado","OK"))</f>
        <v/>
      </c>
      <c r="AJ373" s="86" t="str">
        <f aca="false">IF(AH373="","",IF(SUMPRODUCT(MAX((IND_PER&lt;=B373)*(IND_UF&lt;&gt;"")*IND_PER))=0,UF_HOY,INDEX(IND_UF,MATCH(SUMPRODUCT(MAX((IND_PER&lt;=B373)*(IND_UF&lt;&gt;"")*IND_PER)),IND_PER,0))))</f>
        <v/>
      </c>
      <c r="AK373" s="87" t="str">
        <f aca="false">IF(AH373="","",IF(COUNTIF(TASA_DESDE,"&lt;="&amp;B373)=0,INDEX(TASA_EMP,1),INDEX(TASA_EMP,COUNTIF(TASA_DESDE,"&lt;="&amp;B373))))</f>
        <v/>
      </c>
    </row>
    <row r="374" customFormat="false" ht="15" hidden="false" customHeight="false" outlineLevel="0" collapsed="false">
      <c r="B374" s="78"/>
      <c r="C374" s="64"/>
      <c r="D374" s="72" t="str">
        <f aca="false">IF(C374="","",IFERROR(INDEX(T_NOMBRE,MATCH(C374,T_ID,0)),"⚠ ID no existe"))</f>
        <v/>
      </c>
      <c r="E374" s="69"/>
      <c r="F374" s="67"/>
      <c r="G374" s="67"/>
      <c r="H374" s="67"/>
      <c r="I374" s="67"/>
      <c r="J374" s="67"/>
      <c r="K374" s="85" t="str">
        <f aca="false">IF(AH374="","",N(F374)+N(G374)+N(H374)-N(I374)+N(J374))</f>
        <v/>
      </c>
      <c r="L374" s="67"/>
      <c r="M374" s="67"/>
      <c r="N374" s="67"/>
      <c r="O374" s="67"/>
      <c r="P374" s="85" t="str">
        <f aca="false">IF(AH374="","",K374+N(L374)+N(M374)+N(N374)+N(O374))</f>
        <v/>
      </c>
      <c r="Q374" s="67"/>
      <c r="R374" s="67"/>
      <c r="S374" s="67"/>
      <c r="T374" s="67"/>
      <c r="U374" s="67"/>
      <c r="V374" s="67"/>
      <c r="W374" s="85" t="str">
        <f aca="false">IF(AH374="","",N(Q374)+N(R374)+N(S374)+N(T374)+N(U374)+N(V374))</f>
        <v/>
      </c>
      <c r="X374" s="85" t="str">
        <f aca="false">IF(AH374="","",P374-W374)</f>
        <v/>
      </c>
      <c r="Y374" s="67"/>
      <c r="Z374" s="70" t="str">
        <f aca="false">IF(OR(AH374="",Y374=""),"",IF(ABS(X374-Y374)&lt;=1,"✓ Cuadra","⚠ Diferencia $"&amp;FIXED(X374-Y374,0)))</f>
        <v/>
      </c>
      <c r="AA374" s="72" t="str">
        <f aca="false">IF(AH374="","",IFERROR(INDEX(C_TIPO,MATCH(C374&amp;"-P"&amp;MAX(1,COUNTIFS(C_ID,C374,C_DEFINE,"Sí",C_INICIO,"&lt;="&amp;EOMONTH(B374,0))),C_CLAVE,0))&amp;"","Sin dato"))</f>
        <v/>
      </c>
      <c r="AB374" s="71" t="str">
        <f aca="false">IF(AH374="","",ROUND(MIN(K374,TOPE_AFP_UF*AJ374)*AK374,0))</f>
        <v/>
      </c>
      <c r="AC374" s="71" t="str">
        <f aca="false">IF(AH374="","",ROUND(MIN(K374,TOPE_AFC_UF*AJ374)*IF(AA374="Indefinido",AFC_EMP_INDEF,AFC_EMP_PF),0))</f>
        <v/>
      </c>
      <c r="AD374" s="71" t="str">
        <f aca="false">IF(AH374="","",ROUND(MIN(K374,TOPE_AFP_UF*AJ374)*(MUTUAL_BASICA+MUTUAL_ADIC+SANNA),0))</f>
        <v/>
      </c>
      <c r="AE374" s="71" t="str">
        <f aca="false">IF(AH374="","",P374-N(N374)+AB374+AC374+AD374)</f>
        <v/>
      </c>
      <c r="AF374" s="65"/>
      <c r="AG374" s="64"/>
      <c r="AH374" s="72" t="str">
        <f aca="false">IF(OR(B374="",C374=""),"",C374&amp;"|"&amp;(YEAR(B374)*100+MONTH(B374)))</f>
        <v/>
      </c>
      <c r="AI374" s="70" t="str">
        <f aca="false">IF(AH374="","",IF(COUNTIF(L_CLAVE,AH374)&gt;1,"⚠ Duplicado","OK"))</f>
        <v/>
      </c>
      <c r="AJ374" s="86" t="str">
        <f aca="false">IF(AH374="","",IF(SUMPRODUCT(MAX((IND_PER&lt;=B374)*(IND_UF&lt;&gt;"")*IND_PER))=0,UF_HOY,INDEX(IND_UF,MATCH(SUMPRODUCT(MAX((IND_PER&lt;=B374)*(IND_UF&lt;&gt;"")*IND_PER)),IND_PER,0))))</f>
        <v/>
      </c>
      <c r="AK374" s="87" t="str">
        <f aca="false">IF(AH374="","",IF(COUNTIF(TASA_DESDE,"&lt;="&amp;B374)=0,INDEX(TASA_EMP,1),INDEX(TASA_EMP,COUNTIF(TASA_DESDE,"&lt;="&amp;B374))))</f>
        <v/>
      </c>
    </row>
    <row r="375" customFormat="false" ht="15" hidden="false" customHeight="false" outlineLevel="0" collapsed="false">
      <c r="B375" s="78"/>
      <c r="C375" s="64"/>
      <c r="D375" s="72" t="str">
        <f aca="false">IF(C375="","",IFERROR(INDEX(T_NOMBRE,MATCH(C375,T_ID,0)),"⚠ ID no existe"))</f>
        <v/>
      </c>
      <c r="E375" s="69"/>
      <c r="F375" s="67"/>
      <c r="G375" s="67"/>
      <c r="H375" s="67"/>
      <c r="I375" s="67"/>
      <c r="J375" s="67"/>
      <c r="K375" s="85" t="str">
        <f aca="false">IF(AH375="","",N(F375)+N(G375)+N(H375)-N(I375)+N(J375))</f>
        <v/>
      </c>
      <c r="L375" s="67"/>
      <c r="M375" s="67"/>
      <c r="N375" s="67"/>
      <c r="O375" s="67"/>
      <c r="P375" s="85" t="str">
        <f aca="false">IF(AH375="","",K375+N(L375)+N(M375)+N(N375)+N(O375))</f>
        <v/>
      </c>
      <c r="Q375" s="67"/>
      <c r="R375" s="67"/>
      <c r="S375" s="67"/>
      <c r="T375" s="67"/>
      <c r="U375" s="67"/>
      <c r="V375" s="67"/>
      <c r="W375" s="85" t="str">
        <f aca="false">IF(AH375="","",N(Q375)+N(R375)+N(S375)+N(T375)+N(U375)+N(V375))</f>
        <v/>
      </c>
      <c r="X375" s="85" t="str">
        <f aca="false">IF(AH375="","",P375-W375)</f>
        <v/>
      </c>
      <c r="Y375" s="67"/>
      <c r="Z375" s="70" t="str">
        <f aca="false">IF(OR(AH375="",Y375=""),"",IF(ABS(X375-Y375)&lt;=1,"✓ Cuadra","⚠ Diferencia $"&amp;FIXED(X375-Y375,0)))</f>
        <v/>
      </c>
      <c r="AA375" s="72" t="str">
        <f aca="false">IF(AH375="","",IFERROR(INDEX(C_TIPO,MATCH(C375&amp;"-P"&amp;MAX(1,COUNTIFS(C_ID,C375,C_DEFINE,"Sí",C_INICIO,"&lt;="&amp;EOMONTH(B375,0))),C_CLAVE,0))&amp;"","Sin dato"))</f>
        <v/>
      </c>
      <c r="AB375" s="71" t="str">
        <f aca="false">IF(AH375="","",ROUND(MIN(K375,TOPE_AFP_UF*AJ375)*AK375,0))</f>
        <v/>
      </c>
      <c r="AC375" s="71" t="str">
        <f aca="false">IF(AH375="","",ROUND(MIN(K375,TOPE_AFC_UF*AJ375)*IF(AA375="Indefinido",AFC_EMP_INDEF,AFC_EMP_PF),0))</f>
        <v/>
      </c>
      <c r="AD375" s="71" t="str">
        <f aca="false">IF(AH375="","",ROUND(MIN(K375,TOPE_AFP_UF*AJ375)*(MUTUAL_BASICA+MUTUAL_ADIC+SANNA),0))</f>
        <v/>
      </c>
      <c r="AE375" s="71" t="str">
        <f aca="false">IF(AH375="","",P375-N(N375)+AB375+AC375+AD375)</f>
        <v/>
      </c>
      <c r="AF375" s="65"/>
      <c r="AG375" s="64"/>
      <c r="AH375" s="72" t="str">
        <f aca="false">IF(OR(B375="",C375=""),"",C375&amp;"|"&amp;(YEAR(B375)*100+MONTH(B375)))</f>
        <v/>
      </c>
      <c r="AI375" s="70" t="str">
        <f aca="false">IF(AH375="","",IF(COUNTIF(L_CLAVE,AH375)&gt;1,"⚠ Duplicado","OK"))</f>
        <v/>
      </c>
      <c r="AJ375" s="86" t="str">
        <f aca="false">IF(AH375="","",IF(SUMPRODUCT(MAX((IND_PER&lt;=B375)*(IND_UF&lt;&gt;"")*IND_PER))=0,UF_HOY,INDEX(IND_UF,MATCH(SUMPRODUCT(MAX((IND_PER&lt;=B375)*(IND_UF&lt;&gt;"")*IND_PER)),IND_PER,0))))</f>
        <v/>
      </c>
      <c r="AK375" s="87" t="str">
        <f aca="false">IF(AH375="","",IF(COUNTIF(TASA_DESDE,"&lt;="&amp;B375)=0,INDEX(TASA_EMP,1),INDEX(TASA_EMP,COUNTIF(TASA_DESDE,"&lt;="&amp;B375))))</f>
        <v/>
      </c>
    </row>
    <row r="376" customFormat="false" ht="15" hidden="false" customHeight="false" outlineLevel="0" collapsed="false">
      <c r="B376" s="78"/>
      <c r="C376" s="64"/>
      <c r="D376" s="72" t="str">
        <f aca="false">IF(C376="","",IFERROR(INDEX(T_NOMBRE,MATCH(C376,T_ID,0)),"⚠ ID no existe"))</f>
        <v/>
      </c>
      <c r="E376" s="69"/>
      <c r="F376" s="67"/>
      <c r="G376" s="67"/>
      <c r="H376" s="67"/>
      <c r="I376" s="67"/>
      <c r="J376" s="67"/>
      <c r="K376" s="85" t="str">
        <f aca="false">IF(AH376="","",N(F376)+N(G376)+N(H376)-N(I376)+N(J376))</f>
        <v/>
      </c>
      <c r="L376" s="67"/>
      <c r="M376" s="67"/>
      <c r="N376" s="67"/>
      <c r="O376" s="67"/>
      <c r="P376" s="85" t="str">
        <f aca="false">IF(AH376="","",K376+N(L376)+N(M376)+N(N376)+N(O376))</f>
        <v/>
      </c>
      <c r="Q376" s="67"/>
      <c r="R376" s="67"/>
      <c r="S376" s="67"/>
      <c r="T376" s="67"/>
      <c r="U376" s="67"/>
      <c r="V376" s="67"/>
      <c r="W376" s="85" t="str">
        <f aca="false">IF(AH376="","",N(Q376)+N(R376)+N(S376)+N(T376)+N(U376)+N(V376))</f>
        <v/>
      </c>
      <c r="X376" s="85" t="str">
        <f aca="false">IF(AH376="","",P376-W376)</f>
        <v/>
      </c>
      <c r="Y376" s="67"/>
      <c r="Z376" s="70" t="str">
        <f aca="false">IF(OR(AH376="",Y376=""),"",IF(ABS(X376-Y376)&lt;=1,"✓ Cuadra","⚠ Diferencia $"&amp;FIXED(X376-Y376,0)))</f>
        <v/>
      </c>
      <c r="AA376" s="72" t="str">
        <f aca="false">IF(AH376="","",IFERROR(INDEX(C_TIPO,MATCH(C376&amp;"-P"&amp;MAX(1,COUNTIFS(C_ID,C376,C_DEFINE,"Sí",C_INICIO,"&lt;="&amp;EOMONTH(B376,0))),C_CLAVE,0))&amp;"","Sin dato"))</f>
        <v/>
      </c>
      <c r="AB376" s="71" t="str">
        <f aca="false">IF(AH376="","",ROUND(MIN(K376,TOPE_AFP_UF*AJ376)*AK376,0))</f>
        <v/>
      </c>
      <c r="AC376" s="71" t="str">
        <f aca="false">IF(AH376="","",ROUND(MIN(K376,TOPE_AFC_UF*AJ376)*IF(AA376="Indefinido",AFC_EMP_INDEF,AFC_EMP_PF),0))</f>
        <v/>
      </c>
      <c r="AD376" s="71" t="str">
        <f aca="false">IF(AH376="","",ROUND(MIN(K376,TOPE_AFP_UF*AJ376)*(MUTUAL_BASICA+MUTUAL_ADIC+SANNA),0))</f>
        <v/>
      </c>
      <c r="AE376" s="71" t="str">
        <f aca="false">IF(AH376="","",P376-N(N376)+AB376+AC376+AD376)</f>
        <v/>
      </c>
      <c r="AF376" s="65"/>
      <c r="AG376" s="64"/>
      <c r="AH376" s="72" t="str">
        <f aca="false">IF(OR(B376="",C376=""),"",C376&amp;"|"&amp;(YEAR(B376)*100+MONTH(B376)))</f>
        <v/>
      </c>
      <c r="AI376" s="70" t="str">
        <f aca="false">IF(AH376="","",IF(COUNTIF(L_CLAVE,AH376)&gt;1,"⚠ Duplicado","OK"))</f>
        <v/>
      </c>
      <c r="AJ376" s="86" t="str">
        <f aca="false">IF(AH376="","",IF(SUMPRODUCT(MAX((IND_PER&lt;=B376)*(IND_UF&lt;&gt;"")*IND_PER))=0,UF_HOY,INDEX(IND_UF,MATCH(SUMPRODUCT(MAX((IND_PER&lt;=B376)*(IND_UF&lt;&gt;"")*IND_PER)),IND_PER,0))))</f>
        <v/>
      </c>
      <c r="AK376" s="87" t="str">
        <f aca="false">IF(AH376="","",IF(COUNTIF(TASA_DESDE,"&lt;="&amp;B376)=0,INDEX(TASA_EMP,1),INDEX(TASA_EMP,COUNTIF(TASA_DESDE,"&lt;="&amp;B376))))</f>
        <v/>
      </c>
    </row>
    <row r="377" customFormat="false" ht="15" hidden="false" customHeight="false" outlineLevel="0" collapsed="false">
      <c r="B377" s="78"/>
      <c r="C377" s="64"/>
      <c r="D377" s="72" t="str">
        <f aca="false">IF(C377="","",IFERROR(INDEX(T_NOMBRE,MATCH(C377,T_ID,0)),"⚠ ID no existe"))</f>
        <v/>
      </c>
      <c r="E377" s="69"/>
      <c r="F377" s="67"/>
      <c r="G377" s="67"/>
      <c r="H377" s="67"/>
      <c r="I377" s="67"/>
      <c r="J377" s="67"/>
      <c r="K377" s="85" t="str">
        <f aca="false">IF(AH377="","",N(F377)+N(G377)+N(H377)-N(I377)+N(J377))</f>
        <v/>
      </c>
      <c r="L377" s="67"/>
      <c r="M377" s="67"/>
      <c r="N377" s="67"/>
      <c r="O377" s="67"/>
      <c r="P377" s="85" t="str">
        <f aca="false">IF(AH377="","",K377+N(L377)+N(M377)+N(N377)+N(O377))</f>
        <v/>
      </c>
      <c r="Q377" s="67"/>
      <c r="R377" s="67"/>
      <c r="S377" s="67"/>
      <c r="T377" s="67"/>
      <c r="U377" s="67"/>
      <c r="V377" s="67"/>
      <c r="W377" s="85" t="str">
        <f aca="false">IF(AH377="","",N(Q377)+N(R377)+N(S377)+N(T377)+N(U377)+N(V377))</f>
        <v/>
      </c>
      <c r="X377" s="85" t="str">
        <f aca="false">IF(AH377="","",P377-W377)</f>
        <v/>
      </c>
      <c r="Y377" s="67"/>
      <c r="Z377" s="70" t="str">
        <f aca="false">IF(OR(AH377="",Y377=""),"",IF(ABS(X377-Y377)&lt;=1,"✓ Cuadra","⚠ Diferencia $"&amp;FIXED(X377-Y377,0)))</f>
        <v/>
      </c>
      <c r="AA377" s="72" t="str">
        <f aca="false">IF(AH377="","",IFERROR(INDEX(C_TIPO,MATCH(C377&amp;"-P"&amp;MAX(1,COUNTIFS(C_ID,C377,C_DEFINE,"Sí",C_INICIO,"&lt;="&amp;EOMONTH(B377,0))),C_CLAVE,0))&amp;"","Sin dato"))</f>
        <v/>
      </c>
      <c r="AB377" s="71" t="str">
        <f aca="false">IF(AH377="","",ROUND(MIN(K377,TOPE_AFP_UF*AJ377)*AK377,0))</f>
        <v/>
      </c>
      <c r="AC377" s="71" t="str">
        <f aca="false">IF(AH377="","",ROUND(MIN(K377,TOPE_AFC_UF*AJ377)*IF(AA377="Indefinido",AFC_EMP_INDEF,AFC_EMP_PF),0))</f>
        <v/>
      </c>
      <c r="AD377" s="71" t="str">
        <f aca="false">IF(AH377="","",ROUND(MIN(K377,TOPE_AFP_UF*AJ377)*(MUTUAL_BASICA+MUTUAL_ADIC+SANNA),0))</f>
        <v/>
      </c>
      <c r="AE377" s="71" t="str">
        <f aca="false">IF(AH377="","",P377-N(N377)+AB377+AC377+AD377)</f>
        <v/>
      </c>
      <c r="AF377" s="65"/>
      <c r="AG377" s="64"/>
      <c r="AH377" s="72" t="str">
        <f aca="false">IF(OR(B377="",C377=""),"",C377&amp;"|"&amp;(YEAR(B377)*100+MONTH(B377)))</f>
        <v/>
      </c>
      <c r="AI377" s="70" t="str">
        <f aca="false">IF(AH377="","",IF(COUNTIF(L_CLAVE,AH377)&gt;1,"⚠ Duplicado","OK"))</f>
        <v/>
      </c>
      <c r="AJ377" s="86" t="str">
        <f aca="false">IF(AH377="","",IF(SUMPRODUCT(MAX((IND_PER&lt;=B377)*(IND_UF&lt;&gt;"")*IND_PER))=0,UF_HOY,INDEX(IND_UF,MATCH(SUMPRODUCT(MAX((IND_PER&lt;=B377)*(IND_UF&lt;&gt;"")*IND_PER)),IND_PER,0))))</f>
        <v/>
      </c>
      <c r="AK377" s="87" t="str">
        <f aca="false">IF(AH377="","",IF(COUNTIF(TASA_DESDE,"&lt;="&amp;B377)=0,INDEX(TASA_EMP,1),INDEX(TASA_EMP,COUNTIF(TASA_DESDE,"&lt;="&amp;B377))))</f>
        <v/>
      </c>
    </row>
    <row r="378" customFormat="false" ht="15" hidden="false" customHeight="false" outlineLevel="0" collapsed="false">
      <c r="B378" s="78"/>
      <c r="C378" s="64"/>
      <c r="D378" s="72" t="str">
        <f aca="false">IF(C378="","",IFERROR(INDEX(T_NOMBRE,MATCH(C378,T_ID,0)),"⚠ ID no existe"))</f>
        <v/>
      </c>
      <c r="E378" s="69"/>
      <c r="F378" s="67"/>
      <c r="G378" s="67"/>
      <c r="H378" s="67"/>
      <c r="I378" s="67"/>
      <c r="J378" s="67"/>
      <c r="K378" s="85" t="str">
        <f aca="false">IF(AH378="","",N(F378)+N(G378)+N(H378)-N(I378)+N(J378))</f>
        <v/>
      </c>
      <c r="L378" s="67"/>
      <c r="M378" s="67"/>
      <c r="N378" s="67"/>
      <c r="O378" s="67"/>
      <c r="P378" s="85" t="str">
        <f aca="false">IF(AH378="","",K378+N(L378)+N(M378)+N(N378)+N(O378))</f>
        <v/>
      </c>
      <c r="Q378" s="67"/>
      <c r="R378" s="67"/>
      <c r="S378" s="67"/>
      <c r="T378" s="67"/>
      <c r="U378" s="67"/>
      <c r="V378" s="67"/>
      <c r="W378" s="85" t="str">
        <f aca="false">IF(AH378="","",N(Q378)+N(R378)+N(S378)+N(T378)+N(U378)+N(V378))</f>
        <v/>
      </c>
      <c r="X378" s="85" t="str">
        <f aca="false">IF(AH378="","",P378-W378)</f>
        <v/>
      </c>
      <c r="Y378" s="67"/>
      <c r="Z378" s="70" t="str">
        <f aca="false">IF(OR(AH378="",Y378=""),"",IF(ABS(X378-Y378)&lt;=1,"✓ Cuadra","⚠ Diferencia $"&amp;FIXED(X378-Y378,0)))</f>
        <v/>
      </c>
      <c r="AA378" s="72" t="str">
        <f aca="false">IF(AH378="","",IFERROR(INDEX(C_TIPO,MATCH(C378&amp;"-P"&amp;MAX(1,COUNTIFS(C_ID,C378,C_DEFINE,"Sí",C_INICIO,"&lt;="&amp;EOMONTH(B378,0))),C_CLAVE,0))&amp;"","Sin dato"))</f>
        <v/>
      </c>
      <c r="AB378" s="71" t="str">
        <f aca="false">IF(AH378="","",ROUND(MIN(K378,TOPE_AFP_UF*AJ378)*AK378,0))</f>
        <v/>
      </c>
      <c r="AC378" s="71" t="str">
        <f aca="false">IF(AH378="","",ROUND(MIN(K378,TOPE_AFC_UF*AJ378)*IF(AA378="Indefinido",AFC_EMP_INDEF,AFC_EMP_PF),0))</f>
        <v/>
      </c>
      <c r="AD378" s="71" t="str">
        <f aca="false">IF(AH378="","",ROUND(MIN(K378,TOPE_AFP_UF*AJ378)*(MUTUAL_BASICA+MUTUAL_ADIC+SANNA),0))</f>
        <v/>
      </c>
      <c r="AE378" s="71" t="str">
        <f aca="false">IF(AH378="","",P378-N(N378)+AB378+AC378+AD378)</f>
        <v/>
      </c>
      <c r="AF378" s="65"/>
      <c r="AG378" s="64"/>
      <c r="AH378" s="72" t="str">
        <f aca="false">IF(OR(B378="",C378=""),"",C378&amp;"|"&amp;(YEAR(B378)*100+MONTH(B378)))</f>
        <v/>
      </c>
      <c r="AI378" s="70" t="str">
        <f aca="false">IF(AH378="","",IF(COUNTIF(L_CLAVE,AH378)&gt;1,"⚠ Duplicado","OK"))</f>
        <v/>
      </c>
      <c r="AJ378" s="86" t="str">
        <f aca="false">IF(AH378="","",IF(SUMPRODUCT(MAX((IND_PER&lt;=B378)*(IND_UF&lt;&gt;"")*IND_PER))=0,UF_HOY,INDEX(IND_UF,MATCH(SUMPRODUCT(MAX((IND_PER&lt;=B378)*(IND_UF&lt;&gt;"")*IND_PER)),IND_PER,0))))</f>
        <v/>
      </c>
      <c r="AK378" s="87" t="str">
        <f aca="false">IF(AH378="","",IF(COUNTIF(TASA_DESDE,"&lt;="&amp;B378)=0,INDEX(TASA_EMP,1),INDEX(TASA_EMP,COUNTIF(TASA_DESDE,"&lt;="&amp;B378))))</f>
        <v/>
      </c>
    </row>
    <row r="379" customFormat="false" ht="15" hidden="false" customHeight="false" outlineLevel="0" collapsed="false">
      <c r="B379" s="78"/>
      <c r="C379" s="64"/>
      <c r="D379" s="72" t="str">
        <f aca="false">IF(C379="","",IFERROR(INDEX(T_NOMBRE,MATCH(C379,T_ID,0)),"⚠ ID no existe"))</f>
        <v/>
      </c>
      <c r="E379" s="69"/>
      <c r="F379" s="67"/>
      <c r="G379" s="67"/>
      <c r="H379" s="67"/>
      <c r="I379" s="67"/>
      <c r="J379" s="67"/>
      <c r="K379" s="85" t="str">
        <f aca="false">IF(AH379="","",N(F379)+N(G379)+N(H379)-N(I379)+N(J379))</f>
        <v/>
      </c>
      <c r="L379" s="67"/>
      <c r="M379" s="67"/>
      <c r="N379" s="67"/>
      <c r="O379" s="67"/>
      <c r="P379" s="85" t="str">
        <f aca="false">IF(AH379="","",K379+N(L379)+N(M379)+N(N379)+N(O379))</f>
        <v/>
      </c>
      <c r="Q379" s="67"/>
      <c r="R379" s="67"/>
      <c r="S379" s="67"/>
      <c r="T379" s="67"/>
      <c r="U379" s="67"/>
      <c r="V379" s="67"/>
      <c r="W379" s="85" t="str">
        <f aca="false">IF(AH379="","",N(Q379)+N(R379)+N(S379)+N(T379)+N(U379)+N(V379))</f>
        <v/>
      </c>
      <c r="X379" s="85" t="str">
        <f aca="false">IF(AH379="","",P379-W379)</f>
        <v/>
      </c>
      <c r="Y379" s="67"/>
      <c r="Z379" s="70" t="str">
        <f aca="false">IF(OR(AH379="",Y379=""),"",IF(ABS(X379-Y379)&lt;=1,"✓ Cuadra","⚠ Diferencia $"&amp;FIXED(X379-Y379,0)))</f>
        <v/>
      </c>
      <c r="AA379" s="72" t="str">
        <f aca="false">IF(AH379="","",IFERROR(INDEX(C_TIPO,MATCH(C379&amp;"-P"&amp;MAX(1,COUNTIFS(C_ID,C379,C_DEFINE,"Sí",C_INICIO,"&lt;="&amp;EOMONTH(B379,0))),C_CLAVE,0))&amp;"","Sin dato"))</f>
        <v/>
      </c>
      <c r="AB379" s="71" t="str">
        <f aca="false">IF(AH379="","",ROUND(MIN(K379,TOPE_AFP_UF*AJ379)*AK379,0))</f>
        <v/>
      </c>
      <c r="AC379" s="71" t="str">
        <f aca="false">IF(AH379="","",ROUND(MIN(K379,TOPE_AFC_UF*AJ379)*IF(AA379="Indefinido",AFC_EMP_INDEF,AFC_EMP_PF),0))</f>
        <v/>
      </c>
      <c r="AD379" s="71" t="str">
        <f aca="false">IF(AH379="","",ROUND(MIN(K379,TOPE_AFP_UF*AJ379)*(MUTUAL_BASICA+MUTUAL_ADIC+SANNA),0))</f>
        <v/>
      </c>
      <c r="AE379" s="71" t="str">
        <f aca="false">IF(AH379="","",P379-N(N379)+AB379+AC379+AD379)</f>
        <v/>
      </c>
      <c r="AF379" s="65"/>
      <c r="AG379" s="64"/>
      <c r="AH379" s="72" t="str">
        <f aca="false">IF(OR(B379="",C379=""),"",C379&amp;"|"&amp;(YEAR(B379)*100+MONTH(B379)))</f>
        <v/>
      </c>
      <c r="AI379" s="70" t="str">
        <f aca="false">IF(AH379="","",IF(COUNTIF(L_CLAVE,AH379)&gt;1,"⚠ Duplicado","OK"))</f>
        <v/>
      </c>
      <c r="AJ379" s="86" t="str">
        <f aca="false">IF(AH379="","",IF(SUMPRODUCT(MAX((IND_PER&lt;=B379)*(IND_UF&lt;&gt;"")*IND_PER))=0,UF_HOY,INDEX(IND_UF,MATCH(SUMPRODUCT(MAX((IND_PER&lt;=B379)*(IND_UF&lt;&gt;"")*IND_PER)),IND_PER,0))))</f>
        <v/>
      </c>
      <c r="AK379" s="87" t="str">
        <f aca="false">IF(AH379="","",IF(COUNTIF(TASA_DESDE,"&lt;="&amp;B379)=0,INDEX(TASA_EMP,1),INDEX(TASA_EMP,COUNTIF(TASA_DESDE,"&lt;="&amp;B379))))</f>
        <v/>
      </c>
    </row>
    <row r="380" customFormat="false" ht="15" hidden="false" customHeight="false" outlineLevel="0" collapsed="false">
      <c r="B380" s="78"/>
      <c r="C380" s="64"/>
      <c r="D380" s="72" t="str">
        <f aca="false">IF(C380="","",IFERROR(INDEX(T_NOMBRE,MATCH(C380,T_ID,0)),"⚠ ID no existe"))</f>
        <v/>
      </c>
      <c r="E380" s="69"/>
      <c r="F380" s="67"/>
      <c r="G380" s="67"/>
      <c r="H380" s="67"/>
      <c r="I380" s="67"/>
      <c r="J380" s="67"/>
      <c r="K380" s="85" t="str">
        <f aca="false">IF(AH380="","",N(F380)+N(G380)+N(H380)-N(I380)+N(J380))</f>
        <v/>
      </c>
      <c r="L380" s="67"/>
      <c r="M380" s="67"/>
      <c r="N380" s="67"/>
      <c r="O380" s="67"/>
      <c r="P380" s="85" t="str">
        <f aca="false">IF(AH380="","",K380+N(L380)+N(M380)+N(N380)+N(O380))</f>
        <v/>
      </c>
      <c r="Q380" s="67"/>
      <c r="R380" s="67"/>
      <c r="S380" s="67"/>
      <c r="T380" s="67"/>
      <c r="U380" s="67"/>
      <c r="V380" s="67"/>
      <c r="W380" s="85" t="str">
        <f aca="false">IF(AH380="","",N(Q380)+N(R380)+N(S380)+N(T380)+N(U380)+N(V380))</f>
        <v/>
      </c>
      <c r="X380" s="85" t="str">
        <f aca="false">IF(AH380="","",P380-W380)</f>
        <v/>
      </c>
      <c r="Y380" s="67"/>
      <c r="Z380" s="70" t="str">
        <f aca="false">IF(OR(AH380="",Y380=""),"",IF(ABS(X380-Y380)&lt;=1,"✓ Cuadra","⚠ Diferencia $"&amp;FIXED(X380-Y380,0)))</f>
        <v/>
      </c>
      <c r="AA380" s="72" t="str">
        <f aca="false">IF(AH380="","",IFERROR(INDEX(C_TIPO,MATCH(C380&amp;"-P"&amp;MAX(1,COUNTIFS(C_ID,C380,C_DEFINE,"Sí",C_INICIO,"&lt;="&amp;EOMONTH(B380,0))),C_CLAVE,0))&amp;"","Sin dato"))</f>
        <v/>
      </c>
      <c r="AB380" s="71" t="str">
        <f aca="false">IF(AH380="","",ROUND(MIN(K380,TOPE_AFP_UF*AJ380)*AK380,0))</f>
        <v/>
      </c>
      <c r="AC380" s="71" t="str">
        <f aca="false">IF(AH380="","",ROUND(MIN(K380,TOPE_AFC_UF*AJ380)*IF(AA380="Indefinido",AFC_EMP_INDEF,AFC_EMP_PF),0))</f>
        <v/>
      </c>
      <c r="AD380" s="71" t="str">
        <f aca="false">IF(AH380="","",ROUND(MIN(K380,TOPE_AFP_UF*AJ380)*(MUTUAL_BASICA+MUTUAL_ADIC+SANNA),0))</f>
        <v/>
      </c>
      <c r="AE380" s="71" t="str">
        <f aca="false">IF(AH380="","",P380-N(N380)+AB380+AC380+AD380)</f>
        <v/>
      </c>
      <c r="AF380" s="65"/>
      <c r="AG380" s="64"/>
      <c r="AH380" s="72" t="str">
        <f aca="false">IF(OR(B380="",C380=""),"",C380&amp;"|"&amp;(YEAR(B380)*100+MONTH(B380)))</f>
        <v/>
      </c>
      <c r="AI380" s="70" t="str">
        <f aca="false">IF(AH380="","",IF(COUNTIF(L_CLAVE,AH380)&gt;1,"⚠ Duplicado","OK"))</f>
        <v/>
      </c>
      <c r="AJ380" s="86" t="str">
        <f aca="false">IF(AH380="","",IF(SUMPRODUCT(MAX((IND_PER&lt;=B380)*(IND_UF&lt;&gt;"")*IND_PER))=0,UF_HOY,INDEX(IND_UF,MATCH(SUMPRODUCT(MAX((IND_PER&lt;=B380)*(IND_UF&lt;&gt;"")*IND_PER)),IND_PER,0))))</f>
        <v/>
      </c>
      <c r="AK380" s="87" t="str">
        <f aca="false">IF(AH380="","",IF(COUNTIF(TASA_DESDE,"&lt;="&amp;B380)=0,INDEX(TASA_EMP,1),INDEX(TASA_EMP,COUNTIF(TASA_DESDE,"&lt;="&amp;B380))))</f>
        <v/>
      </c>
    </row>
    <row r="381" customFormat="false" ht="15" hidden="false" customHeight="false" outlineLevel="0" collapsed="false">
      <c r="B381" s="78"/>
      <c r="C381" s="64"/>
      <c r="D381" s="72" t="str">
        <f aca="false">IF(C381="","",IFERROR(INDEX(T_NOMBRE,MATCH(C381,T_ID,0)),"⚠ ID no existe"))</f>
        <v/>
      </c>
      <c r="E381" s="69"/>
      <c r="F381" s="67"/>
      <c r="G381" s="67"/>
      <c r="H381" s="67"/>
      <c r="I381" s="67"/>
      <c r="J381" s="67"/>
      <c r="K381" s="85" t="str">
        <f aca="false">IF(AH381="","",N(F381)+N(G381)+N(H381)-N(I381)+N(J381))</f>
        <v/>
      </c>
      <c r="L381" s="67"/>
      <c r="M381" s="67"/>
      <c r="N381" s="67"/>
      <c r="O381" s="67"/>
      <c r="P381" s="85" t="str">
        <f aca="false">IF(AH381="","",K381+N(L381)+N(M381)+N(N381)+N(O381))</f>
        <v/>
      </c>
      <c r="Q381" s="67"/>
      <c r="R381" s="67"/>
      <c r="S381" s="67"/>
      <c r="T381" s="67"/>
      <c r="U381" s="67"/>
      <c r="V381" s="67"/>
      <c r="W381" s="85" t="str">
        <f aca="false">IF(AH381="","",N(Q381)+N(R381)+N(S381)+N(T381)+N(U381)+N(V381))</f>
        <v/>
      </c>
      <c r="X381" s="85" t="str">
        <f aca="false">IF(AH381="","",P381-W381)</f>
        <v/>
      </c>
      <c r="Y381" s="67"/>
      <c r="Z381" s="70" t="str">
        <f aca="false">IF(OR(AH381="",Y381=""),"",IF(ABS(X381-Y381)&lt;=1,"✓ Cuadra","⚠ Diferencia $"&amp;FIXED(X381-Y381,0)))</f>
        <v/>
      </c>
      <c r="AA381" s="72" t="str">
        <f aca="false">IF(AH381="","",IFERROR(INDEX(C_TIPO,MATCH(C381&amp;"-P"&amp;MAX(1,COUNTIFS(C_ID,C381,C_DEFINE,"Sí",C_INICIO,"&lt;="&amp;EOMONTH(B381,0))),C_CLAVE,0))&amp;"","Sin dato"))</f>
        <v/>
      </c>
      <c r="AB381" s="71" t="str">
        <f aca="false">IF(AH381="","",ROUND(MIN(K381,TOPE_AFP_UF*AJ381)*AK381,0))</f>
        <v/>
      </c>
      <c r="AC381" s="71" t="str">
        <f aca="false">IF(AH381="","",ROUND(MIN(K381,TOPE_AFC_UF*AJ381)*IF(AA381="Indefinido",AFC_EMP_INDEF,AFC_EMP_PF),0))</f>
        <v/>
      </c>
      <c r="AD381" s="71" t="str">
        <f aca="false">IF(AH381="","",ROUND(MIN(K381,TOPE_AFP_UF*AJ381)*(MUTUAL_BASICA+MUTUAL_ADIC+SANNA),0))</f>
        <v/>
      </c>
      <c r="AE381" s="71" t="str">
        <f aca="false">IF(AH381="","",P381-N(N381)+AB381+AC381+AD381)</f>
        <v/>
      </c>
      <c r="AF381" s="65"/>
      <c r="AG381" s="64"/>
      <c r="AH381" s="72" t="str">
        <f aca="false">IF(OR(B381="",C381=""),"",C381&amp;"|"&amp;(YEAR(B381)*100+MONTH(B381)))</f>
        <v/>
      </c>
      <c r="AI381" s="70" t="str">
        <f aca="false">IF(AH381="","",IF(COUNTIF(L_CLAVE,AH381)&gt;1,"⚠ Duplicado","OK"))</f>
        <v/>
      </c>
      <c r="AJ381" s="86" t="str">
        <f aca="false">IF(AH381="","",IF(SUMPRODUCT(MAX((IND_PER&lt;=B381)*(IND_UF&lt;&gt;"")*IND_PER))=0,UF_HOY,INDEX(IND_UF,MATCH(SUMPRODUCT(MAX((IND_PER&lt;=B381)*(IND_UF&lt;&gt;"")*IND_PER)),IND_PER,0))))</f>
        <v/>
      </c>
      <c r="AK381" s="87" t="str">
        <f aca="false">IF(AH381="","",IF(COUNTIF(TASA_DESDE,"&lt;="&amp;B381)=0,INDEX(TASA_EMP,1),INDEX(TASA_EMP,COUNTIF(TASA_DESDE,"&lt;="&amp;B381))))</f>
        <v/>
      </c>
    </row>
    <row r="382" customFormat="false" ht="15" hidden="false" customHeight="false" outlineLevel="0" collapsed="false">
      <c r="B382" s="78"/>
      <c r="C382" s="64"/>
      <c r="D382" s="72" t="str">
        <f aca="false">IF(C382="","",IFERROR(INDEX(T_NOMBRE,MATCH(C382,T_ID,0)),"⚠ ID no existe"))</f>
        <v/>
      </c>
      <c r="E382" s="69"/>
      <c r="F382" s="67"/>
      <c r="G382" s="67"/>
      <c r="H382" s="67"/>
      <c r="I382" s="67"/>
      <c r="J382" s="67"/>
      <c r="K382" s="85" t="str">
        <f aca="false">IF(AH382="","",N(F382)+N(G382)+N(H382)-N(I382)+N(J382))</f>
        <v/>
      </c>
      <c r="L382" s="67"/>
      <c r="M382" s="67"/>
      <c r="N382" s="67"/>
      <c r="O382" s="67"/>
      <c r="P382" s="85" t="str">
        <f aca="false">IF(AH382="","",K382+N(L382)+N(M382)+N(N382)+N(O382))</f>
        <v/>
      </c>
      <c r="Q382" s="67"/>
      <c r="R382" s="67"/>
      <c r="S382" s="67"/>
      <c r="T382" s="67"/>
      <c r="U382" s="67"/>
      <c r="V382" s="67"/>
      <c r="W382" s="85" t="str">
        <f aca="false">IF(AH382="","",N(Q382)+N(R382)+N(S382)+N(T382)+N(U382)+N(V382))</f>
        <v/>
      </c>
      <c r="X382" s="85" t="str">
        <f aca="false">IF(AH382="","",P382-W382)</f>
        <v/>
      </c>
      <c r="Y382" s="67"/>
      <c r="Z382" s="70" t="str">
        <f aca="false">IF(OR(AH382="",Y382=""),"",IF(ABS(X382-Y382)&lt;=1,"✓ Cuadra","⚠ Diferencia $"&amp;FIXED(X382-Y382,0)))</f>
        <v/>
      </c>
      <c r="AA382" s="72" t="str">
        <f aca="false">IF(AH382="","",IFERROR(INDEX(C_TIPO,MATCH(C382&amp;"-P"&amp;MAX(1,COUNTIFS(C_ID,C382,C_DEFINE,"Sí",C_INICIO,"&lt;="&amp;EOMONTH(B382,0))),C_CLAVE,0))&amp;"","Sin dato"))</f>
        <v/>
      </c>
      <c r="AB382" s="71" t="str">
        <f aca="false">IF(AH382="","",ROUND(MIN(K382,TOPE_AFP_UF*AJ382)*AK382,0))</f>
        <v/>
      </c>
      <c r="AC382" s="71" t="str">
        <f aca="false">IF(AH382="","",ROUND(MIN(K382,TOPE_AFC_UF*AJ382)*IF(AA382="Indefinido",AFC_EMP_INDEF,AFC_EMP_PF),0))</f>
        <v/>
      </c>
      <c r="AD382" s="71" t="str">
        <f aca="false">IF(AH382="","",ROUND(MIN(K382,TOPE_AFP_UF*AJ382)*(MUTUAL_BASICA+MUTUAL_ADIC+SANNA),0))</f>
        <v/>
      </c>
      <c r="AE382" s="71" t="str">
        <f aca="false">IF(AH382="","",P382-N(N382)+AB382+AC382+AD382)</f>
        <v/>
      </c>
      <c r="AF382" s="65"/>
      <c r="AG382" s="64"/>
      <c r="AH382" s="72" t="str">
        <f aca="false">IF(OR(B382="",C382=""),"",C382&amp;"|"&amp;(YEAR(B382)*100+MONTH(B382)))</f>
        <v/>
      </c>
      <c r="AI382" s="70" t="str">
        <f aca="false">IF(AH382="","",IF(COUNTIF(L_CLAVE,AH382)&gt;1,"⚠ Duplicado","OK"))</f>
        <v/>
      </c>
      <c r="AJ382" s="86" t="str">
        <f aca="false">IF(AH382="","",IF(SUMPRODUCT(MAX((IND_PER&lt;=B382)*(IND_UF&lt;&gt;"")*IND_PER))=0,UF_HOY,INDEX(IND_UF,MATCH(SUMPRODUCT(MAX((IND_PER&lt;=B382)*(IND_UF&lt;&gt;"")*IND_PER)),IND_PER,0))))</f>
        <v/>
      </c>
      <c r="AK382" s="87" t="str">
        <f aca="false">IF(AH382="","",IF(COUNTIF(TASA_DESDE,"&lt;="&amp;B382)=0,INDEX(TASA_EMP,1),INDEX(TASA_EMP,COUNTIF(TASA_DESDE,"&lt;="&amp;B382))))</f>
        <v/>
      </c>
    </row>
    <row r="383" customFormat="false" ht="15" hidden="false" customHeight="false" outlineLevel="0" collapsed="false">
      <c r="B383" s="78"/>
      <c r="C383" s="64"/>
      <c r="D383" s="72" t="str">
        <f aca="false">IF(C383="","",IFERROR(INDEX(T_NOMBRE,MATCH(C383,T_ID,0)),"⚠ ID no existe"))</f>
        <v/>
      </c>
      <c r="E383" s="69"/>
      <c r="F383" s="67"/>
      <c r="G383" s="67"/>
      <c r="H383" s="67"/>
      <c r="I383" s="67"/>
      <c r="J383" s="67"/>
      <c r="K383" s="85" t="str">
        <f aca="false">IF(AH383="","",N(F383)+N(G383)+N(H383)-N(I383)+N(J383))</f>
        <v/>
      </c>
      <c r="L383" s="67"/>
      <c r="M383" s="67"/>
      <c r="N383" s="67"/>
      <c r="O383" s="67"/>
      <c r="P383" s="85" t="str">
        <f aca="false">IF(AH383="","",K383+N(L383)+N(M383)+N(N383)+N(O383))</f>
        <v/>
      </c>
      <c r="Q383" s="67"/>
      <c r="R383" s="67"/>
      <c r="S383" s="67"/>
      <c r="T383" s="67"/>
      <c r="U383" s="67"/>
      <c r="V383" s="67"/>
      <c r="W383" s="85" t="str">
        <f aca="false">IF(AH383="","",N(Q383)+N(R383)+N(S383)+N(T383)+N(U383)+N(V383))</f>
        <v/>
      </c>
      <c r="X383" s="85" t="str">
        <f aca="false">IF(AH383="","",P383-W383)</f>
        <v/>
      </c>
      <c r="Y383" s="67"/>
      <c r="Z383" s="70" t="str">
        <f aca="false">IF(OR(AH383="",Y383=""),"",IF(ABS(X383-Y383)&lt;=1,"✓ Cuadra","⚠ Diferencia $"&amp;FIXED(X383-Y383,0)))</f>
        <v/>
      </c>
      <c r="AA383" s="72" t="str">
        <f aca="false">IF(AH383="","",IFERROR(INDEX(C_TIPO,MATCH(C383&amp;"-P"&amp;MAX(1,COUNTIFS(C_ID,C383,C_DEFINE,"Sí",C_INICIO,"&lt;="&amp;EOMONTH(B383,0))),C_CLAVE,0))&amp;"","Sin dato"))</f>
        <v/>
      </c>
      <c r="AB383" s="71" t="str">
        <f aca="false">IF(AH383="","",ROUND(MIN(K383,TOPE_AFP_UF*AJ383)*AK383,0))</f>
        <v/>
      </c>
      <c r="AC383" s="71" t="str">
        <f aca="false">IF(AH383="","",ROUND(MIN(K383,TOPE_AFC_UF*AJ383)*IF(AA383="Indefinido",AFC_EMP_INDEF,AFC_EMP_PF),0))</f>
        <v/>
      </c>
      <c r="AD383" s="71" t="str">
        <f aca="false">IF(AH383="","",ROUND(MIN(K383,TOPE_AFP_UF*AJ383)*(MUTUAL_BASICA+MUTUAL_ADIC+SANNA),0))</f>
        <v/>
      </c>
      <c r="AE383" s="71" t="str">
        <f aca="false">IF(AH383="","",P383-N(N383)+AB383+AC383+AD383)</f>
        <v/>
      </c>
      <c r="AF383" s="65"/>
      <c r="AG383" s="64"/>
      <c r="AH383" s="72" t="str">
        <f aca="false">IF(OR(B383="",C383=""),"",C383&amp;"|"&amp;(YEAR(B383)*100+MONTH(B383)))</f>
        <v/>
      </c>
      <c r="AI383" s="70" t="str">
        <f aca="false">IF(AH383="","",IF(COUNTIF(L_CLAVE,AH383)&gt;1,"⚠ Duplicado","OK"))</f>
        <v/>
      </c>
      <c r="AJ383" s="86" t="str">
        <f aca="false">IF(AH383="","",IF(SUMPRODUCT(MAX((IND_PER&lt;=B383)*(IND_UF&lt;&gt;"")*IND_PER))=0,UF_HOY,INDEX(IND_UF,MATCH(SUMPRODUCT(MAX((IND_PER&lt;=B383)*(IND_UF&lt;&gt;"")*IND_PER)),IND_PER,0))))</f>
        <v/>
      </c>
      <c r="AK383" s="87" t="str">
        <f aca="false">IF(AH383="","",IF(COUNTIF(TASA_DESDE,"&lt;="&amp;B383)=0,INDEX(TASA_EMP,1),INDEX(TASA_EMP,COUNTIF(TASA_DESDE,"&lt;="&amp;B383))))</f>
        <v/>
      </c>
    </row>
    <row r="384" customFormat="false" ht="15" hidden="false" customHeight="false" outlineLevel="0" collapsed="false">
      <c r="B384" s="78"/>
      <c r="C384" s="64"/>
      <c r="D384" s="72" t="str">
        <f aca="false">IF(C384="","",IFERROR(INDEX(T_NOMBRE,MATCH(C384,T_ID,0)),"⚠ ID no existe"))</f>
        <v/>
      </c>
      <c r="E384" s="69"/>
      <c r="F384" s="67"/>
      <c r="G384" s="67"/>
      <c r="H384" s="67"/>
      <c r="I384" s="67"/>
      <c r="J384" s="67"/>
      <c r="K384" s="85" t="str">
        <f aca="false">IF(AH384="","",N(F384)+N(G384)+N(H384)-N(I384)+N(J384))</f>
        <v/>
      </c>
      <c r="L384" s="67"/>
      <c r="M384" s="67"/>
      <c r="N384" s="67"/>
      <c r="O384" s="67"/>
      <c r="P384" s="85" t="str">
        <f aca="false">IF(AH384="","",K384+N(L384)+N(M384)+N(N384)+N(O384))</f>
        <v/>
      </c>
      <c r="Q384" s="67"/>
      <c r="R384" s="67"/>
      <c r="S384" s="67"/>
      <c r="T384" s="67"/>
      <c r="U384" s="67"/>
      <c r="V384" s="67"/>
      <c r="W384" s="85" t="str">
        <f aca="false">IF(AH384="","",N(Q384)+N(R384)+N(S384)+N(T384)+N(U384)+N(V384))</f>
        <v/>
      </c>
      <c r="X384" s="85" t="str">
        <f aca="false">IF(AH384="","",P384-W384)</f>
        <v/>
      </c>
      <c r="Y384" s="67"/>
      <c r="Z384" s="70" t="str">
        <f aca="false">IF(OR(AH384="",Y384=""),"",IF(ABS(X384-Y384)&lt;=1,"✓ Cuadra","⚠ Diferencia $"&amp;FIXED(X384-Y384,0)))</f>
        <v/>
      </c>
      <c r="AA384" s="72" t="str">
        <f aca="false">IF(AH384="","",IFERROR(INDEX(C_TIPO,MATCH(C384&amp;"-P"&amp;MAX(1,COUNTIFS(C_ID,C384,C_DEFINE,"Sí",C_INICIO,"&lt;="&amp;EOMONTH(B384,0))),C_CLAVE,0))&amp;"","Sin dato"))</f>
        <v/>
      </c>
      <c r="AB384" s="71" t="str">
        <f aca="false">IF(AH384="","",ROUND(MIN(K384,TOPE_AFP_UF*AJ384)*AK384,0))</f>
        <v/>
      </c>
      <c r="AC384" s="71" t="str">
        <f aca="false">IF(AH384="","",ROUND(MIN(K384,TOPE_AFC_UF*AJ384)*IF(AA384="Indefinido",AFC_EMP_INDEF,AFC_EMP_PF),0))</f>
        <v/>
      </c>
      <c r="AD384" s="71" t="str">
        <f aca="false">IF(AH384="","",ROUND(MIN(K384,TOPE_AFP_UF*AJ384)*(MUTUAL_BASICA+MUTUAL_ADIC+SANNA),0))</f>
        <v/>
      </c>
      <c r="AE384" s="71" t="str">
        <f aca="false">IF(AH384="","",P384-N(N384)+AB384+AC384+AD384)</f>
        <v/>
      </c>
      <c r="AF384" s="65"/>
      <c r="AG384" s="64"/>
      <c r="AH384" s="72" t="str">
        <f aca="false">IF(OR(B384="",C384=""),"",C384&amp;"|"&amp;(YEAR(B384)*100+MONTH(B384)))</f>
        <v/>
      </c>
      <c r="AI384" s="70" t="str">
        <f aca="false">IF(AH384="","",IF(COUNTIF(L_CLAVE,AH384)&gt;1,"⚠ Duplicado","OK"))</f>
        <v/>
      </c>
      <c r="AJ384" s="86" t="str">
        <f aca="false">IF(AH384="","",IF(SUMPRODUCT(MAX((IND_PER&lt;=B384)*(IND_UF&lt;&gt;"")*IND_PER))=0,UF_HOY,INDEX(IND_UF,MATCH(SUMPRODUCT(MAX((IND_PER&lt;=B384)*(IND_UF&lt;&gt;"")*IND_PER)),IND_PER,0))))</f>
        <v/>
      </c>
      <c r="AK384" s="87" t="str">
        <f aca="false">IF(AH384="","",IF(COUNTIF(TASA_DESDE,"&lt;="&amp;B384)=0,INDEX(TASA_EMP,1),INDEX(TASA_EMP,COUNTIF(TASA_DESDE,"&lt;="&amp;B384))))</f>
        <v/>
      </c>
    </row>
    <row r="385" customFormat="false" ht="15" hidden="false" customHeight="false" outlineLevel="0" collapsed="false">
      <c r="B385" s="78"/>
      <c r="C385" s="64"/>
      <c r="D385" s="72" t="str">
        <f aca="false">IF(C385="","",IFERROR(INDEX(T_NOMBRE,MATCH(C385,T_ID,0)),"⚠ ID no existe"))</f>
        <v/>
      </c>
      <c r="E385" s="69"/>
      <c r="F385" s="67"/>
      <c r="G385" s="67"/>
      <c r="H385" s="67"/>
      <c r="I385" s="67"/>
      <c r="J385" s="67"/>
      <c r="K385" s="85" t="str">
        <f aca="false">IF(AH385="","",N(F385)+N(G385)+N(H385)-N(I385)+N(J385))</f>
        <v/>
      </c>
      <c r="L385" s="67"/>
      <c r="M385" s="67"/>
      <c r="N385" s="67"/>
      <c r="O385" s="67"/>
      <c r="P385" s="85" t="str">
        <f aca="false">IF(AH385="","",K385+N(L385)+N(M385)+N(N385)+N(O385))</f>
        <v/>
      </c>
      <c r="Q385" s="67"/>
      <c r="R385" s="67"/>
      <c r="S385" s="67"/>
      <c r="T385" s="67"/>
      <c r="U385" s="67"/>
      <c r="V385" s="67"/>
      <c r="W385" s="85" t="str">
        <f aca="false">IF(AH385="","",N(Q385)+N(R385)+N(S385)+N(T385)+N(U385)+N(V385))</f>
        <v/>
      </c>
      <c r="X385" s="85" t="str">
        <f aca="false">IF(AH385="","",P385-W385)</f>
        <v/>
      </c>
      <c r="Y385" s="67"/>
      <c r="Z385" s="70" t="str">
        <f aca="false">IF(OR(AH385="",Y385=""),"",IF(ABS(X385-Y385)&lt;=1,"✓ Cuadra","⚠ Diferencia $"&amp;FIXED(X385-Y385,0)))</f>
        <v/>
      </c>
      <c r="AA385" s="72" t="str">
        <f aca="false">IF(AH385="","",IFERROR(INDEX(C_TIPO,MATCH(C385&amp;"-P"&amp;MAX(1,COUNTIFS(C_ID,C385,C_DEFINE,"Sí",C_INICIO,"&lt;="&amp;EOMONTH(B385,0))),C_CLAVE,0))&amp;"","Sin dato"))</f>
        <v/>
      </c>
      <c r="AB385" s="71" t="str">
        <f aca="false">IF(AH385="","",ROUND(MIN(K385,TOPE_AFP_UF*AJ385)*AK385,0))</f>
        <v/>
      </c>
      <c r="AC385" s="71" t="str">
        <f aca="false">IF(AH385="","",ROUND(MIN(K385,TOPE_AFC_UF*AJ385)*IF(AA385="Indefinido",AFC_EMP_INDEF,AFC_EMP_PF),0))</f>
        <v/>
      </c>
      <c r="AD385" s="71" t="str">
        <f aca="false">IF(AH385="","",ROUND(MIN(K385,TOPE_AFP_UF*AJ385)*(MUTUAL_BASICA+MUTUAL_ADIC+SANNA),0))</f>
        <v/>
      </c>
      <c r="AE385" s="71" t="str">
        <f aca="false">IF(AH385="","",P385-N(N385)+AB385+AC385+AD385)</f>
        <v/>
      </c>
      <c r="AF385" s="65"/>
      <c r="AG385" s="64"/>
      <c r="AH385" s="72" t="str">
        <f aca="false">IF(OR(B385="",C385=""),"",C385&amp;"|"&amp;(YEAR(B385)*100+MONTH(B385)))</f>
        <v/>
      </c>
      <c r="AI385" s="70" t="str">
        <f aca="false">IF(AH385="","",IF(COUNTIF(L_CLAVE,AH385)&gt;1,"⚠ Duplicado","OK"))</f>
        <v/>
      </c>
      <c r="AJ385" s="86" t="str">
        <f aca="false">IF(AH385="","",IF(SUMPRODUCT(MAX((IND_PER&lt;=B385)*(IND_UF&lt;&gt;"")*IND_PER))=0,UF_HOY,INDEX(IND_UF,MATCH(SUMPRODUCT(MAX((IND_PER&lt;=B385)*(IND_UF&lt;&gt;"")*IND_PER)),IND_PER,0))))</f>
        <v/>
      </c>
      <c r="AK385" s="87" t="str">
        <f aca="false">IF(AH385="","",IF(COUNTIF(TASA_DESDE,"&lt;="&amp;B385)=0,INDEX(TASA_EMP,1),INDEX(TASA_EMP,COUNTIF(TASA_DESDE,"&lt;="&amp;B385))))</f>
        <v/>
      </c>
    </row>
    <row r="386" customFormat="false" ht="15" hidden="false" customHeight="false" outlineLevel="0" collapsed="false">
      <c r="B386" s="78"/>
      <c r="C386" s="64"/>
      <c r="D386" s="72" t="str">
        <f aca="false">IF(C386="","",IFERROR(INDEX(T_NOMBRE,MATCH(C386,T_ID,0)),"⚠ ID no existe"))</f>
        <v/>
      </c>
      <c r="E386" s="69"/>
      <c r="F386" s="67"/>
      <c r="G386" s="67"/>
      <c r="H386" s="67"/>
      <c r="I386" s="67"/>
      <c r="J386" s="67"/>
      <c r="K386" s="85" t="str">
        <f aca="false">IF(AH386="","",N(F386)+N(G386)+N(H386)-N(I386)+N(J386))</f>
        <v/>
      </c>
      <c r="L386" s="67"/>
      <c r="M386" s="67"/>
      <c r="N386" s="67"/>
      <c r="O386" s="67"/>
      <c r="P386" s="85" t="str">
        <f aca="false">IF(AH386="","",K386+N(L386)+N(M386)+N(N386)+N(O386))</f>
        <v/>
      </c>
      <c r="Q386" s="67"/>
      <c r="R386" s="67"/>
      <c r="S386" s="67"/>
      <c r="T386" s="67"/>
      <c r="U386" s="67"/>
      <c r="V386" s="67"/>
      <c r="W386" s="85" t="str">
        <f aca="false">IF(AH386="","",N(Q386)+N(R386)+N(S386)+N(T386)+N(U386)+N(V386))</f>
        <v/>
      </c>
      <c r="X386" s="85" t="str">
        <f aca="false">IF(AH386="","",P386-W386)</f>
        <v/>
      </c>
      <c r="Y386" s="67"/>
      <c r="Z386" s="70" t="str">
        <f aca="false">IF(OR(AH386="",Y386=""),"",IF(ABS(X386-Y386)&lt;=1,"✓ Cuadra","⚠ Diferencia $"&amp;FIXED(X386-Y386,0)))</f>
        <v/>
      </c>
      <c r="AA386" s="72" t="str">
        <f aca="false">IF(AH386="","",IFERROR(INDEX(C_TIPO,MATCH(C386&amp;"-P"&amp;MAX(1,COUNTIFS(C_ID,C386,C_DEFINE,"Sí",C_INICIO,"&lt;="&amp;EOMONTH(B386,0))),C_CLAVE,0))&amp;"","Sin dato"))</f>
        <v/>
      </c>
      <c r="AB386" s="71" t="str">
        <f aca="false">IF(AH386="","",ROUND(MIN(K386,TOPE_AFP_UF*AJ386)*AK386,0))</f>
        <v/>
      </c>
      <c r="AC386" s="71" t="str">
        <f aca="false">IF(AH386="","",ROUND(MIN(K386,TOPE_AFC_UF*AJ386)*IF(AA386="Indefinido",AFC_EMP_INDEF,AFC_EMP_PF),0))</f>
        <v/>
      </c>
      <c r="AD386" s="71" t="str">
        <f aca="false">IF(AH386="","",ROUND(MIN(K386,TOPE_AFP_UF*AJ386)*(MUTUAL_BASICA+MUTUAL_ADIC+SANNA),0))</f>
        <v/>
      </c>
      <c r="AE386" s="71" t="str">
        <f aca="false">IF(AH386="","",P386-N(N386)+AB386+AC386+AD386)</f>
        <v/>
      </c>
      <c r="AF386" s="65"/>
      <c r="AG386" s="64"/>
      <c r="AH386" s="72" t="str">
        <f aca="false">IF(OR(B386="",C386=""),"",C386&amp;"|"&amp;(YEAR(B386)*100+MONTH(B386)))</f>
        <v/>
      </c>
      <c r="AI386" s="70" t="str">
        <f aca="false">IF(AH386="","",IF(COUNTIF(L_CLAVE,AH386)&gt;1,"⚠ Duplicado","OK"))</f>
        <v/>
      </c>
      <c r="AJ386" s="86" t="str">
        <f aca="false">IF(AH386="","",IF(SUMPRODUCT(MAX((IND_PER&lt;=B386)*(IND_UF&lt;&gt;"")*IND_PER))=0,UF_HOY,INDEX(IND_UF,MATCH(SUMPRODUCT(MAX((IND_PER&lt;=B386)*(IND_UF&lt;&gt;"")*IND_PER)),IND_PER,0))))</f>
        <v/>
      </c>
      <c r="AK386" s="87" t="str">
        <f aca="false">IF(AH386="","",IF(COUNTIF(TASA_DESDE,"&lt;="&amp;B386)=0,INDEX(TASA_EMP,1),INDEX(TASA_EMP,COUNTIF(TASA_DESDE,"&lt;="&amp;B386))))</f>
        <v/>
      </c>
    </row>
    <row r="387" customFormat="false" ht="15" hidden="false" customHeight="false" outlineLevel="0" collapsed="false">
      <c r="B387" s="78"/>
      <c r="C387" s="64"/>
      <c r="D387" s="72" t="str">
        <f aca="false">IF(C387="","",IFERROR(INDEX(T_NOMBRE,MATCH(C387,T_ID,0)),"⚠ ID no existe"))</f>
        <v/>
      </c>
      <c r="E387" s="69"/>
      <c r="F387" s="67"/>
      <c r="G387" s="67"/>
      <c r="H387" s="67"/>
      <c r="I387" s="67"/>
      <c r="J387" s="67"/>
      <c r="K387" s="85" t="str">
        <f aca="false">IF(AH387="","",N(F387)+N(G387)+N(H387)-N(I387)+N(J387))</f>
        <v/>
      </c>
      <c r="L387" s="67"/>
      <c r="M387" s="67"/>
      <c r="N387" s="67"/>
      <c r="O387" s="67"/>
      <c r="P387" s="85" t="str">
        <f aca="false">IF(AH387="","",K387+N(L387)+N(M387)+N(N387)+N(O387))</f>
        <v/>
      </c>
      <c r="Q387" s="67"/>
      <c r="R387" s="67"/>
      <c r="S387" s="67"/>
      <c r="T387" s="67"/>
      <c r="U387" s="67"/>
      <c r="V387" s="67"/>
      <c r="W387" s="85" t="str">
        <f aca="false">IF(AH387="","",N(Q387)+N(R387)+N(S387)+N(T387)+N(U387)+N(V387))</f>
        <v/>
      </c>
      <c r="X387" s="85" t="str">
        <f aca="false">IF(AH387="","",P387-W387)</f>
        <v/>
      </c>
      <c r="Y387" s="67"/>
      <c r="Z387" s="70" t="str">
        <f aca="false">IF(OR(AH387="",Y387=""),"",IF(ABS(X387-Y387)&lt;=1,"✓ Cuadra","⚠ Diferencia $"&amp;FIXED(X387-Y387,0)))</f>
        <v/>
      </c>
      <c r="AA387" s="72" t="str">
        <f aca="false">IF(AH387="","",IFERROR(INDEX(C_TIPO,MATCH(C387&amp;"-P"&amp;MAX(1,COUNTIFS(C_ID,C387,C_DEFINE,"Sí",C_INICIO,"&lt;="&amp;EOMONTH(B387,0))),C_CLAVE,0))&amp;"","Sin dato"))</f>
        <v/>
      </c>
      <c r="AB387" s="71" t="str">
        <f aca="false">IF(AH387="","",ROUND(MIN(K387,TOPE_AFP_UF*AJ387)*AK387,0))</f>
        <v/>
      </c>
      <c r="AC387" s="71" t="str">
        <f aca="false">IF(AH387="","",ROUND(MIN(K387,TOPE_AFC_UF*AJ387)*IF(AA387="Indefinido",AFC_EMP_INDEF,AFC_EMP_PF),0))</f>
        <v/>
      </c>
      <c r="AD387" s="71" t="str">
        <f aca="false">IF(AH387="","",ROUND(MIN(K387,TOPE_AFP_UF*AJ387)*(MUTUAL_BASICA+MUTUAL_ADIC+SANNA),0))</f>
        <v/>
      </c>
      <c r="AE387" s="71" t="str">
        <f aca="false">IF(AH387="","",P387-N(N387)+AB387+AC387+AD387)</f>
        <v/>
      </c>
      <c r="AF387" s="65"/>
      <c r="AG387" s="64"/>
      <c r="AH387" s="72" t="str">
        <f aca="false">IF(OR(B387="",C387=""),"",C387&amp;"|"&amp;(YEAR(B387)*100+MONTH(B387)))</f>
        <v/>
      </c>
      <c r="AI387" s="70" t="str">
        <f aca="false">IF(AH387="","",IF(COUNTIF(L_CLAVE,AH387)&gt;1,"⚠ Duplicado","OK"))</f>
        <v/>
      </c>
      <c r="AJ387" s="86" t="str">
        <f aca="false">IF(AH387="","",IF(SUMPRODUCT(MAX((IND_PER&lt;=B387)*(IND_UF&lt;&gt;"")*IND_PER))=0,UF_HOY,INDEX(IND_UF,MATCH(SUMPRODUCT(MAX((IND_PER&lt;=B387)*(IND_UF&lt;&gt;"")*IND_PER)),IND_PER,0))))</f>
        <v/>
      </c>
      <c r="AK387" s="87" t="str">
        <f aca="false">IF(AH387="","",IF(COUNTIF(TASA_DESDE,"&lt;="&amp;B387)=0,INDEX(TASA_EMP,1),INDEX(TASA_EMP,COUNTIF(TASA_DESDE,"&lt;="&amp;B387))))</f>
        <v/>
      </c>
    </row>
    <row r="388" customFormat="false" ht="15" hidden="false" customHeight="false" outlineLevel="0" collapsed="false">
      <c r="B388" s="78"/>
      <c r="C388" s="64"/>
      <c r="D388" s="72" t="str">
        <f aca="false">IF(C388="","",IFERROR(INDEX(T_NOMBRE,MATCH(C388,T_ID,0)),"⚠ ID no existe"))</f>
        <v/>
      </c>
      <c r="E388" s="69"/>
      <c r="F388" s="67"/>
      <c r="G388" s="67"/>
      <c r="H388" s="67"/>
      <c r="I388" s="67"/>
      <c r="J388" s="67"/>
      <c r="K388" s="85" t="str">
        <f aca="false">IF(AH388="","",N(F388)+N(G388)+N(H388)-N(I388)+N(J388))</f>
        <v/>
      </c>
      <c r="L388" s="67"/>
      <c r="M388" s="67"/>
      <c r="N388" s="67"/>
      <c r="O388" s="67"/>
      <c r="P388" s="85" t="str">
        <f aca="false">IF(AH388="","",K388+N(L388)+N(M388)+N(N388)+N(O388))</f>
        <v/>
      </c>
      <c r="Q388" s="67"/>
      <c r="R388" s="67"/>
      <c r="S388" s="67"/>
      <c r="T388" s="67"/>
      <c r="U388" s="67"/>
      <c r="V388" s="67"/>
      <c r="W388" s="85" t="str">
        <f aca="false">IF(AH388="","",N(Q388)+N(R388)+N(S388)+N(T388)+N(U388)+N(V388))</f>
        <v/>
      </c>
      <c r="X388" s="85" t="str">
        <f aca="false">IF(AH388="","",P388-W388)</f>
        <v/>
      </c>
      <c r="Y388" s="67"/>
      <c r="Z388" s="70" t="str">
        <f aca="false">IF(OR(AH388="",Y388=""),"",IF(ABS(X388-Y388)&lt;=1,"✓ Cuadra","⚠ Diferencia $"&amp;FIXED(X388-Y388,0)))</f>
        <v/>
      </c>
      <c r="AA388" s="72" t="str">
        <f aca="false">IF(AH388="","",IFERROR(INDEX(C_TIPO,MATCH(C388&amp;"-P"&amp;MAX(1,COUNTIFS(C_ID,C388,C_DEFINE,"Sí",C_INICIO,"&lt;="&amp;EOMONTH(B388,0))),C_CLAVE,0))&amp;"","Sin dato"))</f>
        <v/>
      </c>
      <c r="AB388" s="71" t="str">
        <f aca="false">IF(AH388="","",ROUND(MIN(K388,TOPE_AFP_UF*AJ388)*AK388,0))</f>
        <v/>
      </c>
      <c r="AC388" s="71" t="str">
        <f aca="false">IF(AH388="","",ROUND(MIN(K388,TOPE_AFC_UF*AJ388)*IF(AA388="Indefinido",AFC_EMP_INDEF,AFC_EMP_PF),0))</f>
        <v/>
      </c>
      <c r="AD388" s="71" t="str">
        <f aca="false">IF(AH388="","",ROUND(MIN(K388,TOPE_AFP_UF*AJ388)*(MUTUAL_BASICA+MUTUAL_ADIC+SANNA),0))</f>
        <v/>
      </c>
      <c r="AE388" s="71" t="str">
        <f aca="false">IF(AH388="","",P388-N(N388)+AB388+AC388+AD388)</f>
        <v/>
      </c>
      <c r="AF388" s="65"/>
      <c r="AG388" s="64"/>
      <c r="AH388" s="72" t="str">
        <f aca="false">IF(OR(B388="",C388=""),"",C388&amp;"|"&amp;(YEAR(B388)*100+MONTH(B388)))</f>
        <v/>
      </c>
      <c r="AI388" s="70" t="str">
        <f aca="false">IF(AH388="","",IF(COUNTIF(L_CLAVE,AH388)&gt;1,"⚠ Duplicado","OK"))</f>
        <v/>
      </c>
      <c r="AJ388" s="86" t="str">
        <f aca="false">IF(AH388="","",IF(SUMPRODUCT(MAX((IND_PER&lt;=B388)*(IND_UF&lt;&gt;"")*IND_PER))=0,UF_HOY,INDEX(IND_UF,MATCH(SUMPRODUCT(MAX((IND_PER&lt;=B388)*(IND_UF&lt;&gt;"")*IND_PER)),IND_PER,0))))</f>
        <v/>
      </c>
      <c r="AK388" s="87" t="str">
        <f aca="false">IF(AH388="","",IF(COUNTIF(TASA_DESDE,"&lt;="&amp;B388)=0,INDEX(TASA_EMP,1),INDEX(TASA_EMP,COUNTIF(TASA_DESDE,"&lt;="&amp;B388))))</f>
        <v/>
      </c>
    </row>
    <row r="389" customFormat="false" ht="15" hidden="false" customHeight="false" outlineLevel="0" collapsed="false">
      <c r="B389" s="78"/>
      <c r="C389" s="64"/>
      <c r="D389" s="72" t="str">
        <f aca="false">IF(C389="","",IFERROR(INDEX(T_NOMBRE,MATCH(C389,T_ID,0)),"⚠ ID no existe"))</f>
        <v/>
      </c>
      <c r="E389" s="69"/>
      <c r="F389" s="67"/>
      <c r="G389" s="67"/>
      <c r="H389" s="67"/>
      <c r="I389" s="67"/>
      <c r="J389" s="67"/>
      <c r="K389" s="85" t="str">
        <f aca="false">IF(AH389="","",N(F389)+N(G389)+N(H389)-N(I389)+N(J389))</f>
        <v/>
      </c>
      <c r="L389" s="67"/>
      <c r="M389" s="67"/>
      <c r="N389" s="67"/>
      <c r="O389" s="67"/>
      <c r="P389" s="85" t="str">
        <f aca="false">IF(AH389="","",K389+N(L389)+N(M389)+N(N389)+N(O389))</f>
        <v/>
      </c>
      <c r="Q389" s="67"/>
      <c r="R389" s="67"/>
      <c r="S389" s="67"/>
      <c r="T389" s="67"/>
      <c r="U389" s="67"/>
      <c r="V389" s="67"/>
      <c r="W389" s="85" t="str">
        <f aca="false">IF(AH389="","",N(Q389)+N(R389)+N(S389)+N(T389)+N(U389)+N(V389))</f>
        <v/>
      </c>
      <c r="X389" s="85" t="str">
        <f aca="false">IF(AH389="","",P389-W389)</f>
        <v/>
      </c>
      <c r="Y389" s="67"/>
      <c r="Z389" s="70" t="str">
        <f aca="false">IF(OR(AH389="",Y389=""),"",IF(ABS(X389-Y389)&lt;=1,"✓ Cuadra","⚠ Diferencia $"&amp;FIXED(X389-Y389,0)))</f>
        <v/>
      </c>
      <c r="AA389" s="72" t="str">
        <f aca="false">IF(AH389="","",IFERROR(INDEX(C_TIPO,MATCH(C389&amp;"-P"&amp;MAX(1,COUNTIFS(C_ID,C389,C_DEFINE,"Sí",C_INICIO,"&lt;="&amp;EOMONTH(B389,0))),C_CLAVE,0))&amp;"","Sin dato"))</f>
        <v/>
      </c>
      <c r="AB389" s="71" t="str">
        <f aca="false">IF(AH389="","",ROUND(MIN(K389,TOPE_AFP_UF*AJ389)*AK389,0))</f>
        <v/>
      </c>
      <c r="AC389" s="71" t="str">
        <f aca="false">IF(AH389="","",ROUND(MIN(K389,TOPE_AFC_UF*AJ389)*IF(AA389="Indefinido",AFC_EMP_INDEF,AFC_EMP_PF),0))</f>
        <v/>
      </c>
      <c r="AD389" s="71" t="str">
        <f aca="false">IF(AH389="","",ROUND(MIN(K389,TOPE_AFP_UF*AJ389)*(MUTUAL_BASICA+MUTUAL_ADIC+SANNA),0))</f>
        <v/>
      </c>
      <c r="AE389" s="71" t="str">
        <f aca="false">IF(AH389="","",P389-N(N389)+AB389+AC389+AD389)</f>
        <v/>
      </c>
      <c r="AF389" s="65"/>
      <c r="AG389" s="64"/>
      <c r="AH389" s="72" t="str">
        <f aca="false">IF(OR(B389="",C389=""),"",C389&amp;"|"&amp;(YEAR(B389)*100+MONTH(B389)))</f>
        <v/>
      </c>
      <c r="AI389" s="70" t="str">
        <f aca="false">IF(AH389="","",IF(COUNTIF(L_CLAVE,AH389)&gt;1,"⚠ Duplicado","OK"))</f>
        <v/>
      </c>
      <c r="AJ389" s="86" t="str">
        <f aca="false">IF(AH389="","",IF(SUMPRODUCT(MAX((IND_PER&lt;=B389)*(IND_UF&lt;&gt;"")*IND_PER))=0,UF_HOY,INDEX(IND_UF,MATCH(SUMPRODUCT(MAX((IND_PER&lt;=B389)*(IND_UF&lt;&gt;"")*IND_PER)),IND_PER,0))))</f>
        <v/>
      </c>
      <c r="AK389" s="87" t="str">
        <f aca="false">IF(AH389="","",IF(COUNTIF(TASA_DESDE,"&lt;="&amp;B389)=0,INDEX(TASA_EMP,1),INDEX(TASA_EMP,COUNTIF(TASA_DESDE,"&lt;="&amp;B389))))</f>
        <v/>
      </c>
    </row>
    <row r="390" customFormat="false" ht="15" hidden="false" customHeight="false" outlineLevel="0" collapsed="false">
      <c r="B390" s="78"/>
      <c r="C390" s="64"/>
      <c r="D390" s="72" t="str">
        <f aca="false">IF(C390="","",IFERROR(INDEX(T_NOMBRE,MATCH(C390,T_ID,0)),"⚠ ID no existe"))</f>
        <v/>
      </c>
      <c r="E390" s="69"/>
      <c r="F390" s="67"/>
      <c r="G390" s="67"/>
      <c r="H390" s="67"/>
      <c r="I390" s="67"/>
      <c r="J390" s="67"/>
      <c r="K390" s="85" t="str">
        <f aca="false">IF(AH390="","",N(F390)+N(G390)+N(H390)-N(I390)+N(J390))</f>
        <v/>
      </c>
      <c r="L390" s="67"/>
      <c r="M390" s="67"/>
      <c r="N390" s="67"/>
      <c r="O390" s="67"/>
      <c r="P390" s="85" t="str">
        <f aca="false">IF(AH390="","",K390+N(L390)+N(M390)+N(N390)+N(O390))</f>
        <v/>
      </c>
      <c r="Q390" s="67"/>
      <c r="R390" s="67"/>
      <c r="S390" s="67"/>
      <c r="T390" s="67"/>
      <c r="U390" s="67"/>
      <c r="V390" s="67"/>
      <c r="W390" s="85" t="str">
        <f aca="false">IF(AH390="","",N(Q390)+N(R390)+N(S390)+N(T390)+N(U390)+N(V390))</f>
        <v/>
      </c>
      <c r="X390" s="85" t="str">
        <f aca="false">IF(AH390="","",P390-W390)</f>
        <v/>
      </c>
      <c r="Y390" s="67"/>
      <c r="Z390" s="70" t="str">
        <f aca="false">IF(OR(AH390="",Y390=""),"",IF(ABS(X390-Y390)&lt;=1,"✓ Cuadra","⚠ Diferencia $"&amp;FIXED(X390-Y390,0)))</f>
        <v/>
      </c>
      <c r="AA390" s="72" t="str">
        <f aca="false">IF(AH390="","",IFERROR(INDEX(C_TIPO,MATCH(C390&amp;"-P"&amp;MAX(1,COUNTIFS(C_ID,C390,C_DEFINE,"Sí",C_INICIO,"&lt;="&amp;EOMONTH(B390,0))),C_CLAVE,0))&amp;"","Sin dato"))</f>
        <v/>
      </c>
      <c r="AB390" s="71" t="str">
        <f aca="false">IF(AH390="","",ROUND(MIN(K390,TOPE_AFP_UF*AJ390)*AK390,0))</f>
        <v/>
      </c>
      <c r="AC390" s="71" t="str">
        <f aca="false">IF(AH390="","",ROUND(MIN(K390,TOPE_AFC_UF*AJ390)*IF(AA390="Indefinido",AFC_EMP_INDEF,AFC_EMP_PF),0))</f>
        <v/>
      </c>
      <c r="AD390" s="71" t="str">
        <f aca="false">IF(AH390="","",ROUND(MIN(K390,TOPE_AFP_UF*AJ390)*(MUTUAL_BASICA+MUTUAL_ADIC+SANNA),0))</f>
        <v/>
      </c>
      <c r="AE390" s="71" t="str">
        <f aca="false">IF(AH390="","",P390-N(N390)+AB390+AC390+AD390)</f>
        <v/>
      </c>
      <c r="AF390" s="65"/>
      <c r="AG390" s="64"/>
      <c r="AH390" s="72" t="str">
        <f aca="false">IF(OR(B390="",C390=""),"",C390&amp;"|"&amp;(YEAR(B390)*100+MONTH(B390)))</f>
        <v/>
      </c>
      <c r="AI390" s="70" t="str">
        <f aca="false">IF(AH390="","",IF(COUNTIF(L_CLAVE,AH390)&gt;1,"⚠ Duplicado","OK"))</f>
        <v/>
      </c>
      <c r="AJ390" s="86" t="str">
        <f aca="false">IF(AH390="","",IF(SUMPRODUCT(MAX((IND_PER&lt;=B390)*(IND_UF&lt;&gt;"")*IND_PER))=0,UF_HOY,INDEX(IND_UF,MATCH(SUMPRODUCT(MAX((IND_PER&lt;=B390)*(IND_UF&lt;&gt;"")*IND_PER)),IND_PER,0))))</f>
        <v/>
      </c>
      <c r="AK390" s="87" t="str">
        <f aca="false">IF(AH390="","",IF(COUNTIF(TASA_DESDE,"&lt;="&amp;B390)=0,INDEX(TASA_EMP,1),INDEX(TASA_EMP,COUNTIF(TASA_DESDE,"&lt;="&amp;B390))))</f>
        <v/>
      </c>
    </row>
    <row r="391" customFormat="false" ht="15" hidden="false" customHeight="false" outlineLevel="0" collapsed="false">
      <c r="B391" s="78"/>
      <c r="C391" s="64"/>
      <c r="D391" s="72" t="str">
        <f aca="false">IF(C391="","",IFERROR(INDEX(T_NOMBRE,MATCH(C391,T_ID,0)),"⚠ ID no existe"))</f>
        <v/>
      </c>
      <c r="E391" s="69"/>
      <c r="F391" s="67"/>
      <c r="G391" s="67"/>
      <c r="H391" s="67"/>
      <c r="I391" s="67"/>
      <c r="J391" s="67"/>
      <c r="K391" s="85" t="str">
        <f aca="false">IF(AH391="","",N(F391)+N(G391)+N(H391)-N(I391)+N(J391))</f>
        <v/>
      </c>
      <c r="L391" s="67"/>
      <c r="M391" s="67"/>
      <c r="N391" s="67"/>
      <c r="O391" s="67"/>
      <c r="P391" s="85" t="str">
        <f aca="false">IF(AH391="","",K391+N(L391)+N(M391)+N(N391)+N(O391))</f>
        <v/>
      </c>
      <c r="Q391" s="67"/>
      <c r="R391" s="67"/>
      <c r="S391" s="67"/>
      <c r="T391" s="67"/>
      <c r="U391" s="67"/>
      <c r="V391" s="67"/>
      <c r="W391" s="85" t="str">
        <f aca="false">IF(AH391="","",N(Q391)+N(R391)+N(S391)+N(T391)+N(U391)+N(V391))</f>
        <v/>
      </c>
      <c r="X391" s="85" t="str">
        <f aca="false">IF(AH391="","",P391-W391)</f>
        <v/>
      </c>
      <c r="Y391" s="67"/>
      <c r="Z391" s="70" t="str">
        <f aca="false">IF(OR(AH391="",Y391=""),"",IF(ABS(X391-Y391)&lt;=1,"✓ Cuadra","⚠ Diferencia $"&amp;FIXED(X391-Y391,0)))</f>
        <v/>
      </c>
      <c r="AA391" s="72" t="str">
        <f aca="false">IF(AH391="","",IFERROR(INDEX(C_TIPO,MATCH(C391&amp;"-P"&amp;MAX(1,COUNTIFS(C_ID,C391,C_DEFINE,"Sí",C_INICIO,"&lt;="&amp;EOMONTH(B391,0))),C_CLAVE,0))&amp;"","Sin dato"))</f>
        <v/>
      </c>
      <c r="AB391" s="71" t="str">
        <f aca="false">IF(AH391="","",ROUND(MIN(K391,TOPE_AFP_UF*AJ391)*AK391,0))</f>
        <v/>
      </c>
      <c r="AC391" s="71" t="str">
        <f aca="false">IF(AH391="","",ROUND(MIN(K391,TOPE_AFC_UF*AJ391)*IF(AA391="Indefinido",AFC_EMP_INDEF,AFC_EMP_PF),0))</f>
        <v/>
      </c>
      <c r="AD391" s="71" t="str">
        <f aca="false">IF(AH391="","",ROUND(MIN(K391,TOPE_AFP_UF*AJ391)*(MUTUAL_BASICA+MUTUAL_ADIC+SANNA),0))</f>
        <v/>
      </c>
      <c r="AE391" s="71" t="str">
        <f aca="false">IF(AH391="","",P391-N(N391)+AB391+AC391+AD391)</f>
        <v/>
      </c>
      <c r="AF391" s="65"/>
      <c r="AG391" s="64"/>
      <c r="AH391" s="72" t="str">
        <f aca="false">IF(OR(B391="",C391=""),"",C391&amp;"|"&amp;(YEAR(B391)*100+MONTH(B391)))</f>
        <v/>
      </c>
      <c r="AI391" s="70" t="str">
        <f aca="false">IF(AH391="","",IF(COUNTIF(L_CLAVE,AH391)&gt;1,"⚠ Duplicado","OK"))</f>
        <v/>
      </c>
      <c r="AJ391" s="86" t="str">
        <f aca="false">IF(AH391="","",IF(SUMPRODUCT(MAX((IND_PER&lt;=B391)*(IND_UF&lt;&gt;"")*IND_PER))=0,UF_HOY,INDEX(IND_UF,MATCH(SUMPRODUCT(MAX((IND_PER&lt;=B391)*(IND_UF&lt;&gt;"")*IND_PER)),IND_PER,0))))</f>
        <v/>
      </c>
      <c r="AK391" s="87" t="str">
        <f aca="false">IF(AH391="","",IF(COUNTIF(TASA_DESDE,"&lt;="&amp;B391)=0,INDEX(TASA_EMP,1),INDEX(TASA_EMP,COUNTIF(TASA_DESDE,"&lt;="&amp;B391))))</f>
        <v/>
      </c>
    </row>
    <row r="392" customFormat="false" ht="15" hidden="false" customHeight="false" outlineLevel="0" collapsed="false">
      <c r="B392" s="78"/>
      <c r="C392" s="64"/>
      <c r="D392" s="72" t="str">
        <f aca="false">IF(C392="","",IFERROR(INDEX(T_NOMBRE,MATCH(C392,T_ID,0)),"⚠ ID no existe"))</f>
        <v/>
      </c>
      <c r="E392" s="69"/>
      <c r="F392" s="67"/>
      <c r="G392" s="67"/>
      <c r="H392" s="67"/>
      <c r="I392" s="67"/>
      <c r="J392" s="67"/>
      <c r="K392" s="85" t="str">
        <f aca="false">IF(AH392="","",N(F392)+N(G392)+N(H392)-N(I392)+N(J392))</f>
        <v/>
      </c>
      <c r="L392" s="67"/>
      <c r="M392" s="67"/>
      <c r="N392" s="67"/>
      <c r="O392" s="67"/>
      <c r="P392" s="85" t="str">
        <f aca="false">IF(AH392="","",K392+N(L392)+N(M392)+N(N392)+N(O392))</f>
        <v/>
      </c>
      <c r="Q392" s="67"/>
      <c r="R392" s="67"/>
      <c r="S392" s="67"/>
      <c r="T392" s="67"/>
      <c r="U392" s="67"/>
      <c r="V392" s="67"/>
      <c r="W392" s="85" t="str">
        <f aca="false">IF(AH392="","",N(Q392)+N(R392)+N(S392)+N(T392)+N(U392)+N(V392))</f>
        <v/>
      </c>
      <c r="X392" s="85" t="str">
        <f aca="false">IF(AH392="","",P392-W392)</f>
        <v/>
      </c>
      <c r="Y392" s="67"/>
      <c r="Z392" s="70" t="str">
        <f aca="false">IF(OR(AH392="",Y392=""),"",IF(ABS(X392-Y392)&lt;=1,"✓ Cuadra","⚠ Diferencia $"&amp;FIXED(X392-Y392,0)))</f>
        <v/>
      </c>
      <c r="AA392" s="72" t="str">
        <f aca="false">IF(AH392="","",IFERROR(INDEX(C_TIPO,MATCH(C392&amp;"-P"&amp;MAX(1,COUNTIFS(C_ID,C392,C_DEFINE,"Sí",C_INICIO,"&lt;="&amp;EOMONTH(B392,0))),C_CLAVE,0))&amp;"","Sin dato"))</f>
        <v/>
      </c>
      <c r="AB392" s="71" t="str">
        <f aca="false">IF(AH392="","",ROUND(MIN(K392,TOPE_AFP_UF*AJ392)*AK392,0))</f>
        <v/>
      </c>
      <c r="AC392" s="71" t="str">
        <f aca="false">IF(AH392="","",ROUND(MIN(K392,TOPE_AFC_UF*AJ392)*IF(AA392="Indefinido",AFC_EMP_INDEF,AFC_EMP_PF),0))</f>
        <v/>
      </c>
      <c r="AD392" s="71" t="str">
        <f aca="false">IF(AH392="","",ROUND(MIN(K392,TOPE_AFP_UF*AJ392)*(MUTUAL_BASICA+MUTUAL_ADIC+SANNA),0))</f>
        <v/>
      </c>
      <c r="AE392" s="71" t="str">
        <f aca="false">IF(AH392="","",P392-N(N392)+AB392+AC392+AD392)</f>
        <v/>
      </c>
      <c r="AF392" s="65"/>
      <c r="AG392" s="64"/>
      <c r="AH392" s="72" t="str">
        <f aca="false">IF(OR(B392="",C392=""),"",C392&amp;"|"&amp;(YEAR(B392)*100+MONTH(B392)))</f>
        <v/>
      </c>
      <c r="AI392" s="70" t="str">
        <f aca="false">IF(AH392="","",IF(COUNTIF(L_CLAVE,AH392)&gt;1,"⚠ Duplicado","OK"))</f>
        <v/>
      </c>
      <c r="AJ392" s="86" t="str">
        <f aca="false">IF(AH392="","",IF(SUMPRODUCT(MAX((IND_PER&lt;=B392)*(IND_UF&lt;&gt;"")*IND_PER))=0,UF_HOY,INDEX(IND_UF,MATCH(SUMPRODUCT(MAX((IND_PER&lt;=B392)*(IND_UF&lt;&gt;"")*IND_PER)),IND_PER,0))))</f>
        <v/>
      </c>
      <c r="AK392" s="87" t="str">
        <f aca="false">IF(AH392="","",IF(COUNTIF(TASA_DESDE,"&lt;="&amp;B392)=0,INDEX(TASA_EMP,1),INDEX(TASA_EMP,COUNTIF(TASA_DESDE,"&lt;="&amp;B392))))</f>
        <v/>
      </c>
    </row>
    <row r="393" customFormat="false" ht="15" hidden="false" customHeight="false" outlineLevel="0" collapsed="false">
      <c r="B393" s="78"/>
      <c r="C393" s="64"/>
      <c r="D393" s="72" t="str">
        <f aca="false">IF(C393="","",IFERROR(INDEX(T_NOMBRE,MATCH(C393,T_ID,0)),"⚠ ID no existe"))</f>
        <v/>
      </c>
      <c r="E393" s="69"/>
      <c r="F393" s="67"/>
      <c r="G393" s="67"/>
      <c r="H393" s="67"/>
      <c r="I393" s="67"/>
      <c r="J393" s="67"/>
      <c r="K393" s="85" t="str">
        <f aca="false">IF(AH393="","",N(F393)+N(G393)+N(H393)-N(I393)+N(J393))</f>
        <v/>
      </c>
      <c r="L393" s="67"/>
      <c r="M393" s="67"/>
      <c r="N393" s="67"/>
      <c r="O393" s="67"/>
      <c r="P393" s="85" t="str">
        <f aca="false">IF(AH393="","",K393+N(L393)+N(M393)+N(N393)+N(O393))</f>
        <v/>
      </c>
      <c r="Q393" s="67"/>
      <c r="R393" s="67"/>
      <c r="S393" s="67"/>
      <c r="T393" s="67"/>
      <c r="U393" s="67"/>
      <c r="V393" s="67"/>
      <c r="W393" s="85" t="str">
        <f aca="false">IF(AH393="","",N(Q393)+N(R393)+N(S393)+N(T393)+N(U393)+N(V393))</f>
        <v/>
      </c>
      <c r="X393" s="85" t="str">
        <f aca="false">IF(AH393="","",P393-W393)</f>
        <v/>
      </c>
      <c r="Y393" s="67"/>
      <c r="Z393" s="70" t="str">
        <f aca="false">IF(OR(AH393="",Y393=""),"",IF(ABS(X393-Y393)&lt;=1,"✓ Cuadra","⚠ Diferencia $"&amp;FIXED(X393-Y393,0)))</f>
        <v/>
      </c>
      <c r="AA393" s="72" t="str">
        <f aca="false">IF(AH393="","",IFERROR(INDEX(C_TIPO,MATCH(C393&amp;"-P"&amp;MAX(1,COUNTIFS(C_ID,C393,C_DEFINE,"Sí",C_INICIO,"&lt;="&amp;EOMONTH(B393,0))),C_CLAVE,0))&amp;"","Sin dato"))</f>
        <v/>
      </c>
      <c r="AB393" s="71" t="str">
        <f aca="false">IF(AH393="","",ROUND(MIN(K393,TOPE_AFP_UF*AJ393)*AK393,0))</f>
        <v/>
      </c>
      <c r="AC393" s="71" t="str">
        <f aca="false">IF(AH393="","",ROUND(MIN(K393,TOPE_AFC_UF*AJ393)*IF(AA393="Indefinido",AFC_EMP_INDEF,AFC_EMP_PF),0))</f>
        <v/>
      </c>
      <c r="AD393" s="71" t="str">
        <f aca="false">IF(AH393="","",ROUND(MIN(K393,TOPE_AFP_UF*AJ393)*(MUTUAL_BASICA+MUTUAL_ADIC+SANNA),0))</f>
        <v/>
      </c>
      <c r="AE393" s="71" t="str">
        <f aca="false">IF(AH393="","",P393-N(N393)+AB393+AC393+AD393)</f>
        <v/>
      </c>
      <c r="AF393" s="65"/>
      <c r="AG393" s="64"/>
      <c r="AH393" s="72" t="str">
        <f aca="false">IF(OR(B393="",C393=""),"",C393&amp;"|"&amp;(YEAR(B393)*100+MONTH(B393)))</f>
        <v/>
      </c>
      <c r="AI393" s="70" t="str">
        <f aca="false">IF(AH393="","",IF(COUNTIF(L_CLAVE,AH393)&gt;1,"⚠ Duplicado","OK"))</f>
        <v/>
      </c>
      <c r="AJ393" s="86" t="str">
        <f aca="false">IF(AH393="","",IF(SUMPRODUCT(MAX((IND_PER&lt;=B393)*(IND_UF&lt;&gt;"")*IND_PER))=0,UF_HOY,INDEX(IND_UF,MATCH(SUMPRODUCT(MAX((IND_PER&lt;=B393)*(IND_UF&lt;&gt;"")*IND_PER)),IND_PER,0))))</f>
        <v/>
      </c>
      <c r="AK393" s="87" t="str">
        <f aca="false">IF(AH393="","",IF(COUNTIF(TASA_DESDE,"&lt;="&amp;B393)=0,INDEX(TASA_EMP,1),INDEX(TASA_EMP,COUNTIF(TASA_DESDE,"&lt;="&amp;B393))))</f>
        <v/>
      </c>
    </row>
    <row r="394" customFormat="false" ht="15" hidden="false" customHeight="false" outlineLevel="0" collapsed="false">
      <c r="B394" s="78"/>
      <c r="C394" s="64"/>
      <c r="D394" s="72" t="str">
        <f aca="false">IF(C394="","",IFERROR(INDEX(T_NOMBRE,MATCH(C394,T_ID,0)),"⚠ ID no existe"))</f>
        <v/>
      </c>
      <c r="E394" s="69"/>
      <c r="F394" s="67"/>
      <c r="G394" s="67"/>
      <c r="H394" s="67"/>
      <c r="I394" s="67"/>
      <c r="J394" s="67"/>
      <c r="K394" s="85" t="str">
        <f aca="false">IF(AH394="","",N(F394)+N(G394)+N(H394)-N(I394)+N(J394))</f>
        <v/>
      </c>
      <c r="L394" s="67"/>
      <c r="M394" s="67"/>
      <c r="N394" s="67"/>
      <c r="O394" s="67"/>
      <c r="P394" s="85" t="str">
        <f aca="false">IF(AH394="","",K394+N(L394)+N(M394)+N(N394)+N(O394))</f>
        <v/>
      </c>
      <c r="Q394" s="67"/>
      <c r="R394" s="67"/>
      <c r="S394" s="67"/>
      <c r="T394" s="67"/>
      <c r="U394" s="67"/>
      <c r="V394" s="67"/>
      <c r="W394" s="85" t="str">
        <f aca="false">IF(AH394="","",N(Q394)+N(R394)+N(S394)+N(T394)+N(U394)+N(V394))</f>
        <v/>
      </c>
      <c r="X394" s="85" t="str">
        <f aca="false">IF(AH394="","",P394-W394)</f>
        <v/>
      </c>
      <c r="Y394" s="67"/>
      <c r="Z394" s="70" t="str">
        <f aca="false">IF(OR(AH394="",Y394=""),"",IF(ABS(X394-Y394)&lt;=1,"✓ Cuadra","⚠ Diferencia $"&amp;FIXED(X394-Y394,0)))</f>
        <v/>
      </c>
      <c r="AA394" s="72" t="str">
        <f aca="false">IF(AH394="","",IFERROR(INDEX(C_TIPO,MATCH(C394&amp;"-P"&amp;MAX(1,COUNTIFS(C_ID,C394,C_DEFINE,"Sí",C_INICIO,"&lt;="&amp;EOMONTH(B394,0))),C_CLAVE,0))&amp;"","Sin dato"))</f>
        <v/>
      </c>
      <c r="AB394" s="71" t="str">
        <f aca="false">IF(AH394="","",ROUND(MIN(K394,TOPE_AFP_UF*AJ394)*AK394,0))</f>
        <v/>
      </c>
      <c r="AC394" s="71" t="str">
        <f aca="false">IF(AH394="","",ROUND(MIN(K394,TOPE_AFC_UF*AJ394)*IF(AA394="Indefinido",AFC_EMP_INDEF,AFC_EMP_PF),0))</f>
        <v/>
      </c>
      <c r="AD394" s="71" t="str">
        <f aca="false">IF(AH394="","",ROUND(MIN(K394,TOPE_AFP_UF*AJ394)*(MUTUAL_BASICA+MUTUAL_ADIC+SANNA),0))</f>
        <v/>
      </c>
      <c r="AE394" s="71" t="str">
        <f aca="false">IF(AH394="","",P394-N(N394)+AB394+AC394+AD394)</f>
        <v/>
      </c>
      <c r="AF394" s="65"/>
      <c r="AG394" s="64"/>
      <c r="AH394" s="72" t="str">
        <f aca="false">IF(OR(B394="",C394=""),"",C394&amp;"|"&amp;(YEAR(B394)*100+MONTH(B394)))</f>
        <v/>
      </c>
      <c r="AI394" s="70" t="str">
        <f aca="false">IF(AH394="","",IF(COUNTIF(L_CLAVE,AH394)&gt;1,"⚠ Duplicado","OK"))</f>
        <v/>
      </c>
      <c r="AJ394" s="86" t="str">
        <f aca="false">IF(AH394="","",IF(SUMPRODUCT(MAX((IND_PER&lt;=B394)*(IND_UF&lt;&gt;"")*IND_PER))=0,UF_HOY,INDEX(IND_UF,MATCH(SUMPRODUCT(MAX((IND_PER&lt;=B394)*(IND_UF&lt;&gt;"")*IND_PER)),IND_PER,0))))</f>
        <v/>
      </c>
      <c r="AK394" s="87" t="str">
        <f aca="false">IF(AH394="","",IF(COUNTIF(TASA_DESDE,"&lt;="&amp;B394)=0,INDEX(TASA_EMP,1),INDEX(TASA_EMP,COUNTIF(TASA_DESDE,"&lt;="&amp;B394))))</f>
        <v/>
      </c>
    </row>
    <row r="395" customFormat="false" ht="15" hidden="false" customHeight="false" outlineLevel="0" collapsed="false">
      <c r="B395" s="78"/>
      <c r="C395" s="64"/>
      <c r="D395" s="72" t="str">
        <f aca="false">IF(C395="","",IFERROR(INDEX(T_NOMBRE,MATCH(C395,T_ID,0)),"⚠ ID no existe"))</f>
        <v/>
      </c>
      <c r="E395" s="69"/>
      <c r="F395" s="67"/>
      <c r="G395" s="67"/>
      <c r="H395" s="67"/>
      <c r="I395" s="67"/>
      <c r="J395" s="67"/>
      <c r="K395" s="85" t="str">
        <f aca="false">IF(AH395="","",N(F395)+N(G395)+N(H395)-N(I395)+N(J395))</f>
        <v/>
      </c>
      <c r="L395" s="67"/>
      <c r="M395" s="67"/>
      <c r="N395" s="67"/>
      <c r="O395" s="67"/>
      <c r="P395" s="85" t="str">
        <f aca="false">IF(AH395="","",K395+N(L395)+N(M395)+N(N395)+N(O395))</f>
        <v/>
      </c>
      <c r="Q395" s="67"/>
      <c r="R395" s="67"/>
      <c r="S395" s="67"/>
      <c r="T395" s="67"/>
      <c r="U395" s="67"/>
      <c r="V395" s="67"/>
      <c r="W395" s="85" t="str">
        <f aca="false">IF(AH395="","",N(Q395)+N(R395)+N(S395)+N(T395)+N(U395)+N(V395))</f>
        <v/>
      </c>
      <c r="X395" s="85" t="str">
        <f aca="false">IF(AH395="","",P395-W395)</f>
        <v/>
      </c>
      <c r="Y395" s="67"/>
      <c r="Z395" s="70" t="str">
        <f aca="false">IF(OR(AH395="",Y395=""),"",IF(ABS(X395-Y395)&lt;=1,"✓ Cuadra","⚠ Diferencia $"&amp;FIXED(X395-Y395,0)))</f>
        <v/>
      </c>
      <c r="AA395" s="72" t="str">
        <f aca="false">IF(AH395="","",IFERROR(INDEX(C_TIPO,MATCH(C395&amp;"-P"&amp;MAX(1,COUNTIFS(C_ID,C395,C_DEFINE,"Sí",C_INICIO,"&lt;="&amp;EOMONTH(B395,0))),C_CLAVE,0))&amp;"","Sin dato"))</f>
        <v/>
      </c>
      <c r="AB395" s="71" t="str">
        <f aca="false">IF(AH395="","",ROUND(MIN(K395,TOPE_AFP_UF*AJ395)*AK395,0))</f>
        <v/>
      </c>
      <c r="AC395" s="71" t="str">
        <f aca="false">IF(AH395="","",ROUND(MIN(K395,TOPE_AFC_UF*AJ395)*IF(AA395="Indefinido",AFC_EMP_INDEF,AFC_EMP_PF),0))</f>
        <v/>
      </c>
      <c r="AD395" s="71" t="str">
        <f aca="false">IF(AH395="","",ROUND(MIN(K395,TOPE_AFP_UF*AJ395)*(MUTUAL_BASICA+MUTUAL_ADIC+SANNA),0))</f>
        <v/>
      </c>
      <c r="AE395" s="71" t="str">
        <f aca="false">IF(AH395="","",P395-N(N395)+AB395+AC395+AD395)</f>
        <v/>
      </c>
      <c r="AF395" s="65"/>
      <c r="AG395" s="64"/>
      <c r="AH395" s="72" t="str">
        <f aca="false">IF(OR(B395="",C395=""),"",C395&amp;"|"&amp;(YEAR(B395)*100+MONTH(B395)))</f>
        <v/>
      </c>
      <c r="AI395" s="70" t="str">
        <f aca="false">IF(AH395="","",IF(COUNTIF(L_CLAVE,AH395)&gt;1,"⚠ Duplicado","OK"))</f>
        <v/>
      </c>
      <c r="AJ395" s="86" t="str">
        <f aca="false">IF(AH395="","",IF(SUMPRODUCT(MAX((IND_PER&lt;=B395)*(IND_UF&lt;&gt;"")*IND_PER))=0,UF_HOY,INDEX(IND_UF,MATCH(SUMPRODUCT(MAX((IND_PER&lt;=B395)*(IND_UF&lt;&gt;"")*IND_PER)),IND_PER,0))))</f>
        <v/>
      </c>
      <c r="AK395" s="87" t="str">
        <f aca="false">IF(AH395="","",IF(COUNTIF(TASA_DESDE,"&lt;="&amp;B395)=0,INDEX(TASA_EMP,1),INDEX(TASA_EMP,COUNTIF(TASA_DESDE,"&lt;="&amp;B395))))</f>
        <v/>
      </c>
    </row>
    <row r="396" customFormat="false" ht="15" hidden="false" customHeight="false" outlineLevel="0" collapsed="false">
      <c r="B396" s="78"/>
      <c r="C396" s="64"/>
      <c r="D396" s="72" t="str">
        <f aca="false">IF(C396="","",IFERROR(INDEX(T_NOMBRE,MATCH(C396,T_ID,0)),"⚠ ID no existe"))</f>
        <v/>
      </c>
      <c r="E396" s="69"/>
      <c r="F396" s="67"/>
      <c r="G396" s="67"/>
      <c r="H396" s="67"/>
      <c r="I396" s="67"/>
      <c r="J396" s="67"/>
      <c r="K396" s="85" t="str">
        <f aca="false">IF(AH396="","",N(F396)+N(G396)+N(H396)-N(I396)+N(J396))</f>
        <v/>
      </c>
      <c r="L396" s="67"/>
      <c r="M396" s="67"/>
      <c r="N396" s="67"/>
      <c r="O396" s="67"/>
      <c r="P396" s="85" t="str">
        <f aca="false">IF(AH396="","",K396+N(L396)+N(M396)+N(N396)+N(O396))</f>
        <v/>
      </c>
      <c r="Q396" s="67"/>
      <c r="R396" s="67"/>
      <c r="S396" s="67"/>
      <c r="T396" s="67"/>
      <c r="U396" s="67"/>
      <c r="V396" s="67"/>
      <c r="W396" s="85" t="str">
        <f aca="false">IF(AH396="","",N(Q396)+N(R396)+N(S396)+N(T396)+N(U396)+N(V396))</f>
        <v/>
      </c>
      <c r="X396" s="85" t="str">
        <f aca="false">IF(AH396="","",P396-W396)</f>
        <v/>
      </c>
      <c r="Y396" s="67"/>
      <c r="Z396" s="70" t="str">
        <f aca="false">IF(OR(AH396="",Y396=""),"",IF(ABS(X396-Y396)&lt;=1,"✓ Cuadra","⚠ Diferencia $"&amp;FIXED(X396-Y396,0)))</f>
        <v/>
      </c>
      <c r="AA396" s="72" t="str">
        <f aca="false">IF(AH396="","",IFERROR(INDEX(C_TIPO,MATCH(C396&amp;"-P"&amp;MAX(1,COUNTIFS(C_ID,C396,C_DEFINE,"Sí",C_INICIO,"&lt;="&amp;EOMONTH(B396,0))),C_CLAVE,0))&amp;"","Sin dato"))</f>
        <v/>
      </c>
      <c r="AB396" s="71" t="str">
        <f aca="false">IF(AH396="","",ROUND(MIN(K396,TOPE_AFP_UF*AJ396)*AK396,0))</f>
        <v/>
      </c>
      <c r="AC396" s="71" t="str">
        <f aca="false">IF(AH396="","",ROUND(MIN(K396,TOPE_AFC_UF*AJ396)*IF(AA396="Indefinido",AFC_EMP_INDEF,AFC_EMP_PF),0))</f>
        <v/>
      </c>
      <c r="AD396" s="71" t="str">
        <f aca="false">IF(AH396="","",ROUND(MIN(K396,TOPE_AFP_UF*AJ396)*(MUTUAL_BASICA+MUTUAL_ADIC+SANNA),0))</f>
        <v/>
      </c>
      <c r="AE396" s="71" t="str">
        <f aca="false">IF(AH396="","",P396-N(N396)+AB396+AC396+AD396)</f>
        <v/>
      </c>
      <c r="AF396" s="65"/>
      <c r="AG396" s="64"/>
      <c r="AH396" s="72" t="str">
        <f aca="false">IF(OR(B396="",C396=""),"",C396&amp;"|"&amp;(YEAR(B396)*100+MONTH(B396)))</f>
        <v/>
      </c>
      <c r="AI396" s="70" t="str">
        <f aca="false">IF(AH396="","",IF(COUNTIF(L_CLAVE,AH396)&gt;1,"⚠ Duplicado","OK"))</f>
        <v/>
      </c>
      <c r="AJ396" s="86" t="str">
        <f aca="false">IF(AH396="","",IF(SUMPRODUCT(MAX((IND_PER&lt;=B396)*(IND_UF&lt;&gt;"")*IND_PER))=0,UF_HOY,INDEX(IND_UF,MATCH(SUMPRODUCT(MAX((IND_PER&lt;=B396)*(IND_UF&lt;&gt;"")*IND_PER)),IND_PER,0))))</f>
        <v/>
      </c>
      <c r="AK396" s="87" t="str">
        <f aca="false">IF(AH396="","",IF(COUNTIF(TASA_DESDE,"&lt;="&amp;B396)=0,INDEX(TASA_EMP,1),INDEX(TASA_EMP,COUNTIF(TASA_DESDE,"&lt;="&amp;B396))))</f>
        <v/>
      </c>
    </row>
    <row r="397" customFormat="false" ht="15" hidden="false" customHeight="false" outlineLevel="0" collapsed="false">
      <c r="B397" s="78"/>
      <c r="C397" s="64"/>
      <c r="D397" s="72" t="str">
        <f aca="false">IF(C397="","",IFERROR(INDEX(T_NOMBRE,MATCH(C397,T_ID,0)),"⚠ ID no existe"))</f>
        <v/>
      </c>
      <c r="E397" s="69"/>
      <c r="F397" s="67"/>
      <c r="G397" s="67"/>
      <c r="H397" s="67"/>
      <c r="I397" s="67"/>
      <c r="J397" s="67"/>
      <c r="K397" s="85" t="str">
        <f aca="false">IF(AH397="","",N(F397)+N(G397)+N(H397)-N(I397)+N(J397))</f>
        <v/>
      </c>
      <c r="L397" s="67"/>
      <c r="M397" s="67"/>
      <c r="N397" s="67"/>
      <c r="O397" s="67"/>
      <c r="P397" s="85" t="str">
        <f aca="false">IF(AH397="","",K397+N(L397)+N(M397)+N(N397)+N(O397))</f>
        <v/>
      </c>
      <c r="Q397" s="67"/>
      <c r="R397" s="67"/>
      <c r="S397" s="67"/>
      <c r="T397" s="67"/>
      <c r="U397" s="67"/>
      <c r="V397" s="67"/>
      <c r="W397" s="85" t="str">
        <f aca="false">IF(AH397="","",N(Q397)+N(R397)+N(S397)+N(T397)+N(U397)+N(V397))</f>
        <v/>
      </c>
      <c r="X397" s="85" t="str">
        <f aca="false">IF(AH397="","",P397-W397)</f>
        <v/>
      </c>
      <c r="Y397" s="67"/>
      <c r="Z397" s="70" t="str">
        <f aca="false">IF(OR(AH397="",Y397=""),"",IF(ABS(X397-Y397)&lt;=1,"✓ Cuadra","⚠ Diferencia $"&amp;FIXED(X397-Y397,0)))</f>
        <v/>
      </c>
      <c r="AA397" s="72" t="str">
        <f aca="false">IF(AH397="","",IFERROR(INDEX(C_TIPO,MATCH(C397&amp;"-P"&amp;MAX(1,COUNTIFS(C_ID,C397,C_DEFINE,"Sí",C_INICIO,"&lt;="&amp;EOMONTH(B397,0))),C_CLAVE,0))&amp;"","Sin dato"))</f>
        <v/>
      </c>
      <c r="AB397" s="71" t="str">
        <f aca="false">IF(AH397="","",ROUND(MIN(K397,TOPE_AFP_UF*AJ397)*AK397,0))</f>
        <v/>
      </c>
      <c r="AC397" s="71" t="str">
        <f aca="false">IF(AH397="","",ROUND(MIN(K397,TOPE_AFC_UF*AJ397)*IF(AA397="Indefinido",AFC_EMP_INDEF,AFC_EMP_PF),0))</f>
        <v/>
      </c>
      <c r="AD397" s="71" t="str">
        <f aca="false">IF(AH397="","",ROUND(MIN(K397,TOPE_AFP_UF*AJ397)*(MUTUAL_BASICA+MUTUAL_ADIC+SANNA),0))</f>
        <v/>
      </c>
      <c r="AE397" s="71" t="str">
        <f aca="false">IF(AH397="","",P397-N(N397)+AB397+AC397+AD397)</f>
        <v/>
      </c>
      <c r="AF397" s="65"/>
      <c r="AG397" s="64"/>
      <c r="AH397" s="72" t="str">
        <f aca="false">IF(OR(B397="",C397=""),"",C397&amp;"|"&amp;(YEAR(B397)*100+MONTH(B397)))</f>
        <v/>
      </c>
      <c r="AI397" s="70" t="str">
        <f aca="false">IF(AH397="","",IF(COUNTIF(L_CLAVE,AH397)&gt;1,"⚠ Duplicado","OK"))</f>
        <v/>
      </c>
      <c r="AJ397" s="86" t="str">
        <f aca="false">IF(AH397="","",IF(SUMPRODUCT(MAX((IND_PER&lt;=B397)*(IND_UF&lt;&gt;"")*IND_PER))=0,UF_HOY,INDEX(IND_UF,MATCH(SUMPRODUCT(MAX((IND_PER&lt;=B397)*(IND_UF&lt;&gt;"")*IND_PER)),IND_PER,0))))</f>
        <v/>
      </c>
      <c r="AK397" s="87" t="str">
        <f aca="false">IF(AH397="","",IF(COUNTIF(TASA_DESDE,"&lt;="&amp;B397)=0,INDEX(TASA_EMP,1),INDEX(TASA_EMP,COUNTIF(TASA_DESDE,"&lt;="&amp;B397))))</f>
        <v/>
      </c>
    </row>
    <row r="398" customFormat="false" ht="15" hidden="false" customHeight="false" outlineLevel="0" collapsed="false">
      <c r="B398" s="78"/>
      <c r="C398" s="64"/>
      <c r="D398" s="72" t="str">
        <f aca="false">IF(C398="","",IFERROR(INDEX(T_NOMBRE,MATCH(C398,T_ID,0)),"⚠ ID no existe"))</f>
        <v/>
      </c>
      <c r="E398" s="69"/>
      <c r="F398" s="67"/>
      <c r="G398" s="67"/>
      <c r="H398" s="67"/>
      <c r="I398" s="67"/>
      <c r="J398" s="67"/>
      <c r="K398" s="85" t="str">
        <f aca="false">IF(AH398="","",N(F398)+N(G398)+N(H398)-N(I398)+N(J398))</f>
        <v/>
      </c>
      <c r="L398" s="67"/>
      <c r="M398" s="67"/>
      <c r="N398" s="67"/>
      <c r="O398" s="67"/>
      <c r="P398" s="85" t="str">
        <f aca="false">IF(AH398="","",K398+N(L398)+N(M398)+N(N398)+N(O398))</f>
        <v/>
      </c>
      <c r="Q398" s="67"/>
      <c r="R398" s="67"/>
      <c r="S398" s="67"/>
      <c r="T398" s="67"/>
      <c r="U398" s="67"/>
      <c r="V398" s="67"/>
      <c r="W398" s="85" t="str">
        <f aca="false">IF(AH398="","",N(Q398)+N(R398)+N(S398)+N(T398)+N(U398)+N(V398))</f>
        <v/>
      </c>
      <c r="X398" s="85" t="str">
        <f aca="false">IF(AH398="","",P398-W398)</f>
        <v/>
      </c>
      <c r="Y398" s="67"/>
      <c r="Z398" s="70" t="str">
        <f aca="false">IF(OR(AH398="",Y398=""),"",IF(ABS(X398-Y398)&lt;=1,"✓ Cuadra","⚠ Diferencia $"&amp;FIXED(X398-Y398,0)))</f>
        <v/>
      </c>
      <c r="AA398" s="72" t="str">
        <f aca="false">IF(AH398="","",IFERROR(INDEX(C_TIPO,MATCH(C398&amp;"-P"&amp;MAX(1,COUNTIFS(C_ID,C398,C_DEFINE,"Sí",C_INICIO,"&lt;="&amp;EOMONTH(B398,0))),C_CLAVE,0))&amp;"","Sin dato"))</f>
        <v/>
      </c>
      <c r="AB398" s="71" t="str">
        <f aca="false">IF(AH398="","",ROUND(MIN(K398,TOPE_AFP_UF*AJ398)*AK398,0))</f>
        <v/>
      </c>
      <c r="AC398" s="71" t="str">
        <f aca="false">IF(AH398="","",ROUND(MIN(K398,TOPE_AFC_UF*AJ398)*IF(AA398="Indefinido",AFC_EMP_INDEF,AFC_EMP_PF),0))</f>
        <v/>
      </c>
      <c r="AD398" s="71" t="str">
        <f aca="false">IF(AH398="","",ROUND(MIN(K398,TOPE_AFP_UF*AJ398)*(MUTUAL_BASICA+MUTUAL_ADIC+SANNA),0))</f>
        <v/>
      </c>
      <c r="AE398" s="71" t="str">
        <f aca="false">IF(AH398="","",P398-N(N398)+AB398+AC398+AD398)</f>
        <v/>
      </c>
      <c r="AF398" s="65"/>
      <c r="AG398" s="64"/>
      <c r="AH398" s="72" t="str">
        <f aca="false">IF(OR(B398="",C398=""),"",C398&amp;"|"&amp;(YEAR(B398)*100+MONTH(B398)))</f>
        <v/>
      </c>
      <c r="AI398" s="70" t="str">
        <f aca="false">IF(AH398="","",IF(COUNTIF(L_CLAVE,AH398)&gt;1,"⚠ Duplicado","OK"))</f>
        <v/>
      </c>
      <c r="AJ398" s="86" t="str">
        <f aca="false">IF(AH398="","",IF(SUMPRODUCT(MAX((IND_PER&lt;=B398)*(IND_UF&lt;&gt;"")*IND_PER))=0,UF_HOY,INDEX(IND_UF,MATCH(SUMPRODUCT(MAX((IND_PER&lt;=B398)*(IND_UF&lt;&gt;"")*IND_PER)),IND_PER,0))))</f>
        <v/>
      </c>
      <c r="AK398" s="87" t="str">
        <f aca="false">IF(AH398="","",IF(COUNTIF(TASA_DESDE,"&lt;="&amp;B398)=0,INDEX(TASA_EMP,1),INDEX(TASA_EMP,COUNTIF(TASA_DESDE,"&lt;="&amp;B398))))</f>
        <v/>
      </c>
    </row>
    <row r="399" customFormat="false" ht="15" hidden="false" customHeight="false" outlineLevel="0" collapsed="false">
      <c r="B399" s="78"/>
      <c r="C399" s="64"/>
      <c r="D399" s="72" t="str">
        <f aca="false">IF(C399="","",IFERROR(INDEX(T_NOMBRE,MATCH(C399,T_ID,0)),"⚠ ID no existe"))</f>
        <v/>
      </c>
      <c r="E399" s="69"/>
      <c r="F399" s="67"/>
      <c r="G399" s="67"/>
      <c r="H399" s="67"/>
      <c r="I399" s="67"/>
      <c r="J399" s="67"/>
      <c r="K399" s="85" t="str">
        <f aca="false">IF(AH399="","",N(F399)+N(G399)+N(H399)-N(I399)+N(J399))</f>
        <v/>
      </c>
      <c r="L399" s="67"/>
      <c r="M399" s="67"/>
      <c r="N399" s="67"/>
      <c r="O399" s="67"/>
      <c r="P399" s="85" t="str">
        <f aca="false">IF(AH399="","",K399+N(L399)+N(M399)+N(N399)+N(O399))</f>
        <v/>
      </c>
      <c r="Q399" s="67"/>
      <c r="R399" s="67"/>
      <c r="S399" s="67"/>
      <c r="T399" s="67"/>
      <c r="U399" s="67"/>
      <c r="V399" s="67"/>
      <c r="W399" s="85" t="str">
        <f aca="false">IF(AH399="","",N(Q399)+N(R399)+N(S399)+N(T399)+N(U399)+N(V399))</f>
        <v/>
      </c>
      <c r="X399" s="85" t="str">
        <f aca="false">IF(AH399="","",P399-W399)</f>
        <v/>
      </c>
      <c r="Y399" s="67"/>
      <c r="Z399" s="70" t="str">
        <f aca="false">IF(OR(AH399="",Y399=""),"",IF(ABS(X399-Y399)&lt;=1,"✓ Cuadra","⚠ Diferencia $"&amp;FIXED(X399-Y399,0)))</f>
        <v/>
      </c>
      <c r="AA399" s="72" t="str">
        <f aca="false">IF(AH399="","",IFERROR(INDEX(C_TIPO,MATCH(C399&amp;"-P"&amp;MAX(1,COUNTIFS(C_ID,C399,C_DEFINE,"Sí",C_INICIO,"&lt;="&amp;EOMONTH(B399,0))),C_CLAVE,0))&amp;"","Sin dato"))</f>
        <v/>
      </c>
      <c r="AB399" s="71" t="str">
        <f aca="false">IF(AH399="","",ROUND(MIN(K399,TOPE_AFP_UF*AJ399)*AK399,0))</f>
        <v/>
      </c>
      <c r="AC399" s="71" t="str">
        <f aca="false">IF(AH399="","",ROUND(MIN(K399,TOPE_AFC_UF*AJ399)*IF(AA399="Indefinido",AFC_EMP_INDEF,AFC_EMP_PF),0))</f>
        <v/>
      </c>
      <c r="AD399" s="71" t="str">
        <f aca="false">IF(AH399="","",ROUND(MIN(K399,TOPE_AFP_UF*AJ399)*(MUTUAL_BASICA+MUTUAL_ADIC+SANNA),0))</f>
        <v/>
      </c>
      <c r="AE399" s="71" t="str">
        <f aca="false">IF(AH399="","",P399-N(N399)+AB399+AC399+AD399)</f>
        <v/>
      </c>
      <c r="AF399" s="65"/>
      <c r="AG399" s="64"/>
      <c r="AH399" s="72" t="str">
        <f aca="false">IF(OR(B399="",C399=""),"",C399&amp;"|"&amp;(YEAR(B399)*100+MONTH(B399)))</f>
        <v/>
      </c>
      <c r="AI399" s="70" t="str">
        <f aca="false">IF(AH399="","",IF(COUNTIF(L_CLAVE,AH399)&gt;1,"⚠ Duplicado","OK"))</f>
        <v/>
      </c>
      <c r="AJ399" s="86" t="str">
        <f aca="false">IF(AH399="","",IF(SUMPRODUCT(MAX((IND_PER&lt;=B399)*(IND_UF&lt;&gt;"")*IND_PER))=0,UF_HOY,INDEX(IND_UF,MATCH(SUMPRODUCT(MAX((IND_PER&lt;=B399)*(IND_UF&lt;&gt;"")*IND_PER)),IND_PER,0))))</f>
        <v/>
      </c>
      <c r="AK399" s="87" t="str">
        <f aca="false">IF(AH399="","",IF(COUNTIF(TASA_DESDE,"&lt;="&amp;B399)=0,INDEX(TASA_EMP,1),INDEX(TASA_EMP,COUNTIF(TASA_DESDE,"&lt;="&amp;B399))))</f>
        <v/>
      </c>
    </row>
    <row r="400" customFormat="false" ht="15" hidden="false" customHeight="false" outlineLevel="0" collapsed="false">
      <c r="B400" s="78"/>
      <c r="C400" s="64"/>
      <c r="D400" s="72" t="str">
        <f aca="false">IF(C400="","",IFERROR(INDEX(T_NOMBRE,MATCH(C400,T_ID,0)),"⚠ ID no existe"))</f>
        <v/>
      </c>
      <c r="E400" s="69"/>
      <c r="F400" s="67"/>
      <c r="G400" s="67"/>
      <c r="H400" s="67"/>
      <c r="I400" s="67"/>
      <c r="J400" s="67"/>
      <c r="K400" s="85" t="str">
        <f aca="false">IF(AH400="","",N(F400)+N(G400)+N(H400)-N(I400)+N(J400))</f>
        <v/>
      </c>
      <c r="L400" s="67"/>
      <c r="M400" s="67"/>
      <c r="N400" s="67"/>
      <c r="O400" s="67"/>
      <c r="P400" s="85" t="str">
        <f aca="false">IF(AH400="","",K400+N(L400)+N(M400)+N(N400)+N(O400))</f>
        <v/>
      </c>
      <c r="Q400" s="67"/>
      <c r="R400" s="67"/>
      <c r="S400" s="67"/>
      <c r="T400" s="67"/>
      <c r="U400" s="67"/>
      <c r="V400" s="67"/>
      <c r="W400" s="85" t="str">
        <f aca="false">IF(AH400="","",N(Q400)+N(R400)+N(S400)+N(T400)+N(U400)+N(V400))</f>
        <v/>
      </c>
      <c r="X400" s="85" t="str">
        <f aca="false">IF(AH400="","",P400-W400)</f>
        <v/>
      </c>
      <c r="Y400" s="67"/>
      <c r="Z400" s="70" t="str">
        <f aca="false">IF(OR(AH400="",Y400=""),"",IF(ABS(X400-Y400)&lt;=1,"✓ Cuadra","⚠ Diferencia $"&amp;FIXED(X400-Y400,0)))</f>
        <v/>
      </c>
      <c r="AA400" s="72" t="str">
        <f aca="false">IF(AH400="","",IFERROR(INDEX(C_TIPO,MATCH(C400&amp;"-P"&amp;MAX(1,COUNTIFS(C_ID,C400,C_DEFINE,"Sí",C_INICIO,"&lt;="&amp;EOMONTH(B400,0))),C_CLAVE,0))&amp;"","Sin dato"))</f>
        <v/>
      </c>
      <c r="AB400" s="71" t="str">
        <f aca="false">IF(AH400="","",ROUND(MIN(K400,TOPE_AFP_UF*AJ400)*AK400,0))</f>
        <v/>
      </c>
      <c r="AC400" s="71" t="str">
        <f aca="false">IF(AH400="","",ROUND(MIN(K400,TOPE_AFC_UF*AJ400)*IF(AA400="Indefinido",AFC_EMP_INDEF,AFC_EMP_PF),0))</f>
        <v/>
      </c>
      <c r="AD400" s="71" t="str">
        <f aca="false">IF(AH400="","",ROUND(MIN(K400,TOPE_AFP_UF*AJ400)*(MUTUAL_BASICA+MUTUAL_ADIC+SANNA),0))</f>
        <v/>
      </c>
      <c r="AE400" s="71" t="str">
        <f aca="false">IF(AH400="","",P400-N(N400)+AB400+AC400+AD400)</f>
        <v/>
      </c>
      <c r="AF400" s="65"/>
      <c r="AG400" s="64"/>
      <c r="AH400" s="72" t="str">
        <f aca="false">IF(OR(B400="",C400=""),"",C400&amp;"|"&amp;(YEAR(B400)*100+MONTH(B400)))</f>
        <v/>
      </c>
      <c r="AI400" s="70" t="str">
        <f aca="false">IF(AH400="","",IF(COUNTIF(L_CLAVE,AH400)&gt;1,"⚠ Duplicado","OK"))</f>
        <v/>
      </c>
      <c r="AJ400" s="86" t="str">
        <f aca="false">IF(AH400="","",IF(SUMPRODUCT(MAX((IND_PER&lt;=B400)*(IND_UF&lt;&gt;"")*IND_PER))=0,UF_HOY,INDEX(IND_UF,MATCH(SUMPRODUCT(MAX((IND_PER&lt;=B400)*(IND_UF&lt;&gt;"")*IND_PER)),IND_PER,0))))</f>
        <v/>
      </c>
      <c r="AK400" s="87" t="str">
        <f aca="false">IF(AH400="","",IF(COUNTIF(TASA_DESDE,"&lt;="&amp;B400)=0,INDEX(TASA_EMP,1),INDEX(TASA_EMP,COUNTIF(TASA_DESDE,"&lt;="&amp;B400))))</f>
        <v/>
      </c>
    </row>
    <row r="401" customFormat="false" ht="15" hidden="false" customHeight="false" outlineLevel="0" collapsed="false">
      <c r="B401" s="78"/>
      <c r="C401" s="64"/>
      <c r="D401" s="72" t="str">
        <f aca="false">IF(C401="","",IFERROR(INDEX(T_NOMBRE,MATCH(C401,T_ID,0)),"⚠ ID no existe"))</f>
        <v/>
      </c>
      <c r="E401" s="69"/>
      <c r="F401" s="67"/>
      <c r="G401" s="67"/>
      <c r="H401" s="67"/>
      <c r="I401" s="67"/>
      <c r="J401" s="67"/>
      <c r="K401" s="85" t="str">
        <f aca="false">IF(AH401="","",N(F401)+N(G401)+N(H401)-N(I401)+N(J401))</f>
        <v/>
      </c>
      <c r="L401" s="67"/>
      <c r="M401" s="67"/>
      <c r="N401" s="67"/>
      <c r="O401" s="67"/>
      <c r="P401" s="85" t="str">
        <f aca="false">IF(AH401="","",K401+N(L401)+N(M401)+N(N401)+N(O401))</f>
        <v/>
      </c>
      <c r="Q401" s="67"/>
      <c r="R401" s="67"/>
      <c r="S401" s="67"/>
      <c r="T401" s="67"/>
      <c r="U401" s="67"/>
      <c r="V401" s="67"/>
      <c r="W401" s="85" t="str">
        <f aca="false">IF(AH401="","",N(Q401)+N(R401)+N(S401)+N(T401)+N(U401)+N(V401))</f>
        <v/>
      </c>
      <c r="X401" s="85" t="str">
        <f aca="false">IF(AH401="","",P401-W401)</f>
        <v/>
      </c>
      <c r="Y401" s="67"/>
      <c r="Z401" s="70" t="str">
        <f aca="false">IF(OR(AH401="",Y401=""),"",IF(ABS(X401-Y401)&lt;=1,"✓ Cuadra","⚠ Diferencia $"&amp;FIXED(X401-Y401,0)))</f>
        <v/>
      </c>
      <c r="AA401" s="72" t="str">
        <f aca="false">IF(AH401="","",IFERROR(INDEX(C_TIPO,MATCH(C401&amp;"-P"&amp;MAX(1,COUNTIFS(C_ID,C401,C_DEFINE,"Sí",C_INICIO,"&lt;="&amp;EOMONTH(B401,0))),C_CLAVE,0))&amp;"","Sin dato"))</f>
        <v/>
      </c>
      <c r="AB401" s="71" t="str">
        <f aca="false">IF(AH401="","",ROUND(MIN(K401,TOPE_AFP_UF*AJ401)*AK401,0))</f>
        <v/>
      </c>
      <c r="AC401" s="71" t="str">
        <f aca="false">IF(AH401="","",ROUND(MIN(K401,TOPE_AFC_UF*AJ401)*IF(AA401="Indefinido",AFC_EMP_INDEF,AFC_EMP_PF),0))</f>
        <v/>
      </c>
      <c r="AD401" s="71" t="str">
        <f aca="false">IF(AH401="","",ROUND(MIN(K401,TOPE_AFP_UF*AJ401)*(MUTUAL_BASICA+MUTUAL_ADIC+SANNA),0))</f>
        <v/>
      </c>
      <c r="AE401" s="71" t="str">
        <f aca="false">IF(AH401="","",P401-N(N401)+AB401+AC401+AD401)</f>
        <v/>
      </c>
      <c r="AF401" s="65"/>
      <c r="AG401" s="64"/>
      <c r="AH401" s="72" t="str">
        <f aca="false">IF(OR(B401="",C401=""),"",C401&amp;"|"&amp;(YEAR(B401)*100+MONTH(B401)))</f>
        <v/>
      </c>
      <c r="AI401" s="70" t="str">
        <f aca="false">IF(AH401="","",IF(COUNTIF(L_CLAVE,AH401)&gt;1,"⚠ Duplicado","OK"))</f>
        <v/>
      </c>
      <c r="AJ401" s="86" t="str">
        <f aca="false">IF(AH401="","",IF(SUMPRODUCT(MAX((IND_PER&lt;=B401)*(IND_UF&lt;&gt;"")*IND_PER))=0,UF_HOY,INDEX(IND_UF,MATCH(SUMPRODUCT(MAX((IND_PER&lt;=B401)*(IND_UF&lt;&gt;"")*IND_PER)),IND_PER,0))))</f>
        <v/>
      </c>
      <c r="AK401" s="87" t="str">
        <f aca="false">IF(AH401="","",IF(COUNTIF(TASA_DESDE,"&lt;="&amp;B401)=0,INDEX(TASA_EMP,1),INDEX(TASA_EMP,COUNTIF(TASA_DESDE,"&lt;="&amp;B401))))</f>
        <v/>
      </c>
    </row>
    <row r="402" customFormat="false" ht="15" hidden="false" customHeight="false" outlineLevel="0" collapsed="false">
      <c r="B402" s="78"/>
      <c r="C402" s="64"/>
      <c r="D402" s="72" t="str">
        <f aca="false">IF(C402="","",IFERROR(INDEX(T_NOMBRE,MATCH(C402,T_ID,0)),"⚠ ID no existe"))</f>
        <v/>
      </c>
      <c r="E402" s="69"/>
      <c r="F402" s="67"/>
      <c r="G402" s="67"/>
      <c r="H402" s="67"/>
      <c r="I402" s="67"/>
      <c r="J402" s="67"/>
      <c r="K402" s="85" t="str">
        <f aca="false">IF(AH402="","",N(F402)+N(G402)+N(H402)-N(I402)+N(J402))</f>
        <v/>
      </c>
      <c r="L402" s="67"/>
      <c r="M402" s="67"/>
      <c r="N402" s="67"/>
      <c r="O402" s="67"/>
      <c r="P402" s="85" t="str">
        <f aca="false">IF(AH402="","",K402+N(L402)+N(M402)+N(N402)+N(O402))</f>
        <v/>
      </c>
      <c r="Q402" s="67"/>
      <c r="R402" s="67"/>
      <c r="S402" s="67"/>
      <c r="T402" s="67"/>
      <c r="U402" s="67"/>
      <c r="V402" s="67"/>
      <c r="W402" s="85" t="str">
        <f aca="false">IF(AH402="","",N(Q402)+N(R402)+N(S402)+N(T402)+N(U402)+N(V402))</f>
        <v/>
      </c>
      <c r="X402" s="85" t="str">
        <f aca="false">IF(AH402="","",P402-W402)</f>
        <v/>
      </c>
      <c r="Y402" s="67"/>
      <c r="Z402" s="70" t="str">
        <f aca="false">IF(OR(AH402="",Y402=""),"",IF(ABS(X402-Y402)&lt;=1,"✓ Cuadra","⚠ Diferencia $"&amp;FIXED(X402-Y402,0)))</f>
        <v/>
      </c>
      <c r="AA402" s="72" t="str">
        <f aca="false">IF(AH402="","",IFERROR(INDEX(C_TIPO,MATCH(C402&amp;"-P"&amp;MAX(1,COUNTIFS(C_ID,C402,C_DEFINE,"Sí",C_INICIO,"&lt;="&amp;EOMONTH(B402,0))),C_CLAVE,0))&amp;"","Sin dato"))</f>
        <v/>
      </c>
      <c r="AB402" s="71" t="str">
        <f aca="false">IF(AH402="","",ROUND(MIN(K402,TOPE_AFP_UF*AJ402)*AK402,0))</f>
        <v/>
      </c>
      <c r="AC402" s="71" t="str">
        <f aca="false">IF(AH402="","",ROUND(MIN(K402,TOPE_AFC_UF*AJ402)*IF(AA402="Indefinido",AFC_EMP_INDEF,AFC_EMP_PF),0))</f>
        <v/>
      </c>
      <c r="AD402" s="71" t="str">
        <f aca="false">IF(AH402="","",ROUND(MIN(K402,TOPE_AFP_UF*AJ402)*(MUTUAL_BASICA+MUTUAL_ADIC+SANNA),0))</f>
        <v/>
      </c>
      <c r="AE402" s="71" t="str">
        <f aca="false">IF(AH402="","",P402-N(N402)+AB402+AC402+AD402)</f>
        <v/>
      </c>
      <c r="AF402" s="65"/>
      <c r="AG402" s="64"/>
      <c r="AH402" s="72" t="str">
        <f aca="false">IF(OR(B402="",C402=""),"",C402&amp;"|"&amp;(YEAR(B402)*100+MONTH(B402)))</f>
        <v/>
      </c>
      <c r="AI402" s="70" t="str">
        <f aca="false">IF(AH402="","",IF(COUNTIF(L_CLAVE,AH402)&gt;1,"⚠ Duplicado","OK"))</f>
        <v/>
      </c>
      <c r="AJ402" s="86" t="str">
        <f aca="false">IF(AH402="","",IF(SUMPRODUCT(MAX((IND_PER&lt;=B402)*(IND_UF&lt;&gt;"")*IND_PER))=0,UF_HOY,INDEX(IND_UF,MATCH(SUMPRODUCT(MAX((IND_PER&lt;=B402)*(IND_UF&lt;&gt;"")*IND_PER)),IND_PER,0))))</f>
        <v/>
      </c>
      <c r="AK402" s="87" t="str">
        <f aca="false">IF(AH402="","",IF(COUNTIF(TASA_DESDE,"&lt;="&amp;B402)=0,INDEX(TASA_EMP,1),INDEX(TASA_EMP,COUNTIF(TASA_DESDE,"&lt;="&amp;B402))))</f>
        <v/>
      </c>
    </row>
    <row r="403" customFormat="false" ht="15" hidden="false" customHeight="false" outlineLevel="0" collapsed="false">
      <c r="B403" s="78"/>
      <c r="C403" s="64"/>
      <c r="D403" s="72" t="str">
        <f aca="false">IF(C403="","",IFERROR(INDEX(T_NOMBRE,MATCH(C403,T_ID,0)),"⚠ ID no existe"))</f>
        <v/>
      </c>
      <c r="E403" s="69"/>
      <c r="F403" s="67"/>
      <c r="G403" s="67"/>
      <c r="H403" s="67"/>
      <c r="I403" s="67"/>
      <c r="J403" s="67"/>
      <c r="K403" s="85" t="str">
        <f aca="false">IF(AH403="","",N(F403)+N(G403)+N(H403)-N(I403)+N(J403))</f>
        <v/>
      </c>
      <c r="L403" s="67"/>
      <c r="M403" s="67"/>
      <c r="N403" s="67"/>
      <c r="O403" s="67"/>
      <c r="P403" s="85" t="str">
        <f aca="false">IF(AH403="","",K403+N(L403)+N(M403)+N(N403)+N(O403))</f>
        <v/>
      </c>
      <c r="Q403" s="67"/>
      <c r="R403" s="67"/>
      <c r="S403" s="67"/>
      <c r="T403" s="67"/>
      <c r="U403" s="67"/>
      <c r="V403" s="67"/>
      <c r="W403" s="85" t="str">
        <f aca="false">IF(AH403="","",N(Q403)+N(R403)+N(S403)+N(T403)+N(U403)+N(V403))</f>
        <v/>
      </c>
      <c r="X403" s="85" t="str">
        <f aca="false">IF(AH403="","",P403-W403)</f>
        <v/>
      </c>
      <c r="Y403" s="67"/>
      <c r="Z403" s="70" t="str">
        <f aca="false">IF(OR(AH403="",Y403=""),"",IF(ABS(X403-Y403)&lt;=1,"✓ Cuadra","⚠ Diferencia $"&amp;FIXED(X403-Y403,0)))</f>
        <v/>
      </c>
      <c r="AA403" s="72" t="str">
        <f aca="false">IF(AH403="","",IFERROR(INDEX(C_TIPO,MATCH(C403&amp;"-P"&amp;MAX(1,COUNTIFS(C_ID,C403,C_DEFINE,"Sí",C_INICIO,"&lt;="&amp;EOMONTH(B403,0))),C_CLAVE,0))&amp;"","Sin dato"))</f>
        <v/>
      </c>
      <c r="AB403" s="71" t="str">
        <f aca="false">IF(AH403="","",ROUND(MIN(K403,TOPE_AFP_UF*AJ403)*AK403,0))</f>
        <v/>
      </c>
      <c r="AC403" s="71" t="str">
        <f aca="false">IF(AH403="","",ROUND(MIN(K403,TOPE_AFC_UF*AJ403)*IF(AA403="Indefinido",AFC_EMP_INDEF,AFC_EMP_PF),0))</f>
        <v/>
      </c>
      <c r="AD403" s="71" t="str">
        <f aca="false">IF(AH403="","",ROUND(MIN(K403,TOPE_AFP_UF*AJ403)*(MUTUAL_BASICA+MUTUAL_ADIC+SANNA),0))</f>
        <v/>
      </c>
      <c r="AE403" s="71" t="str">
        <f aca="false">IF(AH403="","",P403-N(N403)+AB403+AC403+AD403)</f>
        <v/>
      </c>
      <c r="AF403" s="65"/>
      <c r="AG403" s="64"/>
      <c r="AH403" s="72" t="str">
        <f aca="false">IF(OR(B403="",C403=""),"",C403&amp;"|"&amp;(YEAR(B403)*100+MONTH(B403)))</f>
        <v/>
      </c>
      <c r="AI403" s="70" t="str">
        <f aca="false">IF(AH403="","",IF(COUNTIF(L_CLAVE,AH403)&gt;1,"⚠ Duplicado","OK"))</f>
        <v/>
      </c>
      <c r="AJ403" s="86" t="str">
        <f aca="false">IF(AH403="","",IF(SUMPRODUCT(MAX((IND_PER&lt;=B403)*(IND_UF&lt;&gt;"")*IND_PER))=0,UF_HOY,INDEX(IND_UF,MATCH(SUMPRODUCT(MAX((IND_PER&lt;=B403)*(IND_UF&lt;&gt;"")*IND_PER)),IND_PER,0))))</f>
        <v/>
      </c>
      <c r="AK403" s="87" t="str">
        <f aca="false">IF(AH403="","",IF(COUNTIF(TASA_DESDE,"&lt;="&amp;B403)=0,INDEX(TASA_EMP,1),INDEX(TASA_EMP,COUNTIF(TASA_DESDE,"&lt;="&amp;B403))))</f>
        <v/>
      </c>
    </row>
    <row r="404" customFormat="false" ht="15" hidden="false" customHeight="false" outlineLevel="0" collapsed="false">
      <c r="B404" s="78"/>
      <c r="C404" s="64"/>
      <c r="D404" s="72" t="str">
        <f aca="false">IF(C404="","",IFERROR(INDEX(T_NOMBRE,MATCH(C404,T_ID,0)),"⚠ ID no existe"))</f>
        <v/>
      </c>
      <c r="E404" s="69"/>
      <c r="F404" s="67"/>
      <c r="G404" s="67"/>
      <c r="H404" s="67"/>
      <c r="I404" s="67"/>
      <c r="J404" s="67"/>
      <c r="K404" s="85" t="str">
        <f aca="false">IF(AH404="","",N(F404)+N(G404)+N(H404)-N(I404)+N(J404))</f>
        <v/>
      </c>
      <c r="L404" s="67"/>
      <c r="M404" s="67"/>
      <c r="N404" s="67"/>
      <c r="O404" s="67"/>
      <c r="P404" s="85" t="str">
        <f aca="false">IF(AH404="","",K404+N(L404)+N(M404)+N(N404)+N(O404))</f>
        <v/>
      </c>
      <c r="Q404" s="67"/>
      <c r="R404" s="67"/>
      <c r="S404" s="67"/>
      <c r="T404" s="67"/>
      <c r="U404" s="67"/>
      <c r="V404" s="67"/>
      <c r="W404" s="85" t="str">
        <f aca="false">IF(AH404="","",N(Q404)+N(R404)+N(S404)+N(T404)+N(U404)+N(V404))</f>
        <v/>
      </c>
      <c r="X404" s="85" t="str">
        <f aca="false">IF(AH404="","",P404-W404)</f>
        <v/>
      </c>
      <c r="Y404" s="67"/>
      <c r="Z404" s="70" t="str">
        <f aca="false">IF(OR(AH404="",Y404=""),"",IF(ABS(X404-Y404)&lt;=1,"✓ Cuadra","⚠ Diferencia $"&amp;FIXED(X404-Y404,0)))</f>
        <v/>
      </c>
      <c r="AA404" s="72" t="str">
        <f aca="false">IF(AH404="","",IFERROR(INDEX(C_TIPO,MATCH(C404&amp;"-P"&amp;MAX(1,COUNTIFS(C_ID,C404,C_DEFINE,"Sí",C_INICIO,"&lt;="&amp;EOMONTH(B404,0))),C_CLAVE,0))&amp;"","Sin dato"))</f>
        <v/>
      </c>
      <c r="AB404" s="71" t="str">
        <f aca="false">IF(AH404="","",ROUND(MIN(K404,TOPE_AFP_UF*AJ404)*AK404,0))</f>
        <v/>
      </c>
      <c r="AC404" s="71" t="str">
        <f aca="false">IF(AH404="","",ROUND(MIN(K404,TOPE_AFC_UF*AJ404)*IF(AA404="Indefinido",AFC_EMP_INDEF,AFC_EMP_PF),0))</f>
        <v/>
      </c>
      <c r="AD404" s="71" t="str">
        <f aca="false">IF(AH404="","",ROUND(MIN(K404,TOPE_AFP_UF*AJ404)*(MUTUAL_BASICA+MUTUAL_ADIC+SANNA),0))</f>
        <v/>
      </c>
      <c r="AE404" s="71" t="str">
        <f aca="false">IF(AH404="","",P404-N(N404)+AB404+AC404+AD404)</f>
        <v/>
      </c>
      <c r="AF404" s="65"/>
      <c r="AG404" s="64"/>
      <c r="AH404" s="72" t="str">
        <f aca="false">IF(OR(B404="",C404=""),"",C404&amp;"|"&amp;(YEAR(B404)*100+MONTH(B404)))</f>
        <v/>
      </c>
      <c r="AI404" s="70" t="str">
        <f aca="false">IF(AH404="","",IF(COUNTIF(L_CLAVE,AH404)&gt;1,"⚠ Duplicado","OK"))</f>
        <v/>
      </c>
      <c r="AJ404" s="86" t="str">
        <f aca="false">IF(AH404="","",IF(SUMPRODUCT(MAX((IND_PER&lt;=B404)*(IND_UF&lt;&gt;"")*IND_PER))=0,UF_HOY,INDEX(IND_UF,MATCH(SUMPRODUCT(MAX((IND_PER&lt;=B404)*(IND_UF&lt;&gt;"")*IND_PER)),IND_PER,0))))</f>
        <v/>
      </c>
      <c r="AK404" s="87" t="str">
        <f aca="false">IF(AH404="","",IF(COUNTIF(TASA_DESDE,"&lt;="&amp;B404)=0,INDEX(TASA_EMP,1),INDEX(TASA_EMP,COUNTIF(TASA_DESDE,"&lt;="&amp;B404))))</f>
        <v/>
      </c>
    </row>
    <row r="405" customFormat="false" ht="15" hidden="false" customHeight="false" outlineLevel="0" collapsed="false">
      <c r="B405" s="78"/>
      <c r="C405" s="64"/>
      <c r="D405" s="72" t="str">
        <f aca="false">IF(C405="","",IFERROR(INDEX(T_NOMBRE,MATCH(C405,T_ID,0)),"⚠ ID no existe"))</f>
        <v/>
      </c>
      <c r="E405" s="69"/>
      <c r="F405" s="67"/>
      <c r="G405" s="67"/>
      <c r="H405" s="67"/>
      <c r="I405" s="67"/>
      <c r="J405" s="67"/>
      <c r="K405" s="85" t="str">
        <f aca="false">IF(AH405="","",N(F405)+N(G405)+N(H405)-N(I405)+N(J405))</f>
        <v/>
      </c>
      <c r="L405" s="67"/>
      <c r="M405" s="67"/>
      <c r="N405" s="67"/>
      <c r="O405" s="67"/>
      <c r="P405" s="85" t="str">
        <f aca="false">IF(AH405="","",K405+N(L405)+N(M405)+N(N405)+N(O405))</f>
        <v/>
      </c>
      <c r="Q405" s="67"/>
      <c r="R405" s="67"/>
      <c r="S405" s="67"/>
      <c r="T405" s="67"/>
      <c r="U405" s="67"/>
      <c r="V405" s="67"/>
      <c r="W405" s="85" t="str">
        <f aca="false">IF(AH405="","",N(Q405)+N(R405)+N(S405)+N(T405)+N(U405)+N(V405))</f>
        <v/>
      </c>
      <c r="X405" s="85" t="str">
        <f aca="false">IF(AH405="","",P405-W405)</f>
        <v/>
      </c>
      <c r="Y405" s="67"/>
      <c r="Z405" s="70" t="str">
        <f aca="false">IF(OR(AH405="",Y405=""),"",IF(ABS(X405-Y405)&lt;=1,"✓ Cuadra","⚠ Diferencia $"&amp;FIXED(X405-Y405,0)))</f>
        <v/>
      </c>
      <c r="AA405" s="72" t="str">
        <f aca="false">IF(AH405="","",IFERROR(INDEX(C_TIPO,MATCH(C405&amp;"-P"&amp;MAX(1,COUNTIFS(C_ID,C405,C_DEFINE,"Sí",C_INICIO,"&lt;="&amp;EOMONTH(B405,0))),C_CLAVE,0))&amp;"","Sin dato"))</f>
        <v/>
      </c>
      <c r="AB405" s="71" t="str">
        <f aca="false">IF(AH405="","",ROUND(MIN(K405,TOPE_AFP_UF*AJ405)*AK405,0))</f>
        <v/>
      </c>
      <c r="AC405" s="71" t="str">
        <f aca="false">IF(AH405="","",ROUND(MIN(K405,TOPE_AFC_UF*AJ405)*IF(AA405="Indefinido",AFC_EMP_INDEF,AFC_EMP_PF),0))</f>
        <v/>
      </c>
      <c r="AD405" s="71" t="str">
        <f aca="false">IF(AH405="","",ROUND(MIN(K405,TOPE_AFP_UF*AJ405)*(MUTUAL_BASICA+MUTUAL_ADIC+SANNA),0))</f>
        <v/>
      </c>
      <c r="AE405" s="71" t="str">
        <f aca="false">IF(AH405="","",P405-N(N405)+AB405+AC405+AD405)</f>
        <v/>
      </c>
      <c r="AF405" s="65"/>
      <c r="AG405" s="64"/>
      <c r="AH405" s="72" t="str">
        <f aca="false">IF(OR(B405="",C405=""),"",C405&amp;"|"&amp;(YEAR(B405)*100+MONTH(B405)))</f>
        <v/>
      </c>
      <c r="AI405" s="70" t="str">
        <f aca="false">IF(AH405="","",IF(COUNTIF(L_CLAVE,AH405)&gt;1,"⚠ Duplicado","OK"))</f>
        <v/>
      </c>
      <c r="AJ405" s="86" t="str">
        <f aca="false">IF(AH405="","",IF(SUMPRODUCT(MAX((IND_PER&lt;=B405)*(IND_UF&lt;&gt;"")*IND_PER))=0,UF_HOY,INDEX(IND_UF,MATCH(SUMPRODUCT(MAX((IND_PER&lt;=B405)*(IND_UF&lt;&gt;"")*IND_PER)),IND_PER,0))))</f>
        <v/>
      </c>
      <c r="AK405" s="87" t="str">
        <f aca="false">IF(AH405="","",IF(COUNTIF(TASA_DESDE,"&lt;="&amp;B405)=0,INDEX(TASA_EMP,1),INDEX(TASA_EMP,COUNTIF(TASA_DESDE,"&lt;="&amp;B405))))</f>
        <v/>
      </c>
    </row>
    <row r="406" customFormat="false" ht="15" hidden="false" customHeight="false" outlineLevel="0" collapsed="false">
      <c r="B406" s="78"/>
      <c r="C406" s="64"/>
      <c r="D406" s="72" t="str">
        <f aca="false">IF(C406="","",IFERROR(INDEX(T_NOMBRE,MATCH(C406,T_ID,0)),"⚠ ID no existe"))</f>
        <v/>
      </c>
      <c r="E406" s="69"/>
      <c r="F406" s="67"/>
      <c r="G406" s="67"/>
      <c r="H406" s="67"/>
      <c r="I406" s="67"/>
      <c r="J406" s="67"/>
      <c r="K406" s="85" t="str">
        <f aca="false">IF(AH406="","",N(F406)+N(G406)+N(H406)-N(I406)+N(J406))</f>
        <v/>
      </c>
      <c r="L406" s="67"/>
      <c r="M406" s="67"/>
      <c r="N406" s="67"/>
      <c r="O406" s="67"/>
      <c r="P406" s="85" t="str">
        <f aca="false">IF(AH406="","",K406+N(L406)+N(M406)+N(N406)+N(O406))</f>
        <v/>
      </c>
      <c r="Q406" s="67"/>
      <c r="R406" s="67"/>
      <c r="S406" s="67"/>
      <c r="T406" s="67"/>
      <c r="U406" s="67"/>
      <c r="V406" s="67"/>
      <c r="W406" s="85" t="str">
        <f aca="false">IF(AH406="","",N(Q406)+N(R406)+N(S406)+N(T406)+N(U406)+N(V406))</f>
        <v/>
      </c>
      <c r="X406" s="85" t="str">
        <f aca="false">IF(AH406="","",P406-W406)</f>
        <v/>
      </c>
      <c r="Y406" s="67"/>
      <c r="Z406" s="70" t="str">
        <f aca="false">IF(OR(AH406="",Y406=""),"",IF(ABS(X406-Y406)&lt;=1,"✓ Cuadra","⚠ Diferencia $"&amp;FIXED(X406-Y406,0)))</f>
        <v/>
      </c>
      <c r="AA406" s="72" t="str">
        <f aca="false">IF(AH406="","",IFERROR(INDEX(C_TIPO,MATCH(C406&amp;"-P"&amp;MAX(1,COUNTIFS(C_ID,C406,C_DEFINE,"Sí",C_INICIO,"&lt;="&amp;EOMONTH(B406,0))),C_CLAVE,0))&amp;"","Sin dato"))</f>
        <v/>
      </c>
      <c r="AB406" s="71" t="str">
        <f aca="false">IF(AH406="","",ROUND(MIN(K406,TOPE_AFP_UF*AJ406)*AK406,0))</f>
        <v/>
      </c>
      <c r="AC406" s="71" t="str">
        <f aca="false">IF(AH406="","",ROUND(MIN(K406,TOPE_AFC_UF*AJ406)*IF(AA406="Indefinido",AFC_EMP_INDEF,AFC_EMP_PF),0))</f>
        <v/>
      </c>
      <c r="AD406" s="71" t="str">
        <f aca="false">IF(AH406="","",ROUND(MIN(K406,TOPE_AFP_UF*AJ406)*(MUTUAL_BASICA+MUTUAL_ADIC+SANNA),0))</f>
        <v/>
      </c>
      <c r="AE406" s="71" t="str">
        <f aca="false">IF(AH406="","",P406-N(N406)+AB406+AC406+AD406)</f>
        <v/>
      </c>
      <c r="AF406" s="65"/>
      <c r="AG406" s="64"/>
      <c r="AH406" s="72" t="str">
        <f aca="false">IF(OR(B406="",C406=""),"",C406&amp;"|"&amp;(YEAR(B406)*100+MONTH(B406)))</f>
        <v/>
      </c>
      <c r="AI406" s="70" t="str">
        <f aca="false">IF(AH406="","",IF(COUNTIF(L_CLAVE,AH406)&gt;1,"⚠ Duplicado","OK"))</f>
        <v/>
      </c>
      <c r="AJ406" s="86" t="str">
        <f aca="false">IF(AH406="","",IF(SUMPRODUCT(MAX((IND_PER&lt;=B406)*(IND_UF&lt;&gt;"")*IND_PER))=0,UF_HOY,INDEX(IND_UF,MATCH(SUMPRODUCT(MAX((IND_PER&lt;=B406)*(IND_UF&lt;&gt;"")*IND_PER)),IND_PER,0))))</f>
        <v/>
      </c>
      <c r="AK406" s="87" t="str">
        <f aca="false">IF(AH406="","",IF(COUNTIF(TASA_DESDE,"&lt;="&amp;B406)=0,INDEX(TASA_EMP,1),INDEX(TASA_EMP,COUNTIF(TASA_DESDE,"&lt;="&amp;B406))))</f>
        <v/>
      </c>
    </row>
    <row r="407" customFormat="false" ht="15" hidden="false" customHeight="false" outlineLevel="0" collapsed="false">
      <c r="B407" s="78"/>
      <c r="C407" s="64"/>
      <c r="D407" s="72" t="str">
        <f aca="false">IF(C407="","",IFERROR(INDEX(T_NOMBRE,MATCH(C407,T_ID,0)),"⚠ ID no existe"))</f>
        <v/>
      </c>
      <c r="E407" s="69"/>
      <c r="F407" s="67"/>
      <c r="G407" s="67"/>
      <c r="H407" s="67"/>
      <c r="I407" s="67"/>
      <c r="J407" s="67"/>
      <c r="K407" s="85" t="str">
        <f aca="false">IF(AH407="","",N(F407)+N(G407)+N(H407)-N(I407)+N(J407))</f>
        <v/>
      </c>
      <c r="L407" s="67"/>
      <c r="M407" s="67"/>
      <c r="N407" s="67"/>
      <c r="O407" s="67"/>
      <c r="P407" s="85" t="str">
        <f aca="false">IF(AH407="","",K407+N(L407)+N(M407)+N(N407)+N(O407))</f>
        <v/>
      </c>
      <c r="Q407" s="67"/>
      <c r="R407" s="67"/>
      <c r="S407" s="67"/>
      <c r="T407" s="67"/>
      <c r="U407" s="67"/>
      <c r="V407" s="67"/>
      <c r="W407" s="85" t="str">
        <f aca="false">IF(AH407="","",N(Q407)+N(R407)+N(S407)+N(T407)+N(U407)+N(V407))</f>
        <v/>
      </c>
      <c r="X407" s="85" t="str">
        <f aca="false">IF(AH407="","",P407-W407)</f>
        <v/>
      </c>
      <c r="Y407" s="67"/>
      <c r="Z407" s="70" t="str">
        <f aca="false">IF(OR(AH407="",Y407=""),"",IF(ABS(X407-Y407)&lt;=1,"✓ Cuadra","⚠ Diferencia $"&amp;FIXED(X407-Y407,0)))</f>
        <v/>
      </c>
      <c r="AA407" s="72" t="str">
        <f aca="false">IF(AH407="","",IFERROR(INDEX(C_TIPO,MATCH(C407&amp;"-P"&amp;MAX(1,COUNTIFS(C_ID,C407,C_DEFINE,"Sí",C_INICIO,"&lt;="&amp;EOMONTH(B407,0))),C_CLAVE,0))&amp;"","Sin dato"))</f>
        <v/>
      </c>
      <c r="AB407" s="71" t="str">
        <f aca="false">IF(AH407="","",ROUND(MIN(K407,TOPE_AFP_UF*AJ407)*AK407,0))</f>
        <v/>
      </c>
      <c r="AC407" s="71" t="str">
        <f aca="false">IF(AH407="","",ROUND(MIN(K407,TOPE_AFC_UF*AJ407)*IF(AA407="Indefinido",AFC_EMP_INDEF,AFC_EMP_PF),0))</f>
        <v/>
      </c>
      <c r="AD407" s="71" t="str">
        <f aca="false">IF(AH407="","",ROUND(MIN(K407,TOPE_AFP_UF*AJ407)*(MUTUAL_BASICA+MUTUAL_ADIC+SANNA),0))</f>
        <v/>
      </c>
      <c r="AE407" s="71" t="str">
        <f aca="false">IF(AH407="","",P407-N(N407)+AB407+AC407+AD407)</f>
        <v/>
      </c>
      <c r="AF407" s="65"/>
      <c r="AG407" s="64"/>
      <c r="AH407" s="72" t="str">
        <f aca="false">IF(OR(B407="",C407=""),"",C407&amp;"|"&amp;(YEAR(B407)*100+MONTH(B407)))</f>
        <v/>
      </c>
      <c r="AI407" s="70" t="str">
        <f aca="false">IF(AH407="","",IF(COUNTIF(L_CLAVE,AH407)&gt;1,"⚠ Duplicado","OK"))</f>
        <v/>
      </c>
      <c r="AJ407" s="86" t="str">
        <f aca="false">IF(AH407="","",IF(SUMPRODUCT(MAX((IND_PER&lt;=B407)*(IND_UF&lt;&gt;"")*IND_PER))=0,UF_HOY,INDEX(IND_UF,MATCH(SUMPRODUCT(MAX((IND_PER&lt;=B407)*(IND_UF&lt;&gt;"")*IND_PER)),IND_PER,0))))</f>
        <v/>
      </c>
      <c r="AK407" s="87" t="str">
        <f aca="false">IF(AH407="","",IF(COUNTIF(TASA_DESDE,"&lt;="&amp;B407)=0,INDEX(TASA_EMP,1),INDEX(TASA_EMP,COUNTIF(TASA_DESDE,"&lt;="&amp;B407))))</f>
        <v/>
      </c>
    </row>
    <row r="408" customFormat="false" ht="15" hidden="false" customHeight="false" outlineLevel="0" collapsed="false">
      <c r="B408" s="78"/>
      <c r="C408" s="64"/>
      <c r="D408" s="72" t="str">
        <f aca="false">IF(C408="","",IFERROR(INDEX(T_NOMBRE,MATCH(C408,T_ID,0)),"⚠ ID no existe"))</f>
        <v/>
      </c>
      <c r="E408" s="69"/>
      <c r="F408" s="67"/>
      <c r="G408" s="67"/>
      <c r="H408" s="67"/>
      <c r="I408" s="67"/>
      <c r="J408" s="67"/>
      <c r="K408" s="85" t="str">
        <f aca="false">IF(AH408="","",N(F408)+N(G408)+N(H408)-N(I408)+N(J408))</f>
        <v/>
      </c>
      <c r="L408" s="67"/>
      <c r="M408" s="67"/>
      <c r="N408" s="67"/>
      <c r="O408" s="67"/>
      <c r="P408" s="85" t="str">
        <f aca="false">IF(AH408="","",K408+N(L408)+N(M408)+N(N408)+N(O408))</f>
        <v/>
      </c>
      <c r="Q408" s="67"/>
      <c r="R408" s="67"/>
      <c r="S408" s="67"/>
      <c r="T408" s="67"/>
      <c r="U408" s="67"/>
      <c r="V408" s="67"/>
      <c r="W408" s="85" t="str">
        <f aca="false">IF(AH408="","",N(Q408)+N(R408)+N(S408)+N(T408)+N(U408)+N(V408))</f>
        <v/>
      </c>
      <c r="X408" s="85" t="str">
        <f aca="false">IF(AH408="","",P408-W408)</f>
        <v/>
      </c>
      <c r="Y408" s="67"/>
      <c r="Z408" s="70" t="str">
        <f aca="false">IF(OR(AH408="",Y408=""),"",IF(ABS(X408-Y408)&lt;=1,"✓ Cuadra","⚠ Diferencia $"&amp;FIXED(X408-Y408,0)))</f>
        <v/>
      </c>
      <c r="AA408" s="72" t="str">
        <f aca="false">IF(AH408="","",IFERROR(INDEX(C_TIPO,MATCH(C408&amp;"-P"&amp;MAX(1,COUNTIFS(C_ID,C408,C_DEFINE,"Sí",C_INICIO,"&lt;="&amp;EOMONTH(B408,0))),C_CLAVE,0))&amp;"","Sin dato"))</f>
        <v/>
      </c>
      <c r="AB408" s="71" t="str">
        <f aca="false">IF(AH408="","",ROUND(MIN(K408,TOPE_AFP_UF*AJ408)*AK408,0))</f>
        <v/>
      </c>
      <c r="AC408" s="71" t="str">
        <f aca="false">IF(AH408="","",ROUND(MIN(K408,TOPE_AFC_UF*AJ408)*IF(AA408="Indefinido",AFC_EMP_INDEF,AFC_EMP_PF),0))</f>
        <v/>
      </c>
      <c r="AD408" s="71" t="str">
        <f aca="false">IF(AH408="","",ROUND(MIN(K408,TOPE_AFP_UF*AJ408)*(MUTUAL_BASICA+MUTUAL_ADIC+SANNA),0))</f>
        <v/>
      </c>
      <c r="AE408" s="71" t="str">
        <f aca="false">IF(AH408="","",P408-N(N408)+AB408+AC408+AD408)</f>
        <v/>
      </c>
      <c r="AF408" s="65"/>
      <c r="AG408" s="64"/>
      <c r="AH408" s="72" t="str">
        <f aca="false">IF(OR(B408="",C408=""),"",C408&amp;"|"&amp;(YEAR(B408)*100+MONTH(B408)))</f>
        <v/>
      </c>
      <c r="AI408" s="70" t="str">
        <f aca="false">IF(AH408="","",IF(COUNTIF(L_CLAVE,AH408)&gt;1,"⚠ Duplicado","OK"))</f>
        <v/>
      </c>
      <c r="AJ408" s="86" t="str">
        <f aca="false">IF(AH408="","",IF(SUMPRODUCT(MAX((IND_PER&lt;=B408)*(IND_UF&lt;&gt;"")*IND_PER))=0,UF_HOY,INDEX(IND_UF,MATCH(SUMPRODUCT(MAX((IND_PER&lt;=B408)*(IND_UF&lt;&gt;"")*IND_PER)),IND_PER,0))))</f>
        <v/>
      </c>
      <c r="AK408" s="87" t="str">
        <f aca="false">IF(AH408="","",IF(COUNTIF(TASA_DESDE,"&lt;="&amp;B408)=0,INDEX(TASA_EMP,1),INDEX(TASA_EMP,COUNTIF(TASA_DESDE,"&lt;="&amp;B408))))</f>
        <v/>
      </c>
    </row>
    <row r="409" customFormat="false" ht="15" hidden="false" customHeight="false" outlineLevel="0" collapsed="false">
      <c r="B409" s="78"/>
      <c r="C409" s="64"/>
      <c r="D409" s="72" t="str">
        <f aca="false">IF(C409="","",IFERROR(INDEX(T_NOMBRE,MATCH(C409,T_ID,0)),"⚠ ID no existe"))</f>
        <v/>
      </c>
      <c r="E409" s="69"/>
      <c r="F409" s="67"/>
      <c r="G409" s="67"/>
      <c r="H409" s="67"/>
      <c r="I409" s="67"/>
      <c r="J409" s="67"/>
      <c r="K409" s="85" t="str">
        <f aca="false">IF(AH409="","",N(F409)+N(G409)+N(H409)-N(I409)+N(J409))</f>
        <v/>
      </c>
      <c r="L409" s="67"/>
      <c r="M409" s="67"/>
      <c r="N409" s="67"/>
      <c r="O409" s="67"/>
      <c r="P409" s="85" t="str">
        <f aca="false">IF(AH409="","",K409+N(L409)+N(M409)+N(N409)+N(O409))</f>
        <v/>
      </c>
      <c r="Q409" s="67"/>
      <c r="R409" s="67"/>
      <c r="S409" s="67"/>
      <c r="T409" s="67"/>
      <c r="U409" s="67"/>
      <c r="V409" s="67"/>
      <c r="W409" s="85" t="str">
        <f aca="false">IF(AH409="","",N(Q409)+N(R409)+N(S409)+N(T409)+N(U409)+N(V409))</f>
        <v/>
      </c>
      <c r="X409" s="85" t="str">
        <f aca="false">IF(AH409="","",P409-W409)</f>
        <v/>
      </c>
      <c r="Y409" s="67"/>
      <c r="Z409" s="70" t="str">
        <f aca="false">IF(OR(AH409="",Y409=""),"",IF(ABS(X409-Y409)&lt;=1,"✓ Cuadra","⚠ Diferencia $"&amp;FIXED(X409-Y409,0)))</f>
        <v/>
      </c>
      <c r="AA409" s="72" t="str">
        <f aca="false">IF(AH409="","",IFERROR(INDEX(C_TIPO,MATCH(C409&amp;"-P"&amp;MAX(1,COUNTIFS(C_ID,C409,C_DEFINE,"Sí",C_INICIO,"&lt;="&amp;EOMONTH(B409,0))),C_CLAVE,0))&amp;"","Sin dato"))</f>
        <v/>
      </c>
      <c r="AB409" s="71" t="str">
        <f aca="false">IF(AH409="","",ROUND(MIN(K409,TOPE_AFP_UF*AJ409)*AK409,0))</f>
        <v/>
      </c>
      <c r="AC409" s="71" t="str">
        <f aca="false">IF(AH409="","",ROUND(MIN(K409,TOPE_AFC_UF*AJ409)*IF(AA409="Indefinido",AFC_EMP_INDEF,AFC_EMP_PF),0))</f>
        <v/>
      </c>
      <c r="AD409" s="71" t="str">
        <f aca="false">IF(AH409="","",ROUND(MIN(K409,TOPE_AFP_UF*AJ409)*(MUTUAL_BASICA+MUTUAL_ADIC+SANNA),0))</f>
        <v/>
      </c>
      <c r="AE409" s="71" t="str">
        <f aca="false">IF(AH409="","",P409-N(N409)+AB409+AC409+AD409)</f>
        <v/>
      </c>
      <c r="AF409" s="65"/>
      <c r="AG409" s="64"/>
      <c r="AH409" s="72" t="str">
        <f aca="false">IF(OR(B409="",C409=""),"",C409&amp;"|"&amp;(YEAR(B409)*100+MONTH(B409)))</f>
        <v/>
      </c>
      <c r="AI409" s="70" t="str">
        <f aca="false">IF(AH409="","",IF(COUNTIF(L_CLAVE,AH409)&gt;1,"⚠ Duplicado","OK"))</f>
        <v/>
      </c>
      <c r="AJ409" s="86" t="str">
        <f aca="false">IF(AH409="","",IF(SUMPRODUCT(MAX((IND_PER&lt;=B409)*(IND_UF&lt;&gt;"")*IND_PER))=0,UF_HOY,INDEX(IND_UF,MATCH(SUMPRODUCT(MAX((IND_PER&lt;=B409)*(IND_UF&lt;&gt;"")*IND_PER)),IND_PER,0))))</f>
        <v/>
      </c>
      <c r="AK409" s="87" t="str">
        <f aca="false">IF(AH409="","",IF(COUNTIF(TASA_DESDE,"&lt;="&amp;B409)=0,INDEX(TASA_EMP,1),INDEX(TASA_EMP,COUNTIF(TASA_DESDE,"&lt;="&amp;B409))))</f>
        <v/>
      </c>
    </row>
    <row r="410" customFormat="false" ht="15" hidden="false" customHeight="false" outlineLevel="0" collapsed="false">
      <c r="B410" s="78"/>
      <c r="C410" s="64"/>
      <c r="D410" s="72" t="str">
        <f aca="false">IF(C410="","",IFERROR(INDEX(T_NOMBRE,MATCH(C410,T_ID,0)),"⚠ ID no existe"))</f>
        <v/>
      </c>
      <c r="E410" s="69"/>
      <c r="F410" s="67"/>
      <c r="G410" s="67"/>
      <c r="H410" s="67"/>
      <c r="I410" s="67"/>
      <c r="J410" s="67"/>
      <c r="K410" s="85" t="str">
        <f aca="false">IF(AH410="","",N(F410)+N(G410)+N(H410)-N(I410)+N(J410))</f>
        <v/>
      </c>
      <c r="L410" s="67"/>
      <c r="M410" s="67"/>
      <c r="N410" s="67"/>
      <c r="O410" s="67"/>
      <c r="P410" s="85" t="str">
        <f aca="false">IF(AH410="","",K410+N(L410)+N(M410)+N(N410)+N(O410))</f>
        <v/>
      </c>
      <c r="Q410" s="67"/>
      <c r="R410" s="67"/>
      <c r="S410" s="67"/>
      <c r="T410" s="67"/>
      <c r="U410" s="67"/>
      <c r="V410" s="67"/>
      <c r="W410" s="85" t="str">
        <f aca="false">IF(AH410="","",N(Q410)+N(R410)+N(S410)+N(T410)+N(U410)+N(V410))</f>
        <v/>
      </c>
      <c r="X410" s="85" t="str">
        <f aca="false">IF(AH410="","",P410-W410)</f>
        <v/>
      </c>
      <c r="Y410" s="67"/>
      <c r="Z410" s="70" t="str">
        <f aca="false">IF(OR(AH410="",Y410=""),"",IF(ABS(X410-Y410)&lt;=1,"✓ Cuadra","⚠ Diferencia $"&amp;FIXED(X410-Y410,0)))</f>
        <v/>
      </c>
      <c r="AA410" s="72" t="str">
        <f aca="false">IF(AH410="","",IFERROR(INDEX(C_TIPO,MATCH(C410&amp;"-P"&amp;MAX(1,COUNTIFS(C_ID,C410,C_DEFINE,"Sí",C_INICIO,"&lt;="&amp;EOMONTH(B410,0))),C_CLAVE,0))&amp;"","Sin dato"))</f>
        <v/>
      </c>
      <c r="AB410" s="71" t="str">
        <f aca="false">IF(AH410="","",ROUND(MIN(K410,TOPE_AFP_UF*AJ410)*AK410,0))</f>
        <v/>
      </c>
      <c r="AC410" s="71" t="str">
        <f aca="false">IF(AH410="","",ROUND(MIN(K410,TOPE_AFC_UF*AJ410)*IF(AA410="Indefinido",AFC_EMP_INDEF,AFC_EMP_PF),0))</f>
        <v/>
      </c>
      <c r="AD410" s="71" t="str">
        <f aca="false">IF(AH410="","",ROUND(MIN(K410,TOPE_AFP_UF*AJ410)*(MUTUAL_BASICA+MUTUAL_ADIC+SANNA),0))</f>
        <v/>
      </c>
      <c r="AE410" s="71" t="str">
        <f aca="false">IF(AH410="","",P410-N(N410)+AB410+AC410+AD410)</f>
        <v/>
      </c>
      <c r="AF410" s="65"/>
      <c r="AG410" s="64"/>
      <c r="AH410" s="72" t="str">
        <f aca="false">IF(OR(B410="",C410=""),"",C410&amp;"|"&amp;(YEAR(B410)*100+MONTH(B410)))</f>
        <v/>
      </c>
      <c r="AI410" s="70" t="str">
        <f aca="false">IF(AH410="","",IF(COUNTIF(L_CLAVE,AH410)&gt;1,"⚠ Duplicado","OK"))</f>
        <v/>
      </c>
      <c r="AJ410" s="86" t="str">
        <f aca="false">IF(AH410="","",IF(SUMPRODUCT(MAX((IND_PER&lt;=B410)*(IND_UF&lt;&gt;"")*IND_PER))=0,UF_HOY,INDEX(IND_UF,MATCH(SUMPRODUCT(MAX((IND_PER&lt;=B410)*(IND_UF&lt;&gt;"")*IND_PER)),IND_PER,0))))</f>
        <v/>
      </c>
      <c r="AK410" s="87" t="str">
        <f aca="false">IF(AH410="","",IF(COUNTIF(TASA_DESDE,"&lt;="&amp;B410)=0,INDEX(TASA_EMP,1),INDEX(TASA_EMP,COUNTIF(TASA_DESDE,"&lt;="&amp;B410))))</f>
        <v/>
      </c>
    </row>
    <row r="411" customFormat="false" ht="15" hidden="false" customHeight="false" outlineLevel="0" collapsed="false">
      <c r="B411" s="78"/>
      <c r="C411" s="64"/>
      <c r="D411" s="72" t="str">
        <f aca="false">IF(C411="","",IFERROR(INDEX(T_NOMBRE,MATCH(C411,T_ID,0)),"⚠ ID no existe"))</f>
        <v/>
      </c>
      <c r="E411" s="69"/>
      <c r="F411" s="67"/>
      <c r="G411" s="67"/>
      <c r="H411" s="67"/>
      <c r="I411" s="67"/>
      <c r="J411" s="67"/>
      <c r="K411" s="85" t="str">
        <f aca="false">IF(AH411="","",N(F411)+N(G411)+N(H411)-N(I411)+N(J411))</f>
        <v/>
      </c>
      <c r="L411" s="67"/>
      <c r="M411" s="67"/>
      <c r="N411" s="67"/>
      <c r="O411" s="67"/>
      <c r="P411" s="85" t="str">
        <f aca="false">IF(AH411="","",K411+N(L411)+N(M411)+N(N411)+N(O411))</f>
        <v/>
      </c>
      <c r="Q411" s="67"/>
      <c r="R411" s="67"/>
      <c r="S411" s="67"/>
      <c r="T411" s="67"/>
      <c r="U411" s="67"/>
      <c r="V411" s="67"/>
      <c r="W411" s="85" t="str">
        <f aca="false">IF(AH411="","",N(Q411)+N(R411)+N(S411)+N(T411)+N(U411)+N(V411))</f>
        <v/>
      </c>
      <c r="X411" s="85" t="str">
        <f aca="false">IF(AH411="","",P411-W411)</f>
        <v/>
      </c>
      <c r="Y411" s="67"/>
      <c r="Z411" s="70" t="str">
        <f aca="false">IF(OR(AH411="",Y411=""),"",IF(ABS(X411-Y411)&lt;=1,"✓ Cuadra","⚠ Diferencia $"&amp;FIXED(X411-Y411,0)))</f>
        <v/>
      </c>
      <c r="AA411" s="72" t="str">
        <f aca="false">IF(AH411="","",IFERROR(INDEX(C_TIPO,MATCH(C411&amp;"-P"&amp;MAX(1,COUNTIFS(C_ID,C411,C_DEFINE,"Sí",C_INICIO,"&lt;="&amp;EOMONTH(B411,0))),C_CLAVE,0))&amp;"","Sin dato"))</f>
        <v/>
      </c>
      <c r="AB411" s="71" t="str">
        <f aca="false">IF(AH411="","",ROUND(MIN(K411,TOPE_AFP_UF*AJ411)*AK411,0))</f>
        <v/>
      </c>
      <c r="AC411" s="71" t="str">
        <f aca="false">IF(AH411="","",ROUND(MIN(K411,TOPE_AFC_UF*AJ411)*IF(AA411="Indefinido",AFC_EMP_INDEF,AFC_EMP_PF),0))</f>
        <v/>
      </c>
      <c r="AD411" s="71" t="str">
        <f aca="false">IF(AH411="","",ROUND(MIN(K411,TOPE_AFP_UF*AJ411)*(MUTUAL_BASICA+MUTUAL_ADIC+SANNA),0))</f>
        <v/>
      </c>
      <c r="AE411" s="71" t="str">
        <f aca="false">IF(AH411="","",P411-N(N411)+AB411+AC411+AD411)</f>
        <v/>
      </c>
      <c r="AF411" s="65"/>
      <c r="AG411" s="64"/>
      <c r="AH411" s="72" t="str">
        <f aca="false">IF(OR(B411="",C411=""),"",C411&amp;"|"&amp;(YEAR(B411)*100+MONTH(B411)))</f>
        <v/>
      </c>
      <c r="AI411" s="70" t="str">
        <f aca="false">IF(AH411="","",IF(COUNTIF(L_CLAVE,AH411)&gt;1,"⚠ Duplicado","OK"))</f>
        <v/>
      </c>
      <c r="AJ411" s="86" t="str">
        <f aca="false">IF(AH411="","",IF(SUMPRODUCT(MAX((IND_PER&lt;=B411)*(IND_UF&lt;&gt;"")*IND_PER))=0,UF_HOY,INDEX(IND_UF,MATCH(SUMPRODUCT(MAX((IND_PER&lt;=B411)*(IND_UF&lt;&gt;"")*IND_PER)),IND_PER,0))))</f>
        <v/>
      </c>
      <c r="AK411" s="87" t="str">
        <f aca="false">IF(AH411="","",IF(COUNTIF(TASA_DESDE,"&lt;="&amp;B411)=0,INDEX(TASA_EMP,1),INDEX(TASA_EMP,COUNTIF(TASA_DESDE,"&lt;="&amp;B411))))</f>
        <v/>
      </c>
    </row>
    <row r="412" customFormat="false" ht="15" hidden="false" customHeight="false" outlineLevel="0" collapsed="false">
      <c r="B412" s="78"/>
      <c r="C412" s="64"/>
      <c r="D412" s="72" t="str">
        <f aca="false">IF(C412="","",IFERROR(INDEX(T_NOMBRE,MATCH(C412,T_ID,0)),"⚠ ID no existe"))</f>
        <v/>
      </c>
      <c r="E412" s="69"/>
      <c r="F412" s="67"/>
      <c r="G412" s="67"/>
      <c r="H412" s="67"/>
      <c r="I412" s="67"/>
      <c r="J412" s="67"/>
      <c r="K412" s="85" t="str">
        <f aca="false">IF(AH412="","",N(F412)+N(G412)+N(H412)-N(I412)+N(J412))</f>
        <v/>
      </c>
      <c r="L412" s="67"/>
      <c r="M412" s="67"/>
      <c r="N412" s="67"/>
      <c r="O412" s="67"/>
      <c r="P412" s="85" t="str">
        <f aca="false">IF(AH412="","",K412+N(L412)+N(M412)+N(N412)+N(O412))</f>
        <v/>
      </c>
      <c r="Q412" s="67"/>
      <c r="R412" s="67"/>
      <c r="S412" s="67"/>
      <c r="T412" s="67"/>
      <c r="U412" s="67"/>
      <c r="V412" s="67"/>
      <c r="W412" s="85" t="str">
        <f aca="false">IF(AH412="","",N(Q412)+N(R412)+N(S412)+N(T412)+N(U412)+N(V412))</f>
        <v/>
      </c>
      <c r="X412" s="85" t="str">
        <f aca="false">IF(AH412="","",P412-W412)</f>
        <v/>
      </c>
      <c r="Y412" s="67"/>
      <c r="Z412" s="70" t="str">
        <f aca="false">IF(OR(AH412="",Y412=""),"",IF(ABS(X412-Y412)&lt;=1,"✓ Cuadra","⚠ Diferencia $"&amp;FIXED(X412-Y412,0)))</f>
        <v/>
      </c>
      <c r="AA412" s="72" t="str">
        <f aca="false">IF(AH412="","",IFERROR(INDEX(C_TIPO,MATCH(C412&amp;"-P"&amp;MAX(1,COUNTIFS(C_ID,C412,C_DEFINE,"Sí",C_INICIO,"&lt;="&amp;EOMONTH(B412,0))),C_CLAVE,0))&amp;"","Sin dato"))</f>
        <v/>
      </c>
      <c r="AB412" s="71" t="str">
        <f aca="false">IF(AH412="","",ROUND(MIN(K412,TOPE_AFP_UF*AJ412)*AK412,0))</f>
        <v/>
      </c>
      <c r="AC412" s="71" t="str">
        <f aca="false">IF(AH412="","",ROUND(MIN(K412,TOPE_AFC_UF*AJ412)*IF(AA412="Indefinido",AFC_EMP_INDEF,AFC_EMP_PF),0))</f>
        <v/>
      </c>
      <c r="AD412" s="71" t="str">
        <f aca="false">IF(AH412="","",ROUND(MIN(K412,TOPE_AFP_UF*AJ412)*(MUTUAL_BASICA+MUTUAL_ADIC+SANNA),0))</f>
        <v/>
      </c>
      <c r="AE412" s="71" t="str">
        <f aca="false">IF(AH412="","",P412-N(N412)+AB412+AC412+AD412)</f>
        <v/>
      </c>
      <c r="AF412" s="65"/>
      <c r="AG412" s="64"/>
      <c r="AH412" s="72" t="str">
        <f aca="false">IF(OR(B412="",C412=""),"",C412&amp;"|"&amp;(YEAR(B412)*100+MONTH(B412)))</f>
        <v/>
      </c>
      <c r="AI412" s="70" t="str">
        <f aca="false">IF(AH412="","",IF(COUNTIF(L_CLAVE,AH412)&gt;1,"⚠ Duplicado","OK"))</f>
        <v/>
      </c>
      <c r="AJ412" s="86" t="str">
        <f aca="false">IF(AH412="","",IF(SUMPRODUCT(MAX((IND_PER&lt;=B412)*(IND_UF&lt;&gt;"")*IND_PER))=0,UF_HOY,INDEX(IND_UF,MATCH(SUMPRODUCT(MAX((IND_PER&lt;=B412)*(IND_UF&lt;&gt;"")*IND_PER)),IND_PER,0))))</f>
        <v/>
      </c>
      <c r="AK412" s="87" t="str">
        <f aca="false">IF(AH412="","",IF(COUNTIF(TASA_DESDE,"&lt;="&amp;B412)=0,INDEX(TASA_EMP,1),INDEX(TASA_EMP,COUNTIF(TASA_DESDE,"&lt;="&amp;B412))))</f>
        <v/>
      </c>
    </row>
    <row r="413" customFormat="false" ht="15" hidden="false" customHeight="false" outlineLevel="0" collapsed="false">
      <c r="B413" s="78"/>
      <c r="C413" s="64"/>
      <c r="D413" s="72" t="str">
        <f aca="false">IF(C413="","",IFERROR(INDEX(T_NOMBRE,MATCH(C413,T_ID,0)),"⚠ ID no existe"))</f>
        <v/>
      </c>
      <c r="E413" s="69"/>
      <c r="F413" s="67"/>
      <c r="G413" s="67"/>
      <c r="H413" s="67"/>
      <c r="I413" s="67"/>
      <c r="J413" s="67"/>
      <c r="K413" s="85" t="str">
        <f aca="false">IF(AH413="","",N(F413)+N(G413)+N(H413)-N(I413)+N(J413))</f>
        <v/>
      </c>
      <c r="L413" s="67"/>
      <c r="M413" s="67"/>
      <c r="N413" s="67"/>
      <c r="O413" s="67"/>
      <c r="P413" s="85" t="str">
        <f aca="false">IF(AH413="","",K413+N(L413)+N(M413)+N(N413)+N(O413))</f>
        <v/>
      </c>
      <c r="Q413" s="67"/>
      <c r="R413" s="67"/>
      <c r="S413" s="67"/>
      <c r="T413" s="67"/>
      <c r="U413" s="67"/>
      <c r="V413" s="67"/>
      <c r="W413" s="85" t="str">
        <f aca="false">IF(AH413="","",N(Q413)+N(R413)+N(S413)+N(T413)+N(U413)+N(V413))</f>
        <v/>
      </c>
      <c r="X413" s="85" t="str">
        <f aca="false">IF(AH413="","",P413-W413)</f>
        <v/>
      </c>
      <c r="Y413" s="67"/>
      <c r="Z413" s="70" t="str">
        <f aca="false">IF(OR(AH413="",Y413=""),"",IF(ABS(X413-Y413)&lt;=1,"✓ Cuadra","⚠ Diferencia $"&amp;FIXED(X413-Y413,0)))</f>
        <v/>
      </c>
      <c r="AA413" s="72" t="str">
        <f aca="false">IF(AH413="","",IFERROR(INDEX(C_TIPO,MATCH(C413&amp;"-P"&amp;MAX(1,COUNTIFS(C_ID,C413,C_DEFINE,"Sí",C_INICIO,"&lt;="&amp;EOMONTH(B413,0))),C_CLAVE,0))&amp;"","Sin dato"))</f>
        <v/>
      </c>
      <c r="AB413" s="71" t="str">
        <f aca="false">IF(AH413="","",ROUND(MIN(K413,TOPE_AFP_UF*AJ413)*AK413,0))</f>
        <v/>
      </c>
      <c r="AC413" s="71" t="str">
        <f aca="false">IF(AH413="","",ROUND(MIN(K413,TOPE_AFC_UF*AJ413)*IF(AA413="Indefinido",AFC_EMP_INDEF,AFC_EMP_PF),0))</f>
        <v/>
      </c>
      <c r="AD413" s="71" t="str">
        <f aca="false">IF(AH413="","",ROUND(MIN(K413,TOPE_AFP_UF*AJ413)*(MUTUAL_BASICA+MUTUAL_ADIC+SANNA),0))</f>
        <v/>
      </c>
      <c r="AE413" s="71" t="str">
        <f aca="false">IF(AH413="","",P413-N(N413)+AB413+AC413+AD413)</f>
        <v/>
      </c>
      <c r="AF413" s="65"/>
      <c r="AG413" s="64"/>
      <c r="AH413" s="72" t="str">
        <f aca="false">IF(OR(B413="",C413=""),"",C413&amp;"|"&amp;(YEAR(B413)*100+MONTH(B413)))</f>
        <v/>
      </c>
      <c r="AI413" s="70" t="str">
        <f aca="false">IF(AH413="","",IF(COUNTIF(L_CLAVE,AH413)&gt;1,"⚠ Duplicado","OK"))</f>
        <v/>
      </c>
      <c r="AJ413" s="86" t="str">
        <f aca="false">IF(AH413="","",IF(SUMPRODUCT(MAX((IND_PER&lt;=B413)*(IND_UF&lt;&gt;"")*IND_PER))=0,UF_HOY,INDEX(IND_UF,MATCH(SUMPRODUCT(MAX((IND_PER&lt;=B413)*(IND_UF&lt;&gt;"")*IND_PER)),IND_PER,0))))</f>
        <v/>
      </c>
      <c r="AK413" s="87" t="str">
        <f aca="false">IF(AH413="","",IF(COUNTIF(TASA_DESDE,"&lt;="&amp;B413)=0,INDEX(TASA_EMP,1),INDEX(TASA_EMP,COUNTIF(TASA_DESDE,"&lt;="&amp;B413))))</f>
        <v/>
      </c>
    </row>
    <row r="414" customFormat="false" ht="15" hidden="false" customHeight="false" outlineLevel="0" collapsed="false">
      <c r="B414" s="78"/>
      <c r="C414" s="64"/>
      <c r="D414" s="72" t="str">
        <f aca="false">IF(C414="","",IFERROR(INDEX(T_NOMBRE,MATCH(C414,T_ID,0)),"⚠ ID no existe"))</f>
        <v/>
      </c>
      <c r="E414" s="69"/>
      <c r="F414" s="67"/>
      <c r="G414" s="67"/>
      <c r="H414" s="67"/>
      <c r="I414" s="67"/>
      <c r="J414" s="67"/>
      <c r="K414" s="85" t="str">
        <f aca="false">IF(AH414="","",N(F414)+N(G414)+N(H414)-N(I414)+N(J414))</f>
        <v/>
      </c>
      <c r="L414" s="67"/>
      <c r="M414" s="67"/>
      <c r="N414" s="67"/>
      <c r="O414" s="67"/>
      <c r="P414" s="85" t="str">
        <f aca="false">IF(AH414="","",K414+N(L414)+N(M414)+N(N414)+N(O414))</f>
        <v/>
      </c>
      <c r="Q414" s="67"/>
      <c r="R414" s="67"/>
      <c r="S414" s="67"/>
      <c r="T414" s="67"/>
      <c r="U414" s="67"/>
      <c r="V414" s="67"/>
      <c r="W414" s="85" t="str">
        <f aca="false">IF(AH414="","",N(Q414)+N(R414)+N(S414)+N(T414)+N(U414)+N(V414))</f>
        <v/>
      </c>
      <c r="X414" s="85" t="str">
        <f aca="false">IF(AH414="","",P414-W414)</f>
        <v/>
      </c>
      <c r="Y414" s="67"/>
      <c r="Z414" s="70" t="str">
        <f aca="false">IF(OR(AH414="",Y414=""),"",IF(ABS(X414-Y414)&lt;=1,"✓ Cuadra","⚠ Diferencia $"&amp;FIXED(X414-Y414,0)))</f>
        <v/>
      </c>
      <c r="AA414" s="72" t="str">
        <f aca="false">IF(AH414="","",IFERROR(INDEX(C_TIPO,MATCH(C414&amp;"-P"&amp;MAX(1,COUNTIFS(C_ID,C414,C_DEFINE,"Sí",C_INICIO,"&lt;="&amp;EOMONTH(B414,0))),C_CLAVE,0))&amp;"","Sin dato"))</f>
        <v/>
      </c>
      <c r="AB414" s="71" t="str">
        <f aca="false">IF(AH414="","",ROUND(MIN(K414,TOPE_AFP_UF*AJ414)*AK414,0))</f>
        <v/>
      </c>
      <c r="AC414" s="71" t="str">
        <f aca="false">IF(AH414="","",ROUND(MIN(K414,TOPE_AFC_UF*AJ414)*IF(AA414="Indefinido",AFC_EMP_INDEF,AFC_EMP_PF),0))</f>
        <v/>
      </c>
      <c r="AD414" s="71" t="str">
        <f aca="false">IF(AH414="","",ROUND(MIN(K414,TOPE_AFP_UF*AJ414)*(MUTUAL_BASICA+MUTUAL_ADIC+SANNA),0))</f>
        <v/>
      </c>
      <c r="AE414" s="71" t="str">
        <f aca="false">IF(AH414="","",P414-N(N414)+AB414+AC414+AD414)</f>
        <v/>
      </c>
      <c r="AF414" s="65"/>
      <c r="AG414" s="64"/>
      <c r="AH414" s="72" t="str">
        <f aca="false">IF(OR(B414="",C414=""),"",C414&amp;"|"&amp;(YEAR(B414)*100+MONTH(B414)))</f>
        <v/>
      </c>
      <c r="AI414" s="70" t="str">
        <f aca="false">IF(AH414="","",IF(COUNTIF(L_CLAVE,AH414)&gt;1,"⚠ Duplicado","OK"))</f>
        <v/>
      </c>
      <c r="AJ414" s="86" t="str">
        <f aca="false">IF(AH414="","",IF(SUMPRODUCT(MAX((IND_PER&lt;=B414)*(IND_UF&lt;&gt;"")*IND_PER))=0,UF_HOY,INDEX(IND_UF,MATCH(SUMPRODUCT(MAX((IND_PER&lt;=B414)*(IND_UF&lt;&gt;"")*IND_PER)),IND_PER,0))))</f>
        <v/>
      </c>
      <c r="AK414" s="87" t="str">
        <f aca="false">IF(AH414="","",IF(COUNTIF(TASA_DESDE,"&lt;="&amp;B414)=0,INDEX(TASA_EMP,1),INDEX(TASA_EMP,COUNTIF(TASA_DESDE,"&lt;="&amp;B414))))</f>
        <v/>
      </c>
    </row>
    <row r="415" customFormat="false" ht="15" hidden="false" customHeight="false" outlineLevel="0" collapsed="false">
      <c r="B415" s="78"/>
      <c r="C415" s="64"/>
      <c r="D415" s="72" t="str">
        <f aca="false">IF(C415="","",IFERROR(INDEX(T_NOMBRE,MATCH(C415,T_ID,0)),"⚠ ID no existe"))</f>
        <v/>
      </c>
      <c r="E415" s="69"/>
      <c r="F415" s="67"/>
      <c r="G415" s="67"/>
      <c r="H415" s="67"/>
      <c r="I415" s="67"/>
      <c r="J415" s="67"/>
      <c r="K415" s="85" t="str">
        <f aca="false">IF(AH415="","",N(F415)+N(G415)+N(H415)-N(I415)+N(J415))</f>
        <v/>
      </c>
      <c r="L415" s="67"/>
      <c r="M415" s="67"/>
      <c r="N415" s="67"/>
      <c r="O415" s="67"/>
      <c r="P415" s="85" t="str">
        <f aca="false">IF(AH415="","",K415+N(L415)+N(M415)+N(N415)+N(O415))</f>
        <v/>
      </c>
      <c r="Q415" s="67"/>
      <c r="R415" s="67"/>
      <c r="S415" s="67"/>
      <c r="T415" s="67"/>
      <c r="U415" s="67"/>
      <c r="V415" s="67"/>
      <c r="W415" s="85" t="str">
        <f aca="false">IF(AH415="","",N(Q415)+N(R415)+N(S415)+N(T415)+N(U415)+N(V415))</f>
        <v/>
      </c>
      <c r="X415" s="85" t="str">
        <f aca="false">IF(AH415="","",P415-W415)</f>
        <v/>
      </c>
      <c r="Y415" s="67"/>
      <c r="Z415" s="70" t="str">
        <f aca="false">IF(OR(AH415="",Y415=""),"",IF(ABS(X415-Y415)&lt;=1,"✓ Cuadra","⚠ Diferencia $"&amp;FIXED(X415-Y415,0)))</f>
        <v/>
      </c>
      <c r="AA415" s="72" t="str">
        <f aca="false">IF(AH415="","",IFERROR(INDEX(C_TIPO,MATCH(C415&amp;"-P"&amp;MAX(1,COUNTIFS(C_ID,C415,C_DEFINE,"Sí",C_INICIO,"&lt;="&amp;EOMONTH(B415,0))),C_CLAVE,0))&amp;"","Sin dato"))</f>
        <v/>
      </c>
      <c r="AB415" s="71" t="str">
        <f aca="false">IF(AH415="","",ROUND(MIN(K415,TOPE_AFP_UF*AJ415)*AK415,0))</f>
        <v/>
      </c>
      <c r="AC415" s="71" t="str">
        <f aca="false">IF(AH415="","",ROUND(MIN(K415,TOPE_AFC_UF*AJ415)*IF(AA415="Indefinido",AFC_EMP_INDEF,AFC_EMP_PF),0))</f>
        <v/>
      </c>
      <c r="AD415" s="71" t="str">
        <f aca="false">IF(AH415="","",ROUND(MIN(K415,TOPE_AFP_UF*AJ415)*(MUTUAL_BASICA+MUTUAL_ADIC+SANNA),0))</f>
        <v/>
      </c>
      <c r="AE415" s="71" t="str">
        <f aca="false">IF(AH415="","",P415-N(N415)+AB415+AC415+AD415)</f>
        <v/>
      </c>
      <c r="AF415" s="65"/>
      <c r="AG415" s="64"/>
      <c r="AH415" s="72" t="str">
        <f aca="false">IF(OR(B415="",C415=""),"",C415&amp;"|"&amp;(YEAR(B415)*100+MONTH(B415)))</f>
        <v/>
      </c>
      <c r="AI415" s="70" t="str">
        <f aca="false">IF(AH415="","",IF(COUNTIF(L_CLAVE,AH415)&gt;1,"⚠ Duplicado","OK"))</f>
        <v/>
      </c>
      <c r="AJ415" s="86" t="str">
        <f aca="false">IF(AH415="","",IF(SUMPRODUCT(MAX((IND_PER&lt;=B415)*(IND_UF&lt;&gt;"")*IND_PER))=0,UF_HOY,INDEX(IND_UF,MATCH(SUMPRODUCT(MAX((IND_PER&lt;=B415)*(IND_UF&lt;&gt;"")*IND_PER)),IND_PER,0))))</f>
        <v/>
      </c>
      <c r="AK415" s="87" t="str">
        <f aca="false">IF(AH415="","",IF(COUNTIF(TASA_DESDE,"&lt;="&amp;B415)=0,INDEX(TASA_EMP,1),INDEX(TASA_EMP,COUNTIF(TASA_DESDE,"&lt;="&amp;B415))))</f>
        <v/>
      </c>
    </row>
    <row r="416" customFormat="false" ht="15" hidden="false" customHeight="false" outlineLevel="0" collapsed="false">
      <c r="B416" s="78"/>
      <c r="C416" s="64"/>
      <c r="D416" s="72" t="str">
        <f aca="false">IF(C416="","",IFERROR(INDEX(T_NOMBRE,MATCH(C416,T_ID,0)),"⚠ ID no existe"))</f>
        <v/>
      </c>
      <c r="E416" s="69"/>
      <c r="F416" s="67"/>
      <c r="G416" s="67"/>
      <c r="H416" s="67"/>
      <c r="I416" s="67"/>
      <c r="J416" s="67"/>
      <c r="K416" s="85" t="str">
        <f aca="false">IF(AH416="","",N(F416)+N(G416)+N(H416)-N(I416)+N(J416))</f>
        <v/>
      </c>
      <c r="L416" s="67"/>
      <c r="M416" s="67"/>
      <c r="N416" s="67"/>
      <c r="O416" s="67"/>
      <c r="P416" s="85" t="str">
        <f aca="false">IF(AH416="","",K416+N(L416)+N(M416)+N(N416)+N(O416))</f>
        <v/>
      </c>
      <c r="Q416" s="67"/>
      <c r="R416" s="67"/>
      <c r="S416" s="67"/>
      <c r="T416" s="67"/>
      <c r="U416" s="67"/>
      <c r="V416" s="67"/>
      <c r="W416" s="85" t="str">
        <f aca="false">IF(AH416="","",N(Q416)+N(R416)+N(S416)+N(T416)+N(U416)+N(V416))</f>
        <v/>
      </c>
      <c r="X416" s="85" t="str">
        <f aca="false">IF(AH416="","",P416-W416)</f>
        <v/>
      </c>
      <c r="Y416" s="67"/>
      <c r="Z416" s="70" t="str">
        <f aca="false">IF(OR(AH416="",Y416=""),"",IF(ABS(X416-Y416)&lt;=1,"✓ Cuadra","⚠ Diferencia $"&amp;FIXED(X416-Y416,0)))</f>
        <v/>
      </c>
      <c r="AA416" s="72" t="str">
        <f aca="false">IF(AH416="","",IFERROR(INDEX(C_TIPO,MATCH(C416&amp;"-P"&amp;MAX(1,COUNTIFS(C_ID,C416,C_DEFINE,"Sí",C_INICIO,"&lt;="&amp;EOMONTH(B416,0))),C_CLAVE,0))&amp;"","Sin dato"))</f>
        <v/>
      </c>
      <c r="AB416" s="71" t="str">
        <f aca="false">IF(AH416="","",ROUND(MIN(K416,TOPE_AFP_UF*AJ416)*AK416,0))</f>
        <v/>
      </c>
      <c r="AC416" s="71" t="str">
        <f aca="false">IF(AH416="","",ROUND(MIN(K416,TOPE_AFC_UF*AJ416)*IF(AA416="Indefinido",AFC_EMP_INDEF,AFC_EMP_PF),0))</f>
        <v/>
      </c>
      <c r="AD416" s="71" t="str">
        <f aca="false">IF(AH416="","",ROUND(MIN(K416,TOPE_AFP_UF*AJ416)*(MUTUAL_BASICA+MUTUAL_ADIC+SANNA),0))</f>
        <v/>
      </c>
      <c r="AE416" s="71" t="str">
        <f aca="false">IF(AH416="","",P416-N(N416)+AB416+AC416+AD416)</f>
        <v/>
      </c>
      <c r="AF416" s="65"/>
      <c r="AG416" s="64"/>
      <c r="AH416" s="72" t="str">
        <f aca="false">IF(OR(B416="",C416=""),"",C416&amp;"|"&amp;(YEAR(B416)*100+MONTH(B416)))</f>
        <v/>
      </c>
      <c r="AI416" s="70" t="str">
        <f aca="false">IF(AH416="","",IF(COUNTIF(L_CLAVE,AH416)&gt;1,"⚠ Duplicado","OK"))</f>
        <v/>
      </c>
      <c r="AJ416" s="86" t="str">
        <f aca="false">IF(AH416="","",IF(SUMPRODUCT(MAX((IND_PER&lt;=B416)*(IND_UF&lt;&gt;"")*IND_PER))=0,UF_HOY,INDEX(IND_UF,MATCH(SUMPRODUCT(MAX((IND_PER&lt;=B416)*(IND_UF&lt;&gt;"")*IND_PER)),IND_PER,0))))</f>
        <v/>
      </c>
      <c r="AK416" s="87" t="str">
        <f aca="false">IF(AH416="","",IF(COUNTIF(TASA_DESDE,"&lt;="&amp;B416)=0,INDEX(TASA_EMP,1),INDEX(TASA_EMP,COUNTIF(TASA_DESDE,"&lt;="&amp;B416))))</f>
        <v/>
      </c>
    </row>
    <row r="417" customFormat="false" ht="15" hidden="false" customHeight="false" outlineLevel="0" collapsed="false">
      <c r="B417" s="78"/>
      <c r="C417" s="64"/>
      <c r="D417" s="72" t="str">
        <f aca="false">IF(C417="","",IFERROR(INDEX(T_NOMBRE,MATCH(C417,T_ID,0)),"⚠ ID no existe"))</f>
        <v/>
      </c>
      <c r="E417" s="69"/>
      <c r="F417" s="67"/>
      <c r="G417" s="67"/>
      <c r="H417" s="67"/>
      <c r="I417" s="67"/>
      <c r="J417" s="67"/>
      <c r="K417" s="85" t="str">
        <f aca="false">IF(AH417="","",N(F417)+N(G417)+N(H417)-N(I417)+N(J417))</f>
        <v/>
      </c>
      <c r="L417" s="67"/>
      <c r="M417" s="67"/>
      <c r="N417" s="67"/>
      <c r="O417" s="67"/>
      <c r="P417" s="85" t="str">
        <f aca="false">IF(AH417="","",K417+N(L417)+N(M417)+N(N417)+N(O417))</f>
        <v/>
      </c>
      <c r="Q417" s="67"/>
      <c r="R417" s="67"/>
      <c r="S417" s="67"/>
      <c r="T417" s="67"/>
      <c r="U417" s="67"/>
      <c r="V417" s="67"/>
      <c r="W417" s="85" t="str">
        <f aca="false">IF(AH417="","",N(Q417)+N(R417)+N(S417)+N(T417)+N(U417)+N(V417))</f>
        <v/>
      </c>
      <c r="X417" s="85" t="str">
        <f aca="false">IF(AH417="","",P417-W417)</f>
        <v/>
      </c>
      <c r="Y417" s="67"/>
      <c r="Z417" s="70" t="str">
        <f aca="false">IF(OR(AH417="",Y417=""),"",IF(ABS(X417-Y417)&lt;=1,"✓ Cuadra","⚠ Diferencia $"&amp;FIXED(X417-Y417,0)))</f>
        <v/>
      </c>
      <c r="AA417" s="72" t="str">
        <f aca="false">IF(AH417="","",IFERROR(INDEX(C_TIPO,MATCH(C417&amp;"-P"&amp;MAX(1,COUNTIFS(C_ID,C417,C_DEFINE,"Sí",C_INICIO,"&lt;="&amp;EOMONTH(B417,0))),C_CLAVE,0))&amp;"","Sin dato"))</f>
        <v/>
      </c>
      <c r="AB417" s="71" t="str">
        <f aca="false">IF(AH417="","",ROUND(MIN(K417,TOPE_AFP_UF*AJ417)*AK417,0))</f>
        <v/>
      </c>
      <c r="AC417" s="71" t="str">
        <f aca="false">IF(AH417="","",ROUND(MIN(K417,TOPE_AFC_UF*AJ417)*IF(AA417="Indefinido",AFC_EMP_INDEF,AFC_EMP_PF),0))</f>
        <v/>
      </c>
      <c r="AD417" s="71" t="str">
        <f aca="false">IF(AH417="","",ROUND(MIN(K417,TOPE_AFP_UF*AJ417)*(MUTUAL_BASICA+MUTUAL_ADIC+SANNA),0))</f>
        <v/>
      </c>
      <c r="AE417" s="71" t="str">
        <f aca="false">IF(AH417="","",P417-N(N417)+AB417+AC417+AD417)</f>
        <v/>
      </c>
      <c r="AF417" s="65"/>
      <c r="AG417" s="64"/>
      <c r="AH417" s="72" t="str">
        <f aca="false">IF(OR(B417="",C417=""),"",C417&amp;"|"&amp;(YEAR(B417)*100+MONTH(B417)))</f>
        <v/>
      </c>
      <c r="AI417" s="70" t="str">
        <f aca="false">IF(AH417="","",IF(COUNTIF(L_CLAVE,AH417)&gt;1,"⚠ Duplicado","OK"))</f>
        <v/>
      </c>
      <c r="AJ417" s="86" t="str">
        <f aca="false">IF(AH417="","",IF(SUMPRODUCT(MAX((IND_PER&lt;=B417)*(IND_UF&lt;&gt;"")*IND_PER))=0,UF_HOY,INDEX(IND_UF,MATCH(SUMPRODUCT(MAX((IND_PER&lt;=B417)*(IND_UF&lt;&gt;"")*IND_PER)),IND_PER,0))))</f>
        <v/>
      </c>
      <c r="AK417" s="87" t="str">
        <f aca="false">IF(AH417="","",IF(COUNTIF(TASA_DESDE,"&lt;="&amp;B417)=0,INDEX(TASA_EMP,1),INDEX(TASA_EMP,COUNTIF(TASA_DESDE,"&lt;="&amp;B417))))</f>
        <v/>
      </c>
    </row>
    <row r="418" customFormat="false" ht="15" hidden="false" customHeight="false" outlineLevel="0" collapsed="false">
      <c r="B418" s="78"/>
      <c r="C418" s="64"/>
      <c r="D418" s="72" t="str">
        <f aca="false">IF(C418="","",IFERROR(INDEX(T_NOMBRE,MATCH(C418,T_ID,0)),"⚠ ID no existe"))</f>
        <v/>
      </c>
      <c r="E418" s="69"/>
      <c r="F418" s="67"/>
      <c r="G418" s="67"/>
      <c r="H418" s="67"/>
      <c r="I418" s="67"/>
      <c r="J418" s="67"/>
      <c r="K418" s="85" t="str">
        <f aca="false">IF(AH418="","",N(F418)+N(G418)+N(H418)-N(I418)+N(J418))</f>
        <v/>
      </c>
      <c r="L418" s="67"/>
      <c r="M418" s="67"/>
      <c r="N418" s="67"/>
      <c r="O418" s="67"/>
      <c r="P418" s="85" t="str">
        <f aca="false">IF(AH418="","",K418+N(L418)+N(M418)+N(N418)+N(O418))</f>
        <v/>
      </c>
      <c r="Q418" s="67"/>
      <c r="R418" s="67"/>
      <c r="S418" s="67"/>
      <c r="T418" s="67"/>
      <c r="U418" s="67"/>
      <c r="V418" s="67"/>
      <c r="W418" s="85" t="str">
        <f aca="false">IF(AH418="","",N(Q418)+N(R418)+N(S418)+N(T418)+N(U418)+N(V418))</f>
        <v/>
      </c>
      <c r="X418" s="85" t="str">
        <f aca="false">IF(AH418="","",P418-W418)</f>
        <v/>
      </c>
      <c r="Y418" s="67"/>
      <c r="Z418" s="70" t="str">
        <f aca="false">IF(OR(AH418="",Y418=""),"",IF(ABS(X418-Y418)&lt;=1,"✓ Cuadra","⚠ Diferencia $"&amp;FIXED(X418-Y418,0)))</f>
        <v/>
      </c>
      <c r="AA418" s="72" t="str">
        <f aca="false">IF(AH418="","",IFERROR(INDEX(C_TIPO,MATCH(C418&amp;"-P"&amp;MAX(1,COUNTIFS(C_ID,C418,C_DEFINE,"Sí",C_INICIO,"&lt;="&amp;EOMONTH(B418,0))),C_CLAVE,0))&amp;"","Sin dato"))</f>
        <v/>
      </c>
      <c r="AB418" s="71" t="str">
        <f aca="false">IF(AH418="","",ROUND(MIN(K418,TOPE_AFP_UF*AJ418)*AK418,0))</f>
        <v/>
      </c>
      <c r="AC418" s="71" t="str">
        <f aca="false">IF(AH418="","",ROUND(MIN(K418,TOPE_AFC_UF*AJ418)*IF(AA418="Indefinido",AFC_EMP_INDEF,AFC_EMP_PF),0))</f>
        <v/>
      </c>
      <c r="AD418" s="71" t="str">
        <f aca="false">IF(AH418="","",ROUND(MIN(K418,TOPE_AFP_UF*AJ418)*(MUTUAL_BASICA+MUTUAL_ADIC+SANNA),0))</f>
        <v/>
      </c>
      <c r="AE418" s="71" t="str">
        <f aca="false">IF(AH418="","",P418-N(N418)+AB418+AC418+AD418)</f>
        <v/>
      </c>
      <c r="AF418" s="65"/>
      <c r="AG418" s="64"/>
      <c r="AH418" s="72" t="str">
        <f aca="false">IF(OR(B418="",C418=""),"",C418&amp;"|"&amp;(YEAR(B418)*100+MONTH(B418)))</f>
        <v/>
      </c>
      <c r="AI418" s="70" t="str">
        <f aca="false">IF(AH418="","",IF(COUNTIF(L_CLAVE,AH418)&gt;1,"⚠ Duplicado","OK"))</f>
        <v/>
      </c>
      <c r="AJ418" s="86" t="str">
        <f aca="false">IF(AH418="","",IF(SUMPRODUCT(MAX((IND_PER&lt;=B418)*(IND_UF&lt;&gt;"")*IND_PER))=0,UF_HOY,INDEX(IND_UF,MATCH(SUMPRODUCT(MAX((IND_PER&lt;=B418)*(IND_UF&lt;&gt;"")*IND_PER)),IND_PER,0))))</f>
        <v/>
      </c>
      <c r="AK418" s="87" t="str">
        <f aca="false">IF(AH418="","",IF(COUNTIF(TASA_DESDE,"&lt;="&amp;B418)=0,INDEX(TASA_EMP,1),INDEX(TASA_EMP,COUNTIF(TASA_DESDE,"&lt;="&amp;B418))))</f>
        <v/>
      </c>
    </row>
    <row r="419" customFormat="false" ht="15" hidden="false" customHeight="false" outlineLevel="0" collapsed="false">
      <c r="B419" s="78"/>
      <c r="C419" s="64"/>
      <c r="D419" s="72" t="str">
        <f aca="false">IF(C419="","",IFERROR(INDEX(T_NOMBRE,MATCH(C419,T_ID,0)),"⚠ ID no existe"))</f>
        <v/>
      </c>
      <c r="E419" s="69"/>
      <c r="F419" s="67"/>
      <c r="G419" s="67"/>
      <c r="H419" s="67"/>
      <c r="I419" s="67"/>
      <c r="J419" s="67"/>
      <c r="K419" s="85" t="str">
        <f aca="false">IF(AH419="","",N(F419)+N(G419)+N(H419)-N(I419)+N(J419))</f>
        <v/>
      </c>
      <c r="L419" s="67"/>
      <c r="M419" s="67"/>
      <c r="N419" s="67"/>
      <c r="O419" s="67"/>
      <c r="P419" s="85" t="str">
        <f aca="false">IF(AH419="","",K419+N(L419)+N(M419)+N(N419)+N(O419))</f>
        <v/>
      </c>
      <c r="Q419" s="67"/>
      <c r="R419" s="67"/>
      <c r="S419" s="67"/>
      <c r="T419" s="67"/>
      <c r="U419" s="67"/>
      <c r="V419" s="67"/>
      <c r="W419" s="85" t="str">
        <f aca="false">IF(AH419="","",N(Q419)+N(R419)+N(S419)+N(T419)+N(U419)+N(V419))</f>
        <v/>
      </c>
      <c r="X419" s="85" t="str">
        <f aca="false">IF(AH419="","",P419-W419)</f>
        <v/>
      </c>
      <c r="Y419" s="67"/>
      <c r="Z419" s="70" t="str">
        <f aca="false">IF(OR(AH419="",Y419=""),"",IF(ABS(X419-Y419)&lt;=1,"✓ Cuadra","⚠ Diferencia $"&amp;FIXED(X419-Y419,0)))</f>
        <v/>
      </c>
      <c r="AA419" s="72" t="str">
        <f aca="false">IF(AH419="","",IFERROR(INDEX(C_TIPO,MATCH(C419&amp;"-P"&amp;MAX(1,COUNTIFS(C_ID,C419,C_DEFINE,"Sí",C_INICIO,"&lt;="&amp;EOMONTH(B419,0))),C_CLAVE,0))&amp;"","Sin dato"))</f>
        <v/>
      </c>
      <c r="AB419" s="71" t="str">
        <f aca="false">IF(AH419="","",ROUND(MIN(K419,TOPE_AFP_UF*AJ419)*AK419,0))</f>
        <v/>
      </c>
      <c r="AC419" s="71" t="str">
        <f aca="false">IF(AH419="","",ROUND(MIN(K419,TOPE_AFC_UF*AJ419)*IF(AA419="Indefinido",AFC_EMP_INDEF,AFC_EMP_PF),0))</f>
        <v/>
      </c>
      <c r="AD419" s="71" t="str">
        <f aca="false">IF(AH419="","",ROUND(MIN(K419,TOPE_AFP_UF*AJ419)*(MUTUAL_BASICA+MUTUAL_ADIC+SANNA),0))</f>
        <v/>
      </c>
      <c r="AE419" s="71" t="str">
        <f aca="false">IF(AH419="","",P419-N(N419)+AB419+AC419+AD419)</f>
        <v/>
      </c>
      <c r="AF419" s="65"/>
      <c r="AG419" s="64"/>
      <c r="AH419" s="72" t="str">
        <f aca="false">IF(OR(B419="",C419=""),"",C419&amp;"|"&amp;(YEAR(B419)*100+MONTH(B419)))</f>
        <v/>
      </c>
      <c r="AI419" s="70" t="str">
        <f aca="false">IF(AH419="","",IF(COUNTIF(L_CLAVE,AH419)&gt;1,"⚠ Duplicado","OK"))</f>
        <v/>
      </c>
      <c r="AJ419" s="86" t="str">
        <f aca="false">IF(AH419="","",IF(SUMPRODUCT(MAX((IND_PER&lt;=B419)*(IND_UF&lt;&gt;"")*IND_PER))=0,UF_HOY,INDEX(IND_UF,MATCH(SUMPRODUCT(MAX((IND_PER&lt;=B419)*(IND_UF&lt;&gt;"")*IND_PER)),IND_PER,0))))</f>
        <v/>
      </c>
      <c r="AK419" s="87" t="str">
        <f aca="false">IF(AH419="","",IF(COUNTIF(TASA_DESDE,"&lt;="&amp;B419)=0,INDEX(TASA_EMP,1),INDEX(TASA_EMP,COUNTIF(TASA_DESDE,"&lt;="&amp;B419))))</f>
        <v/>
      </c>
    </row>
    <row r="420" customFormat="false" ht="15" hidden="false" customHeight="false" outlineLevel="0" collapsed="false">
      <c r="B420" s="78"/>
      <c r="C420" s="64"/>
      <c r="D420" s="72" t="str">
        <f aca="false">IF(C420="","",IFERROR(INDEX(T_NOMBRE,MATCH(C420,T_ID,0)),"⚠ ID no existe"))</f>
        <v/>
      </c>
      <c r="E420" s="69"/>
      <c r="F420" s="67"/>
      <c r="G420" s="67"/>
      <c r="H420" s="67"/>
      <c r="I420" s="67"/>
      <c r="J420" s="67"/>
      <c r="K420" s="85" t="str">
        <f aca="false">IF(AH420="","",N(F420)+N(G420)+N(H420)-N(I420)+N(J420))</f>
        <v/>
      </c>
      <c r="L420" s="67"/>
      <c r="M420" s="67"/>
      <c r="N420" s="67"/>
      <c r="O420" s="67"/>
      <c r="P420" s="85" t="str">
        <f aca="false">IF(AH420="","",K420+N(L420)+N(M420)+N(N420)+N(O420))</f>
        <v/>
      </c>
      <c r="Q420" s="67"/>
      <c r="R420" s="67"/>
      <c r="S420" s="67"/>
      <c r="T420" s="67"/>
      <c r="U420" s="67"/>
      <c r="V420" s="67"/>
      <c r="W420" s="85" t="str">
        <f aca="false">IF(AH420="","",N(Q420)+N(R420)+N(S420)+N(T420)+N(U420)+N(V420))</f>
        <v/>
      </c>
      <c r="X420" s="85" t="str">
        <f aca="false">IF(AH420="","",P420-W420)</f>
        <v/>
      </c>
      <c r="Y420" s="67"/>
      <c r="Z420" s="70" t="str">
        <f aca="false">IF(OR(AH420="",Y420=""),"",IF(ABS(X420-Y420)&lt;=1,"✓ Cuadra","⚠ Diferencia $"&amp;FIXED(X420-Y420,0)))</f>
        <v/>
      </c>
      <c r="AA420" s="72" t="str">
        <f aca="false">IF(AH420="","",IFERROR(INDEX(C_TIPO,MATCH(C420&amp;"-P"&amp;MAX(1,COUNTIFS(C_ID,C420,C_DEFINE,"Sí",C_INICIO,"&lt;="&amp;EOMONTH(B420,0))),C_CLAVE,0))&amp;"","Sin dato"))</f>
        <v/>
      </c>
      <c r="AB420" s="71" t="str">
        <f aca="false">IF(AH420="","",ROUND(MIN(K420,TOPE_AFP_UF*AJ420)*AK420,0))</f>
        <v/>
      </c>
      <c r="AC420" s="71" t="str">
        <f aca="false">IF(AH420="","",ROUND(MIN(K420,TOPE_AFC_UF*AJ420)*IF(AA420="Indefinido",AFC_EMP_INDEF,AFC_EMP_PF),0))</f>
        <v/>
      </c>
      <c r="AD420" s="71" t="str">
        <f aca="false">IF(AH420="","",ROUND(MIN(K420,TOPE_AFP_UF*AJ420)*(MUTUAL_BASICA+MUTUAL_ADIC+SANNA),0))</f>
        <v/>
      </c>
      <c r="AE420" s="71" t="str">
        <f aca="false">IF(AH420="","",P420-N(N420)+AB420+AC420+AD420)</f>
        <v/>
      </c>
      <c r="AF420" s="65"/>
      <c r="AG420" s="64"/>
      <c r="AH420" s="72" t="str">
        <f aca="false">IF(OR(B420="",C420=""),"",C420&amp;"|"&amp;(YEAR(B420)*100+MONTH(B420)))</f>
        <v/>
      </c>
      <c r="AI420" s="70" t="str">
        <f aca="false">IF(AH420="","",IF(COUNTIF(L_CLAVE,AH420)&gt;1,"⚠ Duplicado","OK"))</f>
        <v/>
      </c>
      <c r="AJ420" s="86" t="str">
        <f aca="false">IF(AH420="","",IF(SUMPRODUCT(MAX((IND_PER&lt;=B420)*(IND_UF&lt;&gt;"")*IND_PER))=0,UF_HOY,INDEX(IND_UF,MATCH(SUMPRODUCT(MAX((IND_PER&lt;=B420)*(IND_UF&lt;&gt;"")*IND_PER)),IND_PER,0))))</f>
        <v/>
      </c>
      <c r="AK420" s="87" t="str">
        <f aca="false">IF(AH420="","",IF(COUNTIF(TASA_DESDE,"&lt;="&amp;B420)=0,INDEX(TASA_EMP,1),INDEX(TASA_EMP,COUNTIF(TASA_DESDE,"&lt;="&amp;B420))))</f>
        <v/>
      </c>
    </row>
    <row r="421" customFormat="false" ht="15" hidden="false" customHeight="false" outlineLevel="0" collapsed="false">
      <c r="B421" s="78"/>
      <c r="C421" s="64"/>
      <c r="D421" s="72" t="str">
        <f aca="false">IF(C421="","",IFERROR(INDEX(T_NOMBRE,MATCH(C421,T_ID,0)),"⚠ ID no existe"))</f>
        <v/>
      </c>
      <c r="E421" s="69"/>
      <c r="F421" s="67"/>
      <c r="G421" s="67"/>
      <c r="H421" s="67"/>
      <c r="I421" s="67"/>
      <c r="J421" s="67"/>
      <c r="K421" s="85" t="str">
        <f aca="false">IF(AH421="","",N(F421)+N(G421)+N(H421)-N(I421)+N(J421))</f>
        <v/>
      </c>
      <c r="L421" s="67"/>
      <c r="M421" s="67"/>
      <c r="N421" s="67"/>
      <c r="O421" s="67"/>
      <c r="P421" s="85" t="str">
        <f aca="false">IF(AH421="","",K421+N(L421)+N(M421)+N(N421)+N(O421))</f>
        <v/>
      </c>
      <c r="Q421" s="67"/>
      <c r="R421" s="67"/>
      <c r="S421" s="67"/>
      <c r="T421" s="67"/>
      <c r="U421" s="67"/>
      <c r="V421" s="67"/>
      <c r="W421" s="85" t="str">
        <f aca="false">IF(AH421="","",N(Q421)+N(R421)+N(S421)+N(T421)+N(U421)+N(V421))</f>
        <v/>
      </c>
      <c r="X421" s="85" t="str">
        <f aca="false">IF(AH421="","",P421-W421)</f>
        <v/>
      </c>
      <c r="Y421" s="67"/>
      <c r="Z421" s="70" t="str">
        <f aca="false">IF(OR(AH421="",Y421=""),"",IF(ABS(X421-Y421)&lt;=1,"✓ Cuadra","⚠ Diferencia $"&amp;FIXED(X421-Y421,0)))</f>
        <v/>
      </c>
      <c r="AA421" s="72" t="str">
        <f aca="false">IF(AH421="","",IFERROR(INDEX(C_TIPO,MATCH(C421&amp;"-P"&amp;MAX(1,COUNTIFS(C_ID,C421,C_DEFINE,"Sí",C_INICIO,"&lt;="&amp;EOMONTH(B421,0))),C_CLAVE,0))&amp;"","Sin dato"))</f>
        <v/>
      </c>
      <c r="AB421" s="71" t="str">
        <f aca="false">IF(AH421="","",ROUND(MIN(K421,TOPE_AFP_UF*AJ421)*AK421,0))</f>
        <v/>
      </c>
      <c r="AC421" s="71" t="str">
        <f aca="false">IF(AH421="","",ROUND(MIN(K421,TOPE_AFC_UF*AJ421)*IF(AA421="Indefinido",AFC_EMP_INDEF,AFC_EMP_PF),0))</f>
        <v/>
      </c>
      <c r="AD421" s="71" t="str">
        <f aca="false">IF(AH421="","",ROUND(MIN(K421,TOPE_AFP_UF*AJ421)*(MUTUAL_BASICA+MUTUAL_ADIC+SANNA),0))</f>
        <v/>
      </c>
      <c r="AE421" s="71" t="str">
        <f aca="false">IF(AH421="","",P421-N(N421)+AB421+AC421+AD421)</f>
        <v/>
      </c>
      <c r="AF421" s="65"/>
      <c r="AG421" s="64"/>
      <c r="AH421" s="72" t="str">
        <f aca="false">IF(OR(B421="",C421=""),"",C421&amp;"|"&amp;(YEAR(B421)*100+MONTH(B421)))</f>
        <v/>
      </c>
      <c r="AI421" s="70" t="str">
        <f aca="false">IF(AH421="","",IF(COUNTIF(L_CLAVE,AH421)&gt;1,"⚠ Duplicado","OK"))</f>
        <v/>
      </c>
      <c r="AJ421" s="86" t="str">
        <f aca="false">IF(AH421="","",IF(SUMPRODUCT(MAX((IND_PER&lt;=B421)*(IND_UF&lt;&gt;"")*IND_PER))=0,UF_HOY,INDEX(IND_UF,MATCH(SUMPRODUCT(MAX((IND_PER&lt;=B421)*(IND_UF&lt;&gt;"")*IND_PER)),IND_PER,0))))</f>
        <v/>
      </c>
      <c r="AK421" s="87" t="str">
        <f aca="false">IF(AH421="","",IF(COUNTIF(TASA_DESDE,"&lt;="&amp;B421)=0,INDEX(TASA_EMP,1),INDEX(TASA_EMP,COUNTIF(TASA_DESDE,"&lt;="&amp;B421))))</f>
        <v/>
      </c>
    </row>
    <row r="422" customFormat="false" ht="15" hidden="false" customHeight="false" outlineLevel="0" collapsed="false">
      <c r="B422" s="78"/>
      <c r="C422" s="64"/>
      <c r="D422" s="72" t="str">
        <f aca="false">IF(C422="","",IFERROR(INDEX(T_NOMBRE,MATCH(C422,T_ID,0)),"⚠ ID no existe"))</f>
        <v/>
      </c>
      <c r="E422" s="69"/>
      <c r="F422" s="67"/>
      <c r="G422" s="67"/>
      <c r="H422" s="67"/>
      <c r="I422" s="67"/>
      <c r="J422" s="67"/>
      <c r="K422" s="85" t="str">
        <f aca="false">IF(AH422="","",N(F422)+N(G422)+N(H422)-N(I422)+N(J422))</f>
        <v/>
      </c>
      <c r="L422" s="67"/>
      <c r="M422" s="67"/>
      <c r="N422" s="67"/>
      <c r="O422" s="67"/>
      <c r="P422" s="85" t="str">
        <f aca="false">IF(AH422="","",K422+N(L422)+N(M422)+N(N422)+N(O422))</f>
        <v/>
      </c>
      <c r="Q422" s="67"/>
      <c r="R422" s="67"/>
      <c r="S422" s="67"/>
      <c r="T422" s="67"/>
      <c r="U422" s="67"/>
      <c r="V422" s="67"/>
      <c r="W422" s="85" t="str">
        <f aca="false">IF(AH422="","",N(Q422)+N(R422)+N(S422)+N(T422)+N(U422)+N(V422))</f>
        <v/>
      </c>
      <c r="X422" s="85" t="str">
        <f aca="false">IF(AH422="","",P422-W422)</f>
        <v/>
      </c>
      <c r="Y422" s="67"/>
      <c r="Z422" s="70" t="str">
        <f aca="false">IF(OR(AH422="",Y422=""),"",IF(ABS(X422-Y422)&lt;=1,"✓ Cuadra","⚠ Diferencia $"&amp;FIXED(X422-Y422,0)))</f>
        <v/>
      </c>
      <c r="AA422" s="72" t="str">
        <f aca="false">IF(AH422="","",IFERROR(INDEX(C_TIPO,MATCH(C422&amp;"-P"&amp;MAX(1,COUNTIFS(C_ID,C422,C_DEFINE,"Sí",C_INICIO,"&lt;="&amp;EOMONTH(B422,0))),C_CLAVE,0))&amp;"","Sin dato"))</f>
        <v/>
      </c>
      <c r="AB422" s="71" t="str">
        <f aca="false">IF(AH422="","",ROUND(MIN(K422,TOPE_AFP_UF*AJ422)*AK422,0))</f>
        <v/>
      </c>
      <c r="AC422" s="71" t="str">
        <f aca="false">IF(AH422="","",ROUND(MIN(K422,TOPE_AFC_UF*AJ422)*IF(AA422="Indefinido",AFC_EMP_INDEF,AFC_EMP_PF),0))</f>
        <v/>
      </c>
      <c r="AD422" s="71" t="str">
        <f aca="false">IF(AH422="","",ROUND(MIN(K422,TOPE_AFP_UF*AJ422)*(MUTUAL_BASICA+MUTUAL_ADIC+SANNA),0))</f>
        <v/>
      </c>
      <c r="AE422" s="71" t="str">
        <f aca="false">IF(AH422="","",P422-N(N422)+AB422+AC422+AD422)</f>
        <v/>
      </c>
      <c r="AF422" s="65"/>
      <c r="AG422" s="64"/>
      <c r="AH422" s="72" t="str">
        <f aca="false">IF(OR(B422="",C422=""),"",C422&amp;"|"&amp;(YEAR(B422)*100+MONTH(B422)))</f>
        <v/>
      </c>
      <c r="AI422" s="70" t="str">
        <f aca="false">IF(AH422="","",IF(COUNTIF(L_CLAVE,AH422)&gt;1,"⚠ Duplicado","OK"))</f>
        <v/>
      </c>
      <c r="AJ422" s="86" t="str">
        <f aca="false">IF(AH422="","",IF(SUMPRODUCT(MAX((IND_PER&lt;=B422)*(IND_UF&lt;&gt;"")*IND_PER))=0,UF_HOY,INDEX(IND_UF,MATCH(SUMPRODUCT(MAX((IND_PER&lt;=B422)*(IND_UF&lt;&gt;"")*IND_PER)),IND_PER,0))))</f>
        <v/>
      </c>
      <c r="AK422" s="87" t="str">
        <f aca="false">IF(AH422="","",IF(COUNTIF(TASA_DESDE,"&lt;="&amp;B422)=0,INDEX(TASA_EMP,1),INDEX(TASA_EMP,COUNTIF(TASA_DESDE,"&lt;="&amp;B422))))</f>
        <v/>
      </c>
    </row>
    <row r="423" customFormat="false" ht="15" hidden="false" customHeight="false" outlineLevel="0" collapsed="false">
      <c r="B423" s="78"/>
      <c r="C423" s="64"/>
      <c r="D423" s="72" t="str">
        <f aca="false">IF(C423="","",IFERROR(INDEX(T_NOMBRE,MATCH(C423,T_ID,0)),"⚠ ID no existe"))</f>
        <v/>
      </c>
      <c r="E423" s="69"/>
      <c r="F423" s="67"/>
      <c r="G423" s="67"/>
      <c r="H423" s="67"/>
      <c r="I423" s="67"/>
      <c r="J423" s="67"/>
      <c r="K423" s="85" t="str">
        <f aca="false">IF(AH423="","",N(F423)+N(G423)+N(H423)-N(I423)+N(J423))</f>
        <v/>
      </c>
      <c r="L423" s="67"/>
      <c r="M423" s="67"/>
      <c r="N423" s="67"/>
      <c r="O423" s="67"/>
      <c r="P423" s="85" t="str">
        <f aca="false">IF(AH423="","",K423+N(L423)+N(M423)+N(N423)+N(O423))</f>
        <v/>
      </c>
      <c r="Q423" s="67"/>
      <c r="R423" s="67"/>
      <c r="S423" s="67"/>
      <c r="T423" s="67"/>
      <c r="U423" s="67"/>
      <c r="V423" s="67"/>
      <c r="W423" s="85" t="str">
        <f aca="false">IF(AH423="","",N(Q423)+N(R423)+N(S423)+N(T423)+N(U423)+N(V423))</f>
        <v/>
      </c>
      <c r="X423" s="85" t="str">
        <f aca="false">IF(AH423="","",P423-W423)</f>
        <v/>
      </c>
      <c r="Y423" s="67"/>
      <c r="Z423" s="70" t="str">
        <f aca="false">IF(OR(AH423="",Y423=""),"",IF(ABS(X423-Y423)&lt;=1,"✓ Cuadra","⚠ Diferencia $"&amp;FIXED(X423-Y423,0)))</f>
        <v/>
      </c>
      <c r="AA423" s="72" t="str">
        <f aca="false">IF(AH423="","",IFERROR(INDEX(C_TIPO,MATCH(C423&amp;"-P"&amp;MAX(1,COUNTIFS(C_ID,C423,C_DEFINE,"Sí",C_INICIO,"&lt;="&amp;EOMONTH(B423,0))),C_CLAVE,0))&amp;"","Sin dato"))</f>
        <v/>
      </c>
      <c r="AB423" s="71" t="str">
        <f aca="false">IF(AH423="","",ROUND(MIN(K423,TOPE_AFP_UF*AJ423)*AK423,0))</f>
        <v/>
      </c>
      <c r="AC423" s="71" t="str">
        <f aca="false">IF(AH423="","",ROUND(MIN(K423,TOPE_AFC_UF*AJ423)*IF(AA423="Indefinido",AFC_EMP_INDEF,AFC_EMP_PF),0))</f>
        <v/>
      </c>
      <c r="AD423" s="71" t="str">
        <f aca="false">IF(AH423="","",ROUND(MIN(K423,TOPE_AFP_UF*AJ423)*(MUTUAL_BASICA+MUTUAL_ADIC+SANNA),0))</f>
        <v/>
      </c>
      <c r="AE423" s="71" t="str">
        <f aca="false">IF(AH423="","",P423-N(N423)+AB423+AC423+AD423)</f>
        <v/>
      </c>
      <c r="AF423" s="65"/>
      <c r="AG423" s="64"/>
      <c r="AH423" s="72" t="str">
        <f aca="false">IF(OR(B423="",C423=""),"",C423&amp;"|"&amp;(YEAR(B423)*100+MONTH(B423)))</f>
        <v/>
      </c>
      <c r="AI423" s="70" t="str">
        <f aca="false">IF(AH423="","",IF(COUNTIF(L_CLAVE,AH423)&gt;1,"⚠ Duplicado","OK"))</f>
        <v/>
      </c>
      <c r="AJ423" s="86" t="str">
        <f aca="false">IF(AH423="","",IF(SUMPRODUCT(MAX((IND_PER&lt;=B423)*(IND_UF&lt;&gt;"")*IND_PER))=0,UF_HOY,INDEX(IND_UF,MATCH(SUMPRODUCT(MAX((IND_PER&lt;=B423)*(IND_UF&lt;&gt;"")*IND_PER)),IND_PER,0))))</f>
        <v/>
      </c>
      <c r="AK423" s="87" t="str">
        <f aca="false">IF(AH423="","",IF(COUNTIF(TASA_DESDE,"&lt;="&amp;B423)=0,INDEX(TASA_EMP,1),INDEX(TASA_EMP,COUNTIF(TASA_DESDE,"&lt;="&amp;B423))))</f>
        <v/>
      </c>
    </row>
    <row r="424" customFormat="false" ht="15" hidden="false" customHeight="false" outlineLevel="0" collapsed="false">
      <c r="B424" s="78"/>
      <c r="C424" s="64"/>
      <c r="D424" s="72" t="str">
        <f aca="false">IF(C424="","",IFERROR(INDEX(T_NOMBRE,MATCH(C424,T_ID,0)),"⚠ ID no existe"))</f>
        <v/>
      </c>
      <c r="E424" s="69"/>
      <c r="F424" s="67"/>
      <c r="G424" s="67"/>
      <c r="H424" s="67"/>
      <c r="I424" s="67"/>
      <c r="J424" s="67"/>
      <c r="K424" s="85" t="str">
        <f aca="false">IF(AH424="","",N(F424)+N(G424)+N(H424)-N(I424)+N(J424))</f>
        <v/>
      </c>
      <c r="L424" s="67"/>
      <c r="M424" s="67"/>
      <c r="N424" s="67"/>
      <c r="O424" s="67"/>
      <c r="P424" s="85" t="str">
        <f aca="false">IF(AH424="","",K424+N(L424)+N(M424)+N(N424)+N(O424))</f>
        <v/>
      </c>
      <c r="Q424" s="67"/>
      <c r="R424" s="67"/>
      <c r="S424" s="67"/>
      <c r="T424" s="67"/>
      <c r="U424" s="67"/>
      <c r="V424" s="67"/>
      <c r="W424" s="85" t="str">
        <f aca="false">IF(AH424="","",N(Q424)+N(R424)+N(S424)+N(T424)+N(U424)+N(V424))</f>
        <v/>
      </c>
      <c r="X424" s="85" t="str">
        <f aca="false">IF(AH424="","",P424-W424)</f>
        <v/>
      </c>
      <c r="Y424" s="67"/>
      <c r="Z424" s="70" t="str">
        <f aca="false">IF(OR(AH424="",Y424=""),"",IF(ABS(X424-Y424)&lt;=1,"✓ Cuadra","⚠ Diferencia $"&amp;FIXED(X424-Y424,0)))</f>
        <v/>
      </c>
      <c r="AA424" s="72" t="str">
        <f aca="false">IF(AH424="","",IFERROR(INDEX(C_TIPO,MATCH(C424&amp;"-P"&amp;MAX(1,COUNTIFS(C_ID,C424,C_DEFINE,"Sí",C_INICIO,"&lt;="&amp;EOMONTH(B424,0))),C_CLAVE,0))&amp;"","Sin dato"))</f>
        <v/>
      </c>
      <c r="AB424" s="71" t="str">
        <f aca="false">IF(AH424="","",ROUND(MIN(K424,TOPE_AFP_UF*AJ424)*AK424,0))</f>
        <v/>
      </c>
      <c r="AC424" s="71" t="str">
        <f aca="false">IF(AH424="","",ROUND(MIN(K424,TOPE_AFC_UF*AJ424)*IF(AA424="Indefinido",AFC_EMP_INDEF,AFC_EMP_PF),0))</f>
        <v/>
      </c>
      <c r="AD424" s="71" t="str">
        <f aca="false">IF(AH424="","",ROUND(MIN(K424,TOPE_AFP_UF*AJ424)*(MUTUAL_BASICA+MUTUAL_ADIC+SANNA),0))</f>
        <v/>
      </c>
      <c r="AE424" s="71" t="str">
        <f aca="false">IF(AH424="","",P424-N(N424)+AB424+AC424+AD424)</f>
        <v/>
      </c>
      <c r="AF424" s="65"/>
      <c r="AG424" s="64"/>
      <c r="AH424" s="72" t="str">
        <f aca="false">IF(OR(B424="",C424=""),"",C424&amp;"|"&amp;(YEAR(B424)*100+MONTH(B424)))</f>
        <v/>
      </c>
      <c r="AI424" s="70" t="str">
        <f aca="false">IF(AH424="","",IF(COUNTIF(L_CLAVE,AH424)&gt;1,"⚠ Duplicado","OK"))</f>
        <v/>
      </c>
      <c r="AJ424" s="86" t="str">
        <f aca="false">IF(AH424="","",IF(SUMPRODUCT(MAX((IND_PER&lt;=B424)*(IND_UF&lt;&gt;"")*IND_PER))=0,UF_HOY,INDEX(IND_UF,MATCH(SUMPRODUCT(MAX((IND_PER&lt;=B424)*(IND_UF&lt;&gt;"")*IND_PER)),IND_PER,0))))</f>
        <v/>
      </c>
      <c r="AK424" s="87" t="str">
        <f aca="false">IF(AH424="","",IF(COUNTIF(TASA_DESDE,"&lt;="&amp;B424)=0,INDEX(TASA_EMP,1),INDEX(TASA_EMP,COUNTIF(TASA_DESDE,"&lt;="&amp;B424))))</f>
        <v/>
      </c>
    </row>
    <row r="425" customFormat="false" ht="15" hidden="false" customHeight="false" outlineLevel="0" collapsed="false">
      <c r="B425" s="78"/>
      <c r="C425" s="64"/>
      <c r="D425" s="72" t="str">
        <f aca="false">IF(C425="","",IFERROR(INDEX(T_NOMBRE,MATCH(C425,T_ID,0)),"⚠ ID no existe"))</f>
        <v/>
      </c>
      <c r="E425" s="69"/>
      <c r="F425" s="67"/>
      <c r="G425" s="67"/>
      <c r="H425" s="67"/>
      <c r="I425" s="67"/>
      <c r="J425" s="67"/>
      <c r="K425" s="85" t="str">
        <f aca="false">IF(AH425="","",N(F425)+N(G425)+N(H425)-N(I425)+N(J425))</f>
        <v/>
      </c>
      <c r="L425" s="67"/>
      <c r="M425" s="67"/>
      <c r="N425" s="67"/>
      <c r="O425" s="67"/>
      <c r="P425" s="85" t="str">
        <f aca="false">IF(AH425="","",K425+N(L425)+N(M425)+N(N425)+N(O425))</f>
        <v/>
      </c>
      <c r="Q425" s="67"/>
      <c r="R425" s="67"/>
      <c r="S425" s="67"/>
      <c r="T425" s="67"/>
      <c r="U425" s="67"/>
      <c r="V425" s="67"/>
      <c r="W425" s="85" t="str">
        <f aca="false">IF(AH425="","",N(Q425)+N(R425)+N(S425)+N(T425)+N(U425)+N(V425))</f>
        <v/>
      </c>
      <c r="X425" s="85" t="str">
        <f aca="false">IF(AH425="","",P425-W425)</f>
        <v/>
      </c>
      <c r="Y425" s="67"/>
      <c r="Z425" s="70" t="str">
        <f aca="false">IF(OR(AH425="",Y425=""),"",IF(ABS(X425-Y425)&lt;=1,"✓ Cuadra","⚠ Diferencia $"&amp;FIXED(X425-Y425,0)))</f>
        <v/>
      </c>
      <c r="AA425" s="72" t="str">
        <f aca="false">IF(AH425="","",IFERROR(INDEX(C_TIPO,MATCH(C425&amp;"-P"&amp;MAX(1,COUNTIFS(C_ID,C425,C_DEFINE,"Sí",C_INICIO,"&lt;="&amp;EOMONTH(B425,0))),C_CLAVE,0))&amp;"","Sin dato"))</f>
        <v/>
      </c>
      <c r="AB425" s="71" t="str">
        <f aca="false">IF(AH425="","",ROUND(MIN(K425,TOPE_AFP_UF*AJ425)*AK425,0))</f>
        <v/>
      </c>
      <c r="AC425" s="71" t="str">
        <f aca="false">IF(AH425="","",ROUND(MIN(K425,TOPE_AFC_UF*AJ425)*IF(AA425="Indefinido",AFC_EMP_INDEF,AFC_EMP_PF),0))</f>
        <v/>
      </c>
      <c r="AD425" s="71" t="str">
        <f aca="false">IF(AH425="","",ROUND(MIN(K425,TOPE_AFP_UF*AJ425)*(MUTUAL_BASICA+MUTUAL_ADIC+SANNA),0))</f>
        <v/>
      </c>
      <c r="AE425" s="71" t="str">
        <f aca="false">IF(AH425="","",P425-N(N425)+AB425+AC425+AD425)</f>
        <v/>
      </c>
      <c r="AF425" s="65"/>
      <c r="AG425" s="64"/>
      <c r="AH425" s="72" t="str">
        <f aca="false">IF(OR(B425="",C425=""),"",C425&amp;"|"&amp;(YEAR(B425)*100+MONTH(B425)))</f>
        <v/>
      </c>
      <c r="AI425" s="70" t="str">
        <f aca="false">IF(AH425="","",IF(COUNTIF(L_CLAVE,AH425)&gt;1,"⚠ Duplicado","OK"))</f>
        <v/>
      </c>
      <c r="AJ425" s="86" t="str">
        <f aca="false">IF(AH425="","",IF(SUMPRODUCT(MAX((IND_PER&lt;=B425)*(IND_UF&lt;&gt;"")*IND_PER))=0,UF_HOY,INDEX(IND_UF,MATCH(SUMPRODUCT(MAX((IND_PER&lt;=B425)*(IND_UF&lt;&gt;"")*IND_PER)),IND_PER,0))))</f>
        <v/>
      </c>
      <c r="AK425" s="87" t="str">
        <f aca="false">IF(AH425="","",IF(COUNTIF(TASA_DESDE,"&lt;="&amp;B425)=0,INDEX(TASA_EMP,1),INDEX(TASA_EMP,COUNTIF(TASA_DESDE,"&lt;="&amp;B425))))</f>
        <v/>
      </c>
    </row>
    <row r="426" customFormat="false" ht="15" hidden="false" customHeight="false" outlineLevel="0" collapsed="false">
      <c r="B426" s="78"/>
      <c r="C426" s="64"/>
      <c r="D426" s="72" t="str">
        <f aca="false">IF(C426="","",IFERROR(INDEX(T_NOMBRE,MATCH(C426,T_ID,0)),"⚠ ID no existe"))</f>
        <v/>
      </c>
      <c r="E426" s="69"/>
      <c r="F426" s="67"/>
      <c r="G426" s="67"/>
      <c r="H426" s="67"/>
      <c r="I426" s="67"/>
      <c r="J426" s="67"/>
      <c r="K426" s="85" t="str">
        <f aca="false">IF(AH426="","",N(F426)+N(G426)+N(H426)-N(I426)+N(J426))</f>
        <v/>
      </c>
      <c r="L426" s="67"/>
      <c r="M426" s="67"/>
      <c r="N426" s="67"/>
      <c r="O426" s="67"/>
      <c r="P426" s="85" t="str">
        <f aca="false">IF(AH426="","",K426+N(L426)+N(M426)+N(N426)+N(O426))</f>
        <v/>
      </c>
      <c r="Q426" s="67"/>
      <c r="R426" s="67"/>
      <c r="S426" s="67"/>
      <c r="T426" s="67"/>
      <c r="U426" s="67"/>
      <c r="V426" s="67"/>
      <c r="W426" s="85" t="str">
        <f aca="false">IF(AH426="","",N(Q426)+N(R426)+N(S426)+N(T426)+N(U426)+N(V426))</f>
        <v/>
      </c>
      <c r="X426" s="85" t="str">
        <f aca="false">IF(AH426="","",P426-W426)</f>
        <v/>
      </c>
      <c r="Y426" s="67"/>
      <c r="Z426" s="70" t="str">
        <f aca="false">IF(OR(AH426="",Y426=""),"",IF(ABS(X426-Y426)&lt;=1,"✓ Cuadra","⚠ Diferencia $"&amp;FIXED(X426-Y426,0)))</f>
        <v/>
      </c>
      <c r="AA426" s="72" t="str">
        <f aca="false">IF(AH426="","",IFERROR(INDEX(C_TIPO,MATCH(C426&amp;"-P"&amp;MAX(1,COUNTIFS(C_ID,C426,C_DEFINE,"Sí",C_INICIO,"&lt;="&amp;EOMONTH(B426,0))),C_CLAVE,0))&amp;"","Sin dato"))</f>
        <v/>
      </c>
      <c r="AB426" s="71" t="str">
        <f aca="false">IF(AH426="","",ROUND(MIN(K426,TOPE_AFP_UF*AJ426)*AK426,0))</f>
        <v/>
      </c>
      <c r="AC426" s="71" t="str">
        <f aca="false">IF(AH426="","",ROUND(MIN(K426,TOPE_AFC_UF*AJ426)*IF(AA426="Indefinido",AFC_EMP_INDEF,AFC_EMP_PF),0))</f>
        <v/>
      </c>
      <c r="AD426" s="71" t="str">
        <f aca="false">IF(AH426="","",ROUND(MIN(K426,TOPE_AFP_UF*AJ426)*(MUTUAL_BASICA+MUTUAL_ADIC+SANNA),0))</f>
        <v/>
      </c>
      <c r="AE426" s="71" t="str">
        <f aca="false">IF(AH426="","",P426-N(N426)+AB426+AC426+AD426)</f>
        <v/>
      </c>
      <c r="AF426" s="65"/>
      <c r="AG426" s="64"/>
      <c r="AH426" s="72" t="str">
        <f aca="false">IF(OR(B426="",C426=""),"",C426&amp;"|"&amp;(YEAR(B426)*100+MONTH(B426)))</f>
        <v/>
      </c>
      <c r="AI426" s="70" t="str">
        <f aca="false">IF(AH426="","",IF(COUNTIF(L_CLAVE,AH426)&gt;1,"⚠ Duplicado","OK"))</f>
        <v/>
      </c>
      <c r="AJ426" s="86" t="str">
        <f aca="false">IF(AH426="","",IF(SUMPRODUCT(MAX((IND_PER&lt;=B426)*(IND_UF&lt;&gt;"")*IND_PER))=0,UF_HOY,INDEX(IND_UF,MATCH(SUMPRODUCT(MAX((IND_PER&lt;=B426)*(IND_UF&lt;&gt;"")*IND_PER)),IND_PER,0))))</f>
        <v/>
      </c>
      <c r="AK426" s="87" t="str">
        <f aca="false">IF(AH426="","",IF(COUNTIF(TASA_DESDE,"&lt;="&amp;B426)=0,INDEX(TASA_EMP,1),INDEX(TASA_EMP,COUNTIF(TASA_DESDE,"&lt;="&amp;B426))))</f>
        <v/>
      </c>
    </row>
    <row r="427" customFormat="false" ht="15" hidden="false" customHeight="false" outlineLevel="0" collapsed="false">
      <c r="B427" s="78"/>
      <c r="C427" s="64"/>
      <c r="D427" s="72" t="str">
        <f aca="false">IF(C427="","",IFERROR(INDEX(T_NOMBRE,MATCH(C427,T_ID,0)),"⚠ ID no existe"))</f>
        <v/>
      </c>
      <c r="E427" s="69"/>
      <c r="F427" s="67"/>
      <c r="G427" s="67"/>
      <c r="H427" s="67"/>
      <c r="I427" s="67"/>
      <c r="J427" s="67"/>
      <c r="K427" s="85" t="str">
        <f aca="false">IF(AH427="","",N(F427)+N(G427)+N(H427)-N(I427)+N(J427))</f>
        <v/>
      </c>
      <c r="L427" s="67"/>
      <c r="M427" s="67"/>
      <c r="N427" s="67"/>
      <c r="O427" s="67"/>
      <c r="P427" s="85" t="str">
        <f aca="false">IF(AH427="","",K427+N(L427)+N(M427)+N(N427)+N(O427))</f>
        <v/>
      </c>
      <c r="Q427" s="67"/>
      <c r="R427" s="67"/>
      <c r="S427" s="67"/>
      <c r="T427" s="67"/>
      <c r="U427" s="67"/>
      <c r="V427" s="67"/>
      <c r="W427" s="85" t="str">
        <f aca="false">IF(AH427="","",N(Q427)+N(R427)+N(S427)+N(T427)+N(U427)+N(V427))</f>
        <v/>
      </c>
      <c r="X427" s="85" t="str">
        <f aca="false">IF(AH427="","",P427-W427)</f>
        <v/>
      </c>
      <c r="Y427" s="67"/>
      <c r="Z427" s="70" t="str">
        <f aca="false">IF(OR(AH427="",Y427=""),"",IF(ABS(X427-Y427)&lt;=1,"✓ Cuadra","⚠ Diferencia $"&amp;FIXED(X427-Y427,0)))</f>
        <v/>
      </c>
      <c r="AA427" s="72" t="str">
        <f aca="false">IF(AH427="","",IFERROR(INDEX(C_TIPO,MATCH(C427&amp;"-P"&amp;MAX(1,COUNTIFS(C_ID,C427,C_DEFINE,"Sí",C_INICIO,"&lt;="&amp;EOMONTH(B427,0))),C_CLAVE,0))&amp;"","Sin dato"))</f>
        <v/>
      </c>
      <c r="AB427" s="71" t="str">
        <f aca="false">IF(AH427="","",ROUND(MIN(K427,TOPE_AFP_UF*AJ427)*AK427,0))</f>
        <v/>
      </c>
      <c r="AC427" s="71" t="str">
        <f aca="false">IF(AH427="","",ROUND(MIN(K427,TOPE_AFC_UF*AJ427)*IF(AA427="Indefinido",AFC_EMP_INDEF,AFC_EMP_PF),0))</f>
        <v/>
      </c>
      <c r="AD427" s="71" t="str">
        <f aca="false">IF(AH427="","",ROUND(MIN(K427,TOPE_AFP_UF*AJ427)*(MUTUAL_BASICA+MUTUAL_ADIC+SANNA),0))</f>
        <v/>
      </c>
      <c r="AE427" s="71" t="str">
        <f aca="false">IF(AH427="","",P427-N(N427)+AB427+AC427+AD427)</f>
        <v/>
      </c>
      <c r="AF427" s="65"/>
      <c r="AG427" s="64"/>
      <c r="AH427" s="72" t="str">
        <f aca="false">IF(OR(B427="",C427=""),"",C427&amp;"|"&amp;(YEAR(B427)*100+MONTH(B427)))</f>
        <v/>
      </c>
      <c r="AI427" s="70" t="str">
        <f aca="false">IF(AH427="","",IF(COUNTIF(L_CLAVE,AH427)&gt;1,"⚠ Duplicado","OK"))</f>
        <v/>
      </c>
      <c r="AJ427" s="86" t="str">
        <f aca="false">IF(AH427="","",IF(SUMPRODUCT(MAX((IND_PER&lt;=B427)*(IND_UF&lt;&gt;"")*IND_PER))=0,UF_HOY,INDEX(IND_UF,MATCH(SUMPRODUCT(MAX((IND_PER&lt;=B427)*(IND_UF&lt;&gt;"")*IND_PER)),IND_PER,0))))</f>
        <v/>
      </c>
      <c r="AK427" s="87" t="str">
        <f aca="false">IF(AH427="","",IF(COUNTIF(TASA_DESDE,"&lt;="&amp;B427)=0,INDEX(TASA_EMP,1),INDEX(TASA_EMP,COUNTIF(TASA_DESDE,"&lt;="&amp;B427))))</f>
        <v/>
      </c>
    </row>
    <row r="428" customFormat="false" ht="15" hidden="false" customHeight="false" outlineLevel="0" collapsed="false">
      <c r="B428" s="78"/>
      <c r="C428" s="64"/>
      <c r="D428" s="72" t="str">
        <f aca="false">IF(C428="","",IFERROR(INDEX(T_NOMBRE,MATCH(C428,T_ID,0)),"⚠ ID no existe"))</f>
        <v/>
      </c>
      <c r="E428" s="69"/>
      <c r="F428" s="67"/>
      <c r="G428" s="67"/>
      <c r="H428" s="67"/>
      <c r="I428" s="67"/>
      <c r="J428" s="67"/>
      <c r="K428" s="85" t="str">
        <f aca="false">IF(AH428="","",N(F428)+N(G428)+N(H428)-N(I428)+N(J428))</f>
        <v/>
      </c>
      <c r="L428" s="67"/>
      <c r="M428" s="67"/>
      <c r="N428" s="67"/>
      <c r="O428" s="67"/>
      <c r="P428" s="85" t="str">
        <f aca="false">IF(AH428="","",K428+N(L428)+N(M428)+N(N428)+N(O428))</f>
        <v/>
      </c>
      <c r="Q428" s="67"/>
      <c r="R428" s="67"/>
      <c r="S428" s="67"/>
      <c r="T428" s="67"/>
      <c r="U428" s="67"/>
      <c r="V428" s="67"/>
      <c r="W428" s="85" t="str">
        <f aca="false">IF(AH428="","",N(Q428)+N(R428)+N(S428)+N(T428)+N(U428)+N(V428))</f>
        <v/>
      </c>
      <c r="X428" s="85" t="str">
        <f aca="false">IF(AH428="","",P428-W428)</f>
        <v/>
      </c>
      <c r="Y428" s="67"/>
      <c r="Z428" s="70" t="str">
        <f aca="false">IF(OR(AH428="",Y428=""),"",IF(ABS(X428-Y428)&lt;=1,"✓ Cuadra","⚠ Diferencia $"&amp;FIXED(X428-Y428,0)))</f>
        <v/>
      </c>
      <c r="AA428" s="72" t="str">
        <f aca="false">IF(AH428="","",IFERROR(INDEX(C_TIPO,MATCH(C428&amp;"-P"&amp;MAX(1,COUNTIFS(C_ID,C428,C_DEFINE,"Sí",C_INICIO,"&lt;="&amp;EOMONTH(B428,0))),C_CLAVE,0))&amp;"","Sin dato"))</f>
        <v/>
      </c>
      <c r="AB428" s="71" t="str">
        <f aca="false">IF(AH428="","",ROUND(MIN(K428,TOPE_AFP_UF*AJ428)*AK428,0))</f>
        <v/>
      </c>
      <c r="AC428" s="71" t="str">
        <f aca="false">IF(AH428="","",ROUND(MIN(K428,TOPE_AFC_UF*AJ428)*IF(AA428="Indefinido",AFC_EMP_INDEF,AFC_EMP_PF),0))</f>
        <v/>
      </c>
      <c r="AD428" s="71" t="str">
        <f aca="false">IF(AH428="","",ROUND(MIN(K428,TOPE_AFP_UF*AJ428)*(MUTUAL_BASICA+MUTUAL_ADIC+SANNA),0))</f>
        <v/>
      </c>
      <c r="AE428" s="71" t="str">
        <f aca="false">IF(AH428="","",P428-N(N428)+AB428+AC428+AD428)</f>
        <v/>
      </c>
      <c r="AF428" s="65"/>
      <c r="AG428" s="64"/>
      <c r="AH428" s="72" t="str">
        <f aca="false">IF(OR(B428="",C428=""),"",C428&amp;"|"&amp;(YEAR(B428)*100+MONTH(B428)))</f>
        <v/>
      </c>
      <c r="AI428" s="70" t="str">
        <f aca="false">IF(AH428="","",IF(COUNTIF(L_CLAVE,AH428)&gt;1,"⚠ Duplicado","OK"))</f>
        <v/>
      </c>
      <c r="AJ428" s="86" t="str">
        <f aca="false">IF(AH428="","",IF(SUMPRODUCT(MAX((IND_PER&lt;=B428)*(IND_UF&lt;&gt;"")*IND_PER))=0,UF_HOY,INDEX(IND_UF,MATCH(SUMPRODUCT(MAX((IND_PER&lt;=B428)*(IND_UF&lt;&gt;"")*IND_PER)),IND_PER,0))))</f>
        <v/>
      </c>
      <c r="AK428" s="87" t="str">
        <f aca="false">IF(AH428="","",IF(COUNTIF(TASA_DESDE,"&lt;="&amp;B428)=0,INDEX(TASA_EMP,1),INDEX(TASA_EMP,COUNTIF(TASA_DESDE,"&lt;="&amp;B428))))</f>
        <v/>
      </c>
    </row>
    <row r="429" customFormat="false" ht="15" hidden="false" customHeight="false" outlineLevel="0" collapsed="false">
      <c r="B429" s="78"/>
      <c r="C429" s="64"/>
      <c r="D429" s="72" t="str">
        <f aca="false">IF(C429="","",IFERROR(INDEX(T_NOMBRE,MATCH(C429,T_ID,0)),"⚠ ID no existe"))</f>
        <v/>
      </c>
      <c r="E429" s="69"/>
      <c r="F429" s="67"/>
      <c r="G429" s="67"/>
      <c r="H429" s="67"/>
      <c r="I429" s="67"/>
      <c r="J429" s="67"/>
      <c r="K429" s="85" t="str">
        <f aca="false">IF(AH429="","",N(F429)+N(G429)+N(H429)-N(I429)+N(J429))</f>
        <v/>
      </c>
      <c r="L429" s="67"/>
      <c r="M429" s="67"/>
      <c r="N429" s="67"/>
      <c r="O429" s="67"/>
      <c r="P429" s="85" t="str">
        <f aca="false">IF(AH429="","",K429+N(L429)+N(M429)+N(N429)+N(O429))</f>
        <v/>
      </c>
      <c r="Q429" s="67"/>
      <c r="R429" s="67"/>
      <c r="S429" s="67"/>
      <c r="T429" s="67"/>
      <c r="U429" s="67"/>
      <c r="V429" s="67"/>
      <c r="W429" s="85" t="str">
        <f aca="false">IF(AH429="","",N(Q429)+N(R429)+N(S429)+N(T429)+N(U429)+N(V429))</f>
        <v/>
      </c>
      <c r="X429" s="85" t="str">
        <f aca="false">IF(AH429="","",P429-W429)</f>
        <v/>
      </c>
      <c r="Y429" s="67"/>
      <c r="Z429" s="70" t="str">
        <f aca="false">IF(OR(AH429="",Y429=""),"",IF(ABS(X429-Y429)&lt;=1,"✓ Cuadra","⚠ Diferencia $"&amp;FIXED(X429-Y429,0)))</f>
        <v/>
      </c>
      <c r="AA429" s="72" t="str">
        <f aca="false">IF(AH429="","",IFERROR(INDEX(C_TIPO,MATCH(C429&amp;"-P"&amp;MAX(1,COUNTIFS(C_ID,C429,C_DEFINE,"Sí",C_INICIO,"&lt;="&amp;EOMONTH(B429,0))),C_CLAVE,0))&amp;"","Sin dato"))</f>
        <v/>
      </c>
      <c r="AB429" s="71" t="str">
        <f aca="false">IF(AH429="","",ROUND(MIN(K429,TOPE_AFP_UF*AJ429)*AK429,0))</f>
        <v/>
      </c>
      <c r="AC429" s="71" t="str">
        <f aca="false">IF(AH429="","",ROUND(MIN(K429,TOPE_AFC_UF*AJ429)*IF(AA429="Indefinido",AFC_EMP_INDEF,AFC_EMP_PF),0))</f>
        <v/>
      </c>
      <c r="AD429" s="71" t="str">
        <f aca="false">IF(AH429="","",ROUND(MIN(K429,TOPE_AFP_UF*AJ429)*(MUTUAL_BASICA+MUTUAL_ADIC+SANNA),0))</f>
        <v/>
      </c>
      <c r="AE429" s="71" t="str">
        <f aca="false">IF(AH429="","",P429-N(N429)+AB429+AC429+AD429)</f>
        <v/>
      </c>
      <c r="AF429" s="65"/>
      <c r="AG429" s="64"/>
      <c r="AH429" s="72" t="str">
        <f aca="false">IF(OR(B429="",C429=""),"",C429&amp;"|"&amp;(YEAR(B429)*100+MONTH(B429)))</f>
        <v/>
      </c>
      <c r="AI429" s="70" t="str">
        <f aca="false">IF(AH429="","",IF(COUNTIF(L_CLAVE,AH429)&gt;1,"⚠ Duplicado","OK"))</f>
        <v/>
      </c>
      <c r="AJ429" s="86" t="str">
        <f aca="false">IF(AH429="","",IF(SUMPRODUCT(MAX((IND_PER&lt;=B429)*(IND_UF&lt;&gt;"")*IND_PER))=0,UF_HOY,INDEX(IND_UF,MATCH(SUMPRODUCT(MAX((IND_PER&lt;=B429)*(IND_UF&lt;&gt;"")*IND_PER)),IND_PER,0))))</f>
        <v/>
      </c>
      <c r="AK429" s="87" t="str">
        <f aca="false">IF(AH429="","",IF(COUNTIF(TASA_DESDE,"&lt;="&amp;B429)=0,INDEX(TASA_EMP,1),INDEX(TASA_EMP,COUNTIF(TASA_DESDE,"&lt;="&amp;B429))))</f>
        <v/>
      </c>
    </row>
    <row r="430" customFormat="false" ht="15" hidden="false" customHeight="false" outlineLevel="0" collapsed="false">
      <c r="B430" s="78"/>
      <c r="C430" s="64"/>
      <c r="D430" s="72" t="str">
        <f aca="false">IF(C430="","",IFERROR(INDEX(T_NOMBRE,MATCH(C430,T_ID,0)),"⚠ ID no existe"))</f>
        <v/>
      </c>
      <c r="E430" s="69"/>
      <c r="F430" s="67"/>
      <c r="G430" s="67"/>
      <c r="H430" s="67"/>
      <c r="I430" s="67"/>
      <c r="J430" s="67"/>
      <c r="K430" s="85" t="str">
        <f aca="false">IF(AH430="","",N(F430)+N(G430)+N(H430)-N(I430)+N(J430))</f>
        <v/>
      </c>
      <c r="L430" s="67"/>
      <c r="M430" s="67"/>
      <c r="N430" s="67"/>
      <c r="O430" s="67"/>
      <c r="P430" s="85" t="str">
        <f aca="false">IF(AH430="","",K430+N(L430)+N(M430)+N(N430)+N(O430))</f>
        <v/>
      </c>
      <c r="Q430" s="67"/>
      <c r="R430" s="67"/>
      <c r="S430" s="67"/>
      <c r="T430" s="67"/>
      <c r="U430" s="67"/>
      <c r="V430" s="67"/>
      <c r="W430" s="85" t="str">
        <f aca="false">IF(AH430="","",N(Q430)+N(R430)+N(S430)+N(T430)+N(U430)+N(V430))</f>
        <v/>
      </c>
      <c r="X430" s="85" t="str">
        <f aca="false">IF(AH430="","",P430-W430)</f>
        <v/>
      </c>
      <c r="Y430" s="67"/>
      <c r="Z430" s="70" t="str">
        <f aca="false">IF(OR(AH430="",Y430=""),"",IF(ABS(X430-Y430)&lt;=1,"✓ Cuadra","⚠ Diferencia $"&amp;FIXED(X430-Y430,0)))</f>
        <v/>
      </c>
      <c r="AA430" s="72" t="str">
        <f aca="false">IF(AH430="","",IFERROR(INDEX(C_TIPO,MATCH(C430&amp;"-P"&amp;MAX(1,COUNTIFS(C_ID,C430,C_DEFINE,"Sí",C_INICIO,"&lt;="&amp;EOMONTH(B430,0))),C_CLAVE,0))&amp;"","Sin dato"))</f>
        <v/>
      </c>
      <c r="AB430" s="71" t="str">
        <f aca="false">IF(AH430="","",ROUND(MIN(K430,TOPE_AFP_UF*AJ430)*AK430,0))</f>
        <v/>
      </c>
      <c r="AC430" s="71" t="str">
        <f aca="false">IF(AH430="","",ROUND(MIN(K430,TOPE_AFC_UF*AJ430)*IF(AA430="Indefinido",AFC_EMP_INDEF,AFC_EMP_PF),0))</f>
        <v/>
      </c>
      <c r="AD430" s="71" t="str">
        <f aca="false">IF(AH430="","",ROUND(MIN(K430,TOPE_AFP_UF*AJ430)*(MUTUAL_BASICA+MUTUAL_ADIC+SANNA),0))</f>
        <v/>
      </c>
      <c r="AE430" s="71" t="str">
        <f aca="false">IF(AH430="","",P430-N(N430)+AB430+AC430+AD430)</f>
        <v/>
      </c>
      <c r="AF430" s="65"/>
      <c r="AG430" s="64"/>
      <c r="AH430" s="72" t="str">
        <f aca="false">IF(OR(B430="",C430=""),"",C430&amp;"|"&amp;(YEAR(B430)*100+MONTH(B430)))</f>
        <v/>
      </c>
      <c r="AI430" s="70" t="str">
        <f aca="false">IF(AH430="","",IF(COUNTIF(L_CLAVE,AH430)&gt;1,"⚠ Duplicado","OK"))</f>
        <v/>
      </c>
      <c r="AJ430" s="86" t="str">
        <f aca="false">IF(AH430="","",IF(SUMPRODUCT(MAX((IND_PER&lt;=B430)*(IND_UF&lt;&gt;"")*IND_PER))=0,UF_HOY,INDEX(IND_UF,MATCH(SUMPRODUCT(MAX((IND_PER&lt;=B430)*(IND_UF&lt;&gt;"")*IND_PER)),IND_PER,0))))</f>
        <v/>
      </c>
      <c r="AK430" s="87" t="str">
        <f aca="false">IF(AH430="","",IF(COUNTIF(TASA_DESDE,"&lt;="&amp;B430)=0,INDEX(TASA_EMP,1),INDEX(TASA_EMP,COUNTIF(TASA_DESDE,"&lt;="&amp;B430))))</f>
        <v/>
      </c>
    </row>
    <row r="431" customFormat="false" ht="15" hidden="false" customHeight="false" outlineLevel="0" collapsed="false">
      <c r="B431" s="78"/>
      <c r="C431" s="64"/>
      <c r="D431" s="72" t="str">
        <f aca="false">IF(C431="","",IFERROR(INDEX(T_NOMBRE,MATCH(C431,T_ID,0)),"⚠ ID no existe"))</f>
        <v/>
      </c>
      <c r="E431" s="69"/>
      <c r="F431" s="67"/>
      <c r="G431" s="67"/>
      <c r="H431" s="67"/>
      <c r="I431" s="67"/>
      <c r="J431" s="67"/>
      <c r="K431" s="85" t="str">
        <f aca="false">IF(AH431="","",N(F431)+N(G431)+N(H431)-N(I431)+N(J431))</f>
        <v/>
      </c>
      <c r="L431" s="67"/>
      <c r="M431" s="67"/>
      <c r="N431" s="67"/>
      <c r="O431" s="67"/>
      <c r="P431" s="85" t="str">
        <f aca="false">IF(AH431="","",K431+N(L431)+N(M431)+N(N431)+N(O431))</f>
        <v/>
      </c>
      <c r="Q431" s="67"/>
      <c r="R431" s="67"/>
      <c r="S431" s="67"/>
      <c r="T431" s="67"/>
      <c r="U431" s="67"/>
      <c r="V431" s="67"/>
      <c r="W431" s="85" t="str">
        <f aca="false">IF(AH431="","",N(Q431)+N(R431)+N(S431)+N(T431)+N(U431)+N(V431))</f>
        <v/>
      </c>
      <c r="X431" s="85" t="str">
        <f aca="false">IF(AH431="","",P431-W431)</f>
        <v/>
      </c>
      <c r="Y431" s="67"/>
      <c r="Z431" s="70" t="str">
        <f aca="false">IF(OR(AH431="",Y431=""),"",IF(ABS(X431-Y431)&lt;=1,"✓ Cuadra","⚠ Diferencia $"&amp;FIXED(X431-Y431,0)))</f>
        <v/>
      </c>
      <c r="AA431" s="72" t="str">
        <f aca="false">IF(AH431="","",IFERROR(INDEX(C_TIPO,MATCH(C431&amp;"-P"&amp;MAX(1,COUNTIFS(C_ID,C431,C_DEFINE,"Sí",C_INICIO,"&lt;="&amp;EOMONTH(B431,0))),C_CLAVE,0))&amp;"","Sin dato"))</f>
        <v/>
      </c>
      <c r="AB431" s="71" t="str">
        <f aca="false">IF(AH431="","",ROUND(MIN(K431,TOPE_AFP_UF*AJ431)*AK431,0))</f>
        <v/>
      </c>
      <c r="AC431" s="71" t="str">
        <f aca="false">IF(AH431="","",ROUND(MIN(K431,TOPE_AFC_UF*AJ431)*IF(AA431="Indefinido",AFC_EMP_INDEF,AFC_EMP_PF),0))</f>
        <v/>
      </c>
      <c r="AD431" s="71" t="str">
        <f aca="false">IF(AH431="","",ROUND(MIN(K431,TOPE_AFP_UF*AJ431)*(MUTUAL_BASICA+MUTUAL_ADIC+SANNA),0))</f>
        <v/>
      </c>
      <c r="AE431" s="71" t="str">
        <f aca="false">IF(AH431="","",P431-N(N431)+AB431+AC431+AD431)</f>
        <v/>
      </c>
      <c r="AF431" s="65"/>
      <c r="AG431" s="64"/>
      <c r="AH431" s="72" t="str">
        <f aca="false">IF(OR(B431="",C431=""),"",C431&amp;"|"&amp;(YEAR(B431)*100+MONTH(B431)))</f>
        <v/>
      </c>
      <c r="AI431" s="70" t="str">
        <f aca="false">IF(AH431="","",IF(COUNTIF(L_CLAVE,AH431)&gt;1,"⚠ Duplicado","OK"))</f>
        <v/>
      </c>
      <c r="AJ431" s="86" t="str">
        <f aca="false">IF(AH431="","",IF(SUMPRODUCT(MAX((IND_PER&lt;=B431)*(IND_UF&lt;&gt;"")*IND_PER))=0,UF_HOY,INDEX(IND_UF,MATCH(SUMPRODUCT(MAX((IND_PER&lt;=B431)*(IND_UF&lt;&gt;"")*IND_PER)),IND_PER,0))))</f>
        <v/>
      </c>
      <c r="AK431" s="87" t="str">
        <f aca="false">IF(AH431="","",IF(COUNTIF(TASA_DESDE,"&lt;="&amp;B431)=0,INDEX(TASA_EMP,1),INDEX(TASA_EMP,COUNTIF(TASA_DESDE,"&lt;="&amp;B431))))</f>
        <v/>
      </c>
    </row>
    <row r="432" customFormat="false" ht="15" hidden="false" customHeight="false" outlineLevel="0" collapsed="false">
      <c r="B432" s="78"/>
      <c r="C432" s="64"/>
      <c r="D432" s="72" t="str">
        <f aca="false">IF(C432="","",IFERROR(INDEX(T_NOMBRE,MATCH(C432,T_ID,0)),"⚠ ID no existe"))</f>
        <v/>
      </c>
      <c r="E432" s="69"/>
      <c r="F432" s="67"/>
      <c r="G432" s="67"/>
      <c r="H432" s="67"/>
      <c r="I432" s="67"/>
      <c r="J432" s="67"/>
      <c r="K432" s="85" t="str">
        <f aca="false">IF(AH432="","",N(F432)+N(G432)+N(H432)-N(I432)+N(J432))</f>
        <v/>
      </c>
      <c r="L432" s="67"/>
      <c r="M432" s="67"/>
      <c r="N432" s="67"/>
      <c r="O432" s="67"/>
      <c r="P432" s="85" t="str">
        <f aca="false">IF(AH432="","",K432+N(L432)+N(M432)+N(N432)+N(O432))</f>
        <v/>
      </c>
      <c r="Q432" s="67"/>
      <c r="R432" s="67"/>
      <c r="S432" s="67"/>
      <c r="T432" s="67"/>
      <c r="U432" s="67"/>
      <c r="V432" s="67"/>
      <c r="W432" s="85" t="str">
        <f aca="false">IF(AH432="","",N(Q432)+N(R432)+N(S432)+N(T432)+N(U432)+N(V432))</f>
        <v/>
      </c>
      <c r="X432" s="85" t="str">
        <f aca="false">IF(AH432="","",P432-W432)</f>
        <v/>
      </c>
      <c r="Y432" s="67"/>
      <c r="Z432" s="70" t="str">
        <f aca="false">IF(OR(AH432="",Y432=""),"",IF(ABS(X432-Y432)&lt;=1,"✓ Cuadra","⚠ Diferencia $"&amp;FIXED(X432-Y432,0)))</f>
        <v/>
      </c>
      <c r="AA432" s="72" t="str">
        <f aca="false">IF(AH432="","",IFERROR(INDEX(C_TIPO,MATCH(C432&amp;"-P"&amp;MAX(1,COUNTIFS(C_ID,C432,C_DEFINE,"Sí",C_INICIO,"&lt;="&amp;EOMONTH(B432,0))),C_CLAVE,0))&amp;"","Sin dato"))</f>
        <v/>
      </c>
      <c r="AB432" s="71" t="str">
        <f aca="false">IF(AH432="","",ROUND(MIN(K432,TOPE_AFP_UF*AJ432)*AK432,0))</f>
        <v/>
      </c>
      <c r="AC432" s="71" t="str">
        <f aca="false">IF(AH432="","",ROUND(MIN(K432,TOPE_AFC_UF*AJ432)*IF(AA432="Indefinido",AFC_EMP_INDEF,AFC_EMP_PF),0))</f>
        <v/>
      </c>
      <c r="AD432" s="71" t="str">
        <f aca="false">IF(AH432="","",ROUND(MIN(K432,TOPE_AFP_UF*AJ432)*(MUTUAL_BASICA+MUTUAL_ADIC+SANNA),0))</f>
        <v/>
      </c>
      <c r="AE432" s="71" t="str">
        <f aca="false">IF(AH432="","",P432-N(N432)+AB432+AC432+AD432)</f>
        <v/>
      </c>
      <c r="AF432" s="65"/>
      <c r="AG432" s="64"/>
      <c r="AH432" s="72" t="str">
        <f aca="false">IF(OR(B432="",C432=""),"",C432&amp;"|"&amp;(YEAR(B432)*100+MONTH(B432)))</f>
        <v/>
      </c>
      <c r="AI432" s="70" t="str">
        <f aca="false">IF(AH432="","",IF(COUNTIF(L_CLAVE,AH432)&gt;1,"⚠ Duplicado","OK"))</f>
        <v/>
      </c>
      <c r="AJ432" s="86" t="str">
        <f aca="false">IF(AH432="","",IF(SUMPRODUCT(MAX((IND_PER&lt;=B432)*(IND_UF&lt;&gt;"")*IND_PER))=0,UF_HOY,INDEX(IND_UF,MATCH(SUMPRODUCT(MAX((IND_PER&lt;=B432)*(IND_UF&lt;&gt;"")*IND_PER)),IND_PER,0))))</f>
        <v/>
      </c>
      <c r="AK432" s="87" t="str">
        <f aca="false">IF(AH432="","",IF(COUNTIF(TASA_DESDE,"&lt;="&amp;B432)=0,INDEX(TASA_EMP,1),INDEX(TASA_EMP,COUNTIF(TASA_DESDE,"&lt;="&amp;B432))))</f>
        <v/>
      </c>
    </row>
    <row r="433" customFormat="false" ht="15" hidden="false" customHeight="false" outlineLevel="0" collapsed="false">
      <c r="B433" s="78"/>
      <c r="C433" s="64"/>
      <c r="D433" s="72" t="str">
        <f aca="false">IF(C433="","",IFERROR(INDEX(T_NOMBRE,MATCH(C433,T_ID,0)),"⚠ ID no existe"))</f>
        <v/>
      </c>
      <c r="E433" s="69"/>
      <c r="F433" s="67"/>
      <c r="G433" s="67"/>
      <c r="H433" s="67"/>
      <c r="I433" s="67"/>
      <c r="J433" s="67"/>
      <c r="K433" s="85" t="str">
        <f aca="false">IF(AH433="","",N(F433)+N(G433)+N(H433)-N(I433)+N(J433))</f>
        <v/>
      </c>
      <c r="L433" s="67"/>
      <c r="M433" s="67"/>
      <c r="N433" s="67"/>
      <c r="O433" s="67"/>
      <c r="P433" s="85" t="str">
        <f aca="false">IF(AH433="","",K433+N(L433)+N(M433)+N(N433)+N(O433))</f>
        <v/>
      </c>
      <c r="Q433" s="67"/>
      <c r="R433" s="67"/>
      <c r="S433" s="67"/>
      <c r="T433" s="67"/>
      <c r="U433" s="67"/>
      <c r="V433" s="67"/>
      <c r="W433" s="85" t="str">
        <f aca="false">IF(AH433="","",N(Q433)+N(R433)+N(S433)+N(T433)+N(U433)+N(V433))</f>
        <v/>
      </c>
      <c r="X433" s="85" t="str">
        <f aca="false">IF(AH433="","",P433-W433)</f>
        <v/>
      </c>
      <c r="Y433" s="67"/>
      <c r="Z433" s="70" t="str">
        <f aca="false">IF(OR(AH433="",Y433=""),"",IF(ABS(X433-Y433)&lt;=1,"✓ Cuadra","⚠ Diferencia $"&amp;FIXED(X433-Y433,0)))</f>
        <v/>
      </c>
      <c r="AA433" s="72" t="str">
        <f aca="false">IF(AH433="","",IFERROR(INDEX(C_TIPO,MATCH(C433&amp;"-P"&amp;MAX(1,COUNTIFS(C_ID,C433,C_DEFINE,"Sí",C_INICIO,"&lt;="&amp;EOMONTH(B433,0))),C_CLAVE,0))&amp;"","Sin dato"))</f>
        <v/>
      </c>
      <c r="AB433" s="71" t="str">
        <f aca="false">IF(AH433="","",ROUND(MIN(K433,TOPE_AFP_UF*AJ433)*AK433,0))</f>
        <v/>
      </c>
      <c r="AC433" s="71" t="str">
        <f aca="false">IF(AH433="","",ROUND(MIN(K433,TOPE_AFC_UF*AJ433)*IF(AA433="Indefinido",AFC_EMP_INDEF,AFC_EMP_PF),0))</f>
        <v/>
      </c>
      <c r="AD433" s="71" t="str">
        <f aca="false">IF(AH433="","",ROUND(MIN(K433,TOPE_AFP_UF*AJ433)*(MUTUAL_BASICA+MUTUAL_ADIC+SANNA),0))</f>
        <v/>
      </c>
      <c r="AE433" s="71" t="str">
        <f aca="false">IF(AH433="","",P433-N(N433)+AB433+AC433+AD433)</f>
        <v/>
      </c>
      <c r="AF433" s="65"/>
      <c r="AG433" s="64"/>
      <c r="AH433" s="72" t="str">
        <f aca="false">IF(OR(B433="",C433=""),"",C433&amp;"|"&amp;(YEAR(B433)*100+MONTH(B433)))</f>
        <v/>
      </c>
      <c r="AI433" s="70" t="str">
        <f aca="false">IF(AH433="","",IF(COUNTIF(L_CLAVE,AH433)&gt;1,"⚠ Duplicado","OK"))</f>
        <v/>
      </c>
      <c r="AJ433" s="86" t="str">
        <f aca="false">IF(AH433="","",IF(SUMPRODUCT(MAX((IND_PER&lt;=B433)*(IND_UF&lt;&gt;"")*IND_PER))=0,UF_HOY,INDEX(IND_UF,MATCH(SUMPRODUCT(MAX((IND_PER&lt;=B433)*(IND_UF&lt;&gt;"")*IND_PER)),IND_PER,0))))</f>
        <v/>
      </c>
      <c r="AK433" s="87" t="str">
        <f aca="false">IF(AH433="","",IF(COUNTIF(TASA_DESDE,"&lt;="&amp;B433)=0,INDEX(TASA_EMP,1),INDEX(TASA_EMP,COUNTIF(TASA_DESDE,"&lt;="&amp;B433))))</f>
        <v/>
      </c>
    </row>
    <row r="434" customFormat="false" ht="15" hidden="false" customHeight="false" outlineLevel="0" collapsed="false">
      <c r="B434" s="78"/>
      <c r="C434" s="64"/>
      <c r="D434" s="72" t="str">
        <f aca="false">IF(C434="","",IFERROR(INDEX(T_NOMBRE,MATCH(C434,T_ID,0)),"⚠ ID no existe"))</f>
        <v/>
      </c>
      <c r="E434" s="69"/>
      <c r="F434" s="67"/>
      <c r="G434" s="67"/>
      <c r="H434" s="67"/>
      <c r="I434" s="67"/>
      <c r="J434" s="67"/>
      <c r="K434" s="85" t="str">
        <f aca="false">IF(AH434="","",N(F434)+N(G434)+N(H434)-N(I434)+N(J434))</f>
        <v/>
      </c>
      <c r="L434" s="67"/>
      <c r="M434" s="67"/>
      <c r="N434" s="67"/>
      <c r="O434" s="67"/>
      <c r="P434" s="85" t="str">
        <f aca="false">IF(AH434="","",K434+N(L434)+N(M434)+N(N434)+N(O434))</f>
        <v/>
      </c>
      <c r="Q434" s="67"/>
      <c r="R434" s="67"/>
      <c r="S434" s="67"/>
      <c r="T434" s="67"/>
      <c r="U434" s="67"/>
      <c r="V434" s="67"/>
      <c r="W434" s="85" t="str">
        <f aca="false">IF(AH434="","",N(Q434)+N(R434)+N(S434)+N(T434)+N(U434)+N(V434))</f>
        <v/>
      </c>
      <c r="X434" s="85" t="str">
        <f aca="false">IF(AH434="","",P434-W434)</f>
        <v/>
      </c>
      <c r="Y434" s="67"/>
      <c r="Z434" s="70" t="str">
        <f aca="false">IF(OR(AH434="",Y434=""),"",IF(ABS(X434-Y434)&lt;=1,"✓ Cuadra","⚠ Diferencia $"&amp;FIXED(X434-Y434,0)))</f>
        <v/>
      </c>
      <c r="AA434" s="72" t="str">
        <f aca="false">IF(AH434="","",IFERROR(INDEX(C_TIPO,MATCH(C434&amp;"-P"&amp;MAX(1,COUNTIFS(C_ID,C434,C_DEFINE,"Sí",C_INICIO,"&lt;="&amp;EOMONTH(B434,0))),C_CLAVE,0))&amp;"","Sin dato"))</f>
        <v/>
      </c>
      <c r="AB434" s="71" t="str">
        <f aca="false">IF(AH434="","",ROUND(MIN(K434,TOPE_AFP_UF*AJ434)*AK434,0))</f>
        <v/>
      </c>
      <c r="AC434" s="71" t="str">
        <f aca="false">IF(AH434="","",ROUND(MIN(K434,TOPE_AFC_UF*AJ434)*IF(AA434="Indefinido",AFC_EMP_INDEF,AFC_EMP_PF),0))</f>
        <v/>
      </c>
      <c r="AD434" s="71" t="str">
        <f aca="false">IF(AH434="","",ROUND(MIN(K434,TOPE_AFP_UF*AJ434)*(MUTUAL_BASICA+MUTUAL_ADIC+SANNA),0))</f>
        <v/>
      </c>
      <c r="AE434" s="71" t="str">
        <f aca="false">IF(AH434="","",P434-N(N434)+AB434+AC434+AD434)</f>
        <v/>
      </c>
      <c r="AF434" s="65"/>
      <c r="AG434" s="64"/>
      <c r="AH434" s="72" t="str">
        <f aca="false">IF(OR(B434="",C434=""),"",C434&amp;"|"&amp;(YEAR(B434)*100+MONTH(B434)))</f>
        <v/>
      </c>
      <c r="AI434" s="70" t="str">
        <f aca="false">IF(AH434="","",IF(COUNTIF(L_CLAVE,AH434)&gt;1,"⚠ Duplicado","OK"))</f>
        <v/>
      </c>
      <c r="AJ434" s="86" t="str">
        <f aca="false">IF(AH434="","",IF(SUMPRODUCT(MAX((IND_PER&lt;=B434)*(IND_UF&lt;&gt;"")*IND_PER))=0,UF_HOY,INDEX(IND_UF,MATCH(SUMPRODUCT(MAX((IND_PER&lt;=B434)*(IND_UF&lt;&gt;"")*IND_PER)),IND_PER,0))))</f>
        <v/>
      </c>
      <c r="AK434" s="87" t="str">
        <f aca="false">IF(AH434="","",IF(COUNTIF(TASA_DESDE,"&lt;="&amp;B434)=0,INDEX(TASA_EMP,1),INDEX(TASA_EMP,COUNTIF(TASA_DESDE,"&lt;="&amp;B434))))</f>
        <v/>
      </c>
    </row>
    <row r="435" customFormat="false" ht="15" hidden="false" customHeight="false" outlineLevel="0" collapsed="false">
      <c r="B435" s="78"/>
      <c r="C435" s="64"/>
      <c r="D435" s="72" t="str">
        <f aca="false">IF(C435="","",IFERROR(INDEX(T_NOMBRE,MATCH(C435,T_ID,0)),"⚠ ID no existe"))</f>
        <v/>
      </c>
      <c r="E435" s="69"/>
      <c r="F435" s="67"/>
      <c r="G435" s="67"/>
      <c r="H435" s="67"/>
      <c r="I435" s="67"/>
      <c r="J435" s="67"/>
      <c r="K435" s="85" t="str">
        <f aca="false">IF(AH435="","",N(F435)+N(G435)+N(H435)-N(I435)+N(J435))</f>
        <v/>
      </c>
      <c r="L435" s="67"/>
      <c r="M435" s="67"/>
      <c r="N435" s="67"/>
      <c r="O435" s="67"/>
      <c r="P435" s="85" t="str">
        <f aca="false">IF(AH435="","",K435+N(L435)+N(M435)+N(N435)+N(O435))</f>
        <v/>
      </c>
      <c r="Q435" s="67"/>
      <c r="R435" s="67"/>
      <c r="S435" s="67"/>
      <c r="T435" s="67"/>
      <c r="U435" s="67"/>
      <c r="V435" s="67"/>
      <c r="W435" s="85" t="str">
        <f aca="false">IF(AH435="","",N(Q435)+N(R435)+N(S435)+N(T435)+N(U435)+N(V435))</f>
        <v/>
      </c>
      <c r="X435" s="85" t="str">
        <f aca="false">IF(AH435="","",P435-W435)</f>
        <v/>
      </c>
      <c r="Y435" s="67"/>
      <c r="Z435" s="70" t="str">
        <f aca="false">IF(OR(AH435="",Y435=""),"",IF(ABS(X435-Y435)&lt;=1,"✓ Cuadra","⚠ Diferencia $"&amp;FIXED(X435-Y435,0)))</f>
        <v/>
      </c>
      <c r="AA435" s="72" t="str">
        <f aca="false">IF(AH435="","",IFERROR(INDEX(C_TIPO,MATCH(C435&amp;"-P"&amp;MAX(1,COUNTIFS(C_ID,C435,C_DEFINE,"Sí",C_INICIO,"&lt;="&amp;EOMONTH(B435,0))),C_CLAVE,0))&amp;"","Sin dato"))</f>
        <v/>
      </c>
      <c r="AB435" s="71" t="str">
        <f aca="false">IF(AH435="","",ROUND(MIN(K435,TOPE_AFP_UF*AJ435)*AK435,0))</f>
        <v/>
      </c>
      <c r="AC435" s="71" t="str">
        <f aca="false">IF(AH435="","",ROUND(MIN(K435,TOPE_AFC_UF*AJ435)*IF(AA435="Indefinido",AFC_EMP_INDEF,AFC_EMP_PF),0))</f>
        <v/>
      </c>
      <c r="AD435" s="71" t="str">
        <f aca="false">IF(AH435="","",ROUND(MIN(K435,TOPE_AFP_UF*AJ435)*(MUTUAL_BASICA+MUTUAL_ADIC+SANNA),0))</f>
        <v/>
      </c>
      <c r="AE435" s="71" t="str">
        <f aca="false">IF(AH435="","",P435-N(N435)+AB435+AC435+AD435)</f>
        <v/>
      </c>
      <c r="AF435" s="65"/>
      <c r="AG435" s="64"/>
      <c r="AH435" s="72" t="str">
        <f aca="false">IF(OR(B435="",C435=""),"",C435&amp;"|"&amp;(YEAR(B435)*100+MONTH(B435)))</f>
        <v/>
      </c>
      <c r="AI435" s="70" t="str">
        <f aca="false">IF(AH435="","",IF(COUNTIF(L_CLAVE,AH435)&gt;1,"⚠ Duplicado","OK"))</f>
        <v/>
      </c>
      <c r="AJ435" s="86" t="str">
        <f aca="false">IF(AH435="","",IF(SUMPRODUCT(MAX((IND_PER&lt;=B435)*(IND_UF&lt;&gt;"")*IND_PER))=0,UF_HOY,INDEX(IND_UF,MATCH(SUMPRODUCT(MAX((IND_PER&lt;=B435)*(IND_UF&lt;&gt;"")*IND_PER)),IND_PER,0))))</f>
        <v/>
      </c>
      <c r="AK435" s="87" t="str">
        <f aca="false">IF(AH435="","",IF(COUNTIF(TASA_DESDE,"&lt;="&amp;B435)=0,INDEX(TASA_EMP,1),INDEX(TASA_EMP,COUNTIF(TASA_DESDE,"&lt;="&amp;B435))))</f>
        <v/>
      </c>
    </row>
    <row r="436" customFormat="false" ht="15" hidden="false" customHeight="false" outlineLevel="0" collapsed="false">
      <c r="B436" s="78"/>
      <c r="C436" s="64"/>
      <c r="D436" s="72" t="str">
        <f aca="false">IF(C436="","",IFERROR(INDEX(T_NOMBRE,MATCH(C436,T_ID,0)),"⚠ ID no existe"))</f>
        <v/>
      </c>
      <c r="E436" s="69"/>
      <c r="F436" s="67"/>
      <c r="G436" s="67"/>
      <c r="H436" s="67"/>
      <c r="I436" s="67"/>
      <c r="J436" s="67"/>
      <c r="K436" s="85" t="str">
        <f aca="false">IF(AH436="","",N(F436)+N(G436)+N(H436)-N(I436)+N(J436))</f>
        <v/>
      </c>
      <c r="L436" s="67"/>
      <c r="M436" s="67"/>
      <c r="N436" s="67"/>
      <c r="O436" s="67"/>
      <c r="P436" s="85" t="str">
        <f aca="false">IF(AH436="","",K436+N(L436)+N(M436)+N(N436)+N(O436))</f>
        <v/>
      </c>
      <c r="Q436" s="67"/>
      <c r="R436" s="67"/>
      <c r="S436" s="67"/>
      <c r="T436" s="67"/>
      <c r="U436" s="67"/>
      <c r="V436" s="67"/>
      <c r="W436" s="85" t="str">
        <f aca="false">IF(AH436="","",N(Q436)+N(R436)+N(S436)+N(T436)+N(U436)+N(V436))</f>
        <v/>
      </c>
      <c r="X436" s="85" t="str">
        <f aca="false">IF(AH436="","",P436-W436)</f>
        <v/>
      </c>
      <c r="Y436" s="67"/>
      <c r="Z436" s="70" t="str">
        <f aca="false">IF(OR(AH436="",Y436=""),"",IF(ABS(X436-Y436)&lt;=1,"✓ Cuadra","⚠ Diferencia $"&amp;FIXED(X436-Y436,0)))</f>
        <v/>
      </c>
      <c r="AA436" s="72" t="str">
        <f aca="false">IF(AH436="","",IFERROR(INDEX(C_TIPO,MATCH(C436&amp;"-P"&amp;MAX(1,COUNTIFS(C_ID,C436,C_DEFINE,"Sí",C_INICIO,"&lt;="&amp;EOMONTH(B436,0))),C_CLAVE,0))&amp;"","Sin dato"))</f>
        <v/>
      </c>
      <c r="AB436" s="71" t="str">
        <f aca="false">IF(AH436="","",ROUND(MIN(K436,TOPE_AFP_UF*AJ436)*AK436,0))</f>
        <v/>
      </c>
      <c r="AC436" s="71" t="str">
        <f aca="false">IF(AH436="","",ROUND(MIN(K436,TOPE_AFC_UF*AJ436)*IF(AA436="Indefinido",AFC_EMP_INDEF,AFC_EMP_PF),0))</f>
        <v/>
      </c>
      <c r="AD436" s="71" t="str">
        <f aca="false">IF(AH436="","",ROUND(MIN(K436,TOPE_AFP_UF*AJ436)*(MUTUAL_BASICA+MUTUAL_ADIC+SANNA),0))</f>
        <v/>
      </c>
      <c r="AE436" s="71" t="str">
        <f aca="false">IF(AH436="","",P436-N(N436)+AB436+AC436+AD436)</f>
        <v/>
      </c>
      <c r="AF436" s="65"/>
      <c r="AG436" s="64"/>
      <c r="AH436" s="72" t="str">
        <f aca="false">IF(OR(B436="",C436=""),"",C436&amp;"|"&amp;(YEAR(B436)*100+MONTH(B436)))</f>
        <v/>
      </c>
      <c r="AI436" s="70" t="str">
        <f aca="false">IF(AH436="","",IF(COUNTIF(L_CLAVE,AH436)&gt;1,"⚠ Duplicado","OK"))</f>
        <v/>
      </c>
      <c r="AJ436" s="86" t="str">
        <f aca="false">IF(AH436="","",IF(SUMPRODUCT(MAX((IND_PER&lt;=B436)*(IND_UF&lt;&gt;"")*IND_PER))=0,UF_HOY,INDEX(IND_UF,MATCH(SUMPRODUCT(MAX((IND_PER&lt;=B436)*(IND_UF&lt;&gt;"")*IND_PER)),IND_PER,0))))</f>
        <v/>
      </c>
      <c r="AK436" s="87" t="str">
        <f aca="false">IF(AH436="","",IF(COUNTIF(TASA_DESDE,"&lt;="&amp;B436)=0,INDEX(TASA_EMP,1),INDEX(TASA_EMP,COUNTIF(TASA_DESDE,"&lt;="&amp;B436))))</f>
        <v/>
      </c>
    </row>
    <row r="437" customFormat="false" ht="15" hidden="false" customHeight="false" outlineLevel="0" collapsed="false">
      <c r="B437" s="78"/>
      <c r="C437" s="64"/>
      <c r="D437" s="72" t="str">
        <f aca="false">IF(C437="","",IFERROR(INDEX(T_NOMBRE,MATCH(C437,T_ID,0)),"⚠ ID no existe"))</f>
        <v/>
      </c>
      <c r="E437" s="69"/>
      <c r="F437" s="67"/>
      <c r="G437" s="67"/>
      <c r="H437" s="67"/>
      <c r="I437" s="67"/>
      <c r="J437" s="67"/>
      <c r="K437" s="85" t="str">
        <f aca="false">IF(AH437="","",N(F437)+N(G437)+N(H437)-N(I437)+N(J437))</f>
        <v/>
      </c>
      <c r="L437" s="67"/>
      <c r="M437" s="67"/>
      <c r="N437" s="67"/>
      <c r="O437" s="67"/>
      <c r="P437" s="85" t="str">
        <f aca="false">IF(AH437="","",K437+N(L437)+N(M437)+N(N437)+N(O437))</f>
        <v/>
      </c>
      <c r="Q437" s="67"/>
      <c r="R437" s="67"/>
      <c r="S437" s="67"/>
      <c r="T437" s="67"/>
      <c r="U437" s="67"/>
      <c r="V437" s="67"/>
      <c r="W437" s="85" t="str">
        <f aca="false">IF(AH437="","",N(Q437)+N(R437)+N(S437)+N(T437)+N(U437)+N(V437))</f>
        <v/>
      </c>
      <c r="X437" s="85" t="str">
        <f aca="false">IF(AH437="","",P437-W437)</f>
        <v/>
      </c>
      <c r="Y437" s="67"/>
      <c r="Z437" s="70" t="str">
        <f aca="false">IF(OR(AH437="",Y437=""),"",IF(ABS(X437-Y437)&lt;=1,"✓ Cuadra","⚠ Diferencia $"&amp;FIXED(X437-Y437,0)))</f>
        <v/>
      </c>
      <c r="AA437" s="72" t="str">
        <f aca="false">IF(AH437="","",IFERROR(INDEX(C_TIPO,MATCH(C437&amp;"-P"&amp;MAX(1,COUNTIFS(C_ID,C437,C_DEFINE,"Sí",C_INICIO,"&lt;="&amp;EOMONTH(B437,0))),C_CLAVE,0))&amp;"","Sin dato"))</f>
        <v/>
      </c>
      <c r="AB437" s="71" t="str">
        <f aca="false">IF(AH437="","",ROUND(MIN(K437,TOPE_AFP_UF*AJ437)*AK437,0))</f>
        <v/>
      </c>
      <c r="AC437" s="71" t="str">
        <f aca="false">IF(AH437="","",ROUND(MIN(K437,TOPE_AFC_UF*AJ437)*IF(AA437="Indefinido",AFC_EMP_INDEF,AFC_EMP_PF),0))</f>
        <v/>
      </c>
      <c r="AD437" s="71" t="str">
        <f aca="false">IF(AH437="","",ROUND(MIN(K437,TOPE_AFP_UF*AJ437)*(MUTUAL_BASICA+MUTUAL_ADIC+SANNA),0))</f>
        <v/>
      </c>
      <c r="AE437" s="71" t="str">
        <f aca="false">IF(AH437="","",P437-N(N437)+AB437+AC437+AD437)</f>
        <v/>
      </c>
      <c r="AF437" s="65"/>
      <c r="AG437" s="64"/>
      <c r="AH437" s="72" t="str">
        <f aca="false">IF(OR(B437="",C437=""),"",C437&amp;"|"&amp;(YEAR(B437)*100+MONTH(B437)))</f>
        <v/>
      </c>
      <c r="AI437" s="70" t="str">
        <f aca="false">IF(AH437="","",IF(COUNTIF(L_CLAVE,AH437)&gt;1,"⚠ Duplicado","OK"))</f>
        <v/>
      </c>
      <c r="AJ437" s="86" t="str">
        <f aca="false">IF(AH437="","",IF(SUMPRODUCT(MAX((IND_PER&lt;=B437)*(IND_UF&lt;&gt;"")*IND_PER))=0,UF_HOY,INDEX(IND_UF,MATCH(SUMPRODUCT(MAX((IND_PER&lt;=B437)*(IND_UF&lt;&gt;"")*IND_PER)),IND_PER,0))))</f>
        <v/>
      </c>
      <c r="AK437" s="87" t="str">
        <f aca="false">IF(AH437="","",IF(COUNTIF(TASA_DESDE,"&lt;="&amp;B437)=0,INDEX(TASA_EMP,1),INDEX(TASA_EMP,COUNTIF(TASA_DESDE,"&lt;="&amp;B437))))</f>
        <v/>
      </c>
    </row>
    <row r="438" customFormat="false" ht="15" hidden="false" customHeight="false" outlineLevel="0" collapsed="false">
      <c r="B438" s="78"/>
      <c r="C438" s="64"/>
      <c r="D438" s="72" t="str">
        <f aca="false">IF(C438="","",IFERROR(INDEX(T_NOMBRE,MATCH(C438,T_ID,0)),"⚠ ID no existe"))</f>
        <v/>
      </c>
      <c r="E438" s="69"/>
      <c r="F438" s="67"/>
      <c r="G438" s="67"/>
      <c r="H438" s="67"/>
      <c r="I438" s="67"/>
      <c r="J438" s="67"/>
      <c r="K438" s="85" t="str">
        <f aca="false">IF(AH438="","",N(F438)+N(G438)+N(H438)-N(I438)+N(J438))</f>
        <v/>
      </c>
      <c r="L438" s="67"/>
      <c r="M438" s="67"/>
      <c r="N438" s="67"/>
      <c r="O438" s="67"/>
      <c r="P438" s="85" t="str">
        <f aca="false">IF(AH438="","",K438+N(L438)+N(M438)+N(N438)+N(O438))</f>
        <v/>
      </c>
      <c r="Q438" s="67"/>
      <c r="R438" s="67"/>
      <c r="S438" s="67"/>
      <c r="T438" s="67"/>
      <c r="U438" s="67"/>
      <c r="V438" s="67"/>
      <c r="W438" s="85" t="str">
        <f aca="false">IF(AH438="","",N(Q438)+N(R438)+N(S438)+N(T438)+N(U438)+N(V438))</f>
        <v/>
      </c>
      <c r="X438" s="85" t="str">
        <f aca="false">IF(AH438="","",P438-W438)</f>
        <v/>
      </c>
      <c r="Y438" s="67"/>
      <c r="Z438" s="70" t="str">
        <f aca="false">IF(OR(AH438="",Y438=""),"",IF(ABS(X438-Y438)&lt;=1,"✓ Cuadra","⚠ Diferencia $"&amp;FIXED(X438-Y438,0)))</f>
        <v/>
      </c>
      <c r="AA438" s="72" t="str">
        <f aca="false">IF(AH438="","",IFERROR(INDEX(C_TIPO,MATCH(C438&amp;"-P"&amp;MAX(1,COUNTIFS(C_ID,C438,C_DEFINE,"Sí",C_INICIO,"&lt;="&amp;EOMONTH(B438,0))),C_CLAVE,0))&amp;"","Sin dato"))</f>
        <v/>
      </c>
      <c r="AB438" s="71" t="str">
        <f aca="false">IF(AH438="","",ROUND(MIN(K438,TOPE_AFP_UF*AJ438)*AK438,0))</f>
        <v/>
      </c>
      <c r="AC438" s="71" t="str">
        <f aca="false">IF(AH438="","",ROUND(MIN(K438,TOPE_AFC_UF*AJ438)*IF(AA438="Indefinido",AFC_EMP_INDEF,AFC_EMP_PF),0))</f>
        <v/>
      </c>
      <c r="AD438" s="71" t="str">
        <f aca="false">IF(AH438="","",ROUND(MIN(K438,TOPE_AFP_UF*AJ438)*(MUTUAL_BASICA+MUTUAL_ADIC+SANNA),0))</f>
        <v/>
      </c>
      <c r="AE438" s="71" t="str">
        <f aca="false">IF(AH438="","",P438-N(N438)+AB438+AC438+AD438)</f>
        <v/>
      </c>
      <c r="AF438" s="65"/>
      <c r="AG438" s="64"/>
      <c r="AH438" s="72" t="str">
        <f aca="false">IF(OR(B438="",C438=""),"",C438&amp;"|"&amp;(YEAR(B438)*100+MONTH(B438)))</f>
        <v/>
      </c>
      <c r="AI438" s="70" t="str">
        <f aca="false">IF(AH438="","",IF(COUNTIF(L_CLAVE,AH438)&gt;1,"⚠ Duplicado","OK"))</f>
        <v/>
      </c>
      <c r="AJ438" s="86" t="str">
        <f aca="false">IF(AH438="","",IF(SUMPRODUCT(MAX((IND_PER&lt;=B438)*(IND_UF&lt;&gt;"")*IND_PER))=0,UF_HOY,INDEX(IND_UF,MATCH(SUMPRODUCT(MAX((IND_PER&lt;=B438)*(IND_UF&lt;&gt;"")*IND_PER)),IND_PER,0))))</f>
        <v/>
      </c>
      <c r="AK438" s="87" t="str">
        <f aca="false">IF(AH438="","",IF(COUNTIF(TASA_DESDE,"&lt;="&amp;B438)=0,INDEX(TASA_EMP,1),INDEX(TASA_EMP,COUNTIF(TASA_DESDE,"&lt;="&amp;B438))))</f>
        <v/>
      </c>
    </row>
    <row r="439" customFormat="false" ht="15" hidden="false" customHeight="false" outlineLevel="0" collapsed="false">
      <c r="B439" s="78"/>
      <c r="C439" s="64"/>
      <c r="D439" s="72" t="str">
        <f aca="false">IF(C439="","",IFERROR(INDEX(T_NOMBRE,MATCH(C439,T_ID,0)),"⚠ ID no existe"))</f>
        <v/>
      </c>
      <c r="E439" s="69"/>
      <c r="F439" s="67"/>
      <c r="G439" s="67"/>
      <c r="H439" s="67"/>
      <c r="I439" s="67"/>
      <c r="J439" s="67"/>
      <c r="K439" s="85" t="str">
        <f aca="false">IF(AH439="","",N(F439)+N(G439)+N(H439)-N(I439)+N(J439))</f>
        <v/>
      </c>
      <c r="L439" s="67"/>
      <c r="M439" s="67"/>
      <c r="N439" s="67"/>
      <c r="O439" s="67"/>
      <c r="P439" s="85" t="str">
        <f aca="false">IF(AH439="","",K439+N(L439)+N(M439)+N(N439)+N(O439))</f>
        <v/>
      </c>
      <c r="Q439" s="67"/>
      <c r="R439" s="67"/>
      <c r="S439" s="67"/>
      <c r="T439" s="67"/>
      <c r="U439" s="67"/>
      <c r="V439" s="67"/>
      <c r="W439" s="85" t="str">
        <f aca="false">IF(AH439="","",N(Q439)+N(R439)+N(S439)+N(T439)+N(U439)+N(V439))</f>
        <v/>
      </c>
      <c r="X439" s="85" t="str">
        <f aca="false">IF(AH439="","",P439-W439)</f>
        <v/>
      </c>
      <c r="Y439" s="67"/>
      <c r="Z439" s="70" t="str">
        <f aca="false">IF(OR(AH439="",Y439=""),"",IF(ABS(X439-Y439)&lt;=1,"✓ Cuadra","⚠ Diferencia $"&amp;FIXED(X439-Y439,0)))</f>
        <v/>
      </c>
      <c r="AA439" s="72" t="str">
        <f aca="false">IF(AH439="","",IFERROR(INDEX(C_TIPO,MATCH(C439&amp;"-P"&amp;MAX(1,COUNTIFS(C_ID,C439,C_DEFINE,"Sí",C_INICIO,"&lt;="&amp;EOMONTH(B439,0))),C_CLAVE,0))&amp;"","Sin dato"))</f>
        <v/>
      </c>
      <c r="AB439" s="71" t="str">
        <f aca="false">IF(AH439="","",ROUND(MIN(K439,TOPE_AFP_UF*AJ439)*AK439,0))</f>
        <v/>
      </c>
      <c r="AC439" s="71" t="str">
        <f aca="false">IF(AH439="","",ROUND(MIN(K439,TOPE_AFC_UF*AJ439)*IF(AA439="Indefinido",AFC_EMP_INDEF,AFC_EMP_PF),0))</f>
        <v/>
      </c>
      <c r="AD439" s="71" t="str">
        <f aca="false">IF(AH439="","",ROUND(MIN(K439,TOPE_AFP_UF*AJ439)*(MUTUAL_BASICA+MUTUAL_ADIC+SANNA),0))</f>
        <v/>
      </c>
      <c r="AE439" s="71" t="str">
        <f aca="false">IF(AH439="","",P439-N(N439)+AB439+AC439+AD439)</f>
        <v/>
      </c>
      <c r="AF439" s="65"/>
      <c r="AG439" s="64"/>
      <c r="AH439" s="72" t="str">
        <f aca="false">IF(OR(B439="",C439=""),"",C439&amp;"|"&amp;(YEAR(B439)*100+MONTH(B439)))</f>
        <v/>
      </c>
      <c r="AI439" s="70" t="str">
        <f aca="false">IF(AH439="","",IF(COUNTIF(L_CLAVE,AH439)&gt;1,"⚠ Duplicado","OK"))</f>
        <v/>
      </c>
      <c r="AJ439" s="86" t="str">
        <f aca="false">IF(AH439="","",IF(SUMPRODUCT(MAX((IND_PER&lt;=B439)*(IND_UF&lt;&gt;"")*IND_PER))=0,UF_HOY,INDEX(IND_UF,MATCH(SUMPRODUCT(MAX((IND_PER&lt;=B439)*(IND_UF&lt;&gt;"")*IND_PER)),IND_PER,0))))</f>
        <v/>
      </c>
      <c r="AK439" s="87" t="str">
        <f aca="false">IF(AH439="","",IF(COUNTIF(TASA_DESDE,"&lt;="&amp;B439)=0,INDEX(TASA_EMP,1),INDEX(TASA_EMP,COUNTIF(TASA_DESDE,"&lt;="&amp;B439))))</f>
        <v/>
      </c>
    </row>
    <row r="440" customFormat="false" ht="15" hidden="false" customHeight="false" outlineLevel="0" collapsed="false">
      <c r="B440" s="78"/>
      <c r="C440" s="64"/>
      <c r="D440" s="72" t="str">
        <f aca="false">IF(C440="","",IFERROR(INDEX(T_NOMBRE,MATCH(C440,T_ID,0)),"⚠ ID no existe"))</f>
        <v/>
      </c>
      <c r="E440" s="69"/>
      <c r="F440" s="67"/>
      <c r="G440" s="67"/>
      <c r="H440" s="67"/>
      <c r="I440" s="67"/>
      <c r="J440" s="67"/>
      <c r="K440" s="85" t="str">
        <f aca="false">IF(AH440="","",N(F440)+N(G440)+N(H440)-N(I440)+N(J440))</f>
        <v/>
      </c>
      <c r="L440" s="67"/>
      <c r="M440" s="67"/>
      <c r="N440" s="67"/>
      <c r="O440" s="67"/>
      <c r="P440" s="85" t="str">
        <f aca="false">IF(AH440="","",K440+N(L440)+N(M440)+N(N440)+N(O440))</f>
        <v/>
      </c>
      <c r="Q440" s="67"/>
      <c r="R440" s="67"/>
      <c r="S440" s="67"/>
      <c r="T440" s="67"/>
      <c r="U440" s="67"/>
      <c r="V440" s="67"/>
      <c r="W440" s="85" t="str">
        <f aca="false">IF(AH440="","",N(Q440)+N(R440)+N(S440)+N(T440)+N(U440)+N(V440))</f>
        <v/>
      </c>
      <c r="X440" s="85" t="str">
        <f aca="false">IF(AH440="","",P440-W440)</f>
        <v/>
      </c>
      <c r="Y440" s="67"/>
      <c r="Z440" s="70" t="str">
        <f aca="false">IF(OR(AH440="",Y440=""),"",IF(ABS(X440-Y440)&lt;=1,"✓ Cuadra","⚠ Diferencia $"&amp;FIXED(X440-Y440,0)))</f>
        <v/>
      </c>
      <c r="AA440" s="72" t="str">
        <f aca="false">IF(AH440="","",IFERROR(INDEX(C_TIPO,MATCH(C440&amp;"-P"&amp;MAX(1,COUNTIFS(C_ID,C440,C_DEFINE,"Sí",C_INICIO,"&lt;="&amp;EOMONTH(B440,0))),C_CLAVE,0))&amp;"","Sin dato"))</f>
        <v/>
      </c>
      <c r="AB440" s="71" t="str">
        <f aca="false">IF(AH440="","",ROUND(MIN(K440,TOPE_AFP_UF*AJ440)*AK440,0))</f>
        <v/>
      </c>
      <c r="AC440" s="71" t="str">
        <f aca="false">IF(AH440="","",ROUND(MIN(K440,TOPE_AFC_UF*AJ440)*IF(AA440="Indefinido",AFC_EMP_INDEF,AFC_EMP_PF),0))</f>
        <v/>
      </c>
      <c r="AD440" s="71" t="str">
        <f aca="false">IF(AH440="","",ROUND(MIN(K440,TOPE_AFP_UF*AJ440)*(MUTUAL_BASICA+MUTUAL_ADIC+SANNA),0))</f>
        <v/>
      </c>
      <c r="AE440" s="71" t="str">
        <f aca="false">IF(AH440="","",P440-N(N440)+AB440+AC440+AD440)</f>
        <v/>
      </c>
      <c r="AF440" s="65"/>
      <c r="AG440" s="64"/>
      <c r="AH440" s="72" t="str">
        <f aca="false">IF(OR(B440="",C440=""),"",C440&amp;"|"&amp;(YEAR(B440)*100+MONTH(B440)))</f>
        <v/>
      </c>
      <c r="AI440" s="70" t="str">
        <f aca="false">IF(AH440="","",IF(COUNTIF(L_CLAVE,AH440)&gt;1,"⚠ Duplicado","OK"))</f>
        <v/>
      </c>
      <c r="AJ440" s="86" t="str">
        <f aca="false">IF(AH440="","",IF(SUMPRODUCT(MAX((IND_PER&lt;=B440)*(IND_UF&lt;&gt;"")*IND_PER))=0,UF_HOY,INDEX(IND_UF,MATCH(SUMPRODUCT(MAX((IND_PER&lt;=B440)*(IND_UF&lt;&gt;"")*IND_PER)),IND_PER,0))))</f>
        <v/>
      </c>
      <c r="AK440" s="87" t="str">
        <f aca="false">IF(AH440="","",IF(COUNTIF(TASA_DESDE,"&lt;="&amp;B440)=0,INDEX(TASA_EMP,1),INDEX(TASA_EMP,COUNTIF(TASA_DESDE,"&lt;="&amp;B440))))</f>
        <v/>
      </c>
    </row>
    <row r="441" customFormat="false" ht="15" hidden="false" customHeight="false" outlineLevel="0" collapsed="false">
      <c r="B441" s="78"/>
      <c r="C441" s="64"/>
      <c r="D441" s="72" t="str">
        <f aca="false">IF(C441="","",IFERROR(INDEX(T_NOMBRE,MATCH(C441,T_ID,0)),"⚠ ID no existe"))</f>
        <v/>
      </c>
      <c r="E441" s="69"/>
      <c r="F441" s="67"/>
      <c r="G441" s="67"/>
      <c r="H441" s="67"/>
      <c r="I441" s="67"/>
      <c r="J441" s="67"/>
      <c r="K441" s="85" t="str">
        <f aca="false">IF(AH441="","",N(F441)+N(G441)+N(H441)-N(I441)+N(J441))</f>
        <v/>
      </c>
      <c r="L441" s="67"/>
      <c r="M441" s="67"/>
      <c r="N441" s="67"/>
      <c r="O441" s="67"/>
      <c r="P441" s="85" t="str">
        <f aca="false">IF(AH441="","",K441+N(L441)+N(M441)+N(N441)+N(O441))</f>
        <v/>
      </c>
      <c r="Q441" s="67"/>
      <c r="R441" s="67"/>
      <c r="S441" s="67"/>
      <c r="T441" s="67"/>
      <c r="U441" s="67"/>
      <c r="V441" s="67"/>
      <c r="W441" s="85" t="str">
        <f aca="false">IF(AH441="","",N(Q441)+N(R441)+N(S441)+N(T441)+N(U441)+N(V441))</f>
        <v/>
      </c>
      <c r="X441" s="85" t="str">
        <f aca="false">IF(AH441="","",P441-W441)</f>
        <v/>
      </c>
      <c r="Y441" s="67"/>
      <c r="Z441" s="70" t="str">
        <f aca="false">IF(OR(AH441="",Y441=""),"",IF(ABS(X441-Y441)&lt;=1,"✓ Cuadra","⚠ Diferencia $"&amp;FIXED(X441-Y441,0)))</f>
        <v/>
      </c>
      <c r="AA441" s="72" t="str">
        <f aca="false">IF(AH441="","",IFERROR(INDEX(C_TIPO,MATCH(C441&amp;"-P"&amp;MAX(1,COUNTIFS(C_ID,C441,C_DEFINE,"Sí",C_INICIO,"&lt;="&amp;EOMONTH(B441,0))),C_CLAVE,0))&amp;"","Sin dato"))</f>
        <v/>
      </c>
      <c r="AB441" s="71" t="str">
        <f aca="false">IF(AH441="","",ROUND(MIN(K441,TOPE_AFP_UF*AJ441)*AK441,0))</f>
        <v/>
      </c>
      <c r="AC441" s="71" t="str">
        <f aca="false">IF(AH441="","",ROUND(MIN(K441,TOPE_AFC_UF*AJ441)*IF(AA441="Indefinido",AFC_EMP_INDEF,AFC_EMP_PF),0))</f>
        <v/>
      </c>
      <c r="AD441" s="71" t="str">
        <f aca="false">IF(AH441="","",ROUND(MIN(K441,TOPE_AFP_UF*AJ441)*(MUTUAL_BASICA+MUTUAL_ADIC+SANNA),0))</f>
        <v/>
      </c>
      <c r="AE441" s="71" t="str">
        <f aca="false">IF(AH441="","",P441-N(N441)+AB441+AC441+AD441)</f>
        <v/>
      </c>
      <c r="AF441" s="65"/>
      <c r="AG441" s="64"/>
      <c r="AH441" s="72" t="str">
        <f aca="false">IF(OR(B441="",C441=""),"",C441&amp;"|"&amp;(YEAR(B441)*100+MONTH(B441)))</f>
        <v/>
      </c>
      <c r="AI441" s="70" t="str">
        <f aca="false">IF(AH441="","",IF(COUNTIF(L_CLAVE,AH441)&gt;1,"⚠ Duplicado","OK"))</f>
        <v/>
      </c>
      <c r="AJ441" s="86" t="str">
        <f aca="false">IF(AH441="","",IF(SUMPRODUCT(MAX((IND_PER&lt;=B441)*(IND_UF&lt;&gt;"")*IND_PER))=0,UF_HOY,INDEX(IND_UF,MATCH(SUMPRODUCT(MAX((IND_PER&lt;=B441)*(IND_UF&lt;&gt;"")*IND_PER)),IND_PER,0))))</f>
        <v/>
      </c>
      <c r="AK441" s="87" t="str">
        <f aca="false">IF(AH441="","",IF(COUNTIF(TASA_DESDE,"&lt;="&amp;B441)=0,INDEX(TASA_EMP,1),INDEX(TASA_EMP,COUNTIF(TASA_DESDE,"&lt;="&amp;B441))))</f>
        <v/>
      </c>
    </row>
    <row r="442" customFormat="false" ht="15" hidden="false" customHeight="false" outlineLevel="0" collapsed="false">
      <c r="B442" s="78"/>
      <c r="C442" s="64"/>
      <c r="D442" s="72" t="str">
        <f aca="false">IF(C442="","",IFERROR(INDEX(T_NOMBRE,MATCH(C442,T_ID,0)),"⚠ ID no existe"))</f>
        <v/>
      </c>
      <c r="E442" s="69"/>
      <c r="F442" s="67"/>
      <c r="G442" s="67"/>
      <c r="H442" s="67"/>
      <c r="I442" s="67"/>
      <c r="J442" s="67"/>
      <c r="K442" s="85" t="str">
        <f aca="false">IF(AH442="","",N(F442)+N(G442)+N(H442)-N(I442)+N(J442))</f>
        <v/>
      </c>
      <c r="L442" s="67"/>
      <c r="M442" s="67"/>
      <c r="N442" s="67"/>
      <c r="O442" s="67"/>
      <c r="P442" s="85" t="str">
        <f aca="false">IF(AH442="","",K442+N(L442)+N(M442)+N(N442)+N(O442))</f>
        <v/>
      </c>
      <c r="Q442" s="67"/>
      <c r="R442" s="67"/>
      <c r="S442" s="67"/>
      <c r="T442" s="67"/>
      <c r="U442" s="67"/>
      <c r="V442" s="67"/>
      <c r="W442" s="85" t="str">
        <f aca="false">IF(AH442="","",N(Q442)+N(R442)+N(S442)+N(T442)+N(U442)+N(V442))</f>
        <v/>
      </c>
      <c r="X442" s="85" t="str">
        <f aca="false">IF(AH442="","",P442-W442)</f>
        <v/>
      </c>
      <c r="Y442" s="67"/>
      <c r="Z442" s="70" t="str">
        <f aca="false">IF(OR(AH442="",Y442=""),"",IF(ABS(X442-Y442)&lt;=1,"✓ Cuadra","⚠ Diferencia $"&amp;FIXED(X442-Y442,0)))</f>
        <v/>
      </c>
      <c r="AA442" s="72" t="str">
        <f aca="false">IF(AH442="","",IFERROR(INDEX(C_TIPO,MATCH(C442&amp;"-P"&amp;MAX(1,COUNTIFS(C_ID,C442,C_DEFINE,"Sí",C_INICIO,"&lt;="&amp;EOMONTH(B442,0))),C_CLAVE,0))&amp;"","Sin dato"))</f>
        <v/>
      </c>
      <c r="AB442" s="71" t="str">
        <f aca="false">IF(AH442="","",ROUND(MIN(K442,TOPE_AFP_UF*AJ442)*AK442,0))</f>
        <v/>
      </c>
      <c r="AC442" s="71" t="str">
        <f aca="false">IF(AH442="","",ROUND(MIN(K442,TOPE_AFC_UF*AJ442)*IF(AA442="Indefinido",AFC_EMP_INDEF,AFC_EMP_PF),0))</f>
        <v/>
      </c>
      <c r="AD442" s="71" t="str">
        <f aca="false">IF(AH442="","",ROUND(MIN(K442,TOPE_AFP_UF*AJ442)*(MUTUAL_BASICA+MUTUAL_ADIC+SANNA),0))</f>
        <v/>
      </c>
      <c r="AE442" s="71" t="str">
        <f aca="false">IF(AH442="","",P442-N(N442)+AB442+AC442+AD442)</f>
        <v/>
      </c>
      <c r="AF442" s="65"/>
      <c r="AG442" s="64"/>
      <c r="AH442" s="72" t="str">
        <f aca="false">IF(OR(B442="",C442=""),"",C442&amp;"|"&amp;(YEAR(B442)*100+MONTH(B442)))</f>
        <v/>
      </c>
      <c r="AI442" s="70" t="str">
        <f aca="false">IF(AH442="","",IF(COUNTIF(L_CLAVE,AH442)&gt;1,"⚠ Duplicado","OK"))</f>
        <v/>
      </c>
      <c r="AJ442" s="86" t="str">
        <f aca="false">IF(AH442="","",IF(SUMPRODUCT(MAX((IND_PER&lt;=B442)*(IND_UF&lt;&gt;"")*IND_PER))=0,UF_HOY,INDEX(IND_UF,MATCH(SUMPRODUCT(MAX((IND_PER&lt;=B442)*(IND_UF&lt;&gt;"")*IND_PER)),IND_PER,0))))</f>
        <v/>
      </c>
      <c r="AK442" s="87" t="str">
        <f aca="false">IF(AH442="","",IF(COUNTIF(TASA_DESDE,"&lt;="&amp;B442)=0,INDEX(TASA_EMP,1),INDEX(TASA_EMP,COUNTIF(TASA_DESDE,"&lt;="&amp;B442))))</f>
        <v/>
      </c>
    </row>
    <row r="443" customFormat="false" ht="15" hidden="false" customHeight="false" outlineLevel="0" collapsed="false">
      <c r="B443" s="78"/>
      <c r="C443" s="64"/>
      <c r="D443" s="72" t="str">
        <f aca="false">IF(C443="","",IFERROR(INDEX(T_NOMBRE,MATCH(C443,T_ID,0)),"⚠ ID no existe"))</f>
        <v/>
      </c>
      <c r="E443" s="69"/>
      <c r="F443" s="67"/>
      <c r="G443" s="67"/>
      <c r="H443" s="67"/>
      <c r="I443" s="67"/>
      <c r="J443" s="67"/>
      <c r="K443" s="85" t="str">
        <f aca="false">IF(AH443="","",N(F443)+N(G443)+N(H443)-N(I443)+N(J443))</f>
        <v/>
      </c>
      <c r="L443" s="67"/>
      <c r="M443" s="67"/>
      <c r="N443" s="67"/>
      <c r="O443" s="67"/>
      <c r="P443" s="85" t="str">
        <f aca="false">IF(AH443="","",K443+N(L443)+N(M443)+N(N443)+N(O443))</f>
        <v/>
      </c>
      <c r="Q443" s="67"/>
      <c r="R443" s="67"/>
      <c r="S443" s="67"/>
      <c r="T443" s="67"/>
      <c r="U443" s="67"/>
      <c r="V443" s="67"/>
      <c r="W443" s="85" t="str">
        <f aca="false">IF(AH443="","",N(Q443)+N(R443)+N(S443)+N(T443)+N(U443)+N(V443))</f>
        <v/>
      </c>
      <c r="X443" s="85" t="str">
        <f aca="false">IF(AH443="","",P443-W443)</f>
        <v/>
      </c>
      <c r="Y443" s="67"/>
      <c r="Z443" s="70" t="str">
        <f aca="false">IF(OR(AH443="",Y443=""),"",IF(ABS(X443-Y443)&lt;=1,"✓ Cuadra","⚠ Diferencia $"&amp;FIXED(X443-Y443,0)))</f>
        <v/>
      </c>
      <c r="AA443" s="72" t="str">
        <f aca="false">IF(AH443="","",IFERROR(INDEX(C_TIPO,MATCH(C443&amp;"-P"&amp;MAX(1,COUNTIFS(C_ID,C443,C_DEFINE,"Sí",C_INICIO,"&lt;="&amp;EOMONTH(B443,0))),C_CLAVE,0))&amp;"","Sin dato"))</f>
        <v/>
      </c>
      <c r="AB443" s="71" t="str">
        <f aca="false">IF(AH443="","",ROUND(MIN(K443,TOPE_AFP_UF*AJ443)*AK443,0))</f>
        <v/>
      </c>
      <c r="AC443" s="71" t="str">
        <f aca="false">IF(AH443="","",ROUND(MIN(K443,TOPE_AFC_UF*AJ443)*IF(AA443="Indefinido",AFC_EMP_INDEF,AFC_EMP_PF),0))</f>
        <v/>
      </c>
      <c r="AD443" s="71" t="str">
        <f aca="false">IF(AH443="","",ROUND(MIN(K443,TOPE_AFP_UF*AJ443)*(MUTUAL_BASICA+MUTUAL_ADIC+SANNA),0))</f>
        <v/>
      </c>
      <c r="AE443" s="71" t="str">
        <f aca="false">IF(AH443="","",P443-N(N443)+AB443+AC443+AD443)</f>
        <v/>
      </c>
      <c r="AF443" s="65"/>
      <c r="AG443" s="64"/>
      <c r="AH443" s="72" t="str">
        <f aca="false">IF(OR(B443="",C443=""),"",C443&amp;"|"&amp;(YEAR(B443)*100+MONTH(B443)))</f>
        <v/>
      </c>
      <c r="AI443" s="70" t="str">
        <f aca="false">IF(AH443="","",IF(COUNTIF(L_CLAVE,AH443)&gt;1,"⚠ Duplicado","OK"))</f>
        <v/>
      </c>
      <c r="AJ443" s="86" t="str">
        <f aca="false">IF(AH443="","",IF(SUMPRODUCT(MAX((IND_PER&lt;=B443)*(IND_UF&lt;&gt;"")*IND_PER))=0,UF_HOY,INDEX(IND_UF,MATCH(SUMPRODUCT(MAX((IND_PER&lt;=B443)*(IND_UF&lt;&gt;"")*IND_PER)),IND_PER,0))))</f>
        <v/>
      </c>
      <c r="AK443" s="87" t="str">
        <f aca="false">IF(AH443="","",IF(COUNTIF(TASA_DESDE,"&lt;="&amp;B443)=0,INDEX(TASA_EMP,1),INDEX(TASA_EMP,COUNTIF(TASA_DESDE,"&lt;="&amp;B443))))</f>
        <v/>
      </c>
    </row>
    <row r="444" customFormat="false" ht="15" hidden="false" customHeight="false" outlineLevel="0" collapsed="false">
      <c r="B444" s="78"/>
      <c r="C444" s="64"/>
      <c r="D444" s="72" t="str">
        <f aca="false">IF(C444="","",IFERROR(INDEX(T_NOMBRE,MATCH(C444,T_ID,0)),"⚠ ID no existe"))</f>
        <v/>
      </c>
      <c r="E444" s="69"/>
      <c r="F444" s="67"/>
      <c r="G444" s="67"/>
      <c r="H444" s="67"/>
      <c r="I444" s="67"/>
      <c r="J444" s="67"/>
      <c r="K444" s="85" t="str">
        <f aca="false">IF(AH444="","",N(F444)+N(G444)+N(H444)-N(I444)+N(J444))</f>
        <v/>
      </c>
      <c r="L444" s="67"/>
      <c r="M444" s="67"/>
      <c r="N444" s="67"/>
      <c r="O444" s="67"/>
      <c r="P444" s="85" t="str">
        <f aca="false">IF(AH444="","",K444+N(L444)+N(M444)+N(N444)+N(O444))</f>
        <v/>
      </c>
      <c r="Q444" s="67"/>
      <c r="R444" s="67"/>
      <c r="S444" s="67"/>
      <c r="T444" s="67"/>
      <c r="U444" s="67"/>
      <c r="V444" s="67"/>
      <c r="W444" s="85" t="str">
        <f aca="false">IF(AH444="","",N(Q444)+N(R444)+N(S444)+N(T444)+N(U444)+N(V444))</f>
        <v/>
      </c>
      <c r="X444" s="85" t="str">
        <f aca="false">IF(AH444="","",P444-W444)</f>
        <v/>
      </c>
      <c r="Y444" s="67"/>
      <c r="Z444" s="70" t="str">
        <f aca="false">IF(OR(AH444="",Y444=""),"",IF(ABS(X444-Y444)&lt;=1,"✓ Cuadra","⚠ Diferencia $"&amp;FIXED(X444-Y444,0)))</f>
        <v/>
      </c>
      <c r="AA444" s="72" t="str">
        <f aca="false">IF(AH444="","",IFERROR(INDEX(C_TIPO,MATCH(C444&amp;"-P"&amp;MAX(1,COUNTIFS(C_ID,C444,C_DEFINE,"Sí",C_INICIO,"&lt;="&amp;EOMONTH(B444,0))),C_CLAVE,0))&amp;"","Sin dato"))</f>
        <v/>
      </c>
      <c r="AB444" s="71" t="str">
        <f aca="false">IF(AH444="","",ROUND(MIN(K444,TOPE_AFP_UF*AJ444)*AK444,0))</f>
        <v/>
      </c>
      <c r="AC444" s="71" t="str">
        <f aca="false">IF(AH444="","",ROUND(MIN(K444,TOPE_AFC_UF*AJ444)*IF(AA444="Indefinido",AFC_EMP_INDEF,AFC_EMP_PF),0))</f>
        <v/>
      </c>
      <c r="AD444" s="71" t="str">
        <f aca="false">IF(AH444="","",ROUND(MIN(K444,TOPE_AFP_UF*AJ444)*(MUTUAL_BASICA+MUTUAL_ADIC+SANNA),0))</f>
        <v/>
      </c>
      <c r="AE444" s="71" t="str">
        <f aca="false">IF(AH444="","",P444-N(N444)+AB444+AC444+AD444)</f>
        <v/>
      </c>
      <c r="AF444" s="65"/>
      <c r="AG444" s="64"/>
      <c r="AH444" s="72" t="str">
        <f aca="false">IF(OR(B444="",C444=""),"",C444&amp;"|"&amp;(YEAR(B444)*100+MONTH(B444)))</f>
        <v/>
      </c>
      <c r="AI444" s="70" t="str">
        <f aca="false">IF(AH444="","",IF(COUNTIF(L_CLAVE,AH444)&gt;1,"⚠ Duplicado","OK"))</f>
        <v/>
      </c>
      <c r="AJ444" s="86" t="str">
        <f aca="false">IF(AH444="","",IF(SUMPRODUCT(MAX((IND_PER&lt;=B444)*(IND_UF&lt;&gt;"")*IND_PER))=0,UF_HOY,INDEX(IND_UF,MATCH(SUMPRODUCT(MAX((IND_PER&lt;=B444)*(IND_UF&lt;&gt;"")*IND_PER)),IND_PER,0))))</f>
        <v/>
      </c>
      <c r="AK444" s="87" t="str">
        <f aca="false">IF(AH444="","",IF(COUNTIF(TASA_DESDE,"&lt;="&amp;B444)=0,INDEX(TASA_EMP,1),INDEX(TASA_EMP,COUNTIF(TASA_DESDE,"&lt;="&amp;B444))))</f>
        <v/>
      </c>
    </row>
    <row r="445" customFormat="false" ht="15" hidden="false" customHeight="false" outlineLevel="0" collapsed="false">
      <c r="B445" s="78"/>
      <c r="C445" s="64"/>
      <c r="D445" s="72" t="str">
        <f aca="false">IF(C445="","",IFERROR(INDEX(T_NOMBRE,MATCH(C445,T_ID,0)),"⚠ ID no existe"))</f>
        <v/>
      </c>
      <c r="E445" s="69"/>
      <c r="F445" s="67"/>
      <c r="G445" s="67"/>
      <c r="H445" s="67"/>
      <c r="I445" s="67"/>
      <c r="J445" s="67"/>
      <c r="K445" s="85" t="str">
        <f aca="false">IF(AH445="","",N(F445)+N(G445)+N(H445)-N(I445)+N(J445))</f>
        <v/>
      </c>
      <c r="L445" s="67"/>
      <c r="M445" s="67"/>
      <c r="N445" s="67"/>
      <c r="O445" s="67"/>
      <c r="P445" s="85" t="str">
        <f aca="false">IF(AH445="","",K445+N(L445)+N(M445)+N(N445)+N(O445))</f>
        <v/>
      </c>
      <c r="Q445" s="67"/>
      <c r="R445" s="67"/>
      <c r="S445" s="67"/>
      <c r="T445" s="67"/>
      <c r="U445" s="67"/>
      <c r="V445" s="67"/>
      <c r="W445" s="85" t="str">
        <f aca="false">IF(AH445="","",N(Q445)+N(R445)+N(S445)+N(T445)+N(U445)+N(V445))</f>
        <v/>
      </c>
      <c r="X445" s="85" t="str">
        <f aca="false">IF(AH445="","",P445-W445)</f>
        <v/>
      </c>
      <c r="Y445" s="67"/>
      <c r="Z445" s="70" t="str">
        <f aca="false">IF(OR(AH445="",Y445=""),"",IF(ABS(X445-Y445)&lt;=1,"✓ Cuadra","⚠ Diferencia $"&amp;FIXED(X445-Y445,0)))</f>
        <v/>
      </c>
      <c r="AA445" s="72" t="str">
        <f aca="false">IF(AH445="","",IFERROR(INDEX(C_TIPO,MATCH(C445&amp;"-P"&amp;MAX(1,COUNTIFS(C_ID,C445,C_DEFINE,"Sí",C_INICIO,"&lt;="&amp;EOMONTH(B445,0))),C_CLAVE,0))&amp;"","Sin dato"))</f>
        <v/>
      </c>
      <c r="AB445" s="71" t="str">
        <f aca="false">IF(AH445="","",ROUND(MIN(K445,TOPE_AFP_UF*AJ445)*AK445,0))</f>
        <v/>
      </c>
      <c r="AC445" s="71" t="str">
        <f aca="false">IF(AH445="","",ROUND(MIN(K445,TOPE_AFC_UF*AJ445)*IF(AA445="Indefinido",AFC_EMP_INDEF,AFC_EMP_PF),0))</f>
        <v/>
      </c>
      <c r="AD445" s="71" t="str">
        <f aca="false">IF(AH445="","",ROUND(MIN(K445,TOPE_AFP_UF*AJ445)*(MUTUAL_BASICA+MUTUAL_ADIC+SANNA),0))</f>
        <v/>
      </c>
      <c r="AE445" s="71" t="str">
        <f aca="false">IF(AH445="","",P445-N(N445)+AB445+AC445+AD445)</f>
        <v/>
      </c>
      <c r="AF445" s="65"/>
      <c r="AG445" s="64"/>
      <c r="AH445" s="72" t="str">
        <f aca="false">IF(OR(B445="",C445=""),"",C445&amp;"|"&amp;(YEAR(B445)*100+MONTH(B445)))</f>
        <v/>
      </c>
      <c r="AI445" s="70" t="str">
        <f aca="false">IF(AH445="","",IF(COUNTIF(L_CLAVE,AH445)&gt;1,"⚠ Duplicado","OK"))</f>
        <v/>
      </c>
      <c r="AJ445" s="86" t="str">
        <f aca="false">IF(AH445="","",IF(SUMPRODUCT(MAX((IND_PER&lt;=B445)*(IND_UF&lt;&gt;"")*IND_PER))=0,UF_HOY,INDEX(IND_UF,MATCH(SUMPRODUCT(MAX((IND_PER&lt;=B445)*(IND_UF&lt;&gt;"")*IND_PER)),IND_PER,0))))</f>
        <v/>
      </c>
      <c r="AK445" s="87" t="str">
        <f aca="false">IF(AH445="","",IF(COUNTIF(TASA_DESDE,"&lt;="&amp;B445)=0,INDEX(TASA_EMP,1),INDEX(TASA_EMP,COUNTIF(TASA_DESDE,"&lt;="&amp;B445))))</f>
        <v/>
      </c>
    </row>
    <row r="446" customFormat="false" ht="15" hidden="false" customHeight="false" outlineLevel="0" collapsed="false">
      <c r="B446" s="78"/>
      <c r="C446" s="64"/>
      <c r="D446" s="72" t="str">
        <f aca="false">IF(C446="","",IFERROR(INDEX(T_NOMBRE,MATCH(C446,T_ID,0)),"⚠ ID no existe"))</f>
        <v/>
      </c>
      <c r="E446" s="69"/>
      <c r="F446" s="67"/>
      <c r="G446" s="67"/>
      <c r="H446" s="67"/>
      <c r="I446" s="67"/>
      <c r="J446" s="67"/>
      <c r="K446" s="85" t="str">
        <f aca="false">IF(AH446="","",N(F446)+N(G446)+N(H446)-N(I446)+N(J446))</f>
        <v/>
      </c>
      <c r="L446" s="67"/>
      <c r="M446" s="67"/>
      <c r="N446" s="67"/>
      <c r="O446" s="67"/>
      <c r="P446" s="85" t="str">
        <f aca="false">IF(AH446="","",K446+N(L446)+N(M446)+N(N446)+N(O446))</f>
        <v/>
      </c>
      <c r="Q446" s="67"/>
      <c r="R446" s="67"/>
      <c r="S446" s="67"/>
      <c r="T446" s="67"/>
      <c r="U446" s="67"/>
      <c r="V446" s="67"/>
      <c r="W446" s="85" t="str">
        <f aca="false">IF(AH446="","",N(Q446)+N(R446)+N(S446)+N(T446)+N(U446)+N(V446))</f>
        <v/>
      </c>
      <c r="X446" s="85" t="str">
        <f aca="false">IF(AH446="","",P446-W446)</f>
        <v/>
      </c>
      <c r="Y446" s="67"/>
      <c r="Z446" s="70" t="str">
        <f aca="false">IF(OR(AH446="",Y446=""),"",IF(ABS(X446-Y446)&lt;=1,"✓ Cuadra","⚠ Diferencia $"&amp;FIXED(X446-Y446,0)))</f>
        <v/>
      </c>
      <c r="AA446" s="72" t="str">
        <f aca="false">IF(AH446="","",IFERROR(INDEX(C_TIPO,MATCH(C446&amp;"-P"&amp;MAX(1,COUNTIFS(C_ID,C446,C_DEFINE,"Sí",C_INICIO,"&lt;="&amp;EOMONTH(B446,0))),C_CLAVE,0))&amp;"","Sin dato"))</f>
        <v/>
      </c>
      <c r="AB446" s="71" t="str">
        <f aca="false">IF(AH446="","",ROUND(MIN(K446,TOPE_AFP_UF*AJ446)*AK446,0))</f>
        <v/>
      </c>
      <c r="AC446" s="71" t="str">
        <f aca="false">IF(AH446="","",ROUND(MIN(K446,TOPE_AFC_UF*AJ446)*IF(AA446="Indefinido",AFC_EMP_INDEF,AFC_EMP_PF),0))</f>
        <v/>
      </c>
      <c r="AD446" s="71" t="str">
        <f aca="false">IF(AH446="","",ROUND(MIN(K446,TOPE_AFP_UF*AJ446)*(MUTUAL_BASICA+MUTUAL_ADIC+SANNA),0))</f>
        <v/>
      </c>
      <c r="AE446" s="71" t="str">
        <f aca="false">IF(AH446="","",P446-N(N446)+AB446+AC446+AD446)</f>
        <v/>
      </c>
      <c r="AF446" s="65"/>
      <c r="AG446" s="64"/>
      <c r="AH446" s="72" t="str">
        <f aca="false">IF(OR(B446="",C446=""),"",C446&amp;"|"&amp;(YEAR(B446)*100+MONTH(B446)))</f>
        <v/>
      </c>
      <c r="AI446" s="70" t="str">
        <f aca="false">IF(AH446="","",IF(COUNTIF(L_CLAVE,AH446)&gt;1,"⚠ Duplicado","OK"))</f>
        <v/>
      </c>
      <c r="AJ446" s="86" t="str">
        <f aca="false">IF(AH446="","",IF(SUMPRODUCT(MAX((IND_PER&lt;=B446)*(IND_UF&lt;&gt;"")*IND_PER))=0,UF_HOY,INDEX(IND_UF,MATCH(SUMPRODUCT(MAX((IND_PER&lt;=B446)*(IND_UF&lt;&gt;"")*IND_PER)),IND_PER,0))))</f>
        <v/>
      </c>
      <c r="AK446" s="87" t="str">
        <f aca="false">IF(AH446="","",IF(COUNTIF(TASA_DESDE,"&lt;="&amp;B446)=0,INDEX(TASA_EMP,1),INDEX(TASA_EMP,COUNTIF(TASA_DESDE,"&lt;="&amp;B446))))</f>
        <v/>
      </c>
    </row>
    <row r="447" customFormat="false" ht="15" hidden="false" customHeight="false" outlineLevel="0" collapsed="false">
      <c r="B447" s="78"/>
      <c r="C447" s="64"/>
      <c r="D447" s="72" t="str">
        <f aca="false">IF(C447="","",IFERROR(INDEX(T_NOMBRE,MATCH(C447,T_ID,0)),"⚠ ID no existe"))</f>
        <v/>
      </c>
      <c r="E447" s="69"/>
      <c r="F447" s="67"/>
      <c r="G447" s="67"/>
      <c r="H447" s="67"/>
      <c r="I447" s="67"/>
      <c r="J447" s="67"/>
      <c r="K447" s="85" t="str">
        <f aca="false">IF(AH447="","",N(F447)+N(G447)+N(H447)-N(I447)+N(J447))</f>
        <v/>
      </c>
      <c r="L447" s="67"/>
      <c r="M447" s="67"/>
      <c r="N447" s="67"/>
      <c r="O447" s="67"/>
      <c r="P447" s="85" t="str">
        <f aca="false">IF(AH447="","",K447+N(L447)+N(M447)+N(N447)+N(O447))</f>
        <v/>
      </c>
      <c r="Q447" s="67"/>
      <c r="R447" s="67"/>
      <c r="S447" s="67"/>
      <c r="T447" s="67"/>
      <c r="U447" s="67"/>
      <c r="V447" s="67"/>
      <c r="W447" s="85" t="str">
        <f aca="false">IF(AH447="","",N(Q447)+N(R447)+N(S447)+N(T447)+N(U447)+N(V447))</f>
        <v/>
      </c>
      <c r="X447" s="85" t="str">
        <f aca="false">IF(AH447="","",P447-W447)</f>
        <v/>
      </c>
      <c r="Y447" s="67"/>
      <c r="Z447" s="70" t="str">
        <f aca="false">IF(OR(AH447="",Y447=""),"",IF(ABS(X447-Y447)&lt;=1,"✓ Cuadra","⚠ Diferencia $"&amp;FIXED(X447-Y447,0)))</f>
        <v/>
      </c>
      <c r="AA447" s="72" t="str">
        <f aca="false">IF(AH447="","",IFERROR(INDEX(C_TIPO,MATCH(C447&amp;"-P"&amp;MAX(1,COUNTIFS(C_ID,C447,C_DEFINE,"Sí",C_INICIO,"&lt;="&amp;EOMONTH(B447,0))),C_CLAVE,0))&amp;"","Sin dato"))</f>
        <v/>
      </c>
      <c r="AB447" s="71" t="str">
        <f aca="false">IF(AH447="","",ROUND(MIN(K447,TOPE_AFP_UF*AJ447)*AK447,0))</f>
        <v/>
      </c>
      <c r="AC447" s="71" t="str">
        <f aca="false">IF(AH447="","",ROUND(MIN(K447,TOPE_AFC_UF*AJ447)*IF(AA447="Indefinido",AFC_EMP_INDEF,AFC_EMP_PF),0))</f>
        <v/>
      </c>
      <c r="AD447" s="71" t="str">
        <f aca="false">IF(AH447="","",ROUND(MIN(K447,TOPE_AFP_UF*AJ447)*(MUTUAL_BASICA+MUTUAL_ADIC+SANNA),0))</f>
        <v/>
      </c>
      <c r="AE447" s="71" t="str">
        <f aca="false">IF(AH447="","",P447-N(N447)+AB447+AC447+AD447)</f>
        <v/>
      </c>
      <c r="AF447" s="65"/>
      <c r="AG447" s="64"/>
      <c r="AH447" s="72" t="str">
        <f aca="false">IF(OR(B447="",C447=""),"",C447&amp;"|"&amp;(YEAR(B447)*100+MONTH(B447)))</f>
        <v/>
      </c>
      <c r="AI447" s="70" t="str">
        <f aca="false">IF(AH447="","",IF(COUNTIF(L_CLAVE,AH447)&gt;1,"⚠ Duplicado","OK"))</f>
        <v/>
      </c>
      <c r="AJ447" s="86" t="str">
        <f aca="false">IF(AH447="","",IF(SUMPRODUCT(MAX((IND_PER&lt;=B447)*(IND_UF&lt;&gt;"")*IND_PER))=0,UF_HOY,INDEX(IND_UF,MATCH(SUMPRODUCT(MAX((IND_PER&lt;=B447)*(IND_UF&lt;&gt;"")*IND_PER)),IND_PER,0))))</f>
        <v/>
      </c>
      <c r="AK447" s="87" t="str">
        <f aca="false">IF(AH447="","",IF(COUNTIF(TASA_DESDE,"&lt;="&amp;B447)=0,INDEX(TASA_EMP,1),INDEX(TASA_EMP,COUNTIF(TASA_DESDE,"&lt;="&amp;B447))))</f>
        <v/>
      </c>
    </row>
    <row r="448" customFormat="false" ht="15" hidden="false" customHeight="false" outlineLevel="0" collapsed="false">
      <c r="B448" s="78"/>
      <c r="C448" s="64"/>
      <c r="D448" s="72" t="str">
        <f aca="false">IF(C448="","",IFERROR(INDEX(T_NOMBRE,MATCH(C448,T_ID,0)),"⚠ ID no existe"))</f>
        <v/>
      </c>
      <c r="E448" s="69"/>
      <c r="F448" s="67"/>
      <c r="G448" s="67"/>
      <c r="H448" s="67"/>
      <c r="I448" s="67"/>
      <c r="J448" s="67"/>
      <c r="K448" s="85" t="str">
        <f aca="false">IF(AH448="","",N(F448)+N(G448)+N(H448)-N(I448)+N(J448))</f>
        <v/>
      </c>
      <c r="L448" s="67"/>
      <c r="M448" s="67"/>
      <c r="N448" s="67"/>
      <c r="O448" s="67"/>
      <c r="P448" s="85" t="str">
        <f aca="false">IF(AH448="","",K448+N(L448)+N(M448)+N(N448)+N(O448))</f>
        <v/>
      </c>
      <c r="Q448" s="67"/>
      <c r="R448" s="67"/>
      <c r="S448" s="67"/>
      <c r="T448" s="67"/>
      <c r="U448" s="67"/>
      <c r="V448" s="67"/>
      <c r="W448" s="85" t="str">
        <f aca="false">IF(AH448="","",N(Q448)+N(R448)+N(S448)+N(T448)+N(U448)+N(V448))</f>
        <v/>
      </c>
      <c r="X448" s="85" t="str">
        <f aca="false">IF(AH448="","",P448-W448)</f>
        <v/>
      </c>
      <c r="Y448" s="67"/>
      <c r="Z448" s="70" t="str">
        <f aca="false">IF(OR(AH448="",Y448=""),"",IF(ABS(X448-Y448)&lt;=1,"✓ Cuadra","⚠ Diferencia $"&amp;FIXED(X448-Y448,0)))</f>
        <v/>
      </c>
      <c r="AA448" s="72" t="str">
        <f aca="false">IF(AH448="","",IFERROR(INDEX(C_TIPO,MATCH(C448&amp;"-P"&amp;MAX(1,COUNTIFS(C_ID,C448,C_DEFINE,"Sí",C_INICIO,"&lt;="&amp;EOMONTH(B448,0))),C_CLAVE,0))&amp;"","Sin dato"))</f>
        <v/>
      </c>
      <c r="AB448" s="71" t="str">
        <f aca="false">IF(AH448="","",ROUND(MIN(K448,TOPE_AFP_UF*AJ448)*AK448,0))</f>
        <v/>
      </c>
      <c r="AC448" s="71" t="str">
        <f aca="false">IF(AH448="","",ROUND(MIN(K448,TOPE_AFC_UF*AJ448)*IF(AA448="Indefinido",AFC_EMP_INDEF,AFC_EMP_PF),0))</f>
        <v/>
      </c>
      <c r="AD448" s="71" t="str">
        <f aca="false">IF(AH448="","",ROUND(MIN(K448,TOPE_AFP_UF*AJ448)*(MUTUAL_BASICA+MUTUAL_ADIC+SANNA),0))</f>
        <v/>
      </c>
      <c r="AE448" s="71" t="str">
        <f aca="false">IF(AH448="","",P448-N(N448)+AB448+AC448+AD448)</f>
        <v/>
      </c>
      <c r="AF448" s="65"/>
      <c r="AG448" s="64"/>
      <c r="AH448" s="72" t="str">
        <f aca="false">IF(OR(B448="",C448=""),"",C448&amp;"|"&amp;(YEAR(B448)*100+MONTH(B448)))</f>
        <v/>
      </c>
      <c r="AI448" s="70" t="str">
        <f aca="false">IF(AH448="","",IF(COUNTIF(L_CLAVE,AH448)&gt;1,"⚠ Duplicado","OK"))</f>
        <v/>
      </c>
      <c r="AJ448" s="86" t="str">
        <f aca="false">IF(AH448="","",IF(SUMPRODUCT(MAX((IND_PER&lt;=B448)*(IND_UF&lt;&gt;"")*IND_PER))=0,UF_HOY,INDEX(IND_UF,MATCH(SUMPRODUCT(MAX((IND_PER&lt;=B448)*(IND_UF&lt;&gt;"")*IND_PER)),IND_PER,0))))</f>
        <v/>
      </c>
      <c r="AK448" s="87" t="str">
        <f aca="false">IF(AH448="","",IF(COUNTIF(TASA_DESDE,"&lt;="&amp;B448)=0,INDEX(TASA_EMP,1),INDEX(TASA_EMP,COUNTIF(TASA_DESDE,"&lt;="&amp;B448))))</f>
        <v/>
      </c>
    </row>
    <row r="449" customFormat="false" ht="15" hidden="false" customHeight="false" outlineLevel="0" collapsed="false">
      <c r="B449" s="78"/>
      <c r="C449" s="64"/>
      <c r="D449" s="72" t="str">
        <f aca="false">IF(C449="","",IFERROR(INDEX(T_NOMBRE,MATCH(C449,T_ID,0)),"⚠ ID no existe"))</f>
        <v/>
      </c>
      <c r="E449" s="69"/>
      <c r="F449" s="67"/>
      <c r="G449" s="67"/>
      <c r="H449" s="67"/>
      <c r="I449" s="67"/>
      <c r="J449" s="67"/>
      <c r="K449" s="85" t="str">
        <f aca="false">IF(AH449="","",N(F449)+N(G449)+N(H449)-N(I449)+N(J449))</f>
        <v/>
      </c>
      <c r="L449" s="67"/>
      <c r="M449" s="67"/>
      <c r="N449" s="67"/>
      <c r="O449" s="67"/>
      <c r="P449" s="85" t="str">
        <f aca="false">IF(AH449="","",K449+N(L449)+N(M449)+N(N449)+N(O449))</f>
        <v/>
      </c>
      <c r="Q449" s="67"/>
      <c r="R449" s="67"/>
      <c r="S449" s="67"/>
      <c r="T449" s="67"/>
      <c r="U449" s="67"/>
      <c r="V449" s="67"/>
      <c r="W449" s="85" t="str">
        <f aca="false">IF(AH449="","",N(Q449)+N(R449)+N(S449)+N(T449)+N(U449)+N(V449))</f>
        <v/>
      </c>
      <c r="X449" s="85" t="str">
        <f aca="false">IF(AH449="","",P449-W449)</f>
        <v/>
      </c>
      <c r="Y449" s="67"/>
      <c r="Z449" s="70" t="str">
        <f aca="false">IF(OR(AH449="",Y449=""),"",IF(ABS(X449-Y449)&lt;=1,"✓ Cuadra","⚠ Diferencia $"&amp;FIXED(X449-Y449,0)))</f>
        <v/>
      </c>
      <c r="AA449" s="72" t="str">
        <f aca="false">IF(AH449="","",IFERROR(INDEX(C_TIPO,MATCH(C449&amp;"-P"&amp;MAX(1,COUNTIFS(C_ID,C449,C_DEFINE,"Sí",C_INICIO,"&lt;="&amp;EOMONTH(B449,0))),C_CLAVE,0))&amp;"","Sin dato"))</f>
        <v/>
      </c>
      <c r="AB449" s="71" t="str">
        <f aca="false">IF(AH449="","",ROUND(MIN(K449,TOPE_AFP_UF*AJ449)*AK449,0))</f>
        <v/>
      </c>
      <c r="AC449" s="71" t="str">
        <f aca="false">IF(AH449="","",ROUND(MIN(K449,TOPE_AFC_UF*AJ449)*IF(AA449="Indefinido",AFC_EMP_INDEF,AFC_EMP_PF),0))</f>
        <v/>
      </c>
      <c r="AD449" s="71" t="str">
        <f aca="false">IF(AH449="","",ROUND(MIN(K449,TOPE_AFP_UF*AJ449)*(MUTUAL_BASICA+MUTUAL_ADIC+SANNA),0))</f>
        <v/>
      </c>
      <c r="AE449" s="71" t="str">
        <f aca="false">IF(AH449="","",P449-N(N449)+AB449+AC449+AD449)</f>
        <v/>
      </c>
      <c r="AF449" s="65"/>
      <c r="AG449" s="64"/>
      <c r="AH449" s="72" t="str">
        <f aca="false">IF(OR(B449="",C449=""),"",C449&amp;"|"&amp;(YEAR(B449)*100+MONTH(B449)))</f>
        <v/>
      </c>
      <c r="AI449" s="70" t="str">
        <f aca="false">IF(AH449="","",IF(COUNTIF(L_CLAVE,AH449)&gt;1,"⚠ Duplicado","OK"))</f>
        <v/>
      </c>
      <c r="AJ449" s="86" t="str">
        <f aca="false">IF(AH449="","",IF(SUMPRODUCT(MAX((IND_PER&lt;=B449)*(IND_UF&lt;&gt;"")*IND_PER))=0,UF_HOY,INDEX(IND_UF,MATCH(SUMPRODUCT(MAX((IND_PER&lt;=B449)*(IND_UF&lt;&gt;"")*IND_PER)),IND_PER,0))))</f>
        <v/>
      </c>
      <c r="AK449" s="87" t="str">
        <f aca="false">IF(AH449="","",IF(COUNTIF(TASA_DESDE,"&lt;="&amp;B449)=0,INDEX(TASA_EMP,1),INDEX(TASA_EMP,COUNTIF(TASA_DESDE,"&lt;="&amp;B449))))</f>
        <v/>
      </c>
    </row>
    <row r="450" customFormat="false" ht="15" hidden="false" customHeight="false" outlineLevel="0" collapsed="false">
      <c r="B450" s="78"/>
      <c r="C450" s="64"/>
      <c r="D450" s="72" t="str">
        <f aca="false">IF(C450="","",IFERROR(INDEX(T_NOMBRE,MATCH(C450,T_ID,0)),"⚠ ID no existe"))</f>
        <v/>
      </c>
      <c r="E450" s="69"/>
      <c r="F450" s="67"/>
      <c r="G450" s="67"/>
      <c r="H450" s="67"/>
      <c r="I450" s="67"/>
      <c r="J450" s="67"/>
      <c r="K450" s="85" t="str">
        <f aca="false">IF(AH450="","",N(F450)+N(G450)+N(H450)-N(I450)+N(J450))</f>
        <v/>
      </c>
      <c r="L450" s="67"/>
      <c r="M450" s="67"/>
      <c r="N450" s="67"/>
      <c r="O450" s="67"/>
      <c r="P450" s="85" t="str">
        <f aca="false">IF(AH450="","",K450+N(L450)+N(M450)+N(N450)+N(O450))</f>
        <v/>
      </c>
      <c r="Q450" s="67"/>
      <c r="R450" s="67"/>
      <c r="S450" s="67"/>
      <c r="T450" s="67"/>
      <c r="U450" s="67"/>
      <c r="V450" s="67"/>
      <c r="W450" s="85" t="str">
        <f aca="false">IF(AH450="","",N(Q450)+N(R450)+N(S450)+N(T450)+N(U450)+N(V450))</f>
        <v/>
      </c>
      <c r="X450" s="85" t="str">
        <f aca="false">IF(AH450="","",P450-W450)</f>
        <v/>
      </c>
      <c r="Y450" s="67"/>
      <c r="Z450" s="70" t="str">
        <f aca="false">IF(OR(AH450="",Y450=""),"",IF(ABS(X450-Y450)&lt;=1,"✓ Cuadra","⚠ Diferencia $"&amp;FIXED(X450-Y450,0)))</f>
        <v/>
      </c>
      <c r="AA450" s="72" t="str">
        <f aca="false">IF(AH450="","",IFERROR(INDEX(C_TIPO,MATCH(C450&amp;"-P"&amp;MAX(1,COUNTIFS(C_ID,C450,C_DEFINE,"Sí",C_INICIO,"&lt;="&amp;EOMONTH(B450,0))),C_CLAVE,0))&amp;"","Sin dato"))</f>
        <v/>
      </c>
      <c r="AB450" s="71" t="str">
        <f aca="false">IF(AH450="","",ROUND(MIN(K450,TOPE_AFP_UF*AJ450)*AK450,0))</f>
        <v/>
      </c>
      <c r="AC450" s="71" t="str">
        <f aca="false">IF(AH450="","",ROUND(MIN(K450,TOPE_AFC_UF*AJ450)*IF(AA450="Indefinido",AFC_EMP_INDEF,AFC_EMP_PF),0))</f>
        <v/>
      </c>
      <c r="AD450" s="71" t="str">
        <f aca="false">IF(AH450="","",ROUND(MIN(K450,TOPE_AFP_UF*AJ450)*(MUTUAL_BASICA+MUTUAL_ADIC+SANNA),0))</f>
        <v/>
      </c>
      <c r="AE450" s="71" t="str">
        <f aca="false">IF(AH450="","",P450-N(N450)+AB450+AC450+AD450)</f>
        <v/>
      </c>
      <c r="AF450" s="65"/>
      <c r="AG450" s="64"/>
      <c r="AH450" s="72" t="str">
        <f aca="false">IF(OR(B450="",C450=""),"",C450&amp;"|"&amp;(YEAR(B450)*100+MONTH(B450)))</f>
        <v/>
      </c>
      <c r="AI450" s="70" t="str">
        <f aca="false">IF(AH450="","",IF(COUNTIF(L_CLAVE,AH450)&gt;1,"⚠ Duplicado","OK"))</f>
        <v/>
      </c>
      <c r="AJ450" s="86" t="str">
        <f aca="false">IF(AH450="","",IF(SUMPRODUCT(MAX((IND_PER&lt;=B450)*(IND_UF&lt;&gt;"")*IND_PER))=0,UF_HOY,INDEX(IND_UF,MATCH(SUMPRODUCT(MAX((IND_PER&lt;=B450)*(IND_UF&lt;&gt;"")*IND_PER)),IND_PER,0))))</f>
        <v/>
      </c>
      <c r="AK450" s="87" t="str">
        <f aca="false">IF(AH450="","",IF(COUNTIF(TASA_DESDE,"&lt;="&amp;B450)=0,INDEX(TASA_EMP,1),INDEX(TASA_EMP,COUNTIF(TASA_DESDE,"&lt;="&amp;B450))))</f>
        <v/>
      </c>
    </row>
    <row r="451" customFormat="false" ht="15" hidden="false" customHeight="false" outlineLevel="0" collapsed="false">
      <c r="B451" s="78"/>
      <c r="C451" s="64"/>
      <c r="D451" s="72" t="str">
        <f aca="false">IF(C451="","",IFERROR(INDEX(T_NOMBRE,MATCH(C451,T_ID,0)),"⚠ ID no existe"))</f>
        <v/>
      </c>
      <c r="E451" s="69"/>
      <c r="F451" s="67"/>
      <c r="G451" s="67"/>
      <c r="H451" s="67"/>
      <c r="I451" s="67"/>
      <c r="J451" s="67"/>
      <c r="K451" s="85" t="str">
        <f aca="false">IF(AH451="","",N(F451)+N(G451)+N(H451)-N(I451)+N(J451))</f>
        <v/>
      </c>
      <c r="L451" s="67"/>
      <c r="M451" s="67"/>
      <c r="N451" s="67"/>
      <c r="O451" s="67"/>
      <c r="P451" s="85" t="str">
        <f aca="false">IF(AH451="","",K451+N(L451)+N(M451)+N(N451)+N(O451))</f>
        <v/>
      </c>
      <c r="Q451" s="67"/>
      <c r="R451" s="67"/>
      <c r="S451" s="67"/>
      <c r="T451" s="67"/>
      <c r="U451" s="67"/>
      <c r="V451" s="67"/>
      <c r="W451" s="85" t="str">
        <f aca="false">IF(AH451="","",N(Q451)+N(R451)+N(S451)+N(T451)+N(U451)+N(V451))</f>
        <v/>
      </c>
      <c r="X451" s="85" t="str">
        <f aca="false">IF(AH451="","",P451-W451)</f>
        <v/>
      </c>
      <c r="Y451" s="67"/>
      <c r="Z451" s="70" t="str">
        <f aca="false">IF(OR(AH451="",Y451=""),"",IF(ABS(X451-Y451)&lt;=1,"✓ Cuadra","⚠ Diferencia $"&amp;FIXED(X451-Y451,0)))</f>
        <v/>
      </c>
      <c r="AA451" s="72" t="str">
        <f aca="false">IF(AH451="","",IFERROR(INDEX(C_TIPO,MATCH(C451&amp;"-P"&amp;MAX(1,COUNTIFS(C_ID,C451,C_DEFINE,"Sí",C_INICIO,"&lt;="&amp;EOMONTH(B451,0))),C_CLAVE,0))&amp;"","Sin dato"))</f>
        <v/>
      </c>
      <c r="AB451" s="71" t="str">
        <f aca="false">IF(AH451="","",ROUND(MIN(K451,TOPE_AFP_UF*AJ451)*AK451,0))</f>
        <v/>
      </c>
      <c r="AC451" s="71" t="str">
        <f aca="false">IF(AH451="","",ROUND(MIN(K451,TOPE_AFC_UF*AJ451)*IF(AA451="Indefinido",AFC_EMP_INDEF,AFC_EMP_PF),0))</f>
        <v/>
      </c>
      <c r="AD451" s="71" t="str">
        <f aca="false">IF(AH451="","",ROUND(MIN(K451,TOPE_AFP_UF*AJ451)*(MUTUAL_BASICA+MUTUAL_ADIC+SANNA),0))</f>
        <v/>
      </c>
      <c r="AE451" s="71" t="str">
        <f aca="false">IF(AH451="","",P451-N(N451)+AB451+AC451+AD451)</f>
        <v/>
      </c>
      <c r="AF451" s="65"/>
      <c r="AG451" s="64"/>
      <c r="AH451" s="72" t="str">
        <f aca="false">IF(OR(B451="",C451=""),"",C451&amp;"|"&amp;(YEAR(B451)*100+MONTH(B451)))</f>
        <v/>
      </c>
      <c r="AI451" s="70" t="str">
        <f aca="false">IF(AH451="","",IF(COUNTIF(L_CLAVE,AH451)&gt;1,"⚠ Duplicado","OK"))</f>
        <v/>
      </c>
      <c r="AJ451" s="86" t="str">
        <f aca="false">IF(AH451="","",IF(SUMPRODUCT(MAX((IND_PER&lt;=B451)*(IND_UF&lt;&gt;"")*IND_PER))=0,UF_HOY,INDEX(IND_UF,MATCH(SUMPRODUCT(MAX((IND_PER&lt;=B451)*(IND_UF&lt;&gt;"")*IND_PER)),IND_PER,0))))</f>
        <v/>
      </c>
      <c r="AK451" s="87" t="str">
        <f aca="false">IF(AH451="","",IF(COUNTIF(TASA_DESDE,"&lt;="&amp;B451)=0,INDEX(TASA_EMP,1),INDEX(TASA_EMP,COUNTIF(TASA_DESDE,"&lt;="&amp;B451))))</f>
        <v/>
      </c>
    </row>
    <row r="452" customFormat="false" ht="15" hidden="false" customHeight="false" outlineLevel="0" collapsed="false">
      <c r="B452" s="78"/>
      <c r="C452" s="64"/>
      <c r="D452" s="72" t="str">
        <f aca="false">IF(C452="","",IFERROR(INDEX(T_NOMBRE,MATCH(C452,T_ID,0)),"⚠ ID no existe"))</f>
        <v/>
      </c>
      <c r="E452" s="69"/>
      <c r="F452" s="67"/>
      <c r="G452" s="67"/>
      <c r="H452" s="67"/>
      <c r="I452" s="67"/>
      <c r="J452" s="67"/>
      <c r="K452" s="85" t="str">
        <f aca="false">IF(AH452="","",N(F452)+N(G452)+N(H452)-N(I452)+N(J452))</f>
        <v/>
      </c>
      <c r="L452" s="67"/>
      <c r="M452" s="67"/>
      <c r="N452" s="67"/>
      <c r="O452" s="67"/>
      <c r="P452" s="85" t="str">
        <f aca="false">IF(AH452="","",K452+N(L452)+N(M452)+N(N452)+N(O452))</f>
        <v/>
      </c>
      <c r="Q452" s="67"/>
      <c r="R452" s="67"/>
      <c r="S452" s="67"/>
      <c r="T452" s="67"/>
      <c r="U452" s="67"/>
      <c r="V452" s="67"/>
      <c r="W452" s="85" t="str">
        <f aca="false">IF(AH452="","",N(Q452)+N(R452)+N(S452)+N(T452)+N(U452)+N(V452))</f>
        <v/>
      </c>
      <c r="X452" s="85" t="str">
        <f aca="false">IF(AH452="","",P452-W452)</f>
        <v/>
      </c>
      <c r="Y452" s="67"/>
      <c r="Z452" s="70" t="str">
        <f aca="false">IF(OR(AH452="",Y452=""),"",IF(ABS(X452-Y452)&lt;=1,"✓ Cuadra","⚠ Diferencia $"&amp;FIXED(X452-Y452,0)))</f>
        <v/>
      </c>
      <c r="AA452" s="72" t="str">
        <f aca="false">IF(AH452="","",IFERROR(INDEX(C_TIPO,MATCH(C452&amp;"-P"&amp;MAX(1,COUNTIFS(C_ID,C452,C_DEFINE,"Sí",C_INICIO,"&lt;="&amp;EOMONTH(B452,0))),C_CLAVE,0))&amp;"","Sin dato"))</f>
        <v/>
      </c>
      <c r="AB452" s="71" t="str">
        <f aca="false">IF(AH452="","",ROUND(MIN(K452,TOPE_AFP_UF*AJ452)*AK452,0))</f>
        <v/>
      </c>
      <c r="AC452" s="71" t="str">
        <f aca="false">IF(AH452="","",ROUND(MIN(K452,TOPE_AFC_UF*AJ452)*IF(AA452="Indefinido",AFC_EMP_INDEF,AFC_EMP_PF),0))</f>
        <v/>
      </c>
      <c r="AD452" s="71" t="str">
        <f aca="false">IF(AH452="","",ROUND(MIN(K452,TOPE_AFP_UF*AJ452)*(MUTUAL_BASICA+MUTUAL_ADIC+SANNA),0))</f>
        <v/>
      </c>
      <c r="AE452" s="71" t="str">
        <f aca="false">IF(AH452="","",P452-N(N452)+AB452+AC452+AD452)</f>
        <v/>
      </c>
      <c r="AF452" s="65"/>
      <c r="AG452" s="64"/>
      <c r="AH452" s="72" t="str">
        <f aca="false">IF(OR(B452="",C452=""),"",C452&amp;"|"&amp;(YEAR(B452)*100+MONTH(B452)))</f>
        <v/>
      </c>
      <c r="AI452" s="70" t="str">
        <f aca="false">IF(AH452="","",IF(COUNTIF(L_CLAVE,AH452)&gt;1,"⚠ Duplicado","OK"))</f>
        <v/>
      </c>
      <c r="AJ452" s="86" t="str">
        <f aca="false">IF(AH452="","",IF(SUMPRODUCT(MAX((IND_PER&lt;=B452)*(IND_UF&lt;&gt;"")*IND_PER))=0,UF_HOY,INDEX(IND_UF,MATCH(SUMPRODUCT(MAX((IND_PER&lt;=B452)*(IND_UF&lt;&gt;"")*IND_PER)),IND_PER,0))))</f>
        <v/>
      </c>
      <c r="AK452" s="87" t="str">
        <f aca="false">IF(AH452="","",IF(COUNTIF(TASA_DESDE,"&lt;="&amp;B452)=0,INDEX(TASA_EMP,1),INDEX(TASA_EMP,COUNTIF(TASA_DESDE,"&lt;="&amp;B452))))</f>
        <v/>
      </c>
    </row>
    <row r="453" customFormat="false" ht="15" hidden="false" customHeight="false" outlineLevel="0" collapsed="false">
      <c r="B453" s="78"/>
      <c r="C453" s="64"/>
      <c r="D453" s="72" t="str">
        <f aca="false">IF(C453="","",IFERROR(INDEX(T_NOMBRE,MATCH(C453,T_ID,0)),"⚠ ID no existe"))</f>
        <v/>
      </c>
      <c r="E453" s="69"/>
      <c r="F453" s="67"/>
      <c r="G453" s="67"/>
      <c r="H453" s="67"/>
      <c r="I453" s="67"/>
      <c r="J453" s="67"/>
      <c r="K453" s="85" t="str">
        <f aca="false">IF(AH453="","",N(F453)+N(G453)+N(H453)-N(I453)+N(J453))</f>
        <v/>
      </c>
      <c r="L453" s="67"/>
      <c r="M453" s="67"/>
      <c r="N453" s="67"/>
      <c r="O453" s="67"/>
      <c r="P453" s="85" t="str">
        <f aca="false">IF(AH453="","",K453+N(L453)+N(M453)+N(N453)+N(O453))</f>
        <v/>
      </c>
      <c r="Q453" s="67"/>
      <c r="R453" s="67"/>
      <c r="S453" s="67"/>
      <c r="T453" s="67"/>
      <c r="U453" s="67"/>
      <c r="V453" s="67"/>
      <c r="W453" s="85" t="str">
        <f aca="false">IF(AH453="","",N(Q453)+N(R453)+N(S453)+N(T453)+N(U453)+N(V453))</f>
        <v/>
      </c>
      <c r="X453" s="85" t="str">
        <f aca="false">IF(AH453="","",P453-W453)</f>
        <v/>
      </c>
      <c r="Y453" s="67"/>
      <c r="Z453" s="70" t="str">
        <f aca="false">IF(OR(AH453="",Y453=""),"",IF(ABS(X453-Y453)&lt;=1,"✓ Cuadra","⚠ Diferencia $"&amp;FIXED(X453-Y453,0)))</f>
        <v/>
      </c>
      <c r="AA453" s="72" t="str">
        <f aca="false">IF(AH453="","",IFERROR(INDEX(C_TIPO,MATCH(C453&amp;"-P"&amp;MAX(1,COUNTIFS(C_ID,C453,C_DEFINE,"Sí",C_INICIO,"&lt;="&amp;EOMONTH(B453,0))),C_CLAVE,0))&amp;"","Sin dato"))</f>
        <v/>
      </c>
      <c r="AB453" s="71" t="str">
        <f aca="false">IF(AH453="","",ROUND(MIN(K453,TOPE_AFP_UF*AJ453)*AK453,0))</f>
        <v/>
      </c>
      <c r="AC453" s="71" t="str">
        <f aca="false">IF(AH453="","",ROUND(MIN(K453,TOPE_AFC_UF*AJ453)*IF(AA453="Indefinido",AFC_EMP_INDEF,AFC_EMP_PF),0))</f>
        <v/>
      </c>
      <c r="AD453" s="71" t="str">
        <f aca="false">IF(AH453="","",ROUND(MIN(K453,TOPE_AFP_UF*AJ453)*(MUTUAL_BASICA+MUTUAL_ADIC+SANNA),0))</f>
        <v/>
      </c>
      <c r="AE453" s="71" t="str">
        <f aca="false">IF(AH453="","",P453-N(N453)+AB453+AC453+AD453)</f>
        <v/>
      </c>
      <c r="AF453" s="65"/>
      <c r="AG453" s="64"/>
      <c r="AH453" s="72" t="str">
        <f aca="false">IF(OR(B453="",C453=""),"",C453&amp;"|"&amp;(YEAR(B453)*100+MONTH(B453)))</f>
        <v/>
      </c>
      <c r="AI453" s="70" t="str">
        <f aca="false">IF(AH453="","",IF(COUNTIF(L_CLAVE,AH453)&gt;1,"⚠ Duplicado","OK"))</f>
        <v/>
      </c>
      <c r="AJ453" s="86" t="str">
        <f aca="false">IF(AH453="","",IF(SUMPRODUCT(MAX((IND_PER&lt;=B453)*(IND_UF&lt;&gt;"")*IND_PER))=0,UF_HOY,INDEX(IND_UF,MATCH(SUMPRODUCT(MAX((IND_PER&lt;=B453)*(IND_UF&lt;&gt;"")*IND_PER)),IND_PER,0))))</f>
        <v/>
      </c>
      <c r="AK453" s="87" t="str">
        <f aca="false">IF(AH453="","",IF(COUNTIF(TASA_DESDE,"&lt;="&amp;B453)=0,INDEX(TASA_EMP,1),INDEX(TASA_EMP,COUNTIF(TASA_DESDE,"&lt;="&amp;B453))))</f>
        <v/>
      </c>
    </row>
    <row r="454" customFormat="false" ht="15" hidden="false" customHeight="false" outlineLevel="0" collapsed="false">
      <c r="B454" s="78"/>
      <c r="C454" s="64"/>
      <c r="D454" s="72" t="str">
        <f aca="false">IF(C454="","",IFERROR(INDEX(T_NOMBRE,MATCH(C454,T_ID,0)),"⚠ ID no existe"))</f>
        <v/>
      </c>
      <c r="E454" s="69"/>
      <c r="F454" s="67"/>
      <c r="G454" s="67"/>
      <c r="H454" s="67"/>
      <c r="I454" s="67"/>
      <c r="J454" s="67"/>
      <c r="K454" s="85" t="str">
        <f aca="false">IF(AH454="","",N(F454)+N(G454)+N(H454)-N(I454)+N(J454))</f>
        <v/>
      </c>
      <c r="L454" s="67"/>
      <c r="M454" s="67"/>
      <c r="N454" s="67"/>
      <c r="O454" s="67"/>
      <c r="P454" s="85" t="str">
        <f aca="false">IF(AH454="","",K454+N(L454)+N(M454)+N(N454)+N(O454))</f>
        <v/>
      </c>
      <c r="Q454" s="67"/>
      <c r="R454" s="67"/>
      <c r="S454" s="67"/>
      <c r="T454" s="67"/>
      <c r="U454" s="67"/>
      <c r="V454" s="67"/>
      <c r="W454" s="85" t="str">
        <f aca="false">IF(AH454="","",N(Q454)+N(R454)+N(S454)+N(T454)+N(U454)+N(V454))</f>
        <v/>
      </c>
      <c r="X454" s="85" t="str">
        <f aca="false">IF(AH454="","",P454-W454)</f>
        <v/>
      </c>
      <c r="Y454" s="67"/>
      <c r="Z454" s="70" t="str">
        <f aca="false">IF(OR(AH454="",Y454=""),"",IF(ABS(X454-Y454)&lt;=1,"✓ Cuadra","⚠ Diferencia $"&amp;FIXED(X454-Y454,0)))</f>
        <v/>
      </c>
      <c r="AA454" s="72" t="str">
        <f aca="false">IF(AH454="","",IFERROR(INDEX(C_TIPO,MATCH(C454&amp;"-P"&amp;MAX(1,COUNTIFS(C_ID,C454,C_DEFINE,"Sí",C_INICIO,"&lt;="&amp;EOMONTH(B454,0))),C_CLAVE,0))&amp;"","Sin dato"))</f>
        <v/>
      </c>
      <c r="AB454" s="71" t="str">
        <f aca="false">IF(AH454="","",ROUND(MIN(K454,TOPE_AFP_UF*AJ454)*AK454,0))</f>
        <v/>
      </c>
      <c r="AC454" s="71" t="str">
        <f aca="false">IF(AH454="","",ROUND(MIN(K454,TOPE_AFC_UF*AJ454)*IF(AA454="Indefinido",AFC_EMP_INDEF,AFC_EMP_PF),0))</f>
        <v/>
      </c>
      <c r="AD454" s="71" t="str">
        <f aca="false">IF(AH454="","",ROUND(MIN(K454,TOPE_AFP_UF*AJ454)*(MUTUAL_BASICA+MUTUAL_ADIC+SANNA),0))</f>
        <v/>
      </c>
      <c r="AE454" s="71" t="str">
        <f aca="false">IF(AH454="","",P454-N(N454)+AB454+AC454+AD454)</f>
        <v/>
      </c>
      <c r="AF454" s="65"/>
      <c r="AG454" s="64"/>
      <c r="AH454" s="72" t="str">
        <f aca="false">IF(OR(B454="",C454=""),"",C454&amp;"|"&amp;(YEAR(B454)*100+MONTH(B454)))</f>
        <v/>
      </c>
      <c r="AI454" s="70" t="str">
        <f aca="false">IF(AH454="","",IF(COUNTIF(L_CLAVE,AH454)&gt;1,"⚠ Duplicado","OK"))</f>
        <v/>
      </c>
      <c r="AJ454" s="86" t="str">
        <f aca="false">IF(AH454="","",IF(SUMPRODUCT(MAX((IND_PER&lt;=B454)*(IND_UF&lt;&gt;"")*IND_PER))=0,UF_HOY,INDEX(IND_UF,MATCH(SUMPRODUCT(MAX((IND_PER&lt;=B454)*(IND_UF&lt;&gt;"")*IND_PER)),IND_PER,0))))</f>
        <v/>
      </c>
      <c r="AK454" s="87" t="str">
        <f aca="false">IF(AH454="","",IF(COUNTIF(TASA_DESDE,"&lt;="&amp;B454)=0,INDEX(TASA_EMP,1),INDEX(TASA_EMP,COUNTIF(TASA_DESDE,"&lt;="&amp;B454))))</f>
        <v/>
      </c>
    </row>
    <row r="455" customFormat="false" ht="15" hidden="false" customHeight="false" outlineLevel="0" collapsed="false">
      <c r="B455" s="78"/>
      <c r="C455" s="64"/>
      <c r="D455" s="72" t="str">
        <f aca="false">IF(C455="","",IFERROR(INDEX(T_NOMBRE,MATCH(C455,T_ID,0)),"⚠ ID no existe"))</f>
        <v/>
      </c>
      <c r="E455" s="69"/>
      <c r="F455" s="67"/>
      <c r="G455" s="67"/>
      <c r="H455" s="67"/>
      <c r="I455" s="67"/>
      <c r="J455" s="67"/>
      <c r="K455" s="85" t="str">
        <f aca="false">IF(AH455="","",N(F455)+N(G455)+N(H455)-N(I455)+N(J455))</f>
        <v/>
      </c>
      <c r="L455" s="67"/>
      <c r="M455" s="67"/>
      <c r="N455" s="67"/>
      <c r="O455" s="67"/>
      <c r="P455" s="85" t="str">
        <f aca="false">IF(AH455="","",K455+N(L455)+N(M455)+N(N455)+N(O455))</f>
        <v/>
      </c>
      <c r="Q455" s="67"/>
      <c r="R455" s="67"/>
      <c r="S455" s="67"/>
      <c r="T455" s="67"/>
      <c r="U455" s="67"/>
      <c r="V455" s="67"/>
      <c r="W455" s="85" t="str">
        <f aca="false">IF(AH455="","",N(Q455)+N(R455)+N(S455)+N(T455)+N(U455)+N(V455))</f>
        <v/>
      </c>
      <c r="X455" s="85" t="str">
        <f aca="false">IF(AH455="","",P455-W455)</f>
        <v/>
      </c>
      <c r="Y455" s="67"/>
      <c r="Z455" s="70" t="str">
        <f aca="false">IF(OR(AH455="",Y455=""),"",IF(ABS(X455-Y455)&lt;=1,"✓ Cuadra","⚠ Diferencia $"&amp;FIXED(X455-Y455,0)))</f>
        <v/>
      </c>
      <c r="AA455" s="72" t="str">
        <f aca="false">IF(AH455="","",IFERROR(INDEX(C_TIPO,MATCH(C455&amp;"-P"&amp;MAX(1,COUNTIFS(C_ID,C455,C_DEFINE,"Sí",C_INICIO,"&lt;="&amp;EOMONTH(B455,0))),C_CLAVE,0))&amp;"","Sin dato"))</f>
        <v/>
      </c>
      <c r="AB455" s="71" t="str">
        <f aca="false">IF(AH455="","",ROUND(MIN(K455,TOPE_AFP_UF*AJ455)*AK455,0))</f>
        <v/>
      </c>
      <c r="AC455" s="71" t="str">
        <f aca="false">IF(AH455="","",ROUND(MIN(K455,TOPE_AFC_UF*AJ455)*IF(AA455="Indefinido",AFC_EMP_INDEF,AFC_EMP_PF),0))</f>
        <v/>
      </c>
      <c r="AD455" s="71" t="str">
        <f aca="false">IF(AH455="","",ROUND(MIN(K455,TOPE_AFP_UF*AJ455)*(MUTUAL_BASICA+MUTUAL_ADIC+SANNA),0))</f>
        <v/>
      </c>
      <c r="AE455" s="71" t="str">
        <f aca="false">IF(AH455="","",P455-N(N455)+AB455+AC455+AD455)</f>
        <v/>
      </c>
      <c r="AF455" s="65"/>
      <c r="AG455" s="64"/>
      <c r="AH455" s="72" t="str">
        <f aca="false">IF(OR(B455="",C455=""),"",C455&amp;"|"&amp;(YEAR(B455)*100+MONTH(B455)))</f>
        <v/>
      </c>
      <c r="AI455" s="70" t="str">
        <f aca="false">IF(AH455="","",IF(COUNTIF(L_CLAVE,AH455)&gt;1,"⚠ Duplicado","OK"))</f>
        <v/>
      </c>
      <c r="AJ455" s="86" t="str">
        <f aca="false">IF(AH455="","",IF(SUMPRODUCT(MAX((IND_PER&lt;=B455)*(IND_UF&lt;&gt;"")*IND_PER))=0,UF_HOY,INDEX(IND_UF,MATCH(SUMPRODUCT(MAX((IND_PER&lt;=B455)*(IND_UF&lt;&gt;"")*IND_PER)),IND_PER,0))))</f>
        <v/>
      </c>
      <c r="AK455" s="87" t="str">
        <f aca="false">IF(AH455="","",IF(COUNTIF(TASA_DESDE,"&lt;="&amp;B455)=0,INDEX(TASA_EMP,1),INDEX(TASA_EMP,COUNTIF(TASA_DESDE,"&lt;="&amp;B455))))</f>
        <v/>
      </c>
    </row>
    <row r="456" customFormat="false" ht="15" hidden="false" customHeight="false" outlineLevel="0" collapsed="false">
      <c r="B456" s="78"/>
      <c r="C456" s="64"/>
      <c r="D456" s="72" t="str">
        <f aca="false">IF(C456="","",IFERROR(INDEX(T_NOMBRE,MATCH(C456,T_ID,0)),"⚠ ID no existe"))</f>
        <v/>
      </c>
      <c r="E456" s="69"/>
      <c r="F456" s="67"/>
      <c r="G456" s="67"/>
      <c r="H456" s="67"/>
      <c r="I456" s="67"/>
      <c r="J456" s="67"/>
      <c r="K456" s="85" t="str">
        <f aca="false">IF(AH456="","",N(F456)+N(G456)+N(H456)-N(I456)+N(J456))</f>
        <v/>
      </c>
      <c r="L456" s="67"/>
      <c r="M456" s="67"/>
      <c r="N456" s="67"/>
      <c r="O456" s="67"/>
      <c r="P456" s="85" t="str">
        <f aca="false">IF(AH456="","",K456+N(L456)+N(M456)+N(N456)+N(O456))</f>
        <v/>
      </c>
      <c r="Q456" s="67"/>
      <c r="R456" s="67"/>
      <c r="S456" s="67"/>
      <c r="T456" s="67"/>
      <c r="U456" s="67"/>
      <c r="V456" s="67"/>
      <c r="W456" s="85" t="str">
        <f aca="false">IF(AH456="","",N(Q456)+N(R456)+N(S456)+N(T456)+N(U456)+N(V456))</f>
        <v/>
      </c>
      <c r="X456" s="85" t="str">
        <f aca="false">IF(AH456="","",P456-W456)</f>
        <v/>
      </c>
      <c r="Y456" s="67"/>
      <c r="Z456" s="70" t="str">
        <f aca="false">IF(OR(AH456="",Y456=""),"",IF(ABS(X456-Y456)&lt;=1,"✓ Cuadra","⚠ Diferencia $"&amp;FIXED(X456-Y456,0)))</f>
        <v/>
      </c>
      <c r="AA456" s="72" t="str">
        <f aca="false">IF(AH456="","",IFERROR(INDEX(C_TIPO,MATCH(C456&amp;"-P"&amp;MAX(1,COUNTIFS(C_ID,C456,C_DEFINE,"Sí",C_INICIO,"&lt;="&amp;EOMONTH(B456,0))),C_CLAVE,0))&amp;"","Sin dato"))</f>
        <v/>
      </c>
      <c r="AB456" s="71" t="str">
        <f aca="false">IF(AH456="","",ROUND(MIN(K456,TOPE_AFP_UF*AJ456)*AK456,0))</f>
        <v/>
      </c>
      <c r="AC456" s="71" t="str">
        <f aca="false">IF(AH456="","",ROUND(MIN(K456,TOPE_AFC_UF*AJ456)*IF(AA456="Indefinido",AFC_EMP_INDEF,AFC_EMP_PF),0))</f>
        <v/>
      </c>
      <c r="AD456" s="71" t="str">
        <f aca="false">IF(AH456="","",ROUND(MIN(K456,TOPE_AFP_UF*AJ456)*(MUTUAL_BASICA+MUTUAL_ADIC+SANNA),0))</f>
        <v/>
      </c>
      <c r="AE456" s="71" t="str">
        <f aca="false">IF(AH456="","",P456-N(N456)+AB456+AC456+AD456)</f>
        <v/>
      </c>
      <c r="AF456" s="65"/>
      <c r="AG456" s="64"/>
      <c r="AH456" s="72" t="str">
        <f aca="false">IF(OR(B456="",C456=""),"",C456&amp;"|"&amp;(YEAR(B456)*100+MONTH(B456)))</f>
        <v/>
      </c>
      <c r="AI456" s="70" t="str">
        <f aca="false">IF(AH456="","",IF(COUNTIF(L_CLAVE,AH456)&gt;1,"⚠ Duplicado","OK"))</f>
        <v/>
      </c>
      <c r="AJ456" s="86" t="str">
        <f aca="false">IF(AH456="","",IF(SUMPRODUCT(MAX((IND_PER&lt;=B456)*(IND_UF&lt;&gt;"")*IND_PER))=0,UF_HOY,INDEX(IND_UF,MATCH(SUMPRODUCT(MAX((IND_PER&lt;=B456)*(IND_UF&lt;&gt;"")*IND_PER)),IND_PER,0))))</f>
        <v/>
      </c>
      <c r="AK456" s="87" t="str">
        <f aca="false">IF(AH456="","",IF(COUNTIF(TASA_DESDE,"&lt;="&amp;B456)=0,INDEX(TASA_EMP,1),INDEX(TASA_EMP,COUNTIF(TASA_DESDE,"&lt;="&amp;B456))))</f>
        <v/>
      </c>
    </row>
    <row r="457" customFormat="false" ht="15" hidden="false" customHeight="false" outlineLevel="0" collapsed="false">
      <c r="B457" s="78"/>
      <c r="C457" s="64"/>
      <c r="D457" s="72" t="str">
        <f aca="false">IF(C457="","",IFERROR(INDEX(T_NOMBRE,MATCH(C457,T_ID,0)),"⚠ ID no existe"))</f>
        <v/>
      </c>
      <c r="E457" s="69"/>
      <c r="F457" s="67"/>
      <c r="G457" s="67"/>
      <c r="H457" s="67"/>
      <c r="I457" s="67"/>
      <c r="J457" s="67"/>
      <c r="K457" s="85" t="str">
        <f aca="false">IF(AH457="","",N(F457)+N(G457)+N(H457)-N(I457)+N(J457))</f>
        <v/>
      </c>
      <c r="L457" s="67"/>
      <c r="M457" s="67"/>
      <c r="N457" s="67"/>
      <c r="O457" s="67"/>
      <c r="P457" s="85" t="str">
        <f aca="false">IF(AH457="","",K457+N(L457)+N(M457)+N(N457)+N(O457))</f>
        <v/>
      </c>
      <c r="Q457" s="67"/>
      <c r="R457" s="67"/>
      <c r="S457" s="67"/>
      <c r="T457" s="67"/>
      <c r="U457" s="67"/>
      <c r="V457" s="67"/>
      <c r="W457" s="85" t="str">
        <f aca="false">IF(AH457="","",N(Q457)+N(R457)+N(S457)+N(T457)+N(U457)+N(V457))</f>
        <v/>
      </c>
      <c r="X457" s="85" t="str">
        <f aca="false">IF(AH457="","",P457-W457)</f>
        <v/>
      </c>
      <c r="Y457" s="67"/>
      <c r="Z457" s="70" t="str">
        <f aca="false">IF(OR(AH457="",Y457=""),"",IF(ABS(X457-Y457)&lt;=1,"✓ Cuadra","⚠ Diferencia $"&amp;FIXED(X457-Y457,0)))</f>
        <v/>
      </c>
      <c r="AA457" s="72" t="str">
        <f aca="false">IF(AH457="","",IFERROR(INDEX(C_TIPO,MATCH(C457&amp;"-P"&amp;MAX(1,COUNTIFS(C_ID,C457,C_DEFINE,"Sí",C_INICIO,"&lt;="&amp;EOMONTH(B457,0))),C_CLAVE,0))&amp;"","Sin dato"))</f>
        <v/>
      </c>
      <c r="AB457" s="71" t="str">
        <f aca="false">IF(AH457="","",ROUND(MIN(K457,TOPE_AFP_UF*AJ457)*AK457,0))</f>
        <v/>
      </c>
      <c r="AC457" s="71" t="str">
        <f aca="false">IF(AH457="","",ROUND(MIN(K457,TOPE_AFC_UF*AJ457)*IF(AA457="Indefinido",AFC_EMP_INDEF,AFC_EMP_PF),0))</f>
        <v/>
      </c>
      <c r="AD457" s="71" t="str">
        <f aca="false">IF(AH457="","",ROUND(MIN(K457,TOPE_AFP_UF*AJ457)*(MUTUAL_BASICA+MUTUAL_ADIC+SANNA),0))</f>
        <v/>
      </c>
      <c r="AE457" s="71" t="str">
        <f aca="false">IF(AH457="","",P457-N(N457)+AB457+AC457+AD457)</f>
        <v/>
      </c>
      <c r="AF457" s="65"/>
      <c r="AG457" s="64"/>
      <c r="AH457" s="72" t="str">
        <f aca="false">IF(OR(B457="",C457=""),"",C457&amp;"|"&amp;(YEAR(B457)*100+MONTH(B457)))</f>
        <v/>
      </c>
      <c r="AI457" s="70" t="str">
        <f aca="false">IF(AH457="","",IF(COUNTIF(L_CLAVE,AH457)&gt;1,"⚠ Duplicado","OK"))</f>
        <v/>
      </c>
      <c r="AJ457" s="86" t="str">
        <f aca="false">IF(AH457="","",IF(SUMPRODUCT(MAX((IND_PER&lt;=B457)*(IND_UF&lt;&gt;"")*IND_PER))=0,UF_HOY,INDEX(IND_UF,MATCH(SUMPRODUCT(MAX((IND_PER&lt;=B457)*(IND_UF&lt;&gt;"")*IND_PER)),IND_PER,0))))</f>
        <v/>
      </c>
      <c r="AK457" s="87" t="str">
        <f aca="false">IF(AH457="","",IF(COUNTIF(TASA_DESDE,"&lt;="&amp;B457)=0,INDEX(TASA_EMP,1),INDEX(TASA_EMP,COUNTIF(TASA_DESDE,"&lt;="&amp;B457))))</f>
        <v/>
      </c>
    </row>
    <row r="458" customFormat="false" ht="15" hidden="false" customHeight="false" outlineLevel="0" collapsed="false">
      <c r="B458" s="78"/>
      <c r="C458" s="64"/>
      <c r="D458" s="72" t="str">
        <f aca="false">IF(C458="","",IFERROR(INDEX(T_NOMBRE,MATCH(C458,T_ID,0)),"⚠ ID no existe"))</f>
        <v/>
      </c>
      <c r="E458" s="69"/>
      <c r="F458" s="67"/>
      <c r="G458" s="67"/>
      <c r="H458" s="67"/>
      <c r="I458" s="67"/>
      <c r="J458" s="67"/>
      <c r="K458" s="85" t="str">
        <f aca="false">IF(AH458="","",N(F458)+N(G458)+N(H458)-N(I458)+N(J458))</f>
        <v/>
      </c>
      <c r="L458" s="67"/>
      <c r="M458" s="67"/>
      <c r="N458" s="67"/>
      <c r="O458" s="67"/>
      <c r="P458" s="85" t="str">
        <f aca="false">IF(AH458="","",K458+N(L458)+N(M458)+N(N458)+N(O458))</f>
        <v/>
      </c>
      <c r="Q458" s="67"/>
      <c r="R458" s="67"/>
      <c r="S458" s="67"/>
      <c r="T458" s="67"/>
      <c r="U458" s="67"/>
      <c r="V458" s="67"/>
      <c r="W458" s="85" t="str">
        <f aca="false">IF(AH458="","",N(Q458)+N(R458)+N(S458)+N(T458)+N(U458)+N(V458))</f>
        <v/>
      </c>
      <c r="X458" s="85" t="str">
        <f aca="false">IF(AH458="","",P458-W458)</f>
        <v/>
      </c>
      <c r="Y458" s="67"/>
      <c r="Z458" s="70" t="str">
        <f aca="false">IF(OR(AH458="",Y458=""),"",IF(ABS(X458-Y458)&lt;=1,"✓ Cuadra","⚠ Diferencia $"&amp;FIXED(X458-Y458,0)))</f>
        <v/>
      </c>
      <c r="AA458" s="72" t="str">
        <f aca="false">IF(AH458="","",IFERROR(INDEX(C_TIPO,MATCH(C458&amp;"-P"&amp;MAX(1,COUNTIFS(C_ID,C458,C_DEFINE,"Sí",C_INICIO,"&lt;="&amp;EOMONTH(B458,0))),C_CLAVE,0))&amp;"","Sin dato"))</f>
        <v/>
      </c>
      <c r="AB458" s="71" t="str">
        <f aca="false">IF(AH458="","",ROUND(MIN(K458,TOPE_AFP_UF*AJ458)*AK458,0))</f>
        <v/>
      </c>
      <c r="AC458" s="71" t="str">
        <f aca="false">IF(AH458="","",ROUND(MIN(K458,TOPE_AFC_UF*AJ458)*IF(AA458="Indefinido",AFC_EMP_INDEF,AFC_EMP_PF),0))</f>
        <v/>
      </c>
      <c r="AD458" s="71" t="str">
        <f aca="false">IF(AH458="","",ROUND(MIN(K458,TOPE_AFP_UF*AJ458)*(MUTUAL_BASICA+MUTUAL_ADIC+SANNA),0))</f>
        <v/>
      </c>
      <c r="AE458" s="71" t="str">
        <f aca="false">IF(AH458="","",P458-N(N458)+AB458+AC458+AD458)</f>
        <v/>
      </c>
      <c r="AF458" s="65"/>
      <c r="AG458" s="64"/>
      <c r="AH458" s="72" t="str">
        <f aca="false">IF(OR(B458="",C458=""),"",C458&amp;"|"&amp;(YEAR(B458)*100+MONTH(B458)))</f>
        <v/>
      </c>
      <c r="AI458" s="70" t="str">
        <f aca="false">IF(AH458="","",IF(COUNTIF(L_CLAVE,AH458)&gt;1,"⚠ Duplicado","OK"))</f>
        <v/>
      </c>
      <c r="AJ458" s="86" t="str">
        <f aca="false">IF(AH458="","",IF(SUMPRODUCT(MAX((IND_PER&lt;=B458)*(IND_UF&lt;&gt;"")*IND_PER))=0,UF_HOY,INDEX(IND_UF,MATCH(SUMPRODUCT(MAX((IND_PER&lt;=B458)*(IND_UF&lt;&gt;"")*IND_PER)),IND_PER,0))))</f>
        <v/>
      </c>
      <c r="AK458" s="87" t="str">
        <f aca="false">IF(AH458="","",IF(COUNTIF(TASA_DESDE,"&lt;="&amp;B458)=0,INDEX(TASA_EMP,1),INDEX(TASA_EMP,COUNTIF(TASA_DESDE,"&lt;="&amp;B458))))</f>
        <v/>
      </c>
    </row>
    <row r="459" customFormat="false" ht="15" hidden="false" customHeight="false" outlineLevel="0" collapsed="false">
      <c r="B459" s="78"/>
      <c r="C459" s="64"/>
      <c r="D459" s="72" t="str">
        <f aca="false">IF(C459="","",IFERROR(INDEX(T_NOMBRE,MATCH(C459,T_ID,0)),"⚠ ID no existe"))</f>
        <v/>
      </c>
      <c r="E459" s="69"/>
      <c r="F459" s="67"/>
      <c r="G459" s="67"/>
      <c r="H459" s="67"/>
      <c r="I459" s="67"/>
      <c r="J459" s="67"/>
      <c r="K459" s="85" t="str">
        <f aca="false">IF(AH459="","",N(F459)+N(G459)+N(H459)-N(I459)+N(J459))</f>
        <v/>
      </c>
      <c r="L459" s="67"/>
      <c r="M459" s="67"/>
      <c r="N459" s="67"/>
      <c r="O459" s="67"/>
      <c r="P459" s="85" t="str">
        <f aca="false">IF(AH459="","",K459+N(L459)+N(M459)+N(N459)+N(O459))</f>
        <v/>
      </c>
      <c r="Q459" s="67"/>
      <c r="R459" s="67"/>
      <c r="S459" s="67"/>
      <c r="T459" s="67"/>
      <c r="U459" s="67"/>
      <c r="V459" s="67"/>
      <c r="W459" s="85" t="str">
        <f aca="false">IF(AH459="","",N(Q459)+N(R459)+N(S459)+N(T459)+N(U459)+N(V459))</f>
        <v/>
      </c>
      <c r="X459" s="85" t="str">
        <f aca="false">IF(AH459="","",P459-W459)</f>
        <v/>
      </c>
      <c r="Y459" s="67"/>
      <c r="Z459" s="70" t="str">
        <f aca="false">IF(OR(AH459="",Y459=""),"",IF(ABS(X459-Y459)&lt;=1,"✓ Cuadra","⚠ Diferencia $"&amp;FIXED(X459-Y459,0)))</f>
        <v/>
      </c>
      <c r="AA459" s="72" t="str">
        <f aca="false">IF(AH459="","",IFERROR(INDEX(C_TIPO,MATCH(C459&amp;"-P"&amp;MAX(1,COUNTIFS(C_ID,C459,C_DEFINE,"Sí",C_INICIO,"&lt;="&amp;EOMONTH(B459,0))),C_CLAVE,0))&amp;"","Sin dato"))</f>
        <v/>
      </c>
      <c r="AB459" s="71" t="str">
        <f aca="false">IF(AH459="","",ROUND(MIN(K459,TOPE_AFP_UF*AJ459)*AK459,0))</f>
        <v/>
      </c>
      <c r="AC459" s="71" t="str">
        <f aca="false">IF(AH459="","",ROUND(MIN(K459,TOPE_AFC_UF*AJ459)*IF(AA459="Indefinido",AFC_EMP_INDEF,AFC_EMP_PF),0))</f>
        <v/>
      </c>
      <c r="AD459" s="71" t="str">
        <f aca="false">IF(AH459="","",ROUND(MIN(K459,TOPE_AFP_UF*AJ459)*(MUTUAL_BASICA+MUTUAL_ADIC+SANNA),0))</f>
        <v/>
      </c>
      <c r="AE459" s="71" t="str">
        <f aca="false">IF(AH459="","",P459-N(N459)+AB459+AC459+AD459)</f>
        <v/>
      </c>
      <c r="AF459" s="65"/>
      <c r="AG459" s="64"/>
      <c r="AH459" s="72" t="str">
        <f aca="false">IF(OR(B459="",C459=""),"",C459&amp;"|"&amp;(YEAR(B459)*100+MONTH(B459)))</f>
        <v/>
      </c>
      <c r="AI459" s="70" t="str">
        <f aca="false">IF(AH459="","",IF(COUNTIF(L_CLAVE,AH459)&gt;1,"⚠ Duplicado","OK"))</f>
        <v/>
      </c>
      <c r="AJ459" s="86" t="str">
        <f aca="false">IF(AH459="","",IF(SUMPRODUCT(MAX((IND_PER&lt;=B459)*(IND_UF&lt;&gt;"")*IND_PER))=0,UF_HOY,INDEX(IND_UF,MATCH(SUMPRODUCT(MAX((IND_PER&lt;=B459)*(IND_UF&lt;&gt;"")*IND_PER)),IND_PER,0))))</f>
        <v/>
      </c>
      <c r="AK459" s="87" t="str">
        <f aca="false">IF(AH459="","",IF(COUNTIF(TASA_DESDE,"&lt;="&amp;B459)=0,INDEX(TASA_EMP,1),INDEX(TASA_EMP,COUNTIF(TASA_DESDE,"&lt;="&amp;B459))))</f>
        <v/>
      </c>
    </row>
    <row r="460" customFormat="false" ht="15" hidden="false" customHeight="false" outlineLevel="0" collapsed="false">
      <c r="B460" s="78"/>
      <c r="C460" s="64"/>
      <c r="D460" s="72" t="str">
        <f aca="false">IF(C460="","",IFERROR(INDEX(T_NOMBRE,MATCH(C460,T_ID,0)),"⚠ ID no existe"))</f>
        <v/>
      </c>
      <c r="E460" s="69"/>
      <c r="F460" s="67"/>
      <c r="G460" s="67"/>
      <c r="H460" s="67"/>
      <c r="I460" s="67"/>
      <c r="J460" s="67"/>
      <c r="K460" s="85" t="str">
        <f aca="false">IF(AH460="","",N(F460)+N(G460)+N(H460)-N(I460)+N(J460))</f>
        <v/>
      </c>
      <c r="L460" s="67"/>
      <c r="M460" s="67"/>
      <c r="N460" s="67"/>
      <c r="O460" s="67"/>
      <c r="P460" s="85" t="str">
        <f aca="false">IF(AH460="","",K460+N(L460)+N(M460)+N(N460)+N(O460))</f>
        <v/>
      </c>
      <c r="Q460" s="67"/>
      <c r="R460" s="67"/>
      <c r="S460" s="67"/>
      <c r="T460" s="67"/>
      <c r="U460" s="67"/>
      <c r="V460" s="67"/>
      <c r="W460" s="85" t="str">
        <f aca="false">IF(AH460="","",N(Q460)+N(R460)+N(S460)+N(T460)+N(U460)+N(V460))</f>
        <v/>
      </c>
      <c r="X460" s="85" t="str">
        <f aca="false">IF(AH460="","",P460-W460)</f>
        <v/>
      </c>
      <c r="Y460" s="67"/>
      <c r="Z460" s="70" t="str">
        <f aca="false">IF(OR(AH460="",Y460=""),"",IF(ABS(X460-Y460)&lt;=1,"✓ Cuadra","⚠ Diferencia $"&amp;FIXED(X460-Y460,0)))</f>
        <v/>
      </c>
      <c r="AA460" s="72" t="str">
        <f aca="false">IF(AH460="","",IFERROR(INDEX(C_TIPO,MATCH(C460&amp;"-P"&amp;MAX(1,COUNTIFS(C_ID,C460,C_DEFINE,"Sí",C_INICIO,"&lt;="&amp;EOMONTH(B460,0))),C_CLAVE,0))&amp;"","Sin dato"))</f>
        <v/>
      </c>
      <c r="AB460" s="71" t="str">
        <f aca="false">IF(AH460="","",ROUND(MIN(K460,TOPE_AFP_UF*AJ460)*AK460,0))</f>
        <v/>
      </c>
      <c r="AC460" s="71" t="str">
        <f aca="false">IF(AH460="","",ROUND(MIN(K460,TOPE_AFC_UF*AJ460)*IF(AA460="Indefinido",AFC_EMP_INDEF,AFC_EMP_PF),0))</f>
        <v/>
      </c>
      <c r="AD460" s="71" t="str">
        <f aca="false">IF(AH460="","",ROUND(MIN(K460,TOPE_AFP_UF*AJ460)*(MUTUAL_BASICA+MUTUAL_ADIC+SANNA),0))</f>
        <v/>
      </c>
      <c r="AE460" s="71" t="str">
        <f aca="false">IF(AH460="","",P460-N(N460)+AB460+AC460+AD460)</f>
        <v/>
      </c>
      <c r="AF460" s="65"/>
      <c r="AG460" s="64"/>
      <c r="AH460" s="72" t="str">
        <f aca="false">IF(OR(B460="",C460=""),"",C460&amp;"|"&amp;(YEAR(B460)*100+MONTH(B460)))</f>
        <v/>
      </c>
      <c r="AI460" s="70" t="str">
        <f aca="false">IF(AH460="","",IF(COUNTIF(L_CLAVE,AH460)&gt;1,"⚠ Duplicado","OK"))</f>
        <v/>
      </c>
      <c r="AJ460" s="86" t="str">
        <f aca="false">IF(AH460="","",IF(SUMPRODUCT(MAX((IND_PER&lt;=B460)*(IND_UF&lt;&gt;"")*IND_PER))=0,UF_HOY,INDEX(IND_UF,MATCH(SUMPRODUCT(MAX((IND_PER&lt;=B460)*(IND_UF&lt;&gt;"")*IND_PER)),IND_PER,0))))</f>
        <v/>
      </c>
      <c r="AK460" s="87" t="str">
        <f aca="false">IF(AH460="","",IF(COUNTIF(TASA_DESDE,"&lt;="&amp;B460)=0,INDEX(TASA_EMP,1),INDEX(TASA_EMP,COUNTIF(TASA_DESDE,"&lt;="&amp;B460))))</f>
        <v/>
      </c>
    </row>
    <row r="461" customFormat="false" ht="15" hidden="false" customHeight="false" outlineLevel="0" collapsed="false">
      <c r="B461" s="78"/>
      <c r="C461" s="64"/>
      <c r="D461" s="72" t="str">
        <f aca="false">IF(C461="","",IFERROR(INDEX(T_NOMBRE,MATCH(C461,T_ID,0)),"⚠ ID no existe"))</f>
        <v/>
      </c>
      <c r="E461" s="69"/>
      <c r="F461" s="67"/>
      <c r="G461" s="67"/>
      <c r="H461" s="67"/>
      <c r="I461" s="67"/>
      <c r="J461" s="67"/>
      <c r="K461" s="85" t="str">
        <f aca="false">IF(AH461="","",N(F461)+N(G461)+N(H461)-N(I461)+N(J461))</f>
        <v/>
      </c>
      <c r="L461" s="67"/>
      <c r="M461" s="67"/>
      <c r="N461" s="67"/>
      <c r="O461" s="67"/>
      <c r="P461" s="85" t="str">
        <f aca="false">IF(AH461="","",K461+N(L461)+N(M461)+N(N461)+N(O461))</f>
        <v/>
      </c>
      <c r="Q461" s="67"/>
      <c r="R461" s="67"/>
      <c r="S461" s="67"/>
      <c r="T461" s="67"/>
      <c r="U461" s="67"/>
      <c r="V461" s="67"/>
      <c r="W461" s="85" t="str">
        <f aca="false">IF(AH461="","",N(Q461)+N(R461)+N(S461)+N(T461)+N(U461)+N(V461))</f>
        <v/>
      </c>
      <c r="X461" s="85" t="str">
        <f aca="false">IF(AH461="","",P461-W461)</f>
        <v/>
      </c>
      <c r="Y461" s="67"/>
      <c r="Z461" s="70" t="str">
        <f aca="false">IF(OR(AH461="",Y461=""),"",IF(ABS(X461-Y461)&lt;=1,"✓ Cuadra","⚠ Diferencia $"&amp;FIXED(X461-Y461,0)))</f>
        <v/>
      </c>
      <c r="AA461" s="72" t="str">
        <f aca="false">IF(AH461="","",IFERROR(INDEX(C_TIPO,MATCH(C461&amp;"-P"&amp;MAX(1,COUNTIFS(C_ID,C461,C_DEFINE,"Sí",C_INICIO,"&lt;="&amp;EOMONTH(B461,0))),C_CLAVE,0))&amp;"","Sin dato"))</f>
        <v/>
      </c>
      <c r="AB461" s="71" t="str">
        <f aca="false">IF(AH461="","",ROUND(MIN(K461,TOPE_AFP_UF*AJ461)*AK461,0))</f>
        <v/>
      </c>
      <c r="AC461" s="71" t="str">
        <f aca="false">IF(AH461="","",ROUND(MIN(K461,TOPE_AFC_UF*AJ461)*IF(AA461="Indefinido",AFC_EMP_INDEF,AFC_EMP_PF),0))</f>
        <v/>
      </c>
      <c r="AD461" s="71" t="str">
        <f aca="false">IF(AH461="","",ROUND(MIN(K461,TOPE_AFP_UF*AJ461)*(MUTUAL_BASICA+MUTUAL_ADIC+SANNA),0))</f>
        <v/>
      </c>
      <c r="AE461" s="71" t="str">
        <f aca="false">IF(AH461="","",P461-N(N461)+AB461+AC461+AD461)</f>
        <v/>
      </c>
      <c r="AF461" s="65"/>
      <c r="AG461" s="64"/>
      <c r="AH461" s="72" t="str">
        <f aca="false">IF(OR(B461="",C461=""),"",C461&amp;"|"&amp;(YEAR(B461)*100+MONTH(B461)))</f>
        <v/>
      </c>
      <c r="AI461" s="70" t="str">
        <f aca="false">IF(AH461="","",IF(COUNTIF(L_CLAVE,AH461)&gt;1,"⚠ Duplicado","OK"))</f>
        <v/>
      </c>
      <c r="AJ461" s="86" t="str">
        <f aca="false">IF(AH461="","",IF(SUMPRODUCT(MAX((IND_PER&lt;=B461)*(IND_UF&lt;&gt;"")*IND_PER))=0,UF_HOY,INDEX(IND_UF,MATCH(SUMPRODUCT(MAX((IND_PER&lt;=B461)*(IND_UF&lt;&gt;"")*IND_PER)),IND_PER,0))))</f>
        <v/>
      </c>
      <c r="AK461" s="87" t="str">
        <f aca="false">IF(AH461="","",IF(COUNTIF(TASA_DESDE,"&lt;="&amp;B461)=0,INDEX(TASA_EMP,1),INDEX(TASA_EMP,COUNTIF(TASA_DESDE,"&lt;="&amp;B461))))</f>
        <v/>
      </c>
    </row>
    <row r="462" customFormat="false" ht="15" hidden="false" customHeight="false" outlineLevel="0" collapsed="false">
      <c r="B462" s="78"/>
      <c r="C462" s="64"/>
      <c r="D462" s="72" t="str">
        <f aca="false">IF(C462="","",IFERROR(INDEX(T_NOMBRE,MATCH(C462,T_ID,0)),"⚠ ID no existe"))</f>
        <v/>
      </c>
      <c r="E462" s="69"/>
      <c r="F462" s="67"/>
      <c r="G462" s="67"/>
      <c r="H462" s="67"/>
      <c r="I462" s="67"/>
      <c r="J462" s="67"/>
      <c r="K462" s="85" t="str">
        <f aca="false">IF(AH462="","",N(F462)+N(G462)+N(H462)-N(I462)+N(J462))</f>
        <v/>
      </c>
      <c r="L462" s="67"/>
      <c r="M462" s="67"/>
      <c r="N462" s="67"/>
      <c r="O462" s="67"/>
      <c r="P462" s="85" t="str">
        <f aca="false">IF(AH462="","",K462+N(L462)+N(M462)+N(N462)+N(O462))</f>
        <v/>
      </c>
      <c r="Q462" s="67"/>
      <c r="R462" s="67"/>
      <c r="S462" s="67"/>
      <c r="T462" s="67"/>
      <c r="U462" s="67"/>
      <c r="V462" s="67"/>
      <c r="W462" s="85" t="str">
        <f aca="false">IF(AH462="","",N(Q462)+N(R462)+N(S462)+N(T462)+N(U462)+N(V462))</f>
        <v/>
      </c>
      <c r="X462" s="85" t="str">
        <f aca="false">IF(AH462="","",P462-W462)</f>
        <v/>
      </c>
      <c r="Y462" s="67"/>
      <c r="Z462" s="70" t="str">
        <f aca="false">IF(OR(AH462="",Y462=""),"",IF(ABS(X462-Y462)&lt;=1,"✓ Cuadra","⚠ Diferencia $"&amp;FIXED(X462-Y462,0)))</f>
        <v/>
      </c>
      <c r="AA462" s="72" t="str">
        <f aca="false">IF(AH462="","",IFERROR(INDEX(C_TIPO,MATCH(C462&amp;"-P"&amp;MAX(1,COUNTIFS(C_ID,C462,C_DEFINE,"Sí",C_INICIO,"&lt;="&amp;EOMONTH(B462,0))),C_CLAVE,0))&amp;"","Sin dato"))</f>
        <v/>
      </c>
      <c r="AB462" s="71" t="str">
        <f aca="false">IF(AH462="","",ROUND(MIN(K462,TOPE_AFP_UF*AJ462)*AK462,0))</f>
        <v/>
      </c>
      <c r="AC462" s="71" t="str">
        <f aca="false">IF(AH462="","",ROUND(MIN(K462,TOPE_AFC_UF*AJ462)*IF(AA462="Indefinido",AFC_EMP_INDEF,AFC_EMP_PF),0))</f>
        <v/>
      </c>
      <c r="AD462" s="71" t="str">
        <f aca="false">IF(AH462="","",ROUND(MIN(K462,TOPE_AFP_UF*AJ462)*(MUTUAL_BASICA+MUTUAL_ADIC+SANNA),0))</f>
        <v/>
      </c>
      <c r="AE462" s="71" t="str">
        <f aca="false">IF(AH462="","",P462-N(N462)+AB462+AC462+AD462)</f>
        <v/>
      </c>
      <c r="AF462" s="65"/>
      <c r="AG462" s="64"/>
      <c r="AH462" s="72" t="str">
        <f aca="false">IF(OR(B462="",C462=""),"",C462&amp;"|"&amp;(YEAR(B462)*100+MONTH(B462)))</f>
        <v/>
      </c>
      <c r="AI462" s="70" t="str">
        <f aca="false">IF(AH462="","",IF(COUNTIF(L_CLAVE,AH462)&gt;1,"⚠ Duplicado","OK"))</f>
        <v/>
      </c>
      <c r="AJ462" s="86" t="str">
        <f aca="false">IF(AH462="","",IF(SUMPRODUCT(MAX((IND_PER&lt;=B462)*(IND_UF&lt;&gt;"")*IND_PER))=0,UF_HOY,INDEX(IND_UF,MATCH(SUMPRODUCT(MAX((IND_PER&lt;=B462)*(IND_UF&lt;&gt;"")*IND_PER)),IND_PER,0))))</f>
        <v/>
      </c>
      <c r="AK462" s="87" t="str">
        <f aca="false">IF(AH462="","",IF(COUNTIF(TASA_DESDE,"&lt;="&amp;B462)=0,INDEX(TASA_EMP,1),INDEX(TASA_EMP,COUNTIF(TASA_DESDE,"&lt;="&amp;B462))))</f>
        <v/>
      </c>
    </row>
    <row r="463" customFormat="false" ht="15" hidden="false" customHeight="false" outlineLevel="0" collapsed="false">
      <c r="B463" s="78"/>
      <c r="C463" s="64"/>
      <c r="D463" s="72" t="str">
        <f aca="false">IF(C463="","",IFERROR(INDEX(T_NOMBRE,MATCH(C463,T_ID,0)),"⚠ ID no existe"))</f>
        <v/>
      </c>
      <c r="E463" s="69"/>
      <c r="F463" s="67"/>
      <c r="G463" s="67"/>
      <c r="H463" s="67"/>
      <c r="I463" s="67"/>
      <c r="J463" s="67"/>
      <c r="K463" s="85" t="str">
        <f aca="false">IF(AH463="","",N(F463)+N(G463)+N(H463)-N(I463)+N(J463))</f>
        <v/>
      </c>
      <c r="L463" s="67"/>
      <c r="M463" s="67"/>
      <c r="N463" s="67"/>
      <c r="O463" s="67"/>
      <c r="P463" s="85" t="str">
        <f aca="false">IF(AH463="","",K463+N(L463)+N(M463)+N(N463)+N(O463))</f>
        <v/>
      </c>
      <c r="Q463" s="67"/>
      <c r="R463" s="67"/>
      <c r="S463" s="67"/>
      <c r="T463" s="67"/>
      <c r="U463" s="67"/>
      <c r="V463" s="67"/>
      <c r="W463" s="85" t="str">
        <f aca="false">IF(AH463="","",N(Q463)+N(R463)+N(S463)+N(T463)+N(U463)+N(V463))</f>
        <v/>
      </c>
      <c r="X463" s="85" t="str">
        <f aca="false">IF(AH463="","",P463-W463)</f>
        <v/>
      </c>
      <c r="Y463" s="67"/>
      <c r="Z463" s="70" t="str">
        <f aca="false">IF(OR(AH463="",Y463=""),"",IF(ABS(X463-Y463)&lt;=1,"✓ Cuadra","⚠ Diferencia $"&amp;FIXED(X463-Y463,0)))</f>
        <v/>
      </c>
      <c r="AA463" s="72" t="str">
        <f aca="false">IF(AH463="","",IFERROR(INDEX(C_TIPO,MATCH(C463&amp;"-P"&amp;MAX(1,COUNTIFS(C_ID,C463,C_DEFINE,"Sí",C_INICIO,"&lt;="&amp;EOMONTH(B463,0))),C_CLAVE,0))&amp;"","Sin dato"))</f>
        <v/>
      </c>
      <c r="AB463" s="71" t="str">
        <f aca="false">IF(AH463="","",ROUND(MIN(K463,TOPE_AFP_UF*AJ463)*AK463,0))</f>
        <v/>
      </c>
      <c r="AC463" s="71" t="str">
        <f aca="false">IF(AH463="","",ROUND(MIN(K463,TOPE_AFC_UF*AJ463)*IF(AA463="Indefinido",AFC_EMP_INDEF,AFC_EMP_PF),0))</f>
        <v/>
      </c>
      <c r="AD463" s="71" t="str">
        <f aca="false">IF(AH463="","",ROUND(MIN(K463,TOPE_AFP_UF*AJ463)*(MUTUAL_BASICA+MUTUAL_ADIC+SANNA),0))</f>
        <v/>
      </c>
      <c r="AE463" s="71" t="str">
        <f aca="false">IF(AH463="","",P463-N(N463)+AB463+AC463+AD463)</f>
        <v/>
      </c>
      <c r="AF463" s="65"/>
      <c r="AG463" s="64"/>
      <c r="AH463" s="72" t="str">
        <f aca="false">IF(OR(B463="",C463=""),"",C463&amp;"|"&amp;(YEAR(B463)*100+MONTH(B463)))</f>
        <v/>
      </c>
      <c r="AI463" s="70" t="str">
        <f aca="false">IF(AH463="","",IF(COUNTIF(L_CLAVE,AH463)&gt;1,"⚠ Duplicado","OK"))</f>
        <v/>
      </c>
      <c r="AJ463" s="86" t="str">
        <f aca="false">IF(AH463="","",IF(SUMPRODUCT(MAX((IND_PER&lt;=B463)*(IND_UF&lt;&gt;"")*IND_PER))=0,UF_HOY,INDEX(IND_UF,MATCH(SUMPRODUCT(MAX((IND_PER&lt;=B463)*(IND_UF&lt;&gt;"")*IND_PER)),IND_PER,0))))</f>
        <v/>
      </c>
      <c r="AK463" s="87" t="str">
        <f aca="false">IF(AH463="","",IF(COUNTIF(TASA_DESDE,"&lt;="&amp;B463)=0,INDEX(TASA_EMP,1),INDEX(TASA_EMP,COUNTIF(TASA_DESDE,"&lt;="&amp;B463))))</f>
        <v/>
      </c>
    </row>
    <row r="464" customFormat="false" ht="15" hidden="false" customHeight="false" outlineLevel="0" collapsed="false">
      <c r="B464" s="78"/>
      <c r="C464" s="64"/>
      <c r="D464" s="72" t="str">
        <f aca="false">IF(C464="","",IFERROR(INDEX(T_NOMBRE,MATCH(C464,T_ID,0)),"⚠ ID no existe"))</f>
        <v/>
      </c>
      <c r="E464" s="69"/>
      <c r="F464" s="67"/>
      <c r="G464" s="67"/>
      <c r="H464" s="67"/>
      <c r="I464" s="67"/>
      <c r="J464" s="67"/>
      <c r="K464" s="85" t="str">
        <f aca="false">IF(AH464="","",N(F464)+N(G464)+N(H464)-N(I464)+N(J464))</f>
        <v/>
      </c>
      <c r="L464" s="67"/>
      <c r="M464" s="67"/>
      <c r="N464" s="67"/>
      <c r="O464" s="67"/>
      <c r="P464" s="85" t="str">
        <f aca="false">IF(AH464="","",K464+N(L464)+N(M464)+N(N464)+N(O464))</f>
        <v/>
      </c>
      <c r="Q464" s="67"/>
      <c r="R464" s="67"/>
      <c r="S464" s="67"/>
      <c r="T464" s="67"/>
      <c r="U464" s="67"/>
      <c r="V464" s="67"/>
      <c r="W464" s="85" t="str">
        <f aca="false">IF(AH464="","",N(Q464)+N(R464)+N(S464)+N(T464)+N(U464)+N(V464))</f>
        <v/>
      </c>
      <c r="X464" s="85" t="str">
        <f aca="false">IF(AH464="","",P464-W464)</f>
        <v/>
      </c>
      <c r="Y464" s="67"/>
      <c r="Z464" s="70" t="str">
        <f aca="false">IF(OR(AH464="",Y464=""),"",IF(ABS(X464-Y464)&lt;=1,"✓ Cuadra","⚠ Diferencia $"&amp;FIXED(X464-Y464,0)))</f>
        <v/>
      </c>
      <c r="AA464" s="72" t="str">
        <f aca="false">IF(AH464="","",IFERROR(INDEX(C_TIPO,MATCH(C464&amp;"-P"&amp;MAX(1,COUNTIFS(C_ID,C464,C_DEFINE,"Sí",C_INICIO,"&lt;="&amp;EOMONTH(B464,0))),C_CLAVE,0))&amp;"","Sin dato"))</f>
        <v/>
      </c>
      <c r="AB464" s="71" t="str">
        <f aca="false">IF(AH464="","",ROUND(MIN(K464,TOPE_AFP_UF*AJ464)*AK464,0))</f>
        <v/>
      </c>
      <c r="AC464" s="71" t="str">
        <f aca="false">IF(AH464="","",ROUND(MIN(K464,TOPE_AFC_UF*AJ464)*IF(AA464="Indefinido",AFC_EMP_INDEF,AFC_EMP_PF),0))</f>
        <v/>
      </c>
      <c r="AD464" s="71" t="str">
        <f aca="false">IF(AH464="","",ROUND(MIN(K464,TOPE_AFP_UF*AJ464)*(MUTUAL_BASICA+MUTUAL_ADIC+SANNA),0))</f>
        <v/>
      </c>
      <c r="AE464" s="71" t="str">
        <f aca="false">IF(AH464="","",P464-N(N464)+AB464+AC464+AD464)</f>
        <v/>
      </c>
      <c r="AF464" s="65"/>
      <c r="AG464" s="64"/>
      <c r="AH464" s="72" t="str">
        <f aca="false">IF(OR(B464="",C464=""),"",C464&amp;"|"&amp;(YEAR(B464)*100+MONTH(B464)))</f>
        <v/>
      </c>
      <c r="AI464" s="70" t="str">
        <f aca="false">IF(AH464="","",IF(COUNTIF(L_CLAVE,AH464)&gt;1,"⚠ Duplicado","OK"))</f>
        <v/>
      </c>
      <c r="AJ464" s="86" t="str">
        <f aca="false">IF(AH464="","",IF(SUMPRODUCT(MAX((IND_PER&lt;=B464)*(IND_UF&lt;&gt;"")*IND_PER))=0,UF_HOY,INDEX(IND_UF,MATCH(SUMPRODUCT(MAX((IND_PER&lt;=B464)*(IND_UF&lt;&gt;"")*IND_PER)),IND_PER,0))))</f>
        <v/>
      </c>
      <c r="AK464" s="87" t="str">
        <f aca="false">IF(AH464="","",IF(COUNTIF(TASA_DESDE,"&lt;="&amp;B464)=0,INDEX(TASA_EMP,1),INDEX(TASA_EMP,COUNTIF(TASA_DESDE,"&lt;="&amp;B464))))</f>
        <v/>
      </c>
    </row>
    <row r="465" customFormat="false" ht="15" hidden="false" customHeight="false" outlineLevel="0" collapsed="false">
      <c r="B465" s="78"/>
      <c r="C465" s="64"/>
      <c r="D465" s="72" t="str">
        <f aca="false">IF(C465="","",IFERROR(INDEX(T_NOMBRE,MATCH(C465,T_ID,0)),"⚠ ID no existe"))</f>
        <v/>
      </c>
      <c r="E465" s="69"/>
      <c r="F465" s="67"/>
      <c r="G465" s="67"/>
      <c r="H465" s="67"/>
      <c r="I465" s="67"/>
      <c r="J465" s="67"/>
      <c r="K465" s="85" t="str">
        <f aca="false">IF(AH465="","",N(F465)+N(G465)+N(H465)-N(I465)+N(J465))</f>
        <v/>
      </c>
      <c r="L465" s="67"/>
      <c r="M465" s="67"/>
      <c r="N465" s="67"/>
      <c r="O465" s="67"/>
      <c r="P465" s="85" t="str">
        <f aca="false">IF(AH465="","",K465+N(L465)+N(M465)+N(N465)+N(O465))</f>
        <v/>
      </c>
      <c r="Q465" s="67"/>
      <c r="R465" s="67"/>
      <c r="S465" s="67"/>
      <c r="T465" s="67"/>
      <c r="U465" s="67"/>
      <c r="V465" s="67"/>
      <c r="W465" s="85" t="str">
        <f aca="false">IF(AH465="","",N(Q465)+N(R465)+N(S465)+N(T465)+N(U465)+N(V465))</f>
        <v/>
      </c>
      <c r="X465" s="85" t="str">
        <f aca="false">IF(AH465="","",P465-W465)</f>
        <v/>
      </c>
      <c r="Y465" s="67"/>
      <c r="Z465" s="70" t="str">
        <f aca="false">IF(OR(AH465="",Y465=""),"",IF(ABS(X465-Y465)&lt;=1,"✓ Cuadra","⚠ Diferencia $"&amp;FIXED(X465-Y465,0)))</f>
        <v/>
      </c>
      <c r="AA465" s="72" t="str">
        <f aca="false">IF(AH465="","",IFERROR(INDEX(C_TIPO,MATCH(C465&amp;"-P"&amp;MAX(1,COUNTIFS(C_ID,C465,C_DEFINE,"Sí",C_INICIO,"&lt;="&amp;EOMONTH(B465,0))),C_CLAVE,0))&amp;"","Sin dato"))</f>
        <v/>
      </c>
      <c r="AB465" s="71" t="str">
        <f aca="false">IF(AH465="","",ROUND(MIN(K465,TOPE_AFP_UF*AJ465)*AK465,0))</f>
        <v/>
      </c>
      <c r="AC465" s="71" t="str">
        <f aca="false">IF(AH465="","",ROUND(MIN(K465,TOPE_AFC_UF*AJ465)*IF(AA465="Indefinido",AFC_EMP_INDEF,AFC_EMP_PF),0))</f>
        <v/>
      </c>
      <c r="AD465" s="71" t="str">
        <f aca="false">IF(AH465="","",ROUND(MIN(K465,TOPE_AFP_UF*AJ465)*(MUTUAL_BASICA+MUTUAL_ADIC+SANNA),0))</f>
        <v/>
      </c>
      <c r="AE465" s="71" t="str">
        <f aca="false">IF(AH465="","",P465-N(N465)+AB465+AC465+AD465)</f>
        <v/>
      </c>
      <c r="AF465" s="65"/>
      <c r="AG465" s="64"/>
      <c r="AH465" s="72" t="str">
        <f aca="false">IF(OR(B465="",C465=""),"",C465&amp;"|"&amp;(YEAR(B465)*100+MONTH(B465)))</f>
        <v/>
      </c>
      <c r="AI465" s="70" t="str">
        <f aca="false">IF(AH465="","",IF(COUNTIF(L_CLAVE,AH465)&gt;1,"⚠ Duplicado","OK"))</f>
        <v/>
      </c>
      <c r="AJ465" s="86" t="str">
        <f aca="false">IF(AH465="","",IF(SUMPRODUCT(MAX((IND_PER&lt;=B465)*(IND_UF&lt;&gt;"")*IND_PER))=0,UF_HOY,INDEX(IND_UF,MATCH(SUMPRODUCT(MAX((IND_PER&lt;=B465)*(IND_UF&lt;&gt;"")*IND_PER)),IND_PER,0))))</f>
        <v/>
      </c>
      <c r="AK465" s="87" t="str">
        <f aca="false">IF(AH465="","",IF(COUNTIF(TASA_DESDE,"&lt;="&amp;B465)=0,INDEX(TASA_EMP,1),INDEX(TASA_EMP,COUNTIF(TASA_DESDE,"&lt;="&amp;B465))))</f>
        <v/>
      </c>
    </row>
    <row r="466" customFormat="false" ht="15" hidden="false" customHeight="false" outlineLevel="0" collapsed="false">
      <c r="B466" s="78"/>
      <c r="C466" s="64"/>
      <c r="D466" s="72" t="str">
        <f aca="false">IF(C466="","",IFERROR(INDEX(T_NOMBRE,MATCH(C466,T_ID,0)),"⚠ ID no existe"))</f>
        <v/>
      </c>
      <c r="E466" s="69"/>
      <c r="F466" s="67"/>
      <c r="G466" s="67"/>
      <c r="H466" s="67"/>
      <c r="I466" s="67"/>
      <c r="J466" s="67"/>
      <c r="K466" s="85" t="str">
        <f aca="false">IF(AH466="","",N(F466)+N(G466)+N(H466)-N(I466)+N(J466))</f>
        <v/>
      </c>
      <c r="L466" s="67"/>
      <c r="M466" s="67"/>
      <c r="N466" s="67"/>
      <c r="O466" s="67"/>
      <c r="P466" s="85" t="str">
        <f aca="false">IF(AH466="","",K466+N(L466)+N(M466)+N(N466)+N(O466))</f>
        <v/>
      </c>
      <c r="Q466" s="67"/>
      <c r="R466" s="67"/>
      <c r="S466" s="67"/>
      <c r="T466" s="67"/>
      <c r="U466" s="67"/>
      <c r="V466" s="67"/>
      <c r="W466" s="85" t="str">
        <f aca="false">IF(AH466="","",N(Q466)+N(R466)+N(S466)+N(T466)+N(U466)+N(V466))</f>
        <v/>
      </c>
      <c r="X466" s="85" t="str">
        <f aca="false">IF(AH466="","",P466-W466)</f>
        <v/>
      </c>
      <c r="Y466" s="67"/>
      <c r="Z466" s="70" t="str">
        <f aca="false">IF(OR(AH466="",Y466=""),"",IF(ABS(X466-Y466)&lt;=1,"✓ Cuadra","⚠ Diferencia $"&amp;FIXED(X466-Y466,0)))</f>
        <v/>
      </c>
      <c r="AA466" s="72" t="str">
        <f aca="false">IF(AH466="","",IFERROR(INDEX(C_TIPO,MATCH(C466&amp;"-P"&amp;MAX(1,COUNTIFS(C_ID,C466,C_DEFINE,"Sí",C_INICIO,"&lt;="&amp;EOMONTH(B466,0))),C_CLAVE,0))&amp;"","Sin dato"))</f>
        <v/>
      </c>
      <c r="AB466" s="71" t="str">
        <f aca="false">IF(AH466="","",ROUND(MIN(K466,TOPE_AFP_UF*AJ466)*AK466,0))</f>
        <v/>
      </c>
      <c r="AC466" s="71" t="str">
        <f aca="false">IF(AH466="","",ROUND(MIN(K466,TOPE_AFC_UF*AJ466)*IF(AA466="Indefinido",AFC_EMP_INDEF,AFC_EMP_PF),0))</f>
        <v/>
      </c>
      <c r="AD466" s="71" t="str">
        <f aca="false">IF(AH466="","",ROUND(MIN(K466,TOPE_AFP_UF*AJ466)*(MUTUAL_BASICA+MUTUAL_ADIC+SANNA),0))</f>
        <v/>
      </c>
      <c r="AE466" s="71" t="str">
        <f aca="false">IF(AH466="","",P466-N(N466)+AB466+AC466+AD466)</f>
        <v/>
      </c>
      <c r="AF466" s="65"/>
      <c r="AG466" s="64"/>
      <c r="AH466" s="72" t="str">
        <f aca="false">IF(OR(B466="",C466=""),"",C466&amp;"|"&amp;(YEAR(B466)*100+MONTH(B466)))</f>
        <v/>
      </c>
      <c r="AI466" s="70" t="str">
        <f aca="false">IF(AH466="","",IF(COUNTIF(L_CLAVE,AH466)&gt;1,"⚠ Duplicado","OK"))</f>
        <v/>
      </c>
      <c r="AJ466" s="86" t="str">
        <f aca="false">IF(AH466="","",IF(SUMPRODUCT(MAX((IND_PER&lt;=B466)*(IND_UF&lt;&gt;"")*IND_PER))=0,UF_HOY,INDEX(IND_UF,MATCH(SUMPRODUCT(MAX((IND_PER&lt;=B466)*(IND_UF&lt;&gt;"")*IND_PER)),IND_PER,0))))</f>
        <v/>
      </c>
      <c r="AK466" s="87" t="str">
        <f aca="false">IF(AH466="","",IF(COUNTIF(TASA_DESDE,"&lt;="&amp;B466)=0,INDEX(TASA_EMP,1),INDEX(TASA_EMP,COUNTIF(TASA_DESDE,"&lt;="&amp;B466))))</f>
        <v/>
      </c>
    </row>
    <row r="467" customFormat="false" ht="15" hidden="false" customHeight="false" outlineLevel="0" collapsed="false">
      <c r="B467" s="78"/>
      <c r="C467" s="64"/>
      <c r="D467" s="72" t="str">
        <f aca="false">IF(C467="","",IFERROR(INDEX(T_NOMBRE,MATCH(C467,T_ID,0)),"⚠ ID no existe"))</f>
        <v/>
      </c>
      <c r="E467" s="69"/>
      <c r="F467" s="67"/>
      <c r="G467" s="67"/>
      <c r="H467" s="67"/>
      <c r="I467" s="67"/>
      <c r="J467" s="67"/>
      <c r="K467" s="85" t="str">
        <f aca="false">IF(AH467="","",N(F467)+N(G467)+N(H467)-N(I467)+N(J467))</f>
        <v/>
      </c>
      <c r="L467" s="67"/>
      <c r="M467" s="67"/>
      <c r="N467" s="67"/>
      <c r="O467" s="67"/>
      <c r="P467" s="85" t="str">
        <f aca="false">IF(AH467="","",K467+N(L467)+N(M467)+N(N467)+N(O467))</f>
        <v/>
      </c>
      <c r="Q467" s="67"/>
      <c r="R467" s="67"/>
      <c r="S467" s="67"/>
      <c r="T467" s="67"/>
      <c r="U467" s="67"/>
      <c r="V467" s="67"/>
      <c r="W467" s="85" t="str">
        <f aca="false">IF(AH467="","",N(Q467)+N(R467)+N(S467)+N(T467)+N(U467)+N(V467))</f>
        <v/>
      </c>
      <c r="X467" s="85" t="str">
        <f aca="false">IF(AH467="","",P467-W467)</f>
        <v/>
      </c>
      <c r="Y467" s="67"/>
      <c r="Z467" s="70" t="str">
        <f aca="false">IF(OR(AH467="",Y467=""),"",IF(ABS(X467-Y467)&lt;=1,"✓ Cuadra","⚠ Diferencia $"&amp;FIXED(X467-Y467,0)))</f>
        <v/>
      </c>
      <c r="AA467" s="72" t="str">
        <f aca="false">IF(AH467="","",IFERROR(INDEX(C_TIPO,MATCH(C467&amp;"-P"&amp;MAX(1,COUNTIFS(C_ID,C467,C_DEFINE,"Sí",C_INICIO,"&lt;="&amp;EOMONTH(B467,0))),C_CLAVE,0))&amp;"","Sin dato"))</f>
        <v/>
      </c>
      <c r="AB467" s="71" t="str">
        <f aca="false">IF(AH467="","",ROUND(MIN(K467,TOPE_AFP_UF*AJ467)*AK467,0))</f>
        <v/>
      </c>
      <c r="AC467" s="71" t="str">
        <f aca="false">IF(AH467="","",ROUND(MIN(K467,TOPE_AFC_UF*AJ467)*IF(AA467="Indefinido",AFC_EMP_INDEF,AFC_EMP_PF),0))</f>
        <v/>
      </c>
      <c r="AD467" s="71" t="str">
        <f aca="false">IF(AH467="","",ROUND(MIN(K467,TOPE_AFP_UF*AJ467)*(MUTUAL_BASICA+MUTUAL_ADIC+SANNA),0))</f>
        <v/>
      </c>
      <c r="AE467" s="71" t="str">
        <f aca="false">IF(AH467="","",P467-N(N467)+AB467+AC467+AD467)</f>
        <v/>
      </c>
      <c r="AF467" s="65"/>
      <c r="AG467" s="64"/>
      <c r="AH467" s="72" t="str">
        <f aca="false">IF(OR(B467="",C467=""),"",C467&amp;"|"&amp;(YEAR(B467)*100+MONTH(B467)))</f>
        <v/>
      </c>
      <c r="AI467" s="70" t="str">
        <f aca="false">IF(AH467="","",IF(COUNTIF(L_CLAVE,AH467)&gt;1,"⚠ Duplicado","OK"))</f>
        <v/>
      </c>
      <c r="AJ467" s="86" t="str">
        <f aca="false">IF(AH467="","",IF(SUMPRODUCT(MAX((IND_PER&lt;=B467)*(IND_UF&lt;&gt;"")*IND_PER))=0,UF_HOY,INDEX(IND_UF,MATCH(SUMPRODUCT(MAX((IND_PER&lt;=B467)*(IND_UF&lt;&gt;"")*IND_PER)),IND_PER,0))))</f>
        <v/>
      </c>
      <c r="AK467" s="87" t="str">
        <f aca="false">IF(AH467="","",IF(COUNTIF(TASA_DESDE,"&lt;="&amp;B467)=0,INDEX(TASA_EMP,1),INDEX(TASA_EMP,COUNTIF(TASA_DESDE,"&lt;="&amp;B467))))</f>
        <v/>
      </c>
    </row>
    <row r="468" customFormat="false" ht="15" hidden="false" customHeight="false" outlineLevel="0" collapsed="false">
      <c r="B468" s="78"/>
      <c r="C468" s="64"/>
      <c r="D468" s="72" t="str">
        <f aca="false">IF(C468="","",IFERROR(INDEX(T_NOMBRE,MATCH(C468,T_ID,0)),"⚠ ID no existe"))</f>
        <v/>
      </c>
      <c r="E468" s="69"/>
      <c r="F468" s="67"/>
      <c r="G468" s="67"/>
      <c r="H468" s="67"/>
      <c r="I468" s="67"/>
      <c r="J468" s="67"/>
      <c r="K468" s="85" t="str">
        <f aca="false">IF(AH468="","",N(F468)+N(G468)+N(H468)-N(I468)+N(J468))</f>
        <v/>
      </c>
      <c r="L468" s="67"/>
      <c r="M468" s="67"/>
      <c r="N468" s="67"/>
      <c r="O468" s="67"/>
      <c r="P468" s="85" t="str">
        <f aca="false">IF(AH468="","",K468+N(L468)+N(M468)+N(N468)+N(O468))</f>
        <v/>
      </c>
      <c r="Q468" s="67"/>
      <c r="R468" s="67"/>
      <c r="S468" s="67"/>
      <c r="T468" s="67"/>
      <c r="U468" s="67"/>
      <c r="V468" s="67"/>
      <c r="W468" s="85" t="str">
        <f aca="false">IF(AH468="","",N(Q468)+N(R468)+N(S468)+N(T468)+N(U468)+N(V468))</f>
        <v/>
      </c>
      <c r="X468" s="85" t="str">
        <f aca="false">IF(AH468="","",P468-W468)</f>
        <v/>
      </c>
      <c r="Y468" s="67"/>
      <c r="Z468" s="70" t="str">
        <f aca="false">IF(OR(AH468="",Y468=""),"",IF(ABS(X468-Y468)&lt;=1,"✓ Cuadra","⚠ Diferencia $"&amp;FIXED(X468-Y468,0)))</f>
        <v/>
      </c>
      <c r="AA468" s="72" t="str">
        <f aca="false">IF(AH468="","",IFERROR(INDEX(C_TIPO,MATCH(C468&amp;"-P"&amp;MAX(1,COUNTIFS(C_ID,C468,C_DEFINE,"Sí",C_INICIO,"&lt;="&amp;EOMONTH(B468,0))),C_CLAVE,0))&amp;"","Sin dato"))</f>
        <v/>
      </c>
      <c r="AB468" s="71" t="str">
        <f aca="false">IF(AH468="","",ROUND(MIN(K468,TOPE_AFP_UF*AJ468)*AK468,0))</f>
        <v/>
      </c>
      <c r="AC468" s="71" t="str">
        <f aca="false">IF(AH468="","",ROUND(MIN(K468,TOPE_AFC_UF*AJ468)*IF(AA468="Indefinido",AFC_EMP_INDEF,AFC_EMP_PF),0))</f>
        <v/>
      </c>
      <c r="AD468" s="71" t="str">
        <f aca="false">IF(AH468="","",ROUND(MIN(K468,TOPE_AFP_UF*AJ468)*(MUTUAL_BASICA+MUTUAL_ADIC+SANNA),0))</f>
        <v/>
      </c>
      <c r="AE468" s="71" t="str">
        <f aca="false">IF(AH468="","",P468-N(N468)+AB468+AC468+AD468)</f>
        <v/>
      </c>
      <c r="AF468" s="65"/>
      <c r="AG468" s="64"/>
      <c r="AH468" s="72" t="str">
        <f aca="false">IF(OR(B468="",C468=""),"",C468&amp;"|"&amp;(YEAR(B468)*100+MONTH(B468)))</f>
        <v/>
      </c>
      <c r="AI468" s="70" t="str">
        <f aca="false">IF(AH468="","",IF(COUNTIF(L_CLAVE,AH468)&gt;1,"⚠ Duplicado","OK"))</f>
        <v/>
      </c>
      <c r="AJ468" s="86" t="str">
        <f aca="false">IF(AH468="","",IF(SUMPRODUCT(MAX((IND_PER&lt;=B468)*(IND_UF&lt;&gt;"")*IND_PER))=0,UF_HOY,INDEX(IND_UF,MATCH(SUMPRODUCT(MAX((IND_PER&lt;=B468)*(IND_UF&lt;&gt;"")*IND_PER)),IND_PER,0))))</f>
        <v/>
      </c>
      <c r="AK468" s="87" t="str">
        <f aca="false">IF(AH468="","",IF(COUNTIF(TASA_DESDE,"&lt;="&amp;B468)=0,INDEX(TASA_EMP,1),INDEX(TASA_EMP,COUNTIF(TASA_DESDE,"&lt;="&amp;B468))))</f>
        <v/>
      </c>
    </row>
    <row r="469" customFormat="false" ht="15" hidden="false" customHeight="false" outlineLevel="0" collapsed="false">
      <c r="B469" s="78"/>
      <c r="C469" s="64"/>
      <c r="D469" s="72" t="str">
        <f aca="false">IF(C469="","",IFERROR(INDEX(T_NOMBRE,MATCH(C469,T_ID,0)),"⚠ ID no existe"))</f>
        <v/>
      </c>
      <c r="E469" s="69"/>
      <c r="F469" s="67"/>
      <c r="G469" s="67"/>
      <c r="H469" s="67"/>
      <c r="I469" s="67"/>
      <c r="J469" s="67"/>
      <c r="K469" s="85" t="str">
        <f aca="false">IF(AH469="","",N(F469)+N(G469)+N(H469)-N(I469)+N(J469))</f>
        <v/>
      </c>
      <c r="L469" s="67"/>
      <c r="M469" s="67"/>
      <c r="N469" s="67"/>
      <c r="O469" s="67"/>
      <c r="P469" s="85" t="str">
        <f aca="false">IF(AH469="","",K469+N(L469)+N(M469)+N(N469)+N(O469))</f>
        <v/>
      </c>
      <c r="Q469" s="67"/>
      <c r="R469" s="67"/>
      <c r="S469" s="67"/>
      <c r="T469" s="67"/>
      <c r="U469" s="67"/>
      <c r="V469" s="67"/>
      <c r="W469" s="85" t="str">
        <f aca="false">IF(AH469="","",N(Q469)+N(R469)+N(S469)+N(T469)+N(U469)+N(V469))</f>
        <v/>
      </c>
      <c r="X469" s="85" t="str">
        <f aca="false">IF(AH469="","",P469-W469)</f>
        <v/>
      </c>
      <c r="Y469" s="67"/>
      <c r="Z469" s="70" t="str">
        <f aca="false">IF(OR(AH469="",Y469=""),"",IF(ABS(X469-Y469)&lt;=1,"✓ Cuadra","⚠ Diferencia $"&amp;FIXED(X469-Y469,0)))</f>
        <v/>
      </c>
      <c r="AA469" s="72" t="str">
        <f aca="false">IF(AH469="","",IFERROR(INDEX(C_TIPO,MATCH(C469&amp;"-P"&amp;MAX(1,COUNTIFS(C_ID,C469,C_DEFINE,"Sí",C_INICIO,"&lt;="&amp;EOMONTH(B469,0))),C_CLAVE,0))&amp;"","Sin dato"))</f>
        <v/>
      </c>
      <c r="AB469" s="71" t="str">
        <f aca="false">IF(AH469="","",ROUND(MIN(K469,TOPE_AFP_UF*AJ469)*AK469,0))</f>
        <v/>
      </c>
      <c r="AC469" s="71" t="str">
        <f aca="false">IF(AH469="","",ROUND(MIN(K469,TOPE_AFC_UF*AJ469)*IF(AA469="Indefinido",AFC_EMP_INDEF,AFC_EMP_PF),0))</f>
        <v/>
      </c>
      <c r="AD469" s="71" t="str">
        <f aca="false">IF(AH469="","",ROUND(MIN(K469,TOPE_AFP_UF*AJ469)*(MUTUAL_BASICA+MUTUAL_ADIC+SANNA),0))</f>
        <v/>
      </c>
      <c r="AE469" s="71" t="str">
        <f aca="false">IF(AH469="","",P469-N(N469)+AB469+AC469+AD469)</f>
        <v/>
      </c>
      <c r="AF469" s="65"/>
      <c r="AG469" s="64"/>
      <c r="AH469" s="72" t="str">
        <f aca="false">IF(OR(B469="",C469=""),"",C469&amp;"|"&amp;(YEAR(B469)*100+MONTH(B469)))</f>
        <v/>
      </c>
      <c r="AI469" s="70" t="str">
        <f aca="false">IF(AH469="","",IF(COUNTIF(L_CLAVE,AH469)&gt;1,"⚠ Duplicado","OK"))</f>
        <v/>
      </c>
      <c r="AJ469" s="86" t="str">
        <f aca="false">IF(AH469="","",IF(SUMPRODUCT(MAX((IND_PER&lt;=B469)*(IND_UF&lt;&gt;"")*IND_PER))=0,UF_HOY,INDEX(IND_UF,MATCH(SUMPRODUCT(MAX((IND_PER&lt;=B469)*(IND_UF&lt;&gt;"")*IND_PER)),IND_PER,0))))</f>
        <v/>
      </c>
      <c r="AK469" s="87" t="str">
        <f aca="false">IF(AH469="","",IF(COUNTIF(TASA_DESDE,"&lt;="&amp;B469)=0,INDEX(TASA_EMP,1),INDEX(TASA_EMP,COUNTIF(TASA_DESDE,"&lt;="&amp;B469))))</f>
        <v/>
      </c>
    </row>
    <row r="470" customFormat="false" ht="15" hidden="false" customHeight="false" outlineLevel="0" collapsed="false">
      <c r="B470" s="78"/>
      <c r="C470" s="64"/>
      <c r="D470" s="72" t="str">
        <f aca="false">IF(C470="","",IFERROR(INDEX(T_NOMBRE,MATCH(C470,T_ID,0)),"⚠ ID no existe"))</f>
        <v/>
      </c>
      <c r="E470" s="69"/>
      <c r="F470" s="67"/>
      <c r="G470" s="67"/>
      <c r="H470" s="67"/>
      <c r="I470" s="67"/>
      <c r="J470" s="67"/>
      <c r="K470" s="85" t="str">
        <f aca="false">IF(AH470="","",N(F470)+N(G470)+N(H470)-N(I470)+N(J470))</f>
        <v/>
      </c>
      <c r="L470" s="67"/>
      <c r="M470" s="67"/>
      <c r="N470" s="67"/>
      <c r="O470" s="67"/>
      <c r="P470" s="85" t="str">
        <f aca="false">IF(AH470="","",K470+N(L470)+N(M470)+N(N470)+N(O470))</f>
        <v/>
      </c>
      <c r="Q470" s="67"/>
      <c r="R470" s="67"/>
      <c r="S470" s="67"/>
      <c r="T470" s="67"/>
      <c r="U470" s="67"/>
      <c r="V470" s="67"/>
      <c r="W470" s="85" t="str">
        <f aca="false">IF(AH470="","",N(Q470)+N(R470)+N(S470)+N(T470)+N(U470)+N(V470))</f>
        <v/>
      </c>
      <c r="X470" s="85" t="str">
        <f aca="false">IF(AH470="","",P470-W470)</f>
        <v/>
      </c>
      <c r="Y470" s="67"/>
      <c r="Z470" s="70" t="str">
        <f aca="false">IF(OR(AH470="",Y470=""),"",IF(ABS(X470-Y470)&lt;=1,"✓ Cuadra","⚠ Diferencia $"&amp;FIXED(X470-Y470,0)))</f>
        <v/>
      </c>
      <c r="AA470" s="72" t="str">
        <f aca="false">IF(AH470="","",IFERROR(INDEX(C_TIPO,MATCH(C470&amp;"-P"&amp;MAX(1,COUNTIFS(C_ID,C470,C_DEFINE,"Sí",C_INICIO,"&lt;="&amp;EOMONTH(B470,0))),C_CLAVE,0))&amp;"","Sin dato"))</f>
        <v/>
      </c>
      <c r="AB470" s="71" t="str">
        <f aca="false">IF(AH470="","",ROUND(MIN(K470,TOPE_AFP_UF*AJ470)*AK470,0))</f>
        <v/>
      </c>
      <c r="AC470" s="71" t="str">
        <f aca="false">IF(AH470="","",ROUND(MIN(K470,TOPE_AFC_UF*AJ470)*IF(AA470="Indefinido",AFC_EMP_INDEF,AFC_EMP_PF),0))</f>
        <v/>
      </c>
      <c r="AD470" s="71" t="str">
        <f aca="false">IF(AH470="","",ROUND(MIN(K470,TOPE_AFP_UF*AJ470)*(MUTUAL_BASICA+MUTUAL_ADIC+SANNA),0))</f>
        <v/>
      </c>
      <c r="AE470" s="71" t="str">
        <f aca="false">IF(AH470="","",P470-N(N470)+AB470+AC470+AD470)</f>
        <v/>
      </c>
      <c r="AF470" s="65"/>
      <c r="AG470" s="64"/>
      <c r="AH470" s="72" t="str">
        <f aca="false">IF(OR(B470="",C470=""),"",C470&amp;"|"&amp;(YEAR(B470)*100+MONTH(B470)))</f>
        <v/>
      </c>
      <c r="AI470" s="70" t="str">
        <f aca="false">IF(AH470="","",IF(COUNTIF(L_CLAVE,AH470)&gt;1,"⚠ Duplicado","OK"))</f>
        <v/>
      </c>
      <c r="AJ470" s="86" t="str">
        <f aca="false">IF(AH470="","",IF(SUMPRODUCT(MAX((IND_PER&lt;=B470)*(IND_UF&lt;&gt;"")*IND_PER))=0,UF_HOY,INDEX(IND_UF,MATCH(SUMPRODUCT(MAX((IND_PER&lt;=B470)*(IND_UF&lt;&gt;"")*IND_PER)),IND_PER,0))))</f>
        <v/>
      </c>
      <c r="AK470" s="87" t="str">
        <f aca="false">IF(AH470="","",IF(COUNTIF(TASA_DESDE,"&lt;="&amp;B470)=0,INDEX(TASA_EMP,1),INDEX(TASA_EMP,COUNTIF(TASA_DESDE,"&lt;="&amp;B470))))</f>
        <v/>
      </c>
    </row>
    <row r="471" customFormat="false" ht="15" hidden="false" customHeight="false" outlineLevel="0" collapsed="false">
      <c r="B471" s="78"/>
      <c r="C471" s="64"/>
      <c r="D471" s="72" t="str">
        <f aca="false">IF(C471="","",IFERROR(INDEX(T_NOMBRE,MATCH(C471,T_ID,0)),"⚠ ID no existe"))</f>
        <v/>
      </c>
      <c r="E471" s="69"/>
      <c r="F471" s="67"/>
      <c r="G471" s="67"/>
      <c r="H471" s="67"/>
      <c r="I471" s="67"/>
      <c r="J471" s="67"/>
      <c r="K471" s="85" t="str">
        <f aca="false">IF(AH471="","",N(F471)+N(G471)+N(H471)-N(I471)+N(J471))</f>
        <v/>
      </c>
      <c r="L471" s="67"/>
      <c r="M471" s="67"/>
      <c r="N471" s="67"/>
      <c r="O471" s="67"/>
      <c r="P471" s="85" t="str">
        <f aca="false">IF(AH471="","",K471+N(L471)+N(M471)+N(N471)+N(O471))</f>
        <v/>
      </c>
      <c r="Q471" s="67"/>
      <c r="R471" s="67"/>
      <c r="S471" s="67"/>
      <c r="T471" s="67"/>
      <c r="U471" s="67"/>
      <c r="V471" s="67"/>
      <c r="W471" s="85" t="str">
        <f aca="false">IF(AH471="","",N(Q471)+N(R471)+N(S471)+N(T471)+N(U471)+N(V471))</f>
        <v/>
      </c>
      <c r="X471" s="85" t="str">
        <f aca="false">IF(AH471="","",P471-W471)</f>
        <v/>
      </c>
      <c r="Y471" s="67"/>
      <c r="Z471" s="70" t="str">
        <f aca="false">IF(OR(AH471="",Y471=""),"",IF(ABS(X471-Y471)&lt;=1,"✓ Cuadra","⚠ Diferencia $"&amp;FIXED(X471-Y471,0)))</f>
        <v/>
      </c>
      <c r="AA471" s="72" t="str">
        <f aca="false">IF(AH471="","",IFERROR(INDEX(C_TIPO,MATCH(C471&amp;"-P"&amp;MAX(1,COUNTIFS(C_ID,C471,C_DEFINE,"Sí",C_INICIO,"&lt;="&amp;EOMONTH(B471,0))),C_CLAVE,0))&amp;"","Sin dato"))</f>
        <v/>
      </c>
      <c r="AB471" s="71" t="str">
        <f aca="false">IF(AH471="","",ROUND(MIN(K471,TOPE_AFP_UF*AJ471)*AK471,0))</f>
        <v/>
      </c>
      <c r="AC471" s="71" t="str">
        <f aca="false">IF(AH471="","",ROUND(MIN(K471,TOPE_AFC_UF*AJ471)*IF(AA471="Indefinido",AFC_EMP_INDEF,AFC_EMP_PF),0))</f>
        <v/>
      </c>
      <c r="AD471" s="71" t="str">
        <f aca="false">IF(AH471="","",ROUND(MIN(K471,TOPE_AFP_UF*AJ471)*(MUTUAL_BASICA+MUTUAL_ADIC+SANNA),0))</f>
        <v/>
      </c>
      <c r="AE471" s="71" t="str">
        <f aca="false">IF(AH471="","",P471-N(N471)+AB471+AC471+AD471)</f>
        <v/>
      </c>
      <c r="AF471" s="65"/>
      <c r="AG471" s="64"/>
      <c r="AH471" s="72" t="str">
        <f aca="false">IF(OR(B471="",C471=""),"",C471&amp;"|"&amp;(YEAR(B471)*100+MONTH(B471)))</f>
        <v/>
      </c>
      <c r="AI471" s="70" t="str">
        <f aca="false">IF(AH471="","",IF(COUNTIF(L_CLAVE,AH471)&gt;1,"⚠ Duplicado","OK"))</f>
        <v/>
      </c>
      <c r="AJ471" s="86" t="str">
        <f aca="false">IF(AH471="","",IF(SUMPRODUCT(MAX((IND_PER&lt;=B471)*(IND_UF&lt;&gt;"")*IND_PER))=0,UF_HOY,INDEX(IND_UF,MATCH(SUMPRODUCT(MAX((IND_PER&lt;=B471)*(IND_UF&lt;&gt;"")*IND_PER)),IND_PER,0))))</f>
        <v/>
      </c>
      <c r="AK471" s="87" t="str">
        <f aca="false">IF(AH471="","",IF(COUNTIF(TASA_DESDE,"&lt;="&amp;B471)=0,INDEX(TASA_EMP,1),INDEX(TASA_EMP,COUNTIF(TASA_DESDE,"&lt;="&amp;B471))))</f>
        <v/>
      </c>
    </row>
    <row r="472" customFormat="false" ht="15" hidden="false" customHeight="false" outlineLevel="0" collapsed="false">
      <c r="B472" s="78"/>
      <c r="C472" s="64"/>
      <c r="D472" s="72" t="str">
        <f aca="false">IF(C472="","",IFERROR(INDEX(T_NOMBRE,MATCH(C472,T_ID,0)),"⚠ ID no existe"))</f>
        <v/>
      </c>
      <c r="E472" s="69"/>
      <c r="F472" s="67"/>
      <c r="G472" s="67"/>
      <c r="H472" s="67"/>
      <c r="I472" s="67"/>
      <c r="J472" s="67"/>
      <c r="K472" s="85" t="str">
        <f aca="false">IF(AH472="","",N(F472)+N(G472)+N(H472)-N(I472)+N(J472))</f>
        <v/>
      </c>
      <c r="L472" s="67"/>
      <c r="M472" s="67"/>
      <c r="N472" s="67"/>
      <c r="O472" s="67"/>
      <c r="P472" s="85" t="str">
        <f aca="false">IF(AH472="","",K472+N(L472)+N(M472)+N(N472)+N(O472))</f>
        <v/>
      </c>
      <c r="Q472" s="67"/>
      <c r="R472" s="67"/>
      <c r="S472" s="67"/>
      <c r="T472" s="67"/>
      <c r="U472" s="67"/>
      <c r="V472" s="67"/>
      <c r="W472" s="85" t="str">
        <f aca="false">IF(AH472="","",N(Q472)+N(R472)+N(S472)+N(T472)+N(U472)+N(V472))</f>
        <v/>
      </c>
      <c r="X472" s="85" t="str">
        <f aca="false">IF(AH472="","",P472-W472)</f>
        <v/>
      </c>
      <c r="Y472" s="67"/>
      <c r="Z472" s="70" t="str">
        <f aca="false">IF(OR(AH472="",Y472=""),"",IF(ABS(X472-Y472)&lt;=1,"✓ Cuadra","⚠ Diferencia $"&amp;FIXED(X472-Y472,0)))</f>
        <v/>
      </c>
      <c r="AA472" s="72" t="str">
        <f aca="false">IF(AH472="","",IFERROR(INDEX(C_TIPO,MATCH(C472&amp;"-P"&amp;MAX(1,COUNTIFS(C_ID,C472,C_DEFINE,"Sí",C_INICIO,"&lt;="&amp;EOMONTH(B472,0))),C_CLAVE,0))&amp;"","Sin dato"))</f>
        <v/>
      </c>
      <c r="AB472" s="71" t="str">
        <f aca="false">IF(AH472="","",ROUND(MIN(K472,TOPE_AFP_UF*AJ472)*AK472,0))</f>
        <v/>
      </c>
      <c r="AC472" s="71" t="str">
        <f aca="false">IF(AH472="","",ROUND(MIN(K472,TOPE_AFC_UF*AJ472)*IF(AA472="Indefinido",AFC_EMP_INDEF,AFC_EMP_PF),0))</f>
        <v/>
      </c>
      <c r="AD472" s="71" t="str">
        <f aca="false">IF(AH472="","",ROUND(MIN(K472,TOPE_AFP_UF*AJ472)*(MUTUAL_BASICA+MUTUAL_ADIC+SANNA),0))</f>
        <v/>
      </c>
      <c r="AE472" s="71" t="str">
        <f aca="false">IF(AH472="","",P472-N(N472)+AB472+AC472+AD472)</f>
        <v/>
      </c>
      <c r="AF472" s="65"/>
      <c r="AG472" s="64"/>
      <c r="AH472" s="72" t="str">
        <f aca="false">IF(OR(B472="",C472=""),"",C472&amp;"|"&amp;(YEAR(B472)*100+MONTH(B472)))</f>
        <v/>
      </c>
      <c r="AI472" s="70" t="str">
        <f aca="false">IF(AH472="","",IF(COUNTIF(L_CLAVE,AH472)&gt;1,"⚠ Duplicado","OK"))</f>
        <v/>
      </c>
      <c r="AJ472" s="86" t="str">
        <f aca="false">IF(AH472="","",IF(SUMPRODUCT(MAX((IND_PER&lt;=B472)*(IND_UF&lt;&gt;"")*IND_PER))=0,UF_HOY,INDEX(IND_UF,MATCH(SUMPRODUCT(MAX((IND_PER&lt;=B472)*(IND_UF&lt;&gt;"")*IND_PER)),IND_PER,0))))</f>
        <v/>
      </c>
      <c r="AK472" s="87" t="str">
        <f aca="false">IF(AH472="","",IF(COUNTIF(TASA_DESDE,"&lt;="&amp;B472)=0,INDEX(TASA_EMP,1),INDEX(TASA_EMP,COUNTIF(TASA_DESDE,"&lt;="&amp;B472))))</f>
        <v/>
      </c>
    </row>
    <row r="473" customFormat="false" ht="15" hidden="false" customHeight="false" outlineLevel="0" collapsed="false">
      <c r="B473" s="78"/>
      <c r="C473" s="64"/>
      <c r="D473" s="72" t="str">
        <f aca="false">IF(C473="","",IFERROR(INDEX(T_NOMBRE,MATCH(C473,T_ID,0)),"⚠ ID no existe"))</f>
        <v/>
      </c>
      <c r="E473" s="69"/>
      <c r="F473" s="67"/>
      <c r="G473" s="67"/>
      <c r="H473" s="67"/>
      <c r="I473" s="67"/>
      <c r="J473" s="67"/>
      <c r="K473" s="85" t="str">
        <f aca="false">IF(AH473="","",N(F473)+N(G473)+N(H473)-N(I473)+N(J473))</f>
        <v/>
      </c>
      <c r="L473" s="67"/>
      <c r="M473" s="67"/>
      <c r="N473" s="67"/>
      <c r="O473" s="67"/>
      <c r="P473" s="85" t="str">
        <f aca="false">IF(AH473="","",K473+N(L473)+N(M473)+N(N473)+N(O473))</f>
        <v/>
      </c>
      <c r="Q473" s="67"/>
      <c r="R473" s="67"/>
      <c r="S473" s="67"/>
      <c r="T473" s="67"/>
      <c r="U473" s="67"/>
      <c r="V473" s="67"/>
      <c r="W473" s="85" t="str">
        <f aca="false">IF(AH473="","",N(Q473)+N(R473)+N(S473)+N(T473)+N(U473)+N(V473))</f>
        <v/>
      </c>
      <c r="X473" s="85" t="str">
        <f aca="false">IF(AH473="","",P473-W473)</f>
        <v/>
      </c>
      <c r="Y473" s="67"/>
      <c r="Z473" s="70" t="str">
        <f aca="false">IF(OR(AH473="",Y473=""),"",IF(ABS(X473-Y473)&lt;=1,"✓ Cuadra","⚠ Diferencia $"&amp;FIXED(X473-Y473,0)))</f>
        <v/>
      </c>
      <c r="AA473" s="72" t="str">
        <f aca="false">IF(AH473="","",IFERROR(INDEX(C_TIPO,MATCH(C473&amp;"-P"&amp;MAX(1,COUNTIFS(C_ID,C473,C_DEFINE,"Sí",C_INICIO,"&lt;="&amp;EOMONTH(B473,0))),C_CLAVE,0))&amp;"","Sin dato"))</f>
        <v/>
      </c>
      <c r="AB473" s="71" t="str">
        <f aca="false">IF(AH473="","",ROUND(MIN(K473,TOPE_AFP_UF*AJ473)*AK473,0))</f>
        <v/>
      </c>
      <c r="AC473" s="71" t="str">
        <f aca="false">IF(AH473="","",ROUND(MIN(K473,TOPE_AFC_UF*AJ473)*IF(AA473="Indefinido",AFC_EMP_INDEF,AFC_EMP_PF),0))</f>
        <v/>
      </c>
      <c r="AD473" s="71" t="str">
        <f aca="false">IF(AH473="","",ROUND(MIN(K473,TOPE_AFP_UF*AJ473)*(MUTUAL_BASICA+MUTUAL_ADIC+SANNA),0))</f>
        <v/>
      </c>
      <c r="AE473" s="71" t="str">
        <f aca="false">IF(AH473="","",P473-N(N473)+AB473+AC473+AD473)</f>
        <v/>
      </c>
      <c r="AF473" s="65"/>
      <c r="AG473" s="64"/>
      <c r="AH473" s="72" t="str">
        <f aca="false">IF(OR(B473="",C473=""),"",C473&amp;"|"&amp;(YEAR(B473)*100+MONTH(B473)))</f>
        <v/>
      </c>
      <c r="AI473" s="70" t="str">
        <f aca="false">IF(AH473="","",IF(COUNTIF(L_CLAVE,AH473)&gt;1,"⚠ Duplicado","OK"))</f>
        <v/>
      </c>
      <c r="AJ473" s="86" t="str">
        <f aca="false">IF(AH473="","",IF(SUMPRODUCT(MAX((IND_PER&lt;=B473)*(IND_UF&lt;&gt;"")*IND_PER))=0,UF_HOY,INDEX(IND_UF,MATCH(SUMPRODUCT(MAX((IND_PER&lt;=B473)*(IND_UF&lt;&gt;"")*IND_PER)),IND_PER,0))))</f>
        <v/>
      </c>
      <c r="AK473" s="87" t="str">
        <f aca="false">IF(AH473="","",IF(COUNTIF(TASA_DESDE,"&lt;="&amp;B473)=0,INDEX(TASA_EMP,1),INDEX(TASA_EMP,COUNTIF(TASA_DESDE,"&lt;="&amp;B473))))</f>
        <v/>
      </c>
    </row>
    <row r="474" customFormat="false" ht="15" hidden="false" customHeight="false" outlineLevel="0" collapsed="false">
      <c r="B474" s="78"/>
      <c r="C474" s="64"/>
      <c r="D474" s="72" t="str">
        <f aca="false">IF(C474="","",IFERROR(INDEX(T_NOMBRE,MATCH(C474,T_ID,0)),"⚠ ID no existe"))</f>
        <v/>
      </c>
      <c r="E474" s="69"/>
      <c r="F474" s="67"/>
      <c r="G474" s="67"/>
      <c r="H474" s="67"/>
      <c r="I474" s="67"/>
      <c r="J474" s="67"/>
      <c r="K474" s="85" t="str">
        <f aca="false">IF(AH474="","",N(F474)+N(G474)+N(H474)-N(I474)+N(J474))</f>
        <v/>
      </c>
      <c r="L474" s="67"/>
      <c r="M474" s="67"/>
      <c r="N474" s="67"/>
      <c r="O474" s="67"/>
      <c r="P474" s="85" t="str">
        <f aca="false">IF(AH474="","",K474+N(L474)+N(M474)+N(N474)+N(O474))</f>
        <v/>
      </c>
      <c r="Q474" s="67"/>
      <c r="R474" s="67"/>
      <c r="S474" s="67"/>
      <c r="T474" s="67"/>
      <c r="U474" s="67"/>
      <c r="V474" s="67"/>
      <c r="W474" s="85" t="str">
        <f aca="false">IF(AH474="","",N(Q474)+N(R474)+N(S474)+N(T474)+N(U474)+N(V474))</f>
        <v/>
      </c>
      <c r="X474" s="85" t="str">
        <f aca="false">IF(AH474="","",P474-W474)</f>
        <v/>
      </c>
      <c r="Y474" s="67"/>
      <c r="Z474" s="70" t="str">
        <f aca="false">IF(OR(AH474="",Y474=""),"",IF(ABS(X474-Y474)&lt;=1,"✓ Cuadra","⚠ Diferencia $"&amp;FIXED(X474-Y474,0)))</f>
        <v/>
      </c>
      <c r="AA474" s="72" t="str">
        <f aca="false">IF(AH474="","",IFERROR(INDEX(C_TIPO,MATCH(C474&amp;"-P"&amp;MAX(1,COUNTIFS(C_ID,C474,C_DEFINE,"Sí",C_INICIO,"&lt;="&amp;EOMONTH(B474,0))),C_CLAVE,0))&amp;"","Sin dato"))</f>
        <v/>
      </c>
      <c r="AB474" s="71" t="str">
        <f aca="false">IF(AH474="","",ROUND(MIN(K474,TOPE_AFP_UF*AJ474)*AK474,0))</f>
        <v/>
      </c>
      <c r="AC474" s="71" t="str">
        <f aca="false">IF(AH474="","",ROUND(MIN(K474,TOPE_AFC_UF*AJ474)*IF(AA474="Indefinido",AFC_EMP_INDEF,AFC_EMP_PF),0))</f>
        <v/>
      </c>
      <c r="AD474" s="71" t="str">
        <f aca="false">IF(AH474="","",ROUND(MIN(K474,TOPE_AFP_UF*AJ474)*(MUTUAL_BASICA+MUTUAL_ADIC+SANNA),0))</f>
        <v/>
      </c>
      <c r="AE474" s="71" t="str">
        <f aca="false">IF(AH474="","",P474-N(N474)+AB474+AC474+AD474)</f>
        <v/>
      </c>
      <c r="AF474" s="65"/>
      <c r="AG474" s="64"/>
      <c r="AH474" s="72" t="str">
        <f aca="false">IF(OR(B474="",C474=""),"",C474&amp;"|"&amp;(YEAR(B474)*100+MONTH(B474)))</f>
        <v/>
      </c>
      <c r="AI474" s="70" t="str">
        <f aca="false">IF(AH474="","",IF(COUNTIF(L_CLAVE,AH474)&gt;1,"⚠ Duplicado","OK"))</f>
        <v/>
      </c>
      <c r="AJ474" s="86" t="str">
        <f aca="false">IF(AH474="","",IF(SUMPRODUCT(MAX((IND_PER&lt;=B474)*(IND_UF&lt;&gt;"")*IND_PER))=0,UF_HOY,INDEX(IND_UF,MATCH(SUMPRODUCT(MAX((IND_PER&lt;=B474)*(IND_UF&lt;&gt;"")*IND_PER)),IND_PER,0))))</f>
        <v/>
      </c>
      <c r="AK474" s="87" t="str">
        <f aca="false">IF(AH474="","",IF(COUNTIF(TASA_DESDE,"&lt;="&amp;B474)=0,INDEX(TASA_EMP,1),INDEX(TASA_EMP,COUNTIF(TASA_DESDE,"&lt;="&amp;B474))))</f>
        <v/>
      </c>
    </row>
    <row r="475" customFormat="false" ht="15" hidden="false" customHeight="false" outlineLevel="0" collapsed="false">
      <c r="B475" s="78"/>
      <c r="C475" s="64"/>
      <c r="D475" s="72" t="str">
        <f aca="false">IF(C475="","",IFERROR(INDEX(T_NOMBRE,MATCH(C475,T_ID,0)),"⚠ ID no existe"))</f>
        <v/>
      </c>
      <c r="E475" s="69"/>
      <c r="F475" s="67"/>
      <c r="G475" s="67"/>
      <c r="H475" s="67"/>
      <c r="I475" s="67"/>
      <c r="J475" s="67"/>
      <c r="K475" s="85" t="str">
        <f aca="false">IF(AH475="","",N(F475)+N(G475)+N(H475)-N(I475)+N(J475))</f>
        <v/>
      </c>
      <c r="L475" s="67"/>
      <c r="M475" s="67"/>
      <c r="N475" s="67"/>
      <c r="O475" s="67"/>
      <c r="P475" s="85" t="str">
        <f aca="false">IF(AH475="","",K475+N(L475)+N(M475)+N(N475)+N(O475))</f>
        <v/>
      </c>
      <c r="Q475" s="67"/>
      <c r="R475" s="67"/>
      <c r="S475" s="67"/>
      <c r="T475" s="67"/>
      <c r="U475" s="67"/>
      <c r="V475" s="67"/>
      <c r="W475" s="85" t="str">
        <f aca="false">IF(AH475="","",N(Q475)+N(R475)+N(S475)+N(T475)+N(U475)+N(V475))</f>
        <v/>
      </c>
      <c r="X475" s="85" t="str">
        <f aca="false">IF(AH475="","",P475-W475)</f>
        <v/>
      </c>
      <c r="Y475" s="67"/>
      <c r="Z475" s="70" t="str">
        <f aca="false">IF(OR(AH475="",Y475=""),"",IF(ABS(X475-Y475)&lt;=1,"✓ Cuadra","⚠ Diferencia $"&amp;FIXED(X475-Y475,0)))</f>
        <v/>
      </c>
      <c r="AA475" s="72" t="str">
        <f aca="false">IF(AH475="","",IFERROR(INDEX(C_TIPO,MATCH(C475&amp;"-P"&amp;MAX(1,COUNTIFS(C_ID,C475,C_DEFINE,"Sí",C_INICIO,"&lt;="&amp;EOMONTH(B475,0))),C_CLAVE,0))&amp;"","Sin dato"))</f>
        <v/>
      </c>
      <c r="AB475" s="71" t="str">
        <f aca="false">IF(AH475="","",ROUND(MIN(K475,TOPE_AFP_UF*AJ475)*AK475,0))</f>
        <v/>
      </c>
      <c r="AC475" s="71" t="str">
        <f aca="false">IF(AH475="","",ROUND(MIN(K475,TOPE_AFC_UF*AJ475)*IF(AA475="Indefinido",AFC_EMP_INDEF,AFC_EMP_PF),0))</f>
        <v/>
      </c>
      <c r="AD475" s="71" t="str">
        <f aca="false">IF(AH475="","",ROUND(MIN(K475,TOPE_AFP_UF*AJ475)*(MUTUAL_BASICA+MUTUAL_ADIC+SANNA),0))</f>
        <v/>
      </c>
      <c r="AE475" s="71" t="str">
        <f aca="false">IF(AH475="","",P475-N(N475)+AB475+AC475+AD475)</f>
        <v/>
      </c>
      <c r="AF475" s="65"/>
      <c r="AG475" s="64"/>
      <c r="AH475" s="72" t="str">
        <f aca="false">IF(OR(B475="",C475=""),"",C475&amp;"|"&amp;(YEAR(B475)*100+MONTH(B475)))</f>
        <v/>
      </c>
      <c r="AI475" s="70" t="str">
        <f aca="false">IF(AH475="","",IF(COUNTIF(L_CLAVE,AH475)&gt;1,"⚠ Duplicado","OK"))</f>
        <v/>
      </c>
      <c r="AJ475" s="86" t="str">
        <f aca="false">IF(AH475="","",IF(SUMPRODUCT(MAX((IND_PER&lt;=B475)*(IND_UF&lt;&gt;"")*IND_PER))=0,UF_HOY,INDEX(IND_UF,MATCH(SUMPRODUCT(MAX((IND_PER&lt;=B475)*(IND_UF&lt;&gt;"")*IND_PER)),IND_PER,0))))</f>
        <v/>
      </c>
      <c r="AK475" s="87" t="str">
        <f aca="false">IF(AH475="","",IF(COUNTIF(TASA_DESDE,"&lt;="&amp;B475)=0,INDEX(TASA_EMP,1),INDEX(TASA_EMP,COUNTIF(TASA_DESDE,"&lt;="&amp;B475))))</f>
        <v/>
      </c>
    </row>
    <row r="476" customFormat="false" ht="15" hidden="false" customHeight="false" outlineLevel="0" collapsed="false">
      <c r="B476" s="78"/>
      <c r="C476" s="64"/>
      <c r="D476" s="72" t="str">
        <f aca="false">IF(C476="","",IFERROR(INDEX(T_NOMBRE,MATCH(C476,T_ID,0)),"⚠ ID no existe"))</f>
        <v/>
      </c>
      <c r="E476" s="69"/>
      <c r="F476" s="67"/>
      <c r="G476" s="67"/>
      <c r="H476" s="67"/>
      <c r="I476" s="67"/>
      <c r="J476" s="67"/>
      <c r="K476" s="85" t="str">
        <f aca="false">IF(AH476="","",N(F476)+N(G476)+N(H476)-N(I476)+N(J476))</f>
        <v/>
      </c>
      <c r="L476" s="67"/>
      <c r="M476" s="67"/>
      <c r="N476" s="67"/>
      <c r="O476" s="67"/>
      <c r="P476" s="85" t="str">
        <f aca="false">IF(AH476="","",K476+N(L476)+N(M476)+N(N476)+N(O476))</f>
        <v/>
      </c>
      <c r="Q476" s="67"/>
      <c r="R476" s="67"/>
      <c r="S476" s="67"/>
      <c r="T476" s="67"/>
      <c r="U476" s="67"/>
      <c r="V476" s="67"/>
      <c r="W476" s="85" t="str">
        <f aca="false">IF(AH476="","",N(Q476)+N(R476)+N(S476)+N(T476)+N(U476)+N(V476))</f>
        <v/>
      </c>
      <c r="X476" s="85" t="str">
        <f aca="false">IF(AH476="","",P476-W476)</f>
        <v/>
      </c>
      <c r="Y476" s="67"/>
      <c r="Z476" s="70" t="str">
        <f aca="false">IF(OR(AH476="",Y476=""),"",IF(ABS(X476-Y476)&lt;=1,"✓ Cuadra","⚠ Diferencia $"&amp;FIXED(X476-Y476,0)))</f>
        <v/>
      </c>
      <c r="AA476" s="72" t="str">
        <f aca="false">IF(AH476="","",IFERROR(INDEX(C_TIPO,MATCH(C476&amp;"-P"&amp;MAX(1,COUNTIFS(C_ID,C476,C_DEFINE,"Sí",C_INICIO,"&lt;="&amp;EOMONTH(B476,0))),C_CLAVE,0))&amp;"","Sin dato"))</f>
        <v/>
      </c>
      <c r="AB476" s="71" t="str">
        <f aca="false">IF(AH476="","",ROUND(MIN(K476,TOPE_AFP_UF*AJ476)*AK476,0))</f>
        <v/>
      </c>
      <c r="AC476" s="71" t="str">
        <f aca="false">IF(AH476="","",ROUND(MIN(K476,TOPE_AFC_UF*AJ476)*IF(AA476="Indefinido",AFC_EMP_INDEF,AFC_EMP_PF),0))</f>
        <v/>
      </c>
      <c r="AD476" s="71" t="str">
        <f aca="false">IF(AH476="","",ROUND(MIN(K476,TOPE_AFP_UF*AJ476)*(MUTUAL_BASICA+MUTUAL_ADIC+SANNA),0))</f>
        <v/>
      </c>
      <c r="AE476" s="71" t="str">
        <f aca="false">IF(AH476="","",P476-N(N476)+AB476+AC476+AD476)</f>
        <v/>
      </c>
      <c r="AF476" s="65"/>
      <c r="AG476" s="64"/>
      <c r="AH476" s="72" t="str">
        <f aca="false">IF(OR(B476="",C476=""),"",C476&amp;"|"&amp;(YEAR(B476)*100+MONTH(B476)))</f>
        <v/>
      </c>
      <c r="AI476" s="70" t="str">
        <f aca="false">IF(AH476="","",IF(COUNTIF(L_CLAVE,AH476)&gt;1,"⚠ Duplicado","OK"))</f>
        <v/>
      </c>
      <c r="AJ476" s="86" t="str">
        <f aca="false">IF(AH476="","",IF(SUMPRODUCT(MAX((IND_PER&lt;=B476)*(IND_UF&lt;&gt;"")*IND_PER))=0,UF_HOY,INDEX(IND_UF,MATCH(SUMPRODUCT(MAX((IND_PER&lt;=B476)*(IND_UF&lt;&gt;"")*IND_PER)),IND_PER,0))))</f>
        <v/>
      </c>
      <c r="AK476" s="87" t="str">
        <f aca="false">IF(AH476="","",IF(COUNTIF(TASA_DESDE,"&lt;="&amp;B476)=0,INDEX(TASA_EMP,1),INDEX(TASA_EMP,COUNTIF(TASA_DESDE,"&lt;="&amp;B476))))</f>
        <v/>
      </c>
    </row>
    <row r="477" customFormat="false" ht="15" hidden="false" customHeight="false" outlineLevel="0" collapsed="false">
      <c r="B477" s="78"/>
      <c r="C477" s="64"/>
      <c r="D477" s="72" t="str">
        <f aca="false">IF(C477="","",IFERROR(INDEX(T_NOMBRE,MATCH(C477,T_ID,0)),"⚠ ID no existe"))</f>
        <v/>
      </c>
      <c r="E477" s="69"/>
      <c r="F477" s="67"/>
      <c r="G477" s="67"/>
      <c r="H477" s="67"/>
      <c r="I477" s="67"/>
      <c r="J477" s="67"/>
      <c r="K477" s="85" t="str">
        <f aca="false">IF(AH477="","",N(F477)+N(G477)+N(H477)-N(I477)+N(J477))</f>
        <v/>
      </c>
      <c r="L477" s="67"/>
      <c r="M477" s="67"/>
      <c r="N477" s="67"/>
      <c r="O477" s="67"/>
      <c r="P477" s="85" t="str">
        <f aca="false">IF(AH477="","",K477+N(L477)+N(M477)+N(N477)+N(O477))</f>
        <v/>
      </c>
      <c r="Q477" s="67"/>
      <c r="R477" s="67"/>
      <c r="S477" s="67"/>
      <c r="T477" s="67"/>
      <c r="U477" s="67"/>
      <c r="V477" s="67"/>
      <c r="W477" s="85" t="str">
        <f aca="false">IF(AH477="","",N(Q477)+N(R477)+N(S477)+N(T477)+N(U477)+N(V477))</f>
        <v/>
      </c>
      <c r="X477" s="85" t="str">
        <f aca="false">IF(AH477="","",P477-W477)</f>
        <v/>
      </c>
      <c r="Y477" s="67"/>
      <c r="Z477" s="70" t="str">
        <f aca="false">IF(OR(AH477="",Y477=""),"",IF(ABS(X477-Y477)&lt;=1,"✓ Cuadra","⚠ Diferencia $"&amp;FIXED(X477-Y477,0)))</f>
        <v/>
      </c>
      <c r="AA477" s="72" t="str">
        <f aca="false">IF(AH477="","",IFERROR(INDEX(C_TIPO,MATCH(C477&amp;"-P"&amp;MAX(1,COUNTIFS(C_ID,C477,C_DEFINE,"Sí",C_INICIO,"&lt;="&amp;EOMONTH(B477,0))),C_CLAVE,0))&amp;"","Sin dato"))</f>
        <v/>
      </c>
      <c r="AB477" s="71" t="str">
        <f aca="false">IF(AH477="","",ROUND(MIN(K477,TOPE_AFP_UF*AJ477)*AK477,0))</f>
        <v/>
      </c>
      <c r="AC477" s="71" t="str">
        <f aca="false">IF(AH477="","",ROUND(MIN(K477,TOPE_AFC_UF*AJ477)*IF(AA477="Indefinido",AFC_EMP_INDEF,AFC_EMP_PF),0))</f>
        <v/>
      </c>
      <c r="AD477" s="71" t="str">
        <f aca="false">IF(AH477="","",ROUND(MIN(K477,TOPE_AFP_UF*AJ477)*(MUTUAL_BASICA+MUTUAL_ADIC+SANNA),0))</f>
        <v/>
      </c>
      <c r="AE477" s="71" t="str">
        <f aca="false">IF(AH477="","",P477-N(N477)+AB477+AC477+AD477)</f>
        <v/>
      </c>
      <c r="AF477" s="65"/>
      <c r="AG477" s="64"/>
      <c r="AH477" s="72" t="str">
        <f aca="false">IF(OR(B477="",C477=""),"",C477&amp;"|"&amp;(YEAR(B477)*100+MONTH(B477)))</f>
        <v/>
      </c>
      <c r="AI477" s="70" t="str">
        <f aca="false">IF(AH477="","",IF(COUNTIF(L_CLAVE,AH477)&gt;1,"⚠ Duplicado","OK"))</f>
        <v/>
      </c>
      <c r="AJ477" s="86" t="str">
        <f aca="false">IF(AH477="","",IF(SUMPRODUCT(MAX((IND_PER&lt;=B477)*(IND_UF&lt;&gt;"")*IND_PER))=0,UF_HOY,INDEX(IND_UF,MATCH(SUMPRODUCT(MAX((IND_PER&lt;=B477)*(IND_UF&lt;&gt;"")*IND_PER)),IND_PER,0))))</f>
        <v/>
      </c>
      <c r="AK477" s="87" t="str">
        <f aca="false">IF(AH477="","",IF(COUNTIF(TASA_DESDE,"&lt;="&amp;B477)=0,INDEX(TASA_EMP,1),INDEX(TASA_EMP,COUNTIF(TASA_DESDE,"&lt;="&amp;B477))))</f>
        <v/>
      </c>
    </row>
    <row r="478" customFormat="false" ht="15" hidden="false" customHeight="false" outlineLevel="0" collapsed="false">
      <c r="B478" s="78"/>
      <c r="C478" s="64"/>
      <c r="D478" s="72" t="str">
        <f aca="false">IF(C478="","",IFERROR(INDEX(T_NOMBRE,MATCH(C478,T_ID,0)),"⚠ ID no existe"))</f>
        <v/>
      </c>
      <c r="E478" s="69"/>
      <c r="F478" s="67"/>
      <c r="G478" s="67"/>
      <c r="H478" s="67"/>
      <c r="I478" s="67"/>
      <c r="J478" s="67"/>
      <c r="K478" s="85" t="str">
        <f aca="false">IF(AH478="","",N(F478)+N(G478)+N(H478)-N(I478)+N(J478))</f>
        <v/>
      </c>
      <c r="L478" s="67"/>
      <c r="M478" s="67"/>
      <c r="N478" s="67"/>
      <c r="O478" s="67"/>
      <c r="P478" s="85" t="str">
        <f aca="false">IF(AH478="","",K478+N(L478)+N(M478)+N(N478)+N(O478))</f>
        <v/>
      </c>
      <c r="Q478" s="67"/>
      <c r="R478" s="67"/>
      <c r="S478" s="67"/>
      <c r="T478" s="67"/>
      <c r="U478" s="67"/>
      <c r="V478" s="67"/>
      <c r="W478" s="85" t="str">
        <f aca="false">IF(AH478="","",N(Q478)+N(R478)+N(S478)+N(T478)+N(U478)+N(V478))</f>
        <v/>
      </c>
      <c r="X478" s="85" t="str">
        <f aca="false">IF(AH478="","",P478-W478)</f>
        <v/>
      </c>
      <c r="Y478" s="67"/>
      <c r="Z478" s="70" t="str">
        <f aca="false">IF(OR(AH478="",Y478=""),"",IF(ABS(X478-Y478)&lt;=1,"✓ Cuadra","⚠ Diferencia $"&amp;FIXED(X478-Y478,0)))</f>
        <v/>
      </c>
      <c r="AA478" s="72" t="str">
        <f aca="false">IF(AH478="","",IFERROR(INDEX(C_TIPO,MATCH(C478&amp;"-P"&amp;MAX(1,COUNTIFS(C_ID,C478,C_DEFINE,"Sí",C_INICIO,"&lt;="&amp;EOMONTH(B478,0))),C_CLAVE,0))&amp;"","Sin dato"))</f>
        <v/>
      </c>
      <c r="AB478" s="71" t="str">
        <f aca="false">IF(AH478="","",ROUND(MIN(K478,TOPE_AFP_UF*AJ478)*AK478,0))</f>
        <v/>
      </c>
      <c r="AC478" s="71" t="str">
        <f aca="false">IF(AH478="","",ROUND(MIN(K478,TOPE_AFC_UF*AJ478)*IF(AA478="Indefinido",AFC_EMP_INDEF,AFC_EMP_PF),0))</f>
        <v/>
      </c>
      <c r="AD478" s="71" t="str">
        <f aca="false">IF(AH478="","",ROUND(MIN(K478,TOPE_AFP_UF*AJ478)*(MUTUAL_BASICA+MUTUAL_ADIC+SANNA),0))</f>
        <v/>
      </c>
      <c r="AE478" s="71" t="str">
        <f aca="false">IF(AH478="","",P478-N(N478)+AB478+AC478+AD478)</f>
        <v/>
      </c>
      <c r="AF478" s="65"/>
      <c r="AG478" s="64"/>
      <c r="AH478" s="72" t="str">
        <f aca="false">IF(OR(B478="",C478=""),"",C478&amp;"|"&amp;(YEAR(B478)*100+MONTH(B478)))</f>
        <v/>
      </c>
      <c r="AI478" s="70" t="str">
        <f aca="false">IF(AH478="","",IF(COUNTIF(L_CLAVE,AH478)&gt;1,"⚠ Duplicado","OK"))</f>
        <v/>
      </c>
      <c r="AJ478" s="86" t="str">
        <f aca="false">IF(AH478="","",IF(SUMPRODUCT(MAX((IND_PER&lt;=B478)*(IND_UF&lt;&gt;"")*IND_PER))=0,UF_HOY,INDEX(IND_UF,MATCH(SUMPRODUCT(MAX((IND_PER&lt;=B478)*(IND_UF&lt;&gt;"")*IND_PER)),IND_PER,0))))</f>
        <v/>
      </c>
      <c r="AK478" s="87" t="str">
        <f aca="false">IF(AH478="","",IF(COUNTIF(TASA_DESDE,"&lt;="&amp;B478)=0,INDEX(TASA_EMP,1),INDEX(TASA_EMP,COUNTIF(TASA_DESDE,"&lt;="&amp;B478))))</f>
        <v/>
      </c>
    </row>
    <row r="479" customFormat="false" ht="15" hidden="false" customHeight="false" outlineLevel="0" collapsed="false">
      <c r="B479" s="78"/>
      <c r="C479" s="64"/>
      <c r="D479" s="72" t="str">
        <f aca="false">IF(C479="","",IFERROR(INDEX(T_NOMBRE,MATCH(C479,T_ID,0)),"⚠ ID no existe"))</f>
        <v/>
      </c>
      <c r="E479" s="69"/>
      <c r="F479" s="67"/>
      <c r="G479" s="67"/>
      <c r="H479" s="67"/>
      <c r="I479" s="67"/>
      <c r="J479" s="67"/>
      <c r="K479" s="85" t="str">
        <f aca="false">IF(AH479="","",N(F479)+N(G479)+N(H479)-N(I479)+N(J479))</f>
        <v/>
      </c>
      <c r="L479" s="67"/>
      <c r="M479" s="67"/>
      <c r="N479" s="67"/>
      <c r="O479" s="67"/>
      <c r="P479" s="85" t="str">
        <f aca="false">IF(AH479="","",K479+N(L479)+N(M479)+N(N479)+N(O479))</f>
        <v/>
      </c>
      <c r="Q479" s="67"/>
      <c r="R479" s="67"/>
      <c r="S479" s="67"/>
      <c r="T479" s="67"/>
      <c r="U479" s="67"/>
      <c r="V479" s="67"/>
      <c r="W479" s="85" t="str">
        <f aca="false">IF(AH479="","",N(Q479)+N(R479)+N(S479)+N(T479)+N(U479)+N(V479))</f>
        <v/>
      </c>
      <c r="X479" s="85" t="str">
        <f aca="false">IF(AH479="","",P479-W479)</f>
        <v/>
      </c>
      <c r="Y479" s="67"/>
      <c r="Z479" s="70" t="str">
        <f aca="false">IF(OR(AH479="",Y479=""),"",IF(ABS(X479-Y479)&lt;=1,"✓ Cuadra","⚠ Diferencia $"&amp;FIXED(X479-Y479,0)))</f>
        <v/>
      </c>
      <c r="AA479" s="72" t="str">
        <f aca="false">IF(AH479="","",IFERROR(INDEX(C_TIPO,MATCH(C479&amp;"-P"&amp;MAX(1,COUNTIFS(C_ID,C479,C_DEFINE,"Sí",C_INICIO,"&lt;="&amp;EOMONTH(B479,0))),C_CLAVE,0))&amp;"","Sin dato"))</f>
        <v/>
      </c>
      <c r="AB479" s="71" t="str">
        <f aca="false">IF(AH479="","",ROUND(MIN(K479,TOPE_AFP_UF*AJ479)*AK479,0))</f>
        <v/>
      </c>
      <c r="AC479" s="71" t="str">
        <f aca="false">IF(AH479="","",ROUND(MIN(K479,TOPE_AFC_UF*AJ479)*IF(AA479="Indefinido",AFC_EMP_INDEF,AFC_EMP_PF),0))</f>
        <v/>
      </c>
      <c r="AD479" s="71" t="str">
        <f aca="false">IF(AH479="","",ROUND(MIN(K479,TOPE_AFP_UF*AJ479)*(MUTUAL_BASICA+MUTUAL_ADIC+SANNA),0))</f>
        <v/>
      </c>
      <c r="AE479" s="71" t="str">
        <f aca="false">IF(AH479="","",P479-N(N479)+AB479+AC479+AD479)</f>
        <v/>
      </c>
      <c r="AF479" s="65"/>
      <c r="AG479" s="64"/>
      <c r="AH479" s="72" t="str">
        <f aca="false">IF(OR(B479="",C479=""),"",C479&amp;"|"&amp;(YEAR(B479)*100+MONTH(B479)))</f>
        <v/>
      </c>
      <c r="AI479" s="70" t="str">
        <f aca="false">IF(AH479="","",IF(COUNTIF(L_CLAVE,AH479)&gt;1,"⚠ Duplicado","OK"))</f>
        <v/>
      </c>
      <c r="AJ479" s="86" t="str">
        <f aca="false">IF(AH479="","",IF(SUMPRODUCT(MAX((IND_PER&lt;=B479)*(IND_UF&lt;&gt;"")*IND_PER))=0,UF_HOY,INDEX(IND_UF,MATCH(SUMPRODUCT(MAX((IND_PER&lt;=B479)*(IND_UF&lt;&gt;"")*IND_PER)),IND_PER,0))))</f>
        <v/>
      </c>
      <c r="AK479" s="87" t="str">
        <f aca="false">IF(AH479="","",IF(COUNTIF(TASA_DESDE,"&lt;="&amp;B479)=0,INDEX(TASA_EMP,1),INDEX(TASA_EMP,COUNTIF(TASA_DESDE,"&lt;="&amp;B479))))</f>
        <v/>
      </c>
    </row>
    <row r="480" customFormat="false" ht="15" hidden="false" customHeight="false" outlineLevel="0" collapsed="false">
      <c r="B480" s="78"/>
      <c r="C480" s="64"/>
      <c r="D480" s="72" t="str">
        <f aca="false">IF(C480="","",IFERROR(INDEX(T_NOMBRE,MATCH(C480,T_ID,0)),"⚠ ID no existe"))</f>
        <v/>
      </c>
      <c r="E480" s="69"/>
      <c r="F480" s="67"/>
      <c r="G480" s="67"/>
      <c r="H480" s="67"/>
      <c r="I480" s="67"/>
      <c r="J480" s="67"/>
      <c r="K480" s="85" t="str">
        <f aca="false">IF(AH480="","",N(F480)+N(G480)+N(H480)-N(I480)+N(J480))</f>
        <v/>
      </c>
      <c r="L480" s="67"/>
      <c r="M480" s="67"/>
      <c r="N480" s="67"/>
      <c r="O480" s="67"/>
      <c r="P480" s="85" t="str">
        <f aca="false">IF(AH480="","",K480+N(L480)+N(M480)+N(N480)+N(O480))</f>
        <v/>
      </c>
      <c r="Q480" s="67"/>
      <c r="R480" s="67"/>
      <c r="S480" s="67"/>
      <c r="T480" s="67"/>
      <c r="U480" s="67"/>
      <c r="V480" s="67"/>
      <c r="W480" s="85" t="str">
        <f aca="false">IF(AH480="","",N(Q480)+N(R480)+N(S480)+N(T480)+N(U480)+N(V480))</f>
        <v/>
      </c>
      <c r="X480" s="85" t="str">
        <f aca="false">IF(AH480="","",P480-W480)</f>
        <v/>
      </c>
      <c r="Y480" s="67"/>
      <c r="Z480" s="70" t="str">
        <f aca="false">IF(OR(AH480="",Y480=""),"",IF(ABS(X480-Y480)&lt;=1,"✓ Cuadra","⚠ Diferencia $"&amp;FIXED(X480-Y480,0)))</f>
        <v/>
      </c>
      <c r="AA480" s="72" t="str">
        <f aca="false">IF(AH480="","",IFERROR(INDEX(C_TIPO,MATCH(C480&amp;"-P"&amp;MAX(1,COUNTIFS(C_ID,C480,C_DEFINE,"Sí",C_INICIO,"&lt;="&amp;EOMONTH(B480,0))),C_CLAVE,0))&amp;"","Sin dato"))</f>
        <v/>
      </c>
      <c r="AB480" s="71" t="str">
        <f aca="false">IF(AH480="","",ROUND(MIN(K480,TOPE_AFP_UF*AJ480)*AK480,0))</f>
        <v/>
      </c>
      <c r="AC480" s="71" t="str">
        <f aca="false">IF(AH480="","",ROUND(MIN(K480,TOPE_AFC_UF*AJ480)*IF(AA480="Indefinido",AFC_EMP_INDEF,AFC_EMP_PF),0))</f>
        <v/>
      </c>
      <c r="AD480" s="71" t="str">
        <f aca="false">IF(AH480="","",ROUND(MIN(K480,TOPE_AFP_UF*AJ480)*(MUTUAL_BASICA+MUTUAL_ADIC+SANNA),0))</f>
        <v/>
      </c>
      <c r="AE480" s="71" t="str">
        <f aca="false">IF(AH480="","",P480-N(N480)+AB480+AC480+AD480)</f>
        <v/>
      </c>
      <c r="AF480" s="65"/>
      <c r="AG480" s="64"/>
      <c r="AH480" s="72" t="str">
        <f aca="false">IF(OR(B480="",C480=""),"",C480&amp;"|"&amp;(YEAR(B480)*100+MONTH(B480)))</f>
        <v/>
      </c>
      <c r="AI480" s="70" t="str">
        <f aca="false">IF(AH480="","",IF(COUNTIF(L_CLAVE,AH480)&gt;1,"⚠ Duplicado","OK"))</f>
        <v/>
      </c>
      <c r="AJ480" s="86" t="str">
        <f aca="false">IF(AH480="","",IF(SUMPRODUCT(MAX((IND_PER&lt;=B480)*(IND_UF&lt;&gt;"")*IND_PER))=0,UF_HOY,INDEX(IND_UF,MATCH(SUMPRODUCT(MAX((IND_PER&lt;=B480)*(IND_UF&lt;&gt;"")*IND_PER)),IND_PER,0))))</f>
        <v/>
      </c>
      <c r="AK480" s="87" t="str">
        <f aca="false">IF(AH480="","",IF(COUNTIF(TASA_DESDE,"&lt;="&amp;B480)=0,INDEX(TASA_EMP,1),INDEX(TASA_EMP,COUNTIF(TASA_DESDE,"&lt;="&amp;B480))))</f>
        <v/>
      </c>
    </row>
    <row r="481" customFormat="false" ht="15" hidden="false" customHeight="false" outlineLevel="0" collapsed="false">
      <c r="B481" s="78"/>
      <c r="C481" s="64"/>
      <c r="D481" s="72" t="str">
        <f aca="false">IF(C481="","",IFERROR(INDEX(T_NOMBRE,MATCH(C481,T_ID,0)),"⚠ ID no existe"))</f>
        <v/>
      </c>
      <c r="E481" s="69"/>
      <c r="F481" s="67"/>
      <c r="G481" s="67"/>
      <c r="H481" s="67"/>
      <c r="I481" s="67"/>
      <c r="J481" s="67"/>
      <c r="K481" s="85" t="str">
        <f aca="false">IF(AH481="","",N(F481)+N(G481)+N(H481)-N(I481)+N(J481))</f>
        <v/>
      </c>
      <c r="L481" s="67"/>
      <c r="M481" s="67"/>
      <c r="N481" s="67"/>
      <c r="O481" s="67"/>
      <c r="P481" s="85" t="str">
        <f aca="false">IF(AH481="","",K481+N(L481)+N(M481)+N(N481)+N(O481))</f>
        <v/>
      </c>
      <c r="Q481" s="67"/>
      <c r="R481" s="67"/>
      <c r="S481" s="67"/>
      <c r="T481" s="67"/>
      <c r="U481" s="67"/>
      <c r="V481" s="67"/>
      <c r="W481" s="85" t="str">
        <f aca="false">IF(AH481="","",N(Q481)+N(R481)+N(S481)+N(T481)+N(U481)+N(V481))</f>
        <v/>
      </c>
      <c r="X481" s="85" t="str">
        <f aca="false">IF(AH481="","",P481-W481)</f>
        <v/>
      </c>
      <c r="Y481" s="67"/>
      <c r="Z481" s="70" t="str">
        <f aca="false">IF(OR(AH481="",Y481=""),"",IF(ABS(X481-Y481)&lt;=1,"✓ Cuadra","⚠ Diferencia $"&amp;FIXED(X481-Y481,0)))</f>
        <v/>
      </c>
      <c r="AA481" s="72" t="str">
        <f aca="false">IF(AH481="","",IFERROR(INDEX(C_TIPO,MATCH(C481&amp;"-P"&amp;MAX(1,COUNTIFS(C_ID,C481,C_DEFINE,"Sí",C_INICIO,"&lt;="&amp;EOMONTH(B481,0))),C_CLAVE,0))&amp;"","Sin dato"))</f>
        <v/>
      </c>
      <c r="AB481" s="71" t="str">
        <f aca="false">IF(AH481="","",ROUND(MIN(K481,TOPE_AFP_UF*AJ481)*AK481,0))</f>
        <v/>
      </c>
      <c r="AC481" s="71" t="str">
        <f aca="false">IF(AH481="","",ROUND(MIN(K481,TOPE_AFC_UF*AJ481)*IF(AA481="Indefinido",AFC_EMP_INDEF,AFC_EMP_PF),0))</f>
        <v/>
      </c>
      <c r="AD481" s="71" t="str">
        <f aca="false">IF(AH481="","",ROUND(MIN(K481,TOPE_AFP_UF*AJ481)*(MUTUAL_BASICA+MUTUAL_ADIC+SANNA),0))</f>
        <v/>
      </c>
      <c r="AE481" s="71" t="str">
        <f aca="false">IF(AH481="","",P481-N(N481)+AB481+AC481+AD481)</f>
        <v/>
      </c>
      <c r="AF481" s="65"/>
      <c r="AG481" s="64"/>
      <c r="AH481" s="72" t="str">
        <f aca="false">IF(OR(B481="",C481=""),"",C481&amp;"|"&amp;(YEAR(B481)*100+MONTH(B481)))</f>
        <v/>
      </c>
      <c r="AI481" s="70" t="str">
        <f aca="false">IF(AH481="","",IF(COUNTIF(L_CLAVE,AH481)&gt;1,"⚠ Duplicado","OK"))</f>
        <v/>
      </c>
      <c r="AJ481" s="86" t="str">
        <f aca="false">IF(AH481="","",IF(SUMPRODUCT(MAX((IND_PER&lt;=B481)*(IND_UF&lt;&gt;"")*IND_PER))=0,UF_HOY,INDEX(IND_UF,MATCH(SUMPRODUCT(MAX((IND_PER&lt;=B481)*(IND_UF&lt;&gt;"")*IND_PER)),IND_PER,0))))</f>
        <v/>
      </c>
      <c r="AK481" s="87" t="str">
        <f aca="false">IF(AH481="","",IF(COUNTIF(TASA_DESDE,"&lt;="&amp;B481)=0,INDEX(TASA_EMP,1),INDEX(TASA_EMP,COUNTIF(TASA_DESDE,"&lt;="&amp;B481))))</f>
        <v/>
      </c>
    </row>
    <row r="482" customFormat="false" ht="15" hidden="false" customHeight="false" outlineLevel="0" collapsed="false">
      <c r="B482" s="78"/>
      <c r="C482" s="64"/>
      <c r="D482" s="72" t="str">
        <f aca="false">IF(C482="","",IFERROR(INDEX(T_NOMBRE,MATCH(C482,T_ID,0)),"⚠ ID no existe"))</f>
        <v/>
      </c>
      <c r="E482" s="69"/>
      <c r="F482" s="67"/>
      <c r="G482" s="67"/>
      <c r="H482" s="67"/>
      <c r="I482" s="67"/>
      <c r="J482" s="67"/>
      <c r="K482" s="85" t="str">
        <f aca="false">IF(AH482="","",N(F482)+N(G482)+N(H482)-N(I482)+N(J482))</f>
        <v/>
      </c>
      <c r="L482" s="67"/>
      <c r="M482" s="67"/>
      <c r="N482" s="67"/>
      <c r="O482" s="67"/>
      <c r="P482" s="85" t="str">
        <f aca="false">IF(AH482="","",K482+N(L482)+N(M482)+N(N482)+N(O482))</f>
        <v/>
      </c>
      <c r="Q482" s="67"/>
      <c r="R482" s="67"/>
      <c r="S482" s="67"/>
      <c r="T482" s="67"/>
      <c r="U482" s="67"/>
      <c r="V482" s="67"/>
      <c r="W482" s="85" t="str">
        <f aca="false">IF(AH482="","",N(Q482)+N(R482)+N(S482)+N(T482)+N(U482)+N(V482))</f>
        <v/>
      </c>
      <c r="X482" s="85" t="str">
        <f aca="false">IF(AH482="","",P482-W482)</f>
        <v/>
      </c>
      <c r="Y482" s="67"/>
      <c r="Z482" s="70" t="str">
        <f aca="false">IF(OR(AH482="",Y482=""),"",IF(ABS(X482-Y482)&lt;=1,"✓ Cuadra","⚠ Diferencia $"&amp;FIXED(X482-Y482,0)))</f>
        <v/>
      </c>
      <c r="AA482" s="72" t="str">
        <f aca="false">IF(AH482="","",IFERROR(INDEX(C_TIPO,MATCH(C482&amp;"-P"&amp;MAX(1,COUNTIFS(C_ID,C482,C_DEFINE,"Sí",C_INICIO,"&lt;="&amp;EOMONTH(B482,0))),C_CLAVE,0))&amp;"","Sin dato"))</f>
        <v/>
      </c>
      <c r="AB482" s="71" t="str">
        <f aca="false">IF(AH482="","",ROUND(MIN(K482,TOPE_AFP_UF*AJ482)*AK482,0))</f>
        <v/>
      </c>
      <c r="AC482" s="71" t="str">
        <f aca="false">IF(AH482="","",ROUND(MIN(K482,TOPE_AFC_UF*AJ482)*IF(AA482="Indefinido",AFC_EMP_INDEF,AFC_EMP_PF),0))</f>
        <v/>
      </c>
      <c r="AD482" s="71" t="str">
        <f aca="false">IF(AH482="","",ROUND(MIN(K482,TOPE_AFP_UF*AJ482)*(MUTUAL_BASICA+MUTUAL_ADIC+SANNA),0))</f>
        <v/>
      </c>
      <c r="AE482" s="71" t="str">
        <f aca="false">IF(AH482="","",P482-N(N482)+AB482+AC482+AD482)</f>
        <v/>
      </c>
      <c r="AF482" s="65"/>
      <c r="AG482" s="64"/>
      <c r="AH482" s="72" t="str">
        <f aca="false">IF(OR(B482="",C482=""),"",C482&amp;"|"&amp;(YEAR(B482)*100+MONTH(B482)))</f>
        <v/>
      </c>
      <c r="AI482" s="70" t="str">
        <f aca="false">IF(AH482="","",IF(COUNTIF(L_CLAVE,AH482)&gt;1,"⚠ Duplicado","OK"))</f>
        <v/>
      </c>
      <c r="AJ482" s="86" t="str">
        <f aca="false">IF(AH482="","",IF(SUMPRODUCT(MAX((IND_PER&lt;=B482)*(IND_UF&lt;&gt;"")*IND_PER))=0,UF_HOY,INDEX(IND_UF,MATCH(SUMPRODUCT(MAX((IND_PER&lt;=B482)*(IND_UF&lt;&gt;"")*IND_PER)),IND_PER,0))))</f>
        <v/>
      </c>
      <c r="AK482" s="87" t="str">
        <f aca="false">IF(AH482="","",IF(COUNTIF(TASA_DESDE,"&lt;="&amp;B482)=0,INDEX(TASA_EMP,1),INDEX(TASA_EMP,COUNTIF(TASA_DESDE,"&lt;="&amp;B482))))</f>
        <v/>
      </c>
    </row>
    <row r="483" customFormat="false" ht="15" hidden="false" customHeight="false" outlineLevel="0" collapsed="false">
      <c r="B483" s="78"/>
      <c r="C483" s="64"/>
      <c r="D483" s="72" t="str">
        <f aca="false">IF(C483="","",IFERROR(INDEX(T_NOMBRE,MATCH(C483,T_ID,0)),"⚠ ID no existe"))</f>
        <v/>
      </c>
      <c r="E483" s="69"/>
      <c r="F483" s="67"/>
      <c r="G483" s="67"/>
      <c r="H483" s="67"/>
      <c r="I483" s="67"/>
      <c r="J483" s="67"/>
      <c r="K483" s="85" t="str">
        <f aca="false">IF(AH483="","",N(F483)+N(G483)+N(H483)-N(I483)+N(J483))</f>
        <v/>
      </c>
      <c r="L483" s="67"/>
      <c r="M483" s="67"/>
      <c r="N483" s="67"/>
      <c r="O483" s="67"/>
      <c r="P483" s="85" t="str">
        <f aca="false">IF(AH483="","",K483+N(L483)+N(M483)+N(N483)+N(O483))</f>
        <v/>
      </c>
      <c r="Q483" s="67"/>
      <c r="R483" s="67"/>
      <c r="S483" s="67"/>
      <c r="T483" s="67"/>
      <c r="U483" s="67"/>
      <c r="V483" s="67"/>
      <c r="W483" s="85" t="str">
        <f aca="false">IF(AH483="","",N(Q483)+N(R483)+N(S483)+N(T483)+N(U483)+N(V483))</f>
        <v/>
      </c>
      <c r="X483" s="85" t="str">
        <f aca="false">IF(AH483="","",P483-W483)</f>
        <v/>
      </c>
      <c r="Y483" s="67"/>
      <c r="Z483" s="70" t="str">
        <f aca="false">IF(OR(AH483="",Y483=""),"",IF(ABS(X483-Y483)&lt;=1,"✓ Cuadra","⚠ Diferencia $"&amp;FIXED(X483-Y483,0)))</f>
        <v/>
      </c>
      <c r="AA483" s="72" t="str">
        <f aca="false">IF(AH483="","",IFERROR(INDEX(C_TIPO,MATCH(C483&amp;"-P"&amp;MAX(1,COUNTIFS(C_ID,C483,C_DEFINE,"Sí",C_INICIO,"&lt;="&amp;EOMONTH(B483,0))),C_CLAVE,0))&amp;"","Sin dato"))</f>
        <v/>
      </c>
      <c r="AB483" s="71" t="str">
        <f aca="false">IF(AH483="","",ROUND(MIN(K483,TOPE_AFP_UF*AJ483)*AK483,0))</f>
        <v/>
      </c>
      <c r="AC483" s="71" t="str">
        <f aca="false">IF(AH483="","",ROUND(MIN(K483,TOPE_AFC_UF*AJ483)*IF(AA483="Indefinido",AFC_EMP_INDEF,AFC_EMP_PF),0))</f>
        <v/>
      </c>
      <c r="AD483" s="71" t="str">
        <f aca="false">IF(AH483="","",ROUND(MIN(K483,TOPE_AFP_UF*AJ483)*(MUTUAL_BASICA+MUTUAL_ADIC+SANNA),0))</f>
        <v/>
      </c>
      <c r="AE483" s="71" t="str">
        <f aca="false">IF(AH483="","",P483-N(N483)+AB483+AC483+AD483)</f>
        <v/>
      </c>
      <c r="AF483" s="65"/>
      <c r="AG483" s="64"/>
      <c r="AH483" s="72" t="str">
        <f aca="false">IF(OR(B483="",C483=""),"",C483&amp;"|"&amp;(YEAR(B483)*100+MONTH(B483)))</f>
        <v/>
      </c>
      <c r="AI483" s="70" t="str">
        <f aca="false">IF(AH483="","",IF(COUNTIF(L_CLAVE,AH483)&gt;1,"⚠ Duplicado","OK"))</f>
        <v/>
      </c>
      <c r="AJ483" s="86" t="str">
        <f aca="false">IF(AH483="","",IF(SUMPRODUCT(MAX((IND_PER&lt;=B483)*(IND_UF&lt;&gt;"")*IND_PER))=0,UF_HOY,INDEX(IND_UF,MATCH(SUMPRODUCT(MAX((IND_PER&lt;=B483)*(IND_UF&lt;&gt;"")*IND_PER)),IND_PER,0))))</f>
        <v/>
      </c>
      <c r="AK483" s="87" t="str">
        <f aca="false">IF(AH483="","",IF(COUNTIF(TASA_DESDE,"&lt;="&amp;B483)=0,INDEX(TASA_EMP,1),INDEX(TASA_EMP,COUNTIF(TASA_DESDE,"&lt;="&amp;B483))))</f>
        <v/>
      </c>
    </row>
    <row r="484" customFormat="false" ht="15" hidden="false" customHeight="false" outlineLevel="0" collapsed="false">
      <c r="B484" s="78"/>
      <c r="C484" s="64"/>
      <c r="D484" s="72" t="str">
        <f aca="false">IF(C484="","",IFERROR(INDEX(T_NOMBRE,MATCH(C484,T_ID,0)),"⚠ ID no existe"))</f>
        <v/>
      </c>
      <c r="E484" s="69"/>
      <c r="F484" s="67"/>
      <c r="G484" s="67"/>
      <c r="H484" s="67"/>
      <c r="I484" s="67"/>
      <c r="J484" s="67"/>
      <c r="K484" s="85" t="str">
        <f aca="false">IF(AH484="","",N(F484)+N(G484)+N(H484)-N(I484)+N(J484))</f>
        <v/>
      </c>
      <c r="L484" s="67"/>
      <c r="M484" s="67"/>
      <c r="N484" s="67"/>
      <c r="O484" s="67"/>
      <c r="P484" s="85" t="str">
        <f aca="false">IF(AH484="","",K484+N(L484)+N(M484)+N(N484)+N(O484))</f>
        <v/>
      </c>
      <c r="Q484" s="67"/>
      <c r="R484" s="67"/>
      <c r="S484" s="67"/>
      <c r="T484" s="67"/>
      <c r="U484" s="67"/>
      <c r="V484" s="67"/>
      <c r="W484" s="85" t="str">
        <f aca="false">IF(AH484="","",N(Q484)+N(R484)+N(S484)+N(T484)+N(U484)+N(V484))</f>
        <v/>
      </c>
      <c r="X484" s="85" t="str">
        <f aca="false">IF(AH484="","",P484-W484)</f>
        <v/>
      </c>
      <c r="Y484" s="67"/>
      <c r="Z484" s="70" t="str">
        <f aca="false">IF(OR(AH484="",Y484=""),"",IF(ABS(X484-Y484)&lt;=1,"✓ Cuadra","⚠ Diferencia $"&amp;FIXED(X484-Y484,0)))</f>
        <v/>
      </c>
      <c r="AA484" s="72" t="str">
        <f aca="false">IF(AH484="","",IFERROR(INDEX(C_TIPO,MATCH(C484&amp;"-P"&amp;MAX(1,COUNTIFS(C_ID,C484,C_DEFINE,"Sí",C_INICIO,"&lt;="&amp;EOMONTH(B484,0))),C_CLAVE,0))&amp;"","Sin dato"))</f>
        <v/>
      </c>
      <c r="AB484" s="71" t="str">
        <f aca="false">IF(AH484="","",ROUND(MIN(K484,TOPE_AFP_UF*AJ484)*AK484,0))</f>
        <v/>
      </c>
      <c r="AC484" s="71" t="str">
        <f aca="false">IF(AH484="","",ROUND(MIN(K484,TOPE_AFC_UF*AJ484)*IF(AA484="Indefinido",AFC_EMP_INDEF,AFC_EMP_PF),0))</f>
        <v/>
      </c>
      <c r="AD484" s="71" t="str">
        <f aca="false">IF(AH484="","",ROUND(MIN(K484,TOPE_AFP_UF*AJ484)*(MUTUAL_BASICA+MUTUAL_ADIC+SANNA),0))</f>
        <v/>
      </c>
      <c r="AE484" s="71" t="str">
        <f aca="false">IF(AH484="","",P484-N(N484)+AB484+AC484+AD484)</f>
        <v/>
      </c>
      <c r="AF484" s="65"/>
      <c r="AG484" s="64"/>
      <c r="AH484" s="72" t="str">
        <f aca="false">IF(OR(B484="",C484=""),"",C484&amp;"|"&amp;(YEAR(B484)*100+MONTH(B484)))</f>
        <v/>
      </c>
      <c r="AI484" s="70" t="str">
        <f aca="false">IF(AH484="","",IF(COUNTIF(L_CLAVE,AH484)&gt;1,"⚠ Duplicado","OK"))</f>
        <v/>
      </c>
      <c r="AJ484" s="86" t="str">
        <f aca="false">IF(AH484="","",IF(SUMPRODUCT(MAX((IND_PER&lt;=B484)*(IND_UF&lt;&gt;"")*IND_PER))=0,UF_HOY,INDEX(IND_UF,MATCH(SUMPRODUCT(MAX((IND_PER&lt;=B484)*(IND_UF&lt;&gt;"")*IND_PER)),IND_PER,0))))</f>
        <v/>
      </c>
      <c r="AK484" s="87" t="str">
        <f aca="false">IF(AH484="","",IF(COUNTIF(TASA_DESDE,"&lt;="&amp;B484)=0,INDEX(TASA_EMP,1),INDEX(TASA_EMP,COUNTIF(TASA_DESDE,"&lt;="&amp;B484))))</f>
        <v/>
      </c>
    </row>
    <row r="485" customFormat="false" ht="15" hidden="false" customHeight="false" outlineLevel="0" collapsed="false">
      <c r="B485" s="78"/>
      <c r="C485" s="64"/>
      <c r="D485" s="72" t="str">
        <f aca="false">IF(C485="","",IFERROR(INDEX(T_NOMBRE,MATCH(C485,T_ID,0)),"⚠ ID no existe"))</f>
        <v/>
      </c>
      <c r="E485" s="69"/>
      <c r="F485" s="67"/>
      <c r="G485" s="67"/>
      <c r="H485" s="67"/>
      <c r="I485" s="67"/>
      <c r="J485" s="67"/>
      <c r="K485" s="85" t="str">
        <f aca="false">IF(AH485="","",N(F485)+N(G485)+N(H485)-N(I485)+N(J485))</f>
        <v/>
      </c>
      <c r="L485" s="67"/>
      <c r="M485" s="67"/>
      <c r="N485" s="67"/>
      <c r="O485" s="67"/>
      <c r="P485" s="85" t="str">
        <f aca="false">IF(AH485="","",K485+N(L485)+N(M485)+N(N485)+N(O485))</f>
        <v/>
      </c>
      <c r="Q485" s="67"/>
      <c r="R485" s="67"/>
      <c r="S485" s="67"/>
      <c r="T485" s="67"/>
      <c r="U485" s="67"/>
      <c r="V485" s="67"/>
      <c r="W485" s="85" t="str">
        <f aca="false">IF(AH485="","",N(Q485)+N(R485)+N(S485)+N(T485)+N(U485)+N(V485))</f>
        <v/>
      </c>
      <c r="X485" s="85" t="str">
        <f aca="false">IF(AH485="","",P485-W485)</f>
        <v/>
      </c>
      <c r="Y485" s="67"/>
      <c r="Z485" s="70" t="str">
        <f aca="false">IF(OR(AH485="",Y485=""),"",IF(ABS(X485-Y485)&lt;=1,"✓ Cuadra","⚠ Diferencia $"&amp;FIXED(X485-Y485,0)))</f>
        <v/>
      </c>
      <c r="AA485" s="72" t="str">
        <f aca="false">IF(AH485="","",IFERROR(INDEX(C_TIPO,MATCH(C485&amp;"-P"&amp;MAX(1,COUNTIFS(C_ID,C485,C_DEFINE,"Sí",C_INICIO,"&lt;="&amp;EOMONTH(B485,0))),C_CLAVE,0))&amp;"","Sin dato"))</f>
        <v/>
      </c>
      <c r="AB485" s="71" t="str">
        <f aca="false">IF(AH485="","",ROUND(MIN(K485,TOPE_AFP_UF*AJ485)*AK485,0))</f>
        <v/>
      </c>
      <c r="AC485" s="71" t="str">
        <f aca="false">IF(AH485="","",ROUND(MIN(K485,TOPE_AFC_UF*AJ485)*IF(AA485="Indefinido",AFC_EMP_INDEF,AFC_EMP_PF),0))</f>
        <v/>
      </c>
      <c r="AD485" s="71" t="str">
        <f aca="false">IF(AH485="","",ROUND(MIN(K485,TOPE_AFP_UF*AJ485)*(MUTUAL_BASICA+MUTUAL_ADIC+SANNA),0))</f>
        <v/>
      </c>
      <c r="AE485" s="71" t="str">
        <f aca="false">IF(AH485="","",P485-N(N485)+AB485+AC485+AD485)</f>
        <v/>
      </c>
      <c r="AF485" s="65"/>
      <c r="AG485" s="64"/>
      <c r="AH485" s="72" t="str">
        <f aca="false">IF(OR(B485="",C485=""),"",C485&amp;"|"&amp;(YEAR(B485)*100+MONTH(B485)))</f>
        <v/>
      </c>
      <c r="AI485" s="70" t="str">
        <f aca="false">IF(AH485="","",IF(COUNTIF(L_CLAVE,AH485)&gt;1,"⚠ Duplicado","OK"))</f>
        <v/>
      </c>
      <c r="AJ485" s="86" t="str">
        <f aca="false">IF(AH485="","",IF(SUMPRODUCT(MAX((IND_PER&lt;=B485)*(IND_UF&lt;&gt;"")*IND_PER))=0,UF_HOY,INDEX(IND_UF,MATCH(SUMPRODUCT(MAX((IND_PER&lt;=B485)*(IND_UF&lt;&gt;"")*IND_PER)),IND_PER,0))))</f>
        <v/>
      </c>
      <c r="AK485" s="87" t="str">
        <f aca="false">IF(AH485="","",IF(COUNTIF(TASA_DESDE,"&lt;="&amp;B485)=0,INDEX(TASA_EMP,1),INDEX(TASA_EMP,COUNTIF(TASA_DESDE,"&lt;="&amp;B485))))</f>
        <v/>
      </c>
    </row>
    <row r="486" customFormat="false" ht="15" hidden="false" customHeight="false" outlineLevel="0" collapsed="false">
      <c r="B486" s="78"/>
      <c r="C486" s="64"/>
      <c r="D486" s="72" t="str">
        <f aca="false">IF(C486="","",IFERROR(INDEX(T_NOMBRE,MATCH(C486,T_ID,0)),"⚠ ID no existe"))</f>
        <v/>
      </c>
      <c r="E486" s="69"/>
      <c r="F486" s="67"/>
      <c r="G486" s="67"/>
      <c r="H486" s="67"/>
      <c r="I486" s="67"/>
      <c r="J486" s="67"/>
      <c r="K486" s="85" t="str">
        <f aca="false">IF(AH486="","",N(F486)+N(G486)+N(H486)-N(I486)+N(J486))</f>
        <v/>
      </c>
      <c r="L486" s="67"/>
      <c r="M486" s="67"/>
      <c r="N486" s="67"/>
      <c r="O486" s="67"/>
      <c r="P486" s="85" t="str">
        <f aca="false">IF(AH486="","",K486+N(L486)+N(M486)+N(N486)+N(O486))</f>
        <v/>
      </c>
      <c r="Q486" s="67"/>
      <c r="R486" s="67"/>
      <c r="S486" s="67"/>
      <c r="T486" s="67"/>
      <c r="U486" s="67"/>
      <c r="V486" s="67"/>
      <c r="W486" s="85" t="str">
        <f aca="false">IF(AH486="","",N(Q486)+N(R486)+N(S486)+N(T486)+N(U486)+N(V486))</f>
        <v/>
      </c>
      <c r="X486" s="85" t="str">
        <f aca="false">IF(AH486="","",P486-W486)</f>
        <v/>
      </c>
      <c r="Y486" s="67"/>
      <c r="Z486" s="70" t="str">
        <f aca="false">IF(OR(AH486="",Y486=""),"",IF(ABS(X486-Y486)&lt;=1,"✓ Cuadra","⚠ Diferencia $"&amp;FIXED(X486-Y486,0)))</f>
        <v/>
      </c>
      <c r="AA486" s="72" t="str">
        <f aca="false">IF(AH486="","",IFERROR(INDEX(C_TIPO,MATCH(C486&amp;"-P"&amp;MAX(1,COUNTIFS(C_ID,C486,C_DEFINE,"Sí",C_INICIO,"&lt;="&amp;EOMONTH(B486,0))),C_CLAVE,0))&amp;"","Sin dato"))</f>
        <v/>
      </c>
      <c r="AB486" s="71" t="str">
        <f aca="false">IF(AH486="","",ROUND(MIN(K486,TOPE_AFP_UF*AJ486)*AK486,0))</f>
        <v/>
      </c>
      <c r="AC486" s="71" t="str">
        <f aca="false">IF(AH486="","",ROUND(MIN(K486,TOPE_AFC_UF*AJ486)*IF(AA486="Indefinido",AFC_EMP_INDEF,AFC_EMP_PF),0))</f>
        <v/>
      </c>
      <c r="AD486" s="71" t="str">
        <f aca="false">IF(AH486="","",ROUND(MIN(K486,TOPE_AFP_UF*AJ486)*(MUTUAL_BASICA+MUTUAL_ADIC+SANNA),0))</f>
        <v/>
      </c>
      <c r="AE486" s="71" t="str">
        <f aca="false">IF(AH486="","",P486-N(N486)+AB486+AC486+AD486)</f>
        <v/>
      </c>
      <c r="AF486" s="65"/>
      <c r="AG486" s="64"/>
      <c r="AH486" s="72" t="str">
        <f aca="false">IF(OR(B486="",C486=""),"",C486&amp;"|"&amp;(YEAR(B486)*100+MONTH(B486)))</f>
        <v/>
      </c>
      <c r="AI486" s="70" t="str">
        <f aca="false">IF(AH486="","",IF(COUNTIF(L_CLAVE,AH486)&gt;1,"⚠ Duplicado","OK"))</f>
        <v/>
      </c>
      <c r="AJ486" s="86" t="str">
        <f aca="false">IF(AH486="","",IF(SUMPRODUCT(MAX((IND_PER&lt;=B486)*(IND_UF&lt;&gt;"")*IND_PER))=0,UF_HOY,INDEX(IND_UF,MATCH(SUMPRODUCT(MAX((IND_PER&lt;=B486)*(IND_UF&lt;&gt;"")*IND_PER)),IND_PER,0))))</f>
        <v/>
      </c>
      <c r="AK486" s="87" t="str">
        <f aca="false">IF(AH486="","",IF(COUNTIF(TASA_DESDE,"&lt;="&amp;B486)=0,INDEX(TASA_EMP,1),INDEX(TASA_EMP,COUNTIF(TASA_DESDE,"&lt;="&amp;B486))))</f>
        <v/>
      </c>
    </row>
    <row r="487" customFormat="false" ht="15" hidden="false" customHeight="false" outlineLevel="0" collapsed="false">
      <c r="B487" s="78"/>
      <c r="C487" s="64"/>
      <c r="D487" s="72" t="str">
        <f aca="false">IF(C487="","",IFERROR(INDEX(T_NOMBRE,MATCH(C487,T_ID,0)),"⚠ ID no existe"))</f>
        <v/>
      </c>
      <c r="E487" s="69"/>
      <c r="F487" s="67"/>
      <c r="G487" s="67"/>
      <c r="H487" s="67"/>
      <c r="I487" s="67"/>
      <c r="J487" s="67"/>
      <c r="K487" s="85" t="str">
        <f aca="false">IF(AH487="","",N(F487)+N(G487)+N(H487)-N(I487)+N(J487))</f>
        <v/>
      </c>
      <c r="L487" s="67"/>
      <c r="M487" s="67"/>
      <c r="N487" s="67"/>
      <c r="O487" s="67"/>
      <c r="P487" s="85" t="str">
        <f aca="false">IF(AH487="","",K487+N(L487)+N(M487)+N(N487)+N(O487))</f>
        <v/>
      </c>
      <c r="Q487" s="67"/>
      <c r="R487" s="67"/>
      <c r="S487" s="67"/>
      <c r="T487" s="67"/>
      <c r="U487" s="67"/>
      <c r="V487" s="67"/>
      <c r="W487" s="85" t="str">
        <f aca="false">IF(AH487="","",N(Q487)+N(R487)+N(S487)+N(T487)+N(U487)+N(V487))</f>
        <v/>
      </c>
      <c r="X487" s="85" t="str">
        <f aca="false">IF(AH487="","",P487-W487)</f>
        <v/>
      </c>
      <c r="Y487" s="67"/>
      <c r="Z487" s="70" t="str">
        <f aca="false">IF(OR(AH487="",Y487=""),"",IF(ABS(X487-Y487)&lt;=1,"✓ Cuadra","⚠ Diferencia $"&amp;FIXED(X487-Y487,0)))</f>
        <v/>
      </c>
      <c r="AA487" s="72" t="str">
        <f aca="false">IF(AH487="","",IFERROR(INDEX(C_TIPO,MATCH(C487&amp;"-P"&amp;MAX(1,COUNTIFS(C_ID,C487,C_DEFINE,"Sí",C_INICIO,"&lt;="&amp;EOMONTH(B487,0))),C_CLAVE,0))&amp;"","Sin dato"))</f>
        <v/>
      </c>
      <c r="AB487" s="71" t="str">
        <f aca="false">IF(AH487="","",ROUND(MIN(K487,TOPE_AFP_UF*AJ487)*AK487,0))</f>
        <v/>
      </c>
      <c r="AC487" s="71" t="str">
        <f aca="false">IF(AH487="","",ROUND(MIN(K487,TOPE_AFC_UF*AJ487)*IF(AA487="Indefinido",AFC_EMP_INDEF,AFC_EMP_PF),0))</f>
        <v/>
      </c>
      <c r="AD487" s="71" t="str">
        <f aca="false">IF(AH487="","",ROUND(MIN(K487,TOPE_AFP_UF*AJ487)*(MUTUAL_BASICA+MUTUAL_ADIC+SANNA),0))</f>
        <v/>
      </c>
      <c r="AE487" s="71" t="str">
        <f aca="false">IF(AH487="","",P487-N(N487)+AB487+AC487+AD487)</f>
        <v/>
      </c>
      <c r="AF487" s="65"/>
      <c r="AG487" s="64"/>
      <c r="AH487" s="72" t="str">
        <f aca="false">IF(OR(B487="",C487=""),"",C487&amp;"|"&amp;(YEAR(B487)*100+MONTH(B487)))</f>
        <v/>
      </c>
      <c r="AI487" s="70" t="str">
        <f aca="false">IF(AH487="","",IF(COUNTIF(L_CLAVE,AH487)&gt;1,"⚠ Duplicado","OK"))</f>
        <v/>
      </c>
      <c r="AJ487" s="86" t="str">
        <f aca="false">IF(AH487="","",IF(SUMPRODUCT(MAX((IND_PER&lt;=B487)*(IND_UF&lt;&gt;"")*IND_PER))=0,UF_HOY,INDEX(IND_UF,MATCH(SUMPRODUCT(MAX((IND_PER&lt;=B487)*(IND_UF&lt;&gt;"")*IND_PER)),IND_PER,0))))</f>
        <v/>
      </c>
      <c r="AK487" s="87" t="str">
        <f aca="false">IF(AH487="","",IF(COUNTIF(TASA_DESDE,"&lt;="&amp;B487)=0,INDEX(TASA_EMP,1),INDEX(TASA_EMP,COUNTIF(TASA_DESDE,"&lt;="&amp;B487))))</f>
        <v/>
      </c>
    </row>
    <row r="488" customFormat="false" ht="15" hidden="false" customHeight="false" outlineLevel="0" collapsed="false">
      <c r="B488" s="78"/>
      <c r="C488" s="64"/>
      <c r="D488" s="72" t="str">
        <f aca="false">IF(C488="","",IFERROR(INDEX(T_NOMBRE,MATCH(C488,T_ID,0)),"⚠ ID no existe"))</f>
        <v/>
      </c>
      <c r="E488" s="69"/>
      <c r="F488" s="67"/>
      <c r="G488" s="67"/>
      <c r="H488" s="67"/>
      <c r="I488" s="67"/>
      <c r="J488" s="67"/>
      <c r="K488" s="85" t="str">
        <f aca="false">IF(AH488="","",N(F488)+N(G488)+N(H488)-N(I488)+N(J488))</f>
        <v/>
      </c>
      <c r="L488" s="67"/>
      <c r="M488" s="67"/>
      <c r="N488" s="67"/>
      <c r="O488" s="67"/>
      <c r="P488" s="85" t="str">
        <f aca="false">IF(AH488="","",K488+N(L488)+N(M488)+N(N488)+N(O488))</f>
        <v/>
      </c>
      <c r="Q488" s="67"/>
      <c r="R488" s="67"/>
      <c r="S488" s="67"/>
      <c r="T488" s="67"/>
      <c r="U488" s="67"/>
      <c r="V488" s="67"/>
      <c r="W488" s="85" t="str">
        <f aca="false">IF(AH488="","",N(Q488)+N(R488)+N(S488)+N(T488)+N(U488)+N(V488))</f>
        <v/>
      </c>
      <c r="X488" s="85" t="str">
        <f aca="false">IF(AH488="","",P488-W488)</f>
        <v/>
      </c>
      <c r="Y488" s="67"/>
      <c r="Z488" s="70" t="str">
        <f aca="false">IF(OR(AH488="",Y488=""),"",IF(ABS(X488-Y488)&lt;=1,"✓ Cuadra","⚠ Diferencia $"&amp;FIXED(X488-Y488,0)))</f>
        <v/>
      </c>
      <c r="AA488" s="72" t="str">
        <f aca="false">IF(AH488="","",IFERROR(INDEX(C_TIPO,MATCH(C488&amp;"-P"&amp;MAX(1,COUNTIFS(C_ID,C488,C_DEFINE,"Sí",C_INICIO,"&lt;="&amp;EOMONTH(B488,0))),C_CLAVE,0))&amp;"","Sin dato"))</f>
        <v/>
      </c>
      <c r="AB488" s="71" t="str">
        <f aca="false">IF(AH488="","",ROUND(MIN(K488,TOPE_AFP_UF*AJ488)*AK488,0))</f>
        <v/>
      </c>
      <c r="AC488" s="71" t="str">
        <f aca="false">IF(AH488="","",ROUND(MIN(K488,TOPE_AFC_UF*AJ488)*IF(AA488="Indefinido",AFC_EMP_INDEF,AFC_EMP_PF),0))</f>
        <v/>
      </c>
      <c r="AD488" s="71" t="str">
        <f aca="false">IF(AH488="","",ROUND(MIN(K488,TOPE_AFP_UF*AJ488)*(MUTUAL_BASICA+MUTUAL_ADIC+SANNA),0))</f>
        <v/>
      </c>
      <c r="AE488" s="71" t="str">
        <f aca="false">IF(AH488="","",P488-N(N488)+AB488+AC488+AD488)</f>
        <v/>
      </c>
      <c r="AF488" s="65"/>
      <c r="AG488" s="64"/>
      <c r="AH488" s="72" t="str">
        <f aca="false">IF(OR(B488="",C488=""),"",C488&amp;"|"&amp;(YEAR(B488)*100+MONTH(B488)))</f>
        <v/>
      </c>
      <c r="AI488" s="70" t="str">
        <f aca="false">IF(AH488="","",IF(COUNTIF(L_CLAVE,AH488)&gt;1,"⚠ Duplicado","OK"))</f>
        <v/>
      </c>
      <c r="AJ488" s="86" t="str">
        <f aca="false">IF(AH488="","",IF(SUMPRODUCT(MAX((IND_PER&lt;=B488)*(IND_UF&lt;&gt;"")*IND_PER))=0,UF_HOY,INDEX(IND_UF,MATCH(SUMPRODUCT(MAX((IND_PER&lt;=B488)*(IND_UF&lt;&gt;"")*IND_PER)),IND_PER,0))))</f>
        <v/>
      </c>
      <c r="AK488" s="87" t="str">
        <f aca="false">IF(AH488="","",IF(COUNTIF(TASA_DESDE,"&lt;="&amp;B488)=0,INDEX(TASA_EMP,1),INDEX(TASA_EMP,COUNTIF(TASA_DESDE,"&lt;="&amp;B488))))</f>
        <v/>
      </c>
    </row>
    <row r="489" customFormat="false" ht="15" hidden="false" customHeight="false" outlineLevel="0" collapsed="false">
      <c r="B489" s="78"/>
      <c r="C489" s="64"/>
      <c r="D489" s="72" t="str">
        <f aca="false">IF(C489="","",IFERROR(INDEX(T_NOMBRE,MATCH(C489,T_ID,0)),"⚠ ID no existe"))</f>
        <v/>
      </c>
      <c r="E489" s="69"/>
      <c r="F489" s="67"/>
      <c r="G489" s="67"/>
      <c r="H489" s="67"/>
      <c r="I489" s="67"/>
      <c r="J489" s="67"/>
      <c r="K489" s="85" t="str">
        <f aca="false">IF(AH489="","",N(F489)+N(G489)+N(H489)-N(I489)+N(J489))</f>
        <v/>
      </c>
      <c r="L489" s="67"/>
      <c r="M489" s="67"/>
      <c r="N489" s="67"/>
      <c r="O489" s="67"/>
      <c r="P489" s="85" t="str">
        <f aca="false">IF(AH489="","",K489+N(L489)+N(M489)+N(N489)+N(O489))</f>
        <v/>
      </c>
      <c r="Q489" s="67"/>
      <c r="R489" s="67"/>
      <c r="S489" s="67"/>
      <c r="T489" s="67"/>
      <c r="U489" s="67"/>
      <c r="V489" s="67"/>
      <c r="W489" s="85" t="str">
        <f aca="false">IF(AH489="","",N(Q489)+N(R489)+N(S489)+N(T489)+N(U489)+N(V489))</f>
        <v/>
      </c>
      <c r="X489" s="85" t="str">
        <f aca="false">IF(AH489="","",P489-W489)</f>
        <v/>
      </c>
      <c r="Y489" s="67"/>
      <c r="Z489" s="70" t="str">
        <f aca="false">IF(OR(AH489="",Y489=""),"",IF(ABS(X489-Y489)&lt;=1,"✓ Cuadra","⚠ Diferencia $"&amp;FIXED(X489-Y489,0)))</f>
        <v/>
      </c>
      <c r="AA489" s="72" t="str">
        <f aca="false">IF(AH489="","",IFERROR(INDEX(C_TIPO,MATCH(C489&amp;"-P"&amp;MAX(1,COUNTIFS(C_ID,C489,C_DEFINE,"Sí",C_INICIO,"&lt;="&amp;EOMONTH(B489,0))),C_CLAVE,0))&amp;"","Sin dato"))</f>
        <v/>
      </c>
      <c r="AB489" s="71" t="str">
        <f aca="false">IF(AH489="","",ROUND(MIN(K489,TOPE_AFP_UF*AJ489)*AK489,0))</f>
        <v/>
      </c>
      <c r="AC489" s="71" t="str">
        <f aca="false">IF(AH489="","",ROUND(MIN(K489,TOPE_AFC_UF*AJ489)*IF(AA489="Indefinido",AFC_EMP_INDEF,AFC_EMP_PF),0))</f>
        <v/>
      </c>
      <c r="AD489" s="71" t="str">
        <f aca="false">IF(AH489="","",ROUND(MIN(K489,TOPE_AFP_UF*AJ489)*(MUTUAL_BASICA+MUTUAL_ADIC+SANNA),0))</f>
        <v/>
      </c>
      <c r="AE489" s="71" t="str">
        <f aca="false">IF(AH489="","",P489-N(N489)+AB489+AC489+AD489)</f>
        <v/>
      </c>
      <c r="AF489" s="65"/>
      <c r="AG489" s="64"/>
      <c r="AH489" s="72" t="str">
        <f aca="false">IF(OR(B489="",C489=""),"",C489&amp;"|"&amp;(YEAR(B489)*100+MONTH(B489)))</f>
        <v/>
      </c>
      <c r="AI489" s="70" t="str">
        <f aca="false">IF(AH489="","",IF(COUNTIF(L_CLAVE,AH489)&gt;1,"⚠ Duplicado","OK"))</f>
        <v/>
      </c>
      <c r="AJ489" s="86" t="str">
        <f aca="false">IF(AH489="","",IF(SUMPRODUCT(MAX((IND_PER&lt;=B489)*(IND_UF&lt;&gt;"")*IND_PER))=0,UF_HOY,INDEX(IND_UF,MATCH(SUMPRODUCT(MAX((IND_PER&lt;=B489)*(IND_UF&lt;&gt;"")*IND_PER)),IND_PER,0))))</f>
        <v/>
      </c>
      <c r="AK489" s="87" t="str">
        <f aca="false">IF(AH489="","",IF(COUNTIF(TASA_DESDE,"&lt;="&amp;B489)=0,INDEX(TASA_EMP,1),INDEX(TASA_EMP,COUNTIF(TASA_DESDE,"&lt;="&amp;B489))))</f>
        <v/>
      </c>
    </row>
    <row r="490" customFormat="false" ht="15" hidden="false" customHeight="false" outlineLevel="0" collapsed="false">
      <c r="B490" s="78"/>
      <c r="C490" s="64"/>
      <c r="D490" s="72" t="str">
        <f aca="false">IF(C490="","",IFERROR(INDEX(T_NOMBRE,MATCH(C490,T_ID,0)),"⚠ ID no existe"))</f>
        <v/>
      </c>
      <c r="E490" s="69"/>
      <c r="F490" s="67"/>
      <c r="G490" s="67"/>
      <c r="H490" s="67"/>
      <c r="I490" s="67"/>
      <c r="J490" s="67"/>
      <c r="K490" s="85" t="str">
        <f aca="false">IF(AH490="","",N(F490)+N(G490)+N(H490)-N(I490)+N(J490))</f>
        <v/>
      </c>
      <c r="L490" s="67"/>
      <c r="M490" s="67"/>
      <c r="N490" s="67"/>
      <c r="O490" s="67"/>
      <c r="P490" s="85" t="str">
        <f aca="false">IF(AH490="","",K490+N(L490)+N(M490)+N(N490)+N(O490))</f>
        <v/>
      </c>
      <c r="Q490" s="67"/>
      <c r="R490" s="67"/>
      <c r="S490" s="67"/>
      <c r="T490" s="67"/>
      <c r="U490" s="67"/>
      <c r="V490" s="67"/>
      <c r="W490" s="85" t="str">
        <f aca="false">IF(AH490="","",N(Q490)+N(R490)+N(S490)+N(T490)+N(U490)+N(V490))</f>
        <v/>
      </c>
      <c r="X490" s="85" t="str">
        <f aca="false">IF(AH490="","",P490-W490)</f>
        <v/>
      </c>
      <c r="Y490" s="67"/>
      <c r="Z490" s="70" t="str">
        <f aca="false">IF(OR(AH490="",Y490=""),"",IF(ABS(X490-Y490)&lt;=1,"✓ Cuadra","⚠ Diferencia $"&amp;FIXED(X490-Y490,0)))</f>
        <v/>
      </c>
      <c r="AA490" s="72" t="str">
        <f aca="false">IF(AH490="","",IFERROR(INDEX(C_TIPO,MATCH(C490&amp;"-P"&amp;MAX(1,COUNTIFS(C_ID,C490,C_DEFINE,"Sí",C_INICIO,"&lt;="&amp;EOMONTH(B490,0))),C_CLAVE,0))&amp;"","Sin dato"))</f>
        <v/>
      </c>
      <c r="AB490" s="71" t="str">
        <f aca="false">IF(AH490="","",ROUND(MIN(K490,TOPE_AFP_UF*AJ490)*AK490,0))</f>
        <v/>
      </c>
      <c r="AC490" s="71" t="str">
        <f aca="false">IF(AH490="","",ROUND(MIN(K490,TOPE_AFC_UF*AJ490)*IF(AA490="Indefinido",AFC_EMP_INDEF,AFC_EMP_PF),0))</f>
        <v/>
      </c>
      <c r="AD490" s="71" t="str">
        <f aca="false">IF(AH490="","",ROUND(MIN(K490,TOPE_AFP_UF*AJ490)*(MUTUAL_BASICA+MUTUAL_ADIC+SANNA),0))</f>
        <v/>
      </c>
      <c r="AE490" s="71" t="str">
        <f aca="false">IF(AH490="","",P490-N(N490)+AB490+AC490+AD490)</f>
        <v/>
      </c>
      <c r="AF490" s="65"/>
      <c r="AG490" s="64"/>
      <c r="AH490" s="72" t="str">
        <f aca="false">IF(OR(B490="",C490=""),"",C490&amp;"|"&amp;(YEAR(B490)*100+MONTH(B490)))</f>
        <v/>
      </c>
      <c r="AI490" s="70" t="str">
        <f aca="false">IF(AH490="","",IF(COUNTIF(L_CLAVE,AH490)&gt;1,"⚠ Duplicado","OK"))</f>
        <v/>
      </c>
      <c r="AJ490" s="86" t="str">
        <f aca="false">IF(AH490="","",IF(SUMPRODUCT(MAX((IND_PER&lt;=B490)*(IND_UF&lt;&gt;"")*IND_PER))=0,UF_HOY,INDEX(IND_UF,MATCH(SUMPRODUCT(MAX((IND_PER&lt;=B490)*(IND_UF&lt;&gt;"")*IND_PER)),IND_PER,0))))</f>
        <v/>
      </c>
      <c r="AK490" s="87" t="str">
        <f aca="false">IF(AH490="","",IF(COUNTIF(TASA_DESDE,"&lt;="&amp;B490)=0,INDEX(TASA_EMP,1),INDEX(TASA_EMP,COUNTIF(TASA_DESDE,"&lt;="&amp;B490))))</f>
        <v/>
      </c>
    </row>
    <row r="491" customFormat="false" ht="15" hidden="false" customHeight="false" outlineLevel="0" collapsed="false">
      <c r="B491" s="78"/>
      <c r="C491" s="64"/>
      <c r="D491" s="72" t="str">
        <f aca="false">IF(C491="","",IFERROR(INDEX(T_NOMBRE,MATCH(C491,T_ID,0)),"⚠ ID no existe"))</f>
        <v/>
      </c>
      <c r="E491" s="69"/>
      <c r="F491" s="67"/>
      <c r="G491" s="67"/>
      <c r="H491" s="67"/>
      <c r="I491" s="67"/>
      <c r="J491" s="67"/>
      <c r="K491" s="85" t="str">
        <f aca="false">IF(AH491="","",N(F491)+N(G491)+N(H491)-N(I491)+N(J491))</f>
        <v/>
      </c>
      <c r="L491" s="67"/>
      <c r="M491" s="67"/>
      <c r="N491" s="67"/>
      <c r="O491" s="67"/>
      <c r="P491" s="85" t="str">
        <f aca="false">IF(AH491="","",K491+N(L491)+N(M491)+N(N491)+N(O491))</f>
        <v/>
      </c>
      <c r="Q491" s="67"/>
      <c r="R491" s="67"/>
      <c r="S491" s="67"/>
      <c r="T491" s="67"/>
      <c r="U491" s="67"/>
      <c r="V491" s="67"/>
      <c r="W491" s="85" t="str">
        <f aca="false">IF(AH491="","",N(Q491)+N(R491)+N(S491)+N(T491)+N(U491)+N(V491))</f>
        <v/>
      </c>
      <c r="X491" s="85" t="str">
        <f aca="false">IF(AH491="","",P491-W491)</f>
        <v/>
      </c>
      <c r="Y491" s="67"/>
      <c r="Z491" s="70" t="str">
        <f aca="false">IF(OR(AH491="",Y491=""),"",IF(ABS(X491-Y491)&lt;=1,"✓ Cuadra","⚠ Diferencia $"&amp;FIXED(X491-Y491,0)))</f>
        <v/>
      </c>
      <c r="AA491" s="72" t="str">
        <f aca="false">IF(AH491="","",IFERROR(INDEX(C_TIPO,MATCH(C491&amp;"-P"&amp;MAX(1,COUNTIFS(C_ID,C491,C_DEFINE,"Sí",C_INICIO,"&lt;="&amp;EOMONTH(B491,0))),C_CLAVE,0))&amp;"","Sin dato"))</f>
        <v/>
      </c>
      <c r="AB491" s="71" t="str">
        <f aca="false">IF(AH491="","",ROUND(MIN(K491,TOPE_AFP_UF*AJ491)*AK491,0))</f>
        <v/>
      </c>
      <c r="AC491" s="71" t="str">
        <f aca="false">IF(AH491="","",ROUND(MIN(K491,TOPE_AFC_UF*AJ491)*IF(AA491="Indefinido",AFC_EMP_INDEF,AFC_EMP_PF),0))</f>
        <v/>
      </c>
      <c r="AD491" s="71" t="str">
        <f aca="false">IF(AH491="","",ROUND(MIN(K491,TOPE_AFP_UF*AJ491)*(MUTUAL_BASICA+MUTUAL_ADIC+SANNA),0))</f>
        <v/>
      </c>
      <c r="AE491" s="71" t="str">
        <f aca="false">IF(AH491="","",P491-N(N491)+AB491+AC491+AD491)</f>
        <v/>
      </c>
      <c r="AF491" s="65"/>
      <c r="AG491" s="64"/>
      <c r="AH491" s="72" t="str">
        <f aca="false">IF(OR(B491="",C491=""),"",C491&amp;"|"&amp;(YEAR(B491)*100+MONTH(B491)))</f>
        <v/>
      </c>
      <c r="AI491" s="70" t="str">
        <f aca="false">IF(AH491="","",IF(COUNTIF(L_CLAVE,AH491)&gt;1,"⚠ Duplicado","OK"))</f>
        <v/>
      </c>
      <c r="AJ491" s="86" t="str">
        <f aca="false">IF(AH491="","",IF(SUMPRODUCT(MAX((IND_PER&lt;=B491)*(IND_UF&lt;&gt;"")*IND_PER))=0,UF_HOY,INDEX(IND_UF,MATCH(SUMPRODUCT(MAX((IND_PER&lt;=B491)*(IND_UF&lt;&gt;"")*IND_PER)),IND_PER,0))))</f>
        <v/>
      </c>
      <c r="AK491" s="87" t="str">
        <f aca="false">IF(AH491="","",IF(COUNTIF(TASA_DESDE,"&lt;="&amp;B491)=0,INDEX(TASA_EMP,1),INDEX(TASA_EMP,COUNTIF(TASA_DESDE,"&lt;="&amp;B491))))</f>
        <v/>
      </c>
    </row>
    <row r="492" customFormat="false" ht="15" hidden="false" customHeight="false" outlineLevel="0" collapsed="false">
      <c r="B492" s="78"/>
      <c r="C492" s="64"/>
      <c r="D492" s="72" t="str">
        <f aca="false">IF(C492="","",IFERROR(INDEX(T_NOMBRE,MATCH(C492,T_ID,0)),"⚠ ID no existe"))</f>
        <v/>
      </c>
      <c r="E492" s="69"/>
      <c r="F492" s="67"/>
      <c r="G492" s="67"/>
      <c r="H492" s="67"/>
      <c r="I492" s="67"/>
      <c r="J492" s="67"/>
      <c r="K492" s="85" t="str">
        <f aca="false">IF(AH492="","",N(F492)+N(G492)+N(H492)-N(I492)+N(J492))</f>
        <v/>
      </c>
      <c r="L492" s="67"/>
      <c r="M492" s="67"/>
      <c r="N492" s="67"/>
      <c r="O492" s="67"/>
      <c r="P492" s="85" t="str">
        <f aca="false">IF(AH492="","",K492+N(L492)+N(M492)+N(N492)+N(O492))</f>
        <v/>
      </c>
      <c r="Q492" s="67"/>
      <c r="R492" s="67"/>
      <c r="S492" s="67"/>
      <c r="T492" s="67"/>
      <c r="U492" s="67"/>
      <c r="V492" s="67"/>
      <c r="W492" s="85" t="str">
        <f aca="false">IF(AH492="","",N(Q492)+N(R492)+N(S492)+N(T492)+N(U492)+N(V492))</f>
        <v/>
      </c>
      <c r="X492" s="85" t="str">
        <f aca="false">IF(AH492="","",P492-W492)</f>
        <v/>
      </c>
      <c r="Y492" s="67"/>
      <c r="Z492" s="70" t="str">
        <f aca="false">IF(OR(AH492="",Y492=""),"",IF(ABS(X492-Y492)&lt;=1,"✓ Cuadra","⚠ Diferencia $"&amp;FIXED(X492-Y492,0)))</f>
        <v/>
      </c>
      <c r="AA492" s="72" t="str">
        <f aca="false">IF(AH492="","",IFERROR(INDEX(C_TIPO,MATCH(C492&amp;"-P"&amp;MAX(1,COUNTIFS(C_ID,C492,C_DEFINE,"Sí",C_INICIO,"&lt;="&amp;EOMONTH(B492,0))),C_CLAVE,0))&amp;"","Sin dato"))</f>
        <v/>
      </c>
      <c r="AB492" s="71" t="str">
        <f aca="false">IF(AH492="","",ROUND(MIN(K492,TOPE_AFP_UF*AJ492)*AK492,0))</f>
        <v/>
      </c>
      <c r="AC492" s="71" t="str">
        <f aca="false">IF(AH492="","",ROUND(MIN(K492,TOPE_AFC_UF*AJ492)*IF(AA492="Indefinido",AFC_EMP_INDEF,AFC_EMP_PF),0))</f>
        <v/>
      </c>
      <c r="AD492" s="71" t="str">
        <f aca="false">IF(AH492="","",ROUND(MIN(K492,TOPE_AFP_UF*AJ492)*(MUTUAL_BASICA+MUTUAL_ADIC+SANNA),0))</f>
        <v/>
      </c>
      <c r="AE492" s="71" t="str">
        <f aca="false">IF(AH492="","",P492-N(N492)+AB492+AC492+AD492)</f>
        <v/>
      </c>
      <c r="AF492" s="65"/>
      <c r="AG492" s="64"/>
      <c r="AH492" s="72" t="str">
        <f aca="false">IF(OR(B492="",C492=""),"",C492&amp;"|"&amp;(YEAR(B492)*100+MONTH(B492)))</f>
        <v/>
      </c>
      <c r="AI492" s="70" t="str">
        <f aca="false">IF(AH492="","",IF(COUNTIF(L_CLAVE,AH492)&gt;1,"⚠ Duplicado","OK"))</f>
        <v/>
      </c>
      <c r="AJ492" s="86" t="str">
        <f aca="false">IF(AH492="","",IF(SUMPRODUCT(MAX((IND_PER&lt;=B492)*(IND_UF&lt;&gt;"")*IND_PER))=0,UF_HOY,INDEX(IND_UF,MATCH(SUMPRODUCT(MAX((IND_PER&lt;=B492)*(IND_UF&lt;&gt;"")*IND_PER)),IND_PER,0))))</f>
        <v/>
      </c>
      <c r="AK492" s="87" t="str">
        <f aca="false">IF(AH492="","",IF(COUNTIF(TASA_DESDE,"&lt;="&amp;B492)=0,INDEX(TASA_EMP,1),INDEX(TASA_EMP,COUNTIF(TASA_DESDE,"&lt;="&amp;B492))))</f>
        <v/>
      </c>
    </row>
    <row r="493" customFormat="false" ht="15" hidden="false" customHeight="false" outlineLevel="0" collapsed="false">
      <c r="B493" s="78"/>
      <c r="C493" s="64"/>
      <c r="D493" s="72" t="str">
        <f aca="false">IF(C493="","",IFERROR(INDEX(T_NOMBRE,MATCH(C493,T_ID,0)),"⚠ ID no existe"))</f>
        <v/>
      </c>
      <c r="E493" s="69"/>
      <c r="F493" s="67"/>
      <c r="G493" s="67"/>
      <c r="H493" s="67"/>
      <c r="I493" s="67"/>
      <c r="J493" s="67"/>
      <c r="K493" s="85" t="str">
        <f aca="false">IF(AH493="","",N(F493)+N(G493)+N(H493)-N(I493)+N(J493))</f>
        <v/>
      </c>
      <c r="L493" s="67"/>
      <c r="M493" s="67"/>
      <c r="N493" s="67"/>
      <c r="O493" s="67"/>
      <c r="P493" s="85" t="str">
        <f aca="false">IF(AH493="","",K493+N(L493)+N(M493)+N(N493)+N(O493))</f>
        <v/>
      </c>
      <c r="Q493" s="67"/>
      <c r="R493" s="67"/>
      <c r="S493" s="67"/>
      <c r="T493" s="67"/>
      <c r="U493" s="67"/>
      <c r="V493" s="67"/>
      <c r="W493" s="85" t="str">
        <f aca="false">IF(AH493="","",N(Q493)+N(R493)+N(S493)+N(T493)+N(U493)+N(V493))</f>
        <v/>
      </c>
      <c r="X493" s="85" t="str">
        <f aca="false">IF(AH493="","",P493-W493)</f>
        <v/>
      </c>
      <c r="Y493" s="67"/>
      <c r="Z493" s="70" t="str">
        <f aca="false">IF(OR(AH493="",Y493=""),"",IF(ABS(X493-Y493)&lt;=1,"✓ Cuadra","⚠ Diferencia $"&amp;FIXED(X493-Y493,0)))</f>
        <v/>
      </c>
      <c r="AA493" s="72" t="str">
        <f aca="false">IF(AH493="","",IFERROR(INDEX(C_TIPO,MATCH(C493&amp;"-P"&amp;MAX(1,COUNTIFS(C_ID,C493,C_DEFINE,"Sí",C_INICIO,"&lt;="&amp;EOMONTH(B493,0))),C_CLAVE,0))&amp;"","Sin dato"))</f>
        <v/>
      </c>
      <c r="AB493" s="71" t="str">
        <f aca="false">IF(AH493="","",ROUND(MIN(K493,TOPE_AFP_UF*AJ493)*AK493,0))</f>
        <v/>
      </c>
      <c r="AC493" s="71" t="str">
        <f aca="false">IF(AH493="","",ROUND(MIN(K493,TOPE_AFC_UF*AJ493)*IF(AA493="Indefinido",AFC_EMP_INDEF,AFC_EMP_PF),0))</f>
        <v/>
      </c>
      <c r="AD493" s="71" t="str">
        <f aca="false">IF(AH493="","",ROUND(MIN(K493,TOPE_AFP_UF*AJ493)*(MUTUAL_BASICA+MUTUAL_ADIC+SANNA),0))</f>
        <v/>
      </c>
      <c r="AE493" s="71" t="str">
        <f aca="false">IF(AH493="","",P493-N(N493)+AB493+AC493+AD493)</f>
        <v/>
      </c>
      <c r="AF493" s="65"/>
      <c r="AG493" s="64"/>
      <c r="AH493" s="72" t="str">
        <f aca="false">IF(OR(B493="",C493=""),"",C493&amp;"|"&amp;(YEAR(B493)*100+MONTH(B493)))</f>
        <v/>
      </c>
      <c r="AI493" s="70" t="str">
        <f aca="false">IF(AH493="","",IF(COUNTIF(L_CLAVE,AH493)&gt;1,"⚠ Duplicado","OK"))</f>
        <v/>
      </c>
      <c r="AJ493" s="86" t="str">
        <f aca="false">IF(AH493="","",IF(SUMPRODUCT(MAX((IND_PER&lt;=B493)*(IND_UF&lt;&gt;"")*IND_PER))=0,UF_HOY,INDEX(IND_UF,MATCH(SUMPRODUCT(MAX((IND_PER&lt;=B493)*(IND_UF&lt;&gt;"")*IND_PER)),IND_PER,0))))</f>
        <v/>
      </c>
      <c r="AK493" s="87" t="str">
        <f aca="false">IF(AH493="","",IF(COUNTIF(TASA_DESDE,"&lt;="&amp;B493)=0,INDEX(TASA_EMP,1),INDEX(TASA_EMP,COUNTIF(TASA_DESDE,"&lt;="&amp;B493))))</f>
        <v/>
      </c>
    </row>
    <row r="494" customFormat="false" ht="15" hidden="false" customHeight="false" outlineLevel="0" collapsed="false">
      <c r="B494" s="78"/>
      <c r="C494" s="64"/>
      <c r="D494" s="72" t="str">
        <f aca="false">IF(C494="","",IFERROR(INDEX(T_NOMBRE,MATCH(C494,T_ID,0)),"⚠ ID no existe"))</f>
        <v/>
      </c>
      <c r="E494" s="69"/>
      <c r="F494" s="67"/>
      <c r="G494" s="67"/>
      <c r="H494" s="67"/>
      <c r="I494" s="67"/>
      <c r="J494" s="67"/>
      <c r="K494" s="85" t="str">
        <f aca="false">IF(AH494="","",N(F494)+N(G494)+N(H494)-N(I494)+N(J494))</f>
        <v/>
      </c>
      <c r="L494" s="67"/>
      <c r="M494" s="67"/>
      <c r="N494" s="67"/>
      <c r="O494" s="67"/>
      <c r="P494" s="85" t="str">
        <f aca="false">IF(AH494="","",K494+N(L494)+N(M494)+N(N494)+N(O494))</f>
        <v/>
      </c>
      <c r="Q494" s="67"/>
      <c r="R494" s="67"/>
      <c r="S494" s="67"/>
      <c r="T494" s="67"/>
      <c r="U494" s="67"/>
      <c r="V494" s="67"/>
      <c r="W494" s="85" t="str">
        <f aca="false">IF(AH494="","",N(Q494)+N(R494)+N(S494)+N(T494)+N(U494)+N(V494))</f>
        <v/>
      </c>
      <c r="X494" s="85" t="str">
        <f aca="false">IF(AH494="","",P494-W494)</f>
        <v/>
      </c>
      <c r="Y494" s="67"/>
      <c r="Z494" s="70" t="str">
        <f aca="false">IF(OR(AH494="",Y494=""),"",IF(ABS(X494-Y494)&lt;=1,"✓ Cuadra","⚠ Diferencia $"&amp;FIXED(X494-Y494,0)))</f>
        <v/>
      </c>
      <c r="AA494" s="72" t="str">
        <f aca="false">IF(AH494="","",IFERROR(INDEX(C_TIPO,MATCH(C494&amp;"-P"&amp;MAX(1,COUNTIFS(C_ID,C494,C_DEFINE,"Sí",C_INICIO,"&lt;="&amp;EOMONTH(B494,0))),C_CLAVE,0))&amp;"","Sin dato"))</f>
        <v/>
      </c>
      <c r="AB494" s="71" t="str">
        <f aca="false">IF(AH494="","",ROUND(MIN(K494,TOPE_AFP_UF*AJ494)*AK494,0))</f>
        <v/>
      </c>
      <c r="AC494" s="71" t="str">
        <f aca="false">IF(AH494="","",ROUND(MIN(K494,TOPE_AFC_UF*AJ494)*IF(AA494="Indefinido",AFC_EMP_INDEF,AFC_EMP_PF),0))</f>
        <v/>
      </c>
      <c r="AD494" s="71" t="str">
        <f aca="false">IF(AH494="","",ROUND(MIN(K494,TOPE_AFP_UF*AJ494)*(MUTUAL_BASICA+MUTUAL_ADIC+SANNA),0))</f>
        <v/>
      </c>
      <c r="AE494" s="71" t="str">
        <f aca="false">IF(AH494="","",P494-N(N494)+AB494+AC494+AD494)</f>
        <v/>
      </c>
      <c r="AF494" s="65"/>
      <c r="AG494" s="64"/>
      <c r="AH494" s="72" t="str">
        <f aca="false">IF(OR(B494="",C494=""),"",C494&amp;"|"&amp;(YEAR(B494)*100+MONTH(B494)))</f>
        <v/>
      </c>
      <c r="AI494" s="70" t="str">
        <f aca="false">IF(AH494="","",IF(COUNTIF(L_CLAVE,AH494)&gt;1,"⚠ Duplicado","OK"))</f>
        <v/>
      </c>
      <c r="AJ494" s="86" t="str">
        <f aca="false">IF(AH494="","",IF(SUMPRODUCT(MAX((IND_PER&lt;=B494)*(IND_UF&lt;&gt;"")*IND_PER))=0,UF_HOY,INDEX(IND_UF,MATCH(SUMPRODUCT(MAX((IND_PER&lt;=B494)*(IND_UF&lt;&gt;"")*IND_PER)),IND_PER,0))))</f>
        <v/>
      </c>
      <c r="AK494" s="87" t="str">
        <f aca="false">IF(AH494="","",IF(COUNTIF(TASA_DESDE,"&lt;="&amp;B494)=0,INDEX(TASA_EMP,1),INDEX(TASA_EMP,COUNTIF(TASA_DESDE,"&lt;="&amp;B494))))</f>
        <v/>
      </c>
    </row>
    <row r="495" customFormat="false" ht="15" hidden="false" customHeight="false" outlineLevel="0" collapsed="false">
      <c r="B495" s="78"/>
      <c r="C495" s="64"/>
      <c r="D495" s="72" t="str">
        <f aca="false">IF(C495="","",IFERROR(INDEX(T_NOMBRE,MATCH(C495,T_ID,0)),"⚠ ID no existe"))</f>
        <v/>
      </c>
      <c r="E495" s="69"/>
      <c r="F495" s="67"/>
      <c r="G495" s="67"/>
      <c r="H495" s="67"/>
      <c r="I495" s="67"/>
      <c r="J495" s="67"/>
      <c r="K495" s="85" t="str">
        <f aca="false">IF(AH495="","",N(F495)+N(G495)+N(H495)-N(I495)+N(J495))</f>
        <v/>
      </c>
      <c r="L495" s="67"/>
      <c r="M495" s="67"/>
      <c r="N495" s="67"/>
      <c r="O495" s="67"/>
      <c r="P495" s="85" t="str">
        <f aca="false">IF(AH495="","",K495+N(L495)+N(M495)+N(N495)+N(O495))</f>
        <v/>
      </c>
      <c r="Q495" s="67"/>
      <c r="R495" s="67"/>
      <c r="S495" s="67"/>
      <c r="T495" s="67"/>
      <c r="U495" s="67"/>
      <c r="V495" s="67"/>
      <c r="W495" s="85" t="str">
        <f aca="false">IF(AH495="","",N(Q495)+N(R495)+N(S495)+N(T495)+N(U495)+N(V495))</f>
        <v/>
      </c>
      <c r="X495" s="85" t="str">
        <f aca="false">IF(AH495="","",P495-W495)</f>
        <v/>
      </c>
      <c r="Y495" s="67"/>
      <c r="Z495" s="70" t="str">
        <f aca="false">IF(OR(AH495="",Y495=""),"",IF(ABS(X495-Y495)&lt;=1,"✓ Cuadra","⚠ Diferencia $"&amp;FIXED(X495-Y495,0)))</f>
        <v/>
      </c>
      <c r="AA495" s="72" t="str">
        <f aca="false">IF(AH495="","",IFERROR(INDEX(C_TIPO,MATCH(C495&amp;"-P"&amp;MAX(1,COUNTIFS(C_ID,C495,C_DEFINE,"Sí",C_INICIO,"&lt;="&amp;EOMONTH(B495,0))),C_CLAVE,0))&amp;"","Sin dato"))</f>
        <v/>
      </c>
      <c r="AB495" s="71" t="str">
        <f aca="false">IF(AH495="","",ROUND(MIN(K495,TOPE_AFP_UF*AJ495)*AK495,0))</f>
        <v/>
      </c>
      <c r="AC495" s="71" t="str">
        <f aca="false">IF(AH495="","",ROUND(MIN(K495,TOPE_AFC_UF*AJ495)*IF(AA495="Indefinido",AFC_EMP_INDEF,AFC_EMP_PF),0))</f>
        <v/>
      </c>
      <c r="AD495" s="71" t="str">
        <f aca="false">IF(AH495="","",ROUND(MIN(K495,TOPE_AFP_UF*AJ495)*(MUTUAL_BASICA+MUTUAL_ADIC+SANNA),0))</f>
        <v/>
      </c>
      <c r="AE495" s="71" t="str">
        <f aca="false">IF(AH495="","",P495-N(N495)+AB495+AC495+AD495)</f>
        <v/>
      </c>
      <c r="AF495" s="65"/>
      <c r="AG495" s="64"/>
      <c r="AH495" s="72" t="str">
        <f aca="false">IF(OR(B495="",C495=""),"",C495&amp;"|"&amp;(YEAR(B495)*100+MONTH(B495)))</f>
        <v/>
      </c>
      <c r="AI495" s="70" t="str">
        <f aca="false">IF(AH495="","",IF(COUNTIF(L_CLAVE,AH495)&gt;1,"⚠ Duplicado","OK"))</f>
        <v/>
      </c>
      <c r="AJ495" s="86" t="str">
        <f aca="false">IF(AH495="","",IF(SUMPRODUCT(MAX((IND_PER&lt;=B495)*(IND_UF&lt;&gt;"")*IND_PER))=0,UF_HOY,INDEX(IND_UF,MATCH(SUMPRODUCT(MAX((IND_PER&lt;=B495)*(IND_UF&lt;&gt;"")*IND_PER)),IND_PER,0))))</f>
        <v/>
      </c>
      <c r="AK495" s="87" t="str">
        <f aca="false">IF(AH495="","",IF(COUNTIF(TASA_DESDE,"&lt;="&amp;B495)=0,INDEX(TASA_EMP,1),INDEX(TASA_EMP,COUNTIF(TASA_DESDE,"&lt;="&amp;B495))))</f>
        <v/>
      </c>
    </row>
    <row r="496" customFormat="false" ht="15" hidden="false" customHeight="false" outlineLevel="0" collapsed="false">
      <c r="B496" s="78"/>
      <c r="C496" s="64"/>
      <c r="D496" s="72" t="str">
        <f aca="false">IF(C496="","",IFERROR(INDEX(T_NOMBRE,MATCH(C496,T_ID,0)),"⚠ ID no existe"))</f>
        <v/>
      </c>
      <c r="E496" s="69"/>
      <c r="F496" s="67"/>
      <c r="G496" s="67"/>
      <c r="H496" s="67"/>
      <c r="I496" s="67"/>
      <c r="J496" s="67"/>
      <c r="K496" s="85" t="str">
        <f aca="false">IF(AH496="","",N(F496)+N(G496)+N(H496)-N(I496)+N(J496))</f>
        <v/>
      </c>
      <c r="L496" s="67"/>
      <c r="M496" s="67"/>
      <c r="N496" s="67"/>
      <c r="O496" s="67"/>
      <c r="P496" s="85" t="str">
        <f aca="false">IF(AH496="","",K496+N(L496)+N(M496)+N(N496)+N(O496))</f>
        <v/>
      </c>
      <c r="Q496" s="67"/>
      <c r="R496" s="67"/>
      <c r="S496" s="67"/>
      <c r="T496" s="67"/>
      <c r="U496" s="67"/>
      <c r="V496" s="67"/>
      <c r="W496" s="85" t="str">
        <f aca="false">IF(AH496="","",N(Q496)+N(R496)+N(S496)+N(T496)+N(U496)+N(V496))</f>
        <v/>
      </c>
      <c r="X496" s="85" t="str">
        <f aca="false">IF(AH496="","",P496-W496)</f>
        <v/>
      </c>
      <c r="Y496" s="67"/>
      <c r="Z496" s="70" t="str">
        <f aca="false">IF(OR(AH496="",Y496=""),"",IF(ABS(X496-Y496)&lt;=1,"✓ Cuadra","⚠ Diferencia $"&amp;FIXED(X496-Y496,0)))</f>
        <v/>
      </c>
      <c r="AA496" s="72" t="str">
        <f aca="false">IF(AH496="","",IFERROR(INDEX(C_TIPO,MATCH(C496&amp;"-P"&amp;MAX(1,COUNTIFS(C_ID,C496,C_DEFINE,"Sí",C_INICIO,"&lt;="&amp;EOMONTH(B496,0))),C_CLAVE,0))&amp;"","Sin dato"))</f>
        <v/>
      </c>
      <c r="AB496" s="71" t="str">
        <f aca="false">IF(AH496="","",ROUND(MIN(K496,TOPE_AFP_UF*AJ496)*AK496,0))</f>
        <v/>
      </c>
      <c r="AC496" s="71" t="str">
        <f aca="false">IF(AH496="","",ROUND(MIN(K496,TOPE_AFC_UF*AJ496)*IF(AA496="Indefinido",AFC_EMP_INDEF,AFC_EMP_PF),0))</f>
        <v/>
      </c>
      <c r="AD496" s="71" t="str">
        <f aca="false">IF(AH496="","",ROUND(MIN(K496,TOPE_AFP_UF*AJ496)*(MUTUAL_BASICA+MUTUAL_ADIC+SANNA),0))</f>
        <v/>
      </c>
      <c r="AE496" s="71" t="str">
        <f aca="false">IF(AH496="","",P496-N(N496)+AB496+AC496+AD496)</f>
        <v/>
      </c>
      <c r="AF496" s="65"/>
      <c r="AG496" s="64"/>
      <c r="AH496" s="72" t="str">
        <f aca="false">IF(OR(B496="",C496=""),"",C496&amp;"|"&amp;(YEAR(B496)*100+MONTH(B496)))</f>
        <v/>
      </c>
      <c r="AI496" s="70" t="str">
        <f aca="false">IF(AH496="","",IF(COUNTIF(L_CLAVE,AH496)&gt;1,"⚠ Duplicado","OK"))</f>
        <v/>
      </c>
      <c r="AJ496" s="86" t="str">
        <f aca="false">IF(AH496="","",IF(SUMPRODUCT(MAX((IND_PER&lt;=B496)*(IND_UF&lt;&gt;"")*IND_PER))=0,UF_HOY,INDEX(IND_UF,MATCH(SUMPRODUCT(MAX((IND_PER&lt;=B496)*(IND_UF&lt;&gt;"")*IND_PER)),IND_PER,0))))</f>
        <v/>
      </c>
      <c r="AK496" s="87" t="str">
        <f aca="false">IF(AH496="","",IF(COUNTIF(TASA_DESDE,"&lt;="&amp;B496)=0,INDEX(TASA_EMP,1),INDEX(TASA_EMP,COUNTIF(TASA_DESDE,"&lt;="&amp;B496))))</f>
        <v/>
      </c>
    </row>
    <row r="497" customFormat="false" ht="15" hidden="false" customHeight="false" outlineLevel="0" collapsed="false">
      <c r="B497" s="78"/>
      <c r="C497" s="64"/>
      <c r="D497" s="72" t="str">
        <f aca="false">IF(C497="","",IFERROR(INDEX(T_NOMBRE,MATCH(C497,T_ID,0)),"⚠ ID no existe"))</f>
        <v/>
      </c>
      <c r="E497" s="69"/>
      <c r="F497" s="67"/>
      <c r="G497" s="67"/>
      <c r="H497" s="67"/>
      <c r="I497" s="67"/>
      <c r="J497" s="67"/>
      <c r="K497" s="85" t="str">
        <f aca="false">IF(AH497="","",N(F497)+N(G497)+N(H497)-N(I497)+N(J497))</f>
        <v/>
      </c>
      <c r="L497" s="67"/>
      <c r="M497" s="67"/>
      <c r="N497" s="67"/>
      <c r="O497" s="67"/>
      <c r="P497" s="85" t="str">
        <f aca="false">IF(AH497="","",K497+N(L497)+N(M497)+N(N497)+N(O497))</f>
        <v/>
      </c>
      <c r="Q497" s="67"/>
      <c r="R497" s="67"/>
      <c r="S497" s="67"/>
      <c r="T497" s="67"/>
      <c r="U497" s="67"/>
      <c r="V497" s="67"/>
      <c r="W497" s="85" t="str">
        <f aca="false">IF(AH497="","",N(Q497)+N(R497)+N(S497)+N(T497)+N(U497)+N(V497))</f>
        <v/>
      </c>
      <c r="X497" s="85" t="str">
        <f aca="false">IF(AH497="","",P497-W497)</f>
        <v/>
      </c>
      <c r="Y497" s="67"/>
      <c r="Z497" s="70" t="str">
        <f aca="false">IF(OR(AH497="",Y497=""),"",IF(ABS(X497-Y497)&lt;=1,"✓ Cuadra","⚠ Diferencia $"&amp;FIXED(X497-Y497,0)))</f>
        <v/>
      </c>
      <c r="AA497" s="72" t="str">
        <f aca="false">IF(AH497="","",IFERROR(INDEX(C_TIPO,MATCH(C497&amp;"-P"&amp;MAX(1,COUNTIFS(C_ID,C497,C_DEFINE,"Sí",C_INICIO,"&lt;="&amp;EOMONTH(B497,0))),C_CLAVE,0))&amp;"","Sin dato"))</f>
        <v/>
      </c>
      <c r="AB497" s="71" t="str">
        <f aca="false">IF(AH497="","",ROUND(MIN(K497,TOPE_AFP_UF*AJ497)*AK497,0))</f>
        <v/>
      </c>
      <c r="AC497" s="71" t="str">
        <f aca="false">IF(AH497="","",ROUND(MIN(K497,TOPE_AFC_UF*AJ497)*IF(AA497="Indefinido",AFC_EMP_INDEF,AFC_EMP_PF),0))</f>
        <v/>
      </c>
      <c r="AD497" s="71" t="str">
        <f aca="false">IF(AH497="","",ROUND(MIN(K497,TOPE_AFP_UF*AJ497)*(MUTUAL_BASICA+MUTUAL_ADIC+SANNA),0))</f>
        <v/>
      </c>
      <c r="AE497" s="71" t="str">
        <f aca="false">IF(AH497="","",P497-N(N497)+AB497+AC497+AD497)</f>
        <v/>
      </c>
      <c r="AF497" s="65"/>
      <c r="AG497" s="64"/>
      <c r="AH497" s="72" t="str">
        <f aca="false">IF(OR(B497="",C497=""),"",C497&amp;"|"&amp;(YEAR(B497)*100+MONTH(B497)))</f>
        <v/>
      </c>
      <c r="AI497" s="70" t="str">
        <f aca="false">IF(AH497="","",IF(COUNTIF(L_CLAVE,AH497)&gt;1,"⚠ Duplicado","OK"))</f>
        <v/>
      </c>
      <c r="AJ497" s="86" t="str">
        <f aca="false">IF(AH497="","",IF(SUMPRODUCT(MAX((IND_PER&lt;=B497)*(IND_UF&lt;&gt;"")*IND_PER))=0,UF_HOY,INDEX(IND_UF,MATCH(SUMPRODUCT(MAX((IND_PER&lt;=B497)*(IND_UF&lt;&gt;"")*IND_PER)),IND_PER,0))))</f>
        <v/>
      </c>
      <c r="AK497" s="87" t="str">
        <f aca="false">IF(AH497="","",IF(COUNTIF(TASA_DESDE,"&lt;="&amp;B497)=0,INDEX(TASA_EMP,1),INDEX(TASA_EMP,COUNTIF(TASA_DESDE,"&lt;="&amp;B497))))</f>
        <v/>
      </c>
    </row>
    <row r="498" customFormat="false" ht="15" hidden="false" customHeight="false" outlineLevel="0" collapsed="false">
      <c r="B498" s="78"/>
      <c r="C498" s="64"/>
      <c r="D498" s="72" t="str">
        <f aca="false">IF(C498="","",IFERROR(INDEX(T_NOMBRE,MATCH(C498,T_ID,0)),"⚠ ID no existe"))</f>
        <v/>
      </c>
      <c r="E498" s="69"/>
      <c r="F498" s="67"/>
      <c r="G498" s="67"/>
      <c r="H498" s="67"/>
      <c r="I498" s="67"/>
      <c r="J498" s="67"/>
      <c r="K498" s="85" t="str">
        <f aca="false">IF(AH498="","",N(F498)+N(G498)+N(H498)-N(I498)+N(J498))</f>
        <v/>
      </c>
      <c r="L498" s="67"/>
      <c r="M498" s="67"/>
      <c r="N498" s="67"/>
      <c r="O498" s="67"/>
      <c r="P498" s="85" t="str">
        <f aca="false">IF(AH498="","",K498+N(L498)+N(M498)+N(N498)+N(O498))</f>
        <v/>
      </c>
      <c r="Q498" s="67"/>
      <c r="R498" s="67"/>
      <c r="S498" s="67"/>
      <c r="T498" s="67"/>
      <c r="U498" s="67"/>
      <c r="V498" s="67"/>
      <c r="W498" s="85" t="str">
        <f aca="false">IF(AH498="","",N(Q498)+N(R498)+N(S498)+N(T498)+N(U498)+N(V498))</f>
        <v/>
      </c>
      <c r="X498" s="85" t="str">
        <f aca="false">IF(AH498="","",P498-W498)</f>
        <v/>
      </c>
      <c r="Y498" s="67"/>
      <c r="Z498" s="70" t="str">
        <f aca="false">IF(OR(AH498="",Y498=""),"",IF(ABS(X498-Y498)&lt;=1,"✓ Cuadra","⚠ Diferencia $"&amp;FIXED(X498-Y498,0)))</f>
        <v/>
      </c>
      <c r="AA498" s="72" t="str">
        <f aca="false">IF(AH498="","",IFERROR(INDEX(C_TIPO,MATCH(C498&amp;"-P"&amp;MAX(1,COUNTIFS(C_ID,C498,C_DEFINE,"Sí",C_INICIO,"&lt;="&amp;EOMONTH(B498,0))),C_CLAVE,0))&amp;"","Sin dato"))</f>
        <v/>
      </c>
      <c r="AB498" s="71" t="str">
        <f aca="false">IF(AH498="","",ROUND(MIN(K498,TOPE_AFP_UF*AJ498)*AK498,0))</f>
        <v/>
      </c>
      <c r="AC498" s="71" t="str">
        <f aca="false">IF(AH498="","",ROUND(MIN(K498,TOPE_AFC_UF*AJ498)*IF(AA498="Indefinido",AFC_EMP_INDEF,AFC_EMP_PF),0))</f>
        <v/>
      </c>
      <c r="AD498" s="71" t="str">
        <f aca="false">IF(AH498="","",ROUND(MIN(K498,TOPE_AFP_UF*AJ498)*(MUTUAL_BASICA+MUTUAL_ADIC+SANNA),0))</f>
        <v/>
      </c>
      <c r="AE498" s="71" t="str">
        <f aca="false">IF(AH498="","",P498-N(N498)+AB498+AC498+AD498)</f>
        <v/>
      </c>
      <c r="AF498" s="65"/>
      <c r="AG498" s="64"/>
      <c r="AH498" s="72" t="str">
        <f aca="false">IF(OR(B498="",C498=""),"",C498&amp;"|"&amp;(YEAR(B498)*100+MONTH(B498)))</f>
        <v/>
      </c>
      <c r="AI498" s="70" t="str">
        <f aca="false">IF(AH498="","",IF(COUNTIF(L_CLAVE,AH498)&gt;1,"⚠ Duplicado","OK"))</f>
        <v/>
      </c>
      <c r="AJ498" s="86" t="str">
        <f aca="false">IF(AH498="","",IF(SUMPRODUCT(MAX((IND_PER&lt;=B498)*(IND_UF&lt;&gt;"")*IND_PER))=0,UF_HOY,INDEX(IND_UF,MATCH(SUMPRODUCT(MAX((IND_PER&lt;=B498)*(IND_UF&lt;&gt;"")*IND_PER)),IND_PER,0))))</f>
        <v/>
      </c>
      <c r="AK498" s="87" t="str">
        <f aca="false">IF(AH498="","",IF(COUNTIF(TASA_DESDE,"&lt;="&amp;B498)=0,INDEX(TASA_EMP,1),INDEX(TASA_EMP,COUNTIF(TASA_DESDE,"&lt;="&amp;B498))))</f>
        <v/>
      </c>
    </row>
    <row r="499" customFormat="false" ht="15" hidden="false" customHeight="false" outlineLevel="0" collapsed="false">
      <c r="B499" s="78"/>
      <c r="C499" s="64"/>
      <c r="D499" s="72" t="str">
        <f aca="false">IF(C499="","",IFERROR(INDEX(T_NOMBRE,MATCH(C499,T_ID,0)),"⚠ ID no existe"))</f>
        <v/>
      </c>
      <c r="E499" s="69"/>
      <c r="F499" s="67"/>
      <c r="G499" s="67"/>
      <c r="H499" s="67"/>
      <c r="I499" s="67"/>
      <c r="J499" s="67"/>
      <c r="K499" s="85" t="str">
        <f aca="false">IF(AH499="","",N(F499)+N(G499)+N(H499)-N(I499)+N(J499))</f>
        <v/>
      </c>
      <c r="L499" s="67"/>
      <c r="M499" s="67"/>
      <c r="N499" s="67"/>
      <c r="O499" s="67"/>
      <c r="P499" s="85" t="str">
        <f aca="false">IF(AH499="","",K499+N(L499)+N(M499)+N(N499)+N(O499))</f>
        <v/>
      </c>
      <c r="Q499" s="67"/>
      <c r="R499" s="67"/>
      <c r="S499" s="67"/>
      <c r="T499" s="67"/>
      <c r="U499" s="67"/>
      <c r="V499" s="67"/>
      <c r="W499" s="85" t="str">
        <f aca="false">IF(AH499="","",N(Q499)+N(R499)+N(S499)+N(T499)+N(U499)+N(V499))</f>
        <v/>
      </c>
      <c r="X499" s="85" t="str">
        <f aca="false">IF(AH499="","",P499-W499)</f>
        <v/>
      </c>
      <c r="Y499" s="67"/>
      <c r="Z499" s="70" t="str">
        <f aca="false">IF(OR(AH499="",Y499=""),"",IF(ABS(X499-Y499)&lt;=1,"✓ Cuadra","⚠ Diferencia $"&amp;FIXED(X499-Y499,0)))</f>
        <v/>
      </c>
      <c r="AA499" s="72" t="str">
        <f aca="false">IF(AH499="","",IFERROR(INDEX(C_TIPO,MATCH(C499&amp;"-P"&amp;MAX(1,COUNTIFS(C_ID,C499,C_DEFINE,"Sí",C_INICIO,"&lt;="&amp;EOMONTH(B499,0))),C_CLAVE,0))&amp;"","Sin dato"))</f>
        <v/>
      </c>
      <c r="AB499" s="71" t="str">
        <f aca="false">IF(AH499="","",ROUND(MIN(K499,TOPE_AFP_UF*AJ499)*AK499,0))</f>
        <v/>
      </c>
      <c r="AC499" s="71" t="str">
        <f aca="false">IF(AH499="","",ROUND(MIN(K499,TOPE_AFC_UF*AJ499)*IF(AA499="Indefinido",AFC_EMP_INDEF,AFC_EMP_PF),0))</f>
        <v/>
      </c>
      <c r="AD499" s="71" t="str">
        <f aca="false">IF(AH499="","",ROUND(MIN(K499,TOPE_AFP_UF*AJ499)*(MUTUAL_BASICA+MUTUAL_ADIC+SANNA),0))</f>
        <v/>
      </c>
      <c r="AE499" s="71" t="str">
        <f aca="false">IF(AH499="","",P499-N(N499)+AB499+AC499+AD499)</f>
        <v/>
      </c>
      <c r="AF499" s="65"/>
      <c r="AG499" s="64"/>
      <c r="AH499" s="72" t="str">
        <f aca="false">IF(OR(B499="",C499=""),"",C499&amp;"|"&amp;(YEAR(B499)*100+MONTH(B499)))</f>
        <v/>
      </c>
      <c r="AI499" s="70" t="str">
        <f aca="false">IF(AH499="","",IF(COUNTIF(L_CLAVE,AH499)&gt;1,"⚠ Duplicado","OK"))</f>
        <v/>
      </c>
      <c r="AJ499" s="86" t="str">
        <f aca="false">IF(AH499="","",IF(SUMPRODUCT(MAX((IND_PER&lt;=B499)*(IND_UF&lt;&gt;"")*IND_PER))=0,UF_HOY,INDEX(IND_UF,MATCH(SUMPRODUCT(MAX((IND_PER&lt;=B499)*(IND_UF&lt;&gt;"")*IND_PER)),IND_PER,0))))</f>
        <v/>
      </c>
      <c r="AK499" s="87" t="str">
        <f aca="false">IF(AH499="","",IF(COUNTIF(TASA_DESDE,"&lt;="&amp;B499)=0,INDEX(TASA_EMP,1),INDEX(TASA_EMP,COUNTIF(TASA_DESDE,"&lt;="&amp;B499))))</f>
        <v/>
      </c>
    </row>
    <row r="500" customFormat="false" ht="15" hidden="false" customHeight="false" outlineLevel="0" collapsed="false">
      <c r="B500" s="78"/>
      <c r="C500" s="64"/>
      <c r="D500" s="72" t="str">
        <f aca="false">IF(C500="","",IFERROR(INDEX(T_NOMBRE,MATCH(C500,T_ID,0)),"⚠ ID no existe"))</f>
        <v/>
      </c>
      <c r="E500" s="69"/>
      <c r="F500" s="67"/>
      <c r="G500" s="67"/>
      <c r="H500" s="67"/>
      <c r="I500" s="67"/>
      <c r="J500" s="67"/>
      <c r="K500" s="85" t="str">
        <f aca="false">IF(AH500="","",N(F500)+N(G500)+N(H500)-N(I500)+N(J500))</f>
        <v/>
      </c>
      <c r="L500" s="67"/>
      <c r="M500" s="67"/>
      <c r="N500" s="67"/>
      <c r="O500" s="67"/>
      <c r="P500" s="85" t="str">
        <f aca="false">IF(AH500="","",K500+N(L500)+N(M500)+N(N500)+N(O500))</f>
        <v/>
      </c>
      <c r="Q500" s="67"/>
      <c r="R500" s="67"/>
      <c r="S500" s="67"/>
      <c r="T500" s="67"/>
      <c r="U500" s="67"/>
      <c r="V500" s="67"/>
      <c r="W500" s="85" t="str">
        <f aca="false">IF(AH500="","",N(Q500)+N(R500)+N(S500)+N(T500)+N(U500)+N(V500))</f>
        <v/>
      </c>
      <c r="X500" s="85" t="str">
        <f aca="false">IF(AH500="","",P500-W500)</f>
        <v/>
      </c>
      <c r="Y500" s="67"/>
      <c r="Z500" s="70" t="str">
        <f aca="false">IF(OR(AH500="",Y500=""),"",IF(ABS(X500-Y500)&lt;=1,"✓ Cuadra","⚠ Diferencia $"&amp;FIXED(X500-Y500,0)))</f>
        <v/>
      </c>
      <c r="AA500" s="72" t="str">
        <f aca="false">IF(AH500="","",IFERROR(INDEX(C_TIPO,MATCH(C500&amp;"-P"&amp;MAX(1,COUNTIFS(C_ID,C500,C_DEFINE,"Sí",C_INICIO,"&lt;="&amp;EOMONTH(B500,0))),C_CLAVE,0))&amp;"","Sin dato"))</f>
        <v/>
      </c>
      <c r="AB500" s="71" t="str">
        <f aca="false">IF(AH500="","",ROUND(MIN(K500,TOPE_AFP_UF*AJ500)*AK500,0))</f>
        <v/>
      </c>
      <c r="AC500" s="71" t="str">
        <f aca="false">IF(AH500="","",ROUND(MIN(K500,TOPE_AFC_UF*AJ500)*IF(AA500="Indefinido",AFC_EMP_INDEF,AFC_EMP_PF),0))</f>
        <v/>
      </c>
      <c r="AD500" s="71" t="str">
        <f aca="false">IF(AH500="","",ROUND(MIN(K500,TOPE_AFP_UF*AJ500)*(MUTUAL_BASICA+MUTUAL_ADIC+SANNA),0))</f>
        <v/>
      </c>
      <c r="AE500" s="71" t="str">
        <f aca="false">IF(AH500="","",P500-N(N500)+AB500+AC500+AD500)</f>
        <v/>
      </c>
      <c r="AF500" s="65"/>
      <c r="AG500" s="64"/>
      <c r="AH500" s="72" t="str">
        <f aca="false">IF(OR(B500="",C500=""),"",C500&amp;"|"&amp;(YEAR(B500)*100+MONTH(B500)))</f>
        <v/>
      </c>
      <c r="AI500" s="70" t="str">
        <f aca="false">IF(AH500="","",IF(COUNTIF(L_CLAVE,AH500)&gt;1,"⚠ Duplicado","OK"))</f>
        <v/>
      </c>
      <c r="AJ500" s="86" t="str">
        <f aca="false">IF(AH500="","",IF(SUMPRODUCT(MAX((IND_PER&lt;=B500)*(IND_UF&lt;&gt;"")*IND_PER))=0,UF_HOY,INDEX(IND_UF,MATCH(SUMPRODUCT(MAX((IND_PER&lt;=B500)*(IND_UF&lt;&gt;"")*IND_PER)),IND_PER,0))))</f>
        <v/>
      </c>
      <c r="AK500" s="87" t="str">
        <f aca="false">IF(AH500="","",IF(COUNTIF(TASA_DESDE,"&lt;="&amp;B500)=0,INDEX(TASA_EMP,1),INDEX(TASA_EMP,COUNTIF(TASA_DESDE,"&lt;="&amp;B500))))</f>
        <v/>
      </c>
    </row>
    <row r="501" customFormat="false" ht="15" hidden="false" customHeight="false" outlineLevel="0" collapsed="false">
      <c r="B501" s="78"/>
      <c r="C501" s="64"/>
      <c r="D501" s="72" t="str">
        <f aca="false">IF(C501="","",IFERROR(INDEX(T_NOMBRE,MATCH(C501,T_ID,0)),"⚠ ID no existe"))</f>
        <v/>
      </c>
      <c r="E501" s="69"/>
      <c r="F501" s="67"/>
      <c r="G501" s="67"/>
      <c r="H501" s="67"/>
      <c r="I501" s="67"/>
      <c r="J501" s="67"/>
      <c r="K501" s="85" t="str">
        <f aca="false">IF(AH501="","",N(F501)+N(G501)+N(H501)-N(I501)+N(J501))</f>
        <v/>
      </c>
      <c r="L501" s="67"/>
      <c r="M501" s="67"/>
      <c r="N501" s="67"/>
      <c r="O501" s="67"/>
      <c r="P501" s="85" t="str">
        <f aca="false">IF(AH501="","",K501+N(L501)+N(M501)+N(N501)+N(O501))</f>
        <v/>
      </c>
      <c r="Q501" s="67"/>
      <c r="R501" s="67"/>
      <c r="S501" s="67"/>
      <c r="T501" s="67"/>
      <c r="U501" s="67"/>
      <c r="V501" s="67"/>
      <c r="W501" s="85" t="str">
        <f aca="false">IF(AH501="","",N(Q501)+N(R501)+N(S501)+N(T501)+N(U501)+N(V501))</f>
        <v/>
      </c>
      <c r="X501" s="85" t="str">
        <f aca="false">IF(AH501="","",P501-W501)</f>
        <v/>
      </c>
      <c r="Y501" s="67"/>
      <c r="Z501" s="70" t="str">
        <f aca="false">IF(OR(AH501="",Y501=""),"",IF(ABS(X501-Y501)&lt;=1,"✓ Cuadra","⚠ Diferencia $"&amp;FIXED(X501-Y501,0)))</f>
        <v/>
      </c>
      <c r="AA501" s="72" t="str">
        <f aca="false">IF(AH501="","",IFERROR(INDEX(C_TIPO,MATCH(C501&amp;"-P"&amp;MAX(1,COUNTIFS(C_ID,C501,C_DEFINE,"Sí",C_INICIO,"&lt;="&amp;EOMONTH(B501,0))),C_CLAVE,0))&amp;"","Sin dato"))</f>
        <v/>
      </c>
      <c r="AB501" s="71" t="str">
        <f aca="false">IF(AH501="","",ROUND(MIN(K501,TOPE_AFP_UF*AJ501)*AK501,0))</f>
        <v/>
      </c>
      <c r="AC501" s="71" t="str">
        <f aca="false">IF(AH501="","",ROUND(MIN(K501,TOPE_AFC_UF*AJ501)*IF(AA501="Indefinido",AFC_EMP_INDEF,AFC_EMP_PF),0))</f>
        <v/>
      </c>
      <c r="AD501" s="71" t="str">
        <f aca="false">IF(AH501="","",ROUND(MIN(K501,TOPE_AFP_UF*AJ501)*(MUTUAL_BASICA+MUTUAL_ADIC+SANNA),0))</f>
        <v/>
      </c>
      <c r="AE501" s="71" t="str">
        <f aca="false">IF(AH501="","",P501-N(N501)+AB501+AC501+AD501)</f>
        <v/>
      </c>
      <c r="AF501" s="65"/>
      <c r="AG501" s="64"/>
      <c r="AH501" s="72" t="str">
        <f aca="false">IF(OR(B501="",C501=""),"",C501&amp;"|"&amp;(YEAR(B501)*100+MONTH(B501)))</f>
        <v/>
      </c>
      <c r="AI501" s="70" t="str">
        <f aca="false">IF(AH501="","",IF(COUNTIF(L_CLAVE,AH501)&gt;1,"⚠ Duplicado","OK"))</f>
        <v/>
      </c>
      <c r="AJ501" s="86" t="str">
        <f aca="false">IF(AH501="","",IF(SUMPRODUCT(MAX((IND_PER&lt;=B501)*(IND_UF&lt;&gt;"")*IND_PER))=0,UF_HOY,INDEX(IND_UF,MATCH(SUMPRODUCT(MAX((IND_PER&lt;=B501)*(IND_UF&lt;&gt;"")*IND_PER)),IND_PER,0))))</f>
        <v/>
      </c>
      <c r="AK501" s="87" t="str">
        <f aca="false">IF(AH501="","",IF(COUNTIF(TASA_DESDE,"&lt;="&amp;B501)=0,INDEX(TASA_EMP,1),INDEX(TASA_EMP,COUNTIF(TASA_DESDE,"&lt;="&amp;B501))))</f>
        <v/>
      </c>
    </row>
    <row r="502" customFormat="false" ht="15" hidden="false" customHeight="false" outlineLevel="0" collapsed="false">
      <c r="B502" s="78"/>
      <c r="C502" s="64"/>
      <c r="D502" s="72" t="str">
        <f aca="false">IF(C502="","",IFERROR(INDEX(T_NOMBRE,MATCH(C502,T_ID,0)),"⚠ ID no existe"))</f>
        <v/>
      </c>
      <c r="E502" s="69"/>
      <c r="F502" s="67"/>
      <c r="G502" s="67"/>
      <c r="H502" s="67"/>
      <c r="I502" s="67"/>
      <c r="J502" s="67"/>
      <c r="K502" s="85" t="str">
        <f aca="false">IF(AH502="","",N(F502)+N(G502)+N(H502)-N(I502)+N(J502))</f>
        <v/>
      </c>
      <c r="L502" s="67"/>
      <c r="M502" s="67"/>
      <c r="N502" s="67"/>
      <c r="O502" s="67"/>
      <c r="P502" s="85" t="str">
        <f aca="false">IF(AH502="","",K502+N(L502)+N(M502)+N(N502)+N(O502))</f>
        <v/>
      </c>
      <c r="Q502" s="67"/>
      <c r="R502" s="67"/>
      <c r="S502" s="67"/>
      <c r="T502" s="67"/>
      <c r="U502" s="67"/>
      <c r="V502" s="67"/>
      <c r="W502" s="85" t="str">
        <f aca="false">IF(AH502="","",N(Q502)+N(R502)+N(S502)+N(T502)+N(U502)+N(V502))</f>
        <v/>
      </c>
      <c r="X502" s="85" t="str">
        <f aca="false">IF(AH502="","",P502-W502)</f>
        <v/>
      </c>
      <c r="Y502" s="67"/>
      <c r="Z502" s="70" t="str">
        <f aca="false">IF(OR(AH502="",Y502=""),"",IF(ABS(X502-Y502)&lt;=1,"✓ Cuadra","⚠ Diferencia $"&amp;FIXED(X502-Y502,0)))</f>
        <v/>
      </c>
      <c r="AA502" s="72" t="str">
        <f aca="false">IF(AH502="","",IFERROR(INDEX(C_TIPO,MATCH(C502&amp;"-P"&amp;MAX(1,COUNTIFS(C_ID,C502,C_DEFINE,"Sí",C_INICIO,"&lt;="&amp;EOMONTH(B502,0))),C_CLAVE,0))&amp;"","Sin dato"))</f>
        <v/>
      </c>
      <c r="AB502" s="71" t="str">
        <f aca="false">IF(AH502="","",ROUND(MIN(K502,TOPE_AFP_UF*AJ502)*AK502,0))</f>
        <v/>
      </c>
      <c r="AC502" s="71" t="str">
        <f aca="false">IF(AH502="","",ROUND(MIN(K502,TOPE_AFC_UF*AJ502)*IF(AA502="Indefinido",AFC_EMP_INDEF,AFC_EMP_PF),0))</f>
        <v/>
      </c>
      <c r="AD502" s="71" t="str">
        <f aca="false">IF(AH502="","",ROUND(MIN(K502,TOPE_AFP_UF*AJ502)*(MUTUAL_BASICA+MUTUAL_ADIC+SANNA),0))</f>
        <v/>
      </c>
      <c r="AE502" s="71" t="str">
        <f aca="false">IF(AH502="","",P502-N(N502)+AB502+AC502+AD502)</f>
        <v/>
      </c>
      <c r="AF502" s="65"/>
      <c r="AG502" s="64"/>
      <c r="AH502" s="72" t="str">
        <f aca="false">IF(OR(B502="",C502=""),"",C502&amp;"|"&amp;(YEAR(B502)*100+MONTH(B502)))</f>
        <v/>
      </c>
      <c r="AI502" s="70" t="str">
        <f aca="false">IF(AH502="","",IF(COUNTIF(L_CLAVE,AH502)&gt;1,"⚠ Duplicado","OK"))</f>
        <v/>
      </c>
      <c r="AJ502" s="86" t="str">
        <f aca="false">IF(AH502="","",IF(SUMPRODUCT(MAX((IND_PER&lt;=B502)*(IND_UF&lt;&gt;"")*IND_PER))=0,UF_HOY,INDEX(IND_UF,MATCH(SUMPRODUCT(MAX((IND_PER&lt;=B502)*(IND_UF&lt;&gt;"")*IND_PER)),IND_PER,0))))</f>
        <v/>
      </c>
      <c r="AK502" s="87" t="str">
        <f aca="false">IF(AH502="","",IF(COUNTIF(TASA_DESDE,"&lt;="&amp;B502)=0,INDEX(TASA_EMP,1),INDEX(TASA_EMP,COUNTIF(TASA_DESDE,"&lt;="&amp;B502))))</f>
        <v/>
      </c>
    </row>
    <row r="503" customFormat="false" ht="15" hidden="false" customHeight="false" outlineLevel="0" collapsed="false">
      <c r="B503" s="78"/>
      <c r="C503" s="64"/>
      <c r="D503" s="72" t="str">
        <f aca="false">IF(C503="","",IFERROR(INDEX(T_NOMBRE,MATCH(C503,T_ID,0)),"⚠ ID no existe"))</f>
        <v/>
      </c>
      <c r="E503" s="69"/>
      <c r="F503" s="67"/>
      <c r="G503" s="67"/>
      <c r="H503" s="67"/>
      <c r="I503" s="67"/>
      <c r="J503" s="67"/>
      <c r="K503" s="85" t="str">
        <f aca="false">IF(AH503="","",N(F503)+N(G503)+N(H503)-N(I503)+N(J503))</f>
        <v/>
      </c>
      <c r="L503" s="67"/>
      <c r="M503" s="67"/>
      <c r="N503" s="67"/>
      <c r="O503" s="67"/>
      <c r="P503" s="85" t="str">
        <f aca="false">IF(AH503="","",K503+N(L503)+N(M503)+N(N503)+N(O503))</f>
        <v/>
      </c>
      <c r="Q503" s="67"/>
      <c r="R503" s="67"/>
      <c r="S503" s="67"/>
      <c r="T503" s="67"/>
      <c r="U503" s="67"/>
      <c r="V503" s="67"/>
      <c r="W503" s="85" t="str">
        <f aca="false">IF(AH503="","",N(Q503)+N(R503)+N(S503)+N(T503)+N(U503)+N(V503))</f>
        <v/>
      </c>
      <c r="X503" s="85" t="str">
        <f aca="false">IF(AH503="","",P503-W503)</f>
        <v/>
      </c>
      <c r="Y503" s="67"/>
      <c r="Z503" s="70" t="str">
        <f aca="false">IF(OR(AH503="",Y503=""),"",IF(ABS(X503-Y503)&lt;=1,"✓ Cuadra","⚠ Diferencia $"&amp;FIXED(X503-Y503,0)))</f>
        <v/>
      </c>
      <c r="AA503" s="72" t="str">
        <f aca="false">IF(AH503="","",IFERROR(INDEX(C_TIPO,MATCH(C503&amp;"-P"&amp;MAX(1,COUNTIFS(C_ID,C503,C_DEFINE,"Sí",C_INICIO,"&lt;="&amp;EOMONTH(B503,0))),C_CLAVE,0))&amp;"","Sin dato"))</f>
        <v/>
      </c>
      <c r="AB503" s="71" t="str">
        <f aca="false">IF(AH503="","",ROUND(MIN(K503,TOPE_AFP_UF*AJ503)*AK503,0))</f>
        <v/>
      </c>
      <c r="AC503" s="71" t="str">
        <f aca="false">IF(AH503="","",ROUND(MIN(K503,TOPE_AFC_UF*AJ503)*IF(AA503="Indefinido",AFC_EMP_INDEF,AFC_EMP_PF),0))</f>
        <v/>
      </c>
      <c r="AD503" s="71" t="str">
        <f aca="false">IF(AH503="","",ROUND(MIN(K503,TOPE_AFP_UF*AJ503)*(MUTUAL_BASICA+MUTUAL_ADIC+SANNA),0))</f>
        <v/>
      </c>
      <c r="AE503" s="71" t="str">
        <f aca="false">IF(AH503="","",P503-N(N503)+AB503+AC503+AD503)</f>
        <v/>
      </c>
      <c r="AF503" s="65"/>
      <c r="AG503" s="64"/>
      <c r="AH503" s="72" t="str">
        <f aca="false">IF(OR(B503="",C503=""),"",C503&amp;"|"&amp;(YEAR(B503)*100+MONTH(B503)))</f>
        <v/>
      </c>
      <c r="AI503" s="70" t="str">
        <f aca="false">IF(AH503="","",IF(COUNTIF(L_CLAVE,AH503)&gt;1,"⚠ Duplicado","OK"))</f>
        <v/>
      </c>
      <c r="AJ503" s="86" t="str">
        <f aca="false">IF(AH503="","",IF(SUMPRODUCT(MAX((IND_PER&lt;=B503)*(IND_UF&lt;&gt;"")*IND_PER))=0,UF_HOY,INDEX(IND_UF,MATCH(SUMPRODUCT(MAX((IND_PER&lt;=B503)*(IND_UF&lt;&gt;"")*IND_PER)),IND_PER,0))))</f>
        <v/>
      </c>
      <c r="AK503" s="87" t="str">
        <f aca="false">IF(AH503="","",IF(COUNTIF(TASA_DESDE,"&lt;="&amp;B503)=0,INDEX(TASA_EMP,1),INDEX(TASA_EMP,COUNTIF(TASA_DESDE,"&lt;="&amp;B503))))</f>
        <v/>
      </c>
    </row>
    <row r="504" customFormat="false" ht="15" hidden="false" customHeight="false" outlineLevel="0" collapsed="false">
      <c r="B504" s="78"/>
      <c r="C504" s="64"/>
      <c r="D504" s="72" t="str">
        <f aca="false">IF(C504="","",IFERROR(INDEX(T_NOMBRE,MATCH(C504,T_ID,0)),"⚠ ID no existe"))</f>
        <v/>
      </c>
      <c r="E504" s="69"/>
      <c r="F504" s="67"/>
      <c r="G504" s="67"/>
      <c r="H504" s="67"/>
      <c r="I504" s="67"/>
      <c r="J504" s="67"/>
      <c r="K504" s="85" t="str">
        <f aca="false">IF(AH504="","",N(F504)+N(G504)+N(H504)-N(I504)+N(J504))</f>
        <v/>
      </c>
      <c r="L504" s="67"/>
      <c r="M504" s="67"/>
      <c r="N504" s="67"/>
      <c r="O504" s="67"/>
      <c r="P504" s="85" t="str">
        <f aca="false">IF(AH504="","",K504+N(L504)+N(M504)+N(N504)+N(O504))</f>
        <v/>
      </c>
      <c r="Q504" s="67"/>
      <c r="R504" s="67"/>
      <c r="S504" s="67"/>
      <c r="T504" s="67"/>
      <c r="U504" s="67"/>
      <c r="V504" s="67"/>
      <c r="W504" s="85" t="str">
        <f aca="false">IF(AH504="","",N(Q504)+N(R504)+N(S504)+N(T504)+N(U504)+N(V504))</f>
        <v/>
      </c>
      <c r="X504" s="85" t="str">
        <f aca="false">IF(AH504="","",P504-W504)</f>
        <v/>
      </c>
      <c r="Y504" s="67"/>
      <c r="Z504" s="70" t="str">
        <f aca="false">IF(OR(AH504="",Y504=""),"",IF(ABS(X504-Y504)&lt;=1,"✓ Cuadra","⚠ Diferencia $"&amp;FIXED(X504-Y504,0)))</f>
        <v/>
      </c>
      <c r="AA504" s="72" t="str">
        <f aca="false">IF(AH504="","",IFERROR(INDEX(C_TIPO,MATCH(C504&amp;"-P"&amp;MAX(1,COUNTIFS(C_ID,C504,C_DEFINE,"Sí",C_INICIO,"&lt;="&amp;EOMONTH(B504,0))),C_CLAVE,0))&amp;"","Sin dato"))</f>
        <v/>
      </c>
      <c r="AB504" s="71" t="str">
        <f aca="false">IF(AH504="","",ROUND(MIN(K504,TOPE_AFP_UF*AJ504)*AK504,0))</f>
        <v/>
      </c>
      <c r="AC504" s="71" t="str">
        <f aca="false">IF(AH504="","",ROUND(MIN(K504,TOPE_AFC_UF*AJ504)*IF(AA504="Indefinido",AFC_EMP_INDEF,AFC_EMP_PF),0))</f>
        <v/>
      </c>
      <c r="AD504" s="71" t="str">
        <f aca="false">IF(AH504="","",ROUND(MIN(K504,TOPE_AFP_UF*AJ504)*(MUTUAL_BASICA+MUTUAL_ADIC+SANNA),0))</f>
        <v/>
      </c>
      <c r="AE504" s="71" t="str">
        <f aca="false">IF(AH504="","",P504-N(N504)+AB504+AC504+AD504)</f>
        <v/>
      </c>
      <c r="AF504" s="65"/>
      <c r="AG504" s="64"/>
      <c r="AH504" s="72" t="str">
        <f aca="false">IF(OR(B504="",C504=""),"",C504&amp;"|"&amp;(YEAR(B504)*100+MONTH(B504)))</f>
        <v/>
      </c>
      <c r="AI504" s="70" t="str">
        <f aca="false">IF(AH504="","",IF(COUNTIF(L_CLAVE,AH504)&gt;1,"⚠ Duplicado","OK"))</f>
        <v/>
      </c>
      <c r="AJ504" s="86" t="str">
        <f aca="false">IF(AH504="","",IF(SUMPRODUCT(MAX((IND_PER&lt;=B504)*(IND_UF&lt;&gt;"")*IND_PER))=0,UF_HOY,INDEX(IND_UF,MATCH(SUMPRODUCT(MAX((IND_PER&lt;=B504)*(IND_UF&lt;&gt;"")*IND_PER)),IND_PER,0))))</f>
        <v/>
      </c>
      <c r="AK504" s="87" t="str">
        <f aca="false">IF(AH504="","",IF(COUNTIF(TASA_DESDE,"&lt;="&amp;B504)=0,INDEX(TASA_EMP,1),INDEX(TASA_EMP,COUNTIF(TASA_DESDE,"&lt;="&amp;B504))))</f>
        <v/>
      </c>
    </row>
    <row r="505" customFormat="false" ht="15" hidden="false" customHeight="false" outlineLevel="0" collapsed="false">
      <c r="B505" s="78"/>
      <c r="C505" s="64"/>
      <c r="D505" s="72" t="str">
        <f aca="false">IF(C505="","",IFERROR(INDEX(T_NOMBRE,MATCH(C505,T_ID,0)),"⚠ ID no existe"))</f>
        <v/>
      </c>
      <c r="E505" s="69"/>
      <c r="F505" s="67"/>
      <c r="G505" s="67"/>
      <c r="H505" s="67"/>
      <c r="I505" s="67"/>
      <c r="J505" s="67"/>
      <c r="K505" s="85" t="str">
        <f aca="false">IF(AH505="","",N(F505)+N(G505)+N(H505)-N(I505)+N(J505))</f>
        <v/>
      </c>
      <c r="L505" s="67"/>
      <c r="M505" s="67"/>
      <c r="N505" s="67"/>
      <c r="O505" s="67"/>
      <c r="P505" s="85" t="str">
        <f aca="false">IF(AH505="","",K505+N(L505)+N(M505)+N(N505)+N(O505))</f>
        <v/>
      </c>
      <c r="Q505" s="67"/>
      <c r="R505" s="67"/>
      <c r="S505" s="67"/>
      <c r="T505" s="67"/>
      <c r="U505" s="67"/>
      <c r="V505" s="67"/>
      <c r="W505" s="85" t="str">
        <f aca="false">IF(AH505="","",N(Q505)+N(R505)+N(S505)+N(T505)+N(U505)+N(V505))</f>
        <v/>
      </c>
      <c r="X505" s="85" t="str">
        <f aca="false">IF(AH505="","",P505-W505)</f>
        <v/>
      </c>
      <c r="Y505" s="67"/>
      <c r="Z505" s="70" t="str">
        <f aca="false">IF(OR(AH505="",Y505=""),"",IF(ABS(X505-Y505)&lt;=1,"✓ Cuadra","⚠ Diferencia $"&amp;FIXED(X505-Y505,0)))</f>
        <v/>
      </c>
      <c r="AA505" s="72" t="str">
        <f aca="false">IF(AH505="","",IFERROR(INDEX(C_TIPO,MATCH(C505&amp;"-P"&amp;MAX(1,COUNTIFS(C_ID,C505,C_DEFINE,"Sí",C_INICIO,"&lt;="&amp;EOMONTH(B505,0))),C_CLAVE,0))&amp;"","Sin dato"))</f>
        <v/>
      </c>
      <c r="AB505" s="71" t="str">
        <f aca="false">IF(AH505="","",ROUND(MIN(K505,TOPE_AFP_UF*AJ505)*AK505,0))</f>
        <v/>
      </c>
      <c r="AC505" s="71" t="str">
        <f aca="false">IF(AH505="","",ROUND(MIN(K505,TOPE_AFC_UF*AJ505)*IF(AA505="Indefinido",AFC_EMP_INDEF,AFC_EMP_PF),0))</f>
        <v/>
      </c>
      <c r="AD505" s="71" t="str">
        <f aca="false">IF(AH505="","",ROUND(MIN(K505,TOPE_AFP_UF*AJ505)*(MUTUAL_BASICA+MUTUAL_ADIC+SANNA),0))</f>
        <v/>
      </c>
      <c r="AE505" s="71" t="str">
        <f aca="false">IF(AH505="","",P505-N(N505)+AB505+AC505+AD505)</f>
        <v/>
      </c>
      <c r="AF505" s="65"/>
      <c r="AG505" s="64"/>
      <c r="AH505" s="72" t="str">
        <f aca="false">IF(OR(B505="",C505=""),"",C505&amp;"|"&amp;(YEAR(B505)*100+MONTH(B505)))</f>
        <v/>
      </c>
      <c r="AI505" s="70" t="str">
        <f aca="false">IF(AH505="","",IF(COUNTIF(L_CLAVE,AH505)&gt;1,"⚠ Duplicado","OK"))</f>
        <v/>
      </c>
      <c r="AJ505" s="86" t="str">
        <f aca="false">IF(AH505="","",IF(SUMPRODUCT(MAX((IND_PER&lt;=B505)*(IND_UF&lt;&gt;"")*IND_PER))=0,UF_HOY,INDEX(IND_UF,MATCH(SUMPRODUCT(MAX((IND_PER&lt;=B505)*(IND_UF&lt;&gt;"")*IND_PER)),IND_PER,0))))</f>
        <v/>
      </c>
      <c r="AK505" s="87" t="str">
        <f aca="false">IF(AH505="","",IF(COUNTIF(TASA_DESDE,"&lt;="&amp;B505)=0,INDEX(TASA_EMP,1),INDEX(TASA_EMP,COUNTIF(TASA_DESDE,"&lt;="&amp;B505))))</f>
        <v/>
      </c>
    </row>
    <row r="506" customFormat="false" ht="15" hidden="false" customHeight="false" outlineLevel="0" collapsed="false">
      <c r="B506" s="78"/>
      <c r="C506" s="64"/>
      <c r="D506" s="72" t="str">
        <f aca="false">IF(C506="","",IFERROR(INDEX(T_NOMBRE,MATCH(C506,T_ID,0)),"⚠ ID no existe"))</f>
        <v/>
      </c>
      <c r="E506" s="69"/>
      <c r="F506" s="67"/>
      <c r="G506" s="67"/>
      <c r="H506" s="67"/>
      <c r="I506" s="67"/>
      <c r="J506" s="67"/>
      <c r="K506" s="85" t="str">
        <f aca="false">IF(AH506="","",N(F506)+N(G506)+N(H506)-N(I506)+N(J506))</f>
        <v/>
      </c>
      <c r="L506" s="67"/>
      <c r="M506" s="67"/>
      <c r="N506" s="67"/>
      <c r="O506" s="67"/>
      <c r="P506" s="85" t="str">
        <f aca="false">IF(AH506="","",K506+N(L506)+N(M506)+N(N506)+N(O506))</f>
        <v/>
      </c>
      <c r="Q506" s="67"/>
      <c r="R506" s="67"/>
      <c r="S506" s="67"/>
      <c r="T506" s="67"/>
      <c r="U506" s="67"/>
      <c r="V506" s="67"/>
      <c r="W506" s="85" t="str">
        <f aca="false">IF(AH506="","",N(Q506)+N(R506)+N(S506)+N(T506)+N(U506)+N(V506))</f>
        <v/>
      </c>
      <c r="X506" s="85" t="str">
        <f aca="false">IF(AH506="","",P506-W506)</f>
        <v/>
      </c>
      <c r="Y506" s="67"/>
      <c r="Z506" s="70" t="str">
        <f aca="false">IF(OR(AH506="",Y506=""),"",IF(ABS(X506-Y506)&lt;=1,"✓ Cuadra","⚠ Diferencia $"&amp;FIXED(X506-Y506,0)))</f>
        <v/>
      </c>
      <c r="AA506" s="72" t="str">
        <f aca="false">IF(AH506="","",IFERROR(INDEX(C_TIPO,MATCH(C506&amp;"-P"&amp;MAX(1,COUNTIFS(C_ID,C506,C_DEFINE,"Sí",C_INICIO,"&lt;="&amp;EOMONTH(B506,0))),C_CLAVE,0))&amp;"","Sin dato"))</f>
        <v/>
      </c>
      <c r="AB506" s="71" t="str">
        <f aca="false">IF(AH506="","",ROUND(MIN(K506,TOPE_AFP_UF*AJ506)*AK506,0))</f>
        <v/>
      </c>
      <c r="AC506" s="71" t="str">
        <f aca="false">IF(AH506="","",ROUND(MIN(K506,TOPE_AFC_UF*AJ506)*IF(AA506="Indefinido",AFC_EMP_INDEF,AFC_EMP_PF),0))</f>
        <v/>
      </c>
      <c r="AD506" s="71" t="str">
        <f aca="false">IF(AH506="","",ROUND(MIN(K506,TOPE_AFP_UF*AJ506)*(MUTUAL_BASICA+MUTUAL_ADIC+SANNA),0))</f>
        <v/>
      </c>
      <c r="AE506" s="71" t="str">
        <f aca="false">IF(AH506="","",P506-N(N506)+AB506+AC506+AD506)</f>
        <v/>
      </c>
      <c r="AF506" s="65"/>
      <c r="AG506" s="64"/>
      <c r="AH506" s="72" t="str">
        <f aca="false">IF(OR(B506="",C506=""),"",C506&amp;"|"&amp;(YEAR(B506)*100+MONTH(B506)))</f>
        <v/>
      </c>
      <c r="AI506" s="70" t="str">
        <f aca="false">IF(AH506="","",IF(COUNTIF(L_CLAVE,AH506)&gt;1,"⚠ Duplicado","OK"))</f>
        <v/>
      </c>
      <c r="AJ506" s="86" t="str">
        <f aca="false">IF(AH506="","",IF(SUMPRODUCT(MAX((IND_PER&lt;=B506)*(IND_UF&lt;&gt;"")*IND_PER))=0,UF_HOY,INDEX(IND_UF,MATCH(SUMPRODUCT(MAX((IND_PER&lt;=B506)*(IND_UF&lt;&gt;"")*IND_PER)),IND_PER,0))))</f>
        <v/>
      </c>
      <c r="AK506" s="87" t="str">
        <f aca="false">IF(AH506="","",IF(COUNTIF(TASA_DESDE,"&lt;="&amp;B506)=0,INDEX(TASA_EMP,1),INDEX(TASA_EMP,COUNTIF(TASA_DESDE,"&lt;="&amp;B506))))</f>
        <v/>
      </c>
    </row>
    <row r="507" customFormat="false" ht="15" hidden="false" customHeight="false" outlineLevel="0" collapsed="false">
      <c r="B507" s="78"/>
      <c r="C507" s="64"/>
      <c r="D507" s="72" t="str">
        <f aca="false">IF(C507="","",IFERROR(INDEX(T_NOMBRE,MATCH(C507,T_ID,0)),"⚠ ID no existe"))</f>
        <v/>
      </c>
      <c r="E507" s="69"/>
      <c r="F507" s="67"/>
      <c r="G507" s="67"/>
      <c r="H507" s="67"/>
      <c r="I507" s="67"/>
      <c r="J507" s="67"/>
      <c r="K507" s="85" t="str">
        <f aca="false">IF(AH507="","",N(F507)+N(G507)+N(H507)-N(I507)+N(J507))</f>
        <v/>
      </c>
      <c r="L507" s="67"/>
      <c r="M507" s="67"/>
      <c r="N507" s="67"/>
      <c r="O507" s="67"/>
      <c r="P507" s="85" t="str">
        <f aca="false">IF(AH507="","",K507+N(L507)+N(M507)+N(N507)+N(O507))</f>
        <v/>
      </c>
      <c r="Q507" s="67"/>
      <c r="R507" s="67"/>
      <c r="S507" s="67"/>
      <c r="T507" s="67"/>
      <c r="U507" s="67"/>
      <c r="V507" s="67"/>
      <c r="W507" s="85" t="str">
        <f aca="false">IF(AH507="","",N(Q507)+N(R507)+N(S507)+N(T507)+N(U507)+N(V507))</f>
        <v/>
      </c>
      <c r="X507" s="85" t="str">
        <f aca="false">IF(AH507="","",P507-W507)</f>
        <v/>
      </c>
      <c r="Y507" s="67"/>
      <c r="Z507" s="70" t="str">
        <f aca="false">IF(OR(AH507="",Y507=""),"",IF(ABS(X507-Y507)&lt;=1,"✓ Cuadra","⚠ Diferencia $"&amp;FIXED(X507-Y507,0)))</f>
        <v/>
      </c>
      <c r="AA507" s="72" t="str">
        <f aca="false">IF(AH507="","",IFERROR(INDEX(C_TIPO,MATCH(C507&amp;"-P"&amp;MAX(1,COUNTIFS(C_ID,C507,C_DEFINE,"Sí",C_INICIO,"&lt;="&amp;EOMONTH(B507,0))),C_CLAVE,0))&amp;"","Sin dato"))</f>
        <v/>
      </c>
      <c r="AB507" s="71" t="str">
        <f aca="false">IF(AH507="","",ROUND(MIN(K507,TOPE_AFP_UF*AJ507)*AK507,0))</f>
        <v/>
      </c>
      <c r="AC507" s="71" t="str">
        <f aca="false">IF(AH507="","",ROUND(MIN(K507,TOPE_AFC_UF*AJ507)*IF(AA507="Indefinido",AFC_EMP_INDEF,AFC_EMP_PF),0))</f>
        <v/>
      </c>
      <c r="AD507" s="71" t="str">
        <f aca="false">IF(AH507="","",ROUND(MIN(K507,TOPE_AFP_UF*AJ507)*(MUTUAL_BASICA+MUTUAL_ADIC+SANNA),0))</f>
        <v/>
      </c>
      <c r="AE507" s="71" t="str">
        <f aca="false">IF(AH507="","",P507-N(N507)+AB507+AC507+AD507)</f>
        <v/>
      </c>
      <c r="AF507" s="65"/>
      <c r="AG507" s="64"/>
      <c r="AH507" s="72" t="str">
        <f aca="false">IF(OR(B507="",C507=""),"",C507&amp;"|"&amp;(YEAR(B507)*100+MONTH(B507)))</f>
        <v/>
      </c>
      <c r="AI507" s="70" t="str">
        <f aca="false">IF(AH507="","",IF(COUNTIF(L_CLAVE,AH507)&gt;1,"⚠ Duplicado","OK"))</f>
        <v/>
      </c>
      <c r="AJ507" s="86" t="str">
        <f aca="false">IF(AH507="","",IF(SUMPRODUCT(MAX((IND_PER&lt;=B507)*(IND_UF&lt;&gt;"")*IND_PER))=0,UF_HOY,INDEX(IND_UF,MATCH(SUMPRODUCT(MAX((IND_PER&lt;=B507)*(IND_UF&lt;&gt;"")*IND_PER)),IND_PER,0))))</f>
        <v/>
      </c>
      <c r="AK507" s="87" t="str">
        <f aca="false">IF(AH507="","",IF(COUNTIF(TASA_DESDE,"&lt;="&amp;B507)=0,INDEX(TASA_EMP,1),INDEX(TASA_EMP,COUNTIF(TASA_DESDE,"&lt;="&amp;B507))))</f>
        <v/>
      </c>
    </row>
    <row r="508" customFormat="false" ht="15" hidden="false" customHeight="false" outlineLevel="0" collapsed="false">
      <c r="B508" s="78"/>
      <c r="C508" s="64"/>
      <c r="D508" s="72" t="str">
        <f aca="false">IF(C508="","",IFERROR(INDEX(T_NOMBRE,MATCH(C508,T_ID,0)),"⚠ ID no existe"))</f>
        <v/>
      </c>
      <c r="E508" s="69"/>
      <c r="F508" s="67"/>
      <c r="G508" s="67"/>
      <c r="H508" s="67"/>
      <c r="I508" s="67"/>
      <c r="J508" s="67"/>
      <c r="K508" s="85" t="str">
        <f aca="false">IF(AH508="","",N(F508)+N(G508)+N(H508)-N(I508)+N(J508))</f>
        <v/>
      </c>
      <c r="L508" s="67"/>
      <c r="M508" s="67"/>
      <c r="N508" s="67"/>
      <c r="O508" s="67"/>
      <c r="P508" s="85" t="str">
        <f aca="false">IF(AH508="","",K508+N(L508)+N(M508)+N(N508)+N(O508))</f>
        <v/>
      </c>
      <c r="Q508" s="67"/>
      <c r="R508" s="67"/>
      <c r="S508" s="67"/>
      <c r="T508" s="67"/>
      <c r="U508" s="67"/>
      <c r="V508" s="67"/>
      <c r="W508" s="85" t="str">
        <f aca="false">IF(AH508="","",N(Q508)+N(R508)+N(S508)+N(T508)+N(U508)+N(V508))</f>
        <v/>
      </c>
      <c r="X508" s="85" t="str">
        <f aca="false">IF(AH508="","",P508-W508)</f>
        <v/>
      </c>
      <c r="Y508" s="67"/>
      <c r="Z508" s="70" t="str">
        <f aca="false">IF(OR(AH508="",Y508=""),"",IF(ABS(X508-Y508)&lt;=1,"✓ Cuadra","⚠ Diferencia $"&amp;FIXED(X508-Y508,0)))</f>
        <v/>
      </c>
      <c r="AA508" s="72" t="str">
        <f aca="false">IF(AH508="","",IFERROR(INDEX(C_TIPO,MATCH(C508&amp;"-P"&amp;MAX(1,COUNTIFS(C_ID,C508,C_DEFINE,"Sí",C_INICIO,"&lt;="&amp;EOMONTH(B508,0))),C_CLAVE,0))&amp;"","Sin dato"))</f>
        <v/>
      </c>
      <c r="AB508" s="71" t="str">
        <f aca="false">IF(AH508="","",ROUND(MIN(K508,TOPE_AFP_UF*AJ508)*AK508,0))</f>
        <v/>
      </c>
      <c r="AC508" s="71" t="str">
        <f aca="false">IF(AH508="","",ROUND(MIN(K508,TOPE_AFC_UF*AJ508)*IF(AA508="Indefinido",AFC_EMP_INDEF,AFC_EMP_PF),0))</f>
        <v/>
      </c>
      <c r="AD508" s="71" t="str">
        <f aca="false">IF(AH508="","",ROUND(MIN(K508,TOPE_AFP_UF*AJ508)*(MUTUAL_BASICA+MUTUAL_ADIC+SANNA),0))</f>
        <v/>
      </c>
      <c r="AE508" s="71" t="str">
        <f aca="false">IF(AH508="","",P508-N(N508)+AB508+AC508+AD508)</f>
        <v/>
      </c>
      <c r="AF508" s="65"/>
      <c r="AG508" s="64"/>
      <c r="AH508" s="72" t="str">
        <f aca="false">IF(OR(B508="",C508=""),"",C508&amp;"|"&amp;(YEAR(B508)*100+MONTH(B508)))</f>
        <v/>
      </c>
      <c r="AI508" s="70" t="str">
        <f aca="false">IF(AH508="","",IF(COUNTIF(L_CLAVE,AH508)&gt;1,"⚠ Duplicado","OK"))</f>
        <v/>
      </c>
      <c r="AJ508" s="86" t="str">
        <f aca="false">IF(AH508="","",IF(SUMPRODUCT(MAX((IND_PER&lt;=B508)*(IND_UF&lt;&gt;"")*IND_PER))=0,UF_HOY,INDEX(IND_UF,MATCH(SUMPRODUCT(MAX((IND_PER&lt;=B508)*(IND_UF&lt;&gt;"")*IND_PER)),IND_PER,0))))</f>
        <v/>
      </c>
      <c r="AK508" s="87" t="str">
        <f aca="false">IF(AH508="","",IF(COUNTIF(TASA_DESDE,"&lt;="&amp;B508)=0,INDEX(TASA_EMP,1),INDEX(TASA_EMP,COUNTIF(TASA_DESDE,"&lt;="&amp;B508))))</f>
        <v/>
      </c>
    </row>
    <row r="509" customFormat="false" ht="15" hidden="false" customHeight="false" outlineLevel="0" collapsed="false">
      <c r="B509" s="78"/>
      <c r="C509" s="64"/>
      <c r="D509" s="72" t="str">
        <f aca="false">IF(C509="","",IFERROR(INDEX(T_NOMBRE,MATCH(C509,T_ID,0)),"⚠ ID no existe"))</f>
        <v/>
      </c>
      <c r="E509" s="69"/>
      <c r="F509" s="67"/>
      <c r="G509" s="67"/>
      <c r="H509" s="67"/>
      <c r="I509" s="67"/>
      <c r="J509" s="67"/>
      <c r="K509" s="85" t="str">
        <f aca="false">IF(AH509="","",N(F509)+N(G509)+N(H509)-N(I509)+N(J509))</f>
        <v/>
      </c>
      <c r="L509" s="67"/>
      <c r="M509" s="67"/>
      <c r="N509" s="67"/>
      <c r="O509" s="67"/>
      <c r="P509" s="85" t="str">
        <f aca="false">IF(AH509="","",K509+N(L509)+N(M509)+N(N509)+N(O509))</f>
        <v/>
      </c>
      <c r="Q509" s="67"/>
      <c r="R509" s="67"/>
      <c r="S509" s="67"/>
      <c r="T509" s="67"/>
      <c r="U509" s="67"/>
      <c r="V509" s="67"/>
      <c r="W509" s="85" t="str">
        <f aca="false">IF(AH509="","",N(Q509)+N(R509)+N(S509)+N(T509)+N(U509)+N(V509))</f>
        <v/>
      </c>
      <c r="X509" s="85" t="str">
        <f aca="false">IF(AH509="","",P509-W509)</f>
        <v/>
      </c>
      <c r="Y509" s="67"/>
      <c r="Z509" s="70" t="str">
        <f aca="false">IF(OR(AH509="",Y509=""),"",IF(ABS(X509-Y509)&lt;=1,"✓ Cuadra","⚠ Diferencia $"&amp;FIXED(X509-Y509,0)))</f>
        <v/>
      </c>
      <c r="AA509" s="72" t="str">
        <f aca="false">IF(AH509="","",IFERROR(INDEX(C_TIPO,MATCH(C509&amp;"-P"&amp;MAX(1,COUNTIFS(C_ID,C509,C_DEFINE,"Sí",C_INICIO,"&lt;="&amp;EOMONTH(B509,0))),C_CLAVE,0))&amp;"","Sin dato"))</f>
        <v/>
      </c>
      <c r="AB509" s="71" t="str">
        <f aca="false">IF(AH509="","",ROUND(MIN(K509,TOPE_AFP_UF*AJ509)*AK509,0))</f>
        <v/>
      </c>
      <c r="AC509" s="71" t="str">
        <f aca="false">IF(AH509="","",ROUND(MIN(K509,TOPE_AFC_UF*AJ509)*IF(AA509="Indefinido",AFC_EMP_INDEF,AFC_EMP_PF),0))</f>
        <v/>
      </c>
      <c r="AD509" s="71" t="str">
        <f aca="false">IF(AH509="","",ROUND(MIN(K509,TOPE_AFP_UF*AJ509)*(MUTUAL_BASICA+MUTUAL_ADIC+SANNA),0))</f>
        <v/>
      </c>
      <c r="AE509" s="71" t="str">
        <f aca="false">IF(AH509="","",P509-N(N509)+AB509+AC509+AD509)</f>
        <v/>
      </c>
      <c r="AF509" s="65"/>
      <c r="AG509" s="64"/>
      <c r="AH509" s="72" t="str">
        <f aca="false">IF(OR(B509="",C509=""),"",C509&amp;"|"&amp;(YEAR(B509)*100+MONTH(B509)))</f>
        <v/>
      </c>
      <c r="AI509" s="70" t="str">
        <f aca="false">IF(AH509="","",IF(COUNTIF(L_CLAVE,AH509)&gt;1,"⚠ Duplicado","OK"))</f>
        <v/>
      </c>
      <c r="AJ509" s="86" t="str">
        <f aca="false">IF(AH509="","",IF(SUMPRODUCT(MAX((IND_PER&lt;=B509)*(IND_UF&lt;&gt;"")*IND_PER))=0,UF_HOY,INDEX(IND_UF,MATCH(SUMPRODUCT(MAX((IND_PER&lt;=B509)*(IND_UF&lt;&gt;"")*IND_PER)),IND_PER,0))))</f>
        <v/>
      </c>
      <c r="AK509" s="87" t="str">
        <f aca="false">IF(AH509="","",IF(COUNTIF(TASA_DESDE,"&lt;="&amp;B509)=0,INDEX(TASA_EMP,1),INDEX(TASA_EMP,COUNTIF(TASA_DESDE,"&lt;="&amp;B509))))</f>
        <v/>
      </c>
    </row>
    <row r="510" customFormat="false" ht="15" hidden="false" customHeight="false" outlineLevel="0" collapsed="false">
      <c r="B510" s="78"/>
      <c r="C510" s="64"/>
      <c r="D510" s="72" t="str">
        <f aca="false">IF(C510="","",IFERROR(INDEX(T_NOMBRE,MATCH(C510,T_ID,0)),"⚠ ID no existe"))</f>
        <v/>
      </c>
      <c r="E510" s="69"/>
      <c r="F510" s="67"/>
      <c r="G510" s="67"/>
      <c r="H510" s="67"/>
      <c r="I510" s="67"/>
      <c r="J510" s="67"/>
      <c r="K510" s="85" t="str">
        <f aca="false">IF(AH510="","",N(F510)+N(G510)+N(H510)-N(I510)+N(J510))</f>
        <v/>
      </c>
      <c r="L510" s="67"/>
      <c r="M510" s="67"/>
      <c r="N510" s="67"/>
      <c r="O510" s="67"/>
      <c r="P510" s="85" t="str">
        <f aca="false">IF(AH510="","",K510+N(L510)+N(M510)+N(N510)+N(O510))</f>
        <v/>
      </c>
      <c r="Q510" s="67"/>
      <c r="R510" s="67"/>
      <c r="S510" s="67"/>
      <c r="T510" s="67"/>
      <c r="U510" s="67"/>
      <c r="V510" s="67"/>
      <c r="W510" s="85" t="str">
        <f aca="false">IF(AH510="","",N(Q510)+N(R510)+N(S510)+N(T510)+N(U510)+N(V510))</f>
        <v/>
      </c>
      <c r="X510" s="85" t="str">
        <f aca="false">IF(AH510="","",P510-W510)</f>
        <v/>
      </c>
      <c r="Y510" s="67"/>
      <c r="Z510" s="70" t="str">
        <f aca="false">IF(OR(AH510="",Y510=""),"",IF(ABS(X510-Y510)&lt;=1,"✓ Cuadra","⚠ Diferencia $"&amp;FIXED(X510-Y510,0)))</f>
        <v/>
      </c>
      <c r="AA510" s="72" t="str">
        <f aca="false">IF(AH510="","",IFERROR(INDEX(C_TIPO,MATCH(C510&amp;"-P"&amp;MAX(1,COUNTIFS(C_ID,C510,C_DEFINE,"Sí",C_INICIO,"&lt;="&amp;EOMONTH(B510,0))),C_CLAVE,0))&amp;"","Sin dato"))</f>
        <v/>
      </c>
      <c r="AB510" s="71" t="str">
        <f aca="false">IF(AH510="","",ROUND(MIN(K510,TOPE_AFP_UF*AJ510)*AK510,0))</f>
        <v/>
      </c>
      <c r="AC510" s="71" t="str">
        <f aca="false">IF(AH510="","",ROUND(MIN(K510,TOPE_AFC_UF*AJ510)*IF(AA510="Indefinido",AFC_EMP_INDEF,AFC_EMP_PF),0))</f>
        <v/>
      </c>
      <c r="AD510" s="71" t="str">
        <f aca="false">IF(AH510="","",ROUND(MIN(K510,TOPE_AFP_UF*AJ510)*(MUTUAL_BASICA+MUTUAL_ADIC+SANNA),0))</f>
        <v/>
      </c>
      <c r="AE510" s="71" t="str">
        <f aca="false">IF(AH510="","",P510-N(N510)+AB510+AC510+AD510)</f>
        <v/>
      </c>
      <c r="AF510" s="65"/>
      <c r="AG510" s="64"/>
      <c r="AH510" s="72" t="str">
        <f aca="false">IF(OR(B510="",C510=""),"",C510&amp;"|"&amp;(YEAR(B510)*100+MONTH(B510)))</f>
        <v/>
      </c>
      <c r="AI510" s="70" t="str">
        <f aca="false">IF(AH510="","",IF(COUNTIF(L_CLAVE,AH510)&gt;1,"⚠ Duplicado","OK"))</f>
        <v/>
      </c>
      <c r="AJ510" s="86" t="str">
        <f aca="false">IF(AH510="","",IF(SUMPRODUCT(MAX((IND_PER&lt;=B510)*(IND_UF&lt;&gt;"")*IND_PER))=0,UF_HOY,INDEX(IND_UF,MATCH(SUMPRODUCT(MAX((IND_PER&lt;=B510)*(IND_UF&lt;&gt;"")*IND_PER)),IND_PER,0))))</f>
        <v/>
      </c>
      <c r="AK510" s="87" t="str">
        <f aca="false">IF(AH510="","",IF(COUNTIF(TASA_DESDE,"&lt;="&amp;B510)=0,INDEX(TASA_EMP,1),INDEX(TASA_EMP,COUNTIF(TASA_DESDE,"&lt;="&amp;B510))))</f>
        <v/>
      </c>
    </row>
    <row r="511" customFormat="false" ht="15" hidden="false" customHeight="false" outlineLevel="0" collapsed="false">
      <c r="B511" s="78"/>
      <c r="C511" s="64"/>
      <c r="D511" s="72" t="str">
        <f aca="false">IF(C511="","",IFERROR(INDEX(T_NOMBRE,MATCH(C511,T_ID,0)),"⚠ ID no existe"))</f>
        <v/>
      </c>
      <c r="E511" s="69"/>
      <c r="F511" s="67"/>
      <c r="G511" s="67"/>
      <c r="H511" s="67"/>
      <c r="I511" s="67"/>
      <c r="J511" s="67"/>
      <c r="K511" s="85" t="str">
        <f aca="false">IF(AH511="","",N(F511)+N(G511)+N(H511)-N(I511)+N(J511))</f>
        <v/>
      </c>
      <c r="L511" s="67"/>
      <c r="M511" s="67"/>
      <c r="N511" s="67"/>
      <c r="O511" s="67"/>
      <c r="P511" s="85" t="str">
        <f aca="false">IF(AH511="","",K511+N(L511)+N(M511)+N(N511)+N(O511))</f>
        <v/>
      </c>
      <c r="Q511" s="67"/>
      <c r="R511" s="67"/>
      <c r="S511" s="67"/>
      <c r="T511" s="67"/>
      <c r="U511" s="67"/>
      <c r="V511" s="67"/>
      <c r="W511" s="85" t="str">
        <f aca="false">IF(AH511="","",N(Q511)+N(R511)+N(S511)+N(T511)+N(U511)+N(V511))</f>
        <v/>
      </c>
      <c r="X511" s="85" t="str">
        <f aca="false">IF(AH511="","",P511-W511)</f>
        <v/>
      </c>
      <c r="Y511" s="67"/>
      <c r="Z511" s="70" t="str">
        <f aca="false">IF(OR(AH511="",Y511=""),"",IF(ABS(X511-Y511)&lt;=1,"✓ Cuadra","⚠ Diferencia $"&amp;FIXED(X511-Y511,0)))</f>
        <v/>
      </c>
      <c r="AA511" s="72" t="str">
        <f aca="false">IF(AH511="","",IFERROR(INDEX(C_TIPO,MATCH(C511&amp;"-P"&amp;MAX(1,COUNTIFS(C_ID,C511,C_DEFINE,"Sí",C_INICIO,"&lt;="&amp;EOMONTH(B511,0))),C_CLAVE,0))&amp;"","Sin dato"))</f>
        <v/>
      </c>
      <c r="AB511" s="71" t="str">
        <f aca="false">IF(AH511="","",ROUND(MIN(K511,TOPE_AFP_UF*AJ511)*AK511,0))</f>
        <v/>
      </c>
      <c r="AC511" s="71" t="str">
        <f aca="false">IF(AH511="","",ROUND(MIN(K511,TOPE_AFC_UF*AJ511)*IF(AA511="Indefinido",AFC_EMP_INDEF,AFC_EMP_PF),0))</f>
        <v/>
      </c>
      <c r="AD511" s="71" t="str">
        <f aca="false">IF(AH511="","",ROUND(MIN(K511,TOPE_AFP_UF*AJ511)*(MUTUAL_BASICA+MUTUAL_ADIC+SANNA),0))</f>
        <v/>
      </c>
      <c r="AE511" s="71" t="str">
        <f aca="false">IF(AH511="","",P511-N(N511)+AB511+AC511+AD511)</f>
        <v/>
      </c>
      <c r="AF511" s="65"/>
      <c r="AG511" s="64"/>
      <c r="AH511" s="72" t="str">
        <f aca="false">IF(OR(B511="",C511=""),"",C511&amp;"|"&amp;(YEAR(B511)*100+MONTH(B511)))</f>
        <v/>
      </c>
      <c r="AI511" s="70" t="str">
        <f aca="false">IF(AH511="","",IF(COUNTIF(L_CLAVE,AH511)&gt;1,"⚠ Duplicado","OK"))</f>
        <v/>
      </c>
      <c r="AJ511" s="86" t="str">
        <f aca="false">IF(AH511="","",IF(SUMPRODUCT(MAX((IND_PER&lt;=B511)*(IND_UF&lt;&gt;"")*IND_PER))=0,UF_HOY,INDEX(IND_UF,MATCH(SUMPRODUCT(MAX((IND_PER&lt;=B511)*(IND_UF&lt;&gt;"")*IND_PER)),IND_PER,0))))</f>
        <v/>
      </c>
      <c r="AK511" s="87" t="str">
        <f aca="false">IF(AH511="","",IF(COUNTIF(TASA_DESDE,"&lt;="&amp;B511)=0,INDEX(TASA_EMP,1),INDEX(TASA_EMP,COUNTIF(TASA_DESDE,"&lt;="&amp;B511))))</f>
        <v/>
      </c>
    </row>
    <row r="512" customFormat="false" ht="15" hidden="false" customHeight="false" outlineLevel="0" collapsed="false">
      <c r="B512" s="78"/>
      <c r="C512" s="64"/>
      <c r="D512" s="72" t="str">
        <f aca="false">IF(C512="","",IFERROR(INDEX(T_NOMBRE,MATCH(C512,T_ID,0)),"⚠ ID no existe"))</f>
        <v/>
      </c>
      <c r="E512" s="69"/>
      <c r="F512" s="67"/>
      <c r="G512" s="67"/>
      <c r="H512" s="67"/>
      <c r="I512" s="67"/>
      <c r="J512" s="67"/>
      <c r="K512" s="85" t="str">
        <f aca="false">IF(AH512="","",N(F512)+N(G512)+N(H512)-N(I512)+N(J512))</f>
        <v/>
      </c>
      <c r="L512" s="67"/>
      <c r="M512" s="67"/>
      <c r="N512" s="67"/>
      <c r="O512" s="67"/>
      <c r="P512" s="85" t="str">
        <f aca="false">IF(AH512="","",K512+N(L512)+N(M512)+N(N512)+N(O512))</f>
        <v/>
      </c>
      <c r="Q512" s="67"/>
      <c r="R512" s="67"/>
      <c r="S512" s="67"/>
      <c r="T512" s="67"/>
      <c r="U512" s="67"/>
      <c r="V512" s="67"/>
      <c r="W512" s="85" t="str">
        <f aca="false">IF(AH512="","",N(Q512)+N(R512)+N(S512)+N(T512)+N(U512)+N(V512))</f>
        <v/>
      </c>
      <c r="X512" s="85" t="str">
        <f aca="false">IF(AH512="","",P512-W512)</f>
        <v/>
      </c>
      <c r="Y512" s="67"/>
      <c r="Z512" s="70" t="str">
        <f aca="false">IF(OR(AH512="",Y512=""),"",IF(ABS(X512-Y512)&lt;=1,"✓ Cuadra","⚠ Diferencia $"&amp;FIXED(X512-Y512,0)))</f>
        <v/>
      </c>
      <c r="AA512" s="72" t="str">
        <f aca="false">IF(AH512="","",IFERROR(INDEX(C_TIPO,MATCH(C512&amp;"-P"&amp;MAX(1,COUNTIFS(C_ID,C512,C_DEFINE,"Sí",C_INICIO,"&lt;="&amp;EOMONTH(B512,0))),C_CLAVE,0))&amp;"","Sin dato"))</f>
        <v/>
      </c>
      <c r="AB512" s="71" t="str">
        <f aca="false">IF(AH512="","",ROUND(MIN(K512,TOPE_AFP_UF*AJ512)*AK512,0))</f>
        <v/>
      </c>
      <c r="AC512" s="71" t="str">
        <f aca="false">IF(AH512="","",ROUND(MIN(K512,TOPE_AFC_UF*AJ512)*IF(AA512="Indefinido",AFC_EMP_INDEF,AFC_EMP_PF),0))</f>
        <v/>
      </c>
      <c r="AD512" s="71" t="str">
        <f aca="false">IF(AH512="","",ROUND(MIN(K512,TOPE_AFP_UF*AJ512)*(MUTUAL_BASICA+MUTUAL_ADIC+SANNA),0))</f>
        <v/>
      </c>
      <c r="AE512" s="71" t="str">
        <f aca="false">IF(AH512="","",P512-N(N512)+AB512+AC512+AD512)</f>
        <v/>
      </c>
      <c r="AF512" s="65"/>
      <c r="AG512" s="64"/>
      <c r="AH512" s="72" t="str">
        <f aca="false">IF(OR(B512="",C512=""),"",C512&amp;"|"&amp;(YEAR(B512)*100+MONTH(B512)))</f>
        <v/>
      </c>
      <c r="AI512" s="70" t="str">
        <f aca="false">IF(AH512="","",IF(COUNTIF(L_CLAVE,AH512)&gt;1,"⚠ Duplicado","OK"))</f>
        <v/>
      </c>
      <c r="AJ512" s="86" t="str">
        <f aca="false">IF(AH512="","",IF(SUMPRODUCT(MAX((IND_PER&lt;=B512)*(IND_UF&lt;&gt;"")*IND_PER))=0,UF_HOY,INDEX(IND_UF,MATCH(SUMPRODUCT(MAX((IND_PER&lt;=B512)*(IND_UF&lt;&gt;"")*IND_PER)),IND_PER,0))))</f>
        <v/>
      </c>
      <c r="AK512" s="87" t="str">
        <f aca="false">IF(AH512="","",IF(COUNTIF(TASA_DESDE,"&lt;="&amp;B512)=0,INDEX(TASA_EMP,1),INDEX(TASA_EMP,COUNTIF(TASA_DESDE,"&lt;="&amp;B512))))</f>
        <v/>
      </c>
    </row>
    <row r="513" customFormat="false" ht="15" hidden="false" customHeight="false" outlineLevel="0" collapsed="false">
      <c r="B513" s="78"/>
      <c r="C513" s="64"/>
      <c r="D513" s="72" t="str">
        <f aca="false">IF(C513="","",IFERROR(INDEX(T_NOMBRE,MATCH(C513,T_ID,0)),"⚠ ID no existe"))</f>
        <v/>
      </c>
      <c r="E513" s="69"/>
      <c r="F513" s="67"/>
      <c r="G513" s="67"/>
      <c r="H513" s="67"/>
      <c r="I513" s="67"/>
      <c r="J513" s="67"/>
      <c r="K513" s="85" t="str">
        <f aca="false">IF(AH513="","",N(F513)+N(G513)+N(H513)-N(I513)+N(J513))</f>
        <v/>
      </c>
      <c r="L513" s="67"/>
      <c r="M513" s="67"/>
      <c r="N513" s="67"/>
      <c r="O513" s="67"/>
      <c r="P513" s="85" t="str">
        <f aca="false">IF(AH513="","",K513+N(L513)+N(M513)+N(N513)+N(O513))</f>
        <v/>
      </c>
      <c r="Q513" s="67"/>
      <c r="R513" s="67"/>
      <c r="S513" s="67"/>
      <c r="T513" s="67"/>
      <c r="U513" s="67"/>
      <c r="V513" s="67"/>
      <c r="W513" s="85" t="str">
        <f aca="false">IF(AH513="","",N(Q513)+N(R513)+N(S513)+N(T513)+N(U513)+N(V513))</f>
        <v/>
      </c>
      <c r="X513" s="85" t="str">
        <f aca="false">IF(AH513="","",P513-W513)</f>
        <v/>
      </c>
      <c r="Y513" s="67"/>
      <c r="Z513" s="70" t="str">
        <f aca="false">IF(OR(AH513="",Y513=""),"",IF(ABS(X513-Y513)&lt;=1,"✓ Cuadra","⚠ Diferencia $"&amp;FIXED(X513-Y513,0)))</f>
        <v/>
      </c>
      <c r="AA513" s="72" t="str">
        <f aca="false">IF(AH513="","",IFERROR(INDEX(C_TIPO,MATCH(C513&amp;"-P"&amp;MAX(1,COUNTIFS(C_ID,C513,C_DEFINE,"Sí",C_INICIO,"&lt;="&amp;EOMONTH(B513,0))),C_CLAVE,0))&amp;"","Sin dato"))</f>
        <v/>
      </c>
      <c r="AB513" s="71" t="str">
        <f aca="false">IF(AH513="","",ROUND(MIN(K513,TOPE_AFP_UF*AJ513)*AK513,0))</f>
        <v/>
      </c>
      <c r="AC513" s="71" t="str">
        <f aca="false">IF(AH513="","",ROUND(MIN(K513,TOPE_AFC_UF*AJ513)*IF(AA513="Indefinido",AFC_EMP_INDEF,AFC_EMP_PF),0))</f>
        <v/>
      </c>
      <c r="AD513" s="71" t="str">
        <f aca="false">IF(AH513="","",ROUND(MIN(K513,TOPE_AFP_UF*AJ513)*(MUTUAL_BASICA+MUTUAL_ADIC+SANNA),0))</f>
        <v/>
      </c>
      <c r="AE513" s="71" t="str">
        <f aca="false">IF(AH513="","",P513-N(N513)+AB513+AC513+AD513)</f>
        <v/>
      </c>
      <c r="AF513" s="65"/>
      <c r="AG513" s="64"/>
      <c r="AH513" s="72" t="str">
        <f aca="false">IF(OR(B513="",C513=""),"",C513&amp;"|"&amp;(YEAR(B513)*100+MONTH(B513)))</f>
        <v/>
      </c>
      <c r="AI513" s="70" t="str">
        <f aca="false">IF(AH513="","",IF(COUNTIF(L_CLAVE,AH513)&gt;1,"⚠ Duplicado","OK"))</f>
        <v/>
      </c>
      <c r="AJ513" s="86" t="str">
        <f aca="false">IF(AH513="","",IF(SUMPRODUCT(MAX((IND_PER&lt;=B513)*(IND_UF&lt;&gt;"")*IND_PER))=0,UF_HOY,INDEX(IND_UF,MATCH(SUMPRODUCT(MAX((IND_PER&lt;=B513)*(IND_UF&lt;&gt;"")*IND_PER)),IND_PER,0))))</f>
        <v/>
      </c>
      <c r="AK513" s="87" t="str">
        <f aca="false">IF(AH513="","",IF(COUNTIF(TASA_DESDE,"&lt;="&amp;B513)=0,INDEX(TASA_EMP,1),INDEX(TASA_EMP,COUNTIF(TASA_DESDE,"&lt;="&amp;B513))))</f>
        <v/>
      </c>
    </row>
    <row r="514" customFormat="false" ht="15" hidden="false" customHeight="false" outlineLevel="0" collapsed="false">
      <c r="B514" s="78"/>
      <c r="C514" s="64"/>
      <c r="D514" s="72" t="str">
        <f aca="false">IF(C514="","",IFERROR(INDEX(T_NOMBRE,MATCH(C514,T_ID,0)),"⚠ ID no existe"))</f>
        <v/>
      </c>
      <c r="E514" s="69"/>
      <c r="F514" s="67"/>
      <c r="G514" s="67"/>
      <c r="H514" s="67"/>
      <c r="I514" s="67"/>
      <c r="J514" s="67"/>
      <c r="K514" s="85" t="str">
        <f aca="false">IF(AH514="","",N(F514)+N(G514)+N(H514)-N(I514)+N(J514))</f>
        <v/>
      </c>
      <c r="L514" s="67"/>
      <c r="M514" s="67"/>
      <c r="N514" s="67"/>
      <c r="O514" s="67"/>
      <c r="P514" s="85" t="str">
        <f aca="false">IF(AH514="","",K514+N(L514)+N(M514)+N(N514)+N(O514))</f>
        <v/>
      </c>
      <c r="Q514" s="67"/>
      <c r="R514" s="67"/>
      <c r="S514" s="67"/>
      <c r="T514" s="67"/>
      <c r="U514" s="67"/>
      <c r="V514" s="67"/>
      <c r="W514" s="85" t="str">
        <f aca="false">IF(AH514="","",N(Q514)+N(R514)+N(S514)+N(T514)+N(U514)+N(V514))</f>
        <v/>
      </c>
      <c r="X514" s="85" t="str">
        <f aca="false">IF(AH514="","",P514-W514)</f>
        <v/>
      </c>
      <c r="Y514" s="67"/>
      <c r="Z514" s="70" t="str">
        <f aca="false">IF(OR(AH514="",Y514=""),"",IF(ABS(X514-Y514)&lt;=1,"✓ Cuadra","⚠ Diferencia $"&amp;FIXED(X514-Y514,0)))</f>
        <v/>
      </c>
      <c r="AA514" s="72" t="str">
        <f aca="false">IF(AH514="","",IFERROR(INDEX(C_TIPO,MATCH(C514&amp;"-P"&amp;MAX(1,COUNTIFS(C_ID,C514,C_DEFINE,"Sí",C_INICIO,"&lt;="&amp;EOMONTH(B514,0))),C_CLAVE,0))&amp;"","Sin dato"))</f>
        <v/>
      </c>
      <c r="AB514" s="71" t="str">
        <f aca="false">IF(AH514="","",ROUND(MIN(K514,TOPE_AFP_UF*AJ514)*AK514,0))</f>
        <v/>
      </c>
      <c r="AC514" s="71" t="str">
        <f aca="false">IF(AH514="","",ROUND(MIN(K514,TOPE_AFC_UF*AJ514)*IF(AA514="Indefinido",AFC_EMP_INDEF,AFC_EMP_PF),0))</f>
        <v/>
      </c>
      <c r="AD514" s="71" t="str">
        <f aca="false">IF(AH514="","",ROUND(MIN(K514,TOPE_AFP_UF*AJ514)*(MUTUAL_BASICA+MUTUAL_ADIC+SANNA),0))</f>
        <v/>
      </c>
      <c r="AE514" s="71" t="str">
        <f aca="false">IF(AH514="","",P514-N(N514)+AB514+AC514+AD514)</f>
        <v/>
      </c>
      <c r="AF514" s="65"/>
      <c r="AG514" s="64"/>
      <c r="AH514" s="72" t="str">
        <f aca="false">IF(OR(B514="",C514=""),"",C514&amp;"|"&amp;(YEAR(B514)*100+MONTH(B514)))</f>
        <v/>
      </c>
      <c r="AI514" s="70" t="str">
        <f aca="false">IF(AH514="","",IF(COUNTIF(L_CLAVE,AH514)&gt;1,"⚠ Duplicado","OK"))</f>
        <v/>
      </c>
      <c r="AJ514" s="86" t="str">
        <f aca="false">IF(AH514="","",IF(SUMPRODUCT(MAX((IND_PER&lt;=B514)*(IND_UF&lt;&gt;"")*IND_PER))=0,UF_HOY,INDEX(IND_UF,MATCH(SUMPRODUCT(MAX((IND_PER&lt;=B514)*(IND_UF&lt;&gt;"")*IND_PER)),IND_PER,0))))</f>
        <v/>
      </c>
      <c r="AK514" s="87" t="str">
        <f aca="false">IF(AH514="","",IF(COUNTIF(TASA_DESDE,"&lt;="&amp;B514)=0,INDEX(TASA_EMP,1),INDEX(TASA_EMP,COUNTIF(TASA_DESDE,"&lt;="&amp;B514))))</f>
        <v/>
      </c>
    </row>
    <row r="515" customFormat="false" ht="15" hidden="false" customHeight="false" outlineLevel="0" collapsed="false">
      <c r="B515" s="78"/>
      <c r="C515" s="64"/>
      <c r="D515" s="72" t="str">
        <f aca="false">IF(C515="","",IFERROR(INDEX(T_NOMBRE,MATCH(C515,T_ID,0)),"⚠ ID no existe"))</f>
        <v/>
      </c>
      <c r="E515" s="69"/>
      <c r="F515" s="67"/>
      <c r="G515" s="67"/>
      <c r="H515" s="67"/>
      <c r="I515" s="67"/>
      <c r="J515" s="67"/>
      <c r="K515" s="85" t="str">
        <f aca="false">IF(AH515="","",N(F515)+N(G515)+N(H515)-N(I515)+N(J515))</f>
        <v/>
      </c>
      <c r="L515" s="67"/>
      <c r="M515" s="67"/>
      <c r="N515" s="67"/>
      <c r="O515" s="67"/>
      <c r="P515" s="85" t="str">
        <f aca="false">IF(AH515="","",K515+N(L515)+N(M515)+N(N515)+N(O515))</f>
        <v/>
      </c>
      <c r="Q515" s="67"/>
      <c r="R515" s="67"/>
      <c r="S515" s="67"/>
      <c r="T515" s="67"/>
      <c r="U515" s="67"/>
      <c r="V515" s="67"/>
      <c r="W515" s="85" t="str">
        <f aca="false">IF(AH515="","",N(Q515)+N(R515)+N(S515)+N(T515)+N(U515)+N(V515))</f>
        <v/>
      </c>
      <c r="X515" s="85" t="str">
        <f aca="false">IF(AH515="","",P515-W515)</f>
        <v/>
      </c>
      <c r="Y515" s="67"/>
      <c r="Z515" s="70" t="str">
        <f aca="false">IF(OR(AH515="",Y515=""),"",IF(ABS(X515-Y515)&lt;=1,"✓ Cuadra","⚠ Diferencia $"&amp;FIXED(X515-Y515,0)))</f>
        <v/>
      </c>
      <c r="AA515" s="72" t="str">
        <f aca="false">IF(AH515="","",IFERROR(INDEX(C_TIPO,MATCH(C515&amp;"-P"&amp;MAX(1,COUNTIFS(C_ID,C515,C_DEFINE,"Sí",C_INICIO,"&lt;="&amp;EOMONTH(B515,0))),C_CLAVE,0))&amp;"","Sin dato"))</f>
        <v/>
      </c>
      <c r="AB515" s="71" t="str">
        <f aca="false">IF(AH515="","",ROUND(MIN(K515,TOPE_AFP_UF*AJ515)*AK515,0))</f>
        <v/>
      </c>
      <c r="AC515" s="71" t="str">
        <f aca="false">IF(AH515="","",ROUND(MIN(K515,TOPE_AFC_UF*AJ515)*IF(AA515="Indefinido",AFC_EMP_INDEF,AFC_EMP_PF),0))</f>
        <v/>
      </c>
      <c r="AD515" s="71" t="str">
        <f aca="false">IF(AH515="","",ROUND(MIN(K515,TOPE_AFP_UF*AJ515)*(MUTUAL_BASICA+MUTUAL_ADIC+SANNA),0))</f>
        <v/>
      </c>
      <c r="AE515" s="71" t="str">
        <f aca="false">IF(AH515="","",P515-N(N515)+AB515+AC515+AD515)</f>
        <v/>
      </c>
      <c r="AF515" s="65"/>
      <c r="AG515" s="64"/>
      <c r="AH515" s="72" t="str">
        <f aca="false">IF(OR(B515="",C515=""),"",C515&amp;"|"&amp;(YEAR(B515)*100+MONTH(B515)))</f>
        <v/>
      </c>
      <c r="AI515" s="70" t="str">
        <f aca="false">IF(AH515="","",IF(COUNTIF(L_CLAVE,AH515)&gt;1,"⚠ Duplicado","OK"))</f>
        <v/>
      </c>
      <c r="AJ515" s="86" t="str">
        <f aca="false">IF(AH515="","",IF(SUMPRODUCT(MAX((IND_PER&lt;=B515)*(IND_UF&lt;&gt;"")*IND_PER))=0,UF_HOY,INDEX(IND_UF,MATCH(SUMPRODUCT(MAX((IND_PER&lt;=B515)*(IND_UF&lt;&gt;"")*IND_PER)),IND_PER,0))))</f>
        <v/>
      </c>
      <c r="AK515" s="87" t="str">
        <f aca="false">IF(AH515="","",IF(COUNTIF(TASA_DESDE,"&lt;="&amp;B515)=0,INDEX(TASA_EMP,1),INDEX(TASA_EMP,COUNTIF(TASA_DESDE,"&lt;="&amp;B515))))</f>
        <v/>
      </c>
    </row>
    <row r="516" customFormat="false" ht="15" hidden="false" customHeight="false" outlineLevel="0" collapsed="false">
      <c r="B516" s="78"/>
      <c r="C516" s="64"/>
      <c r="D516" s="72" t="str">
        <f aca="false">IF(C516="","",IFERROR(INDEX(T_NOMBRE,MATCH(C516,T_ID,0)),"⚠ ID no existe"))</f>
        <v/>
      </c>
      <c r="E516" s="69"/>
      <c r="F516" s="67"/>
      <c r="G516" s="67"/>
      <c r="H516" s="67"/>
      <c r="I516" s="67"/>
      <c r="J516" s="67"/>
      <c r="K516" s="85" t="str">
        <f aca="false">IF(AH516="","",N(F516)+N(G516)+N(H516)-N(I516)+N(J516))</f>
        <v/>
      </c>
      <c r="L516" s="67"/>
      <c r="M516" s="67"/>
      <c r="N516" s="67"/>
      <c r="O516" s="67"/>
      <c r="P516" s="85" t="str">
        <f aca="false">IF(AH516="","",K516+N(L516)+N(M516)+N(N516)+N(O516))</f>
        <v/>
      </c>
      <c r="Q516" s="67"/>
      <c r="R516" s="67"/>
      <c r="S516" s="67"/>
      <c r="T516" s="67"/>
      <c r="U516" s="67"/>
      <c r="V516" s="67"/>
      <c r="W516" s="85" t="str">
        <f aca="false">IF(AH516="","",N(Q516)+N(R516)+N(S516)+N(T516)+N(U516)+N(V516))</f>
        <v/>
      </c>
      <c r="X516" s="85" t="str">
        <f aca="false">IF(AH516="","",P516-W516)</f>
        <v/>
      </c>
      <c r="Y516" s="67"/>
      <c r="Z516" s="70" t="str">
        <f aca="false">IF(OR(AH516="",Y516=""),"",IF(ABS(X516-Y516)&lt;=1,"✓ Cuadra","⚠ Diferencia $"&amp;FIXED(X516-Y516,0)))</f>
        <v/>
      </c>
      <c r="AA516" s="72" t="str">
        <f aca="false">IF(AH516="","",IFERROR(INDEX(C_TIPO,MATCH(C516&amp;"-P"&amp;MAX(1,COUNTIFS(C_ID,C516,C_DEFINE,"Sí",C_INICIO,"&lt;="&amp;EOMONTH(B516,0))),C_CLAVE,0))&amp;"","Sin dato"))</f>
        <v/>
      </c>
      <c r="AB516" s="71" t="str">
        <f aca="false">IF(AH516="","",ROUND(MIN(K516,TOPE_AFP_UF*AJ516)*AK516,0))</f>
        <v/>
      </c>
      <c r="AC516" s="71" t="str">
        <f aca="false">IF(AH516="","",ROUND(MIN(K516,TOPE_AFC_UF*AJ516)*IF(AA516="Indefinido",AFC_EMP_INDEF,AFC_EMP_PF),0))</f>
        <v/>
      </c>
      <c r="AD516" s="71" t="str">
        <f aca="false">IF(AH516="","",ROUND(MIN(K516,TOPE_AFP_UF*AJ516)*(MUTUAL_BASICA+MUTUAL_ADIC+SANNA),0))</f>
        <v/>
      </c>
      <c r="AE516" s="71" t="str">
        <f aca="false">IF(AH516="","",P516-N(N516)+AB516+AC516+AD516)</f>
        <v/>
      </c>
      <c r="AF516" s="65"/>
      <c r="AG516" s="64"/>
      <c r="AH516" s="72" t="str">
        <f aca="false">IF(OR(B516="",C516=""),"",C516&amp;"|"&amp;(YEAR(B516)*100+MONTH(B516)))</f>
        <v/>
      </c>
      <c r="AI516" s="70" t="str">
        <f aca="false">IF(AH516="","",IF(COUNTIF(L_CLAVE,AH516)&gt;1,"⚠ Duplicado","OK"))</f>
        <v/>
      </c>
      <c r="AJ516" s="86" t="str">
        <f aca="false">IF(AH516="","",IF(SUMPRODUCT(MAX((IND_PER&lt;=B516)*(IND_UF&lt;&gt;"")*IND_PER))=0,UF_HOY,INDEX(IND_UF,MATCH(SUMPRODUCT(MAX((IND_PER&lt;=B516)*(IND_UF&lt;&gt;"")*IND_PER)),IND_PER,0))))</f>
        <v/>
      </c>
      <c r="AK516" s="87" t="str">
        <f aca="false">IF(AH516="","",IF(COUNTIF(TASA_DESDE,"&lt;="&amp;B516)=0,INDEX(TASA_EMP,1),INDEX(TASA_EMP,COUNTIF(TASA_DESDE,"&lt;="&amp;B516))))</f>
        <v/>
      </c>
    </row>
    <row r="517" customFormat="false" ht="15" hidden="false" customHeight="false" outlineLevel="0" collapsed="false">
      <c r="B517" s="78"/>
      <c r="C517" s="64"/>
      <c r="D517" s="72" t="str">
        <f aca="false">IF(C517="","",IFERROR(INDEX(T_NOMBRE,MATCH(C517,T_ID,0)),"⚠ ID no existe"))</f>
        <v/>
      </c>
      <c r="E517" s="69"/>
      <c r="F517" s="67"/>
      <c r="G517" s="67"/>
      <c r="H517" s="67"/>
      <c r="I517" s="67"/>
      <c r="J517" s="67"/>
      <c r="K517" s="85" t="str">
        <f aca="false">IF(AH517="","",N(F517)+N(G517)+N(H517)-N(I517)+N(J517))</f>
        <v/>
      </c>
      <c r="L517" s="67"/>
      <c r="M517" s="67"/>
      <c r="N517" s="67"/>
      <c r="O517" s="67"/>
      <c r="P517" s="85" t="str">
        <f aca="false">IF(AH517="","",K517+N(L517)+N(M517)+N(N517)+N(O517))</f>
        <v/>
      </c>
      <c r="Q517" s="67"/>
      <c r="R517" s="67"/>
      <c r="S517" s="67"/>
      <c r="T517" s="67"/>
      <c r="U517" s="67"/>
      <c r="V517" s="67"/>
      <c r="W517" s="85" t="str">
        <f aca="false">IF(AH517="","",N(Q517)+N(R517)+N(S517)+N(T517)+N(U517)+N(V517))</f>
        <v/>
      </c>
      <c r="X517" s="85" t="str">
        <f aca="false">IF(AH517="","",P517-W517)</f>
        <v/>
      </c>
      <c r="Y517" s="67"/>
      <c r="Z517" s="70" t="str">
        <f aca="false">IF(OR(AH517="",Y517=""),"",IF(ABS(X517-Y517)&lt;=1,"✓ Cuadra","⚠ Diferencia $"&amp;FIXED(X517-Y517,0)))</f>
        <v/>
      </c>
      <c r="AA517" s="72" t="str">
        <f aca="false">IF(AH517="","",IFERROR(INDEX(C_TIPO,MATCH(C517&amp;"-P"&amp;MAX(1,COUNTIFS(C_ID,C517,C_DEFINE,"Sí",C_INICIO,"&lt;="&amp;EOMONTH(B517,0))),C_CLAVE,0))&amp;"","Sin dato"))</f>
        <v/>
      </c>
      <c r="AB517" s="71" t="str">
        <f aca="false">IF(AH517="","",ROUND(MIN(K517,TOPE_AFP_UF*AJ517)*AK517,0))</f>
        <v/>
      </c>
      <c r="AC517" s="71" t="str">
        <f aca="false">IF(AH517="","",ROUND(MIN(K517,TOPE_AFC_UF*AJ517)*IF(AA517="Indefinido",AFC_EMP_INDEF,AFC_EMP_PF),0))</f>
        <v/>
      </c>
      <c r="AD517" s="71" t="str">
        <f aca="false">IF(AH517="","",ROUND(MIN(K517,TOPE_AFP_UF*AJ517)*(MUTUAL_BASICA+MUTUAL_ADIC+SANNA),0))</f>
        <v/>
      </c>
      <c r="AE517" s="71" t="str">
        <f aca="false">IF(AH517="","",P517-N(N517)+AB517+AC517+AD517)</f>
        <v/>
      </c>
      <c r="AF517" s="65"/>
      <c r="AG517" s="64"/>
      <c r="AH517" s="72" t="str">
        <f aca="false">IF(OR(B517="",C517=""),"",C517&amp;"|"&amp;(YEAR(B517)*100+MONTH(B517)))</f>
        <v/>
      </c>
      <c r="AI517" s="70" t="str">
        <f aca="false">IF(AH517="","",IF(COUNTIF(L_CLAVE,AH517)&gt;1,"⚠ Duplicado","OK"))</f>
        <v/>
      </c>
      <c r="AJ517" s="86" t="str">
        <f aca="false">IF(AH517="","",IF(SUMPRODUCT(MAX((IND_PER&lt;=B517)*(IND_UF&lt;&gt;"")*IND_PER))=0,UF_HOY,INDEX(IND_UF,MATCH(SUMPRODUCT(MAX((IND_PER&lt;=B517)*(IND_UF&lt;&gt;"")*IND_PER)),IND_PER,0))))</f>
        <v/>
      </c>
      <c r="AK517" s="87" t="str">
        <f aca="false">IF(AH517="","",IF(COUNTIF(TASA_DESDE,"&lt;="&amp;B517)=0,INDEX(TASA_EMP,1),INDEX(TASA_EMP,COUNTIF(TASA_DESDE,"&lt;="&amp;B517))))</f>
        <v/>
      </c>
    </row>
    <row r="518" customFormat="false" ht="15" hidden="false" customHeight="false" outlineLevel="0" collapsed="false">
      <c r="B518" s="78"/>
      <c r="C518" s="64"/>
      <c r="D518" s="72" t="str">
        <f aca="false">IF(C518="","",IFERROR(INDEX(T_NOMBRE,MATCH(C518,T_ID,0)),"⚠ ID no existe"))</f>
        <v/>
      </c>
      <c r="E518" s="69"/>
      <c r="F518" s="67"/>
      <c r="G518" s="67"/>
      <c r="H518" s="67"/>
      <c r="I518" s="67"/>
      <c r="J518" s="67"/>
      <c r="K518" s="85" t="str">
        <f aca="false">IF(AH518="","",N(F518)+N(G518)+N(H518)-N(I518)+N(J518))</f>
        <v/>
      </c>
      <c r="L518" s="67"/>
      <c r="M518" s="67"/>
      <c r="N518" s="67"/>
      <c r="O518" s="67"/>
      <c r="P518" s="85" t="str">
        <f aca="false">IF(AH518="","",K518+N(L518)+N(M518)+N(N518)+N(O518))</f>
        <v/>
      </c>
      <c r="Q518" s="67"/>
      <c r="R518" s="67"/>
      <c r="S518" s="67"/>
      <c r="T518" s="67"/>
      <c r="U518" s="67"/>
      <c r="V518" s="67"/>
      <c r="W518" s="85" t="str">
        <f aca="false">IF(AH518="","",N(Q518)+N(R518)+N(S518)+N(T518)+N(U518)+N(V518))</f>
        <v/>
      </c>
      <c r="X518" s="85" t="str">
        <f aca="false">IF(AH518="","",P518-W518)</f>
        <v/>
      </c>
      <c r="Y518" s="67"/>
      <c r="Z518" s="70" t="str">
        <f aca="false">IF(OR(AH518="",Y518=""),"",IF(ABS(X518-Y518)&lt;=1,"✓ Cuadra","⚠ Diferencia $"&amp;FIXED(X518-Y518,0)))</f>
        <v/>
      </c>
      <c r="AA518" s="72" t="str">
        <f aca="false">IF(AH518="","",IFERROR(INDEX(C_TIPO,MATCH(C518&amp;"-P"&amp;MAX(1,COUNTIFS(C_ID,C518,C_DEFINE,"Sí",C_INICIO,"&lt;="&amp;EOMONTH(B518,0))),C_CLAVE,0))&amp;"","Sin dato"))</f>
        <v/>
      </c>
      <c r="AB518" s="71" t="str">
        <f aca="false">IF(AH518="","",ROUND(MIN(K518,TOPE_AFP_UF*AJ518)*AK518,0))</f>
        <v/>
      </c>
      <c r="AC518" s="71" t="str">
        <f aca="false">IF(AH518="","",ROUND(MIN(K518,TOPE_AFC_UF*AJ518)*IF(AA518="Indefinido",AFC_EMP_INDEF,AFC_EMP_PF),0))</f>
        <v/>
      </c>
      <c r="AD518" s="71" t="str">
        <f aca="false">IF(AH518="","",ROUND(MIN(K518,TOPE_AFP_UF*AJ518)*(MUTUAL_BASICA+MUTUAL_ADIC+SANNA),0))</f>
        <v/>
      </c>
      <c r="AE518" s="71" t="str">
        <f aca="false">IF(AH518="","",P518-N(N518)+AB518+AC518+AD518)</f>
        <v/>
      </c>
      <c r="AF518" s="65"/>
      <c r="AG518" s="64"/>
      <c r="AH518" s="72" t="str">
        <f aca="false">IF(OR(B518="",C518=""),"",C518&amp;"|"&amp;(YEAR(B518)*100+MONTH(B518)))</f>
        <v/>
      </c>
      <c r="AI518" s="70" t="str">
        <f aca="false">IF(AH518="","",IF(COUNTIF(L_CLAVE,AH518)&gt;1,"⚠ Duplicado","OK"))</f>
        <v/>
      </c>
      <c r="AJ518" s="86" t="str">
        <f aca="false">IF(AH518="","",IF(SUMPRODUCT(MAX((IND_PER&lt;=B518)*(IND_UF&lt;&gt;"")*IND_PER))=0,UF_HOY,INDEX(IND_UF,MATCH(SUMPRODUCT(MAX((IND_PER&lt;=B518)*(IND_UF&lt;&gt;"")*IND_PER)),IND_PER,0))))</f>
        <v/>
      </c>
      <c r="AK518" s="87" t="str">
        <f aca="false">IF(AH518="","",IF(COUNTIF(TASA_DESDE,"&lt;="&amp;B518)=0,INDEX(TASA_EMP,1),INDEX(TASA_EMP,COUNTIF(TASA_DESDE,"&lt;="&amp;B518))))</f>
        <v/>
      </c>
    </row>
    <row r="519" customFormat="false" ht="15" hidden="false" customHeight="false" outlineLevel="0" collapsed="false">
      <c r="B519" s="78"/>
      <c r="C519" s="64"/>
      <c r="D519" s="72" t="str">
        <f aca="false">IF(C519="","",IFERROR(INDEX(T_NOMBRE,MATCH(C519,T_ID,0)),"⚠ ID no existe"))</f>
        <v/>
      </c>
      <c r="E519" s="69"/>
      <c r="F519" s="67"/>
      <c r="G519" s="67"/>
      <c r="H519" s="67"/>
      <c r="I519" s="67"/>
      <c r="J519" s="67"/>
      <c r="K519" s="85" t="str">
        <f aca="false">IF(AH519="","",N(F519)+N(G519)+N(H519)-N(I519)+N(J519))</f>
        <v/>
      </c>
      <c r="L519" s="67"/>
      <c r="M519" s="67"/>
      <c r="N519" s="67"/>
      <c r="O519" s="67"/>
      <c r="P519" s="85" t="str">
        <f aca="false">IF(AH519="","",K519+N(L519)+N(M519)+N(N519)+N(O519))</f>
        <v/>
      </c>
      <c r="Q519" s="67"/>
      <c r="R519" s="67"/>
      <c r="S519" s="67"/>
      <c r="T519" s="67"/>
      <c r="U519" s="67"/>
      <c r="V519" s="67"/>
      <c r="W519" s="85" t="str">
        <f aca="false">IF(AH519="","",N(Q519)+N(R519)+N(S519)+N(T519)+N(U519)+N(V519))</f>
        <v/>
      </c>
      <c r="X519" s="85" t="str">
        <f aca="false">IF(AH519="","",P519-W519)</f>
        <v/>
      </c>
      <c r="Y519" s="67"/>
      <c r="Z519" s="70" t="str">
        <f aca="false">IF(OR(AH519="",Y519=""),"",IF(ABS(X519-Y519)&lt;=1,"✓ Cuadra","⚠ Diferencia $"&amp;FIXED(X519-Y519,0)))</f>
        <v/>
      </c>
      <c r="AA519" s="72" t="str">
        <f aca="false">IF(AH519="","",IFERROR(INDEX(C_TIPO,MATCH(C519&amp;"-P"&amp;MAX(1,COUNTIFS(C_ID,C519,C_DEFINE,"Sí",C_INICIO,"&lt;="&amp;EOMONTH(B519,0))),C_CLAVE,0))&amp;"","Sin dato"))</f>
        <v/>
      </c>
      <c r="AB519" s="71" t="str">
        <f aca="false">IF(AH519="","",ROUND(MIN(K519,TOPE_AFP_UF*AJ519)*AK519,0))</f>
        <v/>
      </c>
      <c r="AC519" s="71" t="str">
        <f aca="false">IF(AH519="","",ROUND(MIN(K519,TOPE_AFC_UF*AJ519)*IF(AA519="Indefinido",AFC_EMP_INDEF,AFC_EMP_PF),0))</f>
        <v/>
      </c>
      <c r="AD519" s="71" t="str">
        <f aca="false">IF(AH519="","",ROUND(MIN(K519,TOPE_AFP_UF*AJ519)*(MUTUAL_BASICA+MUTUAL_ADIC+SANNA),0))</f>
        <v/>
      </c>
      <c r="AE519" s="71" t="str">
        <f aca="false">IF(AH519="","",P519-N(N519)+AB519+AC519+AD519)</f>
        <v/>
      </c>
      <c r="AF519" s="65"/>
      <c r="AG519" s="64"/>
      <c r="AH519" s="72" t="str">
        <f aca="false">IF(OR(B519="",C519=""),"",C519&amp;"|"&amp;(YEAR(B519)*100+MONTH(B519)))</f>
        <v/>
      </c>
      <c r="AI519" s="70" t="str">
        <f aca="false">IF(AH519="","",IF(COUNTIF(L_CLAVE,AH519)&gt;1,"⚠ Duplicado","OK"))</f>
        <v/>
      </c>
      <c r="AJ519" s="86" t="str">
        <f aca="false">IF(AH519="","",IF(SUMPRODUCT(MAX((IND_PER&lt;=B519)*(IND_UF&lt;&gt;"")*IND_PER))=0,UF_HOY,INDEX(IND_UF,MATCH(SUMPRODUCT(MAX((IND_PER&lt;=B519)*(IND_UF&lt;&gt;"")*IND_PER)),IND_PER,0))))</f>
        <v/>
      </c>
      <c r="AK519" s="87" t="str">
        <f aca="false">IF(AH519="","",IF(COUNTIF(TASA_DESDE,"&lt;="&amp;B519)=0,INDEX(TASA_EMP,1),INDEX(TASA_EMP,COUNTIF(TASA_DESDE,"&lt;="&amp;B519))))</f>
        <v/>
      </c>
    </row>
    <row r="520" customFormat="false" ht="15" hidden="false" customHeight="false" outlineLevel="0" collapsed="false">
      <c r="B520" s="78"/>
      <c r="C520" s="64"/>
      <c r="D520" s="72" t="str">
        <f aca="false">IF(C520="","",IFERROR(INDEX(T_NOMBRE,MATCH(C520,T_ID,0)),"⚠ ID no existe"))</f>
        <v/>
      </c>
      <c r="E520" s="69"/>
      <c r="F520" s="67"/>
      <c r="G520" s="67"/>
      <c r="H520" s="67"/>
      <c r="I520" s="67"/>
      <c r="J520" s="67"/>
      <c r="K520" s="85" t="str">
        <f aca="false">IF(AH520="","",N(F520)+N(G520)+N(H520)-N(I520)+N(J520))</f>
        <v/>
      </c>
      <c r="L520" s="67"/>
      <c r="M520" s="67"/>
      <c r="N520" s="67"/>
      <c r="O520" s="67"/>
      <c r="P520" s="85" t="str">
        <f aca="false">IF(AH520="","",K520+N(L520)+N(M520)+N(N520)+N(O520))</f>
        <v/>
      </c>
      <c r="Q520" s="67"/>
      <c r="R520" s="67"/>
      <c r="S520" s="67"/>
      <c r="T520" s="67"/>
      <c r="U520" s="67"/>
      <c r="V520" s="67"/>
      <c r="W520" s="85" t="str">
        <f aca="false">IF(AH520="","",N(Q520)+N(R520)+N(S520)+N(T520)+N(U520)+N(V520))</f>
        <v/>
      </c>
      <c r="X520" s="85" t="str">
        <f aca="false">IF(AH520="","",P520-W520)</f>
        <v/>
      </c>
      <c r="Y520" s="67"/>
      <c r="Z520" s="70" t="str">
        <f aca="false">IF(OR(AH520="",Y520=""),"",IF(ABS(X520-Y520)&lt;=1,"✓ Cuadra","⚠ Diferencia $"&amp;FIXED(X520-Y520,0)))</f>
        <v/>
      </c>
      <c r="AA520" s="72" t="str">
        <f aca="false">IF(AH520="","",IFERROR(INDEX(C_TIPO,MATCH(C520&amp;"-P"&amp;MAX(1,COUNTIFS(C_ID,C520,C_DEFINE,"Sí",C_INICIO,"&lt;="&amp;EOMONTH(B520,0))),C_CLAVE,0))&amp;"","Sin dato"))</f>
        <v/>
      </c>
      <c r="AB520" s="71" t="str">
        <f aca="false">IF(AH520="","",ROUND(MIN(K520,TOPE_AFP_UF*AJ520)*AK520,0))</f>
        <v/>
      </c>
      <c r="AC520" s="71" t="str">
        <f aca="false">IF(AH520="","",ROUND(MIN(K520,TOPE_AFC_UF*AJ520)*IF(AA520="Indefinido",AFC_EMP_INDEF,AFC_EMP_PF),0))</f>
        <v/>
      </c>
      <c r="AD520" s="71" t="str">
        <f aca="false">IF(AH520="","",ROUND(MIN(K520,TOPE_AFP_UF*AJ520)*(MUTUAL_BASICA+MUTUAL_ADIC+SANNA),0))</f>
        <v/>
      </c>
      <c r="AE520" s="71" t="str">
        <f aca="false">IF(AH520="","",P520-N(N520)+AB520+AC520+AD520)</f>
        <v/>
      </c>
      <c r="AF520" s="65"/>
      <c r="AG520" s="64"/>
      <c r="AH520" s="72" t="str">
        <f aca="false">IF(OR(B520="",C520=""),"",C520&amp;"|"&amp;(YEAR(B520)*100+MONTH(B520)))</f>
        <v/>
      </c>
      <c r="AI520" s="70" t="str">
        <f aca="false">IF(AH520="","",IF(COUNTIF(L_CLAVE,AH520)&gt;1,"⚠ Duplicado","OK"))</f>
        <v/>
      </c>
      <c r="AJ520" s="86" t="str">
        <f aca="false">IF(AH520="","",IF(SUMPRODUCT(MAX((IND_PER&lt;=B520)*(IND_UF&lt;&gt;"")*IND_PER))=0,UF_HOY,INDEX(IND_UF,MATCH(SUMPRODUCT(MAX((IND_PER&lt;=B520)*(IND_UF&lt;&gt;"")*IND_PER)),IND_PER,0))))</f>
        <v/>
      </c>
      <c r="AK520" s="87" t="str">
        <f aca="false">IF(AH520="","",IF(COUNTIF(TASA_DESDE,"&lt;="&amp;B520)=0,INDEX(TASA_EMP,1),INDEX(TASA_EMP,COUNTIF(TASA_DESDE,"&lt;="&amp;B520))))</f>
        <v/>
      </c>
    </row>
    <row r="521" customFormat="false" ht="15" hidden="false" customHeight="false" outlineLevel="0" collapsed="false">
      <c r="B521" s="78"/>
      <c r="C521" s="64"/>
      <c r="D521" s="72" t="str">
        <f aca="false">IF(C521="","",IFERROR(INDEX(T_NOMBRE,MATCH(C521,T_ID,0)),"⚠ ID no existe"))</f>
        <v/>
      </c>
      <c r="E521" s="69"/>
      <c r="F521" s="67"/>
      <c r="G521" s="67"/>
      <c r="H521" s="67"/>
      <c r="I521" s="67"/>
      <c r="J521" s="67"/>
      <c r="K521" s="85" t="str">
        <f aca="false">IF(AH521="","",N(F521)+N(G521)+N(H521)-N(I521)+N(J521))</f>
        <v/>
      </c>
      <c r="L521" s="67"/>
      <c r="M521" s="67"/>
      <c r="N521" s="67"/>
      <c r="O521" s="67"/>
      <c r="P521" s="85" t="str">
        <f aca="false">IF(AH521="","",K521+N(L521)+N(M521)+N(N521)+N(O521))</f>
        <v/>
      </c>
      <c r="Q521" s="67"/>
      <c r="R521" s="67"/>
      <c r="S521" s="67"/>
      <c r="T521" s="67"/>
      <c r="U521" s="67"/>
      <c r="V521" s="67"/>
      <c r="W521" s="85" t="str">
        <f aca="false">IF(AH521="","",N(Q521)+N(R521)+N(S521)+N(T521)+N(U521)+N(V521))</f>
        <v/>
      </c>
      <c r="X521" s="85" t="str">
        <f aca="false">IF(AH521="","",P521-W521)</f>
        <v/>
      </c>
      <c r="Y521" s="67"/>
      <c r="Z521" s="70" t="str">
        <f aca="false">IF(OR(AH521="",Y521=""),"",IF(ABS(X521-Y521)&lt;=1,"✓ Cuadra","⚠ Diferencia $"&amp;FIXED(X521-Y521,0)))</f>
        <v/>
      </c>
      <c r="AA521" s="72" t="str">
        <f aca="false">IF(AH521="","",IFERROR(INDEX(C_TIPO,MATCH(C521&amp;"-P"&amp;MAX(1,COUNTIFS(C_ID,C521,C_DEFINE,"Sí",C_INICIO,"&lt;="&amp;EOMONTH(B521,0))),C_CLAVE,0))&amp;"","Sin dato"))</f>
        <v/>
      </c>
      <c r="AB521" s="71" t="str">
        <f aca="false">IF(AH521="","",ROUND(MIN(K521,TOPE_AFP_UF*AJ521)*AK521,0))</f>
        <v/>
      </c>
      <c r="AC521" s="71" t="str">
        <f aca="false">IF(AH521="","",ROUND(MIN(K521,TOPE_AFC_UF*AJ521)*IF(AA521="Indefinido",AFC_EMP_INDEF,AFC_EMP_PF),0))</f>
        <v/>
      </c>
      <c r="AD521" s="71" t="str">
        <f aca="false">IF(AH521="","",ROUND(MIN(K521,TOPE_AFP_UF*AJ521)*(MUTUAL_BASICA+MUTUAL_ADIC+SANNA),0))</f>
        <v/>
      </c>
      <c r="AE521" s="71" t="str">
        <f aca="false">IF(AH521="","",P521-N(N521)+AB521+AC521+AD521)</f>
        <v/>
      </c>
      <c r="AF521" s="65"/>
      <c r="AG521" s="64"/>
      <c r="AH521" s="72" t="str">
        <f aca="false">IF(OR(B521="",C521=""),"",C521&amp;"|"&amp;(YEAR(B521)*100+MONTH(B521)))</f>
        <v/>
      </c>
      <c r="AI521" s="70" t="str">
        <f aca="false">IF(AH521="","",IF(COUNTIF(L_CLAVE,AH521)&gt;1,"⚠ Duplicado","OK"))</f>
        <v/>
      </c>
      <c r="AJ521" s="86" t="str">
        <f aca="false">IF(AH521="","",IF(SUMPRODUCT(MAX((IND_PER&lt;=B521)*(IND_UF&lt;&gt;"")*IND_PER))=0,UF_HOY,INDEX(IND_UF,MATCH(SUMPRODUCT(MAX((IND_PER&lt;=B521)*(IND_UF&lt;&gt;"")*IND_PER)),IND_PER,0))))</f>
        <v/>
      </c>
      <c r="AK521" s="87" t="str">
        <f aca="false">IF(AH521="","",IF(COUNTIF(TASA_DESDE,"&lt;="&amp;B521)=0,INDEX(TASA_EMP,1),INDEX(TASA_EMP,COUNTIF(TASA_DESDE,"&lt;="&amp;B521))))</f>
        <v/>
      </c>
    </row>
    <row r="522" customFormat="false" ht="15" hidden="false" customHeight="false" outlineLevel="0" collapsed="false">
      <c r="B522" s="78"/>
      <c r="C522" s="64"/>
      <c r="D522" s="72" t="str">
        <f aca="false">IF(C522="","",IFERROR(INDEX(T_NOMBRE,MATCH(C522,T_ID,0)),"⚠ ID no existe"))</f>
        <v/>
      </c>
      <c r="E522" s="69"/>
      <c r="F522" s="67"/>
      <c r="G522" s="67"/>
      <c r="H522" s="67"/>
      <c r="I522" s="67"/>
      <c r="J522" s="67"/>
      <c r="K522" s="85" t="str">
        <f aca="false">IF(AH522="","",N(F522)+N(G522)+N(H522)-N(I522)+N(J522))</f>
        <v/>
      </c>
      <c r="L522" s="67"/>
      <c r="M522" s="67"/>
      <c r="N522" s="67"/>
      <c r="O522" s="67"/>
      <c r="P522" s="85" t="str">
        <f aca="false">IF(AH522="","",K522+N(L522)+N(M522)+N(N522)+N(O522))</f>
        <v/>
      </c>
      <c r="Q522" s="67"/>
      <c r="R522" s="67"/>
      <c r="S522" s="67"/>
      <c r="T522" s="67"/>
      <c r="U522" s="67"/>
      <c r="V522" s="67"/>
      <c r="W522" s="85" t="str">
        <f aca="false">IF(AH522="","",N(Q522)+N(R522)+N(S522)+N(T522)+N(U522)+N(V522))</f>
        <v/>
      </c>
      <c r="X522" s="85" t="str">
        <f aca="false">IF(AH522="","",P522-W522)</f>
        <v/>
      </c>
      <c r="Y522" s="67"/>
      <c r="Z522" s="70" t="str">
        <f aca="false">IF(OR(AH522="",Y522=""),"",IF(ABS(X522-Y522)&lt;=1,"✓ Cuadra","⚠ Diferencia $"&amp;FIXED(X522-Y522,0)))</f>
        <v/>
      </c>
      <c r="AA522" s="72" t="str">
        <f aca="false">IF(AH522="","",IFERROR(INDEX(C_TIPO,MATCH(C522&amp;"-P"&amp;MAX(1,COUNTIFS(C_ID,C522,C_DEFINE,"Sí",C_INICIO,"&lt;="&amp;EOMONTH(B522,0))),C_CLAVE,0))&amp;"","Sin dato"))</f>
        <v/>
      </c>
      <c r="AB522" s="71" t="str">
        <f aca="false">IF(AH522="","",ROUND(MIN(K522,TOPE_AFP_UF*AJ522)*AK522,0))</f>
        <v/>
      </c>
      <c r="AC522" s="71" t="str">
        <f aca="false">IF(AH522="","",ROUND(MIN(K522,TOPE_AFC_UF*AJ522)*IF(AA522="Indefinido",AFC_EMP_INDEF,AFC_EMP_PF),0))</f>
        <v/>
      </c>
      <c r="AD522" s="71" t="str">
        <f aca="false">IF(AH522="","",ROUND(MIN(K522,TOPE_AFP_UF*AJ522)*(MUTUAL_BASICA+MUTUAL_ADIC+SANNA),0))</f>
        <v/>
      </c>
      <c r="AE522" s="71" t="str">
        <f aca="false">IF(AH522="","",P522-N(N522)+AB522+AC522+AD522)</f>
        <v/>
      </c>
      <c r="AF522" s="65"/>
      <c r="AG522" s="64"/>
      <c r="AH522" s="72" t="str">
        <f aca="false">IF(OR(B522="",C522=""),"",C522&amp;"|"&amp;(YEAR(B522)*100+MONTH(B522)))</f>
        <v/>
      </c>
      <c r="AI522" s="70" t="str">
        <f aca="false">IF(AH522="","",IF(COUNTIF(L_CLAVE,AH522)&gt;1,"⚠ Duplicado","OK"))</f>
        <v/>
      </c>
      <c r="AJ522" s="86" t="str">
        <f aca="false">IF(AH522="","",IF(SUMPRODUCT(MAX((IND_PER&lt;=B522)*(IND_UF&lt;&gt;"")*IND_PER))=0,UF_HOY,INDEX(IND_UF,MATCH(SUMPRODUCT(MAX((IND_PER&lt;=B522)*(IND_UF&lt;&gt;"")*IND_PER)),IND_PER,0))))</f>
        <v/>
      </c>
      <c r="AK522" s="87" t="str">
        <f aca="false">IF(AH522="","",IF(COUNTIF(TASA_DESDE,"&lt;="&amp;B522)=0,INDEX(TASA_EMP,1),INDEX(TASA_EMP,COUNTIF(TASA_DESDE,"&lt;="&amp;B522))))</f>
        <v/>
      </c>
    </row>
    <row r="523" customFormat="false" ht="15" hidden="false" customHeight="false" outlineLevel="0" collapsed="false">
      <c r="B523" s="78"/>
      <c r="C523" s="64"/>
      <c r="D523" s="72" t="str">
        <f aca="false">IF(C523="","",IFERROR(INDEX(T_NOMBRE,MATCH(C523,T_ID,0)),"⚠ ID no existe"))</f>
        <v/>
      </c>
      <c r="E523" s="69"/>
      <c r="F523" s="67"/>
      <c r="G523" s="67"/>
      <c r="H523" s="67"/>
      <c r="I523" s="67"/>
      <c r="J523" s="67"/>
      <c r="K523" s="85" t="str">
        <f aca="false">IF(AH523="","",N(F523)+N(G523)+N(H523)-N(I523)+N(J523))</f>
        <v/>
      </c>
      <c r="L523" s="67"/>
      <c r="M523" s="67"/>
      <c r="N523" s="67"/>
      <c r="O523" s="67"/>
      <c r="P523" s="85" t="str">
        <f aca="false">IF(AH523="","",K523+N(L523)+N(M523)+N(N523)+N(O523))</f>
        <v/>
      </c>
      <c r="Q523" s="67"/>
      <c r="R523" s="67"/>
      <c r="S523" s="67"/>
      <c r="T523" s="67"/>
      <c r="U523" s="67"/>
      <c r="V523" s="67"/>
      <c r="W523" s="85" t="str">
        <f aca="false">IF(AH523="","",N(Q523)+N(R523)+N(S523)+N(T523)+N(U523)+N(V523))</f>
        <v/>
      </c>
      <c r="X523" s="85" t="str">
        <f aca="false">IF(AH523="","",P523-W523)</f>
        <v/>
      </c>
      <c r="Y523" s="67"/>
      <c r="Z523" s="70" t="str">
        <f aca="false">IF(OR(AH523="",Y523=""),"",IF(ABS(X523-Y523)&lt;=1,"✓ Cuadra","⚠ Diferencia $"&amp;FIXED(X523-Y523,0)))</f>
        <v/>
      </c>
      <c r="AA523" s="72" t="str">
        <f aca="false">IF(AH523="","",IFERROR(INDEX(C_TIPO,MATCH(C523&amp;"-P"&amp;MAX(1,COUNTIFS(C_ID,C523,C_DEFINE,"Sí",C_INICIO,"&lt;="&amp;EOMONTH(B523,0))),C_CLAVE,0))&amp;"","Sin dato"))</f>
        <v/>
      </c>
      <c r="AB523" s="71" t="str">
        <f aca="false">IF(AH523="","",ROUND(MIN(K523,TOPE_AFP_UF*AJ523)*AK523,0))</f>
        <v/>
      </c>
      <c r="AC523" s="71" t="str">
        <f aca="false">IF(AH523="","",ROUND(MIN(K523,TOPE_AFC_UF*AJ523)*IF(AA523="Indefinido",AFC_EMP_INDEF,AFC_EMP_PF),0))</f>
        <v/>
      </c>
      <c r="AD523" s="71" t="str">
        <f aca="false">IF(AH523="","",ROUND(MIN(K523,TOPE_AFP_UF*AJ523)*(MUTUAL_BASICA+MUTUAL_ADIC+SANNA),0))</f>
        <v/>
      </c>
      <c r="AE523" s="71" t="str">
        <f aca="false">IF(AH523="","",P523-N(N523)+AB523+AC523+AD523)</f>
        <v/>
      </c>
      <c r="AF523" s="65"/>
      <c r="AG523" s="64"/>
      <c r="AH523" s="72" t="str">
        <f aca="false">IF(OR(B523="",C523=""),"",C523&amp;"|"&amp;(YEAR(B523)*100+MONTH(B523)))</f>
        <v/>
      </c>
      <c r="AI523" s="70" t="str">
        <f aca="false">IF(AH523="","",IF(COUNTIF(L_CLAVE,AH523)&gt;1,"⚠ Duplicado","OK"))</f>
        <v/>
      </c>
      <c r="AJ523" s="86" t="str">
        <f aca="false">IF(AH523="","",IF(SUMPRODUCT(MAX((IND_PER&lt;=B523)*(IND_UF&lt;&gt;"")*IND_PER))=0,UF_HOY,INDEX(IND_UF,MATCH(SUMPRODUCT(MAX((IND_PER&lt;=B523)*(IND_UF&lt;&gt;"")*IND_PER)),IND_PER,0))))</f>
        <v/>
      </c>
      <c r="AK523" s="87" t="str">
        <f aca="false">IF(AH523="","",IF(COUNTIF(TASA_DESDE,"&lt;="&amp;B523)=0,INDEX(TASA_EMP,1),INDEX(TASA_EMP,COUNTIF(TASA_DESDE,"&lt;="&amp;B523))))</f>
        <v/>
      </c>
    </row>
    <row r="524" customFormat="false" ht="15" hidden="false" customHeight="false" outlineLevel="0" collapsed="false">
      <c r="B524" s="78"/>
      <c r="C524" s="64"/>
      <c r="D524" s="72" t="str">
        <f aca="false">IF(C524="","",IFERROR(INDEX(T_NOMBRE,MATCH(C524,T_ID,0)),"⚠ ID no existe"))</f>
        <v/>
      </c>
      <c r="E524" s="69"/>
      <c r="F524" s="67"/>
      <c r="G524" s="67"/>
      <c r="H524" s="67"/>
      <c r="I524" s="67"/>
      <c r="J524" s="67"/>
      <c r="K524" s="85" t="str">
        <f aca="false">IF(AH524="","",N(F524)+N(G524)+N(H524)-N(I524)+N(J524))</f>
        <v/>
      </c>
      <c r="L524" s="67"/>
      <c r="M524" s="67"/>
      <c r="N524" s="67"/>
      <c r="O524" s="67"/>
      <c r="P524" s="85" t="str">
        <f aca="false">IF(AH524="","",K524+N(L524)+N(M524)+N(N524)+N(O524))</f>
        <v/>
      </c>
      <c r="Q524" s="67"/>
      <c r="R524" s="67"/>
      <c r="S524" s="67"/>
      <c r="T524" s="67"/>
      <c r="U524" s="67"/>
      <c r="V524" s="67"/>
      <c r="W524" s="85" t="str">
        <f aca="false">IF(AH524="","",N(Q524)+N(R524)+N(S524)+N(T524)+N(U524)+N(V524))</f>
        <v/>
      </c>
      <c r="X524" s="85" t="str">
        <f aca="false">IF(AH524="","",P524-W524)</f>
        <v/>
      </c>
      <c r="Y524" s="67"/>
      <c r="Z524" s="70" t="str">
        <f aca="false">IF(OR(AH524="",Y524=""),"",IF(ABS(X524-Y524)&lt;=1,"✓ Cuadra","⚠ Diferencia $"&amp;FIXED(X524-Y524,0)))</f>
        <v/>
      </c>
      <c r="AA524" s="72" t="str">
        <f aca="false">IF(AH524="","",IFERROR(INDEX(C_TIPO,MATCH(C524&amp;"-P"&amp;MAX(1,COUNTIFS(C_ID,C524,C_DEFINE,"Sí",C_INICIO,"&lt;="&amp;EOMONTH(B524,0))),C_CLAVE,0))&amp;"","Sin dato"))</f>
        <v/>
      </c>
      <c r="AB524" s="71" t="str">
        <f aca="false">IF(AH524="","",ROUND(MIN(K524,TOPE_AFP_UF*AJ524)*AK524,0))</f>
        <v/>
      </c>
      <c r="AC524" s="71" t="str">
        <f aca="false">IF(AH524="","",ROUND(MIN(K524,TOPE_AFC_UF*AJ524)*IF(AA524="Indefinido",AFC_EMP_INDEF,AFC_EMP_PF),0))</f>
        <v/>
      </c>
      <c r="AD524" s="71" t="str">
        <f aca="false">IF(AH524="","",ROUND(MIN(K524,TOPE_AFP_UF*AJ524)*(MUTUAL_BASICA+MUTUAL_ADIC+SANNA),0))</f>
        <v/>
      </c>
      <c r="AE524" s="71" t="str">
        <f aca="false">IF(AH524="","",P524-N(N524)+AB524+AC524+AD524)</f>
        <v/>
      </c>
      <c r="AF524" s="65"/>
      <c r="AG524" s="64"/>
      <c r="AH524" s="72" t="str">
        <f aca="false">IF(OR(B524="",C524=""),"",C524&amp;"|"&amp;(YEAR(B524)*100+MONTH(B524)))</f>
        <v/>
      </c>
      <c r="AI524" s="70" t="str">
        <f aca="false">IF(AH524="","",IF(COUNTIF(L_CLAVE,AH524)&gt;1,"⚠ Duplicado","OK"))</f>
        <v/>
      </c>
      <c r="AJ524" s="86" t="str">
        <f aca="false">IF(AH524="","",IF(SUMPRODUCT(MAX((IND_PER&lt;=B524)*(IND_UF&lt;&gt;"")*IND_PER))=0,UF_HOY,INDEX(IND_UF,MATCH(SUMPRODUCT(MAX((IND_PER&lt;=B524)*(IND_UF&lt;&gt;"")*IND_PER)),IND_PER,0))))</f>
        <v/>
      </c>
      <c r="AK524" s="87" t="str">
        <f aca="false">IF(AH524="","",IF(COUNTIF(TASA_DESDE,"&lt;="&amp;B524)=0,INDEX(TASA_EMP,1),INDEX(TASA_EMP,COUNTIF(TASA_DESDE,"&lt;="&amp;B524))))</f>
        <v/>
      </c>
    </row>
    <row r="525" customFormat="false" ht="15" hidden="false" customHeight="false" outlineLevel="0" collapsed="false">
      <c r="B525" s="78"/>
      <c r="C525" s="64"/>
      <c r="D525" s="72" t="str">
        <f aca="false">IF(C525="","",IFERROR(INDEX(T_NOMBRE,MATCH(C525,T_ID,0)),"⚠ ID no existe"))</f>
        <v/>
      </c>
      <c r="E525" s="69"/>
      <c r="F525" s="67"/>
      <c r="G525" s="67"/>
      <c r="H525" s="67"/>
      <c r="I525" s="67"/>
      <c r="J525" s="67"/>
      <c r="K525" s="85" t="str">
        <f aca="false">IF(AH525="","",N(F525)+N(G525)+N(H525)-N(I525)+N(J525))</f>
        <v/>
      </c>
      <c r="L525" s="67"/>
      <c r="M525" s="67"/>
      <c r="N525" s="67"/>
      <c r="O525" s="67"/>
      <c r="P525" s="85" t="str">
        <f aca="false">IF(AH525="","",K525+N(L525)+N(M525)+N(N525)+N(O525))</f>
        <v/>
      </c>
      <c r="Q525" s="67"/>
      <c r="R525" s="67"/>
      <c r="S525" s="67"/>
      <c r="T525" s="67"/>
      <c r="U525" s="67"/>
      <c r="V525" s="67"/>
      <c r="W525" s="85" t="str">
        <f aca="false">IF(AH525="","",N(Q525)+N(R525)+N(S525)+N(T525)+N(U525)+N(V525))</f>
        <v/>
      </c>
      <c r="X525" s="85" t="str">
        <f aca="false">IF(AH525="","",P525-W525)</f>
        <v/>
      </c>
      <c r="Y525" s="67"/>
      <c r="Z525" s="70" t="str">
        <f aca="false">IF(OR(AH525="",Y525=""),"",IF(ABS(X525-Y525)&lt;=1,"✓ Cuadra","⚠ Diferencia $"&amp;FIXED(X525-Y525,0)))</f>
        <v/>
      </c>
      <c r="AA525" s="72" t="str">
        <f aca="false">IF(AH525="","",IFERROR(INDEX(C_TIPO,MATCH(C525&amp;"-P"&amp;MAX(1,COUNTIFS(C_ID,C525,C_DEFINE,"Sí",C_INICIO,"&lt;="&amp;EOMONTH(B525,0))),C_CLAVE,0))&amp;"","Sin dato"))</f>
        <v/>
      </c>
      <c r="AB525" s="71" t="str">
        <f aca="false">IF(AH525="","",ROUND(MIN(K525,TOPE_AFP_UF*AJ525)*AK525,0))</f>
        <v/>
      </c>
      <c r="AC525" s="71" t="str">
        <f aca="false">IF(AH525="","",ROUND(MIN(K525,TOPE_AFC_UF*AJ525)*IF(AA525="Indefinido",AFC_EMP_INDEF,AFC_EMP_PF),0))</f>
        <v/>
      </c>
      <c r="AD525" s="71" t="str">
        <f aca="false">IF(AH525="","",ROUND(MIN(K525,TOPE_AFP_UF*AJ525)*(MUTUAL_BASICA+MUTUAL_ADIC+SANNA),0))</f>
        <v/>
      </c>
      <c r="AE525" s="71" t="str">
        <f aca="false">IF(AH525="","",P525-N(N525)+AB525+AC525+AD525)</f>
        <v/>
      </c>
      <c r="AF525" s="65"/>
      <c r="AG525" s="64"/>
      <c r="AH525" s="72" t="str">
        <f aca="false">IF(OR(B525="",C525=""),"",C525&amp;"|"&amp;(YEAR(B525)*100+MONTH(B525)))</f>
        <v/>
      </c>
      <c r="AI525" s="70" t="str">
        <f aca="false">IF(AH525="","",IF(COUNTIF(L_CLAVE,AH525)&gt;1,"⚠ Duplicado","OK"))</f>
        <v/>
      </c>
      <c r="AJ525" s="86" t="str">
        <f aca="false">IF(AH525="","",IF(SUMPRODUCT(MAX((IND_PER&lt;=B525)*(IND_UF&lt;&gt;"")*IND_PER))=0,UF_HOY,INDEX(IND_UF,MATCH(SUMPRODUCT(MAX((IND_PER&lt;=B525)*(IND_UF&lt;&gt;"")*IND_PER)),IND_PER,0))))</f>
        <v/>
      </c>
      <c r="AK525" s="87" t="str">
        <f aca="false">IF(AH525="","",IF(COUNTIF(TASA_DESDE,"&lt;="&amp;B525)=0,INDEX(TASA_EMP,1),INDEX(TASA_EMP,COUNTIF(TASA_DESDE,"&lt;="&amp;B525))))</f>
        <v/>
      </c>
    </row>
    <row r="526" customFormat="false" ht="15" hidden="false" customHeight="false" outlineLevel="0" collapsed="false">
      <c r="B526" s="78"/>
      <c r="C526" s="64"/>
      <c r="D526" s="72" t="str">
        <f aca="false">IF(C526="","",IFERROR(INDEX(T_NOMBRE,MATCH(C526,T_ID,0)),"⚠ ID no existe"))</f>
        <v/>
      </c>
      <c r="E526" s="69"/>
      <c r="F526" s="67"/>
      <c r="G526" s="67"/>
      <c r="H526" s="67"/>
      <c r="I526" s="67"/>
      <c r="J526" s="67"/>
      <c r="K526" s="85" t="str">
        <f aca="false">IF(AH526="","",N(F526)+N(G526)+N(H526)-N(I526)+N(J526))</f>
        <v/>
      </c>
      <c r="L526" s="67"/>
      <c r="M526" s="67"/>
      <c r="N526" s="67"/>
      <c r="O526" s="67"/>
      <c r="P526" s="85" t="str">
        <f aca="false">IF(AH526="","",K526+N(L526)+N(M526)+N(N526)+N(O526))</f>
        <v/>
      </c>
      <c r="Q526" s="67"/>
      <c r="R526" s="67"/>
      <c r="S526" s="67"/>
      <c r="T526" s="67"/>
      <c r="U526" s="67"/>
      <c r="V526" s="67"/>
      <c r="W526" s="85" t="str">
        <f aca="false">IF(AH526="","",N(Q526)+N(R526)+N(S526)+N(T526)+N(U526)+N(V526))</f>
        <v/>
      </c>
      <c r="X526" s="85" t="str">
        <f aca="false">IF(AH526="","",P526-W526)</f>
        <v/>
      </c>
      <c r="Y526" s="67"/>
      <c r="Z526" s="70" t="str">
        <f aca="false">IF(OR(AH526="",Y526=""),"",IF(ABS(X526-Y526)&lt;=1,"✓ Cuadra","⚠ Diferencia $"&amp;FIXED(X526-Y526,0)))</f>
        <v/>
      </c>
      <c r="AA526" s="72" t="str">
        <f aca="false">IF(AH526="","",IFERROR(INDEX(C_TIPO,MATCH(C526&amp;"-P"&amp;MAX(1,COUNTIFS(C_ID,C526,C_DEFINE,"Sí",C_INICIO,"&lt;="&amp;EOMONTH(B526,0))),C_CLAVE,0))&amp;"","Sin dato"))</f>
        <v/>
      </c>
      <c r="AB526" s="71" t="str">
        <f aca="false">IF(AH526="","",ROUND(MIN(K526,TOPE_AFP_UF*AJ526)*AK526,0))</f>
        <v/>
      </c>
      <c r="AC526" s="71" t="str">
        <f aca="false">IF(AH526="","",ROUND(MIN(K526,TOPE_AFC_UF*AJ526)*IF(AA526="Indefinido",AFC_EMP_INDEF,AFC_EMP_PF),0))</f>
        <v/>
      </c>
      <c r="AD526" s="71" t="str">
        <f aca="false">IF(AH526="","",ROUND(MIN(K526,TOPE_AFP_UF*AJ526)*(MUTUAL_BASICA+MUTUAL_ADIC+SANNA),0))</f>
        <v/>
      </c>
      <c r="AE526" s="71" t="str">
        <f aca="false">IF(AH526="","",P526-N(N526)+AB526+AC526+AD526)</f>
        <v/>
      </c>
      <c r="AF526" s="65"/>
      <c r="AG526" s="64"/>
      <c r="AH526" s="72" t="str">
        <f aca="false">IF(OR(B526="",C526=""),"",C526&amp;"|"&amp;(YEAR(B526)*100+MONTH(B526)))</f>
        <v/>
      </c>
      <c r="AI526" s="70" t="str">
        <f aca="false">IF(AH526="","",IF(COUNTIF(L_CLAVE,AH526)&gt;1,"⚠ Duplicado","OK"))</f>
        <v/>
      </c>
      <c r="AJ526" s="86" t="str">
        <f aca="false">IF(AH526="","",IF(SUMPRODUCT(MAX((IND_PER&lt;=B526)*(IND_UF&lt;&gt;"")*IND_PER))=0,UF_HOY,INDEX(IND_UF,MATCH(SUMPRODUCT(MAX((IND_PER&lt;=B526)*(IND_UF&lt;&gt;"")*IND_PER)),IND_PER,0))))</f>
        <v/>
      </c>
      <c r="AK526" s="87" t="str">
        <f aca="false">IF(AH526="","",IF(COUNTIF(TASA_DESDE,"&lt;="&amp;B526)=0,INDEX(TASA_EMP,1),INDEX(TASA_EMP,COUNTIF(TASA_DESDE,"&lt;="&amp;B526))))</f>
        <v/>
      </c>
    </row>
    <row r="527" customFormat="false" ht="15" hidden="false" customHeight="false" outlineLevel="0" collapsed="false">
      <c r="B527" s="78"/>
      <c r="C527" s="64"/>
      <c r="D527" s="72" t="str">
        <f aca="false">IF(C527="","",IFERROR(INDEX(T_NOMBRE,MATCH(C527,T_ID,0)),"⚠ ID no existe"))</f>
        <v/>
      </c>
      <c r="E527" s="69"/>
      <c r="F527" s="67"/>
      <c r="G527" s="67"/>
      <c r="H527" s="67"/>
      <c r="I527" s="67"/>
      <c r="J527" s="67"/>
      <c r="K527" s="85" t="str">
        <f aca="false">IF(AH527="","",N(F527)+N(G527)+N(H527)-N(I527)+N(J527))</f>
        <v/>
      </c>
      <c r="L527" s="67"/>
      <c r="M527" s="67"/>
      <c r="N527" s="67"/>
      <c r="O527" s="67"/>
      <c r="P527" s="85" t="str">
        <f aca="false">IF(AH527="","",K527+N(L527)+N(M527)+N(N527)+N(O527))</f>
        <v/>
      </c>
      <c r="Q527" s="67"/>
      <c r="R527" s="67"/>
      <c r="S527" s="67"/>
      <c r="T527" s="67"/>
      <c r="U527" s="67"/>
      <c r="V527" s="67"/>
      <c r="W527" s="85" t="str">
        <f aca="false">IF(AH527="","",N(Q527)+N(R527)+N(S527)+N(T527)+N(U527)+N(V527))</f>
        <v/>
      </c>
      <c r="X527" s="85" t="str">
        <f aca="false">IF(AH527="","",P527-W527)</f>
        <v/>
      </c>
      <c r="Y527" s="67"/>
      <c r="Z527" s="70" t="str">
        <f aca="false">IF(OR(AH527="",Y527=""),"",IF(ABS(X527-Y527)&lt;=1,"✓ Cuadra","⚠ Diferencia $"&amp;FIXED(X527-Y527,0)))</f>
        <v/>
      </c>
      <c r="AA527" s="72" t="str">
        <f aca="false">IF(AH527="","",IFERROR(INDEX(C_TIPO,MATCH(C527&amp;"-P"&amp;MAX(1,COUNTIFS(C_ID,C527,C_DEFINE,"Sí",C_INICIO,"&lt;="&amp;EOMONTH(B527,0))),C_CLAVE,0))&amp;"","Sin dato"))</f>
        <v/>
      </c>
      <c r="AB527" s="71" t="str">
        <f aca="false">IF(AH527="","",ROUND(MIN(K527,TOPE_AFP_UF*AJ527)*AK527,0))</f>
        <v/>
      </c>
      <c r="AC527" s="71" t="str">
        <f aca="false">IF(AH527="","",ROUND(MIN(K527,TOPE_AFC_UF*AJ527)*IF(AA527="Indefinido",AFC_EMP_INDEF,AFC_EMP_PF),0))</f>
        <v/>
      </c>
      <c r="AD527" s="71" t="str">
        <f aca="false">IF(AH527="","",ROUND(MIN(K527,TOPE_AFP_UF*AJ527)*(MUTUAL_BASICA+MUTUAL_ADIC+SANNA),0))</f>
        <v/>
      </c>
      <c r="AE527" s="71" t="str">
        <f aca="false">IF(AH527="","",P527-N(N527)+AB527+AC527+AD527)</f>
        <v/>
      </c>
      <c r="AF527" s="65"/>
      <c r="AG527" s="64"/>
      <c r="AH527" s="72" t="str">
        <f aca="false">IF(OR(B527="",C527=""),"",C527&amp;"|"&amp;(YEAR(B527)*100+MONTH(B527)))</f>
        <v/>
      </c>
      <c r="AI527" s="70" t="str">
        <f aca="false">IF(AH527="","",IF(COUNTIF(L_CLAVE,AH527)&gt;1,"⚠ Duplicado","OK"))</f>
        <v/>
      </c>
      <c r="AJ527" s="86" t="str">
        <f aca="false">IF(AH527="","",IF(SUMPRODUCT(MAX((IND_PER&lt;=B527)*(IND_UF&lt;&gt;"")*IND_PER))=0,UF_HOY,INDEX(IND_UF,MATCH(SUMPRODUCT(MAX((IND_PER&lt;=B527)*(IND_UF&lt;&gt;"")*IND_PER)),IND_PER,0))))</f>
        <v/>
      </c>
      <c r="AK527" s="87" t="str">
        <f aca="false">IF(AH527="","",IF(COUNTIF(TASA_DESDE,"&lt;="&amp;B527)=0,INDEX(TASA_EMP,1),INDEX(TASA_EMP,COUNTIF(TASA_DESDE,"&lt;="&amp;B527))))</f>
        <v/>
      </c>
    </row>
    <row r="528" customFormat="false" ht="15" hidden="false" customHeight="false" outlineLevel="0" collapsed="false">
      <c r="B528" s="78"/>
      <c r="C528" s="64"/>
      <c r="D528" s="72" t="str">
        <f aca="false">IF(C528="","",IFERROR(INDEX(T_NOMBRE,MATCH(C528,T_ID,0)),"⚠ ID no existe"))</f>
        <v/>
      </c>
      <c r="E528" s="69"/>
      <c r="F528" s="67"/>
      <c r="G528" s="67"/>
      <c r="H528" s="67"/>
      <c r="I528" s="67"/>
      <c r="J528" s="67"/>
      <c r="K528" s="85" t="str">
        <f aca="false">IF(AH528="","",N(F528)+N(G528)+N(H528)-N(I528)+N(J528))</f>
        <v/>
      </c>
      <c r="L528" s="67"/>
      <c r="M528" s="67"/>
      <c r="N528" s="67"/>
      <c r="O528" s="67"/>
      <c r="P528" s="85" t="str">
        <f aca="false">IF(AH528="","",K528+N(L528)+N(M528)+N(N528)+N(O528))</f>
        <v/>
      </c>
      <c r="Q528" s="67"/>
      <c r="R528" s="67"/>
      <c r="S528" s="67"/>
      <c r="T528" s="67"/>
      <c r="U528" s="67"/>
      <c r="V528" s="67"/>
      <c r="W528" s="85" t="str">
        <f aca="false">IF(AH528="","",N(Q528)+N(R528)+N(S528)+N(T528)+N(U528)+N(V528))</f>
        <v/>
      </c>
      <c r="X528" s="85" t="str">
        <f aca="false">IF(AH528="","",P528-W528)</f>
        <v/>
      </c>
      <c r="Y528" s="67"/>
      <c r="Z528" s="70" t="str">
        <f aca="false">IF(OR(AH528="",Y528=""),"",IF(ABS(X528-Y528)&lt;=1,"✓ Cuadra","⚠ Diferencia $"&amp;FIXED(X528-Y528,0)))</f>
        <v/>
      </c>
      <c r="AA528" s="72" t="str">
        <f aca="false">IF(AH528="","",IFERROR(INDEX(C_TIPO,MATCH(C528&amp;"-P"&amp;MAX(1,COUNTIFS(C_ID,C528,C_DEFINE,"Sí",C_INICIO,"&lt;="&amp;EOMONTH(B528,0))),C_CLAVE,0))&amp;"","Sin dato"))</f>
        <v/>
      </c>
      <c r="AB528" s="71" t="str">
        <f aca="false">IF(AH528="","",ROUND(MIN(K528,TOPE_AFP_UF*AJ528)*AK528,0))</f>
        <v/>
      </c>
      <c r="AC528" s="71" t="str">
        <f aca="false">IF(AH528="","",ROUND(MIN(K528,TOPE_AFC_UF*AJ528)*IF(AA528="Indefinido",AFC_EMP_INDEF,AFC_EMP_PF),0))</f>
        <v/>
      </c>
      <c r="AD528" s="71" t="str">
        <f aca="false">IF(AH528="","",ROUND(MIN(K528,TOPE_AFP_UF*AJ528)*(MUTUAL_BASICA+MUTUAL_ADIC+SANNA),0))</f>
        <v/>
      </c>
      <c r="AE528" s="71" t="str">
        <f aca="false">IF(AH528="","",P528-N(N528)+AB528+AC528+AD528)</f>
        <v/>
      </c>
      <c r="AF528" s="65"/>
      <c r="AG528" s="64"/>
      <c r="AH528" s="72" t="str">
        <f aca="false">IF(OR(B528="",C528=""),"",C528&amp;"|"&amp;(YEAR(B528)*100+MONTH(B528)))</f>
        <v/>
      </c>
      <c r="AI528" s="70" t="str">
        <f aca="false">IF(AH528="","",IF(COUNTIF(L_CLAVE,AH528)&gt;1,"⚠ Duplicado","OK"))</f>
        <v/>
      </c>
      <c r="AJ528" s="86" t="str">
        <f aca="false">IF(AH528="","",IF(SUMPRODUCT(MAX((IND_PER&lt;=B528)*(IND_UF&lt;&gt;"")*IND_PER))=0,UF_HOY,INDEX(IND_UF,MATCH(SUMPRODUCT(MAX((IND_PER&lt;=B528)*(IND_UF&lt;&gt;"")*IND_PER)),IND_PER,0))))</f>
        <v/>
      </c>
      <c r="AK528" s="87" t="str">
        <f aca="false">IF(AH528="","",IF(COUNTIF(TASA_DESDE,"&lt;="&amp;B528)=0,INDEX(TASA_EMP,1),INDEX(TASA_EMP,COUNTIF(TASA_DESDE,"&lt;="&amp;B528))))</f>
        <v/>
      </c>
    </row>
    <row r="529" customFormat="false" ht="15" hidden="false" customHeight="false" outlineLevel="0" collapsed="false">
      <c r="B529" s="78"/>
      <c r="C529" s="64"/>
      <c r="D529" s="72" t="str">
        <f aca="false">IF(C529="","",IFERROR(INDEX(T_NOMBRE,MATCH(C529,T_ID,0)),"⚠ ID no existe"))</f>
        <v/>
      </c>
      <c r="E529" s="69"/>
      <c r="F529" s="67"/>
      <c r="G529" s="67"/>
      <c r="H529" s="67"/>
      <c r="I529" s="67"/>
      <c r="J529" s="67"/>
      <c r="K529" s="85" t="str">
        <f aca="false">IF(AH529="","",N(F529)+N(G529)+N(H529)-N(I529)+N(J529))</f>
        <v/>
      </c>
      <c r="L529" s="67"/>
      <c r="M529" s="67"/>
      <c r="N529" s="67"/>
      <c r="O529" s="67"/>
      <c r="P529" s="85" t="str">
        <f aca="false">IF(AH529="","",K529+N(L529)+N(M529)+N(N529)+N(O529))</f>
        <v/>
      </c>
      <c r="Q529" s="67"/>
      <c r="R529" s="67"/>
      <c r="S529" s="67"/>
      <c r="T529" s="67"/>
      <c r="U529" s="67"/>
      <c r="V529" s="67"/>
      <c r="W529" s="85" t="str">
        <f aca="false">IF(AH529="","",N(Q529)+N(R529)+N(S529)+N(T529)+N(U529)+N(V529))</f>
        <v/>
      </c>
      <c r="X529" s="85" t="str">
        <f aca="false">IF(AH529="","",P529-W529)</f>
        <v/>
      </c>
      <c r="Y529" s="67"/>
      <c r="Z529" s="70" t="str">
        <f aca="false">IF(OR(AH529="",Y529=""),"",IF(ABS(X529-Y529)&lt;=1,"✓ Cuadra","⚠ Diferencia $"&amp;FIXED(X529-Y529,0)))</f>
        <v/>
      </c>
      <c r="AA529" s="72" t="str">
        <f aca="false">IF(AH529="","",IFERROR(INDEX(C_TIPO,MATCH(C529&amp;"-P"&amp;MAX(1,COUNTIFS(C_ID,C529,C_DEFINE,"Sí",C_INICIO,"&lt;="&amp;EOMONTH(B529,0))),C_CLAVE,0))&amp;"","Sin dato"))</f>
        <v/>
      </c>
      <c r="AB529" s="71" t="str">
        <f aca="false">IF(AH529="","",ROUND(MIN(K529,TOPE_AFP_UF*AJ529)*AK529,0))</f>
        <v/>
      </c>
      <c r="AC529" s="71" t="str">
        <f aca="false">IF(AH529="","",ROUND(MIN(K529,TOPE_AFC_UF*AJ529)*IF(AA529="Indefinido",AFC_EMP_INDEF,AFC_EMP_PF),0))</f>
        <v/>
      </c>
      <c r="AD529" s="71" t="str">
        <f aca="false">IF(AH529="","",ROUND(MIN(K529,TOPE_AFP_UF*AJ529)*(MUTUAL_BASICA+MUTUAL_ADIC+SANNA),0))</f>
        <v/>
      </c>
      <c r="AE529" s="71" t="str">
        <f aca="false">IF(AH529="","",P529-N(N529)+AB529+AC529+AD529)</f>
        <v/>
      </c>
      <c r="AF529" s="65"/>
      <c r="AG529" s="64"/>
      <c r="AH529" s="72" t="str">
        <f aca="false">IF(OR(B529="",C529=""),"",C529&amp;"|"&amp;(YEAR(B529)*100+MONTH(B529)))</f>
        <v/>
      </c>
      <c r="AI529" s="70" t="str">
        <f aca="false">IF(AH529="","",IF(COUNTIF(L_CLAVE,AH529)&gt;1,"⚠ Duplicado","OK"))</f>
        <v/>
      </c>
      <c r="AJ529" s="86" t="str">
        <f aca="false">IF(AH529="","",IF(SUMPRODUCT(MAX((IND_PER&lt;=B529)*(IND_UF&lt;&gt;"")*IND_PER))=0,UF_HOY,INDEX(IND_UF,MATCH(SUMPRODUCT(MAX((IND_PER&lt;=B529)*(IND_UF&lt;&gt;"")*IND_PER)),IND_PER,0))))</f>
        <v/>
      </c>
      <c r="AK529" s="87" t="str">
        <f aca="false">IF(AH529="","",IF(COUNTIF(TASA_DESDE,"&lt;="&amp;B529)=0,INDEX(TASA_EMP,1),INDEX(TASA_EMP,COUNTIF(TASA_DESDE,"&lt;="&amp;B529))))</f>
        <v/>
      </c>
    </row>
    <row r="530" customFormat="false" ht="15" hidden="false" customHeight="false" outlineLevel="0" collapsed="false">
      <c r="B530" s="78"/>
      <c r="C530" s="64"/>
      <c r="D530" s="72" t="str">
        <f aca="false">IF(C530="","",IFERROR(INDEX(T_NOMBRE,MATCH(C530,T_ID,0)),"⚠ ID no existe"))</f>
        <v/>
      </c>
      <c r="E530" s="69"/>
      <c r="F530" s="67"/>
      <c r="G530" s="67"/>
      <c r="H530" s="67"/>
      <c r="I530" s="67"/>
      <c r="J530" s="67"/>
      <c r="K530" s="85" t="str">
        <f aca="false">IF(AH530="","",N(F530)+N(G530)+N(H530)-N(I530)+N(J530))</f>
        <v/>
      </c>
      <c r="L530" s="67"/>
      <c r="M530" s="67"/>
      <c r="N530" s="67"/>
      <c r="O530" s="67"/>
      <c r="P530" s="85" t="str">
        <f aca="false">IF(AH530="","",K530+N(L530)+N(M530)+N(N530)+N(O530))</f>
        <v/>
      </c>
      <c r="Q530" s="67"/>
      <c r="R530" s="67"/>
      <c r="S530" s="67"/>
      <c r="T530" s="67"/>
      <c r="U530" s="67"/>
      <c r="V530" s="67"/>
      <c r="W530" s="85" t="str">
        <f aca="false">IF(AH530="","",N(Q530)+N(R530)+N(S530)+N(T530)+N(U530)+N(V530))</f>
        <v/>
      </c>
      <c r="X530" s="85" t="str">
        <f aca="false">IF(AH530="","",P530-W530)</f>
        <v/>
      </c>
      <c r="Y530" s="67"/>
      <c r="Z530" s="70" t="str">
        <f aca="false">IF(OR(AH530="",Y530=""),"",IF(ABS(X530-Y530)&lt;=1,"✓ Cuadra","⚠ Diferencia $"&amp;FIXED(X530-Y530,0)))</f>
        <v/>
      </c>
      <c r="AA530" s="72" t="str">
        <f aca="false">IF(AH530="","",IFERROR(INDEX(C_TIPO,MATCH(C530&amp;"-P"&amp;MAX(1,COUNTIFS(C_ID,C530,C_DEFINE,"Sí",C_INICIO,"&lt;="&amp;EOMONTH(B530,0))),C_CLAVE,0))&amp;"","Sin dato"))</f>
        <v/>
      </c>
      <c r="AB530" s="71" t="str">
        <f aca="false">IF(AH530="","",ROUND(MIN(K530,TOPE_AFP_UF*AJ530)*AK530,0))</f>
        <v/>
      </c>
      <c r="AC530" s="71" t="str">
        <f aca="false">IF(AH530="","",ROUND(MIN(K530,TOPE_AFC_UF*AJ530)*IF(AA530="Indefinido",AFC_EMP_INDEF,AFC_EMP_PF),0))</f>
        <v/>
      </c>
      <c r="AD530" s="71" t="str">
        <f aca="false">IF(AH530="","",ROUND(MIN(K530,TOPE_AFP_UF*AJ530)*(MUTUAL_BASICA+MUTUAL_ADIC+SANNA),0))</f>
        <v/>
      </c>
      <c r="AE530" s="71" t="str">
        <f aca="false">IF(AH530="","",P530-N(N530)+AB530+AC530+AD530)</f>
        <v/>
      </c>
      <c r="AF530" s="65"/>
      <c r="AG530" s="64"/>
      <c r="AH530" s="72" t="str">
        <f aca="false">IF(OR(B530="",C530=""),"",C530&amp;"|"&amp;(YEAR(B530)*100+MONTH(B530)))</f>
        <v/>
      </c>
      <c r="AI530" s="70" t="str">
        <f aca="false">IF(AH530="","",IF(COUNTIF(L_CLAVE,AH530)&gt;1,"⚠ Duplicado","OK"))</f>
        <v/>
      </c>
      <c r="AJ530" s="86" t="str">
        <f aca="false">IF(AH530="","",IF(SUMPRODUCT(MAX((IND_PER&lt;=B530)*(IND_UF&lt;&gt;"")*IND_PER))=0,UF_HOY,INDEX(IND_UF,MATCH(SUMPRODUCT(MAX((IND_PER&lt;=B530)*(IND_UF&lt;&gt;"")*IND_PER)),IND_PER,0))))</f>
        <v/>
      </c>
      <c r="AK530" s="87" t="str">
        <f aca="false">IF(AH530="","",IF(COUNTIF(TASA_DESDE,"&lt;="&amp;B530)=0,INDEX(TASA_EMP,1),INDEX(TASA_EMP,COUNTIF(TASA_DESDE,"&lt;="&amp;B530))))</f>
        <v/>
      </c>
    </row>
    <row r="531" customFormat="false" ht="15" hidden="false" customHeight="false" outlineLevel="0" collapsed="false">
      <c r="B531" s="78"/>
      <c r="C531" s="64"/>
      <c r="D531" s="72" t="str">
        <f aca="false">IF(C531="","",IFERROR(INDEX(T_NOMBRE,MATCH(C531,T_ID,0)),"⚠ ID no existe"))</f>
        <v/>
      </c>
      <c r="E531" s="69"/>
      <c r="F531" s="67"/>
      <c r="G531" s="67"/>
      <c r="H531" s="67"/>
      <c r="I531" s="67"/>
      <c r="J531" s="67"/>
      <c r="K531" s="85" t="str">
        <f aca="false">IF(AH531="","",N(F531)+N(G531)+N(H531)-N(I531)+N(J531))</f>
        <v/>
      </c>
      <c r="L531" s="67"/>
      <c r="M531" s="67"/>
      <c r="N531" s="67"/>
      <c r="O531" s="67"/>
      <c r="P531" s="85" t="str">
        <f aca="false">IF(AH531="","",K531+N(L531)+N(M531)+N(N531)+N(O531))</f>
        <v/>
      </c>
      <c r="Q531" s="67"/>
      <c r="R531" s="67"/>
      <c r="S531" s="67"/>
      <c r="T531" s="67"/>
      <c r="U531" s="67"/>
      <c r="V531" s="67"/>
      <c r="W531" s="85" t="str">
        <f aca="false">IF(AH531="","",N(Q531)+N(R531)+N(S531)+N(T531)+N(U531)+N(V531))</f>
        <v/>
      </c>
      <c r="X531" s="85" t="str">
        <f aca="false">IF(AH531="","",P531-W531)</f>
        <v/>
      </c>
      <c r="Y531" s="67"/>
      <c r="Z531" s="70" t="str">
        <f aca="false">IF(OR(AH531="",Y531=""),"",IF(ABS(X531-Y531)&lt;=1,"✓ Cuadra","⚠ Diferencia $"&amp;FIXED(X531-Y531,0)))</f>
        <v/>
      </c>
      <c r="AA531" s="72" t="str">
        <f aca="false">IF(AH531="","",IFERROR(INDEX(C_TIPO,MATCH(C531&amp;"-P"&amp;MAX(1,COUNTIFS(C_ID,C531,C_DEFINE,"Sí",C_INICIO,"&lt;="&amp;EOMONTH(B531,0))),C_CLAVE,0))&amp;"","Sin dato"))</f>
        <v/>
      </c>
      <c r="AB531" s="71" t="str">
        <f aca="false">IF(AH531="","",ROUND(MIN(K531,TOPE_AFP_UF*AJ531)*AK531,0))</f>
        <v/>
      </c>
      <c r="AC531" s="71" t="str">
        <f aca="false">IF(AH531="","",ROUND(MIN(K531,TOPE_AFC_UF*AJ531)*IF(AA531="Indefinido",AFC_EMP_INDEF,AFC_EMP_PF),0))</f>
        <v/>
      </c>
      <c r="AD531" s="71" t="str">
        <f aca="false">IF(AH531="","",ROUND(MIN(K531,TOPE_AFP_UF*AJ531)*(MUTUAL_BASICA+MUTUAL_ADIC+SANNA),0))</f>
        <v/>
      </c>
      <c r="AE531" s="71" t="str">
        <f aca="false">IF(AH531="","",P531-N(N531)+AB531+AC531+AD531)</f>
        <v/>
      </c>
      <c r="AF531" s="65"/>
      <c r="AG531" s="64"/>
      <c r="AH531" s="72" t="str">
        <f aca="false">IF(OR(B531="",C531=""),"",C531&amp;"|"&amp;(YEAR(B531)*100+MONTH(B531)))</f>
        <v/>
      </c>
      <c r="AI531" s="70" t="str">
        <f aca="false">IF(AH531="","",IF(COUNTIF(L_CLAVE,AH531)&gt;1,"⚠ Duplicado","OK"))</f>
        <v/>
      </c>
      <c r="AJ531" s="86" t="str">
        <f aca="false">IF(AH531="","",IF(SUMPRODUCT(MAX((IND_PER&lt;=B531)*(IND_UF&lt;&gt;"")*IND_PER))=0,UF_HOY,INDEX(IND_UF,MATCH(SUMPRODUCT(MAX((IND_PER&lt;=B531)*(IND_UF&lt;&gt;"")*IND_PER)),IND_PER,0))))</f>
        <v/>
      </c>
      <c r="AK531" s="87" t="str">
        <f aca="false">IF(AH531="","",IF(COUNTIF(TASA_DESDE,"&lt;="&amp;B531)=0,INDEX(TASA_EMP,1),INDEX(TASA_EMP,COUNTIF(TASA_DESDE,"&lt;="&amp;B531))))</f>
        <v/>
      </c>
    </row>
    <row r="532" customFormat="false" ht="15" hidden="false" customHeight="false" outlineLevel="0" collapsed="false">
      <c r="B532" s="78"/>
      <c r="C532" s="64"/>
      <c r="D532" s="72" t="str">
        <f aca="false">IF(C532="","",IFERROR(INDEX(T_NOMBRE,MATCH(C532,T_ID,0)),"⚠ ID no existe"))</f>
        <v/>
      </c>
      <c r="E532" s="69"/>
      <c r="F532" s="67"/>
      <c r="G532" s="67"/>
      <c r="H532" s="67"/>
      <c r="I532" s="67"/>
      <c r="J532" s="67"/>
      <c r="K532" s="85" t="str">
        <f aca="false">IF(AH532="","",N(F532)+N(G532)+N(H532)-N(I532)+N(J532))</f>
        <v/>
      </c>
      <c r="L532" s="67"/>
      <c r="M532" s="67"/>
      <c r="N532" s="67"/>
      <c r="O532" s="67"/>
      <c r="P532" s="85" t="str">
        <f aca="false">IF(AH532="","",K532+N(L532)+N(M532)+N(N532)+N(O532))</f>
        <v/>
      </c>
      <c r="Q532" s="67"/>
      <c r="R532" s="67"/>
      <c r="S532" s="67"/>
      <c r="T532" s="67"/>
      <c r="U532" s="67"/>
      <c r="V532" s="67"/>
      <c r="W532" s="85" t="str">
        <f aca="false">IF(AH532="","",N(Q532)+N(R532)+N(S532)+N(T532)+N(U532)+N(V532))</f>
        <v/>
      </c>
      <c r="X532" s="85" t="str">
        <f aca="false">IF(AH532="","",P532-W532)</f>
        <v/>
      </c>
      <c r="Y532" s="67"/>
      <c r="Z532" s="70" t="str">
        <f aca="false">IF(OR(AH532="",Y532=""),"",IF(ABS(X532-Y532)&lt;=1,"✓ Cuadra","⚠ Diferencia $"&amp;FIXED(X532-Y532,0)))</f>
        <v/>
      </c>
      <c r="AA532" s="72" t="str">
        <f aca="false">IF(AH532="","",IFERROR(INDEX(C_TIPO,MATCH(C532&amp;"-P"&amp;MAX(1,COUNTIFS(C_ID,C532,C_DEFINE,"Sí",C_INICIO,"&lt;="&amp;EOMONTH(B532,0))),C_CLAVE,0))&amp;"","Sin dato"))</f>
        <v/>
      </c>
      <c r="AB532" s="71" t="str">
        <f aca="false">IF(AH532="","",ROUND(MIN(K532,TOPE_AFP_UF*AJ532)*AK532,0))</f>
        <v/>
      </c>
      <c r="AC532" s="71" t="str">
        <f aca="false">IF(AH532="","",ROUND(MIN(K532,TOPE_AFC_UF*AJ532)*IF(AA532="Indefinido",AFC_EMP_INDEF,AFC_EMP_PF),0))</f>
        <v/>
      </c>
      <c r="AD532" s="71" t="str">
        <f aca="false">IF(AH532="","",ROUND(MIN(K532,TOPE_AFP_UF*AJ532)*(MUTUAL_BASICA+MUTUAL_ADIC+SANNA),0))</f>
        <v/>
      </c>
      <c r="AE532" s="71" t="str">
        <f aca="false">IF(AH532="","",P532-N(N532)+AB532+AC532+AD532)</f>
        <v/>
      </c>
      <c r="AF532" s="65"/>
      <c r="AG532" s="64"/>
      <c r="AH532" s="72" t="str">
        <f aca="false">IF(OR(B532="",C532=""),"",C532&amp;"|"&amp;(YEAR(B532)*100+MONTH(B532)))</f>
        <v/>
      </c>
      <c r="AI532" s="70" t="str">
        <f aca="false">IF(AH532="","",IF(COUNTIF(L_CLAVE,AH532)&gt;1,"⚠ Duplicado","OK"))</f>
        <v/>
      </c>
      <c r="AJ532" s="86" t="str">
        <f aca="false">IF(AH532="","",IF(SUMPRODUCT(MAX((IND_PER&lt;=B532)*(IND_UF&lt;&gt;"")*IND_PER))=0,UF_HOY,INDEX(IND_UF,MATCH(SUMPRODUCT(MAX((IND_PER&lt;=B532)*(IND_UF&lt;&gt;"")*IND_PER)),IND_PER,0))))</f>
        <v/>
      </c>
      <c r="AK532" s="87" t="str">
        <f aca="false">IF(AH532="","",IF(COUNTIF(TASA_DESDE,"&lt;="&amp;B532)=0,INDEX(TASA_EMP,1),INDEX(TASA_EMP,COUNTIF(TASA_DESDE,"&lt;="&amp;B532))))</f>
        <v/>
      </c>
    </row>
    <row r="533" customFormat="false" ht="15" hidden="false" customHeight="false" outlineLevel="0" collapsed="false">
      <c r="B533" s="78"/>
      <c r="C533" s="64"/>
      <c r="D533" s="72" t="str">
        <f aca="false">IF(C533="","",IFERROR(INDEX(T_NOMBRE,MATCH(C533,T_ID,0)),"⚠ ID no existe"))</f>
        <v/>
      </c>
      <c r="E533" s="69"/>
      <c r="F533" s="67"/>
      <c r="G533" s="67"/>
      <c r="H533" s="67"/>
      <c r="I533" s="67"/>
      <c r="J533" s="67"/>
      <c r="K533" s="85" t="str">
        <f aca="false">IF(AH533="","",N(F533)+N(G533)+N(H533)-N(I533)+N(J533))</f>
        <v/>
      </c>
      <c r="L533" s="67"/>
      <c r="M533" s="67"/>
      <c r="N533" s="67"/>
      <c r="O533" s="67"/>
      <c r="P533" s="85" t="str">
        <f aca="false">IF(AH533="","",K533+N(L533)+N(M533)+N(N533)+N(O533))</f>
        <v/>
      </c>
      <c r="Q533" s="67"/>
      <c r="R533" s="67"/>
      <c r="S533" s="67"/>
      <c r="T533" s="67"/>
      <c r="U533" s="67"/>
      <c r="V533" s="67"/>
      <c r="W533" s="85" t="str">
        <f aca="false">IF(AH533="","",N(Q533)+N(R533)+N(S533)+N(T533)+N(U533)+N(V533))</f>
        <v/>
      </c>
      <c r="X533" s="85" t="str">
        <f aca="false">IF(AH533="","",P533-W533)</f>
        <v/>
      </c>
      <c r="Y533" s="67"/>
      <c r="Z533" s="70" t="str">
        <f aca="false">IF(OR(AH533="",Y533=""),"",IF(ABS(X533-Y533)&lt;=1,"✓ Cuadra","⚠ Diferencia $"&amp;FIXED(X533-Y533,0)))</f>
        <v/>
      </c>
      <c r="AA533" s="72" t="str">
        <f aca="false">IF(AH533="","",IFERROR(INDEX(C_TIPO,MATCH(C533&amp;"-P"&amp;MAX(1,COUNTIFS(C_ID,C533,C_DEFINE,"Sí",C_INICIO,"&lt;="&amp;EOMONTH(B533,0))),C_CLAVE,0))&amp;"","Sin dato"))</f>
        <v/>
      </c>
      <c r="AB533" s="71" t="str">
        <f aca="false">IF(AH533="","",ROUND(MIN(K533,TOPE_AFP_UF*AJ533)*AK533,0))</f>
        <v/>
      </c>
      <c r="AC533" s="71" t="str">
        <f aca="false">IF(AH533="","",ROUND(MIN(K533,TOPE_AFC_UF*AJ533)*IF(AA533="Indefinido",AFC_EMP_INDEF,AFC_EMP_PF),0))</f>
        <v/>
      </c>
      <c r="AD533" s="71" t="str">
        <f aca="false">IF(AH533="","",ROUND(MIN(K533,TOPE_AFP_UF*AJ533)*(MUTUAL_BASICA+MUTUAL_ADIC+SANNA),0))</f>
        <v/>
      </c>
      <c r="AE533" s="71" t="str">
        <f aca="false">IF(AH533="","",P533-N(N533)+AB533+AC533+AD533)</f>
        <v/>
      </c>
      <c r="AF533" s="65"/>
      <c r="AG533" s="64"/>
      <c r="AH533" s="72" t="str">
        <f aca="false">IF(OR(B533="",C533=""),"",C533&amp;"|"&amp;(YEAR(B533)*100+MONTH(B533)))</f>
        <v/>
      </c>
      <c r="AI533" s="70" t="str">
        <f aca="false">IF(AH533="","",IF(COUNTIF(L_CLAVE,AH533)&gt;1,"⚠ Duplicado","OK"))</f>
        <v/>
      </c>
      <c r="AJ533" s="86" t="str">
        <f aca="false">IF(AH533="","",IF(SUMPRODUCT(MAX((IND_PER&lt;=B533)*(IND_UF&lt;&gt;"")*IND_PER))=0,UF_HOY,INDEX(IND_UF,MATCH(SUMPRODUCT(MAX((IND_PER&lt;=B533)*(IND_UF&lt;&gt;"")*IND_PER)),IND_PER,0))))</f>
        <v/>
      </c>
      <c r="AK533" s="87" t="str">
        <f aca="false">IF(AH533="","",IF(COUNTIF(TASA_DESDE,"&lt;="&amp;B533)=0,INDEX(TASA_EMP,1),INDEX(TASA_EMP,COUNTIF(TASA_DESDE,"&lt;="&amp;B533))))</f>
        <v/>
      </c>
    </row>
    <row r="534" customFormat="false" ht="15" hidden="false" customHeight="false" outlineLevel="0" collapsed="false">
      <c r="B534" s="78"/>
      <c r="C534" s="64"/>
      <c r="D534" s="72" t="str">
        <f aca="false">IF(C534="","",IFERROR(INDEX(T_NOMBRE,MATCH(C534,T_ID,0)),"⚠ ID no existe"))</f>
        <v/>
      </c>
      <c r="E534" s="69"/>
      <c r="F534" s="67"/>
      <c r="G534" s="67"/>
      <c r="H534" s="67"/>
      <c r="I534" s="67"/>
      <c r="J534" s="67"/>
      <c r="K534" s="85" t="str">
        <f aca="false">IF(AH534="","",N(F534)+N(G534)+N(H534)-N(I534)+N(J534))</f>
        <v/>
      </c>
      <c r="L534" s="67"/>
      <c r="M534" s="67"/>
      <c r="N534" s="67"/>
      <c r="O534" s="67"/>
      <c r="P534" s="85" t="str">
        <f aca="false">IF(AH534="","",K534+N(L534)+N(M534)+N(N534)+N(O534))</f>
        <v/>
      </c>
      <c r="Q534" s="67"/>
      <c r="R534" s="67"/>
      <c r="S534" s="67"/>
      <c r="T534" s="67"/>
      <c r="U534" s="67"/>
      <c r="V534" s="67"/>
      <c r="W534" s="85" t="str">
        <f aca="false">IF(AH534="","",N(Q534)+N(R534)+N(S534)+N(T534)+N(U534)+N(V534))</f>
        <v/>
      </c>
      <c r="X534" s="85" t="str">
        <f aca="false">IF(AH534="","",P534-W534)</f>
        <v/>
      </c>
      <c r="Y534" s="67"/>
      <c r="Z534" s="70" t="str">
        <f aca="false">IF(OR(AH534="",Y534=""),"",IF(ABS(X534-Y534)&lt;=1,"✓ Cuadra","⚠ Diferencia $"&amp;FIXED(X534-Y534,0)))</f>
        <v/>
      </c>
      <c r="AA534" s="72" t="str">
        <f aca="false">IF(AH534="","",IFERROR(INDEX(C_TIPO,MATCH(C534&amp;"-P"&amp;MAX(1,COUNTIFS(C_ID,C534,C_DEFINE,"Sí",C_INICIO,"&lt;="&amp;EOMONTH(B534,0))),C_CLAVE,0))&amp;"","Sin dato"))</f>
        <v/>
      </c>
      <c r="AB534" s="71" t="str">
        <f aca="false">IF(AH534="","",ROUND(MIN(K534,TOPE_AFP_UF*AJ534)*AK534,0))</f>
        <v/>
      </c>
      <c r="AC534" s="71" t="str">
        <f aca="false">IF(AH534="","",ROUND(MIN(K534,TOPE_AFC_UF*AJ534)*IF(AA534="Indefinido",AFC_EMP_INDEF,AFC_EMP_PF),0))</f>
        <v/>
      </c>
      <c r="AD534" s="71" t="str">
        <f aca="false">IF(AH534="","",ROUND(MIN(K534,TOPE_AFP_UF*AJ534)*(MUTUAL_BASICA+MUTUAL_ADIC+SANNA),0))</f>
        <v/>
      </c>
      <c r="AE534" s="71" t="str">
        <f aca="false">IF(AH534="","",P534-N(N534)+AB534+AC534+AD534)</f>
        <v/>
      </c>
      <c r="AF534" s="65"/>
      <c r="AG534" s="64"/>
      <c r="AH534" s="72" t="str">
        <f aca="false">IF(OR(B534="",C534=""),"",C534&amp;"|"&amp;(YEAR(B534)*100+MONTH(B534)))</f>
        <v/>
      </c>
      <c r="AI534" s="70" t="str">
        <f aca="false">IF(AH534="","",IF(COUNTIF(L_CLAVE,AH534)&gt;1,"⚠ Duplicado","OK"))</f>
        <v/>
      </c>
      <c r="AJ534" s="86" t="str">
        <f aca="false">IF(AH534="","",IF(SUMPRODUCT(MAX((IND_PER&lt;=B534)*(IND_UF&lt;&gt;"")*IND_PER))=0,UF_HOY,INDEX(IND_UF,MATCH(SUMPRODUCT(MAX((IND_PER&lt;=B534)*(IND_UF&lt;&gt;"")*IND_PER)),IND_PER,0))))</f>
        <v/>
      </c>
      <c r="AK534" s="87" t="str">
        <f aca="false">IF(AH534="","",IF(COUNTIF(TASA_DESDE,"&lt;="&amp;B534)=0,INDEX(TASA_EMP,1),INDEX(TASA_EMP,COUNTIF(TASA_DESDE,"&lt;="&amp;B534))))</f>
        <v/>
      </c>
    </row>
    <row r="535" customFormat="false" ht="15" hidden="false" customHeight="false" outlineLevel="0" collapsed="false">
      <c r="B535" s="78"/>
      <c r="C535" s="64"/>
      <c r="D535" s="72" t="str">
        <f aca="false">IF(C535="","",IFERROR(INDEX(T_NOMBRE,MATCH(C535,T_ID,0)),"⚠ ID no existe"))</f>
        <v/>
      </c>
      <c r="E535" s="69"/>
      <c r="F535" s="67"/>
      <c r="G535" s="67"/>
      <c r="H535" s="67"/>
      <c r="I535" s="67"/>
      <c r="J535" s="67"/>
      <c r="K535" s="85" t="str">
        <f aca="false">IF(AH535="","",N(F535)+N(G535)+N(H535)-N(I535)+N(J535))</f>
        <v/>
      </c>
      <c r="L535" s="67"/>
      <c r="M535" s="67"/>
      <c r="N535" s="67"/>
      <c r="O535" s="67"/>
      <c r="P535" s="85" t="str">
        <f aca="false">IF(AH535="","",K535+N(L535)+N(M535)+N(N535)+N(O535))</f>
        <v/>
      </c>
      <c r="Q535" s="67"/>
      <c r="R535" s="67"/>
      <c r="S535" s="67"/>
      <c r="T535" s="67"/>
      <c r="U535" s="67"/>
      <c r="V535" s="67"/>
      <c r="W535" s="85" t="str">
        <f aca="false">IF(AH535="","",N(Q535)+N(R535)+N(S535)+N(T535)+N(U535)+N(V535))</f>
        <v/>
      </c>
      <c r="X535" s="85" t="str">
        <f aca="false">IF(AH535="","",P535-W535)</f>
        <v/>
      </c>
      <c r="Y535" s="67"/>
      <c r="Z535" s="70" t="str">
        <f aca="false">IF(OR(AH535="",Y535=""),"",IF(ABS(X535-Y535)&lt;=1,"✓ Cuadra","⚠ Diferencia $"&amp;FIXED(X535-Y535,0)))</f>
        <v/>
      </c>
      <c r="AA535" s="72" t="str">
        <f aca="false">IF(AH535="","",IFERROR(INDEX(C_TIPO,MATCH(C535&amp;"-P"&amp;MAX(1,COUNTIFS(C_ID,C535,C_DEFINE,"Sí",C_INICIO,"&lt;="&amp;EOMONTH(B535,0))),C_CLAVE,0))&amp;"","Sin dato"))</f>
        <v/>
      </c>
      <c r="AB535" s="71" t="str">
        <f aca="false">IF(AH535="","",ROUND(MIN(K535,TOPE_AFP_UF*AJ535)*AK535,0))</f>
        <v/>
      </c>
      <c r="AC535" s="71" t="str">
        <f aca="false">IF(AH535="","",ROUND(MIN(K535,TOPE_AFC_UF*AJ535)*IF(AA535="Indefinido",AFC_EMP_INDEF,AFC_EMP_PF),0))</f>
        <v/>
      </c>
      <c r="AD535" s="71" t="str">
        <f aca="false">IF(AH535="","",ROUND(MIN(K535,TOPE_AFP_UF*AJ535)*(MUTUAL_BASICA+MUTUAL_ADIC+SANNA),0))</f>
        <v/>
      </c>
      <c r="AE535" s="71" t="str">
        <f aca="false">IF(AH535="","",P535-N(N535)+AB535+AC535+AD535)</f>
        <v/>
      </c>
      <c r="AF535" s="65"/>
      <c r="AG535" s="64"/>
      <c r="AH535" s="72" t="str">
        <f aca="false">IF(OR(B535="",C535=""),"",C535&amp;"|"&amp;(YEAR(B535)*100+MONTH(B535)))</f>
        <v/>
      </c>
      <c r="AI535" s="70" t="str">
        <f aca="false">IF(AH535="","",IF(COUNTIF(L_CLAVE,AH535)&gt;1,"⚠ Duplicado","OK"))</f>
        <v/>
      </c>
      <c r="AJ535" s="86" t="str">
        <f aca="false">IF(AH535="","",IF(SUMPRODUCT(MAX((IND_PER&lt;=B535)*(IND_UF&lt;&gt;"")*IND_PER))=0,UF_HOY,INDEX(IND_UF,MATCH(SUMPRODUCT(MAX((IND_PER&lt;=B535)*(IND_UF&lt;&gt;"")*IND_PER)),IND_PER,0))))</f>
        <v/>
      </c>
      <c r="AK535" s="87" t="str">
        <f aca="false">IF(AH535="","",IF(COUNTIF(TASA_DESDE,"&lt;="&amp;B535)=0,INDEX(TASA_EMP,1),INDEX(TASA_EMP,COUNTIF(TASA_DESDE,"&lt;="&amp;B535))))</f>
        <v/>
      </c>
    </row>
    <row r="536" customFormat="false" ht="15" hidden="false" customHeight="false" outlineLevel="0" collapsed="false">
      <c r="B536" s="78"/>
      <c r="C536" s="64"/>
      <c r="D536" s="72" t="str">
        <f aca="false">IF(C536="","",IFERROR(INDEX(T_NOMBRE,MATCH(C536,T_ID,0)),"⚠ ID no existe"))</f>
        <v/>
      </c>
      <c r="E536" s="69"/>
      <c r="F536" s="67"/>
      <c r="G536" s="67"/>
      <c r="H536" s="67"/>
      <c r="I536" s="67"/>
      <c r="J536" s="67"/>
      <c r="K536" s="85" t="str">
        <f aca="false">IF(AH536="","",N(F536)+N(G536)+N(H536)-N(I536)+N(J536))</f>
        <v/>
      </c>
      <c r="L536" s="67"/>
      <c r="M536" s="67"/>
      <c r="N536" s="67"/>
      <c r="O536" s="67"/>
      <c r="P536" s="85" t="str">
        <f aca="false">IF(AH536="","",K536+N(L536)+N(M536)+N(N536)+N(O536))</f>
        <v/>
      </c>
      <c r="Q536" s="67"/>
      <c r="R536" s="67"/>
      <c r="S536" s="67"/>
      <c r="T536" s="67"/>
      <c r="U536" s="67"/>
      <c r="V536" s="67"/>
      <c r="W536" s="85" t="str">
        <f aca="false">IF(AH536="","",N(Q536)+N(R536)+N(S536)+N(T536)+N(U536)+N(V536))</f>
        <v/>
      </c>
      <c r="X536" s="85" t="str">
        <f aca="false">IF(AH536="","",P536-W536)</f>
        <v/>
      </c>
      <c r="Y536" s="67"/>
      <c r="Z536" s="70" t="str">
        <f aca="false">IF(OR(AH536="",Y536=""),"",IF(ABS(X536-Y536)&lt;=1,"✓ Cuadra","⚠ Diferencia $"&amp;FIXED(X536-Y536,0)))</f>
        <v/>
      </c>
      <c r="AA536" s="72" t="str">
        <f aca="false">IF(AH536="","",IFERROR(INDEX(C_TIPO,MATCH(C536&amp;"-P"&amp;MAX(1,COUNTIFS(C_ID,C536,C_DEFINE,"Sí",C_INICIO,"&lt;="&amp;EOMONTH(B536,0))),C_CLAVE,0))&amp;"","Sin dato"))</f>
        <v/>
      </c>
      <c r="AB536" s="71" t="str">
        <f aca="false">IF(AH536="","",ROUND(MIN(K536,TOPE_AFP_UF*AJ536)*AK536,0))</f>
        <v/>
      </c>
      <c r="AC536" s="71" t="str">
        <f aca="false">IF(AH536="","",ROUND(MIN(K536,TOPE_AFC_UF*AJ536)*IF(AA536="Indefinido",AFC_EMP_INDEF,AFC_EMP_PF),0))</f>
        <v/>
      </c>
      <c r="AD536" s="71" t="str">
        <f aca="false">IF(AH536="","",ROUND(MIN(K536,TOPE_AFP_UF*AJ536)*(MUTUAL_BASICA+MUTUAL_ADIC+SANNA),0))</f>
        <v/>
      </c>
      <c r="AE536" s="71" t="str">
        <f aca="false">IF(AH536="","",P536-N(N536)+AB536+AC536+AD536)</f>
        <v/>
      </c>
      <c r="AF536" s="65"/>
      <c r="AG536" s="64"/>
      <c r="AH536" s="72" t="str">
        <f aca="false">IF(OR(B536="",C536=""),"",C536&amp;"|"&amp;(YEAR(B536)*100+MONTH(B536)))</f>
        <v/>
      </c>
      <c r="AI536" s="70" t="str">
        <f aca="false">IF(AH536="","",IF(COUNTIF(L_CLAVE,AH536)&gt;1,"⚠ Duplicado","OK"))</f>
        <v/>
      </c>
      <c r="AJ536" s="86" t="str">
        <f aca="false">IF(AH536="","",IF(SUMPRODUCT(MAX((IND_PER&lt;=B536)*(IND_UF&lt;&gt;"")*IND_PER))=0,UF_HOY,INDEX(IND_UF,MATCH(SUMPRODUCT(MAX((IND_PER&lt;=B536)*(IND_UF&lt;&gt;"")*IND_PER)),IND_PER,0))))</f>
        <v/>
      </c>
      <c r="AK536" s="87" t="str">
        <f aca="false">IF(AH536="","",IF(COUNTIF(TASA_DESDE,"&lt;="&amp;B536)=0,INDEX(TASA_EMP,1),INDEX(TASA_EMP,COUNTIF(TASA_DESDE,"&lt;="&amp;B536))))</f>
        <v/>
      </c>
    </row>
    <row r="537" customFormat="false" ht="15" hidden="false" customHeight="false" outlineLevel="0" collapsed="false">
      <c r="B537" s="78"/>
      <c r="C537" s="64"/>
      <c r="D537" s="72" t="str">
        <f aca="false">IF(C537="","",IFERROR(INDEX(T_NOMBRE,MATCH(C537,T_ID,0)),"⚠ ID no existe"))</f>
        <v/>
      </c>
      <c r="E537" s="69"/>
      <c r="F537" s="67"/>
      <c r="G537" s="67"/>
      <c r="H537" s="67"/>
      <c r="I537" s="67"/>
      <c r="J537" s="67"/>
      <c r="K537" s="85" t="str">
        <f aca="false">IF(AH537="","",N(F537)+N(G537)+N(H537)-N(I537)+N(J537))</f>
        <v/>
      </c>
      <c r="L537" s="67"/>
      <c r="M537" s="67"/>
      <c r="N537" s="67"/>
      <c r="O537" s="67"/>
      <c r="P537" s="85" t="str">
        <f aca="false">IF(AH537="","",K537+N(L537)+N(M537)+N(N537)+N(O537))</f>
        <v/>
      </c>
      <c r="Q537" s="67"/>
      <c r="R537" s="67"/>
      <c r="S537" s="67"/>
      <c r="T537" s="67"/>
      <c r="U537" s="67"/>
      <c r="V537" s="67"/>
      <c r="W537" s="85" t="str">
        <f aca="false">IF(AH537="","",N(Q537)+N(R537)+N(S537)+N(T537)+N(U537)+N(V537))</f>
        <v/>
      </c>
      <c r="X537" s="85" t="str">
        <f aca="false">IF(AH537="","",P537-W537)</f>
        <v/>
      </c>
      <c r="Y537" s="67"/>
      <c r="Z537" s="70" t="str">
        <f aca="false">IF(OR(AH537="",Y537=""),"",IF(ABS(X537-Y537)&lt;=1,"✓ Cuadra","⚠ Diferencia $"&amp;FIXED(X537-Y537,0)))</f>
        <v/>
      </c>
      <c r="AA537" s="72" t="str">
        <f aca="false">IF(AH537="","",IFERROR(INDEX(C_TIPO,MATCH(C537&amp;"-P"&amp;MAX(1,COUNTIFS(C_ID,C537,C_DEFINE,"Sí",C_INICIO,"&lt;="&amp;EOMONTH(B537,0))),C_CLAVE,0))&amp;"","Sin dato"))</f>
        <v/>
      </c>
      <c r="AB537" s="71" t="str">
        <f aca="false">IF(AH537="","",ROUND(MIN(K537,TOPE_AFP_UF*AJ537)*AK537,0))</f>
        <v/>
      </c>
      <c r="AC537" s="71" t="str">
        <f aca="false">IF(AH537="","",ROUND(MIN(K537,TOPE_AFC_UF*AJ537)*IF(AA537="Indefinido",AFC_EMP_INDEF,AFC_EMP_PF),0))</f>
        <v/>
      </c>
      <c r="AD537" s="71" t="str">
        <f aca="false">IF(AH537="","",ROUND(MIN(K537,TOPE_AFP_UF*AJ537)*(MUTUAL_BASICA+MUTUAL_ADIC+SANNA),0))</f>
        <v/>
      </c>
      <c r="AE537" s="71" t="str">
        <f aca="false">IF(AH537="","",P537-N(N537)+AB537+AC537+AD537)</f>
        <v/>
      </c>
      <c r="AF537" s="65"/>
      <c r="AG537" s="64"/>
      <c r="AH537" s="72" t="str">
        <f aca="false">IF(OR(B537="",C537=""),"",C537&amp;"|"&amp;(YEAR(B537)*100+MONTH(B537)))</f>
        <v/>
      </c>
      <c r="AI537" s="70" t="str">
        <f aca="false">IF(AH537="","",IF(COUNTIF(L_CLAVE,AH537)&gt;1,"⚠ Duplicado","OK"))</f>
        <v/>
      </c>
      <c r="AJ537" s="86" t="str">
        <f aca="false">IF(AH537="","",IF(SUMPRODUCT(MAX((IND_PER&lt;=B537)*(IND_UF&lt;&gt;"")*IND_PER))=0,UF_HOY,INDEX(IND_UF,MATCH(SUMPRODUCT(MAX((IND_PER&lt;=B537)*(IND_UF&lt;&gt;"")*IND_PER)),IND_PER,0))))</f>
        <v/>
      </c>
      <c r="AK537" s="87" t="str">
        <f aca="false">IF(AH537="","",IF(COUNTIF(TASA_DESDE,"&lt;="&amp;B537)=0,INDEX(TASA_EMP,1),INDEX(TASA_EMP,COUNTIF(TASA_DESDE,"&lt;="&amp;B537))))</f>
        <v/>
      </c>
    </row>
    <row r="538" customFormat="false" ht="15" hidden="false" customHeight="false" outlineLevel="0" collapsed="false">
      <c r="B538" s="78"/>
      <c r="C538" s="64"/>
      <c r="D538" s="72" t="str">
        <f aca="false">IF(C538="","",IFERROR(INDEX(T_NOMBRE,MATCH(C538,T_ID,0)),"⚠ ID no existe"))</f>
        <v/>
      </c>
      <c r="E538" s="69"/>
      <c r="F538" s="67"/>
      <c r="G538" s="67"/>
      <c r="H538" s="67"/>
      <c r="I538" s="67"/>
      <c r="J538" s="67"/>
      <c r="K538" s="85" t="str">
        <f aca="false">IF(AH538="","",N(F538)+N(G538)+N(H538)-N(I538)+N(J538))</f>
        <v/>
      </c>
      <c r="L538" s="67"/>
      <c r="M538" s="67"/>
      <c r="N538" s="67"/>
      <c r="O538" s="67"/>
      <c r="P538" s="85" t="str">
        <f aca="false">IF(AH538="","",K538+N(L538)+N(M538)+N(N538)+N(O538))</f>
        <v/>
      </c>
      <c r="Q538" s="67"/>
      <c r="R538" s="67"/>
      <c r="S538" s="67"/>
      <c r="T538" s="67"/>
      <c r="U538" s="67"/>
      <c r="V538" s="67"/>
      <c r="W538" s="85" t="str">
        <f aca="false">IF(AH538="","",N(Q538)+N(R538)+N(S538)+N(T538)+N(U538)+N(V538))</f>
        <v/>
      </c>
      <c r="X538" s="85" t="str">
        <f aca="false">IF(AH538="","",P538-W538)</f>
        <v/>
      </c>
      <c r="Y538" s="67"/>
      <c r="Z538" s="70" t="str">
        <f aca="false">IF(OR(AH538="",Y538=""),"",IF(ABS(X538-Y538)&lt;=1,"✓ Cuadra","⚠ Diferencia $"&amp;FIXED(X538-Y538,0)))</f>
        <v/>
      </c>
      <c r="AA538" s="72" t="str">
        <f aca="false">IF(AH538="","",IFERROR(INDEX(C_TIPO,MATCH(C538&amp;"-P"&amp;MAX(1,COUNTIFS(C_ID,C538,C_DEFINE,"Sí",C_INICIO,"&lt;="&amp;EOMONTH(B538,0))),C_CLAVE,0))&amp;"","Sin dato"))</f>
        <v/>
      </c>
      <c r="AB538" s="71" t="str">
        <f aca="false">IF(AH538="","",ROUND(MIN(K538,TOPE_AFP_UF*AJ538)*AK538,0))</f>
        <v/>
      </c>
      <c r="AC538" s="71" t="str">
        <f aca="false">IF(AH538="","",ROUND(MIN(K538,TOPE_AFC_UF*AJ538)*IF(AA538="Indefinido",AFC_EMP_INDEF,AFC_EMP_PF),0))</f>
        <v/>
      </c>
      <c r="AD538" s="71" t="str">
        <f aca="false">IF(AH538="","",ROUND(MIN(K538,TOPE_AFP_UF*AJ538)*(MUTUAL_BASICA+MUTUAL_ADIC+SANNA),0))</f>
        <v/>
      </c>
      <c r="AE538" s="71" t="str">
        <f aca="false">IF(AH538="","",P538-N(N538)+AB538+AC538+AD538)</f>
        <v/>
      </c>
      <c r="AF538" s="65"/>
      <c r="AG538" s="64"/>
      <c r="AH538" s="72" t="str">
        <f aca="false">IF(OR(B538="",C538=""),"",C538&amp;"|"&amp;(YEAR(B538)*100+MONTH(B538)))</f>
        <v/>
      </c>
      <c r="AI538" s="70" t="str">
        <f aca="false">IF(AH538="","",IF(COUNTIF(L_CLAVE,AH538)&gt;1,"⚠ Duplicado","OK"))</f>
        <v/>
      </c>
      <c r="AJ538" s="86" t="str">
        <f aca="false">IF(AH538="","",IF(SUMPRODUCT(MAX((IND_PER&lt;=B538)*(IND_UF&lt;&gt;"")*IND_PER))=0,UF_HOY,INDEX(IND_UF,MATCH(SUMPRODUCT(MAX((IND_PER&lt;=B538)*(IND_UF&lt;&gt;"")*IND_PER)),IND_PER,0))))</f>
        <v/>
      </c>
      <c r="AK538" s="87" t="str">
        <f aca="false">IF(AH538="","",IF(COUNTIF(TASA_DESDE,"&lt;="&amp;B538)=0,INDEX(TASA_EMP,1),INDEX(TASA_EMP,COUNTIF(TASA_DESDE,"&lt;="&amp;B538))))</f>
        <v/>
      </c>
    </row>
    <row r="539" customFormat="false" ht="15" hidden="false" customHeight="false" outlineLevel="0" collapsed="false">
      <c r="B539" s="78"/>
      <c r="C539" s="64"/>
      <c r="D539" s="72" t="str">
        <f aca="false">IF(C539="","",IFERROR(INDEX(T_NOMBRE,MATCH(C539,T_ID,0)),"⚠ ID no existe"))</f>
        <v/>
      </c>
      <c r="E539" s="69"/>
      <c r="F539" s="67"/>
      <c r="G539" s="67"/>
      <c r="H539" s="67"/>
      <c r="I539" s="67"/>
      <c r="J539" s="67"/>
      <c r="K539" s="85" t="str">
        <f aca="false">IF(AH539="","",N(F539)+N(G539)+N(H539)-N(I539)+N(J539))</f>
        <v/>
      </c>
      <c r="L539" s="67"/>
      <c r="M539" s="67"/>
      <c r="N539" s="67"/>
      <c r="O539" s="67"/>
      <c r="P539" s="85" t="str">
        <f aca="false">IF(AH539="","",K539+N(L539)+N(M539)+N(N539)+N(O539))</f>
        <v/>
      </c>
      <c r="Q539" s="67"/>
      <c r="R539" s="67"/>
      <c r="S539" s="67"/>
      <c r="T539" s="67"/>
      <c r="U539" s="67"/>
      <c r="V539" s="67"/>
      <c r="W539" s="85" t="str">
        <f aca="false">IF(AH539="","",N(Q539)+N(R539)+N(S539)+N(T539)+N(U539)+N(V539))</f>
        <v/>
      </c>
      <c r="X539" s="85" t="str">
        <f aca="false">IF(AH539="","",P539-W539)</f>
        <v/>
      </c>
      <c r="Y539" s="67"/>
      <c r="Z539" s="70" t="str">
        <f aca="false">IF(OR(AH539="",Y539=""),"",IF(ABS(X539-Y539)&lt;=1,"✓ Cuadra","⚠ Diferencia $"&amp;FIXED(X539-Y539,0)))</f>
        <v/>
      </c>
      <c r="AA539" s="72" t="str">
        <f aca="false">IF(AH539="","",IFERROR(INDEX(C_TIPO,MATCH(C539&amp;"-P"&amp;MAX(1,COUNTIFS(C_ID,C539,C_DEFINE,"Sí",C_INICIO,"&lt;="&amp;EOMONTH(B539,0))),C_CLAVE,0))&amp;"","Sin dato"))</f>
        <v/>
      </c>
      <c r="AB539" s="71" t="str">
        <f aca="false">IF(AH539="","",ROUND(MIN(K539,TOPE_AFP_UF*AJ539)*AK539,0))</f>
        <v/>
      </c>
      <c r="AC539" s="71" t="str">
        <f aca="false">IF(AH539="","",ROUND(MIN(K539,TOPE_AFC_UF*AJ539)*IF(AA539="Indefinido",AFC_EMP_INDEF,AFC_EMP_PF),0))</f>
        <v/>
      </c>
      <c r="AD539" s="71" t="str">
        <f aca="false">IF(AH539="","",ROUND(MIN(K539,TOPE_AFP_UF*AJ539)*(MUTUAL_BASICA+MUTUAL_ADIC+SANNA),0))</f>
        <v/>
      </c>
      <c r="AE539" s="71" t="str">
        <f aca="false">IF(AH539="","",P539-N(N539)+AB539+AC539+AD539)</f>
        <v/>
      </c>
      <c r="AF539" s="65"/>
      <c r="AG539" s="64"/>
      <c r="AH539" s="72" t="str">
        <f aca="false">IF(OR(B539="",C539=""),"",C539&amp;"|"&amp;(YEAR(B539)*100+MONTH(B539)))</f>
        <v/>
      </c>
      <c r="AI539" s="70" t="str">
        <f aca="false">IF(AH539="","",IF(COUNTIF(L_CLAVE,AH539)&gt;1,"⚠ Duplicado","OK"))</f>
        <v/>
      </c>
      <c r="AJ539" s="86" t="str">
        <f aca="false">IF(AH539="","",IF(SUMPRODUCT(MAX((IND_PER&lt;=B539)*(IND_UF&lt;&gt;"")*IND_PER))=0,UF_HOY,INDEX(IND_UF,MATCH(SUMPRODUCT(MAX((IND_PER&lt;=B539)*(IND_UF&lt;&gt;"")*IND_PER)),IND_PER,0))))</f>
        <v/>
      </c>
      <c r="AK539" s="87" t="str">
        <f aca="false">IF(AH539="","",IF(COUNTIF(TASA_DESDE,"&lt;="&amp;B539)=0,INDEX(TASA_EMP,1),INDEX(TASA_EMP,COUNTIF(TASA_DESDE,"&lt;="&amp;B539))))</f>
        <v/>
      </c>
    </row>
    <row r="540" customFormat="false" ht="15" hidden="false" customHeight="false" outlineLevel="0" collapsed="false">
      <c r="B540" s="78"/>
      <c r="C540" s="64"/>
      <c r="D540" s="72" t="str">
        <f aca="false">IF(C540="","",IFERROR(INDEX(T_NOMBRE,MATCH(C540,T_ID,0)),"⚠ ID no existe"))</f>
        <v/>
      </c>
      <c r="E540" s="69"/>
      <c r="F540" s="67"/>
      <c r="G540" s="67"/>
      <c r="H540" s="67"/>
      <c r="I540" s="67"/>
      <c r="J540" s="67"/>
      <c r="K540" s="85" t="str">
        <f aca="false">IF(AH540="","",N(F540)+N(G540)+N(H540)-N(I540)+N(J540))</f>
        <v/>
      </c>
      <c r="L540" s="67"/>
      <c r="M540" s="67"/>
      <c r="N540" s="67"/>
      <c r="O540" s="67"/>
      <c r="P540" s="85" t="str">
        <f aca="false">IF(AH540="","",K540+N(L540)+N(M540)+N(N540)+N(O540))</f>
        <v/>
      </c>
      <c r="Q540" s="67"/>
      <c r="R540" s="67"/>
      <c r="S540" s="67"/>
      <c r="T540" s="67"/>
      <c r="U540" s="67"/>
      <c r="V540" s="67"/>
      <c r="W540" s="85" t="str">
        <f aca="false">IF(AH540="","",N(Q540)+N(R540)+N(S540)+N(T540)+N(U540)+N(V540))</f>
        <v/>
      </c>
      <c r="X540" s="85" t="str">
        <f aca="false">IF(AH540="","",P540-W540)</f>
        <v/>
      </c>
      <c r="Y540" s="67"/>
      <c r="Z540" s="70" t="str">
        <f aca="false">IF(OR(AH540="",Y540=""),"",IF(ABS(X540-Y540)&lt;=1,"✓ Cuadra","⚠ Diferencia $"&amp;FIXED(X540-Y540,0)))</f>
        <v/>
      </c>
      <c r="AA540" s="72" t="str">
        <f aca="false">IF(AH540="","",IFERROR(INDEX(C_TIPO,MATCH(C540&amp;"-P"&amp;MAX(1,COUNTIFS(C_ID,C540,C_DEFINE,"Sí",C_INICIO,"&lt;="&amp;EOMONTH(B540,0))),C_CLAVE,0))&amp;"","Sin dato"))</f>
        <v/>
      </c>
      <c r="AB540" s="71" t="str">
        <f aca="false">IF(AH540="","",ROUND(MIN(K540,TOPE_AFP_UF*AJ540)*AK540,0))</f>
        <v/>
      </c>
      <c r="AC540" s="71" t="str">
        <f aca="false">IF(AH540="","",ROUND(MIN(K540,TOPE_AFC_UF*AJ540)*IF(AA540="Indefinido",AFC_EMP_INDEF,AFC_EMP_PF),0))</f>
        <v/>
      </c>
      <c r="AD540" s="71" t="str">
        <f aca="false">IF(AH540="","",ROUND(MIN(K540,TOPE_AFP_UF*AJ540)*(MUTUAL_BASICA+MUTUAL_ADIC+SANNA),0))</f>
        <v/>
      </c>
      <c r="AE540" s="71" t="str">
        <f aca="false">IF(AH540="","",P540-N(N540)+AB540+AC540+AD540)</f>
        <v/>
      </c>
      <c r="AF540" s="65"/>
      <c r="AG540" s="64"/>
      <c r="AH540" s="72" t="str">
        <f aca="false">IF(OR(B540="",C540=""),"",C540&amp;"|"&amp;(YEAR(B540)*100+MONTH(B540)))</f>
        <v/>
      </c>
      <c r="AI540" s="70" t="str">
        <f aca="false">IF(AH540="","",IF(COUNTIF(L_CLAVE,AH540)&gt;1,"⚠ Duplicado","OK"))</f>
        <v/>
      </c>
      <c r="AJ540" s="86" t="str">
        <f aca="false">IF(AH540="","",IF(SUMPRODUCT(MAX((IND_PER&lt;=B540)*(IND_UF&lt;&gt;"")*IND_PER))=0,UF_HOY,INDEX(IND_UF,MATCH(SUMPRODUCT(MAX((IND_PER&lt;=B540)*(IND_UF&lt;&gt;"")*IND_PER)),IND_PER,0))))</f>
        <v/>
      </c>
      <c r="AK540" s="87" t="str">
        <f aca="false">IF(AH540="","",IF(COUNTIF(TASA_DESDE,"&lt;="&amp;B540)=0,INDEX(TASA_EMP,1),INDEX(TASA_EMP,COUNTIF(TASA_DESDE,"&lt;="&amp;B540))))</f>
        <v/>
      </c>
    </row>
    <row r="541" customFormat="false" ht="15" hidden="false" customHeight="false" outlineLevel="0" collapsed="false">
      <c r="B541" s="78"/>
      <c r="C541" s="64"/>
      <c r="D541" s="72" t="str">
        <f aca="false">IF(C541="","",IFERROR(INDEX(T_NOMBRE,MATCH(C541,T_ID,0)),"⚠ ID no existe"))</f>
        <v/>
      </c>
      <c r="E541" s="69"/>
      <c r="F541" s="67"/>
      <c r="G541" s="67"/>
      <c r="H541" s="67"/>
      <c r="I541" s="67"/>
      <c r="J541" s="67"/>
      <c r="K541" s="85" t="str">
        <f aca="false">IF(AH541="","",N(F541)+N(G541)+N(H541)-N(I541)+N(J541))</f>
        <v/>
      </c>
      <c r="L541" s="67"/>
      <c r="M541" s="67"/>
      <c r="N541" s="67"/>
      <c r="O541" s="67"/>
      <c r="P541" s="85" t="str">
        <f aca="false">IF(AH541="","",K541+N(L541)+N(M541)+N(N541)+N(O541))</f>
        <v/>
      </c>
      <c r="Q541" s="67"/>
      <c r="R541" s="67"/>
      <c r="S541" s="67"/>
      <c r="T541" s="67"/>
      <c r="U541" s="67"/>
      <c r="V541" s="67"/>
      <c r="W541" s="85" t="str">
        <f aca="false">IF(AH541="","",N(Q541)+N(R541)+N(S541)+N(T541)+N(U541)+N(V541))</f>
        <v/>
      </c>
      <c r="X541" s="85" t="str">
        <f aca="false">IF(AH541="","",P541-W541)</f>
        <v/>
      </c>
      <c r="Y541" s="67"/>
      <c r="Z541" s="70" t="str">
        <f aca="false">IF(OR(AH541="",Y541=""),"",IF(ABS(X541-Y541)&lt;=1,"✓ Cuadra","⚠ Diferencia $"&amp;FIXED(X541-Y541,0)))</f>
        <v/>
      </c>
      <c r="AA541" s="72" t="str">
        <f aca="false">IF(AH541="","",IFERROR(INDEX(C_TIPO,MATCH(C541&amp;"-P"&amp;MAX(1,COUNTIFS(C_ID,C541,C_DEFINE,"Sí",C_INICIO,"&lt;="&amp;EOMONTH(B541,0))),C_CLAVE,0))&amp;"","Sin dato"))</f>
        <v/>
      </c>
      <c r="AB541" s="71" t="str">
        <f aca="false">IF(AH541="","",ROUND(MIN(K541,TOPE_AFP_UF*AJ541)*AK541,0))</f>
        <v/>
      </c>
      <c r="AC541" s="71" t="str">
        <f aca="false">IF(AH541="","",ROUND(MIN(K541,TOPE_AFC_UF*AJ541)*IF(AA541="Indefinido",AFC_EMP_INDEF,AFC_EMP_PF),0))</f>
        <v/>
      </c>
      <c r="AD541" s="71" t="str">
        <f aca="false">IF(AH541="","",ROUND(MIN(K541,TOPE_AFP_UF*AJ541)*(MUTUAL_BASICA+MUTUAL_ADIC+SANNA),0))</f>
        <v/>
      </c>
      <c r="AE541" s="71" t="str">
        <f aca="false">IF(AH541="","",P541-N(N541)+AB541+AC541+AD541)</f>
        <v/>
      </c>
      <c r="AF541" s="65"/>
      <c r="AG541" s="64"/>
      <c r="AH541" s="72" t="str">
        <f aca="false">IF(OR(B541="",C541=""),"",C541&amp;"|"&amp;(YEAR(B541)*100+MONTH(B541)))</f>
        <v/>
      </c>
      <c r="AI541" s="70" t="str">
        <f aca="false">IF(AH541="","",IF(COUNTIF(L_CLAVE,AH541)&gt;1,"⚠ Duplicado","OK"))</f>
        <v/>
      </c>
      <c r="AJ541" s="86" t="str">
        <f aca="false">IF(AH541="","",IF(SUMPRODUCT(MAX((IND_PER&lt;=B541)*(IND_UF&lt;&gt;"")*IND_PER))=0,UF_HOY,INDEX(IND_UF,MATCH(SUMPRODUCT(MAX((IND_PER&lt;=B541)*(IND_UF&lt;&gt;"")*IND_PER)),IND_PER,0))))</f>
        <v/>
      </c>
      <c r="AK541" s="87" t="str">
        <f aca="false">IF(AH541="","",IF(COUNTIF(TASA_DESDE,"&lt;="&amp;B541)=0,INDEX(TASA_EMP,1),INDEX(TASA_EMP,COUNTIF(TASA_DESDE,"&lt;="&amp;B541))))</f>
        <v/>
      </c>
    </row>
    <row r="542" customFormat="false" ht="15" hidden="false" customHeight="false" outlineLevel="0" collapsed="false">
      <c r="B542" s="78"/>
      <c r="C542" s="64"/>
      <c r="D542" s="72" t="str">
        <f aca="false">IF(C542="","",IFERROR(INDEX(T_NOMBRE,MATCH(C542,T_ID,0)),"⚠ ID no existe"))</f>
        <v/>
      </c>
      <c r="E542" s="69"/>
      <c r="F542" s="67"/>
      <c r="G542" s="67"/>
      <c r="H542" s="67"/>
      <c r="I542" s="67"/>
      <c r="J542" s="67"/>
      <c r="K542" s="85" t="str">
        <f aca="false">IF(AH542="","",N(F542)+N(G542)+N(H542)-N(I542)+N(J542))</f>
        <v/>
      </c>
      <c r="L542" s="67"/>
      <c r="M542" s="67"/>
      <c r="N542" s="67"/>
      <c r="O542" s="67"/>
      <c r="P542" s="85" t="str">
        <f aca="false">IF(AH542="","",K542+N(L542)+N(M542)+N(N542)+N(O542))</f>
        <v/>
      </c>
      <c r="Q542" s="67"/>
      <c r="R542" s="67"/>
      <c r="S542" s="67"/>
      <c r="T542" s="67"/>
      <c r="U542" s="67"/>
      <c r="V542" s="67"/>
      <c r="W542" s="85" t="str">
        <f aca="false">IF(AH542="","",N(Q542)+N(R542)+N(S542)+N(T542)+N(U542)+N(V542))</f>
        <v/>
      </c>
      <c r="X542" s="85" t="str">
        <f aca="false">IF(AH542="","",P542-W542)</f>
        <v/>
      </c>
      <c r="Y542" s="67"/>
      <c r="Z542" s="70" t="str">
        <f aca="false">IF(OR(AH542="",Y542=""),"",IF(ABS(X542-Y542)&lt;=1,"✓ Cuadra","⚠ Diferencia $"&amp;FIXED(X542-Y542,0)))</f>
        <v/>
      </c>
      <c r="AA542" s="72" t="str">
        <f aca="false">IF(AH542="","",IFERROR(INDEX(C_TIPO,MATCH(C542&amp;"-P"&amp;MAX(1,COUNTIFS(C_ID,C542,C_DEFINE,"Sí",C_INICIO,"&lt;="&amp;EOMONTH(B542,0))),C_CLAVE,0))&amp;"","Sin dato"))</f>
        <v/>
      </c>
      <c r="AB542" s="71" t="str">
        <f aca="false">IF(AH542="","",ROUND(MIN(K542,TOPE_AFP_UF*AJ542)*AK542,0))</f>
        <v/>
      </c>
      <c r="AC542" s="71" t="str">
        <f aca="false">IF(AH542="","",ROUND(MIN(K542,TOPE_AFC_UF*AJ542)*IF(AA542="Indefinido",AFC_EMP_INDEF,AFC_EMP_PF),0))</f>
        <v/>
      </c>
      <c r="AD542" s="71" t="str">
        <f aca="false">IF(AH542="","",ROUND(MIN(K542,TOPE_AFP_UF*AJ542)*(MUTUAL_BASICA+MUTUAL_ADIC+SANNA),0))</f>
        <v/>
      </c>
      <c r="AE542" s="71" t="str">
        <f aca="false">IF(AH542="","",P542-N(N542)+AB542+AC542+AD542)</f>
        <v/>
      </c>
      <c r="AF542" s="65"/>
      <c r="AG542" s="64"/>
      <c r="AH542" s="72" t="str">
        <f aca="false">IF(OR(B542="",C542=""),"",C542&amp;"|"&amp;(YEAR(B542)*100+MONTH(B542)))</f>
        <v/>
      </c>
      <c r="AI542" s="70" t="str">
        <f aca="false">IF(AH542="","",IF(COUNTIF(L_CLAVE,AH542)&gt;1,"⚠ Duplicado","OK"))</f>
        <v/>
      </c>
      <c r="AJ542" s="86" t="str">
        <f aca="false">IF(AH542="","",IF(SUMPRODUCT(MAX((IND_PER&lt;=B542)*(IND_UF&lt;&gt;"")*IND_PER))=0,UF_HOY,INDEX(IND_UF,MATCH(SUMPRODUCT(MAX((IND_PER&lt;=B542)*(IND_UF&lt;&gt;"")*IND_PER)),IND_PER,0))))</f>
        <v/>
      </c>
      <c r="AK542" s="87" t="str">
        <f aca="false">IF(AH542="","",IF(COUNTIF(TASA_DESDE,"&lt;="&amp;B542)=0,INDEX(TASA_EMP,1),INDEX(TASA_EMP,COUNTIF(TASA_DESDE,"&lt;="&amp;B542))))</f>
        <v/>
      </c>
    </row>
    <row r="543" customFormat="false" ht="15" hidden="false" customHeight="false" outlineLevel="0" collapsed="false">
      <c r="B543" s="78"/>
      <c r="C543" s="64"/>
      <c r="D543" s="72" t="str">
        <f aca="false">IF(C543="","",IFERROR(INDEX(T_NOMBRE,MATCH(C543,T_ID,0)),"⚠ ID no existe"))</f>
        <v/>
      </c>
      <c r="E543" s="69"/>
      <c r="F543" s="67"/>
      <c r="G543" s="67"/>
      <c r="H543" s="67"/>
      <c r="I543" s="67"/>
      <c r="J543" s="67"/>
      <c r="K543" s="85" t="str">
        <f aca="false">IF(AH543="","",N(F543)+N(G543)+N(H543)-N(I543)+N(J543))</f>
        <v/>
      </c>
      <c r="L543" s="67"/>
      <c r="M543" s="67"/>
      <c r="N543" s="67"/>
      <c r="O543" s="67"/>
      <c r="P543" s="85" t="str">
        <f aca="false">IF(AH543="","",K543+N(L543)+N(M543)+N(N543)+N(O543))</f>
        <v/>
      </c>
      <c r="Q543" s="67"/>
      <c r="R543" s="67"/>
      <c r="S543" s="67"/>
      <c r="T543" s="67"/>
      <c r="U543" s="67"/>
      <c r="V543" s="67"/>
      <c r="W543" s="85" t="str">
        <f aca="false">IF(AH543="","",N(Q543)+N(R543)+N(S543)+N(T543)+N(U543)+N(V543))</f>
        <v/>
      </c>
      <c r="X543" s="85" t="str">
        <f aca="false">IF(AH543="","",P543-W543)</f>
        <v/>
      </c>
      <c r="Y543" s="67"/>
      <c r="Z543" s="70" t="str">
        <f aca="false">IF(OR(AH543="",Y543=""),"",IF(ABS(X543-Y543)&lt;=1,"✓ Cuadra","⚠ Diferencia $"&amp;FIXED(X543-Y543,0)))</f>
        <v/>
      </c>
      <c r="AA543" s="72" t="str">
        <f aca="false">IF(AH543="","",IFERROR(INDEX(C_TIPO,MATCH(C543&amp;"-P"&amp;MAX(1,COUNTIFS(C_ID,C543,C_DEFINE,"Sí",C_INICIO,"&lt;="&amp;EOMONTH(B543,0))),C_CLAVE,0))&amp;"","Sin dato"))</f>
        <v/>
      </c>
      <c r="AB543" s="71" t="str">
        <f aca="false">IF(AH543="","",ROUND(MIN(K543,TOPE_AFP_UF*AJ543)*AK543,0))</f>
        <v/>
      </c>
      <c r="AC543" s="71" t="str">
        <f aca="false">IF(AH543="","",ROUND(MIN(K543,TOPE_AFC_UF*AJ543)*IF(AA543="Indefinido",AFC_EMP_INDEF,AFC_EMP_PF),0))</f>
        <v/>
      </c>
      <c r="AD543" s="71" t="str">
        <f aca="false">IF(AH543="","",ROUND(MIN(K543,TOPE_AFP_UF*AJ543)*(MUTUAL_BASICA+MUTUAL_ADIC+SANNA),0))</f>
        <v/>
      </c>
      <c r="AE543" s="71" t="str">
        <f aca="false">IF(AH543="","",P543-N(N543)+AB543+AC543+AD543)</f>
        <v/>
      </c>
      <c r="AF543" s="65"/>
      <c r="AG543" s="64"/>
      <c r="AH543" s="72" t="str">
        <f aca="false">IF(OR(B543="",C543=""),"",C543&amp;"|"&amp;(YEAR(B543)*100+MONTH(B543)))</f>
        <v/>
      </c>
      <c r="AI543" s="70" t="str">
        <f aca="false">IF(AH543="","",IF(COUNTIF(L_CLAVE,AH543)&gt;1,"⚠ Duplicado","OK"))</f>
        <v/>
      </c>
      <c r="AJ543" s="86" t="str">
        <f aca="false">IF(AH543="","",IF(SUMPRODUCT(MAX((IND_PER&lt;=B543)*(IND_UF&lt;&gt;"")*IND_PER))=0,UF_HOY,INDEX(IND_UF,MATCH(SUMPRODUCT(MAX((IND_PER&lt;=B543)*(IND_UF&lt;&gt;"")*IND_PER)),IND_PER,0))))</f>
        <v/>
      </c>
      <c r="AK543" s="87" t="str">
        <f aca="false">IF(AH543="","",IF(COUNTIF(TASA_DESDE,"&lt;="&amp;B543)=0,INDEX(TASA_EMP,1),INDEX(TASA_EMP,COUNTIF(TASA_DESDE,"&lt;="&amp;B543))))</f>
        <v/>
      </c>
    </row>
    <row r="544" customFormat="false" ht="15" hidden="false" customHeight="false" outlineLevel="0" collapsed="false">
      <c r="B544" s="78"/>
      <c r="C544" s="64"/>
      <c r="D544" s="72" t="str">
        <f aca="false">IF(C544="","",IFERROR(INDEX(T_NOMBRE,MATCH(C544,T_ID,0)),"⚠ ID no existe"))</f>
        <v/>
      </c>
      <c r="E544" s="69"/>
      <c r="F544" s="67"/>
      <c r="G544" s="67"/>
      <c r="H544" s="67"/>
      <c r="I544" s="67"/>
      <c r="J544" s="67"/>
      <c r="K544" s="85" t="str">
        <f aca="false">IF(AH544="","",N(F544)+N(G544)+N(H544)-N(I544)+N(J544))</f>
        <v/>
      </c>
      <c r="L544" s="67"/>
      <c r="M544" s="67"/>
      <c r="N544" s="67"/>
      <c r="O544" s="67"/>
      <c r="P544" s="85" t="str">
        <f aca="false">IF(AH544="","",K544+N(L544)+N(M544)+N(N544)+N(O544))</f>
        <v/>
      </c>
      <c r="Q544" s="67"/>
      <c r="R544" s="67"/>
      <c r="S544" s="67"/>
      <c r="T544" s="67"/>
      <c r="U544" s="67"/>
      <c r="V544" s="67"/>
      <c r="W544" s="85" t="str">
        <f aca="false">IF(AH544="","",N(Q544)+N(R544)+N(S544)+N(T544)+N(U544)+N(V544))</f>
        <v/>
      </c>
      <c r="X544" s="85" t="str">
        <f aca="false">IF(AH544="","",P544-W544)</f>
        <v/>
      </c>
      <c r="Y544" s="67"/>
      <c r="Z544" s="70" t="str">
        <f aca="false">IF(OR(AH544="",Y544=""),"",IF(ABS(X544-Y544)&lt;=1,"✓ Cuadra","⚠ Diferencia $"&amp;FIXED(X544-Y544,0)))</f>
        <v/>
      </c>
      <c r="AA544" s="72" t="str">
        <f aca="false">IF(AH544="","",IFERROR(INDEX(C_TIPO,MATCH(C544&amp;"-P"&amp;MAX(1,COUNTIFS(C_ID,C544,C_DEFINE,"Sí",C_INICIO,"&lt;="&amp;EOMONTH(B544,0))),C_CLAVE,0))&amp;"","Sin dato"))</f>
        <v/>
      </c>
      <c r="AB544" s="71" t="str">
        <f aca="false">IF(AH544="","",ROUND(MIN(K544,TOPE_AFP_UF*AJ544)*AK544,0))</f>
        <v/>
      </c>
      <c r="AC544" s="71" t="str">
        <f aca="false">IF(AH544="","",ROUND(MIN(K544,TOPE_AFC_UF*AJ544)*IF(AA544="Indefinido",AFC_EMP_INDEF,AFC_EMP_PF),0))</f>
        <v/>
      </c>
      <c r="AD544" s="71" t="str">
        <f aca="false">IF(AH544="","",ROUND(MIN(K544,TOPE_AFP_UF*AJ544)*(MUTUAL_BASICA+MUTUAL_ADIC+SANNA),0))</f>
        <v/>
      </c>
      <c r="AE544" s="71" t="str">
        <f aca="false">IF(AH544="","",P544-N(N544)+AB544+AC544+AD544)</f>
        <v/>
      </c>
      <c r="AF544" s="65"/>
      <c r="AG544" s="64"/>
      <c r="AH544" s="72" t="str">
        <f aca="false">IF(OR(B544="",C544=""),"",C544&amp;"|"&amp;(YEAR(B544)*100+MONTH(B544)))</f>
        <v/>
      </c>
      <c r="AI544" s="70" t="str">
        <f aca="false">IF(AH544="","",IF(COUNTIF(L_CLAVE,AH544)&gt;1,"⚠ Duplicado","OK"))</f>
        <v/>
      </c>
      <c r="AJ544" s="86" t="str">
        <f aca="false">IF(AH544="","",IF(SUMPRODUCT(MAX((IND_PER&lt;=B544)*(IND_UF&lt;&gt;"")*IND_PER))=0,UF_HOY,INDEX(IND_UF,MATCH(SUMPRODUCT(MAX((IND_PER&lt;=B544)*(IND_UF&lt;&gt;"")*IND_PER)),IND_PER,0))))</f>
        <v/>
      </c>
      <c r="AK544" s="87" t="str">
        <f aca="false">IF(AH544="","",IF(COUNTIF(TASA_DESDE,"&lt;="&amp;B544)=0,INDEX(TASA_EMP,1),INDEX(TASA_EMP,COUNTIF(TASA_DESDE,"&lt;="&amp;B544))))</f>
        <v/>
      </c>
    </row>
    <row r="545" customFormat="false" ht="15" hidden="false" customHeight="false" outlineLevel="0" collapsed="false">
      <c r="B545" s="78"/>
      <c r="C545" s="64"/>
      <c r="D545" s="72" t="str">
        <f aca="false">IF(C545="","",IFERROR(INDEX(T_NOMBRE,MATCH(C545,T_ID,0)),"⚠ ID no existe"))</f>
        <v/>
      </c>
      <c r="E545" s="69"/>
      <c r="F545" s="67"/>
      <c r="G545" s="67"/>
      <c r="H545" s="67"/>
      <c r="I545" s="67"/>
      <c r="J545" s="67"/>
      <c r="K545" s="85" t="str">
        <f aca="false">IF(AH545="","",N(F545)+N(G545)+N(H545)-N(I545)+N(J545))</f>
        <v/>
      </c>
      <c r="L545" s="67"/>
      <c r="M545" s="67"/>
      <c r="N545" s="67"/>
      <c r="O545" s="67"/>
      <c r="P545" s="85" t="str">
        <f aca="false">IF(AH545="","",K545+N(L545)+N(M545)+N(N545)+N(O545))</f>
        <v/>
      </c>
      <c r="Q545" s="67"/>
      <c r="R545" s="67"/>
      <c r="S545" s="67"/>
      <c r="T545" s="67"/>
      <c r="U545" s="67"/>
      <c r="V545" s="67"/>
      <c r="W545" s="85" t="str">
        <f aca="false">IF(AH545="","",N(Q545)+N(R545)+N(S545)+N(T545)+N(U545)+N(V545))</f>
        <v/>
      </c>
      <c r="X545" s="85" t="str">
        <f aca="false">IF(AH545="","",P545-W545)</f>
        <v/>
      </c>
      <c r="Y545" s="67"/>
      <c r="Z545" s="70" t="str">
        <f aca="false">IF(OR(AH545="",Y545=""),"",IF(ABS(X545-Y545)&lt;=1,"✓ Cuadra","⚠ Diferencia $"&amp;FIXED(X545-Y545,0)))</f>
        <v/>
      </c>
      <c r="AA545" s="72" t="str">
        <f aca="false">IF(AH545="","",IFERROR(INDEX(C_TIPO,MATCH(C545&amp;"-P"&amp;MAX(1,COUNTIFS(C_ID,C545,C_DEFINE,"Sí",C_INICIO,"&lt;="&amp;EOMONTH(B545,0))),C_CLAVE,0))&amp;"","Sin dato"))</f>
        <v/>
      </c>
      <c r="AB545" s="71" t="str">
        <f aca="false">IF(AH545="","",ROUND(MIN(K545,TOPE_AFP_UF*AJ545)*AK545,0))</f>
        <v/>
      </c>
      <c r="AC545" s="71" t="str">
        <f aca="false">IF(AH545="","",ROUND(MIN(K545,TOPE_AFC_UF*AJ545)*IF(AA545="Indefinido",AFC_EMP_INDEF,AFC_EMP_PF),0))</f>
        <v/>
      </c>
      <c r="AD545" s="71" t="str">
        <f aca="false">IF(AH545="","",ROUND(MIN(K545,TOPE_AFP_UF*AJ545)*(MUTUAL_BASICA+MUTUAL_ADIC+SANNA),0))</f>
        <v/>
      </c>
      <c r="AE545" s="71" t="str">
        <f aca="false">IF(AH545="","",P545-N(N545)+AB545+AC545+AD545)</f>
        <v/>
      </c>
      <c r="AF545" s="65"/>
      <c r="AG545" s="64"/>
      <c r="AH545" s="72" t="str">
        <f aca="false">IF(OR(B545="",C545=""),"",C545&amp;"|"&amp;(YEAR(B545)*100+MONTH(B545)))</f>
        <v/>
      </c>
      <c r="AI545" s="70" t="str">
        <f aca="false">IF(AH545="","",IF(COUNTIF(L_CLAVE,AH545)&gt;1,"⚠ Duplicado","OK"))</f>
        <v/>
      </c>
      <c r="AJ545" s="86" t="str">
        <f aca="false">IF(AH545="","",IF(SUMPRODUCT(MAX((IND_PER&lt;=B545)*(IND_UF&lt;&gt;"")*IND_PER))=0,UF_HOY,INDEX(IND_UF,MATCH(SUMPRODUCT(MAX((IND_PER&lt;=B545)*(IND_UF&lt;&gt;"")*IND_PER)),IND_PER,0))))</f>
        <v/>
      </c>
      <c r="AK545" s="87" t="str">
        <f aca="false">IF(AH545="","",IF(COUNTIF(TASA_DESDE,"&lt;="&amp;B545)=0,INDEX(TASA_EMP,1),INDEX(TASA_EMP,COUNTIF(TASA_DESDE,"&lt;="&amp;B545))))</f>
        <v/>
      </c>
    </row>
    <row r="546" customFormat="false" ht="15" hidden="false" customHeight="false" outlineLevel="0" collapsed="false">
      <c r="B546" s="78"/>
      <c r="C546" s="64"/>
      <c r="D546" s="72" t="str">
        <f aca="false">IF(C546="","",IFERROR(INDEX(T_NOMBRE,MATCH(C546,T_ID,0)),"⚠ ID no existe"))</f>
        <v/>
      </c>
      <c r="E546" s="69"/>
      <c r="F546" s="67"/>
      <c r="G546" s="67"/>
      <c r="H546" s="67"/>
      <c r="I546" s="67"/>
      <c r="J546" s="67"/>
      <c r="K546" s="85" t="str">
        <f aca="false">IF(AH546="","",N(F546)+N(G546)+N(H546)-N(I546)+N(J546))</f>
        <v/>
      </c>
      <c r="L546" s="67"/>
      <c r="M546" s="67"/>
      <c r="N546" s="67"/>
      <c r="O546" s="67"/>
      <c r="P546" s="85" t="str">
        <f aca="false">IF(AH546="","",K546+N(L546)+N(M546)+N(N546)+N(O546))</f>
        <v/>
      </c>
      <c r="Q546" s="67"/>
      <c r="R546" s="67"/>
      <c r="S546" s="67"/>
      <c r="T546" s="67"/>
      <c r="U546" s="67"/>
      <c r="V546" s="67"/>
      <c r="W546" s="85" t="str">
        <f aca="false">IF(AH546="","",N(Q546)+N(R546)+N(S546)+N(T546)+N(U546)+N(V546))</f>
        <v/>
      </c>
      <c r="X546" s="85" t="str">
        <f aca="false">IF(AH546="","",P546-W546)</f>
        <v/>
      </c>
      <c r="Y546" s="67"/>
      <c r="Z546" s="70" t="str">
        <f aca="false">IF(OR(AH546="",Y546=""),"",IF(ABS(X546-Y546)&lt;=1,"✓ Cuadra","⚠ Diferencia $"&amp;FIXED(X546-Y546,0)))</f>
        <v/>
      </c>
      <c r="AA546" s="72" t="str">
        <f aca="false">IF(AH546="","",IFERROR(INDEX(C_TIPO,MATCH(C546&amp;"-P"&amp;MAX(1,COUNTIFS(C_ID,C546,C_DEFINE,"Sí",C_INICIO,"&lt;="&amp;EOMONTH(B546,0))),C_CLAVE,0))&amp;"","Sin dato"))</f>
        <v/>
      </c>
      <c r="AB546" s="71" t="str">
        <f aca="false">IF(AH546="","",ROUND(MIN(K546,TOPE_AFP_UF*AJ546)*AK546,0))</f>
        <v/>
      </c>
      <c r="AC546" s="71" t="str">
        <f aca="false">IF(AH546="","",ROUND(MIN(K546,TOPE_AFC_UF*AJ546)*IF(AA546="Indefinido",AFC_EMP_INDEF,AFC_EMP_PF),0))</f>
        <v/>
      </c>
      <c r="AD546" s="71" t="str">
        <f aca="false">IF(AH546="","",ROUND(MIN(K546,TOPE_AFP_UF*AJ546)*(MUTUAL_BASICA+MUTUAL_ADIC+SANNA),0))</f>
        <v/>
      </c>
      <c r="AE546" s="71" t="str">
        <f aca="false">IF(AH546="","",P546-N(N546)+AB546+AC546+AD546)</f>
        <v/>
      </c>
      <c r="AF546" s="65"/>
      <c r="AG546" s="64"/>
      <c r="AH546" s="72" t="str">
        <f aca="false">IF(OR(B546="",C546=""),"",C546&amp;"|"&amp;(YEAR(B546)*100+MONTH(B546)))</f>
        <v/>
      </c>
      <c r="AI546" s="70" t="str">
        <f aca="false">IF(AH546="","",IF(COUNTIF(L_CLAVE,AH546)&gt;1,"⚠ Duplicado","OK"))</f>
        <v/>
      </c>
      <c r="AJ546" s="86" t="str">
        <f aca="false">IF(AH546="","",IF(SUMPRODUCT(MAX((IND_PER&lt;=B546)*(IND_UF&lt;&gt;"")*IND_PER))=0,UF_HOY,INDEX(IND_UF,MATCH(SUMPRODUCT(MAX((IND_PER&lt;=B546)*(IND_UF&lt;&gt;"")*IND_PER)),IND_PER,0))))</f>
        <v/>
      </c>
      <c r="AK546" s="87" t="str">
        <f aca="false">IF(AH546="","",IF(COUNTIF(TASA_DESDE,"&lt;="&amp;B546)=0,INDEX(TASA_EMP,1),INDEX(TASA_EMP,COUNTIF(TASA_DESDE,"&lt;="&amp;B546))))</f>
        <v/>
      </c>
    </row>
    <row r="547" customFormat="false" ht="15" hidden="false" customHeight="false" outlineLevel="0" collapsed="false">
      <c r="B547" s="78"/>
      <c r="C547" s="64"/>
      <c r="D547" s="72" t="str">
        <f aca="false">IF(C547="","",IFERROR(INDEX(T_NOMBRE,MATCH(C547,T_ID,0)),"⚠ ID no existe"))</f>
        <v/>
      </c>
      <c r="E547" s="69"/>
      <c r="F547" s="67"/>
      <c r="G547" s="67"/>
      <c r="H547" s="67"/>
      <c r="I547" s="67"/>
      <c r="J547" s="67"/>
      <c r="K547" s="85" t="str">
        <f aca="false">IF(AH547="","",N(F547)+N(G547)+N(H547)-N(I547)+N(J547))</f>
        <v/>
      </c>
      <c r="L547" s="67"/>
      <c r="M547" s="67"/>
      <c r="N547" s="67"/>
      <c r="O547" s="67"/>
      <c r="P547" s="85" t="str">
        <f aca="false">IF(AH547="","",K547+N(L547)+N(M547)+N(N547)+N(O547))</f>
        <v/>
      </c>
      <c r="Q547" s="67"/>
      <c r="R547" s="67"/>
      <c r="S547" s="67"/>
      <c r="T547" s="67"/>
      <c r="U547" s="67"/>
      <c r="V547" s="67"/>
      <c r="W547" s="85" t="str">
        <f aca="false">IF(AH547="","",N(Q547)+N(R547)+N(S547)+N(T547)+N(U547)+N(V547))</f>
        <v/>
      </c>
      <c r="X547" s="85" t="str">
        <f aca="false">IF(AH547="","",P547-W547)</f>
        <v/>
      </c>
      <c r="Y547" s="67"/>
      <c r="Z547" s="70" t="str">
        <f aca="false">IF(OR(AH547="",Y547=""),"",IF(ABS(X547-Y547)&lt;=1,"✓ Cuadra","⚠ Diferencia $"&amp;FIXED(X547-Y547,0)))</f>
        <v/>
      </c>
      <c r="AA547" s="72" t="str">
        <f aca="false">IF(AH547="","",IFERROR(INDEX(C_TIPO,MATCH(C547&amp;"-P"&amp;MAX(1,COUNTIFS(C_ID,C547,C_DEFINE,"Sí",C_INICIO,"&lt;="&amp;EOMONTH(B547,0))),C_CLAVE,0))&amp;"","Sin dato"))</f>
        <v/>
      </c>
      <c r="AB547" s="71" t="str">
        <f aca="false">IF(AH547="","",ROUND(MIN(K547,TOPE_AFP_UF*AJ547)*AK547,0))</f>
        <v/>
      </c>
      <c r="AC547" s="71" t="str">
        <f aca="false">IF(AH547="","",ROUND(MIN(K547,TOPE_AFC_UF*AJ547)*IF(AA547="Indefinido",AFC_EMP_INDEF,AFC_EMP_PF),0))</f>
        <v/>
      </c>
      <c r="AD547" s="71" t="str">
        <f aca="false">IF(AH547="","",ROUND(MIN(K547,TOPE_AFP_UF*AJ547)*(MUTUAL_BASICA+MUTUAL_ADIC+SANNA),0))</f>
        <v/>
      </c>
      <c r="AE547" s="71" t="str">
        <f aca="false">IF(AH547="","",P547-N(N547)+AB547+AC547+AD547)</f>
        <v/>
      </c>
      <c r="AF547" s="65"/>
      <c r="AG547" s="64"/>
      <c r="AH547" s="72" t="str">
        <f aca="false">IF(OR(B547="",C547=""),"",C547&amp;"|"&amp;(YEAR(B547)*100+MONTH(B547)))</f>
        <v/>
      </c>
      <c r="AI547" s="70" t="str">
        <f aca="false">IF(AH547="","",IF(COUNTIF(L_CLAVE,AH547)&gt;1,"⚠ Duplicado","OK"))</f>
        <v/>
      </c>
      <c r="AJ547" s="86" t="str">
        <f aca="false">IF(AH547="","",IF(SUMPRODUCT(MAX((IND_PER&lt;=B547)*(IND_UF&lt;&gt;"")*IND_PER))=0,UF_HOY,INDEX(IND_UF,MATCH(SUMPRODUCT(MAX((IND_PER&lt;=B547)*(IND_UF&lt;&gt;"")*IND_PER)),IND_PER,0))))</f>
        <v/>
      </c>
      <c r="AK547" s="87" t="str">
        <f aca="false">IF(AH547="","",IF(COUNTIF(TASA_DESDE,"&lt;="&amp;B547)=0,INDEX(TASA_EMP,1),INDEX(TASA_EMP,COUNTIF(TASA_DESDE,"&lt;="&amp;B547))))</f>
        <v/>
      </c>
    </row>
    <row r="548" customFormat="false" ht="15" hidden="false" customHeight="false" outlineLevel="0" collapsed="false">
      <c r="B548" s="78"/>
      <c r="C548" s="64"/>
      <c r="D548" s="72" t="str">
        <f aca="false">IF(C548="","",IFERROR(INDEX(T_NOMBRE,MATCH(C548,T_ID,0)),"⚠ ID no existe"))</f>
        <v/>
      </c>
      <c r="E548" s="69"/>
      <c r="F548" s="67"/>
      <c r="G548" s="67"/>
      <c r="H548" s="67"/>
      <c r="I548" s="67"/>
      <c r="J548" s="67"/>
      <c r="K548" s="85" t="str">
        <f aca="false">IF(AH548="","",N(F548)+N(G548)+N(H548)-N(I548)+N(J548))</f>
        <v/>
      </c>
      <c r="L548" s="67"/>
      <c r="M548" s="67"/>
      <c r="N548" s="67"/>
      <c r="O548" s="67"/>
      <c r="P548" s="85" t="str">
        <f aca="false">IF(AH548="","",K548+N(L548)+N(M548)+N(N548)+N(O548))</f>
        <v/>
      </c>
      <c r="Q548" s="67"/>
      <c r="R548" s="67"/>
      <c r="S548" s="67"/>
      <c r="T548" s="67"/>
      <c r="U548" s="67"/>
      <c r="V548" s="67"/>
      <c r="W548" s="85" t="str">
        <f aca="false">IF(AH548="","",N(Q548)+N(R548)+N(S548)+N(T548)+N(U548)+N(V548))</f>
        <v/>
      </c>
      <c r="X548" s="85" t="str">
        <f aca="false">IF(AH548="","",P548-W548)</f>
        <v/>
      </c>
      <c r="Y548" s="67"/>
      <c r="Z548" s="70" t="str">
        <f aca="false">IF(OR(AH548="",Y548=""),"",IF(ABS(X548-Y548)&lt;=1,"✓ Cuadra","⚠ Diferencia $"&amp;FIXED(X548-Y548,0)))</f>
        <v/>
      </c>
      <c r="AA548" s="72" t="str">
        <f aca="false">IF(AH548="","",IFERROR(INDEX(C_TIPO,MATCH(C548&amp;"-P"&amp;MAX(1,COUNTIFS(C_ID,C548,C_DEFINE,"Sí",C_INICIO,"&lt;="&amp;EOMONTH(B548,0))),C_CLAVE,0))&amp;"","Sin dato"))</f>
        <v/>
      </c>
      <c r="AB548" s="71" t="str">
        <f aca="false">IF(AH548="","",ROUND(MIN(K548,TOPE_AFP_UF*AJ548)*AK548,0))</f>
        <v/>
      </c>
      <c r="AC548" s="71" t="str">
        <f aca="false">IF(AH548="","",ROUND(MIN(K548,TOPE_AFC_UF*AJ548)*IF(AA548="Indefinido",AFC_EMP_INDEF,AFC_EMP_PF),0))</f>
        <v/>
      </c>
      <c r="AD548" s="71" t="str">
        <f aca="false">IF(AH548="","",ROUND(MIN(K548,TOPE_AFP_UF*AJ548)*(MUTUAL_BASICA+MUTUAL_ADIC+SANNA),0))</f>
        <v/>
      </c>
      <c r="AE548" s="71" t="str">
        <f aca="false">IF(AH548="","",P548-N(N548)+AB548+AC548+AD548)</f>
        <v/>
      </c>
      <c r="AF548" s="65"/>
      <c r="AG548" s="64"/>
      <c r="AH548" s="72" t="str">
        <f aca="false">IF(OR(B548="",C548=""),"",C548&amp;"|"&amp;(YEAR(B548)*100+MONTH(B548)))</f>
        <v/>
      </c>
      <c r="AI548" s="70" t="str">
        <f aca="false">IF(AH548="","",IF(COUNTIF(L_CLAVE,AH548)&gt;1,"⚠ Duplicado","OK"))</f>
        <v/>
      </c>
      <c r="AJ548" s="86" t="str">
        <f aca="false">IF(AH548="","",IF(SUMPRODUCT(MAX((IND_PER&lt;=B548)*(IND_UF&lt;&gt;"")*IND_PER))=0,UF_HOY,INDEX(IND_UF,MATCH(SUMPRODUCT(MAX((IND_PER&lt;=B548)*(IND_UF&lt;&gt;"")*IND_PER)),IND_PER,0))))</f>
        <v/>
      </c>
      <c r="AK548" s="87" t="str">
        <f aca="false">IF(AH548="","",IF(COUNTIF(TASA_DESDE,"&lt;="&amp;B548)=0,INDEX(TASA_EMP,1),INDEX(TASA_EMP,COUNTIF(TASA_DESDE,"&lt;="&amp;B548))))</f>
        <v/>
      </c>
    </row>
    <row r="549" customFormat="false" ht="15" hidden="false" customHeight="false" outlineLevel="0" collapsed="false">
      <c r="B549" s="78"/>
      <c r="C549" s="64"/>
      <c r="D549" s="72" t="str">
        <f aca="false">IF(C549="","",IFERROR(INDEX(T_NOMBRE,MATCH(C549,T_ID,0)),"⚠ ID no existe"))</f>
        <v/>
      </c>
      <c r="E549" s="69"/>
      <c r="F549" s="67"/>
      <c r="G549" s="67"/>
      <c r="H549" s="67"/>
      <c r="I549" s="67"/>
      <c r="J549" s="67"/>
      <c r="K549" s="85" t="str">
        <f aca="false">IF(AH549="","",N(F549)+N(G549)+N(H549)-N(I549)+N(J549))</f>
        <v/>
      </c>
      <c r="L549" s="67"/>
      <c r="M549" s="67"/>
      <c r="N549" s="67"/>
      <c r="O549" s="67"/>
      <c r="P549" s="85" t="str">
        <f aca="false">IF(AH549="","",K549+N(L549)+N(M549)+N(N549)+N(O549))</f>
        <v/>
      </c>
      <c r="Q549" s="67"/>
      <c r="R549" s="67"/>
      <c r="S549" s="67"/>
      <c r="T549" s="67"/>
      <c r="U549" s="67"/>
      <c r="V549" s="67"/>
      <c r="W549" s="85" t="str">
        <f aca="false">IF(AH549="","",N(Q549)+N(R549)+N(S549)+N(T549)+N(U549)+N(V549))</f>
        <v/>
      </c>
      <c r="X549" s="85" t="str">
        <f aca="false">IF(AH549="","",P549-W549)</f>
        <v/>
      </c>
      <c r="Y549" s="67"/>
      <c r="Z549" s="70" t="str">
        <f aca="false">IF(OR(AH549="",Y549=""),"",IF(ABS(X549-Y549)&lt;=1,"✓ Cuadra","⚠ Diferencia $"&amp;FIXED(X549-Y549,0)))</f>
        <v/>
      </c>
      <c r="AA549" s="72" t="str">
        <f aca="false">IF(AH549="","",IFERROR(INDEX(C_TIPO,MATCH(C549&amp;"-P"&amp;MAX(1,COUNTIFS(C_ID,C549,C_DEFINE,"Sí",C_INICIO,"&lt;="&amp;EOMONTH(B549,0))),C_CLAVE,0))&amp;"","Sin dato"))</f>
        <v/>
      </c>
      <c r="AB549" s="71" t="str">
        <f aca="false">IF(AH549="","",ROUND(MIN(K549,TOPE_AFP_UF*AJ549)*AK549,0))</f>
        <v/>
      </c>
      <c r="AC549" s="71" t="str">
        <f aca="false">IF(AH549="","",ROUND(MIN(K549,TOPE_AFC_UF*AJ549)*IF(AA549="Indefinido",AFC_EMP_INDEF,AFC_EMP_PF),0))</f>
        <v/>
      </c>
      <c r="AD549" s="71" t="str">
        <f aca="false">IF(AH549="","",ROUND(MIN(K549,TOPE_AFP_UF*AJ549)*(MUTUAL_BASICA+MUTUAL_ADIC+SANNA),0))</f>
        <v/>
      </c>
      <c r="AE549" s="71" t="str">
        <f aca="false">IF(AH549="","",P549-N(N549)+AB549+AC549+AD549)</f>
        <v/>
      </c>
      <c r="AF549" s="65"/>
      <c r="AG549" s="64"/>
      <c r="AH549" s="72" t="str">
        <f aca="false">IF(OR(B549="",C549=""),"",C549&amp;"|"&amp;(YEAR(B549)*100+MONTH(B549)))</f>
        <v/>
      </c>
      <c r="AI549" s="70" t="str">
        <f aca="false">IF(AH549="","",IF(COUNTIF(L_CLAVE,AH549)&gt;1,"⚠ Duplicado","OK"))</f>
        <v/>
      </c>
      <c r="AJ549" s="86" t="str">
        <f aca="false">IF(AH549="","",IF(SUMPRODUCT(MAX((IND_PER&lt;=B549)*(IND_UF&lt;&gt;"")*IND_PER))=0,UF_HOY,INDEX(IND_UF,MATCH(SUMPRODUCT(MAX((IND_PER&lt;=B549)*(IND_UF&lt;&gt;"")*IND_PER)),IND_PER,0))))</f>
        <v/>
      </c>
      <c r="AK549" s="87" t="str">
        <f aca="false">IF(AH549="","",IF(COUNTIF(TASA_DESDE,"&lt;="&amp;B549)=0,INDEX(TASA_EMP,1),INDEX(TASA_EMP,COUNTIF(TASA_DESDE,"&lt;="&amp;B549))))</f>
        <v/>
      </c>
    </row>
    <row r="550" customFormat="false" ht="15" hidden="false" customHeight="false" outlineLevel="0" collapsed="false">
      <c r="B550" s="78"/>
      <c r="C550" s="64"/>
      <c r="D550" s="72" t="str">
        <f aca="false">IF(C550="","",IFERROR(INDEX(T_NOMBRE,MATCH(C550,T_ID,0)),"⚠ ID no existe"))</f>
        <v/>
      </c>
      <c r="E550" s="69"/>
      <c r="F550" s="67"/>
      <c r="G550" s="67"/>
      <c r="H550" s="67"/>
      <c r="I550" s="67"/>
      <c r="J550" s="67"/>
      <c r="K550" s="85" t="str">
        <f aca="false">IF(AH550="","",N(F550)+N(G550)+N(H550)-N(I550)+N(J550))</f>
        <v/>
      </c>
      <c r="L550" s="67"/>
      <c r="M550" s="67"/>
      <c r="N550" s="67"/>
      <c r="O550" s="67"/>
      <c r="P550" s="85" t="str">
        <f aca="false">IF(AH550="","",K550+N(L550)+N(M550)+N(N550)+N(O550))</f>
        <v/>
      </c>
      <c r="Q550" s="67"/>
      <c r="R550" s="67"/>
      <c r="S550" s="67"/>
      <c r="T550" s="67"/>
      <c r="U550" s="67"/>
      <c r="V550" s="67"/>
      <c r="W550" s="85" t="str">
        <f aca="false">IF(AH550="","",N(Q550)+N(R550)+N(S550)+N(T550)+N(U550)+N(V550))</f>
        <v/>
      </c>
      <c r="X550" s="85" t="str">
        <f aca="false">IF(AH550="","",P550-W550)</f>
        <v/>
      </c>
      <c r="Y550" s="67"/>
      <c r="Z550" s="70" t="str">
        <f aca="false">IF(OR(AH550="",Y550=""),"",IF(ABS(X550-Y550)&lt;=1,"✓ Cuadra","⚠ Diferencia $"&amp;FIXED(X550-Y550,0)))</f>
        <v/>
      </c>
      <c r="AA550" s="72" t="str">
        <f aca="false">IF(AH550="","",IFERROR(INDEX(C_TIPO,MATCH(C550&amp;"-P"&amp;MAX(1,COUNTIFS(C_ID,C550,C_DEFINE,"Sí",C_INICIO,"&lt;="&amp;EOMONTH(B550,0))),C_CLAVE,0))&amp;"","Sin dato"))</f>
        <v/>
      </c>
      <c r="AB550" s="71" t="str">
        <f aca="false">IF(AH550="","",ROUND(MIN(K550,TOPE_AFP_UF*AJ550)*AK550,0))</f>
        <v/>
      </c>
      <c r="AC550" s="71" t="str">
        <f aca="false">IF(AH550="","",ROUND(MIN(K550,TOPE_AFC_UF*AJ550)*IF(AA550="Indefinido",AFC_EMP_INDEF,AFC_EMP_PF),0))</f>
        <v/>
      </c>
      <c r="AD550" s="71" t="str">
        <f aca="false">IF(AH550="","",ROUND(MIN(K550,TOPE_AFP_UF*AJ550)*(MUTUAL_BASICA+MUTUAL_ADIC+SANNA),0))</f>
        <v/>
      </c>
      <c r="AE550" s="71" t="str">
        <f aca="false">IF(AH550="","",P550-N(N550)+AB550+AC550+AD550)</f>
        <v/>
      </c>
      <c r="AF550" s="65"/>
      <c r="AG550" s="64"/>
      <c r="AH550" s="72" t="str">
        <f aca="false">IF(OR(B550="",C550=""),"",C550&amp;"|"&amp;(YEAR(B550)*100+MONTH(B550)))</f>
        <v/>
      </c>
      <c r="AI550" s="70" t="str">
        <f aca="false">IF(AH550="","",IF(COUNTIF(L_CLAVE,AH550)&gt;1,"⚠ Duplicado","OK"))</f>
        <v/>
      </c>
      <c r="AJ550" s="86" t="str">
        <f aca="false">IF(AH550="","",IF(SUMPRODUCT(MAX((IND_PER&lt;=B550)*(IND_UF&lt;&gt;"")*IND_PER))=0,UF_HOY,INDEX(IND_UF,MATCH(SUMPRODUCT(MAX((IND_PER&lt;=B550)*(IND_UF&lt;&gt;"")*IND_PER)),IND_PER,0))))</f>
        <v/>
      </c>
      <c r="AK550" s="87" t="str">
        <f aca="false">IF(AH550="","",IF(COUNTIF(TASA_DESDE,"&lt;="&amp;B550)=0,INDEX(TASA_EMP,1),INDEX(TASA_EMP,COUNTIF(TASA_DESDE,"&lt;="&amp;B550))))</f>
        <v/>
      </c>
    </row>
    <row r="551" customFormat="false" ht="15" hidden="false" customHeight="false" outlineLevel="0" collapsed="false">
      <c r="B551" s="78"/>
      <c r="C551" s="64"/>
      <c r="D551" s="72" t="str">
        <f aca="false">IF(C551="","",IFERROR(INDEX(T_NOMBRE,MATCH(C551,T_ID,0)),"⚠ ID no existe"))</f>
        <v/>
      </c>
      <c r="E551" s="69"/>
      <c r="F551" s="67"/>
      <c r="G551" s="67"/>
      <c r="H551" s="67"/>
      <c r="I551" s="67"/>
      <c r="J551" s="67"/>
      <c r="K551" s="85" t="str">
        <f aca="false">IF(AH551="","",N(F551)+N(G551)+N(H551)-N(I551)+N(J551))</f>
        <v/>
      </c>
      <c r="L551" s="67"/>
      <c r="M551" s="67"/>
      <c r="N551" s="67"/>
      <c r="O551" s="67"/>
      <c r="P551" s="85" t="str">
        <f aca="false">IF(AH551="","",K551+N(L551)+N(M551)+N(N551)+N(O551))</f>
        <v/>
      </c>
      <c r="Q551" s="67"/>
      <c r="R551" s="67"/>
      <c r="S551" s="67"/>
      <c r="T551" s="67"/>
      <c r="U551" s="67"/>
      <c r="V551" s="67"/>
      <c r="W551" s="85" t="str">
        <f aca="false">IF(AH551="","",N(Q551)+N(R551)+N(S551)+N(T551)+N(U551)+N(V551))</f>
        <v/>
      </c>
      <c r="X551" s="85" t="str">
        <f aca="false">IF(AH551="","",P551-W551)</f>
        <v/>
      </c>
      <c r="Y551" s="67"/>
      <c r="Z551" s="70" t="str">
        <f aca="false">IF(OR(AH551="",Y551=""),"",IF(ABS(X551-Y551)&lt;=1,"✓ Cuadra","⚠ Diferencia $"&amp;FIXED(X551-Y551,0)))</f>
        <v/>
      </c>
      <c r="AA551" s="72" t="str">
        <f aca="false">IF(AH551="","",IFERROR(INDEX(C_TIPO,MATCH(C551&amp;"-P"&amp;MAX(1,COUNTIFS(C_ID,C551,C_DEFINE,"Sí",C_INICIO,"&lt;="&amp;EOMONTH(B551,0))),C_CLAVE,0))&amp;"","Sin dato"))</f>
        <v/>
      </c>
      <c r="AB551" s="71" t="str">
        <f aca="false">IF(AH551="","",ROUND(MIN(K551,TOPE_AFP_UF*AJ551)*AK551,0))</f>
        <v/>
      </c>
      <c r="AC551" s="71" t="str">
        <f aca="false">IF(AH551="","",ROUND(MIN(K551,TOPE_AFC_UF*AJ551)*IF(AA551="Indefinido",AFC_EMP_INDEF,AFC_EMP_PF),0))</f>
        <v/>
      </c>
      <c r="AD551" s="71" t="str">
        <f aca="false">IF(AH551="","",ROUND(MIN(K551,TOPE_AFP_UF*AJ551)*(MUTUAL_BASICA+MUTUAL_ADIC+SANNA),0))</f>
        <v/>
      </c>
      <c r="AE551" s="71" t="str">
        <f aca="false">IF(AH551="","",P551-N(N551)+AB551+AC551+AD551)</f>
        <v/>
      </c>
      <c r="AF551" s="65"/>
      <c r="AG551" s="64"/>
      <c r="AH551" s="72" t="str">
        <f aca="false">IF(OR(B551="",C551=""),"",C551&amp;"|"&amp;(YEAR(B551)*100+MONTH(B551)))</f>
        <v/>
      </c>
      <c r="AI551" s="70" t="str">
        <f aca="false">IF(AH551="","",IF(COUNTIF(L_CLAVE,AH551)&gt;1,"⚠ Duplicado","OK"))</f>
        <v/>
      </c>
      <c r="AJ551" s="86" t="str">
        <f aca="false">IF(AH551="","",IF(SUMPRODUCT(MAX((IND_PER&lt;=B551)*(IND_UF&lt;&gt;"")*IND_PER))=0,UF_HOY,INDEX(IND_UF,MATCH(SUMPRODUCT(MAX((IND_PER&lt;=B551)*(IND_UF&lt;&gt;"")*IND_PER)),IND_PER,0))))</f>
        <v/>
      </c>
      <c r="AK551" s="87" t="str">
        <f aca="false">IF(AH551="","",IF(COUNTIF(TASA_DESDE,"&lt;="&amp;B551)=0,INDEX(TASA_EMP,1),INDEX(TASA_EMP,COUNTIF(TASA_DESDE,"&lt;="&amp;B551))))</f>
        <v/>
      </c>
    </row>
    <row r="552" customFormat="false" ht="15" hidden="false" customHeight="false" outlineLevel="0" collapsed="false">
      <c r="B552" s="78"/>
      <c r="C552" s="64"/>
      <c r="D552" s="72" t="str">
        <f aca="false">IF(C552="","",IFERROR(INDEX(T_NOMBRE,MATCH(C552,T_ID,0)),"⚠ ID no existe"))</f>
        <v/>
      </c>
      <c r="E552" s="69"/>
      <c r="F552" s="67"/>
      <c r="G552" s="67"/>
      <c r="H552" s="67"/>
      <c r="I552" s="67"/>
      <c r="J552" s="67"/>
      <c r="K552" s="85" t="str">
        <f aca="false">IF(AH552="","",N(F552)+N(G552)+N(H552)-N(I552)+N(J552))</f>
        <v/>
      </c>
      <c r="L552" s="67"/>
      <c r="M552" s="67"/>
      <c r="N552" s="67"/>
      <c r="O552" s="67"/>
      <c r="P552" s="85" t="str">
        <f aca="false">IF(AH552="","",K552+N(L552)+N(M552)+N(N552)+N(O552))</f>
        <v/>
      </c>
      <c r="Q552" s="67"/>
      <c r="R552" s="67"/>
      <c r="S552" s="67"/>
      <c r="T552" s="67"/>
      <c r="U552" s="67"/>
      <c r="V552" s="67"/>
      <c r="W552" s="85" t="str">
        <f aca="false">IF(AH552="","",N(Q552)+N(R552)+N(S552)+N(T552)+N(U552)+N(V552))</f>
        <v/>
      </c>
      <c r="X552" s="85" t="str">
        <f aca="false">IF(AH552="","",P552-W552)</f>
        <v/>
      </c>
      <c r="Y552" s="67"/>
      <c r="Z552" s="70" t="str">
        <f aca="false">IF(OR(AH552="",Y552=""),"",IF(ABS(X552-Y552)&lt;=1,"✓ Cuadra","⚠ Diferencia $"&amp;FIXED(X552-Y552,0)))</f>
        <v/>
      </c>
      <c r="AA552" s="72" t="str">
        <f aca="false">IF(AH552="","",IFERROR(INDEX(C_TIPO,MATCH(C552&amp;"-P"&amp;MAX(1,COUNTIFS(C_ID,C552,C_DEFINE,"Sí",C_INICIO,"&lt;="&amp;EOMONTH(B552,0))),C_CLAVE,0))&amp;"","Sin dato"))</f>
        <v/>
      </c>
      <c r="AB552" s="71" t="str">
        <f aca="false">IF(AH552="","",ROUND(MIN(K552,TOPE_AFP_UF*AJ552)*AK552,0))</f>
        <v/>
      </c>
      <c r="AC552" s="71" t="str">
        <f aca="false">IF(AH552="","",ROUND(MIN(K552,TOPE_AFC_UF*AJ552)*IF(AA552="Indefinido",AFC_EMP_INDEF,AFC_EMP_PF),0))</f>
        <v/>
      </c>
      <c r="AD552" s="71" t="str">
        <f aca="false">IF(AH552="","",ROUND(MIN(K552,TOPE_AFP_UF*AJ552)*(MUTUAL_BASICA+MUTUAL_ADIC+SANNA),0))</f>
        <v/>
      </c>
      <c r="AE552" s="71" t="str">
        <f aca="false">IF(AH552="","",P552-N(N552)+AB552+AC552+AD552)</f>
        <v/>
      </c>
      <c r="AF552" s="65"/>
      <c r="AG552" s="64"/>
      <c r="AH552" s="72" t="str">
        <f aca="false">IF(OR(B552="",C552=""),"",C552&amp;"|"&amp;(YEAR(B552)*100+MONTH(B552)))</f>
        <v/>
      </c>
      <c r="AI552" s="70" t="str">
        <f aca="false">IF(AH552="","",IF(COUNTIF(L_CLAVE,AH552)&gt;1,"⚠ Duplicado","OK"))</f>
        <v/>
      </c>
      <c r="AJ552" s="86" t="str">
        <f aca="false">IF(AH552="","",IF(SUMPRODUCT(MAX((IND_PER&lt;=B552)*(IND_UF&lt;&gt;"")*IND_PER))=0,UF_HOY,INDEX(IND_UF,MATCH(SUMPRODUCT(MAX((IND_PER&lt;=B552)*(IND_UF&lt;&gt;"")*IND_PER)),IND_PER,0))))</f>
        <v/>
      </c>
      <c r="AK552" s="87" t="str">
        <f aca="false">IF(AH552="","",IF(COUNTIF(TASA_DESDE,"&lt;="&amp;B552)=0,INDEX(TASA_EMP,1),INDEX(TASA_EMP,COUNTIF(TASA_DESDE,"&lt;="&amp;B552))))</f>
        <v/>
      </c>
    </row>
    <row r="553" customFormat="false" ht="15" hidden="false" customHeight="false" outlineLevel="0" collapsed="false">
      <c r="B553" s="78"/>
      <c r="C553" s="64"/>
      <c r="D553" s="72" t="str">
        <f aca="false">IF(C553="","",IFERROR(INDEX(T_NOMBRE,MATCH(C553,T_ID,0)),"⚠ ID no existe"))</f>
        <v/>
      </c>
      <c r="E553" s="69"/>
      <c r="F553" s="67"/>
      <c r="G553" s="67"/>
      <c r="H553" s="67"/>
      <c r="I553" s="67"/>
      <c r="J553" s="67"/>
      <c r="K553" s="85" t="str">
        <f aca="false">IF(AH553="","",N(F553)+N(G553)+N(H553)-N(I553)+N(J553))</f>
        <v/>
      </c>
      <c r="L553" s="67"/>
      <c r="M553" s="67"/>
      <c r="N553" s="67"/>
      <c r="O553" s="67"/>
      <c r="P553" s="85" t="str">
        <f aca="false">IF(AH553="","",K553+N(L553)+N(M553)+N(N553)+N(O553))</f>
        <v/>
      </c>
      <c r="Q553" s="67"/>
      <c r="R553" s="67"/>
      <c r="S553" s="67"/>
      <c r="T553" s="67"/>
      <c r="U553" s="67"/>
      <c r="V553" s="67"/>
      <c r="W553" s="85" t="str">
        <f aca="false">IF(AH553="","",N(Q553)+N(R553)+N(S553)+N(T553)+N(U553)+N(V553))</f>
        <v/>
      </c>
      <c r="X553" s="85" t="str">
        <f aca="false">IF(AH553="","",P553-W553)</f>
        <v/>
      </c>
      <c r="Y553" s="67"/>
      <c r="Z553" s="70" t="str">
        <f aca="false">IF(OR(AH553="",Y553=""),"",IF(ABS(X553-Y553)&lt;=1,"✓ Cuadra","⚠ Diferencia $"&amp;FIXED(X553-Y553,0)))</f>
        <v/>
      </c>
      <c r="AA553" s="72" t="str">
        <f aca="false">IF(AH553="","",IFERROR(INDEX(C_TIPO,MATCH(C553&amp;"-P"&amp;MAX(1,COUNTIFS(C_ID,C553,C_DEFINE,"Sí",C_INICIO,"&lt;="&amp;EOMONTH(B553,0))),C_CLAVE,0))&amp;"","Sin dato"))</f>
        <v/>
      </c>
      <c r="AB553" s="71" t="str">
        <f aca="false">IF(AH553="","",ROUND(MIN(K553,TOPE_AFP_UF*AJ553)*AK553,0))</f>
        <v/>
      </c>
      <c r="AC553" s="71" t="str">
        <f aca="false">IF(AH553="","",ROUND(MIN(K553,TOPE_AFC_UF*AJ553)*IF(AA553="Indefinido",AFC_EMP_INDEF,AFC_EMP_PF),0))</f>
        <v/>
      </c>
      <c r="AD553" s="71" t="str">
        <f aca="false">IF(AH553="","",ROUND(MIN(K553,TOPE_AFP_UF*AJ553)*(MUTUAL_BASICA+MUTUAL_ADIC+SANNA),0))</f>
        <v/>
      </c>
      <c r="AE553" s="71" t="str">
        <f aca="false">IF(AH553="","",P553-N(N553)+AB553+AC553+AD553)</f>
        <v/>
      </c>
      <c r="AF553" s="65"/>
      <c r="AG553" s="64"/>
      <c r="AH553" s="72" t="str">
        <f aca="false">IF(OR(B553="",C553=""),"",C553&amp;"|"&amp;(YEAR(B553)*100+MONTH(B553)))</f>
        <v/>
      </c>
      <c r="AI553" s="70" t="str">
        <f aca="false">IF(AH553="","",IF(COUNTIF(L_CLAVE,AH553)&gt;1,"⚠ Duplicado","OK"))</f>
        <v/>
      </c>
      <c r="AJ553" s="86" t="str">
        <f aca="false">IF(AH553="","",IF(SUMPRODUCT(MAX((IND_PER&lt;=B553)*(IND_UF&lt;&gt;"")*IND_PER))=0,UF_HOY,INDEX(IND_UF,MATCH(SUMPRODUCT(MAX((IND_PER&lt;=B553)*(IND_UF&lt;&gt;"")*IND_PER)),IND_PER,0))))</f>
        <v/>
      </c>
      <c r="AK553" s="87" t="str">
        <f aca="false">IF(AH553="","",IF(COUNTIF(TASA_DESDE,"&lt;="&amp;B553)=0,INDEX(TASA_EMP,1),INDEX(TASA_EMP,COUNTIF(TASA_DESDE,"&lt;="&amp;B553))))</f>
        <v/>
      </c>
    </row>
    <row r="554" customFormat="false" ht="15" hidden="false" customHeight="false" outlineLevel="0" collapsed="false">
      <c r="B554" s="78"/>
      <c r="C554" s="64"/>
      <c r="D554" s="72" t="str">
        <f aca="false">IF(C554="","",IFERROR(INDEX(T_NOMBRE,MATCH(C554,T_ID,0)),"⚠ ID no existe"))</f>
        <v/>
      </c>
      <c r="E554" s="69"/>
      <c r="F554" s="67"/>
      <c r="G554" s="67"/>
      <c r="H554" s="67"/>
      <c r="I554" s="67"/>
      <c r="J554" s="67"/>
      <c r="K554" s="85" t="str">
        <f aca="false">IF(AH554="","",N(F554)+N(G554)+N(H554)-N(I554)+N(J554))</f>
        <v/>
      </c>
      <c r="L554" s="67"/>
      <c r="M554" s="67"/>
      <c r="N554" s="67"/>
      <c r="O554" s="67"/>
      <c r="P554" s="85" t="str">
        <f aca="false">IF(AH554="","",K554+N(L554)+N(M554)+N(N554)+N(O554))</f>
        <v/>
      </c>
      <c r="Q554" s="67"/>
      <c r="R554" s="67"/>
      <c r="S554" s="67"/>
      <c r="T554" s="67"/>
      <c r="U554" s="67"/>
      <c r="V554" s="67"/>
      <c r="W554" s="85" t="str">
        <f aca="false">IF(AH554="","",N(Q554)+N(R554)+N(S554)+N(T554)+N(U554)+N(V554))</f>
        <v/>
      </c>
      <c r="X554" s="85" t="str">
        <f aca="false">IF(AH554="","",P554-W554)</f>
        <v/>
      </c>
      <c r="Y554" s="67"/>
      <c r="Z554" s="70" t="str">
        <f aca="false">IF(OR(AH554="",Y554=""),"",IF(ABS(X554-Y554)&lt;=1,"✓ Cuadra","⚠ Diferencia $"&amp;FIXED(X554-Y554,0)))</f>
        <v/>
      </c>
      <c r="AA554" s="72" t="str">
        <f aca="false">IF(AH554="","",IFERROR(INDEX(C_TIPO,MATCH(C554&amp;"-P"&amp;MAX(1,COUNTIFS(C_ID,C554,C_DEFINE,"Sí",C_INICIO,"&lt;="&amp;EOMONTH(B554,0))),C_CLAVE,0))&amp;"","Sin dato"))</f>
        <v/>
      </c>
      <c r="AB554" s="71" t="str">
        <f aca="false">IF(AH554="","",ROUND(MIN(K554,TOPE_AFP_UF*AJ554)*AK554,0))</f>
        <v/>
      </c>
      <c r="AC554" s="71" t="str">
        <f aca="false">IF(AH554="","",ROUND(MIN(K554,TOPE_AFC_UF*AJ554)*IF(AA554="Indefinido",AFC_EMP_INDEF,AFC_EMP_PF),0))</f>
        <v/>
      </c>
      <c r="AD554" s="71" t="str">
        <f aca="false">IF(AH554="","",ROUND(MIN(K554,TOPE_AFP_UF*AJ554)*(MUTUAL_BASICA+MUTUAL_ADIC+SANNA),0))</f>
        <v/>
      </c>
      <c r="AE554" s="71" t="str">
        <f aca="false">IF(AH554="","",P554-N(N554)+AB554+AC554+AD554)</f>
        <v/>
      </c>
      <c r="AF554" s="65"/>
      <c r="AG554" s="64"/>
      <c r="AH554" s="72" t="str">
        <f aca="false">IF(OR(B554="",C554=""),"",C554&amp;"|"&amp;(YEAR(B554)*100+MONTH(B554)))</f>
        <v/>
      </c>
      <c r="AI554" s="70" t="str">
        <f aca="false">IF(AH554="","",IF(COUNTIF(L_CLAVE,AH554)&gt;1,"⚠ Duplicado","OK"))</f>
        <v/>
      </c>
      <c r="AJ554" s="86" t="str">
        <f aca="false">IF(AH554="","",IF(SUMPRODUCT(MAX((IND_PER&lt;=B554)*(IND_UF&lt;&gt;"")*IND_PER))=0,UF_HOY,INDEX(IND_UF,MATCH(SUMPRODUCT(MAX((IND_PER&lt;=B554)*(IND_UF&lt;&gt;"")*IND_PER)),IND_PER,0))))</f>
        <v/>
      </c>
      <c r="AK554" s="87" t="str">
        <f aca="false">IF(AH554="","",IF(COUNTIF(TASA_DESDE,"&lt;="&amp;B554)=0,INDEX(TASA_EMP,1),INDEX(TASA_EMP,COUNTIF(TASA_DESDE,"&lt;="&amp;B554))))</f>
        <v/>
      </c>
    </row>
    <row r="555" customFormat="false" ht="15" hidden="false" customHeight="false" outlineLevel="0" collapsed="false">
      <c r="B555" s="78"/>
      <c r="C555" s="64"/>
      <c r="D555" s="72" t="str">
        <f aca="false">IF(C555="","",IFERROR(INDEX(T_NOMBRE,MATCH(C555,T_ID,0)),"⚠ ID no existe"))</f>
        <v/>
      </c>
      <c r="E555" s="69"/>
      <c r="F555" s="67"/>
      <c r="G555" s="67"/>
      <c r="H555" s="67"/>
      <c r="I555" s="67"/>
      <c r="J555" s="67"/>
      <c r="K555" s="85" t="str">
        <f aca="false">IF(AH555="","",N(F555)+N(G555)+N(H555)-N(I555)+N(J555))</f>
        <v/>
      </c>
      <c r="L555" s="67"/>
      <c r="M555" s="67"/>
      <c r="N555" s="67"/>
      <c r="O555" s="67"/>
      <c r="P555" s="85" t="str">
        <f aca="false">IF(AH555="","",K555+N(L555)+N(M555)+N(N555)+N(O555))</f>
        <v/>
      </c>
      <c r="Q555" s="67"/>
      <c r="R555" s="67"/>
      <c r="S555" s="67"/>
      <c r="T555" s="67"/>
      <c r="U555" s="67"/>
      <c r="V555" s="67"/>
      <c r="W555" s="85" t="str">
        <f aca="false">IF(AH555="","",N(Q555)+N(R555)+N(S555)+N(T555)+N(U555)+N(V555))</f>
        <v/>
      </c>
      <c r="X555" s="85" t="str">
        <f aca="false">IF(AH555="","",P555-W555)</f>
        <v/>
      </c>
      <c r="Y555" s="67"/>
      <c r="Z555" s="70" t="str">
        <f aca="false">IF(OR(AH555="",Y555=""),"",IF(ABS(X555-Y555)&lt;=1,"✓ Cuadra","⚠ Diferencia $"&amp;FIXED(X555-Y555,0)))</f>
        <v/>
      </c>
      <c r="AA555" s="72" t="str">
        <f aca="false">IF(AH555="","",IFERROR(INDEX(C_TIPO,MATCH(C555&amp;"-P"&amp;MAX(1,COUNTIFS(C_ID,C555,C_DEFINE,"Sí",C_INICIO,"&lt;="&amp;EOMONTH(B555,0))),C_CLAVE,0))&amp;"","Sin dato"))</f>
        <v/>
      </c>
      <c r="AB555" s="71" t="str">
        <f aca="false">IF(AH555="","",ROUND(MIN(K555,TOPE_AFP_UF*AJ555)*AK555,0))</f>
        <v/>
      </c>
      <c r="AC555" s="71" t="str">
        <f aca="false">IF(AH555="","",ROUND(MIN(K555,TOPE_AFC_UF*AJ555)*IF(AA555="Indefinido",AFC_EMP_INDEF,AFC_EMP_PF),0))</f>
        <v/>
      </c>
      <c r="AD555" s="71" t="str">
        <f aca="false">IF(AH555="","",ROUND(MIN(K555,TOPE_AFP_UF*AJ555)*(MUTUAL_BASICA+MUTUAL_ADIC+SANNA),0))</f>
        <v/>
      </c>
      <c r="AE555" s="71" t="str">
        <f aca="false">IF(AH555="","",P555-N(N555)+AB555+AC555+AD555)</f>
        <v/>
      </c>
      <c r="AF555" s="65"/>
      <c r="AG555" s="64"/>
      <c r="AH555" s="72" t="str">
        <f aca="false">IF(OR(B555="",C555=""),"",C555&amp;"|"&amp;(YEAR(B555)*100+MONTH(B555)))</f>
        <v/>
      </c>
      <c r="AI555" s="70" t="str">
        <f aca="false">IF(AH555="","",IF(COUNTIF(L_CLAVE,AH555)&gt;1,"⚠ Duplicado","OK"))</f>
        <v/>
      </c>
      <c r="AJ555" s="86" t="str">
        <f aca="false">IF(AH555="","",IF(SUMPRODUCT(MAX((IND_PER&lt;=B555)*(IND_UF&lt;&gt;"")*IND_PER))=0,UF_HOY,INDEX(IND_UF,MATCH(SUMPRODUCT(MAX((IND_PER&lt;=B555)*(IND_UF&lt;&gt;"")*IND_PER)),IND_PER,0))))</f>
        <v/>
      </c>
      <c r="AK555" s="87" t="str">
        <f aca="false">IF(AH555="","",IF(COUNTIF(TASA_DESDE,"&lt;="&amp;B555)=0,INDEX(TASA_EMP,1),INDEX(TASA_EMP,COUNTIF(TASA_DESDE,"&lt;="&amp;B555))))</f>
        <v/>
      </c>
    </row>
    <row r="556" customFormat="false" ht="15" hidden="false" customHeight="false" outlineLevel="0" collapsed="false">
      <c r="B556" s="78"/>
      <c r="C556" s="64"/>
      <c r="D556" s="72" t="str">
        <f aca="false">IF(C556="","",IFERROR(INDEX(T_NOMBRE,MATCH(C556,T_ID,0)),"⚠ ID no existe"))</f>
        <v/>
      </c>
      <c r="E556" s="69"/>
      <c r="F556" s="67"/>
      <c r="G556" s="67"/>
      <c r="H556" s="67"/>
      <c r="I556" s="67"/>
      <c r="J556" s="67"/>
      <c r="K556" s="85" t="str">
        <f aca="false">IF(AH556="","",N(F556)+N(G556)+N(H556)-N(I556)+N(J556))</f>
        <v/>
      </c>
      <c r="L556" s="67"/>
      <c r="M556" s="67"/>
      <c r="N556" s="67"/>
      <c r="O556" s="67"/>
      <c r="P556" s="85" t="str">
        <f aca="false">IF(AH556="","",K556+N(L556)+N(M556)+N(N556)+N(O556))</f>
        <v/>
      </c>
      <c r="Q556" s="67"/>
      <c r="R556" s="67"/>
      <c r="S556" s="67"/>
      <c r="T556" s="67"/>
      <c r="U556" s="67"/>
      <c r="V556" s="67"/>
      <c r="W556" s="85" t="str">
        <f aca="false">IF(AH556="","",N(Q556)+N(R556)+N(S556)+N(T556)+N(U556)+N(V556))</f>
        <v/>
      </c>
      <c r="X556" s="85" t="str">
        <f aca="false">IF(AH556="","",P556-W556)</f>
        <v/>
      </c>
      <c r="Y556" s="67"/>
      <c r="Z556" s="70" t="str">
        <f aca="false">IF(OR(AH556="",Y556=""),"",IF(ABS(X556-Y556)&lt;=1,"✓ Cuadra","⚠ Diferencia $"&amp;FIXED(X556-Y556,0)))</f>
        <v/>
      </c>
      <c r="AA556" s="72" t="str">
        <f aca="false">IF(AH556="","",IFERROR(INDEX(C_TIPO,MATCH(C556&amp;"-P"&amp;MAX(1,COUNTIFS(C_ID,C556,C_DEFINE,"Sí",C_INICIO,"&lt;="&amp;EOMONTH(B556,0))),C_CLAVE,0))&amp;"","Sin dato"))</f>
        <v/>
      </c>
      <c r="AB556" s="71" t="str">
        <f aca="false">IF(AH556="","",ROUND(MIN(K556,TOPE_AFP_UF*AJ556)*AK556,0))</f>
        <v/>
      </c>
      <c r="AC556" s="71" t="str">
        <f aca="false">IF(AH556="","",ROUND(MIN(K556,TOPE_AFC_UF*AJ556)*IF(AA556="Indefinido",AFC_EMP_INDEF,AFC_EMP_PF),0))</f>
        <v/>
      </c>
      <c r="AD556" s="71" t="str">
        <f aca="false">IF(AH556="","",ROUND(MIN(K556,TOPE_AFP_UF*AJ556)*(MUTUAL_BASICA+MUTUAL_ADIC+SANNA),0))</f>
        <v/>
      </c>
      <c r="AE556" s="71" t="str">
        <f aca="false">IF(AH556="","",P556-N(N556)+AB556+AC556+AD556)</f>
        <v/>
      </c>
      <c r="AF556" s="65"/>
      <c r="AG556" s="64"/>
      <c r="AH556" s="72" t="str">
        <f aca="false">IF(OR(B556="",C556=""),"",C556&amp;"|"&amp;(YEAR(B556)*100+MONTH(B556)))</f>
        <v/>
      </c>
      <c r="AI556" s="70" t="str">
        <f aca="false">IF(AH556="","",IF(COUNTIF(L_CLAVE,AH556)&gt;1,"⚠ Duplicado","OK"))</f>
        <v/>
      </c>
      <c r="AJ556" s="86" t="str">
        <f aca="false">IF(AH556="","",IF(SUMPRODUCT(MAX((IND_PER&lt;=B556)*(IND_UF&lt;&gt;"")*IND_PER))=0,UF_HOY,INDEX(IND_UF,MATCH(SUMPRODUCT(MAX((IND_PER&lt;=B556)*(IND_UF&lt;&gt;"")*IND_PER)),IND_PER,0))))</f>
        <v/>
      </c>
      <c r="AK556" s="87" t="str">
        <f aca="false">IF(AH556="","",IF(COUNTIF(TASA_DESDE,"&lt;="&amp;B556)=0,INDEX(TASA_EMP,1),INDEX(TASA_EMP,COUNTIF(TASA_DESDE,"&lt;="&amp;B556))))</f>
        <v/>
      </c>
    </row>
    <row r="557" customFormat="false" ht="15" hidden="false" customHeight="false" outlineLevel="0" collapsed="false">
      <c r="B557" s="78"/>
      <c r="C557" s="64"/>
      <c r="D557" s="72" t="str">
        <f aca="false">IF(C557="","",IFERROR(INDEX(T_NOMBRE,MATCH(C557,T_ID,0)),"⚠ ID no existe"))</f>
        <v/>
      </c>
      <c r="E557" s="69"/>
      <c r="F557" s="67"/>
      <c r="G557" s="67"/>
      <c r="H557" s="67"/>
      <c r="I557" s="67"/>
      <c r="J557" s="67"/>
      <c r="K557" s="85" t="str">
        <f aca="false">IF(AH557="","",N(F557)+N(G557)+N(H557)-N(I557)+N(J557))</f>
        <v/>
      </c>
      <c r="L557" s="67"/>
      <c r="M557" s="67"/>
      <c r="N557" s="67"/>
      <c r="O557" s="67"/>
      <c r="P557" s="85" t="str">
        <f aca="false">IF(AH557="","",K557+N(L557)+N(M557)+N(N557)+N(O557))</f>
        <v/>
      </c>
      <c r="Q557" s="67"/>
      <c r="R557" s="67"/>
      <c r="S557" s="67"/>
      <c r="T557" s="67"/>
      <c r="U557" s="67"/>
      <c r="V557" s="67"/>
      <c r="W557" s="85" t="str">
        <f aca="false">IF(AH557="","",N(Q557)+N(R557)+N(S557)+N(T557)+N(U557)+N(V557))</f>
        <v/>
      </c>
      <c r="X557" s="85" t="str">
        <f aca="false">IF(AH557="","",P557-W557)</f>
        <v/>
      </c>
      <c r="Y557" s="67"/>
      <c r="Z557" s="70" t="str">
        <f aca="false">IF(OR(AH557="",Y557=""),"",IF(ABS(X557-Y557)&lt;=1,"✓ Cuadra","⚠ Diferencia $"&amp;FIXED(X557-Y557,0)))</f>
        <v/>
      </c>
      <c r="AA557" s="72" t="str">
        <f aca="false">IF(AH557="","",IFERROR(INDEX(C_TIPO,MATCH(C557&amp;"-P"&amp;MAX(1,COUNTIFS(C_ID,C557,C_DEFINE,"Sí",C_INICIO,"&lt;="&amp;EOMONTH(B557,0))),C_CLAVE,0))&amp;"","Sin dato"))</f>
        <v/>
      </c>
      <c r="AB557" s="71" t="str">
        <f aca="false">IF(AH557="","",ROUND(MIN(K557,TOPE_AFP_UF*AJ557)*AK557,0))</f>
        <v/>
      </c>
      <c r="AC557" s="71" t="str">
        <f aca="false">IF(AH557="","",ROUND(MIN(K557,TOPE_AFC_UF*AJ557)*IF(AA557="Indefinido",AFC_EMP_INDEF,AFC_EMP_PF),0))</f>
        <v/>
      </c>
      <c r="AD557" s="71" t="str">
        <f aca="false">IF(AH557="","",ROUND(MIN(K557,TOPE_AFP_UF*AJ557)*(MUTUAL_BASICA+MUTUAL_ADIC+SANNA),0))</f>
        <v/>
      </c>
      <c r="AE557" s="71" t="str">
        <f aca="false">IF(AH557="","",P557-N(N557)+AB557+AC557+AD557)</f>
        <v/>
      </c>
      <c r="AF557" s="65"/>
      <c r="AG557" s="64"/>
      <c r="AH557" s="72" t="str">
        <f aca="false">IF(OR(B557="",C557=""),"",C557&amp;"|"&amp;(YEAR(B557)*100+MONTH(B557)))</f>
        <v/>
      </c>
      <c r="AI557" s="70" t="str">
        <f aca="false">IF(AH557="","",IF(COUNTIF(L_CLAVE,AH557)&gt;1,"⚠ Duplicado","OK"))</f>
        <v/>
      </c>
      <c r="AJ557" s="86" t="str">
        <f aca="false">IF(AH557="","",IF(SUMPRODUCT(MAX((IND_PER&lt;=B557)*(IND_UF&lt;&gt;"")*IND_PER))=0,UF_HOY,INDEX(IND_UF,MATCH(SUMPRODUCT(MAX((IND_PER&lt;=B557)*(IND_UF&lt;&gt;"")*IND_PER)),IND_PER,0))))</f>
        <v/>
      </c>
      <c r="AK557" s="87" t="str">
        <f aca="false">IF(AH557="","",IF(COUNTIF(TASA_DESDE,"&lt;="&amp;B557)=0,INDEX(TASA_EMP,1),INDEX(TASA_EMP,COUNTIF(TASA_DESDE,"&lt;="&amp;B557))))</f>
        <v/>
      </c>
    </row>
    <row r="558" customFormat="false" ht="15" hidden="false" customHeight="false" outlineLevel="0" collapsed="false">
      <c r="B558" s="78"/>
      <c r="C558" s="64"/>
      <c r="D558" s="72" t="str">
        <f aca="false">IF(C558="","",IFERROR(INDEX(T_NOMBRE,MATCH(C558,T_ID,0)),"⚠ ID no existe"))</f>
        <v/>
      </c>
      <c r="E558" s="69"/>
      <c r="F558" s="67"/>
      <c r="G558" s="67"/>
      <c r="H558" s="67"/>
      <c r="I558" s="67"/>
      <c r="J558" s="67"/>
      <c r="K558" s="85" t="str">
        <f aca="false">IF(AH558="","",N(F558)+N(G558)+N(H558)-N(I558)+N(J558))</f>
        <v/>
      </c>
      <c r="L558" s="67"/>
      <c r="M558" s="67"/>
      <c r="N558" s="67"/>
      <c r="O558" s="67"/>
      <c r="P558" s="85" t="str">
        <f aca="false">IF(AH558="","",K558+N(L558)+N(M558)+N(N558)+N(O558))</f>
        <v/>
      </c>
      <c r="Q558" s="67"/>
      <c r="R558" s="67"/>
      <c r="S558" s="67"/>
      <c r="T558" s="67"/>
      <c r="U558" s="67"/>
      <c r="V558" s="67"/>
      <c r="W558" s="85" t="str">
        <f aca="false">IF(AH558="","",N(Q558)+N(R558)+N(S558)+N(T558)+N(U558)+N(V558))</f>
        <v/>
      </c>
      <c r="X558" s="85" t="str">
        <f aca="false">IF(AH558="","",P558-W558)</f>
        <v/>
      </c>
      <c r="Y558" s="67"/>
      <c r="Z558" s="70" t="str">
        <f aca="false">IF(OR(AH558="",Y558=""),"",IF(ABS(X558-Y558)&lt;=1,"✓ Cuadra","⚠ Diferencia $"&amp;FIXED(X558-Y558,0)))</f>
        <v/>
      </c>
      <c r="AA558" s="72" t="str">
        <f aca="false">IF(AH558="","",IFERROR(INDEX(C_TIPO,MATCH(C558&amp;"-P"&amp;MAX(1,COUNTIFS(C_ID,C558,C_DEFINE,"Sí",C_INICIO,"&lt;="&amp;EOMONTH(B558,0))),C_CLAVE,0))&amp;"","Sin dato"))</f>
        <v/>
      </c>
      <c r="AB558" s="71" t="str">
        <f aca="false">IF(AH558="","",ROUND(MIN(K558,TOPE_AFP_UF*AJ558)*AK558,0))</f>
        <v/>
      </c>
      <c r="AC558" s="71" t="str">
        <f aca="false">IF(AH558="","",ROUND(MIN(K558,TOPE_AFC_UF*AJ558)*IF(AA558="Indefinido",AFC_EMP_INDEF,AFC_EMP_PF),0))</f>
        <v/>
      </c>
      <c r="AD558" s="71" t="str">
        <f aca="false">IF(AH558="","",ROUND(MIN(K558,TOPE_AFP_UF*AJ558)*(MUTUAL_BASICA+MUTUAL_ADIC+SANNA),0))</f>
        <v/>
      </c>
      <c r="AE558" s="71" t="str">
        <f aca="false">IF(AH558="","",P558-N(N558)+AB558+AC558+AD558)</f>
        <v/>
      </c>
      <c r="AF558" s="65"/>
      <c r="AG558" s="64"/>
      <c r="AH558" s="72" t="str">
        <f aca="false">IF(OR(B558="",C558=""),"",C558&amp;"|"&amp;(YEAR(B558)*100+MONTH(B558)))</f>
        <v/>
      </c>
      <c r="AI558" s="70" t="str">
        <f aca="false">IF(AH558="","",IF(COUNTIF(L_CLAVE,AH558)&gt;1,"⚠ Duplicado","OK"))</f>
        <v/>
      </c>
      <c r="AJ558" s="86" t="str">
        <f aca="false">IF(AH558="","",IF(SUMPRODUCT(MAX((IND_PER&lt;=B558)*(IND_UF&lt;&gt;"")*IND_PER))=0,UF_HOY,INDEX(IND_UF,MATCH(SUMPRODUCT(MAX((IND_PER&lt;=B558)*(IND_UF&lt;&gt;"")*IND_PER)),IND_PER,0))))</f>
        <v/>
      </c>
      <c r="AK558" s="87" t="str">
        <f aca="false">IF(AH558="","",IF(COUNTIF(TASA_DESDE,"&lt;="&amp;B558)=0,INDEX(TASA_EMP,1),INDEX(TASA_EMP,COUNTIF(TASA_DESDE,"&lt;="&amp;B558))))</f>
        <v/>
      </c>
    </row>
    <row r="559" customFormat="false" ht="15" hidden="false" customHeight="false" outlineLevel="0" collapsed="false">
      <c r="B559" s="78"/>
      <c r="C559" s="64"/>
      <c r="D559" s="72" t="str">
        <f aca="false">IF(C559="","",IFERROR(INDEX(T_NOMBRE,MATCH(C559,T_ID,0)),"⚠ ID no existe"))</f>
        <v/>
      </c>
      <c r="E559" s="69"/>
      <c r="F559" s="67"/>
      <c r="G559" s="67"/>
      <c r="H559" s="67"/>
      <c r="I559" s="67"/>
      <c r="J559" s="67"/>
      <c r="K559" s="85" t="str">
        <f aca="false">IF(AH559="","",N(F559)+N(G559)+N(H559)-N(I559)+N(J559))</f>
        <v/>
      </c>
      <c r="L559" s="67"/>
      <c r="M559" s="67"/>
      <c r="N559" s="67"/>
      <c r="O559" s="67"/>
      <c r="P559" s="85" t="str">
        <f aca="false">IF(AH559="","",K559+N(L559)+N(M559)+N(N559)+N(O559))</f>
        <v/>
      </c>
      <c r="Q559" s="67"/>
      <c r="R559" s="67"/>
      <c r="S559" s="67"/>
      <c r="T559" s="67"/>
      <c r="U559" s="67"/>
      <c r="V559" s="67"/>
      <c r="W559" s="85" t="str">
        <f aca="false">IF(AH559="","",N(Q559)+N(R559)+N(S559)+N(T559)+N(U559)+N(V559))</f>
        <v/>
      </c>
      <c r="X559" s="85" t="str">
        <f aca="false">IF(AH559="","",P559-W559)</f>
        <v/>
      </c>
      <c r="Y559" s="67"/>
      <c r="Z559" s="70" t="str">
        <f aca="false">IF(OR(AH559="",Y559=""),"",IF(ABS(X559-Y559)&lt;=1,"✓ Cuadra","⚠ Diferencia $"&amp;FIXED(X559-Y559,0)))</f>
        <v/>
      </c>
      <c r="AA559" s="72" t="str">
        <f aca="false">IF(AH559="","",IFERROR(INDEX(C_TIPO,MATCH(C559&amp;"-P"&amp;MAX(1,COUNTIFS(C_ID,C559,C_DEFINE,"Sí",C_INICIO,"&lt;="&amp;EOMONTH(B559,0))),C_CLAVE,0))&amp;"","Sin dato"))</f>
        <v/>
      </c>
      <c r="AB559" s="71" t="str">
        <f aca="false">IF(AH559="","",ROUND(MIN(K559,TOPE_AFP_UF*AJ559)*AK559,0))</f>
        <v/>
      </c>
      <c r="AC559" s="71" t="str">
        <f aca="false">IF(AH559="","",ROUND(MIN(K559,TOPE_AFC_UF*AJ559)*IF(AA559="Indefinido",AFC_EMP_INDEF,AFC_EMP_PF),0))</f>
        <v/>
      </c>
      <c r="AD559" s="71" t="str">
        <f aca="false">IF(AH559="","",ROUND(MIN(K559,TOPE_AFP_UF*AJ559)*(MUTUAL_BASICA+MUTUAL_ADIC+SANNA),0))</f>
        <v/>
      </c>
      <c r="AE559" s="71" t="str">
        <f aca="false">IF(AH559="","",P559-N(N559)+AB559+AC559+AD559)</f>
        <v/>
      </c>
      <c r="AF559" s="65"/>
      <c r="AG559" s="64"/>
      <c r="AH559" s="72" t="str">
        <f aca="false">IF(OR(B559="",C559=""),"",C559&amp;"|"&amp;(YEAR(B559)*100+MONTH(B559)))</f>
        <v/>
      </c>
      <c r="AI559" s="70" t="str">
        <f aca="false">IF(AH559="","",IF(COUNTIF(L_CLAVE,AH559)&gt;1,"⚠ Duplicado","OK"))</f>
        <v/>
      </c>
      <c r="AJ559" s="86" t="str">
        <f aca="false">IF(AH559="","",IF(SUMPRODUCT(MAX((IND_PER&lt;=B559)*(IND_UF&lt;&gt;"")*IND_PER))=0,UF_HOY,INDEX(IND_UF,MATCH(SUMPRODUCT(MAX((IND_PER&lt;=B559)*(IND_UF&lt;&gt;"")*IND_PER)),IND_PER,0))))</f>
        <v/>
      </c>
      <c r="AK559" s="87" t="str">
        <f aca="false">IF(AH559="","",IF(COUNTIF(TASA_DESDE,"&lt;="&amp;B559)=0,INDEX(TASA_EMP,1),INDEX(TASA_EMP,COUNTIF(TASA_DESDE,"&lt;="&amp;B559))))</f>
        <v/>
      </c>
    </row>
    <row r="560" customFormat="false" ht="15" hidden="false" customHeight="false" outlineLevel="0" collapsed="false">
      <c r="B560" s="78"/>
      <c r="C560" s="64"/>
      <c r="D560" s="72" t="str">
        <f aca="false">IF(C560="","",IFERROR(INDEX(T_NOMBRE,MATCH(C560,T_ID,0)),"⚠ ID no existe"))</f>
        <v/>
      </c>
      <c r="E560" s="69"/>
      <c r="F560" s="67"/>
      <c r="G560" s="67"/>
      <c r="H560" s="67"/>
      <c r="I560" s="67"/>
      <c r="J560" s="67"/>
      <c r="K560" s="85" t="str">
        <f aca="false">IF(AH560="","",N(F560)+N(G560)+N(H560)-N(I560)+N(J560))</f>
        <v/>
      </c>
      <c r="L560" s="67"/>
      <c r="M560" s="67"/>
      <c r="N560" s="67"/>
      <c r="O560" s="67"/>
      <c r="P560" s="85" t="str">
        <f aca="false">IF(AH560="","",K560+N(L560)+N(M560)+N(N560)+N(O560))</f>
        <v/>
      </c>
      <c r="Q560" s="67"/>
      <c r="R560" s="67"/>
      <c r="S560" s="67"/>
      <c r="T560" s="67"/>
      <c r="U560" s="67"/>
      <c r="V560" s="67"/>
      <c r="W560" s="85" t="str">
        <f aca="false">IF(AH560="","",N(Q560)+N(R560)+N(S560)+N(T560)+N(U560)+N(V560))</f>
        <v/>
      </c>
      <c r="X560" s="85" t="str">
        <f aca="false">IF(AH560="","",P560-W560)</f>
        <v/>
      </c>
      <c r="Y560" s="67"/>
      <c r="Z560" s="70" t="str">
        <f aca="false">IF(OR(AH560="",Y560=""),"",IF(ABS(X560-Y560)&lt;=1,"✓ Cuadra","⚠ Diferencia $"&amp;FIXED(X560-Y560,0)))</f>
        <v/>
      </c>
      <c r="AA560" s="72" t="str">
        <f aca="false">IF(AH560="","",IFERROR(INDEX(C_TIPO,MATCH(C560&amp;"-P"&amp;MAX(1,COUNTIFS(C_ID,C560,C_DEFINE,"Sí",C_INICIO,"&lt;="&amp;EOMONTH(B560,0))),C_CLAVE,0))&amp;"","Sin dato"))</f>
        <v/>
      </c>
      <c r="AB560" s="71" t="str">
        <f aca="false">IF(AH560="","",ROUND(MIN(K560,TOPE_AFP_UF*AJ560)*AK560,0))</f>
        <v/>
      </c>
      <c r="AC560" s="71" t="str">
        <f aca="false">IF(AH560="","",ROUND(MIN(K560,TOPE_AFC_UF*AJ560)*IF(AA560="Indefinido",AFC_EMP_INDEF,AFC_EMP_PF),0))</f>
        <v/>
      </c>
      <c r="AD560" s="71" t="str">
        <f aca="false">IF(AH560="","",ROUND(MIN(K560,TOPE_AFP_UF*AJ560)*(MUTUAL_BASICA+MUTUAL_ADIC+SANNA),0))</f>
        <v/>
      </c>
      <c r="AE560" s="71" t="str">
        <f aca="false">IF(AH560="","",P560-N(N560)+AB560+AC560+AD560)</f>
        <v/>
      </c>
      <c r="AF560" s="65"/>
      <c r="AG560" s="64"/>
      <c r="AH560" s="72" t="str">
        <f aca="false">IF(OR(B560="",C560=""),"",C560&amp;"|"&amp;(YEAR(B560)*100+MONTH(B560)))</f>
        <v/>
      </c>
      <c r="AI560" s="70" t="str">
        <f aca="false">IF(AH560="","",IF(COUNTIF(L_CLAVE,AH560)&gt;1,"⚠ Duplicado","OK"))</f>
        <v/>
      </c>
      <c r="AJ560" s="86" t="str">
        <f aca="false">IF(AH560="","",IF(SUMPRODUCT(MAX((IND_PER&lt;=B560)*(IND_UF&lt;&gt;"")*IND_PER))=0,UF_HOY,INDEX(IND_UF,MATCH(SUMPRODUCT(MAX((IND_PER&lt;=B560)*(IND_UF&lt;&gt;"")*IND_PER)),IND_PER,0))))</f>
        <v/>
      </c>
      <c r="AK560" s="87" t="str">
        <f aca="false">IF(AH560="","",IF(COUNTIF(TASA_DESDE,"&lt;="&amp;B560)=0,INDEX(TASA_EMP,1),INDEX(TASA_EMP,COUNTIF(TASA_DESDE,"&lt;="&amp;B560))))</f>
        <v/>
      </c>
    </row>
    <row r="561" customFormat="false" ht="15" hidden="false" customHeight="false" outlineLevel="0" collapsed="false">
      <c r="B561" s="78"/>
      <c r="C561" s="64"/>
      <c r="D561" s="72" t="str">
        <f aca="false">IF(C561="","",IFERROR(INDEX(T_NOMBRE,MATCH(C561,T_ID,0)),"⚠ ID no existe"))</f>
        <v/>
      </c>
      <c r="E561" s="69"/>
      <c r="F561" s="67"/>
      <c r="G561" s="67"/>
      <c r="H561" s="67"/>
      <c r="I561" s="67"/>
      <c r="J561" s="67"/>
      <c r="K561" s="85" t="str">
        <f aca="false">IF(AH561="","",N(F561)+N(G561)+N(H561)-N(I561)+N(J561))</f>
        <v/>
      </c>
      <c r="L561" s="67"/>
      <c r="M561" s="67"/>
      <c r="N561" s="67"/>
      <c r="O561" s="67"/>
      <c r="P561" s="85" t="str">
        <f aca="false">IF(AH561="","",K561+N(L561)+N(M561)+N(N561)+N(O561))</f>
        <v/>
      </c>
      <c r="Q561" s="67"/>
      <c r="R561" s="67"/>
      <c r="S561" s="67"/>
      <c r="T561" s="67"/>
      <c r="U561" s="67"/>
      <c r="V561" s="67"/>
      <c r="W561" s="85" t="str">
        <f aca="false">IF(AH561="","",N(Q561)+N(R561)+N(S561)+N(T561)+N(U561)+N(V561))</f>
        <v/>
      </c>
      <c r="X561" s="85" t="str">
        <f aca="false">IF(AH561="","",P561-W561)</f>
        <v/>
      </c>
      <c r="Y561" s="67"/>
      <c r="Z561" s="70" t="str">
        <f aca="false">IF(OR(AH561="",Y561=""),"",IF(ABS(X561-Y561)&lt;=1,"✓ Cuadra","⚠ Diferencia $"&amp;FIXED(X561-Y561,0)))</f>
        <v/>
      </c>
      <c r="AA561" s="72" t="str">
        <f aca="false">IF(AH561="","",IFERROR(INDEX(C_TIPO,MATCH(C561&amp;"-P"&amp;MAX(1,COUNTIFS(C_ID,C561,C_DEFINE,"Sí",C_INICIO,"&lt;="&amp;EOMONTH(B561,0))),C_CLAVE,0))&amp;"","Sin dato"))</f>
        <v/>
      </c>
      <c r="AB561" s="71" t="str">
        <f aca="false">IF(AH561="","",ROUND(MIN(K561,TOPE_AFP_UF*AJ561)*AK561,0))</f>
        <v/>
      </c>
      <c r="AC561" s="71" t="str">
        <f aca="false">IF(AH561="","",ROUND(MIN(K561,TOPE_AFC_UF*AJ561)*IF(AA561="Indefinido",AFC_EMP_INDEF,AFC_EMP_PF),0))</f>
        <v/>
      </c>
      <c r="AD561" s="71" t="str">
        <f aca="false">IF(AH561="","",ROUND(MIN(K561,TOPE_AFP_UF*AJ561)*(MUTUAL_BASICA+MUTUAL_ADIC+SANNA),0))</f>
        <v/>
      </c>
      <c r="AE561" s="71" t="str">
        <f aca="false">IF(AH561="","",P561-N(N561)+AB561+AC561+AD561)</f>
        <v/>
      </c>
      <c r="AF561" s="65"/>
      <c r="AG561" s="64"/>
      <c r="AH561" s="72" t="str">
        <f aca="false">IF(OR(B561="",C561=""),"",C561&amp;"|"&amp;(YEAR(B561)*100+MONTH(B561)))</f>
        <v/>
      </c>
      <c r="AI561" s="70" t="str">
        <f aca="false">IF(AH561="","",IF(COUNTIF(L_CLAVE,AH561)&gt;1,"⚠ Duplicado","OK"))</f>
        <v/>
      </c>
      <c r="AJ561" s="86" t="str">
        <f aca="false">IF(AH561="","",IF(SUMPRODUCT(MAX((IND_PER&lt;=B561)*(IND_UF&lt;&gt;"")*IND_PER))=0,UF_HOY,INDEX(IND_UF,MATCH(SUMPRODUCT(MAX((IND_PER&lt;=B561)*(IND_UF&lt;&gt;"")*IND_PER)),IND_PER,0))))</f>
        <v/>
      </c>
      <c r="AK561" s="87" t="str">
        <f aca="false">IF(AH561="","",IF(COUNTIF(TASA_DESDE,"&lt;="&amp;B561)=0,INDEX(TASA_EMP,1),INDEX(TASA_EMP,COUNTIF(TASA_DESDE,"&lt;="&amp;B561))))</f>
        <v/>
      </c>
    </row>
    <row r="562" customFormat="false" ht="15" hidden="false" customHeight="false" outlineLevel="0" collapsed="false">
      <c r="B562" s="78"/>
      <c r="C562" s="64"/>
      <c r="D562" s="72" t="str">
        <f aca="false">IF(C562="","",IFERROR(INDEX(T_NOMBRE,MATCH(C562,T_ID,0)),"⚠ ID no existe"))</f>
        <v/>
      </c>
      <c r="E562" s="69"/>
      <c r="F562" s="67"/>
      <c r="G562" s="67"/>
      <c r="H562" s="67"/>
      <c r="I562" s="67"/>
      <c r="J562" s="67"/>
      <c r="K562" s="85" t="str">
        <f aca="false">IF(AH562="","",N(F562)+N(G562)+N(H562)-N(I562)+N(J562))</f>
        <v/>
      </c>
      <c r="L562" s="67"/>
      <c r="M562" s="67"/>
      <c r="N562" s="67"/>
      <c r="O562" s="67"/>
      <c r="P562" s="85" t="str">
        <f aca="false">IF(AH562="","",K562+N(L562)+N(M562)+N(N562)+N(O562))</f>
        <v/>
      </c>
      <c r="Q562" s="67"/>
      <c r="R562" s="67"/>
      <c r="S562" s="67"/>
      <c r="T562" s="67"/>
      <c r="U562" s="67"/>
      <c r="V562" s="67"/>
      <c r="W562" s="85" t="str">
        <f aca="false">IF(AH562="","",N(Q562)+N(R562)+N(S562)+N(T562)+N(U562)+N(V562))</f>
        <v/>
      </c>
      <c r="X562" s="85" t="str">
        <f aca="false">IF(AH562="","",P562-W562)</f>
        <v/>
      </c>
      <c r="Y562" s="67"/>
      <c r="Z562" s="70" t="str">
        <f aca="false">IF(OR(AH562="",Y562=""),"",IF(ABS(X562-Y562)&lt;=1,"✓ Cuadra","⚠ Diferencia $"&amp;FIXED(X562-Y562,0)))</f>
        <v/>
      </c>
      <c r="AA562" s="72" t="str">
        <f aca="false">IF(AH562="","",IFERROR(INDEX(C_TIPO,MATCH(C562&amp;"-P"&amp;MAX(1,COUNTIFS(C_ID,C562,C_DEFINE,"Sí",C_INICIO,"&lt;="&amp;EOMONTH(B562,0))),C_CLAVE,0))&amp;"","Sin dato"))</f>
        <v/>
      </c>
      <c r="AB562" s="71" t="str">
        <f aca="false">IF(AH562="","",ROUND(MIN(K562,TOPE_AFP_UF*AJ562)*AK562,0))</f>
        <v/>
      </c>
      <c r="AC562" s="71" t="str">
        <f aca="false">IF(AH562="","",ROUND(MIN(K562,TOPE_AFC_UF*AJ562)*IF(AA562="Indefinido",AFC_EMP_INDEF,AFC_EMP_PF),0))</f>
        <v/>
      </c>
      <c r="AD562" s="71" t="str">
        <f aca="false">IF(AH562="","",ROUND(MIN(K562,TOPE_AFP_UF*AJ562)*(MUTUAL_BASICA+MUTUAL_ADIC+SANNA),0))</f>
        <v/>
      </c>
      <c r="AE562" s="71" t="str">
        <f aca="false">IF(AH562="","",P562-N(N562)+AB562+AC562+AD562)</f>
        <v/>
      </c>
      <c r="AF562" s="65"/>
      <c r="AG562" s="64"/>
      <c r="AH562" s="72" t="str">
        <f aca="false">IF(OR(B562="",C562=""),"",C562&amp;"|"&amp;(YEAR(B562)*100+MONTH(B562)))</f>
        <v/>
      </c>
      <c r="AI562" s="70" t="str">
        <f aca="false">IF(AH562="","",IF(COUNTIF(L_CLAVE,AH562)&gt;1,"⚠ Duplicado","OK"))</f>
        <v/>
      </c>
      <c r="AJ562" s="86" t="str">
        <f aca="false">IF(AH562="","",IF(SUMPRODUCT(MAX((IND_PER&lt;=B562)*(IND_UF&lt;&gt;"")*IND_PER))=0,UF_HOY,INDEX(IND_UF,MATCH(SUMPRODUCT(MAX((IND_PER&lt;=B562)*(IND_UF&lt;&gt;"")*IND_PER)),IND_PER,0))))</f>
        <v/>
      </c>
      <c r="AK562" s="87" t="str">
        <f aca="false">IF(AH562="","",IF(COUNTIF(TASA_DESDE,"&lt;="&amp;B562)=0,INDEX(TASA_EMP,1),INDEX(TASA_EMP,COUNTIF(TASA_DESDE,"&lt;="&amp;B562))))</f>
        <v/>
      </c>
    </row>
    <row r="563" customFormat="false" ht="15" hidden="false" customHeight="false" outlineLevel="0" collapsed="false">
      <c r="B563" s="78"/>
      <c r="C563" s="64"/>
      <c r="D563" s="72" t="str">
        <f aca="false">IF(C563="","",IFERROR(INDEX(T_NOMBRE,MATCH(C563,T_ID,0)),"⚠ ID no existe"))</f>
        <v/>
      </c>
      <c r="E563" s="69"/>
      <c r="F563" s="67"/>
      <c r="G563" s="67"/>
      <c r="H563" s="67"/>
      <c r="I563" s="67"/>
      <c r="J563" s="67"/>
      <c r="K563" s="85" t="str">
        <f aca="false">IF(AH563="","",N(F563)+N(G563)+N(H563)-N(I563)+N(J563))</f>
        <v/>
      </c>
      <c r="L563" s="67"/>
      <c r="M563" s="67"/>
      <c r="N563" s="67"/>
      <c r="O563" s="67"/>
      <c r="P563" s="85" t="str">
        <f aca="false">IF(AH563="","",K563+N(L563)+N(M563)+N(N563)+N(O563))</f>
        <v/>
      </c>
      <c r="Q563" s="67"/>
      <c r="R563" s="67"/>
      <c r="S563" s="67"/>
      <c r="T563" s="67"/>
      <c r="U563" s="67"/>
      <c r="V563" s="67"/>
      <c r="W563" s="85" t="str">
        <f aca="false">IF(AH563="","",N(Q563)+N(R563)+N(S563)+N(T563)+N(U563)+N(V563))</f>
        <v/>
      </c>
      <c r="X563" s="85" t="str">
        <f aca="false">IF(AH563="","",P563-W563)</f>
        <v/>
      </c>
      <c r="Y563" s="67"/>
      <c r="Z563" s="70" t="str">
        <f aca="false">IF(OR(AH563="",Y563=""),"",IF(ABS(X563-Y563)&lt;=1,"✓ Cuadra","⚠ Diferencia $"&amp;FIXED(X563-Y563,0)))</f>
        <v/>
      </c>
      <c r="AA563" s="72" t="str">
        <f aca="false">IF(AH563="","",IFERROR(INDEX(C_TIPO,MATCH(C563&amp;"-P"&amp;MAX(1,COUNTIFS(C_ID,C563,C_DEFINE,"Sí",C_INICIO,"&lt;="&amp;EOMONTH(B563,0))),C_CLAVE,0))&amp;"","Sin dato"))</f>
        <v/>
      </c>
      <c r="AB563" s="71" t="str">
        <f aca="false">IF(AH563="","",ROUND(MIN(K563,TOPE_AFP_UF*AJ563)*AK563,0))</f>
        <v/>
      </c>
      <c r="AC563" s="71" t="str">
        <f aca="false">IF(AH563="","",ROUND(MIN(K563,TOPE_AFC_UF*AJ563)*IF(AA563="Indefinido",AFC_EMP_INDEF,AFC_EMP_PF),0))</f>
        <v/>
      </c>
      <c r="AD563" s="71" t="str">
        <f aca="false">IF(AH563="","",ROUND(MIN(K563,TOPE_AFP_UF*AJ563)*(MUTUAL_BASICA+MUTUAL_ADIC+SANNA),0))</f>
        <v/>
      </c>
      <c r="AE563" s="71" t="str">
        <f aca="false">IF(AH563="","",P563-N(N563)+AB563+AC563+AD563)</f>
        <v/>
      </c>
      <c r="AF563" s="65"/>
      <c r="AG563" s="64"/>
      <c r="AH563" s="72" t="str">
        <f aca="false">IF(OR(B563="",C563=""),"",C563&amp;"|"&amp;(YEAR(B563)*100+MONTH(B563)))</f>
        <v/>
      </c>
      <c r="AI563" s="70" t="str">
        <f aca="false">IF(AH563="","",IF(COUNTIF(L_CLAVE,AH563)&gt;1,"⚠ Duplicado","OK"))</f>
        <v/>
      </c>
      <c r="AJ563" s="86" t="str">
        <f aca="false">IF(AH563="","",IF(SUMPRODUCT(MAX((IND_PER&lt;=B563)*(IND_UF&lt;&gt;"")*IND_PER))=0,UF_HOY,INDEX(IND_UF,MATCH(SUMPRODUCT(MAX((IND_PER&lt;=B563)*(IND_UF&lt;&gt;"")*IND_PER)),IND_PER,0))))</f>
        <v/>
      </c>
      <c r="AK563" s="87" t="str">
        <f aca="false">IF(AH563="","",IF(COUNTIF(TASA_DESDE,"&lt;="&amp;B563)=0,INDEX(TASA_EMP,1),INDEX(TASA_EMP,COUNTIF(TASA_DESDE,"&lt;="&amp;B563))))</f>
        <v/>
      </c>
    </row>
    <row r="564" customFormat="false" ht="15" hidden="false" customHeight="false" outlineLevel="0" collapsed="false">
      <c r="B564" s="78"/>
      <c r="C564" s="64"/>
      <c r="D564" s="72" t="str">
        <f aca="false">IF(C564="","",IFERROR(INDEX(T_NOMBRE,MATCH(C564,T_ID,0)),"⚠ ID no existe"))</f>
        <v/>
      </c>
      <c r="E564" s="69"/>
      <c r="F564" s="67"/>
      <c r="G564" s="67"/>
      <c r="H564" s="67"/>
      <c r="I564" s="67"/>
      <c r="J564" s="67"/>
      <c r="K564" s="85" t="str">
        <f aca="false">IF(AH564="","",N(F564)+N(G564)+N(H564)-N(I564)+N(J564))</f>
        <v/>
      </c>
      <c r="L564" s="67"/>
      <c r="M564" s="67"/>
      <c r="N564" s="67"/>
      <c r="O564" s="67"/>
      <c r="P564" s="85" t="str">
        <f aca="false">IF(AH564="","",K564+N(L564)+N(M564)+N(N564)+N(O564))</f>
        <v/>
      </c>
      <c r="Q564" s="67"/>
      <c r="R564" s="67"/>
      <c r="S564" s="67"/>
      <c r="T564" s="67"/>
      <c r="U564" s="67"/>
      <c r="V564" s="67"/>
      <c r="W564" s="85" t="str">
        <f aca="false">IF(AH564="","",N(Q564)+N(R564)+N(S564)+N(T564)+N(U564)+N(V564))</f>
        <v/>
      </c>
      <c r="X564" s="85" t="str">
        <f aca="false">IF(AH564="","",P564-W564)</f>
        <v/>
      </c>
      <c r="Y564" s="67"/>
      <c r="Z564" s="70" t="str">
        <f aca="false">IF(OR(AH564="",Y564=""),"",IF(ABS(X564-Y564)&lt;=1,"✓ Cuadra","⚠ Diferencia $"&amp;FIXED(X564-Y564,0)))</f>
        <v/>
      </c>
      <c r="AA564" s="72" t="str">
        <f aca="false">IF(AH564="","",IFERROR(INDEX(C_TIPO,MATCH(C564&amp;"-P"&amp;MAX(1,COUNTIFS(C_ID,C564,C_DEFINE,"Sí",C_INICIO,"&lt;="&amp;EOMONTH(B564,0))),C_CLAVE,0))&amp;"","Sin dato"))</f>
        <v/>
      </c>
      <c r="AB564" s="71" t="str">
        <f aca="false">IF(AH564="","",ROUND(MIN(K564,TOPE_AFP_UF*AJ564)*AK564,0))</f>
        <v/>
      </c>
      <c r="AC564" s="71" t="str">
        <f aca="false">IF(AH564="","",ROUND(MIN(K564,TOPE_AFC_UF*AJ564)*IF(AA564="Indefinido",AFC_EMP_INDEF,AFC_EMP_PF),0))</f>
        <v/>
      </c>
      <c r="AD564" s="71" t="str">
        <f aca="false">IF(AH564="","",ROUND(MIN(K564,TOPE_AFP_UF*AJ564)*(MUTUAL_BASICA+MUTUAL_ADIC+SANNA),0))</f>
        <v/>
      </c>
      <c r="AE564" s="71" t="str">
        <f aca="false">IF(AH564="","",P564-N(N564)+AB564+AC564+AD564)</f>
        <v/>
      </c>
      <c r="AF564" s="65"/>
      <c r="AG564" s="64"/>
      <c r="AH564" s="72" t="str">
        <f aca="false">IF(OR(B564="",C564=""),"",C564&amp;"|"&amp;(YEAR(B564)*100+MONTH(B564)))</f>
        <v/>
      </c>
      <c r="AI564" s="70" t="str">
        <f aca="false">IF(AH564="","",IF(COUNTIF(L_CLAVE,AH564)&gt;1,"⚠ Duplicado","OK"))</f>
        <v/>
      </c>
      <c r="AJ564" s="86" t="str">
        <f aca="false">IF(AH564="","",IF(SUMPRODUCT(MAX((IND_PER&lt;=B564)*(IND_UF&lt;&gt;"")*IND_PER))=0,UF_HOY,INDEX(IND_UF,MATCH(SUMPRODUCT(MAX((IND_PER&lt;=B564)*(IND_UF&lt;&gt;"")*IND_PER)),IND_PER,0))))</f>
        <v/>
      </c>
      <c r="AK564" s="87" t="str">
        <f aca="false">IF(AH564="","",IF(COUNTIF(TASA_DESDE,"&lt;="&amp;B564)=0,INDEX(TASA_EMP,1),INDEX(TASA_EMP,COUNTIF(TASA_DESDE,"&lt;="&amp;B564))))</f>
        <v/>
      </c>
    </row>
    <row r="565" customFormat="false" ht="15" hidden="false" customHeight="false" outlineLevel="0" collapsed="false">
      <c r="B565" s="78"/>
      <c r="C565" s="64"/>
      <c r="D565" s="72" t="str">
        <f aca="false">IF(C565="","",IFERROR(INDEX(T_NOMBRE,MATCH(C565,T_ID,0)),"⚠ ID no existe"))</f>
        <v/>
      </c>
      <c r="E565" s="69"/>
      <c r="F565" s="67"/>
      <c r="G565" s="67"/>
      <c r="H565" s="67"/>
      <c r="I565" s="67"/>
      <c r="J565" s="67"/>
      <c r="K565" s="85" t="str">
        <f aca="false">IF(AH565="","",N(F565)+N(G565)+N(H565)-N(I565)+N(J565))</f>
        <v/>
      </c>
      <c r="L565" s="67"/>
      <c r="M565" s="67"/>
      <c r="N565" s="67"/>
      <c r="O565" s="67"/>
      <c r="P565" s="85" t="str">
        <f aca="false">IF(AH565="","",K565+N(L565)+N(M565)+N(N565)+N(O565))</f>
        <v/>
      </c>
      <c r="Q565" s="67"/>
      <c r="R565" s="67"/>
      <c r="S565" s="67"/>
      <c r="T565" s="67"/>
      <c r="U565" s="67"/>
      <c r="V565" s="67"/>
      <c r="W565" s="85" t="str">
        <f aca="false">IF(AH565="","",N(Q565)+N(R565)+N(S565)+N(T565)+N(U565)+N(V565))</f>
        <v/>
      </c>
      <c r="X565" s="85" t="str">
        <f aca="false">IF(AH565="","",P565-W565)</f>
        <v/>
      </c>
      <c r="Y565" s="67"/>
      <c r="Z565" s="70" t="str">
        <f aca="false">IF(OR(AH565="",Y565=""),"",IF(ABS(X565-Y565)&lt;=1,"✓ Cuadra","⚠ Diferencia $"&amp;FIXED(X565-Y565,0)))</f>
        <v/>
      </c>
      <c r="AA565" s="72" t="str">
        <f aca="false">IF(AH565="","",IFERROR(INDEX(C_TIPO,MATCH(C565&amp;"-P"&amp;MAX(1,COUNTIFS(C_ID,C565,C_DEFINE,"Sí",C_INICIO,"&lt;="&amp;EOMONTH(B565,0))),C_CLAVE,0))&amp;"","Sin dato"))</f>
        <v/>
      </c>
      <c r="AB565" s="71" t="str">
        <f aca="false">IF(AH565="","",ROUND(MIN(K565,TOPE_AFP_UF*AJ565)*AK565,0))</f>
        <v/>
      </c>
      <c r="AC565" s="71" t="str">
        <f aca="false">IF(AH565="","",ROUND(MIN(K565,TOPE_AFC_UF*AJ565)*IF(AA565="Indefinido",AFC_EMP_INDEF,AFC_EMP_PF),0))</f>
        <v/>
      </c>
      <c r="AD565" s="71" t="str">
        <f aca="false">IF(AH565="","",ROUND(MIN(K565,TOPE_AFP_UF*AJ565)*(MUTUAL_BASICA+MUTUAL_ADIC+SANNA),0))</f>
        <v/>
      </c>
      <c r="AE565" s="71" t="str">
        <f aca="false">IF(AH565="","",P565-N(N565)+AB565+AC565+AD565)</f>
        <v/>
      </c>
      <c r="AF565" s="65"/>
      <c r="AG565" s="64"/>
      <c r="AH565" s="72" t="str">
        <f aca="false">IF(OR(B565="",C565=""),"",C565&amp;"|"&amp;(YEAR(B565)*100+MONTH(B565)))</f>
        <v/>
      </c>
      <c r="AI565" s="70" t="str">
        <f aca="false">IF(AH565="","",IF(COUNTIF(L_CLAVE,AH565)&gt;1,"⚠ Duplicado","OK"))</f>
        <v/>
      </c>
      <c r="AJ565" s="86" t="str">
        <f aca="false">IF(AH565="","",IF(SUMPRODUCT(MAX((IND_PER&lt;=B565)*(IND_UF&lt;&gt;"")*IND_PER))=0,UF_HOY,INDEX(IND_UF,MATCH(SUMPRODUCT(MAX((IND_PER&lt;=B565)*(IND_UF&lt;&gt;"")*IND_PER)),IND_PER,0))))</f>
        <v/>
      </c>
      <c r="AK565" s="87" t="str">
        <f aca="false">IF(AH565="","",IF(COUNTIF(TASA_DESDE,"&lt;="&amp;B565)=0,INDEX(TASA_EMP,1),INDEX(TASA_EMP,COUNTIF(TASA_DESDE,"&lt;="&amp;B565))))</f>
        <v/>
      </c>
    </row>
    <row r="566" customFormat="false" ht="15" hidden="false" customHeight="false" outlineLevel="0" collapsed="false">
      <c r="B566" s="78"/>
      <c r="C566" s="64"/>
      <c r="D566" s="72" t="str">
        <f aca="false">IF(C566="","",IFERROR(INDEX(T_NOMBRE,MATCH(C566,T_ID,0)),"⚠ ID no existe"))</f>
        <v/>
      </c>
      <c r="E566" s="69"/>
      <c r="F566" s="67"/>
      <c r="G566" s="67"/>
      <c r="H566" s="67"/>
      <c r="I566" s="67"/>
      <c r="J566" s="67"/>
      <c r="K566" s="85" t="str">
        <f aca="false">IF(AH566="","",N(F566)+N(G566)+N(H566)-N(I566)+N(J566))</f>
        <v/>
      </c>
      <c r="L566" s="67"/>
      <c r="M566" s="67"/>
      <c r="N566" s="67"/>
      <c r="O566" s="67"/>
      <c r="P566" s="85" t="str">
        <f aca="false">IF(AH566="","",K566+N(L566)+N(M566)+N(N566)+N(O566))</f>
        <v/>
      </c>
      <c r="Q566" s="67"/>
      <c r="R566" s="67"/>
      <c r="S566" s="67"/>
      <c r="T566" s="67"/>
      <c r="U566" s="67"/>
      <c r="V566" s="67"/>
      <c r="W566" s="85" t="str">
        <f aca="false">IF(AH566="","",N(Q566)+N(R566)+N(S566)+N(T566)+N(U566)+N(V566))</f>
        <v/>
      </c>
      <c r="X566" s="85" t="str">
        <f aca="false">IF(AH566="","",P566-W566)</f>
        <v/>
      </c>
      <c r="Y566" s="67"/>
      <c r="Z566" s="70" t="str">
        <f aca="false">IF(OR(AH566="",Y566=""),"",IF(ABS(X566-Y566)&lt;=1,"✓ Cuadra","⚠ Diferencia $"&amp;FIXED(X566-Y566,0)))</f>
        <v/>
      </c>
      <c r="AA566" s="72" t="str">
        <f aca="false">IF(AH566="","",IFERROR(INDEX(C_TIPO,MATCH(C566&amp;"-P"&amp;MAX(1,COUNTIFS(C_ID,C566,C_DEFINE,"Sí",C_INICIO,"&lt;="&amp;EOMONTH(B566,0))),C_CLAVE,0))&amp;"","Sin dato"))</f>
        <v/>
      </c>
      <c r="AB566" s="71" t="str">
        <f aca="false">IF(AH566="","",ROUND(MIN(K566,TOPE_AFP_UF*AJ566)*AK566,0))</f>
        <v/>
      </c>
      <c r="AC566" s="71" t="str">
        <f aca="false">IF(AH566="","",ROUND(MIN(K566,TOPE_AFC_UF*AJ566)*IF(AA566="Indefinido",AFC_EMP_INDEF,AFC_EMP_PF),0))</f>
        <v/>
      </c>
      <c r="AD566" s="71" t="str">
        <f aca="false">IF(AH566="","",ROUND(MIN(K566,TOPE_AFP_UF*AJ566)*(MUTUAL_BASICA+MUTUAL_ADIC+SANNA),0))</f>
        <v/>
      </c>
      <c r="AE566" s="71" t="str">
        <f aca="false">IF(AH566="","",P566-N(N566)+AB566+AC566+AD566)</f>
        <v/>
      </c>
      <c r="AF566" s="65"/>
      <c r="AG566" s="64"/>
      <c r="AH566" s="72" t="str">
        <f aca="false">IF(OR(B566="",C566=""),"",C566&amp;"|"&amp;(YEAR(B566)*100+MONTH(B566)))</f>
        <v/>
      </c>
      <c r="AI566" s="70" t="str">
        <f aca="false">IF(AH566="","",IF(COUNTIF(L_CLAVE,AH566)&gt;1,"⚠ Duplicado","OK"))</f>
        <v/>
      </c>
      <c r="AJ566" s="86" t="str">
        <f aca="false">IF(AH566="","",IF(SUMPRODUCT(MAX((IND_PER&lt;=B566)*(IND_UF&lt;&gt;"")*IND_PER))=0,UF_HOY,INDEX(IND_UF,MATCH(SUMPRODUCT(MAX((IND_PER&lt;=B566)*(IND_UF&lt;&gt;"")*IND_PER)),IND_PER,0))))</f>
        <v/>
      </c>
      <c r="AK566" s="87" t="str">
        <f aca="false">IF(AH566="","",IF(COUNTIF(TASA_DESDE,"&lt;="&amp;B566)=0,INDEX(TASA_EMP,1),INDEX(TASA_EMP,COUNTIF(TASA_DESDE,"&lt;="&amp;B566))))</f>
        <v/>
      </c>
    </row>
    <row r="567" customFormat="false" ht="15" hidden="false" customHeight="false" outlineLevel="0" collapsed="false">
      <c r="B567" s="78"/>
      <c r="C567" s="64"/>
      <c r="D567" s="72" t="str">
        <f aca="false">IF(C567="","",IFERROR(INDEX(T_NOMBRE,MATCH(C567,T_ID,0)),"⚠ ID no existe"))</f>
        <v/>
      </c>
      <c r="E567" s="69"/>
      <c r="F567" s="67"/>
      <c r="G567" s="67"/>
      <c r="H567" s="67"/>
      <c r="I567" s="67"/>
      <c r="J567" s="67"/>
      <c r="K567" s="85" t="str">
        <f aca="false">IF(AH567="","",N(F567)+N(G567)+N(H567)-N(I567)+N(J567))</f>
        <v/>
      </c>
      <c r="L567" s="67"/>
      <c r="M567" s="67"/>
      <c r="N567" s="67"/>
      <c r="O567" s="67"/>
      <c r="P567" s="85" t="str">
        <f aca="false">IF(AH567="","",K567+N(L567)+N(M567)+N(N567)+N(O567))</f>
        <v/>
      </c>
      <c r="Q567" s="67"/>
      <c r="R567" s="67"/>
      <c r="S567" s="67"/>
      <c r="T567" s="67"/>
      <c r="U567" s="67"/>
      <c r="V567" s="67"/>
      <c r="W567" s="85" t="str">
        <f aca="false">IF(AH567="","",N(Q567)+N(R567)+N(S567)+N(T567)+N(U567)+N(V567))</f>
        <v/>
      </c>
      <c r="X567" s="85" t="str">
        <f aca="false">IF(AH567="","",P567-W567)</f>
        <v/>
      </c>
      <c r="Y567" s="67"/>
      <c r="Z567" s="70" t="str">
        <f aca="false">IF(OR(AH567="",Y567=""),"",IF(ABS(X567-Y567)&lt;=1,"✓ Cuadra","⚠ Diferencia $"&amp;FIXED(X567-Y567,0)))</f>
        <v/>
      </c>
      <c r="AA567" s="72" t="str">
        <f aca="false">IF(AH567="","",IFERROR(INDEX(C_TIPO,MATCH(C567&amp;"-P"&amp;MAX(1,COUNTIFS(C_ID,C567,C_DEFINE,"Sí",C_INICIO,"&lt;="&amp;EOMONTH(B567,0))),C_CLAVE,0))&amp;"","Sin dato"))</f>
        <v/>
      </c>
      <c r="AB567" s="71" t="str">
        <f aca="false">IF(AH567="","",ROUND(MIN(K567,TOPE_AFP_UF*AJ567)*AK567,0))</f>
        <v/>
      </c>
      <c r="AC567" s="71" t="str">
        <f aca="false">IF(AH567="","",ROUND(MIN(K567,TOPE_AFC_UF*AJ567)*IF(AA567="Indefinido",AFC_EMP_INDEF,AFC_EMP_PF),0))</f>
        <v/>
      </c>
      <c r="AD567" s="71" t="str">
        <f aca="false">IF(AH567="","",ROUND(MIN(K567,TOPE_AFP_UF*AJ567)*(MUTUAL_BASICA+MUTUAL_ADIC+SANNA),0))</f>
        <v/>
      </c>
      <c r="AE567" s="71" t="str">
        <f aca="false">IF(AH567="","",P567-N(N567)+AB567+AC567+AD567)</f>
        <v/>
      </c>
      <c r="AF567" s="65"/>
      <c r="AG567" s="64"/>
      <c r="AH567" s="72" t="str">
        <f aca="false">IF(OR(B567="",C567=""),"",C567&amp;"|"&amp;(YEAR(B567)*100+MONTH(B567)))</f>
        <v/>
      </c>
      <c r="AI567" s="70" t="str">
        <f aca="false">IF(AH567="","",IF(COUNTIF(L_CLAVE,AH567)&gt;1,"⚠ Duplicado","OK"))</f>
        <v/>
      </c>
      <c r="AJ567" s="86" t="str">
        <f aca="false">IF(AH567="","",IF(SUMPRODUCT(MAX((IND_PER&lt;=B567)*(IND_UF&lt;&gt;"")*IND_PER))=0,UF_HOY,INDEX(IND_UF,MATCH(SUMPRODUCT(MAX((IND_PER&lt;=B567)*(IND_UF&lt;&gt;"")*IND_PER)),IND_PER,0))))</f>
        <v/>
      </c>
      <c r="AK567" s="87" t="str">
        <f aca="false">IF(AH567="","",IF(COUNTIF(TASA_DESDE,"&lt;="&amp;B567)=0,INDEX(TASA_EMP,1),INDEX(TASA_EMP,COUNTIF(TASA_DESDE,"&lt;="&amp;B567))))</f>
        <v/>
      </c>
    </row>
    <row r="568" customFormat="false" ht="15" hidden="false" customHeight="false" outlineLevel="0" collapsed="false">
      <c r="B568" s="78"/>
      <c r="C568" s="64"/>
      <c r="D568" s="72" t="str">
        <f aca="false">IF(C568="","",IFERROR(INDEX(T_NOMBRE,MATCH(C568,T_ID,0)),"⚠ ID no existe"))</f>
        <v/>
      </c>
      <c r="E568" s="69"/>
      <c r="F568" s="67"/>
      <c r="G568" s="67"/>
      <c r="H568" s="67"/>
      <c r="I568" s="67"/>
      <c r="J568" s="67"/>
      <c r="K568" s="85" t="str">
        <f aca="false">IF(AH568="","",N(F568)+N(G568)+N(H568)-N(I568)+N(J568))</f>
        <v/>
      </c>
      <c r="L568" s="67"/>
      <c r="M568" s="67"/>
      <c r="N568" s="67"/>
      <c r="O568" s="67"/>
      <c r="P568" s="85" t="str">
        <f aca="false">IF(AH568="","",K568+N(L568)+N(M568)+N(N568)+N(O568))</f>
        <v/>
      </c>
      <c r="Q568" s="67"/>
      <c r="R568" s="67"/>
      <c r="S568" s="67"/>
      <c r="T568" s="67"/>
      <c r="U568" s="67"/>
      <c r="V568" s="67"/>
      <c r="W568" s="85" t="str">
        <f aca="false">IF(AH568="","",N(Q568)+N(R568)+N(S568)+N(T568)+N(U568)+N(V568))</f>
        <v/>
      </c>
      <c r="X568" s="85" t="str">
        <f aca="false">IF(AH568="","",P568-W568)</f>
        <v/>
      </c>
      <c r="Y568" s="67"/>
      <c r="Z568" s="70" t="str">
        <f aca="false">IF(OR(AH568="",Y568=""),"",IF(ABS(X568-Y568)&lt;=1,"✓ Cuadra","⚠ Diferencia $"&amp;FIXED(X568-Y568,0)))</f>
        <v/>
      </c>
      <c r="AA568" s="72" t="str">
        <f aca="false">IF(AH568="","",IFERROR(INDEX(C_TIPO,MATCH(C568&amp;"-P"&amp;MAX(1,COUNTIFS(C_ID,C568,C_DEFINE,"Sí",C_INICIO,"&lt;="&amp;EOMONTH(B568,0))),C_CLAVE,0))&amp;"","Sin dato"))</f>
        <v/>
      </c>
      <c r="AB568" s="71" t="str">
        <f aca="false">IF(AH568="","",ROUND(MIN(K568,TOPE_AFP_UF*AJ568)*AK568,0))</f>
        <v/>
      </c>
      <c r="AC568" s="71" t="str">
        <f aca="false">IF(AH568="","",ROUND(MIN(K568,TOPE_AFC_UF*AJ568)*IF(AA568="Indefinido",AFC_EMP_INDEF,AFC_EMP_PF),0))</f>
        <v/>
      </c>
      <c r="AD568" s="71" t="str">
        <f aca="false">IF(AH568="","",ROUND(MIN(K568,TOPE_AFP_UF*AJ568)*(MUTUAL_BASICA+MUTUAL_ADIC+SANNA),0))</f>
        <v/>
      </c>
      <c r="AE568" s="71" t="str">
        <f aca="false">IF(AH568="","",P568-N(N568)+AB568+AC568+AD568)</f>
        <v/>
      </c>
      <c r="AF568" s="65"/>
      <c r="AG568" s="64"/>
      <c r="AH568" s="72" t="str">
        <f aca="false">IF(OR(B568="",C568=""),"",C568&amp;"|"&amp;(YEAR(B568)*100+MONTH(B568)))</f>
        <v/>
      </c>
      <c r="AI568" s="70" t="str">
        <f aca="false">IF(AH568="","",IF(COUNTIF(L_CLAVE,AH568)&gt;1,"⚠ Duplicado","OK"))</f>
        <v/>
      </c>
      <c r="AJ568" s="86" t="str">
        <f aca="false">IF(AH568="","",IF(SUMPRODUCT(MAX((IND_PER&lt;=B568)*(IND_UF&lt;&gt;"")*IND_PER))=0,UF_HOY,INDEX(IND_UF,MATCH(SUMPRODUCT(MAX((IND_PER&lt;=B568)*(IND_UF&lt;&gt;"")*IND_PER)),IND_PER,0))))</f>
        <v/>
      </c>
      <c r="AK568" s="87" t="str">
        <f aca="false">IF(AH568="","",IF(COUNTIF(TASA_DESDE,"&lt;="&amp;B568)=0,INDEX(TASA_EMP,1),INDEX(TASA_EMP,COUNTIF(TASA_DESDE,"&lt;="&amp;B568))))</f>
        <v/>
      </c>
    </row>
    <row r="569" customFormat="false" ht="15" hidden="false" customHeight="false" outlineLevel="0" collapsed="false">
      <c r="B569" s="78"/>
      <c r="C569" s="64"/>
      <c r="D569" s="72" t="str">
        <f aca="false">IF(C569="","",IFERROR(INDEX(T_NOMBRE,MATCH(C569,T_ID,0)),"⚠ ID no existe"))</f>
        <v/>
      </c>
      <c r="E569" s="69"/>
      <c r="F569" s="67"/>
      <c r="G569" s="67"/>
      <c r="H569" s="67"/>
      <c r="I569" s="67"/>
      <c r="J569" s="67"/>
      <c r="K569" s="85" t="str">
        <f aca="false">IF(AH569="","",N(F569)+N(G569)+N(H569)-N(I569)+N(J569))</f>
        <v/>
      </c>
      <c r="L569" s="67"/>
      <c r="M569" s="67"/>
      <c r="N569" s="67"/>
      <c r="O569" s="67"/>
      <c r="P569" s="85" t="str">
        <f aca="false">IF(AH569="","",K569+N(L569)+N(M569)+N(N569)+N(O569))</f>
        <v/>
      </c>
      <c r="Q569" s="67"/>
      <c r="R569" s="67"/>
      <c r="S569" s="67"/>
      <c r="T569" s="67"/>
      <c r="U569" s="67"/>
      <c r="V569" s="67"/>
      <c r="W569" s="85" t="str">
        <f aca="false">IF(AH569="","",N(Q569)+N(R569)+N(S569)+N(T569)+N(U569)+N(V569))</f>
        <v/>
      </c>
      <c r="X569" s="85" t="str">
        <f aca="false">IF(AH569="","",P569-W569)</f>
        <v/>
      </c>
      <c r="Y569" s="67"/>
      <c r="Z569" s="70" t="str">
        <f aca="false">IF(OR(AH569="",Y569=""),"",IF(ABS(X569-Y569)&lt;=1,"✓ Cuadra","⚠ Diferencia $"&amp;FIXED(X569-Y569,0)))</f>
        <v/>
      </c>
      <c r="AA569" s="72" t="str">
        <f aca="false">IF(AH569="","",IFERROR(INDEX(C_TIPO,MATCH(C569&amp;"-P"&amp;MAX(1,COUNTIFS(C_ID,C569,C_DEFINE,"Sí",C_INICIO,"&lt;="&amp;EOMONTH(B569,0))),C_CLAVE,0))&amp;"","Sin dato"))</f>
        <v/>
      </c>
      <c r="AB569" s="71" t="str">
        <f aca="false">IF(AH569="","",ROUND(MIN(K569,TOPE_AFP_UF*AJ569)*AK569,0))</f>
        <v/>
      </c>
      <c r="AC569" s="71" t="str">
        <f aca="false">IF(AH569="","",ROUND(MIN(K569,TOPE_AFC_UF*AJ569)*IF(AA569="Indefinido",AFC_EMP_INDEF,AFC_EMP_PF),0))</f>
        <v/>
      </c>
      <c r="AD569" s="71" t="str">
        <f aca="false">IF(AH569="","",ROUND(MIN(K569,TOPE_AFP_UF*AJ569)*(MUTUAL_BASICA+MUTUAL_ADIC+SANNA),0))</f>
        <v/>
      </c>
      <c r="AE569" s="71" t="str">
        <f aca="false">IF(AH569="","",P569-N(N569)+AB569+AC569+AD569)</f>
        <v/>
      </c>
      <c r="AF569" s="65"/>
      <c r="AG569" s="64"/>
      <c r="AH569" s="72" t="str">
        <f aca="false">IF(OR(B569="",C569=""),"",C569&amp;"|"&amp;(YEAR(B569)*100+MONTH(B569)))</f>
        <v/>
      </c>
      <c r="AI569" s="70" t="str">
        <f aca="false">IF(AH569="","",IF(COUNTIF(L_CLAVE,AH569)&gt;1,"⚠ Duplicado","OK"))</f>
        <v/>
      </c>
      <c r="AJ569" s="86" t="str">
        <f aca="false">IF(AH569="","",IF(SUMPRODUCT(MAX((IND_PER&lt;=B569)*(IND_UF&lt;&gt;"")*IND_PER))=0,UF_HOY,INDEX(IND_UF,MATCH(SUMPRODUCT(MAX((IND_PER&lt;=B569)*(IND_UF&lt;&gt;"")*IND_PER)),IND_PER,0))))</f>
        <v/>
      </c>
      <c r="AK569" s="87" t="str">
        <f aca="false">IF(AH569="","",IF(COUNTIF(TASA_DESDE,"&lt;="&amp;B569)=0,INDEX(TASA_EMP,1),INDEX(TASA_EMP,COUNTIF(TASA_DESDE,"&lt;="&amp;B569))))</f>
        <v/>
      </c>
    </row>
    <row r="570" customFormat="false" ht="15" hidden="false" customHeight="false" outlineLevel="0" collapsed="false">
      <c r="B570" s="78"/>
      <c r="C570" s="64"/>
      <c r="D570" s="72" t="str">
        <f aca="false">IF(C570="","",IFERROR(INDEX(T_NOMBRE,MATCH(C570,T_ID,0)),"⚠ ID no existe"))</f>
        <v/>
      </c>
      <c r="E570" s="69"/>
      <c r="F570" s="67"/>
      <c r="G570" s="67"/>
      <c r="H570" s="67"/>
      <c r="I570" s="67"/>
      <c r="J570" s="67"/>
      <c r="K570" s="85" t="str">
        <f aca="false">IF(AH570="","",N(F570)+N(G570)+N(H570)-N(I570)+N(J570))</f>
        <v/>
      </c>
      <c r="L570" s="67"/>
      <c r="M570" s="67"/>
      <c r="N570" s="67"/>
      <c r="O570" s="67"/>
      <c r="P570" s="85" t="str">
        <f aca="false">IF(AH570="","",K570+N(L570)+N(M570)+N(N570)+N(O570))</f>
        <v/>
      </c>
      <c r="Q570" s="67"/>
      <c r="R570" s="67"/>
      <c r="S570" s="67"/>
      <c r="T570" s="67"/>
      <c r="U570" s="67"/>
      <c r="V570" s="67"/>
      <c r="W570" s="85" t="str">
        <f aca="false">IF(AH570="","",N(Q570)+N(R570)+N(S570)+N(T570)+N(U570)+N(V570))</f>
        <v/>
      </c>
      <c r="X570" s="85" t="str">
        <f aca="false">IF(AH570="","",P570-W570)</f>
        <v/>
      </c>
      <c r="Y570" s="67"/>
      <c r="Z570" s="70" t="str">
        <f aca="false">IF(OR(AH570="",Y570=""),"",IF(ABS(X570-Y570)&lt;=1,"✓ Cuadra","⚠ Diferencia $"&amp;FIXED(X570-Y570,0)))</f>
        <v/>
      </c>
      <c r="AA570" s="72" t="str">
        <f aca="false">IF(AH570="","",IFERROR(INDEX(C_TIPO,MATCH(C570&amp;"-P"&amp;MAX(1,COUNTIFS(C_ID,C570,C_DEFINE,"Sí",C_INICIO,"&lt;="&amp;EOMONTH(B570,0))),C_CLAVE,0))&amp;"","Sin dato"))</f>
        <v/>
      </c>
      <c r="AB570" s="71" t="str">
        <f aca="false">IF(AH570="","",ROUND(MIN(K570,TOPE_AFP_UF*AJ570)*AK570,0))</f>
        <v/>
      </c>
      <c r="AC570" s="71" t="str">
        <f aca="false">IF(AH570="","",ROUND(MIN(K570,TOPE_AFC_UF*AJ570)*IF(AA570="Indefinido",AFC_EMP_INDEF,AFC_EMP_PF),0))</f>
        <v/>
      </c>
      <c r="AD570" s="71" t="str">
        <f aca="false">IF(AH570="","",ROUND(MIN(K570,TOPE_AFP_UF*AJ570)*(MUTUAL_BASICA+MUTUAL_ADIC+SANNA),0))</f>
        <v/>
      </c>
      <c r="AE570" s="71" t="str">
        <f aca="false">IF(AH570="","",P570-N(N570)+AB570+AC570+AD570)</f>
        <v/>
      </c>
      <c r="AF570" s="65"/>
      <c r="AG570" s="64"/>
      <c r="AH570" s="72" t="str">
        <f aca="false">IF(OR(B570="",C570=""),"",C570&amp;"|"&amp;(YEAR(B570)*100+MONTH(B570)))</f>
        <v/>
      </c>
      <c r="AI570" s="70" t="str">
        <f aca="false">IF(AH570="","",IF(COUNTIF(L_CLAVE,AH570)&gt;1,"⚠ Duplicado","OK"))</f>
        <v/>
      </c>
      <c r="AJ570" s="86" t="str">
        <f aca="false">IF(AH570="","",IF(SUMPRODUCT(MAX((IND_PER&lt;=B570)*(IND_UF&lt;&gt;"")*IND_PER))=0,UF_HOY,INDEX(IND_UF,MATCH(SUMPRODUCT(MAX((IND_PER&lt;=B570)*(IND_UF&lt;&gt;"")*IND_PER)),IND_PER,0))))</f>
        <v/>
      </c>
      <c r="AK570" s="87" t="str">
        <f aca="false">IF(AH570="","",IF(COUNTIF(TASA_DESDE,"&lt;="&amp;B570)=0,INDEX(TASA_EMP,1),INDEX(TASA_EMP,COUNTIF(TASA_DESDE,"&lt;="&amp;B570))))</f>
        <v/>
      </c>
    </row>
    <row r="571" customFormat="false" ht="15" hidden="false" customHeight="false" outlineLevel="0" collapsed="false">
      <c r="B571" s="78"/>
      <c r="C571" s="64"/>
      <c r="D571" s="72" t="str">
        <f aca="false">IF(C571="","",IFERROR(INDEX(T_NOMBRE,MATCH(C571,T_ID,0)),"⚠ ID no existe"))</f>
        <v/>
      </c>
      <c r="E571" s="69"/>
      <c r="F571" s="67"/>
      <c r="G571" s="67"/>
      <c r="H571" s="67"/>
      <c r="I571" s="67"/>
      <c r="J571" s="67"/>
      <c r="K571" s="85" t="str">
        <f aca="false">IF(AH571="","",N(F571)+N(G571)+N(H571)-N(I571)+N(J571))</f>
        <v/>
      </c>
      <c r="L571" s="67"/>
      <c r="M571" s="67"/>
      <c r="N571" s="67"/>
      <c r="O571" s="67"/>
      <c r="P571" s="85" t="str">
        <f aca="false">IF(AH571="","",K571+N(L571)+N(M571)+N(N571)+N(O571))</f>
        <v/>
      </c>
      <c r="Q571" s="67"/>
      <c r="R571" s="67"/>
      <c r="S571" s="67"/>
      <c r="T571" s="67"/>
      <c r="U571" s="67"/>
      <c r="V571" s="67"/>
      <c r="W571" s="85" t="str">
        <f aca="false">IF(AH571="","",N(Q571)+N(R571)+N(S571)+N(T571)+N(U571)+N(V571))</f>
        <v/>
      </c>
      <c r="X571" s="85" t="str">
        <f aca="false">IF(AH571="","",P571-W571)</f>
        <v/>
      </c>
      <c r="Y571" s="67"/>
      <c r="Z571" s="70" t="str">
        <f aca="false">IF(OR(AH571="",Y571=""),"",IF(ABS(X571-Y571)&lt;=1,"✓ Cuadra","⚠ Diferencia $"&amp;FIXED(X571-Y571,0)))</f>
        <v/>
      </c>
      <c r="AA571" s="72" t="str">
        <f aca="false">IF(AH571="","",IFERROR(INDEX(C_TIPO,MATCH(C571&amp;"-P"&amp;MAX(1,COUNTIFS(C_ID,C571,C_DEFINE,"Sí",C_INICIO,"&lt;="&amp;EOMONTH(B571,0))),C_CLAVE,0))&amp;"","Sin dato"))</f>
        <v/>
      </c>
      <c r="AB571" s="71" t="str">
        <f aca="false">IF(AH571="","",ROUND(MIN(K571,TOPE_AFP_UF*AJ571)*AK571,0))</f>
        <v/>
      </c>
      <c r="AC571" s="71" t="str">
        <f aca="false">IF(AH571="","",ROUND(MIN(K571,TOPE_AFC_UF*AJ571)*IF(AA571="Indefinido",AFC_EMP_INDEF,AFC_EMP_PF),0))</f>
        <v/>
      </c>
      <c r="AD571" s="71" t="str">
        <f aca="false">IF(AH571="","",ROUND(MIN(K571,TOPE_AFP_UF*AJ571)*(MUTUAL_BASICA+MUTUAL_ADIC+SANNA),0))</f>
        <v/>
      </c>
      <c r="AE571" s="71" t="str">
        <f aca="false">IF(AH571="","",P571-N(N571)+AB571+AC571+AD571)</f>
        <v/>
      </c>
      <c r="AF571" s="65"/>
      <c r="AG571" s="64"/>
      <c r="AH571" s="72" t="str">
        <f aca="false">IF(OR(B571="",C571=""),"",C571&amp;"|"&amp;(YEAR(B571)*100+MONTH(B571)))</f>
        <v/>
      </c>
      <c r="AI571" s="70" t="str">
        <f aca="false">IF(AH571="","",IF(COUNTIF(L_CLAVE,AH571)&gt;1,"⚠ Duplicado","OK"))</f>
        <v/>
      </c>
      <c r="AJ571" s="86" t="str">
        <f aca="false">IF(AH571="","",IF(SUMPRODUCT(MAX((IND_PER&lt;=B571)*(IND_UF&lt;&gt;"")*IND_PER))=0,UF_HOY,INDEX(IND_UF,MATCH(SUMPRODUCT(MAX((IND_PER&lt;=B571)*(IND_UF&lt;&gt;"")*IND_PER)),IND_PER,0))))</f>
        <v/>
      </c>
      <c r="AK571" s="87" t="str">
        <f aca="false">IF(AH571="","",IF(COUNTIF(TASA_DESDE,"&lt;="&amp;B571)=0,INDEX(TASA_EMP,1),INDEX(TASA_EMP,COUNTIF(TASA_DESDE,"&lt;="&amp;B571))))</f>
        <v/>
      </c>
    </row>
    <row r="572" customFormat="false" ht="15" hidden="false" customHeight="false" outlineLevel="0" collapsed="false">
      <c r="B572" s="78"/>
      <c r="C572" s="64"/>
      <c r="D572" s="72" t="str">
        <f aca="false">IF(C572="","",IFERROR(INDEX(T_NOMBRE,MATCH(C572,T_ID,0)),"⚠ ID no existe"))</f>
        <v/>
      </c>
      <c r="E572" s="69"/>
      <c r="F572" s="67"/>
      <c r="G572" s="67"/>
      <c r="H572" s="67"/>
      <c r="I572" s="67"/>
      <c r="J572" s="67"/>
      <c r="K572" s="85" t="str">
        <f aca="false">IF(AH572="","",N(F572)+N(G572)+N(H572)-N(I572)+N(J572))</f>
        <v/>
      </c>
      <c r="L572" s="67"/>
      <c r="M572" s="67"/>
      <c r="N572" s="67"/>
      <c r="O572" s="67"/>
      <c r="P572" s="85" t="str">
        <f aca="false">IF(AH572="","",K572+N(L572)+N(M572)+N(N572)+N(O572))</f>
        <v/>
      </c>
      <c r="Q572" s="67"/>
      <c r="R572" s="67"/>
      <c r="S572" s="67"/>
      <c r="T572" s="67"/>
      <c r="U572" s="67"/>
      <c r="V572" s="67"/>
      <c r="W572" s="85" t="str">
        <f aca="false">IF(AH572="","",N(Q572)+N(R572)+N(S572)+N(T572)+N(U572)+N(V572))</f>
        <v/>
      </c>
      <c r="X572" s="85" t="str">
        <f aca="false">IF(AH572="","",P572-W572)</f>
        <v/>
      </c>
      <c r="Y572" s="67"/>
      <c r="Z572" s="70" t="str">
        <f aca="false">IF(OR(AH572="",Y572=""),"",IF(ABS(X572-Y572)&lt;=1,"✓ Cuadra","⚠ Diferencia $"&amp;FIXED(X572-Y572,0)))</f>
        <v/>
      </c>
      <c r="AA572" s="72" t="str">
        <f aca="false">IF(AH572="","",IFERROR(INDEX(C_TIPO,MATCH(C572&amp;"-P"&amp;MAX(1,COUNTIFS(C_ID,C572,C_DEFINE,"Sí",C_INICIO,"&lt;="&amp;EOMONTH(B572,0))),C_CLAVE,0))&amp;"","Sin dato"))</f>
        <v/>
      </c>
      <c r="AB572" s="71" t="str">
        <f aca="false">IF(AH572="","",ROUND(MIN(K572,TOPE_AFP_UF*AJ572)*AK572,0))</f>
        <v/>
      </c>
      <c r="AC572" s="71" t="str">
        <f aca="false">IF(AH572="","",ROUND(MIN(K572,TOPE_AFC_UF*AJ572)*IF(AA572="Indefinido",AFC_EMP_INDEF,AFC_EMP_PF),0))</f>
        <v/>
      </c>
      <c r="AD572" s="71" t="str">
        <f aca="false">IF(AH572="","",ROUND(MIN(K572,TOPE_AFP_UF*AJ572)*(MUTUAL_BASICA+MUTUAL_ADIC+SANNA),0))</f>
        <v/>
      </c>
      <c r="AE572" s="71" t="str">
        <f aca="false">IF(AH572="","",P572-N(N572)+AB572+AC572+AD572)</f>
        <v/>
      </c>
      <c r="AF572" s="65"/>
      <c r="AG572" s="64"/>
      <c r="AH572" s="72" t="str">
        <f aca="false">IF(OR(B572="",C572=""),"",C572&amp;"|"&amp;(YEAR(B572)*100+MONTH(B572)))</f>
        <v/>
      </c>
      <c r="AI572" s="70" t="str">
        <f aca="false">IF(AH572="","",IF(COUNTIF(L_CLAVE,AH572)&gt;1,"⚠ Duplicado","OK"))</f>
        <v/>
      </c>
      <c r="AJ572" s="86" t="str">
        <f aca="false">IF(AH572="","",IF(SUMPRODUCT(MAX((IND_PER&lt;=B572)*(IND_UF&lt;&gt;"")*IND_PER))=0,UF_HOY,INDEX(IND_UF,MATCH(SUMPRODUCT(MAX((IND_PER&lt;=B572)*(IND_UF&lt;&gt;"")*IND_PER)),IND_PER,0))))</f>
        <v/>
      </c>
      <c r="AK572" s="87" t="str">
        <f aca="false">IF(AH572="","",IF(COUNTIF(TASA_DESDE,"&lt;="&amp;B572)=0,INDEX(TASA_EMP,1),INDEX(TASA_EMP,COUNTIF(TASA_DESDE,"&lt;="&amp;B572))))</f>
        <v/>
      </c>
    </row>
    <row r="573" customFormat="false" ht="15" hidden="false" customHeight="false" outlineLevel="0" collapsed="false">
      <c r="B573" s="78"/>
      <c r="C573" s="64"/>
      <c r="D573" s="72" t="str">
        <f aca="false">IF(C573="","",IFERROR(INDEX(T_NOMBRE,MATCH(C573,T_ID,0)),"⚠ ID no existe"))</f>
        <v/>
      </c>
      <c r="E573" s="69"/>
      <c r="F573" s="67"/>
      <c r="G573" s="67"/>
      <c r="H573" s="67"/>
      <c r="I573" s="67"/>
      <c r="J573" s="67"/>
      <c r="K573" s="85" t="str">
        <f aca="false">IF(AH573="","",N(F573)+N(G573)+N(H573)-N(I573)+N(J573))</f>
        <v/>
      </c>
      <c r="L573" s="67"/>
      <c r="M573" s="67"/>
      <c r="N573" s="67"/>
      <c r="O573" s="67"/>
      <c r="P573" s="85" t="str">
        <f aca="false">IF(AH573="","",K573+N(L573)+N(M573)+N(N573)+N(O573))</f>
        <v/>
      </c>
      <c r="Q573" s="67"/>
      <c r="R573" s="67"/>
      <c r="S573" s="67"/>
      <c r="T573" s="67"/>
      <c r="U573" s="67"/>
      <c r="V573" s="67"/>
      <c r="W573" s="85" t="str">
        <f aca="false">IF(AH573="","",N(Q573)+N(R573)+N(S573)+N(T573)+N(U573)+N(V573))</f>
        <v/>
      </c>
      <c r="X573" s="85" t="str">
        <f aca="false">IF(AH573="","",P573-W573)</f>
        <v/>
      </c>
      <c r="Y573" s="67"/>
      <c r="Z573" s="70" t="str">
        <f aca="false">IF(OR(AH573="",Y573=""),"",IF(ABS(X573-Y573)&lt;=1,"✓ Cuadra","⚠ Diferencia $"&amp;FIXED(X573-Y573,0)))</f>
        <v/>
      </c>
      <c r="AA573" s="72" t="str">
        <f aca="false">IF(AH573="","",IFERROR(INDEX(C_TIPO,MATCH(C573&amp;"-P"&amp;MAX(1,COUNTIFS(C_ID,C573,C_DEFINE,"Sí",C_INICIO,"&lt;="&amp;EOMONTH(B573,0))),C_CLAVE,0))&amp;"","Sin dato"))</f>
        <v/>
      </c>
      <c r="AB573" s="71" t="str">
        <f aca="false">IF(AH573="","",ROUND(MIN(K573,TOPE_AFP_UF*AJ573)*AK573,0))</f>
        <v/>
      </c>
      <c r="AC573" s="71" t="str">
        <f aca="false">IF(AH573="","",ROUND(MIN(K573,TOPE_AFC_UF*AJ573)*IF(AA573="Indefinido",AFC_EMP_INDEF,AFC_EMP_PF),0))</f>
        <v/>
      </c>
      <c r="AD573" s="71" t="str">
        <f aca="false">IF(AH573="","",ROUND(MIN(K573,TOPE_AFP_UF*AJ573)*(MUTUAL_BASICA+MUTUAL_ADIC+SANNA),0))</f>
        <v/>
      </c>
      <c r="AE573" s="71" t="str">
        <f aca="false">IF(AH573="","",P573-N(N573)+AB573+AC573+AD573)</f>
        <v/>
      </c>
      <c r="AF573" s="65"/>
      <c r="AG573" s="64"/>
      <c r="AH573" s="72" t="str">
        <f aca="false">IF(OR(B573="",C573=""),"",C573&amp;"|"&amp;(YEAR(B573)*100+MONTH(B573)))</f>
        <v/>
      </c>
      <c r="AI573" s="70" t="str">
        <f aca="false">IF(AH573="","",IF(COUNTIF(L_CLAVE,AH573)&gt;1,"⚠ Duplicado","OK"))</f>
        <v/>
      </c>
      <c r="AJ573" s="86" t="str">
        <f aca="false">IF(AH573="","",IF(SUMPRODUCT(MAX((IND_PER&lt;=B573)*(IND_UF&lt;&gt;"")*IND_PER))=0,UF_HOY,INDEX(IND_UF,MATCH(SUMPRODUCT(MAX((IND_PER&lt;=B573)*(IND_UF&lt;&gt;"")*IND_PER)),IND_PER,0))))</f>
        <v/>
      </c>
      <c r="AK573" s="87" t="str">
        <f aca="false">IF(AH573="","",IF(COUNTIF(TASA_DESDE,"&lt;="&amp;B573)=0,INDEX(TASA_EMP,1),INDEX(TASA_EMP,COUNTIF(TASA_DESDE,"&lt;="&amp;B573))))</f>
        <v/>
      </c>
    </row>
    <row r="574" customFormat="false" ht="15" hidden="false" customHeight="false" outlineLevel="0" collapsed="false">
      <c r="B574" s="78"/>
      <c r="C574" s="64"/>
      <c r="D574" s="72" t="str">
        <f aca="false">IF(C574="","",IFERROR(INDEX(T_NOMBRE,MATCH(C574,T_ID,0)),"⚠ ID no existe"))</f>
        <v/>
      </c>
      <c r="E574" s="69"/>
      <c r="F574" s="67"/>
      <c r="G574" s="67"/>
      <c r="H574" s="67"/>
      <c r="I574" s="67"/>
      <c r="J574" s="67"/>
      <c r="K574" s="85" t="str">
        <f aca="false">IF(AH574="","",N(F574)+N(G574)+N(H574)-N(I574)+N(J574))</f>
        <v/>
      </c>
      <c r="L574" s="67"/>
      <c r="M574" s="67"/>
      <c r="N574" s="67"/>
      <c r="O574" s="67"/>
      <c r="P574" s="85" t="str">
        <f aca="false">IF(AH574="","",K574+N(L574)+N(M574)+N(N574)+N(O574))</f>
        <v/>
      </c>
      <c r="Q574" s="67"/>
      <c r="R574" s="67"/>
      <c r="S574" s="67"/>
      <c r="T574" s="67"/>
      <c r="U574" s="67"/>
      <c r="V574" s="67"/>
      <c r="W574" s="85" t="str">
        <f aca="false">IF(AH574="","",N(Q574)+N(R574)+N(S574)+N(T574)+N(U574)+N(V574))</f>
        <v/>
      </c>
      <c r="X574" s="85" t="str">
        <f aca="false">IF(AH574="","",P574-W574)</f>
        <v/>
      </c>
      <c r="Y574" s="67"/>
      <c r="Z574" s="70" t="str">
        <f aca="false">IF(OR(AH574="",Y574=""),"",IF(ABS(X574-Y574)&lt;=1,"✓ Cuadra","⚠ Diferencia $"&amp;FIXED(X574-Y574,0)))</f>
        <v/>
      </c>
      <c r="AA574" s="72" t="str">
        <f aca="false">IF(AH574="","",IFERROR(INDEX(C_TIPO,MATCH(C574&amp;"-P"&amp;MAX(1,COUNTIFS(C_ID,C574,C_DEFINE,"Sí",C_INICIO,"&lt;="&amp;EOMONTH(B574,0))),C_CLAVE,0))&amp;"","Sin dato"))</f>
        <v/>
      </c>
      <c r="AB574" s="71" t="str">
        <f aca="false">IF(AH574="","",ROUND(MIN(K574,TOPE_AFP_UF*AJ574)*AK574,0))</f>
        <v/>
      </c>
      <c r="AC574" s="71" t="str">
        <f aca="false">IF(AH574="","",ROUND(MIN(K574,TOPE_AFC_UF*AJ574)*IF(AA574="Indefinido",AFC_EMP_INDEF,AFC_EMP_PF),0))</f>
        <v/>
      </c>
      <c r="AD574" s="71" t="str">
        <f aca="false">IF(AH574="","",ROUND(MIN(K574,TOPE_AFP_UF*AJ574)*(MUTUAL_BASICA+MUTUAL_ADIC+SANNA),0))</f>
        <v/>
      </c>
      <c r="AE574" s="71" t="str">
        <f aca="false">IF(AH574="","",P574-N(N574)+AB574+AC574+AD574)</f>
        <v/>
      </c>
      <c r="AF574" s="65"/>
      <c r="AG574" s="64"/>
      <c r="AH574" s="72" t="str">
        <f aca="false">IF(OR(B574="",C574=""),"",C574&amp;"|"&amp;(YEAR(B574)*100+MONTH(B574)))</f>
        <v/>
      </c>
      <c r="AI574" s="70" t="str">
        <f aca="false">IF(AH574="","",IF(COUNTIF(L_CLAVE,AH574)&gt;1,"⚠ Duplicado","OK"))</f>
        <v/>
      </c>
      <c r="AJ574" s="86" t="str">
        <f aca="false">IF(AH574="","",IF(SUMPRODUCT(MAX((IND_PER&lt;=B574)*(IND_UF&lt;&gt;"")*IND_PER))=0,UF_HOY,INDEX(IND_UF,MATCH(SUMPRODUCT(MAX((IND_PER&lt;=B574)*(IND_UF&lt;&gt;"")*IND_PER)),IND_PER,0))))</f>
        <v/>
      </c>
      <c r="AK574" s="87" t="str">
        <f aca="false">IF(AH574="","",IF(COUNTIF(TASA_DESDE,"&lt;="&amp;B574)=0,INDEX(TASA_EMP,1),INDEX(TASA_EMP,COUNTIF(TASA_DESDE,"&lt;="&amp;B574))))</f>
        <v/>
      </c>
    </row>
    <row r="575" customFormat="false" ht="15" hidden="false" customHeight="false" outlineLevel="0" collapsed="false">
      <c r="B575" s="78"/>
      <c r="C575" s="64"/>
      <c r="D575" s="72" t="str">
        <f aca="false">IF(C575="","",IFERROR(INDEX(T_NOMBRE,MATCH(C575,T_ID,0)),"⚠ ID no existe"))</f>
        <v/>
      </c>
      <c r="E575" s="69"/>
      <c r="F575" s="67"/>
      <c r="G575" s="67"/>
      <c r="H575" s="67"/>
      <c r="I575" s="67"/>
      <c r="J575" s="67"/>
      <c r="K575" s="85" t="str">
        <f aca="false">IF(AH575="","",N(F575)+N(G575)+N(H575)-N(I575)+N(J575))</f>
        <v/>
      </c>
      <c r="L575" s="67"/>
      <c r="M575" s="67"/>
      <c r="N575" s="67"/>
      <c r="O575" s="67"/>
      <c r="P575" s="85" t="str">
        <f aca="false">IF(AH575="","",K575+N(L575)+N(M575)+N(N575)+N(O575))</f>
        <v/>
      </c>
      <c r="Q575" s="67"/>
      <c r="R575" s="67"/>
      <c r="S575" s="67"/>
      <c r="T575" s="67"/>
      <c r="U575" s="67"/>
      <c r="V575" s="67"/>
      <c r="W575" s="85" t="str">
        <f aca="false">IF(AH575="","",N(Q575)+N(R575)+N(S575)+N(T575)+N(U575)+N(V575))</f>
        <v/>
      </c>
      <c r="X575" s="85" t="str">
        <f aca="false">IF(AH575="","",P575-W575)</f>
        <v/>
      </c>
      <c r="Y575" s="67"/>
      <c r="Z575" s="70" t="str">
        <f aca="false">IF(OR(AH575="",Y575=""),"",IF(ABS(X575-Y575)&lt;=1,"✓ Cuadra","⚠ Diferencia $"&amp;FIXED(X575-Y575,0)))</f>
        <v/>
      </c>
      <c r="AA575" s="72" t="str">
        <f aca="false">IF(AH575="","",IFERROR(INDEX(C_TIPO,MATCH(C575&amp;"-P"&amp;MAX(1,COUNTIFS(C_ID,C575,C_DEFINE,"Sí",C_INICIO,"&lt;="&amp;EOMONTH(B575,0))),C_CLAVE,0))&amp;"","Sin dato"))</f>
        <v/>
      </c>
      <c r="AB575" s="71" t="str">
        <f aca="false">IF(AH575="","",ROUND(MIN(K575,TOPE_AFP_UF*AJ575)*AK575,0))</f>
        <v/>
      </c>
      <c r="AC575" s="71" t="str">
        <f aca="false">IF(AH575="","",ROUND(MIN(K575,TOPE_AFC_UF*AJ575)*IF(AA575="Indefinido",AFC_EMP_INDEF,AFC_EMP_PF),0))</f>
        <v/>
      </c>
      <c r="AD575" s="71" t="str">
        <f aca="false">IF(AH575="","",ROUND(MIN(K575,TOPE_AFP_UF*AJ575)*(MUTUAL_BASICA+MUTUAL_ADIC+SANNA),0))</f>
        <v/>
      </c>
      <c r="AE575" s="71" t="str">
        <f aca="false">IF(AH575="","",P575-N(N575)+AB575+AC575+AD575)</f>
        <v/>
      </c>
      <c r="AF575" s="65"/>
      <c r="AG575" s="64"/>
      <c r="AH575" s="72" t="str">
        <f aca="false">IF(OR(B575="",C575=""),"",C575&amp;"|"&amp;(YEAR(B575)*100+MONTH(B575)))</f>
        <v/>
      </c>
      <c r="AI575" s="70" t="str">
        <f aca="false">IF(AH575="","",IF(COUNTIF(L_CLAVE,AH575)&gt;1,"⚠ Duplicado","OK"))</f>
        <v/>
      </c>
      <c r="AJ575" s="86" t="str">
        <f aca="false">IF(AH575="","",IF(SUMPRODUCT(MAX((IND_PER&lt;=B575)*(IND_UF&lt;&gt;"")*IND_PER))=0,UF_HOY,INDEX(IND_UF,MATCH(SUMPRODUCT(MAX((IND_PER&lt;=B575)*(IND_UF&lt;&gt;"")*IND_PER)),IND_PER,0))))</f>
        <v/>
      </c>
      <c r="AK575" s="87" t="str">
        <f aca="false">IF(AH575="","",IF(COUNTIF(TASA_DESDE,"&lt;="&amp;B575)=0,INDEX(TASA_EMP,1),INDEX(TASA_EMP,COUNTIF(TASA_DESDE,"&lt;="&amp;B575))))</f>
        <v/>
      </c>
    </row>
    <row r="576" customFormat="false" ht="15" hidden="false" customHeight="false" outlineLevel="0" collapsed="false">
      <c r="B576" s="78"/>
      <c r="C576" s="64"/>
      <c r="D576" s="72" t="str">
        <f aca="false">IF(C576="","",IFERROR(INDEX(T_NOMBRE,MATCH(C576,T_ID,0)),"⚠ ID no existe"))</f>
        <v/>
      </c>
      <c r="E576" s="69"/>
      <c r="F576" s="67"/>
      <c r="G576" s="67"/>
      <c r="H576" s="67"/>
      <c r="I576" s="67"/>
      <c r="J576" s="67"/>
      <c r="K576" s="85" t="str">
        <f aca="false">IF(AH576="","",N(F576)+N(G576)+N(H576)-N(I576)+N(J576))</f>
        <v/>
      </c>
      <c r="L576" s="67"/>
      <c r="M576" s="67"/>
      <c r="N576" s="67"/>
      <c r="O576" s="67"/>
      <c r="P576" s="85" t="str">
        <f aca="false">IF(AH576="","",K576+N(L576)+N(M576)+N(N576)+N(O576))</f>
        <v/>
      </c>
      <c r="Q576" s="67"/>
      <c r="R576" s="67"/>
      <c r="S576" s="67"/>
      <c r="T576" s="67"/>
      <c r="U576" s="67"/>
      <c r="V576" s="67"/>
      <c r="W576" s="85" t="str">
        <f aca="false">IF(AH576="","",N(Q576)+N(R576)+N(S576)+N(T576)+N(U576)+N(V576))</f>
        <v/>
      </c>
      <c r="X576" s="85" t="str">
        <f aca="false">IF(AH576="","",P576-W576)</f>
        <v/>
      </c>
      <c r="Y576" s="67"/>
      <c r="Z576" s="70" t="str">
        <f aca="false">IF(OR(AH576="",Y576=""),"",IF(ABS(X576-Y576)&lt;=1,"✓ Cuadra","⚠ Diferencia $"&amp;FIXED(X576-Y576,0)))</f>
        <v/>
      </c>
      <c r="AA576" s="72" t="str">
        <f aca="false">IF(AH576="","",IFERROR(INDEX(C_TIPO,MATCH(C576&amp;"-P"&amp;MAX(1,COUNTIFS(C_ID,C576,C_DEFINE,"Sí",C_INICIO,"&lt;="&amp;EOMONTH(B576,0))),C_CLAVE,0))&amp;"","Sin dato"))</f>
        <v/>
      </c>
      <c r="AB576" s="71" t="str">
        <f aca="false">IF(AH576="","",ROUND(MIN(K576,TOPE_AFP_UF*AJ576)*AK576,0))</f>
        <v/>
      </c>
      <c r="AC576" s="71" t="str">
        <f aca="false">IF(AH576="","",ROUND(MIN(K576,TOPE_AFC_UF*AJ576)*IF(AA576="Indefinido",AFC_EMP_INDEF,AFC_EMP_PF),0))</f>
        <v/>
      </c>
      <c r="AD576" s="71" t="str">
        <f aca="false">IF(AH576="","",ROUND(MIN(K576,TOPE_AFP_UF*AJ576)*(MUTUAL_BASICA+MUTUAL_ADIC+SANNA),0))</f>
        <v/>
      </c>
      <c r="AE576" s="71" t="str">
        <f aca="false">IF(AH576="","",P576-N(N576)+AB576+AC576+AD576)</f>
        <v/>
      </c>
      <c r="AF576" s="65"/>
      <c r="AG576" s="64"/>
      <c r="AH576" s="72" t="str">
        <f aca="false">IF(OR(B576="",C576=""),"",C576&amp;"|"&amp;(YEAR(B576)*100+MONTH(B576)))</f>
        <v/>
      </c>
      <c r="AI576" s="70" t="str">
        <f aca="false">IF(AH576="","",IF(COUNTIF(L_CLAVE,AH576)&gt;1,"⚠ Duplicado","OK"))</f>
        <v/>
      </c>
      <c r="AJ576" s="86" t="str">
        <f aca="false">IF(AH576="","",IF(SUMPRODUCT(MAX((IND_PER&lt;=B576)*(IND_UF&lt;&gt;"")*IND_PER))=0,UF_HOY,INDEX(IND_UF,MATCH(SUMPRODUCT(MAX((IND_PER&lt;=B576)*(IND_UF&lt;&gt;"")*IND_PER)),IND_PER,0))))</f>
        <v/>
      </c>
      <c r="AK576" s="87" t="str">
        <f aca="false">IF(AH576="","",IF(COUNTIF(TASA_DESDE,"&lt;="&amp;B576)=0,INDEX(TASA_EMP,1),INDEX(TASA_EMP,COUNTIF(TASA_DESDE,"&lt;="&amp;B576))))</f>
        <v/>
      </c>
    </row>
    <row r="577" customFormat="false" ht="15" hidden="false" customHeight="false" outlineLevel="0" collapsed="false">
      <c r="B577" s="78"/>
      <c r="C577" s="64"/>
      <c r="D577" s="72" t="str">
        <f aca="false">IF(C577="","",IFERROR(INDEX(T_NOMBRE,MATCH(C577,T_ID,0)),"⚠ ID no existe"))</f>
        <v/>
      </c>
      <c r="E577" s="69"/>
      <c r="F577" s="67"/>
      <c r="G577" s="67"/>
      <c r="H577" s="67"/>
      <c r="I577" s="67"/>
      <c r="J577" s="67"/>
      <c r="K577" s="85" t="str">
        <f aca="false">IF(AH577="","",N(F577)+N(G577)+N(H577)-N(I577)+N(J577))</f>
        <v/>
      </c>
      <c r="L577" s="67"/>
      <c r="M577" s="67"/>
      <c r="N577" s="67"/>
      <c r="O577" s="67"/>
      <c r="P577" s="85" t="str">
        <f aca="false">IF(AH577="","",K577+N(L577)+N(M577)+N(N577)+N(O577))</f>
        <v/>
      </c>
      <c r="Q577" s="67"/>
      <c r="R577" s="67"/>
      <c r="S577" s="67"/>
      <c r="T577" s="67"/>
      <c r="U577" s="67"/>
      <c r="V577" s="67"/>
      <c r="W577" s="85" t="str">
        <f aca="false">IF(AH577="","",N(Q577)+N(R577)+N(S577)+N(T577)+N(U577)+N(V577))</f>
        <v/>
      </c>
      <c r="X577" s="85" t="str">
        <f aca="false">IF(AH577="","",P577-W577)</f>
        <v/>
      </c>
      <c r="Y577" s="67"/>
      <c r="Z577" s="70" t="str">
        <f aca="false">IF(OR(AH577="",Y577=""),"",IF(ABS(X577-Y577)&lt;=1,"✓ Cuadra","⚠ Diferencia $"&amp;FIXED(X577-Y577,0)))</f>
        <v/>
      </c>
      <c r="AA577" s="72" t="str">
        <f aca="false">IF(AH577="","",IFERROR(INDEX(C_TIPO,MATCH(C577&amp;"-P"&amp;MAX(1,COUNTIFS(C_ID,C577,C_DEFINE,"Sí",C_INICIO,"&lt;="&amp;EOMONTH(B577,0))),C_CLAVE,0))&amp;"","Sin dato"))</f>
        <v/>
      </c>
      <c r="AB577" s="71" t="str">
        <f aca="false">IF(AH577="","",ROUND(MIN(K577,TOPE_AFP_UF*AJ577)*AK577,0))</f>
        <v/>
      </c>
      <c r="AC577" s="71" t="str">
        <f aca="false">IF(AH577="","",ROUND(MIN(K577,TOPE_AFC_UF*AJ577)*IF(AA577="Indefinido",AFC_EMP_INDEF,AFC_EMP_PF),0))</f>
        <v/>
      </c>
      <c r="AD577" s="71" t="str">
        <f aca="false">IF(AH577="","",ROUND(MIN(K577,TOPE_AFP_UF*AJ577)*(MUTUAL_BASICA+MUTUAL_ADIC+SANNA),0))</f>
        <v/>
      </c>
      <c r="AE577" s="71" t="str">
        <f aca="false">IF(AH577="","",P577-N(N577)+AB577+AC577+AD577)</f>
        <v/>
      </c>
      <c r="AF577" s="65"/>
      <c r="AG577" s="64"/>
      <c r="AH577" s="72" t="str">
        <f aca="false">IF(OR(B577="",C577=""),"",C577&amp;"|"&amp;(YEAR(B577)*100+MONTH(B577)))</f>
        <v/>
      </c>
      <c r="AI577" s="70" t="str">
        <f aca="false">IF(AH577="","",IF(COUNTIF(L_CLAVE,AH577)&gt;1,"⚠ Duplicado","OK"))</f>
        <v/>
      </c>
      <c r="AJ577" s="86" t="str">
        <f aca="false">IF(AH577="","",IF(SUMPRODUCT(MAX((IND_PER&lt;=B577)*(IND_UF&lt;&gt;"")*IND_PER))=0,UF_HOY,INDEX(IND_UF,MATCH(SUMPRODUCT(MAX((IND_PER&lt;=B577)*(IND_UF&lt;&gt;"")*IND_PER)),IND_PER,0))))</f>
        <v/>
      </c>
      <c r="AK577" s="87" t="str">
        <f aca="false">IF(AH577="","",IF(COUNTIF(TASA_DESDE,"&lt;="&amp;B577)=0,INDEX(TASA_EMP,1),INDEX(TASA_EMP,COUNTIF(TASA_DESDE,"&lt;="&amp;B577))))</f>
        <v/>
      </c>
    </row>
    <row r="578" customFormat="false" ht="15" hidden="false" customHeight="false" outlineLevel="0" collapsed="false">
      <c r="B578" s="78"/>
      <c r="C578" s="64"/>
      <c r="D578" s="72" t="str">
        <f aca="false">IF(C578="","",IFERROR(INDEX(T_NOMBRE,MATCH(C578,T_ID,0)),"⚠ ID no existe"))</f>
        <v/>
      </c>
      <c r="E578" s="69"/>
      <c r="F578" s="67"/>
      <c r="G578" s="67"/>
      <c r="H578" s="67"/>
      <c r="I578" s="67"/>
      <c r="J578" s="67"/>
      <c r="K578" s="85" t="str">
        <f aca="false">IF(AH578="","",N(F578)+N(G578)+N(H578)-N(I578)+N(J578))</f>
        <v/>
      </c>
      <c r="L578" s="67"/>
      <c r="M578" s="67"/>
      <c r="N578" s="67"/>
      <c r="O578" s="67"/>
      <c r="P578" s="85" t="str">
        <f aca="false">IF(AH578="","",K578+N(L578)+N(M578)+N(N578)+N(O578))</f>
        <v/>
      </c>
      <c r="Q578" s="67"/>
      <c r="R578" s="67"/>
      <c r="S578" s="67"/>
      <c r="T578" s="67"/>
      <c r="U578" s="67"/>
      <c r="V578" s="67"/>
      <c r="W578" s="85" t="str">
        <f aca="false">IF(AH578="","",N(Q578)+N(R578)+N(S578)+N(T578)+N(U578)+N(V578))</f>
        <v/>
      </c>
      <c r="X578" s="85" t="str">
        <f aca="false">IF(AH578="","",P578-W578)</f>
        <v/>
      </c>
      <c r="Y578" s="67"/>
      <c r="Z578" s="70" t="str">
        <f aca="false">IF(OR(AH578="",Y578=""),"",IF(ABS(X578-Y578)&lt;=1,"✓ Cuadra","⚠ Diferencia $"&amp;FIXED(X578-Y578,0)))</f>
        <v/>
      </c>
      <c r="AA578" s="72" t="str">
        <f aca="false">IF(AH578="","",IFERROR(INDEX(C_TIPO,MATCH(C578&amp;"-P"&amp;MAX(1,COUNTIFS(C_ID,C578,C_DEFINE,"Sí",C_INICIO,"&lt;="&amp;EOMONTH(B578,0))),C_CLAVE,0))&amp;"","Sin dato"))</f>
        <v/>
      </c>
      <c r="AB578" s="71" t="str">
        <f aca="false">IF(AH578="","",ROUND(MIN(K578,TOPE_AFP_UF*AJ578)*AK578,0))</f>
        <v/>
      </c>
      <c r="AC578" s="71" t="str">
        <f aca="false">IF(AH578="","",ROUND(MIN(K578,TOPE_AFC_UF*AJ578)*IF(AA578="Indefinido",AFC_EMP_INDEF,AFC_EMP_PF),0))</f>
        <v/>
      </c>
      <c r="AD578" s="71" t="str">
        <f aca="false">IF(AH578="","",ROUND(MIN(K578,TOPE_AFP_UF*AJ578)*(MUTUAL_BASICA+MUTUAL_ADIC+SANNA),0))</f>
        <v/>
      </c>
      <c r="AE578" s="71" t="str">
        <f aca="false">IF(AH578="","",P578-N(N578)+AB578+AC578+AD578)</f>
        <v/>
      </c>
      <c r="AF578" s="65"/>
      <c r="AG578" s="64"/>
      <c r="AH578" s="72" t="str">
        <f aca="false">IF(OR(B578="",C578=""),"",C578&amp;"|"&amp;(YEAR(B578)*100+MONTH(B578)))</f>
        <v/>
      </c>
      <c r="AI578" s="70" t="str">
        <f aca="false">IF(AH578="","",IF(COUNTIF(L_CLAVE,AH578)&gt;1,"⚠ Duplicado","OK"))</f>
        <v/>
      </c>
      <c r="AJ578" s="86" t="str">
        <f aca="false">IF(AH578="","",IF(SUMPRODUCT(MAX((IND_PER&lt;=B578)*(IND_UF&lt;&gt;"")*IND_PER))=0,UF_HOY,INDEX(IND_UF,MATCH(SUMPRODUCT(MAX((IND_PER&lt;=B578)*(IND_UF&lt;&gt;"")*IND_PER)),IND_PER,0))))</f>
        <v/>
      </c>
      <c r="AK578" s="87" t="str">
        <f aca="false">IF(AH578="","",IF(COUNTIF(TASA_DESDE,"&lt;="&amp;B578)=0,INDEX(TASA_EMP,1),INDEX(TASA_EMP,COUNTIF(TASA_DESDE,"&lt;="&amp;B578))))</f>
        <v/>
      </c>
    </row>
    <row r="579" customFormat="false" ht="15" hidden="false" customHeight="false" outlineLevel="0" collapsed="false">
      <c r="B579" s="78"/>
      <c r="C579" s="64"/>
      <c r="D579" s="72" t="str">
        <f aca="false">IF(C579="","",IFERROR(INDEX(T_NOMBRE,MATCH(C579,T_ID,0)),"⚠ ID no existe"))</f>
        <v/>
      </c>
      <c r="E579" s="69"/>
      <c r="F579" s="67"/>
      <c r="G579" s="67"/>
      <c r="H579" s="67"/>
      <c r="I579" s="67"/>
      <c r="J579" s="67"/>
      <c r="K579" s="85" t="str">
        <f aca="false">IF(AH579="","",N(F579)+N(G579)+N(H579)-N(I579)+N(J579))</f>
        <v/>
      </c>
      <c r="L579" s="67"/>
      <c r="M579" s="67"/>
      <c r="N579" s="67"/>
      <c r="O579" s="67"/>
      <c r="P579" s="85" t="str">
        <f aca="false">IF(AH579="","",K579+N(L579)+N(M579)+N(N579)+N(O579))</f>
        <v/>
      </c>
      <c r="Q579" s="67"/>
      <c r="R579" s="67"/>
      <c r="S579" s="67"/>
      <c r="T579" s="67"/>
      <c r="U579" s="67"/>
      <c r="V579" s="67"/>
      <c r="W579" s="85" t="str">
        <f aca="false">IF(AH579="","",N(Q579)+N(R579)+N(S579)+N(T579)+N(U579)+N(V579))</f>
        <v/>
      </c>
      <c r="X579" s="85" t="str">
        <f aca="false">IF(AH579="","",P579-W579)</f>
        <v/>
      </c>
      <c r="Y579" s="67"/>
      <c r="Z579" s="70" t="str">
        <f aca="false">IF(OR(AH579="",Y579=""),"",IF(ABS(X579-Y579)&lt;=1,"✓ Cuadra","⚠ Diferencia $"&amp;FIXED(X579-Y579,0)))</f>
        <v/>
      </c>
      <c r="AA579" s="72" t="str">
        <f aca="false">IF(AH579="","",IFERROR(INDEX(C_TIPO,MATCH(C579&amp;"-P"&amp;MAX(1,COUNTIFS(C_ID,C579,C_DEFINE,"Sí",C_INICIO,"&lt;="&amp;EOMONTH(B579,0))),C_CLAVE,0))&amp;"","Sin dato"))</f>
        <v/>
      </c>
      <c r="AB579" s="71" t="str">
        <f aca="false">IF(AH579="","",ROUND(MIN(K579,TOPE_AFP_UF*AJ579)*AK579,0))</f>
        <v/>
      </c>
      <c r="AC579" s="71" t="str">
        <f aca="false">IF(AH579="","",ROUND(MIN(K579,TOPE_AFC_UF*AJ579)*IF(AA579="Indefinido",AFC_EMP_INDEF,AFC_EMP_PF),0))</f>
        <v/>
      </c>
      <c r="AD579" s="71" t="str">
        <f aca="false">IF(AH579="","",ROUND(MIN(K579,TOPE_AFP_UF*AJ579)*(MUTUAL_BASICA+MUTUAL_ADIC+SANNA),0))</f>
        <v/>
      </c>
      <c r="AE579" s="71" t="str">
        <f aca="false">IF(AH579="","",P579-N(N579)+AB579+AC579+AD579)</f>
        <v/>
      </c>
      <c r="AF579" s="65"/>
      <c r="AG579" s="64"/>
      <c r="AH579" s="72" t="str">
        <f aca="false">IF(OR(B579="",C579=""),"",C579&amp;"|"&amp;(YEAR(B579)*100+MONTH(B579)))</f>
        <v/>
      </c>
      <c r="AI579" s="70" t="str">
        <f aca="false">IF(AH579="","",IF(COUNTIF(L_CLAVE,AH579)&gt;1,"⚠ Duplicado","OK"))</f>
        <v/>
      </c>
      <c r="AJ579" s="86" t="str">
        <f aca="false">IF(AH579="","",IF(SUMPRODUCT(MAX((IND_PER&lt;=B579)*(IND_UF&lt;&gt;"")*IND_PER))=0,UF_HOY,INDEX(IND_UF,MATCH(SUMPRODUCT(MAX((IND_PER&lt;=B579)*(IND_UF&lt;&gt;"")*IND_PER)),IND_PER,0))))</f>
        <v/>
      </c>
      <c r="AK579" s="87" t="str">
        <f aca="false">IF(AH579="","",IF(COUNTIF(TASA_DESDE,"&lt;="&amp;B579)=0,INDEX(TASA_EMP,1),INDEX(TASA_EMP,COUNTIF(TASA_DESDE,"&lt;="&amp;B579))))</f>
        <v/>
      </c>
    </row>
    <row r="580" customFormat="false" ht="15" hidden="false" customHeight="false" outlineLevel="0" collapsed="false">
      <c r="B580" s="78"/>
      <c r="C580" s="64"/>
      <c r="D580" s="72" t="str">
        <f aca="false">IF(C580="","",IFERROR(INDEX(T_NOMBRE,MATCH(C580,T_ID,0)),"⚠ ID no existe"))</f>
        <v/>
      </c>
      <c r="E580" s="69"/>
      <c r="F580" s="67"/>
      <c r="G580" s="67"/>
      <c r="H580" s="67"/>
      <c r="I580" s="67"/>
      <c r="J580" s="67"/>
      <c r="K580" s="85" t="str">
        <f aca="false">IF(AH580="","",N(F580)+N(G580)+N(H580)-N(I580)+N(J580))</f>
        <v/>
      </c>
      <c r="L580" s="67"/>
      <c r="M580" s="67"/>
      <c r="N580" s="67"/>
      <c r="O580" s="67"/>
      <c r="P580" s="85" t="str">
        <f aca="false">IF(AH580="","",K580+N(L580)+N(M580)+N(N580)+N(O580))</f>
        <v/>
      </c>
      <c r="Q580" s="67"/>
      <c r="R580" s="67"/>
      <c r="S580" s="67"/>
      <c r="T580" s="67"/>
      <c r="U580" s="67"/>
      <c r="V580" s="67"/>
      <c r="W580" s="85" t="str">
        <f aca="false">IF(AH580="","",N(Q580)+N(R580)+N(S580)+N(T580)+N(U580)+N(V580))</f>
        <v/>
      </c>
      <c r="X580" s="85" t="str">
        <f aca="false">IF(AH580="","",P580-W580)</f>
        <v/>
      </c>
      <c r="Y580" s="67"/>
      <c r="Z580" s="70" t="str">
        <f aca="false">IF(OR(AH580="",Y580=""),"",IF(ABS(X580-Y580)&lt;=1,"✓ Cuadra","⚠ Diferencia $"&amp;FIXED(X580-Y580,0)))</f>
        <v/>
      </c>
      <c r="AA580" s="72" t="str">
        <f aca="false">IF(AH580="","",IFERROR(INDEX(C_TIPO,MATCH(C580&amp;"-P"&amp;MAX(1,COUNTIFS(C_ID,C580,C_DEFINE,"Sí",C_INICIO,"&lt;="&amp;EOMONTH(B580,0))),C_CLAVE,0))&amp;"","Sin dato"))</f>
        <v/>
      </c>
      <c r="AB580" s="71" t="str">
        <f aca="false">IF(AH580="","",ROUND(MIN(K580,TOPE_AFP_UF*AJ580)*AK580,0))</f>
        <v/>
      </c>
      <c r="AC580" s="71" t="str">
        <f aca="false">IF(AH580="","",ROUND(MIN(K580,TOPE_AFC_UF*AJ580)*IF(AA580="Indefinido",AFC_EMP_INDEF,AFC_EMP_PF),0))</f>
        <v/>
      </c>
      <c r="AD580" s="71" t="str">
        <f aca="false">IF(AH580="","",ROUND(MIN(K580,TOPE_AFP_UF*AJ580)*(MUTUAL_BASICA+MUTUAL_ADIC+SANNA),0))</f>
        <v/>
      </c>
      <c r="AE580" s="71" t="str">
        <f aca="false">IF(AH580="","",P580-N(N580)+AB580+AC580+AD580)</f>
        <v/>
      </c>
      <c r="AF580" s="65"/>
      <c r="AG580" s="64"/>
      <c r="AH580" s="72" t="str">
        <f aca="false">IF(OR(B580="",C580=""),"",C580&amp;"|"&amp;(YEAR(B580)*100+MONTH(B580)))</f>
        <v/>
      </c>
      <c r="AI580" s="70" t="str">
        <f aca="false">IF(AH580="","",IF(COUNTIF(L_CLAVE,AH580)&gt;1,"⚠ Duplicado","OK"))</f>
        <v/>
      </c>
      <c r="AJ580" s="86" t="str">
        <f aca="false">IF(AH580="","",IF(SUMPRODUCT(MAX((IND_PER&lt;=B580)*(IND_UF&lt;&gt;"")*IND_PER))=0,UF_HOY,INDEX(IND_UF,MATCH(SUMPRODUCT(MAX((IND_PER&lt;=B580)*(IND_UF&lt;&gt;"")*IND_PER)),IND_PER,0))))</f>
        <v/>
      </c>
      <c r="AK580" s="87" t="str">
        <f aca="false">IF(AH580="","",IF(COUNTIF(TASA_DESDE,"&lt;="&amp;B580)=0,INDEX(TASA_EMP,1),INDEX(TASA_EMP,COUNTIF(TASA_DESDE,"&lt;="&amp;B580))))</f>
        <v/>
      </c>
    </row>
    <row r="581" customFormat="false" ht="15" hidden="false" customHeight="false" outlineLevel="0" collapsed="false">
      <c r="B581" s="78"/>
      <c r="C581" s="64"/>
      <c r="D581" s="72" t="str">
        <f aca="false">IF(C581="","",IFERROR(INDEX(T_NOMBRE,MATCH(C581,T_ID,0)),"⚠ ID no existe"))</f>
        <v/>
      </c>
      <c r="E581" s="69"/>
      <c r="F581" s="67"/>
      <c r="G581" s="67"/>
      <c r="H581" s="67"/>
      <c r="I581" s="67"/>
      <c r="J581" s="67"/>
      <c r="K581" s="85" t="str">
        <f aca="false">IF(AH581="","",N(F581)+N(G581)+N(H581)-N(I581)+N(J581))</f>
        <v/>
      </c>
      <c r="L581" s="67"/>
      <c r="M581" s="67"/>
      <c r="N581" s="67"/>
      <c r="O581" s="67"/>
      <c r="P581" s="85" t="str">
        <f aca="false">IF(AH581="","",K581+N(L581)+N(M581)+N(N581)+N(O581))</f>
        <v/>
      </c>
      <c r="Q581" s="67"/>
      <c r="R581" s="67"/>
      <c r="S581" s="67"/>
      <c r="T581" s="67"/>
      <c r="U581" s="67"/>
      <c r="V581" s="67"/>
      <c r="W581" s="85" t="str">
        <f aca="false">IF(AH581="","",N(Q581)+N(R581)+N(S581)+N(T581)+N(U581)+N(V581))</f>
        <v/>
      </c>
      <c r="X581" s="85" t="str">
        <f aca="false">IF(AH581="","",P581-W581)</f>
        <v/>
      </c>
      <c r="Y581" s="67"/>
      <c r="Z581" s="70" t="str">
        <f aca="false">IF(OR(AH581="",Y581=""),"",IF(ABS(X581-Y581)&lt;=1,"✓ Cuadra","⚠ Diferencia $"&amp;FIXED(X581-Y581,0)))</f>
        <v/>
      </c>
      <c r="AA581" s="72" t="str">
        <f aca="false">IF(AH581="","",IFERROR(INDEX(C_TIPO,MATCH(C581&amp;"-P"&amp;MAX(1,COUNTIFS(C_ID,C581,C_DEFINE,"Sí",C_INICIO,"&lt;="&amp;EOMONTH(B581,0))),C_CLAVE,0))&amp;"","Sin dato"))</f>
        <v/>
      </c>
      <c r="AB581" s="71" t="str">
        <f aca="false">IF(AH581="","",ROUND(MIN(K581,TOPE_AFP_UF*AJ581)*AK581,0))</f>
        <v/>
      </c>
      <c r="AC581" s="71" t="str">
        <f aca="false">IF(AH581="","",ROUND(MIN(K581,TOPE_AFC_UF*AJ581)*IF(AA581="Indefinido",AFC_EMP_INDEF,AFC_EMP_PF),0))</f>
        <v/>
      </c>
      <c r="AD581" s="71" t="str">
        <f aca="false">IF(AH581="","",ROUND(MIN(K581,TOPE_AFP_UF*AJ581)*(MUTUAL_BASICA+MUTUAL_ADIC+SANNA),0))</f>
        <v/>
      </c>
      <c r="AE581" s="71" t="str">
        <f aca="false">IF(AH581="","",P581-N(N581)+AB581+AC581+AD581)</f>
        <v/>
      </c>
      <c r="AF581" s="65"/>
      <c r="AG581" s="64"/>
      <c r="AH581" s="72" t="str">
        <f aca="false">IF(OR(B581="",C581=""),"",C581&amp;"|"&amp;(YEAR(B581)*100+MONTH(B581)))</f>
        <v/>
      </c>
      <c r="AI581" s="70" t="str">
        <f aca="false">IF(AH581="","",IF(COUNTIF(L_CLAVE,AH581)&gt;1,"⚠ Duplicado","OK"))</f>
        <v/>
      </c>
      <c r="AJ581" s="86" t="str">
        <f aca="false">IF(AH581="","",IF(SUMPRODUCT(MAX((IND_PER&lt;=B581)*(IND_UF&lt;&gt;"")*IND_PER))=0,UF_HOY,INDEX(IND_UF,MATCH(SUMPRODUCT(MAX((IND_PER&lt;=B581)*(IND_UF&lt;&gt;"")*IND_PER)),IND_PER,0))))</f>
        <v/>
      </c>
      <c r="AK581" s="87" t="str">
        <f aca="false">IF(AH581="","",IF(COUNTIF(TASA_DESDE,"&lt;="&amp;B581)=0,INDEX(TASA_EMP,1),INDEX(TASA_EMP,COUNTIF(TASA_DESDE,"&lt;="&amp;B581))))</f>
        <v/>
      </c>
    </row>
    <row r="582" customFormat="false" ht="15" hidden="false" customHeight="false" outlineLevel="0" collapsed="false">
      <c r="B582" s="78"/>
      <c r="C582" s="64"/>
      <c r="D582" s="72" t="str">
        <f aca="false">IF(C582="","",IFERROR(INDEX(T_NOMBRE,MATCH(C582,T_ID,0)),"⚠ ID no existe"))</f>
        <v/>
      </c>
      <c r="E582" s="69"/>
      <c r="F582" s="67"/>
      <c r="G582" s="67"/>
      <c r="H582" s="67"/>
      <c r="I582" s="67"/>
      <c r="J582" s="67"/>
      <c r="K582" s="85" t="str">
        <f aca="false">IF(AH582="","",N(F582)+N(G582)+N(H582)-N(I582)+N(J582))</f>
        <v/>
      </c>
      <c r="L582" s="67"/>
      <c r="M582" s="67"/>
      <c r="N582" s="67"/>
      <c r="O582" s="67"/>
      <c r="P582" s="85" t="str">
        <f aca="false">IF(AH582="","",K582+N(L582)+N(M582)+N(N582)+N(O582))</f>
        <v/>
      </c>
      <c r="Q582" s="67"/>
      <c r="R582" s="67"/>
      <c r="S582" s="67"/>
      <c r="T582" s="67"/>
      <c r="U582" s="67"/>
      <c r="V582" s="67"/>
      <c r="W582" s="85" t="str">
        <f aca="false">IF(AH582="","",N(Q582)+N(R582)+N(S582)+N(T582)+N(U582)+N(V582))</f>
        <v/>
      </c>
      <c r="X582" s="85" t="str">
        <f aca="false">IF(AH582="","",P582-W582)</f>
        <v/>
      </c>
      <c r="Y582" s="67"/>
      <c r="Z582" s="70" t="str">
        <f aca="false">IF(OR(AH582="",Y582=""),"",IF(ABS(X582-Y582)&lt;=1,"✓ Cuadra","⚠ Diferencia $"&amp;FIXED(X582-Y582,0)))</f>
        <v/>
      </c>
      <c r="AA582" s="72" t="str">
        <f aca="false">IF(AH582="","",IFERROR(INDEX(C_TIPO,MATCH(C582&amp;"-P"&amp;MAX(1,COUNTIFS(C_ID,C582,C_DEFINE,"Sí",C_INICIO,"&lt;="&amp;EOMONTH(B582,0))),C_CLAVE,0))&amp;"","Sin dato"))</f>
        <v/>
      </c>
      <c r="AB582" s="71" t="str">
        <f aca="false">IF(AH582="","",ROUND(MIN(K582,TOPE_AFP_UF*AJ582)*AK582,0))</f>
        <v/>
      </c>
      <c r="AC582" s="71" t="str">
        <f aca="false">IF(AH582="","",ROUND(MIN(K582,TOPE_AFC_UF*AJ582)*IF(AA582="Indefinido",AFC_EMP_INDEF,AFC_EMP_PF),0))</f>
        <v/>
      </c>
      <c r="AD582" s="71" t="str">
        <f aca="false">IF(AH582="","",ROUND(MIN(K582,TOPE_AFP_UF*AJ582)*(MUTUAL_BASICA+MUTUAL_ADIC+SANNA),0))</f>
        <v/>
      </c>
      <c r="AE582" s="71" t="str">
        <f aca="false">IF(AH582="","",P582-N(N582)+AB582+AC582+AD582)</f>
        <v/>
      </c>
      <c r="AF582" s="65"/>
      <c r="AG582" s="64"/>
      <c r="AH582" s="72" t="str">
        <f aca="false">IF(OR(B582="",C582=""),"",C582&amp;"|"&amp;(YEAR(B582)*100+MONTH(B582)))</f>
        <v/>
      </c>
      <c r="AI582" s="70" t="str">
        <f aca="false">IF(AH582="","",IF(COUNTIF(L_CLAVE,AH582)&gt;1,"⚠ Duplicado","OK"))</f>
        <v/>
      </c>
      <c r="AJ582" s="86" t="str">
        <f aca="false">IF(AH582="","",IF(SUMPRODUCT(MAX((IND_PER&lt;=B582)*(IND_UF&lt;&gt;"")*IND_PER))=0,UF_HOY,INDEX(IND_UF,MATCH(SUMPRODUCT(MAX((IND_PER&lt;=B582)*(IND_UF&lt;&gt;"")*IND_PER)),IND_PER,0))))</f>
        <v/>
      </c>
      <c r="AK582" s="87" t="str">
        <f aca="false">IF(AH582="","",IF(COUNTIF(TASA_DESDE,"&lt;="&amp;B582)=0,INDEX(TASA_EMP,1),INDEX(TASA_EMP,COUNTIF(TASA_DESDE,"&lt;="&amp;B582))))</f>
        <v/>
      </c>
    </row>
    <row r="583" customFormat="false" ht="15" hidden="false" customHeight="false" outlineLevel="0" collapsed="false">
      <c r="B583" s="78"/>
      <c r="C583" s="64"/>
      <c r="D583" s="72" t="str">
        <f aca="false">IF(C583="","",IFERROR(INDEX(T_NOMBRE,MATCH(C583,T_ID,0)),"⚠ ID no existe"))</f>
        <v/>
      </c>
      <c r="E583" s="69"/>
      <c r="F583" s="67"/>
      <c r="G583" s="67"/>
      <c r="H583" s="67"/>
      <c r="I583" s="67"/>
      <c r="J583" s="67"/>
      <c r="K583" s="85" t="str">
        <f aca="false">IF(AH583="","",N(F583)+N(G583)+N(H583)-N(I583)+N(J583))</f>
        <v/>
      </c>
      <c r="L583" s="67"/>
      <c r="M583" s="67"/>
      <c r="N583" s="67"/>
      <c r="O583" s="67"/>
      <c r="P583" s="85" t="str">
        <f aca="false">IF(AH583="","",K583+N(L583)+N(M583)+N(N583)+N(O583))</f>
        <v/>
      </c>
      <c r="Q583" s="67"/>
      <c r="R583" s="67"/>
      <c r="S583" s="67"/>
      <c r="T583" s="67"/>
      <c r="U583" s="67"/>
      <c r="V583" s="67"/>
      <c r="W583" s="85" t="str">
        <f aca="false">IF(AH583="","",N(Q583)+N(R583)+N(S583)+N(T583)+N(U583)+N(V583))</f>
        <v/>
      </c>
      <c r="X583" s="85" t="str">
        <f aca="false">IF(AH583="","",P583-W583)</f>
        <v/>
      </c>
      <c r="Y583" s="67"/>
      <c r="Z583" s="70" t="str">
        <f aca="false">IF(OR(AH583="",Y583=""),"",IF(ABS(X583-Y583)&lt;=1,"✓ Cuadra","⚠ Diferencia $"&amp;FIXED(X583-Y583,0)))</f>
        <v/>
      </c>
      <c r="AA583" s="72" t="str">
        <f aca="false">IF(AH583="","",IFERROR(INDEX(C_TIPO,MATCH(C583&amp;"-P"&amp;MAX(1,COUNTIFS(C_ID,C583,C_DEFINE,"Sí",C_INICIO,"&lt;="&amp;EOMONTH(B583,0))),C_CLAVE,0))&amp;"","Sin dato"))</f>
        <v/>
      </c>
      <c r="AB583" s="71" t="str">
        <f aca="false">IF(AH583="","",ROUND(MIN(K583,TOPE_AFP_UF*AJ583)*AK583,0))</f>
        <v/>
      </c>
      <c r="AC583" s="71" t="str">
        <f aca="false">IF(AH583="","",ROUND(MIN(K583,TOPE_AFC_UF*AJ583)*IF(AA583="Indefinido",AFC_EMP_INDEF,AFC_EMP_PF),0))</f>
        <v/>
      </c>
      <c r="AD583" s="71" t="str">
        <f aca="false">IF(AH583="","",ROUND(MIN(K583,TOPE_AFP_UF*AJ583)*(MUTUAL_BASICA+MUTUAL_ADIC+SANNA),0))</f>
        <v/>
      </c>
      <c r="AE583" s="71" t="str">
        <f aca="false">IF(AH583="","",P583-N(N583)+AB583+AC583+AD583)</f>
        <v/>
      </c>
      <c r="AF583" s="65"/>
      <c r="AG583" s="64"/>
      <c r="AH583" s="72" t="str">
        <f aca="false">IF(OR(B583="",C583=""),"",C583&amp;"|"&amp;(YEAR(B583)*100+MONTH(B583)))</f>
        <v/>
      </c>
      <c r="AI583" s="70" t="str">
        <f aca="false">IF(AH583="","",IF(COUNTIF(L_CLAVE,AH583)&gt;1,"⚠ Duplicado","OK"))</f>
        <v/>
      </c>
      <c r="AJ583" s="86" t="str">
        <f aca="false">IF(AH583="","",IF(SUMPRODUCT(MAX((IND_PER&lt;=B583)*(IND_UF&lt;&gt;"")*IND_PER))=0,UF_HOY,INDEX(IND_UF,MATCH(SUMPRODUCT(MAX((IND_PER&lt;=B583)*(IND_UF&lt;&gt;"")*IND_PER)),IND_PER,0))))</f>
        <v/>
      </c>
      <c r="AK583" s="87" t="str">
        <f aca="false">IF(AH583="","",IF(COUNTIF(TASA_DESDE,"&lt;="&amp;B583)=0,INDEX(TASA_EMP,1),INDEX(TASA_EMP,COUNTIF(TASA_DESDE,"&lt;="&amp;B583))))</f>
        <v/>
      </c>
    </row>
    <row r="584" customFormat="false" ht="15" hidden="false" customHeight="false" outlineLevel="0" collapsed="false">
      <c r="B584" s="78"/>
      <c r="C584" s="64"/>
      <c r="D584" s="72" t="str">
        <f aca="false">IF(C584="","",IFERROR(INDEX(T_NOMBRE,MATCH(C584,T_ID,0)),"⚠ ID no existe"))</f>
        <v/>
      </c>
      <c r="E584" s="69"/>
      <c r="F584" s="67"/>
      <c r="G584" s="67"/>
      <c r="H584" s="67"/>
      <c r="I584" s="67"/>
      <c r="J584" s="67"/>
      <c r="K584" s="85" t="str">
        <f aca="false">IF(AH584="","",N(F584)+N(G584)+N(H584)-N(I584)+N(J584))</f>
        <v/>
      </c>
      <c r="L584" s="67"/>
      <c r="M584" s="67"/>
      <c r="N584" s="67"/>
      <c r="O584" s="67"/>
      <c r="P584" s="85" t="str">
        <f aca="false">IF(AH584="","",K584+N(L584)+N(M584)+N(N584)+N(O584))</f>
        <v/>
      </c>
      <c r="Q584" s="67"/>
      <c r="R584" s="67"/>
      <c r="S584" s="67"/>
      <c r="T584" s="67"/>
      <c r="U584" s="67"/>
      <c r="V584" s="67"/>
      <c r="W584" s="85" t="str">
        <f aca="false">IF(AH584="","",N(Q584)+N(R584)+N(S584)+N(T584)+N(U584)+N(V584))</f>
        <v/>
      </c>
      <c r="X584" s="85" t="str">
        <f aca="false">IF(AH584="","",P584-W584)</f>
        <v/>
      </c>
      <c r="Y584" s="67"/>
      <c r="Z584" s="70" t="str">
        <f aca="false">IF(OR(AH584="",Y584=""),"",IF(ABS(X584-Y584)&lt;=1,"✓ Cuadra","⚠ Diferencia $"&amp;FIXED(X584-Y584,0)))</f>
        <v/>
      </c>
      <c r="AA584" s="72" t="str">
        <f aca="false">IF(AH584="","",IFERROR(INDEX(C_TIPO,MATCH(C584&amp;"-P"&amp;MAX(1,COUNTIFS(C_ID,C584,C_DEFINE,"Sí",C_INICIO,"&lt;="&amp;EOMONTH(B584,0))),C_CLAVE,0))&amp;"","Sin dato"))</f>
        <v/>
      </c>
      <c r="AB584" s="71" t="str">
        <f aca="false">IF(AH584="","",ROUND(MIN(K584,TOPE_AFP_UF*AJ584)*AK584,0))</f>
        <v/>
      </c>
      <c r="AC584" s="71" t="str">
        <f aca="false">IF(AH584="","",ROUND(MIN(K584,TOPE_AFC_UF*AJ584)*IF(AA584="Indefinido",AFC_EMP_INDEF,AFC_EMP_PF),0))</f>
        <v/>
      </c>
      <c r="AD584" s="71" t="str">
        <f aca="false">IF(AH584="","",ROUND(MIN(K584,TOPE_AFP_UF*AJ584)*(MUTUAL_BASICA+MUTUAL_ADIC+SANNA),0))</f>
        <v/>
      </c>
      <c r="AE584" s="71" t="str">
        <f aca="false">IF(AH584="","",P584-N(N584)+AB584+AC584+AD584)</f>
        <v/>
      </c>
      <c r="AF584" s="65"/>
      <c r="AG584" s="64"/>
      <c r="AH584" s="72" t="str">
        <f aca="false">IF(OR(B584="",C584=""),"",C584&amp;"|"&amp;(YEAR(B584)*100+MONTH(B584)))</f>
        <v/>
      </c>
      <c r="AI584" s="70" t="str">
        <f aca="false">IF(AH584="","",IF(COUNTIF(L_CLAVE,AH584)&gt;1,"⚠ Duplicado","OK"))</f>
        <v/>
      </c>
      <c r="AJ584" s="86" t="str">
        <f aca="false">IF(AH584="","",IF(SUMPRODUCT(MAX((IND_PER&lt;=B584)*(IND_UF&lt;&gt;"")*IND_PER))=0,UF_HOY,INDEX(IND_UF,MATCH(SUMPRODUCT(MAX((IND_PER&lt;=B584)*(IND_UF&lt;&gt;"")*IND_PER)),IND_PER,0))))</f>
        <v/>
      </c>
      <c r="AK584" s="87" t="str">
        <f aca="false">IF(AH584="","",IF(COUNTIF(TASA_DESDE,"&lt;="&amp;B584)=0,INDEX(TASA_EMP,1),INDEX(TASA_EMP,COUNTIF(TASA_DESDE,"&lt;="&amp;B584))))</f>
        <v/>
      </c>
    </row>
    <row r="585" customFormat="false" ht="15" hidden="false" customHeight="false" outlineLevel="0" collapsed="false">
      <c r="B585" s="78"/>
      <c r="C585" s="64"/>
      <c r="D585" s="72" t="str">
        <f aca="false">IF(C585="","",IFERROR(INDEX(T_NOMBRE,MATCH(C585,T_ID,0)),"⚠ ID no existe"))</f>
        <v/>
      </c>
      <c r="E585" s="69"/>
      <c r="F585" s="67"/>
      <c r="G585" s="67"/>
      <c r="H585" s="67"/>
      <c r="I585" s="67"/>
      <c r="J585" s="67"/>
      <c r="K585" s="85" t="str">
        <f aca="false">IF(AH585="","",N(F585)+N(G585)+N(H585)-N(I585)+N(J585))</f>
        <v/>
      </c>
      <c r="L585" s="67"/>
      <c r="M585" s="67"/>
      <c r="N585" s="67"/>
      <c r="O585" s="67"/>
      <c r="P585" s="85" t="str">
        <f aca="false">IF(AH585="","",K585+N(L585)+N(M585)+N(N585)+N(O585))</f>
        <v/>
      </c>
      <c r="Q585" s="67"/>
      <c r="R585" s="67"/>
      <c r="S585" s="67"/>
      <c r="T585" s="67"/>
      <c r="U585" s="67"/>
      <c r="V585" s="67"/>
      <c r="W585" s="85" t="str">
        <f aca="false">IF(AH585="","",N(Q585)+N(R585)+N(S585)+N(T585)+N(U585)+N(V585))</f>
        <v/>
      </c>
      <c r="X585" s="85" t="str">
        <f aca="false">IF(AH585="","",P585-W585)</f>
        <v/>
      </c>
      <c r="Y585" s="67"/>
      <c r="Z585" s="70" t="str">
        <f aca="false">IF(OR(AH585="",Y585=""),"",IF(ABS(X585-Y585)&lt;=1,"✓ Cuadra","⚠ Diferencia $"&amp;FIXED(X585-Y585,0)))</f>
        <v/>
      </c>
      <c r="AA585" s="72" t="str">
        <f aca="false">IF(AH585="","",IFERROR(INDEX(C_TIPO,MATCH(C585&amp;"-P"&amp;MAX(1,COUNTIFS(C_ID,C585,C_DEFINE,"Sí",C_INICIO,"&lt;="&amp;EOMONTH(B585,0))),C_CLAVE,0))&amp;"","Sin dato"))</f>
        <v/>
      </c>
      <c r="AB585" s="71" t="str">
        <f aca="false">IF(AH585="","",ROUND(MIN(K585,TOPE_AFP_UF*AJ585)*AK585,0))</f>
        <v/>
      </c>
      <c r="AC585" s="71" t="str">
        <f aca="false">IF(AH585="","",ROUND(MIN(K585,TOPE_AFC_UF*AJ585)*IF(AA585="Indefinido",AFC_EMP_INDEF,AFC_EMP_PF),0))</f>
        <v/>
      </c>
      <c r="AD585" s="71" t="str">
        <f aca="false">IF(AH585="","",ROUND(MIN(K585,TOPE_AFP_UF*AJ585)*(MUTUAL_BASICA+MUTUAL_ADIC+SANNA),0))</f>
        <v/>
      </c>
      <c r="AE585" s="71" t="str">
        <f aca="false">IF(AH585="","",P585-N(N585)+AB585+AC585+AD585)</f>
        <v/>
      </c>
      <c r="AF585" s="65"/>
      <c r="AG585" s="64"/>
      <c r="AH585" s="72" t="str">
        <f aca="false">IF(OR(B585="",C585=""),"",C585&amp;"|"&amp;(YEAR(B585)*100+MONTH(B585)))</f>
        <v/>
      </c>
      <c r="AI585" s="70" t="str">
        <f aca="false">IF(AH585="","",IF(COUNTIF(L_CLAVE,AH585)&gt;1,"⚠ Duplicado","OK"))</f>
        <v/>
      </c>
      <c r="AJ585" s="86" t="str">
        <f aca="false">IF(AH585="","",IF(SUMPRODUCT(MAX((IND_PER&lt;=B585)*(IND_UF&lt;&gt;"")*IND_PER))=0,UF_HOY,INDEX(IND_UF,MATCH(SUMPRODUCT(MAX((IND_PER&lt;=B585)*(IND_UF&lt;&gt;"")*IND_PER)),IND_PER,0))))</f>
        <v/>
      </c>
      <c r="AK585" s="87" t="str">
        <f aca="false">IF(AH585="","",IF(COUNTIF(TASA_DESDE,"&lt;="&amp;B585)=0,INDEX(TASA_EMP,1),INDEX(TASA_EMP,COUNTIF(TASA_DESDE,"&lt;="&amp;B585))))</f>
        <v/>
      </c>
    </row>
    <row r="586" customFormat="false" ht="15" hidden="false" customHeight="false" outlineLevel="0" collapsed="false">
      <c r="B586" s="78"/>
      <c r="C586" s="64"/>
      <c r="D586" s="72" t="str">
        <f aca="false">IF(C586="","",IFERROR(INDEX(T_NOMBRE,MATCH(C586,T_ID,0)),"⚠ ID no existe"))</f>
        <v/>
      </c>
      <c r="E586" s="69"/>
      <c r="F586" s="67"/>
      <c r="G586" s="67"/>
      <c r="H586" s="67"/>
      <c r="I586" s="67"/>
      <c r="J586" s="67"/>
      <c r="K586" s="85" t="str">
        <f aca="false">IF(AH586="","",N(F586)+N(G586)+N(H586)-N(I586)+N(J586))</f>
        <v/>
      </c>
      <c r="L586" s="67"/>
      <c r="M586" s="67"/>
      <c r="N586" s="67"/>
      <c r="O586" s="67"/>
      <c r="P586" s="85" t="str">
        <f aca="false">IF(AH586="","",K586+N(L586)+N(M586)+N(N586)+N(O586))</f>
        <v/>
      </c>
      <c r="Q586" s="67"/>
      <c r="R586" s="67"/>
      <c r="S586" s="67"/>
      <c r="T586" s="67"/>
      <c r="U586" s="67"/>
      <c r="V586" s="67"/>
      <c r="W586" s="85" t="str">
        <f aca="false">IF(AH586="","",N(Q586)+N(R586)+N(S586)+N(T586)+N(U586)+N(V586))</f>
        <v/>
      </c>
      <c r="X586" s="85" t="str">
        <f aca="false">IF(AH586="","",P586-W586)</f>
        <v/>
      </c>
      <c r="Y586" s="67"/>
      <c r="Z586" s="70" t="str">
        <f aca="false">IF(OR(AH586="",Y586=""),"",IF(ABS(X586-Y586)&lt;=1,"✓ Cuadra","⚠ Diferencia $"&amp;FIXED(X586-Y586,0)))</f>
        <v/>
      </c>
      <c r="AA586" s="72" t="str">
        <f aca="false">IF(AH586="","",IFERROR(INDEX(C_TIPO,MATCH(C586&amp;"-P"&amp;MAX(1,COUNTIFS(C_ID,C586,C_DEFINE,"Sí",C_INICIO,"&lt;="&amp;EOMONTH(B586,0))),C_CLAVE,0))&amp;"","Sin dato"))</f>
        <v/>
      </c>
      <c r="AB586" s="71" t="str">
        <f aca="false">IF(AH586="","",ROUND(MIN(K586,TOPE_AFP_UF*AJ586)*AK586,0))</f>
        <v/>
      </c>
      <c r="AC586" s="71" t="str">
        <f aca="false">IF(AH586="","",ROUND(MIN(K586,TOPE_AFC_UF*AJ586)*IF(AA586="Indefinido",AFC_EMP_INDEF,AFC_EMP_PF),0))</f>
        <v/>
      </c>
      <c r="AD586" s="71" t="str">
        <f aca="false">IF(AH586="","",ROUND(MIN(K586,TOPE_AFP_UF*AJ586)*(MUTUAL_BASICA+MUTUAL_ADIC+SANNA),0))</f>
        <v/>
      </c>
      <c r="AE586" s="71" t="str">
        <f aca="false">IF(AH586="","",P586-N(N586)+AB586+AC586+AD586)</f>
        <v/>
      </c>
      <c r="AF586" s="65"/>
      <c r="AG586" s="64"/>
      <c r="AH586" s="72" t="str">
        <f aca="false">IF(OR(B586="",C586=""),"",C586&amp;"|"&amp;(YEAR(B586)*100+MONTH(B586)))</f>
        <v/>
      </c>
      <c r="AI586" s="70" t="str">
        <f aca="false">IF(AH586="","",IF(COUNTIF(L_CLAVE,AH586)&gt;1,"⚠ Duplicado","OK"))</f>
        <v/>
      </c>
      <c r="AJ586" s="86" t="str">
        <f aca="false">IF(AH586="","",IF(SUMPRODUCT(MAX((IND_PER&lt;=B586)*(IND_UF&lt;&gt;"")*IND_PER))=0,UF_HOY,INDEX(IND_UF,MATCH(SUMPRODUCT(MAX((IND_PER&lt;=B586)*(IND_UF&lt;&gt;"")*IND_PER)),IND_PER,0))))</f>
        <v/>
      </c>
      <c r="AK586" s="87" t="str">
        <f aca="false">IF(AH586="","",IF(COUNTIF(TASA_DESDE,"&lt;="&amp;B586)=0,INDEX(TASA_EMP,1),INDEX(TASA_EMP,COUNTIF(TASA_DESDE,"&lt;="&amp;B586))))</f>
        <v/>
      </c>
    </row>
    <row r="587" customFormat="false" ht="15" hidden="false" customHeight="false" outlineLevel="0" collapsed="false">
      <c r="B587" s="78"/>
      <c r="C587" s="64"/>
      <c r="D587" s="72" t="str">
        <f aca="false">IF(C587="","",IFERROR(INDEX(T_NOMBRE,MATCH(C587,T_ID,0)),"⚠ ID no existe"))</f>
        <v/>
      </c>
      <c r="E587" s="69"/>
      <c r="F587" s="67"/>
      <c r="G587" s="67"/>
      <c r="H587" s="67"/>
      <c r="I587" s="67"/>
      <c r="J587" s="67"/>
      <c r="K587" s="85" t="str">
        <f aca="false">IF(AH587="","",N(F587)+N(G587)+N(H587)-N(I587)+N(J587))</f>
        <v/>
      </c>
      <c r="L587" s="67"/>
      <c r="M587" s="67"/>
      <c r="N587" s="67"/>
      <c r="O587" s="67"/>
      <c r="P587" s="85" t="str">
        <f aca="false">IF(AH587="","",K587+N(L587)+N(M587)+N(N587)+N(O587))</f>
        <v/>
      </c>
      <c r="Q587" s="67"/>
      <c r="R587" s="67"/>
      <c r="S587" s="67"/>
      <c r="T587" s="67"/>
      <c r="U587" s="67"/>
      <c r="V587" s="67"/>
      <c r="W587" s="85" t="str">
        <f aca="false">IF(AH587="","",N(Q587)+N(R587)+N(S587)+N(T587)+N(U587)+N(V587))</f>
        <v/>
      </c>
      <c r="X587" s="85" t="str">
        <f aca="false">IF(AH587="","",P587-W587)</f>
        <v/>
      </c>
      <c r="Y587" s="67"/>
      <c r="Z587" s="70" t="str">
        <f aca="false">IF(OR(AH587="",Y587=""),"",IF(ABS(X587-Y587)&lt;=1,"✓ Cuadra","⚠ Diferencia $"&amp;FIXED(X587-Y587,0)))</f>
        <v/>
      </c>
      <c r="AA587" s="72" t="str">
        <f aca="false">IF(AH587="","",IFERROR(INDEX(C_TIPO,MATCH(C587&amp;"-P"&amp;MAX(1,COUNTIFS(C_ID,C587,C_DEFINE,"Sí",C_INICIO,"&lt;="&amp;EOMONTH(B587,0))),C_CLAVE,0))&amp;"","Sin dato"))</f>
        <v/>
      </c>
      <c r="AB587" s="71" t="str">
        <f aca="false">IF(AH587="","",ROUND(MIN(K587,TOPE_AFP_UF*AJ587)*AK587,0))</f>
        <v/>
      </c>
      <c r="AC587" s="71" t="str">
        <f aca="false">IF(AH587="","",ROUND(MIN(K587,TOPE_AFC_UF*AJ587)*IF(AA587="Indefinido",AFC_EMP_INDEF,AFC_EMP_PF),0))</f>
        <v/>
      </c>
      <c r="AD587" s="71" t="str">
        <f aca="false">IF(AH587="","",ROUND(MIN(K587,TOPE_AFP_UF*AJ587)*(MUTUAL_BASICA+MUTUAL_ADIC+SANNA),0))</f>
        <v/>
      </c>
      <c r="AE587" s="71" t="str">
        <f aca="false">IF(AH587="","",P587-N(N587)+AB587+AC587+AD587)</f>
        <v/>
      </c>
      <c r="AF587" s="65"/>
      <c r="AG587" s="64"/>
      <c r="AH587" s="72" t="str">
        <f aca="false">IF(OR(B587="",C587=""),"",C587&amp;"|"&amp;(YEAR(B587)*100+MONTH(B587)))</f>
        <v/>
      </c>
      <c r="AI587" s="70" t="str">
        <f aca="false">IF(AH587="","",IF(COUNTIF(L_CLAVE,AH587)&gt;1,"⚠ Duplicado","OK"))</f>
        <v/>
      </c>
      <c r="AJ587" s="86" t="str">
        <f aca="false">IF(AH587="","",IF(SUMPRODUCT(MAX((IND_PER&lt;=B587)*(IND_UF&lt;&gt;"")*IND_PER))=0,UF_HOY,INDEX(IND_UF,MATCH(SUMPRODUCT(MAX((IND_PER&lt;=B587)*(IND_UF&lt;&gt;"")*IND_PER)),IND_PER,0))))</f>
        <v/>
      </c>
      <c r="AK587" s="87" t="str">
        <f aca="false">IF(AH587="","",IF(COUNTIF(TASA_DESDE,"&lt;="&amp;B587)=0,INDEX(TASA_EMP,1),INDEX(TASA_EMP,COUNTIF(TASA_DESDE,"&lt;="&amp;B587))))</f>
        <v/>
      </c>
    </row>
    <row r="588" customFormat="false" ht="15" hidden="false" customHeight="false" outlineLevel="0" collapsed="false">
      <c r="B588" s="78"/>
      <c r="C588" s="64"/>
      <c r="D588" s="72" t="str">
        <f aca="false">IF(C588="","",IFERROR(INDEX(T_NOMBRE,MATCH(C588,T_ID,0)),"⚠ ID no existe"))</f>
        <v/>
      </c>
      <c r="E588" s="69"/>
      <c r="F588" s="67"/>
      <c r="G588" s="67"/>
      <c r="H588" s="67"/>
      <c r="I588" s="67"/>
      <c r="J588" s="67"/>
      <c r="K588" s="85" t="str">
        <f aca="false">IF(AH588="","",N(F588)+N(G588)+N(H588)-N(I588)+N(J588))</f>
        <v/>
      </c>
      <c r="L588" s="67"/>
      <c r="M588" s="67"/>
      <c r="N588" s="67"/>
      <c r="O588" s="67"/>
      <c r="P588" s="85" t="str">
        <f aca="false">IF(AH588="","",K588+N(L588)+N(M588)+N(N588)+N(O588))</f>
        <v/>
      </c>
      <c r="Q588" s="67"/>
      <c r="R588" s="67"/>
      <c r="S588" s="67"/>
      <c r="T588" s="67"/>
      <c r="U588" s="67"/>
      <c r="V588" s="67"/>
      <c r="W588" s="85" t="str">
        <f aca="false">IF(AH588="","",N(Q588)+N(R588)+N(S588)+N(T588)+N(U588)+N(V588))</f>
        <v/>
      </c>
      <c r="X588" s="85" t="str">
        <f aca="false">IF(AH588="","",P588-W588)</f>
        <v/>
      </c>
      <c r="Y588" s="67"/>
      <c r="Z588" s="70" t="str">
        <f aca="false">IF(OR(AH588="",Y588=""),"",IF(ABS(X588-Y588)&lt;=1,"✓ Cuadra","⚠ Diferencia $"&amp;FIXED(X588-Y588,0)))</f>
        <v/>
      </c>
      <c r="AA588" s="72" t="str">
        <f aca="false">IF(AH588="","",IFERROR(INDEX(C_TIPO,MATCH(C588&amp;"-P"&amp;MAX(1,COUNTIFS(C_ID,C588,C_DEFINE,"Sí",C_INICIO,"&lt;="&amp;EOMONTH(B588,0))),C_CLAVE,0))&amp;"","Sin dato"))</f>
        <v/>
      </c>
      <c r="AB588" s="71" t="str">
        <f aca="false">IF(AH588="","",ROUND(MIN(K588,TOPE_AFP_UF*AJ588)*AK588,0))</f>
        <v/>
      </c>
      <c r="AC588" s="71" t="str">
        <f aca="false">IF(AH588="","",ROUND(MIN(K588,TOPE_AFC_UF*AJ588)*IF(AA588="Indefinido",AFC_EMP_INDEF,AFC_EMP_PF),0))</f>
        <v/>
      </c>
      <c r="AD588" s="71" t="str">
        <f aca="false">IF(AH588="","",ROUND(MIN(K588,TOPE_AFP_UF*AJ588)*(MUTUAL_BASICA+MUTUAL_ADIC+SANNA),0))</f>
        <v/>
      </c>
      <c r="AE588" s="71" t="str">
        <f aca="false">IF(AH588="","",P588-N(N588)+AB588+AC588+AD588)</f>
        <v/>
      </c>
      <c r="AF588" s="65"/>
      <c r="AG588" s="64"/>
      <c r="AH588" s="72" t="str">
        <f aca="false">IF(OR(B588="",C588=""),"",C588&amp;"|"&amp;(YEAR(B588)*100+MONTH(B588)))</f>
        <v/>
      </c>
      <c r="AI588" s="70" t="str">
        <f aca="false">IF(AH588="","",IF(COUNTIF(L_CLAVE,AH588)&gt;1,"⚠ Duplicado","OK"))</f>
        <v/>
      </c>
      <c r="AJ588" s="86" t="str">
        <f aca="false">IF(AH588="","",IF(SUMPRODUCT(MAX((IND_PER&lt;=B588)*(IND_UF&lt;&gt;"")*IND_PER))=0,UF_HOY,INDEX(IND_UF,MATCH(SUMPRODUCT(MAX((IND_PER&lt;=B588)*(IND_UF&lt;&gt;"")*IND_PER)),IND_PER,0))))</f>
        <v/>
      </c>
      <c r="AK588" s="87" t="str">
        <f aca="false">IF(AH588="","",IF(COUNTIF(TASA_DESDE,"&lt;="&amp;B588)=0,INDEX(TASA_EMP,1),INDEX(TASA_EMP,COUNTIF(TASA_DESDE,"&lt;="&amp;B588))))</f>
        <v/>
      </c>
    </row>
    <row r="589" customFormat="false" ht="15" hidden="false" customHeight="false" outlineLevel="0" collapsed="false">
      <c r="B589" s="78"/>
      <c r="C589" s="64"/>
      <c r="D589" s="72" t="str">
        <f aca="false">IF(C589="","",IFERROR(INDEX(T_NOMBRE,MATCH(C589,T_ID,0)),"⚠ ID no existe"))</f>
        <v/>
      </c>
      <c r="E589" s="69"/>
      <c r="F589" s="67"/>
      <c r="G589" s="67"/>
      <c r="H589" s="67"/>
      <c r="I589" s="67"/>
      <c r="J589" s="67"/>
      <c r="K589" s="85" t="str">
        <f aca="false">IF(AH589="","",N(F589)+N(G589)+N(H589)-N(I589)+N(J589))</f>
        <v/>
      </c>
      <c r="L589" s="67"/>
      <c r="M589" s="67"/>
      <c r="N589" s="67"/>
      <c r="O589" s="67"/>
      <c r="P589" s="85" t="str">
        <f aca="false">IF(AH589="","",K589+N(L589)+N(M589)+N(N589)+N(O589))</f>
        <v/>
      </c>
      <c r="Q589" s="67"/>
      <c r="R589" s="67"/>
      <c r="S589" s="67"/>
      <c r="T589" s="67"/>
      <c r="U589" s="67"/>
      <c r="V589" s="67"/>
      <c r="W589" s="85" t="str">
        <f aca="false">IF(AH589="","",N(Q589)+N(R589)+N(S589)+N(T589)+N(U589)+N(V589))</f>
        <v/>
      </c>
      <c r="X589" s="85" t="str">
        <f aca="false">IF(AH589="","",P589-W589)</f>
        <v/>
      </c>
      <c r="Y589" s="67"/>
      <c r="Z589" s="70" t="str">
        <f aca="false">IF(OR(AH589="",Y589=""),"",IF(ABS(X589-Y589)&lt;=1,"✓ Cuadra","⚠ Diferencia $"&amp;FIXED(X589-Y589,0)))</f>
        <v/>
      </c>
      <c r="AA589" s="72" t="str">
        <f aca="false">IF(AH589="","",IFERROR(INDEX(C_TIPO,MATCH(C589&amp;"-P"&amp;MAX(1,COUNTIFS(C_ID,C589,C_DEFINE,"Sí",C_INICIO,"&lt;="&amp;EOMONTH(B589,0))),C_CLAVE,0))&amp;"","Sin dato"))</f>
        <v/>
      </c>
      <c r="AB589" s="71" t="str">
        <f aca="false">IF(AH589="","",ROUND(MIN(K589,TOPE_AFP_UF*AJ589)*AK589,0))</f>
        <v/>
      </c>
      <c r="AC589" s="71" t="str">
        <f aca="false">IF(AH589="","",ROUND(MIN(K589,TOPE_AFC_UF*AJ589)*IF(AA589="Indefinido",AFC_EMP_INDEF,AFC_EMP_PF),0))</f>
        <v/>
      </c>
      <c r="AD589" s="71" t="str">
        <f aca="false">IF(AH589="","",ROUND(MIN(K589,TOPE_AFP_UF*AJ589)*(MUTUAL_BASICA+MUTUAL_ADIC+SANNA),0))</f>
        <v/>
      </c>
      <c r="AE589" s="71" t="str">
        <f aca="false">IF(AH589="","",P589-N(N589)+AB589+AC589+AD589)</f>
        <v/>
      </c>
      <c r="AF589" s="65"/>
      <c r="AG589" s="64"/>
      <c r="AH589" s="72" t="str">
        <f aca="false">IF(OR(B589="",C589=""),"",C589&amp;"|"&amp;(YEAR(B589)*100+MONTH(B589)))</f>
        <v/>
      </c>
      <c r="AI589" s="70" t="str">
        <f aca="false">IF(AH589="","",IF(COUNTIF(L_CLAVE,AH589)&gt;1,"⚠ Duplicado","OK"))</f>
        <v/>
      </c>
      <c r="AJ589" s="86" t="str">
        <f aca="false">IF(AH589="","",IF(SUMPRODUCT(MAX((IND_PER&lt;=B589)*(IND_UF&lt;&gt;"")*IND_PER))=0,UF_HOY,INDEX(IND_UF,MATCH(SUMPRODUCT(MAX((IND_PER&lt;=B589)*(IND_UF&lt;&gt;"")*IND_PER)),IND_PER,0))))</f>
        <v/>
      </c>
      <c r="AK589" s="87" t="str">
        <f aca="false">IF(AH589="","",IF(COUNTIF(TASA_DESDE,"&lt;="&amp;B589)=0,INDEX(TASA_EMP,1),INDEX(TASA_EMP,COUNTIF(TASA_DESDE,"&lt;="&amp;B589))))</f>
        <v/>
      </c>
    </row>
    <row r="590" customFormat="false" ht="15" hidden="false" customHeight="false" outlineLevel="0" collapsed="false">
      <c r="B590" s="78"/>
      <c r="C590" s="64"/>
      <c r="D590" s="72" t="str">
        <f aca="false">IF(C590="","",IFERROR(INDEX(T_NOMBRE,MATCH(C590,T_ID,0)),"⚠ ID no existe"))</f>
        <v/>
      </c>
      <c r="E590" s="69"/>
      <c r="F590" s="67"/>
      <c r="G590" s="67"/>
      <c r="H590" s="67"/>
      <c r="I590" s="67"/>
      <c r="J590" s="67"/>
      <c r="K590" s="85" t="str">
        <f aca="false">IF(AH590="","",N(F590)+N(G590)+N(H590)-N(I590)+N(J590))</f>
        <v/>
      </c>
      <c r="L590" s="67"/>
      <c r="M590" s="67"/>
      <c r="N590" s="67"/>
      <c r="O590" s="67"/>
      <c r="P590" s="85" t="str">
        <f aca="false">IF(AH590="","",K590+N(L590)+N(M590)+N(N590)+N(O590))</f>
        <v/>
      </c>
      <c r="Q590" s="67"/>
      <c r="R590" s="67"/>
      <c r="S590" s="67"/>
      <c r="T590" s="67"/>
      <c r="U590" s="67"/>
      <c r="V590" s="67"/>
      <c r="W590" s="85" t="str">
        <f aca="false">IF(AH590="","",N(Q590)+N(R590)+N(S590)+N(T590)+N(U590)+N(V590))</f>
        <v/>
      </c>
      <c r="X590" s="85" t="str">
        <f aca="false">IF(AH590="","",P590-W590)</f>
        <v/>
      </c>
      <c r="Y590" s="67"/>
      <c r="Z590" s="70" t="str">
        <f aca="false">IF(OR(AH590="",Y590=""),"",IF(ABS(X590-Y590)&lt;=1,"✓ Cuadra","⚠ Diferencia $"&amp;FIXED(X590-Y590,0)))</f>
        <v/>
      </c>
      <c r="AA590" s="72" t="str">
        <f aca="false">IF(AH590="","",IFERROR(INDEX(C_TIPO,MATCH(C590&amp;"-P"&amp;MAX(1,COUNTIFS(C_ID,C590,C_DEFINE,"Sí",C_INICIO,"&lt;="&amp;EOMONTH(B590,0))),C_CLAVE,0))&amp;"","Sin dato"))</f>
        <v/>
      </c>
      <c r="AB590" s="71" t="str">
        <f aca="false">IF(AH590="","",ROUND(MIN(K590,TOPE_AFP_UF*AJ590)*AK590,0))</f>
        <v/>
      </c>
      <c r="AC590" s="71" t="str">
        <f aca="false">IF(AH590="","",ROUND(MIN(K590,TOPE_AFC_UF*AJ590)*IF(AA590="Indefinido",AFC_EMP_INDEF,AFC_EMP_PF),0))</f>
        <v/>
      </c>
      <c r="AD590" s="71" t="str">
        <f aca="false">IF(AH590="","",ROUND(MIN(K590,TOPE_AFP_UF*AJ590)*(MUTUAL_BASICA+MUTUAL_ADIC+SANNA),0))</f>
        <v/>
      </c>
      <c r="AE590" s="71" t="str">
        <f aca="false">IF(AH590="","",P590-N(N590)+AB590+AC590+AD590)</f>
        <v/>
      </c>
      <c r="AF590" s="65"/>
      <c r="AG590" s="64"/>
      <c r="AH590" s="72" t="str">
        <f aca="false">IF(OR(B590="",C590=""),"",C590&amp;"|"&amp;(YEAR(B590)*100+MONTH(B590)))</f>
        <v/>
      </c>
      <c r="AI590" s="70" t="str">
        <f aca="false">IF(AH590="","",IF(COUNTIF(L_CLAVE,AH590)&gt;1,"⚠ Duplicado","OK"))</f>
        <v/>
      </c>
      <c r="AJ590" s="86" t="str">
        <f aca="false">IF(AH590="","",IF(SUMPRODUCT(MAX((IND_PER&lt;=B590)*(IND_UF&lt;&gt;"")*IND_PER))=0,UF_HOY,INDEX(IND_UF,MATCH(SUMPRODUCT(MAX((IND_PER&lt;=B590)*(IND_UF&lt;&gt;"")*IND_PER)),IND_PER,0))))</f>
        <v/>
      </c>
      <c r="AK590" s="87" t="str">
        <f aca="false">IF(AH590="","",IF(COUNTIF(TASA_DESDE,"&lt;="&amp;B590)=0,INDEX(TASA_EMP,1),INDEX(TASA_EMP,COUNTIF(TASA_DESDE,"&lt;="&amp;B590))))</f>
        <v/>
      </c>
    </row>
    <row r="591" customFormat="false" ht="15" hidden="false" customHeight="false" outlineLevel="0" collapsed="false">
      <c r="B591" s="78"/>
      <c r="C591" s="64"/>
      <c r="D591" s="72" t="str">
        <f aca="false">IF(C591="","",IFERROR(INDEX(T_NOMBRE,MATCH(C591,T_ID,0)),"⚠ ID no existe"))</f>
        <v/>
      </c>
      <c r="E591" s="69"/>
      <c r="F591" s="67"/>
      <c r="G591" s="67"/>
      <c r="H591" s="67"/>
      <c r="I591" s="67"/>
      <c r="J591" s="67"/>
      <c r="K591" s="85" t="str">
        <f aca="false">IF(AH591="","",N(F591)+N(G591)+N(H591)-N(I591)+N(J591))</f>
        <v/>
      </c>
      <c r="L591" s="67"/>
      <c r="M591" s="67"/>
      <c r="N591" s="67"/>
      <c r="O591" s="67"/>
      <c r="P591" s="85" t="str">
        <f aca="false">IF(AH591="","",K591+N(L591)+N(M591)+N(N591)+N(O591))</f>
        <v/>
      </c>
      <c r="Q591" s="67"/>
      <c r="R591" s="67"/>
      <c r="S591" s="67"/>
      <c r="T591" s="67"/>
      <c r="U591" s="67"/>
      <c r="V591" s="67"/>
      <c r="W591" s="85" t="str">
        <f aca="false">IF(AH591="","",N(Q591)+N(R591)+N(S591)+N(T591)+N(U591)+N(V591))</f>
        <v/>
      </c>
      <c r="X591" s="85" t="str">
        <f aca="false">IF(AH591="","",P591-W591)</f>
        <v/>
      </c>
      <c r="Y591" s="67"/>
      <c r="Z591" s="70" t="str">
        <f aca="false">IF(OR(AH591="",Y591=""),"",IF(ABS(X591-Y591)&lt;=1,"✓ Cuadra","⚠ Diferencia $"&amp;FIXED(X591-Y591,0)))</f>
        <v/>
      </c>
      <c r="AA591" s="72" t="str">
        <f aca="false">IF(AH591="","",IFERROR(INDEX(C_TIPO,MATCH(C591&amp;"-P"&amp;MAX(1,COUNTIFS(C_ID,C591,C_DEFINE,"Sí",C_INICIO,"&lt;="&amp;EOMONTH(B591,0))),C_CLAVE,0))&amp;"","Sin dato"))</f>
        <v/>
      </c>
      <c r="AB591" s="71" t="str">
        <f aca="false">IF(AH591="","",ROUND(MIN(K591,TOPE_AFP_UF*AJ591)*AK591,0))</f>
        <v/>
      </c>
      <c r="AC591" s="71" t="str">
        <f aca="false">IF(AH591="","",ROUND(MIN(K591,TOPE_AFC_UF*AJ591)*IF(AA591="Indefinido",AFC_EMP_INDEF,AFC_EMP_PF),0))</f>
        <v/>
      </c>
      <c r="AD591" s="71" t="str">
        <f aca="false">IF(AH591="","",ROUND(MIN(K591,TOPE_AFP_UF*AJ591)*(MUTUAL_BASICA+MUTUAL_ADIC+SANNA),0))</f>
        <v/>
      </c>
      <c r="AE591" s="71" t="str">
        <f aca="false">IF(AH591="","",P591-N(N591)+AB591+AC591+AD591)</f>
        <v/>
      </c>
      <c r="AF591" s="65"/>
      <c r="AG591" s="64"/>
      <c r="AH591" s="72" t="str">
        <f aca="false">IF(OR(B591="",C591=""),"",C591&amp;"|"&amp;(YEAR(B591)*100+MONTH(B591)))</f>
        <v/>
      </c>
      <c r="AI591" s="70" t="str">
        <f aca="false">IF(AH591="","",IF(COUNTIF(L_CLAVE,AH591)&gt;1,"⚠ Duplicado","OK"))</f>
        <v/>
      </c>
      <c r="AJ591" s="86" t="str">
        <f aca="false">IF(AH591="","",IF(SUMPRODUCT(MAX((IND_PER&lt;=B591)*(IND_UF&lt;&gt;"")*IND_PER))=0,UF_HOY,INDEX(IND_UF,MATCH(SUMPRODUCT(MAX((IND_PER&lt;=B591)*(IND_UF&lt;&gt;"")*IND_PER)),IND_PER,0))))</f>
        <v/>
      </c>
      <c r="AK591" s="87" t="str">
        <f aca="false">IF(AH591="","",IF(COUNTIF(TASA_DESDE,"&lt;="&amp;B591)=0,INDEX(TASA_EMP,1),INDEX(TASA_EMP,COUNTIF(TASA_DESDE,"&lt;="&amp;B591))))</f>
        <v/>
      </c>
    </row>
    <row r="592" customFormat="false" ht="15" hidden="false" customHeight="false" outlineLevel="0" collapsed="false">
      <c r="B592" s="78"/>
      <c r="C592" s="64"/>
      <c r="D592" s="72" t="str">
        <f aca="false">IF(C592="","",IFERROR(INDEX(T_NOMBRE,MATCH(C592,T_ID,0)),"⚠ ID no existe"))</f>
        <v/>
      </c>
      <c r="E592" s="69"/>
      <c r="F592" s="67"/>
      <c r="G592" s="67"/>
      <c r="H592" s="67"/>
      <c r="I592" s="67"/>
      <c r="J592" s="67"/>
      <c r="K592" s="85" t="str">
        <f aca="false">IF(AH592="","",N(F592)+N(G592)+N(H592)-N(I592)+N(J592))</f>
        <v/>
      </c>
      <c r="L592" s="67"/>
      <c r="M592" s="67"/>
      <c r="N592" s="67"/>
      <c r="O592" s="67"/>
      <c r="P592" s="85" t="str">
        <f aca="false">IF(AH592="","",K592+N(L592)+N(M592)+N(N592)+N(O592))</f>
        <v/>
      </c>
      <c r="Q592" s="67"/>
      <c r="R592" s="67"/>
      <c r="S592" s="67"/>
      <c r="T592" s="67"/>
      <c r="U592" s="67"/>
      <c r="V592" s="67"/>
      <c r="W592" s="85" t="str">
        <f aca="false">IF(AH592="","",N(Q592)+N(R592)+N(S592)+N(T592)+N(U592)+N(V592))</f>
        <v/>
      </c>
      <c r="X592" s="85" t="str">
        <f aca="false">IF(AH592="","",P592-W592)</f>
        <v/>
      </c>
      <c r="Y592" s="67"/>
      <c r="Z592" s="70" t="str">
        <f aca="false">IF(OR(AH592="",Y592=""),"",IF(ABS(X592-Y592)&lt;=1,"✓ Cuadra","⚠ Diferencia $"&amp;FIXED(X592-Y592,0)))</f>
        <v/>
      </c>
      <c r="AA592" s="72" t="str">
        <f aca="false">IF(AH592="","",IFERROR(INDEX(C_TIPO,MATCH(C592&amp;"-P"&amp;MAX(1,COUNTIFS(C_ID,C592,C_DEFINE,"Sí",C_INICIO,"&lt;="&amp;EOMONTH(B592,0))),C_CLAVE,0))&amp;"","Sin dato"))</f>
        <v/>
      </c>
      <c r="AB592" s="71" t="str">
        <f aca="false">IF(AH592="","",ROUND(MIN(K592,TOPE_AFP_UF*AJ592)*AK592,0))</f>
        <v/>
      </c>
      <c r="AC592" s="71" t="str">
        <f aca="false">IF(AH592="","",ROUND(MIN(K592,TOPE_AFC_UF*AJ592)*IF(AA592="Indefinido",AFC_EMP_INDEF,AFC_EMP_PF),0))</f>
        <v/>
      </c>
      <c r="AD592" s="71" t="str">
        <f aca="false">IF(AH592="","",ROUND(MIN(K592,TOPE_AFP_UF*AJ592)*(MUTUAL_BASICA+MUTUAL_ADIC+SANNA),0))</f>
        <v/>
      </c>
      <c r="AE592" s="71" t="str">
        <f aca="false">IF(AH592="","",P592-N(N592)+AB592+AC592+AD592)</f>
        <v/>
      </c>
      <c r="AF592" s="65"/>
      <c r="AG592" s="64"/>
      <c r="AH592" s="72" t="str">
        <f aca="false">IF(OR(B592="",C592=""),"",C592&amp;"|"&amp;(YEAR(B592)*100+MONTH(B592)))</f>
        <v/>
      </c>
      <c r="AI592" s="70" t="str">
        <f aca="false">IF(AH592="","",IF(COUNTIF(L_CLAVE,AH592)&gt;1,"⚠ Duplicado","OK"))</f>
        <v/>
      </c>
      <c r="AJ592" s="86" t="str">
        <f aca="false">IF(AH592="","",IF(SUMPRODUCT(MAX((IND_PER&lt;=B592)*(IND_UF&lt;&gt;"")*IND_PER))=0,UF_HOY,INDEX(IND_UF,MATCH(SUMPRODUCT(MAX((IND_PER&lt;=B592)*(IND_UF&lt;&gt;"")*IND_PER)),IND_PER,0))))</f>
        <v/>
      </c>
      <c r="AK592" s="87" t="str">
        <f aca="false">IF(AH592="","",IF(COUNTIF(TASA_DESDE,"&lt;="&amp;B592)=0,INDEX(TASA_EMP,1),INDEX(TASA_EMP,COUNTIF(TASA_DESDE,"&lt;="&amp;B592))))</f>
        <v/>
      </c>
    </row>
    <row r="593" customFormat="false" ht="15" hidden="false" customHeight="false" outlineLevel="0" collapsed="false">
      <c r="B593" s="78"/>
      <c r="C593" s="64"/>
      <c r="D593" s="72" t="str">
        <f aca="false">IF(C593="","",IFERROR(INDEX(T_NOMBRE,MATCH(C593,T_ID,0)),"⚠ ID no existe"))</f>
        <v/>
      </c>
      <c r="E593" s="69"/>
      <c r="F593" s="67"/>
      <c r="G593" s="67"/>
      <c r="H593" s="67"/>
      <c r="I593" s="67"/>
      <c r="J593" s="67"/>
      <c r="K593" s="85" t="str">
        <f aca="false">IF(AH593="","",N(F593)+N(G593)+N(H593)-N(I593)+N(J593))</f>
        <v/>
      </c>
      <c r="L593" s="67"/>
      <c r="M593" s="67"/>
      <c r="N593" s="67"/>
      <c r="O593" s="67"/>
      <c r="P593" s="85" t="str">
        <f aca="false">IF(AH593="","",K593+N(L593)+N(M593)+N(N593)+N(O593))</f>
        <v/>
      </c>
      <c r="Q593" s="67"/>
      <c r="R593" s="67"/>
      <c r="S593" s="67"/>
      <c r="T593" s="67"/>
      <c r="U593" s="67"/>
      <c r="V593" s="67"/>
      <c r="W593" s="85" t="str">
        <f aca="false">IF(AH593="","",N(Q593)+N(R593)+N(S593)+N(T593)+N(U593)+N(V593))</f>
        <v/>
      </c>
      <c r="X593" s="85" t="str">
        <f aca="false">IF(AH593="","",P593-W593)</f>
        <v/>
      </c>
      <c r="Y593" s="67"/>
      <c r="Z593" s="70" t="str">
        <f aca="false">IF(OR(AH593="",Y593=""),"",IF(ABS(X593-Y593)&lt;=1,"✓ Cuadra","⚠ Diferencia $"&amp;FIXED(X593-Y593,0)))</f>
        <v/>
      </c>
      <c r="AA593" s="72" t="str">
        <f aca="false">IF(AH593="","",IFERROR(INDEX(C_TIPO,MATCH(C593&amp;"-P"&amp;MAX(1,COUNTIFS(C_ID,C593,C_DEFINE,"Sí",C_INICIO,"&lt;="&amp;EOMONTH(B593,0))),C_CLAVE,0))&amp;"","Sin dato"))</f>
        <v/>
      </c>
      <c r="AB593" s="71" t="str">
        <f aca="false">IF(AH593="","",ROUND(MIN(K593,TOPE_AFP_UF*AJ593)*AK593,0))</f>
        <v/>
      </c>
      <c r="AC593" s="71" t="str">
        <f aca="false">IF(AH593="","",ROUND(MIN(K593,TOPE_AFC_UF*AJ593)*IF(AA593="Indefinido",AFC_EMP_INDEF,AFC_EMP_PF),0))</f>
        <v/>
      </c>
      <c r="AD593" s="71" t="str">
        <f aca="false">IF(AH593="","",ROUND(MIN(K593,TOPE_AFP_UF*AJ593)*(MUTUAL_BASICA+MUTUAL_ADIC+SANNA),0))</f>
        <v/>
      </c>
      <c r="AE593" s="71" t="str">
        <f aca="false">IF(AH593="","",P593-N(N593)+AB593+AC593+AD593)</f>
        <v/>
      </c>
      <c r="AF593" s="65"/>
      <c r="AG593" s="64"/>
      <c r="AH593" s="72" t="str">
        <f aca="false">IF(OR(B593="",C593=""),"",C593&amp;"|"&amp;(YEAR(B593)*100+MONTH(B593)))</f>
        <v/>
      </c>
      <c r="AI593" s="70" t="str">
        <f aca="false">IF(AH593="","",IF(COUNTIF(L_CLAVE,AH593)&gt;1,"⚠ Duplicado","OK"))</f>
        <v/>
      </c>
      <c r="AJ593" s="86" t="str">
        <f aca="false">IF(AH593="","",IF(SUMPRODUCT(MAX((IND_PER&lt;=B593)*(IND_UF&lt;&gt;"")*IND_PER))=0,UF_HOY,INDEX(IND_UF,MATCH(SUMPRODUCT(MAX((IND_PER&lt;=B593)*(IND_UF&lt;&gt;"")*IND_PER)),IND_PER,0))))</f>
        <v/>
      </c>
      <c r="AK593" s="87" t="str">
        <f aca="false">IF(AH593="","",IF(COUNTIF(TASA_DESDE,"&lt;="&amp;B593)=0,INDEX(TASA_EMP,1),INDEX(TASA_EMP,COUNTIF(TASA_DESDE,"&lt;="&amp;B593))))</f>
        <v/>
      </c>
    </row>
    <row r="594" customFormat="false" ht="15" hidden="false" customHeight="false" outlineLevel="0" collapsed="false">
      <c r="B594" s="78"/>
      <c r="C594" s="64"/>
      <c r="D594" s="72" t="str">
        <f aca="false">IF(C594="","",IFERROR(INDEX(T_NOMBRE,MATCH(C594,T_ID,0)),"⚠ ID no existe"))</f>
        <v/>
      </c>
      <c r="E594" s="69"/>
      <c r="F594" s="67"/>
      <c r="G594" s="67"/>
      <c r="H594" s="67"/>
      <c r="I594" s="67"/>
      <c r="J594" s="67"/>
      <c r="K594" s="85" t="str">
        <f aca="false">IF(AH594="","",N(F594)+N(G594)+N(H594)-N(I594)+N(J594))</f>
        <v/>
      </c>
      <c r="L594" s="67"/>
      <c r="M594" s="67"/>
      <c r="N594" s="67"/>
      <c r="O594" s="67"/>
      <c r="P594" s="85" t="str">
        <f aca="false">IF(AH594="","",K594+N(L594)+N(M594)+N(N594)+N(O594))</f>
        <v/>
      </c>
      <c r="Q594" s="67"/>
      <c r="R594" s="67"/>
      <c r="S594" s="67"/>
      <c r="T594" s="67"/>
      <c r="U594" s="67"/>
      <c r="V594" s="67"/>
      <c r="W594" s="85" t="str">
        <f aca="false">IF(AH594="","",N(Q594)+N(R594)+N(S594)+N(T594)+N(U594)+N(V594))</f>
        <v/>
      </c>
      <c r="X594" s="85" t="str">
        <f aca="false">IF(AH594="","",P594-W594)</f>
        <v/>
      </c>
      <c r="Y594" s="67"/>
      <c r="Z594" s="70" t="str">
        <f aca="false">IF(OR(AH594="",Y594=""),"",IF(ABS(X594-Y594)&lt;=1,"✓ Cuadra","⚠ Diferencia $"&amp;FIXED(X594-Y594,0)))</f>
        <v/>
      </c>
      <c r="AA594" s="72" t="str">
        <f aca="false">IF(AH594="","",IFERROR(INDEX(C_TIPO,MATCH(C594&amp;"-P"&amp;MAX(1,COUNTIFS(C_ID,C594,C_DEFINE,"Sí",C_INICIO,"&lt;="&amp;EOMONTH(B594,0))),C_CLAVE,0))&amp;"","Sin dato"))</f>
        <v/>
      </c>
      <c r="AB594" s="71" t="str">
        <f aca="false">IF(AH594="","",ROUND(MIN(K594,TOPE_AFP_UF*AJ594)*AK594,0))</f>
        <v/>
      </c>
      <c r="AC594" s="71" t="str">
        <f aca="false">IF(AH594="","",ROUND(MIN(K594,TOPE_AFC_UF*AJ594)*IF(AA594="Indefinido",AFC_EMP_INDEF,AFC_EMP_PF),0))</f>
        <v/>
      </c>
      <c r="AD594" s="71" t="str">
        <f aca="false">IF(AH594="","",ROUND(MIN(K594,TOPE_AFP_UF*AJ594)*(MUTUAL_BASICA+MUTUAL_ADIC+SANNA),0))</f>
        <v/>
      </c>
      <c r="AE594" s="71" t="str">
        <f aca="false">IF(AH594="","",P594-N(N594)+AB594+AC594+AD594)</f>
        <v/>
      </c>
      <c r="AF594" s="65"/>
      <c r="AG594" s="64"/>
      <c r="AH594" s="72" t="str">
        <f aca="false">IF(OR(B594="",C594=""),"",C594&amp;"|"&amp;(YEAR(B594)*100+MONTH(B594)))</f>
        <v/>
      </c>
      <c r="AI594" s="70" t="str">
        <f aca="false">IF(AH594="","",IF(COUNTIF(L_CLAVE,AH594)&gt;1,"⚠ Duplicado","OK"))</f>
        <v/>
      </c>
      <c r="AJ594" s="86" t="str">
        <f aca="false">IF(AH594="","",IF(SUMPRODUCT(MAX((IND_PER&lt;=B594)*(IND_UF&lt;&gt;"")*IND_PER))=0,UF_HOY,INDEX(IND_UF,MATCH(SUMPRODUCT(MAX((IND_PER&lt;=B594)*(IND_UF&lt;&gt;"")*IND_PER)),IND_PER,0))))</f>
        <v/>
      </c>
      <c r="AK594" s="87" t="str">
        <f aca="false">IF(AH594="","",IF(COUNTIF(TASA_DESDE,"&lt;="&amp;B594)=0,INDEX(TASA_EMP,1),INDEX(TASA_EMP,COUNTIF(TASA_DESDE,"&lt;="&amp;B594))))</f>
        <v/>
      </c>
    </row>
    <row r="595" customFormat="false" ht="15" hidden="false" customHeight="false" outlineLevel="0" collapsed="false">
      <c r="B595" s="78"/>
      <c r="C595" s="64"/>
      <c r="D595" s="72" t="str">
        <f aca="false">IF(C595="","",IFERROR(INDEX(T_NOMBRE,MATCH(C595,T_ID,0)),"⚠ ID no existe"))</f>
        <v/>
      </c>
      <c r="E595" s="69"/>
      <c r="F595" s="67"/>
      <c r="G595" s="67"/>
      <c r="H595" s="67"/>
      <c r="I595" s="67"/>
      <c r="J595" s="67"/>
      <c r="K595" s="85" t="str">
        <f aca="false">IF(AH595="","",N(F595)+N(G595)+N(H595)-N(I595)+N(J595))</f>
        <v/>
      </c>
      <c r="L595" s="67"/>
      <c r="M595" s="67"/>
      <c r="N595" s="67"/>
      <c r="O595" s="67"/>
      <c r="P595" s="85" t="str">
        <f aca="false">IF(AH595="","",K595+N(L595)+N(M595)+N(N595)+N(O595))</f>
        <v/>
      </c>
      <c r="Q595" s="67"/>
      <c r="R595" s="67"/>
      <c r="S595" s="67"/>
      <c r="T595" s="67"/>
      <c r="U595" s="67"/>
      <c r="V595" s="67"/>
      <c r="W595" s="85" t="str">
        <f aca="false">IF(AH595="","",N(Q595)+N(R595)+N(S595)+N(T595)+N(U595)+N(V595))</f>
        <v/>
      </c>
      <c r="X595" s="85" t="str">
        <f aca="false">IF(AH595="","",P595-W595)</f>
        <v/>
      </c>
      <c r="Y595" s="67"/>
      <c r="Z595" s="70" t="str">
        <f aca="false">IF(OR(AH595="",Y595=""),"",IF(ABS(X595-Y595)&lt;=1,"✓ Cuadra","⚠ Diferencia $"&amp;FIXED(X595-Y595,0)))</f>
        <v/>
      </c>
      <c r="AA595" s="72" t="str">
        <f aca="false">IF(AH595="","",IFERROR(INDEX(C_TIPO,MATCH(C595&amp;"-P"&amp;MAX(1,COUNTIFS(C_ID,C595,C_DEFINE,"Sí",C_INICIO,"&lt;="&amp;EOMONTH(B595,0))),C_CLAVE,0))&amp;"","Sin dato"))</f>
        <v/>
      </c>
      <c r="AB595" s="71" t="str">
        <f aca="false">IF(AH595="","",ROUND(MIN(K595,TOPE_AFP_UF*AJ595)*AK595,0))</f>
        <v/>
      </c>
      <c r="AC595" s="71" t="str">
        <f aca="false">IF(AH595="","",ROUND(MIN(K595,TOPE_AFC_UF*AJ595)*IF(AA595="Indefinido",AFC_EMP_INDEF,AFC_EMP_PF),0))</f>
        <v/>
      </c>
      <c r="AD595" s="71" t="str">
        <f aca="false">IF(AH595="","",ROUND(MIN(K595,TOPE_AFP_UF*AJ595)*(MUTUAL_BASICA+MUTUAL_ADIC+SANNA),0))</f>
        <v/>
      </c>
      <c r="AE595" s="71" t="str">
        <f aca="false">IF(AH595="","",P595-N(N595)+AB595+AC595+AD595)</f>
        <v/>
      </c>
      <c r="AF595" s="65"/>
      <c r="AG595" s="64"/>
      <c r="AH595" s="72" t="str">
        <f aca="false">IF(OR(B595="",C595=""),"",C595&amp;"|"&amp;(YEAR(B595)*100+MONTH(B595)))</f>
        <v/>
      </c>
      <c r="AI595" s="70" t="str">
        <f aca="false">IF(AH595="","",IF(COUNTIF(L_CLAVE,AH595)&gt;1,"⚠ Duplicado","OK"))</f>
        <v/>
      </c>
      <c r="AJ595" s="86" t="str">
        <f aca="false">IF(AH595="","",IF(SUMPRODUCT(MAX((IND_PER&lt;=B595)*(IND_UF&lt;&gt;"")*IND_PER))=0,UF_HOY,INDEX(IND_UF,MATCH(SUMPRODUCT(MAX((IND_PER&lt;=B595)*(IND_UF&lt;&gt;"")*IND_PER)),IND_PER,0))))</f>
        <v/>
      </c>
      <c r="AK595" s="87" t="str">
        <f aca="false">IF(AH595="","",IF(COUNTIF(TASA_DESDE,"&lt;="&amp;B595)=0,INDEX(TASA_EMP,1),INDEX(TASA_EMP,COUNTIF(TASA_DESDE,"&lt;="&amp;B595))))</f>
        <v/>
      </c>
    </row>
    <row r="596" customFormat="false" ht="15" hidden="false" customHeight="false" outlineLevel="0" collapsed="false">
      <c r="B596" s="78"/>
      <c r="C596" s="64"/>
      <c r="D596" s="72" t="str">
        <f aca="false">IF(C596="","",IFERROR(INDEX(T_NOMBRE,MATCH(C596,T_ID,0)),"⚠ ID no existe"))</f>
        <v/>
      </c>
      <c r="E596" s="69"/>
      <c r="F596" s="67"/>
      <c r="G596" s="67"/>
      <c r="H596" s="67"/>
      <c r="I596" s="67"/>
      <c r="J596" s="67"/>
      <c r="K596" s="85" t="str">
        <f aca="false">IF(AH596="","",N(F596)+N(G596)+N(H596)-N(I596)+N(J596))</f>
        <v/>
      </c>
      <c r="L596" s="67"/>
      <c r="M596" s="67"/>
      <c r="N596" s="67"/>
      <c r="O596" s="67"/>
      <c r="P596" s="85" t="str">
        <f aca="false">IF(AH596="","",K596+N(L596)+N(M596)+N(N596)+N(O596))</f>
        <v/>
      </c>
      <c r="Q596" s="67"/>
      <c r="R596" s="67"/>
      <c r="S596" s="67"/>
      <c r="T596" s="67"/>
      <c r="U596" s="67"/>
      <c r="V596" s="67"/>
      <c r="W596" s="85" t="str">
        <f aca="false">IF(AH596="","",N(Q596)+N(R596)+N(S596)+N(T596)+N(U596)+N(V596))</f>
        <v/>
      </c>
      <c r="X596" s="85" t="str">
        <f aca="false">IF(AH596="","",P596-W596)</f>
        <v/>
      </c>
      <c r="Y596" s="67"/>
      <c r="Z596" s="70" t="str">
        <f aca="false">IF(OR(AH596="",Y596=""),"",IF(ABS(X596-Y596)&lt;=1,"✓ Cuadra","⚠ Diferencia $"&amp;FIXED(X596-Y596,0)))</f>
        <v/>
      </c>
      <c r="AA596" s="72" t="str">
        <f aca="false">IF(AH596="","",IFERROR(INDEX(C_TIPO,MATCH(C596&amp;"-P"&amp;MAX(1,COUNTIFS(C_ID,C596,C_DEFINE,"Sí",C_INICIO,"&lt;="&amp;EOMONTH(B596,0))),C_CLAVE,0))&amp;"","Sin dato"))</f>
        <v/>
      </c>
      <c r="AB596" s="71" t="str">
        <f aca="false">IF(AH596="","",ROUND(MIN(K596,TOPE_AFP_UF*AJ596)*AK596,0))</f>
        <v/>
      </c>
      <c r="AC596" s="71" t="str">
        <f aca="false">IF(AH596="","",ROUND(MIN(K596,TOPE_AFC_UF*AJ596)*IF(AA596="Indefinido",AFC_EMP_INDEF,AFC_EMP_PF),0))</f>
        <v/>
      </c>
      <c r="AD596" s="71" t="str">
        <f aca="false">IF(AH596="","",ROUND(MIN(K596,TOPE_AFP_UF*AJ596)*(MUTUAL_BASICA+MUTUAL_ADIC+SANNA),0))</f>
        <v/>
      </c>
      <c r="AE596" s="71" t="str">
        <f aca="false">IF(AH596="","",P596-N(N596)+AB596+AC596+AD596)</f>
        <v/>
      </c>
      <c r="AF596" s="65"/>
      <c r="AG596" s="64"/>
      <c r="AH596" s="72" t="str">
        <f aca="false">IF(OR(B596="",C596=""),"",C596&amp;"|"&amp;(YEAR(B596)*100+MONTH(B596)))</f>
        <v/>
      </c>
      <c r="AI596" s="70" t="str">
        <f aca="false">IF(AH596="","",IF(COUNTIF(L_CLAVE,AH596)&gt;1,"⚠ Duplicado","OK"))</f>
        <v/>
      </c>
      <c r="AJ596" s="86" t="str">
        <f aca="false">IF(AH596="","",IF(SUMPRODUCT(MAX((IND_PER&lt;=B596)*(IND_UF&lt;&gt;"")*IND_PER))=0,UF_HOY,INDEX(IND_UF,MATCH(SUMPRODUCT(MAX((IND_PER&lt;=B596)*(IND_UF&lt;&gt;"")*IND_PER)),IND_PER,0))))</f>
        <v/>
      </c>
      <c r="AK596" s="87" t="str">
        <f aca="false">IF(AH596="","",IF(COUNTIF(TASA_DESDE,"&lt;="&amp;B596)=0,INDEX(TASA_EMP,1),INDEX(TASA_EMP,COUNTIF(TASA_DESDE,"&lt;="&amp;B596))))</f>
        <v/>
      </c>
    </row>
    <row r="597" customFormat="false" ht="15" hidden="false" customHeight="false" outlineLevel="0" collapsed="false">
      <c r="B597" s="78"/>
      <c r="C597" s="64"/>
      <c r="D597" s="72" t="str">
        <f aca="false">IF(C597="","",IFERROR(INDEX(T_NOMBRE,MATCH(C597,T_ID,0)),"⚠ ID no existe"))</f>
        <v/>
      </c>
      <c r="E597" s="69"/>
      <c r="F597" s="67"/>
      <c r="G597" s="67"/>
      <c r="H597" s="67"/>
      <c r="I597" s="67"/>
      <c r="J597" s="67"/>
      <c r="K597" s="85" t="str">
        <f aca="false">IF(AH597="","",N(F597)+N(G597)+N(H597)-N(I597)+N(J597))</f>
        <v/>
      </c>
      <c r="L597" s="67"/>
      <c r="M597" s="67"/>
      <c r="N597" s="67"/>
      <c r="O597" s="67"/>
      <c r="P597" s="85" t="str">
        <f aca="false">IF(AH597="","",K597+N(L597)+N(M597)+N(N597)+N(O597))</f>
        <v/>
      </c>
      <c r="Q597" s="67"/>
      <c r="R597" s="67"/>
      <c r="S597" s="67"/>
      <c r="T597" s="67"/>
      <c r="U597" s="67"/>
      <c r="V597" s="67"/>
      <c r="W597" s="85" t="str">
        <f aca="false">IF(AH597="","",N(Q597)+N(R597)+N(S597)+N(T597)+N(U597)+N(V597))</f>
        <v/>
      </c>
      <c r="X597" s="85" t="str">
        <f aca="false">IF(AH597="","",P597-W597)</f>
        <v/>
      </c>
      <c r="Y597" s="67"/>
      <c r="Z597" s="70" t="str">
        <f aca="false">IF(OR(AH597="",Y597=""),"",IF(ABS(X597-Y597)&lt;=1,"✓ Cuadra","⚠ Diferencia $"&amp;FIXED(X597-Y597,0)))</f>
        <v/>
      </c>
      <c r="AA597" s="72" t="str">
        <f aca="false">IF(AH597="","",IFERROR(INDEX(C_TIPO,MATCH(C597&amp;"-P"&amp;MAX(1,COUNTIFS(C_ID,C597,C_DEFINE,"Sí",C_INICIO,"&lt;="&amp;EOMONTH(B597,0))),C_CLAVE,0))&amp;"","Sin dato"))</f>
        <v/>
      </c>
      <c r="AB597" s="71" t="str">
        <f aca="false">IF(AH597="","",ROUND(MIN(K597,TOPE_AFP_UF*AJ597)*AK597,0))</f>
        <v/>
      </c>
      <c r="AC597" s="71" t="str">
        <f aca="false">IF(AH597="","",ROUND(MIN(K597,TOPE_AFC_UF*AJ597)*IF(AA597="Indefinido",AFC_EMP_INDEF,AFC_EMP_PF),0))</f>
        <v/>
      </c>
      <c r="AD597" s="71" t="str">
        <f aca="false">IF(AH597="","",ROUND(MIN(K597,TOPE_AFP_UF*AJ597)*(MUTUAL_BASICA+MUTUAL_ADIC+SANNA),0))</f>
        <v/>
      </c>
      <c r="AE597" s="71" t="str">
        <f aca="false">IF(AH597="","",P597-N(N597)+AB597+AC597+AD597)</f>
        <v/>
      </c>
      <c r="AF597" s="65"/>
      <c r="AG597" s="64"/>
      <c r="AH597" s="72" t="str">
        <f aca="false">IF(OR(B597="",C597=""),"",C597&amp;"|"&amp;(YEAR(B597)*100+MONTH(B597)))</f>
        <v/>
      </c>
      <c r="AI597" s="70" t="str">
        <f aca="false">IF(AH597="","",IF(COUNTIF(L_CLAVE,AH597)&gt;1,"⚠ Duplicado","OK"))</f>
        <v/>
      </c>
      <c r="AJ597" s="86" t="str">
        <f aca="false">IF(AH597="","",IF(SUMPRODUCT(MAX((IND_PER&lt;=B597)*(IND_UF&lt;&gt;"")*IND_PER))=0,UF_HOY,INDEX(IND_UF,MATCH(SUMPRODUCT(MAX((IND_PER&lt;=B597)*(IND_UF&lt;&gt;"")*IND_PER)),IND_PER,0))))</f>
        <v/>
      </c>
      <c r="AK597" s="87" t="str">
        <f aca="false">IF(AH597="","",IF(COUNTIF(TASA_DESDE,"&lt;="&amp;B597)=0,INDEX(TASA_EMP,1),INDEX(TASA_EMP,COUNTIF(TASA_DESDE,"&lt;="&amp;B597))))</f>
        <v/>
      </c>
    </row>
    <row r="598" customFormat="false" ht="15" hidden="false" customHeight="false" outlineLevel="0" collapsed="false">
      <c r="B598" s="78"/>
      <c r="C598" s="64"/>
      <c r="D598" s="72" t="str">
        <f aca="false">IF(C598="","",IFERROR(INDEX(T_NOMBRE,MATCH(C598,T_ID,0)),"⚠ ID no existe"))</f>
        <v/>
      </c>
      <c r="E598" s="69"/>
      <c r="F598" s="67"/>
      <c r="G598" s="67"/>
      <c r="H598" s="67"/>
      <c r="I598" s="67"/>
      <c r="J598" s="67"/>
      <c r="K598" s="85" t="str">
        <f aca="false">IF(AH598="","",N(F598)+N(G598)+N(H598)-N(I598)+N(J598))</f>
        <v/>
      </c>
      <c r="L598" s="67"/>
      <c r="M598" s="67"/>
      <c r="N598" s="67"/>
      <c r="O598" s="67"/>
      <c r="P598" s="85" t="str">
        <f aca="false">IF(AH598="","",K598+N(L598)+N(M598)+N(N598)+N(O598))</f>
        <v/>
      </c>
      <c r="Q598" s="67"/>
      <c r="R598" s="67"/>
      <c r="S598" s="67"/>
      <c r="T598" s="67"/>
      <c r="U598" s="67"/>
      <c r="V598" s="67"/>
      <c r="W598" s="85" t="str">
        <f aca="false">IF(AH598="","",N(Q598)+N(R598)+N(S598)+N(T598)+N(U598)+N(V598))</f>
        <v/>
      </c>
      <c r="X598" s="85" t="str">
        <f aca="false">IF(AH598="","",P598-W598)</f>
        <v/>
      </c>
      <c r="Y598" s="67"/>
      <c r="Z598" s="70" t="str">
        <f aca="false">IF(OR(AH598="",Y598=""),"",IF(ABS(X598-Y598)&lt;=1,"✓ Cuadra","⚠ Diferencia $"&amp;FIXED(X598-Y598,0)))</f>
        <v/>
      </c>
      <c r="AA598" s="72" t="str">
        <f aca="false">IF(AH598="","",IFERROR(INDEX(C_TIPO,MATCH(C598&amp;"-P"&amp;MAX(1,COUNTIFS(C_ID,C598,C_DEFINE,"Sí",C_INICIO,"&lt;="&amp;EOMONTH(B598,0))),C_CLAVE,0))&amp;"","Sin dato"))</f>
        <v/>
      </c>
      <c r="AB598" s="71" t="str">
        <f aca="false">IF(AH598="","",ROUND(MIN(K598,TOPE_AFP_UF*AJ598)*AK598,0))</f>
        <v/>
      </c>
      <c r="AC598" s="71" t="str">
        <f aca="false">IF(AH598="","",ROUND(MIN(K598,TOPE_AFC_UF*AJ598)*IF(AA598="Indefinido",AFC_EMP_INDEF,AFC_EMP_PF),0))</f>
        <v/>
      </c>
      <c r="AD598" s="71" t="str">
        <f aca="false">IF(AH598="","",ROUND(MIN(K598,TOPE_AFP_UF*AJ598)*(MUTUAL_BASICA+MUTUAL_ADIC+SANNA),0))</f>
        <v/>
      </c>
      <c r="AE598" s="71" t="str">
        <f aca="false">IF(AH598="","",P598-N(N598)+AB598+AC598+AD598)</f>
        <v/>
      </c>
      <c r="AF598" s="65"/>
      <c r="AG598" s="64"/>
      <c r="AH598" s="72" t="str">
        <f aca="false">IF(OR(B598="",C598=""),"",C598&amp;"|"&amp;(YEAR(B598)*100+MONTH(B598)))</f>
        <v/>
      </c>
      <c r="AI598" s="70" t="str">
        <f aca="false">IF(AH598="","",IF(COUNTIF(L_CLAVE,AH598)&gt;1,"⚠ Duplicado","OK"))</f>
        <v/>
      </c>
      <c r="AJ598" s="86" t="str">
        <f aca="false">IF(AH598="","",IF(SUMPRODUCT(MAX((IND_PER&lt;=B598)*(IND_UF&lt;&gt;"")*IND_PER))=0,UF_HOY,INDEX(IND_UF,MATCH(SUMPRODUCT(MAX((IND_PER&lt;=B598)*(IND_UF&lt;&gt;"")*IND_PER)),IND_PER,0))))</f>
        <v/>
      </c>
      <c r="AK598" s="87" t="str">
        <f aca="false">IF(AH598="","",IF(COUNTIF(TASA_DESDE,"&lt;="&amp;B598)=0,INDEX(TASA_EMP,1),INDEX(TASA_EMP,COUNTIF(TASA_DESDE,"&lt;="&amp;B598))))</f>
        <v/>
      </c>
    </row>
    <row r="599" customFormat="false" ht="15" hidden="false" customHeight="false" outlineLevel="0" collapsed="false">
      <c r="B599" s="78"/>
      <c r="C599" s="64"/>
      <c r="D599" s="72" t="str">
        <f aca="false">IF(C599="","",IFERROR(INDEX(T_NOMBRE,MATCH(C599,T_ID,0)),"⚠ ID no existe"))</f>
        <v/>
      </c>
      <c r="E599" s="69"/>
      <c r="F599" s="67"/>
      <c r="G599" s="67"/>
      <c r="H599" s="67"/>
      <c r="I599" s="67"/>
      <c r="J599" s="67"/>
      <c r="K599" s="85" t="str">
        <f aca="false">IF(AH599="","",N(F599)+N(G599)+N(H599)-N(I599)+N(J599))</f>
        <v/>
      </c>
      <c r="L599" s="67"/>
      <c r="M599" s="67"/>
      <c r="N599" s="67"/>
      <c r="O599" s="67"/>
      <c r="P599" s="85" t="str">
        <f aca="false">IF(AH599="","",K599+N(L599)+N(M599)+N(N599)+N(O599))</f>
        <v/>
      </c>
      <c r="Q599" s="67"/>
      <c r="R599" s="67"/>
      <c r="S599" s="67"/>
      <c r="T599" s="67"/>
      <c r="U599" s="67"/>
      <c r="V599" s="67"/>
      <c r="W599" s="85" t="str">
        <f aca="false">IF(AH599="","",N(Q599)+N(R599)+N(S599)+N(T599)+N(U599)+N(V599))</f>
        <v/>
      </c>
      <c r="X599" s="85" t="str">
        <f aca="false">IF(AH599="","",P599-W599)</f>
        <v/>
      </c>
      <c r="Y599" s="67"/>
      <c r="Z599" s="70" t="str">
        <f aca="false">IF(OR(AH599="",Y599=""),"",IF(ABS(X599-Y599)&lt;=1,"✓ Cuadra","⚠ Diferencia $"&amp;FIXED(X599-Y599,0)))</f>
        <v/>
      </c>
      <c r="AA599" s="72" t="str">
        <f aca="false">IF(AH599="","",IFERROR(INDEX(C_TIPO,MATCH(C599&amp;"-P"&amp;MAX(1,COUNTIFS(C_ID,C599,C_DEFINE,"Sí",C_INICIO,"&lt;="&amp;EOMONTH(B599,0))),C_CLAVE,0))&amp;"","Sin dato"))</f>
        <v/>
      </c>
      <c r="AB599" s="71" t="str">
        <f aca="false">IF(AH599="","",ROUND(MIN(K599,TOPE_AFP_UF*AJ599)*AK599,0))</f>
        <v/>
      </c>
      <c r="AC599" s="71" t="str">
        <f aca="false">IF(AH599="","",ROUND(MIN(K599,TOPE_AFC_UF*AJ599)*IF(AA599="Indefinido",AFC_EMP_INDEF,AFC_EMP_PF),0))</f>
        <v/>
      </c>
      <c r="AD599" s="71" t="str">
        <f aca="false">IF(AH599="","",ROUND(MIN(K599,TOPE_AFP_UF*AJ599)*(MUTUAL_BASICA+MUTUAL_ADIC+SANNA),0))</f>
        <v/>
      </c>
      <c r="AE599" s="71" t="str">
        <f aca="false">IF(AH599="","",P599-N(N599)+AB599+AC599+AD599)</f>
        <v/>
      </c>
      <c r="AF599" s="65"/>
      <c r="AG599" s="64"/>
      <c r="AH599" s="72" t="str">
        <f aca="false">IF(OR(B599="",C599=""),"",C599&amp;"|"&amp;(YEAR(B599)*100+MONTH(B599)))</f>
        <v/>
      </c>
      <c r="AI599" s="70" t="str">
        <f aca="false">IF(AH599="","",IF(COUNTIF(L_CLAVE,AH599)&gt;1,"⚠ Duplicado","OK"))</f>
        <v/>
      </c>
      <c r="AJ599" s="86" t="str">
        <f aca="false">IF(AH599="","",IF(SUMPRODUCT(MAX((IND_PER&lt;=B599)*(IND_UF&lt;&gt;"")*IND_PER))=0,UF_HOY,INDEX(IND_UF,MATCH(SUMPRODUCT(MAX((IND_PER&lt;=B599)*(IND_UF&lt;&gt;"")*IND_PER)),IND_PER,0))))</f>
        <v/>
      </c>
      <c r="AK599" s="87" t="str">
        <f aca="false">IF(AH599="","",IF(COUNTIF(TASA_DESDE,"&lt;="&amp;B599)=0,INDEX(TASA_EMP,1),INDEX(TASA_EMP,COUNTIF(TASA_DESDE,"&lt;="&amp;B599))))</f>
        <v/>
      </c>
    </row>
    <row r="600" customFormat="false" ht="15" hidden="false" customHeight="false" outlineLevel="0" collapsed="false">
      <c r="B600" s="78"/>
      <c r="C600" s="64"/>
      <c r="D600" s="72" t="str">
        <f aca="false">IF(C600="","",IFERROR(INDEX(T_NOMBRE,MATCH(C600,T_ID,0)),"⚠ ID no existe"))</f>
        <v/>
      </c>
      <c r="E600" s="69"/>
      <c r="F600" s="67"/>
      <c r="G600" s="67"/>
      <c r="H600" s="67"/>
      <c r="I600" s="67"/>
      <c r="J600" s="67"/>
      <c r="K600" s="85" t="str">
        <f aca="false">IF(AH600="","",N(F600)+N(G600)+N(H600)-N(I600)+N(J600))</f>
        <v/>
      </c>
      <c r="L600" s="67"/>
      <c r="M600" s="67"/>
      <c r="N600" s="67"/>
      <c r="O600" s="67"/>
      <c r="P600" s="85" t="str">
        <f aca="false">IF(AH600="","",K600+N(L600)+N(M600)+N(N600)+N(O600))</f>
        <v/>
      </c>
      <c r="Q600" s="67"/>
      <c r="R600" s="67"/>
      <c r="S600" s="67"/>
      <c r="T600" s="67"/>
      <c r="U600" s="67"/>
      <c r="V600" s="67"/>
      <c r="W600" s="85" t="str">
        <f aca="false">IF(AH600="","",N(Q600)+N(R600)+N(S600)+N(T600)+N(U600)+N(V600))</f>
        <v/>
      </c>
      <c r="X600" s="85" t="str">
        <f aca="false">IF(AH600="","",P600-W600)</f>
        <v/>
      </c>
      <c r="Y600" s="67"/>
      <c r="Z600" s="70" t="str">
        <f aca="false">IF(OR(AH600="",Y600=""),"",IF(ABS(X600-Y600)&lt;=1,"✓ Cuadra","⚠ Diferencia $"&amp;FIXED(X600-Y600,0)))</f>
        <v/>
      </c>
      <c r="AA600" s="72" t="str">
        <f aca="false">IF(AH600="","",IFERROR(INDEX(C_TIPO,MATCH(C600&amp;"-P"&amp;MAX(1,COUNTIFS(C_ID,C600,C_DEFINE,"Sí",C_INICIO,"&lt;="&amp;EOMONTH(B600,0))),C_CLAVE,0))&amp;"","Sin dato"))</f>
        <v/>
      </c>
      <c r="AB600" s="71" t="str">
        <f aca="false">IF(AH600="","",ROUND(MIN(K600,TOPE_AFP_UF*AJ600)*AK600,0))</f>
        <v/>
      </c>
      <c r="AC600" s="71" t="str">
        <f aca="false">IF(AH600="","",ROUND(MIN(K600,TOPE_AFC_UF*AJ600)*IF(AA600="Indefinido",AFC_EMP_INDEF,AFC_EMP_PF),0))</f>
        <v/>
      </c>
      <c r="AD600" s="71" t="str">
        <f aca="false">IF(AH600="","",ROUND(MIN(K600,TOPE_AFP_UF*AJ600)*(MUTUAL_BASICA+MUTUAL_ADIC+SANNA),0))</f>
        <v/>
      </c>
      <c r="AE600" s="71" t="str">
        <f aca="false">IF(AH600="","",P600-N(N600)+AB600+AC600+AD600)</f>
        <v/>
      </c>
      <c r="AF600" s="65"/>
      <c r="AG600" s="64"/>
      <c r="AH600" s="72" t="str">
        <f aca="false">IF(OR(B600="",C600=""),"",C600&amp;"|"&amp;(YEAR(B600)*100+MONTH(B600)))</f>
        <v/>
      </c>
      <c r="AI600" s="70" t="str">
        <f aca="false">IF(AH600="","",IF(COUNTIF(L_CLAVE,AH600)&gt;1,"⚠ Duplicado","OK"))</f>
        <v/>
      </c>
      <c r="AJ600" s="86" t="str">
        <f aca="false">IF(AH600="","",IF(SUMPRODUCT(MAX((IND_PER&lt;=B600)*(IND_UF&lt;&gt;"")*IND_PER))=0,UF_HOY,INDEX(IND_UF,MATCH(SUMPRODUCT(MAX((IND_PER&lt;=B600)*(IND_UF&lt;&gt;"")*IND_PER)),IND_PER,0))))</f>
        <v/>
      </c>
      <c r="AK600" s="87" t="str">
        <f aca="false">IF(AH600="","",IF(COUNTIF(TASA_DESDE,"&lt;="&amp;B600)=0,INDEX(TASA_EMP,1),INDEX(TASA_EMP,COUNTIF(TASA_DESDE,"&lt;="&amp;B600))))</f>
        <v/>
      </c>
    </row>
    <row r="601" customFormat="false" ht="15" hidden="false" customHeight="false" outlineLevel="0" collapsed="false">
      <c r="B601" s="78"/>
      <c r="C601" s="64"/>
      <c r="D601" s="72" t="str">
        <f aca="false">IF(C601="","",IFERROR(INDEX(T_NOMBRE,MATCH(C601,T_ID,0)),"⚠ ID no existe"))</f>
        <v/>
      </c>
      <c r="E601" s="69"/>
      <c r="F601" s="67"/>
      <c r="G601" s="67"/>
      <c r="H601" s="67"/>
      <c r="I601" s="67"/>
      <c r="J601" s="67"/>
      <c r="K601" s="85" t="str">
        <f aca="false">IF(AH601="","",N(F601)+N(G601)+N(H601)-N(I601)+N(J601))</f>
        <v/>
      </c>
      <c r="L601" s="67"/>
      <c r="M601" s="67"/>
      <c r="N601" s="67"/>
      <c r="O601" s="67"/>
      <c r="P601" s="85" t="str">
        <f aca="false">IF(AH601="","",K601+N(L601)+N(M601)+N(N601)+N(O601))</f>
        <v/>
      </c>
      <c r="Q601" s="67"/>
      <c r="R601" s="67"/>
      <c r="S601" s="67"/>
      <c r="T601" s="67"/>
      <c r="U601" s="67"/>
      <c r="V601" s="67"/>
      <c r="W601" s="85" t="str">
        <f aca="false">IF(AH601="","",N(Q601)+N(R601)+N(S601)+N(T601)+N(U601)+N(V601))</f>
        <v/>
      </c>
      <c r="X601" s="85" t="str">
        <f aca="false">IF(AH601="","",P601-W601)</f>
        <v/>
      </c>
      <c r="Y601" s="67"/>
      <c r="Z601" s="70" t="str">
        <f aca="false">IF(OR(AH601="",Y601=""),"",IF(ABS(X601-Y601)&lt;=1,"✓ Cuadra","⚠ Diferencia $"&amp;FIXED(X601-Y601,0)))</f>
        <v/>
      </c>
      <c r="AA601" s="72" t="str">
        <f aca="false">IF(AH601="","",IFERROR(INDEX(C_TIPO,MATCH(C601&amp;"-P"&amp;MAX(1,COUNTIFS(C_ID,C601,C_DEFINE,"Sí",C_INICIO,"&lt;="&amp;EOMONTH(B601,0))),C_CLAVE,0))&amp;"","Sin dato"))</f>
        <v/>
      </c>
      <c r="AB601" s="71" t="str">
        <f aca="false">IF(AH601="","",ROUND(MIN(K601,TOPE_AFP_UF*AJ601)*AK601,0))</f>
        <v/>
      </c>
      <c r="AC601" s="71" t="str">
        <f aca="false">IF(AH601="","",ROUND(MIN(K601,TOPE_AFC_UF*AJ601)*IF(AA601="Indefinido",AFC_EMP_INDEF,AFC_EMP_PF),0))</f>
        <v/>
      </c>
      <c r="AD601" s="71" t="str">
        <f aca="false">IF(AH601="","",ROUND(MIN(K601,TOPE_AFP_UF*AJ601)*(MUTUAL_BASICA+MUTUAL_ADIC+SANNA),0))</f>
        <v/>
      </c>
      <c r="AE601" s="71" t="str">
        <f aca="false">IF(AH601="","",P601-N(N601)+AB601+AC601+AD601)</f>
        <v/>
      </c>
      <c r="AF601" s="65"/>
      <c r="AG601" s="64"/>
      <c r="AH601" s="72" t="str">
        <f aca="false">IF(OR(B601="",C601=""),"",C601&amp;"|"&amp;(YEAR(B601)*100+MONTH(B601)))</f>
        <v/>
      </c>
      <c r="AI601" s="70" t="str">
        <f aca="false">IF(AH601="","",IF(COUNTIF(L_CLAVE,AH601)&gt;1,"⚠ Duplicado","OK"))</f>
        <v/>
      </c>
      <c r="AJ601" s="86" t="str">
        <f aca="false">IF(AH601="","",IF(SUMPRODUCT(MAX((IND_PER&lt;=B601)*(IND_UF&lt;&gt;"")*IND_PER))=0,UF_HOY,INDEX(IND_UF,MATCH(SUMPRODUCT(MAX((IND_PER&lt;=B601)*(IND_UF&lt;&gt;"")*IND_PER)),IND_PER,0))))</f>
        <v/>
      </c>
      <c r="AK601" s="87" t="str">
        <f aca="false">IF(AH601="","",IF(COUNTIF(TASA_DESDE,"&lt;="&amp;B601)=0,INDEX(TASA_EMP,1),INDEX(TASA_EMP,COUNTIF(TASA_DESDE,"&lt;="&amp;B601))))</f>
        <v/>
      </c>
    </row>
    <row r="602" customFormat="false" ht="15" hidden="false" customHeight="false" outlineLevel="0" collapsed="false">
      <c r="B602" s="78"/>
      <c r="C602" s="64"/>
      <c r="D602" s="72" t="str">
        <f aca="false">IF(C602="","",IFERROR(INDEX(T_NOMBRE,MATCH(C602,T_ID,0)),"⚠ ID no existe"))</f>
        <v/>
      </c>
      <c r="E602" s="69"/>
      <c r="F602" s="67"/>
      <c r="G602" s="67"/>
      <c r="H602" s="67"/>
      <c r="I602" s="67"/>
      <c r="J602" s="67"/>
      <c r="K602" s="85" t="str">
        <f aca="false">IF(AH602="","",N(F602)+N(G602)+N(H602)-N(I602)+N(J602))</f>
        <v/>
      </c>
      <c r="L602" s="67"/>
      <c r="M602" s="67"/>
      <c r="N602" s="67"/>
      <c r="O602" s="67"/>
      <c r="P602" s="85" t="str">
        <f aca="false">IF(AH602="","",K602+N(L602)+N(M602)+N(N602)+N(O602))</f>
        <v/>
      </c>
      <c r="Q602" s="67"/>
      <c r="R602" s="67"/>
      <c r="S602" s="67"/>
      <c r="T602" s="67"/>
      <c r="U602" s="67"/>
      <c r="V602" s="67"/>
      <c r="W602" s="85" t="str">
        <f aca="false">IF(AH602="","",N(Q602)+N(R602)+N(S602)+N(T602)+N(U602)+N(V602))</f>
        <v/>
      </c>
      <c r="X602" s="85" t="str">
        <f aca="false">IF(AH602="","",P602-W602)</f>
        <v/>
      </c>
      <c r="Y602" s="67"/>
      <c r="Z602" s="70" t="str">
        <f aca="false">IF(OR(AH602="",Y602=""),"",IF(ABS(X602-Y602)&lt;=1,"✓ Cuadra","⚠ Diferencia $"&amp;FIXED(X602-Y602,0)))</f>
        <v/>
      </c>
      <c r="AA602" s="72" t="str">
        <f aca="false">IF(AH602="","",IFERROR(INDEX(C_TIPO,MATCH(C602&amp;"-P"&amp;MAX(1,COUNTIFS(C_ID,C602,C_DEFINE,"Sí",C_INICIO,"&lt;="&amp;EOMONTH(B602,0))),C_CLAVE,0))&amp;"","Sin dato"))</f>
        <v/>
      </c>
      <c r="AB602" s="71" t="str">
        <f aca="false">IF(AH602="","",ROUND(MIN(K602,TOPE_AFP_UF*AJ602)*AK602,0))</f>
        <v/>
      </c>
      <c r="AC602" s="71" t="str">
        <f aca="false">IF(AH602="","",ROUND(MIN(K602,TOPE_AFC_UF*AJ602)*IF(AA602="Indefinido",AFC_EMP_INDEF,AFC_EMP_PF),0))</f>
        <v/>
      </c>
      <c r="AD602" s="71" t="str">
        <f aca="false">IF(AH602="","",ROUND(MIN(K602,TOPE_AFP_UF*AJ602)*(MUTUAL_BASICA+MUTUAL_ADIC+SANNA),0))</f>
        <v/>
      </c>
      <c r="AE602" s="71" t="str">
        <f aca="false">IF(AH602="","",P602-N(N602)+AB602+AC602+AD602)</f>
        <v/>
      </c>
      <c r="AF602" s="65"/>
      <c r="AG602" s="64"/>
      <c r="AH602" s="72" t="str">
        <f aca="false">IF(OR(B602="",C602=""),"",C602&amp;"|"&amp;(YEAR(B602)*100+MONTH(B602)))</f>
        <v/>
      </c>
      <c r="AI602" s="70" t="str">
        <f aca="false">IF(AH602="","",IF(COUNTIF(L_CLAVE,AH602)&gt;1,"⚠ Duplicado","OK"))</f>
        <v/>
      </c>
      <c r="AJ602" s="86" t="str">
        <f aca="false">IF(AH602="","",IF(SUMPRODUCT(MAX((IND_PER&lt;=B602)*(IND_UF&lt;&gt;"")*IND_PER))=0,UF_HOY,INDEX(IND_UF,MATCH(SUMPRODUCT(MAX((IND_PER&lt;=B602)*(IND_UF&lt;&gt;"")*IND_PER)),IND_PER,0))))</f>
        <v/>
      </c>
      <c r="AK602" s="87" t="str">
        <f aca="false">IF(AH602="","",IF(COUNTIF(TASA_DESDE,"&lt;="&amp;B602)=0,INDEX(TASA_EMP,1),INDEX(TASA_EMP,COUNTIF(TASA_DESDE,"&lt;="&amp;B602))))</f>
        <v/>
      </c>
    </row>
    <row r="603" customFormat="false" ht="15" hidden="false" customHeight="false" outlineLevel="0" collapsed="false">
      <c r="B603" s="78"/>
      <c r="C603" s="64"/>
      <c r="D603" s="72" t="str">
        <f aca="false">IF(C603="","",IFERROR(INDEX(T_NOMBRE,MATCH(C603,T_ID,0)),"⚠ ID no existe"))</f>
        <v/>
      </c>
      <c r="E603" s="69"/>
      <c r="F603" s="67"/>
      <c r="G603" s="67"/>
      <c r="H603" s="67"/>
      <c r="I603" s="67"/>
      <c r="J603" s="67"/>
      <c r="K603" s="85" t="str">
        <f aca="false">IF(AH603="","",N(F603)+N(G603)+N(H603)-N(I603)+N(J603))</f>
        <v/>
      </c>
      <c r="L603" s="67"/>
      <c r="M603" s="67"/>
      <c r="N603" s="67"/>
      <c r="O603" s="67"/>
      <c r="P603" s="85" t="str">
        <f aca="false">IF(AH603="","",K603+N(L603)+N(M603)+N(N603)+N(O603))</f>
        <v/>
      </c>
      <c r="Q603" s="67"/>
      <c r="R603" s="67"/>
      <c r="S603" s="67"/>
      <c r="T603" s="67"/>
      <c r="U603" s="67"/>
      <c r="V603" s="67"/>
      <c r="W603" s="85" t="str">
        <f aca="false">IF(AH603="","",N(Q603)+N(R603)+N(S603)+N(T603)+N(U603)+N(V603))</f>
        <v/>
      </c>
      <c r="X603" s="85" t="str">
        <f aca="false">IF(AH603="","",P603-W603)</f>
        <v/>
      </c>
      <c r="Y603" s="67"/>
      <c r="Z603" s="70" t="str">
        <f aca="false">IF(OR(AH603="",Y603=""),"",IF(ABS(X603-Y603)&lt;=1,"✓ Cuadra","⚠ Diferencia $"&amp;FIXED(X603-Y603,0)))</f>
        <v/>
      </c>
      <c r="AA603" s="72" t="str">
        <f aca="false">IF(AH603="","",IFERROR(INDEX(C_TIPO,MATCH(C603&amp;"-P"&amp;MAX(1,COUNTIFS(C_ID,C603,C_DEFINE,"Sí",C_INICIO,"&lt;="&amp;EOMONTH(B603,0))),C_CLAVE,0))&amp;"","Sin dato"))</f>
        <v/>
      </c>
      <c r="AB603" s="71" t="str">
        <f aca="false">IF(AH603="","",ROUND(MIN(K603,TOPE_AFP_UF*AJ603)*AK603,0))</f>
        <v/>
      </c>
      <c r="AC603" s="71" t="str">
        <f aca="false">IF(AH603="","",ROUND(MIN(K603,TOPE_AFC_UF*AJ603)*IF(AA603="Indefinido",AFC_EMP_INDEF,AFC_EMP_PF),0))</f>
        <v/>
      </c>
      <c r="AD603" s="71" t="str">
        <f aca="false">IF(AH603="","",ROUND(MIN(K603,TOPE_AFP_UF*AJ603)*(MUTUAL_BASICA+MUTUAL_ADIC+SANNA),0))</f>
        <v/>
      </c>
      <c r="AE603" s="71" t="str">
        <f aca="false">IF(AH603="","",P603-N(N603)+AB603+AC603+AD603)</f>
        <v/>
      </c>
      <c r="AF603" s="65"/>
      <c r="AG603" s="64"/>
      <c r="AH603" s="72" t="str">
        <f aca="false">IF(OR(B603="",C603=""),"",C603&amp;"|"&amp;(YEAR(B603)*100+MONTH(B603)))</f>
        <v/>
      </c>
      <c r="AI603" s="70" t="str">
        <f aca="false">IF(AH603="","",IF(COUNTIF(L_CLAVE,AH603)&gt;1,"⚠ Duplicado","OK"))</f>
        <v/>
      </c>
      <c r="AJ603" s="86" t="str">
        <f aca="false">IF(AH603="","",IF(SUMPRODUCT(MAX((IND_PER&lt;=B603)*(IND_UF&lt;&gt;"")*IND_PER))=0,UF_HOY,INDEX(IND_UF,MATCH(SUMPRODUCT(MAX((IND_PER&lt;=B603)*(IND_UF&lt;&gt;"")*IND_PER)),IND_PER,0))))</f>
        <v/>
      </c>
      <c r="AK603" s="87" t="str">
        <f aca="false">IF(AH603="","",IF(COUNTIF(TASA_DESDE,"&lt;="&amp;B603)=0,INDEX(TASA_EMP,1),INDEX(TASA_EMP,COUNTIF(TASA_DESDE,"&lt;="&amp;B603))))</f>
        <v/>
      </c>
    </row>
    <row r="604" customFormat="false" ht="15" hidden="false" customHeight="false" outlineLevel="0" collapsed="false">
      <c r="B604" s="78"/>
      <c r="C604" s="64"/>
      <c r="D604" s="72" t="str">
        <f aca="false">IF(C604="","",IFERROR(INDEX(T_NOMBRE,MATCH(C604,T_ID,0)),"⚠ ID no existe"))</f>
        <v/>
      </c>
      <c r="E604" s="69"/>
      <c r="F604" s="67"/>
      <c r="G604" s="67"/>
      <c r="H604" s="67"/>
      <c r="I604" s="67"/>
      <c r="J604" s="67"/>
      <c r="K604" s="85" t="str">
        <f aca="false">IF(AH604="","",N(F604)+N(G604)+N(H604)-N(I604)+N(J604))</f>
        <v/>
      </c>
      <c r="L604" s="67"/>
      <c r="M604" s="67"/>
      <c r="N604" s="67"/>
      <c r="O604" s="67"/>
      <c r="P604" s="85" t="str">
        <f aca="false">IF(AH604="","",K604+N(L604)+N(M604)+N(N604)+N(O604))</f>
        <v/>
      </c>
      <c r="Q604" s="67"/>
      <c r="R604" s="67"/>
      <c r="S604" s="67"/>
      <c r="T604" s="67"/>
      <c r="U604" s="67"/>
      <c r="V604" s="67"/>
      <c r="W604" s="85" t="str">
        <f aca="false">IF(AH604="","",N(Q604)+N(R604)+N(S604)+N(T604)+N(U604)+N(V604))</f>
        <v/>
      </c>
      <c r="X604" s="85" t="str">
        <f aca="false">IF(AH604="","",P604-W604)</f>
        <v/>
      </c>
      <c r="Y604" s="67"/>
      <c r="Z604" s="70" t="str">
        <f aca="false">IF(OR(AH604="",Y604=""),"",IF(ABS(X604-Y604)&lt;=1,"✓ Cuadra","⚠ Diferencia $"&amp;FIXED(X604-Y604,0)))</f>
        <v/>
      </c>
      <c r="AA604" s="72" t="str">
        <f aca="false">IF(AH604="","",IFERROR(INDEX(C_TIPO,MATCH(C604&amp;"-P"&amp;MAX(1,COUNTIFS(C_ID,C604,C_DEFINE,"Sí",C_INICIO,"&lt;="&amp;EOMONTH(B604,0))),C_CLAVE,0))&amp;"","Sin dato"))</f>
        <v/>
      </c>
      <c r="AB604" s="71" t="str">
        <f aca="false">IF(AH604="","",ROUND(MIN(K604,TOPE_AFP_UF*AJ604)*AK604,0))</f>
        <v/>
      </c>
      <c r="AC604" s="71" t="str">
        <f aca="false">IF(AH604="","",ROUND(MIN(K604,TOPE_AFC_UF*AJ604)*IF(AA604="Indefinido",AFC_EMP_INDEF,AFC_EMP_PF),0))</f>
        <v/>
      </c>
      <c r="AD604" s="71" t="str">
        <f aca="false">IF(AH604="","",ROUND(MIN(K604,TOPE_AFP_UF*AJ604)*(MUTUAL_BASICA+MUTUAL_ADIC+SANNA),0))</f>
        <v/>
      </c>
      <c r="AE604" s="71" t="str">
        <f aca="false">IF(AH604="","",P604-N(N604)+AB604+AC604+AD604)</f>
        <v/>
      </c>
      <c r="AF604" s="65"/>
      <c r="AG604" s="64"/>
      <c r="AH604" s="72" t="str">
        <f aca="false">IF(OR(B604="",C604=""),"",C604&amp;"|"&amp;(YEAR(B604)*100+MONTH(B604)))</f>
        <v/>
      </c>
      <c r="AI604" s="70" t="str">
        <f aca="false">IF(AH604="","",IF(COUNTIF(L_CLAVE,AH604)&gt;1,"⚠ Duplicado","OK"))</f>
        <v/>
      </c>
      <c r="AJ604" s="86" t="str">
        <f aca="false">IF(AH604="","",IF(SUMPRODUCT(MAX((IND_PER&lt;=B604)*(IND_UF&lt;&gt;"")*IND_PER))=0,UF_HOY,INDEX(IND_UF,MATCH(SUMPRODUCT(MAX((IND_PER&lt;=B604)*(IND_UF&lt;&gt;"")*IND_PER)),IND_PER,0))))</f>
        <v/>
      </c>
      <c r="AK604" s="87" t="str">
        <f aca="false">IF(AH604="","",IF(COUNTIF(TASA_DESDE,"&lt;="&amp;B604)=0,INDEX(TASA_EMP,1),INDEX(TASA_EMP,COUNTIF(TASA_DESDE,"&lt;="&amp;B604))))</f>
        <v/>
      </c>
    </row>
    <row r="605" customFormat="false" ht="15" hidden="false" customHeight="false" outlineLevel="0" collapsed="false">
      <c r="B605" s="78"/>
      <c r="C605" s="64"/>
      <c r="D605" s="72" t="str">
        <f aca="false">IF(C605="","",IFERROR(INDEX(T_NOMBRE,MATCH(C605,T_ID,0)),"⚠ ID no existe"))</f>
        <v/>
      </c>
      <c r="E605" s="69"/>
      <c r="F605" s="67"/>
      <c r="G605" s="67"/>
      <c r="H605" s="67"/>
      <c r="I605" s="67"/>
      <c r="J605" s="67"/>
      <c r="K605" s="85" t="str">
        <f aca="false">IF(AH605="","",N(F605)+N(G605)+N(H605)-N(I605)+N(J605))</f>
        <v/>
      </c>
      <c r="L605" s="67"/>
      <c r="M605" s="67"/>
      <c r="N605" s="67"/>
      <c r="O605" s="67"/>
      <c r="P605" s="85" t="str">
        <f aca="false">IF(AH605="","",K605+N(L605)+N(M605)+N(N605)+N(O605))</f>
        <v/>
      </c>
      <c r="Q605" s="67"/>
      <c r="R605" s="67"/>
      <c r="S605" s="67"/>
      <c r="T605" s="67"/>
      <c r="U605" s="67"/>
      <c r="V605" s="67"/>
      <c r="W605" s="85" t="str">
        <f aca="false">IF(AH605="","",N(Q605)+N(R605)+N(S605)+N(T605)+N(U605)+N(V605))</f>
        <v/>
      </c>
      <c r="X605" s="85" t="str">
        <f aca="false">IF(AH605="","",P605-W605)</f>
        <v/>
      </c>
      <c r="Y605" s="67"/>
      <c r="Z605" s="70" t="str">
        <f aca="false">IF(OR(AH605="",Y605=""),"",IF(ABS(X605-Y605)&lt;=1,"✓ Cuadra","⚠ Diferencia $"&amp;FIXED(X605-Y605,0)))</f>
        <v/>
      </c>
      <c r="AA605" s="72" t="str">
        <f aca="false">IF(AH605="","",IFERROR(INDEX(C_TIPO,MATCH(C605&amp;"-P"&amp;MAX(1,COUNTIFS(C_ID,C605,C_DEFINE,"Sí",C_INICIO,"&lt;="&amp;EOMONTH(B605,0))),C_CLAVE,0))&amp;"","Sin dato"))</f>
        <v/>
      </c>
      <c r="AB605" s="71" t="str">
        <f aca="false">IF(AH605="","",ROUND(MIN(K605,TOPE_AFP_UF*AJ605)*AK605,0))</f>
        <v/>
      </c>
      <c r="AC605" s="71" t="str">
        <f aca="false">IF(AH605="","",ROUND(MIN(K605,TOPE_AFC_UF*AJ605)*IF(AA605="Indefinido",AFC_EMP_INDEF,AFC_EMP_PF),0))</f>
        <v/>
      </c>
      <c r="AD605" s="71" t="str">
        <f aca="false">IF(AH605="","",ROUND(MIN(K605,TOPE_AFP_UF*AJ605)*(MUTUAL_BASICA+MUTUAL_ADIC+SANNA),0))</f>
        <v/>
      </c>
      <c r="AE605" s="71" t="str">
        <f aca="false">IF(AH605="","",P605-N(N605)+AB605+AC605+AD605)</f>
        <v/>
      </c>
      <c r="AF605" s="65"/>
      <c r="AG605" s="64"/>
      <c r="AH605" s="72" t="str">
        <f aca="false">IF(OR(B605="",C605=""),"",C605&amp;"|"&amp;(YEAR(B605)*100+MONTH(B605)))</f>
        <v/>
      </c>
      <c r="AI605" s="70" t="str">
        <f aca="false">IF(AH605="","",IF(COUNTIF(L_CLAVE,AH605)&gt;1,"⚠ Duplicado","OK"))</f>
        <v/>
      </c>
      <c r="AJ605" s="86" t="str">
        <f aca="false">IF(AH605="","",IF(SUMPRODUCT(MAX((IND_PER&lt;=B605)*(IND_UF&lt;&gt;"")*IND_PER))=0,UF_HOY,INDEX(IND_UF,MATCH(SUMPRODUCT(MAX((IND_PER&lt;=B605)*(IND_UF&lt;&gt;"")*IND_PER)),IND_PER,0))))</f>
        <v/>
      </c>
      <c r="AK605" s="87" t="str">
        <f aca="false">IF(AH605="","",IF(COUNTIF(TASA_DESDE,"&lt;="&amp;B605)=0,INDEX(TASA_EMP,1),INDEX(TASA_EMP,COUNTIF(TASA_DESDE,"&lt;="&amp;B605))))</f>
        <v/>
      </c>
    </row>
    <row r="606" customFormat="false" ht="15" hidden="false" customHeight="false" outlineLevel="0" collapsed="false">
      <c r="B606" s="78"/>
      <c r="C606" s="64"/>
      <c r="D606" s="72" t="str">
        <f aca="false">IF(C606="","",IFERROR(INDEX(T_NOMBRE,MATCH(C606,T_ID,0)),"⚠ ID no existe"))</f>
        <v/>
      </c>
      <c r="E606" s="69"/>
      <c r="F606" s="67"/>
      <c r="G606" s="67"/>
      <c r="H606" s="67"/>
      <c r="I606" s="67"/>
      <c r="J606" s="67"/>
      <c r="K606" s="85" t="str">
        <f aca="false">IF(AH606="","",N(F606)+N(G606)+N(H606)-N(I606)+N(J606))</f>
        <v/>
      </c>
      <c r="L606" s="67"/>
      <c r="M606" s="67"/>
      <c r="N606" s="67"/>
      <c r="O606" s="67"/>
      <c r="P606" s="85" t="str">
        <f aca="false">IF(AH606="","",K606+N(L606)+N(M606)+N(N606)+N(O606))</f>
        <v/>
      </c>
      <c r="Q606" s="67"/>
      <c r="R606" s="67"/>
      <c r="S606" s="67"/>
      <c r="T606" s="67"/>
      <c r="U606" s="67"/>
      <c r="V606" s="67"/>
      <c r="W606" s="85" t="str">
        <f aca="false">IF(AH606="","",N(Q606)+N(R606)+N(S606)+N(T606)+N(U606)+N(V606))</f>
        <v/>
      </c>
      <c r="X606" s="85" t="str">
        <f aca="false">IF(AH606="","",P606-W606)</f>
        <v/>
      </c>
      <c r="Y606" s="67"/>
      <c r="Z606" s="70" t="str">
        <f aca="false">IF(OR(AH606="",Y606=""),"",IF(ABS(X606-Y606)&lt;=1,"✓ Cuadra","⚠ Diferencia $"&amp;FIXED(X606-Y606,0)))</f>
        <v/>
      </c>
      <c r="AA606" s="72" t="str">
        <f aca="false">IF(AH606="","",IFERROR(INDEX(C_TIPO,MATCH(C606&amp;"-P"&amp;MAX(1,COUNTIFS(C_ID,C606,C_DEFINE,"Sí",C_INICIO,"&lt;="&amp;EOMONTH(B606,0))),C_CLAVE,0))&amp;"","Sin dato"))</f>
        <v/>
      </c>
      <c r="AB606" s="71" t="str">
        <f aca="false">IF(AH606="","",ROUND(MIN(K606,TOPE_AFP_UF*AJ606)*AK606,0))</f>
        <v/>
      </c>
      <c r="AC606" s="71" t="str">
        <f aca="false">IF(AH606="","",ROUND(MIN(K606,TOPE_AFC_UF*AJ606)*IF(AA606="Indefinido",AFC_EMP_INDEF,AFC_EMP_PF),0))</f>
        <v/>
      </c>
      <c r="AD606" s="71" t="str">
        <f aca="false">IF(AH606="","",ROUND(MIN(K606,TOPE_AFP_UF*AJ606)*(MUTUAL_BASICA+MUTUAL_ADIC+SANNA),0))</f>
        <v/>
      </c>
      <c r="AE606" s="71" t="str">
        <f aca="false">IF(AH606="","",P606-N(N606)+AB606+AC606+AD606)</f>
        <v/>
      </c>
      <c r="AF606" s="65"/>
      <c r="AG606" s="64"/>
      <c r="AH606" s="72" t="str">
        <f aca="false">IF(OR(B606="",C606=""),"",C606&amp;"|"&amp;(YEAR(B606)*100+MONTH(B606)))</f>
        <v/>
      </c>
      <c r="AI606" s="70" t="str">
        <f aca="false">IF(AH606="","",IF(COUNTIF(L_CLAVE,AH606)&gt;1,"⚠ Duplicado","OK"))</f>
        <v/>
      </c>
      <c r="AJ606" s="86" t="str">
        <f aca="false">IF(AH606="","",IF(SUMPRODUCT(MAX((IND_PER&lt;=B606)*(IND_UF&lt;&gt;"")*IND_PER))=0,UF_HOY,INDEX(IND_UF,MATCH(SUMPRODUCT(MAX((IND_PER&lt;=B606)*(IND_UF&lt;&gt;"")*IND_PER)),IND_PER,0))))</f>
        <v/>
      </c>
      <c r="AK606" s="87" t="str">
        <f aca="false">IF(AH606="","",IF(COUNTIF(TASA_DESDE,"&lt;="&amp;B606)=0,INDEX(TASA_EMP,1),INDEX(TASA_EMP,COUNTIF(TASA_DESDE,"&lt;="&amp;B606))))</f>
        <v/>
      </c>
    </row>
    <row r="607" customFormat="false" ht="15" hidden="false" customHeight="false" outlineLevel="0" collapsed="false">
      <c r="B607" s="78"/>
      <c r="C607" s="64"/>
      <c r="D607" s="72" t="str">
        <f aca="false">IF(C607="","",IFERROR(INDEX(T_NOMBRE,MATCH(C607,T_ID,0)),"⚠ ID no existe"))</f>
        <v/>
      </c>
      <c r="E607" s="69"/>
      <c r="F607" s="67"/>
      <c r="G607" s="67"/>
      <c r="H607" s="67"/>
      <c r="I607" s="67"/>
      <c r="J607" s="67"/>
      <c r="K607" s="85" t="str">
        <f aca="false">IF(AH607="","",N(F607)+N(G607)+N(H607)-N(I607)+N(J607))</f>
        <v/>
      </c>
      <c r="L607" s="67"/>
      <c r="M607" s="67"/>
      <c r="N607" s="67"/>
      <c r="O607" s="67"/>
      <c r="P607" s="85" t="str">
        <f aca="false">IF(AH607="","",K607+N(L607)+N(M607)+N(N607)+N(O607))</f>
        <v/>
      </c>
      <c r="Q607" s="67"/>
      <c r="R607" s="67"/>
      <c r="S607" s="67"/>
      <c r="T607" s="67"/>
      <c r="U607" s="67"/>
      <c r="V607" s="67"/>
      <c r="W607" s="85" t="str">
        <f aca="false">IF(AH607="","",N(Q607)+N(R607)+N(S607)+N(T607)+N(U607)+N(V607))</f>
        <v/>
      </c>
      <c r="X607" s="85" t="str">
        <f aca="false">IF(AH607="","",P607-W607)</f>
        <v/>
      </c>
      <c r="Y607" s="67"/>
      <c r="Z607" s="70" t="str">
        <f aca="false">IF(OR(AH607="",Y607=""),"",IF(ABS(X607-Y607)&lt;=1,"✓ Cuadra","⚠ Diferencia $"&amp;FIXED(X607-Y607,0)))</f>
        <v/>
      </c>
      <c r="AA607" s="72" t="str">
        <f aca="false">IF(AH607="","",IFERROR(INDEX(C_TIPO,MATCH(C607&amp;"-P"&amp;MAX(1,COUNTIFS(C_ID,C607,C_DEFINE,"Sí",C_INICIO,"&lt;="&amp;EOMONTH(B607,0))),C_CLAVE,0))&amp;"","Sin dato"))</f>
        <v/>
      </c>
      <c r="AB607" s="71" t="str">
        <f aca="false">IF(AH607="","",ROUND(MIN(K607,TOPE_AFP_UF*AJ607)*AK607,0))</f>
        <v/>
      </c>
      <c r="AC607" s="71" t="str">
        <f aca="false">IF(AH607="","",ROUND(MIN(K607,TOPE_AFC_UF*AJ607)*IF(AA607="Indefinido",AFC_EMP_INDEF,AFC_EMP_PF),0))</f>
        <v/>
      </c>
      <c r="AD607" s="71" t="str">
        <f aca="false">IF(AH607="","",ROUND(MIN(K607,TOPE_AFP_UF*AJ607)*(MUTUAL_BASICA+MUTUAL_ADIC+SANNA),0))</f>
        <v/>
      </c>
      <c r="AE607" s="71" t="str">
        <f aca="false">IF(AH607="","",P607-N(N607)+AB607+AC607+AD607)</f>
        <v/>
      </c>
      <c r="AF607" s="65"/>
      <c r="AG607" s="64"/>
      <c r="AH607" s="72" t="str">
        <f aca="false">IF(OR(B607="",C607=""),"",C607&amp;"|"&amp;(YEAR(B607)*100+MONTH(B607)))</f>
        <v/>
      </c>
      <c r="AI607" s="70" t="str">
        <f aca="false">IF(AH607="","",IF(COUNTIF(L_CLAVE,AH607)&gt;1,"⚠ Duplicado","OK"))</f>
        <v/>
      </c>
      <c r="AJ607" s="86" t="str">
        <f aca="false">IF(AH607="","",IF(SUMPRODUCT(MAX((IND_PER&lt;=B607)*(IND_UF&lt;&gt;"")*IND_PER))=0,UF_HOY,INDEX(IND_UF,MATCH(SUMPRODUCT(MAX((IND_PER&lt;=B607)*(IND_UF&lt;&gt;"")*IND_PER)),IND_PER,0))))</f>
        <v/>
      </c>
      <c r="AK607" s="87" t="str">
        <f aca="false">IF(AH607="","",IF(COUNTIF(TASA_DESDE,"&lt;="&amp;B607)=0,INDEX(TASA_EMP,1),INDEX(TASA_EMP,COUNTIF(TASA_DESDE,"&lt;="&amp;B607))))</f>
        <v/>
      </c>
    </row>
    <row r="608" customFormat="false" ht="15" hidden="false" customHeight="false" outlineLevel="0" collapsed="false">
      <c r="B608" s="78"/>
      <c r="C608" s="64"/>
      <c r="D608" s="72" t="str">
        <f aca="false">IF(C608="","",IFERROR(INDEX(T_NOMBRE,MATCH(C608,T_ID,0)),"⚠ ID no existe"))</f>
        <v/>
      </c>
      <c r="E608" s="69"/>
      <c r="F608" s="67"/>
      <c r="G608" s="67"/>
      <c r="H608" s="67"/>
      <c r="I608" s="67"/>
      <c r="J608" s="67"/>
      <c r="K608" s="85" t="str">
        <f aca="false">IF(AH608="","",N(F608)+N(G608)+N(H608)-N(I608)+N(J608))</f>
        <v/>
      </c>
      <c r="L608" s="67"/>
      <c r="M608" s="67"/>
      <c r="N608" s="67"/>
      <c r="O608" s="67"/>
      <c r="P608" s="85" t="str">
        <f aca="false">IF(AH608="","",K608+N(L608)+N(M608)+N(N608)+N(O608))</f>
        <v/>
      </c>
      <c r="Q608" s="67"/>
      <c r="R608" s="67"/>
      <c r="S608" s="67"/>
      <c r="T608" s="67"/>
      <c r="U608" s="67"/>
      <c r="V608" s="67"/>
      <c r="W608" s="85" t="str">
        <f aca="false">IF(AH608="","",N(Q608)+N(R608)+N(S608)+N(T608)+N(U608)+N(V608))</f>
        <v/>
      </c>
      <c r="X608" s="85" t="str">
        <f aca="false">IF(AH608="","",P608-W608)</f>
        <v/>
      </c>
      <c r="Y608" s="67"/>
      <c r="Z608" s="70" t="str">
        <f aca="false">IF(OR(AH608="",Y608=""),"",IF(ABS(X608-Y608)&lt;=1,"✓ Cuadra","⚠ Diferencia $"&amp;FIXED(X608-Y608,0)))</f>
        <v/>
      </c>
      <c r="AA608" s="72" t="str">
        <f aca="false">IF(AH608="","",IFERROR(INDEX(C_TIPO,MATCH(C608&amp;"-P"&amp;MAX(1,COUNTIFS(C_ID,C608,C_DEFINE,"Sí",C_INICIO,"&lt;="&amp;EOMONTH(B608,0))),C_CLAVE,0))&amp;"","Sin dato"))</f>
        <v/>
      </c>
      <c r="AB608" s="71" t="str">
        <f aca="false">IF(AH608="","",ROUND(MIN(K608,TOPE_AFP_UF*AJ608)*AK608,0))</f>
        <v/>
      </c>
      <c r="AC608" s="71" t="str">
        <f aca="false">IF(AH608="","",ROUND(MIN(K608,TOPE_AFC_UF*AJ608)*IF(AA608="Indefinido",AFC_EMP_INDEF,AFC_EMP_PF),0))</f>
        <v/>
      </c>
      <c r="AD608" s="71" t="str">
        <f aca="false">IF(AH608="","",ROUND(MIN(K608,TOPE_AFP_UF*AJ608)*(MUTUAL_BASICA+MUTUAL_ADIC+SANNA),0))</f>
        <v/>
      </c>
      <c r="AE608" s="71" t="str">
        <f aca="false">IF(AH608="","",P608-N(N608)+AB608+AC608+AD608)</f>
        <v/>
      </c>
      <c r="AF608" s="65"/>
      <c r="AG608" s="64"/>
      <c r="AH608" s="72" t="str">
        <f aca="false">IF(OR(B608="",C608=""),"",C608&amp;"|"&amp;(YEAR(B608)*100+MONTH(B608)))</f>
        <v/>
      </c>
      <c r="AI608" s="70" t="str">
        <f aca="false">IF(AH608="","",IF(COUNTIF(L_CLAVE,AH608)&gt;1,"⚠ Duplicado","OK"))</f>
        <v/>
      </c>
      <c r="AJ608" s="86" t="str">
        <f aca="false">IF(AH608="","",IF(SUMPRODUCT(MAX((IND_PER&lt;=B608)*(IND_UF&lt;&gt;"")*IND_PER))=0,UF_HOY,INDEX(IND_UF,MATCH(SUMPRODUCT(MAX((IND_PER&lt;=B608)*(IND_UF&lt;&gt;"")*IND_PER)),IND_PER,0))))</f>
        <v/>
      </c>
      <c r="AK608" s="87" t="str">
        <f aca="false">IF(AH608="","",IF(COUNTIF(TASA_DESDE,"&lt;="&amp;B608)=0,INDEX(TASA_EMP,1),INDEX(TASA_EMP,COUNTIF(TASA_DESDE,"&lt;="&amp;B608))))</f>
        <v/>
      </c>
    </row>
    <row r="609" customFormat="false" ht="15" hidden="false" customHeight="false" outlineLevel="0" collapsed="false">
      <c r="B609" s="78"/>
      <c r="C609" s="64"/>
      <c r="D609" s="72" t="str">
        <f aca="false">IF(C609="","",IFERROR(INDEX(T_NOMBRE,MATCH(C609,T_ID,0)),"⚠ ID no existe"))</f>
        <v/>
      </c>
      <c r="E609" s="69"/>
      <c r="F609" s="67"/>
      <c r="G609" s="67"/>
      <c r="H609" s="67"/>
      <c r="I609" s="67"/>
      <c r="J609" s="67"/>
      <c r="K609" s="85" t="str">
        <f aca="false">IF(AH609="","",N(F609)+N(G609)+N(H609)-N(I609)+N(J609))</f>
        <v/>
      </c>
      <c r="L609" s="67"/>
      <c r="M609" s="67"/>
      <c r="N609" s="67"/>
      <c r="O609" s="67"/>
      <c r="P609" s="85" t="str">
        <f aca="false">IF(AH609="","",K609+N(L609)+N(M609)+N(N609)+N(O609))</f>
        <v/>
      </c>
      <c r="Q609" s="67"/>
      <c r="R609" s="67"/>
      <c r="S609" s="67"/>
      <c r="T609" s="67"/>
      <c r="U609" s="67"/>
      <c r="V609" s="67"/>
      <c r="W609" s="85" t="str">
        <f aca="false">IF(AH609="","",N(Q609)+N(R609)+N(S609)+N(T609)+N(U609)+N(V609))</f>
        <v/>
      </c>
      <c r="X609" s="85" t="str">
        <f aca="false">IF(AH609="","",P609-W609)</f>
        <v/>
      </c>
      <c r="Y609" s="67"/>
      <c r="Z609" s="70" t="str">
        <f aca="false">IF(OR(AH609="",Y609=""),"",IF(ABS(X609-Y609)&lt;=1,"✓ Cuadra","⚠ Diferencia $"&amp;FIXED(X609-Y609,0)))</f>
        <v/>
      </c>
      <c r="AA609" s="72" t="str">
        <f aca="false">IF(AH609="","",IFERROR(INDEX(C_TIPO,MATCH(C609&amp;"-P"&amp;MAX(1,COUNTIFS(C_ID,C609,C_DEFINE,"Sí",C_INICIO,"&lt;="&amp;EOMONTH(B609,0))),C_CLAVE,0))&amp;"","Sin dato"))</f>
        <v/>
      </c>
      <c r="AB609" s="71" t="str">
        <f aca="false">IF(AH609="","",ROUND(MIN(K609,TOPE_AFP_UF*AJ609)*AK609,0))</f>
        <v/>
      </c>
      <c r="AC609" s="71" t="str">
        <f aca="false">IF(AH609="","",ROUND(MIN(K609,TOPE_AFC_UF*AJ609)*IF(AA609="Indefinido",AFC_EMP_INDEF,AFC_EMP_PF),0))</f>
        <v/>
      </c>
      <c r="AD609" s="71" t="str">
        <f aca="false">IF(AH609="","",ROUND(MIN(K609,TOPE_AFP_UF*AJ609)*(MUTUAL_BASICA+MUTUAL_ADIC+SANNA),0))</f>
        <v/>
      </c>
      <c r="AE609" s="71" t="str">
        <f aca="false">IF(AH609="","",P609-N(N609)+AB609+AC609+AD609)</f>
        <v/>
      </c>
      <c r="AF609" s="65"/>
      <c r="AG609" s="64"/>
      <c r="AH609" s="72" t="str">
        <f aca="false">IF(OR(B609="",C609=""),"",C609&amp;"|"&amp;(YEAR(B609)*100+MONTH(B609)))</f>
        <v/>
      </c>
      <c r="AI609" s="70" t="str">
        <f aca="false">IF(AH609="","",IF(COUNTIF(L_CLAVE,AH609)&gt;1,"⚠ Duplicado","OK"))</f>
        <v/>
      </c>
      <c r="AJ609" s="86" t="str">
        <f aca="false">IF(AH609="","",IF(SUMPRODUCT(MAX((IND_PER&lt;=B609)*(IND_UF&lt;&gt;"")*IND_PER))=0,UF_HOY,INDEX(IND_UF,MATCH(SUMPRODUCT(MAX((IND_PER&lt;=B609)*(IND_UF&lt;&gt;"")*IND_PER)),IND_PER,0))))</f>
        <v/>
      </c>
      <c r="AK609" s="87" t="str">
        <f aca="false">IF(AH609="","",IF(COUNTIF(TASA_DESDE,"&lt;="&amp;B609)=0,INDEX(TASA_EMP,1),INDEX(TASA_EMP,COUNTIF(TASA_DESDE,"&lt;="&amp;B609))))</f>
        <v/>
      </c>
    </row>
    <row r="610" customFormat="false" ht="15" hidden="false" customHeight="false" outlineLevel="0" collapsed="false">
      <c r="B610" s="78"/>
      <c r="C610" s="64"/>
      <c r="D610" s="72" t="str">
        <f aca="false">IF(C610="","",IFERROR(INDEX(T_NOMBRE,MATCH(C610,T_ID,0)),"⚠ ID no existe"))</f>
        <v/>
      </c>
      <c r="E610" s="69"/>
      <c r="F610" s="67"/>
      <c r="G610" s="67"/>
      <c r="H610" s="67"/>
      <c r="I610" s="67"/>
      <c r="J610" s="67"/>
      <c r="K610" s="85" t="str">
        <f aca="false">IF(AH610="","",N(F610)+N(G610)+N(H610)-N(I610)+N(J610))</f>
        <v/>
      </c>
      <c r="L610" s="67"/>
      <c r="M610" s="67"/>
      <c r="N610" s="67"/>
      <c r="O610" s="67"/>
      <c r="P610" s="85" t="str">
        <f aca="false">IF(AH610="","",K610+N(L610)+N(M610)+N(N610)+N(O610))</f>
        <v/>
      </c>
      <c r="Q610" s="67"/>
      <c r="R610" s="67"/>
      <c r="S610" s="67"/>
      <c r="T610" s="67"/>
      <c r="U610" s="67"/>
      <c r="V610" s="67"/>
      <c r="W610" s="85" t="str">
        <f aca="false">IF(AH610="","",N(Q610)+N(R610)+N(S610)+N(T610)+N(U610)+N(V610))</f>
        <v/>
      </c>
      <c r="X610" s="85" t="str">
        <f aca="false">IF(AH610="","",P610-W610)</f>
        <v/>
      </c>
      <c r="Y610" s="67"/>
      <c r="Z610" s="70" t="str">
        <f aca="false">IF(OR(AH610="",Y610=""),"",IF(ABS(X610-Y610)&lt;=1,"✓ Cuadra","⚠ Diferencia $"&amp;FIXED(X610-Y610,0)))</f>
        <v/>
      </c>
      <c r="AA610" s="72" t="str">
        <f aca="false">IF(AH610="","",IFERROR(INDEX(C_TIPO,MATCH(C610&amp;"-P"&amp;MAX(1,COUNTIFS(C_ID,C610,C_DEFINE,"Sí",C_INICIO,"&lt;="&amp;EOMONTH(B610,0))),C_CLAVE,0))&amp;"","Sin dato"))</f>
        <v/>
      </c>
      <c r="AB610" s="71" t="str">
        <f aca="false">IF(AH610="","",ROUND(MIN(K610,TOPE_AFP_UF*AJ610)*AK610,0))</f>
        <v/>
      </c>
      <c r="AC610" s="71" t="str">
        <f aca="false">IF(AH610="","",ROUND(MIN(K610,TOPE_AFC_UF*AJ610)*IF(AA610="Indefinido",AFC_EMP_INDEF,AFC_EMP_PF),0))</f>
        <v/>
      </c>
      <c r="AD610" s="71" t="str">
        <f aca="false">IF(AH610="","",ROUND(MIN(K610,TOPE_AFP_UF*AJ610)*(MUTUAL_BASICA+MUTUAL_ADIC+SANNA),0))</f>
        <v/>
      </c>
      <c r="AE610" s="71" t="str">
        <f aca="false">IF(AH610="","",P610-N(N610)+AB610+AC610+AD610)</f>
        <v/>
      </c>
      <c r="AF610" s="65"/>
      <c r="AG610" s="64"/>
      <c r="AH610" s="72" t="str">
        <f aca="false">IF(OR(B610="",C610=""),"",C610&amp;"|"&amp;(YEAR(B610)*100+MONTH(B610)))</f>
        <v/>
      </c>
      <c r="AI610" s="70" t="str">
        <f aca="false">IF(AH610="","",IF(COUNTIF(L_CLAVE,AH610)&gt;1,"⚠ Duplicado","OK"))</f>
        <v/>
      </c>
      <c r="AJ610" s="86" t="str">
        <f aca="false">IF(AH610="","",IF(SUMPRODUCT(MAX((IND_PER&lt;=B610)*(IND_UF&lt;&gt;"")*IND_PER))=0,UF_HOY,INDEX(IND_UF,MATCH(SUMPRODUCT(MAX((IND_PER&lt;=B610)*(IND_UF&lt;&gt;"")*IND_PER)),IND_PER,0))))</f>
        <v/>
      </c>
      <c r="AK610" s="87" t="str">
        <f aca="false">IF(AH610="","",IF(COUNTIF(TASA_DESDE,"&lt;="&amp;B610)=0,INDEX(TASA_EMP,1),INDEX(TASA_EMP,COUNTIF(TASA_DESDE,"&lt;="&amp;B610))))</f>
        <v/>
      </c>
    </row>
    <row r="611" customFormat="false" ht="15" hidden="false" customHeight="false" outlineLevel="0" collapsed="false">
      <c r="B611" s="78"/>
      <c r="C611" s="64"/>
      <c r="D611" s="72" t="str">
        <f aca="false">IF(C611="","",IFERROR(INDEX(T_NOMBRE,MATCH(C611,T_ID,0)),"⚠ ID no existe"))</f>
        <v/>
      </c>
      <c r="E611" s="69"/>
      <c r="F611" s="67"/>
      <c r="G611" s="67"/>
      <c r="H611" s="67"/>
      <c r="I611" s="67"/>
      <c r="J611" s="67"/>
      <c r="K611" s="85" t="str">
        <f aca="false">IF(AH611="","",N(F611)+N(G611)+N(H611)-N(I611)+N(J611))</f>
        <v/>
      </c>
      <c r="L611" s="67"/>
      <c r="M611" s="67"/>
      <c r="N611" s="67"/>
      <c r="O611" s="67"/>
      <c r="P611" s="85" t="str">
        <f aca="false">IF(AH611="","",K611+N(L611)+N(M611)+N(N611)+N(O611))</f>
        <v/>
      </c>
      <c r="Q611" s="67"/>
      <c r="R611" s="67"/>
      <c r="S611" s="67"/>
      <c r="T611" s="67"/>
      <c r="U611" s="67"/>
      <c r="V611" s="67"/>
      <c r="W611" s="85" t="str">
        <f aca="false">IF(AH611="","",N(Q611)+N(R611)+N(S611)+N(T611)+N(U611)+N(V611))</f>
        <v/>
      </c>
      <c r="X611" s="85" t="str">
        <f aca="false">IF(AH611="","",P611-W611)</f>
        <v/>
      </c>
      <c r="Y611" s="67"/>
      <c r="Z611" s="70" t="str">
        <f aca="false">IF(OR(AH611="",Y611=""),"",IF(ABS(X611-Y611)&lt;=1,"✓ Cuadra","⚠ Diferencia $"&amp;FIXED(X611-Y611,0)))</f>
        <v/>
      </c>
      <c r="AA611" s="72" t="str">
        <f aca="false">IF(AH611="","",IFERROR(INDEX(C_TIPO,MATCH(C611&amp;"-P"&amp;MAX(1,COUNTIFS(C_ID,C611,C_DEFINE,"Sí",C_INICIO,"&lt;="&amp;EOMONTH(B611,0))),C_CLAVE,0))&amp;"","Sin dato"))</f>
        <v/>
      </c>
      <c r="AB611" s="71" t="str">
        <f aca="false">IF(AH611="","",ROUND(MIN(K611,TOPE_AFP_UF*AJ611)*AK611,0))</f>
        <v/>
      </c>
      <c r="AC611" s="71" t="str">
        <f aca="false">IF(AH611="","",ROUND(MIN(K611,TOPE_AFC_UF*AJ611)*IF(AA611="Indefinido",AFC_EMP_INDEF,AFC_EMP_PF),0))</f>
        <v/>
      </c>
      <c r="AD611" s="71" t="str">
        <f aca="false">IF(AH611="","",ROUND(MIN(K611,TOPE_AFP_UF*AJ611)*(MUTUAL_BASICA+MUTUAL_ADIC+SANNA),0))</f>
        <v/>
      </c>
      <c r="AE611" s="71" t="str">
        <f aca="false">IF(AH611="","",P611-N(N611)+AB611+AC611+AD611)</f>
        <v/>
      </c>
      <c r="AF611" s="65"/>
      <c r="AG611" s="64"/>
      <c r="AH611" s="72" t="str">
        <f aca="false">IF(OR(B611="",C611=""),"",C611&amp;"|"&amp;(YEAR(B611)*100+MONTH(B611)))</f>
        <v/>
      </c>
      <c r="AI611" s="70" t="str">
        <f aca="false">IF(AH611="","",IF(COUNTIF(L_CLAVE,AH611)&gt;1,"⚠ Duplicado","OK"))</f>
        <v/>
      </c>
      <c r="AJ611" s="86" t="str">
        <f aca="false">IF(AH611="","",IF(SUMPRODUCT(MAX((IND_PER&lt;=B611)*(IND_UF&lt;&gt;"")*IND_PER))=0,UF_HOY,INDEX(IND_UF,MATCH(SUMPRODUCT(MAX((IND_PER&lt;=B611)*(IND_UF&lt;&gt;"")*IND_PER)),IND_PER,0))))</f>
        <v/>
      </c>
      <c r="AK611" s="87" t="str">
        <f aca="false">IF(AH611="","",IF(COUNTIF(TASA_DESDE,"&lt;="&amp;B611)=0,INDEX(TASA_EMP,1),INDEX(TASA_EMP,COUNTIF(TASA_DESDE,"&lt;="&amp;B611))))</f>
        <v/>
      </c>
    </row>
    <row r="612" customFormat="false" ht="15" hidden="false" customHeight="false" outlineLevel="0" collapsed="false">
      <c r="B612" s="78"/>
      <c r="C612" s="64"/>
      <c r="D612" s="72" t="str">
        <f aca="false">IF(C612="","",IFERROR(INDEX(T_NOMBRE,MATCH(C612,T_ID,0)),"⚠ ID no existe"))</f>
        <v/>
      </c>
      <c r="E612" s="69"/>
      <c r="F612" s="67"/>
      <c r="G612" s="67"/>
      <c r="H612" s="67"/>
      <c r="I612" s="67"/>
      <c r="J612" s="67"/>
      <c r="K612" s="85" t="str">
        <f aca="false">IF(AH612="","",N(F612)+N(G612)+N(H612)-N(I612)+N(J612))</f>
        <v/>
      </c>
      <c r="L612" s="67"/>
      <c r="M612" s="67"/>
      <c r="N612" s="67"/>
      <c r="O612" s="67"/>
      <c r="P612" s="85" t="str">
        <f aca="false">IF(AH612="","",K612+N(L612)+N(M612)+N(N612)+N(O612))</f>
        <v/>
      </c>
      <c r="Q612" s="67"/>
      <c r="R612" s="67"/>
      <c r="S612" s="67"/>
      <c r="T612" s="67"/>
      <c r="U612" s="67"/>
      <c r="V612" s="67"/>
      <c r="W612" s="85" t="str">
        <f aca="false">IF(AH612="","",N(Q612)+N(R612)+N(S612)+N(T612)+N(U612)+N(V612))</f>
        <v/>
      </c>
      <c r="X612" s="85" t="str">
        <f aca="false">IF(AH612="","",P612-W612)</f>
        <v/>
      </c>
      <c r="Y612" s="67"/>
      <c r="Z612" s="70" t="str">
        <f aca="false">IF(OR(AH612="",Y612=""),"",IF(ABS(X612-Y612)&lt;=1,"✓ Cuadra","⚠ Diferencia $"&amp;FIXED(X612-Y612,0)))</f>
        <v/>
      </c>
      <c r="AA612" s="72" t="str">
        <f aca="false">IF(AH612="","",IFERROR(INDEX(C_TIPO,MATCH(C612&amp;"-P"&amp;MAX(1,COUNTIFS(C_ID,C612,C_DEFINE,"Sí",C_INICIO,"&lt;="&amp;EOMONTH(B612,0))),C_CLAVE,0))&amp;"","Sin dato"))</f>
        <v/>
      </c>
      <c r="AB612" s="71" t="str">
        <f aca="false">IF(AH612="","",ROUND(MIN(K612,TOPE_AFP_UF*AJ612)*AK612,0))</f>
        <v/>
      </c>
      <c r="AC612" s="71" t="str">
        <f aca="false">IF(AH612="","",ROUND(MIN(K612,TOPE_AFC_UF*AJ612)*IF(AA612="Indefinido",AFC_EMP_INDEF,AFC_EMP_PF),0))</f>
        <v/>
      </c>
      <c r="AD612" s="71" t="str">
        <f aca="false">IF(AH612="","",ROUND(MIN(K612,TOPE_AFP_UF*AJ612)*(MUTUAL_BASICA+MUTUAL_ADIC+SANNA),0))</f>
        <v/>
      </c>
      <c r="AE612" s="71" t="str">
        <f aca="false">IF(AH612="","",P612-N(N612)+AB612+AC612+AD612)</f>
        <v/>
      </c>
      <c r="AF612" s="65"/>
      <c r="AG612" s="64"/>
      <c r="AH612" s="72" t="str">
        <f aca="false">IF(OR(B612="",C612=""),"",C612&amp;"|"&amp;(YEAR(B612)*100+MONTH(B612)))</f>
        <v/>
      </c>
      <c r="AI612" s="70" t="str">
        <f aca="false">IF(AH612="","",IF(COUNTIF(L_CLAVE,AH612)&gt;1,"⚠ Duplicado","OK"))</f>
        <v/>
      </c>
      <c r="AJ612" s="86" t="str">
        <f aca="false">IF(AH612="","",IF(SUMPRODUCT(MAX((IND_PER&lt;=B612)*(IND_UF&lt;&gt;"")*IND_PER))=0,UF_HOY,INDEX(IND_UF,MATCH(SUMPRODUCT(MAX((IND_PER&lt;=B612)*(IND_UF&lt;&gt;"")*IND_PER)),IND_PER,0))))</f>
        <v/>
      </c>
      <c r="AK612" s="87" t="str">
        <f aca="false">IF(AH612="","",IF(COUNTIF(TASA_DESDE,"&lt;="&amp;B612)=0,INDEX(TASA_EMP,1),INDEX(TASA_EMP,COUNTIF(TASA_DESDE,"&lt;="&amp;B612))))</f>
        <v/>
      </c>
    </row>
    <row r="613" customFormat="false" ht="15" hidden="false" customHeight="false" outlineLevel="0" collapsed="false">
      <c r="B613" s="78"/>
      <c r="C613" s="64"/>
      <c r="D613" s="72" t="str">
        <f aca="false">IF(C613="","",IFERROR(INDEX(T_NOMBRE,MATCH(C613,T_ID,0)),"⚠ ID no existe"))</f>
        <v/>
      </c>
      <c r="E613" s="69"/>
      <c r="F613" s="67"/>
      <c r="G613" s="67"/>
      <c r="H613" s="67"/>
      <c r="I613" s="67"/>
      <c r="J613" s="67"/>
      <c r="K613" s="85" t="str">
        <f aca="false">IF(AH613="","",N(F613)+N(G613)+N(H613)-N(I613)+N(J613))</f>
        <v/>
      </c>
      <c r="L613" s="67"/>
      <c r="M613" s="67"/>
      <c r="N613" s="67"/>
      <c r="O613" s="67"/>
      <c r="P613" s="85" t="str">
        <f aca="false">IF(AH613="","",K613+N(L613)+N(M613)+N(N613)+N(O613))</f>
        <v/>
      </c>
      <c r="Q613" s="67"/>
      <c r="R613" s="67"/>
      <c r="S613" s="67"/>
      <c r="T613" s="67"/>
      <c r="U613" s="67"/>
      <c r="V613" s="67"/>
      <c r="W613" s="85" t="str">
        <f aca="false">IF(AH613="","",N(Q613)+N(R613)+N(S613)+N(T613)+N(U613)+N(V613))</f>
        <v/>
      </c>
      <c r="X613" s="85" t="str">
        <f aca="false">IF(AH613="","",P613-W613)</f>
        <v/>
      </c>
      <c r="Y613" s="67"/>
      <c r="Z613" s="70" t="str">
        <f aca="false">IF(OR(AH613="",Y613=""),"",IF(ABS(X613-Y613)&lt;=1,"✓ Cuadra","⚠ Diferencia $"&amp;FIXED(X613-Y613,0)))</f>
        <v/>
      </c>
      <c r="AA613" s="72" t="str">
        <f aca="false">IF(AH613="","",IFERROR(INDEX(C_TIPO,MATCH(C613&amp;"-P"&amp;MAX(1,COUNTIFS(C_ID,C613,C_DEFINE,"Sí",C_INICIO,"&lt;="&amp;EOMONTH(B613,0))),C_CLAVE,0))&amp;"","Sin dato"))</f>
        <v/>
      </c>
      <c r="AB613" s="71" t="str">
        <f aca="false">IF(AH613="","",ROUND(MIN(K613,TOPE_AFP_UF*AJ613)*AK613,0))</f>
        <v/>
      </c>
      <c r="AC613" s="71" t="str">
        <f aca="false">IF(AH613="","",ROUND(MIN(K613,TOPE_AFC_UF*AJ613)*IF(AA613="Indefinido",AFC_EMP_INDEF,AFC_EMP_PF),0))</f>
        <v/>
      </c>
      <c r="AD613" s="71" t="str">
        <f aca="false">IF(AH613="","",ROUND(MIN(K613,TOPE_AFP_UF*AJ613)*(MUTUAL_BASICA+MUTUAL_ADIC+SANNA),0))</f>
        <v/>
      </c>
      <c r="AE613" s="71" t="str">
        <f aca="false">IF(AH613="","",P613-N(N613)+AB613+AC613+AD613)</f>
        <v/>
      </c>
      <c r="AF613" s="65"/>
      <c r="AG613" s="64"/>
      <c r="AH613" s="72" t="str">
        <f aca="false">IF(OR(B613="",C613=""),"",C613&amp;"|"&amp;(YEAR(B613)*100+MONTH(B613)))</f>
        <v/>
      </c>
      <c r="AI613" s="70" t="str">
        <f aca="false">IF(AH613="","",IF(COUNTIF(L_CLAVE,AH613)&gt;1,"⚠ Duplicado","OK"))</f>
        <v/>
      </c>
      <c r="AJ613" s="86" t="str">
        <f aca="false">IF(AH613="","",IF(SUMPRODUCT(MAX((IND_PER&lt;=B613)*(IND_UF&lt;&gt;"")*IND_PER))=0,UF_HOY,INDEX(IND_UF,MATCH(SUMPRODUCT(MAX((IND_PER&lt;=B613)*(IND_UF&lt;&gt;"")*IND_PER)),IND_PER,0))))</f>
        <v/>
      </c>
      <c r="AK613" s="87" t="str">
        <f aca="false">IF(AH613="","",IF(COUNTIF(TASA_DESDE,"&lt;="&amp;B613)=0,INDEX(TASA_EMP,1),INDEX(TASA_EMP,COUNTIF(TASA_DESDE,"&lt;="&amp;B613))))</f>
        <v/>
      </c>
    </row>
    <row r="614" customFormat="false" ht="15" hidden="false" customHeight="false" outlineLevel="0" collapsed="false">
      <c r="B614" s="78"/>
      <c r="C614" s="64"/>
      <c r="D614" s="72" t="str">
        <f aca="false">IF(C614="","",IFERROR(INDEX(T_NOMBRE,MATCH(C614,T_ID,0)),"⚠ ID no existe"))</f>
        <v/>
      </c>
      <c r="E614" s="69"/>
      <c r="F614" s="67"/>
      <c r="G614" s="67"/>
      <c r="H614" s="67"/>
      <c r="I614" s="67"/>
      <c r="J614" s="67"/>
      <c r="K614" s="85" t="str">
        <f aca="false">IF(AH614="","",N(F614)+N(G614)+N(H614)-N(I614)+N(J614))</f>
        <v/>
      </c>
      <c r="L614" s="67"/>
      <c r="M614" s="67"/>
      <c r="N614" s="67"/>
      <c r="O614" s="67"/>
      <c r="P614" s="85" t="str">
        <f aca="false">IF(AH614="","",K614+N(L614)+N(M614)+N(N614)+N(O614))</f>
        <v/>
      </c>
      <c r="Q614" s="67"/>
      <c r="R614" s="67"/>
      <c r="S614" s="67"/>
      <c r="T614" s="67"/>
      <c r="U614" s="67"/>
      <c r="V614" s="67"/>
      <c r="W614" s="85" t="str">
        <f aca="false">IF(AH614="","",N(Q614)+N(R614)+N(S614)+N(T614)+N(U614)+N(V614))</f>
        <v/>
      </c>
      <c r="X614" s="85" t="str">
        <f aca="false">IF(AH614="","",P614-W614)</f>
        <v/>
      </c>
      <c r="Y614" s="67"/>
      <c r="Z614" s="70" t="str">
        <f aca="false">IF(OR(AH614="",Y614=""),"",IF(ABS(X614-Y614)&lt;=1,"✓ Cuadra","⚠ Diferencia $"&amp;FIXED(X614-Y614,0)))</f>
        <v/>
      </c>
      <c r="AA614" s="72" t="str">
        <f aca="false">IF(AH614="","",IFERROR(INDEX(C_TIPO,MATCH(C614&amp;"-P"&amp;MAX(1,COUNTIFS(C_ID,C614,C_DEFINE,"Sí",C_INICIO,"&lt;="&amp;EOMONTH(B614,0))),C_CLAVE,0))&amp;"","Sin dato"))</f>
        <v/>
      </c>
      <c r="AB614" s="71" t="str">
        <f aca="false">IF(AH614="","",ROUND(MIN(K614,TOPE_AFP_UF*AJ614)*AK614,0))</f>
        <v/>
      </c>
      <c r="AC614" s="71" t="str">
        <f aca="false">IF(AH614="","",ROUND(MIN(K614,TOPE_AFC_UF*AJ614)*IF(AA614="Indefinido",AFC_EMP_INDEF,AFC_EMP_PF),0))</f>
        <v/>
      </c>
      <c r="AD614" s="71" t="str">
        <f aca="false">IF(AH614="","",ROUND(MIN(K614,TOPE_AFP_UF*AJ614)*(MUTUAL_BASICA+MUTUAL_ADIC+SANNA),0))</f>
        <v/>
      </c>
      <c r="AE614" s="71" t="str">
        <f aca="false">IF(AH614="","",P614-N(N614)+AB614+AC614+AD614)</f>
        <v/>
      </c>
      <c r="AF614" s="65"/>
      <c r="AG614" s="64"/>
      <c r="AH614" s="72" t="str">
        <f aca="false">IF(OR(B614="",C614=""),"",C614&amp;"|"&amp;(YEAR(B614)*100+MONTH(B614)))</f>
        <v/>
      </c>
      <c r="AI614" s="70" t="str">
        <f aca="false">IF(AH614="","",IF(COUNTIF(L_CLAVE,AH614)&gt;1,"⚠ Duplicado","OK"))</f>
        <v/>
      </c>
      <c r="AJ614" s="86" t="str">
        <f aca="false">IF(AH614="","",IF(SUMPRODUCT(MAX((IND_PER&lt;=B614)*(IND_UF&lt;&gt;"")*IND_PER))=0,UF_HOY,INDEX(IND_UF,MATCH(SUMPRODUCT(MAX((IND_PER&lt;=B614)*(IND_UF&lt;&gt;"")*IND_PER)),IND_PER,0))))</f>
        <v/>
      </c>
      <c r="AK614" s="87" t="str">
        <f aca="false">IF(AH614="","",IF(COUNTIF(TASA_DESDE,"&lt;="&amp;B614)=0,INDEX(TASA_EMP,1),INDEX(TASA_EMP,COUNTIF(TASA_DESDE,"&lt;="&amp;B614))))</f>
        <v/>
      </c>
    </row>
    <row r="615" customFormat="false" ht="15" hidden="false" customHeight="false" outlineLevel="0" collapsed="false">
      <c r="B615" s="78"/>
      <c r="C615" s="64"/>
      <c r="D615" s="72" t="str">
        <f aca="false">IF(C615="","",IFERROR(INDEX(T_NOMBRE,MATCH(C615,T_ID,0)),"⚠ ID no existe"))</f>
        <v/>
      </c>
      <c r="E615" s="69"/>
      <c r="F615" s="67"/>
      <c r="G615" s="67"/>
      <c r="H615" s="67"/>
      <c r="I615" s="67"/>
      <c r="J615" s="67"/>
      <c r="K615" s="85" t="str">
        <f aca="false">IF(AH615="","",N(F615)+N(G615)+N(H615)-N(I615)+N(J615))</f>
        <v/>
      </c>
      <c r="L615" s="67"/>
      <c r="M615" s="67"/>
      <c r="N615" s="67"/>
      <c r="O615" s="67"/>
      <c r="P615" s="85" t="str">
        <f aca="false">IF(AH615="","",K615+N(L615)+N(M615)+N(N615)+N(O615))</f>
        <v/>
      </c>
      <c r="Q615" s="67"/>
      <c r="R615" s="67"/>
      <c r="S615" s="67"/>
      <c r="T615" s="67"/>
      <c r="U615" s="67"/>
      <c r="V615" s="67"/>
      <c r="W615" s="85" t="str">
        <f aca="false">IF(AH615="","",N(Q615)+N(R615)+N(S615)+N(T615)+N(U615)+N(V615))</f>
        <v/>
      </c>
      <c r="X615" s="85" t="str">
        <f aca="false">IF(AH615="","",P615-W615)</f>
        <v/>
      </c>
      <c r="Y615" s="67"/>
      <c r="Z615" s="70" t="str">
        <f aca="false">IF(OR(AH615="",Y615=""),"",IF(ABS(X615-Y615)&lt;=1,"✓ Cuadra","⚠ Diferencia $"&amp;FIXED(X615-Y615,0)))</f>
        <v/>
      </c>
      <c r="AA615" s="72" t="str">
        <f aca="false">IF(AH615="","",IFERROR(INDEX(C_TIPO,MATCH(C615&amp;"-P"&amp;MAX(1,COUNTIFS(C_ID,C615,C_DEFINE,"Sí",C_INICIO,"&lt;="&amp;EOMONTH(B615,0))),C_CLAVE,0))&amp;"","Sin dato"))</f>
        <v/>
      </c>
      <c r="AB615" s="71" t="str">
        <f aca="false">IF(AH615="","",ROUND(MIN(K615,TOPE_AFP_UF*AJ615)*AK615,0))</f>
        <v/>
      </c>
      <c r="AC615" s="71" t="str">
        <f aca="false">IF(AH615="","",ROUND(MIN(K615,TOPE_AFC_UF*AJ615)*IF(AA615="Indefinido",AFC_EMP_INDEF,AFC_EMP_PF),0))</f>
        <v/>
      </c>
      <c r="AD615" s="71" t="str">
        <f aca="false">IF(AH615="","",ROUND(MIN(K615,TOPE_AFP_UF*AJ615)*(MUTUAL_BASICA+MUTUAL_ADIC+SANNA),0))</f>
        <v/>
      </c>
      <c r="AE615" s="71" t="str">
        <f aca="false">IF(AH615="","",P615-N(N615)+AB615+AC615+AD615)</f>
        <v/>
      </c>
      <c r="AF615" s="65"/>
      <c r="AG615" s="64"/>
      <c r="AH615" s="72" t="str">
        <f aca="false">IF(OR(B615="",C615=""),"",C615&amp;"|"&amp;(YEAR(B615)*100+MONTH(B615)))</f>
        <v/>
      </c>
      <c r="AI615" s="70" t="str">
        <f aca="false">IF(AH615="","",IF(COUNTIF(L_CLAVE,AH615)&gt;1,"⚠ Duplicado","OK"))</f>
        <v/>
      </c>
      <c r="AJ615" s="86" t="str">
        <f aca="false">IF(AH615="","",IF(SUMPRODUCT(MAX((IND_PER&lt;=B615)*(IND_UF&lt;&gt;"")*IND_PER))=0,UF_HOY,INDEX(IND_UF,MATCH(SUMPRODUCT(MAX((IND_PER&lt;=B615)*(IND_UF&lt;&gt;"")*IND_PER)),IND_PER,0))))</f>
        <v/>
      </c>
      <c r="AK615" s="87" t="str">
        <f aca="false">IF(AH615="","",IF(COUNTIF(TASA_DESDE,"&lt;="&amp;B615)=0,INDEX(TASA_EMP,1),INDEX(TASA_EMP,COUNTIF(TASA_DESDE,"&lt;="&amp;B615))))</f>
        <v/>
      </c>
    </row>
    <row r="616" customFormat="false" ht="15" hidden="false" customHeight="false" outlineLevel="0" collapsed="false">
      <c r="B616" s="78"/>
      <c r="C616" s="64"/>
      <c r="D616" s="72" t="str">
        <f aca="false">IF(C616="","",IFERROR(INDEX(T_NOMBRE,MATCH(C616,T_ID,0)),"⚠ ID no existe"))</f>
        <v/>
      </c>
      <c r="E616" s="69"/>
      <c r="F616" s="67"/>
      <c r="G616" s="67"/>
      <c r="H616" s="67"/>
      <c r="I616" s="67"/>
      <c r="J616" s="67"/>
      <c r="K616" s="85" t="str">
        <f aca="false">IF(AH616="","",N(F616)+N(G616)+N(H616)-N(I616)+N(J616))</f>
        <v/>
      </c>
      <c r="L616" s="67"/>
      <c r="M616" s="67"/>
      <c r="N616" s="67"/>
      <c r="O616" s="67"/>
      <c r="P616" s="85" t="str">
        <f aca="false">IF(AH616="","",K616+N(L616)+N(M616)+N(N616)+N(O616))</f>
        <v/>
      </c>
      <c r="Q616" s="67"/>
      <c r="R616" s="67"/>
      <c r="S616" s="67"/>
      <c r="T616" s="67"/>
      <c r="U616" s="67"/>
      <c r="V616" s="67"/>
      <c r="W616" s="85" t="str">
        <f aca="false">IF(AH616="","",N(Q616)+N(R616)+N(S616)+N(T616)+N(U616)+N(V616))</f>
        <v/>
      </c>
      <c r="X616" s="85" t="str">
        <f aca="false">IF(AH616="","",P616-W616)</f>
        <v/>
      </c>
      <c r="Y616" s="67"/>
      <c r="Z616" s="70" t="str">
        <f aca="false">IF(OR(AH616="",Y616=""),"",IF(ABS(X616-Y616)&lt;=1,"✓ Cuadra","⚠ Diferencia $"&amp;FIXED(X616-Y616,0)))</f>
        <v/>
      </c>
      <c r="AA616" s="72" t="str">
        <f aca="false">IF(AH616="","",IFERROR(INDEX(C_TIPO,MATCH(C616&amp;"-P"&amp;MAX(1,COUNTIFS(C_ID,C616,C_DEFINE,"Sí",C_INICIO,"&lt;="&amp;EOMONTH(B616,0))),C_CLAVE,0))&amp;"","Sin dato"))</f>
        <v/>
      </c>
      <c r="AB616" s="71" t="str">
        <f aca="false">IF(AH616="","",ROUND(MIN(K616,TOPE_AFP_UF*AJ616)*AK616,0))</f>
        <v/>
      </c>
      <c r="AC616" s="71" t="str">
        <f aca="false">IF(AH616="","",ROUND(MIN(K616,TOPE_AFC_UF*AJ616)*IF(AA616="Indefinido",AFC_EMP_INDEF,AFC_EMP_PF),0))</f>
        <v/>
      </c>
      <c r="AD616" s="71" t="str">
        <f aca="false">IF(AH616="","",ROUND(MIN(K616,TOPE_AFP_UF*AJ616)*(MUTUAL_BASICA+MUTUAL_ADIC+SANNA),0))</f>
        <v/>
      </c>
      <c r="AE616" s="71" t="str">
        <f aca="false">IF(AH616="","",P616-N(N616)+AB616+AC616+AD616)</f>
        <v/>
      </c>
      <c r="AF616" s="65"/>
      <c r="AG616" s="64"/>
      <c r="AH616" s="72" t="str">
        <f aca="false">IF(OR(B616="",C616=""),"",C616&amp;"|"&amp;(YEAR(B616)*100+MONTH(B616)))</f>
        <v/>
      </c>
      <c r="AI616" s="70" t="str">
        <f aca="false">IF(AH616="","",IF(COUNTIF(L_CLAVE,AH616)&gt;1,"⚠ Duplicado","OK"))</f>
        <v/>
      </c>
      <c r="AJ616" s="86" t="str">
        <f aca="false">IF(AH616="","",IF(SUMPRODUCT(MAX((IND_PER&lt;=B616)*(IND_UF&lt;&gt;"")*IND_PER))=0,UF_HOY,INDEX(IND_UF,MATCH(SUMPRODUCT(MAX((IND_PER&lt;=B616)*(IND_UF&lt;&gt;"")*IND_PER)),IND_PER,0))))</f>
        <v/>
      </c>
      <c r="AK616" s="87" t="str">
        <f aca="false">IF(AH616="","",IF(COUNTIF(TASA_DESDE,"&lt;="&amp;B616)=0,INDEX(TASA_EMP,1),INDEX(TASA_EMP,COUNTIF(TASA_DESDE,"&lt;="&amp;B616))))</f>
        <v/>
      </c>
    </row>
    <row r="617" customFormat="false" ht="15" hidden="false" customHeight="false" outlineLevel="0" collapsed="false">
      <c r="B617" s="78"/>
      <c r="C617" s="64"/>
      <c r="D617" s="72" t="str">
        <f aca="false">IF(C617="","",IFERROR(INDEX(T_NOMBRE,MATCH(C617,T_ID,0)),"⚠ ID no existe"))</f>
        <v/>
      </c>
      <c r="E617" s="69"/>
      <c r="F617" s="67"/>
      <c r="G617" s="67"/>
      <c r="H617" s="67"/>
      <c r="I617" s="67"/>
      <c r="J617" s="67"/>
      <c r="K617" s="85" t="str">
        <f aca="false">IF(AH617="","",N(F617)+N(G617)+N(H617)-N(I617)+N(J617))</f>
        <v/>
      </c>
      <c r="L617" s="67"/>
      <c r="M617" s="67"/>
      <c r="N617" s="67"/>
      <c r="O617" s="67"/>
      <c r="P617" s="85" t="str">
        <f aca="false">IF(AH617="","",K617+N(L617)+N(M617)+N(N617)+N(O617))</f>
        <v/>
      </c>
      <c r="Q617" s="67"/>
      <c r="R617" s="67"/>
      <c r="S617" s="67"/>
      <c r="T617" s="67"/>
      <c r="U617" s="67"/>
      <c r="V617" s="67"/>
      <c r="W617" s="85" t="str">
        <f aca="false">IF(AH617="","",N(Q617)+N(R617)+N(S617)+N(T617)+N(U617)+N(V617))</f>
        <v/>
      </c>
      <c r="X617" s="85" t="str">
        <f aca="false">IF(AH617="","",P617-W617)</f>
        <v/>
      </c>
      <c r="Y617" s="67"/>
      <c r="Z617" s="70" t="str">
        <f aca="false">IF(OR(AH617="",Y617=""),"",IF(ABS(X617-Y617)&lt;=1,"✓ Cuadra","⚠ Diferencia $"&amp;FIXED(X617-Y617,0)))</f>
        <v/>
      </c>
      <c r="AA617" s="72" t="str">
        <f aca="false">IF(AH617="","",IFERROR(INDEX(C_TIPO,MATCH(C617&amp;"-P"&amp;MAX(1,COUNTIFS(C_ID,C617,C_DEFINE,"Sí",C_INICIO,"&lt;="&amp;EOMONTH(B617,0))),C_CLAVE,0))&amp;"","Sin dato"))</f>
        <v/>
      </c>
      <c r="AB617" s="71" t="str">
        <f aca="false">IF(AH617="","",ROUND(MIN(K617,TOPE_AFP_UF*AJ617)*AK617,0))</f>
        <v/>
      </c>
      <c r="AC617" s="71" t="str">
        <f aca="false">IF(AH617="","",ROUND(MIN(K617,TOPE_AFC_UF*AJ617)*IF(AA617="Indefinido",AFC_EMP_INDEF,AFC_EMP_PF),0))</f>
        <v/>
      </c>
      <c r="AD617" s="71" t="str">
        <f aca="false">IF(AH617="","",ROUND(MIN(K617,TOPE_AFP_UF*AJ617)*(MUTUAL_BASICA+MUTUAL_ADIC+SANNA),0))</f>
        <v/>
      </c>
      <c r="AE617" s="71" t="str">
        <f aca="false">IF(AH617="","",P617-N(N617)+AB617+AC617+AD617)</f>
        <v/>
      </c>
      <c r="AF617" s="65"/>
      <c r="AG617" s="64"/>
      <c r="AH617" s="72" t="str">
        <f aca="false">IF(OR(B617="",C617=""),"",C617&amp;"|"&amp;(YEAR(B617)*100+MONTH(B617)))</f>
        <v/>
      </c>
      <c r="AI617" s="70" t="str">
        <f aca="false">IF(AH617="","",IF(COUNTIF(L_CLAVE,AH617)&gt;1,"⚠ Duplicado","OK"))</f>
        <v/>
      </c>
      <c r="AJ617" s="86" t="str">
        <f aca="false">IF(AH617="","",IF(SUMPRODUCT(MAX((IND_PER&lt;=B617)*(IND_UF&lt;&gt;"")*IND_PER))=0,UF_HOY,INDEX(IND_UF,MATCH(SUMPRODUCT(MAX((IND_PER&lt;=B617)*(IND_UF&lt;&gt;"")*IND_PER)),IND_PER,0))))</f>
        <v/>
      </c>
      <c r="AK617" s="87" t="str">
        <f aca="false">IF(AH617="","",IF(COUNTIF(TASA_DESDE,"&lt;="&amp;B617)=0,INDEX(TASA_EMP,1),INDEX(TASA_EMP,COUNTIF(TASA_DESDE,"&lt;="&amp;B617))))</f>
        <v/>
      </c>
    </row>
    <row r="618" customFormat="false" ht="15" hidden="false" customHeight="false" outlineLevel="0" collapsed="false">
      <c r="B618" s="78"/>
      <c r="C618" s="64"/>
      <c r="D618" s="72" t="str">
        <f aca="false">IF(C618="","",IFERROR(INDEX(T_NOMBRE,MATCH(C618,T_ID,0)),"⚠ ID no existe"))</f>
        <v/>
      </c>
      <c r="E618" s="69"/>
      <c r="F618" s="67"/>
      <c r="G618" s="67"/>
      <c r="H618" s="67"/>
      <c r="I618" s="67"/>
      <c r="J618" s="67"/>
      <c r="K618" s="85" t="str">
        <f aca="false">IF(AH618="","",N(F618)+N(G618)+N(H618)-N(I618)+N(J618))</f>
        <v/>
      </c>
      <c r="L618" s="67"/>
      <c r="M618" s="67"/>
      <c r="N618" s="67"/>
      <c r="O618" s="67"/>
      <c r="P618" s="85" t="str">
        <f aca="false">IF(AH618="","",K618+N(L618)+N(M618)+N(N618)+N(O618))</f>
        <v/>
      </c>
      <c r="Q618" s="67"/>
      <c r="R618" s="67"/>
      <c r="S618" s="67"/>
      <c r="T618" s="67"/>
      <c r="U618" s="67"/>
      <c r="V618" s="67"/>
      <c r="W618" s="85" t="str">
        <f aca="false">IF(AH618="","",N(Q618)+N(R618)+N(S618)+N(T618)+N(U618)+N(V618))</f>
        <v/>
      </c>
      <c r="X618" s="85" t="str">
        <f aca="false">IF(AH618="","",P618-W618)</f>
        <v/>
      </c>
      <c r="Y618" s="67"/>
      <c r="Z618" s="70" t="str">
        <f aca="false">IF(OR(AH618="",Y618=""),"",IF(ABS(X618-Y618)&lt;=1,"✓ Cuadra","⚠ Diferencia $"&amp;FIXED(X618-Y618,0)))</f>
        <v/>
      </c>
      <c r="AA618" s="72" t="str">
        <f aca="false">IF(AH618="","",IFERROR(INDEX(C_TIPO,MATCH(C618&amp;"-P"&amp;MAX(1,COUNTIFS(C_ID,C618,C_DEFINE,"Sí",C_INICIO,"&lt;="&amp;EOMONTH(B618,0))),C_CLAVE,0))&amp;"","Sin dato"))</f>
        <v/>
      </c>
      <c r="AB618" s="71" t="str">
        <f aca="false">IF(AH618="","",ROUND(MIN(K618,TOPE_AFP_UF*AJ618)*AK618,0))</f>
        <v/>
      </c>
      <c r="AC618" s="71" t="str">
        <f aca="false">IF(AH618="","",ROUND(MIN(K618,TOPE_AFC_UF*AJ618)*IF(AA618="Indefinido",AFC_EMP_INDEF,AFC_EMP_PF),0))</f>
        <v/>
      </c>
      <c r="AD618" s="71" t="str">
        <f aca="false">IF(AH618="","",ROUND(MIN(K618,TOPE_AFP_UF*AJ618)*(MUTUAL_BASICA+MUTUAL_ADIC+SANNA),0))</f>
        <v/>
      </c>
      <c r="AE618" s="71" t="str">
        <f aca="false">IF(AH618="","",P618-N(N618)+AB618+AC618+AD618)</f>
        <v/>
      </c>
      <c r="AF618" s="65"/>
      <c r="AG618" s="64"/>
      <c r="AH618" s="72" t="str">
        <f aca="false">IF(OR(B618="",C618=""),"",C618&amp;"|"&amp;(YEAR(B618)*100+MONTH(B618)))</f>
        <v/>
      </c>
      <c r="AI618" s="70" t="str">
        <f aca="false">IF(AH618="","",IF(COUNTIF(L_CLAVE,AH618)&gt;1,"⚠ Duplicado","OK"))</f>
        <v/>
      </c>
      <c r="AJ618" s="86" t="str">
        <f aca="false">IF(AH618="","",IF(SUMPRODUCT(MAX((IND_PER&lt;=B618)*(IND_UF&lt;&gt;"")*IND_PER))=0,UF_HOY,INDEX(IND_UF,MATCH(SUMPRODUCT(MAX((IND_PER&lt;=B618)*(IND_UF&lt;&gt;"")*IND_PER)),IND_PER,0))))</f>
        <v/>
      </c>
      <c r="AK618" s="87" t="str">
        <f aca="false">IF(AH618="","",IF(COUNTIF(TASA_DESDE,"&lt;="&amp;B618)=0,INDEX(TASA_EMP,1),INDEX(TASA_EMP,COUNTIF(TASA_DESDE,"&lt;="&amp;B618))))</f>
        <v/>
      </c>
    </row>
    <row r="619" customFormat="false" ht="15" hidden="false" customHeight="false" outlineLevel="0" collapsed="false">
      <c r="B619" s="78"/>
      <c r="C619" s="64"/>
      <c r="D619" s="72" t="str">
        <f aca="false">IF(C619="","",IFERROR(INDEX(T_NOMBRE,MATCH(C619,T_ID,0)),"⚠ ID no existe"))</f>
        <v/>
      </c>
      <c r="E619" s="69"/>
      <c r="F619" s="67"/>
      <c r="G619" s="67"/>
      <c r="H619" s="67"/>
      <c r="I619" s="67"/>
      <c r="J619" s="67"/>
      <c r="K619" s="85" t="str">
        <f aca="false">IF(AH619="","",N(F619)+N(G619)+N(H619)-N(I619)+N(J619))</f>
        <v/>
      </c>
      <c r="L619" s="67"/>
      <c r="M619" s="67"/>
      <c r="N619" s="67"/>
      <c r="O619" s="67"/>
      <c r="P619" s="85" t="str">
        <f aca="false">IF(AH619="","",K619+N(L619)+N(M619)+N(N619)+N(O619))</f>
        <v/>
      </c>
      <c r="Q619" s="67"/>
      <c r="R619" s="67"/>
      <c r="S619" s="67"/>
      <c r="T619" s="67"/>
      <c r="U619" s="67"/>
      <c r="V619" s="67"/>
      <c r="W619" s="85" t="str">
        <f aca="false">IF(AH619="","",N(Q619)+N(R619)+N(S619)+N(T619)+N(U619)+N(V619))</f>
        <v/>
      </c>
      <c r="X619" s="85" t="str">
        <f aca="false">IF(AH619="","",P619-W619)</f>
        <v/>
      </c>
      <c r="Y619" s="67"/>
      <c r="Z619" s="70" t="str">
        <f aca="false">IF(OR(AH619="",Y619=""),"",IF(ABS(X619-Y619)&lt;=1,"✓ Cuadra","⚠ Diferencia $"&amp;FIXED(X619-Y619,0)))</f>
        <v/>
      </c>
      <c r="AA619" s="72" t="str">
        <f aca="false">IF(AH619="","",IFERROR(INDEX(C_TIPO,MATCH(C619&amp;"-P"&amp;MAX(1,COUNTIFS(C_ID,C619,C_DEFINE,"Sí",C_INICIO,"&lt;="&amp;EOMONTH(B619,0))),C_CLAVE,0))&amp;"","Sin dato"))</f>
        <v/>
      </c>
      <c r="AB619" s="71" t="str">
        <f aca="false">IF(AH619="","",ROUND(MIN(K619,TOPE_AFP_UF*AJ619)*AK619,0))</f>
        <v/>
      </c>
      <c r="AC619" s="71" t="str">
        <f aca="false">IF(AH619="","",ROUND(MIN(K619,TOPE_AFC_UF*AJ619)*IF(AA619="Indefinido",AFC_EMP_INDEF,AFC_EMP_PF),0))</f>
        <v/>
      </c>
      <c r="AD619" s="71" t="str">
        <f aca="false">IF(AH619="","",ROUND(MIN(K619,TOPE_AFP_UF*AJ619)*(MUTUAL_BASICA+MUTUAL_ADIC+SANNA),0))</f>
        <v/>
      </c>
      <c r="AE619" s="71" t="str">
        <f aca="false">IF(AH619="","",P619-N(N619)+AB619+AC619+AD619)</f>
        <v/>
      </c>
      <c r="AF619" s="65"/>
      <c r="AG619" s="64"/>
      <c r="AH619" s="72" t="str">
        <f aca="false">IF(OR(B619="",C619=""),"",C619&amp;"|"&amp;(YEAR(B619)*100+MONTH(B619)))</f>
        <v/>
      </c>
      <c r="AI619" s="70" t="str">
        <f aca="false">IF(AH619="","",IF(COUNTIF(L_CLAVE,AH619)&gt;1,"⚠ Duplicado","OK"))</f>
        <v/>
      </c>
      <c r="AJ619" s="86" t="str">
        <f aca="false">IF(AH619="","",IF(SUMPRODUCT(MAX((IND_PER&lt;=B619)*(IND_UF&lt;&gt;"")*IND_PER))=0,UF_HOY,INDEX(IND_UF,MATCH(SUMPRODUCT(MAX((IND_PER&lt;=B619)*(IND_UF&lt;&gt;"")*IND_PER)),IND_PER,0))))</f>
        <v/>
      </c>
      <c r="AK619" s="87" t="str">
        <f aca="false">IF(AH619="","",IF(COUNTIF(TASA_DESDE,"&lt;="&amp;B619)=0,INDEX(TASA_EMP,1),INDEX(TASA_EMP,COUNTIF(TASA_DESDE,"&lt;="&amp;B619))))</f>
        <v/>
      </c>
    </row>
    <row r="620" customFormat="false" ht="15" hidden="false" customHeight="false" outlineLevel="0" collapsed="false">
      <c r="B620" s="78"/>
      <c r="C620" s="64"/>
      <c r="D620" s="72" t="str">
        <f aca="false">IF(C620="","",IFERROR(INDEX(T_NOMBRE,MATCH(C620,T_ID,0)),"⚠ ID no existe"))</f>
        <v/>
      </c>
      <c r="E620" s="69"/>
      <c r="F620" s="67"/>
      <c r="G620" s="67"/>
      <c r="H620" s="67"/>
      <c r="I620" s="67"/>
      <c r="J620" s="67"/>
      <c r="K620" s="85" t="str">
        <f aca="false">IF(AH620="","",N(F620)+N(G620)+N(H620)-N(I620)+N(J620))</f>
        <v/>
      </c>
      <c r="L620" s="67"/>
      <c r="M620" s="67"/>
      <c r="N620" s="67"/>
      <c r="O620" s="67"/>
      <c r="P620" s="85" t="str">
        <f aca="false">IF(AH620="","",K620+N(L620)+N(M620)+N(N620)+N(O620))</f>
        <v/>
      </c>
      <c r="Q620" s="67"/>
      <c r="R620" s="67"/>
      <c r="S620" s="67"/>
      <c r="T620" s="67"/>
      <c r="U620" s="67"/>
      <c r="V620" s="67"/>
      <c r="W620" s="85" t="str">
        <f aca="false">IF(AH620="","",N(Q620)+N(R620)+N(S620)+N(T620)+N(U620)+N(V620))</f>
        <v/>
      </c>
      <c r="X620" s="85" t="str">
        <f aca="false">IF(AH620="","",P620-W620)</f>
        <v/>
      </c>
      <c r="Y620" s="67"/>
      <c r="Z620" s="70" t="str">
        <f aca="false">IF(OR(AH620="",Y620=""),"",IF(ABS(X620-Y620)&lt;=1,"✓ Cuadra","⚠ Diferencia $"&amp;FIXED(X620-Y620,0)))</f>
        <v/>
      </c>
      <c r="AA620" s="72" t="str">
        <f aca="false">IF(AH620="","",IFERROR(INDEX(C_TIPO,MATCH(C620&amp;"-P"&amp;MAX(1,COUNTIFS(C_ID,C620,C_DEFINE,"Sí",C_INICIO,"&lt;="&amp;EOMONTH(B620,0))),C_CLAVE,0))&amp;"","Sin dato"))</f>
        <v/>
      </c>
      <c r="AB620" s="71" t="str">
        <f aca="false">IF(AH620="","",ROUND(MIN(K620,TOPE_AFP_UF*AJ620)*AK620,0))</f>
        <v/>
      </c>
      <c r="AC620" s="71" t="str">
        <f aca="false">IF(AH620="","",ROUND(MIN(K620,TOPE_AFC_UF*AJ620)*IF(AA620="Indefinido",AFC_EMP_INDEF,AFC_EMP_PF),0))</f>
        <v/>
      </c>
      <c r="AD620" s="71" t="str">
        <f aca="false">IF(AH620="","",ROUND(MIN(K620,TOPE_AFP_UF*AJ620)*(MUTUAL_BASICA+MUTUAL_ADIC+SANNA),0))</f>
        <v/>
      </c>
      <c r="AE620" s="71" t="str">
        <f aca="false">IF(AH620="","",P620-N(N620)+AB620+AC620+AD620)</f>
        <v/>
      </c>
      <c r="AF620" s="65"/>
      <c r="AG620" s="64"/>
      <c r="AH620" s="72" t="str">
        <f aca="false">IF(OR(B620="",C620=""),"",C620&amp;"|"&amp;(YEAR(B620)*100+MONTH(B620)))</f>
        <v/>
      </c>
      <c r="AI620" s="70" t="str">
        <f aca="false">IF(AH620="","",IF(COUNTIF(L_CLAVE,AH620)&gt;1,"⚠ Duplicado","OK"))</f>
        <v/>
      </c>
      <c r="AJ620" s="86" t="str">
        <f aca="false">IF(AH620="","",IF(SUMPRODUCT(MAX((IND_PER&lt;=B620)*(IND_UF&lt;&gt;"")*IND_PER))=0,UF_HOY,INDEX(IND_UF,MATCH(SUMPRODUCT(MAX((IND_PER&lt;=B620)*(IND_UF&lt;&gt;"")*IND_PER)),IND_PER,0))))</f>
        <v/>
      </c>
      <c r="AK620" s="87" t="str">
        <f aca="false">IF(AH620="","",IF(COUNTIF(TASA_DESDE,"&lt;="&amp;B620)=0,INDEX(TASA_EMP,1),INDEX(TASA_EMP,COUNTIF(TASA_DESDE,"&lt;="&amp;B620))))</f>
        <v/>
      </c>
    </row>
    <row r="621" customFormat="false" ht="15" hidden="false" customHeight="false" outlineLevel="0" collapsed="false">
      <c r="B621" s="78"/>
      <c r="C621" s="64"/>
      <c r="D621" s="72" t="str">
        <f aca="false">IF(C621="","",IFERROR(INDEX(T_NOMBRE,MATCH(C621,T_ID,0)),"⚠ ID no existe"))</f>
        <v/>
      </c>
      <c r="E621" s="69"/>
      <c r="F621" s="67"/>
      <c r="G621" s="67"/>
      <c r="H621" s="67"/>
      <c r="I621" s="67"/>
      <c r="J621" s="67"/>
      <c r="K621" s="85" t="str">
        <f aca="false">IF(AH621="","",N(F621)+N(G621)+N(H621)-N(I621)+N(J621))</f>
        <v/>
      </c>
      <c r="L621" s="67"/>
      <c r="M621" s="67"/>
      <c r="N621" s="67"/>
      <c r="O621" s="67"/>
      <c r="P621" s="85" t="str">
        <f aca="false">IF(AH621="","",K621+N(L621)+N(M621)+N(N621)+N(O621))</f>
        <v/>
      </c>
      <c r="Q621" s="67"/>
      <c r="R621" s="67"/>
      <c r="S621" s="67"/>
      <c r="T621" s="67"/>
      <c r="U621" s="67"/>
      <c r="V621" s="67"/>
      <c r="W621" s="85" t="str">
        <f aca="false">IF(AH621="","",N(Q621)+N(R621)+N(S621)+N(T621)+N(U621)+N(V621))</f>
        <v/>
      </c>
      <c r="X621" s="85" t="str">
        <f aca="false">IF(AH621="","",P621-W621)</f>
        <v/>
      </c>
      <c r="Y621" s="67"/>
      <c r="Z621" s="70" t="str">
        <f aca="false">IF(OR(AH621="",Y621=""),"",IF(ABS(X621-Y621)&lt;=1,"✓ Cuadra","⚠ Diferencia $"&amp;FIXED(X621-Y621,0)))</f>
        <v/>
      </c>
      <c r="AA621" s="72" t="str">
        <f aca="false">IF(AH621="","",IFERROR(INDEX(C_TIPO,MATCH(C621&amp;"-P"&amp;MAX(1,COUNTIFS(C_ID,C621,C_DEFINE,"Sí",C_INICIO,"&lt;="&amp;EOMONTH(B621,0))),C_CLAVE,0))&amp;"","Sin dato"))</f>
        <v/>
      </c>
      <c r="AB621" s="71" t="str">
        <f aca="false">IF(AH621="","",ROUND(MIN(K621,TOPE_AFP_UF*AJ621)*AK621,0))</f>
        <v/>
      </c>
      <c r="AC621" s="71" t="str">
        <f aca="false">IF(AH621="","",ROUND(MIN(K621,TOPE_AFC_UF*AJ621)*IF(AA621="Indefinido",AFC_EMP_INDEF,AFC_EMP_PF),0))</f>
        <v/>
      </c>
      <c r="AD621" s="71" t="str">
        <f aca="false">IF(AH621="","",ROUND(MIN(K621,TOPE_AFP_UF*AJ621)*(MUTUAL_BASICA+MUTUAL_ADIC+SANNA),0))</f>
        <v/>
      </c>
      <c r="AE621" s="71" t="str">
        <f aca="false">IF(AH621="","",P621-N(N621)+AB621+AC621+AD621)</f>
        <v/>
      </c>
      <c r="AF621" s="65"/>
      <c r="AG621" s="64"/>
      <c r="AH621" s="72" t="str">
        <f aca="false">IF(OR(B621="",C621=""),"",C621&amp;"|"&amp;(YEAR(B621)*100+MONTH(B621)))</f>
        <v/>
      </c>
      <c r="AI621" s="70" t="str">
        <f aca="false">IF(AH621="","",IF(COUNTIF(L_CLAVE,AH621)&gt;1,"⚠ Duplicado","OK"))</f>
        <v/>
      </c>
      <c r="AJ621" s="86" t="str">
        <f aca="false">IF(AH621="","",IF(SUMPRODUCT(MAX((IND_PER&lt;=B621)*(IND_UF&lt;&gt;"")*IND_PER))=0,UF_HOY,INDEX(IND_UF,MATCH(SUMPRODUCT(MAX((IND_PER&lt;=B621)*(IND_UF&lt;&gt;"")*IND_PER)),IND_PER,0))))</f>
        <v/>
      </c>
      <c r="AK621" s="87" t="str">
        <f aca="false">IF(AH621="","",IF(COUNTIF(TASA_DESDE,"&lt;="&amp;B621)=0,INDEX(TASA_EMP,1),INDEX(TASA_EMP,COUNTIF(TASA_DESDE,"&lt;="&amp;B621))))</f>
        <v/>
      </c>
    </row>
    <row r="622" customFormat="false" ht="15" hidden="false" customHeight="false" outlineLevel="0" collapsed="false">
      <c r="B622" s="78"/>
      <c r="C622" s="64"/>
      <c r="D622" s="72" t="str">
        <f aca="false">IF(C622="","",IFERROR(INDEX(T_NOMBRE,MATCH(C622,T_ID,0)),"⚠ ID no existe"))</f>
        <v/>
      </c>
      <c r="E622" s="69"/>
      <c r="F622" s="67"/>
      <c r="G622" s="67"/>
      <c r="H622" s="67"/>
      <c r="I622" s="67"/>
      <c r="J622" s="67"/>
      <c r="K622" s="85" t="str">
        <f aca="false">IF(AH622="","",N(F622)+N(G622)+N(H622)-N(I622)+N(J622))</f>
        <v/>
      </c>
      <c r="L622" s="67"/>
      <c r="M622" s="67"/>
      <c r="N622" s="67"/>
      <c r="O622" s="67"/>
      <c r="P622" s="85" t="str">
        <f aca="false">IF(AH622="","",K622+N(L622)+N(M622)+N(N622)+N(O622))</f>
        <v/>
      </c>
      <c r="Q622" s="67"/>
      <c r="R622" s="67"/>
      <c r="S622" s="67"/>
      <c r="T622" s="67"/>
      <c r="U622" s="67"/>
      <c r="V622" s="67"/>
      <c r="W622" s="85" t="str">
        <f aca="false">IF(AH622="","",N(Q622)+N(R622)+N(S622)+N(T622)+N(U622)+N(V622))</f>
        <v/>
      </c>
      <c r="X622" s="85" t="str">
        <f aca="false">IF(AH622="","",P622-W622)</f>
        <v/>
      </c>
      <c r="Y622" s="67"/>
      <c r="Z622" s="70" t="str">
        <f aca="false">IF(OR(AH622="",Y622=""),"",IF(ABS(X622-Y622)&lt;=1,"✓ Cuadra","⚠ Diferencia $"&amp;FIXED(X622-Y622,0)))</f>
        <v/>
      </c>
      <c r="AA622" s="72" t="str">
        <f aca="false">IF(AH622="","",IFERROR(INDEX(C_TIPO,MATCH(C622&amp;"-P"&amp;MAX(1,COUNTIFS(C_ID,C622,C_DEFINE,"Sí",C_INICIO,"&lt;="&amp;EOMONTH(B622,0))),C_CLAVE,0))&amp;"","Sin dato"))</f>
        <v/>
      </c>
      <c r="AB622" s="71" t="str">
        <f aca="false">IF(AH622="","",ROUND(MIN(K622,TOPE_AFP_UF*AJ622)*AK622,0))</f>
        <v/>
      </c>
      <c r="AC622" s="71" t="str">
        <f aca="false">IF(AH622="","",ROUND(MIN(K622,TOPE_AFC_UF*AJ622)*IF(AA622="Indefinido",AFC_EMP_INDEF,AFC_EMP_PF),0))</f>
        <v/>
      </c>
      <c r="AD622" s="71" t="str">
        <f aca="false">IF(AH622="","",ROUND(MIN(K622,TOPE_AFP_UF*AJ622)*(MUTUAL_BASICA+MUTUAL_ADIC+SANNA),0))</f>
        <v/>
      </c>
      <c r="AE622" s="71" t="str">
        <f aca="false">IF(AH622="","",P622-N(N622)+AB622+AC622+AD622)</f>
        <v/>
      </c>
      <c r="AF622" s="65"/>
      <c r="AG622" s="64"/>
      <c r="AH622" s="72" t="str">
        <f aca="false">IF(OR(B622="",C622=""),"",C622&amp;"|"&amp;(YEAR(B622)*100+MONTH(B622)))</f>
        <v/>
      </c>
      <c r="AI622" s="70" t="str">
        <f aca="false">IF(AH622="","",IF(COUNTIF(L_CLAVE,AH622)&gt;1,"⚠ Duplicado","OK"))</f>
        <v/>
      </c>
      <c r="AJ622" s="86" t="str">
        <f aca="false">IF(AH622="","",IF(SUMPRODUCT(MAX((IND_PER&lt;=B622)*(IND_UF&lt;&gt;"")*IND_PER))=0,UF_HOY,INDEX(IND_UF,MATCH(SUMPRODUCT(MAX((IND_PER&lt;=B622)*(IND_UF&lt;&gt;"")*IND_PER)),IND_PER,0))))</f>
        <v/>
      </c>
      <c r="AK622" s="87" t="str">
        <f aca="false">IF(AH622="","",IF(COUNTIF(TASA_DESDE,"&lt;="&amp;B622)=0,INDEX(TASA_EMP,1),INDEX(TASA_EMP,COUNTIF(TASA_DESDE,"&lt;="&amp;B622))))</f>
        <v/>
      </c>
    </row>
    <row r="623" customFormat="false" ht="15" hidden="false" customHeight="false" outlineLevel="0" collapsed="false">
      <c r="B623" s="78"/>
      <c r="C623" s="64"/>
      <c r="D623" s="72" t="str">
        <f aca="false">IF(C623="","",IFERROR(INDEX(T_NOMBRE,MATCH(C623,T_ID,0)),"⚠ ID no existe"))</f>
        <v/>
      </c>
      <c r="E623" s="69"/>
      <c r="F623" s="67"/>
      <c r="G623" s="67"/>
      <c r="H623" s="67"/>
      <c r="I623" s="67"/>
      <c r="J623" s="67"/>
      <c r="K623" s="85" t="str">
        <f aca="false">IF(AH623="","",N(F623)+N(G623)+N(H623)-N(I623)+N(J623))</f>
        <v/>
      </c>
      <c r="L623" s="67"/>
      <c r="M623" s="67"/>
      <c r="N623" s="67"/>
      <c r="O623" s="67"/>
      <c r="P623" s="85" t="str">
        <f aca="false">IF(AH623="","",K623+N(L623)+N(M623)+N(N623)+N(O623))</f>
        <v/>
      </c>
      <c r="Q623" s="67"/>
      <c r="R623" s="67"/>
      <c r="S623" s="67"/>
      <c r="T623" s="67"/>
      <c r="U623" s="67"/>
      <c r="V623" s="67"/>
      <c r="W623" s="85" t="str">
        <f aca="false">IF(AH623="","",N(Q623)+N(R623)+N(S623)+N(T623)+N(U623)+N(V623))</f>
        <v/>
      </c>
      <c r="X623" s="85" t="str">
        <f aca="false">IF(AH623="","",P623-W623)</f>
        <v/>
      </c>
      <c r="Y623" s="67"/>
      <c r="Z623" s="70" t="str">
        <f aca="false">IF(OR(AH623="",Y623=""),"",IF(ABS(X623-Y623)&lt;=1,"✓ Cuadra","⚠ Diferencia $"&amp;FIXED(X623-Y623,0)))</f>
        <v/>
      </c>
      <c r="AA623" s="72" t="str">
        <f aca="false">IF(AH623="","",IFERROR(INDEX(C_TIPO,MATCH(C623&amp;"-P"&amp;MAX(1,COUNTIFS(C_ID,C623,C_DEFINE,"Sí",C_INICIO,"&lt;="&amp;EOMONTH(B623,0))),C_CLAVE,0))&amp;"","Sin dato"))</f>
        <v/>
      </c>
      <c r="AB623" s="71" t="str">
        <f aca="false">IF(AH623="","",ROUND(MIN(K623,TOPE_AFP_UF*AJ623)*AK623,0))</f>
        <v/>
      </c>
      <c r="AC623" s="71" t="str">
        <f aca="false">IF(AH623="","",ROUND(MIN(K623,TOPE_AFC_UF*AJ623)*IF(AA623="Indefinido",AFC_EMP_INDEF,AFC_EMP_PF),0))</f>
        <v/>
      </c>
      <c r="AD623" s="71" t="str">
        <f aca="false">IF(AH623="","",ROUND(MIN(K623,TOPE_AFP_UF*AJ623)*(MUTUAL_BASICA+MUTUAL_ADIC+SANNA),0))</f>
        <v/>
      </c>
      <c r="AE623" s="71" t="str">
        <f aca="false">IF(AH623="","",P623-N(N623)+AB623+AC623+AD623)</f>
        <v/>
      </c>
      <c r="AF623" s="65"/>
      <c r="AG623" s="64"/>
      <c r="AH623" s="72" t="str">
        <f aca="false">IF(OR(B623="",C623=""),"",C623&amp;"|"&amp;(YEAR(B623)*100+MONTH(B623)))</f>
        <v/>
      </c>
      <c r="AI623" s="70" t="str">
        <f aca="false">IF(AH623="","",IF(COUNTIF(L_CLAVE,AH623)&gt;1,"⚠ Duplicado","OK"))</f>
        <v/>
      </c>
      <c r="AJ623" s="86" t="str">
        <f aca="false">IF(AH623="","",IF(SUMPRODUCT(MAX((IND_PER&lt;=B623)*(IND_UF&lt;&gt;"")*IND_PER))=0,UF_HOY,INDEX(IND_UF,MATCH(SUMPRODUCT(MAX((IND_PER&lt;=B623)*(IND_UF&lt;&gt;"")*IND_PER)),IND_PER,0))))</f>
        <v/>
      </c>
      <c r="AK623" s="87" t="str">
        <f aca="false">IF(AH623="","",IF(COUNTIF(TASA_DESDE,"&lt;="&amp;B623)=0,INDEX(TASA_EMP,1),INDEX(TASA_EMP,COUNTIF(TASA_DESDE,"&lt;="&amp;B623))))</f>
        <v/>
      </c>
    </row>
    <row r="624" customFormat="false" ht="15" hidden="false" customHeight="false" outlineLevel="0" collapsed="false">
      <c r="B624" s="78"/>
      <c r="C624" s="64"/>
      <c r="D624" s="72" t="str">
        <f aca="false">IF(C624="","",IFERROR(INDEX(T_NOMBRE,MATCH(C624,T_ID,0)),"⚠ ID no existe"))</f>
        <v/>
      </c>
      <c r="E624" s="69"/>
      <c r="F624" s="67"/>
      <c r="G624" s="67"/>
      <c r="H624" s="67"/>
      <c r="I624" s="67"/>
      <c r="J624" s="67"/>
      <c r="K624" s="85" t="str">
        <f aca="false">IF(AH624="","",N(F624)+N(G624)+N(H624)-N(I624)+N(J624))</f>
        <v/>
      </c>
      <c r="L624" s="67"/>
      <c r="M624" s="67"/>
      <c r="N624" s="67"/>
      <c r="O624" s="67"/>
      <c r="P624" s="85" t="str">
        <f aca="false">IF(AH624="","",K624+N(L624)+N(M624)+N(N624)+N(O624))</f>
        <v/>
      </c>
      <c r="Q624" s="67"/>
      <c r="R624" s="67"/>
      <c r="S624" s="67"/>
      <c r="T624" s="67"/>
      <c r="U624" s="67"/>
      <c r="V624" s="67"/>
      <c r="W624" s="85" t="str">
        <f aca="false">IF(AH624="","",N(Q624)+N(R624)+N(S624)+N(T624)+N(U624)+N(V624))</f>
        <v/>
      </c>
      <c r="X624" s="85" t="str">
        <f aca="false">IF(AH624="","",P624-W624)</f>
        <v/>
      </c>
      <c r="Y624" s="67"/>
      <c r="Z624" s="70" t="str">
        <f aca="false">IF(OR(AH624="",Y624=""),"",IF(ABS(X624-Y624)&lt;=1,"✓ Cuadra","⚠ Diferencia $"&amp;FIXED(X624-Y624,0)))</f>
        <v/>
      </c>
      <c r="AA624" s="72" t="str">
        <f aca="false">IF(AH624="","",IFERROR(INDEX(C_TIPO,MATCH(C624&amp;"-P"&amp;MAX(1,COUNTIFS(C_ID,C624,C_DEFINE,"Sí",C_INICIO,"&lt;="&amp;EOMONTH(B624,0))),C_CLAVE,0))&amp;"","Sin dato"))</f>
        <v/>
      </c>
      <c r="AB624" s="71" t="str">
        <f aca="false">IF(AH624="","",ROUND(MIN(K624,TOPE_AFP_UF*AJ624)*AK624,0))</f>
        <v/>
      </c>
      <c r="AC624" s="71" t="str">
        <f aca="false">IF(AH624="","",ROUND(MIN(K624,TOPE_AFC_UF*AJ624)*IF(AA624="Indefinido",AFC_EMP_INDEF,AFC_EMP_PF),0))</f>
        <v/>
      </c>
      <c r="AD624" s="71" t="str">
        <f aca="false">IF(AH624="","",ROUND(MIN(K624,TOPE_AFP_UF*AJ624)*(MUTUAL_BASICA+MUTUAL_ADIC+SANNA),0))</f>
        <v/>
      </c>
      <c r="AE624" s="71" t="str">
        <f aca="false">IF(AH624="","",P624-N(N624)+AB624+AC624+AD624)</f>
        <v/>
      </c>
      <c r="AF624" s="65"/>
      <c r="AG624" s="64"/>
      <c r="AH624" s="72" t="str">
        <f aca="false">IF(OR(B624="",C624=""),"",C624&amp;"|"&amp;(YEAR(B624)*100+MONTH(B624)))</f>
        <v/>
      </c>
      <c r="AI624" s="70" t="str">
        <f aca="false">IF(AH624="","",IF(COUNTIF(L_CLAVE,AH624)&gt;1,"⚠ Duplicado","OK"))</f>
        <v/>
      </c>
      <c r="AJ624" s="86" t="str">
        <f aca="false">IF(AH624="","",IF(SUMPRODUCT(MAX((IND_PER&lt;=B624)*(IND_UF&lt;&gt;"")*IND_PER))=0,UF_HOY,INDEX(IND_UF,MATCH(SUMPRODUCT(MAX((IND_PER&lt;=B624)*(IND_UF&lt;&gt;"")*IND_PER)),IND_PER,0))))</f>
        <v/>
      </c>
      <c r="AK624" s="87" t="str">
        <f aca="false">IF(AH624="","",IF(COUNTIF(TASA_DESDE,"&lt;="&amp;B624)=0,INDEX(TASA_EMP,1),INDEX(TASA_EMP,COUNTIF(TASA_DESDE,"&lt;="&amp;B624))))</f>
        <v/>
      </c>
    </row>
    <row r="625" customFormat="false" ht="15" hidden="false" customHeight="false" outlineLevel="0" collapsed="false">
      <c r="B625" s="78"/>
      <c r="C625" s="64"/>
      <c r="D625" s="72" t="str">
        <f aca="false">IF(C625="","",IFERROR(INDEX(T_NOMBRE,MATCH(C625,T_ID,0)),"⚠ ID no existe"))</f>
        <v/>
      </c>
      <c r="E625" s="69"/>
      <c r="F625" s="67"/>
      <c r="G625" s="67"/>
      <c r="H625" s="67"/>
      <c r="I625" s="67"/>
      <c r="J625" s="67"/>
      <c r="K625" s="85" t="str">
        <f aca="false">IF(AH625="","",N(F625)+N(G625)+N(H625)-N(I625)+N(J625))</f>
        <v/>
      </c>
      <c r="L625" s="67"/>
      <c r="M625" s="67"/>
      <c r="N625" s="67"/>
      <c r="O625" s="67"/>
      <c r="P625" s="85" t="str">
        <f aca="false">IF(AH625="","",K625+N(L625)+N(M625)+N(N625)+N(O625))</f>
        <v/>
      </c>
      <c r="Q625" s="67"/>
      <c r="R625" s="67"/>
      <c r="S625" s="67"/>
      <c r="T625" s="67"/>
      <c r="U625" s="67"/>
      <c r="V625" s="67"/>
      <c r="W625" s="85" t="str">
        <f aca="false">IF(AH625="","",N(Q625)+N(R625)+N(S625)+N(T625)+N(U625)+N(V625))</f>
        <v/>
      </c>
      <c r="X625" s="85" t="str">
        <f aca="false">IF(AH625="","",P625-W625)</f>
        <v/>
      </c>
      <c r="Y625" s="67"/>
      <c r="Z625" s="70" t="str">
        <f aca="false">IF(OR(AH625="",Y625=""),"",IF(ABS(X625-Y625)&lt;=1,"✓ Cuadra","⚠ Diferencia $"&amp;FIXED(X625-Y625,0)))</f>
        <v/>
      </c>
      <c r="AA625" s="72" t="str">
        <f aca="false">IF(AH625="","",IFERROR(INDEX(C_TIPO,MATCH(C625&amp;"-P"&amp;MAX(1,COUNTIFS(C_ID,C625,C_DEFINE,"Sí",C_INICIO,"&lt;="&amp;EOMONTH(B625,0))),C_CLAVE,0))&amp;"","Sin dato"))</f>
        <v/>
      </c>
      <c r="AB625" s="71" t="str">
        <f aca="false">IF(AH625="","",ROUND(MIN(K625,TOPE_AFP_UF*AJ625)*AK625,0))</f>
        <v/>
      </c>
      <c r="AC625" s="71" t="str">
        <f aca="false">IF(AH625="","",ROUND(MIN(K625,TOPE_AFC_UF*AJ625)*IF(AA625="Indefinido",AFC_EMP_INDEF,AFC_EMP_PF),0))</f>
        <v/>
      </c>
      <c r="AD625" s="71" t="str">
        <f aca="false">IF(AH625="","",ROUND(MIN(K625,TOPE_AFP_UF*AJ625)*(MUTUAL_BASICA+MUTUAL_ADIC+SANNA),0))</f>
        <v/>
      </c>
      <c r="AE625" s="71" t="str">
        <f aca="false">IF(AH625="","",P625-N(N625)+AB625+AC625+AD625)</f>
        <v/>
      </c>
      <c r="AF625" s="65"/>
      <c r="AG625" s="64"/>
      <c r="AH625" s="72" t="str">
        <f aca="false">IF(OR(B625="",C625=""),"",C625&amp;"|"&amp;(YEAR(B625)*100+MONTH(B625)))</f>
        <v/>
      </c>
      <c r="AI625" s="70" t="str">
        <f aca="false">IF(AH625="","",IF(COUNTIF(L_CLAVE,AH625)&gt;1,"⚠ Duplicado","OK"))</f>
        <v/>
      </c>
      <c r="AJ625" s="86" t="str">
        <f aca="false">IF(AH625="","",IF(SUMPRODUCT(MAX((IND_PER&lt;=B625)*(IND_UF&lt;&gt;"")*IND_PER))=0,UF_HOY,INDEX(IND_UF,MATCH(SUMPRODUCT(MAX((IND_PER&lt;=B625)*(IND_UF&lt;&gt;"")*IND_PER)),IND_PER,0))))</f>
        <v/>
      </c>
      <c r="AK625" s="87" t="str">
        <f aca="false">IF(AH625="","",IF(COUNTIF(TASA_DESDE,"&lt;="&amp;B625)=0,INDEX(TASA_EMP,1),INDEX(TASA_EMP,COUNTIF(TASA_DESDE,"&lt;="&amp;B625))))</f>
        <v/>
      </c>
    </row>
    <row r="626" customFormat="false" ht="15" hidden="false" customHeight="false" outlineLevel="0" collapsed="false">
      <c r="B626" s="78"/>
      <c r="C626" s="64"/>
      <c r="D626" s="72" t="str">
        <f aca="false">IF(C626="","",IFERROR(INDEX(T_NOMBRE,MATCH(C626,T_ID,0)),"⚠ ID no existe"))</f>
        <v/>
      </c>
      <c r="E626" s="69"/>
      <c r="F626" s="67"/>
      <c r="G626" s="67"/>
      <c r="H626" s="67"/>
      <c r="I626" s="67"/>
      <c r="J626" s="67"/>
      <c r="K626" s="85" t="str">
        <f aca="false">IF(AH626="","",N(F626)+N(G626)+N(H626)-N(I626)+N(J626))</f>
        <v/>
      </c>
      <c r="L626" s="67"/>
      <c r="M626" s="67"/>
      <c r="N626" s="67"/>
      <c r="O626" s="67"/>
      <c r="P626" s="85" t="str">
        <f aca="false">IF(AH626="","",K626+N(L626)+N(M626)+N(N626)+N(O626))</f>
        <v/>
      </c>
      <c r="Q626" s="67"/>
      <c r="R626" s="67"/>
      <c r="S626" s="67"/>
      <c r="T626" s="67"/>
      <c r="U626" s="67"/>
      <c r="V626" s="67"/>
      <c r="W626" s="85" t="str">
        <f aca="false">IF(AH626="","",N(Q626)+N(R626)+N(S626)+N(T626)+N(U626)+N(V626))</f>
        <v/>
      </c>
      <c r="X626" s="85" t="str">
        <f aca="false">IF(AH626="","",P626-W626)</f>
        <v/>
      </c>
      <c r="Y626" s="67"/>
      <c r="Z626" s="70" t="str">
        <f aca="false">IF(OR(AH626="",Y626=""),"",IF(ABS(X626-Y626)&lt;=1,"✓ Cuadra","⚠ Diferencia $"&amp;FIXED(X626-Y626,0)))</f>
        <v/>
      </c>
      <c r="AA626" s="72" t="str">
        <f aca="false">IF(AH626="","",IFERROR(INDEX(C_TIPO,MATCH(C626&amp;"-P"&amp;MAX(1,COUNTIFS(C_ID,C626,C_DEFINE,"Sí",C_INICIO,"&lt;="&amp;EOMONTH(B626,0))),C_CLAVE,0))&amp;"","Sin dato"))</f>
        <v/>
      </c>
      <c r="AB626" s="71" t="str">
        <f aca="false">IF(AH626="","",ROUND(MIN(K626,TOPE_AFP_UF*AJ626)*AK626,0))</f>
        <v/>
      </c>
      <c r="AC626" s="71" t="str">
        <f aca="false">IF(AH626="","",ROUND(MIN(K626,TOPE_AFC_UF*AJ626)*IF(AA626="Indefinido",AFC_EMP_INDEF,AFC_EMP_PF),0))</f>
        <v/>
      </c>
      <c r="AD626" s="71" t="str">
        <f aca="false">IF(AH626="","",ROUND(MIN(K626,TOPE_AFP_UF*AJ626)*(MUTUAL_BASICA+MUTUAL_ADIC+SANNA),0))</f>
        <v/>
      </c>
      <c r="AE626" s="71" t="str">
        <f aca="false">IF(AH626="","",P626-N(N626)+AB626+AC626+AD626)</f>
        <v/>
      </c>
      <c r="AF626" s="65"/>
      <c r="AG626" s="64"/>
      <c r="AH626" s="72" t="str">
        <f aca="false">IF(OR(B626="",C626=""),"",C626&amp;"|"&amp;(YEAR(B626)*100+MONTH(B626)))</f>
        <v/>
      </c>
      <c r="AI626" s="70" t="str">
        <f aca="false">IF(AH626="","",IF(COUNTIF(L_CLAVE,AH626)&gt;1,"⚠ Duplicado","OK"))</f>
        <v/>
      </c>
      <c r="AJ626" s="86" t="str">
        <f aca="false">IF(AH626="","",IF(SUMPRODUCT(MAX((IND_PER&lt;=B626)*(IND_UF&lt;&gt;"")*IND_PER))=0,UF_HOY,INDEX(IND_UF,MATCH(SUMPRODUCT(MAX((IND_PER&lt;=B626)*(IND_UF&lt;&gt;"")*IND_PER)),IND_PER,0))))</f>
        <v/>
      </c>
      <c r="AK626" s="87" t="str">
        <f aca="false">IF(AH626="","",IF(COUNTIF(TASA_DESDE,"&lt;="&amp;B626)=0,INDEX(TASA_EMP,1),INDEX(TASA_EMP,COUNTIF(TASA_DESDE,"&lt;="&amp;B626))))</f>
        <v/>
      </c>
    </row>
    <row r="627" customFormat="false" ht="15" hidden="false" customHeight="false" outlineLevel="0" collapsed="false">
      <c r="B627" s="78"/>
      <c r="C627" s="64"/>
      <c r="D627" s="72" t="str">
        <f aca="false">IF(C627="","",IFERROR(INDEX(T_NOMBRE,MATCH(C627,T_ID,0)),"⚠ ID no existe"))</f>
        <v/>
      </c>
      <c r="E627" s="69"/>
      <c r="F627" s="67"/>
      <c r="G627" s="67"/>
      <c r="H627" s="67"/>
      <c r="I627" s="67"/>
      <c r="J627" s="67"/>
      <c r="K627" s="85" t="str">
        <f aca="false">IF(AH627="","",N(F627)+N(G627)+N(H627)-N(I627)+N(J627))</f>
        <v/>
      </c>
      <c r="L627" s="67"/>
      <c r="M627" s="67"/>
      <c r="N627" s="67"/>
      <c r="O627" s="67"/>
      <c r="P627" s="85" t="str">
        <f aca="false">IF(AH627="","",K627+N(L627)+N(M627)+N(N627)+N(O627))</f>
        <v/>
      </c>
      <c r="Q627" s="67"/>
      <c r="R627" s="67"/>
      <c r="S627" s="67"/>
      <c r="T627" s="67"/>
      <c r="U627" s="67"/>
      <c r="V627" s="67"/>
      <c r="W627" s="85" t="str">
        <f aca="false">IF(AH627="","",N(Q627)+N(R627)+N(S627)+N(T627)+N(U627)+N(V627))</f>
        <v/>
      </c>
      <c r="X627" s="85" t="str">
        <f aca="false">IF(AH627="","",P627-W627)</f>
        <v/>
      </c>
      <c r="Y627" s="67"/>
      <c r="Z627" s="70" t="str">
        <f aca="false">IF(OR(AH627="",Y627=""),"",IF(ABS(X627-Y627)&lt;=1,"✓ Cuadra","⚠ Diferencia $"&amp;FIXED(X627-Y627,0)))</f>
        <v/>
      </c>
      <c r="AA627" s="72" t="str">
        <f aca="false">IF(AH627="","",IFERROR(INDEX(C_TIPO,MATCH(C627&amp;"-P"&amp;MAX(1,COUNTIFS(C_ID,C627,C_DEFINE,"Sí",C_INICIO,"&lt;="&amp;EOMONTH(B627,0))),C_CLAVE,0))&amp;"","Sin dato"))</f>
        <v/>
      </c>
      <c r="AB627" s="71" t="str">
        <f aca="false">IF(AH627="","",ROUND(MIN(K627,TOPE_AFP_UF*AJ627)*AK627,0))</f>
        <v/>
      </c>
      <c r="AC627" s="71" t="str">
        <f aca="false">IF(AH627="","",ROUND(MIN(K627,TOPE_AFC_UF*AJ627)*IF(AA627="Indefinido",AFC_EMP_INDEF,AFC_EMP_PF),0))</f>
        <v/>
      </c>
      <c r="AD627" s="71" t="str">
        <f aca="false">IF(AH627="","",ROUND(MIN(K627,TOPE_AFP_UF*AJ627)*(MUTUAL_BASICA+MUTUAL_ADIC+SANNA),0))</f>
        <v/>
      </c>
      <c r="AE627" s="71" t="str">
        <f aca="false">IF(AH627="","",P627-N(N627)+AB627+AC627+AD627)</f>
        <v/>
      </c>
      <c r="AF627" s="65"/>
      <c r="AG627" s="64"/>
      <c r="AH627" s="72" t="str">
        <f aca="false">IF(OR(B627="",C627=""),"",C627&amp;"|"&amp;(YEAR(B627)*100+MONTH(B627)))</f>
        <v/>
      </c>
      <c r="AI627" s="70" t="str">
        <f aca="false">IF(AH627="","",IF(COUNTIF(L_CLAVE,AH627)&gt;1,"⚠ Duplicado","OK"))</f>
        <v/>
      </c>
      <c r="AJ627" s="86" t="str">
        <f aca="false">IF(AH627="","",IF(SUMPRODUCT(MAX((IND_PER&lt;=B627)*(IND_UF&lt;&gt;"")*IND_PER))=0,UF_HOY,INDEX(IND_UF,MATCH(SUMPRODUCT(MAX((IND_PER&lt;=B627)*(IND_UF&lt;&gt;"")*IND_PER)),IND_PER,0))))</f>
        <v/>
      </c>
      <c r="AK627" s="87" t="str">
        <f aca="false">IF(AH627="","",IF(COUNTIF(TASA_DESDE,"&lt;="&amp;B627)=0,INDEX(TASA_EMP,1),INDEX(TASA_EMP,COUNTIF(TASA_DESDE,"&lt;="&amp;B627))))</f>
        <v/>
      </c>
    </row>
    <row r="628" customFormat="false" ht="15" hidden="false" customHeight="false" outlineLevel="0" collapsed="false">
      <c r="B628" s="78"/>
      <c r="C628" s="64"/>
      <c r="D628" s="72" t="str">
        <f aca="false">IF(C628="","",IFERROR(INDEX(T_NOMBRE,MATCH(C628,T_ID,0)),"⚠ ID no existe"))</f>
        <v/>
      </c>
      <c r="E628" s="69"/>
      <c r="F628" s="67"/>
      <c r="G628" s="67"/>
      <c r="H628" s="67"/>
      <c r="I628" s="67"/>
      <c r="J628" s="67"/>
      <c r="K628" s="85" t="str">
        <f aca="false">IF(AH628="","",N(F628)+N(G628)+N(H628)-N(I628)+N(J628))</f>
        <v/>
      </c>
      <c r="L628" s="67"/>
      <c r="M628" s="67"/>
      <c r="N628" s="67"/>
      <c r="O628" s="67"/>
      <c r="P628" s="85" t="str">
        <f aca="false">IF(AH628="","",K628+N(L628)+N(M628)+N(N628)+N(O628))</f>
        <v/>
      </c>
      <c r="Q628" s="67"/>
      <c r="R628" s="67"/>
      <c r="S628" s="67"/>
      <c r="T628" s="67"/>
      <c r="U628" s="67"/>
      <c r="V628" s="67"/>
      <c r="W628" s="85" t="str">
        <f aca="false">IF(AH628="","",N(Q628)+N(R628)+N(S628)+N(T628)+N(U628)+N(V628))</f>
        <v/>
      </c>
      <c r="X628" s="85" t="str">
        <f aca="false">IF(AH628="","",P628-W628)</f>
        <v/>
      </c>
      <c r="Y628" s="67"/>
      <c r="Z628" s="70" t="str">
        <f aca="false">IF(OR(AH628="",Y628=""),"",IF(ABS(X628-Y628)&lt;=1,"✓ Cuadra","⚠ Diferencia $"&amp;FIXED(X628-Y628,0)))</f>
        <v/>
      </c>
      <c r="AA628" s="72" t="str">
        <f aca="false">IF(AH628="","",IFERROR(INDEX(C_TIPO,MATCH(C628&amp;"-P"&amp;MAX(1,COUNTIFS(C_ID,C628,C_DEFINE,"Sí",C_INICIO,"&lt;="&amp;EOMONTH(B628,0))),C_CLAVE,0))&amp;"","Sin dato"))</f>
        <v/>
      </c>
      <c r="AB628" s="71" t="str">
        <f aca="false">IF(AH628="","",ROUND(MIN(K628,TOPE_AFP_UF*AJ628)*AK628,0))</f>
        <v/>
      </c>
      <c r="AC628" s="71" t="str">
        <f aca="false">IF(AH628="","",ROUND(MIN(K628,TOPE_AFC_UF*AJ628)*IF(AA628="Indefinido",AFC_EMP_INDEF,AFC_EMP_PF),0))</f>
        <v/>
      </c>
      <c r="AD628" s="71" t="str">
        <f aca="false">IF(AH628="","",ROUND(MIN(K628,TOPE_AFP_UF*AJ628)*(MUTUAL_BASICA+MUTUAL_ADIC+SANNA),0))</f>
        <v/>
      </c>
      <c r="AE628" s="71" t="str">
        <f aca="false">IF(AH628="","",P628-N(N628)+AB628+AC628+AD628)</f>
        <v/>
      </c>
      <c r="AF628" s="65"/>
      <c r="AG628" s="64"/>
      <c r="AH628" s="72" t="str">
        <f aca="false">IF(OR(B628="",C628=""),"",C628&amp;"|"&amp;(YEAR(B628)*100+MONTH(B628)))</f>
        <v/>
      </c>
      <c r="AI628" s="70" t="str">
        <f aca="false">IF(AH628="","",IF(COUNTIF(L_CLAVE,AH628)&gt;1,"⚠ Duplicado","OK"))</f>
        <v/>
      </c>
      <c r="AJ628" s="86" t="str">
        <f aca="false">IF(AH628="","",IF(SUMPRODUCT(MAX((IND_PER&lt;=B628)*(IND_UF&lt;&gt;"")*IND_PER))=0,UF_HOY,INDEX(IND_UF,MATCH(SUMPRODUCT(MAX((IND_PER&lt;=B628)*(IND_UF&lt;&gt;"")*IND_PER)),IND_PER,0))))</f>
        <v/>
      </c>
      <c r="AK628" s="87" t="str">
        <f aca="false">IF(AH628="","",IF(COUNTIF(TASA_DESDE,"&lt;="&amp;B628)=0,INDEX(TASA_EMP,1),INDEX(TASA_EMP,COUNTIF(TASA_DESDE,"&lt;="&amp;B628))))</f>
        <v/>
      </c>
    </row>
    <row r="629" customFormat="false" ht="15" hidden="false" customHeight="false" outlineLevel="0" collapsed="false">
      <c r="B629" s="78"/>
      <c r="C629" s="64"/>
      <c r="D629" s="72" t="str">
        <f aca="false">IF(C629="","",IFERROR(INDEX(T_NOMBRE,MATCH(C629,T_ID,0)),"⚠ ID no existe"))</f>
        <v/>
      </c>
      <c r="E629" s="69"/>
      <c r="F629" s="67"/>
      <c r="G629" s="67"/>
      <c r="H629" s="67"/>
      <c r="I629" s="67"/>
      <c r="J629" s="67"/>
      <c r="K629" s="85" t="str">
        <f aca="false">IF(AH629="","",N(F629)+N(G629)+N(H629)-N(I629)+N(J629))</f>
        <v/>
      </c>
      <c r="L629" s="67"/>
      <c r="M629" s="67"/>
      <c r="N629" s="67"/>
      <c r="O629" s="67"/>
      <c r="P629" s="85" t="str">
        <f aca="false">IF(AH629="","",K629+N(L629)+N(M629)+N(N629)+N(O629))</f>
        <v/>
      </c>
      <c r="Q629" s="67"/>
      <c r="R629" s="67"/>
      <c r="S629" s="67"/>
      <c r="T629" s="67"/>
      <c r="U629" s="67"/>
      <c r="V629" s="67"/>
      <c r="W629" s="85" t="str">
        <f aca="false">IF(AH629="","",N(Q629)+N(R629)+N(S629)+N(T629)+N(U629)+N(V629))</f>
        <v/>
      </c>
      <c r="X629" s="85" t="str">
        <f aca="false">IF(AH629="","",P629-W629)</f>
        <v/>
      </c>
      <c r="Y629" s="67"/>
      <c r="Z629" s="70" t="str">
        <f aca="false">IF(OR(AH629="",Y629=""),"",IF(ABS(X629-Y629)&lt;=1,"✓ Cuadra","⚠ Diferencia $"&amp;FIXED(X629-Y629,0)))</f>
        <v/>
      </c>
      <c r="AA629" s="72" t="str">
        <f aca="false">IF(AH629="","",IFERROR(INDEX(C_TIPO,MATCH(C629&amp;"-P"&amp;MAX(1,COUNTIFS(C_ID,C629,C_DEFINE,"Sí",C_INICIO,"&lt;="&amp;EOMONTH(B629,0))),C_CLAVE,0))&amp;"","Sin dato"))</f>
        <v/>
      </c>
      <c r="AB629" s="71" t="str">
        <f aca="false">IF(AH629="","",ROUND(MIN(K629,TOPE_AFP_UF*AJ629)*AK629,0))</f>
        <v/>
      </c>
      <c r="AC629" s="71" t="str">
        <f aca="false">IF(AH629="","",ROUND(MIN(K629,TOPE_AFC_UF*AJ629)*IF(AA629="Indefinido",AFC_EMP_INDEF,AFC_EMP_PF),0))</f>
        <v/>
      </c>
      <c r="AD629" s="71" t="str">
        <f aca="false">IF(AH629="","",ROUND(MIN(K629,TOPE_AFP_UF*AJ629)*(MUTUAL_BASICA+MUTUAL_ADIC+SANNA),0))</f>
        <v/>
      </c>
      <c r="AE629" s="71" t="str">
        <f aca="false">IF(AH629="","",P629-N(N629)+AB629+AC629+AD629)</f>
        <v/>
      </c>
      <c r="AF629" s="65"/>
      <c r="AG629" s="64"/>
      <c r="AH629" s="72" t="str">
        <f aca="false">IF(OR(B629="",C629=""),"",C629&amp;"|"&amp;(YEAR(B629)*100+MONTH(B629)))</f>
        <v/>
      </c>
      <c r="AI629" s="70" t="str">
        <f aca="false">IF(AH629="","",IF(COUNTIF(L_CLAVE,AH629)&gt;1,"⚠ Duplicado","OK"))</f>
        <v/>
      </c>
      <c r="AJ629" s="86" t="str">
        <f aca="false">IF(AH629="","",IF(SUMPRODUCT(MAX((IND_PER&lt;=B629)*(IND_UF&lt;&gt;"")*IND_PER))=0,UF_HOY,INDEX(IND_UF,MATCH(SUMPRODUCT(MAX((IND_PER&lt;=B629)*(IND_UF&lt;&gt;"")*IND_PER)),IND_PER,0))))</f>
        <v/>
      </c>
      <c r="AK629" s="87" t="str">
        <f aca="false">IF(AH629="","",IF(COUNTIF(TASA_DESDE,"&lt;="&amp;B629)=0,INDEX(TASA_EMP,1),INDEX(TASA_EMP,COUNTIF(TASA_DESDE,"&lt;="&amp;B629))))</f>
        <v/>
      </c>
    </row>
    <row r="630" customFormat="false" ht="15" hidden="false" customHeight="false" outlineLevel="0" collapsed="false">
      <c r="B630" s="78"/>
      <c r="C630" s="64"/>
      <c r="D630" s="72" t="str">
        <f aca="false">IF(C630="","",IFERROR(INDEX(T_NOMBRE,MATCH(C630,T_ID,0)),"⚠ ID no existe"))</f>
        <v/>
      </c>
      <c r="E630" s="69"/>
      <c r="F630" s="67"/>
      <c r="G630" s="67"/>
      <c r="H630" s="67"/>
      <c r="I630" s="67"/>
      <c r="J630" s="67"/>
      <c r="K630" s="85" t="str">
        <f aca="false">IF(AH630="","",N(F630)+N(G630)+N(H630)-N(I630)+N(J630))</f>
        <v/>
      </c>
      <c r="L630" s="67"/>
      <c r="M630" s="67"/>
      <c r="N630" s="67"/>
      <c r="O630" s="67"/>
      <c r="P630" s="85" t="str">
        <f aca="false">IF(AH630="","",K630+N(L630)+N(M630)+N(N630)+N(O630))</f>
        <v/>
      </c>
      <c r="Q630" s="67"/>
      <c r="R630" s="67"/>
      <c r="S630" s="67"/>
      <c r="T630" s="67"/>
      <c r="U630" s="67"/>
      <c r="V630" s="67"/>
      <c r="W630" s="85" t="str">
        <f aca="false">IF(AH630="","",N(Q630)+N(R630)+N(S630)+N(T630)+N(U630)+N(V630))</f>
        <v/>
      </c>
      <c r="X630" s="85" t="str">
        <f aca="false">IF(AH630="","",P630-W630)</f>
        <v/>
      </c>
      <c r="Y630" s="67"/>
      <c r="Z630" s="70" t="str">
        <f aca="false">IF(OR(AH630="",Y630=""),"",IF(ABS(X630-Y630)&lt;=1,"✓ Cuadra","⚠ Diferencia $"&amp;FIXED(X630-Y630,0)))</f>
        <v/>
      </c>
      <c r="AA630" s="72" t="str">
        <f aca="false">IF(AH630="","",IFERROR(INDEX(C_TIPO,MATCH(C630&amp;"-P"&amp;MAX(1,COUNTIFS(C_ID,C630,C_DEFINE,"Sí",C_INICIO,"&lt;="&amp;EOMONTH(B630,0))),C_CLAVE,0))&amp;"","Sin dato"))</f>
        <v/>
      </c>
      <c r="AB630" s="71" t="str">
        <f aca="false">IF(AH630="","",ROUND(MIN(K630,TOPE_AFP_UF*AJ630)*AK630,0))</f>
        <v/>
      </c>
      <c r="AC630" s="71" t="str">
        <f aca="false">IF(AH630="","",ROUND(MIN(K630,TOPE_AFC_UF*AJ630)*IF(AA630="Indefinido",AFC_EMP_INDEF,AFC_EMP_PF),0))</f>
        <v/>
      </c>
      <c r="AD630" s="71" t="str">
        <f aca="false">IF(AH630="","",ROUND(MIN(K630,TOPE_AFP_UF*AJ630)*(MUTUAL_BASICA+MUTUAL_ADIC+SANNA),0))</f>
        <v/>
      </c>
      <c r="AE630" s="71" t="str">
        <f aca="false">IF(AH630="","",P630-N(N630)+AB630+AC630+AD630)</f>
        <v/>
      </c>
      <c r="AF630" s="65"/>
      <c r="AG630" s="64"/>
      <c r="AH630" s="72" t="str">
        <f aca="false">IF(OR(B630="",C630=""),"",C630&amp;"|"&amp;(YEAR(B630)*100+MONTH(B630)))</f>
        <v/>
      </c>
      <c r="AI630" s="70" t="str">
        <f aca="false">IF(AH630="","",IF(COUNTIF(L_CLAVE,AH630)&gt;1,"⚠ Duplicado","OK"))</f>
        <v/>
      </c>
      <c r="AJ630" s="86" t="str">
        <f aca="false">IF(AH630="","",IF(SUMPRODUCT(MAX((IND_PER&lt;=B630)*(IND_UF&lt;&gt;"")*IND_PER))=0,UF_HOY,INDEX(IND_UF,MATCH(SUMPRODUCT(MAX((IND_PER&lt;=B630)*(IND_UF&lt;&gt;"")*IND_PER)),IND_PER,0))))</f>
        <v/>
      </c>
      <c r="AK630" s="87" t="str">
        <f aca="false">IF(AH630="","",IF(COUNTIF(TASA_DESDE,"&lt;="&amp;B630)=0,INDEX(TASA_EMP,1),INDEX(TASA_EMP,COUNTIF(TASA_DESDE,"&lt;="&amp;B630))))</f>
        <v/>
      </c>
    </row>
    <row r="631" customFormat="false" ht="15" hidden="false" customHeight="false" outlineLevel="0" collapsed="false">
      <c r="B631" s="78"/>
      <c r="C631" s="64"/>
      <c r="D631" s="72" t="str">
        <f aca="false">IF(C631="","",IFERROR(INDEX(T_NOMBRE,MATCH(C631,T_ID,0)),"⚠ ID no existe"))</f>
        <v/>
      </c>
      <c r="E631" s="69"/>
      <c r="F631" s="67"/>
      <c r="G631" s="67"/>
      <c r="H631" s="67"/>
      <c r="I631" s="67"/>
      <c r="J631" s="67"/>
      <c r="K631" s="85" t="str">
        <f aca="false">IF(AH631="","",N(F631)+N(G631)+N(H631)-N(I631)+N(J631))</f>
        <v/>
      </c>
      <c r="L631" s="67"/>
      <c r="M631" s="67"/>
      <c r="N631" s="67"/>
      <c r="O631" s="67"/>
      <c r="P631" s="85" t="str">
        <f aca="false">IF(AH631="","",K631+N(L631)+N(M631)+N(N631)+N(O631))</f>
        <v/>
      </c>
      <c r="Q631" s="67"/>
      <c r="R631" s="67"/>
      <c r="S631" s="67"/>
      <c r="T631" s="67"/>
      <c r="U631" s="67"/>
      <c r="V631" s="67"/>
      <c r="W631" s="85" t="str">
        <f aca="false">IF(AH631="","",N(Q631)+N(R631)+N(S631)+N(T631)+N(U631)+N(V631))</f>
        <v/>
      </c>
      <c r="X631" s="85" t="str">
        <f aca="false">IF(AH631="","",P631-W631)</f>
        <v/>
      </c>
      <c r="Y631" s="67"/>
      <c r="Z631" s="70" t="str">
        <f aca="false">IF(OR(AH631="",Y631=""),"",IF(ABS(X631-Y631)&lt;=1,"✓ Cuadra","⚠ Diferencia $"&amp;FIXED(X631-Y631,0)))</f>
        <v/>
      </c>
      <c r="AA631" s="72" t="str">
        <f aca="false">IF(AH631="","",IFERROR(INDEX(C_TIPO,MATCH(C631&amp;"-P"&amp;MAX(1,COUNTIFS(C_ID,C631,C_DEFINE,"Sí",C_INICIO,"&lt;="&amp;EOMONTH(B631,0))),C_CLAVE,0))&amp;"","Sin dato"))</f>
        <v/>
      </c>
      <c r="AB631" s="71" t="str">
        <f aca="false">IF(AH631="","",ROUND(MIN(K631,TOPE_AFP_UF*AJ631)*AK631,0))</f>
        <v/>
      </c>
      <c r="AC631" s="71" t="str">
        <f aca="false">IF(AH631="","",ROUND(MIN(K631,TOPE_AFC_UF*AJ631)*IF(AA631="Indefinido",AFC_EMP_INDEF,AFC_EMP_PF),0))</f>
        <v/>
      </c>
      <c r="AD631" s="71" t="str">
        <f aca="false">IF(AH631="","",ROUND(MIN(K631,TOPE_AFP_UF*AJ631)*(MUTUAL_BASICA+MUTUAL_ADIC+SANNA),0))</f>
        <v/>
      </c>
      <c r="AE631" s="71" t="str">
        <f aca="false">IF(AH631="","",P631-N(N631)+AB631+AC631+AD631)</f>
        <v/>
      </c>
      <c r="AF631" s="65"/>
      <c r="AG631" s="64"/>
      <c r="AH631" s="72" t="str">
        <f aca="false">IF(OR(B631="",C631=""),"",C631&amp;"|"&amp;(YEAR(B631)*100+MONTH(B631)))</f>
        <v/>
      </c>
      <c r="AI631" s="70" t="str">
        <f aca="false">IF(AH631="","",IF(COUNTIF(L_CLAVE,AH631)&gt;1,"⚠ Duplicado","OK"))</f>
        <v/>
      </c>
      <c r="AJ631" s="86" t="str">
        <f aca="false">IF(AH631="","",IF(SUMPRODUCT(MAX((IND_PER&lt;=B631)*(IND_UF&lt;&gt;"")*IND_PER))=0,UF_HOY,INDEX(IND_UF,MATCH(SUMPRODUCT(MAX((IND_PER&lt;=B631)*(IND_UF&lt;&gt;"")*IND_PER)),IND_PER,0))))</f>
        <v/>
      </c>
      <c r="AK631" s="87" t="str">
        <f aca="false">IF(AH631="","",IF(COUNTIF(TASA_DESDE,"&lt;="&amp;B631)=0,INDEX(TASA_EMP,1),INDEX(TASA_EMP,COUNTIF(TASA_DESDE,"&lt;="&amp;B631))))</f>
        <v/>
      </c>
    </row>
    <row r="632" customFormat="false" ht="15" hidden="false" customHeight="false" outlineLevel="0" collapsed="false">
      <c r="B632" s="78"/>
      <c r="C632" s="64"/>
      <c r="D632" s="72" t="str">
        <f aca="false">IF(C632="","",IFERROR(INDEX(T_NOMBRE,MATCH(C632,T_ID,0)),"⚠ ID no existe"))</f>
        <v/>
      </c>
      <c r="E632" s="69"/>
      <c r="F632" s="67"/>
      <c r="G632" s="67"/>
      <c r="H632" s="67"/>
      <c r="I632" s="67"/>
      <c r="J632" s="67"/>
      <c r="K632" s="85" t="str">
        <f aca="false">IF(AH632="","",N(F632)+N(G632)+N(H632)-N(I632)+N(J632))</f>
        <v/>
      </c>
      <c r="L632" s="67"/>
      <c r="M632" s="67"/>
      <c r="N632" s="67"/>
      <c r="O632" s="67"/>
      <c r="P632" s="85" t="str">
        <f aca="false">IF(AH632="","",K632+N(L632)+N(M632)+N(N632)+N(O632))</f>
        <v/>
      </c>
      <c r="Q632" s="67"/>
      <c r="R632" s="67"/>
      <c r="S632" s="67"/>
      <c r="T632" s="67"/>
      <c r="U632" s="67"/>
      <c r="V632" s="67"/>
      <c r="W632" s="85" t="str">
        <f aca="false">IF(AH632="","",N(Q632)+N(R632)+N(S632)+N(T632)+N(U632)+N(V632))</f>
        <v/>
      </c>
      <c r="X632" s="85" t="str">
        <f aca="false">IF(AH632="","",P632-W632)</f>
        <v/>
      </c>
      <c r="Y632" s="67"/>
      <c r="Z632" s="70" t="str">
        <f aca="false">IF(OR(AH632="",Y632=""),"",IF(ABS(X632-Y632)&lt;=1,"✓ Cuadra","⚠ Diferencia $"&amp;FIXED(X632-Y632,0)))</f>
        <v/>
      </c>
      <c r="AA632" s="72" t="str">
        <f aca="false">IF(AH632="","",IFERROR(INDEX(C_TIPO,MATCH(C632&amp;"-P"&amp;MAX(1,COUNTIFS(C_ID,C632,C_DEFINE,"Sí",C_INICIO,"&lt;="&amp;EOMONTH(B632,0))),C_CLAVE,0))&amp;"","Sin dato"))</f>
        <v/>
      </c>
      <c r="AB632" s="71" t="str">
        <f aca="false">IF(AH632="","",ROUND(MIN(K632,TOPE_AFP_UF*AJ632)*AK632,0))</f>
        <v/>
      </c>
      <c r="AC632" s="71" t="str">
        <f aca="false">IF(AH632="","",ROUND(MIN(K632,TOPE_AFC_UF*AJ632)*IF(AA632="Indefinido",AFC_EMP_INDEF,AFC_EMP_PF),0))</f>
        <v/>
      </c>
      <c r="AD632" s="71" t="str">
        <f aca="false">IF(AH632="","",ROUND(MIN(K632,TOPE_AFP_UF*AJ632)*(MUTUAL_BASICA+MUTUAL_ADIC+SANNA),0))</f>
        <v/>
      </c>
      <c r="AE632" s="71" t="str">
        <f aca="false">IF(AH632="","",P632-N(N632)+AB632+AC632+AD632)</f>
        <v/>
      </c>
      <c r="AF632" s="65"/>
      <c r="AG632" s="64"/>
      <c r="AH632" s="72" t="str">
        <f aca="false">IF(OR(B632="",C632=""),"",C632&amp;"|"&amp;(YEAR(B632)*100+MONTH(B632)))</f>
        <v/>
      </c>
      <c r="AI632" s="70" t="str">
        <f aca="false">IF(AH632="","",IF(COUNTIF(L_CLAVE,AH632)&gt;1,"⚠ Duplicado","OK"))</f>
        <v/>
      </c>
      <c r="AJ632" s="86" t="str">
        <f aca="false">IF(AH632="","",IF(SUMPRODUCT(MAX((IND_PER&lt;=B632)*(IND_UF&lt;&gt;"")*IND_PER))=0,UF_HOY,INDEX(IND_UF,MATCH(SUMPRODUCT(MAX((IND_PER&lt;=B632)*(IND_UF&lt;&gt;"")*IND_PER)),IND_PER,0))))</f>
        <v/>
      </c>
      <c r="AK632" s="87" t="str">
        <f aca="false">IF(AH632="","",IF(COUNTIF(TASA_DESDE,"&lt;="&amp;B632)=0,INDEX(TASA_EMP,1),INDEX(TASA_EMP,COUNTIF(TASA_DESDE,"&lt;="&amp;B632))))</f>
        <v/>
      </c>
    </row>
    <row r="633" customFormat="false" ht="15" hidden="false" customHeight="false" outlineLevel="0" collapsed="false">
      <c r="B633" s="78"/>
      <c r="C633" s="64"/>
      <c r="D633" s="72" t="str">
        <f aca="false">IF(C633="","",IFERROR(INDEX(T_NOMBRE,MATCH(C633,T_ID,0)),"⚠ ID no existe"))</f>
        <v/>
      </c>
      <c r="E633" s="69"/>
      <c r="F633" s="67"/>
      <c r="G633" s="67"/>
      <c r="H633" s="67"/>
      <c r="I633" s="67"/>
      <c r="J633" s="67"/>
      <c r="K633" s="85" t="str">
        <f aca="false">IF(AH633="","",N(F633)+N(G633)+N(H633)-N(I633)+N(J633))</f>
        <v/>
      </c>
      <c r="L633" s="67"/>
      <c r="M633" s="67"/>
      <c r="N633" s="67"/>
      <c r="O633" s="67"/>
      <c r="P633" s="85" t="str">
        <f aca="false">IF(AH633="","",K633+N(L633)+N(M633)+N(N633)+N(O633))</f>
        <v/>
      </c>
      <c r="Q633" s="67"/>
      <c r="R633" s="67"/>
      <c r="S633" s="67"/>
      <c r="T633" s="67"/>
      <c r="U633" s="67"/>
      <c r="V633" s="67"/>
      <c r="W633" s="85" t="str">
        <f aca="false">IF(AH633="","",N(Q633)+N(R633)+N(S633)+N(T633)+N(U633)+N(V633))</f>
        <v/>
      </c>
      <c r="X633" s="85" t="str">
        <f aca="false">IF(AH633="","",P633-W633)</f>
        <v/>
      </c>
      <c r="Y633" s="67"/>
      <c r="Z633" s="70" t="str">
        <f aca="false">IF(OR(AH633="",Y633=""),"",IF(ABS(X633-Y633)&lt;=1,"✓ Cuadra","⚠ Diferencia $"&amp;FIXED(X633-Y633,0)))</f>
        <v/>
      </c>
      <c r="AA633" s="72" t="str">
        <f aca="false">IF(AH633="","",IFERROR(INDEX(C_TIPO,MATCH(C633&amp;"-P"&amp;MAX(1,COUNTIFS(C_ID,C633,C_DEFINE,"Sí",C_INICIO,"&lt;="&amp;EOMONTH(B633,0))),C_CLAVE,0))&amp;"","Sin dato"))</f>
        <v/>
      </c>
      <c r="AB633" s="71" t="str">
        <f aca="false">IF(AH633="","",ROUND(MIN(K633,TOPE_AFP_UF*AJ633)*AK633,0))</f>
        <v/>
      </c>
      <c r="AC633" s="71" t="str">
        <f aca="false">IF(AH633="","",ROUND(MIN(K633,TOPE_AFC_UF*AJ633)*IF(AA633="Indefinido",AFC_EMP_INDEF,AFC_EMP_PF),0))</f>
        <v/>
      </c>
      <c r="AD633" s="71" t="str">
        <f aca="false">IF(AH633="","",ROUND(MIN(K633,TOPE_AFP_UF*AJ633)*(MUTUAL_BASICA+MUTUAL_ADIC+SANNA),0))</f>
        <v/>
      </c>
      <c r="AE633" s="71" t="str">
        <f aca="false">IF(AH633="","",P633-N(N633)+AB633+AC633+AD633)</f>
        <v/>
      </c>
      <c r="AF633" s="65"/>
      <c r="AG633" s="64"/>
      <c r="AH633" s="72" t="str">
        <f aca="false">IF(OR(B633="",C633=""),"",C633&amp;"|"&amp;(YEAR(B633)*100+MONTH(B633)))</f>
        <v/>
      </c>
      <c r="AI633" s="70" t="str">
        <f aca="false">IF(AH633="","",IF(COUNTIF(L_CLAVE,AH633)&gt;1,"⚠ Duplicado","OK"))</f>
        <v/>
      </c>
      <c r="AJ633" s="86" t="str">
        <f aca="false">IF(AH633="","",IF(SUMPRODUCT(MAX((IND_PER&lt;=B633)*(IND_UF&lt;&gt;"")*IND_PER))=0,UF_HOY,INDEX(IND_UF,MATCH(SUMPRODUCT(MAX((IND_PER&lt;=B633)*(IND_UF&lt;&gt;"")*IND_PER)),IND_PER,0))))</f>
        <v/>
      </c>
      <c r="AK633" s="87" t="str">
        <f aca="false">IF(AH633="","",IF(COUNTIF(TASA_DESDE,"&lt;="&amp;B633)=0,INDEX(TASA_EMP,1),INDEX(TASA_EMP,COUNTIF(TASA_DESDE,"&lt;="&amp;B633))))</f>
        <v/>
      </c>
    </row>
    <row r="634" customFormat="false" ht="15" hidden="false" customHeight="false" outlineLevel="0" collapsed="false">
      <c r="B634" s="78"/>
      <c r="C634" s="64"/>
      <c r="D634" s="72" t="str">
        <f aca="false">IF(C634="","",IFERROR(INDEX(T_NOMBRE,MATCH(C634,T_ID,0)),"⚠ ID no existe"))</f>
        <v/>
      </c>
      <c r="E634" s="69"/>
      <c r="F634" s="67"/>
      <c r="G634" s="67"/>
      <c r="H634" s="67"/>
      <c r="I634" s="67"/>
      <c r="J634" s="67"/>
      <c r="K634" s="85" t="str">
        <f aca="false">IF(AH634="","",N(F634)+N(G634)+N(H634)-N(I634)+N(J634))</f>
        <v/>
      </c>
      <c r="L634" s="67"/>
      <c r="M634" s="67"/>
      <c r="N634" s="67"/>
      <c r="O634" s="67"/>
      <c r="P634" s="85" t="str">
        <f aca="false">IF(AH634="","",K634+N(L634)+N(M634)+N(N634)+N(O634))</f>
        <v/>
      </c>
      <c r="Q634" s="67"/>
      <c r="R634" s="67"/>
      <c r="S634" s="67"/>
      <c r="T634" s="67"/>
      <c r="U634" s="67"/>
      <c r="V634" s="67"/>
      <c r="W634" s="85" t="str">
        <f aca="false">IF(AH634="","",N(Q634)+N(R634)+N(S634)+N(T634)+N(U634)+N(V634))</f>
        <v/>
      </c>
      <c r="X634" s="85" t="str">
        <f aca="false">IF(AH634="","",P634-W634)</f>
        <v/>
      </c>
      <c r="Y634" s="67"/>
      <c r="Z634" s="70" t="str">
        <f aca="false">IF(OR(AH634="",Y634=""),"",IF(ABS(X634-Y634)&lt;=1,"✓ Cuadra","⚠ Diferencia $"&amp;FIXED(X634-Y634,0)))</f>
        <v/>
      </c>
      <c r="AA634" s="72" t="str">
        <f aca="false">IF(AH634="","",IFERROR(INDEX(C_TIPO,MATCH(C634&amp;"-P"&amp;MAX(1,COUNTIFS(C_ID,C634,C_DEFINE,"Sí",C_INICIO,"&lt;="&amp;EOMONTH(B634,0))),C_CLAVE,0))&amp;"","Sin dato"))</f>
        <v/>
      </c>
      <c r="AB634" s="71" t="str">
        <f aca="false">IF(AH634="","",ROUND(MIN(K634,TOPE_AFP_UF*AJ634)*AK634,0))</f>
        <v/>
      </c>
      <c r="AC634" s="71" t="str">
        <f aca="false">IF(AH634="","",ROUND(MIN(K634,TOPE_AFC_UF*AJ634)*IF(AA634="Indefinido",AFC_EMP_INDEF,AFC_EMP_PF),0))</f>
        <v/>
      </c>
      <c r="AD634" s="71" t="str">
        <f aca="false">IF(AH634="","",ROUND(MIN(K634,TOPE_AFP_UF*AJ634)*(MUTUAL_BASICA+MUTUAL_ADIC+SANNA),0))</f>
        <v/>
      </c>
      <c r="AE634" s="71" t="str">
        <f aca="false">IF(AH634="","",P634-N(N634)+AB634+AC634+AD634)</f>
        <v/>
      </c>
      <c r="AF634" s="65"/>
      <c r="AG634" s="64"/>
      <c r="AH634" s="72" t="str">
        <f aca="false">IF(OR(B634="",C634=""),"",C634&amp;"|"&amp;(YEAR(B634)*100+MONTH(B634)))</f>
        <v/>
      </c>
      <c r="AI634" s="70" t="str">
        <f aca="false">IF(AH634="","",IF(COUNTIF(L_CLAVE,AH634)&gt;1,"⚠ Duplicado","OK"))</f>
        <v/>
      </c>
      <c r="AJ634" s="86" t="str">
        <f aca="false">IF(AH634="","",IF(SUMPRODUCT(MAX((IND_PER&lt;=B634)*(IND_UF&lt;&gt;"")*IND_PER))=0,UF_HOY,INDEX(IND_UF,MATCH(SUMPRODUCT(MAX((IND_PER&lt;=B634)*(IND_UF&lt;&gt;"")*IND_PER)),IND_PER,0))))</f>
        <v/>
      </c>
      <c r="AK634" s="87" t="str">
        <f aca="false">IF(AH634="","",IF(COUNTIF(TASA_DESDE,"&lt;="&amp;B634)=0,INDEX(TASA_EMP,1),INDEX(TASA_EMP,COUNTIF(TASA_DESDE,"&lt;="&amp;B634))))</f>
        <v/>
      </c>
    </row>
    <row r="635" customFormat="false" ht="15" hidden="false" customHeight="false" outlineLevel="0" collapsed="false">
      <c r="B635" s="78"/>
      <c r="C635" s="64"/>
      <c r="D635" s="72" t="str">
        <f aca="false">IF(C635="","",IFERROR(INDEX(T_NOMBRE,MATCH(C635,T_ID,0)),"⚠ ID no existe"))</f>
        <v/>
      </c>
      <c r="E635" s="69"/>
      <c r="F635" s="67"/>
      <c r="G635" s="67"/>
      <c r="H635" s="67"/>
      <c r="I635" s="67"/>
      <c r="J635" s="67"/>
      <c r="K635" s="85" t="str">
        <f aca="false">IF(AH635="","",N(F635)+N(G635)+N(H635)-N(I635)+N(J635))</f>
        <v/>
      </c>
      <c r="L635" s="67"/>
      <c r="M635" s="67"/>
      <c r="N635" s="67"/>
      <c r="O635" s="67"/>
      <c r="P635" s="85" t="str">
        <f aca="false">IF(AH635="","",K635+N(L635)+N(M635)+N(N635)+N(O635))</f>
        <v/>
      </c>
      <c r="Q635" s="67"/>
      <c r="R635" s="67"/>
      <c r="S635" s="67"/>
      <c r="T635" s="67"/>
      <c r="U635" s="67"/>
      <c r="V635" s="67"/>
      <c r="W635" s="85" t="str">
        <f aca="false">IF(AH635="","",N(Q635)+N(R635)+N(S635)+N(T635)+N(U635)+N(V635))</f>
        <v/>
      </c>
      <c r="X635" s="85" t="str">
        <f aca="false">IF(AH635="","",P635-W635)</f>
        <v/>
      </c>
      <c r="Y635" s="67"/>
      <c r="Z635" s="70" t="str">
        <f aca="false">IF(OR(AH635="",Y635=""),"",IF(ABS(X635-Y635)&lt;=1,"✓ Cuadra","⚠ Diferencia $"&amp;FIXED(X635-Y635,0)))</f>
        <v/>
      </c>
      <c r="AA635" s="72" t="str">
        <f aca="false">IF(AH635="","",IFERROR(INDEX(C_TIPO,MATCH(C635&amp;"-P"&amp;MAX(1,COUNTIFS(C_ID,C635,C_DEFINE,"Sí",C_INICIO,"&lt;="&amp;EOMONTH(B635,0))),C_CLAVE,0))&amp;"","Sin dato"))</f>
        <v/>
      </c>
      <c r="AB635" s="71" t="str">
        <f aca="false">IF(AH635="","",ROUND(MIN(K635,TOPE_AFP_UF*AJ635)*AK635,0))</f>
        <v/>
      </c>
      <c r="AC635" s="71" t="str">
        <f aca="false">IF(AH635="","",ROUND(MIN(K635,TOPE_AFC_UF*AJ635)*IF(AA635="Indefinido",AFC_EMP_INDEF,AFC_EMP_PF),0))</f>
        <v/>
      </c>
      <c r="AD635" s="71" t="str">
        <f aca="false">IF(AH635="","",ROUND(MIN(K635,TOPE_AFP_UF*AJ635)*(MUTUAL_BASICA+MUTUAL_ADIC+SANNA),0))</f>
        <v/>
      </c>
      <c r="AE635" s="71" t="str">
        <f aca="false">IF(AH635="","",P635-N(N635)+AB635+AC635+AD635)</f>
        <v/>
      </c>
      <c r="AF635" s="65"/>
      <c r="AG635" s="64"/>
      <c r="AH635" s="72" t="str">
        <f aca="false">IF(OR(B635="",C635=""),"",C635&amp;"|"&amp;(YEAR(B635)*100+MONTH(B635)))</f>
        <v/>
      </c>
      <c r="AI635" s="70" t="str">
        <f aca="false">IF(AH635="","",IF(COUNTIF(L_CLAVE,AH635)&gt;1,"⚠ Duplicado","OK"))</f>
        <v/>
      </c>
      <c r="AJ635" s="86" t="str">
        <f aca="false">IF(AH635="","",IF(SUMPRODUCT(MAX((IND_PER&lt;=B635)*(IND_UF&lt;&gt;"")*IND_PER))=0,UF_HOY,INDEX(IND_UF,MATCH(SUMPRODUCT(MAX((IND_PER&lt;=B635)*(IND_UF&lt;&gt;"")*IND_PER)),IND_PER,0))))</f>
        <v/>
      </c>
      <c r="AK635" s="87" t="str">
        <f aca="false">IF(AH635="","",IF(COUNTIF(TASA_DESDE,"&lt;="&amp;B635)=0,INDEX(TASA_EMP,1),INDEX(TASA_EMP,COUNTIF(TASA_DESDE,"&lt;="&amp;B635))))</f>
        <v/>
      </c>
    </row>
    <row r="636" customFormat="false" ht="15" hidden="false" customHeight="false" outlineLevel="0" collapsed="false">
      <c r="B636" s="78"/>
      <c r="C636" s="64"/>
      <c r="D636" s="72" t="str">
        <f aca="false">IF(C636="","",IFERROR(INDEX(T_NOMBRE,MATCH(C636,T_ID,0)),"⚠ ID no existe"))</f>
        <v/>
      </c>
      <c r="E636" s="69"/>
      <c r="F636" s="67"/>
      <c r="G636" s="67"/>
      <c r="H636" s="67"/>
      <c r="I636" s="67"/>
      <c r="J636" s="67"/>
      <c r="K636" s="85" t="str">
        <f aca="false">IF(AH636="","",N(F636)+N(G636)+N(H636)-N(I636)+N(J636))</f>
        <v/>
      </c>
      <c r="L636" s="67"/>
      <c r="M636" s="67"/>
      <c r="N636" s="67"/>
      <c r="O636" s="67"/>
      <c r="P636" s="85" t="str">
        <f aca="false">IF(AH636="","",K636+N(L636)+N(M636)+N(N636)+N(O636))</f>
        <v/>
      </c>
      <c r="Q636" s="67"/>
      <c r="R636" s="67"/>
      <c r="S636" s="67"/>
      <c r="T636" s="67"/>
      <c r="U636" s="67"/>
      <c r="V636" s="67"/>
      <c r="W636" s="85" t="str">
        <f aca="false">IF(AH636="","",N(Q636)+N(R636)+N(S636)+N(T636)+N(U636)+N(V636))</f>
        <v/>
      </c>
      <c r="X636" s="85" t="str">
        <f aca="false">IF(AH636="","",P636-W636)</f>
        <v/>
      </c>
      <c r="Y636" s="67"/>
      <c r="Z636" s="70" t="str">
        <f aca="false">IF(OR(AH636="",Y636=""),"",IF(ABS(X636-Y636)&lt;=1,"✓ Cuadra","⚠ Diferencia $"&amp;FIXED(X636-Y636,0)))</f>
        <v/>
      </c>
      <c r="AA636" s="72" t="str">
        <f aca="false">IF(AH636="","",IFERROR(INDEX(C_TIPO,MATCH(C636&amp;"-P"&amp;MAX(1,COUNTIFS(C_ID,C636,C_DEFINE,"Sí",C_INICIO,"&lt;="&amp;EOMONTH(B636,0))),C_CLAVE,0))&amp;"","Sin dato"))</f>
        <v/>
      </c>
      <c r="AB636" s="71" t="str">
        <f aca="false">IF(AH636="","",ROUND(MIN(K636,TOPE_AFP_UF*AJ636)*AK636,0))</f>
        <v/>
      </c>
      <c r="AC636" s="71" t="str">
        <f aca="false">IF(AH636="","",ROUND(MIN(K636,TOPE_AFC_UF*AJ636)*IF(AA636="Indefinido",AFC_EMP_INDEF,AFC_EMP_PF),0))</f>
        <v/>
      </c>
      <c r="AD636" s="71" t="str">
        <f aca="false">IF(AH636="","",ROUND(MIN(K636,TOPE_AFP_UF*AJ636)*(MUTUAL_BASICA+MUTUAL_ADIC+SANNA),0))</f>
        <v/>
      </c>
      <c r="AE636" s="71" t="str">
        <f aca="false">IF(AH636="","",P636-N(N636)+AB636+AC636+AD636)</f>
        <v/>
      </c>
      <c r="AF636" s="65"/>
      <c r="AG636" s="64"/>
      <c r="AH636" s="72" t="str">
        <f aca="false">IF(OR(B636="",C636=""),"",C636&amp;"|"&amp;(YEAR(B636)*100+MONTH(B636)))</f>
        <v/>
      </c>
      <c r="AI636" s="70" t="str">
        <f aca="false">IF(AH636="","",IF(COUNTIF(L_CLAVE,AH636)&gt;1,"⚠ Duplicado","OK"))</f>
        <v/>
      </c>
      <c r="AJ636" s="86" t="str">
        <f aca="false">IF(AH636="","",IF(SUMPRODUCT(MAX((IND_PER&lt;=B636)*(IND_UF&lt;&gt;"")*IND_PER))=0,UF_HOY,INDEX(IND_UF,MATCH(SUMPRODUCT(MAX((IND_PER&lt;=B636)*(IND_UF&lt;&gt;"")*IND_PER)),IND_PER,0))))</f>
        <v/>
      </c>
      <c r="AK636" s="87" t="str">
        <f aca="false">IF(AH636="","",IF(COUNTIF(TASA_DESDE,"&lt;="&amp;B636)=0,INDEX(TASA_EMP,1),INDEX(TASA_EMP,COUNTIF(TASA_DESDE,"&lt;="&amp;B636))))</f>
        <v/>
      </c>
    </row>
    <row r="637" customFormat="false" ht="15" hidden="false" customHeight="false" outlineLevel="0" collapsed="false">
      <c r="B637" s="78"/>
      <c r="C637" s="64"/>
      <c r="D637" s="72" t="str">
        <f aca="false">IF(C637="","",IFERROR(INDEX(T_NOMBRE,MATCH(C637,T_ID,0)),"⚠ ID no existe"))</f>
        <v/>
      </c>
      <c r="E637" s="69"/>
      <c r="F637" s="67"/>
      <c r="G637" s="67"/>
      <c r="H637" s="67"/>
      <c r="I637" s="67"/>
      <c r="J637" s="67"/>
      <c r="K637" s="85" t="str">
        <f aca="false">IF(AH637="","",N(F637)+N(G637)+N(H637)-N(I637)+N(J637))</f>
        <v/>
      </c>
      <c r="L637" s="67"/>
      <c r="M637" s="67"/>
      <c r="N637" s="67"/>
      <c r="O637" s="67"/>
      <c r="P637" s="85" t="str">
        <f aca="false">IF(AH637="","",K637+N(L637)+N(M637)+N(N637)+N(O637))</f>
        <v/>
      </c>
      <c r="Q637" s="67"/>
      <c r="R637" s="67"/>
      <c r="S637" s="67"/>
      <c r="T637" s="67"/>
      <c r="U637" s="67"/>
      <c r="V637" s="67"/>
      <c r="W637" s="85" t="str">
        <f aca="false">IF(AH637="","",N(Q637)+N(R637)+N(S637)+N(T637)+N(U637)+N(V637))</f>
        <v/>
      </c>
      <c r="X637" s="85" t="str">
        <f aca="false">IF(AH637="","",P637-W637)</f>
        <v/>
      </c>
      <c r="Y637" s="67"/>
      <c r="Z637" s="70" t="str">
        <f aca="false">IF(OR(AH637="",Y637=""),"",IF(ABS(X637-Y637)&lt;=1,"✓ Cuadra","⚠ Diferencia $"&amp;FIXED(X637-Y637,0)))</f>
        <v/>
      </c>
      <c r="AA637" s="72" t="str">
        <f aca="false">IF(AH637="","",IFERROR(INDEX(C_TIPO,MATCH(C637&amp;"-P"&amp;MAX(1,COUNTIFS(C_ID,C637,C_DEFINE,"Sí",C_INICIO,"&lt;="&amp;EOMONTH(B637,0))),C_CLAVE,0))&amp;"","Sin dato"))</f>
        <v/>
      </c>
      <c r="AB637" s="71" t="str">
        <f aca="false">IF(AH637="","",ROUND(MIN(K637,TOPE_AFP_UF*AJ637)*AK637,0))</f>
        <v/>
      </c>
      <c r="AC637" s="71" t="str">
        <f aca="false">IF(AH637="","",ROUND(MIN(K637,TOPE_AFC_UF*AJ637)*IF(AA637="Indefinido",AFC_EMP_INDEF,AFC_EMP_PF),0))</f>
        <v/>
      </c>
      <c r="AD637" s="71" t="str">
        <f aca="false">IF(AH637="","",ROUND(MIN(K637,TOPE_AFP_UF*AJ637)*(MUTUAL_BASICA+MUTUAL_ADIC+SANNA),0))</f>
        <v/>
      </c>
      <c r="AE637" s="71" t="str">
        <f aca="false">IF(AH637="","",P637-N(N637)+AB637+AC637+AD637)</f>
        <v/>
      </c>
      <c r="AF637" s="65"/>
      <c r="AG637" s="64"/>
      <c r="AH637" s="72" t="str">
        <f aca="false">IF(OR(B637="",C637=""),"",C637&amp;"|"&amp;(YEAR(B637)*100+MONTH(B637)))</f>
        <v/>
      </c>
      <c r="AI637" s="70" t="str">
        <f aca="false">IF(AH637="","",IF(COUNTIF(L_CLAVE,AH637)&gt;1,"⚠ Duplicado","OK"))</f>
        <v/>
      </c>
      <c r="AJ637" s="86" t="str">
        <f aca="false">IF(AH637="","",IF(SUMPRODUCT(MAX((IND_PER&lt;=B637)*(IND_UF&lt;&gt;"")*IND_PER))=0,UF_HOY,INDEX(IND_UF,MATCH(SUMPRODUCT(MAX((IND_PER&lt;=B637)*(IND_UF&lt;&gt;"")*IND_PER)),IND_PER,0))))</f>
        <v/>
      </c>
      <c r="AK637" s="87" t="str">
        <f aca="false">IF(AH637="","",IF(COUNTIF(TASA_DESDE,"&lt;="&amp;B637)=0,INDEX(TASA_EMP,1),INDEX(TASA_EMP,COUNTIF(TASA_DESDE,"&lt;="&amp;B637))))</f>
        <v/>
      </c>
    </row>
    <row r="638" customFormat="false" ht="15" hidden="false" customHeight="false" outlineLevel="0" collapsed="false">
      <c r="B638" s="78"/>
      <c r="C638" s="64"/>
      <c r="D638" s="72" t="str">
        <f aca="false">IF(C638="","",IFERROR(INDEX(T_NOMBRE,MATCH(C638,T_ID,0)),"⚠ ID no existe"))</f>
        <v/>
      </c>
      <c r="E638" s="69"/>
      <c r="F638" s="67"/>
      <c r="G638" s="67"/>
      <c r="H638" s="67"/>
      <c r="I638" s="67"/>
      <c r="J638" s="67"/>
      <c r="K638" s="85" t="str">
        <f aca="false">IF(AH638="","",N(F638)+N(G638)+N(H638)-N(I638)+N(J638))</f>
        <v/>
      </c>
      <c r="L638" s="67"/>
      <c r="M638" s="67"/>
      <c r="N638" s="67"/>
      <c r="O638" s="67"/>
      <c r="P638" s="85" t="str">
        <f aca="false">IF(AH638="","",K638+N(L638)+N(M638)+N(N638)+N(O638))</f>
        <v/>
      </c>
      <c r="Q638" s="67"/>
      <c r="R638" s="67"/>
      <c r="S638" s="67"/>
      <c r="T638" s="67"/>
      <c r="U638" s="67"/>
      <c r="V638" s="67"/>
      <c r="W638" s="85" t="str">
        <f aca="false">IF(AH638="","",N(Q638)+N(R638)+N(S638)+N(T638)+N(U638)+N(V638))</f>
        <v/>
      </c>
      <c r="X638" s="85" t="str">
        <f aca="false">IF(AH638="","",P638-W638)</f>
        <v/>
      </c>
      <c r="Y638" s="67"/>
      <c r="Z638" s="70" t="str">
        <f aca="false">IF(OR(AH638="",Y638=""),"",IF(ABS(X638-Y638)&lt;=1,"✓ Cuadra","⚠ Diferencia $"&amp;FIXED(X638-Y638,0)))</f>
        <v/>
      </c>
      <c r="AA638" s="72" t="str">
        <f aca="false">IF(AH638="","",IFERROR(INDEX(C_TIPO,MATCH(C638&amp;"-P"&amp;MAX(1,COUNTIFS(C_ID,C638,C_DEFINE,"Sí",C_INICIO,"&lt;="&amp;EOMONTH(B638,0))),C_CLAVE,0))&amp;"","Sin dato"))</f>
        <v/>
      </c>
      <c r="AB638" s="71" t="str">
        <f aca="false">IF(AH638="","",ROUND(MIN(K638,TOPE_AFP_UF*AJ638)*AK638,0))</f>
        <v/>
      </c>
      <c r="AC638" s="71" t="str">
        <f aca="false">IF(AH638="","",ROUND(MIN(K638,TOPE_AFC_UF*AJ638)*IF(AA638="Indefinido",AFC_EMP_INDEF,AFC_EMP_PF),0))</f>
        <v/>
      </c>
      <c r="AD638" s="71" t="str">
        <f aca="false">IF(AH638="","",ROUND(MIN(K638,TOPE_AFP_UF*AJ638)*(MUTUAL_BASICA+MUTUAL_ADIC+SANNA),0))</f>
        <v/>
      </c>
      <c r="AE638" s="71" t="str">
        <f aca="false">IF(AH638="","",P638-N(N638)+AB638+AC638+AD638)</f>
        <v/>
      </c>
      <c r="AF638" s="65"/>
      <c r="AG638" s="64"/>
      <c r="AH638" s="72" t="str">
        <f aca="false">IF(OR(B638="",C638=""),"",C638&amp;"|"&amp;(YEAR(B638)*100+MONTH(B638)))</f>
        <v/>
      </c>
      <c r="AI638" s="70" t="str">
        <f aca="false">IF(AH638="","",IF(COUNTIF(L_CLAVE,AH638)&gt;1,"⚠ Duplicado","OK"))</f>
        <v/>
      </c>
      <c r="AJ638" s="86" t="str">
        <f aca="false">IF(AH638="","",IF(SUMPRODUCT(MAX((IND_PER&lt;=B638)*(IND_UF&lt;&gt;"")*IND_PER))=0,UF_HOY,INDEX(IND_UF,MATCH(SUMPRODUCT(MAX((IND_PER&lt;=B638)*(IND_UF&lt;&gt;"")*IND_PER)),IND_PER,0))))</f>
        <v/>
      </c>
      <c r="AK638" s="87" t="str">
        <f aca="false">IF(AH638="","",IF(COUNTIF(TASA_DESDE,"&lt;="&amp;B638)=0,INDEX(TASA_EMP,1),INDEX(TASA_EMP,COUNTIF(TASA_DESDE,"&lt;="&amp;B638))))</f>
        <v/>
      </c>
    </row>
    <row r="639" customFormat="false" ht="15" hidden="false" customHeight="false" outlineLevel="0" collapsed="false">
      <c r="B639" s="78"/>
      <c r="C639" s="64"/>
      <c r="D639" s="72" t="str">
        <f aca="false">IF(C639="","",IFERROR(INDEX(T_NOMBRE,MATCH(C639,T_ID,0)),"⚠ ID no existe"))</f>
        <v/>
      </c>
      <c r="E639" s="69"/>
      <c r="F639" s="67"/>
      <c r="G639" s="67"/>
      <c r="H639" s="67"/>
      <c r="I639" s="67"/>
      <c r="J639" s="67"/>
      <c r="K639" s="85" t="str">
        <f aca="false">IF(AH639="","",N(F639)+N(G639)+N(H639)-N(I639)+N(J639))</f>
        <v/>
      </c>
      <c r="L639" s="67"/>
      <c r="M639" s="67"/>
      <c r="N639" s="67"/>
      <c r="O639" s="67"/>
      <c r="P639" s="85" t="str">
        <f aca="false">IF(AH639="","",K639+N(L639)+N(M639)+N(N639)+N(O639))</f>
        <v/>
      </c>
      <c r="Q639" s="67"/>
      <c r="R639" s="67"/>
      <c r="S639" s="67"/>
      <c r="T639" s="67"/>
      <c r="U639" s="67"/>
      <c r="V639" s="67"/>
      <c r="W639" s="85" t="str">
        <f aca="false">IF(AH639="","",N(Q639)+N(R639)+N(S639)+N(T639)+N(U639)+N(V639))</f>
        <v/>
      </c>
      <c r="X639" s="85" t="str">
        <f aca="false">IF(AH639="","",P639-W639)</f>
        <v/>
      </c>
      <c r="Y639" s="67"/>
      <c r="Z639" s="70" t="str">
        <f aca="false">IF(OR(AH639="",Y639=""),"",IF(ABS(X639-Y639)&lt;=1,"✓ Cuadra","⚠ Diferencia $"&amp;FIXED(X639-Y639,0)))</f>
        <v/>
      </c>
      <c r="AA639" s="72" t="str">
        <f aca="false">IF(AH639="","",IFERROR(INDEX(C_TIPO,MATCH(C639&amp;"-P"&amp;MAX(1,COUNTIFS(C_ID,C639,C_DEFINE,"Sí",C_INICIO,"&lt;="&amp;EOMONTH(B639,0))),C_CLAVE,0))&amp;"","Sin dato"))</f>
        <v/>
      </c>
      <c r="AB639" s="71" t="str">
        <f aca="false">IF(AH639="","",ROUND(MIN(K639,TOPE_AFP_UF*AJ639)*AK639,0))</f>
        <v/>
      </c>
      <c r="AC639" s="71" t="str">
        <f aca="false">IF(AH639="","",ROUND(MIN(K639,TOPE_AFC_UF*AJ639)*IF(AA639="Indefinido",AFC_EMP_INDEF,AFC_EMP_PF),0))</f>
        <v/>
      </c>
      <c r="AD639" s="71" t="str">
        <f aca="false">IF(AH639="","",ROUND(MIN(K639,TOPE_AFP_UF*AJ639)*(MUTUAL_BASICA+MUTUAL_ADIC+SANNA),0))</f>
        <v/>
      </c>
      <c r="AE639" s="71" t="str">
        <f aca="false">IF(AH639="","",P639-N(N639)+AB639+AC639+AD639)</f>
        <v/>
      </c>
      <c r="AF639" s="65"/>
      <c r="AG639" s="64"/>
      <c r="AH639" s="72" t="str">
        <f aca="false">IF(OR(B639="",C639=""),"",C639&amp;"|"&amp;(YEAR(B639)*100+MONTH(B639)))</f>
        <v/>
      </c>
      <c r="AI639" s="70" t="str">
        <f aca="false">IF(AH639="","",IF(COUNTIF(L_CLAVE,AH639)&gt;1,"⚠ Duplicado","OK"))</f>
        <v/>
      </c>
      <c r="AJ639" s="86" t="str">
        <f aca="false">IF(AH639="","",IF(SUMPRODUCT(MAX((IND_PER&lt;=B639)*(IND_UF&lt;&gt;"")*IND_PER))=0,UF_HOY,INDEX(IND_UF,MATCH(SUMPRODUCT(MAX((IND_PER&lt;=B639)*(IND_UF&lt;&gt;"")*IND_PER)),IND_PER,0))))</f>
        <v/>
      </c>
      <c r="AK639" s="87" t="str">
        <f aca="false">IF(AH639="","",IF(COUNTIF(TASA_DESDE,"&lt;="&amp;B639)=0,INDEX(TASA_EMP,1),INDEX(TASA_EMP,COUNTIF(TASA_DESDE,"&lt;="&amp;B639))))</f>
        <v/>
      </c>
    </row>
    <row r="640" customFormat="false" ht="15" hidden="false" customHeight="false" outlineLevel="0" collapsed="false">
      <c r="B640" s="78"/>
      <c r="C640" s="64"/>
      <c r="D640" s="72" t="str">
        <f aca="false">IF(C640="","",IFERROR(INDEX(T_NOMBRE,MATCH(C640,T_ID,0)),"⚠ ID no existe"))</f>
        <v/>
      </c>
      <c r="E640" s="69"/>
      <c r="F640" s="67"/>
      <c r="G640" s="67"/>
      <c r="H640" s="67"/>
      <c r="I640" s="67"/>
      <c r="J640" s="67"/>
      <c r="K640" s="85" t="str">
        <f aca="false">IF(AH640="","",N(F640)+N(G640)+N(H640)-N(I640)+N(J640))</f>
        <v/>
      </c>
      <c r="L640" s="67"/>
      <c r="M640" s="67"/>
      <c r="N640" s="67"/>
      <c r="O640" s="67"/>
      <c r="P640" s="85" t="str">
        <f aca="false">IF(AH640="","",K640+N(L640)+N(M640)+N(N640)+N(O640))</f>
        <v/>
      </c>
      <c r="Q640" s="67"/>
      <c r="R640" s="67"/>
      <c r="S640" s="67"/>
      <c r="T640" s="67"/>
      <c r="U640" s="67"/>
      <c r="V640" s="67"/>
      <c r="W640" s="85" t="str">
        <f aca="false">IF(AH640="","",N(Q640)+N(R640)+N(S640)+N(T640)+N(U640)+N(V640))</f>
        <v/>
      </c>
      <c r="X640" s="85" t="str">
        <f aca="false">IF(AH640="","",P640-W640)</f>
        <v/>
      </c>
      <c r="Y640" s="67"/>
      <c r="Z640" s="70" t="str">
        <f aca="false">IF(OR(AH640="",Y640=""),"",IF(ABS(X640-Y640)&lt;=1,"✓ Cuadra","⚠ Diferencia $"&amp;FIXED(X640-Y640,0)))</f>
        <v/>
      </c>
      <c r="AA640" s="72" t="str">
        <f aca="false">IF(AH640="","",IFERROR(INDEX(C_TIPO,MATCH(C640&amp;"-P"&amp;MAX(1,COUNTIFS(C_ID,C640,C_DEFINE,"Sí",C_INICIO,"&lt;="&amp;EOMONTH(B640,0))),C_CLAVE,0))&amp;"","Sin dato"))</f>
        <v/>
      </c>
      <c r="AB640" s="71" t="str">
        <f aca="false">IF(AH640="","",ROUND(MIN(K640,TOPE_AFP_UF*AJ640)*AK640,0))</f>
        <v/>
      </c>
      <c r="AC640" s="71" t="str">
        <f aca="false">IF(AH640="","",ROUND(MIN(K640,TOPE_AFC_UF*AJ640)*IF(AA640="Indefinido",AFC_EMP_INDEF,AFC_EMP_PF),0))</f>
        <v/>
      </c>
      <c r="AD640" s="71" t="str">
        <f aca="false">IF(AH640="","",ROUND(MIN(K640,TOPE_AFP_UF*AJ640)*(MUTUAL_BASICA+MUTUAL_ADIC+SANNA),0))</f>
        <v/>
      </c>
      <c r="AE640" s="71" t="str">
        <f aca="false">IF(AH640="","",P640-N(N640)+AB640+AC640+AD640)</f>
        <v/>
      </c>
      <c r="AF640" s="65"/>
      <c r="AG640" s="64"/>
      <c r="AH640" s="72" t="str">
        <f aca="false">IF(OR(B640="",C640=""),"",C640&amp;"|"&amp;(YEAR(B640)*100+MONTH(B640)))</f>
        <v/>
      </c>
      <c r="AI640" s="70" t="str">
        <f aca="false">IF(AH640="","",IF(COUNTIF(L_CLAVE,AH640)&gt;1,"⚠ Duplicado","OK"))</f>
        <v/>
      </c>
      <c r="AJ640" s="86" t="str">
        <f aca="false">IF(AH640="","",IF(SUMPRODUCT(MAX((IND_PER&lt;=B640)*(IND_UF&lt;&gt;"")*IND_PER))=0,UF_HOY,INDEX(IND_UF,MATCH(SUMPRODUCT(MAX((IND_PER&lt;=B640)*(IND_UF&lt;&gt;"")*IND_PER)),IND_PER,0))))</f>
        <v/>
      </c>
      <c r="AK640" s="87" t="str">
        <f aca="false">IF(AH640="","",IF(COUNTIF(TASA_DESDE,"&lt;="&amp;B640)=0,INDEX(TASA_EMP,1),INDEX(TASA_EMP,COUNTIF(TASA_DESDE,"&lt;="&amp;B640))))</f>
        <v/>
      </c>
    </row>
    <row r="641" customFormat="false" ht="15" hidden="false" customHeight="false" outlineLevel="0" collapsed="false">
      <c r="B641" s="78"/>
      <c r="C641" s="64"/>
      <c r="D641" s="72" t="str">
        <f aca="false">IF(C641="","",IFERROR(INDEX(T_NOMBRE,MATCH(C641,T_ID,0)),"⚠ ID no existe"))</f>
        <v/>
      </c>
      <c r="E641" s="69"/>
      <c r="F641" s="67"/>
      <c r="G641" s="67"/>
      <c r="H641" s="67"/>
      <c r="I641" s="67"/>
      <c r="J641" s="67"/>
      <c r="K641" s="85" t="str">
        <f aca="false">IF(AH641="","",N(F641)+N(G641)+N(H641)-N(I641)+N(J641))</f>
        <v/>
      </c>
      <c r="L641" s="67"/>
      <c r="M641" s="67"/>
      <c r="N641" s="67"/>
      <c r="O641" s="67"/>
      <c r="P641" s="85" t="str">
        <f aca="false">IF(AH641="","",K641+N(L641)+N(M641)+N(N641)+N(O641))</f>
        <v/>
      </c>
      <c r="Q641" s="67"/>
      <c r="R641" s="67"/>
      <c r="S641" s="67"/>
      <c r="T641" s="67"/>
      <c r="U641" s="67"/>
      <c r="V641" s="67"/>
      <c r="W641" s="85" t="str">
        <f aca="false">IF(AH641="","",N(Q641)+N(R641)+N(S641)+N(T641)+N(U641)+N(V641))</f>
        <v/>
      </c>
      <c r="X641" s="85" t="str">
        <f aca="false">IF(AH641="","",P641-W641)</f>
        <v/>
      </c>
      <c r="Y641" s="67"/>
      <c r="Z641" s="70" t="str">
        <f aca="false">IF(OR(AH641="",Y641=""),"",IF(ABS(X641-Y641)&lt;=1,"✓ Cuadra","⚠ Diferencia $"&amp;FIXED(X641-Y641,0)))</f>
        <v/>
      </c>
      <c r="AA641" s="72" t="str">
        <f aca="false">IF(AH641="","",IFERROR(INDEX(C_TIPO,MATCH(C641&amp;"-P"&amp;MAX(1,COUNTIFS(C_ID,C641,C_DEFINE,"Sí",C_INICIO,"&lt;="&amp;EOMONTH(B641,0))),C_CLAVE,0))&amp;"","Sin dato"))</f>
        <v/>
      </c>
      <c r="AB641" s="71" t="str">
        <f aca="false">IF(AH641="","",ROUND(MIN(K641,TOPE_AFP_UF*AJ641)*AK641,0))</f>
        <v/>
      </c>
      <c r="AC641" s="71" t="str">
        <f aca="false">IF(AH641="","",ROUND(MIN(K641,TOPE_AFC_UF*AJ641)*IF(AA641="Indefinido",AFC_EMP_INDEF,AFC_EMP_PF),0))</f>
        <v/>
      </c>
      <c r="AD641" s="71" t="str">
        <f aca="false">IF(AH641="","",ROUND(MIN(K641,TOPE_AFP_UF*AJ641)*(MUTUAL_BASICA+MUTUAL_ADIC+SANNA),0))</f>
        <v/>
      </c>
      <c r="AE641" s="71" t="str">
        <f aca="false">IF(AH641="","",P641-N(N641)+AB641+AC641+AD641)</f>
        <v/>
      </c>
      <c r="AF641" s="65"/>
      <c r="AG641" s="64"/>
      <c r="AH641" s="72" t="str">
        <f aca="false">IF(OR(B641="",C641=""),"",C641&amp;"|"&amp;(YEAR(B641)*100+MONTH(B641)))</f>
        <v/>
      </c>
      <c r="AI641" s="70" t="str">
        <f aca="false">IF(AH641="","",IF(COUNTIF(L_CLAVE,AH641)&gt;1,"⚠ Duplicado","OK"))</f>
        <v/>
      </c>
      <c r="AJ641" s="86" t="str">
        <f aca="false">IF(AH641="","",IF(SUMPRODUCT(MAX((IND_PER&lt;=B641)*(IND_UF&lt;&gt;"")*IND_PER))=0,UF_HOY,INDEX(IND_UF,MATCH(SUMPRODUCT(MAX((IND_PER&lt;=B641)*(IND_UF&lt;&gt;"")*IND_PER)),IND_PER,0))))</f>
        <v/>
      </c>
      <c r="AK641" s="87" t="str">
        <f aca="false">IF(AH641="","",IF(COUNTIF(TASA_DESDE,"&lt;="&amp;B641)=0,INDEX(TASA_EMP,1),INDEX(TASA_EMP,COUNTIF(TASA_DESDE,"&lt;="&amp;B641))))</f>
        <v/>
      </c>
    </row>
    <row r="642" customFormat="false" ht="15" hidden="false" customHeight="false" outlineLevel="0" collapsed="false">
      <c r="B642" s="78"/>
      <c r="C642" s="64"/>
      <c r="D642" s="72" t="str">
        <f aca="false">IF(C642="","",IFERROR(INDEX(T_NOMBRE,MATCH(C642,T_ID,0)),"⚠ ID no existe"))</f>
        <v/>
      </c>
      <c r="E642" s="69"/>
      <c r="F642" s="67"/>
      <c r="G642" s="67"/>
      <c r="H642" s="67"/>
      <c r="I642" s="67"/>
      <c r="J642" s="67"/>
      <c r="K642" s="85" t="str">
        <f aca="false">IF(AH642="","",N(F642)+N(G642)+N(H642)-N(I642)+N(J642))</f>
        <v/>
      </c>
      <c r="L642" s="67"/>
      <c r="M642" s="67"/>
      <c r="N642" s="67"/>
      <c r="O642" s="67"/>
      <c r="P642" s="85" t="str">
        <f aca="false">IF(AH642="","",K642+N(L642)+N(M642)+N(N642)+N(O642))</f>
        <v/>
      </c>
      <c r="Q642" s="67"/>
      <c r="R642" s="67"/>
      <c r="S642" s="67"/>
      <c r="T642" s="67"/>
      <c r="U642" s="67"/>
      <c r="V642" s="67"/>
      <c r="W642" s="85" t="str">
        <f aca="false">IF(AH642="","",N(Q642)+N(R642)+N(S642)+N(T642)+N(U642)+N(V642))</f>
        <v/>
      </c>
      <c r="X642" s="85" t="str">
        <f aca="false">IF(AH642="","",P642-W642)</f>
        <v/>
      </c>
      <c r="Y642" s="67"/>
      <c r="Z642" s="70" t="str">
        <f aca="false">IF(OR(AH642="",Y642=""),"",IF(ABS(X642-Y642)&lt;=1,"✓ Cuadra","⚠ Diferencia $"&amp;FIXED(X642-Y642,0)))</f>
        <v/>
      </c>
      <c r="AA642" s="72" t="str">
        <f aca="false">IF(AH642="","",IFERROR(INDEX(C_TIPO,MATCH(C642&amp;"-P"&amp;MAX(1,COUNTIFS(C_ID,C642,C_DEFINE,"Sí",C_INICIO,"&lt;="&amp;EOMONTH(B642,0))),C_CLAVE,0))&amp;"","Sin dato"))</f>
        <v/>
      </c>
      <c r="AB642" s="71" t="str">
        <f aca="false">IF(AH642="","",ROUND(MIN(K642,TOPE_AFP_UF*AJ642)*AK642,0))</f>
        <v/>
      </c>
      <c r="AC642" s="71" t="str">
        <f aca="false">IF(AH642="","",ROUND(MIN(K642,TOPE_AFC_UF*AJ642)*IF(AA642="Indefinido",AFC_EMP_INDEF,AFC_EMP_PF),0))</f>
        <v/>
      </c>
      <c r="AD642" s="71" t="str">
        <f aca="false">IF(AH642="","",ROUND(MIN(K642,TOPE_AFP_UF*AJ642)*(MUTUAL_BASICA+MUTUAL_ADIC+SANNA),0))</f>
        <v/>
      </c>
      <c r="AE642" s="71" t="str">
        <f aca="false">IF(AH642="","",P642-N(N642)+AB642+AC642+AD642)</f>
        <v/>
      </c>
      <c r="AF642" s="65"/>
      <c r="AG642" s="64"/>
      <c r="AH642" s="72" t="str">
        <f aca="false">IF(OR(B642="",C642=""),"",C642&amp;"|"&amp;(YEAR(B642)*100+MONTH(B642)))</f>
        <v/>
      </c>
      <c r="AI642" s="70" t="str">
        <f aca="false">IF(AH642="","",IF(COUNTIF(L_CLAVE,AH642)&gt;1,"⚠ Duplicado","OK"))</f>
        <v/>
      </c>
      <c r="AJ642" s="86" t="str">
        <f aca="false">IF(AH642="","",IF(SUMPRODUCT(MAX((IND_PER&lt;=B642)*(IND_UF&lt;&gt;"")*IND_PER))=0,UF_HOY,INDEX(IND_UF,MATCH(SUMPRODUCT(MAX((IND_PER&lt;=B642)*(IND_UF&lt;&gt;"")*IND_PER)),IND_PER,0))))</f>
        <v/>
      </c>
      <c r="AK642" s="87" t="str">
        <f aca="false">IF(AH642="","",IF(COUNTIF(TASA_DESDE,"&lt;="&amp;B642)=0,INDEX(TASA_EMP,1),INDEX(TASA_EMP,COUNTIF(TASA_DESDE,"&lt;="&amp;B642))))</f>
        <v/>
      </c>
    </row>
    <row r="643" customFormat="false" ht="15" hidden="false" customHeight="false" outlineLevel="0" collapsed="false">
      <c r="B643" s="78"/>
      <c r="C643" s="64"/>
      <c r="D643" s="72" t="str">
        <f aca="false">IF(C643="","",IFERROR(INDEX(T_NOMBRE,MATCH(C643,T_ID,0)),"⚠ ID no existe"))</f>
        <v/>
      </c>
      <c r="E643" s="69"/>
      <c r="F643" s="67"/>
      <c r="G643" s="67"/>
      <c r="H643" s="67"/>
      <c r="I643" s="67"/>
      <c r="J643" s="67"/>
      <c r="K643" s="85" t="str">
        <f aca="false">IF(AH643="","",N(F643)+N(G643)+N(H643)-N(I643)+N(J643))</f>
        <v/>
      </c>
      <c r="L643" s="67"/>
      <c r="M643" s="67"/>
      <c r="N643" s="67"/>
      <c r="O643" s="67"/>
      <c r="P643" s="85" t="str">
        <f aca="false">IF(AH643="","",K643+N(L643)+N(M643)+N(N643)+N(O643))</f>
        <v/>
      </c>
      <c r="Q643" s="67"/>
      <c r="R643" s="67"/>
      <c r="S643" s="67"/>
      <c r="T643" s="67"/>
      <c r="U643" s="67"/>
      <c r="V643" s="67"/>
      <c r="W643" s="85" t="str">
        <f aca="false">IF(AH643="","",N(Q643)+N(R643)+N(S643)+N(T643)+N(U643)+N(V643))</f>
        <v/>
      </c>
      <c r="X643" s="85" t="str">
        <f aca="false">IF(AH643="","",P643-W643)</f>
        <v/>
      </c>
      <c r="Y643" s="67"/>
      <c r="Z643" s="70" t="str">
        <f aca="false">IF(OR(AH643="",Y643=""),"",IF(ABS(X643-Y643)&lt;=1,"✓ Cuadra","⚠ Diferencia $"&amp;FIXED(X643-Y643,0)))</f>
        <v/>
      </c>
      <c r="AA643" s="72" t="str">
        <f aca="false">IF(AH643="","",IFERROR(INDEX(C_TIPO,MATCH(C643&amp;"-P"&amp;MAX(1,COUNTIFS(C_ID,C643,C_DEFINE,"Sí",C_INICIO,"&lt;="&amp;EOMONTH(B643,0))),C_CLAVE,0))&amp;"","Sin dato"))</f>
        <v/>
      </c>
      <c r="AB643" s="71" t="str">
        <f aca="false">IF(AH643="","",ROUND(MIN(K643,TOPE_AFP_UF*AJ643)*AK643,0))</f>
        <v/>
      </c>
      <c r="AC643" s="71" t="str">
        <f aca="false">IF(AH643="","",ROUND(MIN(K643,TOPE_AFC_UF*AJ643)*IF(AA643="Indefinido",AFC_EMP_INDEF,AFC_EMP_PF),0))</f>
        <v/>
      </c>
      <c r="AD643" s="71" t="str">
        <f aca="false">IF(AH643="","",ROUND(MIN(K643,TOPE_AFP_UF*AJ643)*(MUTUAL_BASICA+MUTUAL_ADIC+SANNA),0))</f>
        <v/>
      </c>
      <c r="AE643" s="71" t="str">
        <f aca="false">IF(AH643="","",P643-N(N643)+AB643+AC643+AD643)</f>
        <v/>
      </c>
      <c r="AF643" s="65"/>
      <c r="AG643" s="64"/>
      <c r="AH643" s="72" t="str">
        <f aca="false">IF(OR(B643="",C643=""),"",C643&amp;"|"&amp;(YEAR(B643)*100+MONTH(B643)))</f>
        <v/>
      </c>
      <c r="AI643" s="70" t="str">
        <f aca="false">IF(AH643="","",IF(COUNTIF(L_CLAVE,AH643)&gt;1,"⚠ Duplicado","OK"))</f>
        <v/>
      </c>
      <c r="AJ643" s="86" t="str">
        <f aca="false">IF(AH643="","",IF(SUMPRODUCT(MAX((IND_PER&lt;=B643)*(IND_UF&lt;&gt;"")*IND_PER))=0,UF_HOY,INDEX(IND_UF,MATCH(SUMPRODUCT(MAX((IND_PER&lt;=B643)*(IND_UF&lt;&gt;"")*IND_PER)),IND_PER,0))))</f>
        <v/>
      </c>
      <c r="AK643" s="87" t="str">
        <f aca="false">IF(AH643="","",IF(COUNTIF(TASA_DESDE,"&lt;="&amp;B643)=0,INDEX(TASA_EMP,1),INDEX(TASA_EMP,COUNTIF(TASA_DESDE,"&lt;="&amp;B643))))</f>
        <v/>
      </c>
    </row>
    <row r="644" customFormat="false" ht="15" hidden="false" customHeight="false" outlineLevel="0" collapsed="false">
      <c r="B644" s="78"/>
      <c r="C644" s="64"/>
      <c r="D644" s="72" t="str">
        <f aca="false">IF(C644="","",IFERROR(INDEX(T_NOMBRE,MATCH(C644,T_ID,0)),"⚠ ID no existe"))</f>
        <v/>
      </c>
      <c r="E644" s="69"/>
      <c r="F644" s="67"/>
      <c r="G644" s="67"/>
      <c r="H644" s="67"/>
      <c r="I644" s="67"/>
      <c r="J644" s="67"/>
      <c r="K644" s="85" t="str">
        <f aca="false">IF(AH644="","",N(F644)+N(G644)+N(H644)-N(I644)+N(J644))</f>
        <v/>
      </c>
      <c r="L644" s="67"/>
      <c r="M644" s="67"/>
      <c r="N644" s="67"/>
      <c r="O644" s="67"/>
      <c r="P644" s="85" t="str">
        <f aca="false">IF(AH644="","",K644+N(L644)+N(M644)+N(N644)+N(O644))</f>
        <v/>
      </c>
      <c r="Q644" s="67"/>
      <c r="R644" s="67"/>
      <c r="S644" s="67"/>
      <c r="T644" s="67"/>
      <c r="U644" s="67"/>
      <c r="V644" s="67"/>
      <c r="W644" s="85" t="str">
        <f aca="false">IF(AH644="","",N(Q644)+N(R644)+N(S644)+N(T644)+N(U644)+N(V644))</f>
        <v/>
      </c>
      <c r="X644" s="85" t="str">
        <f aca="false">IF(AH644="","",P644-W644)</f>
        <v/>
      </c>
      <c r="Y644" s="67"/>
      <c r="Z644" s="70" t="str">
        <f aca="false">IF(OR(AH644="",Y644=""),"",IF(ABS(X644-Y644)&lt;=1,"✓ Cuadra","⚠ Diferencia $"&amp;FIXED(X644-Y644,0)))</f>
        <v/>
      </c>
      <c r="AA644" s="72" t="str">
        <f aca="false">IF(AH644="","",IFERROR(INDEX(C_TIPO,MATCH(C644&amp;"-P"&amp;MAX(1,COUNTIFS(C_ID,C644,C_DEFINE,"Sí",C_INICIO,"&lt;="&amp;EOMONTH(B644,0))),C_CLAVE,0))&amp;"","Sin dato"))</f>
        <v/>
      </c>
      <c r="AB644" s="71" t="str">
        <f aca="false">IF(AH644="","",ROUND(MIN(K644,TOPE_AFP_UF*AJ644)*AK644,0))</f>
        <v/>
      </c>
      <c r="AC644" s="71" t="str">
        <f aca="false">IF(AH644="","",ROUND(MIN(K644,TOPE_AFC_UF*AJ644)*IF(AA644="Indefinido",AFC_EMP_INDEF,AFC_EMP_PF),0))</f>
        <v/>
      </c>
      <c r="AD644" s="71" t="str">
        <f aca="false">IF(AH644="","",ROUND(MIN(K644,TOPE_AFP_UF*AJ644)*(MUTUAL_BASICA+MUTUAL_ADIC+SANNA),0))</f>
        <v/>
      </c>
      <c r="AE644" s="71" t="str">
        <f aca="false">IF(AH644="","",P644-N(N644)+AB644+AC644+AD644)</f>
        <v/>
      </c>
      <c r="AF644" s="65"/>
      <c r="AG644" s="64"/>
      <c r="AH644" s="72" t="str">
        <f aca="false">IF(OR(B644="",C644=""),"",C644&amp;"|"&amp;(YEAR(B644)*100+MONTH(B644)))</f>
        <v/>
      </c>
      <c r="AI644" s="70" t="str">
        <f aca="false">IF(AH644="","",IF(COUNTIF(L_CLAVE,AH644)&gt;1,"⚠ Duplicado","OK"))</f>
        <v/>
      </c>
      <c r="AJ644" s="86" t="str">
        <f aca="false">IF(AH644="","",IF(SUMPRODUCT(MAX((IND_PER&lt;=B644)*(IND_UF&lt;&gt;"")*IND_PER))=0,UF_HOY,INDEX(IND_UF,MATCH(SUMPRODUCT(MAX((IND_PER&lt;=B644)*(IND_UF&lt;&gt;"")*IND_PER)),IND_PER,0))))</f>
        <v/>
      </c>
      <c r="AK644" s="87" t="str">
        <f aca="false">IF(AH644="","",IF(COUNTIF(TASA_DESDE,"&lt;="&amp;B644)=0,INDEX(TASA_EMP,1),INDEX(TASA_EMP,COUNTIF(TASA_DESDE,"&lt;="&amp;B644))))</f>
        <v/>
      </c>
    </row>
    <row r="645" customFormat="false" ht="15" hidden="false" customHeight="false" outlineLevel="0" collapsed="false">
      <c r="B645" s="78"/>
      <c r="C645" s="64"/>
      <c r="D645" s="72" t="str">
        <f aca="false">IF(C645="","",IFERROR(INDEX(T_NOMBRE,MATCH(C645,T_ID,0)),"⚠ ID no existe"))</f>
        <v/>
      </c>
      <c r="E645" s="69"/>
      <c r="F645" s="67"/>
      <c r="G645" s="67"/>
      <c r="H645" s="67"/>
      <c r="I645" s="67"/>
      <c r="J645" s="67"/>
      <c r="K645" s="85" t="str">
        <f aca="false">IF(AH645="","",N(F645)+N(G645)+N(H645)-N(I645)+N(J645))</f>
        <v/>
      </c>
      <c r="L645" s="67"/>
      <c r="M645" s="67"/>
      <c r="N645" s="67"/>
      <c r="O645" s="67"/>
      <c r="P645" s="85" t="str">
        <f aca="false">IF(AH645="","",K645+N(L645)+N(M645)+N(N645)+N(O645))</f>
        <v/>
      </c>
      <c r="Q645" s="67"/>
      <c r="R645" s="67"/>
      <c r="S645" s="67"/>
      <c r="T645" s="67"/>
      <c r="U645" s="67"/>
      <c r="V645" s="67"/>
      <c r="W645" s="85" t="str">
        <f aca="false">IF(AH645="","",N(Q645)+N(R645)+N(S645)+N(T645)+N(U645)+N(V645))</f>
        <v/>
      </c>
      <c r="X645" s="85" t="str">
        <f aca="false">IF(AH645="","",P645-W645)</f>
        <v/>
      </c>
      <c r="Y645" s="67"/>
      <c r="Z645" s="70" t="str">
        <f aca="false">IF(OR(AH645="",Y645=""),"",IF(ABS(X645-Y645)&lt;=1,"✓ Cuadra","⚠ Diferencia $"&amp;FIXED(X645-Y645,0)))</f>
        <v/>
      </c>
      <c r="AA645" s="72" t="str">
        <f aca="false">IF(AH645="","",IFERROR(INDEX(C_TIPO,MATCH(C645&amp;"-P"&amp;MAX(1,COUNTIFS(C_ID,C645,C_DEFINE,"Sí",C_INICIO,"&lt;="&amp;EOMONTH(B645,0))),C_CLAVE,0))&amp;"","Sin dato"))</f>
        <v/>
      </c>
      <c r="AB645" s="71" t="str">
        <f aca="false">IF(AH645="","",ROUND(MIN(K645,TOPE_AFP_UF*AJ645)*AK645,0))</f>
        <v/>
      </c>
      <c r="AC645" s="71" t="str">
        <f aca="false">IF(AH645="","",ROUND(MIN(K645,TOPE_AFC_UF*AJ645)*IF(AA645="Indefinido",AFC_EMP_INDEF,AFC_EMP_PF),0))</f>
        <v/>
      </c>
      <c r="AD645" s="71" t="str">
        <f aca="false">IF(AH645="","",ROUND(MIN(K645,TOPE_AFP_UF*AJ645)*(MUTUAL_BASICA+MUTUAL_ADIC+SANNA),0))</f>
        <v/>
      </c>
      <c r="AE645" s="71" t="str">
        <f aca="false">IF(AH645="","",P645-N(N645)+AB645+AC645+AD645)</f>
        <v/>
      </c>
      <c r="AF645" s="65"/>
      <c r="AG645" s="64"/>
      <c r="AH645" s="72" t="str">
        <f aca="false">IF(OR(B645="",C645=""),"",C645&amp;"|"&amp;(YEAR(B645)*100+MONTH(B645)))</f>
        <v/>
      </c>
      <c r="AI645" s="70" t="str">
        <f aca="false">IF(AH645="","",IF(COUNTIF(L_CLAVE,AH645)&gt;1,"⚠ Duplicado","OK"))</f>
        <v/>
      </c>
      <c r="AJ645" s="86" t="str">
        <f aca="false">IF(AH645="","",IF(SUMPRODUCT(MAX((IND_PER&lt;=B645)*(IND_UF&lt;&gt;"")*IND_PER))=0,UF_HOY,INDEX(IND_UF,MATCH(SUMPRODUCT(MAX((IND_PER&lt;=B645)*(IND_UF&lt;&gt;"")*IND_PER)),IND_PER,0))))</f>
        <v/>
      </c>
      <c r="AK645" s="87" t="str">
        <f aca="false">IF(AH645="","",IF(COUNTIF(TASA_DESDE,"&lt;="&amp;B645)=0,INDEX(TASA_EMP,1),INDEX(TASA_EMP,COUNTIF(TASA_DESDE,"&lt;="&amp;B645))))</f>
        <v/>
      </c>
    </row>
    <row r="646" customFormat="false" ht="15" hidden="false" customHeight="false" outlineLevel="0" collapsed="false">
      <c r="B646" s="78"/>
      <c r="C646" s="64"/>
      <c r="D646" s="72" t="str">
        <f aca="false">IF(C646="","",IFERROR(INDEX(T_NOMBRE,MATCH(C646,T_ID,0)),"⚠ ID no existe"))</f>
        <v/>
      </c>
      <c r="E646" s="69"/>
      <c r="F646" s="67"/>
      <c r="G646" s="67"/>
      <c r="H646" s="67"/>
      <c r="I646" s="67"/>
      <c r="J646" s="67"/>
      <c r="K646" s="85" t="str">
        <f aca="false">IF(AH646="","",N(F646)+N(G646)+N(H646)-N(I646)+N(J646))</f>
        <v/>
      </c>
      <c r="L646" s="67"/>
      <c r="M646" s="67"/>
      <c r="N646" s="67"/>
      <c r="O646" s="67"/>
      <c r="P646" s="85" t="str">
        <f aca="false">IF(AH646="","",K646+N(L646)+N(M646)+N(N646)+N(O646))</f>
        <v/>
      </c>
      <c r="Q646" s="67"/>
      <c r="R646" s="67"/>
      <c r="S646" s="67"/>
      <c r="T646" s="67"/>
      <c r="U646" s="67"/>
      <c r="V646" s="67"/>
      <c r="W646" s="85" t="str">
        <f aca="false">IF(AH646="","",N(Q646)+N(R646)+N(S646)+N(T646)+N(U646)+N(V646))</f>
        <v/>
      </c>
      <c r="X646" s="85" t="str">
        <f aca="false">IF(AH646="","",P646-W646)</f>
        <v/>
      </c>
      <c r="Y646" s="67"/>
      <c r="Z646" s="70" t="str">
        <f aca="false">IF(OR(AH646="",Y646=""),"",IF(ABS(X646-Y646)&lt;=1,"✓ Cuadra","⚠ Diferencia $"&amp;FIXED(X646-Y646,0)))</f>
        <v/>
      </c>
      <c r="AA646" s="72" t="str">
        <f aca="false">IF(AH646="","",IFERROR(INDEX(C_TIPO,MATCH(C646&amp;"-P"&amp;MAX(1,COUNTIFS(C_ID,C646,C_DEFINE,"Sí",C_INICIO,"&lt;="&amp;EOMONTH(B646,0))),C_CLAVE,0))&amp;"","Sin dato"))</f>
        <v/>
      </c>
      <c r="AB646" s="71" t="str">
        <f aca="false">IF(AH646="","",ROUND(MIN(K646,TOPE_AFP_UF*AJ646)*AK646,0))</f>
        <v/>
      </c>
      <c r="AC646" s="71" t="str">
        <f aca="false">IF(AH646="","",ROUND(MIN(K646,TOPE_AFC_UF*AJ646)*IF(AA646="Indefinido",AFC_EMP_INDEF,AFC_EMP_PF),0))</f>
        <v/>
      </c>
      <c r="AD646" s="71" t="str">
        <f aca="false">IF(AH646="","",ROUND(MIN(K646,TOPE_AFP_UF*AJ646)*(MUTUAL_BASICA+MUTUAL_ADIC+SANNA),0))</f>
        <v/>
      </c>
      <c r="AE646" s="71" t="str">
        <f aca="false">IF(AH646="","",P646-N(N646)+AB646+AC646+AD646)</f>
        <v/>
      </c>
      <c r="AF646" s="65"/>
      <c r="AG646" s="64"/>
      <c r="AH646" s="72" t="str">
        <f aca="false">IF(OR(B646="",C646=""),"",C646&amp;"|"&amp;(YEAR(B646)*100+MONTH(B646)))</f>
        <v/>
      </c>
      <c r="AI646" s="70" t="str">
        <f aca="false">IF(AH646="","",IF(COUNTIF(L_CLAVE,AH646)&gt;1,"⚠ Duplicado","OK"))</f>
        <v/>
      </c>
      <c r="AJ646" s="86" t="str">
        <f aca="false">IF(AH646="","",IF(SUMPRODUCT(MAX((IND_PER&lt;=B646)*(IND_UF&lt;&gt;"")*IND_PER))=0,UF_HOY,INDEX(IND_UF,MATCH(SUMPRODUCT(MAX((IND_PER&lt;=B646)*(IND_UF&lt;&gt;"")*IND_PER)),IND_PER,0))))</f>
        <v/>
      </c>
      <c r="AK646" s="87" t="str">
        <f aca="false">IF(AH646="","",IF(COUNTIF(TASA_DESDE,"&lt;="&amp;B646)=0,INDEX(TASA_EMP,1),INDEX(TASA_EMP,COUNTIF(TASA_DESDE,"&lt;="&amp;B646))))</f>
        <v/>
      </c>
    </row>
    <row r="647" customFormat="false" ht="15" hidden="false" customHeight="false" outlineLevel="0" collapsed="false">
      <c r="B647" s="78"/>
      <c r="C647" s="64"/>
      <c r="D647" s="72" t="str">
        <f aca="false">IF(C647="","",IFERROR(INDEX(T_NOMBRE,MATCH(C647,T_ID,0)),"⚠ ID no existe"))</f>
        <v/>
      </c>
      <c r="E647" s="69"/>
      <c r="F647" s="67"/>
      <c r="G647" s="67"/>
      <c r="H647" s="67"/>
      <c r="I647" s="67"/>
      <c r="J647" s="67"/>
      <c r="K647" s="85" t="str">
        <f aca="false">IF(AH647="","",N(F647)+N(G647)+N(H647)-N(I647)+N(J647))</f>
        <v/>
      </c>
      <c r="L647" s="67"/>
      <c r="M647" s="67"/>
      <c r="N647" s="67"/>
      <c r="O647" s="67"/>
      <c r="P647" s="85" t="str">
        <f aca="false">IF(AH647="","",K647+N(L647)+N(M647)+N(N647)+N(O647))</f>
        <v/>
      </c>
      <c r="Q647" s="67"/>
      <c r="R647" s="67"/>
      <c r="S647" s="67"/>
      <c r="T647" s="67"/>
      <c r="U647" s="67"/>
      <c r="V647" s="67"/>
      <c r="W647" s="85" t="str">
        <f aca="false">IF(AH647="","",N(Q647)+N(R647)+N(S647)+N(T647)+N(U647)+N(V647))</f>
        <v/>
      </c>
      <c r="X647" s="85" t="str">
        <f aca="false">IF(AH647="","",P647-W647)</f>
        <v/>
      </c>
      <c r="Y647" s="67"/>
      <c r="Z647" s="70" t="str">
        <f aca="false">IF(OR(AH647="",Y647=""),"",IF(ABS(X647-Y647)&lt;=1,"✓ Cuadra","⚠ Diferencia $"&amp;FIXED(X647-Y647,0)))</f>
        <v/>
      </c>
      <c r="AA647" s="72" t="str">
        <f aca="false">IF(AH647="","",IFERROR(INDEX(C_TIPO,MATCH(C647&amp;"-P"&amp;MAX(1,COUNTIFS(C_ID,C647,C_DEFINE,"Sí",C_INICIO,"&lt;="&amp;EOMONTH(B647,0))),C_CLAVE,0))&amp;"","Sin dato"))</f>
        <v/>
      </c>
      <c r="AB647" s="71" t="str">
        <f aca="false">IF(AH647="","",ROUND(MIN(K647,TOPE_AFP_UF*AJ647)*AK647,0))</f>
        <v/>
      </c>
      <c r="AC647" s="71" t="str">
        <f aca="false">IF(AH647="","",ROUND(MIN(K647,TOPE_AFC_UF*AJ647)*IF(AA647="Indefinido",AFC_EMP_INDEF,AFC_EMP_PF),0))</f>
        <v/>
      </c>
      <c r="AD647" s="71" t="str">
        <f aca="false">IF(AH647="","",ROUND(MIN(K647,TOPE_AFP_UF*AJ647)*(MUTUAL_BASICA+MUTUAL_ADIC+SANNA),0))</f>
        <v/>
      </c>
      <c r="AE647" s="71" t="str">
        <f aca="false">IF(AH647="","",P647-N(N647)+AB647+AC647+AD647)</f>
        <v/>
      </c>
      <c r="AF647" s="65"/>
      <c r="AG647" s="64"/>
      <c r="AH647" s="72" t="str">
        <f aca="false">IF(OR(B647="",C647=""),"",C647&amp;"|"&amp;(YEAR(B647)*100+MONTH(B647)))</f>
        <v/>
      </c>
      <c r="AI647" s="70" t="str">
        <f aca="false">IF(AH647="","",IF(COUNTIF(L_CLAVE,AH647)&gt;1,"⚠ Duplicado","OK"))</f>
        <v/>
      </c>
      <c r="AJ647" s="86" t="str">
        <f aca="false">IF(AH647="","",IF(SUMPRODUCT(MAX((IND_PER&lt;=B647)*(IND_UF&lt;&gt;"")*IND_PER))=0,UF_HOY,INDEX(IND_UF,MATCH(SUMPRODUCT(MAX((IND_PER&lt;=B647)*(IND_UF&lt;&gt;"")*IND_PER)),IND_PER,0))))</f>
        <v/>
      </c>
      <c r="AK647" s="87" t="str">
        <f aca="false">IF(AH647="","",IF(COUNTIF(TASA_DESDE,"&lt;="&amp;B647)=0,INDEX(TASA_EMP,1),INDEX(TASA_EMP,COUNTIF(TASA_DESDE,"&lt;="&amp;B647))))</f>
        <v/>
      </c>
    </row>
    <row r="648" customFormat="false" ht="15" hidden="false" customHeight="false" outlineLevel="0" collapsed="false">
      <c r="B648" s="78"/>
      <c r="C648" s="64"/>
      <c r="D648" s="72" t="str">
        <f aca="false">IF(C648="","",IFERROR(INDEX(T_NOMBRE,MATCH(C648,T_ID,0)),"⚠ ID no existe"))</f>
        <v/>
      </c>
      <c r="E648" s="69"/>
      <c r="F648" s="67"/>
      <c r="G648" s="67"/>
      <c r="H648" s="67"/>
      <c r="I648" s="67"/>
      <c r="J648" s="67"/>
      <c r="K648" s="85" t="str">
        <f aca="false">IF(AH648="","",N(F648)+N(G648)+N(H648)-N(I648)+N(J648))</f>
        <v/>
      </c>
      <c r="L648" s="67"/>
      <c r="M648" s="67"/>
      <c r="N648" s="67"/>
      <c r="O648" s="67"/>
      <c r="P648" s="85" t="str">
        <f aca="false">IF(AH648="","",K648+N(L648)+N(M648)+N(N648)+N(O648))</f>
        <v/>
      </c>
      <c r="Q648" s="67"/>
      <c r="R648" s="67"/>
      <c r="S648" s="67"/>
      <c r="T648" s="67"/>
      <c r="U648" s="67"/>
      <c r="V648" s="67"/>
      <c r="W648" s="85" t="str">
        <f aca="false">IF(AH648="","",N(Q648)+N(R648)+N(S648)+N(T648)+N(U648)+N(V648))</f>
        <v/>
      </c>
      <c r="X648" s="85" t="str">
        <f aca="false">IF(AH648="","",P648-W648)</f>
        <v/>
      </c>
      <c r="Y648" s="67"/>
      <c r="Z648" s="70" t="str">
        <f aca="false">IF(OR(AH648="",Y648=""),"",IF(ABS(X648-Y648)&lt;=1,"✓ Cuadra","⚠ Diferencia $"&amp;FIXED(X648-Y648,0)))</f>
        <v/>
      </c>
      <c r="AA648" s="72" t="str">
        <f aca="false">IF(AH648="","",IFERROR(INDEX(C_TIPO,MATCH(C648&amp;"-P"&amp;MAX(1,COUNTIFS(C_ID,C648,C_DEFINE,"Sí",C_INICIO,"&lt;="&amp;EOMONTH(B648,0))),C_CLAVE,0))&amp;"","Sin dato"))</f>
        <v/>
      </c>
      <c r="AB648" s="71" t="str">
        <f aca="false">IF(AH648="","",ROUND(MIN(K648,TOPE_AFP_UF*AJ648)*AK648,0))</f>
        <v/>
      </c>
      <c r="AC648" s="71" t="str">
        <f aca="false">IF(AH648="","",ROUND(MIN(K648,TOPE_AFC_UF*AJ648)*IF(AA648="Indefinido",AFC_EMP_INDEF,AFC_EMP_PF),0))</f>
        <v/>
      </c>
      <c r="AD648" s="71" t="str">
        <f aca="false">IF(AH648="","",ROUND(MIN(K648,TOPE_AFP_UF*AJ648)*(MUTUAL_BASICA+MUTUAL_ADIC+SANNA),0))</f>
        <v/>
      </c>
      <c r="AE648" s="71" t="str">
        <f aca="false">IF(AH648="","",P648-N(N648)+AB648+AC648+AD648)</f>
        <v/>
      </c>
      <c r="AF648" s="65"/>
      <c r="AG648" s="64"/>
      <c r="AH648" s="72" t="str">
        <f aca="false">IF(OR(B648="",C648=""),"",C648&amp;"|"&amp;(YEAR(B648)*100+MONTH(B648)))</f>
        <v/>
      </c>
      <c r="AI648" s="70" t="str">
        <f aca="false">IF(AH648="","",IF(COUNTIF(L_CLAVE,AH648)&gt;1,"⚠ Duplicado","OK"))</f>
        <v/>
      </c>
      <c r="AJ648" s="86" t="str">
        <f aca="false">IF(AH648="","",IF(SUMPRODUCT(MAX((IND_PER&lt;=B648)*(IND_UF&lt;&gt;"")*IND_PER))=0,UF_HOY,INDEX(IND_UF,MATCH(SUMPRODUCT(MAX((IND_PER&lt;=B648)*(IND_UF&lt;&gt;"")*IND_PER)),IND_PER,0))))</f>
        <v/>
      </c>
      <c r="AK648" s="87" t="str">
        <f aca="false">IF(AH648="","",IF(COUNTIF(TASA_DESDE,"&lt;="&amp;B648)=0,INDEX(TASA_EMP,1),INDEX(TASA_EMP,COUNTIF(TASA_DESDE,"&lt;="&amp;B648))))</f>
        <v/>
      </c>
    </row>
    <row r="649" customFormat="false" ht="15" hidden="false" customHeight="false" outlineLevel="0" collapsed="false">
      <c r="B649" s="78"/>
      <c r="C649" s="64"/>
      <c r="D649" s="72" t="str">
        <f aca="false">IF(C649="","",IFERROR(INDEX(T_NOMBRE,MATCH(C649,T_ID,0)),"⚠ ID no existe"))</f>
        <v/>
      </c>
      <c r="E649" s="69"/>
      <c r="F649" s="67"/>
      <c r="G649" s="67"/>
      <c r="H649" s="67"/>
      <c r="I649" s="67"/>
      <c r="J649" s="67"/>
      <c r="K649" s="85" t="str">
        <f aca="false">IF(AH649="","",N(F649)+N(G649)+N(H649)-N(I649)+N(J649))</f>
        <v/>
      </c>
      <c r="L649" s="67"/>
      <c r="M649" s="67"/>
      <c r="N649" s="67"/>
      <c r="O649" s="67"/>
      <c r="P649" s="85" t="str">
        <f aca="false">IF(AH649="","",K649+N(L649)+N(M649)+N(N649)+N(O649))</f>
        <v/>
      </c>
      <c r="Q649" s="67"/>
      <c r="R649" s="67"/>
      <c r="S649" s="67"/>
      <c r="T649" s="67"/>
      <c r="U649" s="67"/>
      <c r="V649" s="67"/>
      <c r="W649" s="85" t="str">
        <f aca="false">IF(AH649="","",N(Q649)+N(R649)+N(S649)+N(T649)+N(U649)+N(V649))</f>
        <v/>
      </c>
      <c r="X649" s="85" t="str">
        <f aca="false">IF(AH649="","",P649-W649)</f>
        <v/>
      </c>
      <c r="Y649" s="67"/>
      <c r="Z649" s="70" t="str">
        <f aca="false">IF(OR(AH649="",Y649=""),"",IF(ABS(X649-Y649)&lt;=1,"✓ Cuadra","⚠ Diferencia $"&amp;FIXED(X649-Y649,0)))</f>
        <v/>
      </c>
      <c r="AA649" s="72" t="str">
        <f aca="false">IF(AH649="","",IFERROR(INDEX(C_TIPO,MATCH(C649&amp;"-P"&amp;MAX(1,COUNTIFS(C_ID,C649,C_DEFINE,"Sí",C_INICIO,"&lt;="&amp;EOMONTH(B649,0))),C_CLAVE,0))&amp;"","Sin dato"))</f>
        <v/>
      </c>
      <c r="AB649" s="71" t="str">
        <f aca="false">IF(AH649="","",ROUND(MIN(K649,TOPE_AFP_UF*AJ649)*AK649,0))</f>
        <v/>
      </c>
      <c r="AC649" s="71" t="str">
        <f aca="false">IF(AH649="","",ROUND(MIN(K649,TOPE_AFC_UF*AJ649)*IF(AA649="Indefinido",AFC_EMP_INDEF,AFC_EMP_PF),0))</f>
        <v/>
      </c>
      <c r="AD649" s="71" t="str">
        <f aca="false">IF(AH649="","",ROUND(MIN(K649,TOPE_AFP_UF*AJ649)*(MUTUAL_BASICA+MUTUAL_ADIC+SANNA),0))</f>
        <v/>
      </c>
      <c r="AE649" s="71" t="str">
        <f aca="false">IF(AH649="","",P649-N(N649)+AB649+AC649+AD649)</f>
        <v/>
      </c>
      <c r="AF649" s="65"/>
      <c r="AG649" s="64"/>
      <c r="AH649" s="72" t="str">
        <f aca="false">IF(OR(B649="",C649=""),"",C649&amp;"|"&amp;(YEAR(B649)*100+MONTH(B649)))</f>
        <v/>
      </c>
      <c r="AI649" s="70" t="str">
        <f aca="false">IF(AH649="","",IF(COUNTIF(L_CLAVE,AH649)&gt;1,"⚠ Duplicado","OK"))</f>
        <v/>
      </c>
      <c r="AJ649" s="86" t="str">
        <f aca="false">IF(AH649="","",IF(SUMPRODUCT(MAX((IND_PER&lt;=B649)*(IND_UF&lt;&gt;"")*IND_PER))=0,UF_HOY,INDEX(IND_UF,MATCH(SUMPRODUCT(MAX((IND_PER&lt;=B649)*(IND_UF&lt;&gt;"")*IND_PER)),IND_PER,0))))</f>
        <v/>
      </c>
      <c r="AK649" s="87" t="str">
        <f aca="false">IF(AH649="","",IF(COUNTIF(TASA_DESDE,"&lt;="&amp;B649)=0,INDEX(TASA_EMP,1),INDEX(TASA_EMP,COUNTIF(TASA_DESDE,"&lt;="&amp;B649))))</f>
        <v/>
      </c>
    </row>
    <row r="650" customFormat="false" ht="15" hidden="false" customHeight="false" outlineLevel="0" collapsed="false">
      <c r="B650" s="78"/>
      <c r="C650" s="64"/>
      <c r="D650" s="72" t="str">
        <f aca="false">IF(C650="","",IFERROR(INDEX(T_NOMBRE,MATCH(C650,T_ID,0)),"⚠ ID no existe"))</f>
        <v/>
      </c>
      <c r="E650" s="69"/>
      <c r="F650" s="67"/>
      <c r="G650" s="67"/>
      <c r="H650" s="67"/>
      <c r="I650" s="67"/>
      <c r="J650" s="67"/>
      <c r="K650" s="85" t="str">
        <f aca="false">IF(AH650="","",N(F650)+N(G650)+N(H650)-N(I650)+N(J650))</f>
        <v/>
      </c>
      <c r="L650" s="67"/>
      <c r="M650" s="67"/>
      <c r="N650" s="67"/>
      <c r="O650" s="67"/>
      <c r="P650" s="85" t="str">
        <f aca="false">IF(AH650="","",K650+N(L650)+N(M650)+N(N650)+N(O650))</f>
        <v/>
      </c>
      <c r="Q650" s="67"/>
      <c r="R650" s="67"/>
      <c r="S650" s="67"/>
      <c r="T650" s="67"/>
      <c r="U650" s="67"/>
      <c r="V650" s="67"/>
      <c r="W650" s="85" t="str">
        <f aca="false">IF(AH650="","",N(Q650)+N(R650)+N(S650)+N(T650)+N(U650)+N(V650))</f>
        <v/>
      </c>
      <c r="X650" s="85" t="str">
        <f aca="false">IF(AH650="","",P650-W650)</f>
        <v/>
      </c>
      <c r="Y650" s="67"/>
      <c r="Z650" s="70" t="str">
        <f aca="false">IF(OR(AH650="",Y650=""),"",IF(ABS(X650-Y650)&lt;=1,"✓ Cuadra","⚠ Diferencia $"&amp;FIXED(X650-Y650,0)))</f>
        <v/>
      </c>
      <c r="AA650" s="72" t="str">
        <f aca="false">IF(AH650="","",IFERROR(INDEX(C_TIPO,MATCH(C650&amp;"-P"&amp;MAX(1,COUNTIFS(C_ID,C650,C_DEFINE,"Sí",C_INICIO,"&lt;="&amp;EOMONTH(B650,0))),C_CLAVE,0))&amp;"","Sin dato"))</f>
        <v/>
      </c>
      <c r="AB650" s="71" t="str">
        <f aca="false">IF(AH650="","",ROUND(MIN(K650,TOPE_AFP_UF*AJ650)*AK650,0))</f>
        <v/>
      </c>
      <c r="AC650" s="71" t="str">
        <f aca="false">IF(AH650="","",ROUND(MIN(K650,TOPE_AFC_UF*AJ650)*IF(AA650="Indefinido",AFC_EMP_INDEF,AFC_EMP_PF),0))</f>
        <v/>
      </c>
      <c r="AD650" s="71" t="str">
        <f aca="false">IF(AH650="","",ROUND(MIN(K650,TOPE_AFP_UF*AJ650)*(MUTUAL_BASICA+MUTUAL_ADIC+SANNA),0))</f>
        <v/>
      </c>
      <c r="AE650" s="71" t="str">
        <f aca="false">IF(AH650="","",P650-N(N650)+AB650+AC650+AD650)</f>
        <v/>
      </c>
      <c r="AF650" s="65"/>
      <c r="AG650" s="64"/>
      <c r="AH650" s="72" t="str">
        <f aca="false">IF(OR(B650="",C650=""),"",C650&amp;"|"&amp;(YEAR(B650)*100+MONTH(B650)))</f>
        <v/>
      </c>
      <c r="AI650" s="70" t="str">
        <f aca="false">IF(AH650="","",IF(COUNTIF(L_CLAVE,AH650)&gt;1,"⚠ Duplicado","OK"))</f>
        <v/>
      </c>
      <c r="AJ650" s="86" t="str">
        <f aca="false">IF(AH650="","",IF(SUMPRODUCT(MAX((IND_PER&lt;=B650)*(IND_UF&lt;&gt;"")*IND_PER))=0,UF_HOY,INDEX(IND_UF,MATCH(SUMPRODUCT(MAX((IND_PER&lt;=B650)*(IND_UF&lt;&gt;"")*IND_PER)),IND_PER,0))))</f>
        <v/>
      </c>
      <c r="AK650" s="87" t="str">
        <f aca="false">IF(AH650="","",IF(COUNTIF(TASA_DESDE,"&lt;="&amp;B650)=0,INDEX(TASA_EMP,1),INDEX(TASA_EMP,COUNTIF(TASA_DESDE,"&lt;="&amp;B650))))</f>
        <v/>
      </c>
    </row>
    <row r="651" customFormat="false" ht="15" hidden="false" customHeight="false" outlineLevel="0" collapsed="false">
      <c r="B651" s="78"/>
      <c r="C651" s="64"/>
      <c r="D651" s="72" t="str">
        <f aca="false">IF(C651="","",IFERROR(INDEX(T_NOMBRE,MATCH(C651,T_ID,0)),"⚠ ID no existe"))</f>
        <v/>
      </c>
      <c r="E651" s="69"/>
      <c r="F651" s="67"/>
      <c r="G651" s="67"/>
      <c r="H651" s="67"/>
      <c r="I651" s="67"/>
      <c r="J651" s="67"/>
      <c r="K651" s="85" t="str">
        <f aca="false">IF(AH651="","",N(F651)+N(G651)+N(H651)-N(I651)+N(J651))</f>
        <v/>
      </c>
      <c r="L651" s="67"/>
      <c r="M651" s="67"/>
      <c r="N651" s="67"/>
      <c r="O651" s="67"/>
      <c r="P651" s="85" t="str">
        <f aca="false">IF(AH651="","",K651+N(L651)+N(M651)+N(N651)+N(O651))</f>
        <v/>
      </c>
      <c r="Q651" s="67"/>
      <c r="R651" s="67"/>
      <c r="S651" s="67"/>
      <c r="T651" s="67"/>
      <c r="U651" s="67"/>
      <c r="V651" s="67"/>
      <c r="W651" s="85" t="str">
        <f aca="false">IF(AH651="","",N(Q651)+N(R651)+N(S651)+N(T651)+N(U651)+N(V651))</f>
        <v/>
      </c>
      <c r="X651" s="85" t="str">
        <f aca="false">IF(AH651="","",P651-W651)</f>
        <v/>
      </c>
      <c r="Y651" s="67"/>
      <c r="Z651" s="70" t="str">
        <f aca="false">IF(OR(AH651="",Y651=""),"",IF(ABS(X651-Y651)&lt;=1,"✓ Cuadra","⚠ Diferencia $"&amp;FIXED(X651-Y651,0)))</f>
        <v/>
      </c>
      <c r="AA651" s="72" t="str">
        <f aca="false">IF(AH651="","",IFERROR(INDEX(C_TIPO,MATCH(C651&amp;"-P"&amp;MAX(1,COUNTIFS(C_ID,C651,C_DEFINE,"Sí",C_INICIO,"&lt;="&amp;EOMONTH(B651,0))),C_CLAVE,0))&amp;"","Sin dato"))</f>
        <v/>
      </c>
      <c r="AB651" s="71" t="str">
        <f aca="false">IF(AH651="","",ROUND(MIN(K651,TOPE_AFP_UF*AJ651)*AK651,0))</f>
        <v/>
      </c>
      <c r="AC651" s="71" t="str">
        <f aca="false">IF(AH651="","",ROUND(MIN(K651,TOPE_AFC_UF*AJ651)*IF(AA651="Indefinido",AFC_EMP_INDEF,AFC_EMP_PF),0))</f>
        <v/>
      </c>
      <c r="AD651" s="71" t="str">
        <f aca="false">IF(AH651="","",ROUND(MIN(K651,TOPE_AFP_UF*AJ651)*(MUTUAL_BASICA+MUTUAL_ADIC+SANNA),0))</f>
        <v/>
      </c>
      <c r="AE651" s="71" t="str">
        <f aca="false">IF(AH651="","",P651-N(N651)+AB651+AC651+AD651)</f>
        <v/>
      </c>
      <c r="AF651" s="65"/>
      <c r="AG651" s="64"/>
      <c r="AH651" s="72" t="str">
        <f aca="false">IF(OR(B651="",C651=""),"",C651&amp;"|"&amp;(YEAR(B651)*100+MONTH(B651)))</f>
        <v/>
      </c>
      <c r="AI651" s="70" t="str">
        <f aca="false">IF(AH651="","",IF(COUNTIF(L_CLAVE,AH651)&gt;1,"⚠ Duplicado","OK"))</f>
        <v/>
      </c>
      <c r="AJ651" s="86" t="str">
        <f aca="false">IF(AH651="","",IF(SUMPRODUCT(MAX((IND_PER&lt;=B651)*(IND_UF&lt;&gt;"")*IND_PER))=0,UF_HOY,INDEX(IND_UF,MATCH(SUMPRODUCT(MAX((IND_PER&lt;=B651)*(IND_UF&lt;&gt;"")*IND_PER)),IND_PER,0))))</f>
        <v/>
      </c>
      <c r="AK651" s="87" t="str">
        <f aca="false">IF(AH651="","",IF(COUNTIF(TASA_DESDE,"&lt;="&amp;B651)=0,INDEX(TASA_EMP,1),INDEX(TASA_EMP,COUNTIF(TASA_DESDE,"&lt;="&amp;B651))))</f>
        <v/>
      </c>
    </row>
    <row r="652" customFormat="false" ht="15" hidden="false" customHeight="false" outlineLevel="0" collapsed="false">
      <c r="B652" s="78"/>
      <c r="C652" s="64"/>
      <c r="D652" s="72" t="str">
        <f aca="false">IF(C652="","",IFERROR(INDEX(T_NOMBRE,MATCH(C652,T_ID,0)),"⚠ ID no existe"))</f>
        <v/>
      </c>
      <c r="E652" s="69"/>
      <c r="F652" s="67"/>
      <c r="G652" s="67"/>
      <c r="H652" s="67"/>
      <c r="I652" s="67"/>
      <c r="J652" s="67"/>
      <c r="K652" s="85" t="str">
        <f aca="false">IF(AH652="","",N(F652)+N(G652)+N(H652)-N(I652)+N(J652))</f>
        <v/>
      </c>
      <c r="L652" s="67"/>
      <c r="M652" s="67"/>
      <c r="N652" s="67"/>
      <c r="O652" s="67"/>
      <c r="P652" s="85" t="str">
        <f aca="false">IF(AH652="","",K652+N(L652)+N(M652)+N(N652)+N(O652))</f>
        <v/>
      </c>
      <c r="Q652" s="67"/>
      <c r="R652" s="67"/>
      <c r="S652" s="67"/>
      <c r="T652" s="67"/>
      <c r="U652" s="67"/>
      <c r="V652" s="67"/>
      <c r="W652" s="85" t="str">
        <f aca="false">IF(AH652="","",N(Q652)+N(R652)+N(S652)+N(T652)+N(U652)+N(V652))</f>
        <v/>
      </c>
      <c r="X652" s="85" t="str">
        <f aca="false">IF(AH652="","",P652-W652)</f>
        <v/>
      </c>
      <c r="Y652" s="67"/>
      <c r="Z652" s="70" t="str">
        <f aca="false">IF(OR(AH652="",Y652=""),"",IF(ABS(X652-Y652)&lt;=1,"✓ Cuadra","⚠ Diferencia $"&amp;FIXED(X652-Y652,0)))</f>
        <v/>
      </c>
      <c r="AA652" s="72" t="str">
        <f aca="false">IF(AH652="","",IFERROR(INDEX(C_TIPO,MATCH(C652&amp;"-P"&amp;MAX(1,COUNTIFS(C_ID,C652,C_DEFINE,"Sí",C_INICIO,"&lt;="&amp;EOMONTH(B652,0))),C_CLAVE,0))&amp;"","Sin dato"))</f>
        <v/>
      </c>
      <c r="AB652" s="71" t="str">
        <f aca="false">IF(AH652="","",ROUND(MIN(K652,TOPE_AFP_UF*AJ652)*AK652,0))</f>
        <v/>
      </c>
      <c r="AC652" s="71" t="str">
        <f aca="false">IF(AH652="","",ROUND(MIN(K652,TOPE_AFC_UF*AJ652)*IF(AA652="Indefinido",AFC_EMP_INDEF,AFC_EMP_PF),0))</f>
        <v/>
      </c>
      <c r="AD652" s="71" t="str">
        <f aca="false">IF(AH652="","",ROUND(MIN(K652,TOPE_AFP_UF*AJ652)*(MUTUAL_BASICA+MUTUAL_ADIC+SANNA),0))</f>
        <v/>
      </c>
      <c r="AE652" s="71" t="str">
        <f aca="false">IF(AH652="","",P652-N(N652)+AB652+AC652+AD652)</f>
        <v/>
      </c>
      <c r="AF652" s="65"/>
      <c r="AG652" s="64"/>
      <c r="AH652" s="72" t="str">
        <f aca="false">IF(OR(B652="",C652=""),"",C652&amp;"|"&amp;(YEAR(B652)*100+MONTH(B652)))</f>
        <v/>
      </c>
      <c r="AI652" s="70" t="str">
        <f aca="false">IF(AH652="","",IF(COUNTIF(L_CLAVE,AH652)&gt;1,"⚠ Duplicado","OK"))</f>
        <v/>
      </c>
      <c r="AJ652" s="86" t="str">
        <f aca="false">IF(AH652="","",IF(SUMPRODUCT(MAX((IND_PER&lt;=B652)*(IND_UF&lt;&gt;"")*IND_PER))=0,UF_HOY,INDEX(IND_UF,MATCH(SUMPRODUCT(MAX((IND_PER&lt;=B652)*(IND_UF&lt;&gt;"")*IND_PER)),IND_PER,0))))</f>
        <v/>
      </c>
      <c r="AK652" s="87" t="str">
        <f aca="false">IF(AH652="","",IF(COUNTIF(TASA_DESDE,"&lt;="&amp;B652)=0,INDEX(TASA_EMP,1),INDEX(TASA_EMP,COUNTIF(TASA_DESDE,"&lt;="&amp;B652))))</f>
        <v/>
      </c>
    </row>
    <row r="653" customFormat="false" ht="15" hidden="false" customHeight="false" outlineLevel="0" collapsed="false">
      <c r="B653" s="78"/>
      <c r="C653" s="64"/>
      <c r="D653" s="72" t="str">
        <f aca="false">IF(C653="","",IFERROR(INDEX(T_NOMBRE,MATCH(C653,T_ID,0)),"⚠ ID no existe"))</f>
        <v/>
      </c>
      <c r="E653" s="69"/>
      <c r="F653" s="67"/>
      <c r="G653" s="67"/>
      <c r="H653" s="67"/>
      <c r="I653" s="67"/>
      <c r="J653" s="67"/>
      <c r="K653" s="85" t="str">
        <f aca="false">IF(AH653="","",N(F653)+N(G653)+N(H653)-N(I653)+N(J653))</f>
        <v/>
      </c>
      <c r="L653" s="67"/>
      <c r="M653" s="67"/>
      <c r="N653" s="67"/>
      <c r="O653" s="67"/>
      <c r="P653" s="85" t="str">
        <f aca="false">IF(AH653="","",K653+N(L653)+N(M653)+N(N653)+N(O653))</f>
        <v/>
      </c>
      <c r="Q653" s="67"/>
      <c r="R653" s="67"/>
      <c r="S653" s="67"/>
      <c r="T653" s="67"/>
      <c r="U653" s="67"/>
      <c r="V653" s="67"/>
      <c r="W653" s="85" t="str">
        <f aca="false">IF(AH653="","",N(Q653)+N(R653)+N(S653)+N(T653)+N(U653)+N(V653))</f>
        <v/>
      </c>
      <c r="X653" s="85" t="str">
        <f aca="false">IF(AH653="","",P653-W653)</f>
        <v/>
      </c>
      <c r="Y653" s="67"/>
      <c r="Z653" s="70" t="str">
        <f aca="false">IF(OR(AH653="",Y653=""),"",IF(ABS(X653-Y653)&lt;=1,"✓ Cuadra","⚠ Diferencia $"&amp;FIXED(X653-Y653,0)))</f>
        <v/>
      </c>
      <c r="AA653" s="72" t="str">
        <f aca="false">IF(AH653="","",IFERROR(INDEX(C_TIPO,MATCH(C653&amp;"-P"&amp;MAX(1,COUNTIFS(C_ID,C653,C_DEFINE,"Sí",C_INICIO,"&lt;="&amp;EOMONTH(B653,0))),C_CLAVE,0))&amp;"","Sin dato"))</f>
        <v/>
      </c>
      <c r="AB653" s="71" t="str">
        <f aca="false">IF(AH653="","",ROUND(MIN(K653,TOPE_AFP_UF*AJ653)*AK653,0))</f>
        <v/>
      </c>
      <c r="AC653" s="71" t="str">
        <f aca="false">IF(AH653="","",ROUND(MIN(K653,TOPE_AFC_UF*AJ653)*IF(AA653="Indefinido",AFC_EMP_INDEF,AFC_EMP_PF),0))</f>
        <v/>
      </c>
      <c r="AD653" s="71" t="str">
        <f aca="false">IF(AH653="","",ROUND(MIN(K653,TOPE_AFP_UF*AJ653)*(MUTUAL_BASICA+MUTUAL_ADIC+SANNA),0))</f>
        <v/>
      </c>
      <c r="AE653" s="71" t="str">
        <f aca="false">IF(AH653="","",P653-N(N653)+AB653+AC653+AD653)</f>
        <v/>
      </c>
      <c r="AF653" s="65"/>
      <c r="AG653" s="64"/>
      <c r="AH653" s="72" t="str">
        <f aca="false">IF(OR(B653="",C653=""),"",C653&amp;"|"&amp;(YEAR(B653)*100+MONTH(B653)))</f>
        <v/>
      </c>
      <c r="AI653" s="70" t="str">
        <f aca="false">IF(AH653="","",IF(COUNTIF(L_CLAVE,AH653)&gt;1,"⚠ Duplicado","OK"))</f>
        <v/>
      </c>
      <c r="AJ653" s="86" t="str">
        <f aca="false">IF(AH653="","",IF(SUMPRODUCT(MAX((IND_PER&lt;=B653)*(IND_UF&lt;&gt;"")*IND_PER))=0,UF_HOY,INDEX(IND_UF,MATCH(SUMPRODUCT(MAX((IND_PER&lt;=B653)*(IND_UF&lt;&gt;"")*IND_PER)),IND_PER,0))))</f>
        <v/>
      </c>
      <c r="AK653" s="87" t="str">
        <f aca="false">IF(AH653="","",IF(COUNTIF(TASA_DESDE,"&lt;="&amp;B653)=0,INDEX(TASA_EMP,1),INDEX(TASA_EMP,COUNTIF(TASA_DESDE,"&lt;="&amp;B653))))</f>
        <v/>
      </c>
    </row>
    <row r="654" customFormat="false" ht="15" hidden="false" customHeight="false" outlineLevel="0" collapsed="false">
      <c r="B654" s="78"/>
      <c r="C654" s="64"/>
      <c r="D654" s="72" t="str">
        <f aca="false">IF(C654="","",IFERROR(INDEX(T_NOMBRE,MATCH(C654,T_ID,0)),"⚠ ID no existe"))</f>
        <v/>
      </c>
      <c r="E654" s="69"/>
      <c r="F654" s="67"/>
      <c r="G654" s="67"/>
      <c r="H654" s="67"/>
      <c r="I654" s="67"/>
      <c r="J654" s="67"/>
      <c r="K654" s="85" t="str">
        <f aca="false">IF(AH654="","",N(F654)+N(G654)+N(H654)-N(I654)+N(J654))</f>
        <v/>
      </c>
      <c r="L654" s="67"/>
      <c r="M654" s="67"/>
      <c r="N654" s="67"/>
      <c r="O654" s="67"/>
      <c r="P654" s="85" t="str">
        <f aca="false">IF(AH654="","",K654+N(L654)+N(M654)+N(N654)+N(O654))</f>
        <v/>
      </c>
      <c r="Q654" s="67"/>
      <c r="R654" s="67"/>
      <c r="S654" s="67"/>
      <c r="T654" s="67"/>
      <c r="U654" s="67"/>
      <c r="V654" s="67"/>
      <c r="W654" s="85" t="str">
        <f aca="false">IF(AH654="","",N(Q654)+N(R654)+N(S654)+N(T654)+N(U654)+N(V654))</f>
        <v/>
      </c>
      <c r="X654" s="85" t="str">
        <f aca="false">IF(AH654="","",P654-W654)</f>
        <v/>
      </c>
      <c r="Y654" s="67"/>
      <c r="Z654" s="70" t="str">
        <f aca="false">IF(OR(AH654="",Y654=""),"",IF(ABS(X654-Y654)&lt;=1,"✓ Cuadra","⚠ Diferencia $"&amp;FIXED(X654-Y654,0)))</f>
        <v/>
      </c>
      <c r="AA654" s="72" t="str">
        <f aca="false">IF(AH654="","",IFERROR(INDEX(C_TIPO,MATCH(C654&amp;"-P"&amp;MAX(1,COUNTIFS(C_ID,C654,C_DEFINE,"Sí",C_INICIO,"&lt;="&amp;EOMONTH(B654,0))),C_CLAVE,0))&amp;"","Sin dato"))</f>
        <v/>
      </c>
      <c r="AB654" s="71" t="str">
        <f aca="false">IF(AH654="","",ROUND(MIN(K654,TOPE_AFP_UF*AJ654)*AK654,0))</f>
        <v/>
      </c>
      <c r="AC654" s="71" t="str">
        <f aca="false">IF(AH654="","",ROUND(MIN(K654,TOPE_AFC_UF*AJ654)*IF(AA654="Indefinido",AFC_EMP_INDEF,AFC_EMP_PF),0))</f>
        <v/>
      </c>
      <c r="AD654" s="71" t="str">
        <f aca="false">IF(AH654="","",ROUND(MIN(K654,TOPE_AFP_UF*AJ654)*(MUTUAL_BASICA+MUTUAL_ADIC+SANNA),0))</f>
        <v/>
      </c>
      <c r="AE654" s="71" t="str">
        <f aca="false">IF(AH654="","",P654-N(N654)+AB654+AC654+AD654)</f>
        <v/>
      </c>
      <c r="AF654" s="65"/>
      <c r="AG654" s="64"/>
      <c r="AH654" s="72" t="str">
        <f aca="false">IF(OR(B654="",C654=""),"",C654&amp;"|"&amp;(YEAR(B654)*100+MONTH(B654)))</f>
        <v/>
      </c>
      <c r="AI654" s="70" t="str">
        <f aca="false">IF(AH654="","",IF(COUNTIF(L_CLAVE,AH654)&gt;1,"⚠ Duplicado","OK"))</f>
        <v/>
      </c>
      <c r="AJ654" s="86" t="str">
        <f aca="false">IF(AH654="","",IF(SUMPRODUCT(MAX((IND_PER&lt;=B654)*(IND_UF&lt;&gt;"")*IND_PER))=0,UF_HOY,INDEX(IND_UF,MATCH(SUMPRODUCT(MAX((IND_PER&lt;=B654)*(IND_UF&lt;&gt;"")*IND_PER)),IND_PER,0))))</f>
        <v/>
      </c>
      <c r="AK654" s="87" t="str">
        <f aca="false">IF(AH654="","",IF(COUNTIF(TASA_DESDE,"&lt;="&amp;B654)=0,INDEX(TASA_EMP,1),INDEX(TASA_EMP,COUNTIF(TASA_DESDE,"&lt;="&amp;B654))))</f>
        <v/>
      </c>
    </row>
    <row r="655" customFormat="false" ht="15" hidden="false" customHeight="false" outlineLevel="0" collapsed="false">
      <c r="B655" s="78"/>
      <c r="C655" s="64"/>
      <c r="D655" s="72" t="str">
        <f aca="false">IF(C655="","",IFERROR(INDEX(T_NOMBRE,MATCH(C655,T_ID,0)),"⚠ ID no existe"))</f>
        <v/>
      </c>
      <c r="E655" s="69"/>
      <c r="F655" s="67"/>
      <c r="G655" s="67"/>
      <c r="H655" s="67"/>
      <c r="I655" s="67"/>
      <c r="J655" s="67"/>
      <c r="K655" s="85" t="str">
        <f aca="false">IF(AH655="","",N(F655)+N(G655)+N(H655)-N(I655)+N(J655))</f>
        <v/>
      </c>
      <c r="L655" s="67"/>
      <c r="M655" s="67"/>
      <c r="N655" s="67"/>
      <c r="O655" s="67"/>
      <c r="P655" s="85" t="str">
        <f aca="false">IF(AH655="","",K655+N(L655)+N(M655)+N(N655)+N(O655))</f>
        <v/>
      </c>
      <c r="Q655" s="67"/>
      <c r="R655" s="67"/>
      <c r="S655" s="67"/>
      <c r="T655" s="67"/>
      <c r="U655" s="67"/>
      <c r="V655" s="67"/>
      <c r="W655" s="85" t="str">
        <f aca="false">IF(AH655="","",N(Q655)+N(R655)+N(S655)+N(T655)+N(U655)+N(V655))</f>
        <v/>
      </c>
      <c r="X655" s="85" t="str">
        <f aca="false">IF(AH655="","",P655-W655)</f>
        <v/>
      </c>
      <c r="Y655" s="67"/>
      <c r="Z655" s="70" t="str">
        <f aca="false">IF(OR(AH655="",Y655=""),"",IF(ABS(X655-Y655)&lt;=1,"✓ Cuadra","⚠ Diferencia $"&amp;FIXED(X655-Y655,0)))</f>
        <v/>
      </c>
      <c r="AA655" s="72" t="str">
        <f aca="false">IF(AH655="","",IFERROR(INDEX(C_TIPO,MATCH(C655&amp;"-P"&amp;MAX(1,COUNTIFS(C_ID,C655,C_DEFINE,"Sí",C_INICIO,"&lt;="&amp;EOMONTH(B655,0))),C_CLAVE,0))&amp;"","Sin dato"))</f>
        <v/>
      </c>
      <c r="AB655" s="71" t="str">
        <f aca="false">IF(AH655="","",ROUND(MIN(K655,TOPE_AFP_UF*AJ655)*AK655,0))</f>
        <v/>
      </c>
      <c r="AC655" s="71" t="str">
        <f aca="false">IF(AH655="","",ROUND(MIN(K655,TOPE_AFC_UF*AJ655)*IF(AA655="Indefinido",AFC_EMP_INDEF,AFC_EMP_PF),0))</f>
        <v/>
      </c>
      <c r="AD655" s="71" t="str">
        <f aca="false">IF(AH655="","",ROUND(MIN(K655,TOPE_AFP_UF*AJ655)*(MUTUAL_BASICA+MUTUAL_ADIC+SANNA),0))</f>
        <v/>
      </c>
      <c r="AE655" s="71" t="str">
        <f aca="false">IF(AH655="","",P655-N(N655)+AB655+AC655+AD655)</f>
        <v/>
      </c>
      <c r="AF655" s="65"/>
      <c r="AG655" s="64"/>
      <c r="AH655" s="72" t="str">
        <f aca="false">IF(OR(B655="",C655=""),"",C655&amp;"|"&amp;(YEAR(B655)*100+MONTH(B655)))</f>
        <v/>
      </c>
      <c r="AI655" s="70" t="str">
        <f aca="false">IF(AH655="","",IF(COUNTIF(L_CLAVE,AH655)&gt;1,"⚠ Duplicado","OK"))</f>
        <v/>
      </c>
      <c r="AJ655" s="86" t="str">
        <f aca="false">IF(AH655="","",IF(SUMPRODUCT(MAX((IND_PER&lt;=B655)*(IND_UF&lt;&gt;"")*IND_PER))=0,UF_HOY,INDEX(IND_UF,MATCH(SUMPRODUCT(MAX((IND_PER&lt;=B655)*(IND_UF&lt;&gt;"")*IND_PER)),IND_PER,0))))</f>
        <v/>
      </c>
      <c r="AK655" s="87" t="str">
        <f aca="false">IF(AH655="","",IF(COUNTIF(TASA_DESDE,"&lt;="&amp;B655)=0,INDEX(TASA_EMP,1),INDEX(TASA_EMP,COUNTIF(TASA_DESDE,"&lt;="&amp;B655))))</f>
        <v/>
      </c>
    </row>
    <row r="656" customFormat="false" ht="15" hidden="false" customHeight="false" outlineLevel="0" collapsed="false">
      <c r="B656" s="78"/>
      <c r="C656" s="64"/>
      <c r="D656" s="72" t="str">
        <f aca="false">IF(C656="","",IFERROR(INDEX(T_NOMBRE,MATCH(C656,T_ID,0)),"⚠ ID no existe"))</f>
        <v/>
      </c>
      <c r="E656" s="69"/>
      <c r="F656" s="67"/>
      <c r="G656" s="67"/>
      <c r="H656" s="67"/>
      <c r="I656" s="67"/>
      <c r="J656" s="67"/>
      <c r="K656" s="85" t="str">
        <f aca="false">IF(AH656="","",N(F656)+N(G656)+N(H656)-N(I656)+N(J656))</f>
        <v/>
      </c>
      <c r="L656" s="67"/>
      <c r="M656" s="67"/>
      <c r="N656" s="67"/>
      <c r="O656" s="67"/>
      <c r="P656" s="85" t="str">
        <f aca="false">IF(AH656="","",K656+N(L656)+N(M656)+N(N656)+N(O656))</f>
        <v/>
      </c>
      <c r="Q656" s="67"/>
      <c r="R656" s="67"/>
      <c r="S656" s="67"/>
      <c r="T656" s="67"/>
      <c r="U656" s="67"/>
      <c r="V656" s="67"/>
      <c r="W656" s="85" t="str">
        <f aca="false">IF(AH656="","",N(Q656)+N(R656)+N(S656)+N(T656)+N(U656)+N(V656))</f>
        <v/>
      </c>
      <c r="X656" s="85" t="str">
        <f aca="false">IF(AH656="","",P656-W656)</f>
        <v/>
      </c>
      <c r="Y656" s="67"/>
      <c r="Z656" s="70" t="str">
        <f aca="false">IF(OR(AH656="",Y656=""),"",IF(ABS(X656-Y656)&lt;=1,"✓ Cuadra","⚠ Diferencia $"&amp;FIXED(X656-Y656,0)))</f>
        <v/>
      </c>
      <c r="AA656" s="72" t="str">
        <f aca="false">IF(AH656="","",IFERROR(INDEX(C_TIPO,MATCH(C656&amp;"-P"&amp;MAX(1,COUNTIFS(C_ID,C656,C_DEFINE,"Sí",C_INICIO,"&lt;="&amp;EOMONTH(B656,0))),C_CLAVE,0))&amp;"","Sin dato"))</f>
        <v/>
      </c>
      <c r="AB656" s="71" t="str">
        <f aca="false">IF(AH656="","",ROUND(MIN(K656,TOPE_AFP_UF*AJ656)*AK656,0))</f>
        <v/>
      </c>
      <c r="AC656" s="71" t="str">
        <f aca="false">IF(AH656="","",ROUND(MIN(K656,TOPE_AFC_UF*AJ656)*IF(AA656="Indefinido",AFC_EMP_INDEF,AFC_EMP_PF),0))</f>
        <v/>
      </c>
      <c r="AD656" s="71" t="str">
        <f aca="false">IF(AH656="","",ROUND(MIN(K656,TOPE_AFP_UF*AJ656)*(MUTUAL_BASICA+MUTUAL_ADIC+SANNA),0))</f>
        <v/>
      </c>
      <c r="AE656" s="71" t="str">
        <f aca="false">IF(AH656="","",P656-N(N656)+AB656+AC656+AD656)</f>
        <v/>
      </c>
      <c r="AF656" s="65"/>
      <c r="AG656" s="64"/>
      <c r="AH656" s="72" t="str">
        <f aca="false">IF(OR(B656="",C656=""),"",C656&amp;"|"&amp;(YEAR(B656)*100+MONTH(B656)))</f>
        <v/>
      </c>
      <c r="AI656" s="70" t="str">
        <f aca="false">IF(AH656="","",IF(COUNTIF(L_CLAVE,AH656)&gt;1,"⚠ Duplicado","OK"))</f>
        <v/>
      </c>
      <c r="AJ656" s="86" t="str">
        <f aca="false">IF(AH656="","",IF(SUMPRODUCT(MAX((IND_PER&lt;=B656)*(IND_UF&lt;&gt;"")*IND_PER))=0,UF_HOY,INDEX(IND_UF,MATCH(SUMPRODUCT(MAX((IND_PER&lt;=B656)*(IND_UF&lt;&gt;"")*IND_PER)),IND_PER,0))))</f>
        <v/>
      </c>
      <c r="AK656" s="87" t="str">
        <f aca="false">IF(AH656="","",IF(COUNTIF(TASA_DESDE,"&lt;="&amp;B656)=0,INDEX(TASA_EMP,1),INDEX(TASA_EMP,COUNTIF(TASA_DESDE,"&lt;="&amp;B656))))</f>
        <v/>
      </c>
    </row>
    <row r="657" customFormat="false" ht="15" hidden="false" customHeight="false" outlineLevel="0" collapsed="false">
      <c r="B657" s="78"/>
      <c r="C657" s="64"/>
      <c r="D657" s="72" t="str">
        <f aca="false">IF(C657="","",IFERROR(INDEX(T_NOMBRE,MATCH(C657,T_ID,0)),"⚠ ID no existe"))</f>
        <v/>
      </c>
      <c r="E657" s="69"/>
      <c r="F657" s="67"/>
      <c r="G657" s="67"/>
      <c r="H657" s="67"/>
      <c r="I657" s="67"/>
      <c r="J657" s="67"/>
      <c r="K657" s="85" t="str">
        <f aca="false">IF(AH657="","",N(F657)+N(G657)+N(H657)-N(I657)+N(J657))</f>
        <v/>
      </c>
      <c r="L657" s="67"/>
      <c r="M657" s="67"/>
      <c r="N657" s="67"/>
      <c r="O657" s="67"/>
      <c r="P657" s="85" t="str">
        <f aca="false">IF(AH657="","",K657+N(L657)+N(M657)+N(N657)+N(O657))</f>
        <v/>
      </c>
      <c r="Q657" s="67"/>
      <c r="R657" s="67"/>
      <c r="S657" s="67"/>
      <c r="T657" s="67"/>
      <c r="U657" s="67"/>
      <c r="V657" s="67"/>
      <c r="W657" s="85" t="str">
        <f aca="false">IF(AH657="","",N(Q657)+N(R657)+N(S657)+N(T657)+N(U657)+N(V657))</f>
        <v/>
      </c>
      <c r="X657" s="85" t="str">
        <f aca="false">IF(AH657="","",P657-W657)</f>
        <v/>
      </c>
      <c r="Y657" s="67"/>
      <c r="Z657" s="70" t="str">
        <f aca="false">IF(OR(AH657="",Y657=""),"",IF(ABS(X657-Y657)&lt;=1,"✓ Cuadra","⚠ Diferencia $"&amp;FIXED(X657-Y657,0)))</f>
        <v/>
      </c>
      <c r="AA657" s="72" t="str">
        <f aca="false">IF(AH657="","",IFERROR(INDEX(C_TIPO,MATCH(C657&amp;"-P"&amp;MAX(1,COUNTIFS(C_ID,C657,C_DEFINE,"Sí",C_INICIO,"&lt;="&amp;EOMONTH(B657,0))),C_CLAVE,0))&amp;"","Sin dato"))</f>
        <v/>
      </c>
      <c r="AB657" s="71" t="str">
        <f aca="false">IF(AH657="","",ROUND(MIN(K657,TOPE_AFP_UF*AJ657)*AK657,0))</f>
        <v/>
      </c>
      <c r="AC657" s="71" t="str">
        <f aca="false">IF(AH657="","",ROUND(MIN(K657,TOPE_AFC_UF*AJ657)*IF(AA657="Indefinido",AFC_EMP_INDEF,AFC_EMP_PF),0))</f>
        <v/>
      </c>
      <c r="AD657" s="71" t="str">
        <f aca="false">IF(AH657="","",ROUND(MIN(K657,TOPE_AFP_UF*AJ657)*(MUTUAL_BASICA+MUTUAL_ADIC+SANNA),0))</f>
        <v/>
      </c>
      <c r="AE657" s="71" t="str">
        <f aca="false">IF(AH657="","",P657-N(N657)+AB657+AC657+AD657)</f>
        <v/>
      </c>
      <c r="AF657" s="65"/>
      <c r="AG657" s="64"/>
      <c r="AH657" s="72" t="str">
        <f aca="false">IF(OR(B657="",C657=""),"",C657&amp;"|"&amp;(YEAR(B657)*100+MONTH(B657)))</f>
        <v/>
      </c>
      <c r="AI657" s="70" t="str">
        <f aca="false">IF(AH657="","",IF(COUNTIF(L_CLAVE,AH657)&gt;1,"⚠ Duplicado","OK"))</f>
        <v/>
      </c>
      <c r="AJ657" s="86" t="str">
        <f aca="false">IF(AH657="","",IF(SUMPRODUCT(MAX((IND_PER&lt;=B657)*(IND_UF&lt;&gt;"")*IND_PER))=0,UF_HOY,INDEX(IND_UF,MATCH(SUMPRODUCT(MAX((IND_PER&lt;=B657)*(IND_UF&lt;&gt;"")*IND_PER)),IND_PER,0))))</f>
        <v/>
      </c>
      <c r="AK657" s="87" t="str">
        <f aca="false">IF(AH657="","",IF(COUNTIF(TASA_DESDE,"&lt;="&amp;B657)=0,INDEX(TASA_EMP,1),INDEX(TASA_EMP,COUNTIF(TASA_DESDE,"&lt;="&amp;B657))))</f>
        <v/>
      </c>
    </row>
    <row r="658" customFormat="false" ht="15" hidden="false" customHeight="false" outlineLevel="0" collapsed="false">
      <c r="B658" s="78"/>
      <c r="C658" s="64"/>
      <c r="D658" s="72" t="str">
        <f aca="false">IF(C658="","",IFERROR(INDEX(T_NOMBRE,MATCH(C658,T_ID,0)),"⚠ ID no existe"))</f>
        <v/>
      </c>
      <c r="E658" s="69"/>
      <c r="F658" s="67"/>
      <c r="G658" s="67"/>
      <c r="H658" s="67"/>
      <c r="I658" s="67"/>
      <c r="J658" s="67"/>
      <c r="K658" s="85" t="str">
        <f aca="false">IF(AH658="","",N(F658)+N(G658)+N(H658)-N(I658)+N(J658))</f>
        <v/>
      </c>
      <c r="L658" s="67"/>
      <c r="M658" s="67"/>
      <c r="N658" s="67"/>
      <c r="O658" s="67"/>
      <c r="P658" s="85" t="str">
        <f aca="false">IF(AH658="","",K658+N(L658)+N(M658)+N(N658)+N(O658))</f>
        <v/>
      </c>
      <c r="Q658" s="67"/>
      <c r="R658" s="67"/>
      <c r="S658" s="67"/>
      <c r="T658" s="67"/>
      <c r="U658" s="67"/>
      <c r="V658" s="67"/>
      <c r="W658" s="85" t="str">
        <f aca="false">IF(AH658="","",N(Q658)+N(R658)+N(S658)+N(T658)+N(U658)+N(V658))</f>
        <v/>
      </c>
      <c r="X658" s="85" t="str">
        <f aca="false">IF(AH658="","",P658-W658)</f>
        <v/>
      </c>
      <c r="Y658" s="67"/>
      <c r="Z658" s="70" t="str">
        <f aca="false">IF(OR(AH658="",Y658=""),"",IF(ABS(X658-Y658)&lt;=1,"✓ Cuadra","⚠ Diferencia $"&amp;FIXED(X658-Y658,0)))</f>
        <v/>
      </c>
      <c r="AA658" s="72" t="str">
        <f aca="false">IF(AH658="","",IFERROR(INDEX(C_TIPO,MATCH(C658&amp;"-P"&amp;MAX(1,COUNTIFS(C_ID,C658,C_DEFINE,"Sí",C_INICIO,"&lt;="&amp;EOMONTH(B658,0))),C_CLAVE,0))&amp;"","Sin dato"))</f>
        <v/>
      </c>
      <c r="AB658" s="71" t="str">
        <f aca="false">IF(AH658="","",ROUND(MIN(K658,TOPE_AFP_UF*AJ658)*AK658,0))</f>
        <v/>
      </c>
      <c r="AC658" s="71" t="str">
        <f aca="false">IF(AH658="","",ROUND(MIN(K658,TOPE_AFC_UF*AJ658)*IF(AA658="Indefinido",AFC_EMP_INDEF,AFC_EMP_PF),0))</f>
        <v/>
      </c>
      <c r="AD658" s="71" t="str">
        <f aca="false">IF(AH658="","",ROUND(MIN(K658,TOPE_AFP_UF*AJ658)*(MUTUAL_BASICA+MUTUAL_ADIC+SANNA),0))</f>
        <v/>
      </c>
      <c r="AE658" s="71" t="str">
        <f aca="false">IF(AH658="","",P658-N(N658)+AB658+AC658+AD658)</f>
        <v/>
      </c>
      <c r="AF658" s="65"/>
      <c r="AG658" s="64"/>
      <c r="AH658" s="72" t="str">
        <f aca="false">IF(OR(B658="",C658=""),"",C658&amp;"|"&amp;(YEAR(B658)*100+MONTH(B658)))</f>
        <v/>
      </c>
      <c r="AI658" s="70" t="str">
        <f aca="false">IF(AH658="","",IF(COUNTIF(L_CLAVE,AH658)&gt;1,"⚠ Duplicado","OK"))</f>
        <v/>
      </c>
      <c r="AJ658" s="86" t="str">
        <f aca="false">IF(AH658="","",IF(SUMPRODUCT(MAX((IND_PER&lt;=B658)*(IND_UF&lt;&gt;"")*IND_PER))=0,UF_HOY,INDEX(IND_UF,MATCH(SUMPRODUCT(MAX((IND_PER&lt;=B658)*(IND_UF&lt;&gt;"")*IND_PER)),IND_PER,0))))</f>
        <v/>
      </c>
      <c r="AK658" s="87" t="str">
        <f aca="false">IF(AH658="","",IF(COUNTIF(TASA_DESDE,"&lt;="&amp;B658)=0,INDEX(TASA_EMP,1),INDEX(TASA_EMP,COUNTIF(TASA_DESDE,"&lt;="&amp;B658))))</f>
        <v/>
      </c>
    </row>
    <row r="659" customFormat="false" ht="15" hidden="false" customHeight="false" outlineLevel="0" collapsed="false">
      <c r="B659" s="78"/>
      <c r="C659" s="64"/>
      <c r="D659" s="72" t="str">
        <f aca="false">IF(C659="","",IFERROR(INDEX(T_NOMBRE,MATCH(C659,T_ID,0)),"⚠ ID no existe"))</f>
        <v/>
      </c>
      <c r="E659" s="69"/>
      <c r="F659" s="67"/>
      <c r="G659" s="67"/>
      <c r="H659" s="67"/>
      <c r="I659" s="67"/>
      <c r="J659" s="67"/>
      <c r="K659" s="85" t="str">
        <f aca="false">IF(AH659="","",N(F659)+N(G659)+N(H659)-N(I659)+N(J659))</f>
        <v/>
      </c>
      <c r="L659" s="67"/>
      <c r="M659" s="67"/>
      <c r="N659" s="67"/>
      <c r="O659" s="67"/>
      <c r="P659" s="85" t="str">
        <f aca="false">IF(AH659="","",K659+N(L659)+N(M659)+N(N659)+N(O659))</f>
        <v/>
      </c>
      <c r="Q659" s="67"/>
      <c r="R659" s="67"/>
      <c r="S659" s="67"/>
      <c r="T659" s="67"/>
      <c r="U659" s="67"/>
      <c r="V659" s="67"/>
      <c r="W659" s="85" t="str">
        <f aca="false">IF(AH659="","",N(Q659)+N(R659)+N(S659)+N(T659)+N(U659)+N(V659))</f>
        <v/>
      </c>
      <c r="X659" s="85" t="str">
        <f aca="false">IF(AH659="","",P659-W659)</f>
        <v/>
      </c>
      <c r="Y659" s="67"/>
      <c r="Z659" s="70" t="str">
        <f aca="false">IF(OR(AH659="",Y659=""),"",IF(ABS(X659-Y659)&lt;=1,"✓ Cuadra","⚠ Diferencia $"&amp;FIXED(X659-Y659,0)))</f>
        <v/>
      </c>
      <c r="AA659" s="72" t="str">
        <f aca="false">IF(AH659="","",IFERROR(INDEX(C_TIPO,MATCH(C659&amp;"-P"&amp;MAX(1,COUNTIFS(C_ID,C659,C_DEFINE,"Sí",C_INICIO,"&lt;="&amp;EOMONTH(B659,0))),C_CLAVE,0))&amp;"","Sin dato"))</f>
        <v/>
      </c>
      <c r="AB659" s="71" t="str">
        <f aca="false">IF(AH659="","",ROUND(MIN(K659,TOPE_AFP_UF*AJ659)*AK659,0))</f>
        <v/>
      </c>
      <c r="AC659" s="71" t="str">
        <f aca="false">IF(AH659="","",ROUND(MIN(K659,TOPE_AFC_UF*AJ659)*IF(AA659="Indefinido",AFC_EMP_INDEF,AFC_EMP_PF),0))</f>
        <v/>
      </c>
      <c r="AD659" s="71" t="str">
        <f aca="false">IF(AH659="","",ROUND(MIN(K659,TOPE_AFP_UF*AJ659)*(MUTUAL_BASICA+MUTUAL_ADIC+SANNA),0))</f>
        <v/>
      </c>
      <c r="AE659" s="71" t="str">
        <f aca="false">IF(AH659="","",P659-N(N659)+AB659+AC659+AD659)</f>
        <v/>
      </c>
      <c r="AF659" s="65"/>
      <c r="AG659" s="64"/>
      <c r="AH659" s="72" t="str">
        <f aca="false">IF(OR(B659="",C659=""),"",C659&amp;"|"&amp;(YEAR(B659)*100+MONTH(B659)))</f>
        <v/>
      </c>
      <c r="AI659" s="70" t="str">
        <f aca="false">IF(AH659="","",IF(COUNTIF(L_CLAVE,AH659)&gt;1,"⚠ Duplicado","OK"))</f>
        <v/>
      </c>
      <c r="AJ659" s="86" t="str">
        <f aca="false">IF(AH659="","",IF(SUMPRODUCT(MAX((IND_PER&lt;=B659)*(IND_UF&lt;&gt;"")*IND_PER))=0,UF_HOY,INDEX(IND_UF,MATCH(SUMPRODUCT(MAX((IND_PER&lt;=B659)*(IND_UF&lt;&gt;"")*IND_PER)),IND_PER,0))))</f>
        <v/>
      </c>
      <c r="AK659" s="87" t="str">
        <f aca="false">IF(AH659="","",IF(COUNTIF(TASA_DESDE,"&lt;="&amp;B659)=0,INDEX(TASA_EMP,1),INDEX(TASA_EMP,COUNTIF(TASA_DESDE,"&lt;="&amp;B659))))</f>
        <v/>
      </c>
    </row>
    <row r="660" customFormat="false" ht="15" hidden="false" customHeight="false" outlineLevel="0" collapsed="false">
      <c r="B660" s="78"/>
      <c r="C660" s="64"/>
      <c r="D660" s="72" t="str">
        <f aca="false">IF(C660="","",IFERROR(INDEX(T_NOMBRE,MATCH(C660,T_ID,0)),"⚠ ID no existe"))</f>
        <v/>
      </c>
      <c r="E660" s="69"/>
      <c r="F660" s="67"/>
      <c r="G660" s="67"/>
      <c r="H660" s="67"/>
      <c r="I660" s="67"/>
      <c r="J660" s="67"/>
      <c r="K660" s="85" t="str">
        <f aca="false">IF(AH660="","",N(F660)+N(G660)+N(H660)-N(I660)+N(J660))</f>
        <v/>
      </c>
      <c r="L660" s="67"/>
      <c r="M660" s="67"/>
      <c r="N660" s="67"/>
      <c r="O660" s="67"/>
      <c r="P660" s="85" t="str">
        <f aca="false">IF(AH660="","",K660+N(L660)+N(M660)+N(N660)+N(O660))</f>
        <v/>
      </c>
      <c r="Q660" s="67"/>
      <c r="R660" s="67"/>
      <c r="S660" s="67"/>
      <c r="T660" s="67"/>
      <c r="U660" s="67"/>
      <c r="V660" s="67"/>
      <c r="W660" s="85" t="str">
        <f aca="false">IF(AH660="","",N(Q660)+N(R660)+N(S660)+N(T660)+N(U660)+N(V660))</f>
        <v/>
      </c>
      <c r="X660" s="85" t="str">
        <f aca="false">IF(AH660="","",P660-W660)</f>
        <v/>
      </c>
      <c r="Y660" s="67"/>
      <c r="Z660" s="70" t="str">
        <f aca="false">IF(OR(AH660="",Y660=""),"",IF(ABS(X660-Y660)&lt;=1,"✓ Cuadra","⚠ Diferencia $"&amp;FIXED(X660-Y660,0)))</f>
        <v/>
      </c>
      <c r="AA660" s="72" t="str">
        <f aca="false">IF(AH660="","",IFERROR(INDEX(C_TIPO,MATCH(C660&amp;"-P"&amp;MAX(1,COUNTIFS(C_ID,C660,C_DEFINE,"Sí",C_INICIO,"&lt;="&amp;EOMONTH(B660,0))),C_CLAVE,0))&amp;"","Sin dato"))</f>
        <v/>
      </c>
      <c r="AB660" s="71" t="str">
        <f aca="false">IF(AH660="","",ROUND(MIN(K660,TOPE_AFP_UF*AJ660)*AK660,0))</f>
        <v/>
      </c>
      <c r="AC660" s="71" t="str">
        <f aca="false">IF(AH660="","",ROUND(MIN(K660,TOPE_AFC_UF*AJ660)*IF(AA660="Indefinido",AFC_EMP_INDEF,AFC_EMP_PF),0))</f>
        <v/>
      </c>
      <c r="AD660" s="71" t="str">
        <f aca="false">IF(AH660="","",ROUND(MIN(K660,TOPE_AFP_UF*AJ660)*(MUTUAL_BASICA+MUTUAL_ADIC+SANNA),0))</f>
        <v/>
      </c>
      <c r="AE660" s="71" t="str">
        <f aca="false">IF(AH660="","",P660-N(N660)+AB660+AC660+AD660)</f>
        <v/>
      </c>
      <c r="AF660" s="65"/>
      <c r="AG660" s="64"/>
      <c r="AH660" s="72" t="str">
        <f aca="false">IF(OR(B660="",C660=""),"",C660&amp;"|"&amp;(YEAR(B660)*100+MONTH(B660)))</f>
        <v/>
      </c>
      <c r="AI660" s="70" t="str">
        <f aca="false">IF(AH660="","",IF(COUNTIF(L_CLAVE,AH660)&gt;1,"⚠ Duplicado","OK"))</f>
        <v/>
      </c>
      <c r="AJ660" s="86" t="str">
        <f aca="false">IF(AH660="","",IF(SUMPRODUCT(MAX((IND_PER&lt;=B660)*(IND_UF&lt;&gt;"")*IND_PER))=0,UF_HOY,INDEX(IND_UF,MATCH(SUMPRODUCT(MAX((IND_PER&lt;=B660)*(IND_UF&lt;&gt;"")*IND_PER)),IND_PER,0))))</f>
        <v/>
      </c>
      <c r="AK660" s="87" t="str">
        <f aca="false">IF(AH660="","",IF(COUNTIF(TASA_DESDE,"&lt;="&amp;B660)=0,INDEX(TASA_EMP,1),INDEX(TASA_EMP,COUNTIF(TASA_DESDE,"&lt;="&amp;B660))))</f>
        <v/>
      </c>
    </row>
    <row r="661" customFormat="false" ht="15" hidden="false" customHeight="false" outlineLevel="0" collapsed="false">
      <c r="B661" s="78"/>
      <c r="C661" s="64"/>
      <c r="D661" s="72" t="str">
        <f aca="false">IF(C661="","",IFERROR(INDEX(T_NOMBRE,MATCH(C661,T_ID,0)),"⚠ ID no existe"))</f>
        <v/>
      </c>
      <c r="E661" s="69"/>
      <c r="F661" s="67"/>
      <c r="G661" s="67"/>
      <c r="H661" s="67"/>
      <c r="I661" s="67"/>
      <c r="J661" s="67"/>
      <c r="K661" s="85" t="str">
        <f aca="false">IF(AH661="","",N(F661)+N(G661)+N(H661)-N(I661)+N(J661))</f>
        <v/>
      </c>
      <c r="L661" s="67"/>
      <c r="M661" s="67"/>
      <c r="N661" s="67"/>
      <c r="O661" s="67"/>
      <c r="P661" s="85" t="str">
        <f aca="false">IF(AH661="","",K661+N(L661)+N(M661)+N(N661)+N(O661))</f>
        <v/>
      </c>
      <c r="Q661" s="67"/>
      <c r="R661" s="67"/>
      <c r="S661" s="67"/>
      <c r="T661" s="67"/>
      <c r="U661" s="67"/>
      <c r="V661" s="67"/>
      <c r="W661" s="85" t="str">
        <f aca="false">IF(AH661="","",N(Q661)+N(R661)+N(S661)+N(T661)+N(U661)+N(V661))</f>
        <v/>
      </c>
      <c r="X661" s="85" t="str">
        <f aca="false">IF(AH661="","",P661-W661)</f>
        <v/>
      </c>
      <c r="Y661" s="67"/>
      <c r="Z661" s="70" t="str">
        <f aca="false">IF(OR(AH661="",Y661=""),"",IF(ABS(X661-Y661)&lt;=1,"✓ Cuadra","⚠ Diferencia $"&amp;FIXED(X661-Y661,0)))</f>
        <v/>
      </c>
      <c r="AA661" s="72" t="str">
        <f aca="false">IF(AH661="","",IFERROR(INDEX(C_TIPO,MATCH(C661&amp;"-P"&amp;MAX(1,COUNTIFS(C_ID,C661,C_DEFINE,"Sí",C_INICIO,"&lt;="&amp;EOMONTH(B661,0))),C_CLAVE,0))&amp;"","Sin dato"))</f>
        <v/>
      </c>
      <c r="AB661" s="71" t="str">
        <f aca="false">IF(AH661="","",ROUND(MIN(K661,TOPE_AFP_UF*AJ661)*AK661,0))</f>
        <v/>
      </c>
      <c r="AC661" s="71" t="str">
        <f aca="false">IF(AH661="","",ROUND(MIN(K661,TOPE_AFC_UF*AJ661)*IF(AA661="Indefinido",AFC_EMP_INDEF,AFC_EMP_PF),0))</f>
        <v/>
      </c>
      <c r="AD661" s="71" t="str">
        <f aca="false">IF(AH661="","",ROUND(MIN(K661,TOPE_AFP_UF*AJ661)*(MUTUAL_BASICA+MUTUAL_ADIC+SANNA),0))</f>
        <v/>
      </c>
      <c r="AE661" s="71" t="str">
        <f aca="false">IF(AH661="","",P661-N(N661)+AB661+AC661+AD661)</f>
        <v/>
      </c>
      <c r="AF661" s="65"/>
      <c r="AG661" s="64"/>
      <c r="AH661" s="72" t="str">
        <f aca="false">IF(OR(B661="",C661=""),"",C661&amp;"|"&amp;(YEAR(B661)*100+MONTH(B661)))</f>
        <v/>
      </c>
      <c r="AI661" s="70" t="str">
        <f aca="false">IF(AH661="","",IF(COUNTIF(L_CLAVE,AH661)&gt;1,"⚠ Duplicado","OK"))</f>
        <v/>
      </c>
      <c r="AJ661" s="86" t="str">
        <f aca="false">IF(AH661="","",IF(SUMPRODUCT(MAX((IND_PER&lt;=B661)*(IND_UF&lt;&gt;"")*IND_PER))=0,UF_HOY,INDEX(IND_UF,MATCH(SUMPRODUCT(MAX((IND_PER&lt;=B661)*(IND_UF&lt;&gt;"")*IND_PER)),IND_PER,0))))</f>
        <v/>
      </c>
      <c r="AK661" s="87" t="str">
        <f aca="false">IF(AH661="","",IF(COUNTIF(TASA_DESDE,"&lt;="&amp;B661)=0,INDEX(TASA_EMP,1),INDEX(TASA_EMP,COUNTIF(TASA_DESDE,"&lt;="&amp;B661))))</f>
        <v/>
      </c>
    </row>
    <row r="662" customFormat="false" ht="15" hidden="false" customHeight="false" outlineLevel="0" collapsed="false">
      <c r="B662" s="78"/>
      <c r="C662" s="64"/>
      <c r="D662" s="72" t="str">
        <f aca="false">IF(C662="","",IFERROR(INDEX(T_NOMBRE,MATCH(C662,T_ID,0)),"⚠ ID no existe"))</f>
        <v/>
      </c>
      <c r="E662" s="69"/>
      <c r="F662" s="67"/>
      <c r="G662" s="67"/>
      <c r="H662" s="67"/>
      <c r="I662" s="67"/>
      <c r="J662" s="67"/>
      <c r="K662" s="85" t="str">
        <f aca="false">IF(AH662="","",N(F662)+N(G662)+N(H662)-N(I662)+N(J662))</f>
        <v/>
      </c>
      <c r="L662" s="67"/>
      <c r="M662" s="67"/>
      <c r="N662" s="67"/>
      <c r="O662" s="67"/>
      <c r="P662" s="85" t="str">
        <f aca="false">IF(AH662="","",K662+N(L662)+N(M662)+N(N662)+N(O662))</f>
        <v/>
      </c>
      <c r="Q662" s="67"/>
      <c r="R662" s="67"/>
      <c r="S662" s="67"/>
      <c r="T662" s="67"/>
      <c r="U662" s="67"/>
      <c r="V662" s="67"/>
      <c r="W662" s="85" t="str">
        <f aca="false">IF(AH662="","",N(Q662)+N(R662)+N(S662)+N(T662)+N(U662)+N(V662))</f>
        <v/>
      </c>
      <c r="X662" s="85" t="str">
        <f aca="false">IF(AH662="","",P662-W662)</f>
        <v/>
      </c>
      <c r="Y662" s="67"/>
      <c r="Z662" s="70" t="str">
        <f aca="false">IF(OR(AH662="",Y662=""),"",IF(ABS(X662-Y662)&lt;=1,"✓ Cuadra","⚠ Diferencia $"&amp;FIXED(X662-Y662,0)))</f>
        <v/>
      </c>
      <c r="AA662" s="72" t="str">
        <f aca="false">IF(AH662="","",IFERROR(INDEX(C_TIPO,MATCH(C662&amp;"-P"&amp;MAX(1,COUNTIFS(C_ID,C662,C_DEFINE,"Sí",C_INICIO,"&lt;="&amp;EOMONTH(B662,0))),C_CLAVE,0))&amp;"","Sin dato"))</f>
        <v/>
      </c>
      <c r="AB662" s="71" t="str">
        <f aca="false">IF(AH662="","",ROUND(MIN(K662,TOPE_AFP_UF*AJ662)*AK662,0))</f>
        <v/>
      </c>
      <c r="AC662" s="71" t="str">
        <f aca="false">IF(AH662="","",ROUND(MIN(K662,TOPE_AFC_UF*AJ662)*IF(AA662="Indefinido",AFC_EMP_INDEF,AFC_EMP_PF),0))</f>
        <v/>
      </c>
      <c r="AD662" s="71" t="str">
        <f aca="false">IF(AH662="","",ROUND(MIN(K662,TOPE_AFP_UF*AJ662)*(MUTUAL_BASICA+MUTUAL_ADIC+SANNA),0))</f>
        <v/>
      </c>
      <c r="AE662" s="71" t="str">
        <f aca="false">IF(AH662="","",P662-N(N662)+AB662+AC662+AD662)</f>
        <v/>
      </c>
      <c r="AF662" s="65"/>
      <c r="AG662" s="64"/>
      <c r="AH662" s="72" t="str">
        <f aca="false">IF(OR(B662="",C662=""),"",C662&amp;"|"&amp;(YEAR(B662)*100+MONTH(B662)))</f>
        <v/>
      </c>
      <c r="AI662" s="70" t="str">
        <f aca="false">IF(AH662="","",IF(COUNTIF(L_CLAVE,AH662)&gt;1,"⚠ Duplicado","OK"))</f>
        <v/>
      </c>
      <c r="AJ662" s="86" t="str">
        <f aca="false">IF(AH662="","",IF(SUMPRODUCT(MAX((IND_PER&lt;=B662)*(IND_UF&lt;&gt;"")*IND_PER))=0,UF_HOY,INDEX(IND_UF,MATCH(SUMPRODUCT(MAX((IND_PER&lt;=B662)*(IND_UF&lt;&gt;"")*IND_PER)),IND_PER,0))))</f>
        <v/>
      </c>
      <c r="AK662" s="87" t="str">
        <f aca="false">IF(AH662="","",IF(COUNTIF(TASA_DESDE,"&lt;="&amp;B662)=0,INDEX(TASA_EMP,1),INDEX(TASA_EMP,COUNTIF(TASA_DESDE,"&lt;="&amp;B662))))</f>
        <v/>
      </c>
    </row>
    <row r="663" customFormat="false" ht="15" hidden="false" customHeight="false" outlineLevel="0" collapsed="false">
      <c r="B663" s="78"/>
      <c r="C663" s="64"/>
      <c r="D663" s="72" t="str">
        <f aca="false">IF(C663="","",IFERROR(INDEX(T_NOMBRE,MATCH(C663,T_ID,0)),"⚠ ID no existe"))</f>
        <v/>
      </c>
      <c r="E663" s="69"/>
      <c r="F663" s="67"/>
      <c r="G663" s="67"/>
      <c r="H663" s="67"/>
      <c r="I663" s="67"/>
      <c r="J663" s="67"/>
      <c r="K663" s="85" t="str">
        <f aca="false">IF(AH663="","",N(F663)+N(G663)+N(H663)-N(I663)+N(J663))</f>
        <v/>
      </c>
      <c r="L663" s="67"/>
      <c r="M663" s="67"/>
      <c r="N663" s="67"/>
      <c r="O663" s="67"/>
      <c r="P663" s="85" t="str">
        <f aca="false">IF(AH663="","",K663+N(L663)+N(M663)+N(N663)+N(O663))</f>
        <v/>
      </c>
      <c r="Q663" s="67"/>
      <c r="R663" s="67"/>
      <c r="S663" s="67"/>
      <c r="T663" s="67"/>
      <c r="U663" s="67"/>
      <c r="V663" s="67"/>
      <c r="W663" s="85" t="str">
        <f aca="false">IF(AH663="","",N(Q663)+N(R663)+N(S663)+N(T663)+N(U663)+N(V663))</f>
        <v/>
      </c>
      <c r="X663" s="85" t="str">
        <f aca="false">IF(AH663="","",P663-W663)</f>
        <v/>
      </c>
      <c r="Y663" s="67"/>
      <c r="Z663" s="70" t="str">
        <f aca="false">IF(OR(AH663="",Y663=""),"",IF(ABS(X663-Y663)&lt;=1,"✓ Cuadra","⚠ Diferencia $"&amp;FIXED(X663-Y663,0)))</f>
        <v/>
      </c>
      <c r="AA663" s="72" t="str">
        <f aca="false">IF(AH663="","",IFERROR(INDEX(C_TIPO,MATCH(C663&amp;"-P"&amp;MAX(1,COUNTIFS(C_ID,C663,C_DEFINE,"Sí",C_INICIO,"&lt;="&amp;EOMONTH(B663,0))),C_CLAVE,0))&amp;"","Sin dato"))</f>
        <v/>
      </c>
      <c r="AB663" s="71" t="str">
        <f aca="false">IF(AH663="","",ROUND(MIN(K663,TOPE_AFP_UF*AJ663)*AK663,0))</f>
        <v/>
      </c>
      <c r="AC663" s="71" t="str">
        <f aca="false">IF(AH663="","",ROUND(MIN(K663,TOPE_AFC_UF*AJ663)*IF(AA663="Indefinido",AFC_EMP_INDEF,AFC_EMP_PF),0))</f>
        <v/>
      </c>
      <c r="AD663" s="71" t="str">
        <f aca="false">IF(AH663="","",ROUND(MIN(K663,TOPE_AFP_UF*AJ663)*(MUTUAL_BASICA+MUTUAL_ADIC+SANNA),0))</f>
        <v/>
      </c>
      <c r="AE663" s="71" t="str">
        <f aca="false">IF(AH663="","",P663-N(N663)+AB663+AC663+AD663)</f>
        <v/>
      </c>
      <c r="AF663" s="65"/>
      <c r="AG663" s="64"/>
      <c r="AH663" s="72" t="str">
        <f aca="false">IF(OR(B663="",C663=""),"",C663&amp;"|"&amp;(YEAR(B663)*100+MONTH(B663)))</f>
        <v/>
      </c>
      <c r="AI663" s="70" t="str">
        <f aca="false">IF(AH663="","",IF(COUNTIF(L_CLAVE,AH663)&gt;1,"⚠ Duplicado","OK"))</f>
        <v/>
      </c>
      <c r="AJ663" s="86" t="str">
        <f aca="false">IF(AH663="","",IF(SUMPRODUCT(MAX((IND_PER&lt;=B663)*(IND_UF&lt;&gt;"")*IND_PER))=0,UF_HOY,INDEX(IND_UF,MATCH(SUMPRODUCT(MAX((IND_PER&lt;=B663)*(IND_UF&lt;&gt;"")*IND_PER)),IND_PER,0))))</f>
        <v/>
      </c>
      <c r="AK663" s="87" t="str">
        <f aca="false">IF(AH663="","",IF(COUNTIF(TASA_DESDE,"&lt;="&amp;B663)=0,INDEX(TASA_EMP,1),INDEX(TASA_EMP,COUNTIF(TASA_DESDE,"&lt;="&amp;B663))))</f>
        <v/>
      </c>
    </row>
    <row r="664" customFormat="false" ht="15" hidden="false" customHeight="false" outlineLevel="0" collapsed="false">
      <c r="B664" s="78"/>
      <c r="C664" s="64"/>
      <c r="D664" s="72" t="str">
        <f aca="false">IF(C664="","",IFERROR(INDEX(T_NOMBRE,MATCH(C664,T_ID,0)),"⚠ ID no existe"))</f>
        <v/>
      </c>
      <c r="E664" s="69"/>
      <c r="F664" s="67"/>
      <c r="G664" s="67"/>
      <c r="H664" s="67"/>
      <c r="I664" s="67"/>
      <c r="J664" s="67"/>
      <c r="K664" s="85" t="str">
        <f aca="false">IF(AH664="","",N(F664)+N(G664)+N(H664)-N(I664)+N(J664))</f>
        <v/>
      </c>
      <c r="L664" s="67"/>
      <c r="M664" s="67"/>
      <c r="N664" s="67"/>
      <c r="O664" s="67"/>
      <c r="P664" s="85" t="str">
        <f aca="false">IF(AH664="","",K664+N(L664)+N(M664)+N(N664)+N(O664))</f>
        <v/>
      </c>
      <c r="Q664" s="67"/>
      <c r="R664" s="67"/>
      <c r="S664" s="67"/>
      <c r="T664" s="67"/>
      <c r="U664" s="67"/>
      <c r="V664" s="67"/>
      <c r="W664" s="85" t="str">
        <f aca="false">IF(AH664="","",N(Q664)+N(R664)+N(S664)+N(T664)+N(U664)+N(V664))</f>
        <v/>
      </c>
      <c r="X664" s="85" t="str">
        <f aca="false">IF(AH664="","",P664-W664)</f>
        <v/>
      </c>
      <c r="Y664" s="67"/>
      <c r="Z664" s="70" t="str">
        <f aca="false">IF(OR(AH664="",Y664=""),"",IF(ABS(X664-Y664)&lt;=1,"✓ Cuadra","⚠ Diferencia $"&amp;FIXED(X664-Y664,0)))</f>
        <v/>
      </c>
      <c r="AA664" s="72" t="str">
        <f aca="false">IF(AH664="","",IFERROR(INDEX(C_TIPO,MATCH(C664&amp;"-P"&amp;MAX(1,COUNTIFS(C_ID,C664,C_DEFINE,"Sí",C_INICIO,"&lt;="&amp;EOMONTH(B664,0))),C_CLAVE,0))&amp;"","Sin dato"))</f>
        <v/>
      </c>
      <c r="AB664" s="71" t="str">
        <f aca="false">IF(AH664="","",ROUND(MIN(K664,TOPE_AFP_UF*AJ664)*AK664,0))</f>
        <v/>
      </c>
      <c r="AC664" s="71" t="str">
        <f aca="false">IF(AH664="","",ROUND(MIN(K664,TOPE_AFC_UF*AJ664)*IF(AA664="Indefinido",AFC_EMP_INDEF,AFC_EMP_PF),0))</f>
        <v/>
      </c>
      <c r="AD664" s="71" t="str">
        <f aca="false">IF(AH664="","",ROUND(MIN(K664,TOPE_AFP_UF*AJ664)*(MUTUAL_BASICA+MUTUAL_ADIC+SANNA),0))</f>
        <v/>
      </c>
      <c r="AE664" s="71" t="str">
        <f aca="false">IF(AH664="","",P664-N(N664)+AB664+AC664+AD664)</f>
        <v/>
      </c>
      <c r="AF664" s="65"/>
      <c r="AG664" s="64"/>
      <c r="AH664" s="72" t="str">
        <f aca="false">IF(OR(B664="",C664=""),"",C664&amp;"|"&amp;(YEAR(B664)*100+MONTH(B664)))</f>
        <v/>
      </c>
      <c r="AI664" s="70" t="str">
        <f aca="false">IF(AH664="","",IF(COUNTIF(L_CLAVE,AH664)&gt;1,"⚠ Duplicado","OK"))</f>
        <v/>
      </c>
      <c r="AJ664" s="86" t="str">
        <f aca="false">IF(AH664="","",IF(SUMPRODUCT(MAX((IND_PER&lt;=B664)*(IND_UF&lt;&gt;"")*IND_PER))=0,UF_HOY,INDEX(IND_UF,MATCH(SUMPRODUCT(MAX((IND_PER&lt;=B664)*(IND_UF&lt;&gt;"")*IND_PER)),IND_PER,0))))</f>
        <v/>
      </c>
      <c r="AK664" s="87" t="str">
        <f aca="false">IF(AH664="","",IF(COUNTIF(TASA_DESDE,"&lt;="&amp;B664)=0,INDEX(TASA_EMP,1),INDEX(TASA_EMP,COUNTIF(TASA_DESDE,"&lt;="&amp;B664))))</f>
        <v/>
      </c>
    </row>
    <row r="665" customFormat="false" ht="15" hidden="false" customHeight="false" outlineLevel="0" collapsed="false">
      <c r="B665" s="78"/>
      <c r="C665" s="64"/>
      <c r="D665" s="72" t="str">
        <f aca="false">IF(C665="","",IFERROR(INDEX(T_NOMBRE,MATCH(C665,T_ID,0)),"⚠ ID no existe"))</f>
        <v/>
      </c>
      <c r="E665" s="69"/>
      <c r="F665" s="67"/>
      <c r="G665" s="67"/>
      <c r="H665" s="67"/>
      <c r="I665" s="67"/>
      <c r="J665" s="67"/>
      <c r="K665" s="85" t="str">
        <f aca="false">IF(AH665="","",N(F665)+N(G665)+N(H665)-N(I665)+N(J665))</f>
        <v/>
      </c>
      <c r="L665" s="67"/>
      <c r="M665" s="67"/>
      <c r="N665" s="67"/>
      <c r="O665" s="67"/>
      <c r="P665" s="85" t="str">
        <f aca="false">IF(AH665="","",K665+N(L665)+N(M665)+N(N665)+N(O665))</f>
        <v/>
      </c>
      <c r="Q665" s="67"/>
      <c r="R665" s="67"/>
      <c r="S665" s="67"/>
      <c r="T665" s="67"/>
      <c r="U665" s="67"/>
      <c r="V665" s="67"/>
      <c r="W665" s="85" t="str">
        <f aca="false">IF(AH665="","",N(Q665)+N(R665)+N(S665)+N(T665)+N(U665)+N(V665))</f>
        <v/>
      </c>
      <c r="X665" s="85" t="str">
        <f aca="false">IF(AH665="","",P665-W665)</f>
        <v/>
      </c>
      <c r="Y665" s="67"/>
      <c r="Z665" s="70" t="str">
        <f aca="false">IF(OR(AH665="",Y665=""),"",IF(ABS(X665-Y665)&lt;=1,"✓ Cuadra","⚠ Diferencia $"&amp;FIXED(X665-Y665,0)))</f>
        <v/>
      </c>
      <c r="AA665" s="72" t="str">
        <f aca="false">IF(AH665="","",IFERROR(INDEX(C_TIPO,MATCH(C665&amp;"-P"&amp;MAX(1,COUNTIFS(C_ID,C665,C_DEFINE,"Sí",C_INICIO,"&lt;="&amp;EOMONTH(B665,0))),C_CLAVE,0))&amp;"","Sin dato"))</f>
        <v/>
      </c>
      <c r="AB665" s="71" t="str">
        <f aca="false">IF(AH665="","",ROUND(MIN(K665,TOPE_AFP_UF*AJ665)*AK665,0))</f>
        <v/>
      </c>
      <c r="AC665" s="71" t="str">
        <f aca="false">IF(AH665="","",ROUND(MIN(K665,TOPE_AFC_UF*AJ665)*IF(AA665="Indefinido",AFC_EMP_INDEF,AFC_EMP_PF),0))</f>
        <v/>
      </c>
      <c r="AD665" s="71" t="str">
        <f aca="false">IF(AH665="","",ROUND(MIN(K665,TOPE_AFP_UF*AJ665)*(MUTUAL_BASICA+MUTUAL_ADIC+SANNA),0))</f>
        <v/>
      </c>
      <c r="AE665" s="71" t="str">
        <f aca="false">IF(AH665="","",P665-N(N665)+AB665+AC665+AD665)</f>
        <v/>
      </c>
      <c r="AF665" s="65"/>
      <c r="AG665" s="64"/>
      <c r="AH665" s="72" t="str">
        <f aca="false">IF(OR(B665="",C665=""),"",C665&amp;"|"&amp;(YEAR(B665)*100+MONTH(B665)))</f>
        <v/>
      </c>
      <c r="AI665" s="70" t="str">
        <f aca="false">IF(AH665="","",IF(COUNTIF(L_CLAVE,AH665)&gt;1,"⚠ Duplicado","OK"))</f>
        <v/>
      </c>
      <c r="AJ665" s="86" t="str">
        <f aca="false">IF(AH665="","",IF(SUMPRODUCT(MAX((IND_PER&lt;=B665)*(IND_UF&lt;&gt;"")*IND_PER))=0,UF_HOY,INDEX(IND_UF,MATCH(SUMPRODUCT(MAX((IND_PER&lt;=B665)*(IND_UF&lt;&gt;"")*IND_PER)),IND_PER,0))))</f>
        <v/>
      </c>
      <c r="AK665" s="87" t="str">
        <f aca="false">IF(AH665="","",IF(COUNTIF(TASA_DESDE,"&lt;="&amp;B665)=0,INDEX(TASA_EMP,1),INDEX(TASA_EMP,COUNTIF(TASA_DESDE,"&lt;="&amp;B665))))</f>
        <v/>
      </c>
    </row>
    <row r="666" customFormat="false" ht="15" hidden="false" customHeight="false" outlineLevel="0" collapsed="false">
      <c r="B666" s="78"/>
      <c r="C666" s="64"/>
      <c r="D666" s="72" t="str">
        <f aca="false">IF(C666="","",IFERROR(INDEX(T_NOMBRE,MATCH(C666,T_ID,0)),"⚠ ID no existe"))</f>
        <v/>
      </c>
      <c r="E666" s="69"/>
      <c r="F666" s="67"/>
      <c r="G666" s="67"/>
      <c r="H666" s="67"/>
      <c r="I666" s="67"/>
      <c r="J666" s="67"/>
      <c r="K666" s="85" t="str">
        <f aca="false">IF(AH666="","",N(F666)+N(G666)+N(H666)-N(I666)+N(J666))</f>
        <v/>
      </c>
      <c r="L666" s="67"/>
      <c r="M666" s="67"/>
      <c r="N666" s="67"/>
      <c r="O666" s="67"/>
      <c r="P666" s="85" t="str">
        <f aca="false">IF(AH666="","",K666+N(L666)+N(M666)+N(N666)+N(O666))</f>
        <v/>
      </c>
      <c r="Q666" s="67"/>
      <c r="R666" s="67"/>
      <c r="S666" s="67"/>
      <c r="T666" s="67"/>
      <c r="U666" s="67"/>
      <c r="V666" s="67"/>
      <c r="W666" s="85" t="str">
        <f aca="false">IF(AH666="","",N(Q666)+N(R666)+N(S666)+N(T666)+N(U666)+N(V666))</f>
        <v/>
      </c>
      <c r="X666" s="85" t="str">
        <f aca="false">IF(AH666="","",P666-W666)</f>
        <v/>
      </c>
      <c r="Y666" s="67"/>
      <c r="Z666" s="70" t="str">
        <f aca="false">IF(OR(AH666="",Y666=""),"",IF(ABS(X666-Y666)&lt;=1,"✓ Cuadra","⚠ Diferencia $"&amp;FIXED(X666-Y666,0)))</f>
        <v/>
      </c>
      <c r="AA666" s="72" t="str">
        <f aca="false">IF(AH666="","",IFERROR(INDEX(C_TIPO,MATCH(C666&amp;"-P"&amp;MAX(1,COUNTIFS(C_ID,C666,C_DEFINE,"Sí",C_INICIO,"&lt;="&amp;EOMONTH(B666,0))),C_CLAVE,0))&amp;"","Sin dato"))</f>
        <v/>
      </c>
      <c r="AB666" s="71" t="str">
        <f aca="false">IF(AH666="","",ROUND(MIN(K666,TOPE_AFP_UF*AJ666)*AK666,0))</f>
        <v/>
      </c>
      <c r="AC666" s="71" t="str">
        <f aca="false">IF(AH666="","",ROUND(MIN(K666,TOPE_AFC_UF*AJ666)*IF(AA666="Indefinido",AFC_EMP_INDEF,AFC_EMP_PF),0))</f>
        <v/>
      </c>
      <c r="AD666" s="71" t="str">
        <f aca="false">IF(AH666="","",ROUND(MIN(K666,TOPE_AFP_UF*AJ666)*(MUTUAL_BASICA+MUTUAL_ADIC+SANNA),0))</f>
        <v/>
      </c>
      <c r="AE666" s="71" t="str">
        <f aca="false">IF(AH666="","",P666-N(N666)+AB666+AC666+AD666)</f>
        <v/>
      </c>
      <c r="AF666" s="65"/>
      <c r="AG666" s="64"/>
      <c r="AH666" s="72" t="str">
        <f aca="false">IF(OR(B666="",C666=""),"",C666&amp;"|"&amp;(YEAR(B666)*100+MONTH(B666)))</f>
        <v/>
      </c>
      <c r="AI666" s="70" t="str">
        <f aca="false">IF(AH666="","",IF(COUNTIF(L_CLAVE,AH666)&gt;1,"⚠ Duplicado","OK"))</f>
        <v/>
      </c>
      <c r="AJ666" s="86" t="str">
        <f aca="false">IF(AH666="","",IF(SUMPRODUCT(MAX((IND_PER&lt;=B666)*(IND_UF&lt;&gt;"")*IND_PER))=0,UF_HOY,INDEX(IND_UF,MATCH(SUMPRODUCT(MAX((IND_PER&lt;=B666)*(IND_UF&lt;&gt;"")*IND_PER)),IND_PER,0))))</f>
        <v/>
      </c>
      <c r="AK666" s="87" t="str">
        <f aca="false">IF(AH666="","",IF(COUNTIF(TASA_DESDE,"&lt;="&amp;B666)=0,INDEX(TASA_EMP,1),INDEX(TASA_EMP,COUNTIF(TASA_DESDE,"&lt;="&amp;B666))))</f>
        <v/>
      </c>
    </row>
    <row r="667" customFormat="false" ht="15" hidden="false" customHeight="false" outlineLevel="0" collapsed="false">
      <c r="B667" s="78"/>
      <c r="C667" s="64"/>
      <c r="D667" s="72" t="str">
        <f aca="false">IF(C667="","",IFERROR(INDEX(T_NOMBRE,MATCH(C667,T_ID,0)),"⚠ ID no existe"))</f>
        <v/>
      </c>
      <c r="E667" s="69"/>
      <c r="F667" s="67"/>
      <c r="G667" s="67"/>
      <c r="H667" s="67"/>
      <c r="I667" s="67"/>
      <c r="J667" s="67"/>
      <c r="K667" s="85" t="str">
        <f aca="false">IF(AH667="","",N(F667)+N(G667)+N(H667)-N(I667)+N(J667))</f>
        <v/>
      </c>
      <c r="L667" s="67"/>
      <c r="M667" s="67"/>
      <c r="N667" s="67"/>
      <c r="O667" s="67"/>
      <c r="P667" s="85" t="str">
        <f aca="false">IF(AH667="","",K667+N(L667)+N(M667)+N(N667)+N(O667))</f>
        <v/>
      </c>
      <c r="Q667" s="67"/>
      <c r="R667" s="67"/>
      <c r="S667" s="67"/>
      <c r="T667" s="67"/>
      <c r="U667" s="67"/>
      <c r="V667" s="67"/>
      <c r="W667" s="85" t="str">
        <f aca="false">IF(AH667="","",N(Q667)+N(R667)+N(S667)+N(T667)+N(U667)+N(V667))</f>
        <v/>
      </c>
      <c r="X667" s="85" t="str">
        <f aca="false">IF(AH667="","",P667-W667)</f>
        <v/>
      </c>
      <c r="Y667" s="67"/>
      <c r="Z667" s="70" t="str">
        <f aca="false">IF(OR(AH667="",Y667=""),"",IF(ABS(X667-Y667)&lt;=1,"✓ Cuadra","⚠ Diferencia $"&amp;FIXED(X667-Y667,0)))</f>
        <v/>
      </c>
      <c r="AA667" s="72" t="str">
        <f aca="false">IF(AH667="","",IFERROR(INDEX(C_TIPO,MATCH(C667&amp;"-P"&amp;MAX(1,COUNTIFS(C_ID,C667,C_DEFINE,"Sí",C_INICIO,"&lt;="&amp;EOMONTH(B667,0))),C_CLAVE,0))&amp;"","Sin dato"))</f>
        <v/>
      </c>
      <c r="AB667" s="71" t="str">
        <f aca="false">IF(AH667="","",ROUND(MIN(K667,TOPE_AFP_UF*AJ667)*AK667,0))</f>
        <v/>
      </c>
      <c r="AC667" s="71" t="str">
        <f aca="false">IF(AH667="","",ROUND(MIN(K667,TOPE_AFC_UF*AJ667)*IF(AA667="Indefinido",AFC_EMP_INDEF,AFC_EMP_PF),0))</f>
        <v/>
      </c>
      <c r="AD667" s="71" t="str">
        <f aca="false">IF(AH667="","",ROUND(MIN(K667,TOPE_AFP_UF*AJ667)*(MUTUAL_BASICA+MUTUAL_ADIC+SANNA),0))</f>
        <v/>
      </c>
      <c r="AE667" s="71" t="str">
        <f aca="false">IF(AH667="","",P667-N(N667)+AB667+AC667+AD667)</f>
        <v/>
      </c>
      <c r="AF667" s="65"/>
      <c r="AG667" s="64"/>
      <c r="AH667" s="72" t="str">
        <f aca="false">IF(OR(B667="",C667=""),"",C667&amp;"|"&amp;(YEAR(B667)*100+MONTH(B667)))</f>
        <v/>
      </c>
      <c r="AI667" s="70" t="str">
        <f aca="false">IF(AH667="","",IF(COUNTIF(L_CLAVE,AH667)&gt;1,"⚠ Duplicado","OK"))</f>
        <v/>
      </c>
      <c r="AJ667" s="86" t="str">
        <f aca="false">IF(AH667="","",IF(SUMPRODUCT(MAX((IND_PER&lt;=B667)*(IND_UF&lt;&gt;"")*IND_PER))=0,UF_HOY,INDEX(IND_UF,MATCH(SUMPRODUCT(MAX((IND_PER&lt;=B667)*(IND_UF&lt;&gt;"")*IND_PER)),IND_PER,0))))</f>
        <v/>
      </c>
      <c r="AK667" s="87" t="str">
        <f aca="false">IF(AH667="","",IF(COUNTIF(TASA_DESDE,"&lt;="&amp;B667)=0,INDEX(TASA_EMP,1),INDEX(TASA_EMP,COUNTIF(TASA_DESDE,"&lt;="&amp;B667))))</f>
        <v/>
      </c>
    </row>
    <row r="668" customFormat="false" ht="15" hidden="false" customHeight="false" outlineLevel="0" collapsed="false">
      <c r="B668" s="78"/>
      <c r="C668" s="64"/>
      <c r="D668" s="72" t="str">
        <f aca="false">IF(C668="","",IFERROR(INDEX(T_NOMBRE,MATCH(C668,T_ID,0)),"⚠ ID no existe"))</f>
        <v/>
      </c>
      <c r="E668" s="69"/>
      <c r="F668" s="67"/>
      <c r="G668" s="67"/>
      <c r="H668" s="67"/>
      <c r="I668" s="67"/>
      <c r="J668" s="67"/>
      <c r="K668" s="85" t="str">
        <f aca="false">IF(AH668="","",N(F668)+N(G668)+N(H668)-N(I668)+N(J668))</f>
        <v/>
      </c>
      <c r="L668" s="67"/>
      <c r="M668" s="67"/>
      <c r="N668" s="67"/>
      <c r="O668" s="67"/>
      <c r="P668" s="85" t="str">
        <f aca="false">IF(AH668="","",K668+N(L668)+N(M668)+N(N668)+N(O668))</f>
        <v/>
      </c>
      <c r="Q668" s="67"/>
      <c r="R668" s="67"/>
      <c r="S668" s="67"/>
      <c r="T668" s="67"/>
      <c r="U668" s="67"/>
      <c r="V668" s="67"/>
      <c r="W668" s="85" t="str">
        <f aca="false">IF(AH668="","",N(Q668)+N(R668)+N(S668)+N(T668)+N(U668)+N(V668))</f>
        <v/>
      </c>
      <c r="X668" s="85" t="str">
        <f aca="false">IF(AH668="","",P668-W668)</f>
        <v/>
      </c>
      <c r="Y668" s="67"/>
      <c r="Z668" s="70" t="str">
        <f aca="false">IF(OR(AH668="",Y668=""),"",IF(ABS(X668-Y668)&lt;=1,"✓ Cuadra","⚠ Diferencia $"&amp;FIXED(X668-Y668,0)))</f>
        <v/>
      </c>
      <c r="AA668" s="72" t="str">
        <f aca="false">IF(AH668="","",IFERROR(INDEX(C_TIPO,MATCH(C668&amp;"-P"&amp;MAX(1,COUNTIFS(C_ID,C668,C_DEFINE,"Sí",C_INICIO,"&lt;="&amp;EOMONTH(B668,0))),C_CLAVE,0))&amp;"","Sin dato"))</f>
        <v/>
      </c>
      <c r="AB668" s="71" t="str">
        <f aca="false">IF(AH668="","",ROUND(MIN(K668,TOPE_AFP_UF*AJ668)*AK668,0))</f>
        <v/>
      </c>
      <c r="AC668" s="71" t="str">
        <f aca="false">IF(AH668="","",ROUND(MIN(K668,TOPE_AFC_UF*AJ668)*IF(AA668="Indefinido",AFC_EMP_INDEF,AFC_EMP_PF),0))</f>
        <v/>
      </c>
      <c r="AD668" s="71" t="str">
        <f aca="false">IF(AH668="","",ROUND(MIN(K668,TOPE_AFP_UF*AJ668)*(MUTUAL_BASICA+MUTUAL_ADIC+SANNA),0))</f>
        <v/>
      </c>
      <c r="AE668" s="71" t="str">
        <f aca="false">IF(AH668="","",P668-N(N668)+AB668+AC668+AD668)</f>
        <v/>
      </c>
      <c r="AF668" s="65"/>
      <c r="AG668" s="64"/>
      <c r="AH668" s="72" t="str">
        <f aca="false">IF(OR(B668="",C668=""),"",C668&amp;"|"&amp;(YEAR(B668)*100+MONTH(B668)))</f>
        <v/>
      </c>
      <c r="AI668" s="70" t="str">
        <f aca="false">IF(AH668="","",IF(COUNTIF(L_CLAVE,AH668)&gt;1,"⚠ Duplicado","OK"))</f>
        <v/>
      </c>
      <c r="AJ668" s="86" t="str">
        <f aca="false">IF(AH668="","",IF(SUMPRODUCT(MAX((IND_PER&lt;=B668)*(IND_UF&lt;&gt;"")*IND_PER))=0,UF_HOY,INDEX(IND_UF,MATCH(SUMPRODUCT(MAX((IND_PER&lt;=B668)*(IND_UF&lt;&gt;"")*IND_PER)),IND_PER,0))))</f>
        <v/>
      </c>
      <c r="AK668" s="87" t="str">
        <f aca="false">IF(AH668="","",IF(COUNTIF(TASA_DESDE,"&lt;="&amp;B668)=0,INDEX(TASA_EMP,1),INDEX(TASA_EMP,COUNTIF(TASA_DESDE,"&lt;="&amp;B668))))</f>
        <v/>
      </c>
    </row>
    <row r="669" customFormat="false" ht="15" hidden="false" customHeight="false" outlineLevel="0" collapsed="false">
      <c r="B669" s="78"/>
      <c r="C669" s="64"/>
      <c r="D669" s="72" t="str">
        <f aca="false">IF(C669="","",IFERROR(INDEX(T_NOMBRE,MATCH(C669,T_ID,0)),"⚠ ID no existe"))</f>
        <v/>
      </c>
      <c r="E669" s="69"/>
      <c r="F669" s="67"/>
      <c r="G669" s="67"/>
      <c r="H669" s="67"/>
      <c r="I669" s="67"/>
      <c r="J669" s="67"/>
      <c r="K669" s="85" t="str">
        <f aca="false">IF(AH669="","",N(F669)+N(G669)+N(H669)-N(I669)+N(J669))</f>
        <v/>
      </c>
      <c r="L669" s="67"/>
      <c r="M669" s="67"/>
      <c r="N669" s="67"/>
      <c r="O669" s="67"/>
      <c r="P669" s="85" t="str">
        <f aca="false">IF(AH669="","",K669+N(L669)+N(M669)+N(N669)+N(O669))</f>
        <v/>
      </c>
      <c r="Q669" s="67"/>
      <c r="R669" s="67"/>
      <c r="S669" s="67"/>
      <c r="T669" s="67"/>
      <c r="U669" s="67"/>
      <c r="V669" s="67"/>
      <c r="W669" s="85" t="str">
        <f aca="false">IF(AH669="","",N(Q669)+N(R669)+N(S669)+N(T669)+N(U669)+N(V669))</f>
        <v/>
      </c>
      <c r="X669" s="85" t="str">
        <f aca="false">IF(AH669="","",P669-W669)</f>
        <v/>
      </c>
      <c r="Y669" s="67"/>
      <c r="Z669" s="70" t="str">
        <f aca="false">IF(OR(AH669="",Y669=""),"",IF(ABS(X669-Y669)&lt;=1,"✓ Cuadra","⚠ Diferencia $"&amp;FIXED(X669-Y669,0)))</f>
        <v/>
      </c>
      <c r="AA669" s="72" t="str">
        <f aca="false">IF(AH669="","",IFERROR(INDEX(C_TIPO,MATCH(C669&amp;"-P"&amp;MAX(1,COUNTIFS(C_ID,C669,C_DEFINE,"Sí",C_INICIO,"&lt;="&amp;EOMONTH(B669,0))),C_CLAVE,0))&amp;"","Sin dato"))</f>
        <v/>
      </c>
      <c r="AB669" s="71" t="str">
        <f aca="false">IF(AH669="","",ROUND(MIN(K669,TOPE_AFP_UF*AJ669)*AK669,0))</f>
        <v/>
      </c>
      <c r="AC669" s="71" t="str">
        <f aca="false">IF(AH669="","",ROUND(MIN(K669,TOPE_AFC_UF*AJ669)*IF(AA669="Indefinido",AFC_EMP_INDEF,AFC_EMP_PF),0))</f>
        <v/>
      </c>
      <c r="AD669" s="71" t="str">
        <f aca="false">IF(AH669="","",ROUND(MIN(K669,TOPE_AFP_UF*AJ669)*(MUTUAL_BASICA+MUTUAL_ADIC+SANNA),0))</f>
        <v/>
      </c>
      <c r="AE669" s="71" t="str">
        <f aca="false">IF(AH669="","",P669-N(N669)+AB669+AC669+AD669)</f>
        <v/>
      </c>
      <c r="AF669" s="65"/>
      <c r="AG669" s="64"/>
      <c r="AH669" s="72" t="str">
        <f aca="false">IF(OR(B669="",C669=""),"",C669&amp;"|"&amp;(YEAR(B669)*100+MONTH(B669)))</f>
        <v/>
      </c>
      <c r="AI669" s="70" t="str">
        <f aca="false">IF(AH669="","",IF(COUNTIF(L_CLAVE,AH669)&gt;1,"⚠ Duplicado","OK"))</f>
        <v/>
      </c>
      <c r="AJ669" s="86" t="str">
        <f aca="false">IF(AH669="","",IF(SUMPRODUCT(MAX((IND_PER&lt;=B669)*(IND_UF&lt;&gt;"")*IND_PER))=0,UF_HOY,INDEX(IND_UF,MATCH(SUMPRODUCT(MAX((IND_PER&lt;=B669)*(IND_UF&lt;&gt;"")*IND_PER)),IND_PER,0))))</f>
        <v/>
      </c>
      <c r="AK669" s="87" t="str">
        <f aca="false">IF(AH669="","",IF(COUNTIF(TASA_DESDE,"&lt;="&amp;B669)=0,INDEX(TASA_EMP,1),INDEX(TASA_EMP,COUNTIF(TASA_DESDE,"&lt;="&amp;B669))))</f>
        <v/>
      </c>
    </row>
    <row r="670" customFormat="false" ht="15" hidden="false" customHeight="false" outlineLevel="0" collapsed="false">
      <c r="B670" s="78"/>
      <c r="C670" s="64"/>
      <c r="D670" s="72" t="str">
        <f aca="false">IF(C670="","",IFERROR(INDEX(T_NOMBRE,MATCH(C670,T_ID,0)),"⚠ ID no existe"))</f>
        <v/>
      </c>
      <c r="E670" s="69"/>
      <c r="F670" s="67"/>
      <c r="G670" s="67"/>
      <c r="H670" s="67"/>
      <c r="I670" s="67"/>
      <c r="J670" s="67"/>
      <c r="K670" s="85" t="str">
        <f aca="false">IF(AH670="","",N(F670)+N(G670)+N(H670)-N(I670)+N(J670))</f>
        <v/>
      </c>
      <c r="L670" s="67"/>
      <c r="M670" s="67"/>
      <c r="N670" s="67"/>
      <c r="O670" s="67"/>
      <c r="P670" s="85" t="str">
        <f aca="false">IF(AH670="","",K670+N(L670)+N(M670)+N(N670)+N(O670))</f>
        <v/>
      </c>
      <c r="Q670" s="67"/>
      <c r="R670" s="67"/>
      <c r="S670" s="67"/>
      <c r="T670" s="67"/>
      <c r="U670" s="67"/>
      <c r="V670" s="67"/>
      <c r="W670" s="85" t="str">
        <f aca="false">IF(AH670="","",N(Q670)+N(R670)+N(S670)+N(T670)+N(U670)+N(V670))</f>
        <v/>
      </c>
      <c r="X670" s="85" t="str">
        <f aca="false">IF(AH670="","",P670-W670)</f>
        <v/>
      </c>
      <c r="Y670" s="67"/>
      <c r="Z670" s="70" t="str">
        <f aca="false">IF(OR(AH670="",Y670=""),"",IF(ABS(X670-Y670)&lt;=1,"✓ Cuadra","⚠ Diferencia $"&amp;FIXED(X670-Y670,0)))</f>
        <v/>
      </c>
      <c r="AA670" s="72" t="str">
        <f aca="false">IF(AH670="","",IFERROR(INDEX(C_TIPO,MATCH(C670&amp;"-P"&amp;MAX(1,COUNTIFS(C_ID,C670,C_DEFINE,"Sí",C_INICIO,"&lt;="&amp;EOMONTH(B670,0))),C_CLAVE,0))&amp;"","Sin dato"))</f>
        <v/>
      </c>
      <c r="AB670" s="71" t="str">
        <f aca="false">IF(AH670="","",ROUND(MIN(K670,TOPE_AFP_UF*AJ670)*AK670,0))</f>
        <v/>
      </c>
      <c r="AC670" s="71" t="str">
        <f aca="false">IF(AH670="","",ROUND(MIN(K670,TOPE_AFC_UF*AJ670)*IF(AA670="Indefinido",AFC_EMP_INDEF,AFC_EMP_PF),0))</f>
        <v/>
      </c>
      <c r="AD670" s="71" t="str">
        <f aca="false">IF(AH670="","",ROUND(MIN(K670,TOPE_AFP_UF*AJ670)*(MUTUAL_BASICA+MUTUAL_ADIC+SANNA),0))</f>
        <v/>
      </c>
      <c r="AE670" s="71" t="str">
        <f aca="false">IF(AH670="","",P670-N(N670)+AB670+AC670+AD670)</f>
        <v/>
      </c>
      <c r="AF670" s="65"/>
      <c r="AG670" s="64"/>
      <c r="AH670" s="72" t="str">
        <f aca="false">IF(OR(B670="",C670=""),"",C670&amp;"|"&amp;(YEAR(B670)*100+MONTH(B670)))</f>
        <v/>
      </c>
      <c r="AI670" s="70" t="str">
        <f aca="false">IF(AH670="","",IF(COUNTIF(L_CLAVE,AH670)&gt;1,"⚠ Duplicado","OK"))</f>
        <v/>
      </c>
      <c r="AJ670" s="86" t="str">
        <f aca="false">IF(AH670="","",IF(SUMPRODUCT(MAX((IND_PER&lt;=B670)*(IND_UF&lt;&gt;"")*IND_PER))=0,UF_HOY,INDEX(IND_UF,MATCH(SUMPRODUCT(MAX((IND_PER&lt;=B670)*(IND_UF&lt;&gt;"")*IND_PER)),IND_PER,0))))</f>
        <v/>
      </c>
      <c r="AK670" s="87" t="str">
        <f aca="false">IF(AH670="","",IF(COUNTIF(TASA_DESDE,"&lt;="&amp;B670)=0,INDEX(TASA_EMP,1),INDEX(TASA_EMP,COUNTIF(TASA_DESDE,"&lt;="&amp;B670))))</f>
        <v/>
      </c>
    </row>
    <row r="671" customFormat="false" ht="15" hidden="false" customHeight="false" outlineLevel="0" collapsed="false">
      <c r="B671" s="78"/>
      <c r="C671" s="64"/>
      <c r="D671" s="72" t="str">
        <f aca="false">IF(C671="","",IFERROR(INDEX(T_NOMBRE,MATCH(C671,T_ID,0)),"⚠ ID no existe"))</f>
        <v/>
      </c>
      <c r="E671" s="69"/>
      <c r="F671" s="67"/>
      <c r="G671" s="67"/>
      <c r="H671" s="67"/>
      <c r="I671" s="67"/>
      <c r="J671" s="67"/>
      <c r="K671" s="85" t="str">
        <f aca="false">IF(AH671="","",N(F671)+N(G671)+N(H671)-N(I671)+N(J671))</f>
        <v/>
      </c>
      <c r="L671" s="67"/>
      <c r="M671" s="67"/>
      <c r="N671" s="67"/>
      <c r="O671" s="67"/>
      <c r="P671" s="85" t="str">
        <f aca="false">IF(AH671="","",K671+N(L671)+N(M671)+N(N671)+N(O671))</f>
        <v/>
      </c>
      <c r="Q671" s="67"/>
      <c r="R671" s="67"/>
      <c r="S671" s="67"/>
      <c r="T671" s="67"/>
      <c r="U671" s="67"/>
      <c r="V671" s="67"/>
      <c r="W671" s="85" t="str">
        <f aca="false">IF(AH671="","",N(Q671)+N(R671)+N(S671)+N(T671)+N(U671)+N(V671))</f>
        <v/>
      </c>
      <c r="X671" s="85" t="str">
        <f aca="false">IF(AH671="","",P671-W671)</f>
        <v/>
      </c>
      <c r="Y671" s="67"/>
      <c r="Z671" s="70" t="str">
        <f aca="false">IF(OR(AH671="",Y671=""),"",IF(ABS(X671-Y671)&lt;=1,"✓ Cuadra","⚠ Diferencia $"&amp;FIXED(X671-Y671,0)))</f>
        <v/>
      </c>
      <c r="AA671" s="72" t="str">
        <f aca="false">IF(AH671="","",IFERROR(INDEX(C_TIPO,MATCH(C671&amp;"-P"&amp;MAX(1,COUNTIFS(C_ID,C671,C_DEFINE,"Sí",C_INICIO,"&lt;="&amp;EOMONTH(B671,0))),C_CLAVE,0))&amp;"","Sin dato"))</f>
        <v/>
      </c>
      <c r="AB671" s="71" t="str">
        <f aca="false">IF(AH671="","",ROUND(MIN(K671,TOPE_AFP_UF*AJ671)*AK671,0))</f>
        <v/>
      </c>
      <c r="AC671" s="71" t="str">
        <f aca="false">IF(AH671="","",ROUND(MIN(K671,TOPE_AFC_UF*AJ671)*IF(AA671="Indefinido",AFC_EMP_INDEF,AFC_EMP_PF),0))</f>
        <v/>
      </c>
      <c r="AD671" s="71" t="str">
        <f aca="false">IF(AH671="","",ROUND(MIN(K671,TOPE_AFP_UF*AJ671)*(MUTUAL_BASICA+MUTUAL_ADIC+SANNA),0))</f>
        <v/>
      </c>
      <c r="AE671" s="71" t="str">
        <f aca="false">IF(AH671="","",P671-N(N671)+AB671+AC671+AD671)</f>
        <v/>
      </c>
      <c r="AF671" s="65"/>
      <c r="AG671" s="64"/>
      <c r="AH671" s="72" t="str">
        <f aca="false">IF(OR(B671="",C671=""),"",C671&amp;"|"&amp;(YEAR(B671)*100+MONTH(B671)))</f>
        <v/>
      </c>
      <c r="AI671" s="70" t="str">
        <f aca="false">IF(AH671="","",IF(COUNTIF(L_CLAVE,AH671)&gt;1,"⚠ Duplicado","OK"))</f>
        <v/>
      </c>
      <c r="AJ671" s="86" t="str">
        <f aca="false">IF(AH671="","",IF(SUMPRODUCT(MAX((IND_PER&lt;=B671)*(IND_UF&lt;&gt;"")*IND_PER))=0,UF_HOY,INDEX(IND_UF,MATCH(SUMPRODUCT(MAX((IND_PER&lt;=B671)*(IND_UF&lt;&gt;"")*IND_PER)),IND_PER,0))))</f>
        <v/>
      </c>
      <c r="AK671" s="87" t="str">
        <f aca="false">IF(AH671="","",IF(COUNTIF(TASA_DESDE,"&lt;="&amp;B671)=0,INDEX(TASA_EMP,1),INDEX(TASA_EMP,COUNTIF(TASA_DESDE,"&lt;="&amp;B671))))</f>
        <v/>
      </c>
    </row>
    <row r="672" customFormat="false" ht="15" hidden="false" customHeight="false" outlineLevel="0" collapsed="false">
      <c r="B672" s="78"/>
      <c r="C672" s="64"/>
      <c r="D672" s="72" t="str">
        <f aca="false">IF(C672="","",IFERROR(INDEX(T_NOMBRE,MATCH(C672,T_ID,0)),"⚠ ID no existe"))</f>
        <v/>
      </c>
      <c r="E672" s="69"/>
      <c r="F672" s="67"/>
      <c r="G672" s="67"/>
      <c r="H672" s="67"/>
      <c r="I672" s="67"/>
      <c r="J672" s="67"/>
      <c r="K672" s="85" t="str">
        <f aca="false">IF(AH672="","",N(F672)+N(G672)+N(H672)-N(I672)+N(J672))</f>
        <v/>
      </c>
      <c r="L672" s="67"/>
      <c r="M672" s="67"/>
      <c r="N672" s="67"/>
      <c r="O672" s="67"/>
      <c r="P672" s="85" t="str">
        <f aca="false">IF(AH672="","",K672+N(L672)+N(M672)+N(N672)+N(O672))</f>
        <v/>
      </c>
      <c r="Q672" s="67"/>
      <c r="R672" s="67"/>
      <c r="S672" s="67"/>
      <c r="T672" s="67"/>
      <c r="U672" s="67"/>
      <c r="V672" s="67"/>
      <c r="W672" s="85" t="str">
        <f aca="false">IF(AH672="","",N(Q672)+N(R672)+N(S672)+N(T672)+N(U672)+N(V672))</f>
        <v/>
      </c>
      <c r="X672" s="85" t="str">
        <f aca="false">IF(AH672="","",P672-W672)</f>
        <v/>
      </c>
      <c r="Y672" s="67"/>
      <c r="Z672" s="70" t="str">
        <f aca="false">IF(OR(AH672="",Y672=""),"",IF(ABS(X672-Y672)&lt;=1,"✓ Cuadra","⚠ Diferencia $"&amp;FIXED(X672-Y672,0)))</f>
        <v/>
      </c>
      <c r="AA672" s="72" t="str">
        <f aca="false">IF(AH672="","",IFERROR(INDEX(C_TIPO,MATCH(C672&amp;"-P"&amp;MAX(1,COUNTIFS(C_ID,C672,C_DEFINE,"Sí",C_INICIO,"&lt;="&amp;EOMONTH(B672,0))),C_CLAVE,0))&amp;"","Sin dato"))</f>
        <v/>
      </c>
      <c r="AB672" s="71" t="str">
        <f aca="false">IF(AH672="","",ROUND(MIN(K672,TOPE_AFP_UF*AJ672)*AK672,0))</f>
        <v/>
      </c>
      <c r="AC672" s="71" t="str">
        <f aca="false">IF(AH672="","",ROUND(MIN(K672,TOPE_AFC_UF*AJ672)*IF(AA672="Indefinido",AFC_EMP_INDEF,AFC_EMP_PF),0))</f>
        <v/>
      </c>
      <c r="AD672" s="71" t="str">
        <f aca="false">IF(AH672="","",ROUND(MIN(K672,TOPE_AFP_UF*AJ672)*(MUTUAL_BASICA+MUTUAL_ADIC+SANNA),0))</f>
        <v/>
      </c>
      <c r="AE672" s="71" t="str">
        <f aca="false">IF(AH672="","",P672-N(N672)+AB672+AC672+AD672)</f>
        <v/>
      </c>
      <c r="AF672" s="65"/>
      <c r="AG672" s="64"/>
      <c r="AH672" s="72" t="str">
        <f aca="false">IF(OR(B672="",C672=""),"",C672&amp;"|"&amp;(YEAR(B672)*100+MONTH(B672)))</f>
        <v/>
      </c>
      <c r="AI672" s="70" t="str">
        <f aca="false">IF(AH672="","",IF(COUNTIF(L_CLAVE,AH672)&gt;1,"⚠ Duplicado","OK"))</f>
        <v/>
      </c>
      <c r="AJ672" s="86" t="str">
        <f aca="false">IF(AH672="","",IF(SUMPRODUCT(MAX((IND_PER&lt;=B672)*(IND_UF&lt;&gt;"")*IND_PER))=0,UF_HOY,INDEX(IND_UF,MATCH(SUMPRODUCT(MAX((IND_PER&lt;=B672)*(IND_UF&lt;&gt;"")*IND_PER)),IND_PER,0))))</f>
        <v/>
      </c>
      <c r="AK672" s="87" t="str">
        <f aca="false">IF(AH672="","",IF(COUNTIF(TASA_DESDE,"&lt;="&amp;B672)=0,INDEX(TASA_EMP,1),INDEX(TASA_EMP,COUNTIF(TASA_DESDE,"&lt;="&amp;B672))))</f>
        <v/>
      </c>
    </row>
    <row r="673" customFormat="false" ht="15" hidden="false" customHeight="false" outlineLevel="0" collapsed="false">
      <c r="B673" s="78"/>
      <c r="C673" s="64"/>
      <c r="D673" s="72" t="str">
        <f aca="false">IF(C673="","",IFERROR(INDEX(T_NOMBRE,MATCH(C673,T_ID,0)),"⚠ ID no existe"))</f>
        <v/>
      </c>
      <c r="E673" s="69"/>
      <c r="F673" s="67"/>
      <c r="G673" s="67"/>
      <c r="H673" s="67"/>
      <c r="I673" s="67"/>
      <c r="J673" s="67"/>
      <c r="K673" s="85" t="str">
        <f aca="false">IF(AH673="","",N(F673)+N(G673)+N(H673)-N(I673)+N(J673))</f>
        <v/>
      </c>
      <c r="L673" s="67"/>
      <c r="M673" s="67"/>
      <c r="N673" s="67"/>
      <c r="O673" s="67"/>
      <c r="P673" s="85" t="str">
        <f aca="false">IF(AH673="","",K673+N(L673)+N(M673)+N(N673)+N(O673))</f>
        <v/>
      </c>
      <c r="Q673" s="67"/>
      <c r="R673" s="67"/>
      <c r="S673" s="67"/>
      <c r="T673" s="67"/>
      <c r="U673" s="67"/>
      <c r="V673" s="67"/>
      <c r="W673" s="85" t="str">
        <f aca="false">IF(AH673="","",N(Q673)+N(R673)+N(S673)+N(T673)+N(U673)+N(V673))</f>
        <v/>
      </c>
      <c r="X673" s="85" t="str">
        <f aca="false">IF(AH673="","",P673-W673)</f>
        <v/>
      </c>
      <c r="Y673" s="67"/>
      <c r="Z673" s="70" t="str">
        <f aca="false">IF(OR(AH673="",Y673=""),"",IF(ABS(X673-Y673)&lt;=1,"✓ Cuadra","⚠ Diferencia $"&amp;FIXED(X673-Y673,0)))</f>
        <v/>
      </c>
      <c r="AA673" s="72" t="str">
        <f aca="false">IF(AH673="","",IFERROR(INDEX(C_TIPO,MATCH(C673&amp;"-P"&amp;MAX(1,COUNTIFS(C_ID,C673,C_DEFINE,"Sí",C_INICIO,"&lt;="&amp;EOMONTH(B673,0))),C_CLAVE,0))&amp;"","Sin dato"))</f>
        <v/>
      </c>
      <c r="AB673" s="71" t="str">
        <f aca="false">IF(AH673="","",ROUND(MIN(K673,TOPE_AFP_UF*AJ673)*AK673,0))</f>
        <v/>
      </c>
      <c r="AC673" s="71" t="str">
        <f aca="false">IF(AH673="","",ROUND(MIN(K673,TOPE_AFC_UF*AJ673)*IF(AA673="Indefinido",AFC_EMP_INDEF,AFC_EMP_PF),0))</f>
        <v/>
      </c>
      <c r="AD673" s="71" t="str">
        <f aca="false">IF(AH673="","",ROUND(MIN(K673,TOPE_AFP_UF*AJ673)*(MUTUAL_BASICA+MUTUAL_ADIC+SANNA),0))</f>
        <v/>
      </c>
      <c r="AE673" s="71" t="str">
        <f aca="false">IF(AH673="","",P673-N(N673)+AB673+AC673+AD673)</f>
        <v/>
      </c>
      <c r="AF673" s="65"/>
      <c r="AG673" s="64"/>
      <c r="AH673" s="72" t="str">
        <f aca="false">IF(OR(B673="",C673=""),"",C673&amp;"|"&amp;(YEAR(B673)*100+MONTH(B673)))</f>
        <v/>
      </c>
      <c r="AI673" s="70" t="str">
        <f aca="false">IF(AH673="","",IF(COUNTIF(L_CLAVE,AH673)&gt;1,"⚠ Duplicado","OK"))</f>
        <v/>
      </c>
      <c r="AJ673" s="86" t="str">
        <f aca="false">IF(AH673="","",IF(SUMPRODUCT(MAX((IND_PER&lt;=B673)*(IND_UF&lt;&gt;"")*IND_PER))=0,UF_HOY,INDEX(IND_UF,MATCH(SUMPRODUCT(MAX((IND_PER&lt;=B673)*(IND_UF&lt;&gt;"")*IND_PER)),IND_PER,0))))</f>
        <v/>
      </c>
      <c r="AK673" s="87" t="str">
        <f aca="false">IF(AH673="","",IF(COUNTIF(TASA_DESDE,"&lt;="&amp;B673)=0,INDEX(TASA_EMP,1),INDEX(TASA_EMP,COUNTIF(TASA_DESDE,"&lt;="&amp;B673))))</f>
        <v/>
      </c>
    </row>
    <row r="674" customFormat="false" ht="15" hidden="false" customHeight="false" outlineLevel="0" collapsed="false">
      <c r="B674" s="78"/>
      <c r="C674" s="64"/>
      <c r="D674" s="72" t="str">
        <f aca="false">IF(C674="","",IFERROR(INDEX(T_NOMBRE,MATCH(C674,T_ID,0)),"⚠ ID no existe"))</f>
        <v/>
      </c>
      <c r="E674" s="69"/>
      <c r="F674" s="67"/>
      <c r="G674" s="67"/>
      <c r="H674" s="67"/>
      <c r="I674" s="67"/>
      <c r="J674" s="67"/>
      <c r="K674" s="85" t="str">
        <f aca="false">IF(AH674="","",N(F674)+N(G674)+N(H674)-N(I674)+N(J674))</f>
        <v/>
      </c>
      <c r="L674" s="67"/>
      <c r="M674" s="67"/>
      <c r="N674" s="67"/>
      <c r="O674" s="67"/>
      <c r="P674" s="85" t="str">
        <f aca="false">IF(AH674="","",K674+N(L674)+N(M674)+N(N674)+N(O674))</f>
        <v/>
      </c>
      <c r="Q674" s="67"/>
      <c r="R674" s="67"/>
      <c r="S674" s="67"/>
      <c r="T674" s="67"/>
      <c r="U674" s="67"/>
      <c r="V674" s="67"/>
      <c r="W674" s="85" t="str">
        <f aca="false">IF(AH674="","",N(Q674)+N(R674)+N(S674)+N(T674)+N(U674)+N(V674))</f>
        <v/>
      </c>
      <c r="X674" s="85" t="str">
        <f aca="false">IF(AH674="","",P674-W674)</f>
        <v/>
      </c>
      <c r="Y674" s="67"/>
      <c r="Z674" s="70" t="str">
        <f aca="false">IF(OR(AH674="",Y674=""),"",IF(ABS(X674-Y674)&lt;=1,"✓ Cuadra","⚠ Diferencia $"&amp;FIXED(X674-Y674,0)))</f>
        <v/>
      </c>
      <c r="AA674" s="72" t="str">
        <f aca="false">IF(AH674="","",IFERROR(INDEX(C_TIPO,MATCH(C674&amp;"-P"&amp;MAX(1,COUNTIFS(C_ID,C674,C_DEFINE,"Sí",C_INICIO,"&lt;="&amp;EOMONTH(B674,0))),C_CLAVE,0))&amp;"","Sin dato"))</f>
        <v/>
      </c>
      <c r="AB674" s="71" t="str">
        <f aca="false">IF(AH674="","",ROUND(MIN(K674,TOPE_AFP_UF*AJ674)*AK674,0))</f>
        <v/>
      </c>
      <c r="AC674" s="71" t="str">
        <f aca="false">IF(AH674="","",ROUND(MIN(K674,TOPE_AFC_UF*AJ674)*IF(AA674="Indefinido",AFC_EMP_INDEF,AFC_EMP_PF),0))</f>
        <v/>
      </c>
      <c r="AD674" s="71" t="str">
        <f aca="false">IF(AH674="","",ROUND(MIN(K674,TOPE_AFP_UF*AJ674)*(MUTUAL_BASICA+MUTUAL_ADIC+SANNA),0))</f>
        <v/>
      </c>
      <c r="AE674" s="71" t="str">
        <f aca="false">IF(AH674="","",P674-N(N674)+AB674+AC674+AD674)</f>
        <v/>
      </c>
      <c r="AF674" s="65"/>
      <c r="AG674" s="64"/>
      <c r="AH674" s="72" t="str">
        <f aca="false">IF(OR(B674="",C674=""),"",C674&amp;"|"&amp;(YEAR(B674)*100+MONTH(B674)))</f>
        <v/>
      </c>
      <c r="AI674" s="70" t="str">
        <f aca="false">IF(AH674="","",IF(COUNTIF(L_CLAVE,AH674)&gt;1,"⚠ Duplicado","OK"))</f>
        <v/>
      </c>
      <c r="AJ674" s="86" t="str">
        <f aca="false">IF(AH674="","",IF(SUMPRODUCT(MAX((IND_PER&lt;=B674)*(IND_UF&lt;&gt;"")*IND_PER))=0,UF_HOY,INDEX(IND_UF,MATCH(SUMPRODUCT(MAX((IND_PER&lt;=B674)*(IND_UF&lt;&gt;"")*IND_PER)),IND_PER,0))))</f>
        <v/>
      </c>
      <c r="AK674" s="87" t="str">
        <f aca="false">IF(AH674="","",IF(COUNTIF(TASA_DESDE,"&lt;="&amp;B674)=0,INDEX(TASA_EMP,1),INDEX(TASA_EMP,COUNTIF(TASA_DESDE,"&lt;="&amp;B674))))</f>
        <v/>
      </c>
    </row>
    <row r="675" customFormat="false" ht="15" hidden="false" customHeight="false" outlineLevel="0" collapsed="false">
      <c r="B675" s="78"/>
      <c r="C675" s="64"/>
      <c r="D675" s="72" t="str">
        <f aca="false">IF(C675="","",IFERROR(INDEX(T_NOMBRE,MATCH(C675,T_ID,0)),"⚠ ID no existe"))</f>
        <v/>
      </c>
      <c r="E675" s="69"/>
      <c r="F675" s="67"/>
      <c r="G675" s="67"/>
      <c r="H675" s="67"/>
      <c r="I675" s="67"/>
      <c r="J675" s="67"/>
      <c r="K675" s="85" t="str">
        <f aca="false">IF(AH675="","",N(F675)+N(G675)+N(H675)-N(I675)+N(J675))</f>
        <v/>
      </c>
      <c r="L675" s="67"/>
      <c r="M675" s="67"/>
      <c r="N675" s="67"/>
      <c r="O675" s="67"/>
      <c r="P675" s="85" t="str">
        <f aca="false">IF(AH675="","",K675+N(L675)+N(M675)+N(N675)+N(O675))</f>
        <v/>
      </c>
      <c r="Q675" s="67"/>
      <c r="R675" s="67"/>
      <c r="S675" s="67"/>
      <c r="T675" s="67"/>
      <c r="U675" s="67"/>
      <c r="V675" s="67"/>
      <c r="W675" s="85" t="str">
        <f aca="false">IF(AH675="","",N(Q675)+N(R675)+N(S675)+N(T675)+N(U675)+N(V675))</f>
        <v/>
      </c>
      <c r="X675" s="85" t="str">
        <f aca="false">IF(AH675="","",P675-W675)</f>
        <v/>
      </c>
      <c r="Y675" s="67"/>
      <c r="Z675" s="70" t="str">
        <f aca="false">IF(OR(AH675="",Y675=""),"",IF(ABS(X675-Y675)&lt;=1,"✓ Cuadra","⚠ Diferencia $"&amp;FIXED(X675-Y675,0)))</f>
        <v/>
      </c>
      <c r="AA675" s="72" t="str">
        <f aca="false">IF(AH675="","",IFERROR(INDEX(C_TIPO,MATCH(C675&amp;"-P"&amp;MAX(1,COUNTIFS(C_ID,C675,C_DEFINE,"Sí",C_INICIO,"&lt;="&amp;EOMONTH(B675,0))),C_CLAVE,0))&amp;"","Sin dato"))</f>
        <v/>
      </c>
      <c r="AB675" s="71" t="str">
        <f aca="false">IF(AH675="","",ROUND(MIN(K675,TOPE_AFP_UF*AJ675)*AK675,0))</f>
        <v/>
      </c>
      <c r="AC675" s="71" t="str">
        <f aca="false">IF(AH675="","",ROUND(MIN(K675,TOPE_AFC_UF*AJ675)*IF(AA675="Indefinido",AFC_EMP_INDEF,AFC_EMP_PF),0))</f>
        <v/>
      </c>
      <c r="AD675" s="71" t="str">
        <f aca="false">IF(AH675="","",ROUND(MIN(K675,TOPE_AFP_UF*AJ675)*(MUTUAL_BASICA+MUTUAL_ADIC+SANNA),0))</f>
        <v/>
      </c>
      <c r="AE675" s="71" t="str">
        <f aca="false">IF(AH675="","",P675-N(N675)+AB675+AC675+AD675)</f>
        <v/>
      </c>
      <c r="AF675" s="65"/>
      <c r="AG675" s="64"/>
      <c r="AH675" s="72" t="str">
        <f aca="false">IF(OR(B675="",C675=""),"",C675&amp;"|"&amp;(YEAR(B675)*100+MONTH(B675)))</f>
        <v/>
      </c>
      <c r="AI675" s="70" t="str">
        <f aca="false">IF(AH675="","",IF(COUNTIF(L_CLAVE,AH675)&gt;1,"⚠ Duplicado","OK"))</f>
        <v/>
      </c>
      <c r="AJ675" s="86" t="str">
        <f aca="false">IF(AH675="","",IF(SUMPRODUCT(MAX((IND_PER&lt;=B675)*(IND_UF&lt;&gt;"")*IND_PER))=0,UF_HOY,INDEX(IND_UF,MATCH(SUMPRODUCT(MAX((IND_PER&lt;=B675)*(IND_UF&lt;&gt;"")*IND_PER)),IND_PER,0))))</f>
        <v/>
      </c>
      <c r="AK675" s="87" t="str">
        <f aca="false">IF(AH675="","",IF(COUNTIF(TASA_DESDE,"&lt;="&amp;B675)=0,INDEX(TASA_EMP,1),INDEX(TASA_EMP,COUNTIF(TASA_DESDE,"&lt;="&amp;B675))))</f>
        <v/>
      </c>
    </row>
    <row r="676" customFormat="false" ht="15" hidden="false" customHeight="false" outlineLevel="0" collapsed="false">
      <c r="B676" s="78"/>
      <c r="C676" s="64"/>
      <c r="D676" s="72" t="str">
        <f aca="false">IF(C676="","",IFERROR(INDEX(T_NOMBRE,MATCH(C676,T_ID,0)),"⚠ ID no existe"))</f>
        <v/>
      </c>
      <c r="E676" s="69"/>
      <c r="F676" s="67"/>
      <c r="G676" s="67"/>
      <c r="H676" s="67"/>
      <c r="I676" s="67"/>
      <c r="J676" s="67"/>
      <c r="K676" s="85" t="str">
        <f aca="false">IF(AH676="","",N(F676)+N(G676)+N(H676)-N(I676)+N(J676))</f>
        <v/>
      </c>
      <c r="L676" s="67"/>
      <c r="M676" s="67"/>
      <c r="N676" s="67"/>
      <c r="O676" s="67"/>
      <c r="P676" s="85" t="str">
        <f aca="false">IF(AH676="","",K676+N(L676)+N(M676)+N(N676)+N(O676))</f>
        <v/>
      </c>
      <c r="Q676" s="67"/>
      <c r="R676" s="67"/>
      <c r="S676" s="67"/>
      <c r="T676" s="67"/>
      <c r="U676" s="67"/>
      <c r="V676" s="67"/>
      <c r="W676" s="85" t="str">
        <f aca="false">IF(AH676="","",N(Q676)+N(R676)+N(S676)+N(T676)+N(U676)+N(V676))</f>
        <v/>
      </c>
      <c r="X676" s="85" t="str">
        <f aca="false">IF(AH676="","",P676-W676)</f>
        <v/>
      </c>
      <c r="Y676" s="67"/>
      <c r="Z676" s="70" t="str">
        <f aca="false">IF(OR(AH676="",Y676=""),"",IF(ABS(X676-Y676)&lt;=1,"✓ Cuadra","⚠ Diferencia $"&amp;FIXED(X676-Y676,0)))</f>
        <v/>
      </c>
      <c r="AA676" s="72" t="str">
        <f aca="false">IF(AH676="","",IFERROR(INDEX(C_TIPO,MATCH(C676&amp;"-P"&amp;MAX(1,COUNTIFS(C_ID,C676,C_DEFINE,"Sí",C_INICIO,"&lt;="&amp;EOMONTH(B676,0))),C_CLAVE,0))&amp;"","Sin dato"))</f>
        <v/>
      </c>
      <c r="AB676" s="71" t="str">
        <f aca="false">IF(AH676="","",ROUND(MIN(K676,TOPE_AFP_UF*AJ676)*AK676,0))</f>
        <v/>
      </c>
      <c r="AC676" s="71" t="str">
        <f aca="false">IF(AH676="","",ROUND(MIN(K676,TOPE_AFC_UF*AJ676)*IF(AA676="Indefinido",AFC_EMP_INDEF,AFC_EMP_PF),0))</f>
        <v/>
      </c>
      <c r="AD676" s="71" t="str">
        <f aca="false">IF(AH676="","",ROUND(MIN(K676,TOPE_AFP_UF*AJ676)*(MUTUAL_BASICA+MUTUAL_ADIC+SANNA),0))</f>
        <v/>
      </c>
      <c r="AE676" s="71" t="str">
        <f aca="false">IF(AH676="","",P676-N(N676)+AB676+AC676+AD676)</f>
        <v/>
      </c>
      <c r="AF676" s="65"/>
      <c r="AG676" s="64"/>
      <c r="AH676" s="72" t="str">
        <f aca="false">IF(OR(B676="",C676=""),"",C676&amp;"|"&amp;(YEAR(B676)*100+MONTH(B676)))</f>
        <v/>
      </c>
      <c r="AI676" s="70" t="str">
        <f aca="false">IF(AH676="","",IF(COUNTIF(L_CLAVE,AH676)&gt;1,"⚠ Duplicado","OK"))</f>
        <v/>
      </c>
      <c r="AJ676" s="86" t="str">
        <f aca="false">IF(AH676="","",IF(SUMPRODUCT(MAX((IND_PER&lt;=B676)*(IND_UF&lt;&gt;"")*IND_PER))=0,UF_HOY,INDEX(IND_UF,MATCH(SUMPRODUCT(MAX((IND_PER&lt;=B676)*(IND_UF&lt;&gt;"")*IND_PER)),IND_PER,0))))</f>
        <v/>
      </c>
      <c r="AK676" s="87" t="str">
        <f aca="false">IF(AH676="","",IF(COUNTIF(TASA_DESDE,"&lt;="&amp;B676)=0,INDEX(TASA_EMP,1),INDEX(TASA_EMP,COUNTIF(TASA_DESDE,"&lt;="&amp;B676))))</f>
        <v/>
      </c>
    </row>
    <row r="677" customFormat="false" ht="15" hidden="false" customHeight="false" outlineLevel="0" collapsed="false">
      <c r="B677" s="78"/>
      <c r="C677" s="64"/>
      <c r="D677" s="72" t="str">
        <f aca="false">IF(C677="","",IFERROR(INDEX(T_NOMBRE,MATCH(C677,T_ID,0)),"⚠ ID no existe"))</f>
        <v/>
      </c>
      <c r="E677" s="69"/>
      <c r="F677" s="67"/>
      <c r="G677" s="67"/>
      <c r="H677" s="67"/>
      <c r="I677" s="67"/>
      <c r="J677" s="67"/>
      <c r="K677" s="85" t="str">
        <f aca="false">IF(AH677="","",N(F677)+N(G677)+N(H677)-N(I677)+N(J677))</f>
        <v/>
      </c>
      <c r="L677" s="67"/>
      <c r="M677" s="67"/>
      <c r="N677" s="67"/>
      <c r="O677" s="67"/>
      <c r="P677" s="85" t="str">
        <f aca="false">IF(AH677="","",K677+N(L677)+N(M677)+N(N677)+N(O677))</f>
        <v/>
      </c>
      <c r="Q677" s="67"/>
      <c r="R677" s="67"/>
      <c r="S677" s="67"/>
      <c r="T677" s="67"/>
      <c r="U677" s="67"/>
      <c r="V677" s="67"/>
      <c r="W677" s="85" t="str">
        <f aca="false">IF(AH677="","",N(Q677)+N(R677)+N(S677)+N(T677)+N(U677)+N(V677))</f>
        <v/>
      </c>
      <c r="X677" s="85" t="str">
        <f aca="false">IF(AH677="","",P677-W677)</f>
        <v/>
      </c>
      <c r="Y677" s="67"/>
      <c r="Z677" s="70" t="str">
        <f aca="false">IF(OR(AH677="",Y677=""),"",IF(ABS(X677-Y677)&lt;=1,"✓ Cuadra","⚠ Diferencia $"&amp;FIXED(X677-Y677,0)))</f>
        <v/>
      </c>
      <c r="AA677" s="72" t="str">
        <f aca="false">IF(AH677="","",IFERROR(INDEX(C_TIPO,MATCH(C677&amp;"-P"&amp;MAX(1,COUNTIFS(C_ID,C677,C_DEFINE,"Sí",C_INICIO,"&lt;="&amp;EOMONTH(B677,0))),C_CLAVE,0))&amp;"","Sin dato"))</f>
        <v/>
      </c>
      <c r="AB677" s="71" t="str">
        <f aca="false">IF(AH677="","",ROUND(MIN(K677,TOPE_AFP_UF*AJ677)*AK677,0))</f>
        <v/>
      </c>
      <c r="AC677" s="71" t="str">
        <f aca="false">IF(AH677="","",ROUND(MIN(K677,TOPE_AFC_UF*AJ677)*IF(AA677="Indefinido",AFC_EMP_INDEF,AFC_EMP_PF),0))</f>
        <v/>
      </c>
      <c r="AD677" s="71" t="str">
        <f aca="false">IF(AH677="","",ROUND(MIN(K677,TOPE_AFP_UF*AJ677)*(MUTUAL_BASICA+MUTUAL_ADIC+SANNA),0))</f>
        <v/>
      </c>
      <c r="AE677" s="71" t="str">
        <f aca="false">IF(AH677="","",P677-N(N677)+AB677+AC677+AD677)</f>
        <v/>
      </c>
      <c r="AF677" s="65"/>
      <c r="AG677" s="64"/>
      <c r="AH677" s="72" t="str">
        <f aca="false">IF(OR(B677="",C677=""),"",C677&amp;"|"&amp;(YEAR(B677)*100+MONTH(B677)))</f>
        <v/>
      </c>
      <c r="AI677" s="70" t="str">
        <f aca="false">IF(AH677="","",IF(COUNTIF(L_CLAVE,AH677)&gt;1,"⚠ Duplicado","OK"))</f>
        <v/>
      </c>
      <c r="AJ677" s="86" t="str">
        <f aca="false">IF(AH677="","",IF(SUMPRODUCT(MAX((IND_PER&lt;=B677)*(IND_UF&lt;&gt;"")*IND_PER))=0,UF_HOY,INDEX(IND_UF,MATCH(SUMPRODUCT(MAX((IND_PER&lt;=B677)*(IND_UF&lt;&gt;"")*IND_PER)),IND_PER,0))))</f>
        <v/>
      </c>
      <c r="AK677" s="87" t="str">
        <f aca="false">IF(AH677="","",IF(COUNTIF(TASA_DESDE,"&lt;="&amp;B677)=0,INDEX(TASA_EMP,1),INDEX(TASA_EMP,COUNTIF(TASA_DESDE,"&lt;="&amp;B677))))</f>
        <v/>
      </c>
    </row>
    <row r="678" customFormat="false" ht="15" hidden="false" customHeight="false" outlineLevel="0" collapsed="false">
      <c r="B678" s="78"/>
      <c r="C678" s="64"/>
      <c r="D678" s="72" t="str">
        <f aca="false">IF(C678="","",IFERROR(INDEX(T_NOMBRE,MATCH(C678,T_ID,0)),"⚠ ID no existe"))</f>
        <v/>
      </c>
      <c r="E678" s="69"/>
      <c r="F678" s="67"/>
      <c r="G678" s="67"/>
      <c r="H678" s="67"/>
      <c r="I678" s="67"/>
      <c r="J678" s="67"/>
      <c r="K678" s="85" t="str">
        <f aca="false">IF(AH678="","",N(F678)+N(G678)+N(H678)-N(I678)+N(J678))</f>
        <v/>
      </c>
      <c r="L678" s="67"/>
      <c r="M678" s="67"/>
      <c r="N678" s="67"/>
      <c r="O678" s="67"/>
      <c r="P678" s="85" t="str">
        <f aca="false">IF(AH678="","",K678+N(L678)+N(M678)+N(N678)+N(O678))</f>
        <v/>
      </c>
      <c r="Q678" s="67"/>
      <c r="R678" s="67"/>
      <c r="S678" s="67"/>
      <c r="T678" s="67"/>
      <c r="U678" s="67"/>
      <c r="V678" s="67"/>
      <c r="W678" s="85" t="str">
        <f aca="false">IF(AH678="","",N(Q678)+N(R678)+N(S678)+N(T678)+N(U678)+N(V678))</f>
        <v/>
      </c>
      <c r="X678" s="85" t="str">
        <f aca="false">IF(AH678="","",P678-W678)</f>
        <v/>
      </c>
      <c r="Y678" s="67"/>
      <c r="Z678" s="70" t="str">
        <f aca="false">IF(OR(AH678="",Y678=""),"",IF(ABS(X678-Y678)&lt;=1,"✓ Cuadra","⚠ Diferencia $"&amp;FIXED(X678-Y678,0)))</f>
        <v/>
      </c>
      <c r="AA678" s="72" t="str">
        <f aca="false">IF(AH678="","",IFERROR(INDEX(C_TIPO,MATCH(C678&amp;"-P"&amp;MAX(1,COUNTIFS(C_ID,C678,C_DEFINE,"Sí",C_INICIO,"&lt;="&amp;EOMONTH(B678,0))),C_CLAVE,0))&amp;"","Sin dato"))</f>
        <v/>
      </c>
      <c r="AB678" s="71" t="str">
        <f aca="false">IF(AH678="","",ROUND(MIN(K678,TOPE_AFP_UF*AJ678)*AK678,0))</f>
        <v/>
      </c>
      <c r="AC678" s="71" t="str">
        <f aca="false">IF(AH678="","",ROUND(MIN(K678,TOPE_AFC_UF*AJ678)*IF(AA678="Indefinido",AFC_EMP_INDEF,AFC_EMP_PF),0))</f>
        <v/>
      </c>
      <c r="AD678" s="71" t="str">
        <f aca="false">IF(AH678="","",ROUND(MIN(K678,TOPE_AFP_UF*AJ678)*(MUTUAL_BASICA+MUTUAL_ADIC+SANNA),0))</f>
        <v/>
      </c>
      <c r="AE678" s="71" t="str">
        <f aca="false">IF(AH678="","",P678-N(N678)+AB678+AC678+AD678)</f>
        <v/>
      </c>
      <c r="AF678" s="65"/>
      <c r="AG678" s="64"/>
      <c r="AH678" s="72" t="str">
        <f aca="false">IF(OR(B678="",C678=""),"",C678&amp;"|"&amp;(YEAR(B678)*100+MONTH(B678)))</f>
        <v/>
      </c>
      <c r="AI678" s="70" t="str">
        <f aca="false">IF(AH678="","",IF(COUNTIF(L_CLAVE,AH678)&gt;1,"⚠ Duplicado","OK"))</f>
        <v/>
      </c>
      <c r="AJ678" s="86" t="str">
        <f aca="false">IF(AH678="","",IF(SUMPRODUCT(MAX((IND_PER&lt;=B678)*(IND_UF&lt;&gt;"")*IND_PER))=0,UF_HOY,INDEX(IND_UF,MATCH(SUMPRODUCT(MAX((IND_PER&lt;=B678)*(IND_UF&lt;&gt;"")*IND_PER)),IND_PER,0))))</f>
        <v/>
      </c>
      <c r="AK678" s="87" t="str">
        <f aca="false">IF(AH678="","",IF(COUNTIF(TASA_DESDE,"&lt;="&amp;B678)=0,INDEX(TASA_EMP,1),INDEX(TASA_EMP,COUNTIF(TASA_DESDE,"&lt;="&amp;B678))))</f>
        <v/>
      </c>
    </row>
    <row r="679" customFormat="false" ht="15" hidden="false" customHeight="false" outlineLevel="0" collapsed="false">
      <c r="B679" s="78"/>
      <c r="C679" s="64"/>
      <c r="D679" s="72" t="str">
        <f aca="false">IF(C679="","",IFERROR(INDEX(T_NOMBRE,MATCH(C679,T_ID,0)),"⚠ ID no existe"))</f>
        <v/>
      </c>
      <c r="E679" s="69"/>
      <c r="F679" s="67"/>
      <c r="G679" s="67"/>
      <c r="H679" s="67"/>
      <c r="I679" s="67"/>
      <c r="J679" s="67"/>
      <c r="K679" s="85" t="str">
        <f aca="false">IF(AH679="","",N(F679)+N(G679)+N(H679)-N(I679)+N(J679))</f>
        <v/>
      </c>
      <c r="L679" s="67"/>
      <c r="M679" s="67"/>
      <c r="N679" s="67"/>
      <c r="O679" s="67"/>
      <c r="P679" s="85" t="str">
        <f aca="false">IF(AH679="","",K679+N(L679)+N(M679)+N(N679)+N(O679))</f>
        <v/>
      </c>
      <c r="Q679" s="67"/>
      <c r="R679" s="67"/>
      <c r="S679" s="67"/>
      <c r="T679" s="67"/>
      <c r="U679" s="67"/>
      <c r="V679" s="67"/>
      <c r="W679" s="85" t="str">
        <f aca="false">IF(AH679="","",N(Q679)+N(R679)+N(S679)+N(T679)+N(U679)+N(V679))</f>
        <v/>
      </c>
      <c r="X679" s="85" t="str">
        <f aca="false">IF(AH679="","",P679-W679)</f>
        <v/>
      </c>
      <c r="Y679" s="67"/>
      <c r="Z679" s="70" t="str">
        <f aca="false">IF(OR(AH679="",Y679=""),"",IF(ABS(X679-Y679)&lt;=1,"✓ Cuadra","⚠ Diferencia $"&amp;FIXED(X679-Y679,0)))</f>
        <v/>
      </c>
      <c r="AA679" s="72" t="str">
        <f aca="false">IF(AH679="","",IFERROR(INDEX(C_TIPO,MATCH(C679&amp;"-P"&amp;MAX(1,COUNTIFS(C_ID,C679,C_DEFINE,"Sí",C_INICIO,"&lt;="&amp;EOMONTH(B679,0))),C_CLAVE,0))&amp;"","Sin dato"))</f>
        <v/>
      </c>
      <c r="AB679" s="71" t="str">
        <f aca="false">IF(AH679="","",ROUND(MIN(K679,TOPE_AFP_UF*AJ679)*AK679,0))</f>
        <v/>
      </c>
      <c r="AC679" s="71" t="str">
        <f aca="false">IF(AH679="","",ROUND(MIN(K679,TOPE_AFC_UF*AJ679)*IF(AA679="Indefinido",AFC_EMP_INDEF,AFC_EMP_PF),0))</f>
        <v/>
      </c>
      <c r="AD679" s="71" t="str">
        <f aca="false">IF(AH679="","",ROUND(MIN(K679,TOPE_AFP_UF*AJ679)*(MUTUAL_BASICA+MUTUAL_ADIC+SANNA),0))</f>
        <v/>
      </c>
      <c r="AE679" s="71" t="str">
        <f aca="false">IF(AH679="","",P679-N(N679)+AB679+AC679+AD679)</f>
        <v/>
      </c>
      <c r="AF679" s="65"/>
      <c r="AG679" s="64"/>
      <c r="AH679" s="72" t="str">
        <f aca="false">IF(OR(B679="",C679=""),"",C679&amp;"|"&amp;(YEAR(B679)*100+MONTH(B679)))</f>
        <v/>
      </c>
      <c r="AI679" s="70" t="str">
        <f aca="false">IF(AH679="","",IF(COUNTIF(L_CLAVE,AH679)&gt;1,"⚠ Duplicado","OK"))</f>
        <v/>
      </c>
      <c r="AJ679" s="86" t="str">
        <f aca="false">IF(AH679="","",IF(SUMPRODUCT(MAX((IND_PER&lt;=B679)*(IND_UF&lt;&gt;"")*IND_PER))=0,UF_HOY,INDEX(IND_UF,MATCH(SUMPRODUCT(MAX((IND_PER&lt;=B679)*(IND_UF&lt;&gt;"")*IND_PER)),IND_PER,0))))</f>
        <v/>
      </c>
      <c r="AK679" s="87" t="str">
        <f aca="false">IF(AH679="","",IF(COUNTIF(TASA_DESDE,"&lt;="&amp;B679)=0,INDEX(TASA_EMP,1),INDEX(TASA_EMP,COUNTIF(TASA_DESDE,"&lt;="&amp;B679))))</f>
        <v/>
      </c>
    </row>
    <row r="680" customFormat="false" ht="15" hidden="false" customHeight="false" outlineLevel="0" collapsed="false">
      <c r="B680" s="78"/>
      <c r="C680" s="64"/>
      <c r="D680" s="72" t="str">
        <f aca="false">IF(C680="","",IFERROR(INDEX(T_NOMBRE,MATCH(C680,T_ID,0)),"⚠ ID no existe"))</f>
        <v/>
      </c>
      <c r="E680" s="69"/>
      <c r="F680" s="67"/>
      <c r="G680" s="67"/>
      <c r="H680" s="67"/>
      <c r="I680" s="67"/>
      <c r="J680" s="67"/>
      <c r="K680" s="85" t="str">
        <f aca="false">IF(AH680="","",N(F680)+N(G680)+N(H680)-N(I680)+N(J680))</f>
        <v/>
      </c>
      <c r="L680" s="67"/>
      <c r="M680" s="67"/>
      <c r="N680" s="67"/>
      <c r="O680" s="67"/>
      <c r="P680" s="85" t="str">
        <f aca="false">IF(AH680="","",K680+N(L680)+N(M680)+N(N680)+N(O680))</f>
        <v/>
      </c>
      <c r="Q680" s="67"/>
      <c r="R680" s="67"/>
      <c r="S680" s="67"/>
      <c r="T680" s="67"/>
      <c r="U680" s="67"/>
      <c r="V680" s="67"/>
      <c r="W680" s="85" t="str">
        <f aca="false">IF(AH680="","",N(Q680)+N(R680)+N(S680)+N(T680)+N(U680)+N(V680))</f>
        <v/>
      </c>
      <c r="X680" s="85" t="str">
        <f aca="false">IF(AH680="","",P680-W680)</f>
        <v/>
      </c>
      <c r="Y680" s="67"/>
      <c r="Z680" s="70" t="str">
        <f aca="false">IF(OR(AH680="",Y680=""),"",IF(ABS(X680-Y680)&lt;=1,"✓ Cuadra","⚠ Diferencia $"&amp;FIXED(X680-Y680,0)))</f>
        <v/>
      </c>
      <c r="AA680" s="72" t="str">
        <f aca="false">IF(AH680="","",IFERROR(INDEX(C_TIPO,MATCH(C680&amp;"-P"&amp;MAX(1,COUNTIFS(C_ID,C680,C_DEFINE,"Sí",C_INICIO,"&lt;="&amp;EOMONTH(B680,0))),C_CLAVE,0))&amp;"","Sin dato"))</f>
        <v/>
      </c>
      <c r="AB680" s="71" t="str">
        <f aca="false">IF(AH680="","",ROUND(MIN(K680,TOPE_AFP_UF*AJ680)*AK680,0))</f>
        <v/>
      </c>
      <c r="AC680" s="71" t="str">
        <f aca="false">IF(AH680="","",ROUND(MIN(K680,TOPE_AFC_UF*AJ680)*IF(AA680="Indefinido",AFC_EMP_INDEF,AFC_EMP_PF),0))</f>
        <v/>
      </c>
      <c r="AD680" s="71" t="str">
        <f aca="false">IF(AH680="","",ROUND(MIN(K680,TOPE_AFP_UF*AJ680)*(MUTUAL_BASICA+MUTUAL_ADIC+SANNA),0))</f>
        <v/>
      </c>
      <c r="AE680" s="71" t="str">
        <f aca="false">IF(AH680="","",P680-N(N680)+AB680+AC680+AD680)</f>
        <v/>
      </c>
      <c r="AF680" s="65"/>
      <c r="AG680" s="64"/>
      <c r="AH680" s="72" t="str">
        <f aca="false">IF(OR(B680="",C680=""),"",C680&amp;"|"&amp;(YEAR(B680)*100+MONTH(B680)))</f>
        <v/>
      </c>
      <c r="AI680" s="70" t="str">
        <f aca="false">IF(AH680="","",IF(COUNTIF(L_CLAVE,AH680)&gt;1,"⚠ Duplicado","OK"))</f>
        <v/>
      </c>
      <c r="AJ680" s="86" t="str">
        <f aca="false">IF(AH680="","",IF(SUMPRODUCT(MAX((IND_PER&lt;=B680)*(IND_UF&lt;&gt;"")*IND_PER))=0,UF_HOY,INDEX(IND_UF,MATCH(SUMPRODUCT(MAX((IND_PER&lt;=B680)*(IND_UF&lt;&gt;"")*IND_PER)),IND_PER,0))))</f>
        <v/>
      </c>
      <c r="AK680" s="87" t="str">
        <f aca="false">IF(AH680="","",IF(COUNTIF(TASA_DESDE,"&lt;="&amp;B680)=0,INDEX(TASA_EMP,1),INDEX(TASA_EMP,COUNTIF(TASA_DESDE,"&lt;="&amp;B680))))</f>
        <v/>
      </c>
    </row>
    <row r="681" customFormat="false" ht="15" hidden="false" customHeight="false" outlineLevel="0" collapsed="false">
      <c r="B681" s="78"/>
      <c r="C681" s="64"/>
      <c r="D681" s="72" t="str">
        <f aca="false">IF(C681="","",IFERROR(INDEX(T_NOMBRE,MATCH(C681,T_ID,0)),"⚠ ID no existe"))</f>
        <v/>
      </c>
      <c r="E681" s="69"/>
      <c r="F681" s="67"/>
      <c r="G681" s="67"/>
      <c r="H681" s="67"/>
      <c r="I681" s="67"/>
      <c r="J681" s="67"/>
      <c r="K681" s="85" t="str">
        <f aca="false">IF(AH681="","",N(F681)+N(G681)+N(H681)-N(I681)+N(J681))</f>
        <v/>
      </c>
      <c r="L681" s="67"/>
      <c r="M681" s="67"/>
      <c r="N681" s="67"/>
      <c r="O681" s="67"/>
      <c r="P681" s="85" t="str">
        <f aca="false">IF(AH681="","",K681+N(L681)+N(M681)+N(N681)+N(O681))</f>
        <v/>
      </c>
      <c r="Q681" s="67"/>
      <c r="R681" s="67"/>
      <c r="S681" s="67"/>
      <c r="T681" s="67"/>
      <c r="U681" s="67"/>
      <c r="V681" s="67"/>
      <c r="W681" s="85" t="str">
        <f aca="false">IF(AH681="","",N(Q681)+N(R681)+N(S681)+N(T681)+N(U681)+N(V681))</f>
        <v/>
      </c>
      <c r="X681" s="85" t="str">
        <f aca="false">IF(AH681="","",P681-W681)</f>
        <v/>
      </c>
      <c r="Y681" s="67"/>
      <c r="Z681" s="70" t="str">
        <f aca="false">IF(OR(AH681="",Y681=""),"",IF(ABS(X681-Y681)&lt;=1,"✓ Cuadra","⚠ Diferencia $"&amp;FIXED(X681-Y681,0)))</f>
        <v/>
      </c>
      <c r="AA681" s="72" t="str">
        <f aca="false">IF(AH681="","",IFERROR(INDEX(C_TIPO,MATCH(C681&amp;"-P"&amp;MAX(1,COUNTIFS(C_ID,C681,C_DEFINE,"Sí",C_INICIO,"&lt;="&amp;EOMONTH(B681,0))),C_CLAVE,0))&amp;"","Sin dato"))</f>
        <v/>
      </c>
      <c r="AB681" s="71" t="str">
        <f aca="false">IF(AH681="","",ROUND(MIN(K681,TOPE_AFP_UF*AJ681)*AK681,0))</f>
        <v/>
      </c>
      <c r="AC681" s="71" t="str">
        <f aca="false">IF(AH681="","",ROUND(MIN(K681,TOPE_AFC_UF*AJ681)*IF(AA681="Indefinido",AFC_EMP_INDEF,AFC_EMP_PF),0))</f>
        <v/>
      </c>
      <c r="AD681" s="71" t="str">
        <f aca="false">IF(AH681="","",ROUND(MIN(K681,TOPE_AFP_UF*AJ681)*(MUTUAL_BASICA+MUTUAL_ADIC+SANNA),0))</f>
        <v/>
      </c>
      <c r="AE681" s="71" t="str">
        <f aca="false">IF(AH681="","",P681-N(N681)+AB681+AC681+AD681)</f>
        <v/>
      </c>
      <c r="AF681" s="65"/>
      <c r="AG681" s="64"/>
      <c r="AH681" s="72" t="str">
        <f aca="false">IF(OR(B681="",C681=""),"",C681&amp;"|"&amp;(YEAR(B681)*100+MONTH(B681)))</f>
        <v/>
      </c>
      <c r="AI681" s="70" t="str">
        <f aca="false">IF(AH681="","",IF(COUNTIF(L_CLAVE,AH681)&gt;1,"⚠ Duplicado","OK"))</f>
        <v/>
      </c>
      <c r="AJ681" s="86" t="str">
        <f aca="false">IF(AH681="","",IF(SUMPRODUCT(MAX((IND_PER&lt;=B681)*(IND_UF&lt;&gt;"")*IND_PER))=0,UF_HOY,INDEX(IND_UF,MATCH(SUMPRODUCT(MAX((IND_PER&lt;=B681)*(IND_UF&lt;&gt;"")*IND_PER)),IND_PER,0))))</f>
        <v/>
      </c>
      <c r="AK681" s="87" t="str">
        <f aca="false">IF(AH681="","",IF(COUNTIF(TASA_DESDE,"&lt;="&amp;B681)=0,INDEX(TASA_EMP,1),INDEX(TASA_EMP,COUNTIF(TASA_DESDE,"&lt;="&amp;B681))))</f>
        <v/>
      </c>
    </row>
    <row r="682" customFormat="false" ht="15" hidden="false" customHeight="false" outlineLevel="0" collapsed="false">
      <c r="B682" s="78"/>
      <c r="C682" s="64"/>
      <c r="D682" s="72" t="str">
        <f aca="false">IF(C682="","",IFERROR(INDEX(T_NOMBRE,MATCH(C682,T_ID,0)),"⚠ ID no existe"))</f>
        <v/>
      </c>
      <c r="E682" s="69"/>
      <c r="F682" s="67"/>
      <c r="G682" s="67"/>
      <c r="H682" s="67"/>
      <c r="I682" s="67"/>
      <c r="J682" s="67"/>
      <c r="K682" s="85" t="str">
        <f aca="false">IF(AH682="","",N(F682)+N(G682)+N(H682)-N(I682)+N(J682))</f>
        <v/>
      </c>
      <c r="L682" s="67"/>
      <c r="M682" s="67"/>
      <c r="N682" s="67"/>
      <c r="O682" s="67"/>
      <c r="P682" s="85" t="str">
        <f aca="false">IF(AH682="","",K682+N(L682)+N(M682)+N(N682)+N(O682))</f>
        <v/>
      </c>
      <c r="Q682" s="67"/>
      <c r="R682" s="67"/>
      <c r="S682" s="67"/>
      <c r="T682" s="67"/>
      <c r="U682" s="67"/>
      <c r="V682" s="67"/>
      <c r="W682" s="85" t="str">
        <f aca="false">IF(AH682="","",N(Q682)+N(R682)+N(S682)+N(T682)+N(U682)+N(V682))</f>
        <v/>
      </c>
      <c r="X682" s="85" t="str">
        <f aca="false">IF(AH682="","",P682-W682)</f>
        <v/>
      </c>
      <c r="Y682" s="67"/>
      <c r="Z682" s="70" t="str">
        <f aca="false">IF(OR(AH682="",Y682=""),"",IF(ABS(X682-Y682)&lt;=1,"✓ Cuadra","⚠ Diferencia $"&amp;FIXED(X682-Y682,0)))</f>
        <v/>
      </c>
      <c r="AA682" s="72" t="str">
        <f aca="false">IF(AH682="","",IFERROR(INDEX(C_TIPO,MATCH(C682&amp;"-P"&amp;MAX(1,COUNTIFS(C_ID,C682,C_DEFINE,"Sí",C_INICIO,"&lt;="&amp;EOMONTH(B682,0))),C_CLAVE,0))&amp;"","Sin dato"))</f>
        <v/>
      </c>
      <c r="AB682" s="71" t="str">
        <f aca="false">IF(AH682="","",ROUND(MIN(K682,TOPE_AFP_UF*AJ682)*AK682,0))</f>
        <v/>
      </c>
      <c r="AC682" s="71" t="str">
        <f aca="false">IF(AH682="","",ROUND(MIN(K682,TOPE_AFC_UF*AJ682)*IF(AA682="Indefinido",AFC_EMP_INDEF,AFC_EMP_PF),0))</f>
        <v/>
      </c>
      <c r="AD682" s="71" t="str">
        <f aca="false">IF(AH682="","",ROUND(MIN(K682,TOPE_AFP_UF*AJ682)*(MUTUAL_BASICA+MUTUAL_ADIC+SANNA),0))</f>
        <v/>
      </c>
      <c r="AE682" s="71" t="str">
        <f aca="false">IF(AH682="","",P682-N(N682)+AB682+AC682+AD682)</f>
        <v/>
      </c>
      <c r="AF682" s="65"/>
      <c r="AG682" s="64"/>
      <c r="AH682" s="72" t="str">
        <f aca="false">IF(OR(B682="",C682=""),"",C682&amp;"|"&amp;(YEAR(B682)*100+MONTH(B682)))</f>
        <v/>
      </c>
      <c r="AI682" s="70" t="str">
        <f aca="false">IF(AH682="","",IF(COUNTIF(L_CLAVE,AH682)&gt;1,"⚠ Duplicado","OK"))</f>
        <v/>
      </c>
      <c r="AJ682" s="86" t="str">
        <f aca="false">IF(AH682="","",IF(SUMPRODUCT(MAX((IND_PER&lt;=B682)*(IND_UF&lt;&gt;"")*IND_PER))=0,UF_HOY,INDEX(IND_UF,MATCH(SUMPRODUCT(MAX((IND_PER&lt;=B682)*(IND_UF&lt;&gt;"")*IND_PER)),IND_PER,0))))</f>
        <v/>
      </c>
      <c r="AK682" s="87" t="str">
        <f aca="false">IF(AH682="","",IF(COUNTIF(TASA_DESDE,"&lt;="&amp;B682)=0,INDEX(TASA_EMP,1),INDEX(TASA_EMP,COUNTIF(TASA_DESDE,"&lt;="&amp;B682))))</f>
        <v/>
      </c>
    </row>
    <row r="683" customFormat="false" ht="15" hidden="false" customHeight="false" outlineLevel="0" collapsed="false">
      <c r="B683" s="78"/>
      <c r="C683" s="64"/>
      <c r="D683" s="72" t="str">
        <f aca="false">IF(C683="","",IFERROR(INDEX(T_NOMBRE,MATCH(C683,T_ID,0)),"⚠ ID no existe"))</f>
        <v/>
      </c>
      <c r="E683" s="69"/>
      <c r="F683" s="67"/>
      <c r="G683" s="67"/>
      <c r="H683" s="67"/>
      <c r="I683" s="67"/>
      <c r="J683" s="67"/>
      <c r="K683" s="85" t="str">
        <f aca="false">IF(AH683="","",N(F683)+N(G683)+N(H683)-N(I683)+N(J683))</f>
        <v/>
      </c>
      <c r="L683" s="67"/>
      <c r="M683" s="67"/>
      <c r="N683" s="67"/>
      <c r="O683" s="67"/>
      <c r="P683" s="85" t="str">
        <f aca="false">IF(AH683="","",K683+N(L683)+N(M683)+N(N683)+N(O683))</f>
        <v/>
      </c>
      <c r="Q683" s="67"/>
      <c r="R683" s="67"/>
      <c r="S683" s="67"/>
      <c r="T683" s="67"/>
      <c r="U683" s="67"/>
      <c r="V683" s="67"/>
      <c r="W683" s="85" t="str">
        <f aca="false">IF(AH683="","",N(Q683)+N(R683)+N(S683)+N(T683)+N(U683)+N(V683))</f>
        <v/>
      </c>
      <c r="X683" s="85" t="str">
        <f aca="false">IF(AH683="","",P683-W683)</f>
        <v/>
      </c>
      <c r="Y683" s="67"/>
      <c r="Z683" s="70" t="str">
        <f aca="false">IF(OR(AH683="",Y683=""),"",IF(ABS(X683-Y683)&lt;=1,"✓ Cuadra","⚠ Diferencia $"&amp;FIXED(X683-Y683,0)))</f>
        <v/>
      </c>
      <c r="AA683" s="72" t="str">
        <f aca="false">IF(AH683="","",IFERROR(INDEX(C_TIPO,MATCH(C683&amp;"-P"&amp;MAX(1,COUNTIFS(C_ID,C683,C_DEFINE,"Sí",C_INICIO,"&lt;="&amp;EOMONTH(B683,0))),C_CLAVE,0))&amp;"","Sin dato"))</f>
        <v/>
      </c>
      <c r="AB683" s="71" t="str">
        <f aca="false">IF(AH683="","",ROUND(MIN(K683,TOPE_AFP_UF*AJ683)*AK683,0))</f>
        <v/>
      </c>
      <c r="AC683" s="71" t="str">
        <f aca="false">IF(AH683="","",ROUND(MIN(K683,TOPE_AFC_UF*AJ683)*IF(AA683="Indefinido",AFC_EMP_INDEF,AFC_EMP_PF),0))</f>
        <v/>
      </c>
      <c r="AD683" s="71" t="str">
        <f aca="false">IF(AH683="","",ROUND(MIN(K683,TOPE_AFP_UF*AJ683)*(MUTUAL_BASICA+MUTUAL_ADIC+SANNA),0))</f>
        <v/>
      </c>
      <c r="AE683" s="71" t="str">
        <f aca="false">IF(AH683="","",P683-N(N683)+AB683+AC683+AD683)</f>
        <v/>
      </c>
      <c r="AF683" s="65"/>
      <c r="AG683" s="64"/>
      <c r="AH683" s="72" t="str">
        <f aca="false">IF(OR(B683="",C683=""),"",C683&amp;"|"&amp;(YEAR(B683)*100+MONTH(B683)))</f>
        <v/>
      </c>
      <c r="AI683" s="70" t="str">
        <f aca="false">IF(AH683="","",IF(COUNTIF(L_CLAVE,AH683)&gt;1,"⚠ Duplicado","OK"))</f>
        <v/>
      </c>
      <c r="AJ683" s="86" t="str">
        <f aca="false">IF(AH683="","",IF(SUMPRODUCT(MAX((IND_PER&lt;=B683)*(IND_UF&lt;&gt;"")*IND_PER))=0,UF_HOY,INDEX(IND_UF,MATCH(SUMPRODUCT(MAX((IND_PER&lt;=B683)*(IND_UF&lt;&gt;"")*IND_PER)),IND_PER,0))))</f>
        <v/>
      </c>
      <c r="AK683" s="87" t="str">
        <f aca="false">IF(AH683="","",IF(COUNTIF(TASA_DESDE,"&lt;="&amp;B683)=0,INDEX(TASA_EMP,1),INDEX(TASA_EMP,COUNTIF(TASA_DESDE,"&lt;="&amp;B683))))</f>
        <v/>
      </c>
    </row>
    <row r="684" customFormat="false" ht="15" hidden="false" customHeight="false" outlineLevel="0" collapsed="false">
      <c r="B684" s="78"/>
      <c r="C684" s="64"/>
      <c r="D684" s="72" t="str">
        <f aca="false">IF(C684="","",IFERROR(INDEX(T_NOMBRE,MATCH(C684,T_ID,0)),"⚠ ID no existe"))</f>
        <v/>
      </c>
      <c r="E684" s="69"/>
      <c r="F684" s="67"/>
      <c r="G684" s="67"/>
      <c r="H684" s="67"/>
      <c r="I684" s="67"/>
      <c r="J684" s="67"/>
      <c r="K684" s="85" t="str">
        <f aca="false">IF(AH684="","",N(F684)+N(G684)+N(H684)-N(I684)+N(J684))</f>
        <v/>
      </c>
      <c r="L684" s="67"/>
      <c r="M684" s="67"/>
      <c r="N684" s="67"/>
      <c r="O684" s="67"/>
      <c r="P684" s="85" t="str">
        <f aca="false">IF(AH684="","",K684+N(L684)+N(M684)+N(N684)+N(O684))</f>
        <v/>
      </c>
      <c r="Q684" s="67"/>
      <c r="R684" s="67"/>
      <c r="S684" s="67"/>
      <c r="T684" s="67"/>
      <c r="U684" s="67"/>
      <c r="V684" s="67"/>
      <c r="W684" s="85" t="str">
        <f aca="false">IF(AH684="","",N(Q684)+N(R684)+N(S684)+N(T684)+N(U684)+N(V684))</f>
        <v/>
      </c>
      <c r="X684" s="85" t="str">
        <f aca="false">IF(AH684="","",P684-W684)</f>
        <v/>
      </c>
      <c r="Y684" s="67"/>
      <c r="Z684" s="70" t="str">
        <f aca="false">IF(OR(AH684="",Y684=""),"",IF(ABS(X684-Y684)&lt;=1,"✓ Cuadra","⚠ Diferencia $"&amp;FIXED(X684-Y684,0)))</f>
        <v/>
      </c>
      <c r="AA684" s="72" t="str">
        <f aca="false">IF(AH684="","",IFERROR(INDEX(C_TIPO,MATCH(C684&amp;"-P"&amp;MAX(1,COUNTIFS(C_ID,C684,C_DEFINE,"Sí",C_INICIO,"&lt;="&amp;EOMONTH(B684,0))),C_CLAVE,0))&amp;"","Sin dato"))</f>
        <v/>
      </c>
      <c r="AB684" s="71" t="str">
        <f aca="false">IF(AH684="","",ROUND(MIN(K684,TOPE_AFP_UF*AJ684)*AK684,0))</f>
        <v/>
      </c>
      <c r="AC684" s="71" t="str">
        <f aca="false">IF(AH684="","",ROUND(MIN(K684,TOPE_AFC_UF*AJ684)*IF(AA684="Indefinido",AFC_EMP_INDEF,AFC_EMP_PF),0))</f>
        <v/>
      </c>
      <c r="AD684" s="71" t="str">
        <f aca="false">IF(AH684="","",ROUND(MIN(K684,TOPE_AFP_UF*AJ684)*(MUTUAL_BASICA+MUTUAL_ADIC+SANNA),0))</f>
        <v/>
      </c>
      <c r="AE684" s="71" t="str">
        <f aca="false">IF(AH684="","",P684-N(N684)+AB684+AC684+AD684)</f>
        <v/>
      </c>
      <c r="AF684" s="65"/>
      <c r="AG684" s="64"/>
      <c r="AH684" s="72" t="str">
        <f aca="false">IF(OR(B684="",C684=""),"",C684&amp;"|"&amp;(YEAR(B684)*100+MONTH(B684)))</f>
        <v/>
      </c>
      <c r="AI684" s="70" t="str">
        <f aca="false">IF(AH684="","",IF(COUNTIF(L_CLAVE,AH684)&gt;1,"⚠ Duplicado","OK"))</f>
        <v/>
      </c>
      <c r="AJ684" s="86" t="str">
        <f aca="false">IF(AH684="","",IF(SUMPRODUCT(MAX((IND_PER&lt;=B684)*(IND_UF&lt;&gt;"")*IND_PER))=0,UF_HOY,INDEX(IND_UF,MATCH(SUMPRODUCT(MAX((IND_PER&lt;=B684)*(IND_UF&lt;&gt;"")*IND_PER)),IND_PER,0))))</f>
        <v/>
      </c>
      <c r="AK684" s="87" t="str">
        <f aca="false">IF(AH684="","",IF(COUNTIF(TASA_DESDE,"&lt;="&amp;B684)=0,INDEX(TASA_EMP,1),INDEX(TASA_EMP,COUNTIF(TASA_DESDE,"&lt;="&amp;B684))))</f>
        <v/>
      </c>
    </row>
    <row r="685" customFormat="false" ht="15" hidden="false" customHeight="false" outlineLevel="0" collapsed="false">
      <c r="B685" s="78"/>
      <c r="C685" s="64"/>
      <c r="D685" s="72" t="str">
        <f aca="false">IF(C685="","",IFERROR(INDEX(T_NOMBRE,MATCH(C685,T_ID,0)),"⚠ ID no existe"))</f>
        <v/>
      </c>
      <c r="E685" s="69"/>
      <c r="F685" s="67"/>
      <c r="G685" s="67"/>
      <c r="H685" s="67"/>
      <c r="I685" s="67"/>
      <c r="J685" s="67"/>
      <c r="K685" s="85" t="str">
        <f aca="false">IF(AH685="","",N(F685)+N(G685)+N(H685)-N(I685)+N(J685))</f>
        <v/>
      </c>
      <c r="L685" s="67"/>
      <c r="M685" s="67"/>
      <c r="N685" s="67"/>
      <c r="O685" s="67"/>
      <c r="P685" s="85" t="str">
        <f aca="false">IF(AH685="","",K685+N(L685)+N(M685)+N(N685)+N(O685))</f>
        <v/>
      </c>
      <c r="Q685" s="67"/>
      <c r="R685" s="67"/>
      <c r="S685" s="67"/>
      <c r="T685" s="67"/>
      <c r="U685" s="67"/>
      <c r="V685" s="67"/>
      <c r="W685" s="85" t="str">
        <f aca="false">IF(AH685="","",N(Q685)+N(R685)+N(S685)+N(T685)+N(U685)+N(V685))</f>
        <v/>
      </c>
      <c r="X685" s="85" t="str">
        <f aca="false">IF(AH685="","",P685-W685)</f>
        <v/>
      </c>
      <c r="Y685" s="67"/>
      <c r="Z685" s="70" t="str">
        <f aca="false">IF(OR(AH685="",Y685=""),"",IF(ABS(X685-Y685)&lt;=1,"✓ Cuadra","⚠ Diferencia $"&amp;FIXED(X685-Y685,0)))</f>
        <v/>
      </c>
      <c r="AA685" s="72" t="str">
        <f aca="false">IF(AH685="","",IFERROR(INDEX(C_TIPO,MATCH(C685&amp;"-P"&amp;MAX(1,COUNTIFS(C_ID,C685,C_DEFINE,"Sí",C_INICIO,"&lt;="&amp;EOMONTH(B685,0))),C_CLAVE,0))&amp;"","Sin dato"))</f>
        <v/>
      </c>
      <c r="AB685" s="71" t="str">
        <f aca="false">IF(AH685="","",ROUND(MIN(K685,TOPE_AFP_UF*AJ685)*AK685,0))</f>
        <v/>
      </c>
      <c r="AC685" s="71" t="str">
        <f aca="false">IF(AH685="","",ROUND(MIN(K685,TOPE_AFC_UF*AJ685)*IF(AA685="Indefinido",AFC_EMP_INDEF,AFC_EMP_PF),0))</f>
        <v/>
      </c>
      <c r="AD685" s="71" t="str">
        <f aca="false">IF(AH685="","",ROUND(MIN(K685,TOPE_AFP_UF*AJ685)*(MUTUAL_BASICA+MUTUAL_ADIC+SANNA),0))</f>
        <v/>
      </c>
      <c r="AE685" s="71" t="str">
        <f aca="false">IF(AH685="","",P685-N(N685)+AB685+AC685+AD685)</f>
        <v/>
      </c>
      <c r="AF685" s="65"/>
      <c r="AG685" s="64"/>
      <c r="AH685" s="72" t="str">
        <f aca="false">IF(OR(B685="",C685=""),"",C685&amp;"|"&amp;(YEAR(B685)*100+MONTH(B685)))</f>
        <v/>
      </c>
      <c r="AI685" s="70" t="str">
        <f aca="false">IF(AH685="","",IF(COUNTIF(L_CLAVE,AH685)&gt;1,"⚠ Duplicado","OK"))</f>
        <v/>
      </c>
      <c r="AJ685" s="86" t="str">
        <f aca="false">IF(AH685="","",IF(SUMPRODUCT(MAX((IND_PER&lt;=B685)*(IND_UF&lt;&gt;"")*IND_PER))=0,UF_HOY,INDEX(IND_UF,MATCH(SUMPRODUCT(MAX((IND_PER&lt;=B685)*(IND_UF&lt;&gt;"")*IND_PER)),IND_PER,0))))</f>
        <v/>
      </c>
      <c r="AK685" s="87" t="str">
        <f aca="false">IF(AH685="","",IF(COUNTIF(TASA_DESDE,"&lt;="&amp;B685)=0,INDEX(TASA_EMP,1),INDEX(TASA_EMP,COUNTIF(TASA_DESDE,"&lt;="&amp;B685))))</f>
        <v/>
      </c>
    </row>
    <row r="686" customFormat="false" ht="15" hidden="false" customHeight="false" outlineLevel="0" collapsed="false">
      <c r="B686" s="78"/>
      <c r="C686" s="64"/>
      <c r="D686" s="72" t="str">
        <f aca="false">IF(C686="","",IFERROR(INDEX(T_NOMBRE,MATCH(C686,T_ID,0)),"⚠ ID no existe"))</f>
        <v/>
      </c>
      <c r="E686" s="69"/>
      <c r="F686" s="67"/>
      <c r="G686" s="67"/>
      <c r="H686" s="67"/>
      <c r="I686" s="67"/>
      <c r="J686" s="67"/>
      <c r="K686" s="85" t="str">
        <f aca="false">IF(AH686="","",N(F686)+N(G686)+N(H686)-N(I686)+N(J686))</f>
        <v/>
      </c>
      <c r="L686" s="67"/>
      <c r="M686" s="67"/>
      <c r="N686" s="67"/>
      <c r="O686" s="67"/>
      <c r="P686" s="85" t="str">
        <f aca="false">IF(AH686="","",K686+N(L686)+N(M686)+N(N686)+N(O686))</f>
        <v/>
      </c>
      <c r="Q686" s="67"/>
      <c r="R686" s="67"/>
      <c r="S686" s="67"/>
      <c r="T686" s="67"/>
      <c r="U686" s="67"/>
      <c r="V686" s="67"/>
      <c r="W686" s="85" t="str">
        <f aca="false">IF(AH686="","",N(Q686)+N(R686)+N(S686)+N(T686)+N(U686)+N(V686))</f>
        <v/>
      </c>
      <c r="X686" s="85" t="str">
        <f aca="false">IF(AH686="","",P686-W686)</f>
        <v/>
      </c>
      <c r="Y686" s="67"/>
      <c r="Z686" s="70" t="str">
        <f aca="false">IF(OR(AH686="",Y686=""),"",IF(ABS(X686-Y686)&lt;=1,"✓ Cuadra","⚠ Diferencia $"&amp;FIXED(X686-Y686,0)))</f>
        <v/>
      </c>
      <c r="AA686" s="72" t="str">
        <f aca="false">IF(AH686="","",IFERROR(INDEX(C_TIPO,MATCH(C686&amp;"-P"&amp;MAX(1,COUNTIFS(C_ID,C686,C_DEFINE,"Sí",C_INICIO,"&lt;="&amp;EOMONTH(B686,0))),C_CLAVE,0))&amp;"","Sin dato"))</f>
        <v/>
      </c>
      <c r="AB686" s="71" t="str">
        <f aca="false">IF(AH686="","",ROUND(MIN(K686,TOPE_AFP_UF*AJ686)*AK686,0))</f>
        <v/>
      </c>
      <c r="AC686" s="71" t="str">
        <f aca="false">IF(AH686="","",ROUND(MIN(K686,TOPE_AFC_UF*AJ686)*IF(AA686="Indefinido",AFC_EMP_INDEF,AFC_EMP_PF),0))</f>
        <v/>
      </c>
      <c r="AD686" s="71" t="str">
        <f aca="false">IF(AH686="","",ROUND(MIN(K686,TOPE_AFP_UF*AJ686)*(MUTUAL_BASICA+MUTUAL_ADIC+SANNA),0))</f>
        <v/>
      </c>
      <c r="AE686" s="71" t="str">
        <f aca="false">IF(AH686="","",P686-N(N686)+AB686+AC686+AD686)</f>
        <v/>
      </c>
      <c r="AF686" s="65"/>
      <c r="AG686" s="64"/>
      <c r="AH686" s="72" t="str">
        <f aca="false">IF(OR(B686="",C686=""),"",C686&amp;"|"&amp;(YEAR(B686)*100+MONTH(B686)))</f>
        <v/>
      </c>
      <c r="AI686" s="70" t="str">
        <f aca="false">IF(AH686="","",IF(COUNTIF(L_CLAVE,AH686)&gt;1,"⚠ Duplicado","OK"))</f>
        <v/>
      </c>
      <c r="AJ686" s="86" t="str">
        <f aca="false">IF(AH686="","",IF(SUMPRODUCT(MAX((IND_PER&lt;=B686)*(IND_UF&lt;&gt;"")*IND_PER))=0,UF_HOY,INDEX(IND_UF,MATCH(SUMPRODUCT(MAX((IND_PER&lt;=B686)*(IND_UF&lt;&gt;"")*IND_PER)),IND_PER,0))))</f>
        <v/>
      </c>
      <c r="AK686" s="87" t="str">
        <f aca="false">IF(AH686="","",IF(COUNTIF(TASA_DESDE,"&lt;="&amp;B686)=0,INDEX(TASA_EMP,1),INDEX(TASA_EMP,COUNTIF(TASA_DESDE,"&lt;="&amp;B686))))</f>
        <v/>
      </c>
    </row>
    <row r="687" customFormat="false" ht="15" hidden="false" customHeight="false" outlineLevel="0" collapsed="false">
      <c r="B687" s="78"/>
      <c r="C687" s="64"/>
      <c r="D687" s="72" t="str">
        <f aca="false">IF(C687="","",IFERROR(INDEX(T_NOMBRE,MATCH(C687,T_ID,0)),"⚠ ID no existe"))</f>
        <v/>
      </c>
      <c r="E687" s="69"/>
      <c r="F687" s="67"/>
      <c r="G687" s="67"/>
      <c r="H687" s="67"/>
      <c r="I687" s="67"/>
      <c r="J687" s="67"/>
      <c r="K687" s="85" t="str">
        <f aca="false">IF(AH687="","",N(F687)+N(G687)+N(H687)-N(I687)+N(J687))</f>
        <v/>
      </c>
      <c r="L687" s="67"/>
      <c r="M687" s="67"/>
      <c r="N687" s="67"/>
      <c r="O687" s="67"/>
      <c r="P687" s="85" t="str">
        <f aca="false">IF(AH687="","",K687+N(L687)+N(M687)+N(N687)+N(O687))</f>
        <v/>
      </c>
      <c r="Q687" s="67"/>
      <c r="R687" s="67"/>
      <c r="S687" s="67"/>
      <c r="T687" s="67"/>
      <c r="U687" s="67"/>
      <c r="V687" s="67"/>
      <c r="W687" s="85" t="str">
        <f aca="false">IF(AH687="","",N(Q687)+N(R687)+N(S687)+N(T687)+N(U687)+N(V687))</f>
        <v/>
      </c>
      <c r="X687" s="85" t="str">
        <f aca="false">IF(AH687="","",P687-W687)</f>
        <v/>
      </c>
      <c r="Y687" s="67"/>
      <c r="Z687" s="70" t="str">
        <f aca="false">IF(OR(AH687="",Y687=""),"",IF(ABS(X687-Y687)&lt;=1,"✓ Cuadra","⚠ Diferencia $"&amp;FIXED(X687-Y687,0)))</f>
        <v/>
      </c>
      <c r="AA687" s="72" t="str">
        <f aca="false">IF(AH687="","",IFERROR(INDEX(C_TIPO,MATCH(C687&amp;"-P"&amp;MAX(1,COUNTIFS(C_ID,C687,C_DEFINE,"Sí",C_INICIO,"&lt;="&amp;EOMONTH(B687,0))),C_CLAVE,0))&amp;"","Sin dato"))</f>
        <v/>
      </c>
      <c r="AB687" s="71" t="str">
        <f aca="false">IF(AH687="","",ROUND(MIN(K687,TOPE_AFP_UF*AJ687)*AK687,0))</f>
        <v/>
      </c>
      <c r="AC687" s="71" t="str">
        <f aca="false">IF(AH687="","",ROUND(MIN(K687,TOPE_AFC_UF*AJ687)*IF(AA687="Indefinido",AFC_EMP_INDEF,AFC_EMP_PF),0))</f>
        <v/>
      </c>
      <c r="AD687" s="71" t="str">
        <f aca="false">IF(AH687="","",ROUND(MIN(K687,TOPE_AFP_UF*AJ687)*(MUTUAL_BASICA+MUTUAL_ADIC+SANNA),0))</f>
        <v/>
      </c>
      <c r="AE687" s="71" t="str">
        <f aca="false">IF(AH687="","",P687-N(N687)+AB687+AC687+AD687)</f>
        <v/>
      </c>
      <c r="AF687" s="65"/>
      <c r="AG687" s="64"/>
      <c r="AH687" s="72" t="str">
        <f aca="false">IF(OR(B687="",C687=""),"",C687&amp;"|"&amp;(YEAR(B687)*100+MONTH(B687)))</f>
        <v/>
      </c>
      <c r="AI687" s="70" t="str">
        <f aca="false">IF(AH687="","",IF(COUNTIF(L_CLAVE,AH687)&gt;1,"⚠ Duplicado","OK"))</f>
        <v/>
      </c>
      <c r="AJ687" s="86" t="str">
        <f aca="false">IF(AH687="","",IF(SUMPRODUCT(MAX((IND_PER&lt;=B687)*(IND_UF&lt;&gt;"")*IND_PER))=0,UF_HOY,INDEX(IND_UF,MATCH(SUMPRODUCT(MAX((IND_PER&lt;=B687)*(IND_UF&lt;&gt;"")*IND_PER)),IND_PER,0))))</f>
        <v/>
      </c>
      <c r="AK687" s="87" t="str">
        <f aca="false">IF(AH687="","",IF(COUNTIF(TASA_DESDE,"&lt;="&amp;B687)=0,INDEX(TASA_EMP,1),INDEX(TASA_EMP,COUNTIF(TASA_DESDE,"&lt;="&amp;B687))))</f>
        <v/>
      </c>
    </row>
    <row r="688" customFormat="false" ht="15" hidden="false" customHeight="false" outlineLevel="0" collapsed="false">
      <c r="B688" s="78"/>
      <c r="C688" s="64"/>
      <c r="D688" s="72" t="str">
        <f aca="false">IF(C688="","",IFERROR(INDEX(T_NOMBRE,MATCH(C688,T_ID,0)),"⚠ ID no existe"))</f>
        <v/>
      </c>
      <c r="E688" s="69"/>
      <c r="F688" s="67"/>
      <c r="G688" s="67"/>
      <c r="H688" s="67"/>
      <c r="I688" s="67"/>
      <c r="J688" s="67"/>
      <c r="K688" s="85" t="str">
        <f aca="false">IF(AH688="","",N(F688)+N(G688)+N(H688)-N(I688)+N(J688))</f>
        <v/>
      </c>
      <c r="L688" s="67"/>
      <c r="M688" s="67"/>
      <c r="N688" s="67"/>
      <c r="O688" s="67"/>
      <c r="P688" s="85" t="str">
        <f aca="false">IF(AH688="","",K688+N(L688)+N(M688)+N(N688)+N(O688))</f>
        <v/>
      </c>
      <c r="Q688" s="67"/>
      <c r="R688" s="67"/>
      <c r="S688" s="67"/>
      <c r="T688" s="67"/>
      <c r="U688" s="67"/>
      <c r="V688" s="67"/>
      <c r="W688" s="85" t="str">
        <f aca="false">IF(AH688="","",N(Q688)+N(R688)+N(S688)+N(T688)+N(U688)+N(V688))</f>
        <v/>
      </c>
      <c r="X688" s="85" t="str">
        <f aca="false">IF(AH688="","",P688-W688)</f>
        <v/>
      </c>
      <c r="Y688" s="67"/>
      <c r="Z688" s="70" t="str">
        <f aca="false">IF(OR(AH688="",Y688=""),"",IF(ABS(X688-Y688)&lt;=1,"✓ Cuadra","⚠ Diferencia $"&amp;FIXED(X688-Y688,0)))</f>
        <v/>
      </c>
      <c r="AA688" s="72" t="str">
        <f aca="false">IF(AH688="","",IFERROR(INDEX(C_TIPO,MATCH(C688&amp;"-P"&amp;MAX(1,COUNTIFS(C_ID,C688,C_DEFINE,"Sí",C_INICIO,"&lt;="&amp;EOMONTH(B688,0))),C_CLAVE,0))&amp;"","Sin dato"))</f>
        <v/>
      </c>
      <c r="AB688" s="71" t="str">
        <f aca="false">IF(AH688="","",ROUND(MIN(K688,TOPE_AFP_UF*AJ688)*AK688,0))</f>
        <v/>
      </c>
      <c r="AC688" s="71" t="str">
        <f aca="false">IF(AH688="","",ROUND(MIN(K688,TOPE_AFC_UF*AJ688)*IF(AA688="Indefinido",AFC_EMP_INDEF,AFC_EMP_PF),0))</f>
        <v/>
      </c>
      <c r="AD688" s="71" t="str">
        <f aca="false">IF(AH688="","",ROUND(MIN(K688,TOPE_AFP_UF*AJ688)*(MUTUAL_BASICA+MUTUAL_ADIC+SANNA),0))</f>
        <v/>
      </c>
      <c r="AE688" s="71" t="str">
        <f aca="false">IF(AH688="","",P688-N(N688)+AB688+AC688+AD688)</f>
        <v/>
      </c>
      <c r="AF688" s="65"/>
      <c r="AG688" s="64"/>
      <c r="AH688" s="72" t="str">
        <f aca="false">IF(OR(B688="",C688=""),"",C688&amp;"|"&amp;(YEAR(B688)*100+MONTH(B688)))</f>
        <v/>
      </c>
      <c r="AI688" s="70" t="str">
        <f aca="false">IF(AH688="","",IF(COUNTIF(L_CLAVE,AH688)&gt;1,"⚠ Duplicado","OK"))</f>
        <v/>
      </c>
      <c r="AJ688" s="86" t="str">
        <f aca="false">IF(AH688="","",IF(SUMPRODUCT(MAX((IND_PER&lt;=B688)*(IND_UF&lt;&gt;"")*IND_PER))=0,UF_HOY,INDEX(IND_UF,MATCH(SUMPRODUCT(MAX((IND_PER&lt;=B688)*(IND_UF&lt;&gt;"")*IND_PER)),IND_PER,0))))</f>
        <v/>
      </c>
      <c r="AK688" s="87" t="str">
        <f aca="false">IF(AH688="","",IF(COUNTIF(TASA_DESDE,"&lt;="&amp;B688)=0,INDEX(TASA_EMP,1),INDEX(TASA_EMP,COUNTIF(TASA_DESDE,"&lt;="&amp;B688))))</f>
        <v/>
      </c>
    </row>
    <row r="689" customFormat="false" ht="15" hidden="false" customHeight="false" outlineLevel="0" collapsed="false">
      <c r="B689" s="78"/>
      <c r="C689" s="64"/>
      <c r="D689" s="72" t="str">
        <f aca="false">IF(C689="","",IFERROR(INDEX(T_NOMBRE,MATCH(C689,T_ID,0)),"⚠ ID no existe"))</f>
        <v/>
      </c>
      <c r="E689" s="69"/>
      <c r="F689" s="67"/>
      <c r="G689" s="67"/>
      <c r="H689" s="67"/>
      <c r="I689" s="67"/>
      <c r="J689" s="67"/>
      <c r="K689" s="85" t="str">
        <f aca="false">IF(AH689="","",N(F689)+N(G689)+N(H689)-N(I689)+N(J689))</f>
        <v/>
      </c>
      <c r="L689" s="67"/>
      <c r="M689" s="67"/>
      <c r="N689" s="67"/>
      <c r="O689" s="67"/>
      <c r="P689" s="85" t="str">
        <f aca="false">IF(AH689="","",K689+N(L689)+N(M689)+N(N689)+N(O689))</f>
        <v/>
      </c>
      <c r="Q689" s="67"/>
      <c r="R689" s="67"/>
      <c r="S689" s="67"/>
      <c r="T689" s="67"/>
      <c r="U689" s="67"/>
      <c r="V689" s="67"/>
      <c r="W689" s="85" t="str">
        <f aca="false">IF(AH689="","",N(Q689)+N(R689)+N(S689)+N(T689)+N(U689)+N(V689))</f>
        <v/>
      </c>
      <c r="X689" s="85" t="str">
        <f aca="false">IF(AH689="","",P689-W689)</f>
        <v/>
      </c>
      <c r="Y689" s="67"/>
      <c r="Z689" s="70" t="str">
        <f aca="false">IF(OR(AH689="",Y689=""),"",IF(ABS(X689-Y689)&lt;=1,"✓ Cuadra","⚠ Diferencia $"&amp;FIXED(X689-Y689,0)))</f>
        <v/>
      </c>
      <c r="AA689" s="72" t="str">
        <f aca="false">IF(AH689="","",IFERROR(INDEX(C_TIPO,MATCH(C689&amp;"-P"&amp;MAX(1,COUNTIFS(C_ID,C689,C_DEFINE,"Sí",C_INICIO,"&lt;="&amp;EOMONTH(B689,0))),C_CLAVE,0))&amp;"","Sin dato"))</f>
        <v/>
      </c>
      <c r="AB689" s="71" t="str">
        <f aca="false">IF(AH689="","",ROUND(MIN(K689,TOPE_AFP_UF*AJ689)*AK689,0))</f>
        <v/>
      </c>
      <c r="AC689" s="71" t="str">
        <f aca="false">IF(AH689="","",ROUND(MIN(K689,TOPE_AFC_UF*AJ689)*IF(AA689="Indefinido",AFC_EMP_INDEF,AFC_EMP_PF),0))</f>
        <v/>
      </c>
      <c r="AD689" s="71" t="str">
        <f aca="false">IF(AH689="","",ROUND(MIN(K689,TOPE_AFP_UF*AJ689)*(MUTUAL_BASICA+MUTUAL_ADIC+SANNA),0))</f>
        <v/>
      </c>
      <c r="AE689" s="71" t="str">
        <f aca="false">IF(AH689="","",P689-N(N689)+AB689+AC689+AD689)</f>
        <v/>
      </c>
      <c r="AF689" s="65"/>
      <c r="AG689" s="64"/>
      <c r="AH689" s="72" t="str">
        <f aca="false">IF(OR(B689="",C689=""),"",C689&amp;"|"&amp;(YEAR(B689)*100+MONTH(B689)))</f>
        <v/>
      </c>
      <c r="AI689" s="70" t="str">
        <f aca="false">IF(AH689="","",IF(COUNTIF(L_CLAVE,AH689)&gt;1,"⚠ Duplicado","OK"))</f>
        <v/>
      </c>
      <c r="AJ689" s="86" t="str">
        <f aca="false">IF(AH689="","",IF(SUMPRODUCT(MAX((IND_PER&lt;=B689)*(IND_UF&lt;&gt;"")*IND_PER))=0,UF_HOY,INDEX(IND_UF,MATCH(SUMPRODUCT(MAX((IND_PER&lt;=B689)*(IND_UF&lt;&gt;"")*IND_PER)),IND_PER,0))))</f>
        <v/>
      </c>
      <c r="AK689" s="87" t="str">
        <f aca="false">IF(AH689="","",IF(COUNTIF(TASA_DESDE,"&lt;="&amp;B689)=0,INDEX(TASA_EMP,1),INDEX(TASA_EMP,COUNTIF(TASA_DESDE,"&lt;="&amp;B689))))</f>
        <v/>
      </c>
    </row>
    <row r="690" customFormat="false" ht="15" hidden="false" customHeight="false" outlineLevel="0" collapsed="false">
      <c r="B690" s="78"/>
      <c r="C690" s="64"/>
      <c r="D690" s="72" t="str">
        <f aca="false">IF(C690="","",IFERROR(INDEX(T_NOMBRE,MATCH(C690,T_ID,0)),"⚠ ID no existe"))</f>
        <v/>
      </c>
      <c r="E690" s="69"/>
      <c r="F690" s="67"/>
      <c r="G690" s="67"/>
      <c r="H690" s="67"/>
      <c r="I690" s="67"/>
      <c r="J690" s="67"/>
      <c r="K690" s="85" t="str">
        <f aca="false">IF(AH690="","",N(F690)+N(G690)+N(H690)-N(I690)+N(J690))</f>
        <v/>
      </c>
      <c r="L690" s="67"/>
      <c r="M690" s="67"/>
      <c r="N690" s="67"/>
      <c r="O690" s="67"/>
      <c r="P690" s="85" t="str">
        <f aca="false">IF(AH690="","",K690+N(L690)+N(M690)+N(N690)+N(O690))</f>
        <v/>
      </c>
      <c r="Q690" s="67"/>
      <c r="R690" s="67"/>
      <c r="S690" s="67"/>
      <c r="T690" s="67"/>
      <c r="U690" s="67"/>
      <c r="V690" s="67"/>
      <c r="W690" s="85" t="str">
        <f aca="false">IF(AH690="","",N(Q690)+N(R690)+N(S690)+N(T690)+N(U690)+N(V690))</f>
        <v/>
      </c>
      <c r="X690" s="85" t="str">
        <f aca="false">IF(AH690="","",P690-W690)</f>
        <v/>
      </c>
      <c r="Y690" s="67"/>
      <c r="Z690" s="70" t="str">
        <f aca="false">IF(OR(AH690="",Y690=""),"",IF(ABS(X690-Y690)&lt;=1,"✓ Cuadra","⚠ Diferencia $"&amp;FIXED(X690-Y690,0)))</f>
        <v/>
      </c>
      <c r="AA690" s="72" t="str">
        <f aca="false">IF(AH690="","",IFERROR(INDEX(C_TIPO,MATCH(C690&amp;"-P"&amp;MAX(1,COUNTIFS(C_ID,C690,C_DEFINE,"Sí",C_INICIO,"&lt;="&amp;EOMONTH(B690,0))),C_CLAVE,0))&amp;"","Sin dato"))</f>
        <v/>
      </c>
      <c r="AB690" s="71" t="str">
        <f aca="false">IF(AH690="","",ROUND(MIN(K690,TOPE_AFP_UF*AJ690)*AK690,0))</f>
        <v/>
      </c>
      <c r="AC690" s="71" t="str">
        <f aca="false">IF(AH690="","",ROUND(MIN(K690,TOPE_AFC_UF*AJ690)*IF(AA690="Indefinido",AFC_EMP_INDEF,AFC_EMP_PF),0))</f>
        <v/>
      </c>
      <c r="AD690" s="71" t="str">
        <f aca="false">IF(AH690="","",ROUND(MIN(K690,TOPE_AFP_UF*AJ690)*(MUTUAL_BASICA+MUTUAL_ADIC+SANNA),0))</f>
        <v/>
      </c>
      <c r="AE690" s="71" t="str">
        <f aca="false">IF(AH690="","",P690-N(N690)+AB690+AC690+AD690)</f>
        <v/>
      </c>
      <c r="AF690" s="65"/>
      <c r="AG690" s="64"/>
      <c r="AH690" s="72" t="str">
        <f aca="false">IF(OR(B690="",C690=""),"",C690&amp;"|"&amp;(YEAR(B690)*100+MONTH(B690)))</f>
        <v/>
      </c>
      <c r="AI690" s="70" t="str">
        <f aca="false">IF(AH690="","",IF(COUNTIF(L_CLAVE,AH690)&gt;1,"⚠ Duplicado","OK"))</f>
        <v/>
      </c>
      <c r="AJ690" s="86" t="str">
        <f aca="false">IF(AH690="","",IF(SUMPRODUCT(MAX((IND_PER&lt;=B690)*(IND_UF&lt;&gt;"")*IND_PER))=0,UF_HOY,INDEX(IND_UF,MATCH(SUMPRODUCT(MAX((IND_PER&lt;=B690)*(IND_UF&lt;&gt;"")*IND_PER)),IND_PER,0))))</f>
        <v/>
      </c>
      <c r="AK690" s="87" t="str">
        <f aca="false">IF(AH690="","",IF(COUNTIF(TASA_DESDE,"&lt;="&amp;B690)=0,INDEX(TASA_EMP,1),INDEX(TASA_EMP,COUNTIF(TASA_DESDE,"&lt;="&amp;B690))))</f>
        <v/>
      </c>
    </row>
    <row r="691" customFormat="false" ht="15" hidden="false" customHeight="false" outlineLevel="0" collapsed="false">
      <c r="B691" s="78"/>
      <c r="C691" s="64"/>
      <c r="D691" s="72" t="str">
        <f aca="false">IF(C691="","",IFERROR(INDEX(T_NOMBRE,MATCH(C691,T_ID,0)),"⚠ ID no existe"))</f>
        <v/>
      </c>
      <c r="E691" s="69"/>
      <c r="F691" s="67"/>
      <c r="G691" s="67"/>
      <c r="H691" s="67"/>
      <c r="I691" s="67"/>
      <c r="J691" s="67"/>
      <c r="K691" s="85" t="str">
        <f aca="false">IF(AH691="","",N(F691)+N(G691)+N(H691)-N(I691)+N(J691))</f>
        <v/>
      </c>
      <c r="L691" s="67"/>
      <c r="M691" s="67"/>
      <c r="N691" s="67"/>
      <c r="O691" s="67"/>
      <c r="P691" s="85" t="str">
        <f aca="false">IF(AH691="","",K691+N(L691)+N(M691)+N(N691)+N(O691))</f>
        <v/>
      </c>
      <c r="Q691" s="67"/>
      <c r="R691" s="67"/>
      <c r="S691" s="67"/>
      <c r="T691" s="67"/>
      <c r="U691" s="67"/>
      <c r="V691" s="67"/>
      <c r="W691" s="85" t="str">
        <f aca="false">IF(AH691="","",N(Q691)+N(R691)+N(S691)+N(T691)+N(U691)+N(V691))</f>
        <v/>
      </c>
      <c r="X691" s="85" t="str">
        <f aca="false">IF(AH691="","",P691-W691)</f>
        <v/>
      </c>
      <c r="Y691" s="67"/>
      <c r="Z691" s="70" t="str">
        <f aca="false">IF(OR(AH691="",Y691=""),"",IF(ABS(X691-Y691)&lt;=1,"✓ Cuadra","⚠ Diferencia $"&amp;FIXED(X691-Y691,0)))</f>
        <v/>
      </c>
      <c r="AA691" s="72" t="str">
        <f aca="false">IF(AH691="","",IFERROR(INDEX(C_TIPO,MATCH(C691&amp;"-P"&amp;MAX(1,COUNTIFS(C_ID,C691,C_DEFINE,"Sí",C_INICIO,"&lt;="&amp;EOMONTH(B691,0))),C_CLAVE,0))&amp;"","Sin dato"))</f>
        <v/>
      </c>
      <c r="AB691" s="71" t="str">
        <f aca="false">IF(AH691="","",ROUND(MIN(K691,TOPE_AFP_UF*AJ691)*AK691,0))</f>
        <v/>
      </c>
      <c r="AC691" s="71" t="str">
        <f aca="false">IF(AH691="","",ROUND(MIN(K691,TOPE_AFC_UF*AJ691)*IF(AA691="Indefinido",AFC_EMP_INDEF,AFC_EMP_PF),0))</f>
        <v/>
      </c>
      <c r="AD691" s="71" t="str">
        <f aca="false">IF(AH691="","",ROUND(MIN(K691,TOPE_AFP_UF*AJ691)*(MUTUAL_BASICA+MUTUAL_ADIC+SANNA),0))</f>
        <v/>
      </c>
      <c r="AE691" s="71" t="str">
        <f aca="false">IF(AH691="","",P691-N(N691)+AB691+AC691+AD691)</f>
        <v/>
      </c>
      <c r="AF691" s="65"/>
      <c r="AG691" s="64"/>
      <c r="AH691" s="72" t="str">
        <f aca="false">IF(OR(B691="",C691=""),"",C691&amp;"|"&amp;(YEAR(B691)*100+MONTH(B691)))</f>
        <v/>
      </c>
      <c r="AI691" s="70" t="str">
        <f aca="false">IF(AH691="","",IF(COUNTIF(L_CLAVE,AH691)&gt;1,"⚠ Duplicado","OK"))</f>
        <v/>
      </c>
      <c r="AJ691" s="86" t="str">
        <f aca="false">IF(AH691="","",IF(SUMPRODUCT(MAX((IND_PER&lt;=B691)*(IND_UF&lt;&gt;"")*IND_PER))=0,UF_HOY,INDEX(IND_UF,MATCH(SUMPRODUCT(MAX((IND_PER&lt;=B691)*(IND_UF&lt;&gt;"")*IND_PER)),IND_PER,0))))</f>
        <v/>
      </c>
      <c r="AK691" s="87" t="str">
        <f aca="false">IF(AH691="","",IF(COUNTIF(TASA_DESDE,"&lt;="&amp;B691)=0,INDEX(TASA_EMP,1),INDEX(TASA_EMP,COUNTIF(TASA_DESDE,"&lt;="&amp;B691))))</f>
        <v/>
      </c>
    </row>
    <row r="692" customFormat="false" ht="15" hidden="false" customHeight="false" outlineLevel="0" collapsed="false">
      <c r="B692" s="78"/>
      <c r="C692" s="64"/>
      <c r="D692" s="72" t="str">
        <f aca="false">IF(C692="","",IFERROR(INDEX(T_NOMBRE,MATCH(C692,T_ID,0)),"⚠ ID no existe"))</f>
        <v/>
      </c>
      <c r="E692" s="69"/>
      <c r="F692" s="67"/>
      <c r="G692" s="67"/>
      <c r="H692" s="67"/>
      <c r="I692" s="67"/>
      <c r="J692" s="67"/>
      <c r="K692" s="85" t="str">
        <f aca="false">IF(AH692="","",N(F692)+N(G692)+N(H692)-N(I692)+N(J692))</f>
        <v/>
      </c>
      <c r="L692" s="67"/>
      <c r="M692" s="67"/>
      <c r="N692" s="67"/>
      <c r="O692" s="67"/>
      <c r="P692" s="85" t="str">
        <f aca="false">IF(AH692="","",K692+N(L692)+N(M692)+N(N692)+N(O692))</f>
        <v/>
      </c>
      <c r="Q692" s="67"/>
      <c r="R692" s="67"/>
      <c r="S692" s="67"/>
      <c r="T692" s="67"/>
      <c r="U692" s="67"/>
      <c r="V692" s="67"/>
      <c r="W692" s="85" t="str">
        <f aca="false">IF(AH692="","",N(Q692)+N(R692)+N(S692)+N(T692)+N(U692)+N(V692))</f>
        <v/>
      </c>
      <c r="X692" s="85" t="str">
        <f aca="false">IF(AH692="","",P692-W692)</f>
        <v/>
      </c>
      <c r="Y692" s="67"/>
      <c r="Z692" s="70" t="str">
        <f aca="false">IF(OR(AH692="",Y692=""),"",IF(ABS(X692-Y692)&lt;=1,"✓ Cuadra","⚠ Diferencia $"&amp;FIXED(X692-Y692,0)))</f>
        <v/>
      </c>
      <c r="AA692" s="72" t="str">
        <f aca="false">IF(AH692="","",IFERROR(INDEX(C_TIPO,MATCH(C692&amp;"-P"&amp;MAX(1,COUNTIFS(C_ID,C692,C_DEFINE,"Sí",C_INICIO,"&lt;="&amp;EOMONTH(B692,0))),C_CLAVE,0))&amp;"","Sin dato"))</f>
        <v/>
      </c>
      <c r="AB692" s="71" t="str">
        <f aca="false">IF(AH692="","",ROUND(MIN(K692,TOPE_AFP_UF*AJ692)*AK692,0))</f>
        <v/>
      </c>
      <c r="AC692" s="71" t="str">
        <f aca="false">IF(AH692="","",ROUND(MIN(K692,TOPE_AFC_UF*AJ692)*IF(AA692="Indefinido",AFC_EMP_INDEF,AFC_EMP_PF),0))</f>
        <v/>
      </c>
      <c r="AD692" s="71" t="str">
        <f aca="false">IF(AH692="","",ROUND(MIN(K692,TOPE_AFP_UF*AJ692)*(MUTUAL_BASICA+MUTUAL_ADIC+SANNA),0))</f>
        <v/>
      </c>
      <c r="AE692" s="71" t="str">
        <f aca="false">IF(AH692="","",P692-N(N692)+AB692+AC692+AD692)</f>
        <v/>
      </c>
      <c r="AF692" s="65"/>
      <c r="AG692" s="64"/>
      <c r="AH692" s="72" t="str">
        <f aca="false">IF(OR(B692="",C692=""),"",C692&amp;"|"&amp;(YEAR(B692)*100+MONTH(B692)))</f>
        <v/>
      </c>
      <c r="AI692" s="70" t="str">
        <f aca="false">IF(AH692="","",IF(COUNTIF(L_CLAVE,AH692)&gt;1,"⚠ Duplicado","OK"))</f>
        <v/>
      </c>
      <c r="AJ692" s="86" t="str">
        <f aca="false">IF(AH692="","",IF(SUMPRODUCT(MAX((IND_PER&lt;=B692)*(IND_UF&lt;&gt;"")*IND_PER))=0,UF_HOY,INDEX(IND_UF,MATCH(SUMPRODUCT(MAX((IND_PER&lt;=B692)*(IND_UF&lt;&gt;"")*IND_PER)),IND_PER,0))))</f>
        <v/>
      </c>
      <c r="AK692" s="87" t="str">
        <f aca="false">IF(AH692="","",IF(COUNTIF(TASA_DESDE,"&lt;="&amp;B692)=0,INDEX(TASA_EMP,1),INDEX(TASA_EMP,COUNTIF(TASA_DESDE,"&lt;="&amp;B692))))</f>
        <v/>
      </c>
    </row>
    <row r="693" customFormat="false" ht="15" hidden="false" customHeight="false" outlineLevel="0" collapsed="false">
      <c r="B693" s="78"/>
      <c r="C693" s="64"/>
      <c r="D693" s="72" t="str">
        <f aca="false">IF(C693="","",IFERROR(INDEX(T_NOMBRE,MATCH(C693,T_ID,0)),"⚠ ID no existe"))</f>
        <v/>
      </c>
      <c r="E693" s="69"/>
      <c r="F693" s="67"/>
      <c r="G693" s="67"/>
      <c r="H693" s="67"/>
      <c r="I693" s="67"/>
      <c r="J693" s="67"/>
      <c r="K693" s="85" t="str">
        <f aca="false">IF(AH693="","",N(F693)+N(G693)+N(H693)-N(I693)+N(J693))</f>
        <v/>
      </c>
      <c r="L693" s="67"/>
      <c r="M693" s="67"/>
      <c r="N693" s="67"/>
      <c r="O693" s="67"/>
      <c r="P693" s="85" t="str">
        <f aca="false">IF(AH693="","",K693+N(L693)+N(M693)+N(N693)+N(O693))</f>
        <v/>
      </c>
      <c r="Q693" s="67"/>
      <c r="R693" s="67"/>
      <c r="S693" s="67"/>
      <c r="T693" s="67"/>
      <c r="U693" s="67"/>
      <c r="V693" s="67"/>
      <c r="W693" s="85" t="str">
        <f aca="false">IF(AH693="","",N(Q693)+N(R693)+N(S693)+N(T693)+N(U693)+N(V693))</f>
        <v/>
      </c>
      <c r="X693" s="85" t="str">
        <f aca="false">IF(AH693="","",P693-W693)</f>
        <v/>
      </c>
      <c r="Y693" s="67"/>
      <c r="Z693" s="70" t="str">
        <f aca="false">IF(OR(AH693="",Y693=""),"",IF(ABS(X693-Y693)&lt;=1,"✓ Cuadra","⚠ Diferencia $"&amp;FIXED(X693-Y693,0)))</f>
        <v/>
      </c>
      <c r="AA693" s="72" t="str">
        <f aca="false">IF(AH693="","",IFERROR(INDEX(C_TIPO,MATCH(C693&amp;"-P"&amp;MAX(1,COUNTIFS(C_ID,C693,C_DEFINE,"Sí",C_INICIO,"&lt;="&amp;EOMONTH(B693,0))),C_CLAVE,0))&amp;"","Sin dato"))</f>
        <v/>
      </c>
      <c r="AB693" s="71" t="str">
        <f aca="false">IF(AH693="","",ROUND(MIN(K693,TOPE_AFP_UF*AJ693)*AK693,0))</f>
        <v/>
      </c>
      <c r="AC693" s="71" t="str">
        <f aca="false">IF(AH693="","",ROUND(MIN(K693,TOPE_AFC_UF*AJ693)*IF(AA693="Indefinido",AFC_EMP_INDEF,AFC_EMP_PF),0))</f>
        <v/>
      </c>
      <c r="AD693" s="71" t="str">
        <f aca="false">IF(AH693="","",ROUND(MIN(K693,TOPE_AFP_UF*AJ693)*(MUTUAL_BASICA+MUTUAL_ADIC+SANNA),0))</f>
        <v/>
      </c>
      <c r="AE693" s="71" t="str">
        <f aca="false">IF(AH693="","",P693-N(N693)+AB693+AC693+AD693)</f>
        <v/>
      </c>
      <c r="AF693" s="65"/>
      <c r="AG693" s="64"/>
      <c r="AH693" s="72" t="str">
        <f aca="false">IF(OR(B693="",C693=""),"",C693&amp;"|"&amp;(YEAR(B693)*100+MONTH(B693)))</f>
        <v/>
      </c>
      <c r="AI693" s="70" t="str">
        <f aca="false">IF(AH693="","",IF(COUNTIF(L_CLAVE,AH693)&gt;1,"⚠ Duplicado","OK"))</f>
        <v/>
      </c>
      <c r="AJ693" s="86" t="str">
        <f aca="false">IF(AH693="","",IF(SUMPRODUCT(MAX((IND_PER&lt;=B693)*(IND_UF&lt;&gt;"")*IND_PER))=0,UF_HOY,INDEX(IND_UF,MATCH(SUMPRODUCT(MAX((IND_PER&lt;=B693)*(IND_UF&lt;&gt;"")*IND_PER)),IND_PER,0))))</f>
        <v/>
      </c>
      <c r="AK693" s="87" t="str">
        <f aca="false">IF(AH693="","",IF(COUNTIF(TASA_DESDE,"&lt;="&amp;B693)=0,INDEX(TASA_EMP,1),INDEX(TASA_EMP,COUNTIF(TASA_DESDE,"&lt;="&amp;B693))))</f>
        <v/>
      </c>
    </row>
    <row r="694" customFormat="false" ht="15" hidden="false" customHeight="false" outlineLevel="0" collapsed="false">
      <c r="B694" s="78"/>
      <c r="C694" s="64"/>
      <c r="D694" s="72" t="str">
        <f aca="false">IF(C694="","",IFERROR(INDEX(T_NOMBRE,MATCH(C694,T_ID,0)),"⚠ ID no existe"))</f>
        <v/>
      </c>
      <c r="E694" s="69"/>
      <c r="F694" s="67"/>
      <c r="G694" s="67"/>
      <c r="H694" s="67"/>
      <c r="I694" s="67"/>
      <c r="J694" s="67"/>
      <c r="K694" s="85" t="str">
        <f aca="false">IF(AH694="","",N(F694)+N(G694)+N(H694)-N(I694)+N(J694))</f>
        <v/>
      </c>
      <c r="L694" s="67"/>
      <c r="M694" s="67"/>
      <c r="N694" s="67"/>
      <c r="O694" s="67"/>
      <c r="P694" s="85" t="str">
        <f aca="false">IF(AH694="","",K694+N(L694)+N(M694)+N(N694)+N(O694))</f>
        <v/>
      </c>
      <c r="Q694" s="67"/>
      <c r="R694" s="67"/>
      <c r="S694" s="67"/>
      <c r="T694" s="67"/>
      <c r="U694" s="67"/>
      <c r="V694" s="67"/>
      <c r="W694" s="85" t="str">
        <f aca="false">IF(AH694="","",N(Q694)+N(R694)+N(S694)+N(T694)+N(U694)+N(V694))</f>
        <v/>
      </c>
      <c r="X694" s="85" t="str">
        <f aca="false">IF(AH694="","",P694-W694)</f>
        <v/>
      </c>
      <c r="Y694" s="67"/>
      <c r="Z694" s="70" t="str">
        <f aca="false">IF(OR(AH694="",Y694=""),"",IF(ABS(X694-Y694)&lt;=1,"✓ Cuadra","⚠ Diferencia $"&amp;FIXED(X694-Y694,0)))</f>
        <v/>
      </c>
      <c r="AA694" s="72" t="str">
        <f aca="false">IF(AH694="","",IFERROR(INDEX(C_TIPO,MATCH(C694&amp;"-P"&amp;MAX(1,COUNTIFS(C_ID,C694,C_DEFINE,"Sí",C_INICIO,"&lt;="&amp;EOMONTH(B694,0))),C_CLAVE,0))&amp;"","Sin dato"))</f>
        <v/>
      </c>
      <c r="AB694" s="71" t="str">
        <f aca="false">IF(AH694="","",ROUND(MIN(K694,TOPE_AFP_UF*AJ694)*AK694,0))</f>
        <v/>
      </c>
      <c r="AC694" s="71" t="str">
        <f aca="false">IF(AH694="","",ROUND(MIN(K694,TOPE_AFC_UF*AJ694)*IF(AA694="Indefinido",AFC_EMP_INDEF,AFC_EMP_PF),0))</f>
        <v/>
      </c>
      <c r="AD694" s="71" t="str">
        <f aca="false">IF(AH694="","",ROUND(MIN(K694,TOPE_AFP_UF*AJ694)*(MUTUAL_BASICA+MUTUAL_ADIC+SANNA),0))</f>
        <v/>
      </c>
      <c r="AE694" s="71" t="str">
        <f aca="false">IF(AH694="","",P694-N(N694)+AB694+AC694+AD694)</f>
        <v/>
      </c>
      <c r="AF694" s="65"/>
      <c r="AG694" s="64"/>
      <c r="AH694" s="72" t="str">
        <f aca="false">IF(OR(B694="",C694=""),"",C694&amp;"|"&amp;(YEAR(B694)*100+MONTH(B694)))</f>
        <v/>
      </c>
      <c r="AI694" s="70" t="str">
        <f aca="false">IF(AH694="","",IF(COUNTIF(L_CLAVE,AH694)&gt;1,"⚠ Duplicado","OK"))</f>
        <v/>
      </c>
      <c r="AJ694" s="86" t="str">
        <f aca="false">IF(AH694="","",IF(SUMPRODUCT(MAX((IND_PER&lt;=B694)*(IND_UF&lt;&gt;"")*IND_PER))=0,UF_HOY,INDEX(IND_UF,MATCH(SUMPRODUCT(MAX((IND_PER&lt;=B694)*(IND_UF&lt;&gt;"")*IND_PER)),IND_PER,0))))</f>
        <v/>
      </c>
      <c r="AK694" s="87" t="str">
        <f aca="false">IF(AH694="","",IF(COUNTIF(TASA_DESDE,"&lt;="&amp;B694)=0,INDEX(TASA_EMP,1),INDEX(TASA_EMP,COUNTIF(TASA_DESDE,"&lt;="&amp;B694))))</f>
        <v/>
      </c>
    </row>
    <row r="695" customFormat="false" ht="15" hidden="false" customHeight="false" outlineLevel="0" collapsed="false">
      <c r="B695" s="78"/>
      <c r="C695" s="64"/>
      <c r="D695" s="72" t="str">
        <f aca="false">IF(C695="","",IFERROR(INDEX(T_NOMBRE,MATCH(C695,T_ID,0)),"⚠ ID no existe"))</f>
        <v/>
      </c>
      <c r="E695" s="69"/>
      <c r="F695" s="67"/>
      <c r="G695" s="67"/>
      <c r="H695" s="67"/>
      <c r="I695" s="67"/>
      <c r="J695" s="67"/>
      <c r="K695" s="85" t="str">
        <f aca="false">IF(AH695="","",N(F695)+N(G695)+N(H695)-N(I695)+N(J695))</f>
        <v/>
      </c>
      <c r="L695" s="67"/>
      <c r="M695" s="67"/>
      <c r="N695" s="67"/>
      <c r="O695" s="67"/>
      <c r="P695" s="85" t="str">
        <f aca="false">IF(AH695="","",K695+N(L695)+N(M695)+N(N695)+N(O695))</f>
        <v/>
      </c>
      <c r="Q695" s="67"/>
      <c r="R695" s="67"/>
      <c r="S695" s="67"/>
      <c r="T695" s="67"/>
      <c r="U695" s="67"/>
      <c r="V695" s="67"/>
      <c r="W695" s="85" t="str">
        <f aca="false">IF(AH695="","",N(Q695)+N(R695)+N(S695)+N(T695)+N(U695)+N(V695))</f>
        <v/>
      </c>
      <c r="X695" s="85" t="str">
        <f aca="false">IF(AH695="","",P695-W695)</f>
        <v/>
      </c>
      <c r="Y695" s="67"/>
      <c r="Z695" s="70" t="str">
        <f aca="false">IF(OR(AH695="",Y695=""),"",IF(ABS(X695-Y695)&lt;=1,"✓ Cuadra","⚠ Diferencia $"&amp;FIXED(X695-Y695,0)))</f>
        <v/>
      </c>
      <c r="AA695" s="72" t="str">
        <f aca="false">IF(AH695="","",IFERROR(INDEX(C_TIPO,MATCH(C695&amp;"-P"&amp;MAX(1,COUNTIFS(C_ID,C695,C_DEFINE,"Sí",C_INICIO,"&lt;="&amp;EOMONTH(B695,0))),C_CLAVE,0))&amp;"","Sin dato"))</f>
        <v/>
      </c>
      <c r="AB695" s="71" t="str">
        <f aca="false">IF(AH695="","",ROUND(MIN(K695,TOPE_AFP_UF*AJ695)*AK695,0))</f>
        <v/>
      </c>
      <c r="AC695" s="71" t="str">
        <f aca="false">IF(AH695="","",ROUND(MIN(K695,TOPE_AFC_UF*AJ695)*IF(AA695="Indefinido",AFC_EMP_INDEF,AFC_EMP_PF),0))</f>
        <v/>
      </c>
      <c r="AD695" s="71" t="str">
        <f aca="false">IF(AH695="","",ROUND(MIN(K695,TOPE_AFP_UF*AJ695)*(MUTUAL_BASICA+MUTUAL_ADIC+SANNA),0))</f>
        <v/>
      </c>
      <c r="AE695" s="71" t="str">
        <f aca="false">IF(AH695="","",P695-N(N695)+AB695+AC695+AD695)</f>
        <v/>
      </c>
      <c r="AF695" s="65"/>
      <c r="AG695" s="64"/>
      <c r="AH695" s="72" t="str">
        <f aca="false">IF(OR(B695="",C695=""),"",C695&amp;"|"&amp;(YEAR(B695)*100+MONTH(B695)))</f>
        <v/>
      </c>
      <c r="AI695" s="70" t="str">
        <f aca="false">IF(AH695="","",IF(COUNTIF(L_CLAVE,AH695)&gt;1,"⚠ Duplicado","OK"))</f>
        <v/>
      </c>
      <c r="AJ695" s="86" t="str">
        <f aca="false">IF(AH695="","",IF(SUMPRODUCT(MAX((IND_PER&lt;=B695)*(IND_UF&lt;&gt;"")*IND_PER))=0,UF_HOY,INDEX(IND_UF,MATCH(SUMPRODUCT(MAX((IND_PER&lt;=B695)*(IND_UF&lt;&gt;"")*IND_PER)),IND_PER,0))))</f>
        <v/>
      </c>
      <c r="AK695" s="87" t="str">
        <f aca="false">IF(AH695="","",IF(COUNTIF(TASA_DESDE,"&lt;="&amp;B695)=0,INDEX(TASA_EMP,1),INDEX(TASA_EMP,COUNTIF(TASA_DESDE,"&lt;="&amp;B695))))</f>
        <v/>
      </c>
    </row>
    <row r="696" customFormat="false" ht="15" hidden="false" customHeight="false" outlineLevel="0" collapsed="false">
      <c r="B696" s="78"/>
      <c r="C696" s="64"/>
      <c r="D696" s="72" t="str">
        <f aca="false">IF(C696="","",IFERROR(INDEX(T_NOMBRE,MATCH(C696,T_ID,0)),"⚠ ID no existe"))</f>
        <v/>
      </c>
      <c r="E696" s="69"/>
      <c r="F696" s="67"/>
      <c r="G696" s="67"/>
      <c r="H696" s="67"/>
      <c r="I696" s="67"/>
      <c r="J696" s="67"/>
      <c r="K696" s="85" t="str">
        <f aca="false">IF(AH696="","",N(F696)+N(G696)+N(H696)-N(I696)+N(J696))</f>
        <v/>
      </c>
      <c r="L696" s="67"/>
      <c r="M696" s="67"/>
      <c r="N696" s="67"/>
      <c r="O696" s="67"/>
      <c r="P696" s="85" t="str">
        <f aca="false">IF(AH696="","",K696+N(L696)+N(M696)+N(N696)+N(O696))</f>
        <v/>
      </c>
      <c r="Q696" s="67"/>
      <c r="R696" s="67"/>
      <c r="S696" s="67"/>
      <c r="T696" s="67"/>
      <c r="U696" s="67"/>
      <c r="V696" s="67"/>
      <c r="W696" s="85" t="str">
        <f aca="false">IF(AH696="","",N(Q696)+N(R696)+N(S696)+N(T696)+N(U696)+N(V696))</f>
        <v/>
      </c>
      <c r="X696" s="85" t="str">
        <f aca="false">IF(AH696="","",P696-W696)</f>
        <v/>
      </c>
      <c r="Y696" s="67"/>
      <c r="Z696" s="70" t="str">
        <f aca="false">IF(OR(AH696="",Y696=""),"",IF(ABS(X696-Y696)&lt;=1,"✓ Cuadra","⚠ Diferencia $"&amp;FIXED(X696-Y696,0)))</f>
        <v/>
      </c>
      <c r="AA696" s="72" t="str">
        <f aca="false">IF(AH696="","",IFERROR(INDEX(C_TIPO,MATCH(C696&amp;"-P"&amp;MAX(1,COUNTIFS(C_ID,C696,C_DEFINE,"Sí",C_INICIO,"&lt;="&amp;EOMONTH(B696,0))),C_CLAVE,0))&amp;"","Sin dato"))</f>
        <v/>
      </c>
      <c r="AB696" s="71" t="str">
        <f aca="false">IF(AH696="","",ROUND(MIN(K696,TOPE_AFP_UF*AJ696)*AK696,0))</f>
        <v/>
      </c>
      <c r="AC696" s="71" t="str">
        <f aca="false">IF(AH696="","",ROUND(MIN(K696,TOPE_AFC_UF*AJ696)*IF(AA696="Indefinido",AFC_EMP_INDEF,AFC_EMP_PF),0))</f>
        <v/>
      </c>
      <c r="AD696" s="71" t="str">
        <f aca="false">IF(AH696="","",ROUND(MIN(K696,TOPE_AFP_UF*AJ696)*(MUTUAL_BASICA+MUTUAL_ADIC+SANNA),0))</f>
        <v/>
      </c>
      <c r="AE696" s="71" t="str">
        <f aca="false">IF(AH696="","",P696-N(N696)+AB696+AC696+AD696)</f>
        <v/>
      </c>
      <c r="AF696" s="65"/>
      <c r="AG696" s="64"/>
      <c r="AH696" s="72" t="str">
        <f aca="false">IF(OR(B696="",C696=""),"",C696&amp;"|"&amp;(YEAR(B696)*100+MONTH(B696)))</f>
        <v/>
      </c>
      <c r="AI696" s="70" t="str">
        <f aca="false">IF(AH696="","",IF(COUNTIF(L_CLAVE,AH696)&gt;1,"⚠ Duplicado","OK"))</f>
        <v/>
      </c>
      <c r="AJ696" s="86" t="str">
        <f aca="false">IF(AH696="","",IF(SUMPRODUCT(MAX((IND_PER&lt;=B696)*(IND_UF&lt;&gt;"")*IND_PER))=0,UF_HOY,INDEX(IND_UF,MATCH(SUMPRODUCT(MAX((IND_PER&lt;=B696)*(IND_UF&lt;&gt;"")*IND_PER)),IND_PER,0))))</f>
        <v/>
      </c>
      <c r="AK696" s="87" t="str">
        <f aca="false">IF(AH696="","",IF(COUNTIF(TASA_DESDE,"&lt;="&amp;B696)=0,INDEX(TASA_EMP,1),INDEX(TASA_EMP,COUNTIF(TASA_DESDE,"&lt;="&amp;B696))))</f>
        <v/>
      </c>
    </row>
    <row r="697" customFormat="false" ht="15" hidden="false" customHeight="false" outlineLevel="0" collapsed="false">
      <c r="B697" s="78"/>
      <c r="C697" s="64"/>
      <c r="D697" s="72" t="str">
        <f aca="false">IF(C697="","",IFERROR(INDEX(T_NOMBRE,MATCH(C697,T_ID,0)),"⚠ ID no existe"))</f>
        <v/>
      </c>
      <c r="E697" s="69"/>
      <c r="F697" s="67"/>
      <c r="G697" s="67"/>
      <c r="H697" s="67"/>
      <c r="I697" s="67"/>
      <c r="J697" s="67"/>
      <c r="K697" s="85" t="str">
        <f aca="false">IF(AH697="","",N(F697)+N(G697)+N(H697)-N(I697)+N(J697))</f>
        <v/>
      </c>
      <c r="L697" s="67"/>
      <c r="M697" s="67"/>
      <c r="N697" s="67"/>
      <c r="O697" s="67"/>
      <c r="P697" s="85" t="str">
        <f aca="false">IF(AH697="","",K697+N(L697)+N(M697)+N(N697)+N(O697))</f>
        <v/>
      </c>
      <c r="Q697" s="67"/>
      <c r="R697" s="67"/>
      <c r="S697" s="67"/>
      <c r="T697" s="67"/>
      <c r="U697" s="67"/>
      <c r="V697" s="67"/>
      <c r="W697" s="85" t="str">
        <f aca="false">IF(AH697="","",N(Q697)+N(R697)+N(S697)+N(T697)+N(U697)+N(V697))</f>
        <v/>
      </c>
      <c r="X697" s="85" t="str">
        <f aca="false">IF(AH697="","",P697-W697)</f>
        <v/>
      </c>
      <c r="Y697" s="67"/>
      <c r="Z697" s="70" t="str">
        <f aca="false">IF(OR(AH697="",Y697=""),"",IF(ABS(X697-Y697)&lt;=1,"✓ Cuadra","⚠ Diferencia $"&amp;FIXED(X697-Y697,0)))</f>
        <v/>
      </c>
      <c r="AA697" s="72" t="str">
        <f aca="false">IF(AH697="","",IFERROR(INDEX(C_TIPO,MATCH(C697&amp;"-P"&amp;MAX(1,COUNTIFS(C_ID,C697,C_DEFINE,"Sí",C_INICIO,"&lt;="&amp;EOMONTH(B697,0))),C_CLAVE,0))&amp;"","Sin dato"))</f>
        <v/>
      </c>
      <c r="AB697" s="71" t="str">
        <f aca="false">IF(AH697="","",ROUND(MIN(K697,TOPE_AFP_UF*AJ697)*AK697,0))</f>
        <v/>
      </c>
      <c r="AC697" s="71" t="str">
        <f aca="false">IF(AH697="","",ROUND(MIN(K697,TOPE_AFC_UF*AJ697)*IF(AA697="Indefinido",AFC_EMP_INDEF,AFC_EMP_PF),0))</f>
        <v/>
      </c>
      <c r="AD697" s="71" t="str">
        <f aca="false">IF(AH697="","",ROUND(MIN(K697,TOPE_AFP_UF*AJ697)*(MUTUAL_BASICA+MUTUAL_ADIC+SANNA),0))</f>
        <v/>
      </c>
      <c r="AE697" s="71" t="str">
        <f aca="false">IF(AH697="","",P697-N(N697)+AB697+AC697+AD697)</f>
        <v/>
      </c>
      <c r="AF697" s="65"/>
      <c r="AG697" s="64"/>
      <c r="AH697" s="72" t="str">
        <f aca="false">IF(OR(B697="",C697=""),"",C697&amp;"|"&amp;(YEAR(B697)*100+MONTH(B697)))</f>
        <v/>
      </c>
      <c r="AI697" s="70" t="str">
        <f aca="false">IF(AH697="","",IF(COUNTIF(L_CLAVE,AH697)&gt;1,"⚠ Duplicado","OK"))</f>
        <v/>
      </c>
      <c r="AJ697" s="86" t="str">
        <f aca="false">IF(AH697="","",IF(SUMPRODUCT(MAX((IND_PER&lt;=B697)*(IND_UF&lt;&gt;"")*IND_PER))=0,UF_HOY,INDEX(IND_UF,MATCH(SUMPRODUCT(MAX((IND_PER&lt;=B697)*(IND_UF&lt;&gt;"")*IND_PER)),IND_PER,0))))</f>
        <v/>
      </c>
      <c r="AK697" s="87" t="str">
        <f aca="false">IF(AH697="","",IF(COUNTIF(TASA_DESDE,"&lt;="&amp;B697)=0,INDEX(TASA_EMP,1),INDEX(TASA_EMP,COUNTIF(TASA_DESDE,"&lt;="&amp;B697))))</f>
        <v/>
      </c>
    </row>
    <row r="698" customFormat="false" ht="15" hidden="false" customHeight="false" outlineLevel="0" collapsed="false">
      <c r="B698" s="78"/>
      <c r="C698" s="64"/>
      <c r="D698" s="72" t="str">
        <f aca="false">IF(C698="","",IFERROR(INDEX(T_NOMBRE,MATCH(C698,T_ID,0)),"⚠ ID no existe"))</f>
        <v/>
      </c>
      <c r="E698" s="69"/>
      <c r="F698" s="67"/>
      <c r="G698" s="67"/>
      <c r="H698" s="67"/>
      <c r="I698" s="67"/>
      <c r="J698" s="67"/>
      <c r="K698" s="85" t="str">
        <f aca="false">IF(AH698="","",N(F698)+N(G698)+N(H698)-N(I698)+N(J698))</f>
        <v/>
      </c>
      <c r="L698" s="67"/>
      <c r="M698" s="67"/>
      <c r="N698" s="67"/>
      <c r="O698" s="67"/>
      <c r="P698" s="85" t="str">
        <f aca="false">IF(AH698="","",K698+N(L698)+N(M698)+N(N698)+N(O698))</f>
        <v/>
      </c>
      <c r="Q698" s="67"/>
      <c r="R698" s="67"/>
      <c r="S698" s="67"/>
      <c r="T698" s="67"/>
      <c r="U698" s="67"/>
      <c r="V698" s="67"/>
      <c r="W698" s="85" t="str">
        <f aca="false">IF(AH698="","",N(Q698)+N(R698)+N(S698)+N(T698)+N(U698)+N(V698))</f>
        <v/>
      </c>
      <c r="X698" s="85" t="str">
        <f aca="false">IF(AH698="","",P698-W698)</f>
        <v/>
      </c>
      <c r="Y698" s="67"/>
      <c r="Z698" s="70" t="str">
        <f aca="false">IF(OR(AH698="",Y698=""),"",IF(ABS(X698-Y698)&lt;=1,"✓ Cuadra","⚠ Diferencia $"&amp;FIXED(X698-Y698,0)))</f>
        <v/>
      </c>
      <c r="AA698" s="72" t="str">
        <f aca="false">IF(AH698="","",IFERROR(INDEX(C_TIPO,MATCH(C698&amp;"-P"&amp;MAX(1,COUNTIFS(C_ID,C698,C_DEFINE,"Sí",C_INICIO,"&lt;="&amp;EOMONTH(B698,0))),C_CLAVE,0))&amp;"","Sin dato"))</f>
        <v/>
      </c>
      <c r="AB698" s="71" t="str">
        <f aca="false">IF(AH698="","",ROUND(MIN(K698,TOPE_AFP_UF*AJ698)*AK698,0))</f>
        <v/>
      </c>
      <c r="AC698" s="71" t="str">
        <f aca="false">IF(AH698="","",ROUND(MIN(K698,TOPE_AFC_UF*AJ698)*IF(AA698="Indefinido",AFC_EMP_INDEF,AFC_EMP_PF),0))</f>
        <v/>
      </c>
      <c r="AD698" s="71" t="str">
        <f aca="false">IF(AH698="","",ROUND(MIN(K698,TOPE_AFP_UF*AJ698)*(MUTUAL_BASICA+MUTUAL_ADIC+SANNA),0))</f>
        <v/>
      </c>
      <c r="AE698" s="71" t="str">
        <f aca="false">IF(AH698="","",P698-N(N698)+AB698+AC698+AD698)</f>
        <v/>
      </c>
      <c r="AF698" s="65"/>
      <c r="AG698" s="64"/>
      <c r="AH698" s="72" t="str">
        <f aca="false">IF(OR(B698="",C698=""),"",C698&amp;"|"&amp;(YEAR(B698)*100+MONTH(B698)))</f>
        <v/>
      </c>
      <c r="AI698" s="70" t="str">
        <f aca="false">IF(AH698="","",IF(COUNTIF(L_CLAVE,AH698)&gt;1,"⚠ Duplicado","OK"))</f>
        <v/>
      </c>
      <c r="AJ698" s="86" t="str">
        <f aca="false">IF(AH698="","",IF(SUMPRODUCT(MAX((IND_PER&lt;=B698)*(IND_UF&lt;&gt;"")*IND_PER))=0,UF_HOY,INDEX(IND_UF,MATCH(SUMPRODUCT(MAX((IND_PER&lt;=B698)*(IND_UF&lt;&gt;"")*IND_PER)),IND_PER,0))))</f>
        <v/>
      </c>
      <c r="AK698" s="87" t="str">
        <f aca="false">IF(AH698="","",IF(COUNTIF(TASA_DESDE,"&lt;="&amp;B698)=0,INDEX(TASA_EMP,1),INDEX(TASA_EMP,COUNTIF(TASA_DESDE,"&lt;="&amp;B698))))</f>
        <v/>
      </c>
    </row>
    <row r="699" customFormat="false" ht="15" hidden="false" customHeight="false" outlineLevel="0" collapsed="false">
      <c r="B699" s="78"/>
      <c r="C699" s="64"/>
      <c r="D699" s="72" t="str">
        <f aca="false">IF(C699="","",IFERROR(INDEX(T_NOMBRE,MATCH(C699,T_ID,0)),"⚠ ID no existe"))</f>
        <v/>
      </c>
      <c r="E699" s="69"/>
      <c r="F699" s="67"/>
      <c r="G699" s="67"/>
      <c r="H699" s="67"/>
      <c r="I699" s="67"/>
      <c r="J699" s="67"/>
      <c r="K699" s="85" t="str">
        <f aca="false">IF(AH699="","",N(F699)+N(G699)+N(H699)-N(I699)+N(J699))</f>
        <v/>
      </c>
      <c r="L699" s="67"/>
      <c r="M699" s="67"/>
      <c r="N699" s="67"/>
      <c r="O699" s="67"/>
      <c r="P699" s="85" t="str">
        <f aca="false">IF(AH699="","",K699+N(L699)+N(M699)+N(N699)+N(O699))</f>
        <v/>
      </c>
      <c r="Q699" s="67"/>
      <c r="R699" s="67"/>
      <c r="S699" s="67"/>
      <c r="T699" s="67"/>
      <c r="U699" s="67"/>
      <c r="V699" s="67"/>
      <c r="W699" s="85" t="str">
        <f aca="false">IF(AH699="","",N(Q699)+N(R699)+N(S699)+N(T699)+N(U699)+N(V699))</f>
        <v/>
      </c>
      <c r="X699" s="85" t="str">
        <f aca="false">IF(AH699="","",P699-W699)</f>
        <v/>
      </c>
      <c r="Y699" s="67"/>
      <c r="Z699" s="70" t="str">
        <f aca="false">IF(OR(AH699="",Y699=""),"",IF(ABS(X699-Y699)&lt;=1,"✓ Cuadra","⚠ Diferencia $"&amp;FIXED(X699-Y699,0)))</f>
        <v/>
      </c>
      <c r="AA699" s="72" t="str">
        <f aca="false">IF(AH699="","",IFERROR(INDEX(C_TIPO,MATCH(C699&amp;"-P"&amp;MAX(1,COUNTIFS(C_ID,C699,C_DEFINE,"Sí",C_INICIO,"&lt;="&amp;EOMONTH(B699,0))),C_CLAVE,0))&amp;"","Sin dato"))</f>
        <v/>
      </c>
      <c r="AB699" s="71" t="str">
        <f aca="false">IF(AH699="","",ROUND(MIN(K699,TOPE_AFP_UF*AJ699)*AK699,0))</f>
        <v/>
      </c>
      <c r="AC699" s="71" t="str">
        <f aca="false">IF(AH699="","",ROUND(MIN(K699,TOPE_AFC_UF*AJ699)*IF(AA699="Indefinido",AFC_EMP_INDEF,AFC_EMP_PF),0))</f>
        <v/>
      </c>
      <c r="AD699" s="71" t="str">
        <f aca="false">IF(AH699="","",ROUND(MIN(K699,TOPE_AFP_UF*AJ699)*(MUTUAL_BASICA+MUTUAL_ADIC+SANNA),0))</f>
        <v/>
      </c>
      <c r="AE699" s="71" t="str">
        <f aca="false">IF(AH699="","",P699-N(N699)+AB699+AC699+AD699)</f>
        <v/>
      </c>
      <c r="AF699" s="65"/>
      <c r="AG699" s="64"/>
      <c r="AH699" s="72" t="str">
        <f aca="false">IF(OR(B699="",C699=""),"",C699&amp;"|"&amp;(YEAR(B699)*100+MONTH(B699)))</f>
        <v/>
      </c>
      <c r="AI699" s="70" t="str">
        <f aca="false">IF(AH699="","",IF(COUNTIF(L_CLAVE,AH699)&gt;1,"⚠ Duplicado","OK"))</f>
        <v/>
      </c>
      <c r="AJ699" s="86" t="str">
        <f aca="false">IF(AH699="","",IF(SUMPRODUCT(MAX((IND_PER&lt;=B699)*(IND_UF&lt;&gt;"")*IND_PER))=0,UF_HOY,INDEX(IND_UF,MATCH(SUMPRODUCT(MAX((IND_PER&lt;=B699)*(IND_UF&lt;&gt;"")*IND_PER)),IND_PER,0))))</f>
        <v/>
      </c>
      <c r="AK699" s="87" t="str">
        <f aca="false">IF(AH699="","",IF(COUNTIF(TASA_DESDE,"&lt;="&amp;B699)=0,INDEX(TASA_EMP,1),INDEX(TASA_EMP,COUNTIF(TASA_DESDE,"&lt;="&amp;B699))))</f>
        <v/>
      </c>
    </row>
    <row r="700" customFormat="false" ht="15" hidden="false" customHeight="false" outlineLevel="0" collapsed="false">
      <c r="B700" s="78"/>
      <c r="C700" s="64"/>
      <c r="D700" s="72" t="str">
        <f aca="false">IF(C700="","",IFERROR(INDEX(T_NOMBRE,MATCH(C700,T_ID,0)),"⚠ ID no existe"))</f>
        <v/>
      </c>
      <c r="E700" s="69"/>
      <c r="F700" s="67"/>
      <c r="G700" s="67"/>
      <c r="H700" s="67"/>
      <c r="I700" s="67"/>
      <c r="J700" s="67"/>
      <c r="K700" s="85" t="str">
        <f aca="false">IF(AH700="","",N(F700)+N(G700)+N(H700)-N(I700)+N(J700))</f>
        <v/>
      </c>
      <c r="L700" s="67"/>
      <c r="M700" s="67"/>
      <c r="N700" s="67"/>
      <c r="O700" s="67"/>
      <c r="P700" s="85" t="str">
        <f aca="false">IF(AH700="","",K700+N(L700)+N(M700)+N(N700)+N(O700))</f>
        <v/>
      </c>
      <c r="Q700" s="67"/>
      <c r="R700" s="67"/>
      <c r="S700" s="67"/>
      <c r="T700" s="67"/>
      <c r="U700" s="67"/>
      <c r="V700" s="67"/>
      <c r="W700" s="85" t="str">
        <f aca="false">IF(AH700="","",N(Q700)+N(R700)+N(S700)+N(T700)+N(U700)+N(V700))</f>
        <v/>
      </c>
      <c r="X700" s="85" t="str">
        <f aca="false">IF(AH700="","",P700-W700)</f>
        <v/>
      </c>
      <c r="Y700" s="67"/>
      <c r="Z700" s="70" t="str">
        <f aca="false">IF(OR(AH700="",Y700=""),"",IF(ABS(X700-Y700)&lt;=1,"✓ Cuadra","⚠ Diferencia $"&amp;FIXED(X700-Y700,0)))</f>
        <v/>
      </c>
      <c r="AA700" s="72" t="str">
        <f aca="false">IF(AH700="","",IFERROR(INDEX(C_TIPO,MATCH(C700&amp;"-P"&amp;MAX(1,COUNTIFS(C_ID,C700,C_DEFINE,"Sí",C_INICIO,"&lt;="&amp;EOMONTH(B700,0))),C_CLAVE,0))&amp;"","Sin dato"))</f>
        <v/>
      </c>
      <c r="AB700" s="71" t="str">
        <f aca="false">IF(AH700="","",ROUND(MIN(K700,TOPE_AFP_UF*AJ700)*AK700,0))</f>
        <v/>
      </c>
      <c r="AC700" s="71" t="str">
        <f aca="false">IF(AH700="","",ROUND(MIN(K700,TOPE_AFC_UF*AJ700)*IF(AA700="Indefinido",AFC_EMP_INDEF,AFC_EMP_PF),0))</f>
        <v/>
      </c>
      <c r="AD700" s="71" t="str">
        <f aca="false">IF(AH700="","",ROUND(MIN(K700,TOPE_AFP_UF*AJ700)*(MUTUAL_BASICA+MUTUAL_ADIC+SANNA),0))</f>
        <v/>
      </c>
      <c r="AE700" s="71" t="str">
        <f aca="false">IF(AH700="","",P700-N(N700)+AB700+AC700+AD700)</f>
        <v/>
      </c>
      <c r="AF700" s="65"/>
      <c r="AG700" s="64"/>
      <c r="AH700" s="72" t="str">
        <f aca="false">IF(OR(B700="",C700=""),"",C700&amp;"|"&amp;(YEAR(B700)*100+MONTH(B700)))</f>
        <v/>
      </c>
      <c r="AI700" s="70" t="str">
        <f aca="false">IF(AH700="","",IF(COUNTIF(L_CLAVE,AH700)&gt;1,"⚠ Duplicado","OK"))</f>
        <v/>
      </c>
      <c r="AJ700" s="86" t="str">
        <f aca="false">IF(AH700="","",IF(SUMPRODUCT(MAX((IND_PER&lt;=B700)*(IND_UF&lt;&gt;"")*IND_PER))=0,UF_HOY,INDEX(IND_UF,MATCH(SUMPRODUCT(MAX((IND_PER&lt;=B700)*(IND_UF&lt;&gt;"")*IND_PER)),IND_PER,0))))</f>
        <v/>
      </c>
      <c r="AK700" s="87" t="str">
        <f aca="false">IF(AH700="","",IF(COUNTIF(TASA_DESDE,"&lt;="&amp;B700)=0,INDEX(TASA_EMP,1),INDEX(TASA_EMP,COUNTIF(TASA_DESDE,"&lt;="&amp;B700))))</f>
        <v/>
      </c>
    </row>
    <row r="701" customFormat="false" ht="15" hidden="false" customHeight="false" outlineLevel="0" collapsed="false">
      <c r="B701" s="78"/>
      <c r="C701" s="64"/>
      <c r="D701" s="72" t="str">
        <f aca="false">IF(C701="","",IFERROR(INDEX(T_NOMBRE,MATCH(C701,T_ID,0)),"⚠ ID no existe"))</f>
        <v/>
      </c>
      <c r="E701" s="69"/>
      <c r="F701" s="67"/>
      <c r="G701" s="67"/>
      <c r="H701" s="67"/>
      <c r="I701" s="67"/>
      <c r="J701" s="67"/>
      <c r="K701" s="85" t="str">
        <f aca="false">IF(AH701="","",N(F701)+N(G701)+N(H701)-N(I701)+N(J701))</f>
        <v/>
      </c>
      <c r="L701" s="67"/>
      <c r="M701" s="67"/>
      <c r="N701" s="67"/>
      <c r="O701" s="67"/>
      <c r="P701" s="85" t="str">
        <f aca="false">IF(AH701="","",K701+N(L701)+N(M701)+N(N701)+N(O701))</f>
        <v/>
      </c>
      <c r="Q701" s="67"/>
      <c r="R701" s="67"/>
      <c r="S701" s="67"/>
      <c r="T701" s="67"/>
      <c r="U701" s="67"/>
      <c r="V701" s="67"/>
      <c r="W701" s="85" t="str">
        <f aca="false">IF(AH701="","",N(Q701)+N(R701)+N(S701)+N(T701)+N(U701)+N(V701))</f>
        <v/>
      </c>
      <c r="X701" s="85" t="str">
        <f aca="false">IF(AH701="","",P701-W701)</f>
        <v/>
      </c>
      <c r="Y701" s="67"/>
      <c r="Z701" s="70" t="str">
        <f aca="false">IF(OR(AH701="",Y701=""),"",IF(ABS(X701-Y701)&lt;=1,"✓ Cuadra","⚠ Diferencia $"&amp;FIXED(X701-Y701,0)))</f>
        <v/>
      </c>
      <c r="AA701" s="72" t="str">
        <f aca="false">IF(AH701="","",IFERROR(INDEX(C_TIPO,MATCH(C701&amp;"-P"&amp;MAX(1,COUNTIFS(C_ID,C701,C_DEFINE,"Sí",C_INICIO,"&lt;="&amp;EOMONTH(B701,0))),C_CLAVE,0))&amp;"","Sin dato"))</f>
        <v/>
      </c>
      <c r="AB701" s="71" t="str">
        <f aca="false">IF(AH701="","",ROUND(MIN(K701,TOPE_AFP_UF*AJ701)*AK701,0))</f>
        <v/>
      </c>
      <c r="AC701" s="71" t="str">
        <f aca="false">IF(AH701="","",ROUND(MIN(K701,TOPE_AFC_UF*AJ701)*IF(AA701="Indefinido",AFC_EMP_INDEF,AFC_EMP_PF),0))</f>
        <v/>
      </c>
      <c r="AD701" s="71" t="str">
        <f aca="false">IF(AH701="","",ROUND(MIN(K701,TOPE_AFP_UF*AJ701)*(MUTUAL_BASICA+MUTUAL_ADIC+SANNA),0))</f>
        <v/>
      </c>
      <c r="AE701" s="71" t="str">
        <f aca="false">IF(AH701="","",P701-N(N701)+AB701+AC701+AD701)</f>
        <v/>
      </c>
      <c r="AF701" s="65"/>
      <c r="AG701" s="64"/>
      <c r="AH701" s="72" t="str">
        <f aca="false">IF(OR(B701="",C701=""),"",C701&amp;"|"&amp;(YEAR(B701)*100+MONTH(B701)))</f>
        <v/>
      </c>
      <c r="AI701" s="70" t="str">
        <f aca="false">IF(AH701="","",IF(COUNTIF(L_CLAVE,AH701)&gt;1,"⚠ Duplicado","OK"))</f>
        <v/>
      </c>
      <c r="AJ701" s="86" t="str">
        <f aca="false">IF(AH701="","",IF(SUMPRODUCT(MAX((IND_PER&lt;=B701)*(IND_UF&lt;&gt;"")*IND_PER))=0,UF_HOY,INDEX(IND_UF,MATCH(SUMPRODUCT(MAX((IND_PER&lt;=B701)*(IND_UF&lt;&gt;"")*IND_PER)),IND_PER,0))))</f>
        <v/>
      </c>
      <c r="AK701" s="87" t="str">
        <f aca="false">IF(AH701="","",IF(COUNTIF(TASA_DESDE,"&lt;="&amp;B701)=0,INDEX(TASA_EMP,1),INDEX(TASA_EMP,COUNTIF(TASA_DESDE,"&lt;="&amp;B701))))</f>
        <v/>
      </c>
    </row>
    <row r="702" customFormat="false" ht="15" hidden="false" customHeight="false" outlineLevel="0" collapsed="false">
      <c r="B702" s="78"/>
      <c r="C702" s="64"/>
      <c r="D702" s="72" t="str">
        <f aca="false">IF(C702="","",IFERROR(INDEX(T_NOMBRE,MATCH(C702,T_ID,0)),"⚠ ID no existe"))</f>
        <v/>
      </c>
      <c r="E702" s="69"/>
      <c r="F702" s="67"/>
      <c r="G702" s="67"/>
      <c r="H702" s="67"/>
      <c r="I702" s="67"/>
      <c r="J702" s="67"/>
      <c r="K702" s="85" t="str">
        <f aca="false">IF(AH702="","",N(F702)+N(G702)+N(H702)-N(I702)+N(J702))</f>
        <v/>
      </c>
      <c r="L702" s="67"/>
      <c r="M702" s="67"/>
      <c r="N702" s="67"/>
      <c r="O702" s="67"/>
      <c r="P702" s="85" t="str">
        <f aca="false">IF(AH702="","",K702+N(L702)+N(M702)+N(N702)+N(O702))</f>
        <v/>
      </c>
      <c r="Q702" s="67"/>
      <c r="R702" s="67"/>
      <c r="S702" s="67"/>
      <c r="T702" s="67"/>
      <c r="U702" s="67"/>
      <c r="V702" s="67"/>
      <c r="W702" s="85" t="str">
        <f aca="false">IF(AH702="","",N(Q702)+N(R702)+N(S702)+N(T702)+N(U702)+N(V702))</f>
        <v/>
      </c>
      <c r="X702" s="85" t="str">
        <f aca="false">IF(AH702="","",P702-W702)</f>
        <v/>
      </c>
      <c r="Y702" s="67"/>
      <c r="Z702" s="70" t="str">
        <f aca="false">IF(OR(AH702="",Y702=""),"",IF(ABS(X702-Y702)&lt;=1,"✓ Cuadra","⚠ Diferencia $"&amp;FIXED(X702-Y702,0)))</f>
        <v/>
      </c>
      <c r="AA702" s="72" t="str">
        <f aca="false">IF(AH702="","",IFERROR(INDEX(C_TIPO,MATCH(C702&amp;"-P"&amp;MAX(1,COUNTIFS(C_ID,C702,C_DEFINE,"Sí",C_INICIO,"&lt;="&amp;EOMONTH(B702,0))),C_CLAVE,0))&amp;"","Sin dato"))</f>
        <v/>
      </c>
      <c r="AB702" s="71" t="str">
        <f aca="false">IF(AH702="","",ROUND(MIN(K702,TOPE_AFP_UF*AJ702)*AK702,0))</f>
        <v/>
      </c>
      <c r="AC702" s="71" t="str">
        <f aca="false">IF(AH702="","",ROUND(MIN(K702,TOPE_AFC_UF*AJ702)*IF(AA702="Indefinido",AFC_EMP_INDEF,AFC_EMP_PF),0))</f>
        <v/>
      </c>
      <c r="AD702" s="71" t="str">
        <f aca="false">IF(AH702="","",ROUND(MIN(K702,TOPE_AFP_UF*AJ702)*(MUTUAL_BASICA+MUTUAL_ADIC+SANNA),0))</f>
        <v/>
      </c>
      <c r="AE702" s="71" t="str">
        <f aca="false">IF(AH702="","",P702-N(N702)+AB702+AC702+AD702)</f>
        <v/>
      </c>
      <c r="AF702" s="65"/>
      <c r="AG702" s="64"/>
      <c r="AH702" s="72" t="str">
        <f aca="false">IF(OR(B702="",C702=""),"",C702&amp;"|"&amp;(YEAR(B702)*100+MONTH(B702)))</f>
        <v/>
      </c>
      <c r="AI702" s="70" t="str">
        <f aca="false">IF(AH702="","",IF(COUNTIF(L_CLAVE,AH702)&gt;1,"⚠ Duplicado","OK"))</f>
        <v/>
      </c>
      <c r="AJ702" s="86" t="str">
        <f aca="false">IF(AH702="","",IF(SUMPRODUCT(MAX((IND_PER&lt;=B702)*(IND_UF&lt;&gt;"")*IND_PER))=0,UF_HOY,INDEX(IND_UF,MATCH(SUMPRODUCT(MAX((IND_PER&lt;=B702)*(IND_UF&lt;&gt;"")*IND_PER)),IND_PER,0))))</f>
        <v/>
      </c>
      <c r="AK702" s="87" t="str">
        <f aca="false">IF(AH702="","",IF(COUNTIF(TASA_DESDE,"&lt;="&amp;B702)=0,INDEX(TASA_EMP,1),INDEX(TASA_EMP,COUNTIF(TASA_DESDE,"&lt;="&amp;B702))))</f>
        <v/>
      </c>
    </row>
    <row r="703" customFormat="false" ht="15" hidden="false" customHeight="false" outlineLevel="0" collapsed="false">
      <c r="B703" s="78"/>
      <c r="C703" s="64"/>
      <c r="D703" s="72" t="str">
        <f aca="false">IF(C703="","",IFERROR(INDEX(T_NOMBRE,MATCH(C703,T_ID,0)),"⚠ ID no existe"))</f>
        <v/>
      </c>
      <c r="E703" s="69"/>
      <c r="F703" s="67"/>
      <c r="G703" s="67"/>
      <c r="H703" s="67"/>
      <c r="I703" s="67"/>
      <c r="J703" s="67"/>
      <c r="K703" s="85" t="str">
        <f aca="false">IF(AH703="","",N(F703)+N(G703)+N(H703)-N(I703)+N(J703))</f>
        <v/>
      </c>
      <c r="L703" s="67"/>
      <c r="M703" s="67"/>
      <c r="N703" s="67"/>
      <c r="O703" s="67"/>
      <c r="P703" s="85" t="str">
        <f aca="false">IF(AH703="","",K703+N(L703)+N(M703)+N(N703)+N(O703))</f>
        <v/>
      </c>
      <c r="Q703" s="67"/>
      <c r="R703" s="67"/>
      <c r="S703" s="67"/>
      <c r="T703" s="67"/>
      <c r="U703" s="67"/>
      <c r="V703" s="67"/>
      <c r="W703" s="85" t="str">
        <f aca="false">IF(AH703="","",N(Q703)+N(R703)+N(S703)+N(T703)+N(U703)+N(V703))</f>
        <v/>
      </c>
      <c r="X703" s="85" t="str">
        <f aca="false">IF(AH703="","",P703-W703)</f>
        <v/>
      </c>
      <c r="Y703" s="67"/>
      <c r="Z703" s="70" t="str">
        <f aca="false">IF(OR(AH703="",Y703=""),"",IF(ABS(X703-Y703)&lt;=1,"✓ Cuadra","⚠ Diferencia $"&amp;FIXED(X703-Y703,0)))</f>
        <v/>
      </c>
      <c r="AA703" s="72" t="str">
        <f aca="false">IF(AH703="","",IFERROR(INDEX(C_TIPO,MATCH(C703&amp;"-P"&amp;MAX(1,COUNTIFS(C_ID,C703,C_DEFINE,"Sí",C_INICIO,"&lt;="&amp;EOMONTH(B703,0))),C_CLAVE,0))&amp;"","Sin dato"))</f>
        <v/>
      </c>
      <c r="AB703" s="71" t="str">
        <f aca="false">IF(AH703="","",ROUND(MIN(K703,TOPE_AFP_UF*AJ703)*AK703,0))</f>
        <v/>
      </c>
      <c r="AC703" s="71" t="str">
        <f aca="false">IF(AH703="","",ROUND(MIN(K703,TOPE_AFC_UF*AJ703)*IF(AA703="Indefinido",AFC_EMP_INDEF,AFC_EMP_PF),0))</f>
        <v/>
      </c>
      <c r="AD703" s="71" t="str">
        <f aca="false">IF(AH703="","",ROUND(MIN(K703,TOPE_AFP_UF*AJ703)*(MUTUAL_BASICA+MUTUAL_ADIC+SANNA),0))</f>
        <v/>
      </c>
      <c r="AE703" s="71" t="str">
        <f aca="false">IF(AH703="","",P703-N(N703)+AB703+AC703+AD703)</f>
        <v/>
      </c>
      <c r="AF703" s="65"/>
      <c r="AG703" s="64"/>
      <c r="AH703" s="72" t="str">
        <f aca="false">IF(OR(B703="",C703=""),"",C703&amp;"|"&amp;(YEAR(B703)*100+MONTH(B703)))</f>
        <v/>
      </c>
      <c r="AI703" s="70" t="str">
        <f aca="false">IF(AH703="","",IF(COUNTIF(L_CLAVE,AH703)&gt;1,"⚠ Duplicado","OK"))</f>
        <v/>
      </c>
      <c r="AJ703" s="86" t="str">
        <f aca="false">IF(AH703="","",IF(SUMPRODUCT(MAX((IND_PER&lt;=B703)*(IND_UF&lt;&gt;"")*IND_PER))=0,UF_HOY,INDEX(IND_UF,MATCH(SUMPRODUCT(MAX((IND_PER&lt;=B703)*(IND_UF&lt;&gt;"")*IND_PER)),IND_PER,0))))</f>
        <v/>
      </c>
      <c r="AK703" s="87" t="str">
        <f aca="false">IF(AH703="","",IF(COUNTIF(TASA_DESDE,"&lt;="&amp;B703)=0,INDEX(TASA_EMP,1),INDEX(TASA_EMP,COUNTIF(TASA_DESDE,"&lt;="&amp;B703))))</f>
        <v/>
      </c>
    </row>
    <row r="704" customFormat="false" ht="15" hidden="false" customHeight="false" outlineLevel="0" collapsed="false">
      <c r="B704" s="78"/>
      <c r="C704" s="64"/>
      <c r="D704" s="72" t="str">
        <f aca="false">IF(C704="","",IFERROR(INDEX(T_NOMBRE,MATCH(C704,T_ID,0)),"⚠ ID no existe"))</f>
        <v/>
      </c>
      <c r="E704" s="69"/>
      <c r="F704" s="67"/>
      <c r="G704" s="67"/>
      <c r="H704" s="67"/>
      <c r="I704" s="67"/>
      <c r="J704" s="67"/>
      <c r="K704" s="85" t="str">
        <f aca="false">IF(AH704="","",N(F704)+N(G704)+N(H704)-N(I704)+N(J704))</f>
        <v/>
      </c>
      <c r="L704" s="67"/>
      <c r="M704" s="67"/>
      <c r="N704" s="67"/>
      <c r="O704" s="67"/>
      <c r="P704" s="85" t="str">
        <f aca="false">IF(AH704="","",K704+N(L704)+N(M704)+N(N704)+N(O704))</f>
        <v/>
      </c>
      <c r="Q704" s="67"/>
      <c r="R704" s="67"/>
      <c r="S704" s="67"/>
      <c r="T704" s="67"/>
      <c r="U704" s="67"/>
      <c r="V704" s="67"/>
      <c r="W704" s="85" t="str">
        <f aca="false">IF(AH704="","",N(Q704)+N(R704)+N(S704)+N(T704)+N(U704)+N(V704))</f>
        <v/>
      </c>
      <c r="X704" s="85" t="str">
        <f aca="false">IF(AH704="","",P704-W704)</f>
        <v/>
      </c>
      <c r="Y704" s="67"/>
      <c r="Z704" s="70" t="str">
        <f aca="false">IF(OR(AH704="",Y704=""),"",IF(ABS(X704-Y704)&lt;=1,"✓ Cuadra","⚠ Diferencia $"&amp;FIXED(X704-Y704,0)))</f>
        <v/>
      </c>
      <c r="AA704" s="72" t="str">
        <f aca="false">IF(AH704="","",IFERROR(INDEX(C_TIPO,MATCH(C704&amp;"-P"&amp;MAX(1,COUNTIFS(C_ID,C704,C_DEFINE,"Sí",C_INICIO,"&lt;="&amp;EOMONTH(B704,0))),C_CLAVE,0))&amp;"","Sin dato"))</f>
        <v/>
      </c>
      <c r="AB704" s="71" t="str">
        <f aca="false">IF(AH704="","",ROUND(MIN(K704,TOPE_AFP_UF*AJ704)*AK704,0))</f>
        <v/>
      </c>
      <c r="AC704" s="71" t="str">
        <f aca="false">IF(AH704="","",ROUND(MIN(K704,TOPE_AFC_UF*AJ704)*IF(AA704="Indefinido",AFC_EMP_INDEF,AFC_EMP_PF),0))</f>
        <v/>
      </c>
      <c r="AD704" s="71" t="str">
        <f aca="false">IF(AH704="","",ROUND(MIN(K704,TOPE_AFP_UF*AJ704)*(MUTUAL_BASICA+MUTUAL_ADIC+SANNA),0))</f>
        <v/>
      </c>
      <c r="AE704" s="71" t="str">
        <f aca="false">IF(AH704="","",P704-N(N704)+AB704+AC704+AD704)</f>
        <v/>
      </c>
      <c r="AF704" s="65"/>
      <c r="AG704" s="64"/>
      <c r="AH704" s="72" t="str">
        <f aca="false">IF(OR(B704="",C704=""),"",C704&amp;"|"&amp;(YEAR(B704)*100+MONTH(B704)))</f>
        <v/>
      </c>
      <c r="AI704" s="70" t="str">
        <f aca="false">IF(AH704="","",IF(COUNTIF(L_CLAVE,AH704)&gt;1,"⚠ Duplicado","OK"))</f>
        <v/>
      </c>
      <c r="AJ704" s="86" t="str">
        <f aca="false">IF(AH704="","",IF(SUMPRODUCT(MAX((IND_PER&lt;=B704)*(IND_UF&lt;&gt;"")*IND_PER))=0,UF_HOY,INDEX(IND_UF,MATCH(SUMPRODUCT(MAX((IND_PER&lt;=B704)*(IND_UF&lt;&gt;"")*IND_PER)),IND_PER,0))))</f>
        <v/>
      </c>
      <c r="AK704" s="87" t="str">
        <f aca="false">IF(AH704="","",IF(COUNTIF(TASA_DESDE,"&lt;="&amp;B704)=0,INDEX(TASA_EMP,1),INDEX(TASA_EMP,COUNTIF(TASA_DESDE,"&lt;="&amp;B704))))</f>
        <v/>
      </c>
    </row>
    <row r="705" customFormat="false" ht="15" hidden="false" customHeight="false" outlineLevel="0" collapsed="false">
      <c r="B705" s="78"/>
      <c r="C705" s="64"/>
      <c r="D705" s="72" t="str">
        <f aca="false">IF(C705="","",IFERROR(INDEX(T_NOMBRE,MATCH(C705,T_ID,0)),"⚠ ID no existe"))</f>
        <v/>
      </c>
      <c r="E705" s="69"/>
      <c r="F705" s="67"/>
      <c r="G705" s="67"/>
      <c r="H705" s="67"/>
      <c r="I705" s="67"/>
      <c r="J705" s="67"/>
      <c r="K705" s="85" t="str">
        <f aca="false">IF(AH705="","",N(F705)+N(G705)+N(H705)-N(I705)+N(J705))</f>
        <v/>
      </c>
      <c r="L705" s="67"/>
      <c r="M705" s="67"/>
      <c r="N705" s="67"/>
      <c r="O705" s="67"/>
      <c r="P705" s="85" t="str">
        <f aca="false">IF(AH705="","",K705+N(L705)+N(M705)+N(N705)+N(O705))</f>
        <v/>
      </c>
      <c r="Q705" s="67"/>
      <c r="R705" s="67"/>
      <c r="S705" s="67"/>
      <c r="T705" s="67"/>
      <c r="U705" s="67"/>
      <c r="V705" s="67"/>
      <c r="W705" s="85" t="str">
        <f aca="false">IF(AH705="","",N(Q705)+N(R705)+N(S705)+N(T705)+N(U705)+N(V705))</f>
        <v/>
      </c>
      <c r="X705" s="85" t="str">
        <f aca="false">IF(AH705="","",P705-W705)</f>
        <v/>
      </c>
      <c r="Y705" s="67"/>
      <c r="Z705" s="70" t="str">
        <f aca="false">IF(OR(AH705="",Y705=""),"",IF(ABS(X705-Y705)&lt;=1,"✓ Cuadra","⚠ Diferencia $"&amp;FIXED(X705-Y705,0)))</f>
        <v/>
      </c>
      <c r="AA705" s="72" t="str">
        <f aca="false">IF(AH705="","",IFERROR(INDEX(C_TIPO,MATCH(C705&amp;"-P"&amp;MAX(1,COUNTIFS(C_ID,C705,C_DEFINE,"Sí",C_INICIO,"&lt;="&amp;EOMONTH(B705,0))),C_CLAVE,0))&amp;"","Sin dato"))</f>
        <v/>
      </c>
      <c r="AB705" s="71" t="str">
        <f aca="false">IF(AH705="","",ROUND(MIN(K705,TOPE_AFP_UF*AJ705)*AK705,0))</f>
        <v/>
      </c>
      <c r="AC705" s="71" t="str">
        <f aca="false">IF(AH705="","",ROUND(MIN(K705,TOPE_AFC_UF*AJ705)*IF(AA705="Indefinido",AFC_EMP_INDEF,AFC_EMP_PF),0))</f>
        <v/>
      </c>
      <c r="AD705" s="71" t="str">
        <f aca="false">IF(AH705="","",ROUND(MIN(K705,TOPE_AFP_UF*AJ705)*(MUTUAL_BASICA+MUTUAL_ADIC+SANNA),0))</f>
        <v/>
      </c>
      <c r="AE705" s="71" t="str">
        <f aca="false">IF(AH705="","",P705-N(N705)+AB705+AC705+AD705)</f>
        <v/>
      </c>
      <c r="AF705" s="65"/>
      <c r="AG705" s="64"/>
      <c r="AH705" s="72" t="str">
        <f aca="false">IF(OR(B705="",C705=""),"",C705&amp;"|"&amp;(YEAR(B705)*100+MONTH(B705)))</f>
        <v/>
      </c>
      <c r="AI705" s="70" t="str">
        <f aca="false">IF(AH705="","",IF(COUNTIF(L_CLAVE,AH705)&gt;1,"⚠ Duplicado","OK"))</f>
        <v/>
      </c>
      <c r="AJ705" s="86" t="str">
        <f aca="false">IF(AH705="","",IF(SUMPRODUCT(MAX((IND_PER&lt;=B705)*(IND_UF&lt;&gt;"")*IND_PER))=0,UF_HOY,INDEX(IND_UF,MATCH(SUMPRODUCT(MAX((IND_PER&lt;=B705)*(IND_UF&lt;&gt;"")*IND_PER)),IND_PER,0))))</f>
        <v/>
      </c>
      <c r="AK705" s="87" t="str">
        <f aca="false">IF(AH705="","",IF(COUNTIF(TASA_DESDE,"&lt;="&amp;B705)=0,INDEX(TASA_EMP,1),INDEX(TASA_EMP,COUNTIF(TASA_DESDE,"&lt;="&amp;B705))))</f>
        <v/>
      </c>
    </row>
    <row r="706" customFormat="false" ht="15" hidden="false" customHeight="false" outlineLevel="0" collapsed="false">
      <c r="B706" s="78"/>
      <c r="C706" s="64"/>
      <c r="D706" s="72" t="str">
        <f aca="false">IF(C706="","",IFERROR(INDEX(T_NOMBRE,MATCH(C706,T_ID,0)),"⚠ ID no existe"))</f>
        <v/>
      </c>
      <c r="E706" s="69"/>
      <c r="F706" s="67"/>
      <c r="G706" s="67"/>
      <c r="H706" s="67"/>
      <c r="I706" s="67"/>
      <c r="J706" s="67"/>
      <c r="K706" s="85" t="str">
        <f aca="false">IF(AH706="","",N(F706)+N(G706)+N(H706)-N(I706)+N(J706))</f>
        <v/>
      </c>
      <c r="L706" s="67"/>
      <c r="M706" s="67"/>
      <c r="N706" s="67"/>
      <c r="O706" s="67"/>
      <c r="P706" s="85" t="str">
        <f aca="false">IF(AH706="","",K706+N(L706)+N(M706)+N(N706)+N(O706))</f>
        <v/>
      </c>
      <c r="Q706" s="67"/>
      <c r="R706" s="67"/>
      <c r="S706" s="67"/>
      <c r="T706" s="67"/>
      <c r="U706" s="67"/>
      <c r="V706" s="67"/>
      <c r="W706" s="85" t="str">
        <f aca="false">IF(AH706="","",N(Q706)+N(R706)+N(S706)+N(T706)+N(U706)+N(V706))</f>
        <v/>
      </c>
      <c r="X706" s="85" t="str">
        <f aca="false">IF(AH706="","",P706-W706)</f>
        <v/>
      </c>
      <c r="Y706" s="67"/>
      <c r="Z706" s="70" t="str">
        <f aca="false">IF(OR(AH706="",Y706=""),"",IF(ABS(X706-Y706)&lt;=1,"✓ Cuadra","⚠ Diferencia $"&amp;FIXED(X706-Y706,0)))</f>
        <v/>
      </c>
      <c r="AA706" s="72" t="str">
        <f aca="false">IF(AH706="","",IFERROR(INDEX(C_TIPO,MATCH(C706&amp;"-P"&amp;MAX(1,COUNTIFS(C_ID,C706,C_DEFINE,"Sí",C_INICIO,"&lt;="&amp;EOMONTH(B706,0))),C_CLAVE,0))&amp;"","Sin dato"))</f>
        <v/>
      </c>
      <c r="AB706" s="71" t="str">
        <f aca="false">IF(AH706="","",ROUND(MIN(K706,TOPE_AFP_UF*AJ706)*AK706,0))</f>
        <v/>
      </c>
      <c r="AC706" s="71" t="str">
        <f aca="false">IF(AH706="","",ROUND(MIN(K706,TOPE_AFC_UF*AJ706)*IF(AA706="Indefinido",AFC_EMP_INDEF,AFC_EMP_PF),0))</f>
        <v/>
      </c>
      <c r="AD706" s="71" t="str">
        <f aca="false">IF(AH706="","",ROUND(MIN(K706,TOPE_AFP_UF*AJ706)*(MUTUAL_BASICA+MUTUAL_ADIC+SANNA),0))</f>
        <v/>
      </c>
      <c r="AE706" s="71" t="str">
        <f aca="false">IF(AH706="","",P706-N(N706)+AB706+AC706+AD706)</f>
        <v/>
      </c>
      <c r="AF706" s="65"/>
      <c r="AG706" s="64"/>
      <c r="AH706" s="72" t="str">
        <f aca="false">IF(OR(B706="",C706=""),"",C706&amp;"|"&amp;(YEAR(B706)*100+MONTH(B706)))</f>
        <v/>
      </c>
      <c r="AI706" s="70" t="str">
        <f aca="false">IF(AH706="","",IF(COUNTIF(L_CLAVE,AH706)&gt;1,"⚠ Duplicado","OK"))</f>
        <v/>
      </c>
      <c r="AJ706" s="86" t="str">
        <f aca="false">IF(AH706="","",IF(SUMPRODUCT(MAX((IND_PER&lt;=B706)*(IND_UF&lt;&gt;"")*IND_PER))=0,UF_HOY,INDEX(IND_UF,MATCH(SUMPRODUCT(MAX((IND_PER&lt;=B706)*(IND_UF&lt;&gt;"")*IND_PER)),IND_PER,0))))</f>
        <v/>
      </c>
      <c r="AK706" s="87" t="str">
        <f aca="false">IF(AH706="","",IF(COUNTIF(TASA_DESDE,"&lt;="&amp;B706)=0,INDEX(TASA_EMP,1),INDEX(TASA_EMP,COUNTIF(TASA_DESDE,"&lt;="&amp;B706))))</f>
        <v/>
      </c>
    </row>
    <row r="707" customFormat="false" ht="15" hidden="false" customHeight="false" outlineLevel="0" collapsed="false">
      <c r="B707" s="78"/>
      <c r="C707" s="64"/>
      <c r="D707" s="72" t="str">
        <f aca="false">IF(C707="","",IFERROR(INDEX(T_NOMBRE,MATCH(C707,T_ID,0)),"⚠ ID no existe"))</f>
        <v/>
      </c>
      <c r="E707" s="69"/>
      <c r="F707" s="67"/>
      <c r="G707" s="67"/>
      <c r="H707" s="67"/>
      <c r="I707" s="67"/>
      <c r="J707" s="67"/>
      <c r="K707" s="85" t="str">
        <f aca="false">IF(AH707="","",N(F707)+N(G707)+N(H707)-N(I707)+N(J707))</f>
        <v/>
      </c>
      <c r="L707" s="67"/>
      <c r="M707" s="67"/>
      <c r="N707" s="67"/>
      <c r="O707" s="67"/>
      <c r="P707" s="85" t="str">
        <f aca="false">IF(AH707="","",K707+N(L707)+N(M707)+N(N707)+N(O707))</f>
        <v/>
      </c>
      <c r="Q707" s="67"/>
      <c r="R707" s="67"/>
      <c r="S707" s="67"/>
      <c r="T707" s="67"/>
      <c r="U707" s="67"/>
      <c r="V707" s="67"/>
      <c r="W707" s="85" t="str">
        <f aca="false">IF(AH707="","",N(Q707)+N(R707)+N(S707)+N(T707)+N(U707)+N(V707))</f>
        <v/>
      </c>
      <c r="X707" s="85" t="str">
        <f aca="false">IF(AH707="","",P707-W707)</f>
        <v/>
      </c>
      <c r="Y707" s="67"/>
      <c r="Z707" s="70" t="str">
        <f aca="false">IF(OR(AH707="",Y707=""),"",IF(ABS(X707-Y707)&lt;=1,"✓ Cuadra","⚠ Diferencia $"&amp;FIXED(X707-Y707,0)))</f>
        <v/>
      </c>
      <c r="AA707" s="72" t="str">
        <f aca="false">IF(AH707="","",IFERROR(INDEX(C_TIPO,MATCH(C707&amp;"-P"&amp;MAX(1,COUNTIFS(C_ID,C707,C_DEFINE,"Sí",C_INICIO,"&lt;="&amp;EOMONTH(B707,0))),C_CLAVE,0))&amp;"","Sin dato"))</f>
        <v/>
      </c>
      <c r="AB707" s="71" t="str">
        <f aca="false">IF(AH707="","",ROUND(MIN(K707,TOPE_AFP_UF*AJ707)*AK707,0))</f>
        <v/>
      </c>
      <c r="AC707" s="71" t="str">
        <f aca="false">IF(AH707="","",ROUND(MIN(K707,TOPE_AFC_UF*AJ707)*IF(AA707="Indefinido",AFC_EMP_INDEF,AFC_EMP_PF),0))</f>
        <v/>
      </c>
      <c r="AD707" s="71" t="str">
        <f aca="false">IF(AH707="","",ROUND(MIN(K707,TOPE_AFP_UF*AJ707)*(MUTUAL_BASICA+MUTUAL_ADIC+SANNA),0))</f>
        <v/>
      </c>
      <c r="AE707" s="71" t="str">
        <f aca="false">IF(AH707="","",P707-N(N707)+AB707+AC707+AD707)</f>
        <v/>
      </c>
      <c r="AF707" s="65"/>
      <c r="AG707" s="64"/>
      <c r="AH707" s="72" t="str">
        <f aca="false">IF(OR(B707="",C707=""),"",C707&amp;"|"&amp;(YEAR(B707)*100+MONTH(B707)))</f>
        <v/>
      </c>
      <c r="AI707" s="70" t="str">
        <f aca="false">IF(AH707="","",IF(COUNTIF(L_CLAVE,AH707)&gt;1,"⚠ Duplicado","OK"))</f>
        <v/>
      </c>
      <c r="AJ707" s="86" t="str">
        <f aca="false">IF(AH707="","",IF(SUMPRODUCT(MAX((IND_PER&lt;=B707)*(IND_UF&lt;&gt;"")*IND_PER))=0,UF_HOY,INDEX(IND_UF,MATCH(SUMPRODUCT(MAX((IND_PER&lt;=B707)*(IND_UF&lt;&gt;"")*IND_PER)),IND_PER,0))))</f>
        <v/>
      </c>
      <c r="AK707" s="87" t="str">
        <f aca="false">IF(AH707="","",IF(COUNTIF(TASA_DESDE,"&lt;="&amp;B707)=0,INDEX(TASA_EMP,1),INDEX(TASA_EMP,COUNTIF(TASA_DESDE,"&lt;="&amp;B707))))</f>
        <v/>
      </c>
    </row>
    <row r="708" customFormat="false" ht="15" hidden="false" customHeight="false" outlineLevel="0" collapsed="false">
      <c r="B708" s="78"/>
      <c r="C708" s="64"/>
      <c r="D708" s="72" t="str">
        <f aca="false">IF(C708="","",IFERROR(INDEX(T_NOMBRE,MATCH(C708,T_ID,0)),"⚠ ID no existe"))</f>
        <v/>
      </c>
      <c r="E708" s="69"/>
      <c r="F708" s="67"/>
      <c r="G708" s="67"/>
      <c r="H708" s="67"/>
      <c r="I708" s="67"/>
      <c r="J708" s="67"/>
      <c r="K708" s="85" t="str">
        <f aca="false">IF(AH708="","",N(F708)+N(G708)+N(H708)-N(I708)+N(J708))</f>
        <v/>
      </c>
      <c r="L708" s="67"/>
      <c r="M708" s="67"/>
      <c r="N708" s="67"/>
      <c r="O708" s="67"/>
      <c r="P708" s="85" t="str">
        <f aca="false">IF(AH708="","",K708+N(L708)+N(M708)+N(N708)+N(O708))</f>
        <v/>
      </c>
      <c r="Q708" s="67"/>
      <c r="R708" s="67"/>
      <c r="S708" s="67"/>
      <c r="T708" s="67"/>
      <c r="U708" s="67"/>
      <c r="V708" s="67"/>
      <c r="W708" s="85" t="str">
        <f aca="false">IF(AH708="","",N(Q708)+N(R708)+N(S708)+N(T708)+N(U708)+N(V708))</f>
        <v/>
      </c>
      <c r="X708" s="85" t="str">
        <f aca="false">IF(AH708="","",P708-W708)</f>
        <v/>
      </c>
      <c r="Y708" s="67"/>
      <c r="Z708" s="70" t="str">
        <f aca="false">IF(OR(AH708="",Y708=""),"",IF(ABS(X708-Y708)&lt;=1,"✓ Cuadra","⚠ Diferencia $"&amp;FIXED(X708-Y708,0)))</f>
        <v/>
      </c>
      <c r="AA708" s="72" t="str">
        <f aca="false">IF(AH708="","",IFERROR(INDEX(C_TIPO,MATCH(C708&amp;"-P"&amp;MAX(1,COUNTIFS(C_ID,C708,C_DEFINE,"Sí",C_INICIO,"&lt;="&amp;EOMONTH(B708,0))),C_CLAVE,0))&amp;"","Sin dato"))</f>
        <v/>
      </c>
      <c r="AB708" s="71" t="str">
        <f aca="false">IF(AH708="","",ROUND(MIN(K708,TOPE_AFP_UF*AJ708)*AK708,0))</f>
        <v/>
      </c>
      <c r="AC708" s="71" t="str">
        <f aca="false">IF(AH708="","",ROUND(MIN(K708,TOPE_AFC_UF*AJ708)*IF(AA708="Indefinido",AFC_EMP_INDEF,AFC_EMP_PF),0))</f>
        <v/>
      </c>
      <c r="AD708" s="71" t="str">
        <f aca="false">IF(AH708="","",ROUND(MIN(K708,TOPE_AFP_UF*AJ708)*(MUTUAL_BASICA+MUTUAL_ADIC+SANNA),0))</f>
        <v/>
      </c>
      <c r="AE708" s="71" t="str">
        <f aca="false">IF(AH708="","",P708-N(N708)+AB708+AC708+AD708)</f>
        <v/>
      </c>
      <c r="AF708" s="65"/>
      <c r="AG708" s="64"/>
      <c r="AH708" s="72" t="str">
        <f aca="false">IF(OR(B708="",C708=""),"",C708&amp;"|"&amp;(YEAR(B708)*100+MONTH(B708)))</f>
        <v/>
      </c>
      <c r="AI708" s="70" t="str">
        <f aca="false">IF(AH708="","",IF(COUNTIF(L_CLAVE,AH708)&gt;1,"⚠ Duplicado","OK"))</f>
        <v/>
      </c>
      <c r="AJ708" s="86" t="str">
        <f aca="false">IF(AH708="","",IF(SUMPRODUCT(MAX((IND_PER&lt;=B708)*(IND_UF&lt;&gt;"")*IND_PER))=0,UF_HOY,INDEX(IND_UF,MATCH(SUMPRODUCT(MAX((IND_PER&lt;=B708)*(IND_UF&lt;&gt;"")*IND_PER)),IND_PER,0))))</f>
        <v/>
      </c>
      <c r="AK708" s="87" t="str">
        <f aca="false">IF(AH708="","",IF(COUNTIF(TASA_DESDE,"&lt;="&amp;B708)=0,INDEX(TASA_EMP,1),INDEX(TASA_EMP,COUNTIF(TASA_DESDE,"&lt;="&amp;B708))))</f>
        <v/>
      </c>
    </row>
    <row r="709" customFormat="false" ht="15" hidden="false" customHeight="false" outlineLevel="0" collapsed="false">
      <c r="B709" s="78"/>
      <c r="C709" s="64"/>
      <c r="D709" s="72" t="str">
        <f aca="false">IF(C709="","",IFERROR(INDEX(T_NOMBRE,MATCH(C709,T_ID,0)),"⚠ ID no existe"))</f>
        <v/>
      </c>
      <c r="E709" s="69"/>
      <c r="F709" s="67"/>
      <c r="G709" s="67"/>
      <c r="H709" s="67"/>
      <c r="I709" s="67"/>
      <c r="J709" s="67"/>
      <c r="K709" s="85" t="str">
        <f aca="false">IF(AH709="","",N(F709)+N(G709)+N(H709)-N(I709)+N(J709))</f>
        <v/>
      </c>
      <c r="L709" s="67"/>
      <c r="M709" s="67"/>
      <c r="N709" s="67"/>
      <c r="O709" s="67"/>
      <c r="P709" s="85" t="str">
        <f aca="false">IF(AH709="","",K709+N(L709)+N(M709)+N(N709)+N(O709))</f>
        <v/>
      </c>
      <c r="Q709" s="67"/>
      <c r="R709" s="67"/>
      <c r="S709" s="67"/>
      <c r="T709" s="67"/>
      <c r="U709" s="67"/>
      <c r="V709" s="67"/>
      <c r="W709" s="85" t="str">
        <f aca="false">IF(AH709="","",N(Q709)+N(R709)+N(S709)+N(T709)+N(U709)+N(V709))</f>
        <v/>
      </c>
      <c r="X709" s="85" t="str">
        <f aca="false">IF(AH709="","",P709-W709)</f>
        <v/>
      </c>
      <c r="Y709" s="67"/>
      <c r="Z709" s="70" t="str">
        <f aca="false">IF(OR(AH709="",Y709=""),"",IF(ABS(X709-Y709)&lt;=1,"✓ Cuadra","⚠ Diferencia $"&amp;FIXED(X709-Y709,0)))</f>
        <v/>
      </c>
      <c r="AA709" s="72" t="str">
        <f aca="false">IF(AH709="","",IFERROR(INDEX(C_TIPO,MATCH(C709&amp;"-P"&amp;MAX(1,COUNTIFS(C_ID,C709,C_DEFINE,"Sí",C_INICIO,"&lt;="&amp;EOMONTH(B709,0))),C_CLAVE,0))&amp;"","Sin dato"))</f>
        <v/>
      </c>
      <c r="AB709" s="71" t="str">
        <f aca="false">IF(AH709="","",ROUND(MIN(K709,TOPE_AFP_UF*AJ709)*AK709,0))</f>
        <v/>
      </c>
      <c r="AC709" s="71" t="str">
        <f aca="false">IF(AH709="","",ROUND(MIN(K709,TOPE_AFC_UF*AJ709)*IF(AA709="Indefinido",AFC_EMP_INDEF,AFC_EMP_PF),0))</f>
        <v/>
      </c>
      <c r="AD709" s="71" t="str">
        <f aca="false">IF(AH709="","",ROUND(MIN(K709,TOPE_AFP_UF*AJ709)*(MUTUAL_BASICA+MUTUAL_ADIC+SANNA),0))</f>
        <v/>
      </c>
      <c r="AE709" s="71" t="str">
        <f aca="false">IF(AH709="","",P709-N(N709)+AB709+AC709+AD709)</f>
        <v/>
      </c>
      <c r="AF709" s="65"/>
      <c r="AG709" s="64"/>
      <c r="AH709" s="72" t="str">
        <f aca="false">IF(OR(B709="",C709=""),"",C709&amp;"|"&amp;(YEAR(B709)*100+MONTH(B709)))</f>
        <v/>
      </c>
      <c r="AI709" s="70" t="str">
        <f aca="false">IF(AH709="","",IF(COUNTIF(L_CLAVE,AH709)&gt;1,"⚠ Duplicado","OK"))</f>
        <v/>
      </c>
      <c r="AJ709" s="86" t="str">
        <f aca="false">IF(AH709="","",IF(SUMPRODUCT(MAX((IND_PER&lt;=B709)*(IND_UF&lt;&gt;"")*IND_PER))=0,UF_HOY,INDEX(IND_UF,MATCH(SUMPRODUCT(MAX((IND_PER&lt;=B709)*(IND_UF&lt;&gt;"")*IND_PER)),IND_PER,0))))</f>
        <v/>
      </c>
      <c r="AK709" s="87" t="str">
        <f aca="false">IF(AH709="","",IF(COUNTIF(TASA_DESDE,"&lt;="&amp;B709)=0,INDEX(TASA_EMP,1),INDEX(TASA_EMP,COUNTIF(TASA_DESDE,"&lt;="&amp;B709))))</f>
        <v/>
      </c>
    </row>
    <row r="710" customFormat="false" ht="15" hidden="false" customHeight="false" outlineLevel="0" collapsed="false">
      <c r="B710" s="78"/>
      <c r="C710" s="64"/>
      <c r="D710" s="72" t="str">
        <f aca="false">IF(C710="","",IFERROR(INDEX(T_NOMBRE,MATCH(C710,T_ID,0)),"⚠ ID no existe"))</f>
        <v/>
      </c>
      <c r="E710" s="69"/>
      <c r="F710" s="67"/>
      <c r="G710" s="67"/>
      <c r="H710" s="67"/>
      <c r="I710" s="67"/>
      <c r="J710" s="67"/>
      <c r="K710" s="85" t="str">
        <f aca="false">IF(AH710="","",N(F710)+N(G710)+N(H710)-N(I710)+N(J710))</f>
        <v/>
      </c>
      <c r="L710" s="67"/>
      <c r="M710" s="67"/>
      <c r="N710" s="67"/>
      <c r="O710" s="67"/>
      <c r="P710" s="85" t="str">
        <f aca="false">IF(AH710="","",K710+N(L710)+N(M710)+N(N710)+N(O710))</f>
        <v/>
      </c>
      <c r="Q710" s="67"/>
      <c r="R710" s="67"/>
      <c r="S710" s="67"/>
      <c r="T710" s="67"/>
      <c r="U710" s="67"/>
      <c r="V710" s="67"/>
      <c r="W710" s="85" t="str">
        <f aca="false">IF(AH710="","",N(Q710)+N(R710)+N(S710)+N(T710)+N(U710)+N(V710))</f>
        <v/>
      </c>
      <c r="X710" s="85" t="str">
        <f aca="false">IF(AH710="","",P710-W710)</f>
        <v/>
      </c>
      <c r="Y710" s="67"/>
      <c r="Z710" s="70" t="str">
        <f aca="false">IF(OR(AH710="",Y710=""),"",IF(ABS(X710-Y710)&lt;=1,"✓ Cuadra","⚠ Diferencia $"&amp;FIXED(X710-Y710,0)))</f>
        <v/>
      </c>
      <c r="AA710" s="72" t="str">
        <f aca="false">IF(AH710="","",IFERROR(INDEX(C_TIPO,MATCH(C710&amp;"-P"&amp;MAX(1,COUNTIFS(C_ID,C710,C_DEFINE,"Sí",C_INICIO,"&lt;="&amp;EOMONTH(B710,0))),C_CLAVE,0))&amp;"","Sin dato"))</f>
        <v/>
      </c>
      <c r="AB710" s="71" t="str">
        <f aca="false">IF(AH710="","",ROUND(MIN(K710,TOPE_AFP_UF*AJ710)*AK710,0))</f>
        <v/>
      </c>
      <c r="AC710" s="71" t="str">
        <f aca="false">IF(AH710="","",ROUND(MIN(K710,TOPE_AFC_UF*AJ710)*IF(AA710="Indefinido",AFC_EMP_INDEF,AFC_EMP_PF),0))</f>
        <v/>
      </c>
      <c r="AD710" s="71" t="str">
        <f aca="false">IF(AH710="","",ROUND(MIN(K710,TOPE_AFP_UF*AJ710)*(MUTUAL_BASICA+MUTUAL_ADIC+SANNA),0))</f>
        <v/>
      </c>
      <c r="AE710" s="71" t="str">
        <f aca="false">IF(AH710="","",P710-N(N710)+AB710+AC710+AD710)</f>
        <v/>
      </c>
      <c r="AF710" s="65"/>
      <c r="AG710" s="64"/>
      <c r="AH710" s="72" t="str">
        <f aca="false">IF(OR(B710="",C710=""),"",C710&amp;"|"&amp;(YEAR(B710)*100+MONTH(B710)))</f>
        <v/>
      </c>
      <c r="AI710" s="70" t="str">
        <f aca="false">IF(AH710="","",IF(COUNTIF(L_CLAVE,AH710)&gt;1,"⚠ Duplicado","OK"))</f>
        <v/>
      </c>
      <c r="AJ710" s="86" t="str">
        <f aca="false">IF(AH710="","",IF(SUMPRODUCT(MAX((IND_PER&lt;=B710)*(IND_UF&lt;&gt;"")*IND_PER))=0,UF_HOY,INDEX(IND_UF,MATCH(SUMPRODUCT(MAX((IND_PER&lt;=B710)*(IND_UF&lt;&gt;"")*IND_PER)),IND_PER,0))))</f>
        <v/>
      </c>
      <c r="AK710" s="87" t="str">
        <f aca="false">IF(AH710="","",IF(COUNTIF(TASA_DESDE,"&lt;="&amp;B710)=0,INDEX(TASA_EMP,1),INDEX(TASA_EMP,COUNTIF(TASA_DESDE,"&lt;="&amp;B710))))</f>
        <v/>
      </c>
    </row>
    <row r="711" customFormat="false" ht="15" hidden="false" customHeight="false" outlineLevel="0" collapsed="false">
      <c r="B711" s="78"/>
      <c r="C711" s="64"/>
      <c r="D711" s="72" t="str">
        <f aca="false">IF(C711="","",IFERROR(INDEX(T_NOMBRE,MATCH(C711,T_ID,0)),"⚠ ID no existe"))</f>
        <v/>
      </c>
      <c r="E711" s="69"/>
      <c r="F711" s="67"/>
      <c r="G711" s="67"/>
      <c r="H711" s="67"/>
      <c r="I711" s="67"/>
      <c r="J711" s="67"/>
      <c r="K711" s="85" t="str">
        <f aca="false">IF(AH711="","",N(F711)+N(G711)+N(H711)-N(I711)+N(J711))</f>
        <v/>
      </c>
      <c r="L711" s="67"/>
      <c r="M711" s="67"/>
      <c r="N711" s="67"/>
      <c r="O711" s="67"/>
      <c r="P711" s="85" t="str">
        <f aca="false">IF(AH711="","",K711+N(L711)+N(M711)+N(N711)+N(O711))</f>
        <v/>
      </c>
      <c r="Q711" s="67"/>
      <c r="R711" s="67"/>
      <c r="S711" s="67"/>
      <c r="T711" s="67"/>
      <c r="U711" s="67"/>
      <c r="V711" s="67"/>
      <c r="W711" s="85" t="str">
        <f aca="false">IF(AH711="","",N(Q711)+N(R711)+N(S711)+N(T711)+N(U711)+N(V711))</f>
        <v/>
      </c>
      <c r="X711" s="85" t="str">
        <f aca="false">IF(AH711="","",P711-W711)</f>
        <v/>
      </c>
      <c r="Y711" s="67"/>
      <c r="Z711" s="70" t="str">
        <f aca="false">IF(OR(AH711="",Y711=""),"",IF(ABS(X711-Y711)&lt;=1,"✓ Cuadra","⚠ Diferencia $"&amp;FIXED(X711-Y711,0)))</f>
        <v/>
      </c>
      <c r="AA711" s="72" t="str">
        <f aca="false">IF(AH711="","",IFERROR(INDEX(C_TIPO,MATCH(C711&amp;"-P"&amp;MAX(1,COUNTIFS(C_ID,C711,C_DEFINE,"Sí",C_INICIO,"&lt;="&amp;EOMONTH(B711,0))),C_CLAVE,0))&amp;"","Sin dato"))</f>
        <v/>
      </c>
      <c r="AB711" s="71" t="str">
        <f aca="false">IF(AH711="","",ROUND(MIN(K711,TOPE_AFP_UF*AJ711)*AK711,0))</f>
        <v/>
      </c>
      <c r="AC711" s="71" t="str">
        <f aca="false">IF(AH711="","",ROUND(MIN(K711,TOPE_AFC_UF*AJ711)*IF(AA711="Indefinido",AFC_EMP_INDEF,AFC_EMP_PF),0))</f>
        <v/>
      </c>
      <c r="AD711" s="71" t="str">
        <f aca="false">IF(AH711="","",ROUND(MIN(K711,TOPE_AFP_UF*AJ711)*(MUTUAL_BASICA+MUTUAL_ADIC+SANNA),0))</f>
        <v/>
      </c>
      <c r="AE711" s="71" t="str">
        <f aca="false">IF(AH711="","",P711-N(N711)+AB711+AC711+AD711)</f>
        <v/>
      </c>
      <c r="AF711" s="65"/>
      <c r="AG711" s="64"/>
      <c r="AH711" s="72" t="str">
        <f aca="false">IF(OR(B711="",C711=""),"",C711&amp;"|"&amp;(YEAR(B711)*100+MONTH(B711)))</f>
        <v/>
      </c>
      <c r="AI711" s="70" t="str">
        <f aca="false">IF(AH711="","",IF(COUNTIF(L_CLAVE,AH711)&gt;1,"⚠ Duplicado","OK"))</f>
        <v/>
      </c>
      <c r="AJ711" s="86" t="str">
        <f aca="false">IF(AH711="","",IF(SUMPRODUCT(MAX((IND_PER&lt;=B711)*(IND_UF&lt;&gt;"")*IND_PER))=0,UF_HOY,INDEX(IND_UF,MATCH(SUMPRODUCT(MAX((IND_PER&lt;=B711)*(IND_UF&lt;&gt;"")*IND_PER)),IND_PER,0))))</f>
        <v/>
      </c>
      <c r="AK711" s="87" t="str">
        <f aca="false">IF(AH711="","",IF(COUNTIF(TASA_DESDE,"&lt;="&amp;B711)=0,INDEX(TASA_EMP,1),INDEX(TASA_EMP,COUNTIF(TASA_DESDE,"&lt;="&amp;B711))))</f>
        <v/>
      </c>
    </row>
    <row r="712" customFormat="false" ht="15" hidden="false" customHeight="false" outlineLevel="0" collapsed="false">
      <c r="B712" s="78"/>
      <c r="C712" s="64"/>
      <c r="D712" s="72" t="str">
        <f aca="false">IF(C712="","",IFERROR(INDEX(T_NOMBRE,MATCH(C712,T_ID,0)),"⚠ ID no existe"))</f>
        <v/>
      </c>
      <c r="E712" s="69"/>
      <c r="F712" s="67"/>
      <c r="G712" s="67"/>
      <c r="H712" s="67"/>
      <c r="I712" s="67"/>
      <c r="J712" s="67"/>
      <c r="K712" s="85" t="str">
        <f aca="false">IF(AH712="","",N(F712)+N(G712)+N(H712)-N(I712)+N(J712))</f>
        <v/>
      </c>
      <c r="L712" s="67"/>
      <c r="M712" s="67"/>
      <c r="N712" s="67"/>
      <c r="O712" s="67"/>
      <c r="P712" s="85" t="str">
        <f aca="false">IF(AH712="","",K712+N(L712)+N(M712)+N(N712)+N(O712))</f>
        <v/>
      </c>
      <c r="Q712" s="67"/>
      <c r="R712" s="67"/>
      <c r="S712" s="67"/>
      <c r="T712" s="67"/>
      <c r="U712" s="67"/>
      <c r="V712" s="67"/>
      <c r="W712" s="85" t="str">
        <f aca="false">IF(AH712="","",N(Q712)+N(R712)+N(S712)+N(T712)+N(U712)+N(V712))</f>
        <v/>
      </c>
      <c r="X712" s="85" t="str">
        <f aca="false">IF(AH712="","",P712-W712)</f>
        <v/>
      </c>
      <c r="Y712" s="67"/>
      <c r="Z712" s="70" t="str">
        <f aca="false">IF(OR(AH712="",Y712=""),"",IF(ABS(X712-Y712)&lt;=1,"✓ Cuadra","⚠ Diferencia $"&amp;FIXED(X712-Y712,0)))</f>
        <v/>
      </c>
      <c r="AA712" s="72" t="str">
        <f aca="false">IF(AH712="","",IFERROR(INDEX(C_TIPO,MATCH(C712&amp;"-P"&amp;MAX(1,COUNTIFS(C_ID,C712,C_DEFINE,"Sí",C_INICIO,"&lt;="&amp;EOMONTH(B712,0))),C_CLAVE,0))&amp;"","Sin dato"))</f>
        <v/>
      </c>
      <c r="AB712" s="71" t="str">
        <f aca="false">IF(AH712="","",ROUND(MIN(K712,TOPE_AFP_UF*AJ712)*AK712,0))</f>
        <v/>
      </c>
      <c r="AC712" s="71" t="str">
        <f aca="false">IF(AH712="","",ROUND(MIN(K712,TOPE_AFC_UF*AJ712)*IF(AA712="Indefinido",AFC_EMP_INDEF,AFC_EMP_PF),0))</f>
        <v/>
      </c>
      <c r="AD712" s="71" t="str">
        <f aca="false">IF(AH712="","",ROUND(MIN(K712,TOPE_AFP_UF*AJ712)*(MUTUAL_BASICA+MUTUAL_ADIC+SANNA),0))</f>
        <v/>
      </c>
      <c r="AE712" s="71" t="str">
        <f aca="false">IF(AH712="","",P712-N(N712)+AB712+AC712+AD712)</f>
        <v/>
      </c>
      <c r="AF712" s="65"/>
      <c r="AG712" s="64"/>
      <c r="AH712" s="72" t="str">
        <f aca="false">IF(OR(B712="",C712=""),"",C712&amp;"|"&amp;(YEAR(B712)*100+MONTH(B712)))</f>
        <v/>
      </c>
      <c r="AI712" s="70" t="str">
        <f aca="false">IF(AH712="","",IF(COUNTIF(L_CLAVE,AH712)&gt;1,"⚠ Duplicado","OK"))</f>
        <v/>
      </c>
      <c r="AJ712" s="86" t="str">
        <f aca="false">IF(AH712="","",IF(SUMPRODUCT(MAX((IND_PER&lt;=B712)*(IND_UF&lt;&gt;"")*IND_PER))=0,UF_HOY,INDEX(IND_UF,MATCH(SUMPRODUCT(MAX((IND_PER&lt;=B712)*(IND_UF&lt;&gt;"")*IND_PER)),IND_PER,0))))</f>
        <v/>
      </c>
      <c r="AK712" s="87" t="str">
        <f aca="false">IF(AH712="","",IF(COUNTIF(TASA_DESDE,"&lt;="&amp;B712)=0,INDEX(TASA_EMP,1),INDEX(TASA_EMP,COUNTIF(TASA_DESDE,"&lt;="&amp;B712))))</f>
        <v/>
      </c>
    </row>
    <row r="713" customFormat="false" ht="15" hidden="false" customHeight="false" outlineLevel="0" collapsed="false">
      <c r="B713" s="78"/>
      <c r="C713" s="64"/>
      <c r="D713" s="72" t="str">
        <f aca="false">IF(C713="","",IFERROR(INDEX(T_NOMBRE,MATCH(C713,T_ID,0)),"⚠ ID no existe"))</f>
        <v/>
      </c>
      <c r="E713" s="69"/>
      <c r="F713" s="67"/>
      <c r="G713" s="67"/>
      <c r="H713" s="67"/>
      <c r="I713" s="67"/>
      <c r="J713" s="67"/>
      <c r="K713" s="85" t="str">
        <f aca="false">IF(AH713="","",N(F713)+N(G713)+N(H713)-N(I713)+N(J713))</f>
        <v/>
      </c>
      <c r="L713" s="67"/>
      <c r="M713" s="67"/>
      <c r="N713" s="67"/>
      <c r="O713" s="67"/>
      <c r="P713" s="85" t="str">
        <f aca="false">IF(AH713="","",K713+N(L713)+N(M713)+N(N713)+N(O713))</f>
        <v/>
      </c>
      <c r="Q713" s="67"/>
      <c r="R713" s="67"/>
      <c r="S713" s="67"/>
      <c r="T713" s="67"/>
      <c r="U713" s="67"/>
      <c r="V713" s="67"/>
      <c r="W713" s="85" t="str">
        <f aca="false">IF(AH713="","",N(Q713)+N(R713)+N(S713)+N(T713)+N(U713)+N(V713))</f>
        <v/>
      </c>
      <c r="X713" s="85" t="str">
        <f aca="false">IF(AH713="","",P713-W713)</f>
        <v/>
      </c>
      <c r="Y713" s="67"/>
      <c r="Z713" s="70" t="str">
        <f aca="false">IF(OR(AH713="",Y713=""),"",IF(ABS(X713-Y713)&lt;=1,"✓ Cuadra","⚠ Diferencia $"&amp;FIXED(X713-Y713,0)))</f>
        <v/>
      </c>
      <c r="AA713" s="72" t="str">
        <f aca="false">IF(AH713="","",IFERROR(INDEX(C_TIPO,MATCH(C713&amp;"-P"&amp;MAX(1,COUNTIFS(C_ID,C713,C_DEFINE,"Sí",C_INICIO,"&lt;="&amp;EOMONTH(B713,0))),C_CLAVE,0))&amp;"","Sin dato"))</f>
        <v/>
      </c>
      <c r="AB713" s="71" t="str">
        <f aca="false">IF(AH713="","",ROUND(MIN(K713,TOPE_AFP_UF*AJ713)*AK713,0))</f>
        <v/>
      </c>
      <c r="AC713" s="71" t="str">
        <f aca="false">IF(AH713="","",ROUND(MIN(K713,TOPE_AFC_UF*AJ713)*IF(AA713="Indefinido",AFC_EMP_INDEF,AFC_EMP_PF),0))</f>
        <v/>
      </c>
      <c r="AD713" s="71" t="str">
        <f aca="false">IF(AH713="","",ROUND(MIN(K713,TOPE_AFP_UF*AJ713)*(MUTUAL_BASICA+MUTUAL_ADIC+SANNA),0))</f>
        <v/>
      </c>
      <c r="AE713" s="71" t="str">
        <f aca="false">IF(AH713="","",P713-N(N713)+AB713+AC713+AD713)</f>
        <v/>
      </c>
      <c r="AF713" s="65"/>
      <c r="AG713" s="64"/>
      <c r="AH713" s="72" t="str">
        <f aca="false">IF(OR(B713="",C713=""),"",C713&amp;"|"&amp;(YEAR(B713)*100+MONTH(B713)))</f>
        <v/>
      </c>
      <c r="AI713" s="70" t="str">
        <f aca="false">IF(AH713="","",IF(COUNTIF(L_CLAVE,AH713)&gt;1,"⚠ Duplicado","OK"))</f>
        <v/>
      </c>
      <c r="AJ713" s="86" t="str">
        <f aca="false">IF(AH713="","",IF(SUMPRODUCT(MAX((IND_PER&lt;=B713)*(IND_UF&lt;&gt;"")*IND_PER))=0,UF_HOY,INDEX(IND_UF,MATCH(SUMPRODUCT(MAX((IND_PER&lt;=B713)*(IND_UF&lt;&gt;"")*IND_PER)),IND_PER,0))))</f>
        <v/>
      </c>
      <c r="AK713" s="87" t="str">
        <f aca="false">IF(AH713="","",IF(COUNTIF(TASA_DESDE,"&lt;="&amp;B713)=0,INDEX(TASA_EMP,1),INDEX(TASA_EMP,COUNTIF(TASA_DESDE,"&lt;="&amp;B713))))</f>
        <v/>
      </c>
    </row>
    <row r="714" customFormat="false" ht="15" hidden="false" customHeight="false" outlineLevel="0" collapsed="false">
      <c r="B714" s="78"/>
      <c r="C714" s="64"/>
      <c r="D714" s="72" t="str">
        <f aca="false">IF(C714="","",IFERROR(INDEX(T_NOMBRE,MATCH(C714,T_ID,0)),"⚠ ID no existe"))</f>
        <v/>
      </c>
      <c r="E714" s="69"/>
      <c r="F714" s="67"/>
      <c r="G714" s="67"/>
      <c r="H714" s="67"/>
      <c r="I714" s="67"/>
      <c r="J714" s="67"/>
      <c r="K714" s="85" t="str">
        <f aca="false">IF(AH714="","",N(F714)+N(G714)+N(H714)-N(I714)+N(J714))</f>
        <v/>
      </c>
      <c r="L714" s="67"/>
      <c r="M714" s="67"/>
      <c r="N714" s="67"/>
      <c r="O714" s="67"/>
      <c r="P714" s="85" t="str">
        <f aca="false">IF(AH714="","",K714+N(L714)+N(M714)+N(N714)+N(O714))</f>
        <v/>
      </c>
      <c r="Q714" s="67"/>
      <c r="R714" s="67"/>
      <c r="S714" s="67"/>
      <c r="T714" s="67"/>
      <c r="U714" s="67"/>
      <c r="V714" s="67"/>
      <c r="W714" s="85" t="str">
        <f aca="false">IF(AH714="","",N(Q714)+N(R714)+N(S714)+N(T714)+N(U714)+N(V714))</f>
        <v/>
      </c>
      <c r="X714" s="85" t="str">
        <f aca="false">IF(AH714="","",P714-W714)</f>
        <v/>
      </c>
      <c r="Y714" s="67"/>
      <c r="Z714" s="70" t="str">
        <f aca="false">IF(OR(AH714="",Y714=""),"",IF(ABS(X714-Y714)&lt;=1,"✓ Cuadra","⚠ Diferencia $"&amp;FIXED(X714-Y714,0)))</f>
        <v/>
      </c>
      <c r="AA714" s="72" t="str">
        <f aca="false">IF(AH714="","",IFERROR(INDEX(C_TIPO,MATCH(C714&amp;"-P"&amp;MAX(1,COUNTIFS(C_ID,C714,C_DEFINE,"Sí",C_INICIO,"&lt;="&amp;EOMONTH(B714,0))),C_CLAVE,0))&amp;"","Sin dato"))</f>
        <v/>
      </c>
      <c r="AB714" s="71" t="str">
        <f aca="false">IF(AH714="","",ROUND(MIN(K714,TOPE_AFP_UF*AJ714)*AK714,0))</f>
        <v/>
      </c>
      <c r="AC714" s="71" t="str">
        <f aca="false">IF(AH714="","",ROUND(MIN(K714,TOPE_AFC_UF*AJ714)*IF(AA714="Indefinido",AFC_EMP_INDEF,AFC_EMP_PF),0))</f>
        <v/>
      </c>
      <c r="AD714" s="71" t="str">
        <f aca="false">IF(AH714="","",ROUND(MIN(K714,TOPE_AFP_UF*AJ714)*(MUTUAL_BASICA+MUTUAL_ADIC+SANNA),0))</f>
        <v/>
      </c>
      <c r="AE714" s="71" t="str">
        <f aca="false">IF(AH714="","",P714-N(N714)+AB714+AC714+AD714)</f>
        <v/>
      </c>
      <c r="AF714" s="65"/>
      <c r="AG714" s="64"/>
      <c r="AH714" s="72" t="str">
        <f aca="false">IF(OR(B714="",C714=""),"",C714&amp;"|"&amp;(YEAR(B714)*100+MONTH(B714)))</f>
        <v/>
      </c>
      <c r="AI714" s="70" t="str">
        <f aca="false">IF(AH714="","",IF(COUNTIF(L_CLAVE,AH714)&gt;1,"⚠ Duplicado","OK"))</f>
        <v/>
      </c>
      <c r="AJ714" s="86" t="str">
        <f aca="false">IF(AH714="","",IF(SUMPRODUCT(MAX((IND_PER&lt;=B714)*(IND_UF&lt;&gt;"")*IND_PER))=0,UF_HOY,INDEX(IND_UF,MATCH(SUMPRODUCT(MAX((IND_PER&lt;=B714)*(IND_UF&lt;&gt;"")*IND_PER)),IND_PER,0))))</f>
        <v/>
      </c>
      <c r="AK714" s="87" t="str">
        <f aca="false">IF(AH714="","",IF(COUNTIF(TASA_DESDE,"&lt;="&amp;B714)=0,INDEX(TASA_EMP,1),INDEX(TASA_EMP,COUNTIF(TASA_DESDE,"&lt;="&amp;B714))))</f>
        <v/>
      </c>
    </row>
    <row r="715" customFormat="false" ht="15" hidden="false" customHeight="false" outlineLevel="0" collapsed="false">
      <c r="B715" s="78"/>
      <c r="C715" s="64"/>
      <c r="D715" s="72" t="str">
        <f aca="false">IF(C715="","",IFERROR(INDEX(T_NOMBRE,MATCH(C715,T_ID,0)),"⚠ ID no existe"))</f>
        <v/>
      </c>
      <c r="E715" s="69"/>
      <c r="F715" s="67"/>
      <c r="G715" s="67"/>
      <c r="H715" s="67"/>
      <c r="I715" s="67"/>
      <c r="J715" s="67"/>
      <c r="K715" s="85" t="str">
        <f aca="false">IF(AH715="","",N(F715)+N(G715)+N(H715)-N(I715)+N(J715))</f>
        <v/>
      </c>
      <c r="L715" s="67"/>
      <c r="M715" s="67"/>
      <c r="N715" s="67"/>
      <c r="O715" s="67"/>
      <c r="P715" s="85" t="str">
        <f aca="false">IF(AH715="","",K715+N(L715)+N(M715)+N(N715)+N(O715))</f>
        <v/>
      </c>
      <c r="Q715" s="67"/>
      <c r="R715" s="67"/>
      <c r="S715" s="67"/>
      <c r="T715" s="67"/>
      <c r="U715" s="67"/>
      <c r="V715" s="67"/>
      <c r="W715" s="85" t="str">
        <f aca="false">IF(AH715="","",N(Q715)+N(R715)+N(S715)+N(T715)+N(U715)+N(V715))</f>
        <v/>
      </c>
      <c r="X715" s="85" t="str">
        <f aca="false">IF(AH715="","",P715-W715)</f>
        <v/>
      </c>
      <c r="Y715" s="67"/>
      <c r="Z715" s="70" t="str">
        <f aca="false">IF(OR(AH715="",Y715=""),"",IF(ABS(X715-Y715)&lt;=1,"✓ Cuadra","⚠ Diferencia $"&amp;FIXED(X715-Y715,0)))</f>
        <v/>
      </c>
      <c r="AA715" s="72" t="str">
        <f aca="false">IF(AH715="","",IFERROR(INDEX(C_TIPO,MATCH(C715&amp;"-P"&amp;MAX(1,COUNTIFS(C_ID,C715,C_DEFINE,"Sí",C_INICIO,"&lt;="&amp;EOMONTH(B715,0))),C_CLAVE,0))&amp;"","Sin dato"))</f>
        <v/>
      </c>
      <c r="AB715" s="71" t="str">
        <f aca="false">IF(AH715="","",ROUND(MIN(K715,TOPE_AFP_UF*AJ715)*AK715,0))</f>
        <v/>
      </c>
      <c r="AC715" s="71" t="str">
        <f aca="false">IF(AH715="","",ROUND(MIN(K715,TOPE_AFC_UF*AJ715)*IF(AA715="Indefinido",AFC_EMP_INDEF,AFC_EMP_PF),0))</f>
        <v/>
      </c>
      <c r="AD715" s="71" t="str">
        <f aca="false">IF(AH715="","",ROUND(MIN(K715,TOPE_AFP_UF*AJ715)*(MUTUAL_BASICA+MUTUAL_ADIC+SANNA),0))</f>
        <v/>
      </c>
      <c r="AE715" s="71" t="str">
        <f aca="false">IF(AH715="","",P715-N(N715)+AB715+AC715+AD715)</f>
        <v/>
      </c>
      <c r="AF715" s="65"/>
      <c r="AG715" s="64"/>
      <c r="AH715" s="72" t="str">
        <f aca="false">IF(OR(B715="",C715=""),"",C715&amp;"|"&amp;(YEAR(B715)*100+MONTH(B715)))</f>
        <v/>
      </c>
      <c r="AI715" s="70" t="str">
        <f aca="false">IF(AH715="","",IF(COUNTIF(L_CLAVE,AH715)&gt;1,"⚠ Duplicado","OK"))</f>
        <v/>
      </c>
      <c r="AJ715" s="86" t="str">
        <f aca="false">IF(AH715="","",IF(SUMPRODUCT(MAX((IND_PER&lt;=B715)*(IND_UF&lt;&gt;"")*IND_PER))=0,UF_HOY,INDEX(IND_UF,MATCH(SUMPRODUCT(MAX((IND_PER&lt;=B715)*(IND_UF&lt;&gt;"")*IND_PER)),IND_PER,0))))</f>
        <v/>
      </c>
      <c r="AK715" s="87" t="str">
        <f aca="false">IF(AH715="","",IF(COUNTIF(TASA_DESDE,"&lt;="&amp;B715)=0,INDEX(TASA_EMP,1),INDEX(TASA_EMP,COUNTIF(TASA_DESDE,"&lt;="&amp;B715))))</f>
        <v/>
      </c>
    </row>
    <row r="716" customFormat="false" ht="15" hidden="false" customHeight="false" outlineLevel="0" collapsed="false">
      <c r="B716" s="78"/>
      <c r="C716" s="64"/>
      <c r="D716" s="72" t="str">
        <f aca="false">IF(C716="","",IFERROR(INDEX(T_NOMBRE,MATCH(C716,T_ID,0)),"⚠ ID no existe"))</f>
        <v/>
      </c>
      <c r="E716" s="69"/>
      <c r="F716" s="67"/>
      <c r="G716" s="67"/>
      <c r="H716" s="67"/>
      <c r="I716" s="67"/>
      <c r="J716" s="67"/>
      <c r="K716" s="85" t="str">
        <f aca="false">IF(AH716="","",N(F716)+N(G716)+N(H716)-N(I716)+N(J716))</f>
        <v/>
      </c>
      <c r="L716" s="67"/>
      <c r="M716" s="67"/>
      <c r="N716" s="67"/>
      <c r="O716" s="67"/>
      <c r="P716" s="85" t="str">
        <f aca="false">IF(AH716="","",K716+N(L716)+N(M716)+N(N716)+N(O716))</f>
        <v/>
      </c>
      <c r="Q716" s="67"/>
      <c r="R716" s="67"/>
      <c r="S716" s="67"/>
      <c r="T716" s="67"/>
      <c r="U716" s="67"/>
      <c r="V716" s="67"/>
      <c r="W716" s="85" t="str">
        <f aca="false">IF(AH716="","",N(Q716)+N(R716)+N(S716)+N(T716)+N(U716)+N(V716))</f>
        <v/>
      </c>
      <c r="X716" s="85" t="str">
        <f aca="false">IF(AH716="","",P716-W716)</f>
        <v/>
      </c>
      <c r="Y716" s="67"/>
      <c r="Z716" s="70" t="str">
        <f aca="false">IF(OR(AH716="",Y716=""),"",IF(ABS(X716-Y716)&lt;=1,"✓ Cuadra","⚠ Diferencia $"&amp;FIXED(X716-Y716,0)))</f>
        <v/>
      </c>
      <c r="AA716" s="72" t="str">
        <f aca="false">IF(AH716="","",IFERROR(INDEX(C_TIPO,MATCH(C716&amp;"-P"&amp;MAX(1,COUNTIFS(C_ID,C716,C_DEFINE,"Sí",C_INICIO,"&lt;="&amp;EOMONTH(B716,0))),C_CLAVE,0))&amp;"","Sin dato"))</f>
        <v/>
      </c>
      <c r="AB716" s="71" t="str">
        <f aca="false">IF(AH716="","",ROUND(MIN(K716,TOPE_AFP_UF*AJ716)*AK716,0))</f>
        <v/>
      </c>
      <c r="AC716" s="71" t="str">
        <f aca="false">IF(AH716="","",ROUND(MIN(K716,TOPE_AFC_UF*AJ716)*IF(AA716="Indefinido",AFC_EMP_INDEF,AFC_EMP_PF),0))</f>
        <v/>
      </c>
      <c r="AD716" s="71" t="str">
        <f aca="false">IF(AH716="","",ROUND(MIN(K716,TOPE_AFP_UF*AJ716)*(MUTUAL_BASICA+MUTUAL_ADIC+SANNA),0))</f>
        <v/>
      </c>
      <c r="AE716" s="71" t="str">
        <f aca="false">IF(AH716="","",P716-N(N716)+AB716+AC716+AD716)</f>
        <v/>
      </c>
      <c r="AF716" s="65"/>
      <c r="AG716" s="64"/>
      <c r="AH716" s="72" t="str">
        <f aca="false">IF(OR(B716="",C716=""),"",C716&amp;"|"&amp;(YEAR(B716)*100+MONTH(B716)))</f>
        <v/>
      </c>
      <c r="AI716" s="70" t="str">
        <f aca="false">IF(AH716="","",IF(COUNTIF(L_CLAVE,AH716)&gt;1,"⚠ Duplicado","OK"))</f>
        <v/>
      </c>
      <c r="AJ716" s="86" t="str">
        <f aca="false">IF(AH716="","",IF(SUMPRODUCT(MAX((IND_PER&lt;=B716)*(IND_UF&lt;&gt;"")*IND_PER))=0,UF_HOY,INDEX(IND_UF,MATCH(SUMPRODUCT(MAX((IND_PER&lt;=B716)*(IND_UF&lt;&gt;"")*IND_PER)),IND_PER,0))))</f>
        <v/>
      </c>
      <c r="AK716" s="87" t="str">
        <f aca="false">IF(AH716="","",IF(COUNTIF(TASA_DESDE,"&lt;="&amp;B716)=0,INDEX(TASA_EMP,1),INDEX(TASA_EMP,COUNTIF(TASA_DESDE,"&lt;="&amp;B716))))</f>
        <v/>
      </c>
    </row>
    <row r="717" customFormat="false" ht="15" hidden="false" customHeight="false" outlineLevel="0" collapsed="false">
      <c r="B717" s="78"/>
      <c r="C717" s="64"/>
      <c r="D717" s="72" t="str">
        <f aca="false">IF(C717="","",IFERROR(INDEX(T_NOMBRE,MATCH(C717,T_ID,0)),"⚠ ID no existe"))</f>
        <v/>
      </c>
      <c r="E717" s="69"/>
      <c r="F717" s="67"/>
      <c r="G717" s="67"/>
      <c r="H717" s="67"/>
      <c r="I717" s="67"/>
      <c r="J717" s="67"/>
      <c r="K717" s="85" t="str">
        <f aca="false">IF(AH717="","",N(F717)+N(G717)+N(H717)-N(I717)+N(J717))</f>
        <v/>
      </c>
      <c r="L717" s="67"/>
      <c r="M717" s="67"/>
      <c r="N717" s="67"/>
      <c r="O717" s="67"/>
      <c r="P717" s="85" t="str">
        <f aca="false">IF(AH717="","",K717+N(L717)+N(M717)+N(N717)+N(O717))</f>
        <v/>
      </c>
      <c r="Q717" s="67"/>
      <c r="R717" s="67"/>
      <c r="S717" s="67"/>
      <c r="T717" s="67"/>
      <c r="U717" s="67"/>
      <c r="V717" s="67"/>
      <c r="W717" s="85" t="str">
        <f aca="false">IF(AH717="","",N(Q717)+N(R717)+N(S717)+N(T717)+N(U717)+N(V717))</f>
        <v/>
      </c>
      <c r="X717" s="85" t="str">
        <f aca="false">IF(AH717="","",P717-W717)</f>
        <v/>
      </c>
      <c r="Y717" s="67"/>
      <c r="Z717" s="70" t="str">
        <f aca="false">IF(OR(AH717="",Y717=""),"",IF(ABS(X717-Y717)&lt;=1,"✓ Cuadra","⚠ Diferencia $"&amp;FIXED(X717-Y717,0)))</f>
        <v/>
      </c>
      <c r="AA717" s="72" t="str">
        <f aca="false">IF(AH717="","",IFERROR(INDEX(C_TIPO,MATCH(C717&amp;"-P"&amp;MAX(1,COUNTIFS(C_ID,C717,C_DEFINE,"Sí",C_INICIO,"&lt;="&amp;EOMONTH(B717,0))),C_CLAVE,0))&amp;"","Sin dato"))</f>
        <v/>
      </c>
      <c r="AB717" s="71" t="str">
        <f aca="false">IF(AH717="","",ROUND(MIN(K717,TOPE_AFP_UF*AJ717)*AK717,0))</f>
        <v/>
      </c>
      <c r="AC717" s="71" t="str">
        <f aca="false">IF(AH717="","",ROUND(MIN(K717,TOPE_AFC_UF*AJ717)*IF(AA717="Indefinido",AFC_EMP_INDEF,AFC_EMP_PF),0))</f>
        <v/>
      </c>
      <c r="AD717" s="71" t="str">
        <f aca="false">IF(AH717="","",ROUND(MIN(K717,TOPE_AFP_UF*AJ717)*(MUTUAL_BASICA+MUTUAL_ADIC+SANNA),0))</f>
        <v/>
      </c>
      <c r="AE717" s="71" t="str">
        <f aca="false">IF(AH717="","",P717-N(N717)+AB717+AC717+AD717)</f>
        <v/>
      </c>
      <c r="AF717" s="65"/>
      <c r="AG717" s="64"/>
      <c r="AH717" s="72" t="str">
        <f aca="false">IF(OR(B717="",C717=""),"",C717&amp;"|"&amp;(YEAR(B717)*100+MONTH(B717)))</f>
        <v/>
      </c>
      <c r="AI717" s="70" t="str">
        <f aca="false">IF(AH717="","",IF(COUNTIF(L_CLAVE,AH717)&gt;1,"⚠ Duplicado","OK"))</f>
        <v/>
      </c>
      <c r="AJ717" s="86" t="str">
        <f aca="false">IF(AH717="","",IF(SUMPRODUCT(MAX((IND_PER&lt;=B717)*(IND_UF&lt;&gt;"")*IND_PER))=0,UF_HOY,INDEX(IND_UF,MATCH(SUMPRODUCT(MAX((IND_PER&lt;=B717)*(IND_UF&lt;&gt;"")*IND_PER)),IND_PER,0))))</f>
        <v/>
      </c>
      <c r="AK717" s="87" t="str">
        <f aca="false">IF(AH717="","",IF(COUNTIF(TASA_DESDE,"&lt;="&amp;B717)=0,INDEX(TASA_EMP,1),INDEX(TASA_EMP,COUNTIF(TASA_DESDE,"&lt;="&amp;B717))))</f>
        <v/>
      </c>
    </row>
    <row r="718" customFormat="false" ht="15" hidden="false" customHeight="false" outlineLevel="0" collapsed="false">
      <c r="B718" s="78"/>
      <c r="C718" s="64"/>
      <c r="D718" s="72" t="str">
        <f aca="false">IF(C718="","",IFERROR(INDEX(T_NOMBRE,MATCH(C718,T_ID,0)),"⚠ ID no existe"))</f>
        <v/>
      </c>
      <c r="E718" s="69"/>
      <c r="F718" s="67"/>
      <c r="G718" s="67"/>
      <c r="H718" s="67"/>
      <c r="I718" s="67"/>
      <c r="J718" s="67"/>
      <c r="K718" s="85" t="str">
        <f aca="false">IF(AH718="","",N(F718)+N(G718)+N(H718)-N(I718)+N(J718))</f>
        <v/>
      </c>
      <c r="L718" s="67"/>
      <c r="M718" s="67"/>
      <c r="N718" s="67"/>
      <c r="O718" s="67"/>
      <c r="P718" s="85" t="str">
        <f aca="false">IF(AH718="","",K718+N(L718)+N(M718)+N(N718)+N(O718))</f>
        <v/>
      </c>
      <c r="Q718" s="67"/>
      <c r="R718" s="67"/>
      <c r="S718" s="67"/>
      <c r="T718" s="67"/>
      <c r="U718" s="67"/>
      <c r="V718" s="67"/>
      <c r="W718" s="85" t="str">
        <f aca="false">IF(AH718="","",N(Q718)+N(R718)+N(S718)+N(T718)+N(U718)+N(V718))</f>
        <v/>
      </c>
      <c r="X718" s="85" t="str">
        <f aca="false">IF(AH718="","",P718-W718)</f>
        <v/>
      </c>
      <c r="Y718" s="67"/>
      <c r="Z718" s="70" t="str">
        <f aca="false">IF(OR(AH718="",Y718=""),"",IF(ABS(X718-Y718)&lt;=1,"✓ Cuadra","⚠ Diferencia $"&amp;FIXED(X718-Y718,0)))</f>
        <v/>
      </c>
      <c r="AA718" s="72" t="str">
        <f aca="false">IF(AH718="","",IFERROR(INDEX(C_TIPO,MATCH(C718&amp;"-P"&amp;MAX(1,COUNTIFS(C_ID,C718,C_DEFINE,"Sí",C_INICIO,"&lt;="&amp;EOMONTH(B718,0))),C_CLAVE,0))&amp;"","Sin dato"))</f>
        <v/>
      </c>
      <c r="AB718" s="71" t="str">
        <f aca="false">IF(AH718="","",ROUND(MIN(K718,TOPE_AFP_UF*AJ718)*AK718,0))</f>
        <v/>
      </c>
      <c r="AC718" s="71" t="str">
        <f aca="false">IF(AH718="","",ROUND(MIN(K718,TOPE_AFC_UF*AJ718)*IF(AA718="Indefinido",AFC_EMP_INDEF,AFC_EMP_PF),0))</f>
        <v/>
      </c>
      <c r="AD718" s="71" t="str">
        <f aca="false">IF(AH718="","",ROUND(MIN(K718,TOPE_AFP_UF*AJ718)*(MUTUAL_BASICA+MUTUAL_ADIC+SANNA),0))</f>
        <v/>
      </c>
      <c r="AE718" s="71" t="str">
        <f aca="false">IF(AH718="","",P718-N(N718)+AB718+AC718+AD718)</f>
        <v/>
      </c>
      <c r="AF718" s="65"/>
      <c r="AG718" s="64"/>
      <c r="AH718" s="72" t="str">
        <f aca="false">IF(OR(B718="",C718=""),"",C718&amp;"|"&amp;(YEAR(B718)*100+MONTH(B718)))</f>
        <v/>
      </c>
      <c r="AI718" s="70" t="str">
        <f aca="false">IF(AH718="","",IF(COUNTIF(L_CLAVE,AH718)&gt;1,"⚠ Duplicado","OK"))</f>
        <v/>
      </c>
      <c r="AJ718" s="86" t="str">
        <f aca="false">IF(AH718="","",IF(SUMPRODUCT(MAX((IND_PER&lt;=B718)*(IND_UF&lt;&gt;"")*IND_PER))=0,UF_HOY,INDEX(IND_UF,MATCH(SUMPRODUCT(MAX((IND_PER&lt;=B718)*(IND_UF&lt;&gt;"")*IND_PER)),IND_PER,0))))</f>
        <v/>
      </c>
      <c r="AK718" s="87" t="str">
        <f aca="false">IF(AH718="","",IF(COUNTIF(TASA_DESDE,"&lt;="&amp;B718)=0,INDEX(TASA_EMP,1),INDEX(TASA_EMP,COUNTIF(TASA_DESDE,"&lt;="&amp;B718))))</f>
        <v/>
      </c>
    </row>
    <row r="719" customFormat="false" ht="15" hidden="false" customHeight="false" outlineLevel="0" collapsed="false">
      <c r="B719" s="78"/>
      <c r="C719" s="64"/>
      <c r="D719" s="72" t="str">
        <f aca="false">IF(C719="","",IFERROR(INDEX(T_NOMBRE,MATCH(C719,T_ID,0)),"⚠ ID no existe"))</f>
        <v/>
      </c>
      <c r="E719" s="69"/>
      <c r="F719" s="67"/>
      <c r="G719" s="67"/>
      <c r="H719" s="67"/>
      <c r="I719" s="67"/>
      <c r="J719" s="67"/>
      <c r="K719" s="85" t="str">
        <f aca="false">IF(AH719="","",N(F719)+N(G719)+N(H719)-N(I719)+N(J719))</f>
        <v/>
      </c>
      <c r="L719" s="67"/>
      <c r="M719" s="67"/>
      <c r="N719" s="67"/>
      <c r="O719" s="67"/>
      <c r="P719" s="85" t="str">
        <f aca="false">IF(AH719="","",K719+N(L719)+N(M719)+N(N719)+N(O719))</f>
        <v/>
      </c>
      <c r="Q719" s="67"/>
      <c r="R719" s="67"/>
      <c r="S719" s="67"/>
      <c r="T719" s="67"/>
      <c r="U719" s="67"/>
      <c r="V719" s="67"/>
      <c r="W719" s="85" t="str">
        <f aca="false">IF(AH719="","",N(Q719)+N(R719)+N(S719)+N(T719)+N(U719)+N(V719))</f>
        <v/>
      </c>
      <c r="X719" s="85" t="str">
        <f aca="false">IF(AH719="","",P719-W719)</f>
        <v/>
      </c>
      <c r="Y719" s="67"/>
      <c r="Z719" s="70" t="str">
        <f aca="false">IF(OR(AH719="",Y719=""),"",IF(ABS(X719-Y719)&lt;=1,"✓ Cuadra","⚠ Diferencia $"&amp;FIXED(X719-Y719,0)))</f>
        <v/>
      </c>
      <c r="AA719" s="72" t="str">
        <f aca="false">IF(AH719="","",IFERROR(INDEX(C_TIPO,MATCH(C719&amp;"-P"&amp;MAX(1,COUNTIFS(C_ID,C719,C_DEFINE,"Sí",C_INICIO,"&lt;="&amp;EOMONTH(B719,0))),C_CLAVE,0))&amp;"","Sin dato"))</f>
        <v/>
      </c>
      <c r="AB719" s="71" t="str">
        <f aca="false">IF(AH719="","",ROUND(MIN(K719,TOPE_AFP_UF*AJ719)*AK719,0))</f>
        <v/>
      </c>
      <c r="AC719" s="71" t="str">
        <f aca="false">IF(AH719="","",ROUND(MIN(K719,TOPE_AFC_UF*AJ719)*IF(AA719="Indefinido",AFC_EMP_INDEF,AFC_EMP_PF),0))</f>
        <v/>
      </c>
      <c r="AD719" s="71" t="str">
        <f aca="false">IF(AH719="","",ROUND(MIN(K719,TOPE_AFP_UF*AJ719)*(MUTUAL_BASICA+MUTUAL_ADIC+SANNA),0))</f>
        <v/>
      </c>
      <c r="AE719" s="71" t="str">
        <f aca="false">IF(AH719="","",P719-N(N719)+AB719+AC719+AD719)</f>
        <v/>
      </c>
      <c r="AF719" s="65"/>
      <c r="AG719" s="64"/>
      <c r="AH719" s="72" t="str">
        <f aca="false">IF(OR(B719="",C719=""),"",C719&amp;"|"&amp;(YEAR(B719)*100+MONTH(B719)))</f>
        <v/>
      </c>
      <c r="AI719" s="70" t="str">
        <f aca="false">IF(AH719="","",IF(COUNTIF(L_CLAVE,AH719)&gt;1,"⚠ Duplicado","OK"))</f>
        <v/>
      </c>
      <c r="AJ719" s="86" t="str">
        <f aca="false">IF(AH719="","",IF(SUMPRODUCT(MAX((IND_PER&lt;=B719)*(IND_UF&lt;&gt;"")*IND_PER))=0,UF_HOY,INDEX(IND_UF,MATCH(SUMPRODUCT(MAX((IND_PER&lt;=B719)*(IND_UF&lt;&gt;"")*IND_PER)),IND_PER,0))))</f>
        <v/>
      </c>
      <c r="AK719" s="87" t="str">
        <f aca="false">IF(AH719="","",IF(COUNTIF(TASA_DESDE,"&lt;="&amp;B719)=0,INDEX(TASA_EMP,1),INDEX(TASA_EMP,COUNTIF(TASA_DESDE,"&lt;="&amp;B719))))</f>
        <v/>
      </c>
    </row>
    <row r="720" customFormat="false" ht="15" hidden="false" customHeight="false" outlineLevel="0" collapsed="false">
      <c r="B720" s="78"/>
      <c r="C720" s="64"/>
      <c r="D720" s="72" t="str">
        <f aca="false">IF(C720="","",IFERROR(INDEX(T_NOMBRE,MATCH(C720,T_ID,0)),"⚠ ID no existe"))</f>
        <v/>
      </c>
      <c r="E720" s="69"/>
      <c r="F720" s="67"/>
      <c r="G720" s="67"/>
      <c r="H720" s="67"/>
      <c r="I720" s="67"/>
      <c r="J720" s="67"/>
      <c r="K720" s="85" t="str">
        <f aca="false">IF(AH720="","",N(F720)+N(G720)+N(H720)-N(I720)+N(J720))</f>
        <v/>
      </c>
      <c r="L720" s="67"/>
      <c r="M720" s="67"/>
      <c r="N720" s="67"/>
      <c r="O720" s="67"/>
      <c r="P720" s="85" t="str">
        <f aca="false">IF(AH720="","",K720+N(L720)+N(M720)+N(N720)+N(O720))</f>
        <v/>
      </c>
      <c r="Q720" s="67"/>
      <c r="R720" s="67"/>
      <c r="S720" s="67"/>
      <c r="T720" s="67"/>
      <c r="U720" s="67"/>
      <c r="V720" s="67"/>
      <c r="W720" s="85" t="str">
        <f aca="false">IF(AH720="","",N(Q720)+N(R720)+N(S720)+N(T720)+N(U720)+N(V720))</f>
        <v/>
      </c>
      <c r="X720" s="85" t="str">
        <f aca="false">IF(AH720="","",P720-W720)</f>
        <v/>
      </c>
      <c r="Y720" s="67"/>
      <c r="Z720" s="70" t="str">
        <f aca="false">IF(OR(AH720="",Y720=""),"",IF(ABS(X720-Y720)&lt;=1,"✓ Cuadra","⚠ Diferencia $"&amp;FIXED(X720-Y720,0)))</f>
        <v/>
      </c>
      <c r="AA720" s="72" t="str">
        <f aca="false">IF(AH720="","",IFERROR(INDEX(C_TIPO,MATCH(C720&amp;"-P"&amp;MAX(1,COUNTIFS(C_ID,C720,C_DEFINE,"Sí",C_INICIO,"&lt;="&amp;EOMONTH(B720,0))),C_CLAVE,0))&amp;"","Sin dato"))</f>
        <v/>
      </c>
      <c r="AB720" s="71" t="str">
        <f aca="false">IF(AH720="","",ROUND(MIN(K720,TOPE_AFP_UF*AJ720)*AK720,0))</f>
        <v/>
      </c>
      <c r="AC720" s="71" t="str">
        <f aca="false">IF(AH720="","",ROUND(MIN(K720,TOPE_AFC_UF*AJ720)*IF(AA720="Indefinido",AFC_EMP_INDEF,AFC_EMP_PF),0))</f>
        <v/>
      </c>
      <c r="AD720" s="71" t="str">
        <f aca="false">IF(AH720="","",ROUND(MIN(K720,TOPE_AFP_UF*AJ720)*(MUTUAL_BASICA+MUTUAL_ADIC+SANNA),0))</f>
        <v/>
      </c>
      <c r="AE720" s="71" t="str">
        <f aca="false">IF(AH720="","",P720-N(N720)+AB720+AC720+AD720)</f>
        <v/>
      </c>
      <c r="AF720" s="65"/>
      <c r="AG720" s="64"/>
      <c r="AH720" s="72" t="str">
        <f aca="false">IF(OR(B720="",C720=""),"",C720&amp;"|"&amp;(YEAR(B720)*100+MONTH(B720)))</f>
        <v/>
      </c>
      <c r="AI720" s="70" t="str">
        <f aca="false">IF(AH720="","",IF(COUNTIF(L_CLAVE,AH720)&gt;1,"⚠ Duplicado","OK"))</f>
        <v/>
      </c>
      <c r="AJ720" s="86" t="str">
        <f aca="false">IF(AH720="","",IF(SUMPRODUCT(MAX((IND_PER&lt;=B720)*(IND_UF&lt;&gt;"")*IND_PER))=0,UF_HOY,INDEX(IND_UF,MATCH(SUMPRODUCT(MAX((IND_PER&lt;=B720)*(IND_UF&lt;&gt;"")*IND_PER)),IND_PER,0))))</f>
        <v/>
      </c>
      <c r="AK720" s="87" t="str">
        <f aca="false">IF(AH720="","",IF(COUNTIF(TASA_DESDE,"&lt;="&amp;B720)=0,INDEX(TASA_EMP,1),INDEX(TASA_EMP,COUNTIF(TASA_DESDE,"&lt;="&amp;B720))))</f>
        <v/>
      </c>
    </row>
    <row r="721" customFormat="false" ht="15" hidden="false" customHeight="false" outlineLevel="0" collapsed="false">
      <c r="B721" s="78"/>
      <c r="C721" s="64"/>
      <c r="D721" s="72" t="str">
        <f aca="false">IF(C721="","",IFERROR(INDEX(T_NOMBRE,MATCH(C721,T_ID,0)),"⚠ ID no existe"))</f>
        <v/>
      </c>
      <c r="E721" s="69"/>
      <c r="F721" s="67"/>
      <c r="G721" s="67"/>
      <c r="H721" s="67"/>
      <c r="I721" s="67"/>
      <c r="J721" s="67"/>
      <c r="K721" s="85" t="str">
        <f aca="false">IF(AH721="","",N(F721)+N(G721)+N(H721)-N(I721)+N(J721))</f>
        <v/>
      </c>
      <c r="L721" s="67"/>
      <c r="M721" s="67"/>
      <c r="N721" s="67"/>
      <c r="O721" s="67"/>
      <c r="P721" s="85" t="str">
        <f aca="false">IF(AH721="","",K721+N(L721)+N(M721)+N(N721)+N(O721))</f>
        <v/>
      </c>
      <c r="Q721" s="67"/>
      <c r="R721" s="67"/>
      <c r="S721" s="67"/>
      <c r="T721" s="67"/>
      <c r="U721" s="67"/>
      <c r="V721" s="67"/>
      <c r="W721" s="85" t="str">
        <f aca="false">IF(AH721="","",N(Q721)+N(R721)+N(S721)+N(T721)+N(U721)+N(V721))</f>
        <v/>
      </c>
      <c r="X721" s="85" t="str">
        <f aca="false">IF(AH721="","",P721-W721)</f>
        <v/>
      </c>
      <c r="Y721" s="67"/>
      <c r="Z721" s="70" t="str">
        <f aca="false">IF(OR(AH721="",Y721=""),"",IF(ABS(X721-Y721)&lt;=1,"✓ Cuadra","⚠ Diferencia $"&amp;FIXED(X721-Y721,0)))</f>
        <v/>
      </c>
      <c r="AA721" s="72" t="str">
        <f aca="false">IF(AH721="","",IFERROR(INDEX(C_TIPO,MATCH(C721&amp;"-P"&amp;MAX(1,COUNTIFS(C_ID,C721,C_DEFINE,"Sí",C_INICIO,"&lt;="&amp;EOMONTH(B721,0))),C_CLAVE,0))&amp;"","Sin dato"))</f>
        <v/>
      </c>
      <c r="AB721" s="71" t="str">
        <f aca="false">IF(AH721="","",ROUND(MIN(K721,TOPE_AFP_UF*AJ721)*AK721,0))</f>
        <v/>
      </c>
      <c r="AC721" s="71" t="str">
        <f aca="false">IF(AH721="","",ROUND(MIN(K721,TOPE_AFC_UF*AJ721)*IF(AA721="Indefinido",AFC_EMP_INDEF,AFC_EMP_PF),0))</f>
        <v/>
      </c>
      <c r="AD721" s="71" t="str">
        <f aca="false">IF(AH721="","",ROUND(MIN(K721,TOPE_AFP_UF*AJ721)*(MUTUAL_BASICA+MUTUAL_ADIC+SANNA),0))</f>
        <v/>
      </c>
      <c r="AE721" s="71" t="str">
        <f aca="false">IF(AH721="","",P721-N(N721)+AB721+AC721+AD721)</f>
        <v/>
      </c>
      <c r="AF721" s="65"/>
      <c r="AG721" s="64"/>
      <c r="AH721" s="72" t="str">
        <f aca="false">IF(OR(B721="",C721=""),"",C721&amp;"|"&amp;(YEAR(B721)*100+MONTH(B721)))</f>
        <v/>
      </c>
      <c r="AI721" s="70" t="str">
        <f aca="false">IF(AH721="","",IF(COUNTIF(L_CLAVE,AH721)&gt;1,"⚠ Duplicado","OK"))</f>
        <v/>
      </c>
      <c r="AJ721" s="86" t="str">
        <f aca="false">IF(AH721="","",IF(SUMPRODUCT(MAX((IND_PER&lt;=B721)*(IND_UF&lt;&gt;"")*IND_PER))=0,UF_HOY,INDEX(IND_UF,MATCH(SUMPRODUCT(MAX((IND_PER&lt;=B721)*(IND_UF&lt;&gt;"")*IND_PER)),IND_PER,0))))</f>
        <v/>
      </c>
      <c r="AK721" s="87" t="str">
        <f aca="false">IF(AH721="","",IF(COUNTIF(TASA_DESDE,"&lt;="&amp;B721)=0,INDEX(TASA_EMP,1),INDEX(TASA_EMP,COUNTIF(TASA_DESDE,"&lt;="&amp;B721))))</f>
        <v/>
      </c>
    </row>
    <row r="722" customFormat="false" ht="15" hidden="false" customHeight="false" outlineLevel="0" collapsed="false">
      <c r="B722" s="78"/>
      <c r="C722" s="64"/>
      <c r="D722" s="72" t="str">
        <f aca="false">IF(C722="","",IFERROR(INDEX(T_NOMBRE,MATCH(C722,T_ID,0)),"⚠ ID no existe"))</f>
        <v/>
      </c>
      <c r="E722" s="69"/>
      <c r="F722" s="67"/>
      <c r="G722" s="67"/>
      <c r="H722" s="67"/>
      <c r="I722" s="67"/>
      <c r="J722" s="67"/>
      <c r="K722" s="85" t="str">
        <f aca="false">IF(AH722="","",N(F722)+N(G722)+N(H722)-N(I722)+N(J722))</f>
        <v/>
      </c>
      <c r="L722" s="67"/>
      <c r="M722" s="67"/>
      <c r="N722" s="67"/>
      <c r="O722" s="67"/>
      <c r="P722" s="85" t="str">
        <f aca="false">IF(AH722="","",K722+N(L722)+N(M722)+N(N722)+N(O722))</f>
        <v/>
      </c>
      <c r="Q722" s="67"/>
      <c r="R722" s="67"/>
      <c r="S722" s="67"/>
      <c r="T722" s="67"/>
      <c r="U722" s="67"/>
      <c r="V722" s="67"/>
      <c r="W722" s="85" t="str">
        <f aca="false">IF(AH722="","",N(Q722)+N(R722)+N(S722)+N(T722)+N(U722)+N(V722))</f>
        <v/>
      </c>
      <c r="X722" s="85" t="str">
        <f aca="false">IF(AH722="","",P722-W722)</f>
        <v/>
      </c>
      <c r="Y722" s="67"/>
      <c r="Z722" s="70" t="str">
        <f aca="false">IF(OR(AH722="",Y722=""),"",IF(ABS(X722-Y722)&lt;=1,"✓ Cuadra","⚠ Diferencia $"&amp;FIXED(X722-Y722,0)))</f>
        <v/>
      </c>
      <c r="AA722" s="72" t="str">
        <f aca="false">IF(AH722="","",IFERROR(INDEX(C_TIPO,MATCH(C722&amp;"-P"&amp;MAX(1,COUNTIFS(C_ID,C722,C_DEFINE,"Sí",C_INICIO,"&lt;="&amp;EOMONTH(B722,0))),C_CLAVE,0))&amp;"","Sin dato"))</f>
        <v/>
      </c>
      <c r="AB722" s="71" t="str">
        <f aca="false">IF(AH722="","",ROUND(MIN(K722,TOPE_AFP_UF*AJ722)*AK722,0))</f>
        <v/>
      </c>
      <c r="AC722" s="71" t="str">
        <f aca="false">IF(AH722="","",ROUND(MIN(K722,TOPE_AFC_UF*AJ722)*IF(AA722="Indefinido",AFC_EMP_INDEF,AFC_EMP_PF),0))</f>
        <v/>
      </c>
      <c r="AD722" s="71" t="str">
        <f aca="false">IF(AH722="","",ROUND(MIN(K722,TOPE_AFP_UF*AJ722)*(MUTUAL_BASICA+MUTUAL_ADIC+SANNA),0))</f>
        <v/>
      </c>
      <c r="AE722" s="71" t="str">
        <f aca="false">IF(AH722="","",P722-N(N722)+AB722+AC722+AD722)</f>
        <v/>
      </c>
      <c r="AF722" s="65"/>
      <c r="AG722" s="64"/>
      <c r="AH722" s="72" t="str">
        <f aca="false">IF(OR(B722="",C722=""),"",C722&amp;"|"&amp;(YEAR(B722)*100+MONTH(B722)))</f>
        <v/>
      </c>
      <c r="AI722" s="70" t="str">
        <f aca="false">IF(AH722="","",IF(COUNTIF(L_CLAVE,AH722)&gt;1,"⚠ Duplicado","OK"))</f>
        <v/>
      </c>
      <c r="AJ722" s="86" t="str">
        <f aca="false">IF(AH722="","",IF(SUMPRODUCT(MAX((IND_PER&lt;=B722)*(IND_UF&lt;&gt;"")*IND_PER))=0,UF_HOY,INDEX(IND_UF,MATCH(SUMPRODUCT(MAX((IND_PER&lt;=B722)*(IND_UF&lt;&gt;"")*IND_PER)),IND_PER,0))))</f>
        <v/>
      </c>
      <c r="AK722" s="87" t="str">
        <f aca="false">IF(AH722="","",IF(COUNTIF(TASA_DESDE,"&lt;="&amp;B722)=0,INDEX(TASA_EMP,1),INDEX(TASA_EMP,COUNTIF(TASA_DESDE,"&lt;="&amp;B722))))</f>
        <v/>
      </c>
    </row>
    <row r="723" customFormat="false" ht="15" hidden="false" customHeight="false" outlineLevel="0" collapsed="false">
      <c r="B723" s="78"/>
      <c r="C723" s="64"/>
      <c r="D723" s="72" t="str">
        <f aca="false">IF(C723="","",IFERROR(INDEX(T_NOMBRE,MATCH(C723,T_ID,0)),"⚠ ID no existe"))</f>
        <v/>
      </c>
      <c r="E723" s="69"/>
      <c r="F723" s="67"/>
      <c r="G723" s="67"/>
      <c r="H723" s="67"/>
      <c r="I723" s="67"/>
      <c r="J723" s="67"/>
      <c r="K723" s="85" t="str">
        <f aca="false">IF(AH723="","",N(F723)+N(G723)+N(H723)-N(I723)+N(J723))</f>
        <v/>
      </c>
      <c r="L723" s="67"/>
      <c r="M723" s="67"/>
      <c r="N723" s="67"/>
      <c r="O723" s="67"/>
      <c r="P723" s="85" t="str">
        <f aca="false">IF(AH723="","",K723+N(L723)+N(M723)+N(N723)+N(O723))</f>
        <v/>
      </c>
      <c r="Q723" s="67"/>
      <c r="R723" s="67"/>
      <c r="S723" s="67"/>
      <c r="T723" s="67"/>
      <c r="U723" s="67"/>
      <c r="V723" s="67"/>
      <c r="W723" s="85" t="str">
        <f aca="false">IF(AH723="","",N(Q723)+N(R723)+N(S723)+N(T723)+N(U723)+N(V723))</f>
        <v/>
      </c>
      <c r="X723" s="85" t="str">
        <f aca="false">IF(AH723="","",P723-W723)</f>
        <v/>
      </c>
      <c r="Y723" s="67"/>
      <c r="Z723" s="70" t="str">
        <f aca="false">IF(OR(AH723="",Y723=""),"",IF(ABS(X723-Y723)&lt;=1,"✓ Cuadra","⚠ Diferencia $"&amp;FIXED(X723-Y723,0)))</f>
        <v/>
      </c>
      <c r="AA723" s="72" t="str">
        <f aca="false">IF(AH723="","",IFERROR(INDEX(C_TIPO,MATCH(C723&amp;"-P"&amp;MAX(1,COUNTIFS(C_ID,C723,C_DEFINE,"Sí",C_INICIO,"&lt;="&amp;EOMONTH(B723,0))),C_CLAVE,0))&amp;"","Sin dato"))</f>
        <v/>
      </c>
      <c r="AB723" s="71" t="str">
        <f aca="false">IF(AH723="","",ROUND(MIN(K723,TOPE_AFP_UF*AJ723)*AK723,0))</f>
        <v/>
      </c>
      <c r="AC723" s="71" t="str">
        <f aca="false">IF(AH723="","",ROUND(MIN(K723,TOPE_AFC_UF*AJ723)*IF(AA723="Indefinido",AFC_EMP_INDEF,AFC_EMP_PF),0))</f>
        <v/>
      </c>
      <c r="AD723" s="71" t="str">
        <f aca="false">IF(AH723="","",ROUND(MIN(K723,TOPE_AFP_UF*AJ723)*(MUTUAL_BASICA+MUTUAL_ADIC+SANNA),0))</f>
        <v/>
      </c>
      <c r="AE723" s="71" t="str">
        <f aca="false">IF(AH723="","",P723-N(N723)+AB723+AC723+AD723)</f>
        <v/>
      </c>
      <c r="AF723" s="65"/>
      <c r="AG723" s="64"/>
      <c r="AH723" s="72" t="str">
        <f aca="false">IF(OR(B723="",C723=""),"",C723&amp;"|"&amp;(YEAR(B723)*100+MONTH(B723)))</f>
        <v/>
      </c>
      <c r="AI723" s="70" t="str">
        <f aca="false">IF(AH723="","",IF(COUNTIF(L_CLAVE,AH723)&gt;1,"⚠ Duplicado","OK"))</f>
        <v/>
      </c>
      <c r="AJ723" s="86" t="str">
        <f aca="false">IF(AH723="","",IF(SUMPRODUCT(MAX((IND_PER&lt;=B723)*(IND_UF&lt;&gt;"")*IND_PER))=0,UF_HOY,INDEX(IND_UF,MATCH(SUMPRODUCT(MAX((IND_PER&lt;=B723)*(IND_UF&lt;&gt;"")*IND_PER)),IND_PER,0))))</f>
        <v/>
      </c>
      <c r="AK723" s="87" t="str">
        <f aca="false">IF(AH723="","",IF(COUNTIF(TASA_DESDE,"&lt;="&amp;B723)=0,INDEX(TASA_EMP,1),INDEX(TASA_EMP,COUNTIF(TASA_DESDE,"&lt;="&amp;B723))))</f>
        <v/>
      </c>
    </row>
    <row r="724" customFormat="false" ht="15" hidden="false" customHeight="false" outlineLevel="0" collapsed="false">
      <c r="B724" s="78"/>
      <c r="C724" s="64"/>
      <c r="D724" s="72" t="str">
        <f aca="false">IF(C724="","",IFERROR(INDEX(T_NOMBRE,MATCH(C724,T_ID,0)),"⚠ ID no existe"))</f>
        <v/>
      </c>
      <c r="E724" s="69"/>
      <c r="F724" s="67"/>
      <c r="G724" s="67"/>
      <c r="H724" s="67"/>
      <c r="I724" s="67"/>
      <c r="J724" s="67"/>
      <c r="K724" s="85" t="str">
        <f aca="false">IF(AH724="","",N(F724)+N(G724)+N(H724)-N(I724)+N(J724))</f>
        <v/>
      </c>
      <c r="L724" s="67"/>
      <c r="M724" s="67"/>
      <c r="N724" s="67"/>
      <c r="O724" s="67"/>
      <c r="P724" s="85" t="str">
        <f aca="false">IF(AH724="","",K724+N(L724)+N(M724)+N(N724)+N(O724))</f>
        <v/>
      </c>
      <c r="Q724" s="67"/>
      <c r="R724" s="67"/>
      <c r="S724" s="67"/>
      <c r="T724" s="67"/>
      <c r="U724" s="67"/>
      <c r="V724" s="67"/>
      <c r="W724" s="85" t="str">
        <f aca="false">IF(AH724="","",N(Q724)+N(R724)+N(S724)+N(T724)+N(U724)+N(V724))</f>
        <v/>
      </c>
      <c r="X724" s="85" t="str">
        <f aca="false">IF(AH724="","",P724-W724)</f>
        <v/>
      </c>
      <c r="Y724" s="67"/>
      <c r="Z724" s="70" t="str">
        <f aca="false">IF(OR(AH724="",Y724=""),"",IF(ABS(X724-Y724)&lt;=1,"✓ Cuadra","⚠ Diferencia $"&amp;FIXED(X724-Y724,0)))</f>
        <v/>
      </c>
      <c r="AA724" s="72" t="str">
        <f aca="false">IF(AH724="","",IFERROR(INDEX(C_TIPO,MATCH(C724&amp;"-P"&amp;MAX(1,COUNTIFS(C_ID,C724,C_DEFINE,"Sí",C_INICIO,"&lt;="&amp;EOMONTH(B724,0))),C_CLAVE,0))&amp;"","Sin dato"))</f>
        <v/>
      </c>
      <c r="AB724" s="71" t="str">
        <f aca="false">IF(AH724="","",ROUND(MIN(K724,TOPE_AFP_UF*AJ724)*AK724,0))</f>
        <v/>
      </c>
      <c r="AC724" s="71" t="str">
        <f aca="false">IF(AH724="","",ROUND(MIN(K724,TOPE_AFC_UF*AJ724)*IF(AA724="Indefinido",AFC_EMP_INDEF,AFC_EMP_PF),0))</f>
        <v/>
      </c>
      <c r="AD724" s="71" t="str">
        <f aca="false">IF(AH724="","",ROUND(MIN(K724,TOPE_AFP_UF*AJ724)*(MUTUAL_BASICA+MUTUAL_ADIC+SANNA),0))</f>
        <v/>
      </c>
      <c r="AE724" s="71" t="str">
        <f aca="false">IF(AH724="","",P724-N(N724)+AB724+AC724+AD724)</f>
        <v/>
      </c>
      <c r="AF724" s="65"/>
      <c r="AG724" s="64"/>
      <c r="AH724" s="72" t="str">
        <f aca="false">IF(OR(B724="",C724=""),"",C724&amp;"|"&amp;(YEAR(B724)*100+MONTH(B724)))</f>
        <v/>
      </c>
      <c r="AI724" s="70" t="str">
        <f aca="false">IF(AH724="","",IF(COUNTIF(L_CLAVE,AH724)&gt;1,"⚠ Duplicado","OK"))</f>
        <v/>
      </c>
      <c r="AJ724" s="86" t="str">
        <f aca="false">IF(AH724="","",IF(SUMPRODUCT(MAX((IND_PER&lt;=B724)*(IND_UF&lt;&gt;"")*IND_PER))=0,UF_HOY,INDEX(IND_UF,MATCH(SUMPRODUCT(MAX((IND_PER&lt;=B724)*(IND_UF&lt;&gt;"")*IND_PER)),IND_PER,0))))</f>
        <v/>
      </c>
      <c r="AK724" s="87" t="str">
        <f aca="false">IF(AH724="","",IF(COUNTIF(TASA_DESDE,"&lt;="&amp;B724)=0,INDEX(TASA_EMP,1),INDEX(TASA_EMP,COUNTIF(TASA_DESDE,"&lt;="&amp;B724))))</f>
        <v/>
      </c>
    </row>
    <row r="725" customFormat="false" ht="15" hidden="false" customHeight="false" outlineLevel="0" collapsed="false">
      <c r="B725" s="78"/>
      <c r="C725" s="64"/>
      <c r="D725" s="72" t="str">
        <f aca="false">IF(C725="","",IFERROR(INDEX(T_NOMBRE,MATCH(C725,T_ID,0)),"⚠ ID no existe"))</f>
        <v/>
      </c>
      <c r="E725" s="69"/>
      <c r="F725" s="67"/>
      <c r="G725" s="67"/>
      <c r="H725" s="67"/>
      <c r="I725" s="67"/>
      <c r="J725" s="67"/>
      <c r="K725" s="85" t="str">
        <f aca="false">IF(AH725="","",N(F725)+N(G725)+N(H725)-N(I725)+N(J725))</f>
        <v/>
      </c>
      <c r="L725" s="67"/>
      <c r="M725" s="67"/>
      <c r="N725" s="67"/>
      <c r="O725" s="67"/>
      <c r="P725" s="85" t="str">
        <f aca="false">IF(AH725="","",K725+N(L725)+N(M725)+N(N725)+N(O725))</f>
        <v/>
      </c>
      <c r="Q725" s="67"/>
      <c r="R725" s="67"/>
      <c r="S725" s="67"/>
      <c r="T725" s="67"/>
      <c r="U725" s="67"/>
      <c r="V725" s="67"/>
      <c r="W725" s="85" t="str">
        <f aca="false">IF(AH725="","",N(Q725)+N(R725)+N(S725)+N(T725)+N(U725)+N(V725))</f>
        <v/>
      </c>
      <c r="X725" s="85" t="str">
        <f aca="false">IF(AH725="","",P725-W725)</f>
        <v/>
      </c>
      <c r="Y725" s="67"/>
      <c r="Z725" s="70" t="str">
        <f aca="false">IF(OR(AH725="",Y725=""),"",IF(ABS(X725-Y725)&lt;=1,"✓ Cuadra","⚠ Diferencia $"&amp;FIXED(X725-Y725,0)))</f>
        <v/>
      </c>
      <c r="AA725" s="72" t="str">
        <f aca="false">IF(AH725="","",IFERROR(INDEX(C_TIPO,MATCH(C725&amp;"-P"&amp;MAX(1,COUNTIFS(C_ID,C725,C_DEFINE,"Sí",C_INICIO,"&lt;="&amp;EOMONTH(B725,0))),C_CLAVE,0))&amp;"","Sin dato"))</f>
        <v/>
      </c>
      <c r="AB725" s="71" t="str">
        <f aca="false">IF(AH725="","",ROUND(MIN(K725,TOPE_AFP_UF*AJ725)*AK725,0))</f>
        <v/>
      </c>
      <c r="AC725" s="71" t="str">
        <f aca="false">IF(AH725="","",ROUND(MIN(K725,TOPE_AFC_UF*AJ725)*IF(AA725="Indefinido",AFC_EMP_INDEF,AFC_EMP_PF),0))</f>
        <v/>
      </c>
      <c r="AD725" s="71" t="str">
        <f aca="false">IF(AH725="","",ROUND(MIN(K725,TOPE_AFP_UF*AJ725)*(MUTUAL_BASICA+MUTUAL_ADIC+SANNA),0))</f>
        <v/>
      </c>
      <c r="AE725" s="71" t="str">
        <f aca="false">IF(AH725="","",P725-N(N725)+AB725+AC725+AD725)</f>
        <v/>
      </c>
      <c r="AF725" s="65"/>
      <c r="AG725" s="64"/>
      <c r="AH725" s="72" t="str">
        <f aca="false">IF(OR(B725="",C725=""),"",C725&amp;"|"&amp;(YEAR(B725)*100+MONTH(B725)))</f>
        <v/>
      </c>
      <c r="AI725" s="70" t="str">
        <f aca="false">IF(AH725="","",IF(COUNTIF(L_CLAVE,AH725)&gt;1,"⚠ Duplicado","OK"))</f>
        <v/>
      </c>
      <c r="AJ725" s="86" t="str">
        <f aca="false">IF(AH725="","",IF(SUMPRODUCT(MAX((IND_PER&lt;=B725)*(IND_UF&lt;&gt;"")*IND_PER))=0,UF_HOY,INDEX(IND_UF,MATCH(SUMPRODUCT(MAX((IND_PER&lt;=B725)*(IND_UF&lt;&gt;"")*IND_PER)),IND_PER,0))))</f>
        <v/>
      </c>
      <c r="AK725" s="87" t="str">
        <f aca="false">IF(AH725="","",IF(COUNTIF(TASA_DESDE,"&lt;="&amp;B725)=0,INDEX(TASA_EMP,1),INDEX(TASA_EMP,COUNTIF(TASA_DESDE,"&lt;="&amp;B725))))</f>
        <v/>
      </c>
    </row>
    <row r="726" customFormat="false" ht="15" hidden="false" customHeight="false" outlineLevel="0" collapsed="false">
      <c r="B726" s="78"/>
      <c r="C726" s="64"/>
      <c r="D726" s="72" t="str">
        <f aca="false">IF(C726="","",IFERROR(INDEX(T_NOMBRE,MATCH(C726,T_ID,0)),"⚠ ID no existe"))</f>
        <v/>
      </c>
      <c r="E726" s="69"/>
      <c r="F726" s="67"/>
      <c r="G726" s="67"/>
      <c r="H726" s="67"/>
      <c r="I726" s="67"/>
      <c r="J726" s="67"/>
      <c r="K726" s="85" t="str">
        <f aca="false">IF(AH726="","",N(F726)+N(G726)+N(H726)-N(I726)+N(J726))</f>
        <v/>
      </c>
      <c r="L726" s="67"/>
      <c r="M726" s="67"/>
      <c r="N726" s="67"/>
      <c r="O726" s="67"/>
      <c r="P726" s="85" t="str">
        <f aca="false">IF(AH726="","",K726+N(L726)+N(M726)+N(N726)+N(O726))</f>
        <v/>
      </c>
      <c r="Q726" s="67"/>
      <c r="R726" s="67"/>
      <c r="S726" s="67"/>
      <c r="T726" s="67"/>
      <c r="U726" s="67"/>
      <c r="V726" s="67"/>
      <c r="W726" s="85" t="str">
        <f aca="false">IF(AH726="","",N(Q726)+N(R726)+N(S726)+N(T726)+N(U726)+N(V726))</f>
        <v/>
      </c>
      <c r="X726" s="85" t="str">
        <f aca="false">IF(AH726="","",P726-W726)</f>
        <v/>
      </c>
      <c r="Y726" s="67"/>
      <c r="Z726" s="70" t="str">
        <f aca="false">IF(OR(AH726="",Y726=""),"",IF(ABS(X726-Y726)&lt;=1,"✓ Cuadra","⚠ Diferencia $"&amp;FIXED(X726-Y726,0)))</f>
        <v/>
      </c>
      <c r="AA726" s="72" t="str">
        <f aca="false">IF(AH726="","",IFERROR(INDEX(C_TIPO,MATCH(C726&amp;"-P"&amp;MAX(1,COUNTIFS(C_ID,C726,C_DEFINE,"Sí",C_INICIO,"&lt;="&amp;EOMONTH(B726,0))),C_CLAVE,0))&amp;"","Sin dato"))</f>
        <v/>
      </c>
      <c r="AB726" s="71" t="str">
        <f aca="false">IF(AH726="","",ROUND(MIN(K726,TOPE_AFP_UF*AJ726)*AK726,0))</f>
        <v/>
      </c>
      <c r="AC726" s="71" t="str">
        <f aca="false">IF(AH726="","",ROUND(MIN(K726,TOPE_AFC_UF*AJ726)*IF(AA726="Indefinido",AFC_EMP_INDEF,AFC_EMP_PF),0))</f>
        <v/>
      </c>
      <c r="AD726" s="71" t="str">
        <f aca="false">IF(AH726="","",ROUND(MIN(K726,TOPE_AFP_UF*AJ726)*(MUTUAL_BASICA+MUTUAL_ADIC+SANNA),0))</f>
        <v/>
      </c>
      <c r="AE726" s="71" t="str">
        <f aca="false">IF(AH726="","",P726-N(N726)+AB726+AC726+AD726)</f>
        <v/>
      </c>
      <c r="AF726" s="65"/>
      <c r="AG726" s="64"/>
      <c r="AH726" s="72" t="str">
        <f aca="false">IF(OR(B726="",C726=""),"",C726&amp;"|"&amp;(YEAR(B726)*100+MONTH(B726)))</f>
        <v/>
      </c>
      <c r="AI726" s="70" t="str">
        <f aca="false">IF(AH726="","",IF(COUNTIF(L_CLAVE,AH726)&gt;1,"⚠ Duplicado","OK"))</f>
        <v/>
      </c>
      <c r="AJ726" s="86" t="str">
        <f aca="false">IF(AH726="","",IF(SUMPRODUCT(MAX((IND_PER&lt;=B726)*(IND_UF&lt;&gt;"")*IND_PER))=0,UF_HOY,INDEX(IND_UF,MATCH(SUMPRODUCT(MAX((IND_PER&lt;=B726)*(IND_UF&lt;&gt;"")*IND_PER)),IND_PER,0))))</f>
        <v/>
      </c>
      <c r="AK726" s="87" t="str">
        <f aca="false">IF(AH726="","",IF(COUNTIF(TASA_DESDE,"&lt;="&amp;B726)=0,INDEX(TASA_EMP,1),INDEX(TASA_EMP,COUNTIF(TASA_DESDE,"&lt;="&amp;B726))))</f>
        <v/>
      </c>
    </row>
    <row r="727" customFormat="false" ht="15" hidden="false" customHeight="false" outlineLevel="0" collapsed="false">
      <c r="B727" s="78"/>
      <c r="C727" s="64"/>
      <c r="D727" s="72" t="str">
        <f aca="false">IF(C727="","",IFERROR(INDEX(T_NOMBRE,MATCH(C727,T_ID,0)),"⚠ ID no existe"))</f>
        <v/>
      </c>
      <c r="E727" s="69"/>
      <c r="F727" s="67"/>
      <c r="G727" s="67"/>
      <c r="H727" s="67"/>
      <c r="I727" s="67"/>
      <c r="J727" s="67"/>
      <c r="K727" s="85" t="str">
        <f aca="false">IF(AH727="","",N(F727)+N(G727)+N(H727)-N(I727)+N(J727))</f>
        <v/>
      </c>
      <c r="L727" s="67"/>
      <c r="M727" s="67"/>
      <c r="N727" s="67"/>
      <c r="O727" s="67"/>
      <c r="P727" s="85" t="str">
        <f aca="false">IF(AH727="","",K727+N(L727)+N(M727)+N(N727)+N(O727))</f>
        <v/>
      </c>
      <c r="Q727" s="67"/>
      <c r="R727" s="67"/>
      <c r="S727" s="67"/>
      <c r="T727" s="67"/>
      <c r="U727" s="67"/>
      <c r="V727" s="67"/>
      <c r="W727" s="85" t="str">
        <f aca="false">IF(AH727="","",N(Q727)+N(R727)+N(S727)+N(T727)+N(U727)+N(V727))</f>
        <v/>
      </c>
      <c r="X727" s="85" t="str">
        <f aca="false">IF(AH727="","",P727-W727)</f>
        <v/>
      </c>
      <c r="Y727" s="67"/>
      <c r="Z727" s="70" t="str">
        <f aca="false">IF(OR(AH727="",Y727=""),"",IF(ABS(X727-Y727)&lt;=1,"✓ Cuadra","⚠ Diferencia $"&amp;FIXED(X727-Y727,0)))</f>
        <v/>
      </c>
      <c r="AA727" s="72" t="str">
        <f aca="false">IF(AH727="","",IFERROR(INDEX(C_TIPO,MATCH(C727&amp;"-P"&amp;MAX(1,COUNTIFS(C_ID,C727,C_DEFINE,"Sí",C_INICIO,"&lt;="&amp;EOMONTH(B727,0))),C_CLAVE,0))&amp;"","Sin dato"))</f>
        <v/>
      </c>
      <c r="AB727" s="71" t="str">
        <f aca="false">IF(AH727="","",ROUND(MIN(K727,TOPE_AFP_UF*AJ727)*AK727,0))</f>
        <v/>
      </c>
      <c r="AC727" s="71" t="str">
        <f aca="false">IF(AH727="","",ROUND(MIN(K727,TOPE_AFC_UF*AJ727)*IF(AA727="Indefinido",AFC_EMP_INDEF,AFC_EMP_PF),0))</f>
        <v/>
      </c>
      <c r="AD727" s="71" t="str">
        <f aca="false">IF(AH727="","",ROUND(MIN(K727,TOPE_AFP_UF*AJ727)*(MUTUAL_BASICA+MUTUAL_ADIC+SANNA),0))</f>
        <v/>
      </c>
      <c r="AE727" s="71" t="str">
        <f aca="false">IF(AH727="","",P727-N(N727)+AB727+AC727+AD727)</f>
        <v/>
      </c>
      <c r="AF727" s="65"/>
      <c r="AG727" s="64"/>
      <c r="AH727" s="72" t="str">
        <f aca="false">IF(OR(B727="",C727=""),"",C727&amp;"|"&amp;(YEAR(B727)*100+MONTH(B727)))</f>
        <v/>
      </c>
      <c r="AI727" s="70" t="str">
        <f aca="false">IF(AH727="","",IF(COUNTIF(L_CLAVE,AH727)&gt;1,"⚠ Duplicado","OK"))</f>
        <v/>
      </c>
      <c r="AJ727" s="86" t="str">
        <f aca="false">IF(AH727="","",IF(SUMPRODUCT(MAX((IND_PER&lt;=B727)*(IND_UF&lt;&gt;"")*IND_PER))=0,UF_HOY,INDEX(IND_UF,MATCH(SUMPRODUCT(MAX((IND_PER&lt;=B727)*(IND_UF&lt;&gt;"")*IND_PER)),IND_PER,0))))</f>
        <v/>
      </c>
      <c r="AK727" s="87" t="str">
        <f aca="false">IF(AH727="","",IF(COUNTIF(TASA_DESDE,"&lt;="&amp;B727)=0,INDEX(TASA_EMP,1),INDEX(TASA_EMP,COUNTIF(TASA_DESDE,"&lt;="&amp;B727))))</f>
        <v/>
      </c>
    </row>
    <row r="728" customFormat="false" ht="15" hidden="false" customHeight="false" outlineLevel="0" collapsed="false">
      <c r="B728" s="78"/>
      <c r="C728" s="64"/>
      <c r="D728" s="72" t="str">
        <f aca="false">IF(C728="","",IFERROR(INDEX(T_NOMBRE,MATCH(C728,T_ID,0)),"⚠ ID no existe"))</f>
        <v/>
      </c>
      <c r="E728" s="69"/>
      <c r="F728" s="67"/>
      <c r="G728" s="67"/>
      <c r="H728" s="67"/>
      <c r="I728" s="67"/>
      <c r="J728" s="67"/>
      <c r="K728" s="85" t="str">
        <f aca="false">IF(AH728="","",N(F728)+N(G728)+N(H728)-N(I728)+N(J728))</f>
        <v/>
      </c>
      <c r="L728" s="67"/>
      <c r="M728" s="67"/>
      <c r="N728" s="67"/>
      <c r="O728" s="67"/>
      <c r="P728" s="85" t="str">
        <f aca="false">IF(AH728="","",K728+N(L728)+N(M728)+N(N728)+N(O728))</f>
        <v/>
      </c>
      <c r="Q728" s="67"/>
      <c r="R728" s="67"/>
      <c r="S728" s="67"/>
      <c r="T728" s="67"/>
      <c r="U728" s="67"/>
      <c r="V728" s="67"/>
      <c r="W728" s="85" t="str">
        <f aca="false">IF(AH728="","",N(Q728)+N(R728)+N(S728)+N(T728)+N(U728)+N(V728))</f>
        <v/>
      </c>
      <c r="X728" s="85" t="str">
        <f aca="false">IF(AH728="","",P728-W728)</f>
        <v/>
      </c>
      <c r="Y728" s="67"/>
      <c r="Z728" s="70" t="str">
        <f aca="false">IF(OR(AH728="",Y728=""),"",IF(ABS(X728-Y728)&lt;=1,"✓ Cuadra","⚠ Diferencia $"&amp;FIXED(X728-Y728,0)))</f>
        <v/>
      </c>
      <c r="AA728" s="72" t="str">
        <f aca="false">IF(AH728="","",IFERROR(INDEX(C_TIPO,MATCH(C728&amp;"-P"&amp;MAX(1,COUNTIFS(C_ID,C728,C_DEFINE,"Sí",C_INICIO,"&lt;="&amp;EOMONTH(B728,0))),C_CLAVE,0))&amp;"","Sin dato"))</f>
        <v/>
      </c>
      <c r="AB728" s="71" t="str">
        <f aca="false">IF(AH728="","",ROUND(MIN(K728,TOPE_AFP_UF*AJ728)*AK728,0))</f>
        <v/>
      </c>
      <c r="AC728" s="71" t="str">
        <f aca="false">IF(AH728="","",ROUND(MIN(K728,TOPE_AFC_UF*AJ728)*IF(AA728="Indefinido",AFC_EMP_INDEF,AFC_EMP_PF),0))</f>
        <v/>
      </c>
      <c r="AD728" s="71" t="str">
        <f aca="false">IF(AH728="","",ROUND(MIN(K728,TOPE_AFP_UF*AJ728)*(MUTUAL_BASICA+MUTUAL_ADIC+SANNA),0))</f>
        <v/>
      </c>
      <c r="AE728" s="71" t="str">
        <f aca="false">IF(AH728="","",P728-N(N728)+AB728+AC728+AD728)</f>
        <v/>
      </c>
      <c r="AF728" s="65"/>
      <c r="AG728" s="64"/>
      <c r="AH728" s="72" t="str">
        <f aca="false">IF(OR(B728="",C728=""),"",C728&amp;"|"&amp;(YEAR(B728)*100+MONTH(B728)))</f>
        <v/>
      </c>
      <c r="AI728" s="70" t="str">
        <f aca="false">IF(AH728="","",IF(COUNTIF(L_CLAVE,AH728)&gt;1,"⚠ Duplicado","OK"))</f>
        <v/>
      </c>
      <c r="AJ728" s="86" t="str">
        <f aca="false">IF(AH728="","",IF(SUMPRODUCT(MAX((IND_PER&lt;=B728)*(IND_UF&lt;&gt;"")*IND_PER))=0,UF_HOY,INDEX(IND_UF,MATCH(SUMPRODUCT(MAX((IND_PER&lt;=B728)*(IND_UF&lt;&gt;"")*IND_PER)),IND_PER,0))))</f>
        <v/>
      </c>
      <c r="AK728" s="87" t="str">
        <f aca="false">IF(AH728="","",IF(COUNTIF(TASA_DESDE,"&lt;="&amp;B728)=0,INDEX(TASA_EMP,1),INDEX(TASA_EMP,COUNTIF(TASA_DESDE,"&lt;="&amp;B728))))</f>
        <v/>
      </c>
    </row>
    <row r="729" customFormat="false" ht="15" hidden="false" customHeight="false" outlineLevel="0" collapsed="false">
      <c r="B729" s="78"/>
      <c r="C729" s="64"/>
      <c r="D729" s="72" t="str">
        <f aca="false">IF(C729="","",IFERROR(INDEX(T_NOMBRE,MATCH(C729,T_ID,0)),"⚠ ID no existe"))</f>
        <v/>
      </c>
      <c r="E729" s="69"/>
      <c r="F729" s="67"/>
      <c r="G729" s="67"/>
      <c r="H729" s="67"/>
      <c r="I729" s="67"/>
      <c r="J729" s="67"/>
      <c r="K729" s="85" t="str">
        <f aca="false">IF(AH729="","",N(F729)+N(G729)+N(H729)-N(I729)+N(J729))</f>
        <v/>
      </c>
      <c r="L729" s="67"/>
      <c r="M729" s="67"/>
      <c r="N729" s="67"/>
      <c r="O729" s="67"/>
      <c r="P729" s="85" t="str">
        <f aca="false">IF(AH729="","",K729+N(L729)+N(M729)+N(N729)+N(O729))</f>
        <v/>
      </c>
      <c r="Q729" s="67"/>
      <c r="R729" s="67"/>
      <c r="S729" s="67"/>
      <c r="T729" s="67"/>
      <c r="U729" s="67"/>
      <c r="V729" s="67"/>
      <c r="W729" s="85" t="str">
        <f aca="false">IF(AH729="","",N(Q729)+N(R729)+N(S729)+N(T729)+N(U729)+N(V729))</f>
        <v/>
      </c>
      <c r="X729" s="85" t="str">
        <f aca="false">IF(AH729="","",P729-W729)</f>
        <v/>
      </c>
      <c r="Y729" s="67"/>
      <c r="Z729" s="70" t="str">
        <f aca="false">IF(OR(AH729="",Y729=""),"",IF(ABS(X729-Y729)&lt;=1,"✓ Cuadra","⚠ Diferencia $"&amp;FIXED(X729-Y729,0)))</f>
        <v/>
      </c>
      <c r="AA729" s="72" t="str">
        <f aca="false">IF(AH729="","",IFERROR(INDEX(C_TIPO,MATCH(C729&amp;"-P"&amp;MAX(1,COUNTIFS(C_ID,C729,C_DEFINE,"Sí",C_INICIO,"&lt;="&amp;EOMONTH(B729,0))),C_CLAVE,0))&amp;"","Sin dato"))</f>
        <v/>
      </c>
      <c r="AB729" s="71" t="str">
        <f aca="false">IF(AH729="","",ROUND(MIN(K729,TOPE_AFP_UF*AJ729)*AK729,0))</f>
        <v/>
      </c>
      <c r="AC729" s="71" t="str">
        <f aca="false">IF(AH729="","",ROUND(MIN(K729,TOPE_AFC_UF*AJ729)*IF(AA729="Indefinido",AFC_EMP_INDEF,AFC_EMP_PF),0))</f>
        <v/>
      </c>
      <c r="AD729" s="71" t="str">
        <f aca="false">IF(AH729="","",ROUND(MIN(K729,TOPE_AFP_UF*AJ729)*(MUTUAL_BASICA+MUTUAL_ADIC+SANNA),0))</f>
        <v/>
      </c>
      <c r="AE729" s="71" t="str">
        <f aca="false">IF(AH729="","",P729-N(N729)+AB729+AC729+AD729)</f>
        <v/>
      </c>
      <c r="AF729" s="65"/>
      <c r="AG729" s="64"/>
      <c r="AH729" s="72" t="str">
        <f aca="false">IF(OR(B729="",C729=""),"",C729&amp;"|"&amp;(YEAR(B729)*100+MONTH(B729)))</f>
        <v/>
      </c>
      <c r="AI729" s="70" t="str">
        <f aca="false">IF(AH729="","",IF(COUNTIF(L_CLAVE,AH729)&gt;1,"⚠ Duplicado","OK"))</f>
        <v/>
      </c>
      <c r="AJ729" s="86" t="str">
        <f aca="false">IF(AH729="","",IF(SUMPRODUCT(MAX((IND_PER&lt;=B729)*(IND_UF&lt;&gt;"")*IND_PER))=0,UF_HOY,INDEX(IND_UF,MATCH(SUMPRODUCT(MAX((IND_PER&lt;=B729)*(IND_UF&lt;&gt;"")*IND_PER)),IND_PER,0))))</f>
        <v/>
      </c>
      <c r="AK729" s="87" t="str">
        <f aca="false">IF(AH729="","",IF(COUNTIF(TASA_DESDE,"&lt;="&amp;B729)=0,INDEX(TASA_EMP,1),INDEX(TASA_EMP,COUNTIF(TASA_DESDE,"&lt;="&amp;B729))))</f>
        <v/>
      </c>
    </row>
    <row r="730" customFormat="false" ht="15" hidden="false" customHeight="false" outlineLevel="0" collapsed="false">
      <c r="B730" s="78"/>
      <c r="C730" s="64"/>
      <c r="D730" s="72" t="str">
        <f aca="false">IF(C730="","",IFERROR(INDEX(T_NOMBRE,MATCH(C730,T_ID,0)),"⚠ ID no existe"))</f>
        <v/>
      </c>
      <c r="E730" s="69"/>
      <c r="F730" s="67"/>
      <c r="G730" s="67"/>
      <c r="H730" s="67"/>
      <c r="I730" s="67"/>
      <c r="J730" s="67"/>
      <c r="K730" s="85" t="str">
        <f aca="false">IF(AH730="","",N(F730)+N(G730)+N(H730)-N(I730)+N(J730))</f>
        <v/>
      </c>
      <c r="L730" s="67"/>
      <c r="M730" s="67"/>
      <c r="N730" s="67"/>
      <c r="O730" s="67"/>
      <c r="P730" s="85" t="str">
        <f aca="false">IF(AH730="","",K730+N(L730)+N(M730)+N(N730)+N(O730))</f>
        <v/>
      </c>
      <c r="Q730" s="67"/>
      <c r="R730" s="67"/>
      <c r="S730" s="67"/>
      <c r="T730" s="67"/>
      <c r="U730" s="67"/>
      <c r="V730" s="67"/>
      <c r="W730" s="85" t="str">
        <f aca="false">IF(AH730="","",N(Q730)+N(R730)+N(S730)+N(T730)+N(U730)+N(V730))</f>
        <v/>
      </c>
      <c r="X730" s="85" t="str">
        <f aca="false">IF(AH730="","",P730-W730)</f>
        <v/>
      </c>
      <c r="Y730" s="67"/>
      <c r="Z730" s="70" t="str">
        <f aca="false">IF(OR(AH730="",Y730=""),"",IF(ABS(X730-Y730)&lt;=1,"✓ Cuadra","⚠ Diferencia $"&amp;FIXED(X730-Y730,0)))</f>
        <v/>
      </c>
      <c r="AA730" s="72" t="str">
        <f aca="false">IF(AH730="","",IFERROR(INDEX(C_TIPO,MATCH(C730&amp;"-P"&amp;MAX(1,COUNTIFS(C_ID,C730,C_DEFINE,"Sí",C_INICIO,"&lt;="&amp;EOMONTH(B730,0))),C_CLAVE,0))&amp;"","Sin dato"))</f>
        <v/>
      </c>
      <c r="AB730" s="71" t="str">
        <f aca="false">IF(AH730="","",ROUND(MIN(K730,TOPE_AFP_UF*AJ730)*AK730,0))</f>
        <v/>
      </c>
      <c r="AC730" s="71" t="str">
        <f aca="false">IF(AH730="","",ROUND(MIN(K730,TOPE_AFC_UF*AJ730)*IF(AA730="Indefinido",AFC_EMP_INDEF,AFC_EMP_PF),0))</f>
        <v/>
      </c>
      <c r="AD730" s="71" t="str">
        <f aca="false">IF(AH730="","",ROUND(MIN(K730,TOPE_AFP_UF*AJ730)*(MUTUAL_BASICA+MUTUAL_ADIC+SANNA),0))</f>
        <v/>
      </c>
      <c r="AE730" s="71" t="str">
        <f aca="false">IF(AH730="","",P730-N(N730)+AB730+AC730+AD730)</f>
        <v/>
      </c>
      <c r="AF730" s="65"/>
      <c r="AG730" s="64"/>
      <c r="AH730" s="72" t="str">
        <f aca="false">IF(OR(B730="",C730=""),"",C730&amp;"|"&amp;(YEAR(B730)*100+MONTH(B730)))</f>
        <v/>
      </c>
      <c r="AI730" s="70" t="str">
        <f aca="false">IF(AH730="","",IF(COUNTIF(L_CLAVE,AH730)&gt;1,"⚠ Duplicado","OK"))</f>
        <v/>
      </c>
      <c r="AJ730" s="86" t="str">
        <f aca="false">IF(AH730="","",IF(SUMPRODUCT(MAX((IND_PER&lt;=B730)*(IND_UF&lt;&gt;"")*IND_PER))=0,UF_HOY,INDEX(IND_UF,MATCH(SUMPRODUCT(MAX((IND_PER&lt;=B730)*(IND_UF&lt;&gt;"")*IND_PER)),IND_PER,0))))</f>
        <v/>
      </c>
      <c r="AK730" s="87" t="str">
        <f aca="false">IF(AH730="","",IF(COUNTIF(TASA_DESDE,"&lt;="&amp;B730)=0,INDEX(TASA_EMP,1),INDEX(TASA_EMP,COUNTIF(TASA_DESDE,"&lt;="&amp;B730))))</f>
        <v/>
      </c>
    </row>
    <row r="731" customFormat="false" ht="15" hidden="false" customHeight="false" outlineLevel="0" collapsed="false">
      <c r="B731" s="78"/>
      <c r="C731" s="64"/>
      <c r="D731" s="72" t="str">
        <f aca="false">IF(C731="","",IFERROR(INDEX(T_NOMBRE,MATCH(C731,T_ID,0)),"⚠ ID no existe"))</f>
        <v/>
      </c>
      <c r="E731" s="69"/>
      <c r="F731" s="67"/>
      <c r="G731" s="67"/>
      <c r="H731" s="67"/>
      <c r="I731" s="67"/>
      <c r="J731" s="67"/>
      <c r="K731" s="85" t="str">
        <f aca="false">IF(AH731="","",N(F731)+N(G731)+N(H731)-N(I731)+N(J731))</f>
        <v/>
      </c>
      <c r="L731" s="67"/>
      <c r="M731" s="67"/>
      <c r="N731" s="67"/>
      <c r="O731" s="67"/>
      <c r="P731" s="85" t="str">
        <f aca="false">IF(AH731="","",K731+N(L731)+N(M731)+N(N731)+N(O731))</f>
        <v/>
      </c>
      <c r="Q731" s="67"/>
      <c r="R731" s="67"/>
      <c r="S731" s="67"/>
      <c r="T731" s="67"/>
      <c r="U731" s="67"/>
      <c r="V731" s="67"/>
      <c r="W731" s="85" t="str">
        <f aca="false">IF(AH731="","",N(Q731)+N(R731)+N(S731)+N(T731)+N(U731)+N(V731))</f>
        <v/>
      </c>
      <c r="X731" s="85" t="str">
        <f aca="false">IF(AH731="","",P731-W731)</f>
        <v/>
      </c>
      <c r="Y731" s="67"/>
      <c r="Z731" s="70" t="str">
        <f aca="false">IF(OR(AH731="",Y731=""),"",IF(ABS(X731-Y731)&lt;=1,"✓ Cuadra","⚠ Diferencia $"&amp;FIXED(X731-Y731,0)))</f>
        <v/>
      </c>
      <c r="AA731" s="72" t="str">
        <f aca="false">IF(AH731="","",IFERROR(INDEX(C_TIPO,MATCH(C731&amp;"-P"&amp;MAX(1,COUNTIFS(C_ID,C731,C_DEFINE,"Sí",C_INICIO,"&lt;="&amp;EOMONTH(B731,0))),C_CLAVE,0))&amp;"","Sin dato"))</f>
        <v/>
      </c>
      <c r="AB731" s="71" t="str">
        <f aca="false">IF(AH731="","",ROUND(MIN(K731,TOPE_AFP_UF*AJ731)*AK731,0))</f>
        <v/>
      </c>
      <c r="AC731" s="71" t="str">
        <f aca="false">IF(AH731="","",ROUND(MIN(K731,TOPE_AFC_UF*AJ731)*IF(AA731="Indefinido",AFC_EMP_INDEF,AFC_EMP_PF),0))</f>
        <v/>
      </c>
      <c r="AD731" s="71" t="str">
        <f aca="false">IF(AH731="","",ROUND(MIN(K731,TOPE_AFP_UF*AJ731)*(MUTUAL_BASICA+MUTUAL_ADIC+SANNA),0))</f>
        <v/>
      </c>
      <c r="AE731" s="71" t="str">
        <f aca="false">IF(AH731="","",P731-N(N731)+AB731+AC731+AD731)</f>
        <v/>
      </c>
      <c r="AF731" s="65"/>
      <c r="AG731" s="64"/>
      <c r="AH731" s="72" t="str">
        <f aca="false">IF(OR(B731="",C731=""),"",C731&amp;"|"&amp;(YEAR(B731)*100+MONTH(B731)))</f>
        <v/>
      </c>
      <c r="AI731" s="70" t="str">
        <f aca="false">IF(AH731="","",IF(COUNTIF(L_CLAVE,AH731)&gt;1,"⚠ Duplicado","OK"))</f>
        <v/>
      </c>
      <c r="AJ731" s="86" t="str">
        <f aca="false">IF(AH731="","",IF(SUMPRODUCT(MAX((IND_PER&lt;=B731)*(IND_UF&lt;&gt;"")*IND_PER))=0,UF_HOY,INDEX(IND_UF,MATCH(SUMPRODUCT(MAX((IND_PER&lt;=B731)*(IND_UF&lt;&gt;"")*IND_PER)),IND_PER,0))))</f>
        <v/>
      </c>
      <c r="AK731" s="87" t="str">
        <f aca="false">IF(AH731="","",IF(COUNTIF(TASA_DESDE,"&lt;="&amp;B731)=0,INDEX(TASA_EMP,1),INDEX(TASA_EMP,COUNTIF(TASA_DESDE,"&lt;="&amp;B731))))</f>
        <v/>
      </c>
    </row>
    <row r="732" customFormat="false" ht="15" hidden="false" customHeight="false" outlineLevel="0" collapsed="false">
      <c r="B732" s="78"/>
      <c r="C732" s="64"/>
      <c r="D732" s="72" t="str">
        <f aca="false">IF(C732="","",IFERROR(INDEX(T_NOMBRE,MATCH(C732,T_ID,0)),"⚠ ID no existe"))</f>
        <v/>
      </c>
      <c r="E732" s="69"/>
      <c r="F732" s="67"/>
      <c r="G732" s="67"/>
      <c r="H732" s="67"/>
      <c r="I732" s="67"/>
      <c r="J732" s="67"/>
      <c r="K732" s="85" t="str">
        <f aca="false">IF(AH732="","",N(F732)+N(G732)+N(H732)-N(I732)+N(J732))</f>
        <v/>
      </c>
      <c r="L732" s="67"/>
      <c r="M732" s="67"/>
      <c r="N732" s="67"/>
      <c r="O732" s="67"/>
      <c r="P732" s="85" t="str">
        <f aca="false">IF(AH732="","",K732+N(L732)+N(M732)+N(N732)+N(O732))</f>
        <v/>
      </c>
      <c r="Q732" s="67"/>
      <c r="R732" s="67"/>
      <c r="S732" s="67"/>
      <c r="T732" s="67"/>
      <c r="U732" s="67"/>
      <c r="V732" s="67"/>
      <c r="W732" s="85" t="str">
        <f aca="false">IF(AH732="","",N(Q732)+N(R732)+N(S732)+N(T732)+N(U732)+N(V732))</f>
        <v/>
      </c>
      <c r="X732" s="85" t="str">
        <f aca="false">IF(AH732="","",P732-W732)</f>
        <v/>
      </c>
      <c r="Y732" s="67"/>
      <c r="Z732" s="70" t="str">
        <f aca="false">IF(OR(AH732="",Y732=""),"",IF(ABS(X732-Y732)&lt;=1,"✓ Cuadra","⚠ Diferencia $"&amp;FIXED(X732-Y732,0)))</f>
        <v/>
      </c>
      <c r="AA732" s="72" t="str">
        <f aca="false">IF(AH732="","",IFERROR(INDEX(C_TIPO,MATCH(C732&amp;"-P"&amp;MAX(1,COUNTIFS(C_ID,C732,C_DEFINE,"Sí",C_INICIO,"&lt;="&amp;EOMONTH(B732,0))),C_CLAVE,0))&amp;"","Sin dato"))</f>
        <v/>
      </c>
      <c r="AB732" s="71" t="str">
        <f aca="false">IF(AH732="","",ROUND(MIN(K732,TOPE_AFP_UF*AJ732)*AK732,0))</f>
        <v/>
      </c>
      <c r="AC732" s="71" t="str">
        <f aca="false">IF(AH732="","",ROUND(MIN(K732,TOPE_AFC_UF*AJ732)*IF(AA732="Indefinido",AFC_EMP_INDEF,AFC_EMP_PF),0))</f>
        <v/>
      </c>
      <c r="AD732" s="71" t="str">
        <f aca="false">IF(AH732="","",ROUND(MIN(K732,TOPE_AFP_UF*AJ732)*(MUTUAL_BASICA+MUTUAL_ADIC+SANNA),0))</f>
        <v/>
      </c>
      <c r="AE732" s="71" t="str">
        <f aca="false">IF(AH732="","",P732-N(N732)+AB732+AC732+AD732)</f>
        <v/>
      </c>
      <c r="AF732" s="65"/>
      <c r="AG732" s="64"/>
      <c r="AH732" s="72" t="str">
        <f aca="false">IF(OR(B732="",C732=""),"",C732&amp;"|"&amp;(YEAR(B732)*100+MONTH(B732)))</f>
        <v/>
      </c>
      <c r="AI732" s="70" t="str">
        <f aca="false">IF(AH732="","",IF(COUNTIF(L_CLAVE,AH732)&gt;1,"⚠ Duplicado","OK"))</f>
        <v/>
      </c>
      <c r="AJ732" s="86" t="str">
        <f aca="false">IF(AH732="","",IF(SUMPRODUCT(MAX((IND_PER&lt;=B732)*(IND_UF&lt;&gt;"")*IND_PER))=0,UF_HOY,INDEX(IND_UF,MATCH(SUMPRODUCT(MAX((IND_PER&lt;=B732)*(IND_UF&lt;&gt;"")*IND_PER)),IND_PER,0))))</f>
        <v/>
      </c>
      <c r="AK732" s="87" t="str">
        <f aca="false">IF(AH732="","",IF(COUNTIF(TASA_DESDE,"&lt;="&amp;B732)=0,INDEX(TASA_EMP,1),INDEX(TASA_EMP,COUNTIF(TASA_DESDE,"&lt;="&amp;B732))))</f>
        <v/>
      </c>
    </row>
    <row r="733" customFormat="false" ht="15" hidden="false" customHeight="false" outlineLevel="0" collapsed="false">
      <c r="B733" s="78"/>
      <c r="C733" s="64"/>
      <c r="D733" s="72" t="str">
        <f aca="false">IF(C733="","",IFERROR(INDEX(T_NOMBRE,MATCH(C733,T_ID,0)),"⚠ ID no existe"))</f>
        <v/>
      </c>
      <c r="E733" s="69"/>
      <c r="F733" s="67"/>
      <c r="G733" s="67"/>
      <c r="H733" s="67"/>
      <c r="I733" s="67"/>
      <c r="J733" s="67"/>
      <c r="K733" s="85" t="str">
        <f aca="false">IF(AH733="","",N(F733)+N(G733)+N(H733)-N(I733)+N(J733))</f>
        <v/>
      </c>
      <c r="L733" s="67"/>
      <c r="M733" s="67"/>
      <c r="N733" s="67"/>
      <c r="O733" s="67"/>
      <c r="P733" s="85" t="str">
        <f aca="false">IF(AH733="","",K733+N(L733)+N(M733)+N(N733)+N(O733))</f>
        <v/>
      </c>
      <c r="Q733" s="67"/>
      <c r="R733" s="67"/>
      <c r="S733" s="67"/>
      <c r="T733" s="67"/>
      <c r="U733" s="67"/>
      <c r="V733" s="67"/>
      <c r="W733" s="85" t="str">
        <f aca="false">IF(AH733="","",N(Q733)+N(R733)+N(S733)+N(T733)+N(U733)+N(V733))</f>
        <v/>
      </c>
      <c r="X733" s="85" t="str">
        <f aca="false">IF(AH733="","",P733-W733)</f>
        <v/>
      </c>
      <c r="Y733" s="67"/>
      <c r="Z733" s="70" t="str">
        <f aca="false">IF(OR(AH733="",Y733=""),"",IF(ABS(X733-Y733)&lt;=1,"✓ Cuadra","⚠ Diferencia $"&amp;FIXED(X733-Y733,0)))</f>
        <v/>
      </c>
      <c r="AA733" s="72" t="str">
        <f aca="false">IF(AH733="","",IFERROR(INDEX(C_TIPO,MATCH(C733&amp;"-P"&amp;MAX(1,COUNTIFS(C_ID,C733,C_DEFINE,"Sí",C_INICIO,"&lt;="&amp;EOMONTH(B733,0))),C_CLAVE,0))&amp;"","Sin dato"))</f>
        <v/>
      </c>
      <c r="AB733" s="71" t="str">
        <f aca="false">IF(AH733="","",ROUND(MIN(K733,TOPE_AFP_UF*AJ733)*AK733,0))</f>
        <v/>
      </c>
      <c r="AC733" s="71" t="str">
        <f aca="false">IF(AH733="","",ROUND(MIN(K733,TOPE_AFC_UF*AJ733)*IF(AA733="Indefinido",AFC_EMP_INDEF,AFC_EMP_PF),0))</f>
        <v/>
      </c>
      <c r="AD733" s="71" t="str">
        <f aca="false">IF(AH733="","",ROUND(MIN(K733,TOPE_AFP_UF*AJ733)*(MUTUAL_BASICA+MUTUAL_ADIC+SANNA),0))</f>
        <v/>
      </c>
      <c r="AE733" s="71" t="str">
        <f aca="false">IF(AH733="","",P733-N(N733)+AB733+AC733+AD733)</f>
        <v/>
      </c>
      <c r="AF733" s="65"/>
      <c r="AG733" s="64"/>
      <c r="AH733" s="72" t="str">
        <f aca="false">IF(OR(B733="",C733=""),"",C733&amp;"|"&amp;(YEAR(B733)*100+MONTH(B733)))</f>
        <v/>
      </c>
      <c r="AI733" s="70" t="str">
        <f aca="false">IF(AH733="","",IF(COUNTIF(L_CLAVE,AH733)&gt;1,"⚠ Duplicado","OK"))</f>
        <v/>
      </c>
      <c r="AJ733" s="86" t="str">
        <f aca="false">IF(AH733="","",IF(SUMPRODUCT(MAX((IND_PER&lt;=B733)*(IND_UF&lt;&gt;"")*IND_PER))=0,UF_HOY,INDEX(IND_UF,MATCH(SUMPRODUCT(MAX((IND_PER&lt;=B733)*(IND_UF&lt;&gt;"")*IND_PER)),IND_PER,0))))</f>
        <v/>
      </c>
      <c r="AK733" s="87" t="str">
        <f aca="false">IF(AH733="","",IF(COUNTIF(TASA_DESDE,"&lt;="&amp;B733)=0,INDEX(TASA_EMP,1),INDEX(TASA_EMP,COUNTIF(TASA_DESDE,"&lt;="&amp;B733))))</f>
        <v/>
      </c>
    </row>
    <row r="734" customFormat="false" ht="15" hidden="false" customHeight="false" outlineLevel="0" collapsed="false">
      <c r="B734" s="78"/>
      <c r="C734" s="64"/>
      <c r="D734" s="72" t="str">
        <f aca="false">IF(C734="","",IFERROR(INDEX(T_NOMBRE,MATCH(C734,T_ID,0)),"⚠ ID no existe"))</f>
        <v/>
      </c>
      <c r="E734" s="69"/>
      <c r="F734" s="67"/>
      <c r="G734" s="67"/>
      <c r="H734" s="67"/>
      <c r="I734" s="67"/>
      <c r="J734" s="67"/>
      <c r="K734" s="85" t="str">
        <f aca="false">IF(AH734="","",N(F734)+N(G734)+N(H734)-N(I734)+N(J734))</f>
        <v/>
      </c>
      <c r="L734" s="67"/>
      <c r="M734" s="67"/>
      <c r="N734" s="67"/>
      <c r="O734" s="67"/>
      <c r="P734" s="85" t="str">
        <f aca="false">IF(AH734="","",K734+N(L734)+N(M734)+N(N734)+N(O734))</f>
        <v/>
      </c>
      <c r="Q734" s="67"/>
      <c r="R734" s="67"/>
      <c r="S734" s="67"/>
      <c r="T734" s="67"/>
      <c r="U734" s="67"/>
      <c r="V734" s="67"/>
      <c r="W734" s="85" t="str">
        <f aca="false">IF(AH734="","",N(Q734)+N(R734)+N(S734)+N(T734)+N(U734)+N(V734))</f>
        <v/>
      </c>
      <c r="X734" s="85" t="str">
        <f aca="false">IF(AH734="","",P734-W734)</f>
        <v/>
      </c>
      <c r="Y734" s="67"/>
      <c r="Z734" s="70" t="str">
        <f aca="false">IF(OR(AH734="",Y734=""),"",IF(ABS(X734-Y734)&lt;=1,"✓ Cuadra","⚠ Diferencia $"&amp;FIXED(X734-Y734,0)))</f>
        <v/>
      </c>
      <c r="AA734" s="72" t="str">
        <f aca="false">IF(AH734="","",IFERROR(INDEX(C_TIPO,MATCH(C734&amp;"-P"&amp;MAX(1,COUNTIFS(C_ID,C734,C_DEFINE,"Sí",C_INICIO,"&lt;="&amp;EOMONTH(B734,0))),C_CLAVE,0))&amp;"","Sin dato"))</f>
        <v/>
      </c>
      <c r="AB734" s="71" t="str">
        <f aca="false">IF(AH734="","",ROUND(MIN(K734,TOPE_AFP_UF*AJ734)*AK734,0))</f>
        <v/>
      </c>
      <c r="AC734" s="71" t="str">
        <f aca="false">IF(AH734="","",ROUND(MIN(K734,TOPE_AFC_UF*AJ734)*IF(AA734="Indefinido",AFC_EMP_INDEF,AFC_EMP_PF),0))</f>
        <v/>
      </c>
      <c r="AD734" s="71" t="str">
        <f aca="false">IF(AH734="","",ROUND(MIN(K734,TOPE_AFP_UF*AJ734)*(MUTUAL_BASICA+MUTUAL_ADIC+SANNA),0))</f>
        <v/>
      </c>
      <c r="AE734" s="71" t="str">
        <f aca="false">IF(AH734="","",P734-N(N734)+AB734+AC734+AD734)</f>
        <v/>
      </c>
      <c r="AF734" s="65"/>
      <c r="AG734" s="64"/>
      <c r="AH734" s="72" t="str">
        <f aca="false">IF(OR(B734="",C734=""),"",C734&amp;"|"&amp;(YEAR(B734)*100+MONTH(B734)))</f>
        <v/>
      </c>
      <c r="AI734" s="70" t="str">
        <f aca="false">IF(AH734="","",IF(COUNTIF(L_CLAVE,AH734)&gt;1,"⚠ Duplicado","OK"))</f>
        <v/>
      </c>
      <c r="AJ734" s="86" t="str">
        <f aca="false">IF(AH734="","",IF(SUMPRODUCT(MAX((IND_PER&lt;=B734)*(IND_UF&lt;&gt;"")*IND_PER))=0,UF_HOY,INDEX(IND_UF,MATCH(SUMPRODUCT(MAX((IND_PER&lt;=B734)*(IND_UF&lt;&gt;"")*IND_PER)),IND_PER,0))))</f>
        <v/>
      </c>
      <c r="AK734" s="87" t="str">
        <f aca="false">IF(AH734="","",IF(COUNTIF(TASA_DESDE,"&lt;="&amp;B734)=0,INDEX(TASA_EMP,1),INDEX(TASA_EMP,COUNTIF(TASA_DESDE,"&lt;="&amp;B734))))</f>
        <v/>
      </c>
    </row>
    <row r="735" customFormat="false" ht="15" hidden="false" customHeight="false" outlineLevel="0" collapsed="false">
      <c r="B735" s="78"/>
      <c r="C735" s="64"/>
      <c r="D735" s="72" t="str">
        <f aca="false">IF(C735="","",IFERROR(INDEX(T_NOMBRE,MATCH(C735,T_ID,0)),"⚠ ID no existe"))</f>
        <v/>
      </c>
      <c r="E735" s="69"/>
      <c r="F735" s="67"/>
      <c r="G735" s="67"/>
      <c r="H735" s="67"/>
      <c r="I735" s="67"/>
      <c r="J735" s="67"/>
      <c r="K735" s="85" t="str">
        <f aca="false">IF(AH735="","",N(F735)+N(G735)+N(H735)-N(I735)+N(J735))</f>
        <v/>
      </c>
      <c r="L735" s="67"/>
      <c r="M735" s="67"/>
      <c r="N735" s="67"/>
      <c r="O735" s="67"/>
      <c r="P735" s="85" t="str">
        <f aca="false">IF(AH735="","",K735+N(L735)+N(M735)+N(N735)+N(O735))</f>
        <v/>
      </c>
      <c r="Q735" s="67"/>
      <c r="R735" s="67"/>
      <c r="S735" s="67"/>
      <c r="T735" s="67"/>
      <c r="U735" s="67"/>
      <c r="V735" s="67"/>
      <c r="W735" s="85" t="str">
        <f aca="false">IF(AH735="","",N(Q735)+N(R735)+N(S735)+N(T735)+N(U735)+N(V735))</f>
        <v/>
      </c>
      <c r="X735" s="85" t="str">
        <f aca="false">IF(AH735="","",P735-W735)</f>
        <v/>
      </c>
      <c r="Y735" s="67"/>
      <c r="Z735" s="70" t="str">
        <f aca="false">IF(OR(AH735="",Y735=""),"",IF(ABS(X735-Y735)&lt;=1,"✓ Cuadra","⚠ Diferencia $"&amp;FIXED(X735-Y735,0)))</f>
        <v/>
      </c>
      <c r="AA735" s="72" t="str">
        <f aca="false">IF(AH735="","",IFERROR(INDEX(C_TIPO,MATCH(C735&amp;"-P"&amp;MAX(1,COUNTIFS(C_ID,C735,C_DEFINE,"Sí",C_INICIO,"&lt;="&amp;EOMONTH(B735,0))),C_CLAVE,0))&amp;"","Sin dato"))</f>
        <v/>
      </c>
      <c r="AB735" s="71" t="str">
        <f aca="false">IF(AH735="","",ROUND(MIN(K735,TOPE_AFP_UF*AJ735)*AK735,0))</f>
        <v/>
      </c>
      <c r="AC735" s="71" t="str">
        <f aca="false">IF(AH735="","",ROUND(MIN(K735,TOPE_AFC_UF*AJ735)*IF(AA735="Indefinido",AFC_EMP_INDEF,AFC_EMP_PF),0))</f>
        <v/>
      </c>
      <c r="AD735" s="71" t="str">
        <f aca="false">IF(AH735="","",ROUND(MIN(K735,TOPE_AFP_UF*AJ735)*(MUTUAL_BASICA+MUTUAL_ADIC+SANNA),0))</f>
        <v/>
      </c>
      <c r="AE735" s="71" t="str">
        <f aca="false">IF(AH735="","",P735-N(N735)+AB735+AC735+AD735)</f>
        <v/>
      </c>
      <c r="AF735" s="65"/>
      <c r="AG735" s="64"/>
      <c r="AH735" s="72" t="str">
        <f aca="false">IF(OR(B735="",C735=""),"",C735&amp;"|"&amp;(YEAR(B735)*100+MONTH(B735)))</f>
        <v/>
      </c>
      <c r="AI735" s="70" t="str">
        <f aca="false">IF(AH735="","",IF(COUNTIF(L_CLAVE,AH735)&gt;1,"⚠ Duplicado","OK"))</f>
        <v/>
      </c>
      <c r="AJ735" s="86" t="str">
        <f aca="false">IF(AH735="","",IF(SUMPRODUCT(MAX((IND_PER&lt;=B735)*(IND_UF&lt;&gt;"")*IND_PER))=0,UF_HOY,INDEX(IND_UF,MATCH(SUMPRODUCT(MAX((IND_PER&lt;=B735)*(IND_UF&lt;&gt;"")*IND_PER)),IND_PER,0))))</f>
        <v/>
      </c>
      <c r="AK735" s="87" t="str">
        <f aca="false">IF(AH735="","",IF(COUNTIF(TASA_DESDE,"&lt;="&amp;B735)=0,INDEX(TASA_EMP,1),INDEX(TASA_EMP,COUNTIF(TASA_DESDE,"&lt;="&amp;B735))))</f>
        <v/>
      </c>
    </row>
    <row r="736" customFormat="false" ht="15" hidden="false" customHeight="false" outlineLevel="0" collapsed="false">
      <c r="B736" s="78"/>
      <c r="C736" s="64"/>
      <c r="D736" s="72" t="str">
        <f aca="false">IF(C736="","",IFERROR(INDEX(T_NOMBRE,MATCH(C736,T_ID,0)),"⚠ ID no existe"))</f>
        <v/>
      </c>
      <c r="E736" s="69"/>
      <c r="F736" s="67"/>
      <c r="G736" s="67"/>
      <c r="H736" s="67"/>
      <c r="I736" s="67"/>
      <c r="J736" s="67"/>
      <c r="K736" s="85" t="str">
        <f aca="false">IF(AH736="","",N(F736)+N(G736)+N(H736)-N(I736)+N(J736))</f>
        <v/>
      </c>
      <c r="L736" s="67"/>
      <c r="M736" s="67"/>
      <c r="N736" s="67"/>
      <c r="O736" s="67"/>
      <c r="P736" s="85" t="str">
        <f aca="false">IF(AH736="","",K736+N(L736)+N(M736)+N(N736)+N(O736))</f>
        <v/>
      </c>
      <c r="Q736" s="67"/>
      <c r="R736" s="67"/>
      <c r="S736" s="67"/>
      <c r="T736" s="67"/>
      <c r="U736" s="67"/>
      <c r="V736" s="67"/>
      <c r="W736" s="85" t="str">
        <f aca="false">IF(AH736="","",N(Q736)+N(R736)+N(S736)+N(T736)+N(U736)+N(V736))</f>
        <v/>
      </c>
      <c r="X736" s="85" t="str">
        <f aca="false">IF(AH736="","",P736-W736)</f>
        <v/>
      </c>
      <c r="Y736" s="67"/>
      <c r="Z736" s="70" t="str">
        <f aca="false">IF(OR(AH736="",Y736=""),"",IF(ABS(X736-Y736)&lt;=1,"✓ Cuadra","⚠ Diferencia $"&amp;FIXED(X736-Y736,0)))</f>
        <v/>
      </c>
      <c r="AA736" s="72" t="str">
        <f aca="false">IF(AH736="","",IFERROR(INDEX(C_TIPO,MATCH(C736&amp;"-P"&amp;MAX(1,COUNTIFS(C_ID,C736,C_DEFINE,"Sí",C_INICIO,"&lt;="&amp;EOMONTH(B736,0))),C_CLAVE,0))&amp;"","Sin dato"))</f>
        <v/>
      </c>
      <c r="AB736" s="71" t="str">
        <f aca="false">IF(AH736="","",ROUND(MIN(K736,TOPE_AFP_UF*AJ736)*AK736,0))</f>
        <v/>
      </c>
      <c r="AC736" s="71" t="str">
        <f aca="false">IF(AH736="","",ROUND(MIN(K736,TOPE_AFC_UF*AJ736)*IF(AA736="Indefinido",AFC_EMP_INDEF,AFC_EMP_PF),0))</f>
        <v/>
      </c>
      <c r="AD736" s="71" t="str">
        <f aca="false">IF(AH736="","",ROUND(MIN(K736,TOPE_AFP_UF*AJ736)*(MUTUAL_BASICA+MUTUAL_ADIC+SANNA),0))</f>
        <v/>
      </c>
      <c r="AE736" s="71" t="str">
        <f aca="false">IF(AH736="","",P736-N(N736)+AB736+AC736+AD736)</f>
        <v/>
      </c>
      <c r="AF736" s="65"/>
      <c r="AG736" s="64"/>
      <c r="AH736" s="72" t="str">
        <f aca="false">IF(OR(B736="",C736=""),"",C736&amp;"|"&amp;(YEAR(B736)*100+MONTH(B736)))</f>
        <v/>
      </c>
      <c r="AI736" s="70" t="str">
        <f aca="false">IF(AH736="","",IF(COUNTIF(L_CLAVE,AH736)&gt;1,"⚠ Duplicado","OK"))</f>
        <v/>
      </c>
      <c r="AJ736" s="86" t="str">
        <f aca="false">IF(AH736="","",IF(SUMPRODUCT(MAX((IND_PER&lt;=B736)*(IND_UF&lt;&gt;"")*IND_PER))=0,UF_HOY,INDEX(IND_UF,MATCH(SUMPRODUCT(MAX((IND_PER&lt;=B736)*(IND_UF&lt;&gt;"")*IND_PER)),IND_PER,0))))</f>
        <v/>
      </c>
      <c r="AK736" s="87" t="str">
        <f aca="false">IF(AH736="","",IF(COUNTIF(TASA_DESDE,"&lt;="&amp;B736)=0,INDEX(TASA_EMP,1),INDEX(TASA_EMP,COUNTIF(TASA_DESDE,"&lt;="&amp;B736))))</f>
        <v/>
      </c>
    </row>
    <row r="737" customFormat="false" ht="15" hidden="false" customHeight="false" outlineLevel="0" collapsed="false">
      <c r="B737" s="78"/>
      <c r="C737" s="64"/>
      <c r="D737" s="72" t="str">
        <f aca="false">IF(C737="","",IFERROR(INDEX(T_NOMBRE,MATCH(C737,T_ID,0)),"⚠ ID no existe"))</f>
        <v/>
      </c>
      <c r="E737" s="69"/>
      <c r="F737" s="67"/>
      <c r="G737" s="67"/>
      <c r="H737" s="67"/>
      <c r="I737" s="67"/>
      <c r="J737" s="67"/>
      <c r="K737" s="85" t="str">
        <f aca="false">IF(AH737="","",N(F737)+N(G737)+N(H737)-N(I737)+N(J737))</f>
        <v/>
      </c>
      <c r="L737" s="67"/>
      <c r="M737" s="67"/>
      <c r="N737" s="67"/>
      <c r="O737" s="67"/>
      <c r="P737" s="85" t="str">
        <f aca="false">IF(AH737="","",K737+N(L737)+N(M737)+N(N737)+N(O737))</f>
        <v/>
      </c>
      <c r="Q737" s="67"/>
      <c r="R737" s="67"/>
      <c r="S737" s="67"/>
      <c r="T737" s="67"/>
      <c r="U737" s="67"/>
      <c r="V737" s="67"/>
      <c r="W737" s="85" t="str">
        <f aca="false">IF(AH737="","",N(Q737)+N(R737)+N(S737)+N(T737)+N(U737)+N(V737))</f>
        <v/>
      </c>
      <c r="X737" s="85" t="str">
        <f aca="false">IF(AH737="","",P737-W737)</f>
        <v/>
      </c>
      <c r="Y737" s="67"/>
      <c r="Z737" s="70" t="str">
        <f aca="false">IF(OR(AH737="",Y737=""),"",IF(ABS(X737-Y737)&lt;=1,"✓ Cuadra","⚠ Diferencia $"&amp;FIXED(X737-Y737,0)))</f>
        <v/>
      </c>
      <c r="AA737" s="72" t="str">
        <f aca="false">IF(AH737="","",IFERROR(INDEX(C_TIPO,MATCH(C737&amp;"-P"&amp;MAX(1,COUNTIFS(C_ID,C737,C_DEFINE,"Sí",C_INICIO,"&lt;="&amp;EOMONTH(B737,0))),C_CLAVE,0))&amp;"","Sin dato"))</f>
        <v/>
      </c>
      <c r="AB737" s="71" t="str">
        <f aca="false">IF(AH737="","",ROUND(MIN(K737,TOPE_AFP_UF*AJ737)*AK737,0))</f>
        <v/>
      </c>
      <c r="AC737" s="71" t="str">
        <f aca="false">IF(AH737="","",ROUND(MIN(K737,TOPE_AFC_UF*AJ737)*IF(AA737="Indefinido",AFC_EMP_INDEF,AFC_EMP_PF),0))</f>
        <v/>
      </c>
      <c r="AD737" s="71" t="str">
        <f aca="false">IF(AH737="","",ROUND(MIN(K737,TOPE_AFP_UF*AJ737)*(MUTUAL_BASICA+MUTUAL_ADIC+SANNA),0))</f>
        <v/>
      </c>
      <c r="AE737" s="71" t="str">
        <f aca="false">IF(AH737="","",P737-N(N737)+AB737+AC737+AD737)</f>
        <v/>
      </c>
      <c r="AF737" s="65"/>
      <c r="AG737" s="64"/>
      <c r="AH737" s="72" t="str">
        <f aca="false">IF(OR(B737="",C737=""),"",C737&amp;"|"&amp;(YEAR(B737)*100+MONTH(B737)))</f>
        <v/>
      </c>
      <c r="AI737" s="70" t="str">
        <f aca="false">IF(AH737="","",IF(COUNTIF(L_CLAVE,AH737)&gt;1,"⚠ Duplicado","OK"))</f>
        <v/>
      </c>
      <c r="AJ737" s="86" t="str">
        <f aca="false">IF(AH737="","",IF(SUMPRODUCT(MAX((IND_PER&lt;=B737)*(IND_UF&lt;&gt;"")*IND_PER))=0,UF_HOY,INDEX(IND_UF,MATCH(SUMPRODUCT(MAX((IND_PER&lt;=B737)*(IND_UF&lt;&gt;"")*IND_PER)),IND_PER,0))))</f>
        <v/>
      </c>
      <c r="AK737" s="87" t="str">
        <f aca="false">IF(AH737="","",IF(COUNTIF(TASA_DESDE,"&lt;="&amp;B737)=0,INDEX(TASA_EMP,1),INDEX(TASA_EMP,COUNTIF(TASA_DESDE,"&lt;="&amp;B737))))</f>
        <v/>
      </c>
    </row>
    <row r="738" customFormat="false" ht="15" hidden="false" customHeight="false" outlineLevel="0" collapsed="false">
      <c r="B738" s="78"/>
      <c r="C738" s="64"/>
      <c r="D738" s="72" t="str">
        <f aca="false">IF(C738="","",IFERROR(INDEX(T_NOMBRE,MATCH(C738,T_ID,0)),"⚠ ID no existe"))</f>
        <v/>
      </c>
      <c r="E738" s="69"/>
      <c r="F738" s="67"/>
      <c r="G738" s="67"/>
      <c r="H738" s="67"/>
      <c r="I738" s="67"/>
      <c r="J738" s="67"/>
      <c r="K738" s="85" t="str">
        <f aca="false">IF(AH738="","",N(F738)+N(G738)+N(H738)-N(I738)+N(J738))</f>
        <v/>
      </c>
      <c r="L738" s="67"/>
      <c r="M738" s="67"/>
      <c r="N738" s="67"/>
      <c r="O738" s="67"/>
      <c r="P738" s="85" t="str">
        <f aca="false">IF(AH738="","",K738+N(L738)+N(M738)+N(N738)+N(O738))</f>
        <v/>
      </c>
      <c r="Q738" s="67"/>
      <c r="R738" s="67"/>
      <c r="S738" s="67"/>
      <c r="T738" s="67"/>
      <c r="U738" s="67"/>
      <c r="V738" s="67"/>
      <c r="W738" s="85" t="str">
        <f aca="false">IF(AH738="","",N(Q738)+N(R738)+N(S738)+N(T738)+N(U738)+N(V738))</f>
        <v/>
      </c>
      <c r="X738" s="85" t="str">
        <f aca="false">IF(AH738="","",P738-W738)</f>
        <v/>
      </c>
      <c r="Y738" s="67"/>
      <c r="Z738" s="70" t="str">
        <f aca="false">IF(OR(AH738="",Y738=""),"",IF(ABS(X738-Y738)&lt;=1,"✓ Cuadra","⚠ Diferencia $"&amp;FIXED(X738-Y738,0)))</f>
        <v/>
      </c>
      <c r="AA738" s="72" t="str">
        <f aca="false">IF(AH738="","",IFERROR(INDEX(C_TIPO,MATCH(C738&amp;"-P"&amp;MAX(1,COUNTIFS(C_ID,C738,C_DEFINE,"Sí",C_INICIO,"&lt;="&amp;EOMONTH(B738,0))),C_CLAVE,0))&amp;"","Sin dato"))</f>
        <v/>
      </c>
      <c r="AB738" s="71" t="str">
        <f aca="false">IF(AH738="","",ROUND(MIN(K738,TOPE_AFP_UF*AJ738)*AK738,0))</f>
        <v/>
      </c>
      <c r="AC738" s="71" t="str">
        <f aca="false">IF(AH738="","",ROUND(MIN(K738,TOPE_AFC_UF*AJ738)*IF(AA738="Indefinido",AFC_EMP_INDEF,AFC_EMP_PF),0))</f>
        <v/>
      </c>
      <c r="AD738" s="71" t="str">
        <f aca="false">IF(AH738="","",ROUND(MIN(K738,TOPE_AFP_UF*AJ738)*(MUTUAL_BASICA+MUTUAL_ADIC+SANNA),0))</f>
        <v/>
      </c>
      <c r="AE738" s="71" t="str">
        <f aca="false">IF(AH738="","",P738-N(N738)+AB738+AC738+AD738)</f>
        <v/>
      </c>
      <c r="AF738" s="65"/>
      <c r="AG738" s="64"/>
      <c r="AH738" s="72" t="str">
        <f aca="false">IF(OR(B738="",C738=""),"",C738&amp;"|"&amp;(YEAR(B738)*100+MONTH(B738)))</f>
        <v/>
      </c>
      <c r="AI738" s="70" t="str">
        <f aca="false">IF(AH738="","",IF(COUNTIF(L_CLAVE,AH738)&gt;1,"⚠ Duplicado","OK"))</f>
        <v/>
      </c>
      <c r="AJ738" s="86" t="str">
        <f aca="false">IF(AH738="","",IF(SUMPRODUCT(MAX((IND_PER&lt;=B738)*(IND_UF&lt;&gt;"")*IND_PER))=0,UF_HOY,INDEX(IND_UF,MATCH(SUMPRODUCT(MAX((IND_PER&lt;=B738)*(IND_UF&lt;&gt;"")*IND_PER)),IND_PER,0))))</f>
        <v/>
      </c>
      <c r="AK738" s="87" t="str">
        <f aca="false">IF(AH738="","",IF(COUNTIF(TASA_DESDE,"&lt;="&amp;B738)=0,INDEX(TASA_EMP,1),INDEX(TASA_EMP,COUNTIF(TASA_DESDE,"&lt;="&amp;B738))))</f>
        <v/>
      </c>
    </row>
    <row r="739" customFormat="false" ht="15" hidden="false" customHeight="false" outlineLevel="0" collapsed="false">
      <c r="B739" s="78"/>
      <c r="C739" s="64"/>
      <c r="D739" s="72" t="str">
        <f aca="false">IF(C739="","",IFERROR(INDEX(T_NOMBRE,MATCH(C739,T_ID,0)),"⚠ ID no existe"))</f>
        <v/>
      </c>
      <c r="E739" s="69"/>
      <c r="F739" s="67"/>
      <c r="G739" s="67"/>
      <c r="H739" s="67"/>
      <c r="I739" s="67"/>
      <c r="J739" s="67"/>
      <c r="K739" s="85" t="str">
        <f aca="false">IF(AH739="","",N(F739)+N(G739)+N(H739)-N(I739)+N(J739))</f>
        <v/>
      </c>
      <c r="L739" s="67"/>
      <c r="M739" s="67"/>
      <c r="N739" s="67"/>
      <c r="O739" s="67"/>
      <c r="P739" s="85" t="str">
        <f aca="false">IF(AH739="","",K739+N(L739)+N(M739)+N(N739)+N(O739))</f>
        <v/>
      </c>
      <c r="Q739" s="67"/>
      <c r="R739" s="67"/>
      <c r="S739" s="67"/>
      <c r="T739" s="67"/>
      <c r="U739" s="67"/>
      <c r="V739" s="67"/>
      <c r="W739" s="85" t="str">
        <f aca="false">IF(AH739="","",N(Q739)+N(R739)+N(S739)+N(T739)+N(U739)+N(V739))</f>
        <v/>
      </c>
      <c r="X739" s="85" t="str">
        <f aca="false">IF(AH739="","",P739-W739)</f>
        <v/>
      </c>
      <c r="Y739" s="67"/>
      <c r="Z739" s="70" t="str">
        <f aca="false">IF(OR(AH739="",Y739=""),"",IF(ABS(X739-Y739)&lt;=1,"✓ Cuadra","⚠ Diferencia $"&amp;FIXED(X739-Y739,0)))</f>
        <v/>
      </c>
      <c r="AA739" s="72" t="str">
        <f aca="false">IF(AH739="","",IFERROR(INDEX(C_TIPO,MATCH(C739&amp;"-P"&amp;MAX(1,COUNTIFS(C_ID,C739,C_DEFINE,"Sí",C_INICIO,"&lt;="&amp;EOMONTH(B739,0))),C_CLAVE,0))&amp;"","Sin dato"))</f>
        <v/>
      </c>
      <c r="AB739" s="71" t="str">
        <f aca="false">IF(AH739="","",ROUND(MIN(K739,TOPE_AFP_UF*AJ739)*AK739,0))</f>
        <v/>
      </c>
      <c r="AC739" s="71" t="str">
        <f aca="false">IF(AH739="","",ROUND(MIN(K739,TOPE_AFC_UF*AJ739)*IF(AA739="Indefinido",AFC_EMP_INDEF,AFC_EMP_PF),0))</f>
        <v/>
      </c>
      <c r="AD739" s="71" t="str">
        <f aca="false">IF(AH739="","",ROUND(MIN(K739,TOPE_AFP_UF*AJ739)*(MUTUAL_BASICA+MUTUAL_ADIC+SANNA),0))</f>
        <v/>
      </c>
      <c r="AE739" s="71" t="str">
        <f aca="false">IF(AH739="","",P739-N(N739)+AB739+AC739+AD739)</f>
        <v/>
      </c>
      <c r="AF739" s="65"/>
      <c r="AG739" s="64"/>
      <c r="AH739" s="72" t="str">
        <f aca="false">IF(OR(B739="",C739=""),"",C739&amp;"|"&amp;(YEAR(B739)*100+MONTH(B739)))</f>
        <v/>
      </c>
      <c r="AI739" s="70" t="str">
        <f aca="false">IF(AH739="","",IF(COUNTIF(L_CLAVE,AH739)&gt;1,"⚠ Duplicado","OK"))</f>
        <v/>
      </c>
      <c r="AJ739" s="86" t="str">
        <f aca="false">IF(AH739="","",IF(SUMPRODUCT(MAX((IND_PER&lt;=B739)*(IND_UF&lt;&gt;"")*IND_PER))=0,UF_HOY,INDEX(IND_UF,MATCH(SUMPRODUCT(MAX((IND_PER&lt;=B739)*(IND_UF&lt;&gt;"")*IND_PER)),IND_PER,0))))</f>
        <v/>
      </c>
      <c r="AK739" s="87" t="str">
        <f aca="false">IF(AH739="","",IF(COUNTIF(TASA_DESDE,"&lt;="&amp;B739)=0,INDEX(TASA_EMP,1),INDEX(TASA_EMP,COUNTIF(TASA_DESDE,"&lt;="&amp;B739))))</f>
        <v/>
      </c>
    </row>
    <row r="740" customFormat="false" ht="15" hidden="false" customHeight="false" outlineLevel="0" collapsed="false">
      <c r="B740" s="78"/>
      <c r="C740" s="64"/>
      <c r="D740" s="72" t="str">
        <f aca="false">IF(C740="","",IFERROR(INDEX(T_NOMBRE,MATCH(C740,T_ID,0)),"⚠ ID no existe"))</f>
        <v/>
      </c>
      <c r="E740" s="69"/>
      <c r="F740" s="67"/>
      <c r="G740" s="67"/>
      <c r="H740" s="67"/>
      <c r="I740" s="67"/>
      <c r="J740" s="67"/>
      <c r="K740" s="85" t="str">
        <f aca="false">IF(AH740="","",N(F740)+N(G740)+N(H740)-N(I740)+N(J740))</f>
        <v/>
      </c>
      <c r="L740" s="67"/>
      <c r="M740" s="67"/>
      <c r="N740" s="67"/>
      <c r="O740" s="67"/>
      <c r="P740" s="85" t="str">
        <f aca="false">IF(AH740="","",K740+N(L740)+N(M740)+N(N740)+N(O740))</f>
        <v/>
      </c>
      <c r="Q740" s="67"/>
      <c r="R740" s="67"/>
      <c r="S740" s="67"/>
      <c r="T740" s="67"/>
      <c r="U740" s="67"/>
      <c r="V740" s="67"/>
      <c r="W740" s="85" t="str">
        <f aca="false">IF(AH740="","",N(Q740)+N(R740)+N(S740)+N(T740)+N(U740)+N(V740))</f>
        <v/>
      </c>
      <c r="X740" s="85" t="str">
        <f aca="false">IF(AH740="","",P740-W740)</f>
        <v/>
      </c>
      <c r="Y740" s="67"/>
      <c r="Z740" s="70" t="str">
        <f aca="false">IF(OR(AH740="",Y740=""),"",IF(ABS(X740-Y740)&lt;=1,"✓ Cuadra","⚠ Diferencia $"&amp;FIXED(X740-Y740,0)))</f>
        <v/>
      </c>
      <c r="AA740" s="72" t="str">
        <f aca="false">IF(AH740="","",IFERROR(INDEX(C_TIPO,MATCH(C740&amp;"-P"&amp;MAX(1,COUNTIFS(C_ID,C740,C_DEFINE,"Sí",C_INICIO,"&lt;="&amp;EOMONTH(B740,0))),C_CLAVE,0))&amp;"","Sin dato"))</f>
        <v/>
      </c>
      <c r="AB740" s="71" t="str">
        <f aca="false">IF(AH740="","",ROUND(MIN(K740,TOPE_AFP_UF*AJ740)*AK740,0))</f>
        <v/>
      </c>
      <c r="AC740" s="71" t="str">
        <f aca="false">IF(AH740="","",ROUND(MIN(K740,TOPE_AFC_UF*AJ740)*IF(AA740="Indefinido",AFC_EMP_INDEF,AFC_EMP_PF),0))</f>
        <v/>
      </c>
      <c r="AD740" s="71" t="str">
        <f aca="false">IF(AH740="","",ROUND(MIN(K740,TOPE_AFP_UF*AJ740)*(MUTUAL_BASICA+MUTUAL_ADIC+SANNA),0))</f>
        <v/>
      </c>
      <c r="AE740" s="71" t="str">
        <f aca="false">IF(AH740="","",P740-N(N740)+AB740+AC740+AD740)</f>
        <v/>
      </c>
      <c r="AF740" s="65"/>
      <c r="AG740" s="64"/>
      <c r="AH740" s="72" t="str">
        <f aca="false">IF(OR(B740="",C740=""),"",C740&amp;"|"&amp;(YEAR(B740)*100+MONTH(B740)))</f>
        <v/>
      </c>
      <c r="AI740" s="70" t="str">
        <f aca="false">IF(AH740="","",IF(COUNTIF(L_CLAVE,AH740)&gt;1,"⚠ Duplicado","OK"))</f>
        <v/>
      </c>
      <c r="AJ740" s="86" t="str">
        <f aca="false">IF(AH740="","",IF(SUMPRODUCT(MAX((IND_PER&lt;=B740)*(IND_UF&lt;&gt;"")*IND_PER))=0,UF_HOY,INDEX(IND_UF,MATCH(SUMPRODUCT(MAX((IND_PER&lt;=B740)*(IND_UF&lt;&gt;"")*IND_PER)),IND_PER,0))))</f>
        <v/>
      </c>
      <c r="AK740" s="87" t="str">
        <f aca="false">IF(AH740="","",IF(COUNTIF(TASA_DESDE,"&lt;="&amp;B740)=0,INDEX(TASA_EMP,1),INDEX(TASA_EMP,COUNTIF(TASA_DESDE,"&lt;="&amp;B740))))</f>
        <v/>
      </c>
    </row>
    <row r="741" customFormat="false" ht="15" hidden="false" customHeight="false" outlineLevel="0" collapsed="false">
      <c r="B741" s="78"/>
      <c r="C741" s="64"/>
      <c r="D741" s="72" t="str">
        <f aca="false">IF(C741="","",IFERROR(INDEX(T_NOMBRE,MATCH(C741,T_ID,0)),"⚠ ID no existe"))</f>
        <v/>
      </c>
      <c r="E741" s="69"/>
      <c r="F741" s="67"/>
      <c r="G741" s="67"/>
      <c r="H741" s="67"/>
      <c r="I741" s="67"/>
      <c r="J741" s="67"/>
      <c r="K741" s="85" t="str">
        <f aca="false">IF(AH741="","",N(F741)+N(G741)+N(H741)-N(I741)+N(J741))</f>
        <v/>
      </c>
      <c r="L741" s="67"/>
      <c r="M741" s="67"/>
      <c r="N741" s="67"/>
      <c r="O741" s="67"/>
      <c r="P741" s="85" t="str">
        <f aca="false">IF(AH741="","",K741+N(L741)+N(M741)+N(N741)+N(O741))</f>
        <v/>
      </c>
      <c r="Q741" s="67"/>
      <c r="R741" s="67"/>
      <c r="S741" s="67"/>
      <c r="T741" s="67"/>
      <c r="U741" s="67"/>
      <c r="V741" s="67"/>
      <c r="W741" s="85" t="str">
        <f aca="false">IF(AH741="","",N(Q741)+N(R741)+N(S741)+N(T741)+N(U741)+N(V741))</f>
        <v/>
      </c>
      <c r="X741" s="85" t="str">
        <f aca="false">IF(AH741="","",P741-W741)</f>
        <v/>
      </c>
      <c r="Y741" s="67"/>
      <c r="Z741" s="70" t="str">
        <f aca="false">IF(OR(AH741="",Y741=""),"",IF(ABS(X741-Y741)&lt;=1,"✓ Cuadra","⚠ Diferencia $"&amp;FIXED(X741-Y741,0)))</f>
        <v/>
      </c>
      <c r="AA741" s="72" t="str">
        <f aca="false">IF(AH741="","",IFERROR(INDEX(C_TIPO,MATCH(C741&amp;"-P"&amp;MAX(1,COUNTIFS(C_ID,C741,C_DEFINE,"Sí",C_INICIO,"&lt;="&amp;EOMONTH(B741,0))),C_CLAVE,0))&amp;"","Sin dato"))</f>
        <v/>
      </c>
      <c r="AB741" s="71" t="str">
        <f aca="false">IF(AH741="","",ROUND(MIN(K741,TOPE_AFP_UF*AJ741)*AK741,0))</f>
        <v/>
      </c>
      <c r="AC741" s="71" t="str">
        <f aca="false">IF(AH741="","",ROUND(MIN(K741,TOPE_AFC_UF*AJ741)*IF(AA741="Indefinido",AFC_EMP_INDEF,AFC_EMP_PF),0))</f>
        <v/>
      </c>
      <c r="AD741" s="71" t="str">
        <f aca="false">IF(AH741="","",ROUND(MIN(K741,TOPE_AFP_UF*AJ741)*(MUTUAL_BASICA+MUTUAL_ADIC+SANNA),0))</f>
        <v/>
      </c>
      <c r="AE741" s="71" t="str">
        <f aca="false">IF(AH741="","",P741-N(N741)+AB741+AC741+AD741)</f>
        <v/>
      </c>
      <c r="AF741" s="65"/>
      <c r="AG741" s="64"/>
      <c r="AH741" s="72" t="str">
        <f aca="false">IF(OR(B741="",C741=""),"",C741&amp;"|"&amp;(YEAR(B741)*100+MONTH(B741)))</f>
        <v/>
      </c>
      <c r="AI741" s="70" t="str">
        <f aca="false">IF(AH741="","",IF(COUNTIF(L_CLAVE,AH741)&gt;1,"⚠ Duplicado","OK"))</f>
        <v/>
      </c>
      <c r="AJ741" s="86" t="str">
        <f aca="false">IF(AH741="","",IF(SUMPRODUCT(MAX((IND_PER&lt;=B741)*(IND_UF&lt;&gt;"")*IND_PER))=0,UF_HOY,INDEX(IND_UF,MATCH(SUMPRODUCT(MAX((IND_PER&lt;=B741)*(IND_UF&lt;&gt;"")*IND_PER)),IND_PER,0))))</f>
        <v/>
      </c>
      <c r="AK741" s="87" t="str">
        <f aca="false">IF(AH741="","",IF(COUNTIF(TASA_DESDE,"&lt;="&amp;B741)=0,INDEX(TASA_EMP,1),INDEX(TASA_EMP,COUNTIF(TASA_DESDE,"&lt;="&amp;B741))))</f>
        <v/>
      </c>
    </row>
    <row r="742" customFormat="false" ht="15" hidden="false" customHeight="false" outlineLevel="0" collapsed="false">
      <c r="B742" s="78"/>
      <c r="C742" s="64"/>
      <c r="D742" s="72" t="str">
        <f aca="false">IF(C742="","",IFERROR(INDEX(T_NOMBRE,MATCH(C742,T_ID,0)),"⚠ ID no existe"))</f>
        <v/>
      </c>
      <c r="E742" s="69"/>
      <c r="F742" s="67"/>
      <c r="G742" s="67"/>
      <c r="H742" s="67"/>
      <c r="I742" s="67"/>
      <c r="J742" s="67"/>
      <c r="K742" s="85" t="str">
        <f aca="false">IF(AH742="","",N(F742)+N(G742)+N(H742)-N(I742)+N(J742))</f>
        <v/>
      </c>
      <c r="L742" s="67"/>
      <c r="M742" s="67"/>
      <c r="N742" s="67"/>
      <c r="O742" s="67"/>
      <c r="P742" s="85" t="str">
        <f aca="false">IF(AH742="","",K742+N(L742)+N(M742)+N(N742)+N(O742))</f>
        <v/>
      </c>
      <c r="Q742" s="67"/>
      <c r="R742" s="67"/>
      <c r="S742" s="67"/>
      <c r="T742" s="67"/>
      <c r="U742" s="67"/>
      <c r="V742" s="67"/>
      <c r="W742" s="85" t="str">
        <f aca="false">IF(AH742="","",N(Q742)+N(R742)+N(S742)+N(T742)+N(U742)+N(V742))</f>
        <v/>
      </c>
      <c r="X742" s="85" t="str">
        <f aca="false">IF(AH742="","",P742-W742)</f>
        <v/>
      </c>
      <c r="Y742" s="67"/>
      <c r="Z742" s="70" t="str">
        <f aca="false">IF(OR(AH742="",Y742=""),"",IF(ABS(X742-Y742)&lt;=1,"✓ Cuadra","⚠ Diferencia $"&amp;FIXED(X742-Y742,0)))</f>
        <v/>
      </c>
      <c r="AA742" s="72" t="str">
        <f aca="false">IF(AH742="","",IFERROR(INDEX(C_TIPO,MATCH(C742&amp;"-P"&amp;MAX(1,COUNTIFS(C_ID,C742,C_DEFINE,"Sí",C_INICIO,"&lt;="&amp;EOMONTH(B742,0))),C_CLAVE,0))&amp;"","Sin dato"))</f>
        <v/>
      </c>
      <c r="AB742" s="71" t="str">
        <f aca="false">IF(AH742="","",ROUND(MIN(K742,TOPE_AFP_UF*AJ742)*AK742,0))</f>
        <v/>
      </c>
      <c r="AC742" s="71" t="str">
        <f aca="false">IF(AH742="","",ROUND(MIN(K742,TOPE_AFC_UF*AJ742)*IF(AA742="Indefinido",AFC_EMP_INDEF,AFC_EMP_PF),0))</f>
        <v/>
      </c>
      <c r="AD742" s="71" t="str">
        <f aca="false">IF(AH742="","",ROUND(MIN(K742,TOPE_AFP_UF*AJ742)*(MUTUAL_BASICA+MUTUAL_ADIC+SANNA),0))</f>
        <v/>
      </c>
      <c r="AE742" s="71" t="str">
        <f aca="false">IF(AH742="","",P742-N(N742)+AB742+AC742+AD742)</f>
        <v/>
      </c>
      <c r="AF742" s="65"/>
      <c r="AG742" s="64"/>
      <c r="AH742" s="72" t="str">
        <f aca="false">IF(OR(B742="",C742=""),"",C742&amp;"|"&amp;(YEAR(B742)*100+MONTH(B742)))</f>
        <v/>
      </c>
      <c r="AI742" s="70" t="str">
        <f aca="false">IF(AH742="","",IF(COUNTIF(L_CLAVE,AH742)&gt;1,"⚠ Duplicado","OK"))</f>
        <v/>
      </c>
      <c r="AJ742" s="86" t="str">
        <f aca="false">IF(AH742="","",IF(SUMPRODUCT(MAX((IND_PER&lt;=B742)*(IND_UF&lt;&gt;"")*IND_PER))=0,UF_HOY,INDEX(IND_UF,MATCH(SUMPRODUCT(MAX((IND_PER&lt;=B742)*(IND_UF&lt;&gt;"")*IND_PER)),IND_PER,0))))</f>
        <v/>
      </c>
      <c r="AK742" s="87" t="str">
        <f aca="false">IF(AH742="","",IF(COUNTIF(TASA_DESDE,"&lt;="&amp;B742)=0,INDEX(TASA_EMP,1),INDEX(TASA_EMP,COUNTIF(TASA_DESDE,"&lt;="&amp;B742))))</f>
        <v/>
      </c>
    </row>
    <row r="743" customFormat="false" ht="15" hidden="false" customHeight="false" outlineLevel="0" collapsed="false">
      <c r="B743" s="78"/>
      <c r="C743" s="64"/>
      <c r="D743" s="72" t="str">
        <f aca="false">IF(C743="","",IFERROR(INDEX(T_NOMBRE,MATCH(C743,T_ID,0)),"⚠ ID no existe"))</f>
        <v/>
      </c>
      <c r="E743" s="69"/>
      <c r="F743" s="67"/>
      <c r="G743" s="67"/>
      <c r="H743" s="67"/>
      <c r="I743" s="67"/>
      <c r="J743" s="67"/>
      <c r="K743" s="85" t="str">
        <f aca="false">IF(AH743="","",N(F743)+N(G743)+N(H743)-N(I743)+N(J743))</f>
        <v/>
      </c>
      <c r="L743" s="67"/>
      <c r="M743" s="67"/>
      <c r="N743" s="67"/>
      <c r="O743" s="67"/>
      <c r="P743" s="85" t="str">
        <f aca="false">IF(AH743="","",K743+N(L743)+N(M743)+N(N743)+N(O743))</f>
        <v/>
      </c>
      <c r="Q743" s="67"/>
      <c r="R743" s="67"/>
      <c r="S743" s="67"/>
      <c r="T743" s="67"/>
      <c r="U743" s="67"/>
      <c r="V743" s="67"/>
      <c r="W743" s="85" t="str">
        <f aca="false">IF(AH743="","",N(Q743)+N(R743)+N(S743)+N(T743)+N(U743)+N(V743))</f>
        <v/>
      </c>
      <c r="X743" s="85" t="str">
        <f aca="false">IF(AH743="","",P743-W743)</f>
        <v/>
      </c>
      <c r="Y743" s="67"/>
      <c r="Z743" s="70" t="str">
        <f aca="false">IF(OR(AH743="",Y743=""),"",IF(ABS(X743-Y743)&lt;=1,"✓ Cuadra","⚠ Diferencia $"&amp;FIXED(X743-Y743,0)))</f>
        <v/>
      </c>
      <c r="AA743" s="72" t="str">
        <f aca="false">IF(AH743="","",IFERROR(INDEX(C_TIPO,MATCH(C743&amp;"-P"&amp;MAX(1,COUNTIFS(C_ID,C743,C_DEFINE,"Sí",C_INICIO,"&lt;="&amp;EOMONTH(B743,0))),C_CLAVE,0))&amp;"","Sin dato"))</f>
        <v/>
      </c>
      <c r="AB743" s="71" t="str">
        <f aca="false">IF(AH743="","",ROUND(MIN(K743,TOPE_AFP_UF*AJ743)*AK743,0))</f>
        <v/>
      </c>
      <c r="AC743" s="71" t="str">
        <f aca="false">IF(AH743="","",ROUND(MIN(K743,TOPE_AFC_UF*AJ743)*IF(AA743="Indefinido",AFC_EMP_INDEF,AFC_EMP_PF),0))</f>
        <v/>
      </c>
      <c r="AD743" s="71" t="str">
        <f aca="false">IF(AH743="","",ROUND(MIN(K743,TOPE_AFP_UF*AJ743)*(MUTUAL_BASICA+MUTUAL_ADIC+SANNA),0))</f>
        <v/>
      </c>
      <c r="AE743" s="71" t="str">
        <f aca="false">IF(AH743="","",P743-N(N743)+AB743+AC743+AD743)</f>
        <v/>
      </c>
      <c r="AF743" s="65"/>
      <c r="AG743" s="64"/>
      <c r="AH743" s="72" t="str">
        <f aca="false">IF(OR(B743="",C743=""),"",C743&amp;"|"&amp;(YEAR(B743)*100+MONTH(B743)))</f>
        <v/>
      </c>
      <c r="AI743" s="70" t="str">
        <f aca="false">IF(AH743="","",IF(COUNTIF(L_CLAVE,AH743)&gt;1,"⚠ Duplicado","OK"))</f>
        <v/>
      </c>
      <c r="AJ743" s="86" t="str">
        <f aca="false">IF(AH743="","",IF(SUMPRODUCT(MAX((IND_PER&lt;=B743)*(IND_UF&lt;&gt;"")*IND_PER))=0,UF_HOY,INDEX(IND_UF,MATCH(SUMPRODUCT(MAX((IND_PER&lt;=B743)*(IND_UF&lt;&gt;"")*IND_PER)),IND_PER,0))))</f>
        <v/>
      </c>
      <c r="AK743" s="87" t="str">
        <f aca="false">IF(AH743="","",IF(COUNTIF(TASA_DESDE,"&lt;="&amp;B743)=0,INDEX(TASA_EMP,1),INDEX(TASA_EMP,COUNTIF(TASA_DESDE,"&lt;="&amp;B743))))</f>
        <v/>
      </c>
    </row>
    <row r="744" customFormat="false" ht="15" hidden="false" customHeight="false" outlineLevel="0" collapsed="false">
      <c r="B744" s="78"/>
      <c r="C744" s="64"/>
      <c r="D744" s="72" t="str">
        <f aca="false">IF(C744="","",IFERROR(INDEX(T_NOMBRE,MATCH(C744,T_ID,0)),"⚠ ID no existe"))</f>
        <v/>
      </c>
      <c r="E744" s="69"/>
      <c r="F744" s="67"/>
      <c r="G744" s="67"/>
      <c r="H744" s="67"/>
      <c r="I744" s="67"/>
      <c r="J744" s="67"/>
      <c r="K744" s="85" t="str">
        <f aca="false">IF(AH744="","",N(F744)+N(G744)+N(H744)-N(I744)+N(J744))</f>
        <v/>
      </c>
      <c r="L744" s="67"/>
      <c r="M744" s="67"/>
      <c r="N744" s="67"/>
      <c r="O744" s="67"/>
      <c r="P744" s="85" t="str">
        <f aca="false">IF(AH744="","",K744+N(L744)+N(M744)+N(N744)+N(O744))</f>
        <v/>
      </c>
      <c r="Q744" s="67"/>
      <c r="R744" s="67"/>
      <c r="S744" s="67"/>
      <c r="T744" s="67"/>
      <c r="U744" s="67"/>
      <c r="V744" s="67"/>
      <c r="W744" s="85" t="str">
        <f aca="false">IF(AH744="","",N(Q744)+N(R744)+N(S744)+N(T744)+N(U744)+N(V744))</f>
        <v/>
      </c>
      <c r="X744" s="85" t="str">
        <f aca="false">IF(AH744="","",P744-W744)</f>
        <v/>
      </c>
      <c r="Y744" s="67"/>
      <c r="Z744" s="70" t="str">
        <f aca="false">IF(OR(AH744="",Y744=""),"",IF(ABS(X744-Y744)&lt;=1,"✓ Cuadra","⚠ Diferencia $"&amp;FIXED(X744-Y744,0)))</f>
        <v/>
      </c>
      <c r="AA744" s="72" t="str">
        <f aca="false">IF(AH744="","",IFERROR(INDEX(C_TIPO,MATCH(C744&amp;"-P"&amp;MAX(1,COUNTIFS(C_ID,C744,C_DEFINE,"Sí",C_INICIO,"&lt;="&amp;EOMONTH(B744,0))),C_CLAVE,0))&amp;"","Sin dato"))</f>
        <v/>
      </c>
      <c r="AB744" s="71" t="str">
        <f aca="false">IF(AH744="","",ROUND(MIN(K744,TOPE_AFP_UF*AJ744)*AK744,0))</f>
        <v/>
      </c>
      <c r="AC744" s="71" t="str">
        <f aca="false">IF(AH744="","",ROUND(MIN(K744,TOPE_AFC_UF*AJ744)*IF(AA744="Indefinido",AFC_EMP_INDEF,AFC_EMP_PF),0))</f>
        <v/>
      </c>
      <c r="AD744" s="71" t="str">
        <f aca="false">IF(AH744="","",ROUND(MIN(K744,TOPE_AFP_UF*AJ744)*(MUTUAL_BASICA+MUTUAL_ADIC+SANNA),0))</f>
        <v/>
      </c>
      <c r="AE744" s="71" t="str">
        <f aca="false">IF(AH744="","",P744-N(N744)+AB744+AC744+AD744)</f>
        <v/>
      </c>
      <c r="AF744" s="65"/>
      <c r="AG744" s="64"/>
      <c r="AH744" s="72" t="str">
        <f aca="false">IF(OR(B744="",C744=""),"",C744&amp;"|"&amp;(YEAR(B744)*100+MONTH(B744)))</f>
        <v/>
      </c>
      <c r="AI744" s="70" t="str">
        <f aca="false">IF(AH744="","",IF(COUNTIF(L_CLAVE,AH744)&gt;1,"⚠ Duplicado","OK"))</f>
        <v/>
      </c>
      <c r="AJ744" s="86" t="str">
        <f aca="false">IF(AH744="","",IF(SUMPRODUCT(MAX((IND_PER&lt;=B744)*(IND_UF&lt;&gt;"")*IND_PER))=0,UF_HOY,INDEX(IND_UF,MATCH(SUMPRODUCT(MAX((IND_PER&lt;=B744)*(IND_UF&lt;&gt;"")*IND_PER)),IND_PER,0))))</f>
        <v/>
      </c>
      <c r="AK744" s="87" t="str">
        <f aca="false">IF(AH744="","",IF(COUNTIF(TASA_DESDE,"&lt;="&amp;B744)=0,INDEX(TASA_EMP,1),INDEX(TASA_EMP,COUNTIF(TASA_DESDE,"&lt;="&amp;B744))))</f>
        <v/>
      </c>
    </row>
    <row r="745" customFormat="false" ht="15" hidden="false" customHeight="false" outlineLevel="0" collapsed="false">
      <c r="B745" s="78"/>
      <c r="C745" s="64"/>
      <c r="D745" s="72" t="str">
        <f aca="false">IF(C745="","",IFERROR(INDEX(T_NOMBRE,MATCH(C745,T_ID,0)),"⚠ ID no existe"))</f>
        <v/>
      </c>
      <c r="E745" s="69"/>
      <c r="F745" s="67"/>
      <c r="G745" s="67"/>
      <c r="H745" s="67"/>
      <c r="I745" s="67"/>
      <c r="J745" s="67"/>
      <c r="K745" s="85" t="str">
        <f aca="false">IF(AH745="","",N(F745)+N(G745)+N(H745)-N(I745)+N(J745))</f>
        <v/>
      </c>
      <c r="L745" s="67"/>
      <c r="M745" s="67"/>
      <c r="N745" s="67"/>
      <c r="O745" s="67"/>
      <c r="P745" s="85" t="str">
        <f aca="false">IF(AH745="","",K745+N(L745)+N(M745)+N(N745)+N(O745))</f>
        <v/>
      </c>
      <c r="Q745" s="67"/>
      <c r="R745" s="67"/>
      <c r="S745" s="67"/>
      <c r="T745" s="67"/>
      <c r="U745" s="67"/>
      <c r="V745" s="67"/>
      <c r="W745" s="85" t="str">
        <f aca="false">IF(AH745="","",N(Q745)+N(R745)+N(S745)+N(T745)+N(U745)+N(V745))</f>
        <v/>
      </c>
      <c r="X745" s="85" t="str">
        <f aca="false">IF(AH745="","",P745-W745)</f>
        <v/>
      </c>
      <c r="Y745" s="67"/>
      <c r="Z745" s="70" t="str">
        <f aca="false">IF(OR(AH745="",Y745=""),"",IF(ABS(X745-Y745)&lt;=1,"✓ Cuadra","⚠ Diferencia $"&amp;FIXED(X745-Y745,0)))</f>
        <v/>
      </c>
      <c r="AA745" s="72" t="str">
        <f aca="false">IF(AH745="","",IFERROR(INDEX(C_TIPO,MATCH(C745&amp;"-P"&amp;MAX(1,COUNTIFS(C_ID,C745,C_DEFINE,"Sí",C_INICIO,"&lt;="&amp;EOMONTH(B745,0))),C_CLAVE,0))&amp;"","Sin dato"))</f>
        <v/>
      </c>
      <c r="AB745" s="71" t="str">
        <f aca="false">IF(AH745="","",ROUND(MIN(K745,TOPE_AFP_UF*AJ745)*AK745,0))</f>
        <v/>
      </c>
      <c r="AC745" s="71" t="str">
        <f aca="false">IF(AH745="","",ROUND(MIN(K745,TOPE_AFC_UF*AJ745)*IF(AA745="Indefinido",AFC_EMP_INDEF,AFC_EMP_PF),0))</f>
        <v/>
      </c>
      <c r="AD745" s="71" t="str">
        <f aca="false">IF(AH745="","",ROUND(MIN(K745,TOPE_AFP_UF*AJ745)*(MUTUAL_BASICA+MUTUAL_ADIC+SANNA),0))</f>
        <v/>
      </c>
      <c r="AE745" s="71" t="str">
        <f aca="false">IF(AH745="","",P745-N(N745)+AB745+AC745+AD745)</f>
        <v/>
      </c>
      <c r="AF745" s="65"/>
      <c r="AG745" s="64"/>
      <c r="AH745" s="72" t="str">
        <f aca="false">IF(OR(B745="",C745=""),"",C745&amp;"|"&amp;(YEAR(B745)*100+MONTH(B745)))</f>
        <v/>
      </c>
      <c r="AI745" s="70" t="str">
        <f aca="false">IF(AH745="","",IF(COUNTIF(L_CLAVE,AH745)&gt;1,"⚠ Duplicado","OK"))</f>
        <v/>
      </c>
      <c r="AJ745" s="86" t="str">
        <f aca="false">IF(AH745="","",IF(SUMPRODUCT(MAX((IND_PER&lt;=B745)*(IND_UF&lt;&gt;"")*IND_PER))=0,UF_HOY,INDEX(IND_UF,MATCH(SUMPRODUCT(MAX((IND_PER&lt;=B745)*(IND_UF&lt;&gt;"")*IND_PER)),IND_PER,0))))</f>
        <v/>
      </c>
      <c r="AK745" s="87" t="str">
        <f aca="false">IF(AH745="","",IF(COUNTIF(TASA_DESDE,"&lt;="&amp;B745)=0,INDEX(TASA_EMP,1),INDEX(TASA_EMP,COUNTIF(TASA_DESDE,"&lt;="&amp;B745))))</f>
        <v/>
      </c>
    </row>
    <row r="746" customFormat="false" ht="15" hidden="false" customHeight="false" outlineLevel="0" collapsed="false">
      <c r="B746" s="78"/>
      <c r="C746" s="64"/>
      <c r="D746" s="72" t="str">
        <f aca="false">IF(C746="","",IFERROR(INDEX(T_NOMBRE,MATCH(C746,T_ID,0)),"⚠ ID no existe"))</f>
        <v/>
      </c>
      <c r="E746" s="69"/>
      <c r="F746" s="67"/>
      <c r="G746" s="67"/>
      <c r="H746" s="67"/>
      <c r="I746" s="67"/>
      <c r="J746" s="67"/>
      <c r="K746" s="85" t="str">
        <f aca="false">IF(AH746="","",N(F746)+N(G746)+N(H746)-N(I746)+N(J746))</f>
        <v/>
      </c>
      <c r="L746" s="67"/>
      <c r="M746" s="67"/>
      <c r="N746" s="67"/>
      <c r="O746" s="67"/>
      <c r="P746" s="85" t="str">
        <f aca="false">IF(AH746="","",K746+N(L746)+N(M746)+N(N746)+N(O746))</f>
        <v/>
      </c>
      <c r="Q746" s="67"/>
      <c r="R746" s="67"/>
      <c r="S746" s="67"/>
      <c r="T746" s="67"/>
      <c r="U746" s="67"/>
      <c r="V746" s="67"/>
      <c r="W746" s="85" t="str">
        <f aca="false">IF(AH746="","",N(Q746)+N(R746)+N(S746)+N(T746)+N(U746)+N(V746))</f>
        <v/>
      </c>
      <c r="X746" s="85" t="str">
        <f aca="false">IF(AH746="","",P746-W746)</f>
        <v/>
      </c>
      <c r="Y746" s="67"/>
      <c r="Z746" s="70" t="str">
        <f aca="false">IF(OR(AH746="",Y746=""),"",IF(ABS(X746-Y746)&lt;=1,"✓ Cuadra","⚠ Diferencia $"&amp;FIXED(X746-Y746,0)))</f>
        <v/>
      </c>
      <c r="AA746" s="72" t="str">
        <f aca="false">IF(AH746="","",IFERROR(INDEX(C_TIPO,MATCH(C746&amp;"-P"&amp;MAX(1,COUNTIFS(C_ID,C746,C_DEFINE,"Sí",C_INICIO,"&lt;="&amp;EOMONTH(B746,0))),C_CLAVE,0))&amp;"","Sin dato"))</f>
        <v/>
      </c>
      <c r="AB746" s="71" t="str">
        <f aca="false">IF(AH746="","",ROUND(MIN(K746,TOPE_AFP_UF*AJ746)*AK746,0))</f>
        <v/>
      </c>
      <c r="AC746" s="71" t="str">
        <f aca="false">IF(AH746="","",ROUND(MIN(K746,TOPE_AFC_UF*AJ746)*IF(AA746="Indefinido",AFC_EMP_INDEF,AFC_EMP_PF),0))</f>
        <v/>
      </c>
      <c r="AD746" s="71" t="str">
        <f aca="false">IF(AH746="","",ROUND(MIN(K746,TOPE_AFP_UF*AJ746)*(MUTUAL_BASICA+MUTUAL_ADIC+SANNA),0))</f>
        <v/>
      </c>
      <c r="AE746" s="71" t="str">
        <f aca="false">IF(AH746="","",P746-N(N746)+AB746+AC746+AD746)</f>
        <v/>
      </c>
      <c r="AF746" s="65"/>
      <c r="AG746" s="64"/>
      <c r="AH746" s="72" t="str">
        <f aca="false">IF(OR(B746="",C746=""),"",C746&amp;"|"&amp;(YEAR(B746)*100+MONTH(B746)))</f>
        <v/>
      </c>
      <c r="AI746" s="70" t="str">
        <f aca="false">IF(AH746="","",IF(COUNTIF(L_CLAVE,AH746)&gt;1,"⚠ Duplicado","OK"))</f>
        <v/>
      </c>
      <c r="AJ746" s="86" t="str">
        <f aca="false">IF(AH746="","",IF(SUMPRODUCT(MAX((IND_PER&lt;=B746)*(IND_UF&lt;&gt;"")*IND_PER))=0,UF_HOY,INDEX(IND_UF,MATCH(SUMPRODUCT(MAX((IND_PER&lt;=B746)*(IND_UF&lt;&gt;"")*IND_PER)),IND_PER,0))))</f>
        <v/>
      </c>
      <c r="AK746" s="87" t="str">
        <f aca="false">IF(AH746="","",IF(COUNTIF(TASA_DESDE,"&lt;="&amp;B746)=0,INDEX(TASA_EMP,1),INDEX(TASA_EMP,COUNTIF(TASA_DESDE,"&lt;="&amp;B746))))</f>
        <v/>
      </c>
    </row>
    <row r="747" customFormat="false" ht="15" hidden="false" customHeight="false" outlineLevel="0" collapsed="false">
      <c r="B747" s="78"/>
      <c r="C747" s="64"/>
      <c r="D747" s="72" t="str">
        <f aca="false">IF(C747="","",IFERROR(INDEX(T_NOMBRE,MATCH(C747,T_ID,0)),"⚠ ID no existe"))</f>
        <v/>
      </c>
      <c r="E747" s="69"/>
      <c r="F747" s="67"/>
      <c r="G747" s="67"/>
      <c r="H747" s="67"/>
      <c r="I747" s="67"/>
      <c r="J747" s="67"/>
      <c r="K747" s="85" t="str">
        <f aca="false">IF(AH747="","",N(F747)+N(G747)+N(H747)-N(I747)+N(J747))</f>
        <v/>
      </c>
      <c r="L747" s="67"/>
      <c r="M747" s="67"/>
      <c r="N747" s="67"/>
      <c r="O747" s="67"/>
      <c r="P747" s="85" t="str">
        <f aca="false">IF(AH747="","",K747+N(L747)+N(M747)+N(N747)+N(O747))</f>
        <v/>
      </c>
      <c r="Q747" s="67"/>
      <c r="R747" s="67"/>
      <c r="S747" s="67"/>
      <c r="T747" s="67"/>
      <c r="U747" s="67"/>
      <c r="V747" s="67"/>
      <c r="W747" s="85" t="str">
        <f aca="false">IF(AH747="","",N(Q747)+N(R747)+N(S747)+N(T747)+N(U747)+N(V747))</f>
        <v/>
      </c>
      <c r="X747" s="85" t="str">
        <f aca="false">IF(AH747="","",P747-W747)</f>
        <v/>
      </c>
      <c r="Y747" s="67"/>
      <c r="Z747" s="70" t="str">
        <f aca="false">IF(OR(AH747="",Y747=""),"",IF(ABS(X747-Y747)&lt;=1,"✓ Cuadra","⚠ Diferencia $"&amp;FIXED(X747-Y747,0)))</f>
        <v/>
      </c>
      <c r="AA747" s="72" t="str">
        <f aca="false">IF(AH747="","",IFERROR(INDEX(C_TIPO,MATCH(C747&amp;"-P"&amp;MAX(1,COUNTIFS(C_ID,C747,C_DEFINE,"Sí",C_INICIO,"&lt;="&amp;EOMONTH(B747,0))),C_CLAVE,0))&amp;"","Sin dato"))</f>
        <v/>
      </c>
      <c r="AB747" s="71" t="str">
        <f aca="false">IF(AH747="","",ROUND(MIN(K747,TOPE_AFP_UF*AJ747)*AK747,0))</f>
        <v/>
      </c>
      <c r="AC747" s="71" t="str">
        <f aca="false">IF(AH747="","",ROUND(MIN(K747,TOPE_AFC_UF*AJ747)*IF(AA747="Indefinido",AFC_EMP_INDEF,AFC_EMP_PF),0))</f>
        <v/>
      </c>
      <c r="AD747" s="71" t="str">
        <f aca="false">IF(AH747="","",ROUND(MIN(K747,TOPE_AFP_UF*AJ747)*(MUTUAL_BASICA+MUTUAL_ADIC+SANNA),0))</f>
        <v/>
      </c>
      <c r="AE747" s="71" t="str">
        <f aca="false">IF(AH747="","",P747-N(N747)+AB747+AC747+AD747)</f>
        <v/>
      </c>
      <c r="AF747" s="65"/>
      <c r="AG747" s="64"/>
      <c r="AH747" s="72" t="str">
        <f aca="false">IF(OR(B747="",C747=""),"",C747&amp;"|"&amp;(YEAR(B747)*100+MONTH(B747)))</f>
        <v/>
      </c>
      <c r="AI747" s="70" t="str">
        <f aca="false">IF(AH747="","",IF(COUNTIF(L_CLAVE,AH747)&gt;1,"⚠ Duplicado","OK"))</f>
        <v/>
      </c>
      <c r="AJ747" s="86" t="str">
        <f aca="false">IF(AH747="","",IF(SUMPRODUCT(MAX((IND_PER&lt;=B747)*(IND_UF&lt;&gt;"")*IND_PER))=0,UF_HOY,INDEX(IND_UF,MATCH(SUMPRODUCT(MAX((IND_PER&lt;=B747)*(IND_UF&lt;&gt;"")*IND_PER)),IND_PER,0))))</f>
        <v/>
      </c>
      <c r="AK747" s="87" t="str">
        <f aca="false">IF(AH747="","",IF(COUNTIF(TASA_DESDE,"&lt;="&amp;B747)=0,INDEX(TASA_EMP,1),INDEX(TASA_EMP,COUNTIF(TASA_DESDE,"&lt;="&amp;B747))))</f>
        <v/>
      </c>
    </row>
    <row r="748" customFormat="false" ht="15" hidden="false" customHeight="false" outlineLevel="0" collapsed="false">
      <c r="B748" s="78"/>
      <c r="C748" s="64"/>
      <c r="D748" s="72" t="str">
        <f aca="false">IF(C748="","",IFERROR(INDEX(T_NOMBRE,MATCH(C748,T_ID,0)),"⚠ ID no existe"))</f>
        <v/>
      </c>
      <c r="E748" s="69"/>
      <c r="F748" s="67"/>
      <c r="G748" s="67"/>
      <c r="H748" s="67"/>
      <c r="I748" s="67"/>
      <c r="J748" s="67"/>
      <c r="K748" s="85" t="str">
        <f aca="false">IF(AH748="","",N(F748)+N(G748)+N(H748)-N(I748)+N(J748))</f>
        <v/>
      </c>
      <c r="L748" s="67"/>
      <c r="M748" s="67"/>
      <c r="N748" s="67"/>
      <c r="O748" s="67"/>
      <c r="P748" s="85" t="str">
        <f aca="false">IF(AH748="","",K748+N(L748)+N(M748)+N(N748)+N(O748))</f>
        <v/>
      </c>
      <c r="Q748" s="67"/>
      <c r="R748" s="67"/>
      <c r="S748" s="67"/>
      <c r="T748" s="67"/>
      <c r="U748" s="67"/>
      <c r="V748" s="67"/>
      <c r="W748" s="85" t="str">
        <f aca="false">IF(AH748="","",N(Q748)+N(R748)+N(S748)+N(T748)+N(U748)+N(V748))</f>
        <v/>
      </c>
      <c r="X748" s="85" t="str">
        <f aca="false">IF(AH748="","",P748-W748)</f>
        <v/>
      </c>
      <c r="Y748" s="67"/>
      <c r="Z748" s="70" t="str">
        <f aca="false">IF(OR(AH748="",Y748=""),"",IF(ABS(X748-Y748)&lt;=1,"✓ Cuadra","⚠ Diferencia $"&amp;FIXED(X748-Y748,0)))</f>
        <v/>
      </c>
      <c r="AA748" s="72" t="str">
        <f aca="false">IF(AH748="","",IFERROR(INDEX(C_TIPO,MATCH(C748&amp;"-P"&amp;MAX(1,COUNTIFS(C_ID,C748,C_DEFINE,"Sí",C_INICIO,"&lt;="&amp;EOMONTH(B748,0))),C_CLAVE,0))&amp;"","Sin dato"))</f>
        <v/>
      </c>
      <c r="AB748" s="71" t="str">
        <f aca="false">IF(AH748="","",ROUND(MIN(K748,TOPE_AFP_UF*AJ748)*AK748,0))</f>
        <v/>
      </c>
      <c r="AC748" s="71" t="str">
        <f aca="false">IF(AH748="","",ROUND(MIN(K748,TOPE_AFC_UF*AJ748)*IF(AA748="Indefinido",AFC_EMP_INDEF,AFC_EMP_PF),0))</f>
        <v/>
      </c>
      <c r="AD748" s="71" t="str">
        <f aca="false">IF(AH748="","",ROUND(MIN(K748,TOPE_AFP_UF*AJ748)*(MUTUAL_BASICA+MUTUAL_ADIC+SANNA),0))</f>
        <v/>
      </c>
      <c r="AE748" s="71" t="str">
        <f aca="false">IF(AH748="","",P748-N(N748)+AB748+AC748+AD748)</f>
        <v/>
      </c>
      <c r="AF748" s="65"/>
      <c r="AG748" s="64"/>
      <c r="AH748" s="72" t="str">
        <f aca="false">IF(OR(B748="",C748=""),"",C748&amp;"|"&amp;(YEAR(B748)*100+MONTH(B748)))</f>
        <v/>
      </c>
      <c r="AI748" s="70" t="str">
        <f aca="false">IF(AH748="","",IF(COUNTIF(L_CLAVE,AH748)&gt;1,"⚠ Duplicado","OK"))</f>
        <v/>
      </c>
      <c r="AJ748" s="86" t="str">
        <f aca="false">IF(AH748="","",IF(SUMPRODUCT(MAX((IND_PER&lt;=B748)*(IND_UF&lt;&gt;"")*IND_PER))=0,UF_HOY,INDEX(IND_UF,MATCH(SUMPRODUCT(MAX((IND_PER&lt;=B748)*(IND_UF&lt;&gt;"")*IND_PER)),IND_PER,0))))</f>
        <v/>
      </c>
      <c r="AK748" s="87" t="str">
        <f aca="false">IF(AH748="","",IF(COUNTIF(TASA_DESDE,"&lt;="&amp;B748)=0,INDEX(TASA_EMP,1),INDEX(TASA_EMP,COUNTIF(TASA_DESDE,"&lt;="&amp;B748))))</f>
        <v/>
      </c>
    </row>
    <row r="749" customFormat="false" ht="15" hidden="false" customHeight="false" outlineLevel="0" collapsed="false">
      <c r="B749" s="78"/>
      <c r="C749" s="64"/>
      <c r="D749" s="72" t="str">
        <f aca="false">IF(C749="","",IFERROR(INDEX(T_NOMBRE,MATCH(C749,T_ID,0)),"⚠ ID no existe"))</f>
        <v/>
      </c>
      <c r="E749" s="69"/>
      <c r="F749" s="67"/>
      <c r="G749" s="67"/>
      <c r="H749" s="67"/>
      <c r="I749" s="67"/>
      <c r="J749" s="67"/>
      <c r="K749" s="85" t="str">
        <f aca="false">IF(AH749="","",N(F749)+N(G749)+N(H749)-N(I749)+N(J749))</f>
        <v/>
      </c>
      <c r="L749" s="67"/>
      <c r="M749" s="67"/>
      <c r="N749" s="67"/>
      <c r="O749" s="67"/>
      <c r="P749" s="85" t="str">
        <f aca="false">IF(AH749="","",K749+N(L749)+N(M749)+N(N749)+N(O749))</f>
        <v/>
      </c>
      <c r="Q749" s="67"/>
      <c r="R749" s="67"/>
      <c r="S749" s="67"/>
      <c r="T749" s="67"/>
      <c r="U749" s="67"/>
      <c r="V749" s="67"/>
      <c r="W749" s="85" t="str">
        <f aca="false">IF(AH749="","",N(Q749)+N(R749)+N(S749)+N(T749)+N(U749)+N(V749))</f>
        <v/>
      </c>
      <c r="X749" s="85" t="str">
        <f aca="false">IF(AH749="","",P749-W749)</f>
        <v/>
      </c>
      <c r="Y749" s="67"/>
      <c r="Z749" s="70" t="str">
        <f aca="false">IF(OR(AH749="",Y749=""),"",IF(ABS(X749-Y749)&lt;=1,"✓ Cuadra","⚠ Diferencia $"&amp;FIXED(X749-Y749,0)))</f>
        <v/>
      </c>
      <c r="AA749" s="72" t="str">
        <f aca="false">IF(AH749="","",IFERROR(INDEX(C_TIPO,MATCH(C749&amp;"-P"&amp;MAX(1,COUNTIFS(C_ID,C749,C_DEFINE,"Sí",C_INICIO,"&lt;="&amp;EOMONTH(B749,0))),C_CLAVE,0))&amp;"","Sin dato"))</f>
        <v/>
      </c>
      <c r="AB749" s="71" t="str">
        <f aca="false">IF(AH749="","",ROUND(MIN(K749,TOPE_AFP_UF*AJ749)*AK749,0))</f>
        <v/>
      </c>
      <c r="AC749" s="71" t="str">
        <f aca="false">IF(AH749="","",ROUND(MIN(K749,TOPE_AFC_UF*AJ749)*IF(AA749="Indefinido",AFC_EMP_INDEF,AFC_EMP_PF),0))</f>
        <v/>
      </c>
      <c r="AD749" s="71" t="str">
        <f aca="false">IF(AH749="","",ROUND(MIN(K749,TOPE_AFP_UF*AJ749)*(MUTUAL_BASICA+MUTUAL_ADIC+SANNA),0))</f>
        <v/>
      </c>
      <c r="AE749" s="71" t="str">
        <f aca="false">IF(AH749="","",P749-N(N749)+AB749+AC749+AD749)</f>
        <v/>
      </c>
      <c r="AF749" s="65"/>
      <c r="AG749" s="64"/>
      <c r="AH749" s="72" t="str">
        <f aca="false">IF(OR(B749="",C749=""),"",C749&amp;"|"&amp;(YEAR(B749)*100+MONTH(B749)))</f>
        <v/>
      </c>
      <c r="AI749" s="70" t="str">
        <f aca="false">IF(AH749="","",IF(COUNTIF(L_CLAVE,AH749)&gt;1,"⚠ Duplicado","OK"))</f>
        <v/>
      </c>
      <c r="AJ749" s="86" t="str">
        <f aca="false">IF(AH749="","",IF(SUMPRODUCT(MAX((IND_PER&lt;=B749)*(IND_UF&lt;&gt;"")*IND_PER))=0,UF_HOY,INDEX(IND_UF,MATCH(SUMPRODUCT(MAX((IND_PER&lt;=B749)*(IND_UF&lt;&gt;"")*IND_PER)),IND_PER,0))))</f>
        <v/>
      </c>
      <c r="AK749" s="87" t="str">
        <f aca="false">IF(AH749="","",IF(COUNTIF(TASA_DESDE,"&lt;="&amp;B749)=0,INDEX(TASA_EMP,1),INDEX(TASA_EMP,COUNTIF(TASA_DESDE,"&lt;="&amp;B749))))</f>
        <v/>
      </c>
    </row>
    <row r="750" customFormat="false" ht="15" hidden="false" customHeight="false" outlineLevel="0" collapsed="false">
      <c r="B750" s="78"/>
      <c r="C750" s="64"/>
      <c r="D750" s="72" t="str">
        <f aca="false">IF(C750="","",IFERROR(INDEX(T_NOMBRE,MATCH(C750,T_ID,0)),"⚠ ID no existe"))</f>
        <v/>
      </c>
      <c r="E750" s="69"/>
      <c r="F750" s="67"/>
      <c r="G750" s="67"/>
      <c r="H750" s="67"/>
      <c r="I750" s="67"/>
      <c r="J750" s="67"/>
      <c r="K750" s="85" t="str">
        <f aca="false">IF(AH750="","",N(F750)+N(G750)+N(H750)-N(I750)+N(J750))</f>
        <v/>
      </c>
      <c r="L750" s="67"/>
      <c r="M750" s="67"/>
      <c r="N750" s="67"/>
      <c r="O750" s="67"/>
      <c r="P750" s="85" t="str">
        <f aca="false">IF(AH750="","",K750+N(L750)+N(M750)+N(N750)+N(O750))</f>
        <v/>
      </c>
      <c r="Q750" s="67"/>
      <c r="R750" s="67"/>
      <c r="S750" s="67"/>
      <c r="T750" s="67"/>
      <c r="U750" s="67"/>
      <c r="V750" s="67"/>
      <c r="W750" s="85" t="str">
        <f aca="false">IF(AH750="","",N(Q750)+N(R750)+N(S750)+N(T750)+N(U750)+N(V750))</f>
        <v/>
      </c>
      <c r="X750" s="85" t="str">
        <f aca="false">IF(AH750="","",P750-W750)</f>
        <v/>
      </c>
      <c r="Y750" s="67"/>
      <c r="Z750" s="70" t="str">
        <f aca="false">IF(OR(AH750="",Y750=""),"",IF(ABS(X750-Y750)&lt;=1,"✓ Cuadra","⚠ Diferencia $"&amp;FIXED(X750-Y750,0)))</f>
        <v/>
      </c>
      <c r="AA750" s="72" t="str">
        <f aca="false">IF(AH750="","",IFERROR(INDEX(C_TIPO,MATCH(C750&amp;"-P"&amp;MAX(1,COUNTIFS(C_ID,C750,C_DEFINE,"Sí",C_INICIO,"&lt;="&amp;EOMONTH(B750,0))),C_CLAVE,0))&amp;"","Sin dato"))</f>
        <v/>
      </c>
      <c r="AB750" s="71" t="str">
        <f aca="false">IF(AH750="","",ROUND(MIN(K750,TOPE_AFP_UF*AJ750)*AK750,0))</f>
        <v/>
      </c>
      <c r="AC750" s="71" t="str">
        <f aca="false">IF(AH750="","",ROUND(MIN(K750,TOPE_AFC_UF*AJ750)*IF(AA750="Indefinido",AFC_EMP_INDEF,AFC_EMP_PF),0))</f>
        <v/>
      </c>
      <c r="AD750" s="71" t="str">
        <f aca="false">IF(AH750="","",ROUND(MIN(K750,TOPE_AFP_UF*AJ750)*(MUTUAL_BASICA+MUTUAL_ADIC+SANNA),0))</f>
        <v/>
      </c>
      <c r="AE750" s="71" t="str">
        <f aca="false">IF(AH750="","",P750-N(N750)+AB750+AC750+AD750)</f>
        <v/>
      </c>
      <c r="AF750" s="65"/>
      <c r="AG750" s="64"/>
      <c r="AH750" s="72" t="str">
        <f aca="false">IF(OR(B750="",C750=""),"",C750&amp;"|"&amp;(YEAR(B750)*100+MONTH(B750)))</f>
        <v/>
      </c>
      <c r="AI750" s="70" t="str">
        <f aca="false">IF(AH750="","",IF(COUNTIF(L_CLAVE,AH750)&gt;1,"⚠ Duplicado","OK"))</f>
        <v/>
      </c>
      <c r="AJ750" s="86" t="str">
        <f aca="false">IF(AH750="","",IF(SUMPRODUCT(MAX((IND_PER&lt;=B750)*(IND_UF&lt;&gt;"")*IND_PER))=0,UF_HOY,INDEX(IND_UF,MATCH(SUMPRODUCT(MAX((IND_PER&lt;=B750)*(IND_UF&lt;&gt;"")*IND_PER)),IND_PER,0))))</f>
        <v/>
      </c>
      <c r="AK750" s="87" t="str">
        <f aca="false">IF(AH750="","",IF(COUNTIF(TASA_DESDE,"&lt;="&amp;B750)=0,INDEX(TASA_EMP,1),INDEX(TASA_EMP,COUNTIF(TASA_DESDE,"&lt;="&amp;B750))))</f>
        <v/>
      </c>
    </row>
    <row r="751" customFormat="false" ht="15" hidden="false" customHeight="false" outlineLevel="0" collapsed="false">
      <c r="B751" s="78"/>
      <c r="C751" s="64"/>
      <c r="D751" s="72" t="str">
        <f aca="false">IF(C751="","",IFERROR(INDEX(T_NOMBRE,MATCH(C751,T_ID,0)),"⚠ ID no existe"))</f>
        <v/>
      </c>
      <c r="E751" s="69"/>
      <c r="F751" s="67"/>
      <c r="G751" s="67"/>
      <c r="H751" s="67"/>
      <c r="I751" s="67"/>
      <c r="J751" s="67"/>
      <c r="K751" s="85" t="str">
        <f aca="false">IF(AH751="","",N(F751)+N(G751)+N(H751)-N(I751)+N(J751))</f>
        <v/>
      </c>
      <c r="L751" s="67"/>
      <c r="M751" s="67"/>
      <c r="N751" s="67"/>
      <c r="O751" s="67"/>
      <c r="P751" s="85" t="str">
        <f aca="false">IF(AH751="","",K751+N(L751)+N(M751)+N(N751)+N(O751))</f>
        <v/>
      </c>
      <c r="Q751" s="67"/>
      <c r="R751" s="67"/>
      <c r="S751" s="67"/>
      <c r="T751" s="67"/>
      <c r="U751" s="67"/>
      <c r="V751" s="67"/>
      <c r="W751" s="85" t="str">
        <f aca="false">IF(AH751="","",N(Q751)+N(R751)+N(S751)+N(T751)+N(U751)+N(V751))</f>
        <v/>
      </c>
      <c r="X751" s="85" t="str">
        <f aca="false">IF(AH751="","",P751-W751)</f>
        <v/>
      </c>
      <c r="Y751" s="67"/>
      <c r="Z751" s="70" t="str">
        <f aca="false">IF(OR(AH751="",Y751=""),"",IF(ABS(X751-Y751)&lt;=1,"✓ Cuadra","⚠ Diferencia $"&amp;FIXED(X751-Y751,0)))</f>
        <v/>
      </c>
      <c r="AA751" s="72" t="str">
        <f aca="false">IF(AH751="","",IFERROR(INDEX(C_TIPO,MATCH(C751&amp;"-P"&amp;MAX(1,COUNTIFS(C_ID,C751,C_DEFINE,"Sí",C_INICIO,"&lt;="&amp;EOMONTH(B751,0))),C_CLAVE,0))&amp;"","Sin dato"))</f>
        <v/>
      </c>
      <c r="AB751" s="71" t="str">
        <f aca="false">IF(AH751="","",ROUND(MIN(K751,TOPE_AFP_UF*AJ751)*AK751,0))</f>
        <v/>
      </c>
      <c r="AC751" s="71" t="str">
        <f aca="false">IF(AH751="","",ROUND(MIN(K751,TOPE_AFC_UF*AJ751)*IF(AA751="Indefinido",AFC_EMP_INDEF,AFC_EMP_PF),0))</f>
        <v/>
      </c>
      <c r="AD751" s="71" t="str">
        <f aca="false">IF(AH751="","",ROUND(MIN(K751,TOPE_AFP_UF*AJ751)*(MUTUAL_BASICA+MUTUAL_ADIC+SANNA),0))</f>
        <v/>
      </c>
      <c r="AE751" s="71" t="str">
        <f aca="false">IF(AH751="","",P751-N(N751)+AB751+AC751+AD751)</f>
        <v/>
      </c>
      <c r="AF751" s="65"/>
      <c r="AG751" s="64"/>
      <c r="AH751" s="72" t="str">
        <f aca="false">IF(OR(B751="",C751=""),"",C751&amp;"|"&amp;(YEAR(B751)*100+MONTH(B751)))</f>
        <v/>
      </c>
      <c r="AI751" s="70" t="str">
        <f aca="false">IF(AH751="","",IF(COUNTIF(L_CLAVE,AH751)&gt;1,"⚠ Duplicado","OK"))</f>
        <v/>
      </c>
      <c r="AJ751" s="86" t="str">
        <f aca="false">IF(AH751="","",IF(SUMPRODUCT(MAX((IND_PER&lt;=B751)*(IND_UF&lt;&gt;"")*IND_PER))=0,UF_HOY,INDEX(IND_UF,MATCH(SUMPRODUCT(MAX((IND_PER&lt;=B751)*(IND_UF&lt;&gt;"")*IND_PER)),IND_PER,0))))</f>
        <v/>
      </c>
      <c r="AK751" s="87" t="str">
        <f aca="false">IF(AH751="","",IF(COUNTIF(TASA_DESDE,"&lt;="&amp;B751)=0,INDEX(TASA_EMP,1),INDEX(TASA_EMP,COUNTIF(TASA_DESDE,"&lt;="&amp;B751))))</f>
        <v/>
      </c>
    </row>
    <row r="752" customFormat="false" ht="15" hidden="false" customHeight="false" outlineLevel="0" collapsed="false">
      <c r="B752" s="78"/>
      <c r="C752" s="64"/>
      <c r="D752" s="72" t="str">
        <f aca="false">IF(C752="","",IFERROR(INDEX(T_NOMBRE,MATCH(C752,T_ID,0)),"⚠ ID no existe"))</f>
        <v/>
      </c>
      <c r="E752" s="69"/>
      <c r="F752" s="67"/>
      <c r="G752" s="67"/>
      <c r="H752" s="67"/>
      <c r="I752" s="67"/>
      <c r="J752" s="67"/>
      <c r="K752" s="85" t="str">
        <f aca="false">IF(AH752="","",N(F752)+N(G752)+N(H752)-N(I752)+N(J752))</f>
        <v/>
      </c>
      <c r="L752" s="67"/>
      <c r="M752" s="67"/>
      <c r="N752" s="67"/>
      <c r="O752" s="67"/>
      <c r="P752" s="85" t="str">
        <f aca="false">IF(AH752="","",K752+N(L752)+N(M752)+N(N752)+N(O752))</f>
        <v/>
      </c>
      <c r="Q752" s="67"/>
      <c r="R752" s="67"/>
      <c r="S752" s="67"/>
      <c r="T752" s="67"/>
      <c r="U752" s="67"/>
      <c r="V752" s="67"/>
      <c r="W752" s="85" t="str">
        <f aca="false">IF(AH752="","",N(Q752)+N(R752)+N(S752)+N(T752)+N(U752)+N(V752))</f>
        <v/>
      </c>
      <c r="X752" s="85" t="str">
        <f aca="false">IF(AH752="","",P752-W752)</f>
        <v/>
      </c>
      <c r="Y752" s="67"/>
      <c r="Z752" s="70" t="str">
        <f aca="false">IF(OR(AH752="",Y752=""),"",IF(ABS(X752-Y752)&lt;=1,"✓ Cuadra","⚠ Diferencia $"&amp;FIXED(X752-Y752,0)))</f>
        <v/>
      </c>
      <c r="AA752" s="72" t="str">
        <f aca="false">IF(AH752="","",IFERROR(INDEX(C_TIPO,MATCH(C752&amp;"-P"&amp;MAX(1,COUNTIFS(C_ID,C752,C_DEFINE,"Sí",C_INICIO,"&lt;="&amp;EOMONTH(B752,0))),C_CLAVE,0))&amp;"","Sin dato"))</f>
        <v/>
      </c>
      <c r="AB752" s="71" t="str">
        <f aca="false">IF(AH752="","",ROUND(MIN(K752,TOPE_AFP_UF*AJ752)*AK752,0))</f>
        <v/>
      </c>
      <c r="AC752" s="71" t="str">
        <f aca="false">IF(AH752="","",ROUND(MIN(K752,TOPE_AFC_UF*AJ752)*IF(AA752="Indefinido",AFC_EMP_INDEF,AFC_EMP_PF),0))</f>
        <v/>
      </c>
      <c r="AD752" s="71" t="str">
        <f aca="false">IF(AH752="","",ROUND(MIN(K752,TOPE_AFP_UF*AJ752)*(MUTUAL_BASICA+MUTUAL_ADIC+SANNA),0))</f>
        <v/>
      </c>
      <c r="AE752" s="71" t="str">
        <f aca="false">IF(AH752="","",P752-N(N752)+AB752+AC752+AD752)</f>
        <v/>
      </c>
      <c r="AF752" s="65"/>
      <c r="AG752" s="64"/>
      <c r="AH752" s="72" t="str">
        <f aca="false">IF(OR(B752="",C752=""),"",C752&amp;"|"&amp;(YEAR(B752)*100+MONTH(B752)))</f>
        <v/>
      </c>
      <c r="AI752" s="70" t="str">
        <f aca="false">IF(AH752="","",IF(COUNTIF(L_CLAVE,AH752)&gt;1,"⚠ Duplicado","OK"))</f>
        <v/>
      </c>
      <c r="AJ752" s="86" t="str">
        <f aca="false">IF(AH752="","",IF(SUMPRODUCT(MAX((IND_PER&lt;=B752)*(IND_UF&lt;&gt;"")*IND_PER))=0,UF_HOY,INDEX(IND_UF,MATCH(SUMPRODUCT(MAX((IND_PER&lt;=B752)*(IND_UF&lt;&gt;"")*IND_PER)),IND_PER,0))))</f>
        <v/>
      </c>
      <c r="AK752" s="87" t="str">
        <f aca="false">IF(AH752="","",IF(COUNTIF(TASA_DESDE,"&lt;="&amp;B752)=0,INDEX(TASA_EMP,1),INDEX(TASA_EMP,COUNTIF(TASA_DESDE,"&lt;="&amp;B752))))</f>
        <v/>
      </c>
    </row>
    <row r="753" customFormat="false" ht="15" hidden="false" customHeight="false" outlineLevel="0" collapsed="false">
      <c r="B753" s="78"/>
      <c r="C753" s="64"/>
      <c r="D753" s="72" t="str">
        <f aca="false">IF(C753="","",IFERROR(INDEX(T_NOMBRE,MATCH(C753,T_ID,0)),"⚠ ID no existe"))</f>
        <v/>
      </c>
      <c r="E753" s="69"/>
      <c r="F753" s="67"/>
      <c r="G753" s="67"/>
      <c r="H753" s="67"/>
      <c r="I753" s="67"/>
      <c r="J753" s="67"/>
      <c r="K753" s="85" t="str">
        <f aca="false">IF(AH753="","",N(F753)+N(G753)+N(H753)-N(I753)+N(J753))</f>
        <v/>
      </c>
      <c r="L753" s="67"/>
      <c r="M753" s="67"/>
      <c r="N753" s="67"/>
      <c r="O753" s="67"/>
      <c r="P753" s="85" t="str">
        <f aca="false">IF(AH753="","",K753+N(L753)+N(M753)+N(N753)+N(O753))</f>
        <v/>
      </c>
      <c r="Q753" s="67"/>
      <c r="R753" s="67"/>
      <c r="S753" s="67"/>
      <c r="T753" s="67"/>
      <c r="U753" s="67"/>
      <c r="V753" s="67"/>
      <c r="W753" s="85" t="str">
        <f aca="false">IF(AH753="","",N(Q753)+N(R753)+N(S753)+N(T753)+N(U753)+N(V753))</f>
        <v/>
      </c>
      <c r="X753" s="85" t="str">
        <f aca="false">IF(AH753="","",P753-W753)</f>
        <v/>
      </c>
      <c r="Y753" s="67"/>
      <c r="Z753" s="70" t="str">
        <f aca="false">IF(OR(AH753="",Y753=""),"",IF(ABS(X753-Y753)&lt;=1,"✓ Cuadra","⚠ Diferencia $"&amp;FIXED(X753-Y753,0)))</f>
        <v/>
      </c>
      <c r="AA753" s="72" t="str">
        <f aca="false">IF(AH753="","",IFERROR(INDEX(C_TIPO,MATCH(C753&amp;"-P"&amp;MAX(1,COUNTIFS(C_ID,C753,C_DEFINE,"Sí",C_INICIO,"&lt;="&amp;EOMONTH(B753,0))),C_CLAVE,0))&amp;"","Sin dato"))</f>
        <v/>
      </c>
      <c r="AB753" s="71" t="str">
        <f aca="false">IF(AH753="","",ROUND(MIN(K753,TOPE_AFP_UF*AJ753)*AK753,0))</f>
        <v/>
      </c>
      <c r="AC753" s="71" t="str">
        <f aca="false">IF(AH753="","",ROUND(MIN(K753,TOPE_AFC_UF*AJ753)*IF(AA753="Indefinido",AFC_EMP_INDEF,AFC_EMP_PF),0))</f>
        <v/>
      </c>
      <c r="AD753" s="71" t="str">
        <f aca="false">IF(AH753="","",ROUND(MIN(K753,TOPE_AFP_UF*AJ753)*(MUTUAL_BASICA+MUTUAL_ADIC+SANNA),0))</f>
        <v/>
      </c>
      <c r="AE753" s="71" t="str">
        <f aca="false">IF(AH753="","",P753-N(N753)+AB753+AC753+AD753)</f>
        <v/>
      </c>
      <c r="AF753" s="65"/>
      <c r="AG753" s="64"/>
      <c r="AH753" s="72" t="str">
        <f aca="false">IF(OR(B753="",C753=""),"",C753&amp;"|"&amp;(YEAR(B753)*100+MONTH(B753)))</f>
        <v/>
      </c>
      <c r="AI753" s="70" t="str">
        <f aca="false">IF(AH753="","",IF(COUNTIF(L_CLAVE,AH753)&gt;1,"⚠ Duplicado","OK"))</f>
        <v/>
      </c>
      <c r="AJ753" s="86" t="str">
        <f aca="false">IF(AH753="","",IF(SUMPRODUCT(MAX((IND_PER&lt;=B753)*(IND_UF&lt;&gt;"")*IND_PER))=0,UF_HOY,INDEX(IND_UF,MATCH(SUMPRODUCT(MAX((IND_PER&lt;=B753)*(IND_UF&lt;&gt;"")*IND_PER)),IND_PER,0))))</f>
        <v/>
      </c>
      <c r="AK753" s="87" t="str">
        <f aca="false">IF(AH753="","",IF(COUNTIF(TASA_DESDE,"&lt;="&amp;B753)=0,INDEX(TASA_EMP,1),INDEX(TASA_EMP,COUNTIF(TASA_DESDE,"&lt;="&amp;B753))))</f>
        <v/>
      </c>
    </row>
    <row r="754" customFormat="false" ht="15" hidden="false" customHeight="false" outlineLevel="0" collapsed="false">
      <c r="B754" s="78"/>
      <c r="C754" s="64"/>
      <c r="D754" s="72" t="str">
        <f aca="false">IF(C754="","",IFERROR(INDEX(T_NOMBRE,MATCH(C754,T_ID,0)),"⚠ ID no existe"))</f>
        <v/>
      </c>
      <c r="E754" s="69"/>
      <c r="F754" s="67"/>
      <c r="G754" s="67"/>
      <c r="H754" s="67"/>
      <c r="I754" s="67"/>
      <c r="J754" s="67"/>
      <c r="K754" s="85" t="str">
        <f aca="false">IF(AH754="","",N(F754)+N(G754)+N(H754)-N(I754)+N(J754))</f>
        <v/>
      </c>
      <c r="L754" s="67"/>
      <c r="M754" s="67"/>
      <c r="N754" s="67"/>
      <c r="O754" s="67"/>
      <c r="P754" s="85" t="str">
        <f aca="false">IF(AH754="","",K754+N(L754)+N(M754)+N(N754)+N(O754))</f>
        <v/>
      </c>
      <c r="Q754" s="67"/>
      <c r="R754" s="67"/>
      <c r="S754" s="67"/>
      <c r="T754" s="67"/>
      <c r="U754" s="67"/>
      <c r="V754" s="67"/>
      <c r="W754" s="85" t="str">
        <f aca="false">IF(AH754="","",N(Q754)+N(R754)+N(S754)+N(T754)+N(U754)+N(V754))</f>
        <v/>
      </c>
      <c r="X754" s="85" t="str">
        <f aca="false">IF(AH754="","",P754-W754)</f>
        <v/>
      </c>
      <c r="Y754" s="67"/>
      <c r="Z754" s="70" t="str">
        <f aca="false">IF(OR(AH754="",Y754=""),"",IF(ABS(X754-Y754)&lt;=1,"✓ Cuadra","⚠ Diferencia $"&amp;FIXED(X754-Y754,0)))</f>
        <v/>
      </c>
      <c r="AA754" s="72" t="str">
        <f aca="false">IF(AH754="","",IFERROR(INDEX(C_TIPO,MATCH(C754&amp;"-P"&amp;MAX(1,COUNTIFS(C_ID,C754,C_DEFINE,"Sí",C_INICIO,"&lt;="&amp;EOMONTH(B754,0))),C_CLAVE,0))&amp;"","Sin dato"))</f>
        <v/>
      </c>
      <c r="AB754" s="71" t="str">
        <f aca="false">IF(AH754="","",ROUND(MIN(K754,TOPE_AFP_UF*AJ754)*AK754,0))</f>
        <v/>
      </c>
      <c r="AC754" s="71" t="str">
        <f aca="false">IF(AH754="","",ROUND(MIN(K754,TOPE_AFC_UF*AJ754)*IF(AA754="Indefinido",AFC_EMP_INDEF,AFC_EMP_PF),0))</f>
        <v/>
      </c>
      <c r="AD754" s="71" t="str">
        <f aca="false">IF(AH754="","",ROUND(MIN(K754,TOPE_AFP_UF*AJ754)*(MUTUAL_BASICA+MUTUAL_ADIC+SANNA),0))</f>
        <v/>
      </c>
      <c r="AE754" s="71" t="str">
        <f aca="false">IF(AH754="","",P754-N(N754)+AB754+AC754+AD754)</f>
        <v/>
      </c>
      <c r="AF754" s="65"/>
      <c r="AG754" s="64"/>
      <c r="AH754" s="72" t="str">
        <f aca="false">IF(OR(B754="",C754=""),"",C754&amp;"|"&amp;(YEAR(B754)*100+MONTH(B754)))</f>
        <v/>
      </c>
      <c r="AI754" s="70" t="str">
        <f aca="false">IF(AH754="","",IF(COUNTIF(L_CLAVE,AH754)&gt;1,"⚠ Duplicado","OK"))</f>
        <v/>
      </c>
      <c r="AJ754" s="86" t="str">
        <f aca="false">IF(AH754="","",IF(SUMPRODUCT(MAX((IND_PER&lt;=B754)*(IND_UF&lt;&gt;"")*IND_PER))=0,UF_HOY,INDEX(IND_UF,MATCH(SUMPRODUCT(MAX((IND_PER&lt;=B754)*(IND_UF&lt;&gt;"")*IND_PER)),IND_PER,0))))</f>
        <v/>
      </c>
      <c r="AK754" s="87" t="str">
        <f aca="false">IF(AH754="","",IF(COUNTIF(TASA_DESDE,"&lt;="&amp;B754)=0,INDEX(TASA_EMP,1),INDEX(TASA_EMP,COUNTIF(TASA_DESDE,"&lt;="&amp;B754))))</f>
        <v/>
      </c>
    </row>
    <row r="755" customFormat="false" ht="15" hidden="false" customHeight="false" outlineLevel="0" collapsed="false">
      <c r="B755" s="78"/>
      <c r="C755" s="64"/>
      <c r="D755" s="72" t="str">
        <f aca="false">IF(C755="","",IFERROR(INDEX(T_NOMBRE,MATCH(C755,T_ID,0)),"⚠ ID no existe"))</f>
        <v/>
      </c>
      <c r="E755" s="69"/>
      <c r="F755" s="67"/>
      <c r="G755" s="67"/>
      <c r="H755" s="67"/>
      <c r="I755" s="67"/>
      <c r="J755" s="67"/>
      <c r="K755" s="85" t="str">
        <f aca="false">IF(AH755="","",N(F755)+N(G755)+N(H755)-N(I755)+N(J755))</f>
        <v/>
      </c>
      <c r="L755" s="67"/>
      <c r="M755" s="67"/>
      <c r="N755" s="67"/>
      <c r="O755" s="67"/>
      <c r="P755" s="85" t="str">
        <f aca="false">IF(AH755="","",K755+N(L755)+N(M755)+N(N755)+N(O755))</f>
        <v/>
      </c>
      <c r="Q755" s="67"/>
      <c r="R755" s="67"/>
      <c r="S755" s="67"/>
      <c r="T755" s="67"/>
      <c r="U755" s="67"/>
      <c r="V755" s="67"/>
      <c r="W755" s="85" t="str">
        <f aca="false">IF(AH755="","",N(Q755)+N(R755)+N(S755)+N(T755)+N(U755)+N(V755))</f>
        <v/>
      </c>
      <c r="X755" s="85" t="str">
        <f aca="false">IF(AH755="","",P755-W755)</f>
        <v/>
      </c>
      <c r="Y755" s="67"/>
      <c r="Z755" s="70" t="str">
        <f aca="false">IF(OR(AH755="",Y755=""),"",IF(ABS(X755-Y755)&lt;=1,"✓ Cuadra","⚠ Diferencia $"&amp;FIXED(X755-Y755,0)))</f>
        <v/>
      </c>
      <c r="AA755" s="72" t="str">
        <f aca="false">IF(AH755="","",IFERROR(INDEX(C_TIPO,MATCH(C755&amp;"-P"&amp;MAX(1,COUNTIFS(C_ID,C755,C_DEFINE,"Sí",C_INICIO,"&lt;="&amp;EOMONTH(B755,0))),C_CLAVE,0))&amp;"","Sin dato"))</f>
        <v/>
      </c>
      <c r="AB755" s="71" t="str">
        <f aca="false">IF(AH755="","",ROUND(MIN(K755,TOPE_AFP_UF*AJ755)*AK755,0))</f>
        <v/>
      </c>
      <c r="AC755" s="71" t="str">
        <f aca="false">IF(AH755="","",ROUND(MIN(K755,TOPE_AFC_UF*AJ755)*IF(AA755="Indefinido",AFC_EMP_INDEF,AFC_EMP_PF),0))</f>
        <v/>
      </c>
      <c r="AD755" s="71" t="str">
        <f aca="false">IF(AH755="","",ROUND(MIN(K755,TOPE_AFP_UF*AJ755)*(MUTUAL_BASICA+MUTUAL_ADIC+SANNA),0))</f>
        <v/>
      </c>
      <c r="AE755" s="71" t="str">
        <f aca="false">IF(AH755="","",P755-N(N755)+AB755+AC755+AD755)</f>
        <v/>
      </c>
      <c r="AF755" s="65"/>
      <c r="AG755" s="64"/>
      <c r="AH755" s="72" t="str">
        <f aca="false">IF(OR(B755="",C755=""),"",C755&amp;"|"&amp;(YEAR(B755)*100+MONTH(B755)))</f>
        <v/>
      </c>
      <c r="AI755" s="70" t="str">
        <f aca="false">IF(AH755="","",IF(COUNTIF(L_CLAVE,AH755)&gt;1,"⚠ Duplicado","OK"))</f>
        <v/>
      </c>
      <c r="AJ755" s="86" t="str">
        <f aca="false">IF(AH755="","",IF(SUMPRODUCT(MAX((IND_PER&lt;=B755)*(IND_UF&lt;&gt;"")*IND_PER))=0,UF_HOY,INDEX(IND_UF,MATCH(SUMPRODUCT(MAX((IND_PER&lt;=B755)*(IND_UF&lt;&gt;"")*IND_PER)),IND_PER,0))))</f>
        <v/>
      </c>
      <c r="AK755" s="87" t="str">
        <f aca="false">IF(AH755="","",IF(COUNTIF(TASA_DESDE,"&lt;="&amp;B755)=0,INDEX(TASA_EMP,1),INDEX(TASA_EMP,COUNTIF(TASA_DESDE,"&lt;="&amp;B755))))</f>
        <v/>
      </c>
    </row>
    <row r="756" customFormat="false" ht="15" hidden="false" customHeight="false" outlineLevel="0" collapsed="false">
      <c r="B756" s="78"/>
      <c r="C756" s="64"/>
      <c r="D756" s="72" t="str">
        <f aca="false">IF(C756="","",IFERROR(INDEX(T_NOMBRE,MATCH(C756,T_ID,0)),"⚠ ID no existe"))</f>
        <v/>
      </c>
      <c r="E756" s="69"/>
      <c r="F756" s="67"/>
      <c r="G756" s="67"/>
      <c r="H756" s="67"/>
      <c r="I756" s="67"/>
      <c r="J756" s="67"/>
      <c r="K756" s="85" t="str">
        <f aca="false">IF(AH756="","",N(F756)+N(G756)+N(H756)-N(I756)+N(J756))</f>
        <v/>
      </c>
      <c r="L756" s="67"/>
      <c r="M756" s="67"/>
      <c r="N756" s="67"/>
      <c r="O756" s="67"/>
      <c r="P756" s="85" t="str">
        <f aca="false">IF(AH756="","",K756+N(L756)+N(M756)+N(N756)+N(O756))</f>
        <v/>
      </c>
      <c r="Q756" s="67"/>
      <c r="R756" s="67"/>
      <c r="S756" s="67"/>
      <c r="T756" s="67"/>
      <c r="U756" s="67"/>
      <c r="V756" s="67"/>
      <c r="W756" s="85" t="str">
        <f aca="false">IF(AH756="","",N(Q756)+N(R756)+N(S756)+N(T756)+N(U756)+N(V756))</f>
        <v/>
      </c>
      <c r="X756" s="85" t="str">
        <f aca="false">IF(AH756="","",P756-W756)</f>
        <v/>
      </c>
      <c r="Y756" s="67"/>
      <c r="Z756" s="70" t="str">
        <f aca="false">IF(OR(AH756="",Y756=""),"",IF(ABS(X756-Y756)&lt;=1,"✓ Cuadra","⚠ Diferencia $"&amp;FIXED(X756-Y756,0)))</f>
        <v/>
      </c>
      <c r="AA756" s="72" t="str">
        <f aca="false">IF(AH756="","",IFERROR(INDEX(C_TIPO,MATCH(C756&amp;"-P"&amp;MAX(1,COUNTIFS(C_ID,C756,C_DEFINE,"Sí",C_INICIO,"&lt;="&amp;EOMONTH(B756,0))),C_CLAVE,0))&amp;"","Sin dato"))</f>
        <v/>
      </c>
      <c r="AB756" s="71" t="str">
        <f aca="false">IF(AH756="","",ROUND(MIN(K756,TOPE_AFP_UF*AJ756)*AK756,0))</f>
        <v/>
      </c>
      <c r="AC756" s="71" t="str">
        <f aca="false">IF(AH756="","",ROUND(MIN(K756,TOPE_AFC_UF*AJ756)*IF(AA756="Indefinido",AFC_EMP_INDEF,AFC_EMP_PF),0))</f>
        <v/>
      </c>
      <c r="AD756" s="71" t="str">
        <f aca="false">IF(AH756="","",ROUND(MIN(K756,TOPE_AFP_UF*AJ756)*(MUTUAL_BASICA+MUTUAL_ADIC+SANNA),0))</f>
        <v/>
      </c>
      <c r="AE756" s="71" t="str">
        <f aca="false">IF(AH756="","",P756-N(N756)+AB756+AC756+AD756)</f>
        <v/>
      </c>
      <c r="AF756" s="65"/>
      <c r="AG756" s="64"/>
      <c r="AH756" s="72" t="str">
        <f aca="false">IF(OR(B756="",C756=""),"",C756&amp;"|"&amp;(YEAR(B756)*100+MONTH(B756)))</f>
        <v/>
      </c>
      <c r="AI756" s="70" t="str">
        <f aca="false">IF(AH756="","",IF(COUNTIF(L_CLAVE,AH756)&gt;1,"⚠ Duplicado","OK"))</f>
        <v/>
      </c>
      <c r="AJ756" s="86" t="str">
        <f aca="false">IF(AH756="","",IF(SUMPRODUCT(MAX((IND_PER&lt;=B756)*(IND_UF&lt;&gt;"")*IND_PER))=0,UF_HOY,INDEX(IND_UF,MATCH(SUMPRODUCT(MAX((IND_PER&lt;=B756)*(IND_UF&lt;&gt;"")*IND_PER)),IND_PER,0))))</f>
        <v/>
      </c>
      <c r="AK756" s="87" t="str">
        <f aca="false">IF(AH756="","",IF(COUNTIF(TASA_DESDE,"&lt;="&amp;B756)=0,INDEX(TASA_EMP,1),INDEX(TASA_EMP,COUNTIF(TASA_DESDE,"&lt;="&amp;B756))))</f>
        <v/>
      </c>
    </row>
    <row r="757" customFormat="false" ht="15" hidden="false" customHeight="false" outlineLevel="0" collapsed="false">
      <c r="B757" s="78"/>
      <c r="C757" s="64"/>
      <c r="D757" s="72" t="str">
        <f aca="false">IF(C757="","",IFERROR(INDEX(T_NOMBRE,MATCH(C757,T_ID,0)),"⚠ ID no existe"))</f>
        <v/>
      </c>
      <c r="E757" s="69"/>
      <c r="F757" s="67"/>
      <c r="G757" s="67"/>
      <c r="H757" s="67"/>
      <c r="I757" s="67"/>
      <c r="J757" s="67"/>
      <c r="K757" s="85" t="str">
        <f aca="false">IF(AH757="","",N(F757)+N(G757)+N(H757)-N(I757)+N(J757))</f>
        <v/>
      </c>
      <c r="L757" s="67"/>
      <c r="M757" s="67"/>
      <c r="N757" s="67"/>
      <c r="O757" s="67"/>
      <c r="P757" s="85" t="str">
        <f aca="false">IF(AH757="","",K757+N(L757)+N(M757)+N(N757)+N(O757))</f>
        <v/>
      </c>
      <c r="Q757" s="67"/>
      <c r="R757" s="67"/>
      <c r="S757" s="67"/>
      <c r="T757" s="67"/>
      <c r="U757" s="67"/>
      <c r="V757" s="67"/>
      <c r="W757" s="85" t="str">
        <f aca="false">IF(AH757="","",N(Q757)+N(R757)+N(S757)+N(T757)+N(U757)+N(V757))</f>
        <v/>
      </c>
      <c r="X757" s="85" t="str">
        <f aca="false">IF(AH757="","",P757-W757)</f>
        <v/>
      </c>
      <c r="Y757" s="67"/>
      <c r="Z757" s="70" t="str">
        <f aca="false">IF(OR(AH757="",Y757=""),"",IF(ABS(X757-Y757)&lt;=1,"✓ Cuadra","⚠ Diferencia $"&amp;FIXED(X757-Y757,0)))</f>
        <v/>
      </c>
      <c r="AA757" s="72" t="str">
        <f aca="false">IF(AH757="","",IFERROR(INDEX(C_TIPO,MATCH(C757&amp;"-P"&amp;MAX(1,COUNTIFS(C_ID,C757,C_DEFINE,"Sí",C_INICIO,"&lt;="&amp;EOMONTH(B757,0))),C_CLAVE,0))&amp;"","Sin dato"))</f>
        <v/>
      </c>
      <c r="AB757" s="71" t="str">
        <f aca="false">IF(AH757="","",ROUND(MIN(K757,TOPE_AFP_UF*AJ757)*AK757,0))</f>
        <v/>
      </c>
      <c r="AC757" s="71" t="str">
        <f aca="false">IF(AH757="","",ROUND(MIN(K757,TOPE_AFC_UF*AJ757)*IF(AA757="Indefinido",AFC_EMP_INDEF,AFC_EMP_PF),0))</f>
        <v/>
      </c>
      <c r="AD757" s="71" t="str">
        <f aca="false">IF(AH757="","",ROUND(MIN(K757,TOPE_AFP_UF*AJ757)*(MUTUAL_BASICA+MUTUAL_ADIC+SANNA),0))</f>
        <v/>
      </c>
      <c r="AE757" s="71" t="str">
        <f aca="false">IF(AH757="","",P757-N(N757)+AB757+AC757+AD757)</f>
        <v/>
      </c>
      <c r="AF757" s="65"/>
      <c r="AG757" s="64"/>
      <c r="AH757" s="72" t="str">
        <f aca="false">IF(OR(B757="",C757=""),"",C757&amp;"|"&amp;(YEAR(B757)*100+MONTH(B757)))</f>
        <v/>
      </c>
      <c r="AI757" s="70" t="str">
        <f aca="false">IF(AH757="","",IF(COUNTIF(L_CLAVE,AH757)&gt;1,"⚠ Duplicado","OK"))</f>
        <v/>
      </c>
      <c r="AJ757" s="86" t="str">
        <f aca="false">IF(AH757="","",IF(SUMPRODUCT(MAX((IND_PER&lt;=B757)*(IND_UF&lt;&gt;"")*IND_PER))=0,UF_HOY,INDEX(IND_UF,MATCH(SUMPRODUCT(MAX((IND_PER&lt;=B757)*(IND_UF&lt;&gt;"")*IND_PER)),IND_PER,0))))</f>
        <v/>
      </c>
      <c r="AK757" s="87" t="str">
        <f aca="false">IF(AH757="","",IF(COUNTIF(TASA_DESDE,"&lt;="&amp;B757)=0,INDEX(TASA_EMP,1),INDEX(TASA_EMP,COUNTIF(TASA_DESDE,"&lt;="&amp;B757))))</f>
        <v/>
      </c>
    </row>
    <row r="758" customFormat="false" ht="15" hidden="false" customHeight="false" outlineLevel="0" collapsed="false">
      <c r="B758" s="78"/>
      <c r="C758" s="64"/>
      <c r="D758" s="72" t="str">
        <f aca="false">IF(C758="","",IFERROR(INDEX(T_NOMBRE,MATCH(C758,T_ID,0)),"⚠ ID no existe"))</f>
        <v/>
      </c>
      <c r="E758" s="69"/>
      <c r="F758" s="67"/>
      <c r="G758" s="67"/>
      <c r="H758" s="67"/>
      <c r="I758" s="67"/>
      <c r="J758" s="67"/>
      <c r="K758" s="85" t="str">
        <f aca="false">IF(AH758="","",N(F758)+N(G758)+N(H758)-N(I758)+N(J758))</f>
        <v/>
      </c>
      <c r="L758" s="67"/>
      <c r="M758" s="67"/>
      <c r="N758" s="67"/>
      <c r="O758" s="67"/>
      <c r="P758" s="85" t="str">
        <f aca="false">IF(AH758="","",K758+N(L758)+N(M758)+N(N758)+N(O758))</f>
        <v/>
      </c>
      <c r="Q758" s="67"/>
      <c r="R758" s="67"/>
      <c r="S758" s="67"/>
      <c r="T758" s="67"/>
      <c r="U758" s="67"/>
      <c r="V758" s="67"/>
      <c r="W758" s="85" t="str">
        <f aca="false">IF(AH758="","",N(Q758)+N(R758)+N(S758)+N(T758)+N(U758)+N(V758))</f>
        <v/>
      </c>
      <c r="X758" s="85" t="str">
        <f aca="false">IF(AH758="","",P758-W758)</f>
        <v/>
      </c>
      <c r="Y758" s="67"/>
      <c r="Z758" s="70" t="str">
        <f aca="false">IF(OR(AH758="",Y758=""),"",IF(ABS(X758-Y758)&lt;=1,"✓ Cuadra","⚠ Diferencia $"&amp;FIXED(X758-Y758,0)))</f>
        <v/>
      </c>
      <c r="AA758" s="72" t="str">
        <f aca="false">IF(AH758="","",IFERROR(INDEX(C_TIPO,MATCH(C758&amp;"-P"&amp;MAX(1,COUNTIFS(C_ID,C758,C_DEFINE,"Sí",C_INICIO,"&lt;="&amp;EOMONTH(B758,0))),C_CLAVE,0))&amp;"","Sin dato"))</f>
        <v/>
      </c>
      <c r="AB758" s="71" t="str">
        <f aca="false">IF(AH758="","",ROUND(MIN(K758,TOPE_AFP_UF*AJ758)*AK758,0))</f>
        <v/>
      </c>
      <c r="AC758" s="71" t="str">
        <f aca="false">IF(AH758="","",ROUND(MIN(K758,TOPE_AFC_UF*AJ758)*IF(AA758="Indefinido",AFC_EMP_INDEF,AFC_EMP_PF),0))</f>
        <v/>
      </c>
      <c r="AD758" s="71" t="str">
        <f aca="false">IF(AH758="","",ROUND(MIN(K758,TOPE_AFP_UF*AJ758)*(MUTUAL_BASICA+MUTUAL_ADIC+SANNA),0))</f>
        <v/>
      </c>
      <c r="AE758" s="71" t="str">
        <f aca="false">IF(AH758="","",P758-N(N758)+AB758+AC758+AD758)</f>
        <v/>
      </c>
      <c r="AF758" s="65"/>
      <c r="AG758" s="64"/>
      <c r="AH758" s="72" t="str">
        <f aca="false">IF(OR(B758="",C758=""),"",C758&amp;"|"&amp;(YEAR(B758)*100+MONTH(B758)))</f>
        <v/>
      </c>
      <c r="AI758" s="70" t="str">
        <f aca="false">IF(AH758="","",IF(COUNTIF(L_CLAVE,AH758)&gt;1,"⚠ Duplicado","OK"))</f>
        <v/>
      </c>
      <c r="AJ758" s="86" t="str">
        <f aca="false">IF(AH758="","",IF(SUMPRODUCT(MAX((IND_PER&lt;=B758)*(IND_UF&lt;&gt;"")*IND_PER))=0,UF_HOY,INDEX(IND_UF,MATCH(SUMPRODUCT(MAX((IND_PER&lt;=B758)*(IND_UF&lt;&gt;"")*IND_PER)),IND_PER,0))))</f>
        <v/>
      </c>
      <c r="AK758" s="87" t="str">
        <f aca="false">IF(AH758="","",IF(COUNTIF(TASA_DESDE,"&lt;="&amp;B758)=0,INDEX(TASA_EMP,1),INDEX(TASA_EMP,COUNTIF(TASA_DESDE,"&lt;="&amp;B758))))</f>
        <v/>
      </c>
    </row>
    <row r="759" customFormat="false" ht="15" hidden="false" customHeight="false" outlineLevel="0" collapsed="false">
      <c r="B759" s="78"/>
      <c r="C759" s="64"/>
      <c r="D759" s="72" t="str">
        <f aca="false">IF(C759="","",IFERROR(INDEX(T_NOMBRE,MATCH(C759,T_ID,0)),"⚠ ID no existe"))</f>
        <v/>
      </c>
      <c r="E759" s="69"/>
      <c r="F759" s="67"/>
      <c r="G759" s="67"/>
      <c r="H759" s="67"/>
      <c r="I759" s="67"/>
      <c r="J759" s="67"/>
      <c r="K759" s="85" t="str">
        <f aca="false">IF(AH759="","",N(F759)+N(G759)+N(H759)-N(I759)+N(J759))</f>
        <v/>
      </c>
      <c r="L759" s="67"/>
      <c r="M759" s="67"/>
      <c r="N759" s="67"/>
      <c r="O759" s="67"/>
      <c r="P759" s="85" t="str">
        <f aca="false">IF(AH759="","",K759+N(L759)+N(M759)+N(N759)+N(O759))</f>
        <v/>
      </c>
      <c r="Q759" s="67"/>
      <c r="R759" s="67"/>
      <c r="S759" s="67"/>
      <c r="T759" s="67"/>
      <c r="U759" s="67"/>
      <c r="V759" s="67"/>
      <c r="W759" s="85" t="str">
        <f aca="false">IF(AH759="","",N(Q759)+N(R759)+N(S759)+N(T759)+N(U759)+N(V759))</f>
        <v/>
      </c>
      <c r="X759" s="85" t="str">
        <f aca="false">IF(AH759="","",P759-W759)</f>
        <v/>
      </c>
      <c r="Y759" s="67"/>
      <c r="Z759" s="70" t="str">
        <f aca="false">IF(OR(AH759="",Y759=""),"",IF(ABS(X759-Y759)&lt;=1,"✓ Cuadra","⚠ Diferencia $"&amp;FIXED(X759-Y759,0)))</f>
        <v/>
      </c>
      <c r="AA759" s="72" t="str">
        <f aca="false">IF(AH759="","",IFERROR(INDEX(C_TIPO,MATCH(C759&amp;"-P"&amp;MAX(1,COUNTIFS(C_ID,C759,C_DEFINE,"Sí",C_INICIO,"&lt;="&amp;EOMONTH(B759,0))),C_CLAVE,0))&amp;"","Sin dato"))</f>
        <v/>
      </c>
      <c r="AB759" s="71" t="str">
        <f aca="false">IF(AH759="","",ROUND(MIN(K759,TOPE_AFP_UF*AJ759)*AK759,0))</f>
        <v/>
      </c>
      <c r="AC759" s="71" t="str">
        <f aca="false">IF(AH759="","",ROUND(MIN(K759,TOPE_AFC_UF*AJ759)*IF(AA759="Indefinido",AFC_EMP_INDEF,AFC_EMP_PF),0))</f>
        <v/>
      </c>
      <c r="AD759" s="71" t="str">
        <f aca="false">IF(AH759="","",ROUND(MIN(K759,TOPE_AFP_UF*AJ759)*(MUTUAL_BASICA+MUTUAL_ADIC+SANNA),0))</f>
        <v/>
      </c>
      <c r="AE759" s="71" t="str">
        <f aca="false">IF(AH759="","",P759-N(N759)+AB759+AC759+AD759)</f>
        <v/>
      </c>
      <c r="AF759" s="65"/>
      <c r="AG759" s="64"/>
      <c r="AH759" s="72" t="str">
        <f aca="false">IF(OR(B759="",C759=""),"",C759&amp;"|"&amp;(YEAR(B759)*100+MONTH(B759)))</f>
        <v/>
      </c>
      <c r="AI759" s="70" t="str">
        <f aca="false">IF(AH759="","",IF(COUNTIF(L_CLAVE,AH759)&gt;1,"⚠ Duplicado","OK"))</f>
        <v/>
      </c>
      <c r="AJ759" s="86" t="str">
        <f aca="false">IF(AH759="","",IF(SUMPRODUCT(MAX((IND_PER&lt;=B759)*(IND_UF&lt;&gt;"")*IND_PER))=0,UF_HOY,INDEX(IND_UF,MATCH(SUMPRODUCT(MAX((IND_PER&lt;=B759)*(IND_UF&lt;&gt;"")*IND_PER)),IND_PER,0))))</f>
        <v/>
      </c>
      <c r="AK759" s="87" t="str">
        <f aca="false">IF(AH759="","",IF(COUNTIF(TASA_DESDE,"&lt;="&amp;B759)=0,INDEX(TASA_EMP,1),INDEX(TASA_EMP,COUNTIF(TASA_DESDE,"&lt;="&amp;B759))))</f>
        <v/>
      </c>
    </row>
    <row r="760" customFormat="false" ht="15" hidden="false" customHeight="false" outlineLevel="0" collapsed="false">
      <c r="B760" s="78"/>
      <c r="C760" s="64"/>
      <c r="D760" s="72" t="str">
        <f aca="false">IF(C760="","",IFERROR(INDEX(T_NOMBRE,MATCH(C760,T_ID,0)),"⚠ ID no existe"))</f>
        <v/>
      </c>
      <c r="E760" s="69"/>
      <c r="F760" s="67"/>
      <c r="G760" s="67"/>
      <c r="H760" s="67"/>
      <c r="I760" s="67"/>
      <c r="J760" s="67"/>
      <c r="K760" s="85" t="str">
        <f aca="false">IF(AH760="","",N(F760)+N(G760)+N(H760)-N(I760)+N(J760))</f>
        <v/>
      </c>
      <c r="L760" s="67"/>
      <c r="M760" s="67"/>
      <c r="N760" s="67"/>
      <c r="O760" s="67"/>
      <c r="P760" s="85" t="str">
        <f aca="false">IF(AH760="","",K760+N(L760)+N(M760)+N(N760)+N(O760))</f>
        <v/>
      </c>
      <c r="Q760" s="67"/>
      <c r="R760" s="67"/>
      <c r="S760" s="67"/>
      <c r="T760" s="67"/>
      <c r="U760" s="67"/>
      <c r="V760" s="67"/>
      <c r="W760" s="85" t="str">
        <f aca="false">IF(AH760="","",N(Q760)+N(R760)+N(S760)+N(T760)+N(U760)+N(V760))</f>
        <v/>
      </c>
      <c r="X760" s="85" t="str">
        <f aca="false">IF(AH760="","",P760-W760)</f>
        <v/>
      </c>
      <c r="Y760" s="67"/>
      <c r="Z760" s="70" t="str">
        <f aca="false">IF(OR(AH760="",Y760=""),"",IF(ABS(X760-Y760)&lt;=1,"✓ Cuadra","⚠ Diferencia $"&amp;FIXED(X760-Y760,0)))</f>
        <v/>
      </c>
      <c r="AA760" s="72" t="str">
        <f aca="false">IF(AH760="","",IFERROR(INDEX(C_TIPO,MATCH(C760&amp;"-P"&amp;MAX(1,COUNTIFS(C_ID,C760,C_DEFINE,"Sí",C_INICIO,"&lt;="&amp;EOMONTH(B760,0))),C_CLAVE,0))&amp;"","Sin dato"))</f>
        <v/>
      </c>
      <c r="AB760" s="71" t="str">
        <f aca="false">IF(AH760="","",ROUND(MIN(K760,TOPE_AFP_UF*AJ760)*AK760,0))</f>
        <v/>
      </c>
      <c r="AC760" s="71" t="str">
        <f aca="false">IF(AH760="","",ROUND(MIN(K760,TOPE_AFC_UF*AJ760)*IF(AA760="Indefinido",AFC_EMP_INDEF,AFC_EMP_PF),0))</f>
        <v/>
      </c>
      <c r="AD760" s="71" t="str">
        <f aca="false">IF(AH760="","",ROUND(MIN(K760,TOPE_AFP_UF*AJ760)*(MUTUAL_BASICA+MUTUAL_ADIC+SANNA),0))</f>
        <v/>
      </c>
      <c r="AE760" s="71" t="str">
        <f aca="false">IF(AH760="","",P760-N(N760)+AB760+AC760+AD760)</f>
        <v/>
      </c>
      <c r="AF760" s="65"/>
      <c r="AG760" s="64"/>
      <c r="AH760" s="72" t="str">
        <f aca="false">IF(OR(B760="",C760=""),"",C760&amp;"|"&amp;(YEAR(B760)*100+MONTH(B760)))</f>
        <v/>
      </c>
      <c r="AI760" s="70" t="str">
        <f aca="false">IF(AH760="","",IF(COUNTIF(L_CLAVE,AH760)&gt;1,"⚠ Duplicado","OK"))</f>
        <v/>
      </c>
      <c r="AJ760" s="86" t="str">
        <f aca="false">IF(AH760="","",IF(SUMPRODUCT(MAX((IND_PER&lt;=B760)*(IND_UF&lt;&gt;"")*IND_PER))=0,UF_HOY,INDEX(IND_UF,MATCH(SUMPRODUCT(MAX((IND_PER&lt;=B760)*(IND_UF&lt;&gt;"")*IND_PER)),IND_PER,0))))</f>
        <v/>
      </c>
      <c r="AK760" s="87" t="str">
        <f aca="false">IF(AH760="","",IF(COUNTIF(TASA_DESDE,"&lt;="&amp;B760)=0,INDEX(TASA_EMP,1),INDEX(TASA_EMP,COUNTIF(TASA_DESDE,"&lt;="&amp;B760))))</f>
        <v/>
      </c>
    </row>
    <row r="761" customFormat="false" ht="15" hidden="false" customHeight="false" outlineLevel="0" collapsed="false">
      <c r="B761" s="78"/>
      <c r="C761" s="64"/>
      <c r="D761" s="72" t="str">
        <f aca="false">IF(C761="","",IFERROR(INDEX(T_NOMBRE,MATCH(C761,T_ID,0)),"⚠ ID no existe"))</f>
        <v/>
      </c>
      <c r="E761" s="69"/>
      <c r="F761" s="67"/>
      <c r="G761" s="67"/>
      <c r="H761" s="67"/>
      <c r="I761" s="67"/>
      <c r="J761" s="67"/>
      <c r="K761" s="85" t="str">
        <f aca="false">IF(AH761="","",N(F761)+N(G761)+N(H761)-N(I761)+N(J761))</f>
        <v/>
      </c>
      <c r="L761" s="67"/>
      <c r="M761" s="67"/>
      <c r="N761" s="67"/>
      <c r="O761" s="67"/>
      <c r="P761" s="85" t="str">
        <f aca="false">IF(AH761="","",K761+N(L761)+N(M761)+N(N761)+N(O761))</f>
        <v/>
      </c>
      <c r="Q761" s="67"/>
      <c r="R761" s="67"/>
      <c r="S761" s="67"/>
      <c r="T761" s="67"/>
      <c r="U761" s="67"/>
      <c r="V761" s="67"/>
      <c r="W761" s="85" t="str">
        <f aca="false">IF(AH761="","",N(Q761)+N(R761)+N(S761)+N(T761)+N(U761)+N(V761))</f>
        <v/>
      </c>
      <c r="X761" s="85" t="str">
        <f aca="false">IF(AH761="","",P761-W761)</f>
        <v/>
      </c>
      <c r="Y761" s="67"/>
      <c r="Z761" s="70" t="str">
        <f aca="false">IF(OR(AH761="",Y761=""),"",IF(ABS(X761-Y761)&lt;=1,"✓ Cuadra","⚠ Diferencia $"&amp;FIXED(X761-Y761,0)))</f>
        <v/>
      </c>
      <c r="AA761" s="72" t="str">
        <f aca="false">IF(AH761="","",IFERROR(INDEX(C_TIPO,MATCH(C761&amp;"-P"&amp;MAX(1,COUNTIFS(C_ID,C761,C_DEFINE,"Sí",C_INICIO,"&lt;="&amp;EOMONTH(B761,0))),C_CLAVE,0))&amp;"","Sin dato"))</f>
        <v/>
      </c>
      <c r="AB761" s="71" t="str">
        <f aca="false">IF(AH761="","",ROUND(MIN(K761,TOPE_AFP_UF*AJ761)*AK761,0))</f>
        <v/>
      </c>
      <c r="AC761" s="71" t="str">
        <f aca="false">IF(AH761="","",ROUND(MIN(K761,TOPE_AFC_UF*AJ761)*IF(AA761="Indefinido",AFC_EMP_INDEF,AFC_EMP_PF),0))</f>
        <v/>
      </c>
      <c r="AD761" s="71" t="str">
        <f aca="false">IF(AH761="","",ROUND(MIN(K761,TOPE_AFP_UF*AJ761)*(MUTUAL_BASICA+MUTUAL_ADIC+SANNA),0))</f>
        <v/>
      </c>
      <c r="AE761" s="71" t="str">
        <f aca="false">IF(AH761="","",P761-N(N761)+AB761+AC761+AD761)</f>
        <v/>
      </c>
      <c r="AF761" s="65"/>
      <c r="AG761" s="64"/>
      <c r="AH761" s="72" t="str">
        <f aca="false">IF(OR(B761="",C761=""),"",C761&amp;"|"&amp;(YEAR(B761)*100+MONTH(B761)))</f>
        <v/>
      </c>
      <c r="AI761" s="70" t="str">
        <f aca="false">IF(AH761="","",IF(COUNTIF(L_CLAVE,AH761)&gt;1,"⚠ Duplicado","OK"))</f>
        <v/>
      </c>
      <c r="AJ761" s="86" t="str">
        <f aca="false">IF(AH761="","",IF(SUMPRODUCT(MAX((IND_PER&lt;=B761)*(IND_UF&lt;&gt;"")*IND_PER))=0,UF_HOY,INDEX(IND_UF,MATCH(SUMPRODUCT(MAX((IND_PER&lt;=B761)*(IND_UF&lt;&gt;"")*IND_PER)),IND_PER,0))))</f>
        <v/>
      </c>
      <c r="AK761" s="87" t="str">
        <f aca="false">IF(AH761="","",IF(COUNTIF(TASA_DESDE,"&lt;="&amp;B761)=0,INDEX(TASA_EMP,1),INDEX(TASA_EMP,COUNTIF(TASA_DESDE,"&lt;="&amp;B761))))</f>
        <v/>
      </c>
    </row>
    <row r="762" customFormat="false" ht="15" hidden="false" customHeight="false" outlineLevel="0" collapsed="false">
      <c r="B762" s="78"/>
      <c r="C762" s="64"/>
      <c r="D762" s="72" t="str">
        <f aca="false">IF(C762="","",IFERROR(INDEX(T_NOMBRE,MATCH(C762,T_ID,0)),"⚠ ID no existe"))</f>
        <v/>
      </c>
      <c r="E762" s="69"/>
      <c r="F762" s="67"/>
      <c r="G762" s="67"/>
      <c r="H762" s="67"/>
      <c r="I762" s="67"/>
      <c r="J762" s="67"/>
      <c r="K762" s="85" t="str">
        <f aca="false">IF(AH762="","",N(F762)+N(G762)+N(H762)-N(I762)+N(J762))</f>
        <v/>
      </c>
      <c r="L762" s="67"/>
      <c r="M762" s="67"/>
      <c r="N762" s="67"/>
      <c r="O762" s="67"/>
      <c r="P762" s="85" t="str">
        <f aca="false">IF(AH762="","",K762+N(L762)+N(M762)+N(N762)+N(O762))</f>
        <v/>
      </c>
      <c r="Q762" s="67"/>
      <c r="R762" s="67"/>
      <c r="S762" s="67"/>
      <c r="T762" s="67"/>
      <c r="U762" s="67"/>
      <c r="V762" s="67"/>
      <c r="W762" s="85" t="str">
        <f aca="false">IF(AH762="","",N(Q762)+N(R762)+N(S762)+N(T762)+N(U762)+N(V762))</f>
        <v/>
      </c>
      <c r="X762" s="85" t="str">
        <f aca="false">IF(AH762="","",P762-W762)</f>
        <v/>
      </c>
      <c r="Y762" s="67"/>
      <c r="Z762" s="70" t="str">
        <f aca="false">IF(OR(AH762="",Y762=""),"",IF(ABS(X762-Y762)&lt;=1,"✓ Cuadra","⚠ Diferencia $"&amp;FIXED(X762-Y762,0)))</f>
        <v/>
      </c>
      <c r="AA762" s="72" t="str">
        <f aca="false">IF(AH762="","",IFERROR(INDEX(C_TIPO,MATCH(C762&amp;"-P"&amp;MAX(1,COUNTIFS(C_ID,C762,C_DEFINE,"Sí",C_INICIO,"&lt;="&amp;EOMONTH(B762,0))),C_CLAVE,0))&amp;"","Sin dato"))</f>
        <v/>
      </c>
      <c r="AB762" s="71" t="str">
        <f aca="false">IF(AH762="","",ROUND(MIN(K762,TOPE_AFP_UF*AJ762)*AK762,0))</f>
        <v/>
      </c>
      <c r="AC762" s="71" t="str">
        <f aca="false">IF(AH762="","",ROUND(MIN(K762,TOPE_AFC_UF*AJ762)*IF(AA762="Indefinido",AFC_EMP_INDEF,AFC_EMP_PF),0))</f>
        <v/>
      </c>
      <c r="AD762" s="71" t="str">
        <f aca="false">IF(AH762="","",ROUND(MIN(K762,TOPE_AFP_UF*AJ762)*(MUTUAL_BASICA+MUTUAL_ADIC+SANNA),0))</f>
        <v/>
      </c>
      <c r="AE762" s="71" t="str">
        <f aca="false">IF(AH762="","",P762-N(N762)+AB762+AC762+AD762)</f>
        <v/>
      </c>
      <c r="AF762" s="65"/>
      <c r="AG762" s="64"/>
      <c r="AH762" s="72" t="str">
        <f aca="false">IF(OR(B762="",C762=""),"",C762&amp;"|"&amp;(YEAR(B762)*100+MONTH(B762)))</f>
        <v/>
      </c>
      <c r="AI762" s="70" t="str">
        <f aca="false">IF(AH762="","",IF(COUNTIF(L_CLAVE,AH762)&gt;1,"⚠ Duplicado","OK"))</f>
        <v/>
      </c>
      <c r="AJ762" s="86" t="str">
        <f aca="false">IF(AH762="","",IF(SUMPRODUCT(MAX((IND_PER&lt;=B762)*(IND_UF&lt;&gt;"")*IND_PER))=0,UF_HOY,INDEX(IND_UF,MATCH(SUMPRODUCT(MAX((IND_PER&lt;=B762)*(IND_UF&lt;&gt;"")*IND_PER)),IND_PER,0))))</f>
        <v/>
      </c>
      <c r="AK762" s="87" t="str">
        <f aca="false">IF(AH762="","",IF(COUNTIF(TASA_DESDE,"&lt;="&amp;B762)=0,INDEX(TASA_EMP,1),INDEX(TASA_EMP,COUNTIF(TASA_DESDE,"&lt;="&amp;B762))))</f>
        <v/>
      </c>
    </row>
    <row r="763" customFormat="false" ht="15" hidden="false" customHeight="false" outlineLevel="0" collapsed="false">
      <c r="B763" s="78"/>
      <c r="C763" s="64"/>
      <c r="D763" s="72" t="str">
        <f aca="false">IF(C763="","",IFERROR(INDEX(T_NOMBRE,MATCH(C763,T_ID,0)),"⚠ ID no existe"))</f>
        <v/>
      </c>
      <c r="E763" s="69"/>
      <c r="F763" s="67"/>
      <c r="G763" s="67"/>
      <c r="H763" s="67"/>
      <c r="I763" s="67"/>
      <c r="J763" s="67"/>
      <c r="K763" s="85" t="str">
        <f aca="false">IF(AH763="","",N(F763)+N(G763)+N(H763)-N(I763)+N(J763))</f>
        <v/>
      </c>
      <c r="L763" s="67"/>
      <c r="M763" s="67"/>
      <c r="N763" s="67"/>
      <c r="O763" s="67"/>
      <c r="P763" s="85" t="str">
        <f aca="false">IF(AH763="","",K763+N(L763)+N(M763)+N(N763)+N(O763))</f>
        <v/>
      </c>
      <c r="Q763" s="67"/>
      <c r="R763" s="67"/>
      <c r="S763" s="67"/>
      <c r="T763" s="67"/>
      <c r="U763" s="67"/>
      <c r="V763" s="67"/>
      <c r="W763" s="85" t="str">
        <f aca="false">IF(AH763="","",N(Q763)+N(R763)+N(S763)+N(T763)+N(U763)+N(V763))</f>
        <v/>
      </c>
      <c r="X763" s="85" t="str">
        <f aca="false">IF(AH763="","",P763-W763)</f>
        <v/>
      </c>
      <c r="Y763" s="67"/>
      <c r="Z763" s="70" t="str">
        <f aca="false">IF(OR(AH763="",Y763=""),"",IF(ABS(X763-Y763)&lt;=1,"✓ Cuadra","⚠ Diferencia $"&amp;FIXED(X763-Y763,0)))</f>
        <v/>
      </c>
      <c r="AA763" s="72" t="str">
        <f aca="false">IF(AH763="","",IFERROR(INDEX(C_TIPO,MATCH(C763&amp;"-P"&amp;MAX(1,COUNTIFS(C_ID,C763,C_DEFINE,"Sí",C_INICIO,"&lt;="&amp;EOMONTH(B763,0))),C_CLAVE,0))&amp;"","Sin dato"))</f>
        <v/>
      </c>
      <c r="AB763" s="71" t="str">
        <f aca="false">IF(AH763="","",ROUND(MIN(K763,TOPE_AFP_UF*AJ763)*AK763,0))</f>
        <v/>
      </c>
      <c r="AC763" s="71" t="str">
        <f aca="false">IF(AH763="","",ROUND(MIN(K763,TOPE_AFC_UF*AJ763)*IF(AA763="Indefinido",AFC_EMP_INDEF,AFC_EMP_PF),0))</f>
        <v/>
      </c>
      <c r="AD763" s="71" t="str">
        <f aca="false">IF(AH763="","",ROUND(MIN(K763,TOPE_AFP_UF*AJ763)*(MUTUAL_BASICA+MUTUAL_ADIC+SANNA),0))</f>
        <v/>
      </c>
      <c r="AE763" s="71" t="str">
        <f aca="false">IF(AH763="","",P763-N(N763)+AB763+AC763+AD763)</f>
        <v/>
      </c>
      <c r="AF763" s="65"/>
      <c r="AG763" s="64"/>
      <c r="AH763" s="72" t="str">
        <f aca="false">IF(OR(B763="",C763=""),"",C763&amp;"|"&amp;(YEAR(B763)*100+MONTH(B763)))</f>
        <v/>
      </c>
      <c r="AI763" s="70" t="str">
        <f aca="false">IF(AH763="","",IF(COUNTIF(L_CLAVE,AH763)&gt;1,"⚠ Duplicado","OK"))</f>
        <v/>
      </c>
      <c r="AJ763" s="86" t="str">
        <f aca="false">IF(AH763="","",IF(SUMPRODUCT(MAX((IND_PER&lt;=B763)*(IND_UF&lt;&gt;"")*IND_PER))=0,UF_HOY,INDEX(IND_UF,MATCH(SUMPRODUCT(MAX((IND_PER&lt;=B763)*(IND_UF&lt;&gt;"")*IND_PER)),IND_PER,0))))</f>
        <v/>
      </c>
      <c r="AK763" s="87" t="str">
        <f aca="false">IF(AH763="","",IF(COUNTIF(TASA_DESDE,"&lt;="&amp;B763)=0,INDEX(TASA_EMP,1),INDEX(TASA_EMP,COUNTIF(TASA_DESDE,"&lt;="&amp;B763))))</f>
        <v/>
      </c>
    </row>
    <row r="764" customFormat="false" ht="15" hidden="false" customHeight="false" outlineLevel="0" collapsed="false">
      <c r="B764" s="78"/>
      <c r="C764" s="64"/>
      <c r="D764" s="72" t="str">
        <f aca="false">IF(C764="","",IFERROR(INDEX(T_NOMBRE,MATCH(C764,T_ID,0)),"⚠ ID no existe"))</f>
        <v/>
      </c>
      <c r="E764" s="69"/>
      <c r="F764" s="67"/>
      <c r="G764" s="67"/>
      <c r="H764" s="67"/>
      <c r="I764" s="67"/>
      <c r="J764" s="67"/>
      <c r="K764" s="85" t="str">
        <f aca="false">IF(AH764="","",N(F764)+N(G764)+N(H764)-N(I764)+N(J764))</f>
        <v/>
      </c>
      <c r="L764" s="67"/>
      <c r="M764" s="67"/>
      <c r="N764" s="67"/>
      <c r="O764" s="67"/>
      <c r="P764" s="85" t="str">
        <f aca="false">IF(AH764="","",K764+N(L764)+N(M764)+N(N764)+N(O764))</f>
        <v/>
      </c>
      <c r="Q764" s="67"/>
      <c r="R764" s="67"/>
      <c r="S764" s="67"/>
      <c r="T764" s="67"/>
      <c r="U764" s="67"/>
      <c r="V764" s="67"/>
      <c r="W764" s="85" t="str">
        <f aca="false">IF(AH764="","",N(Q764)+N(R764)+N(S764)+N(T764)+N(U764)+N(V764))</f>
        <v/>
      </c>
      <c r="X764" s="85" t="str">
        <f aca="false">IF(AH764="","",P764-W764)</f>
        <v/>
      </c>
      <c r="Y764" s="67"/>
      <c r="Z764" s="70" t="str">
        <f aca="false">IF(OR(AH764="",Y764=""),"",IF(ABS(X764-Y764)&lt;=1,"✓ Cuadra","⚠ Diferencia $"&amp;FIXED(X764-Y764,0)))</f>
        <v/>
      </c>
      <c r="AA764" s="72" t="str">
        <f aca="false">IF(AH764="","",IFERROR(INDEX(C_TIPO,MATCH(C764&amp;"-P"&amp;MAX(1,COUNTIFS(C_ID,C764,C_DEFINE,"Sí",C_INICIO,"&lt;="&amp;EOMONTH(B764,0))),C_CLAVE,0))&amp;"","Sin dato"))</f>
        <v/>
      </c>
      <c r="AB764" s="71" t="str">
        <f aca="false">IF(AH764="","",ROUND(MIN(K764,TOPE_AFP_UF*AJ764)*AK764,0))</f>
        <v/>
      </c>
      <c r="AC764" s="71" t="str">
        <f aca="false">IF(AH764="","",ROUND(MIN(K764,TOPE_AFC_UF*AJ764)*IF(AA764="Indefinido",AFC_EMP_INDEF,AFC_EMP_PF),0))</f>
        <v/>
      </c>
      <c r="AD764" s="71" t="str">
        <f aca="false">IF(AH764="","",ROUND(MIN(K764,TOPE_AFP_UF*AJ764)*(MUTUAL_BASICA+MUTUAL_ADIC+SANNA),0))</f>
        <v/>
      </c>
      <c r="AE764" s="71" t="str">
        <f aca="false">IF(AH764="","",P764-N(N764)+AB764+AC764+AD764)</f>
        <v/>
      </c>
      <c r="AF764" s="65"/>
      <c r="AG764" s="64"/>
      <c r="AH764" s="72" t="str">
        <f aca="false">IF(OR(B764="",C764=""),"",C764&amp;"|"&amp;(YEAR(B764)*100+MONTH(B764)))</f>
        <v/>
      </c>
      <c r="AI764" s="70" t="str">
        <f aca="false">IF(AH764="","",IF(COUNTIF(L_CLAVE,AH764)&gt;1,"⚠ Duplicado","OK"))</f>
        <v/>
      </c>
      <c r="AJ764" s="86" t="str">
        <f aca="false">IF(AH764="","",IF(SUMPRODUCT(MAX((IND_PER&lt;=B764)*(IND_UF&lt;&gt;"")*IND_PER))=0,UF_HOY,INDEX(IND_UF,MATCH(SUMPRODUCT(MAX((IND_PER&lt;=B764)*(IND_UF&lt;&gt;"")*IND_PER)),IND_PER,0))))</f>
        <v/>
      </c>
      <c r="AK764" s="87" t="str">
        <f aca="false">IF(AH764="","",IF(COUNTIF(TASA_DESDE,"&lt;="&amp;B764)=0,INDEX(TASA_EMP,1),INDEX(TASA_EMP,COUNTIF(TASA_DESDE,"&lt;="&amp;B764))))</f>
        <v/>
      </c>
    </row>
    <row r="765" customFormat="false" ht="15" hidden="false" customHeight="false" outlineLevel="0" collapsed="false">
      <c r="B765" s="78"/>
      <c r="C765" s="64"/>
      <c r="D765" s="72" t="str">
        <f aca="false">IF(C765="","",IFERROR(INDEX(T_NOMBRE,MATCH(C765,T_ID,0)),"⚠ ID no existe"))</f>
        <v/>
      </c>
      <c r="E765" s="69"/>
      <c r="F765" s="67"/>
      <c r="G765" s="67"/>
      <c r="H765" s="67"/>
      <c r="I765" s="67"/>
      <c r="J765" s="67"/>
      <c r="K765" s="85" t="str">
        <f aca="false">IF(AH765="","",N(F765)+N(G765)+N(H765)-N(I765)+N(J765))</f>
        <v/>
      </c>
      <c r="L765" s="67"/>
      <c r="M765" s="67"/>
      <c r="N765" s="67"/>
      <c r="O765" s="67"/>
      <c r="P765" s="85" t="str">
        <f aca="false">IF(AH765="","",K765+N(L765)+N(M765)+N(N765)+N(O765))</f>
        <v/>
      </c>
      <c r="Q765" s="67"/>
      <c r="R765" s="67"/>
      <c r="S765" s="67"/>
      <c r="T765" s="67"/>
      <c r="U765" s="67"/>
      <c r="V765" s="67"/>
      <c r="W765" s="85" t="str">
        <f aca="false">IF(AH765="","",N(Q765)+N(R765)+N(S765)+N(T765)+N(U765)+N(V765))</f>
        <v/>
      </c>
      <c r="X765" s="85" t="str">
        <f aca="false">IF(AH765="","",P765-W765)</f>
        <v/>
      </c>
      <c r="Y765" s="67"/>
      <c r="Z765" s="70" t="str">
        <f aca="false">IF(OR(AH765="",Y765=""),"",IF(ABS(X765-Y765)&lt;=1,"✓ Cuadra","⚠ Diferencia $"&amp;FIXED(X765-Y765,0)))</f>
        <v/>
      </c>
      <c r="AA765" s="72" t="str">
        <f aca="false">IF(AH765="","",IFERROR(INDEX(C_TIPO,MATCH(C765&amp;"-P"&amp;MAX(1,COUNTIFS(C_ID,C765,C_DEFINE,"Sí",C_INICIO,"&lt;="&amp;EOMONTH(B765,0))),C_CLAVE,0))&amp;"","Sin dato"))</f>
        <v/>
      </c>
      <c r="AB765" s="71" t="str">
        <f aca="false">IF(AH765="","",ROUND(MIN(K765,TOPE_AFP_UF*AJ765)*AK765,0))</f>
        <v/>
      </c>
      <c r="AC765" s="71" t="str">
        <f aca="false">IF(AH765="","",ROUND(MIN(K765,TOPE_AFC_UF*AJ765)*IF(AA765="Indefinido",AFC_EMP_INDEF,AFC_EMP_PF),0))</f>
        <v/>
      </c>
      <c r="AD765" s="71" t="str">
        <f aca="false">IF(AH765="","",ROUND(MIN(K765,TOPE_AFP_UF*AJ765)*(MUTUAL_BASICA+MUTUAL_ADIC+SANNA),0))</f>
        <v/>
      </c>
      <c r="AE765" s="71" t="str">
        <f aca="false">IF(AH765="","",P765-N(N765)+AB765+AC765+AD765)</f>
        <v/>
      </c>
      <c r="AF765" s="65"/>
      <c r="AG765" s="64"/>
      <c r="AH765" s="72" t="str">
        <f aca="false">IF(OR(B765="",C765=""),"",C765&amp;"|"&amp;(YEAR(B765)*100+MONTH(B765)))</f>
        <v/>
      </c>
      <c r="AI765" s="70" t="str">
        <f aca="false">IF(AH765="","",IF(COUNTIF(L_CLAVE,AH765)&gt;1,"⚠ Duplicado","OK"))</f>
        <v/>
      </c>
      <c r="AJ765" s="86" t="str">
        <f aca="false">IF(AH765="","",IF(SUMPRODUCT(MAX((IND_PER&lt;=B765)*(IND_UF&lt;&gt;"")*IND_PER))=0,UF_HOY,INDEX(IND_UF,MATCH(SUMPRODUCT(MAX((IND_PER&lt;=B765)*(IND_UF&lt;&gt;"")*IND_PER)),IND_PER,0))))</f>
        <v/>
      </c>
      <c r="AK765" s="87" t="str">
        <f aca="false">IF(AH765="","",IF(COUNTIF(TASA_DESDE,"&lt;="&amp;B765)=0,INDEX(TASA_EMP,1),INDEX(TASA_EMP,COUNTIF(TASA_DESDE,"&lt;="&amp;B765))))</f>
        <v/>
      </c>
    </row>
    <row r="766" customFormat="false" ht="15" hidden="false" customHeight="false" outlineLevel="0" collapsed="false">
      <c r="B766" s="78"/>
      <c r="C766" s="64"/>
      <c r="D766" s="72" t="str">
        <f aca="false">IF(C766="","",IFERROR(INDEX(T_NOMBRE,MATCH(C766,T_ID,0)),"⚠ ID no existe"))</f>
        <v/>
      </c>
      <c r="E766" s="69"/>
      <c r="F766" s="67"/>
      <c r="G766" s="67"/>
      <c r="H766" s="67"/>
      <c r="I766" s="67"/>
      <c r="J766" s="67"/>
      <c r="K766" s="85" t="str">
        <f aca="false">IF(AH766="","",N(F766)+N(G766)+N(H766)-N(I766)+N(J766))</f>
        <v/>
      </c>
      <c r="L766" s="67"/>
      <c r="M766" s="67"/>
      <c r="N766" s="67"/>
      <c r="O766" s="67"/>
      <c r="P766" s="85" t="str">
        <f aca="false">IF(AH766="","",K766+N(L766)+N(M766)+N(N766)+N(O766))</f>
        <v/>
      </c>
      <c r="Q766" s="67"/>
      <c r="R766" s="67"/>
      <c r="S766" s="67"/>
      <c r="T766" s="67"/>
      <c r="U766" s="67"/>
      <c r="V766" s="67"/>
      <c r="W766" s="85" t="str">
        <f aca="false">IF(AH766="","",N(Q766)+N(R766)+N(S766)+N(T766)+N(U766)+N(V766))</f>
        <v/>
      </c>
      <c r="X766" s="85" t="str">
        <f aca="false">IF(AH766="","",P766-W766)</f>
        <v/>
      </c>
      <c r="Y766" s="67"/>
      <c r="Z766" s="70" t="str">
        <f aca="false">IF(OR(AH766="",Y766=""),"",IF(ABS(X766-Y766)&lt;=1,"✓ Cuadra","⚠ Diferencia $"&amp;FIXED(X766-Y766,0)))</f>
        <v/>
      </c>
      <c r="AA766" s="72" t="str">
        <f aca="false">IF(AH766="","",IFERROR(INDEX(C_TIPO,MATCH(C766&amp;"-P"&amp;MAX(1,COUNTIFS(C_ID,C766,C_DEFINE,"Sí",C_INICIO,"&lt;="&amp;EOMONTH(B766,0))),C_CLAVE,0))&amp;"","Sin dato"))</f>
        <v/>
      </c>
      <c r="AB766" s="71" t="str">
        <f aca="false">IF(AH766="","",ROUND(MIN(K766,TOPE_AFP_UF*AJ766)*AK766,0))</f>
        <v/>
      </c>
      <c r="AC766" s="71" t="str">
        <f aca="false">IF(AH766="","",ROUND(MIN(K766,TOPE_AFC_UF*AJ766)*IF(AA766="Indefinido",AFC_EMP_INDEF,AFC_EMP_PF),0))</f>
        <v/>
      </c>
      <c r="AD766" s="71" t="str">
        <f aca="false">IF(AH766="","",ROUND(MIN(K766,TOPE_AFP_UF*AJ766)*(MUTUAL_BASICA+MUTUAL_ADIC+SANNA),0))</f>
        <v/>
      </c>
      <c r="AE766" s="71" t="str">
        <f aca="false">IF(AH766="","",P766-N(N766)+AB766+AC766+AD766)</f>
        <v/>
      </c>
      <c r="AF766" s="65"/>
      <c r="AG766" s="64"/>
      <c r="AH766" s="72" t="str">
        <f aca="false">IF(OR(B766="",C766=""),"",C766&amp;"|"&amp;(YEAR(B766)*100+MONTH(B766)))</f>
        <v/>
      </c>
      <c r="AI766" s="70" t="str">
        <f aca="false">IF(AH766="","",IF(COUNTIF(L_CLAVE,AH766)&gt;1,"⚠ Duplicado","OK"))</f>
        <v/>
      </c>
      <c r="AJ766" s="86" t="str">
        <f aca="false">IF(AH766="","",IF(SUMPRODUCT(MAX((IND_PER&lt;=B766)*(IND_UF&lt;&gt;"")*IND_PER))=0,UF_HOY,INDEX(IND_UF,MATCH(SUMPRODUCT(MAX((IND_PER&lt;=B766)*(IND_UF&lt;&gt;"")*IND_PER)),IND_PER,0))))</f>
        <v/>
      </c>
      <c r="AK766" s="87" t="str">
        <f aca="false">IF(AH766="","",IF(COUNTIF(TASA_DESDE,"&lt;="&amp;B766)=0,INDEX(TASA_EMP,1),INDEX(TASA_EMP,COUNTIF(TASA_DESDE,"&lt;="&amp;B766))))</f>
        <v/>
      </c>
    </row>
    <row r="767" customFormat="false" ht="15" hidden="false" customHeight="false" outlineLevel="0" collapsed="false">
      <c r="B767" s="78"/>
      <c r="C767" s="64"/>
      <c r="D767" s="72" t="str">
        <f aca="false">IF(C767="","",IFERROR(INDEX(T_NOMBRE,MATCH(C767,T_ID,0)),"⚠ ID no existe"))</f>
        <v/>
      </c>
      <c r="E767" s="69"/>
      <c r="F767" s="67"/>
      <c r="G767" s="67"/>
      <c r="H767" s="67"/>
      <c r="I767" s="67"/>
      <c r="J767" s="67"/>
      <c r="K767" s="85" t="str">
        <f aca="false">IF(AH767="","",N(F767)+N(G767)+N(H767)-N(I767)+N(J767))</f>
        <v/>
      </c>
      <c r="L767" s="67"/>
      <c r="M767" s="67"/>
      <c r="N767" s="67"/>
      <c r="O767" s="67"/>
      <c r="P767" s="85" t="str">
        <f aca="false">IF(AH767="","",K767+N(L767)+N(M767)+N(N767)+N(O767))</f>
        <v/>
      </c>
      <c r="Q767" s="67"/>
      <c r="R767" s="67"/>
      <c r="S767" s="67"/>
      <c r="T767" s="67"/>
      <c r="U767" s="67"/>
      <c r="V767" s="67"/>
      <c r="W767" s="85" t="str">
        <f aca="false">IF(AH767="","",N(Q767)+N(R767)+N(S767)+N(T767)+N(U767)+N(V767))</f>
        <v/>
      </c>
      <c r="X767" s="85" t="str">
        <f aca="false">IF(AH767="","",P767-W767)</f>
        <v/>
      </c>
      <c r="Y767" s="67"/>
      <c r="Z767" s="70" t="str">
        <f aca="false">IF(OR(AH767="",Y767=""),"",IF(ABS(X767-Y767)&lt;=1,"✓ Cuadra","⚠ Diferencia $"&amp;FIXED(X767-Y767,0)))</f>
        <v/>
      </c>
      <c r="AA767" s="72" t="str">
        <f aca="false">IF(AH767="","",IFERROR(INDEX(C_TIPO,MATCH(C767&amp;"-P"&amp;MAX(1,COUNTIFS(C_ID,C767,C_DEFINE,"Sí",C_INICIO,"&lt;="&amp;EOMONTH(B767,0))),C_CLAVE,0))&amp;"","Sin dato"))</f>
        <v/>
      </c>
      <c r="AB767" s="71" t="str">
        <f aca="false">IF(AH767="","",ROUND(MIN(K767,TOPE_AFP_UF*AJ767)*AK767,0))</f>
        <v/>
      </c>
      <c r="AC767" s="71" t="str">
        <f aca="false">IF(AH767="","",ROUND(MIN(K767,TOPE_AFC_UF*AJ767)*IF(AA767="Indefinido",AFC_EMP_INDEF,AFC_EMP_PF),0))</f>
        <v/>
      </c>
      <c r="AD767" s="71" t="str">
        <f aca="false">IF(AH767="","",ROUND(MIN(K767,TOPE_AFP_UF*AJ767)*(MUTUAL_BASICA+MUTUAL_ADIC+SANNA),0))</f>
        <v/>
      </c>
      <c r="AE767" s="71" t="str">
        <f aca="false">IF(AH767="","",P767-N(N767)+AB767+AC767+AD767)</f>
        <v/>
      </c>
      <c r="AF767" s="65"/>
      <c r="AG767" s="64"/>
      <c r="AH767" s="72" t="str">
        <f aca="false">IF(OR(B767="",C767=""),"",C767&amp;"|"&amp;(YEAR(B767)*100+MONTH(B767)))</f>
        <v/>
      </c>
      <c r="AI767" s="70" t="str">
        <f aca="false">IF(AH767="","",IF(COUNTIF(L_CLAVE,AH767)&gt;1,"⚠ Duplicado","OK"))</f>
        <v/>
      </c>
      <c r="AJ767" s="86" t="str">
        <f aca="false">IF(AH767="","",IF(SUMPRODUCT(MAX((IND_PER&lt;=B767)*(IND_UF&lt;&gt;"")*IND_PER))=0,UF_HOY,INDEX(IND_UF,MATCH(SUMPRODUCT(MAX((IND_PER&lt;=B767)*(IND_UF&lt;&gt;"")*IND_PER)),IND_PER,0))))</f>
        <v/>
      </c>
      <c r="AK767" s="87" t="str">
        <f aca="false">IF(AH767="","",IF(COUNTIF(TASA_DESDE,"&lt;="&amp;B767)=0,INDEX(TASA_EMP,1),INDEX(TASA_EMP,COUNTIF(TASA_DESDE,"&lt;="&amp;B767))))</f>
        <v/>
      </c>
    </row>
    <row r="768" customFormat="false" ht="15" hidden="false" customHeight="false" outlineLevel="0" collapsed="false">
      <c r="B768" s="78"/>
      <c r="C768" s="64"/>
      <c r="D768" s="72" t="str">
        <f aca="false">IF(C768="","",IFERROR(INDEX(T_NOMBRE,MATCH(C768,T_ID,0)),"⚠ ID no existe"))</f>
        <v/>
      </c>
      <c r="E768" s="69"/>
      <c r="F768" s="67"/>
      <c r="G768" s="67"/>
      <c r="H768" s="67"/>
      <c r="I768" s="67"/>
      <c r="J768" s="67"/>
      <c r="K768" s="85" t="str">
        <f aca="false">IF(AH768="","",N(F768)+N(G768)+N(H768)-N(I768)+N(J768))</f>
        <v/>
      </c>
      <c r="L768" s="67"/>
      <c r="M768" s="67"/>
      <c r="N768" s="67"/>
      <c r="O768" s="67"/>
      <c r="P768" s="85" t="str">
        <f aca="false">IF(AH768="","",K768+N(L768)+N(M768)+N(N768)+N(O768))</f>
        <v/>
      </c>
      <c r="Q768" s="67"/>
      <c r="R768" s="67"/>
      <c r="S768" s="67"/>
      <c r="T768" s="67"/>
      <c r="U768" s="67"/>
      <c r="V768" s="67"/>
      <c r="W768" s="85" t="str">
        <f aca="false">IF(AH768="","",N(Q768)+N(R768)+N(S768)+N(T768)+N(U768)+N(V768))</f>
        <v/>
      </c>
      <c r="X768" s="85" t="str">
        <f aca="false">IF(AH768="","",P768-W768)</f>
        <v/>
      </c>
      <c r="Y768" s="67"/>
      <c r="Z768" s="70" t="str">
        <f aca="false">IF(OR(AH768="",Y768=""),"",IF(ABS(X768-Y768)&lt;=1,"✓ Cuadra","⚠ Diferencia $"&amp;FIXED(X768-Y768,0)))</f>
        <v/>
      </c>
      <c r="AA768" s="72" t="str">
        <f aca="false">IF(AH768="","",IFERROR(INDEX(C_TIPO,MATCH(C768&amp;"-P"&amp;MAX(1,COUNTIFS(C_ID,C768,C_DEFINE,"Sí",C_INICIO,"&lt;="&amp;EOMONTH(B768,0))),C_CLAVE,0))&amp;"","Sin dato"))</f>
        <v/>
      </c>
      <c r="AB768" s="71" t="str">
        <f aca="false">IF(AH768="","",ROUND(MIN(K768,TOPE_AFP_UF*AJ768)*AK768,0))</f>
        <v/>
      </c>
      <c r="AC768" s="71" t="str">
        <f aca="false">IF(AH768="","",ROUND(MIN(K768,TOPE_AFC_UF*AJ768)*IF(AA768="Indefinido",AFC_EMP_INDEF,AFC_EMP_PF),0))</f>
        <v/>
      </c>
      <c r="AD768" s="71" t="str">
        <f aca="false">IF(AH768="","",ROUND(MIN(K768,TOPE_AFP_UF*AJ768)*(MUTUAL_BASICA+MUTUAL_ADIC+SANNA),0))</f>
        <v/>
      </c>
      <c r="AE768" s="71" t="str">
        <f aca="false">IF(AH768="","",P768-N(N768)+AB768+AC768+AD768)</f>
        <v/>
      </c>
      <c r="AF768" s="65"/>
      <c r="AG768" s="64"/>
      <c r="AH768" s="72" t="str">
        <f aca="false">IF(OR(B768="",C768=""),"",C768&amp;"|"&amp;(YEAR(B768)*100+MONTH(B768)))</f>
        <v/>
      </c>
      <c r="AI768" s="70" t="str">
        <f aca="false">IF(AH768="","",IF(COUNTIF(L_CLAVE,AH768)&gt;1,"⚠ Duplicado","OK"))</f>
        <v/>
      </c>
      <c r="AJ768" s="86" t="str">
        <f aca="false">IF(AH768="","",IF(SUMPRODUCT(MAX((IND_PER&lt;=B768)*(IND_UF&lt;&gt;"")*IND_PER))=0,UF_HOY,INDEX(IND_UF,MATCH(SUMPRODUCT(MAX((IND_PER&lt;=B768)*(IND_UF&lt;&gt;"")*IND_PER)),IND_PER,0))))</f>
        <v/>
      </c>
      <c r="AK768" s="87" t="str">
        <f aca="false">IF(AH768="","",IF(COUNTIF(TASA_DESDE,"&lt;="&amp;B768)=0,INDEX(TASA_EMP,1),INDEX(TASA_EMP,COUNTIF(TASA_DESDE,"&lt;="&amp;B768))))</f>
        <v/>
      </c>
    </row>
    <row r="769" customFormat="false" ht="15" hidden="false" customHeight="false" outlineLevel="0" collapsed="false">
      <c r="B769" s="78"/>
      <c r="C769" s="64"/>
      <c r="D769" s="72" t="str">
        <f aca="false">IF(C769="","",IFERROR(INDEX(T_NOMBRE,MATCH(C769,T_ID,0)),"⚠ ID no existe"))</f>
        <v/>
      </c>
      <c r="E769" s="69"/>
      <c r="F769" s="67"/>
      <c r="G769" s="67"/>
      <c r="H769" s="67"/>
      <c r="I769" s="67"/>
      <c r="J769" s="67"/>
      <c r="K769" s="85" t="str">
        <f aca="false">IF(AH769="","",N(F769)+N(G769)+N(H769)-N(I769)+N(J769))</f>
        <v/>
      </c>
      <c r="L769" s="67"/>
      <c r="M769" s="67"/>
      <c r="N769" s="67"/>
      <c r="O769" s="67"/>
      <c r="P769" s="85" t="str">
        <f aca="false">IF(AH769="","",K769+N(L769)+N(M769)+N(N769)+N(O769))</f>
        <v/>
      </c>
      <c r="Q769" s="67"/>
      <c r="R769" s="67"/>
      <c r="S769" s="67"/>
      <c r="T769" s="67"/>
      <c r="U769" s="67"/>
      <c r="V769" s="67"/>
      <c r="W769" s="85" t="str">
        <f aca="false">IF(AH769="","",N(Q769)+N(R769)+N(S769)+N(T769)+N(U769)+N(V769))</f>
        <v/>
      </c>
      <c r="X769" s="85" t="str">
        <f aca="false">IF(AH769="","",P769-W769)</f>
        <v/>
      </c>
      <c r="Y769" s="67"/>
      <c r="Z769" s="70" t="str">
        <f aca="false">IF(OR(AH769="",Y769=""),"",IF(ABS(X769-Y769)&lt;=1,"✓ Cuadra","⚠ Diferencia $"&amp;FIXED(X769-Y769,0)))</f>
        <v/>
      </c>
      <c r="AA769" s="72" t="str">
        <f aca="false">IF(AH769="","",IFERROR(INDEX(C_TIPO,MATCH(C769&amp;"-P"&amp;MAX(1,COUNTIFS(C_ID,C769,C_DEFINE,"Sí",C_INICIO,"&lt;="&amp;EOMONTH(B769,0))),C_CLAVE,0))&amp;"","Sin dato"))</f>
        <v/>
      </c>
      <c r="AB769" s="71" t="str">
        <f aca="false">IF(AH769="","",ROUND(MIN(K769,TOPE_AFP_UF*AJ769)*AK769,0))</f>
        <v/>
      </c>
      <c r="AC769" s="71" t="str">
        <f aca="false">IF(AH769="","",ROUND(MIN(K769,TOPE_AFC_UF*AJ769)*IF(AA769="Indefinido",AFC_EMP_INDEF,AFC_EMP_PF),0))</f>
        <v/>
      </c>
      <c r="AD769" s="71" t="str">
        <f aca="false">IF(AH769="","",ROUND(MIN(K769,TOPE_AFP_UF*AJ769)*(MUTUAL_BASICA+MUTUAL_ADIC+SANNA),0))</f>
        <v/>
      </c>
      <c r="AE769" s="71" t="str">
        <f aca="false">IF(AH769="","",P769-N(N769)+AB769+AC769+AD769)</f>
        <v/>
      </c>
      <c r="AF769" s="65"/>
      <c r="AG769" s="64"/>
      <c r="AH769" s="72" t="str">
        <f aca="false">IF(OR(B769="",C769=""),"",C769&amp;"|"&amp;(YEAR(B769)*100+MONTH(B769)))</f>
        <v/>
      </c>
      <c r="AI769" s="70" t="str">
        <f aca="false">IF(AH769="","",IF(COUNTIF(L_CLAVE,AH769)&gt;1,"⚠ Duplicado","OK"))</f>
        <v/>
      </c>
      <c r="AJ769" s="86" t="str">
        <f aca="false">IF(AH769="","",IF(SUMPRODUCT(MAX((IND_PER&lt;=B769)*(IND_UF&lt;&gt;"")*IND_PER))=0,UF_HOY,INDEX(IND_UF,MATCH(SUMPRODUCT(MAX((IND_PER&lt;=B769)*(IND_UF&lt;&gt;"")*IND_PER)),IND_PER,0))))</f>
        <v/>
      </c>
      <c r="AK769" s="87" t="str">
        <f aca="false">IF(AH769="","",IF(COUNTIF(TASA_DESDE,"&lt;="&amp;B769)=0,INDEX(TASA_EMP,1),INDEX(TASA_EMP,COUNTIF(TASA_DESDE,"&lt;="&amp;B769))))</f>
        <v/>
      </c>
    </row>
    <row r="770" customFormat="false" ht="15" hidden="false" customHeight="false" outlineLevel="0" collapsed="false">
      <c r="B770" s="78"/>
      <c r="C770" s="64"/>
      <c r="D770" s="72" t="str">
        <f aca="false">IF(C770="","",IFERROR(INDEX(T_NOMBRE,MATCH(C770,T_ID,0)),"⚠ ID no existe"))</f>
        <v/>
      </c>
      <c r="E770" s="69"/>
      <c r="F770" s="67"/>
      <c r="G770" s="67"/>
      <c r="H770" s="67"/>
      <c r="I770" s="67"/>
      <c r="J770" s="67"/>
      <c r="K770" s="85" t="str">
        <f aca="false">IF(AH770="","",N(F770)+N(G770)+N(H770)-N(I770)+N(J770))</f>
        <v/>
      </c>
      <c r="L770" s="67"/>
      <c r="M770" s="67"/>
      <c r="N770" s="67"/>
      <c r="O770" s="67"/>
      <c r="P770" s="85" t="str">
        <f aca="false">IF(AH770="","",K770+N(L770)+N(M770)+N(N770)+N(O770))</f>
        <v/>
      </c>
      <c r="Q770" s="67"/>
      <c r="R770" s="67"/>
      <c r="S770" s="67"/>
      <c r="T770" s="67"/>
      <c r="U770" s="67"/>
      <c r="V770" s="67"/>
      <c r="W770" s="85" t="str">
        <f aca="false">IF(AH770="","",N(Q770)+N(R770)+N(S770)+N(T770)+N(U770)+N(V770))</f>
        <v/>
      </c>
      <c r="X770" s="85" t="str">
        <f aca="false">IF(AH770="","",P770-W770)</f>
        <v/>
      </c>
      <c r="Y770" s="67"/>
      <c r="Z770" s="70" t="str">
        <f aca="false">IF(OR(AH770="",Y770=""),"",IF(ABS(X770-Y770)&lt;=1,"✓ Cuadra","⚠ Diferencia $"&amp;FIXED(X770-Y770,0)))</f>
        <v/>
      </c>
      <c r="AA770" s="72" t="str">
        <f aca="false">IF(AH770="","",IFERROR(INDEX(C_TIPO,MATCH(C770&amp;"-P"&amp;MAX(1,COUNTIFS(C_ID,C770,C_DEFINE,"Sí",C_INICIO,"&lt;="&amp;EOMONTH(B770,0))),C_CLAVE,0))&amp;"","Sin dato"))</f>
        <v/>
      </c>
      <c r="AB770" s="71" t="str">
        <f aca="false">IF(AH770="","",ROUND(MIN(K770,TOPE_AFP_UF*AJ770)*AK770,0))</f>
        <v/>
      </c>
      <c r="AC770" s="71" t="str">
        <f aca="false">IF(AH770="","",ROUND(MIN(K770,TOPE_AFC_UF*AJ770)*IF(AA770="Indefinido",AFC_EMP_INDEF,AFC_EMP_PF),0))</f>
        <v/>
      </c>
      <c r="AD770" s="71" t="str">
        <f aca="false">IF(AH770="","",ROUND(MIN(K770,TOPE_AFP_UF*AJ770)*(MUTUAL_BASICA+MUTUAL_ADIC+SANNA),0))</f>
        <v/>
      </c>
      <c r="AE770" s="71" t="str">
        <f aca="false">IF(AH770="","",P770-N(N770)+AB770+AC770+AD770)</f>
        <v/>
      </c>
      <c r="AF770" s="65"/>
      <c r="AG770" s="64"/>
      <c r="AH770" s="72" t="str">
        <f aca="false">IF(OR(B770="",C770=""),"",C770&amp;"|"&amp;(YEAR(B770)*100+MONTH(B770)))</f>
        <v/>
      </c>
      <c r="AI770" s="70" t="str">
        <f aca="false">IF(AH770="","",IF(COUNTIF(L_CLAVE,AH770)&gt;1,"⚠ Duplicado","OK"))</f>
        <v/>
      </c>
      <c r="AJ770" s="86" t="str">
        <f aca="false">IF(AH770="","",IF(SUMPRODUCT(MAX((IND_PER&lt;=B770)*(IND_UF&lt;&gt;"")*IND_PER))=0,UF_HOY,INDEX(IND_UF,MATCH(SUMPRODUCT(MAX((IND_PER&lt;=B770)*(IND_UF&lt;&gt;"")*IND_PER)),IND_PER,0))))</f>
        <v/>
      </c>
      <c r="AK770" s="87" t="str">
        <f aca="false">IF(AH770="","",IF(COUNTIF(TASA_DESDE,"&lt;="&amp;B770)=0,INDEX(TASA_EMP,1),INDEX(TASA_EMP,COUNTIF(TASA_DESDE,"&lt;="&amp;B770))))</f>
        <v/>
      </c>
    </row>
    <row r="771" customFormat="false" ht="15" hidden="false" customHeight="false" outlineLevel="0" collapsed="false">
      <c r="B771" s="78"/>
      <c r="C771" s="64"/>
      <c r="D771" s="72" t="str">
        <f aca="false">IF(C771="","",IFERROR(INDEX(T_NOMBRE,MATCH(C771,T_ID,0)),"⚠ ID no existe"))</f>
        <v/>
      </c>
      <c r="E771" s="69"/>
      <c r="F771" s="67"/>
      <c r="G771" s="67"/>
      <c r="H771" s="67"/>
      <c r="I771" s="67"/>
      <c r="J771" s="67"/>
      <c r="K771" s="85" t="str">
        <f aca="false">IF(AH771="","",N(F771)+N(G771)+N(H771)-N(I771)+N(J771))</f>
        <v/>
      </c>
      <c r="L771" s="67"/>
      <c r="M771" s="67"/>
      <c r="N771" s="67"/>
      <c r="O771" s="67"/>
      <c r="P771" s="85" t="str">
        <f aca="false">IF(AH771="","",K771+N(L771)+N(M771)+N(N771)+N(O771))</f>
        <v/>
      </c>
      <c r="Q771" s="67"/>
      <c r="R771" s="67"/>
      <c r="S771" s="67"/>
      <c r="T771" s="67"/>
      <c r="U771" s="67"/>
      <c r="V771" s="67"/>
      <c r="W771" s="85" t="str">
        <f aca="false">IF(AH771="","",N(Q771)+N(R771)+N(S771)+N(T771)+N(U771)+N(V771))</f>
        <v/>
      </c>
      <c r="X771" s="85" t="str">
        <f aca="false">IF(AH771="","",P771-W771)</f>
        <v/>
      </c>
      <c r="Y771" s="67"/>
      <c r="Z771" s="70" t="str">
        <f aca="false">IF(OR(AH771="",Y771=""),"",IF(ABS(X771-Y771)&lt;=1,"✓ Cuadra","⚠ Diferencia $"&amp;FIXED(X771-Y771,0)))</f>
        <v/>
      </c>
      <c r="AA771" s="72" t="str">
        <f aca="false">IF(AH771="","",IFERROR(INDEX(C_TIPO,MATCH(C771&amp;"-P"&amp;MAX(1,COUNTIFS(C_ID,C771,C_DEFINE,"Sí",C_INICIO,"&lt;="&amp;EOMONTH(B771,0))),C_CLAVE,0))&amp;"","Sin dato"))</f>
        <v/>
      </c>
      <c r="AB771" s="71" t="str">
        <f aca="false">IF(AH771="","",ROUND(MIN(K771,TOPE_AFP_UF*AJ771)*AK771,0))</f>
        <v/>
      </c>
      <c r="AC771" s="71" t="str">
        <f aca="false">IF(AH771="","",ROUND(MIN(K771,TOPE_AFC_UF*AJ771)*IF(AA771="Indefinido",AFC_EMP_INDEF,AFC_EMP_PF),0))</f>
        <v/>
      </c>
      <c r="AD771" s="71" t="str">
        <f aca="false">IF(AH771="","",ROUND(MIN(K771,TOPE_AFP_UF*AJ771)*(MUTUAL_BASICA+MUTUAL_ADIC+SANNA),0))</f>
        <v/>
      </c>
      <c r="AE771" s="71" t="str">
        <f aca="false">IF(AH771="","",P771-N(N771)+AB771+AC771+AD771)</f>
        <v/>
      </c>
      <c r="AF771" s="65"/>
      <c r="AG771" s="64"/>
      <c r="AH771" s="72" t="str">
        <f aca="false">IF(OR(B771="",C771=""),"",C771&amp;"|"&amp;(YEAR(B771)*100+MONTH(B771)))</f>
        <v/>
      </c>
      <c r="AI771" s="70" t="str">
        <f aca="false">IF(AH771="","",IF(COUNTIF(L_CLAVE,AH771)&gt;1,"⚠ Duplicado","OK"))</f>
        <v/>
      </c>
      <c r="AJ771" s="86" t="str">
        <f aca="false">IF(AH771="","",IF(SUMPRODUCT(MAX((IND_PER&lt;=B771)*(IND_UF&lt;&gt;"")*IND_PER))=0,UF_HOY,INDEX(IND_UF,MATCH(SUMPRODUCT(MAX((IND_PER&lt;=B771)*(IND_UF&lt;&gt;"")*IND_PER)),IND_PER,0))))</f>
        <v/>
      </c>
      <c r="AK771" s="87" t="str">
        <f aca="false">IF(AH771="","",IF(COUNTIF(TASA_DESDE,"&lt;="&amp;B771)=0,INDEX(TASA_EMP,1),INDEX(TASA_EMP,COUNTIF(TASA_DESDE,"&lt;="&amp;B771))))</f>
        <v/>
      </c>
    </row>
    <row r="772" customFormat="false" ht="15" hidden="false" customHeight="false" outlineLevel="0" collapsed="false">
      <c r="B772" s="78"/>
      <c r="C772" s="64"/>
      <c r="D772" s="72" t="str">
        <f aca="false">IF(C772="","",IFERROR(INDEX(T_NOMBRE,MATCH(C772,T_ID,0)),"⚠ ID no existe"))</f>
        <v/>
      </c>
      <c r="E772" s="69"/>
      <c r="F772" s="67"/>
      <c r="G772" s="67"/>
      <c r="H772" s="67"/>
      <c r="I772" s="67"/>
      <c r="J772" s="67"/>
      <c r="K772" s="85" t="str">
        <f aca="false">IF(AH772="","",N(F772)+N(G772)+N(H772)-N(I772)+N(J772))</f>
        <v/>
      </c>
      <c r="L772" s="67"/>
      <c r="M772" s="67"/>
      <c r="N772" s="67"/>
      <c r="O772" s="67"/>
      <c r="P772" s="85" t="str">
        <f aca="false">IF(AH772="","",K772+N(L772)+N(M772)+N(N772)+N(O772))</f>
        <v/>
      </c>
      <c r="Q772" s="67"/>
      <c r="R772" s="67"/>
      <c r="S772" s="67"/>
      <c r="T772" s="67"/>
      <c r="U772" s="67"/>
      <c r="V772" s="67"/>
      <c r="W772" s="85" t="str">
        <f aca="false">IF(AH772="","",N(Q772)+N(R772)+N(S772)+N(T772)+N(U772)+N(V772))</f>
        <v/>
      </c>
      <c r="X772" s="85" t="str">
        <f aca="false">IF(AH772="","",P772-W772)</f>
        <v/>
      </c>
      <c r="Y772" s="67"/>
      <c r="Z772" s="70" t="str">
        <f aca="false">IF(OR(AH772="",Y772=""),"",IF(ABS(X772-Y772)&lt;=1,"✓ Cuadra","⚠ Diferencia $"&amp;FIXED(X772-Y772,0)))</f>
        <v/>
      </c>
      <c r="AA772" s="72" t="str">
        <f aca="false">IF(AH772="","",IFERROR(INDEX(C_TIPO,MATCH(C772&amp;"-P"&amp;MAX(1,COUNTIFS(C_ID,C772,C_DEFINE,"Sí",C_INICIO,"&lt;="&amp;EOMONTH(B772,0))),C_CLAVE,0))&amp;"","Sin dato"))</f>
        <v/>
      </c>
      <c r="AB772" s="71" t="str">
        <f aca="false">IF(AH772="","",ROUND(MIN(K772,TOPE_AFP_UF*AJ772)*AK772,0))</f>
        <v/>
      </c>
      <c r="AC772" s="71" t="str">
        <f aca="false">IF(AH772="","",ROUND(MIN(K772,TOPE_AFC_UF*AJ772)*IF(AA772="Indefinido",AFC_EMP_INDEF,AFC_EMP_PF),0))</f>
        <v/>
      </c>
      <c r="AD772" s="71" t="str">
        <f aca="false">IF(AH772="","",ROUND(MIN(K772,TOPE_AFP_UF*AJ772)*(MUTUAL_BASICA+MUTUAL_ADIC+SANNA),0))</f>
        <v/>
      </c>
      <c r="AE772" s="71" t="str">
        <f aca="false">IF(AH772="","",P772-N(N772)+AB772+AC772+AD772)</f>
        <v/>
      </c>
      <c r="AF772" s="65"/>
      <c r="AG772" s="64"/>
      <c r="AH772" s="72" t="str">
        <f aca="false">IF(OR(B772="",C772=""),"",C772&amp;"|"&amp;(YEAR(B772)*100+MONTH(B772)))</f>
        <v/>
      </c>
      <c r="AI772" s="70" t="str">
        <f aca="false">IF(AH772="","",IF(COUNTIF(L_CLAVE,AH772)&gt;1,"⚠ Duplicado","OK"))</f>
        <v/>
      </c>
      <c r="AJ772" s="86" t="str">
        <f aca="false">IF(AH772="","",IF(SUMPRODUCT(MAX((IND_PER&lt;=B772)*(IND_UF&lt;&gt;"")*IND_PER))=0,UF_HOY,INDEX(IND_UF,MATCH(SUMPRODUCT(MAX((IND_PER&lt;=B772)*(IND_UF&lt;&gt;"")*IND_PER)),IND_PER,0))))</f>
        <v/>
      </c>
      <c r="AK772" s="87" t="str">
        <f aca="false">IF(AH772="","",IF(COUNTIF(TASA_DESDE,"&lt;="&amp;B772)=0,INDEX(TASA_EMP,1),INDEX(TASA_EMP,COUNTIF(TASA_DESDE,"&lt;="&amp;B772))))</f>
        <v/>
      </c>
    </row>
    <row r="773" customFormat="false" ht="15" hidden="false" customHeight="false" outlineLevel="0" collapsed="false">
      <c r="B773" s="78"/>
      <c r="C773" s="64"/>
      <c r="D773" s="72" t="str">
        <f aca="false">IF(C773="","",IFERROR(INDEX(T_NOMBRE,MATCH(C773,T_ID,0)),"⚠ ID no existe"))</f>
        <v/>
      </c>
      <c r="E773" s="69"/>
      <c r="F773" s="67"/>
      <c r="G773" s="67"/>
      <c r="H773" s="67"/>
      <c r="I773" s="67"/>
      <c r="J773" s="67"/>
      <c r="K773" s="85" t="str">
        <f aca="false">IF(AH773="","",N(F773)+N(G773)+N(H773)-N(I773)+N(J773))</f>
        <v/>
      </c>
      <c r="L773" s="67"/>
      <c r="M773" s="67"/>
      <c r="N773" s="67"/>
      <c r="O773" s="67"/>
      <c r="P773" s="85" t="str">
        <f aca="false">IF(AH773="","",K773+N(L773)+N(M773)+N(N773)+N(O773))</f>
        <v/>
      </c>
      <c r="Q773" s="67"/>
      <c r="R773" s="67"/>
      <c r="S773" s="67"/>
      <c r="T773" s="67"/>
      <c r="U773" s="67"/>
      <c r="V773" s="67"/>
      <c r="W773" s="85" t="str">
        <f aca="false">IF(AH773="","",N(Q773)+N(R773)+N(S773)+N(T773)+N(U773)+N(V773))</f>
        <v/>
      </c>
      <c r="X773" s="85" t="str">
        <f aca="false">IF(AH773="","",P773-W773)</f>
        <v/>
      </c>
      <c r="Y773" s="67"/>
      <c r="Z773" s="70" t="str">
        <f aca="false">IF(OR(AH773="",Y773=""),"",IF(ABS(X773-Y773)&lt;=1,"✓ Cuadra","⚠ Diferencia $"&amp;FIXED(X773-Y773,0)))</f>
        <v/>
      </c>
      <c r="AA773" s="72" t="str">
        <f aca="false">IF(AH773="","",IFERROR(INDEX(C_TIPO,MATCH(C773&amp;"-P"&amp;MAX(1,COUNTIFS(C_ID,C773,C_DEFINE,"Sí",C_INICIO,"&lt;="&amp;EOMONTH(B773,0))),C_CLAVE,0))&amp;"","Sin dato"))</f>
        <v/>
      </c>
      <c r="AB773" s="71" t="str">
        <f aca="false">IF(AH773="","",ROUND(MIN(K773,TOPE_AFP_UF*AJ773)*AK773,0))</f>
        <v/>
      </c>
      <c r="AC773" s="71" t="str">
        <f aca="false">IF(AH773="","",ROUND(MIN(K773,TOPE_AFC_UF*AJ773)*IF(AA773="Indefinido",AFC_EMP_INDEF,AFC_EMP_PF),0))</f>
        <v/>
      </c>
      <c r="AD773" s="71" t="str">
        <f aca="false">IF(AH773="","",ROUND(MIN(K773,TOPE_AFP_UF*AJ773)*(MUTUAL_BASICA+MUTUAL_ADIC+SANNA),0))</f>
        <v/>
      </c>
      <c r="AE773" s="71" t="str">
        <f aca="false">IF(AH773="","",P773-N(N773)+AB773+AC773+AD773)</f>
        <v/>
      </c>
      <c r="AF773" s="65"/>
      <c r="AG773" s="64"/>
      <c r="AH773" s="72" t="str">
        <f aca="false">IF(OR(B773="",C773=""),"",C773&amp;"|"&amp;(YEAR(B773)*100+MONTH(B773)))</f>
        <v/>
      </c>
      <c r="AI773" s="70" t="str">
        <f aca="false">IF(AH773="","",IF(COUNTIF(L_CLAVE,AH773)&gt;1,"⚠ Duplicado","OK"))</f>
        <v/>
      </c>
      <c r="AJ773" s="86" t="str">
        <f aca="false">IF(AH773="","",IF(SUMPRODUCT(MAX((IND_PER&lt;=B773)*(IND_UF&lt;&gt;"")*IND_PER))=0,UF_HOY,INDEX(IND_UF,MATCH(SUMPRODUCT(MAX((IND_PER&lt;=B773)*(IND_UF&lt;&gt;"")*IND_PER)),IND_PER,0))))</f>
        <v/>
      </c>
      <c r="AK773" s="87" t="str">
        <f aca="false">IF(AH773="","",IF(COUNTIF(TASA_DESDE,"&lt;="&amp;B773)=0,INDEX(TASA_EMP,1),INDEX(TASA_EMP,COUNTIF(TASA_DESDE,"&lt;="&amp;B773))))</f>
        <v/>
      </c>
    </row>
    <row r="774" customFormat="false" ht="15" hidden="false" customHeight="false" outlineLevel="0" collapsed="false">
      <c r="B774" s="78"/>
      <c r="C774" s="64"/>
      <c r="D774" s="72" t="str">
        <f aca="false">IF(C774="","",IFERROR(INDEX(T_NOMBRE,MATCH(C774,T_ID,0)),"⚠ ID no existe"))</f>
        <v/>
      </c>
      <c r="E774" s="69"/>
      <c r="F774" s="67"/>
      <c r="G774" s="67"/>
      <c r="H774" s="67"/>
      <c r="I774" s="67"/>
      <c r="J774" s="67"/>
      <c r="K774" s="85" t="str">
        <f aca="false">IF(AH774="","",N(F774)+N(G774)+N(H774)-N(I774)+N(J774))</f>
        <v/>
      </c>
      <c r="L774" s="67"/>
      <c r="M774" s="67"/>
      <c r="N774" s="67"/>
      <c r="O774" s="67"/>
      <c r="P774" s="85" t="str">
        <f aca="false">IF(AH774="","",K774+N(L774)+N(M774)+N(N774)+N(O774))</f>
        <v/>
      </c>
      <c r="Q774" s="67"/>
      <c r="R774" s="67"/>
      <c r="S774" s="67"/>
      <c r="T774" s="67"/>
      <c r="U774" s="67"/>
      <c r="V774" s="67"/>
      <c r="W774" s="85" t="str">
        <f aca="false">IF(AH774="","",N(Q774)+N(R774)+N(S774)+N(T774)+N(U774)+N(V774))</f>
        <v/>
      </c>
      <c r="X774" s="85" t="str">
        <f aca="false">IF(AH774="","",P774-W774)</f>
        <v/>
      </c>
      <c r="Y774" s="67"/>
      <c r="Z774" s="70" t="str">
        <f aca="false">IF(OR(AH774="",Y774=""),"",IF(ABS(X774-Y774)&lt;=1,"✓ Cuadra","⚠ Diferencia $"&amp;FIXED(X774-Y774,0)))</f>
        <v/>
      </c>
      <c r="AA774" s="72" t="str">
        <f aca="false">IF(AH774="","",IFERROR(INDEX(C_TIPO,MATCH(C774&amp;"-P"&amp;MAX(1,COUNTIFS(C_ID,C774,C_DEFINE,"Sí",C_INICIO,"&lt;="&amp;EOMONTH(B774,0))),C_CLAVE,0))&amp;"","Sin dato"))</f>
        <v/>
      </c>
      <c r="AB774" s="71" t="str">
        <f aca="false">IF(AH774="","",ROUND(MIN(K774,TOPE_AFP_UF*AJ774)*AK774,0))</f>
        <v/>
      </c>
      <c r="AC774" s="71" t="str">
        <f aca="false">IF(AH774="","",ROUND(MIN(K774,TOPE_AFC_UF*AJ774)*IF(AA774="Indefinido",AFC_EMP_INDEF,AFC_EMP_PF),0))</f>
        <v/>
      </c>
      <c r="AD774" s="71" t="str">
        <f aca="false">IF(AH774="","",ROUND(MIN(K774,TOPE_AFP_UF*AJ774)*(MUTUAL_BASICA+MUTUAL_ADIC+SANNA),0))</f>
        <v/>
      </c>
      <c r="AE774" s="71" t="str">
        <f aca="false">IF(AH774="","",P774-N(N774)+AB774+AC774+AD774)</f>
        <v/>
      </c>
      <c r="AF774" s="65"/>
      <c r="AG774" s="64"/>
      <c r="AH774" s="72" t="str">
        <f aca="false">IF(OR(B774="",C774=""),"",C774&amp;"|"&amp;(YEAR(B774)*100+MONTH(B774)))</f>
        <v/>
      </c>
      <c r="AI774" s="70" t="str">
        <f aca="false">IF(AH774="","",IF(COUNTIF(L_CLAVE,AH774)&gt;1,"⚠ Duplicado","OK"))</f>
        <v/>
      </c>
      <c r="AJ774" s="86" t="str">
        <f aca="false">IF(AH774="","",IF(SUMPRODUCT(MAX((IND_PER&lt;=B774)*(IND_UF&lt;&gt;"")*IND_PER))=0,UF_HOY,INDEX(IND_UF,MATCH(SUMPRODUCT(MAX((IND_PER&lt;=B774)*(IND_UF&lt;&gt;"")*IND_PER)),IND_PER,0))))</f>
        <v/>
      </c>
      <c r="AK774" s="87" t="str">
        <f aca="false">IF(AH774="","",IF(COUNTIF(TASA_DESDE,"&lt;="&amp;B774)=0,INDEX(TASA_EMP,1),INDEX(TASA_EMP,COUNTIF(TASA_DESDE,"&lt;="&amp;B774))))</f>
        <v/>
      </c>
    </row>
    <row r="775" customFormat="false" ht="15" hidden="false" customHeight="false" outlineLevel="0" collapsed="false">
      <c r="B775" s="78"/>
      <c r="C775" s="64"/>
      <c r="D775" s="72" t="str">
        <f aca="false">IF(C775="","",IFERROR(INDEX(T_NOMBRE,MATCH(C775,T_ID,0)),"⚠ ID no existe"))</f>
        <v/>
      </c>
      <c r="E775" s="69"/>
      <c r="F775" s="67"/>
      <c r="G775" s="67"/>
      <c r="H775" s="67"/>
      <c r="I775" s="67"/>
      <c r="J775" s="67"/>
      <c r="K775" s="85" t="str">
        <f aca="false">IF(AH775="","",N(F775)+N(G775)+N(H775)-N(I775)+N(J775))</f>
        <v/>
      </c>
      <c r="L775" s="67"/>
      <c r="M775" s="67"/>
      <c r="N775" s="67"/>
      <c r="O775" s="67"/>
      <c r="P775" s="85" t="str">
        <f aca="false">IF(AH775="","",K775+N(L775)+N(M775)+N(N775)+N(O775))</f>
        <v/>
      </c>
      <c r="Q775" s="67"/>
      <c r="R775" s="67"/>
      <c r="S775" s="67"/>
      <c r="T775" s="67"/>
      <c r="U775" s="67"/>
      <c r="V775" s="67"/>
      <c r="W775" s="85" t="str">
        <f aca="false">IF(AH775="","",N(Q775)+N(R775)+N(S775)+N(T775)+N(U775)+N(V775))</f>
        <v/>
      </c>
      <c r="X775" s="85" t="str">
        <f aca="false">IF(AH775="","",P775-W775)</f>
        <v/>
      </c>
      <c r="Y775" s="67"/>
      <c r="Z775" s="70" t="str">
        <f aca="false">IF(OR(AH775="",Y775=""),"",IF(ABS(X775-Y775)&lt;=1,"✓ Cuadra","⚠ Diferencia $"&amp;FIXED(X775-Y775,0)))</f>
        <v/>
      </c>
      <c r="AA775" s="72" t="str">
        <f aca="false">IF(AH775="","",IFERROR(INDEX(C_TIPO,MATCH(C775&amp;"-P"&amp;MAX(1,COUNTIFS(C_ID,C775,C_DEFINE,"Sí",C_INICIO,"&lt;="&amp;EOMONTH(B775,0))),C_CLAVE,0))&amp;"","Sin dato"))</f>
        <v/>
      </c>
      <c r="AB775" s="71" t="str">
        <f aca="false">IF(AH775="","",ROUND(MIN(K775,TOPE_AFP_UF*AJ775)*AK775,0))</f>
        <v/>
      </c>
      <c r="AC775" s="71" t="str">
        <f aca="false">IF(AH775="","",ROUND(MIN(K775,TOPE_AFC_UF*AJ775)*IF(AA775="Indefinido",AFC_EMP_INDEF,AFC_EMP_PF),0))</f>
        <v/>
      </c>
      <c r="AD775" s="71" t="str">
        <f aca="false">IF(AH775="","",ROUND(MIN(K775,TOPE_AFP_UF*AJ775)*(MUTUAL_BASICA+MUTUAL_ADIC+SANNA),0))</f>
        <v/>
      </c>
      <c r="AE775" s="71" t="str">
        <f aca="false">IF(AH775="","",P775-N(N775)+AB775+AC775+AD775)</f>
        <v/>
      </c>
      <c r="AF775" s="65"/>
      <c r="AG775" s="64"/>
      <c r="AH775" s="72" t="str">
        <f aca="false">IF(OR(B775="",C775=""),"",C775&amp;"|"&amp;(YEAR(B775)*100+MONTH(B775)))</f>
        <v/>
      </c>
      <c r="AI775" s="70" t="str">
        <f aca="false">IF(AH775="","",IF(COUNTIF(L_CLAVE,AH775)&gt;1,"⚠ Duplicado","OK"))</f>
        <v/>
      </c>
      <c r="AJ775" s="86" t="str">
        <f aca="false">IF(AH775="","",IF(SUMPRODUCT(MAX((IND_PER&lt;=B775)*(IND_UF&lt;&gt;"")*IND_PER))=0,UF_HOY,INDEX(IND_UF,MATCH(SUMPRODUCT(MAX((IND_PER&lt;=B775)*(IND_UF&lt;&gt;"")*IND_PER)),IND_PER,0))))</f>
        <v/>
      </c>
      <c r="AK775" s="87" t="str">
        <f aca="false">IF(AH775="","",IF(COUNTIF(TASA_DESDE,"&lt;="&amp;B775)=0,INDEX(TASA_EMP,1),INDEX(TASA_EMP,COUNTIF(TASA_DESDE,"&lt;="&amp;B775))))</f>
        <v/>
      </c>
    </row>
    <row r="776" customFormat="false" ht="15" hidden="false" customHeight="false" outlineLevel="0" collapsed="false">
      <c r="B776" s="78"/>
      <c r="C776" s="64"/>
      <c r="D776" s="72" t="str">
        <f aca="false">IF(C776="","",IFERROR(INDEX(T_NOMBRE,MATCH(C776,T_ID,0)),"⚠ ID no existe"))</f>
        <v/>
      </c>
      <c r="E776" s="69"/>
      <c r="F776" s="67"/>
      <c r="G776" s="67"/>
      <c r="H776" s="67"/>
      <c r="I776" s="67"/>
      <c r="J776" s="67"/>
      <c r="K776" s="85" t="str">
        <f aca="false">IF(AH776="","",N(F776)+N(G776)+N(H776)-N(I776)+N(J776))</f>
        <v/>
      </c>
      <c r="L776" s="67"/>
      <c r="M776" s="67"/>
      <c r="N776" s="67"/>
      <c r="O776" s="67"/>
      <c r="P776" s="85" t="str">
        <f aca="false">IF(AH776="","",K776+N(L776)+N(M776)+N(N776)+N(O776))</f>
        <v/>
      </c>
      <c r="Q776" s="67"/>
      <c r="R776" s="67"/>
      <c r="S776" s="67"/>
      <c r="T776" s="67"/>
      <c r="U776" s="67"/>
      <c r="V776" s="67"/>
      <c r="W776" s="85" t="str">
        <f aca="false">IF(AH776="","",N(Q776)+N(R776)+N(S776)+N(T776)+N(U776)+N(V776))</f>
        <v/>
      </c>
      <c r="X776" s="85" t="str">
        <f aca="false">IF(AH776="","",P776-W776)</f>
        <v/>
      </c>
      <c r="Y776" s="67"/>
      <c r="Z776" s="70" t="str">
        <f aca="false">IF(OR(AH776="",Y776=""),"",IF(ABS(X776-Y776)&lt;=1,"✓ Cuadra","⚠ Diferencia $"&amp;FIXED(X776-Y776,0)))</f>
        <v/>
      </c>
      <c r="AA776" s="72" t="str">
        <f aca="false">IF(AH776="","",IFERROR(INDEX(C_TIPO,MATCH(C776&amp;"-P"&amp;MAX(1,COUNTIFS(C_ID,C776,C_DEFINE,"Sí",C_INICIO,"&lt;="&amp;EOMONTH(B776,0))),C_CLAVE,0))&amp;"","Sin dato"))</f>
        <v/>
      </c>
      <c r="AB776" s="71" t="str">
        <f aca="false">IF(AH776="","",ROUND(MIN(K776,TOPE_AFP_UF*AJ776)*AK776,0))</f>
        <v/>
      </c>
      <c r="AC776" s="71" t="str">
        <f aca="false">IF(AH776="","",ROUND(MIN(K776,TOPE_AFC_UF*AJ776)*IF(AA776="Indefinido",AFC_EMP_INDEF,AFC_EMP_PF),0))</f>
        <v/>
      </c>
      <c r="AD776" s="71" t="str">
        <f aca="false">IF(AH776="","",ROUND(MIN(K776,TOPE_AFP_UF*AJ776)*(MUTUAL_BASICA+MUTUAL_ADIC+SANNA),0))</f>
        <v/>
      </c>
      <c r="AE776" s="71" t="str">
        <f aca="false">IF(AH776="","",P776-N(N776)+AB776+AC776+AD776)</f>
        <v/>
      </c>
      <c r="AF776" s="65"/>
      <c r="AG776" s="64"/>
      <c r="AH776" s="72" t="str">
        <f aca="false">IF(OR(B776="",C776=""),"",C776&amp;"|"&amp;(YEAR(B776)*100+MONTH(B776)))</f>
        <v/>
      </c>
      <c r="AI776" s="70" t="str">
        <f aca="false">IF(AH776="","",IF(COUNTIF(L_CLAVE,AH776)&gt;1,"⚠ Duplicado","OK"))</f>
        <v/>
      </c>
      <c r="AJ776" s="86" t="str">
        <f aca="false">IF(AH776="","",IF(SUMPRODUCT(MAX((IND_PER&lt;=B776)*(IND_UF&lt;&gt;"")*IND_PER))=0,UF_HOY,INDEX(IND_UF,MATCH(SUMPRODUCT(MAX((IND_PER&lt;=B776)*(IND_UF&lt;&gt;"")*IND_PER)),IND_PER,0))))</f>
        <v/>
      </c>
      <c r="AK776" s="87" t="str">
        <f aca="false">IF(AH776="","",IF(COUNTIF(TASA_DESDE,"&lt;="&amp;B776)=0,INDEX(TASA_EMP,1),INDEX(TASA_EMP,COUNTIF(TASA_DESDE,"&lt;="&amp;B776))))</f>
        <v/>
      </c>
    </row>
    <row r="777" customFormat="false" ht="15" hidden="false" customHeight="false" outlineLevel="0" collapsed="false">
      <c r="B777" s="78"/>
      <c r="C777" s="64"/>
      <c r="D777" s="72" t="str">
        <f aca="false">IF(C777="","",IFERROR(INDEX(T_NOMBRE,MATCH(C777,T_ID,0)),"⚠ ID no existe"))</f>
        <v/>
      </c>
      <c r="E777" s="69"/>
      <c r="F777" s="67"/>
      <c r="G777" s="67"/>
      <c r="H777" s="67"/>
      <c r="I777" s="67"/>
      <c r="J777" s="67"/>
      <c r="K777" s="85" t="str">
        <f aca="false">IF(AH777="","",N(F777)+N(G777)+N(H777)-N(I777)+N(J777))</f>
        <v/>
      </c>
      <c r="L777" s="67"/>
      <c r="M777" s="67"/>
      <c r="N777" s="67"/>
      <c r="O777" s="67"/>
      <c r="P777" s="85" t="str">
        <f aca="false">IF(AH777="","",K777+N(L777)+N(M777)+N(N777)+N(O777))</f>
        <v/>
      </c>
      <c r="Q777" s="67"/>
      <c r="R777" s="67"/>
      <c r="S777" s="67"/>
      <c r="T777" s="67"/>
      <c r="U777" s="67"/>
      <c r="V777" s="67"/>
      <c r="W777" s="85" t="str">
        <f aca="false">IF(AH777="","",N(Q777)+N(R777)+N(S777)+N(T777)+N(U777)+N(V777))</f>
        <v/>
      </c>
      <c r="X777" s="85" t="str">
        <f aca="false">IF(AH777="","",P777-W777)</f>
        <v/>
      </c>
      <c r="Y777" s="67"/>
      <c r="Z777" s="70" t="str">
        <f aca="false">IF(OR(AH777="",Y777=""),"",IF(ABS(X777-Y777)&lt;=1,"✓ Cuadra","⚠ Diferencia $"&amp;FIXED(X777-Y777,0)))</f>
        <v/>
      </c>
      <c r="AA777" s="72" t="str">
        <f aca="false">IF(AH777="","",IFERROR(INDEX(C_TIPO,MATCH(C777&amp;"-P"&amp;MAX(1,COUNTIFS(C_ID,C777,C_DEFINE,"Sí",C_INICIO,"&lt;="&amp;EOMONTH(B777,0))),C_CLAVE,0))&amp;"","Sin dato"))</f>
        <v/>
      </c>
      <c r="AB777" s="71" t="str">
        <f aca="false">IF(AH777="","",ROUND(MIN(K777,TOPE_AFP_UF*AJ777)*AK777,0))</f>
        <v/>
      </c>
      <c r="AC777" s="71" t="str">
        <f aca="false">IF(AH777="","",ROUND(MIN(K777,TOPE_AFC_UF*AJ777)*IF(AA777="Indefinido",AFC_EMP_INDEF,AFC_EMP_PF),0))</f>
        <v/>
      </c>
      <c r="AD777" s="71" t="str">
        <f aca="false">IF(AH777="","",ROUND(MIN(K777,TOPE_AFP_UF*AJ777)*(MUTUAL_BASICA+MUTUAL_ADIC+SANNA),0))</f>
        <v/>
      </c>
      <c r="AE777" s="71" t="str">
        <f aca="false">IF(AH777="","",P777-N(N777)+AB777+AC777+AD777)</f>
        <v/>
      </c>
      <c r="AF777" s="65"/>
      <c r="AG777" s="64"/>
      <c r="AH777" s="72" t="str">
        <f aca="false">IF(OR(B777="",C777=""),"",C777&amp;"|"&amp;(YEAR(B777)*100+MONTH(B777)))</f>
        <v/>
      </c>
      <c r="AI777" s="70" t="str">
        <f aca="false">IF(AH777="","",IF(COUNTIF(L_CLAVE,AH777)&gt;1,"⚠ Duplicado","OK"))</f>
        <v/>
      </c>
      <c r="AJ777" s="86" t="str">
        <f aca="false">IF(AH777="","",IF(SUMPRODUCT(MAX((IND_PER&lt;=B777)*(IND_UF&lt;&gt;"")*IND_PER))=0,UF_HOY,INDEX(IND_UF,MATCH(SUMPRODUCT(MAX((IND_PER&lt;=B777)*(IND_UF&lt;&gt;"")*IND_PER)),IND_PER,0))))</f>
        <v/>
      </c>
      <c r="AK777" s="87" t="str">
        <f aca="false">IF(AH777="","",IF(COUNTIF(TASA_DESDE,"&lt;="&amp;B777)=0,INDEX(TASA_EMP,1),INDEX(TASA_EMP,COUNTIF(TASA_DESDE,"&lt;="&amp;B777))))</f>
        <v/>
      </c>
    </row>
    <row r="778" customFormat="false" ht="15" hidden="false" customHeight="false" outlineLevel="0" collapsed="false">
      <c r="B778" s="78"/>
      <c r="C778" s="64"/>
      <c r="D778" s="72" t="str">
        <f aca="false">IF(C778="","",IFERROR(INDEX(T_NOMBRE,MATCH(C778,T_ID,0)),"⚠ ID no existe"))</f>
        <v/>
      </c>
      <c r="E778" s="69"/>
      <c r="F778" s="67"/>
      <c r="G778" s="67"/>
      <c r="H778" s="67"/>
      <c r="I778" s="67"/>
      <c r="J778" s="67"/>
      <c r="K778" s="85" t="str">
        <f aca="false">IF(AH778="","",N(F778)+N(G778)+N(H778)-N(I778)+N(J778))</f>
        <v/>
      </c>
      <c r="L778" s="67"/>
      <c r="M778" s="67"/>
      <c r="N778" s="67"/>
      <c r="O778" s="67"/>
      <c r="P778" s="85" t="str">
        <f aca="false">IF(AH778="","",K778+N(L778)+N(M778)+N(N778)+N(O778))</f>
        <v/>
      </c>
      <c r="Q778" s="67"/>
      <c r="R778" s="67"/>
      <c r="S778" s="67"/>
      <c r="T778" s="67"/>
      <c r="U778" s="67"/>
      <c r="V778" s="67"/>
      <c r="W778" s="85" t="str">
        <f aca="false">IF(AH778="","",N(Q778)+N(R778)+N(S778)+N(T778)+N(U778)+N(V778))</f>
        <v/>
      </c>
      <c r="X778" s="85" t="str">
        <f aca="false">IF(AH778="","",P778-W778)</f>
        <v/>
      </c>
      <c r="Y778" s="67"/>
      <c r="Z778" s="70" t="str">
        <f aca="false">IF(OR(AH778="",Y778=""),"",IF(ABS(X778-Y778)&lt;=1,"✓ Cuadra","⚠ Diferencia $"&amp;FIXED(X778-Y778,0)))</f>
        <v/>
      </c>
      <c r="AA778" s="72" t="str">
        <f aca="false">IF(AH778="","",IFERROR(INDEX(C_TIPO,MATCH(C778&amp;"-P"&amp;MAX(1,COUNTIFS(C_ID,C778,C_DEFINE,"Sí",C_INICIO,"&lt;="&amp;EOMONTH(B778,0))),C_CLAVE,0))&amp;"","Sin dato"))</f>
        <v/>
      </c>
      <c r="AB778" s="71" t="str">
        <f aca="false">IF(AH778="","",ROUND(MIN(K778,TOPE_AFP_UF*AJ778)*AK778,0))</f>
        <v/>
      </c>
      <c r="AC778" s="71" t="str">
        <f aca="false">IF(AH778="","",ROUND(MIN(K778,TOPE_AFC_UF*AJ778)*IF(AA778="Indefinido",AFC_EMP_INDEF,AFC_EMP_PF),0))</f>
        <v/>
      </c>
      <c r="AD778" s="71" t="str">
        <f aca="false">IF(AH778="","",ROUND(MIN(K778,TOPE_AFP_UF*AJ778)*(MUTUAL_BASICA+MUTUAL_ADIC+SANNA),0))</f>
        <v/>
      </c>
      <c r="AE778" s="71" t="str">
        <f aca="false">IF(AH778="","",P778-N(N778)+AB778+AC778+AD778)</f>
        <v/>
      </c>
      <c r="AF778" s="65"/>
      <c r="AG778" s="64"/>
      <c r="AH778" s="72" t="str">
        <f aca="false">IF(OR(B778="",C778=""),"",C778&amp;"|"&amp;(YEAR(B778)*100+MONTH(B778)))</f>
        <v/>
      </c>
      <c r="AI778" s="70" t="str">
        <f aca="false">IF(AH778="","",IF(COUNTIF(L_CLAVE,AH778)&gt;1,"⚠ Duplicado","OK"))</f>
        <v/>
      </c>
      <c r="AJ778" s="86" t="str">
        <f aca="false">IF(AH778="","",IF(SUMPRODUCT(MAX((IND_PER&lt;=B778)*(IND_UF&lt;&gt;"")*IND_PER))=0,UF_HOY,INDEX(IND_UF,MATCH(SUMPRODUCT(MAX((IND_PER&lt;=B778)*(IND_UF&lt;&gt;"")*IND_PER)),IND_PER,0))))</f>
        <v/>
      </c>
      <c r="AK778" s="87" t="str">
        <f aca="false">IF(AH778="","",IF(COUNTIF(TASA_DESDE,"&lt;="&amp;B778)=0,INDEX(TASA_EMP,1),INDEX(TASA_EMP,COUNTIF(TASA_DESDE,"&lt;="&amp;B778))))</f>
        <v/>
      </c>
    </row>
    <row r="779" customFormat="false" ht="15" hidden="false" customHeight="false" outlineLevel="0" collapsed="false">
      <c r="B779" s="78"/>
      <c r="C779" s="64"/>
      <c r="D779" s="72" t="str">
        <f aca="false">IF(C779="","",IFERROR(INDEX(T_NOMBRE,MATCH(C779,T_ID,0)),"⚠ ID no existe"))</f>
        <v/>
      </c>
      <c r="E779" s="69"/>
      <c r="F779" s="67"/>
      <c r="G779" s="67"/>
      <c r="H779" s="67"/>
      <c r="I779" s="67"/>
      <c r="J779" s="67"/>
      <c r="K779" s="85" t="str">
        <f aca="false">IF(AH779="","",N(F779)+N(G779)+N(H779)-N(I779)+N(J779))</f>
        <v/>
      </c>
      <c r="L779" s="67"/>
      <c r="M779" s="67"/>
      <c r="N779" s="67"/>
      <c r="O779" s="67"/>
      <c r="P779" s="85" t="str">
        <f aca="false">IF(AH779="","",K779+N(L779)+N(M779)+N(N779)+N(O779))</f>
        <v/>
      </c>
      <c r="Q779" s="67"/>
      <c r="R779" s="67"/>
      <c r="S779" s="67"/>
      <c r="T779" s="67"/>
      <c r="U779" s="67"/>
      <c r="V779" s="67"/>
      <c r="W779" s="85" t="str">
        <f aca="false">IF(AH779="","",N(Q779)+N(R779)+N(S779)+N(T779)+N(U779)+N(V779))</f>
        <v/>
      </c>
      <c r="X779" s="85" t="str">
        <f aca="false">IF(AH779="","",P779-W779)</f>
        <v/>
      </c>
      <c r="Y779" s="67"/>
      <c r="Z779" s="70" t="str">
        <f aca="false">IF(OR(AH779="",Y779=""),"",IF(ABS(X779-Y779)&lt;=1,"✓ Cuadra","⚠ Diferencia $"&amp;FIXED(X779-Y779,0)))</f>
        <v/>
      </c>
      <c r="AA779" s="72" t="str">
        <f aca="false">IF(AH779="","",IFERROR(INDEX(C_TIPO,MATCH(C779&amp;"-P"&amp;MAX(1,COUNTIFS(C_ID,C779,C_DEFINE,"Sí",C_INICIO,"&lt;="&amp;EOMONTH(B779,0))),C_CLAVE,0))&amp;"","Sin dato"))</f>
        <v/>
      </c>
      <c r="AB779" s="71" t="str">
        <f aca="false">IF(AH779="","",ROUND(MIN(K779,TOPE_AFP_UF*AJ779)*AK779,0))</f>
        <v/>
      </c>
      <c r="AC779" s="71" t="str">
        <f aca="false">IF(AH779="","",ROUND(MIN(K779,TOPE_AFC_UF*AJ779)*IF(AA779="Indefinido",AFC_EMP_INDEF,AFC_EMP_PF),0))</f>
        <v/>
      </c>
      <c r="AD779" s="71" t="str">
        <f aca="false">IF(AH779="","",ROUND(MIN(K779,TOPE_AFP_UF*AJ779)*(MUTUAL_BASICA+MUTUAL_ADIC+SANNA),0))</f>
        <v/>
      </c>
      <c r="AE779" s="71" t="str">
        <f aca="false">IF(AH779="","",P779-N(N779)+AB779+AC779+AD779)</f>
        <v/>
      </c>
      <c r="AF779" s="65"/>
      <c r="AG779" s="64"/>
      <c r="AH779" s="72" t="str">
        <f aca="false">IF(OR(B779="",C779=""),"",C779&amp;"|"&amp;(YEAR(B779)*100+MONTH(B779)))</f>
        <v/>
      </c>
      <c r="AI779" s="70" t="str">
        <f aca="false">IF(AH779="","",IF(COUNTIF(L_CLAVE,AH779)&gt;1,"⚠ Duplicado","OK"))</f>
        <v/>
      </c>
      <c r="AJ779" s="86" t="str">
        <f aca="false">IF(AH779="","",IF(SUMPRODUCT(MAX((IND_PER&lt;=B779)*(IND_UF&lt;&gt;"")*IND_PER))=0,UF_HOY,INDEX(IND_UF,MATCH(SUMPRODUCT(MAX((IND_PER&lt;=B779)*(IND_UF&lt;&gt;"")*IND_PER)),IND_PER,0))))</f>
        <v/>
      </c>
      <c r="AK779" s="87" t="str">
        <f aca="false">IF(AH779="","",IF(COUNTIF(TASA_DESDE,"&lt;="&amp;B779)=0,INDEX(TASA_EMP,1),INDEX(TASA_EMP,COUNTIF(TASA_DESDE,"&lt;="&amp;B779))))</f>
        <v/>
      </c>
    </row>
    <row r="780" customFormat="false" ht="15" hidden="false" customHeight="false" outlineLevel="0" collapsed="false">
      <c r="B780" s="78"/>
      <c r="C780" s="64"/>
      <c r="D780" s="72" t="str">
        <f aca="false">IF(C780="","",IFERROR(INDEX(T_NOMBRE,MATCH(C780,T_ID,0)),"⚠ ID no existe"))</f>
        <v/>
      </c>
      <c r="E780" s="69"/>
      <c r="F780" s="67"/>
      <c r="G780" s="67"/>
      <c r="H780" s="67"/>
      <c r="I780" s="67"/>
      <c r="J780" s="67"/>
      <c r="K780" s="85" t="str">
        <f aca="false">IF(AH780="","",N(F780)+N(G780)+N(H780)-N(I780)+N(J780))</f>
        <v/>
      </c>
      <c r="L780" s="67"/>
      <c r="M780" s="67"/>
      <c r="N780" s="67"/>
      <c r="O780" s="67"/>
      <c r="P780" s="85" t="str">
        <f aca="false">IF(AH780="","",K780+N(L780)+N(M780)+N(N780)+N(O780))</f>
        <v/>
      </c>
      <c r="Q780" s="67"/>
      <c r="R780" s="67"/>
      <c r="S780" s="67"/>
      <c r="T780" s="67"/>
      <c r="U780" s="67"/>
      <c r="V780" s="67"/>
      <c r="W780" s="85" t="str">
        <f aca="false">IF(AH780="","",N(Q780)+N(R780)+N(S780)+N(T780)+N(U780)+N(V780))</f>
        <v/>
      </c>
      <c r="X780" s="85" t="str">
        <f aca="false">IF(AH780="","",P780-W780)</f>
        <v/>
      </c>
      <c r="Y780" s="67"/>
      <c r="Z780" s="70" t="str">
        <f aca="false">IF(OR(AH780="",Y780=""),"",IF(ABS(X780-Y780)&lt;=1,"✓ Cuadra","⚠ Diferencia $"&amp;FIXED(X780-Y780,0)))</f>
        <v/>
      </c>
      <c r="AA780" s="72" t="str">
        <f aca="false">IF(AH780="","",IFERROR(INDEX(C_TIPO,MATCH(C780&amp;"-P"&amp;MAX(1,COUNTIFS(C_ID,C780,C_DEFINE,"Sí",C_INICIO,"&lt;="&amp;EOMONTH(B780,0))),C_CLAVE,0))&amp;"","Sin dato"))</f>
        <v/>
      </c>
      <c r="AB780" s="71" t="str">
        <f aca="false">IF(AH780="","",ROUND(MIN(K780,TOPE_AFP_UF*AJ780)*AK780,0))</f>
        <v/>
      </c>
      <c r="AC780" s="71" t="str">
        <f aca="false">IF(AH780="","",ROUND(MIN(K780,TOPE_AFC_UF*AJ780)*IF(AA780="Indefinido",AFC_EMP_INDEF,AFC_EMP_PF),0))</f>
        <v/>
      </c>
      <c r="AD780" s="71" t="str">
        <f aca="false">IF(AH780="","",ROUND(MIN(K780,TOPE_AFP_UF*AJ780)*(MUTUAL_BASICA+MUTUAL_ADIC+SANNA),0))</f>
        <v/>
      </c>
      <c r="AE780" s="71" t="str">
        <f aca="false">IF(AH780="","",P780-N(N780)+AB780+AC780+AD780)</f>
        <v/>
      </c>
      <c r="AF780" s="65"/>
      <c r="AG780" s="64"/>
      <c r="AH780" s="72" t="str">
        <f aca="false">IF(OR(B780="",C780=""),"",C780&amp;"|"&amp;(YEAR(B780)*100+MONTH(B780)))</f>
        <v/>
      </c>
      <c r="AI780" s="70" t="str">
        <f aca="false">IF(AH780="","",IF(COUNTIF(L_CLAVE,AH780)&gt;1,"⚠ Duplicado","OK"))</f>
        <v/>
      </c>
      <c r="AJ780" s="86" t="str">
        <f aca="false">IF(AH780="","",IF(SUMPRODUCT(MAX((IND_PER&lt;=B780)*(IND_UF&lt;&gt;"")*IND_PER))=0,UF_HOY,INDEX(IND_UF,MATCH(SUMPRODUCT(MAX((IND_PER&lt;=B780)*(IND_UF&lt;&gt;"")*IND_PER)),IND_PER,0))))</f>
        <v/>
      </c>
      <c r="AK780" s="87" t="str">
        <f aca="false">IF(AH780="","",IF(COUNTIF(TASA_DESDE,"&lt;="&amp;B780)=0,INDEX(TASA_EMP,1),INDEX(TASA_EMP,COUNTIF(TASA_DESDE,"&lt;="&amp;B780))))</f>
        <v/>
      </c>
    </row>
    <row r="781" customFormat="false" ht="15" hidden="false" customHeight="false" outlineLevel="0" collapsed="false">
      <c r="B781" s="78"/>
      <c r="C781" s="64"/>
      <c r="D781" s="72" t="str">
        <f aca="false">IF(C781="","",IFERROR(INDEX(T_NOMBRE,MATCH(C781,T_ID,0)),"⚠ ID no existe"))</f>
        <v/>
      </c>
      <c r="E781" s="69"/>
      <c r="F781" s="67"/>
      <c r="G781" s="67"/>
      <c r="H781" s="67"/>
      <c r="I781" s="67"/>
      <c r="J781" s="67"/>
      <c r="K781" s="85" t="str">
        <f aca="false">IF(AH781="","",N(F781)+N(G781)+N(H781)-N(I781)+N(J781))</f>
        <v/>
      </c>
      <c r="L781" s="67"/>
      <c r="M781" s="67"/>
      <c r="N781" s="67"/>
      <c r="O781" s="67"/>
      <c r="P781" s="85" t="str">
        <f aca="false">IF(AH781="","",K781+N(L781)+N(M781)+N(N781)+N(O781))</f>
        <v/>
      </c>
      <c r="Q781" s="67"/>
      <c r="R781" s="67"/>
      <c r="S781" s="67"/>
      <c r="T781" s="67"/>
      <c r="U781" s="67"/>
      <c r="V781" s="67"/>
      <c r="W781" s="85" t="str">
        <f aca="false">IF(AH781="","",N(Q781)+N(R781)+N(S781)+N(T781)+N(U781)+N(V781))</f>
        <v/>
      </c>
      <c r="X781" s="85" t="str">
        <f aca="false">IF(AH781="","",P781-W781)</f>
        <v/>
      </c>
      <c r="Y781" s="67"/>
      <c r="Z781" s="70" t="str">
        <f aca="false">IF(OR(AH781="",Y781=""),"",IF(ABS(X781-Y781)&lt;=1,"✓ Cuadra","⚠ Diferencia $"&amp;FIXED(X781-Y781,0)))</f>
        <v/>
      </c>
      <c r="AA781" s="72" t="str">
        <f aca="false">IF(AH781="","",IFERROR(INDEX(C_TIPO,MATCH(C781&amp;"-P"&amp;MAX(1,COUNTIFS(C_ID,C781,C_DEFINE,"Sí",C_INICIO,"&lt;="&amp;EOMONTH(B781,0))),C_CLAVE,0))&amp;"","Sin dato"))</f>
        <v/>
      </c>
      <c r="AB781" s="71" t="str">
        <f aca="false">IF(AH781="","",ROUND(MIN(K781,TOPE_AFP_UF*AJ781)*AK781,0))</f>
        <v/>
      </c>
      <c r="AC781" s="71" t="str">
        <f aca="false">IF(AH781="","",ROUND(MIN(K781,TOPE_AFC_UF*AJ781)*IF(AA781="Indefinido",AFC_EMP_INDEF,AFC_EMP_PF),0))</f>
        <v/>
      </c>
      <c r="AD781" s="71" t="str">
        <f aca="false">IF(AH781="","",ROUND(MIN(K781,TOPE_AFP_UF*AJ781)*(MUTUAL_BASICA+MUTUAL_ADIC+SANNA),0))</f>
        <v/>
      </c>
      <c r="AE781" s="71" t="str">
        <f aca="false">IF(AH781="","",P781-N(N781)+AB781+AC781+AD781)</f>
        <v/>
      </c>
      <c r="AF781" s="65"/>
      <c r="AG781" s="64"/>
      <c r="AH781" s="72" t="str">
        <f aca="false">IF(OR(B781="",C781=""),"",C781&amp;"|"&amp;(YEAR(B781)*100+MONTH(B781)))</f>
        <v/>
      </c>
      <c r="AI781" s="70" t="str">
        <f aca="false">IF(AH781="","",IF(COUNTIF(L_CLAVE,AH781)&gt;1,"⚠ Duplicado","OK"))</f>
        <v/>
      </c>
      <c r="AJ781" s="86" t="str">
        <f aca="false">IF(AH781="","",IF(SUMPRODUCT(MAX((IND_PER&lt;=B781)*(IND_UF&lt;&gt;"")*IND_PER))=0,UF_HOY,INDEX(IND_UF,MATCH(SUMPRODUCT(MAX((IND_PER&lt;=B781)*(IND_UF&lt;&gt;"")*IND_PER)),IND_PER,0))))</f>
        <v/>
      </c>
      <c r="AK781" s="87" t="str">
        <f aca="false">IF(AH781="","",IF(COUNTIF(TASA_DESDE,"&lt;="&amp;B781)=0,INDEX(TASA_EMP,1),INDEX(TASA_EMP,COUNTIF(TASA_DESDE,"&lt;="&amp;B781))))</f>
        <v/>
      </c>
    </row>
    <row r="782" customFormat="false" ht="15" hidden="false" customHeight="false" outlineLevel="0" collapsed="false">
      <c r="B782" s="78"/>
      <c r="C782" s="64"/>
      <c r="D782" s="72" t="str">
        <f aca="false">IF(C782="","",IFERROR(INDEX(T_NOMBRE,MATCH(C782,T_ID,0)),"⚠ ID no existe"))</f>
        <v/>
      </c>
      <c r="E782" s="69"/>
      <c r="F782" s="67"/>
      <c r="G782" s="67"/>
      <c r="H782" s="67"/>
      <c r="I782" s="67"/>
      <c r="J782" s="67"/>
      <c r="K782" s="85" t="str">
        <f aca="false">IF(AH782="","",N(F782)+N(G782)+N(H782)-N(I782)+N(J782))</f>
        <v/>
      </c>
      <c r="L782" s="67"/>
      <c r="M782" s="67"/>
      <c r="N782" s="67"/>
      <c r="O782" s="67"/>
      <c r="P782" s="85" t="str">
        <f aca="false">IF(AH782="","",K782+N(L782)+N(M782)+N(N782)+N(O782))</f>
        <v/>
      </c>
      <c r="Q782" s="67"/>
      <c r="R782" s="67"/>
      <c r="S782" s="67"/>
      <c r="T782" s="67"/>
      <c r="U782" s="67"/>
      <c r="V782" s="67"/>
      <c r="W782" s="85" t="str">
        <f aca="false">IF(AH782="","",N(Q782)+N(R782)+N(S782)+N(T782)+N(U782)+N(V782))</f>
        <v/>
      </c>
      <c r="X782" s="85" t="str">
        <f aca="false">IF(AH782="","",P782-W782)</f>
        <v/>
      </c>
      <c r="Y782" s="67"/>
      <c r="Z782" s="70" t="str">
        <f aca="false">IF(OR(AH782="",Y782=""),"",IF(ABS(X782-Y782)&lt;=1,"✓ Cuadra","⚠ Diferencia $"&amp;FIXED(X782-Y782,0)))</f>
        <v/>
      </c>
      <c r="AA782" s="72" t="str">
        <f aca="false">IF(AH782="","",IFERROR(INDEX(C_TIPO,MATCH(C782&amp;"-P"&amp;MAX(1,COUNTIFS(C_ID,C782,C_DEFINE,"Sí",C_INICIO,"&lt;="&amp;EOMONTH(B782,0))),C_CLAVE,0))&amp;"","Sin dato"))</f>
        <v/>
      </c>
      <c r="AB782" s="71" t="str">
        <f aca="false">IF(AH782="","",ROUND(MIN(K782,TOPE_AFP_UF*AJ782)*AK782,0))</f>
        <v/>
      </c>
      <c r="AC782" s="71" t="str">
        <f aca="false">IF(AH782="","",ROUND(MIN(K782,TOPE_AFC_UF*AJ782)*IF(AA782="Indefinido",AFC_EMP_INDEF,AFC_EMP_PF),0))</f>
        <v/>
      </c>
      <c r="AD782" s="71" t="str">
        <f aca="false">IF(AH782="","",ROUND(MIN(K782,TOPE_AFP_UF*AJ782)*(MUTUAL_BASICA+MUTUAL_ADIC+SANNA),0))</f>
        <v/>
      </c>
      <c r="AE782" s="71" t="str">
        <f aca="false">IF(AH782="","",P782-N(N782)+AB782+AC782+AD782)</f>
        <v/>
      </c>
      <c r="AF782" s="65"/>
      <c r="AG782" s="64"/>
      <c r="AH782" s="72" t="str">
        <f aca="false">IF(OR(B782="",C782=""),"",C782&amp;"|"&amp;(YEAR(B782)*100+MONTH(B782)))</f>
        <v/>
      </c>
      <c r="AI782" s="70" t="str">
        <f aca="false">IF(AH782="","",IF(COUNTIF(L_CLAVE,AH782)&gt;1,"⚠ Duplicado","OK"))</f>
        <v/>
      </c>
      <c r="AJ782" s="86" t="str">
        <f aca="false">IF(AH782="","",IF(SUMPRODUCT(MAX((IND_PER&lt;=B782)*(IND_UF&lt;&gt;"")*IND_PER))=0,UF_HOY,INDEX(IND_UF,MATCH(SUMPRODUCT(MAX((IND_PER&lt;=B782)*(IND_UF&lt;&gt;"")*IND_PER)),IND_PER,0))))</f>
        <v/>
      </c>
      <c r="AK782" s="87" t="str">
        <f aca="false">IF(AH782="","",IF(COUNTIF(TASA_DESDE,"&lt;="&amp;B782)=0,INDEX(TASA_EMP,1),INDEX(TASA_EMP,COUNTIF(TASA_DESDE,"&lt;="&amp;B782))))</f>
        <v/>
      </c>
    </row>
    <row r="783" customFormat="false" ht="15" hidden="false" customHeight="false" outlineLevel="0" collapsed="false">
      <c r="B783" s="78"/>
      <c r="C783" s="64"/>
      <c r="D783" s="72" t="str">
        <f aca="false">IF(C783="","",IFERROR(INDEX(T_NOMBRE,MATCH(C783,T_ID,0)),"⚠ ID no existe"))</f>
        <v/>
      </c>
      <c r="E783" s="69"/>
      <c r="F783" s="67"/>
      <c r="G783" s="67"/>
      <c r="H783" s="67"/>
      <c r="I783" s="67"/>
      <c r="J783" s="67"/>
      <c r="K783" s="85" t="str">
        <f aca="false">IF(AH783="","",N(F783)+N(G783)+N(H783)-N(I783)+N(J783))</f>
        <v/>
      </c>
      <c r="L783" s="67"/>
      <c r="M783" s="67"/>
      <c r="N783" s="67"/>
      <c r="O783" s="67"/>
      <c r="P783" s="85" t="str">
        <f aca="false">IF(AH783="","",K783+N(L783)+N(M783)+N(N783)+N(O783))</f>
        <v/>
      </c>
      <c r="Q783" s="67"/>
      <c r="R783" s="67"/>
      <c r="S783" s="67"/>
      <c r="T783" s="67"/>
      <c r="U783" s="67"/>
      <c r="V783" s="67"/>
      <c r="W783" s="85" t="str">
        <f aca="false">IF(AH783="","",N(Q783)+N(R783)+N(S783)+N(T783)+N(U783)+N(V783))</f>
        <v/>
      </c>
      <c r="X783" s="85" t="str">
        <f aca="false">IF(AH783="","",P783-W783)</f>
        <v/>
      </c>
      <c r="Y783" s="67"/>
      <c r="Z783" s="70" t="str">
        <f aca="false">IF(OR(AH783="",Y783=""),"",IF(ABS(X783-Y783)&lt;=1,"✓ Cuadra","⚠ Diferencia $"&amp;FIXED(X783-Y783,0)))</f>
        <v/>
      </c>
      <c r="AA783" s="72" t="str">
        <f aca="false">IF(AH783="","",IFERROR(INDEX(C_TIPO,MATCH(C783&amp;"-P"&amp;MAX(1,COUNTIFS(C_ID,C783,C_DEFINE,"Sí",C_INICIO,"&lt;="&amp;EOMONTH(B783,0))),C_CLAVE,0))&amp;"","Sin dato"))</f>
        <v/>
      </c>
      <c r="AB783" s="71" t="str">
        <f aca="false">IF(AH783="","",ROUND(MIN(K783,TOPE_AFP_UF*AJ783)*AK783,0))</f>
        <v/>
      </c>
      <c r="AC783" s="71" t="str">
        <f aca="false">IF(AH783="","",ROUND(MIN(K783,TOPE_AFC_UF*AJ783)*IF(AA783="Indefinido",AFC_EMP_INDEF,AFC_EMP_PF),0))</f>
        <v/>
      </c>
      <c r="AD783" s="71" t="str">
        <f aca="false">IF(AH783="","",ROUND(MIN(K783,TOPE_AFP_UF*AJ783)*(MUTUAL_BASICA+MUTUAL_ADIC+SANNA),0))</f>
        <v/>
      </c>
      <c r="AE783" s="71" t="str">
        <f aca="false">IF(AH783="","",P783-N(N783)+AB783+AC783+AD783)</f>
        <v/>
      </c>
      <c r="AF783" s="65"/>
      <c r="AG783" s="64"/>
      <c r="AH783" s="72" t="str">
        <f aca="false">IF(OR(B783="",C783=""),"",C783&amp;"|"&amp;(YEAR(B783)*100+MONTH(B783)))</f>
        <v/>
      </c>
      <c r="AI783" s="70" t="str">
        <f aca="false">IF(AH783="","",IF(COUNTIF(L_CLAVE,AH783)&gt;1,"⚠ Duplicado","OK"))</f>
        <v/>
      </c>
      <c r="AJ783" s="86" t="str">
        <f aca="false">IF(AH783="","",IF(SUMPRODUCT(MAX((IND_PER&lt;=B783)*(IND_UF&lt;&gt;"")*IND_PER))=0,UF_HOY,INDEX(IND_UF,MATCH(SUMPRODUCT(MAX((IND_PER&lt;=B783)*(IND_UF&lt;&gt;"")*IND_PER)),IND_PER,0))))</f>
        <v/>
      </c>
      <c r="AK783" s="87" t="str">
        <f aca="false">IF(AH783="","",IF(COUNTIF(TASA_DESDE,"&lt;="&amp;B783)=0,INDEX(TASA_EMP,1),INDEX(TASA_EMP,COUNTIF(TASA_DESDE,"&lt;="&amp;B783))))</f>
        <v/>
      </c>
    </row>
    <row r="784" customFormat="false" ht="15" hidden="false" customHeight="false" outlineLevel="0" collapsed="false">
      <c r="B784" s="78"/>
      <c r="C784" s="64"/>
      <c r="D784" s="72" t="str">
        <f aca="false">IF(C784="","",IFERROR(INDEX(T_NOMBRE,MATCH(C784,T_ID,0)),"⚠ ID no existe"))</f>
        <v/>
      </c>
      <c r="E784" s="69"/>
      <c r="F784" s="67"/>
      <c r="G784" s="67"/>
      <c r="H784" s="67"/>
      <c r="I784" s="67"/>
      <c r="J784" s="67"/>
      <c r="K784" s="85" t="str">
        <f aca="false">IF(AH784="","",N(F784)+N(G784)+N(H784)-N(I784)+N(J784))</f>
        <v/>
      </c>
      <c r="L784" s="67"/>
      <c r="M784" s="67"/>
      <c r="N784" s="67"/>
      <c r="O784" s="67"/>
      <c r="P784" s="85" t="str">
        <f aca="false">IF(AH784="","",K784+N(L784)+N(M784)+N(N784)+N(O784))</f>
        <v/>
      </c>
      <c r="Q784" s="67"/>
      <c r="R784" s="67"/>
      <c r="S784" s="67"/>
      <c r="T784" s="67"/>
      <c r="U784" s="67"/>
      <c r="V784" s="67"/>
      <c r="W784" s="85" t="str">
        <f aca="false">IF(AH784="","",N(Q784)+N(R784)+N(S784)+N(T784)+N(U784)+N(V784))</f>
        <v/>
      </c>
      <c r="X784" s="85" t="str">
        <f aca="false">IF(AH784="","",P784-W784)</f>
        <v/>
      </c>
      <c r="Y784" s="67"/>
      <c r="Z784" s="70" t="str">
        <f aca="false">IF(OR(AH784="",Y784=""),"",IF(ABS(X784-Y784)&lt;=1,"✓ Cuadra","⚠ Diferencia $"&amp;FIXED(X784-Y784,0)))</f>
        <v/>
      </c>
      <c r="AA784" s="72" t="str">
        <f aca="false">IF(AH784="","",IFERROR(INDEX(C_TIPO,MATCH(C784&amp;"-P"&amp;MAX(1,COUNTIFS(C_ID,C784,C_DEFINE,"Sí",C_INICIO,"&lt;="&amp;EOMONTH(B784,0))),C_CLAVE,0))&amp;"","Sin dato"))</f>
        <v/>
      </c>
      <c r="AB784" s="71" t="str">
        <f aca="false">IF(AH784="","",ROUND(MIN(K784,TOPE_AFP_UF*AJ784)*AK784,0))</f>
        <v/>
      </c>
      <c r="AC784" s="71" t="str">
        <f aca="false">IF(AH784="","",ROUND(MIN(K784,TOPE_AFC_UF*AJ784)*IF(AA784="Indefinido",AFC_EMP_INDEF,AFC_EMP_PF),0))</f>
        <v/>
      </c>
      <c r="AD784" s="71" t="str">
        <f aca="false">IF(AH784="","",ROUND(MIN(K784,TOPE_AFP_UF*AJ784)*(MUTUAL_BASICA+MUTUAL_ADIC+SANNA),0))</f>
        <v/>
      </c>
      <c r="AE784" s="71" t="str">
        <f aca="false">IF(AH784="","",P784-N(N784)+AB784+AC784+AD784)</f>
        <v/>
      </c>
      <c r="AF784" s="65"/>
      <c r="AG784" s="64"/>
      <c r="AH784" s="72" t="str">
        <f aca="false">IF(OR(B784="",C784=""),"",C784&amp;"|"&amp;(YEAR(B784)*100+MONTH(B784)))</f>
        <v/>
      </c>
      <c r="AI784" s="70" t="str">
        <f aca="false">IF(AH784="","",IF(COUNTIF(L_CLAVE,AH784)&gt;1,"⚠ Duplicado","OK"))</f>
        <v/>
      </c>
      <c r="AJ784" s="86" t="str">
        <f aca="false">IF(AH784="","",IF(SUMPRODUCT(MAX((IND_PER&lt;=B784)*(IND_UF&lt;&gt;"")*IND_PER))=0,UF_HOY,INDEX(IND_UF,MATCH(SUMPRODUCT(MAX((IND_PER&lt;=B784)*(IND_UF&lt;&gt;"")*IND_PER)),IND_PER,0))))</f>
        <v/>
      </c>
      <c r="AK784" s="87" t="str">
        <f aca="false">IF(AH784="","",IF(COUNTIF(TASA_DESDE,"&lt;="&amp;B784)=0,INDEX(TASA_EMP,1),INDEX(TASA_EMP,COUNTIF(TASA_DESDE,"&lt;="&amp;B784))))</f>
        <v/>
      </c>
    </row>
    <row r="785" customFormat="false" ht="15" hidden="false" customHeight="false" outlineLevel="0" collapsed="false">
      <c r="B785" s="78"/>
      <c r="C785" s="64"/>
      <c r="D785" s="72" t="str">
        <f aca="false">IF(C785="","",IFERROR(INDEX(T_NOMBRE,MATCH(C785,T_ID,0)),"⚠ ID no existe"))</f>
        <v/>
      </c>
      <c r="E785" s="69"/>
      <c r="F785" s="67"/>
      <c r="G785" s="67"/>
      <c r="H785" s="67"/>
      <c r="I785" s="67"/>
      <c r="J785" s="67"/>
      <c r="K785" s="85" t="str">
        <f aca="false">IF(AH785="","",N(F785)+N(G785)+N(H785)-N(I785)+N(J785))</f>
        <v/>
      </c>
      <c r="L785" s="67"/>
      <c r="M785" s="67"/>
      <c r="N785" s="67"/>
      <c r="O785" s="67"/>
      <c r="P785" s="85" t="str">
        <f aca="false">IF(AH785="","",K785+N(L785)+N(M785)+N(N785)+N(O785))</f>
        <v/>
      </c>
      <c r="Q785" s="67"/>
      <c r="R785" s="67"/>
      <c r="S785" s="67"/>
      <c r="T785" s="67"/>
      <c r="U785" s="67"/>
      <c r="V785" s="67"/>
      <c r="W785" s="85" t="str">
        <f aca="false">IF(AH785="","",N(Q785)+N(R785)+N(S785)+N(T785)+N(U785)+N(V785))</f>
        <v/>
      </c>
      <c r="X785" s="85" t="str">
        <f aca="false">IF(AH785="","",P785-W785)</f>
        <v/>
      </c>
      <c r="Y785" s="67"/>
      <c r="Z785" s="70" t="str">
        <f aca="false">IF(OR(AH785="",Y785=""),"",IF(ABS(X785-Y785)&lt;=1,"✓ Cuadra","⚠ Diferencia $"&amp;FIXED(X785-Y785,0)))</f>
        <v/>
      </c>
      <c r="AA785" s="72" t="str">
        <f aca="false">IF(AH785="","",IFERROR(INDEX(C_TIPO,MATCH(C785&amp;"-P"&amp;MAX(1,COUNTIFS(C_ID,C785,C_DEFINE,"Sí",C_INICIO,"&lt;="&amp;EOMONTH(B785,0))),C_CLAVE,0))&amp;"","Sin dato"))</f>
        <v/>
      </c>
      <c r="AB785" s="71" t="str">
        <f aca="false">IF(AH785="","",ROUND(MIN(K785,TOPE_AFP_UF*AJ785)*AK785,0))</f>
        <v/>
      </c>
      <c r="AC785" s="71" t="str">
        <f aca="false">IF(AH785="","",ROUND(MIN(K785,TOPE_AFC_UF*AJ785)*IF(AA785="Indefinido",AFC_EMP_INDEF,AFC_EMP_PF),0))</f>
        <v/>
      </c>
      <c r="AD785" s="71" t="str">
        <f aca="false">IF(AH785="","",ROUND(MIN(K785,TOPE_AFP_UF*AJ785)*(MUTUAL_BASICA+MUTUAL_ADIC+SANNA),0))</f>
        <v/>
      </c>
      <c r="AE785" s="71" t="str">
        <f aca="false">IF(AH785="","",P785-N(N785)+AB785+AC785+AD785)</f>
        <v/>
      </c>
      <c r="AF785" s="65"/>
      <c r="AG785" s="64"/>
      <c r="AH785" s="72" t="str">
        <f aca="false">IF(OR(B785="",C785=""),"",C785&amp;"|"&amp;(YEAR(B785)*100+MONTH(B785)))</f>
        <v/>
      </c>
      <c r="AI785" s="70" t="str">
        <f aca="false">IF(AH785="","",IF(COUNTIF(L_CLAVE,AH785)&gt;1,"⚠ Duplicado","OK"))</f>
        <v/>
      </c>
      <c r="AJ785" s="86" t="str">
        <f aca="false">IF(AH785="","",IF(SUMPRODUCT(MAX((IND_PER&lt;=B785)*(IND_UF&lt;&gt;"")*IND_PER))=0,UF_HOY,INDEX(IND_UF,MATCH(SUMPRODUCT(MAX((IND_PER&lt;=B785)*(IND_UF&lt;&gt;"")*IND_PER)),IND_PER,0))))</f>
        <v/>
      </c>
      <c r="AK785" s="87" t="str">
        <f aca="false">IF(AH785="","",IF(COUNTIF(TASA_DESDE,"&lt;="&amp;B785)=0,INDEX(TASA_EMP,1),INDEX(TASA_EMP,COUNTIF(TASA_DESDE,"&lt;="&amp;B785))))</f>
        <v/>
      </c>
    </row>
    <row r="786" customFormat="false" ht="15" hidden="false" customHeight="false" outlineLevel="0" collapsed="false">
      <c r="B786" s="78"/>
      <c r="C786" s="64"/>
      <c r="D786" s="72" t="str">
        <f aca="false">IF(C786="","",IFERROR(INDEX(T_NOMBRE,MATCH(C786,T_ID,0)),"⚠ ID no existe"))</f>
        <v/>
      </c>
      <c r="E786" s="69"/>
      <c r="F786" s="67"/>
      <c r="G786" s="67"/>
      <c r="H786" s="67"/>
      <c r="I786" s="67"/>
      <c r="J786" s="67"/>
      <c r="K786" s="85" t="str">
        <f aca="false">IF(AH786="","",N(F786)+N(G786)+N(H786)-N(I786)+N(J786))</f>
        <v/>
      </c>
      <c r="L786" s="67"/>
      <c r="M786" s="67"/>
      <c r="N786" s="67"/>
      <c r="O786" s="67"/>
      <c r="P786" s="85" t="str">
        <f aca="false">IF(AH786="","",K786+N(L786)+N(M786)+N(N786)+N(O786))</f>
        <v/>
      </c>
      <c r="Q786" s="67"/>
      <c r="R786" s="67"/>
      <c r="S786" s="67"/>
      <c r="T786" s="67"/>
      <c r="U786" s="67"/>
      <c r="V786" s="67"/>
      <c r="W786" s="85" t="str">
        <f aca="false">IF(AH786="","",N(Q786)+N(R786)+N(S786)+N(T786)+N(U786)+N(V786))</f>
        <v/>
      </c>
      <c r="X786" s="85" t="str">
        <f aca="false">IF(AH786="","",P786-W786)</f>
        <v/>
      </c>
      <c r="Y786" s="67"/>
      <c r="Z786" s="70" t="str">
        <f aca="false">IF(OR(AH786="",Y786=""),"",IF(ABS(X786-Y786)&lt;=1,"✓ Cuadra","⚠ Diferencia $"&amp;FIXED(X786-Y786,0)))</f>
        <v/>
      </c>
      <c r="AA786" s="72" t="str">
        <f aca="false">IF(AH786="","",IFERROR(INDEX(C_TIPO,MATCH(C786&amp;"-P"&amp;MAX(1,COUNTIFS(C_ID,C786,C_DEFINE,"Sí",C_INICIO,"&lt;="&amp;EOMONTH(B786,0))),C_CLAVE,0))&amp;"","Sin dato"))</f>
        <v/>
      </c>
      <c r="AB786" s="71" t="str">
        <f aca="false">IF(AH786="","",ROUND(MIN(K786,TOPE_AFP_UF*AJ786)*AK786,0))</f>
        <v/>
      </c>
      <c r="AC786" s="71" t="str">
        <f aca="false">IF(AH786="","",ROUND(MIN(K786,TOPE_AFC_UF*AJ786)*IF(AA786="Indefinido",AFC_EMP_INDEF,AFC_EMP_PF),0))</f>
        <v/>
      </c>
      <c r="AD786" s="71" t="str">
        <f aca="false">IF(AH786="","",ROUND(MIN(K786,TOPE_AFP_UF*AJ786)*(MUTUAL_BASICA+MUTUAL_ADIC+SANNA),0))</f>
        <v/>
      </c>
      <c r="AE786" s="71" t="str">
        <f aca="false">IF(AH786="","",P786-N(N786)+AB786+AC786+AD786)</f>
        <v/>
      </c>
      <c r="AF786" s="65"/>
      <c r="AG786" s="64"/>
      <c r="AH786" s="72" t="str">
        <f aca="false">IF(OR(B786="",C786=""),"",C786&amp;"|"&amp;(YEAR(B786)*100+MONTH(B786)))</f>
        <v/>
      </c>
      <c r="AI786" s="70" t="str">
        <f aca="false">IF(AH786="","",IF(COUNTIF(L_CLAVE,AH786)&gt;1,"⚠ Duplicado","OK"))</f>
        <v/>
      </c>
      <c r="AJ786" s="86" t="str">
        <f aca="false">IF(AH786="","",IF(SUMPRODUCT(MAX((IND_PER&lt;=B786)*(IND_UF&lt;&gt;"")*IND_PER))=0,UF_HOY,INDEX(IND_UF,MATCH(SUMPRODUCT(MAX((IND_PER&lt;=B786)*(IND_UF&lt;&gt;"")*IND_PER)),IND_PER,0))))</f>
        <v/>
      </c>
      <c r="AK786" s="87" t="str">
        <f aca="false">IF(AH786="","",IF(COUNTIF(TASA_DESDE,"&lt;="&amp;B786)=0,INDEX(TASA_EMP,1),INDEX(TASA_EMP,COUNTIF(TASA_DESDE,"&lt;="&amp;B786))))</f>
        <v/>
      </c>
    </row>
    <row r="787" customFormat="false" ht="15" hidden="false" customHeight="false" outlineLevel="0" collapsed="false">
      <c r="B787" s="78"/>
      <c r="C787" s="64"/>
      <c r="D787" s="72" t="str">
        <f aca="false">IF(C787="","",IFERROR(INDEX(T_NOMBRE,MATCH(C787,T_ID,0)),"⚠ ID no existe"))</f>
        <v/>
      </c>
      <c r="E787" s="69"/>
      <c r="F787" s="67"/>
      <c r="G787" s="67"/>
      <c r="H787" s="67"/>
      <c r="I787" s="67"/>
      <c r="J787" s="67"/>
      <c r="K787" s="85" t="str">
        <f aca="false">IF(AH787="","",N(F787)+N(G787)+N(H787)-N(I787)+N(J787))</f>
        <v/>
      </c>
      <c r="L787" s="67"/>
      <c r="M787" s="67"/>
      <c r="N787" s="67"/>
      <c r="O787" s="67"/>
      <c r="P787" s="85" t="str">
        <f aca="false">IF(AH787="","",K787+N(L787)+N(M787)+N(N787)+N(O787))</f>
        <v/>
      </c>
      <c r="Q787" s="67"/>
      <c r="R787" s="67"/>
      <c r="S787" s="67"/>
      <c r="T787" s="67"/>
      <c r="U787" s="67"/>
      <c r="V787" s="67"/>
      <c r="W787" s="85" t="str">
        <f aca="false">IF(AH787="","",N(Q787)+N(R787)+N(S787)+N(T787)+N(U787)+N(V787))</f>
        <v/>
      </c>
      <c r="X787" s="85" t="str">
        <f aca="false">IF(AH787="","",P787-W787)</f>
        <v/>
      </c>
      <c r="Y787" s="67"/>
      <c r="Z787" s="70" t="str">
        <f aca="false">IF(OR(AH787="",Y787=""),"",IF(ABS(X787-Y787)&lt;=1,"✓ Cuadra","⚠ Diferencia $"&amp;FIXED(X787-Y787,0)))</f>
        <v/>
      </c>
      <c r="AA787" s="72" t="str">
        <f aca="false">IF(AH787="","",IFERROR(INDEX(C_TIPO,MATCH(C787&amp;"-P"&amp;MAX(1,COUNTIFS(C_ID,C787,C_DEFINE,"Sí",C_INICIO,"&lt;="&amp;EOMONTH(B787,0))),C_CLAVE,0))&amp;"","Sin dato"))</f>
        <v/>
      </c>
      <c r="AB787" s="71" t="str">
        <f aca="false">IF(AH787="","",ROUND(MIN(K787,TOPE_AFP_UF*AJ787)*AK787,0))</f>
        <v/>
      </c>
      <c r="AC787" s="71" t="str">
        <f aca="false">IF(AH787="","",ROUND(MIN(K787,TOPE_AFC_UF*AJ787)*IF(AA787="Indefinido",AFC_EMP_INDEF,AFC_EMP_PF),0))</f>
        <v/>
      </c>
      <c r="AD787" s="71" t="str">
        <f aca="false">IF(AH787="","",ROUND(MIN(K787,TOPE_AFP_UF*AJ787)*(MUTUAL_BASICA+MUTUAL_ADIC+SANNA),0))</f>
        <v/>
      </c>
      <c r="AE787" s="71" t="str">
        <f aca="false">IF(AH787="","",P787-N(N787)+AB787+AC787+AD787)</f>
        <v/>
      </c>
      <c r="AF787" s="65"/>
      <c r="AG787" s="64"/>
      <c r="AH787" s="72" t="str">
        <f aca="false">IF(OR(B787="",C787=""),"",C787&amp;"|"&amp;(YEAR(B787)*100+MONTH(B787)))</f>
        <v/>
      </c>
      <c r="AI787" s="70" t="str">
        <f aca="false">IF(AH787="","",IF(COUNTIF(L_CLAVE,AH787)&gt;1,"⚠ Duplicado","OK"))</f>
        <v/>
      </c>
      <c r="AJ787" s="86" t="str">
        <f aca="false">IF(AH787="","",IF(SUMPRODUCT(MAX((IND_PER&lt;=B787)*(IND_UF&lt;&gt;"")*IND_PER))=0,UF_HOY,INDEX(IND_UF,MATCH(SUMPRODUCT(MAX((IND_PER&lt;=B787)*(IND_UF&lt;&gt;"")*IND_PER)),IND_PER,0))))</f>
        <v/>
      </c>
      <c r="AK787" s="87" t="str">
        <f aca="false">IF(AH787="","",IF(COUNTIF(TASA_DESDE,"&lt;="&amp;B787)=0,INDEX(TASA_EMP,1),INDEX(TASA_EMP,COUNTIF(TASA_DESDE,"&lt;="&amp;B787))))</f>
        <v/>
      </c>
    </row>
    <row r="788" customFormat="false" ht="15" hidden="false" customHeight="false" outlineLevel="0" collapsed="false">
      <c r="B788" s="78"/>
      <c r="C788" s="64"/>
      <c r="D788" s="72" t="str">
        <f aca="false">IF(C788="","",IFERROR(INDEX(T_NOMBRE,MATCH(C788,T_ID,0)),"⚠ ID no existe"))</f>
        <v/>
      </c>
      <c r="E788" s="69"/>
      <c r="F788" s="67"/>
      <c r="G788" s="67"/>
      <c r="H788" s="67"/>
      <c r="I788" s="67"/>
      <c r="J788" s="67"/>
      <c r="K788" s="85" t="str">
        <f aca="false">IF(AH788="","",N(F788)+N(G788)+N(H788)-N(I788)+N(J788))</f>
        <v/>
      </c>
      <c r="L788" s="67"/>
      <c r="M788" s="67"/>
      <c r="N788" s="67"/>
      <c r="O788" s="67"/>
      <c r="P788" s="85" t="str">
        <f aca="false">IF(AH788="","",K788+N(L788)+N(M788)+N(N788)+N(O788))</f>
        <v/>
      </c>
      <c r="Q788" s="67"/>
      <c r="R788" s="67"/>
      <c r="S788" s="67"/>
      <c r="T788" s="67"/>
      <c r="U788" s="67"/>
      <c r="V788" s="67"/>
      <c r="W788" s="85" t="str">
        <f aca="false">IF(AH788="","",N(Q788)+N(R788)+N(S788)+N(T788)+N(U788)+N(V788))</f>
        <v/>
      </c>
      <c r="X788" s="85" t="str">
        <f aca="false">IF(AH788="","",P788-W788)</f>
        <v/>
      </c>
      <c r="Y788" s="67"/>
      <c r="Z788" s="70" t="str">
        <f aca="false">IF(OR(AH788="",Y788=""),"",IF(ABS(X788-Y788)&lt;=1,"✓ Cuadra","⚠ Diferencia $"&amp;FIXED(X788-Y788,0)))</f>
        <v/>
      </c>
      <c r="AA788" s="72" t="str">
        <f aca="false">IF(AH788="","",IFERROR(INDEX(C_TIPO,MATCH(C788&amp;"-P"&amp;MAX(1,COUNTIFS(C_ID,C788,C_DEFINE,"Sí",C_INICIO,"&lt;="&amp;EOMONTH(B788,0))),C_CLAVE,0))&amp;"","Sin dato"))</f>
        <v/>
      </c>
      <c r="AB788" s="71" t="str">
        <f aca="false">IF(AH788="","",ROUND(MIN(K788,TOPE_AFP_UF*AJ788)*AK788,0))</f>
        <v/>
      </c>
      <c r="AC788" s="71" t="str">
        <f aca="false">IF(AH788="","",ROUND(MIN(K788,TOPE_AFC_UF*AJ788)*IF(AA788="Indefinido",AFC_EMP_INDEF,AFC_EMP_PF),0))</f>
        <v/>
      </c>
      <c r="AD788" s="71" t="str">
        <f aca="false">IF(AH788="","",ROUND(MIN(K788,TOPE_AFP_UF*AJ788)*(MUTUAL_BASICA+MUTUAL_ADIC+SANNA),0))</f>
        <v/>
      </c>
      <c r="AE788" s="71" t="str">
        <f aca="false">IF(AH788="","",P788-N(N788)+AB788+AC788+AD788)</f>
        <v/>
      </c>
      <c r="AF788" s="65"/>
      <c r="AG788" s="64"/>
      <c r="AH788" s="72" t="str">
        <f aca="false">IF(OR(B788="",C788=""),"",C788&amp;"|"&amp;(YEAR(B788)*100+MONTH(B788)))</f>
        <v/>
      </c>
      <c r="AI788" s="70" t="str">
        <f aca="false">IF(AH788="","",IF(COUNTIF(L_CLAVE,AH788)&gt;1,"⚠ Duplicado","OK"))</f>
        <v/>
      </c>
      <c r="AJ788" s="86" t="str">
        <f aca="false">IF(AH788="","",IF(SUMPRODUCT(MAX((IND_PER&lt;=B788)*(IND_UF&lt;&gt;"")*IND_PER))=0,UF_HOY,INDEX(IND_UF,MATCH(SUMPRODUCT(MAX((IND_PER&lt;=B788)*(IND_UF&lt;&gt;"")*IND_PER)),IND_PER,0))))</f>
        <v/>
      </c>
      <c r="AK788" s="87" t="str">
        <f aca="false">IF(AH788="","",IF(COUNTIF(TASA_DESDE,"&lt;="&amp;B788)=0,INDEX(TASA_EMP,1),INDEX(TASA_EMP,COUNTIF(TASA_DESDE,"&lt;="&amp;B788))))</f>
        <v/>
      </c>
    </row>
    <row r="789" customFormat="false" ht="15" hidden="false" customHeight="false" outlineLevel="0" collapsed="false">
      <c r="B789" s="78"/>
      <c r="C789" s="64"/>
      <c r="D789" s="72" t="str">
        <f aca="false">IF(C789="","",IFERROR(INDEX(T_NOMBRE,MATCH(C789,T_ID,0)),"⚠ ID no existe"))</f>
        <v/>
      </c>
      <c r="E789" s="69"/>
      <c r="F789" s="67"/>
      <c r="G789" s="67"/>
      <c r="H789" s="67"/>
      <c r="I789" s="67"/>
      <c r="J789" s="67"/>
      <c r="K789" s="85" t="str">
        <f aca="false">IF(AH789="","",N(F789)+N(G789)+N(H789)-N(I789)+N(J789))</f>
        <v/>
      </c>
      <c r="L789" s="67"/>
      <c r="M789" s="67"/>
      <c r="N789" s="67"/>
      <c r="O789" s="67"/>
      <c r="P789" s="85" t="str">
        <f aca="false">IF(AH789="","",K789+N(L789)+N(M789)+N(N789)+N(O789))</f>
        <v/>
      </c>
      <c r="Q789" s="67"/>
      <c r="R789" s="67"/>
      <c r="S789" s="67"/>
      <c r="T789" s="67"/>
      <c r="U789" s="67"/>
      <c r="V789" s="67"/>
      <c r="W789" s="85" t="str">
        <f aca="false">IF(AH789="","",N(Q789)+N(R789)+N(S789)+N(T789)+N(U789)+N(V789))</f>
        <v/>
      </c>
      <c r="X789" s="85" t="str">
        <f aca="false">IF(AH789="","",P789-W789)</f>
        <v/>
      </c>
      <c r="Y789" s="67"/>
      <c r="Z789" s="70" t="str">
        <f aca="false">IF(OR(AH789="",Y789=""),"",IF(ABS(X789-Y789)&lt;=1,"✓ Cuadra","⚠ Diferencia $"&amp;FIXED(X789-Y789,0)))</f>
        <v/>
      </c>
      <c r="AA789" s="72" t="str">
        <f aca="false">IF(AH789="","",IFERROR(INDEX(C_TIPO,MATCH(C789&amp;"-P"&amp;MAX(1,COUNTIFS(C_ID,C789,C_DEFINE,"Sí",C_INICIO,"&lt;="&amp;EOMONTH(B789,0))),C_CLAVE,0))&amp;"","Sin dato"))</f>
        <v/>
      </c>
      <c r="AB789" s="71" t="str">
        <f aca="false">IF(AH789="","",ROUND(MIN(K789,TOPE_AFP_UF*AJ789)*AK789,0))</f>
        <v/>
      </c>
      <c r="AC789" s="71" t="str">
        <f aca="false">IF(AH789="","",ROUND(MIN(K789,TOPE_AFC_UF*AJ789)*IF(AA789="Indefinido",AFC_EMP_INDEF,AFC_EMP_PF),0))</f>
        <v/>
      </c>
      <c r="AD789" s="71" t="str">
        <f aca="false">IF(AH789="","",ROUND(MIN(K789,TOPE_AFP_UF*AJ789)*(MUTUAL_BASICA+MUTUAL_ADIC+SANNA),0))</f>
        <v/>
      </c>
      <c r="AE789" s="71" t="str">
        <f aca="false">IF(AH789="","",P789-N(N789)+AB789+AC789+AD789)</f>
        <v/>
      </c>
      <c r="AF789" s="65"/>
      <c r="AG789" s="64"/>
      <c r="AH789" s="72" t="str">
        <f aca="false">IF(OR(B789="",C789=""),"",C789&amp;"|"&amp;(YEAR(B789)*100+MONTH(B789)))</f>
        <v/>
      </c>
      <c r="AI789" s="70" t="str">
        <f aca="false">IF(AH789="","",IF(COUNTIF(L_CLAVE,AH789)&gt;1,"⚠ Duplicado","OK"))</f>
        <v/>
      </c>
      <c r="AJ789" s="86" t="str">
        <f aca="false">IF(AH789="","",IF(SUMPRODUCT(MAX((IND_PER&lt;=B789)*(IND_UF&lt;&gt;"")*IND_PER))=0,UF_HOY,INDEX(IND_UF,MATCH(SUMPRODUCT(MAX((IND_PER&lt;=B789)*(IND_UF&lt;&gt;"")*IND_PER)),IND_PER,0))))</f>
        <v/>
      </c>
      <c r="AK789" s="87" t="str">
        <f aca="false">IF(AH789="","",IF(COUNTIF(TASA_DESDE,"&lt;="&amp;B789)=0,INDEX(TASA_EMP,1),INDEX(TASA_EMP,COUNTIF(TASA_DESDE,"&lt;="&amp;B789))))</f>
        <v/>
      </c>
    </row>
    <row r="790" customFormat="false" ht="15" hidden="false" customHeight="false" outlineLevel="0" collapsed="false">
      <c r="B790" s="78"/>
      <c r="C790" s="64"/>
      <c r="D790" s="72" t="str">
        <f aca="false">IF(C790="","",IFERROR(INDEX(T_NOMBRE,MATCH(C790,T_ID,0)),"⚠ ID no existe"))</f>
        <v/>
      </c>
      <c r="E790" s="69"/>
      <c r="F790" s="67"/>
      <c r="G790" s="67"/>
      <c r="H790" s="67"/>
      <c r="I790" s="67"/>
      <c r="J790" s="67"/>
      <c r="K790" s="85" t="str">
        <f aca="false">IF(AH790="","",N(F790)+N(G790)+N(H790)-N(I790)+N(J790))</f>
        <v/>
      </c>
      <c r="L790" s="67"/>
      <c r="M790" s="67"/>
      <c r="N790" s="67"/>
      <c r="O790" s="67"/>
      <c r="P790" s="85" t="str">
        <f aca="false">IF(AH790="","",K790+N(L790)+N(M790)+N(N790)+N(O790))</f>
        <v/>
      </c>
      <c r="Q790" s="67"/>
      <c r="R790" s="67"/>
      <c r="S790" s="67"/>
      <c r="T790" s="67"/>
      <c r="U790" s="67"/>
      <c r="V790" s="67"/>
      <c r="W790" s="85" t="str">
        <f aca="false">IF(AH790="","",N(Q790)+N(R790)+N(S790)+N(T790)+N(U790)+N(V790))</f>
        <v/>
      </c>
      <c r="X790" s="85" t="str">
        <f aca="false">IF(AH790="","",P790-W790)</f>
        <v/>
      </c>
      <c r="Y790" s="67"/>
      <c r="Z790" s="70" t="str">
        <f aca="false">IF(OR(AH790="",Y790=""),"",IF(ABS(X790-Y790)&lt;=1,"✓ Cuadra","⚠ Diferencia $"&amp;FIXED(X790-Y790,0)))</f>
        <v/>
      </c>
      <c r="AA790" s="72" t="str">
        <f aca="false">IF(AH790="","",IFERROR(INDEX(C_TIPO,MATCH(C790&amp;"-P"&amp;MAX(1,COUNTIFS(C_ID,C790,C_DEFINE,"Sí",C_INICIO,"&lt;="&amp;EOMONTH(B790,0))),C_CLAVE,0))&amp;"","Sin dato"))</f>
        <v/>
      </c>
      <c r="AB790" s="71" t="str">
        <f aca="false">IF(AH790="","",ROUND(MIN(K790,TOPE_AFP_UF*AJ790)*AK790,0))</f>
        <v/>
      </c>
      <c r="AC790" s="71" t="str">
        <f aca="false">IF(AH790="","",ROUND(MIN(K790,TOPE_AFC_UF*AJ790)*IF(AA790="Indefinido",AFC_EMP_INDEF,AFC_EMP_PF),0))</f>
        <v/>
      </c>
      <c r="AD790" s="71" t="str">
        <f aca="false">IF(AH790="","",ROUND(MIN(K790,TOPE_AFP_UF*AJ790)*(MUTUAL_BASICA+MUTUAL_ADIC+SANNA),0))</f>
        <v/>
      </c>
      <c r="AE790" s="71" t="str">
        <f aca="false">IF(AH790="","",P790-N(N790)+AB790+AC790+AD790)</f>
        <v/>
      </c>
      <c r="AF790" s="65"/>
      <c r="AG790" s="64"/>
      <c r="AH790" s="72" t="str">
        <f aca="false">IF(OR(B790="",C790=""),"",C790&amp;"|"&amp;(YEAR(B790)*100+MONTH(B790)))</f>
        <v/>
      </c>
      <c r="AI790" s="70" t="str">
        <f aca="false">IF(AH790="","",IF(COUNTIF(L_CLAVE,AH790)&gt;1,"⚠ Duplicado","OK"))</f>
        <v/>
      </c>
      <c r="AJ790" s="86" t="str">
        <f aca="false">IF(AH790="","",IF(SUMPRODUCT(MAX((IND_PER&lt;=B790)*(IND_UF&lt;&gt;"")*IND_PER))=0,UF_HOY,INDEX(IND_UF,MATCH(SUMPRODUCT(MAX((IND_PER&lt;=B790)*(IND_UF&lt;&gt;"")*IND_PER)),IND_PER,0))))</f>
        <v/>
      </c>
      <c r="AK790" s="87" t="str">
        <f aca="false">IF(AH790="","",IF(COUNTIF(TASA_DESDE,"&lt;="&amp;B790)=0,INDEX(TASA_EMP,1),INDEX(TASA_EMP,COUNTIF(TASA_DESDE,"&lt;="&amp;B790))))</f>
        <v/>
      </c>
    </row>
    <row r="791" customFormat="false" ht="15" hidden="false" customHeight="false" outlineLevel="0" collapsed="false">
      <c r="B791" s="78"/>
      <c r="C791" s="64"/>
      <c r="D791" s="72" t="str">
        <f aca="false">IF(C791="","",IFERROR(INDEX(T_NOMBRE,MATCH(C791,T_ID,0)),"⚠ ID no existe"))</f>
        <v/>
      </c>
      <c r="E791" s="69"/>
      <c r="F791" s="67"/>
      <c r="G791" s="67"/>
      <c r="H791" s="67"/>
      <c r="I791" s="67"/>
      <c r="J791" s="67"/>
      <c r="K791" s="85" t="str">
        <f aca="false">IF(AH791="","",N(F791)+N(G791)+N(H791)-N(I791)+N(J791))</f>
        <v/>
      </c>
      <c r="L791" s="67"/>
      <c r="M791" s="67"/>
      <c r="N791" s="67"/>
      <c r="O791" s="67"/>
      <c r="P791" s="85" t="str">
        <f aca="false">IF(AH791="","",K791+N(L791)+N(M791)+N(N791)+N(O791))</f>
        <v/>
      </c>
      <c r="Q791" s="67"/>
      <c r="R791" s="67"/>
      <c r="S791" s="67"/>
      <c r="T791" s="67"/>
      <c r="U791" s="67"/>
      <c r="V791" s="67"/>
      <c r="W791" s="85" t="str">
        <f aca="false">IF(AH791="","",N(Q791)+N(R791)+N(S791)+N(T791)+N(U791)+N(V791))</f>
        <v/>
      </c>
      <c r="X791" s="85" t="str">
        <f aca="false">IF(AH791="","",P791-W791)</f>
        <v/>
      </c>
      <c r="Y791" s="67"/>
      <c r="Z791" s="70" t="str">
        <f aca="false">IF(OR(AH791="",Y791=""),"",IF(ABS(X791-Y791)&lt;=1,"✓ Cuadra","⚠ Diferencia $"&amp;FIXED(X791-Y791,0)))</f>
        <v/>
      </c>
      <c r="AA791" s="72" t="str">
        <f aca="false">IF(AH791="","",IFERROR(INDEX(C_TIPO,MATCH(C791&amp;"-P"&amp;MAX(1,COUNTIFS(C_ID,C791,C_DEFINE,"Sí",C_INICIO,"&lt;="&amp;EOMONTH(B791,0))),C_CLAVE,0))&amp;"","Sin dato"))</f>
        <v/>
      </c>
      <c r="AB791" s="71" t="str">
        <f aca="false">IF(AH791="","",ROUND(MIN(K791,TOPE_AFP_UF*AJ791)*AK791,0))</f>
        <v/>
      </c>
      <c r="AC791" s="71" t="str">
        <f aca="false">IF(AH791="","",ROUND(MIN(K791,TOPE_AFC_UF*AJ791)*IF(AA791="Indefinido",AFC_EMP_INDEF,AFC_EMP_PF),0))</f>
        <v/>
      </c>
      <c r="AD791" s="71" t="str">
        <f aca="false">IF(AH791="","",ROUND(MIN(K791,TOPE_AFP_UF*AJ791)*(MUTUAL_BASICA+MUTUAL_ADIC+SANNA),0))</f>
        <v/>
      </c>
      <c r="AE791" s="71" t="str">
        <f aca="false">IF(AH791="","",P791-N(N791)+AB791+AC791+AD791)</f>
        <v/>
      </c>
      <c r="AF791" s="65"/>
      <c r="AG791" s="64"/>
      <c r="AH791" s="72" t="str">
        <f aca="false">IF(OR(B791="",C791=""),"",C791&amp;"|"&amp;(YEAR(B791)*100+MONTH(B791)))</f>
        <v/>
      </c>
      <c r="AI791" s="70" t="str">
        <f aca="false">IF(AH791="","",IF(COUNTIF(L_CLAVE,AH791)&gt;1,"⚠ Duplicado","OK"))</f>
        <v/>
      </c>
      <c r="AJ791" s="86" t="str">
        <f aca="false">IF(AH791="","",IF(SUMPRODUCT(MAX((IND_PER&lt;=B791)*(IND_UF&lt;&gt;"")*IND_PER))=0,UF_HOY,INDEX(IND_UF,MATCH(SUMPRODUCT(MAX((IND_PER&lt;=B791)*(IND_UF&lt;&gt;"")*IND_PER)),IND_PER,0))))</f>
        <v/>
      </c>
      <c r="AK791" s="87" t="str">
        <f aca="false">IF(AH791="","",IF(COUNTIF(TASA_DESDE,"&lt;="&amp;B791)=0,INDEX(TASA_EMP,1),INDEX(TASA_EMP,COUNTIF(TASA_DESDE,"&lt;="&amp;B791))))</f>
        <v/>
      </c>
    </row>
    <row r="792" customFormat="false" ht="15" hidden="false" customHeight="false" outlineLevel="0" collapsed="false">
      <c r="B792" s="78"/>
      <c r="C792" s="64"/>
      <c r="D792" s="72" t="str">
        <f aca="false">IF(C792="","",IFERROR(INDEX(T_NOMBRE,MATCH(C792,T_ID,0)),"⚠ ID no existe"))</f>
        <v/>
      </c>
      <c r="E792" s="69"/>
      <c r="F792" s="67"/>
      <c r="G792" s="67"/>
      <c r="H792" s="67"/>
      <c r="I792" s="67"/>
      <c r="J792" s="67"/>
      <c r="K792" s="85" t="str">
        <f aca="false">IF(AH792="","",N(F792)+N(G792)+N(H792)-N(I792)+N(J792))</f>
        <v/>
      </c>
      <c r="L792" s="67"/>
      <c r="M792" s="67"/>
      <c r="N792" s="67"/>
      <c r="O792" s="67"/>
      <c r="P792" s="85" t="str">
        <f aca="false">IF(AH792="","",K792+N(L792)+N(M792)+N(N792)+N(O792))</f>
        <v/>
      </c>
      <c r="Q792" s="67"/>
      <c r="R792" s="67"/>
      <c r="S792" s="67"/>
      <c r="T792" s="67"/>
      <c r="U792" s="67"/>
      <c r="V792" s="67"/>
      <c r="W792" s="85" t="str">
        <f aca="false">IF(AH792="","",N(Q792)+N(R792)+N(S792)+N(T792)+N(U792)+N(V792))</f>
        <v/>
      </c>
      <c r="X792" s="85" t="str">
        <f aca="false">IF(AH792="","",P792-W792)</f>
        <v/>
      </c>
      <c r="Y792" s="67"/>
      <c r="Z792" s="70" t="str">
        <f aca="false">IF(OR(AH792="",Y792=""),"",IF(ABS(X792-Y792)&lt;=1,"✓ Cuadra","⚠ Diferencia $"&amp;FIXED(X792-Y792,0)))</f>
        <v/>
      </c>
      <c r="AA792" s="72" t="str">
        <f aca="false">IF(AH792="","",IFERROR(INDEX(C_TIPO,MATCH(C792&amp;"-P"&amp;MAX(1,COUNTIFS(C_ID,C792,C_DEFINE,"Sí",C_INICIO,"&lt;="&amp;EOMONTH(B792,0))),C_CLAVE,0))&amp;"","Sin dato"))</f>
        <v/>
      </c>
      <c r="AB792" s="71" t="str">
        <f aca="false">IF(AH792="","",ROUND(MIN(K792,TOPE_AFP_UF*AJ792)*AK792,0))</f>
        <v/>
      </c>
      <c r="AC792" s="71" t="str">
        <f aca="false">IF(AH792="","",ROUND(MIN(K792,TOPE_AFC_UF*AJ792)*IF(AA792="Indefinido",AFC_EMP_INDEF,AFC_EMP_PF),0))</f>
        <v/>
      </c>
      <c r="AD792" s="71" t="str">
        <f aca="false">IF(AH792="","",ROUND(MIN(K792,TOPE_AFP_UF*AJ792)*(MUTUAL_BASICA+MUTUAL_ADIC+SANNA),0))</f>
        <v/>
      </c>
      <c r="AE792" s="71" t="str">
        <f aca="false">IF(AH792="","",P792-N(N792)+AB792+AC792+AD792)</f>
        <v/>
      </c>
      <c r="AF792" s="65"/>
      <c r="AG792" s="64"/>
      <c r="AH792" s="72" t="str">
        <f aca="false">IF(OR(B792="",C792=""),"",C792&amp;"|"&amp;(YEAR(B792)*100+MONTH(B792)))</f>
        <v/>
      </c>
      <c r="AI792" s="70" t="str">
        <f aca="false">IF(AH792="","",IF(COUNTIF(L_CLAVE,AH792)&gt;1,"⚠ Duplicado","OK"))</f>
        <v/>
      </c>
      <c r="AJ792" s="86" t="str">
        <f aca="false">IF(AH792="","",IF(SUMPRODUCT(MAX((IND_PER&lt;=B792)*(IND_UF&lt;&gt;"")*IND_PER))=0,UF_HOY,INDEX(IND_UF,MATCH(SUMPRODUCT(MAX((IND_PER&lt;=B792)*(IND_UF&lt;&gt;"")*IND_PER)),IND_PER,0))))</f>
        <v/>
      </c>
      <c r="AK792" s="87" t="str">
        <f aca="false">IF(AH792="","",IF(COUNTIF(TASA_DESDE,"&lt;="&amp;B792)=0,INDEX(TASA_EMP,1),INDEX(TASA_EMP,COUNTIF(TASA_DESDE,"&lt;="&amp;B792))))</f>
        <v/>
      </c>
    </row>
    <row r="793" customFormat="false" ht="15" hidden="false" customHeight="false" outlineLevel="0" collapsed="false">
      <c r="B793" s="78"/>
      <c r="C793" s="64"/>
      <c r="D793" s="72" t="str">
        <f aca="false">IF(C793="","",IFERROR(INDEX(T_NOMBRE,MATCH(C793,T_ID,0)),"⚠ ID no existe"))</f>
        <v/>
      </c>
      <c r="E793" s="69"/>
      <c r="F793" s="67"/>
      <c r="G793" s="67"/>
      <c r="H793" s="67"/>
      <c r="I793" s="67"/>
      <c r="J793" s="67"/>
      <c r="K793" s="85" t="str">
        <f aca="false">IF(AH793="","",N(F793)+N(G793)+N(H793)-N(I793)+N(J793))</f>
        <v/>
      </c>
      <c r="L793" s="67"/>
      <c r="M793" s="67"/>
      <c r="N793" s="67"/>
      <c r="O793" s="67"/>
      <c r="P793" s="85" t="str">
        <f aca="false">IF(AH793="","",K793+N(L793)+N(M793)+N(N793)+N(O793))</f>
        <v/>
      </c>
      <c r="Q793" s="67"/>
      <c r="R793" s="67"/>
      <c r="S793" s="67"/>
      <c r="T793" s="67"/>
      <c r="U793" s="67"/>
      <c r="V793" s="67"/>
      <c r="W793" s="85" t="str">
        <f aca="false">IF(AH793="","",N(Q793)+N(R793)+N(S793)+N(T793)+N(U793)+N(V793))</f>
        <v/>
      </c>
      <c r="X793" s="85" t="str">
        <f aca="false">IF(AH793="","",P793-W793)</f>
        <v/>
      </c>
      <c r="Y793" s="67"/>
      <c r="Z793" s="70" t="str">
        <f aca="false">IF(OR(AH793="",Y793=""),"",IF(ABS(X793-Y793)&lt;=1,"✓ Cuadra","⚠ Diferencia $"&amp;FIXED(X793-Y793,0)))</f>
        <v/>
      </c>
      <c r="AA793" s="72" t="str">
        <f aca="false">IF(AH793="","",IFERROR(INDEX(C_TIPO,MATCH(C793&amp;"-P"&amp;MAX(1,COUNTIFS(C_ID,C793,C_DEFINE,"Sí",C_INICIO,"&lt;="&amp;EOMONTH(B793,0))),C_CLAVE,0))&amp;"","Sin dato"))</f>
        <v/>
      </c>
      <c r="AB793" s="71" t="str">
        <f aca="false">IF(AH793="","",ROUND(MIN(K793,TOPE_AFP_UF*AJ793)*AK793,0))</f>
        <v/>
      </c>
      <c r="AC793" s="71" t="str">
        <f aca="false">IF(AH793="","",ROUND(MIN(K793,TOPE_AFC_UF*AJ793)*IF(AA793="Indefinido",AFC_EMP_INDEF,AFC_EMP_PF),0))</f>
        <v/>
      </c>
      <c r="AD793" s="71" t="str">
        <f aca="false">IF(AH793="","",ROUND(MIN(K793,TOPE_AFP_UF*AJ793)*(MUTUAL_BASICA+MUTUAL_ADIC+SANNA),0))</f>
        <v/>
      </c>
      <c r="AE793" s="71" t="str">
        <f aca="false">IF(AH793="","",P793-N(N793)+AB793+AC793+AD793)</f>
        <v/>
      </c>
      <c r="AF793" s="65"/>
      <c r="AG793" s="64"/>
      <c r="AH793" s="72" t="str">
        <f aca="false">IF(OR(B793="",C793=""),"",C793&amp;"|"&amp;(YEAR(B793)*100+MONTH(B793)))</f>
        <v/>
      </c>
      <c r="AI793" s="70" t="str">
        <f aca="false">IF(AH793="","",IF(COUNTIF(L_CLAVE,AH793)&gt;1,"⚠ Duplicado","OK"))</f>
        <v/>
      </c>
      <c r="AJ793" s="86" t="str">
        <f aca="false">IF(AH793="","",IF(SUMPRODUCT(MAX((IND_PER&lt;=B793)*(IND_UF&lt;&gt;"")*IND_PER))=0,UF_HOY,INDEX(IND_UF,MATCH(SUMPRODUCT(MAX((IND_PER&lt;=B793)*(IND_UF&lt;&gt;"")*IND_PER)),IND_PER,0))))</f>
        <v/>
      </c>
      <c r="AK793" s="87" t="str">
        <f aca="false">IF(AH793="","",IF(COUNTIF(TASA_DESDE,"&lt;="&amp;B793)=0,INDEX(TASA_EMP,1),INDEX(TASA_EMP,COUNTIF(TASA_DESDE,"&lt;="&amp;B793))))</f>
        <v/>
      </c>
    </row>
    <row r="794" customFormat="false" ht="15" hidden="false" customHeight="false" outlineLevel="0" collapsed="false">
      <c r="B794" s="78"/>
      <c r="C794" s="64"/>
      <c r="D794" s="72" t="str">
        <f aca="false">IF(C794="","",IFERROR(INDEX(T_NOMBRE,MATCH(C794,T_ID,0)),"⚠ ID no existe"))</f>
        <v/>
      </c>
      <c r="E794" s="69"/>
      <c r="F794" s="67"/>
      <c r="G794" s="67"/>
      <c r="H794" s="67"/>
      <c r="I794" s="67"/>
      <c r="J794" s="67"/>
      <c r="K794" s="85" t="str">
        <f aca="false">IF(AH794="","",N(F794)+N(G794)+N(H794)-N(I794)+N(J794))</f>
        <v/>
      </c>
      <c r="L794" s="67"/>
      <c r="M794" s="67"/>
      <c r="N794" s="67"/>
      <c r="O794" s="67"/>
      <c r="P794" s="85" t="str">
        <f aca="false">IF(AH794="","",K794+N(L794)+N(M794)+N(N794)+N(O794))</f>
        <v/>
      </c>
      <c r="Q794" s="67"/>
      <c r="R794" s="67"/>
      <c r="S794" s="67"/>
      <c r="T794" s="67"/>
      <c r="U794" s="67"/>
      <c r="V794" s="67"/>
      <c r="W794" s="85" t="str">
        <f aca="false">IF(AH794="","",N(Q794)+N(R794)+N(S794)+N(T794)+N(U794)+N(V794))</f>
        <v/>
      </c>
      <c r="X794" s="85" t="str">
        <f aca="false">IF(AH794="","",P794-W794)</f>
        <v/>
      </c>
      <c r="Y794" s="67"/>
      <c r="Z794" s="70" t="str">
        <f aca="false">IF(OR(AH794="",Y794=""),"",IF(ABS(X794-Y794)&lt;=1,"✓ Cuadra","⚠ Diferencia $"&amp;FIXED(X794-Y794,0)))</f>
        <v/>
      </c>
      <c r="AA794" s="72" t="str">
        <f aca="false">IF(AH794="","",IFERROR(INDEX(C_TIPO,MATCH(C794&amp;"-P"&amp;MAX(1,COUNTIFS(C_ID,C794,C_DEFINE,"Sí",C_INICIO,"&lt;="&amp;EOMONTH(B794,0))),C_CLAVE,0))&amp;"","Sin dato"))</f>
        <v/>
      </c>
      <c r="AB794" s="71" t="str">
        <f aca="false">IF(AH794="","",ROUND(MIN(K794,TOPE_AFP_UF*AJ794)*AK794,0))</f>
        <v/>
      </c>
      <c r="AC794" s="71" t="str">
        <f aca="false">IF(AH794="","",ROUND(MIN(K794,TOPE_AFC_UF*AJ794)*IF(AA794="Indefinido",AFC_EMP_INDEF,AFC_EMP_PF),0))</f>
        <v/>
      </c>
      <c r="AD794" s="71" t="str">
        <f aca="false">IF(AH794="","",ROUND(MIN(K794,TOPE_AFP_UF*AJ794)*(MUTUAL_BASICA+MUTUAL_ADIC+SANNA),0))</f>
        <v/>
      </c>
      <c r="AE794" s="71" t="str">
        <f aca="false">IF(AH794="","",P794-N(N794)+AB794+AC794+AD794)</f>
        <v/>
      </c>
      <c r="AF794" s="65"/>
      <c r="AG794" s="64"/>
      <c r="AH794" s="72" t="str">
        <f aca="false">IF(OR(B794="",C794=""),"",C794&amp;"|"&amp;(YEAR(B794)*100+MONTH(B794)))</f>
        <v/>
      </c>
      <c r="AI794" s="70" t="str">
        <f aca="false">IF(AH794="","",IF(COUNTIF(L_CLAVE,AH794)&gt;1,"⚠ Duplicado","OK"))</f>
        <v/>
      </c>
      <c r="AJ794" s="86" t="str">
        <f aca="false">IF(AH794="","",IF(SUMPRODUCT(MAX((IND_PER&lt;=B794)*(IND_UF&lt;&gt;"")*IND_PER))=0,UF_HOY,INDEX(IND_UF,MATCH(SUMPRODUCT(MAX((IND_PER&lt;=B794)*(IND_UF&lt;&gt;"")*IND_PER)),IND_PER,0))))</f>
        <v/>
      </c>
      <c r="AK794" s="87" t="str">
        <f aca="false">IF(AH794="","",IF(COUNTIF(TASA_DESDE,"&lt;="&amp;B794)=0,INDEX(TASA_EMP,1),INDEX(TASA_EMP,COUNTIF(TASA_DESDE,"&lt;="&amp;B794))))</f>
        <v/>
      </c>
    </row>
    <row r="795" customFormat="false" ht="15" hidden="false" customHeight="false" outlineLevel="0" collapsed="false">
      <c r="B795" s="78"/>
      <c r="C795" s="64"/>
      <c r="D795" s="72" t="str">
        <f aca="false">IF(C795="","",IFERROR(INDEX(T_NOMBRE,MATCH(C795,T_ID,0)),"⚠ ID no existe"))</f>
        <v/>
      </c>
      <c r="E795" s="69"/>
      <c r="F795" s="67"/>
      <c r="G795" s="67"/>
      <c r="H795" s="67"/>
      <c r="I795" s="67"/>
      <c r="J795" s="67"/>
      <c r="K795" s="85" t="str">
        <f aca="false">IF(AH795="","",N(F795)+N(G795)+N(H795)-N(I795)+N(J795))</f>
        <v/>
      </c>
      <c r="L795" s="67"/>
      <c r="M795" s="67"/>
      <c r="N795" s="67"/>
      <c r="O795" s="67"/>
      <c r="P795" s="85" t="str">
        <f aca="false">IF(AH795="","",K795+N(L795)+N(M795)+N(N795)+N(O795))</f>
        <v/>
      </c>
      <c r="Q795" s="67"/>
      <c r="R795" s="67"/>
      <c r="S795" s="67"/>
      <c r="T795" s="67"/>
      <c r="U795" s="67"/>
      <c r="V795" s="67"/>
      <c r="W795" s="85" t="str">
        <f aca="false">IF(AH795="","",N(Q795)+N(R795)+N(S795)+N(T795)+N(U795)+N(V795))</f>
        <v/>
      </c>
      <c r="X795" s="85" t="str">
        <f aca="false">IF(AH795="","",P795-W795)</f>
        <v/>
      </c>
      <c r="Y795" s="67"/>
      <c r="Z795" s="70" t="str">
        <f aca="false">IF(OR(AH795="",Y795=""),"",IF(ABS(X795-Y795)&lt;=1,"✓ Cuadra","⚠ Diferencia $"&amp;FIXED(X795-Y795,0)))</f>
        <v/>
      </c>
      <c r="AA795" s="72" t="str">
        <f aca="false">IF(AH795="","",IFERROR(INDEX(C_TIPO,MATCH(C795&amp;"-P"&amp;MAX(1,COUNTIFS(C_ID,C795,C_DEFINE,"Sí",C_INICIO,"&lt;="&amp;EOMONTH(B795,0))),C_CLAVE,0))&amp;"","Sin dato"))</f>
        <v/>
      </c>
      <c r="AB795" s="71" t="str">
        <f aca="false">IF(AH795="","",ROUND(MIN(K795,TOPE_AFP_UF*AJ795)*AK795,0))</f>
        <v/>
      </c>
      <c r="AC795" s="71" t="str">
        <f aca="false">IF(AH795="","",ROUND(MIN(K795,TOPE_AFC_UF*AJ795)*IF(AA795="Indefinido",AFC_EMP_INDEF,AFC_EMP_PF),0))</f>
        <v/>
      </c>
      <c r="AD795" s="71" t="str">
        <f aca="false">IF(AH795="","",ROUND(MIN(K795,TOPE_AFP_UF*AJ795)*(MUTUAL_BASICA+MUTUAL_ADIC+SANNA),0))</f>
        <v/>
      </c>
      <c r="AE795" s="71" t="str">
        <f aca="false">IF(AH795="","",P795-N(N795)+AB795+AC795+AD795)</f>
        <v/>
      </c>
      <c r="AF795" s="65"/>
      <c r="AG795" s="64"/>
      <c r="AH795" s="72" t="str">
        <f aca="false">IF(OR(B795="",C795=""),"",C795&amp;"|"&amp;(YEAR(B795)*100+MONTH(B795)))</f>
        <v/>
      </c>
      <c r="AI795" s="70" t="str">
        <f aca="false">IF(AH795="","",IF(COUNTIF(L_CLAVE,AH795)&gt;1,"⚠ Duplicado","OK"))</f>
        <v/>
      </c>
      <c r="AJ795" s="86" t="str">
        <f aca="false">IF(AH795="","",IF(SUMPRODUCT(MAX((IND_PER&lt;=B795)*(IND_UF&lt;&gt;"")*IND_PER))=0,UF_HOY,INDEX(IND_UF,MATCH(SUMPRODUCT(MAX((IND_PER&lt;=B795)*(IND_UF&lt;&gt;"")*IND_PER)),IND_PER,0))))</f>
        <v/>
      </c>
      <c r="AK795" s="87" t="str">
        <f aca="false">IF(AH795="","",IF(COUNTIF(TASA_DESDE,"&lt;="&amp;B795)=0,INDEX(TASA_EMP,1),INDEX(TASA_EMP,COUNTIF(TASA_DESDE,"&lt;="&amp;B795))))</f>
        <v/>
      </c>
    </row>
    <row r="796" customFormat="false" ht="15" hidden="false" customHeight="false" outlineLevel="0" collapsed="false">
      <c r="B796" s="78"/>
      <c r="C796" s="64"/>
      <c r="D796" s="72" t="str">
        <f aca="false">IF(C796="","",IFERROR(INDEX(T_NOMBRE,MATCH(C796,T_ID,0)),"⚠ ID no existe"))</f>
        <v/>
      </c>
      <c r="E796" s="69"/>
      <c r="F796" s="67"/>
      <c r="G796" s="67"/>
      <c r="H796" s="67"/>
      <c r="I796" s="67"/>
      <c r="J796" s="67"/>
      <c r="K796" s="85" t="str">
        <f aca="false">IF(AH796="","",N(F796)+N(G796)+N(H796)-N(I796)+N(J796))</f>
        <v/>
      </c>
      <c r="L796" s="67"/>
      <c r="M796" s="67"/>
      <c r="N796" s="67"/>
      <c r="O796" s="67"/>
      <c r="P796" s="85" t="str">
        <f aca="false">IF(AH796="","",K796+N(L796)+N(M796)+N(N796)+N(O796))</f>
        <v/>
      </c>
      <c r="Q796" s="67"/>
      <c r="R796" s="67"/>
      <c r="S796" s="67"/>
      <c r="T796" s="67"/>
      <c r="U796" s="67"/>
      <c r="V796" s="67"/>
      <c r="W796" s="85" t="str">
        <f aca="false">IF(AH796="","",N(Q796)+N(R796)+N(S796)+N(T796)+N(U796)+N(V796))</f>
        <v/>
      </c>
      <c r="X796" s="85" t="str">
        <f aca="false">IF(AH796="","",P796-W796)</f>
        <v/>
      </c>
      <c r="Y796" s="67"/>
      <c r="Z796" s="70" t="str">
        <f aca="false">IF(OR(AH796="",Y796=""),"",IF(ABS(X796-Y796)&lt;=1,"✓ Cuadra","⚠ Diferencia $"&amp;FIXED(X796-Y796,0)))</f>
        <v/>
      </c>
      <c r="AA796" s="72" t="str">
        <f aca="false">IF(AH796="","",IFERROR(INDEX(C_TIPO,MATCH(C796&amp;"-P"&amp;MAX(1,COUNTIFS(C_ID,C796,C_DEFINE,"Sí",C_INICIO,"&lt;="&amp;EOMONTH(B796,0))),C_CLAVE,0))&amp;"","Sin dato"))</f>
        <v/>
      </c>
      <c r="AB796" s="71" t="str">
        <f aca="false">IF(AH796="","",ROUND(MIN(K796,TOPE_AFP_UF*AJ796)*AK796,0))</f>
        <v/>
      </c>
      <c r="AC796" s="71" t="str">
        <f aca="false">IF(AH796="","",ROUND(MIN(K796,TOPE_AFC_UF*AJ796)*IF(AA796="Indefinido",AFC_EMP_INDEF,AFC_EMP_PF),0))</f>
        <v/>
      </c>
      <c r="AD796" s="71" t="str">
        <f aca="false">IF(AH796="","",ROUND(MIN(K796,TOPE_AFP_UF*AJ796)*(MUTUAL_BASICA+MUTUAL_ADIC+SANNA),0))</f>
        <v/>
      </c>
      <c r="AE796" s="71" t="str">
        <f aca="false">IF(AH796="","",P796-N(N796)+AB796+AC796+AD796)</f>
        <v/>
      </c>
      <c r="AF796" s="65"/>
      <c r="AG796" s="64"/>
      <c r="AH796" s="72" t="str">
        <f aca="false">IF(OR(B796="",C796=""),"",C796&amp;"|"&amp;(YEAR(B796)*100+MONTH(B796)))</f>
        <v/>
      </c>
      <c r="AI796" s="70" t="str">
        <f aca="false">IF(AH796="","",IF(COUNTIF(L_CLAVE,AH796)&gt;1,"⚠ Duplicado","OK"))</f>
        <v/>
      </c>
      <c r="AJ796" s="86" t="str">
        <f aca="false">IF(AH796="","",IF(SUMPRODUCT(MAX((IND_PER&lt;=B796)*(IND_UF&lt;&gt;"")*IND_PER))=0,UF_HOY,INDEX(IND_UF,MATCH(SUMPRODUCT(MAX((IND_PER&lt;=B796)*(IND_UF&lt;&gt;"")*IND_PER)),IND_PER,0))))</f>
        <v/>
      </c>
      <c r="AK796" s="87" t="str">
        <f aca="false">IF(AH796="","",IF(COUNTIF(TASA_DESDE,"&lt;="&amp;B796)=0,INDEX(TASA_EMP,1),INDEX(TASA_EMP,COUNTIF(TASA_DESDE,"&lt;="&amp;B796))))</f>
        <v/>
      </c>
    </row>
    <row r="797" customFormat="false" ht="15" hidden="false" customHeight="false" outlineLevel="0" collapsed="false">
      <c r="B797" s="78"/>
      <c r="C797" s="64"/>
      <c r="D797" s="72" t="str">
        <f aca="false">IF(C797="","",IFERROR(INDEX(T_NOMBRE,MATCH(C797,T_ID,0)),"⚠ ID no existe"))</f>
        <v/>
      </c>
      <c r="E797" s="69"/>
      <c r="F797" s="67"/>
      <c r="G797" s="67"/>
      <c r="H797" s="67"/>
      <c r="I797" s="67"/>
      <c r="J797" s="67"/>
      <c r="K797" s="85" t="str">
        <f aca="false">IF(AH797="","",N(F797)+N(G797)+N(H797)-N(I797)+N(J797))</f>
        <v/>
      </c>
      <c r="L797" s="67"/>
      <c r="M797" s="67"/>
      <c r="N797" s="67"/>
      <c r="O797" s="67"/>
      <c r="P797" s="85" t="str">
        <f aca="false">IF(AH797="","",K797+N(L797)+N(M797)+N(N797)+N(O797))</f>
        <v/>
      </c>
      <c r="Q797" s="67"/>
      <c r="R797" s="67"/>
      <c r="S797" s="67"/>
      <c r="T797" s="67"/>
      <c r="U797" s="67"/>
      <c r="V797" s="67"/>
      <c r="W797" s="85" t="str">
        <f aca="false">IF(AH797="","",N(Q797)+N(R797)+N(S797)+N(T797)+N(U797)+N(V797))</f>
        <v/>
      </c>
      <c r="X797" s="85" t="str">
        <f aca="false">IF(AH797="","",P797-W797)</f>
        <v/>
      </c>
      <c r="Y797" s="67"/>
      <c r="Z797" s="70" t="str">
        <f aca="false">IF(OR(AH797="",Y797=""),"",IF(ABS(X797-Y797)&lt;=1,"✓ Cuadra","⚠ Diferencia $"&amp;FIXED(X797-Y797,0)))</f>
        <v/>
      </c>
      <c r="AA797" s="72" t="str">
        <f aca="false">IF(AH797="","",IFERROR(INDEX(C_TIPO,MATCH(C797&amp;"-P"&amp;MAX(1,COUNTIFS(C_ID,C797,C_DEFINE,"Sí",C_INICIO,"&lt;="&amp;EOMONTH(B797,0))),C_CLAVE,0))&amp;"","Sin dato"))</f>
        <v/>
      </c>
      <c r="AB797" s="71" t="str">
        <f aca="false">IF(AH797="","",ROUND(MIN(K797,TOPE_AFP_UF*AJ797)*AK797,0))</f>
        <v/>
      </c>
      <c r="AC797" s="71" t="str">
        <f aca="false">IF(AH797="","",ROUND(MIN(K797,TOPE_AFC_UF*AJ797)*IF(AA797="Indefinido",AFC_EMP_INDEF,AFC_EMP_PF),0))</f>
        <v/>
      </c>
      <c r="AD797" s="71" t="str">
        <f aca="false">IF(AH797="","",ROUND(MIN(K797,TOPE_AFP_UF*AJ797)*(MUTUAL_BASICA+MUTUAL_ADIC+SANNA),0))</f>
        <v/>
      </c>
      <c r="AE797" s="71" t="str">
        <f aca="false">IF(AH797="","",P797-N(N797)+AB797+AC797+AD797)</f>
        <v/>
      </c>
      <c r="AF797" s="65"/>
      <c r="AG797" s="64"/>
      <c r="AH797" s="72" t="str">
        <f aca="false">IF(OR(B797="",C797=""),"",C797&amp;"|"&amp;(YEAR(B797)*100+MONTH(B797)))</f>
        <v/>
      </c>
      <c r="AI797" s="70" t="str">
        <f aca="false">IF(AH797="","",IF(COUNTIF(L_CLAVE,AH797)&gt;1,"⚠ Duplicado","OK"))</f>
        <v/>
      </c>
      <c r="AJ797" s="86" t="str">
        <f aca="false">IF(AH797="","",IF(SUMPRODUCT(MAX((IND_PER&lt;=B797)*(IND_UF&lt;&gt;"")*IND_PER))=0,UF_HOY,INDEX(IND_UF,MATCH(SUMPRODUCT(MAX((IND_PER&lt;=B797)*(IND_UF&lt;&gt;"")*IND_PER)),IND_PER,0))))</f>
        <v/>
      </c>
      <c r="AK797" s="87" t="str">
        <f aca="false">IF(AH797="","",IF(COUNTIF(TASA_DESDE,"&lt;="&amp;B797)=0,INDEX(TASA_EMP,1),INDEX(TASA_EMP,COUNTIF(TASA_DESDE,"&lt;="&amp;B797))))</f>
        <v/>
      </c>
    </row>
    <row r="798" customFormat="false" ht="15" hidden="false" customHeight="false" outlineLevel="0" collapsed="false">
      <c r="B798" s="78"/>
      <c r="C798" s="64"/>
      <c r="D798" s="72" t="str">
        <f aca="false">IF(C798="","",IFERROR(INDEX(T_NOMBRE,MATCH(C798,T_ID,0)),"⚠ ID no existe"))</f>
        <v/>
      </c>
      <c r="E798" s="69"/>
      <c r="F798" s="67"/>
      <c r="G798" s="67"/>
      <c r="H798" s="67"/>
      <c r="I798" s="67"/>
      <c r="J798" s="67"/>
      <c r="K798" s="85" t="str">
        <f aca="false">IF(AH798="","",N(F798)+N(G798)+N(H798)-N(I798)+N(J798))</f>
        <v/>
      </c>
      <c r="L798" s="67"/>
      <c r="M798" s="67"/>
      <c r="N798" s="67"/>
      <c r="O798" s="67"/>
      <c r="P798" s="85" t="str">
        <f aca="false">IF(AH798="","",K798+N(L798)+N(M798)+N(N798)+N(O798))</f>
        <v/>
      </c>
      <c r="Q798" s="67"/>
      <c r="R798" s="67"/>
      <c r="S798" s="67"/>
      <c r="T798" s="67"/>
      <c r="U798" s="67"/>
      <c r="V798" s="67"/>
      <c r="W798" s="85" t="str">
        <f aca="false">IF(AH798="","",N(Q798)+N(R798)+N(S798)+N(T798)+N(U798)+N(V798))</f>
        <v/>
      </c>
      <c r="X798" s="85" t="str">
        <f aca="false">IF(AH798="","",P798-W798)</f>
        <v/>
      </c>
      <c r="Y798" s="67"/>
      <c r="Z798" s="70" t="str">
        <f aca="false">IF(OR(AH798="",Y798=""),"",IF(ABS(X798-Y798)&lt;=1,"✓ Cuadra","⚠ Diferencia $"&amp;FIXED(X798-Y798,0)))</f>
        <v/>
      </c>
      <c r="AA798" s="72" t="str">
        <f aca="false">IF(AH798="","",IFERROR(INDEX(C_TIPO,MATCH(C798&amp;"-P"&amp;MAX(1,COUNTIFS(C_ID,C798,C_DEFINE,"Sí",C_INICIO,"&lt;="&amp;EOMONTH(B798,0))),C_CLAVE,0))&amp;"","Sin dato"))</f>
        <v/>
      </c>
      <c r="AB798" s="71" t="str">
        <f aca="false">IF(AH798="","",ROUND(MIN(K798,TOPE_AFP_UF*AJ798)*AK798,0))</f>
        <v/>
      </c>
      <c r="AC798" s="71" t="str">
        <f aca="false">IF(AH798="","",ROUND(MIN(K798,TOPE_AFC_UF*AJ798)*IF(AA798="Indefinido",AFC_EMP_INDEF,AFC_EMP_PF),0))</f>
        <v/>
      </c>
      <c r="AD798" s="71" t="str">
        <f aca="false">IF(AH798="","",ROUND(MIN(K798,TOPE_AFP_UF*AJ798)*(MUTUAL_BASICA+MUTUAL_ADIC+SANNA),0))</f>
        <v/>
      </c>
      <c r="AE798" s="71" t="str">
        <f aca="false">IF(AH798="","",P798-N(N798)+AB798+AC798+AD798)</f>
        <v/>
      </c>
      <c r="AF798" s="65"/>
      <c r="AG798" s="64"/>
      <c r="AH798" s="72" t="str">
        <f aca="false">IF(OR(B798="",C798=""),"",C798&amp;"|"&amp;(YEAR(B798)*100+MONTH(B798)))</f>
        <v/>
      </c>
      <c r="AI798" s="70" t="str">
        <f aca="false">IF(AH798="","",IF(COUNTIF(L_CLAVE,AH798)&gt;1,"⚠ Duplicado","OK"))</f>
        <v/>
      </c>
      <c r="AJ798" s="86" t="str">
        <f aca="false">IF(AH798="","",IF(SUMPRODUCT(MAX((IND_PER&lt;=B798)*(IND_UF&lt;&gt;"")*IND_PER))=0,UF_HOY,INDEX(IND_UF,MATCH(SUMPRODUCT(MAX((IND_PER&lt;=B798)*(IND_UF&lt;&gt;"")*IND_PER)),IND_PER,0))))</f>
        <v/>
      </c>
      <c r="AK798" s="87" t="str">
        <f aca="false">IF(AH798="","",IF(COUNTIF(TASA_DESDE,"&lt;="&amp;B798)=0,INDEX(TASA_EMP,1),INDEX(TASA_EMP,COUNTIF(TASA_DESDE,"&lt;="&amp;B798))))</f>
        <v/>
      </c>
    </row>
    <row r="799" customFormat="false" ht="15" hidden="false" customHeight="false" outlineLevel="0" collapsed="false">
      <c r="B799" s="78"/>
      <c r="C799" s="64"/>
      <c r="D799" s="72" t="str">
        <f aca="false">IF(C799="","",IFERROR(INDEX(T_NOMBRE,MATCH(C799,T_ID,0)),"⚠ ID no existe"))</f>
        <v/>
      </c>
      <c r="E799" s="69"/>
      <c r="F799" s="67"/>
      <c r="G799" s="67"/>
      <c r="H799" s="67"/>
      <c r="I799" s="67"/>
      <c r="J799" s="67"/>
      <c r="K799" s="85" t="str">
        <f aca="false">IF(AH799="","",N(F799)+N(G799)+N(H799)-N(I799)+N(J799))</f>
        <v/>
      </c>
      <c r="L799" s="67"/>
      <c r="M799" s="67"/>
      <c r="N799" s="67"/>
      <c r="O799" s="67"/>
      <c r="P799" s="85" t="str">
        <f aca="false">IF(AH799="","",K799+N(L799)+N(M799)+N(N799)+N(O799))</f>
        <v/>
      </c>
      <c r="Q799" s="67"/>
      <c r="R799" s="67"/>
      <c r="S799" s="67"/>
      <c r="T799" s="67"/>
      <c r="U799" s="67"/>
      <c r="V799" s="67"/>
      <c r="W799" s="85" t="str">
        <f aca="false">IF(AH799="","",N(Q799)+N(R799)+N(S799)+N(T799)+N(U799)+N(V799))</f>
        <v/>
      </c>
      <c r="X799" s="85" t="str">
        <f aca="false">IF(AH799="","",P799-W799)</f>
        <v/>
      </c>
      <c r="Y799" s="67"/>
      <c r="Z799" s="70" t="str">
        <f aca="false">IF(OR(AH799="",Y799=""),"",IF(ABS(X799-Y799)&lt;=1,"✓ Cuadra","⚠ Diferencia $"&amp;FIXED(X799-Y799,0)))</f>
        <v/>
      </c>
      <c r="AA799" s="72" t="str">
        <f aca="false">IF(AH799="","",IFERROR(INDEX(C_TIPO,MATCH(C799&amp;"-P"&amp;MAX(1,COUNTIFS(C_ID,C799,C_DEFINE,"Sí",C_INICIO,"&lt;="&amp;EOMONTH(B799,0))),C_CLAVE,0))&amp;"","Sin dato"))</f>
        <v/>
      </c>
      <c r="AB799" s="71" t="str">
        <f aca="false">IF(AH799="","",ROUND(MIN(K799,TOPE_AFP_UF*AJ799)*AK799,0))</f>
        <v/>
      </c>
      <c r="AC799" s="71" t="str">
        <f aca="false">IF(AH799="","",ROUND(MIN(K799,TOPE_AFC_UF*AJ799)*IF(AA799="Indefinido",AFC_EMP_INDEF,AFC_EMP_PF),0))</f>
        <v/>
      </c>
      <c r="AD799" s="71" t="str">
        <f aca="false">IF(AH799="","",ROUND(MIN(K799,TOPE_AFP_UF*AJ799)*(MUTUAL_BASICA+MUTUAL_ADIC+SANNA),0))</f>
        <v/>
      </c>
      <c r="AE799" s="71" t="str">
        <f aca="false">IF(AH799="","",P799-N(N799)+AB799+AC799+AD799)</f>
        <v/>
      </c>
      <c r="AF799" s="65"/>
      <c r="AG799" s="64"/>
      <c r="AH799" s="72" t="str">
        <f aca="false">IF(OR(B799="",C799=""),"",C799&amp;"|"&amp;(YEAR(B799)*100+MONTH(B799)))</f>
        <v/>
      </c>
      <c r="AI799" s="70" t="str">
        <f aca="false">IF(AH799="","",IF(COUNTIF(L_CLAVE,AH799)&gt;1,"⚠ Duplicado","OK"))</f>
        <v/>
      </c>
      <c r="AJ799" s="86" t="str">
        <f aca="false">IF(AH799="","",IF(SUMPRODUCT(MAX((IND_PER&lt;=B799)*(IND_UF&lt;&gt;"")*IND_PER))=0,UF_HOY,INDEX(IND_UF,MATCH(SUMPRODUCT(MAX((IND_PER&lt;=B799)*(IND_UF&lt;&gt;"")*IND_PER)),IND_PER,0))))</f>
        <v/>
      </c>
      <c r="AK799" s="87" t="str">
        <f aca="false">IF(AH799="","",IF(COUNTIF(TASA_DESDE,"&lt;="&amp;B799)=0,INDEX(TASA_EMP,1),INDEX(TASA_EMP,COUNTIF(TASA_DESDE,"&lt;="&amp;B799))))</f>
        <v/>
      </c>
    </row>
    <row r="800" customFormat="false" ht="15" hidden="false" customHeight="false" outlineLevel="0" collapsed="false">
      <c r="B800" s="78"/>
      <c r="C800" s="64"/>
      <c r="D800" s="72" t="str">
        <f aca="false">IF(C800="","",IFERROR(INDEX(T_NOMBRE,MATCH(C800,T_ID,0)),"⚠ ID no existe"))</f>
        <v/>
      </c>
      <c r="E800" s="69"/>
      <c r="F800" s="67"/>
      <c r="G800" s="67"/>
      <c r="H800" s="67"/>
      <c r="I800" s="67"/>
      <c r="J800" s="67"/>
      <c r="K800" s="85" t="str">
        <f aca="false">IF(AH800="","",N(F800)+N(G800)+N(H800)-N(I800)+N(J800))</f>
        <v/>
      </c>
      <c r="L800" s="67"/>
      <c r="M800" s="67"/>
      <c r="N800" s="67"/>
      <c r="O800" s="67"/>
      <c r="P800" s="85" t="str">
        <f aca="false">IF(AH800="","",K800+N(L800)+N(M800)+N(N800)+N(O800))</f>
        <v/>
      </c>
      <c r="Q800" s="67"/>
      <c r="R800" s="67"/>
      <c r="S800" s="67"/>
      <c r="T800" s="67"/>
      <c r="U800" s="67"/>
      <c r="V800" s="67"/>
      <c r="W800" s="85" t="str">
        <f aca="false">IF(AH800="","",N(Q800)+N(R800)+N(S800)+N(T800)+N(U800)+N(V800))</f>
        <v/>
      </c>
      <c r="X800" s="85" t="str">
        <f aca="false">IF(AH800="","",P800-W800)</f>
        <v/>
      </c>
      <c r="Y800" s="67"/>
      <c r="Z800" s="70" t="str">
        <f aca="false">IF(OR(AH800="",Y800=""),"",IF(ABS(X800-Y800)&lt;=1,"✓ Cuadra","⚠ Diferencia $"&amp;FIXED(X800-Y800,0)))</f>
        <v/>
      </c>
      <c r="AA800" s="72" t="str">
        <f aca="false">IF(AH800="","",IFERROR(INDEX(C_TIPO,MATCH(C800&amp;"-P"&amp;MAX(1,COUNTIFS(C_ID,C800,C_DEFINE,"Sí",C_INICIO,"&lt;="&amp;EOMONTH(B800,0))),C_CLAVE,0))&amp;"","Sin dato"))</f>
        <v/>
      </c>
      <c r="AB800" s="71" t="str">
        <f aca="false">IF(AH800="","",ROUND(MIN(K800,TOPE_AFP_UF*AJ800)*AK800,0))</f>
        <v/>
      </c>
      <c r="AC800" s="71" t="str">
        <f aca="false">IF(AH800="","",ROUND(MIN(K800,TOPE_AFC_UF*AJ800)*IF(AA800="Indefinido",AFC_EMP_INDEF,AFC_EMP_PF),0))</f>
        <v/>
      </c>
      <c r="AD800" s="71" t="str">
        <f aca="false">IF(AH800="","",ROUND(MIN(K800,TOPE_AFP_UF*AJ800)*(MUTUAL_BASICA+MUTUAL_ADIC+SANNA),0))</f>
        <v/>
      </c>
      <c r="AE800" s="71" t="str">
        <f aca="false">IF(AH800="","",P800-N(N800)+AB800+AC800+AD800)</f>
        <v/>
      </c>
      <c r="AF800" s="65"/>
      <c r="AG800" s="64"/>
      <c r="AH800" s="72" t="str">
        <f aca="false">IF(OR(B800="",C800=""),"",C800&amp;"|"&amp;(YEAR(B800)*100+MONTH(B800)))</f>
        <v/>
      </c>
      <c r="AI800" s="70" t="str">
        <f aca="false">IF(AH800="","",IF(COUNTIF(L_CLAVE,AH800)&gt;1,"⚠ Duplicado","OK"))</f>
        <v/>
      </c>
      <c r="AJ800" s="86" t="str">
        <f aca="false">IF(AH800="","",IF(SUMPRODUCT(MAX((IND_PER&lt;=B800)*(IND_UF&lt;&gt;"")*IND_PER))=0,UF_HOY,INDEX(IND_UF,MATCH(SUMPRODUCT(MAX((IND_PER&lt;=B800)*(IND_UF&lt;&gt;"")*IND_PER)),IND_PER,0))))</f>
        <v/>
      </c>
      <c r="AK800" s="87" t="str">
        <f aca="false">IF(AH800="","",IF(COUNTIF(TASA_DESDE,"&lt;="&amp;B800)=0,INDEX(TASA_EMP,1),INDEX(TASA_EMP,COUNTIF(TASA_DESDE,"&lt;="&amp;B800))))</f>
        <v/>
      </c>
    </row>
    <row r="801" customFormat="false" ht="15" hidden="false" customHeight="false" outlineLevel="0" collapsed="false">
      <c r="B801" s="78"/>
      <c r="C801" s="64"/>
      <c r="D801" s="72" t="str">
        <f aca="false">IF(C801="","",IFERROR(INDEX(T_NOMBRE,MATCH(C801,T_ID,0)),"⚠ ID no existe"))</f>
        <v/>
      </c>
      <c r="E801" s="69"/>
      <c r="F801" s="67"/>
      <c r="G801" s="67"/>
      <c r="H801" s="67"/>
      <c r="I801" s="67"/>
      <c r="J801" s="67"/>
      <c r="K801" s="85" t="str">
        <f aca="false">IF(AH801="","",N(F801)+N(G801)+N(H801)-N(I801)+N(J801))</f>
        <v/>
      </c>
      <c r="L801" s="67"/>
      <c r="M801" s="67"/>
      <c r="N801" s="67"/>
      <c r="O801" s="67"/>
      <c r="P801" s="85" t="str">
        <f aca="false">IF(AH801="","",K801+N(L801)+N(M801)+N(N801)+N(O801))</f>
        <v/>
      </c>
      <c r="Q801" s="67"/>
      <c r="R801" s="67"/>
      <c r="S801" s="67"/>
      <c r="T801" s="67"/>
      <c r="U801" s="67"/>
      <c r="V801" s="67"/>
      <c r="W801" s="85" t="str">
        <f aca="false">IF(AH801="","",N(Q801)+N(R801)+N(S801)+N(T801)+N(U801)+N(V801))</f>
        <v/>
      </c>
      <c r="X801" s="85" t="str">
        <f aca="false">IF(AH801="","",P801-W801)</f>
        <v/>
      </c>
      <c r="Y801" s="67"/>
      <c r="Z801" s="70" t="str">
        <f aca="false">IF(OR(AH801="",Y801=""),"",IF(ABS(X801-Y801)&lt;=1,"✓ Cuadra","⚠ Diferencia $"&amp;FIXED(X801-Y801,0)))</f>
        <v/>
      </c>
      <c r="AA801" s="72" t="str">
        <f aca="false">IF(AH801="","",IFERROR(INDEX(C_TIPO,MATCH(C801&amp;"-P"&amp;MAX(1,COUNTIFS(C_ID,C801,C_DEFINE,"Sí",C_INICIO,"&lt;="&amp;EOMONTH(B801,0))),C_CLAVE,0))&amp;"","Sin dato"))</f>
        <v/>
      </c>
      <c r="AB801" s="71" t="str">
        <f aca="false">IF(AH801="","",ROUND(MIN(K801,TOPE_AFP_UF*AJ801)*AK801,0))</f>
        <v/>
      </c>
      <c r="AC801" s="71" t="str">
        <f aca="false">IF(AH801="","",ROUND(MIN(K801,TOPE_AFC_UF*AJ801)*IF(AA801="Indefinido",AFC_EMP_INDEF,AFC_EMP_PF),0))</f>
        <v/>
      </c>
      <c r="AD801" s="71" t="str">
        <f aca="false">IF(AH801="","",ROUND(MIN(K801,TOPE_AFP_UF*AJ801)*(MUTUAL_BASICA+MUTUAL_ADIC+SANNA),0))</f>
        <v/>
      </c>
      <c r="AE801" s="71" t="str">
        <f aca="false">IF(AH801="","",P801-N(N801)+AB801+AC801+AD801)</f>
        <v/>
      </c>
      <c r="AF801" s="65"/>
      <c r="AG801" s="64"/>
      <c r="AH801" s="72" t="str">
        <f aca="false">IF(OR(B801="",C801=""),"",C801&amp;"|"&amp;(YEAR(B801)*100+MONTH(B801)))</f>
        <v/>
      </c>
      <c r="AI801" s="70" t="str">
        <f aca="false">IF(AH801="","",IF(COUNTIF(L_CLAVE,AH801)&gt;1,"⚠ Duplicado","OK"))</f>
        <v/>
      </c>
      <c r="AJ801" s="86" t="str">
        <f aca="false">IF(AH801="","",IF(SUMPRODUCT(MAX((IND_PER&lt;=B801)*(IND_UF&lt;&gt;"")*IND_PER))=0,UF_HOY,INDEX(IND_UF,MATCH(SUMPRODUCT(MAX((IND_PER&lt;=B801)*(IND_UF&lt;&gt;"")*IND_PER)),IND_PER,0))))</f>
        <v/>
      </c>
      <c r="AK801" s="87" t="str">
        <f aca="false">IF(AH801="","",IF(COUNTIF(TASA_DESDE,"&lt;="&amp;B801)=0,INDEX(TASA_EMP,1),INDEX(TASA_EMP,COUNTIF(TASA_DESDE,"&lt;="&amp;B801))))</f>
        <v/>
      </c>
    </row>
    <row r="802" customFormat="false" ht="15" hidden="false" customHeight="false" outlineLevel="0" collapsed="false">
      <c r="B802" s="78"/>
      <c r="C802" s="64"/>
      <c r="D802" s="72" t="str">
        <f aca="false">IF(C802="","",IFERROR(INDEX(T_NOMBRE,MATCH(C802,T_ID,0)),"⚠ ID no existe"))</f>
        <v/>
      </c>
      <c r="E802" s="69"/>
      <c r="F802" s="67"/>
      <c r="G802" s="67"/>
      <c r="H802" s="67"/>
      <c r="I802" s="67"/>
      <c r="J802" s="67"/>
      <c r="K802" s="85" t="str">
        <f aca="false">IF(AH802="","",N(F802)+N(G802)+N(H802)-N(I802)+N(J802))</f>
        <v/>
      </c>
      <c r="L802" s="67"/>
      <c r="M802" s="67"/>
      <c r="N802" s="67"/>
      <c r="O802" s="67"/>
      <c r="P802" s="85" t="str">
        <f aca="false">IF(AH802="","",K802+N(L802)+N(M802)+N(N802)+N(O802))</f>
        <v/>
      </c>
      <c r="Q802" s="67"/>
      <c r="R802" s="67"/>
      <c r="S802" s="67"/>
      <c r="T802" s="67"/>
      <c r="U802" s="67"/>
      <c r="V802" s="67"/>
      <c r="W802" s="85" t="str">
        <f aca="false">IF(AH802="","",N(Q802)+N(R802)+N(S802)+N(T802)+N(U802)+N(V802))</f>
        <v/>
      </c>
      <c r="X802" s="85" t="str">
        <f aca="false">IF(AH802="","",P802-W802)</f>
        <v/>
      </c>
      <c r="Y802" s="67"/>
      <c r="Z802" s="70" t="str">
        <f aca="false">IF(OR(AH802="",Y802=""),"",IF(ABS(X802-Y802)&lt;=1,"✓ Cuadra","⚠ Diferencia $"&amp;FIXED(X802-Y802,0)))</f>
        <v/>
      </c>
      <c r="AA802" s="72" t="str">
        <f aca="false">IF(AH802="","",IFERROR(INDEX(C_TIPO,MATCH(C802&amp;"-P"&amp;MAX(1,COUNTIFS(C_ID,C802,C_DEFINE,"Sí",C_INICIO,"&lt;="&amp;EOMONTH(B802,0))),C_CLAVE,0))&amp;"","Sin dato"))</f>
        <v/>
      </c>
      <c r="AB802" s="71" t="str">
        <f aca="false">IF(AH802="","",ROUND(MIN(K802,TOPE_AFP_UF*AJ802)*AK802,0))</f>
        <v/>
      </c>
      <c r="AC802" s="71" t="str">
        <f aca="false">IF(AH802="","",ROUND(MIN(K802,TOPE_AFC_UF*AJ802)*IF(AA802="Indefinido",AFC_EMP_INDEF,AFC_EMP_PF),0))</f>
        <v/>
      </c>
      <c r="AD802" s="71" t="str">
        <f aca="false">IF(AH802="","",ROUND(MIN(K802,TOPE_AFP_UF*AJ802)*(MUTUAL_BASICA+MUTUAL_ADIC+SANNA),0))</f>
        <v/>
      </c>
      <c r="AE802" s="71" t="str">
        <f aca="false">IF(AH802="","",P802-N(N802)+AB802+AC802+AD802)</f>
        <v/>
      </c>
      <c r="AF802" s="65"/>
      <c r="AG802" s="64"/>
      <c r="AH802" s="72" t="str">
        <f aca="false">IF(OR(B802="",C802=""),"",C802&amp;"|"&amp;(YEAR(B802)*100+MONTH(B802)))</f>
        <v/>
      </c>
      <c r="AI802" s="70" t="str">
        <f aca="false">IF(AH802="","",IF(COUNTIF(L_CLAVE,AH802)&gt;1,"⚠ Duplicado","OK"))</f>
        <v/>
      </c>
      <c r="AJ802" s="86" t="str">
        <f aca="false">IF(AH802="","",IF(SUMPRODUCT(MAX((IND_PER&lt;=B802)*(IND_UF&lt;&gt;"")*IND_PER))=0,UF_HOY,INDEX(IND_UF,MATCH(SUMPRODUCT(MAX((IND_PER&lt;=B802)*(IND_UF&lt;&gt;"")*IND_PER)),IND_PER,0))))</f>
        <v/>
      </c>
      <c r="AK802" s="87" t="str">
        <f aca="false">IF(AH802="","",IF(COUNTIF(TASA_DESDE,"&lt;="&amp;B802)=0,INDEX(TASA_EMP,1),INDEX(TASA_EMP,COUNTIF(TASA_DESDE,"&lt;="&amp;B802))))</f>
        <v/>
      </c>
    </row>
    <row r="803" customFormat="false" ht="15" hidden="false" customHeight="false" outlineLevel="0" collapsed="false">
      <c r="B803" s="78"/>
      <c r="C803" s="64"/>
      <c r="D803" s="72" t="str">
        <f aca="false">IF(C803="","",IFERROR(INDEX(T_NOMBRE,MATCH(C803,T_ID,0)),"⚠ ID no existe"))</f>
        <v/>
      </c>
      <c r="E803" s="69"/>
      <c r="F803" s="67"/>
      <c r="G803" s="67"/>
      <c r="H803" s="67"/>
      <c r="I803" s="67"/>
      <c r="J803" s="67"/>
      <c r="K803" s="85" t="str">
        <f aca="false">IF(AH803="","",N(F803)+N(G803)+N(H803)-N(I803)+N(J803))</f>
        <v/>
      </c>
      <c r="L803" s="67"/>
      <c r="M803" s="67"/>
      <c r="N803" s="67"/>
      <c r="O803" s="67"/>
      <c r="P803" s="85" t="str">
        <f aca="false">IF(AH803="","",K803+N(L803)+N(M803)+N(N803)+N(O803))</f>
        <v/>
      </c>
      <c r="Q803" s="67"/>
      <c r="R803" s="67"/>
      <c r="S803" s="67"/>
      <c r="T803" s="67"/>
      <c r="U803" s="67"/>
      <c r="V803" s="67"/>
      <c r="W803" s="85" t="str">
        <f aca="false">IF(AH803="","",N(Q803)+N(R803)+N(S803)+N(T803)+N(U803)+N(V803))</f>
        <v/>
      </c>
      <c r="X803" s="85" t="str">
        <f aca="false">IF(AH803="","",P803-W803)</f>
        <v/>
      </c>
      <c r="Y803" s="67"/>
      <c r="Z803" s="70" t="str">
        <f aca="false">IF(OR(AH803="",Y803=""),"",IF(ABS(X803-Y803)&lt;=1,"✓ Cuadra","⚠ Diferencia $"&amp;FIXED(X803-Y803,0)))</f>
        <v/>
      </c>
      <c r="AA803" s="72" t="str">
        <f aca="false">IF(AH803="","",IFERROR(INDEX(C_TIPO,MATCH(C803&amp;"-P"&amp;MAX(1,COUNTIFS(C_ID,C803,C_DEFINE,"Sí",C_INICIO,"&lt;="&amp;EOMONTH(B803,0))),C_CLAVE,0))&amp;"","Sin dato"))</f>
        <v/>
      </c>
      <c r="AB803" s="71" t="str">
        <f aca="false">IF(AH803="","",ROUND(MIN(K803,TOPE_AFP_UF*AJ803)*AK803,0))</f>
        <v/>
      </c>
      <c r="AC803" s="71" t="str">
        <f aca="false">IF(AH803="","",ROUND(MIN(K803,TOPE_AFC_UF*AJ803)*IF(AA803="Indefinido",AFC_EMP_INDEF,AFC_EMP_PF),0))</f>
        <v/>
      </c>
      <c r="AD803" s="71" t="str">
        <f aca="false">IF(AH803="","",ROUND(MIN(K803,TOPE_AFP_UF*AJ803)*(MUTUAL_BASICA+MUTUAL_ADIC+SANNA),0))</f>
        <v/>
      </c>
      <c r="AE803" s="71" t="str">
        <f aca="false">IF(AH803="","",P803-N(N803)+AB803+AC803+AD803)</f>
        <v/>
      </c>
      <c r="AF803" s="65"/>
      <c r="AG803" s="64"/>
      <c r="AH803" s="72" t="str">
        <f aca="false">IF(OR(B803="",C803=""),"",C803&amp;"|"&amp;(YEAR(B803)*100+MONTH(B803)))</f>
        <v/>
      </c>
      <c r="AI803" s="70" t="str">
        <f aca="false">IF(AH803="","",IF(COUNTIF(L_CLAVE,AH803)&gt;1,"⚠ Duplicado","OK"))</f>
        <v/>
      </c>
      <c r="AJ803" s="86" t="str">
        <f aca="false">IF(AH803="","",IF(SUMPRODUCT(MAX((IND_PER&lt;=B803)*(IND_UF&lt;&gt;"")*IND_PER))=0,UF_HOY,INDEX(IND_UF,MATCH(SUMPRODUCT(MAX((IND_PER&lt;=B803)*(IND_UF&lt;&gt;"")*IND_PER)),IND_PER,0))))</f>
        <v/>
      </c>
      <c r="AK803" s="87" t="str">
        <f aca="false">IF(AH803="","",IF(COUNTIF(TASA_DESDE,"&lt;="&amp;B803)=0,INDEX(TASA_EMP,1),INDEX(TASA_EMP,COUNTIF(TASA_DESDE,"&lt;="&amp;B803))))</f>
        <v/>
      </c>
    </row>
    <row r="804" customFormat="false" ht="15" hidden="false" customHeight="false" outlineLevel="0" collapsed="false">
      <c r="B804" s="78"/>
      <c r="C804" s="64"/>
      <c r="D804" s="72" t="str">
        <f aca="false">IF(C804="","",IFERROR(INDEX(T_NOMBRE,MATCH(C804,T_ID,0)),"⚠ ID no existe"))</f>
        <v/>
      </c>
      <c r="E804" s="69"/>
      <c r="F804" s="67"/>
      <c r="G804" s="67"/>
      <c r="H804" s="67"/>
      <c r="I804" s="67"/>
      <c r="J804" s="67"/>
      <c r="K804" s="85" t="str">
        <f aca="false">IF(AH804="","",N(F804)+N(G804)+N(H804)-N(I804)+N(J804))</f>
        <v/>
      </c>
      <c r="L804" s="67"/>
      <c r="M804" s="67"/>
      <c r="N804" s="67"/>
      <c r="O804" s="67"/>
      <c r="P804" s="85" t="str">
        <f aca="false">IF(AH804="","",K804+N(L804)+N(M804)+N(N804)+N(O804))</f>
        <v/>
      </c>
      <c r="Q804" s="67"/>
      <c r="R804" s="67"/>
      <c r="S804" s="67"/>
      <c r="T804" s="67"/>
      <c r="U804" s="67"/>
      <c r="V804" s="67"/>
      <c r="W804" s="85" t="str">
        <f aca="false">IF(AH804="","",N(Q804)+N(R804)+N(S804)+N(T804)+N(U804)+N(V804))</f>
        <v/>
      </c>
      <c r="X804" s="85" t="str">
        <f aca="false">IF(AH804="","",P804-W804)</f>
        <v/>
      </c>
      <c r="Y804" s="67"/>
      <c r="Z804" s="70" t="str">
        <f aca="false">IF(OR(AH804="",Y804=""),"",IF(ABS(X804-Y804)&lt;=1,"✓ Cuadra","⚠ Diferencia $"&amp;FIXED(X804-Y804,0)))</f>
        <v/>
      </c>
      <c r="AA804" s="72" t="str">
        <f aca="false">IF(AH804="","",IFERROR(INDEX(C_TIPO,MATCH(C804&amp;"-P"&amp;MAX(1,COUNTIFS(C_ID,C804,C_DEFINE,"Sí",C_INICIO,"&lt;="&amp;EOMONTH(B804,0))),C_CLAVE,0))&amp;"","Sin dato"))</f>
        <v/>
      </c>
      <c r="AB804" s="71" t="str">
        <f aca="false">IF(AH804="","",ROUND(MIN(K804,TOPE_AFP_UF*AJ804)*AK804,0))</f>
        <v/>
      </c>
      <c r="AC804" s="71" t="str">
        <f aca="false">IF(AH804="","",ROUND(MIN(K804,TOPE_AFC_UF*AJ804)*IF(AA804="Indefinido",AFC_EMP_INDEF,AFC_EMP_PF),0))</f>
        <v/>
      </c>
      <c r="AD804" s="71" t="str">
        <f aca="false">IF(AH804="","",ROUND(MIN(K804,TOPE_AFP_UF*AJ804)*(MUTUAL_BASICA+MUTUAL_ADIC+SANNA),0))</f>
        <v/>
      </c>
      <c r="AE804" s="71" t="str">
        <f aca="false">IF(AH804="","",P804-N(N804)+AB804+AC804+AD804)</f>
        <v/>
      </c>
      <c r="AF804" s="65"/>
      <c r="AG804" s="64"/>
      <c r="AH804" s="72" t="str">
        <f aca="false">IF(OR(B804="",C804=""),"",C804&amp;"|"&amp;(YEAR(B804)*100+MONTH(B804)))</f>
        <v/>
      </c>
      <c r="AI804" s="70" t="str">
        <f aca="false">IF(AH804="","",IF(COUNTIF(L_CLAVE,AH804)&gt;1,"⚠ Duplicado","OK"))</f>
        <v/>
      </c>
      <c r="AJ804" s="86" t="str">
        <f aca="false">IF(AH804="","",IF(SUMPRODUCT(MAX((IND_PER&lt;=B804)*(IND_UF&lt;&gt;"")*IND_PER))=0,UF_HOY,INDEX(IND_UF,MATCH(SUMPRODUCT(MAX((IND_PER&lt;=B804)*(IND_UF&lt;&gt;"")*IND_PER)),IND_PER,0))))</f>
        <v/>
      </c>
      <c r="AK804" s="87" t="str">
        <f aca="false">IF(AH804="","",IF(COUNTIF(TASA_DESDE,"&lt;="&amp;B804)=0,INDEX(TASA_EMP,1),INDEX(TASA_EMP,COUNTIF(TASA_DESDE,"&lt;="&amp;B804))))</f>
        <v/>
      </c>
    </row>
    <row r="805" customFormat="false" ht="15" hidden="false" customHeight="false" outlineLevel="0" collapsed="false">
      <c r="B805" s="78"/>
      <c r="C805" s="64"/>
      <c r="D805" s="72" t="str">
        <f aca="false">IF(C805="","",IFERROR(INDEX(T_NOMBRE,MATCH(C805,T_ID,0)),"⚠ ID no existe"))</f>
        <v/>
      </c>
      <c r="E805" s="69"/>
      <c r="F805" s="67"/>
      <c r="G805" s="67"/>
      <c r="H805" s="67"/>
      <c r="I805" s="67"/>
      <c r="J805" s="67"/>
      <c r="K805" s="85" t="str">
        <f aca="false">IF(AH805="","",N(F805)+N(G805)+N(H805)-N(I805)+N(J805))</f>
        <v/>
      </c>
      <c r="L805" s="67"/>
      <c r="M805" s="67"/>
      <c r="N805" s="67"/>
      <c r="O805" s="67"/>
      <c r="P805" s="85" t="str">
        <f aca="false">IF(AH805="","",K805+N(L805)+N(M805)+N(N805)+N(O805))</f>
        <v/>
      </c>
      <c r="Q805" s="67"/>
      <c r="R805" s="67"/>
      <c r="S805" s="67"/>
      <c r="T805" s="67"/>
      <c r="U805" s="67"/>
      <c r="V805" s="67"/>
      <c r="W805" s="85" t="str">
        <f aca="false">IF(AH805="","",N(Q805)+N(R805)+N(S805)+N(T805)+N(U805)+N(V805))</f>
        <v/>
      </c>
      <c r="X805" s="85" t="str">
        <f aca="false">IF(AH805="","",P805-W805)</f>
        <v/>
      </c>
      <c r="Y805" s="67"/>
      <c r="Z805" s="70" t="str">
        <f aca="false">IF(OR(AH805="",Y805=""),"",IF(ABS(X805-Y805)&lt;=1,"✓ Cuadra","⚠ Diferencia $"&amp;FIXED(X805-Y805,0)))</f>
        <v/>
      </c>
      <c r="AA805" s="72" t="str">
        <f aca="false">IF(AH805="","",IFERROR(INDEX(C_TIPO,MATCH(C805&amp;"-P"&amp;MAX(1,COUNTIFS(C_ID,C805,C_DEFINE,"Sí",C_INICIO,"&lt;="&amp;EOMONTH(B805,0))),C_CLAVE,0))&amp;"","Sin dato"))</f>
        <v/>
      </c>
      <c r="AB805" s="71" t="str">
        <f aca="false">IF(AH805="","",ROUND(MIN(K805,TOPE_AFP_UF*AJ805)*AK805,0))</f>
        <v/>
      </c>
      <c r="AC805" s="71" t="str">
        <f aca="false">IF(AH805="","",ROUND(MIN(K805,TOPE_AFC_UF*AJ805)*IF(AA805="Indefinido",AFC_EMP_INDEF,AFC_EMP_PF),0))</f>
        <v/>
      </c>
      <c r="AD805" s="71" t="str">
        <f aca="false">IF(AH805="","",ROUND(MIN(K805,TOPE_AFP_UF*AJ805)*(MUTUAL_BASICA+MUTUAL_ADIC+SANNA),0))</f>
        <v/>
      </c>
      <c r="AE805" s="71" t="str">
        <f aca="false">IF(AH805="","",P805-N(N805)+AB805+AC805+AD805)</f>
        <v/>
      </c>
      <c r="AF805" s="65"/>
      <c r="AG805" s="64"/>
      <c r="AH805" s="72" t="str">
        <f aca="false">IF(OR(B805="",C805=""),"",C805&amp;"|"&amp;(YEAR(B805)*100+MONTH(B805)))</f>
        <v/>
      </c>
      <c r="AI805" s="70" t="str">
        <f aca="false">IF(AH805="","",IF(COUNTIF(L_CLAVE,AH805)&gt;1,"⚠ Duplicado","OK"))</f>
        <v/>
      </c>
      <c r="AJ805" s="86" t="str">
        <f aca="false">IF(AH805="","",IF(SUMPRODUCT(MAX((IND_PER&lt;=B805)*(IND_UF&lt;&gt;"")*IND_PER))=0,UF_HOY,INDEX(IND_UF,MATCH(SUMPRODUCT(MAX((IND_PER&lt;=B805)*(IND_UF&lt;&gt;"")*IND_PER)),IND_PER,0))))</f>
        <v/>
      </c>
      <c r="AK805" s="87" t="str">
        <f aca="false">IF(AH805="","",IF(COUNTIF(TASA_DESDE,"&lt;="&amp;B805)=0,INDEX(TASA_EMP,1),INDEX(TASA_EMP,COUNTIF(TASA_DESDE,"&lt;="&amp;B805))))</f>
        <v/>
      </c>
    </row>
    <row r="806" customFormat="false" ht="15" hidden="false" customHeight="false" outlineLevel="0" collapsed="false">
      <c r="B806" s="78"/>
      <c r="C806" s="64"/>
      <c r="D806" s="72" t="str">
        <f aca="false">IF(C806="","",IFERROR(INDEX(T_NOMBRE,MATCH(C806,T_ID,0)),"⚠ ID no existe"))</f>
        <v/>
      </c>
      <c r="E806" s="69"/>
      <c r="F806" s="67"/>
      <c r="G806" s="67"/>
      <c r="H806" s="67"/>
      <c r="I806" s="67"/>
      <c r="J806" s="67"/>
      <c r="K806" s="85" t="str">
        <f aca="false">IF(AH806="","",N(F806)+N(G806)+N(H806)-N(I806)+N(J806))</f>
        <v/>
      </c>
      <c r="L806" s="67"/>
      <c r="M806" s="67"/>
      <c r="N806" s="67"/>
      <c r="O806" s="67"/>
      <c r="P806" s="85" t="str">
        <f aca="false">IF(AH806="","",K806+N(L806)+N(M806)+N(N806)+N(O806))</f>
        <v/>
      </c>
      <c r="Q806" s="67"/>
      <c r="R806" s="67"/>
      <c r="S806" s="67"/>
      <c r="T806" s="67"/>
      <c r="U806" s="67"/>
      <c r="V806" s="67"/>
      <c r="W806" s="85" t="str">
        <f aca="false">IF(AH806="","",N(Q806)+N(R806)+N(S806)+N(T806)+N(U806)+N(V806))</f>
        <v/>
      </c>
      <c r="X806" s="85" t="str">
        <f aca="false">IF(AH806="","",P806-W806)</f>
        <v/>
      </c>
      <c r="Y806" s="67"/>
      <c r="Z806" s="70" t="str">
        <f aca="false">IF(OR(AH806="",Y806=""),"",IF(ABS(X806-Y806)&lt;=1,"✓ Cuadra","⚠ Diferencia $"&amp;FIXED(X806-Y806,0)))</f>
        <v/>
      </c>
      <c r="AA806" s="72" t="str">
        <f aca="false">IF(AH806="","",IFERROR(INDEX(C_TIPO,MATCH(C806&amp;"-P"&amp;MAX(1,COUNTIFS(C_ID,C806,C_DEFINE,"Sí",C_INICIO,"&lt;="&amp;EOMONTH(B806,0))),C_CLAVE,0))&amp;"","Sin dato"))</f>
        <v/>
      </c>
      <c r="AB806" s="71" t="str">
        <f aca="false">IF(AH806="","",ROUND(MIN(K806,TOPE_AFP_UF*AJ806)*AK806,0))</f>
        <v/>
      </c>
      <c r="AC806" s="71" t="str">
        <f aca="false">IF(AH806="","",ROUND(MIN(K806,TOPE_AFC_UF*AJ806)*IF(AA806="Indefinido",AFC_EMP_INDEF,AFC_EMP_PF),0))</f>
        <v/>
      </c>
      <c r="AD806" s="71" t="str">
        <f aca="false">IF(AH806="","",ROUND(MIN(K806,TOPE_AFP_UF*AJ806)*(MUTUAL_BASICA+MUTUAL_ADIC+SANNA),0))</f>
        <v/>
      </c>
      <c r="AE806" s="71" t="str">
        <f aca="false">IF(AH806="","",P806-N(N806)+AB806+AC806+AD806)</f>
        <v/>
      </c>
      <c r="AF806" s="65"/>
      <c r="AG806" s="64"/>
      <c r="AH806" s="72" t="str">
        <f aca="false">IF(OR(B806="",C806=""),"",C806&amp;"|"&amp;(YEAR(B806)*100+MONTH(B806)))</f>
        <v/>
      </c>
      <c r="AI806" s="70" t="str">
        <f aca="false">IF(AH806="","",IF(COUNTIF(L_CLAVE,AH806)&gt;1,"⚠ Duplicado","OK"))</f>
        <v/>
      </c>
      <c r="AJ806" s="86" t="str">
        <f aca="false">IF(AH806="","",IF(SUMPRODUCT(MAX((IND_PER&lt;=B806)*(IND_UF&lt;&gt;"")*IND_PER))=0,UF_HOY,INDEX(IND_UF,MATCH(SUMPRODUCT(MAX((IND_PER&lt;=B806)*(IND_UF&lt;&gt;"")*IND_PER)),IND_PER,0))))</f>
        <v/>
      </c>
      <c r="AK806" s="87" t="str">
        <f aca="false">IF(AH806="","",IF(COUNTIF(TASA_DESDE,"&lt;="&amp;B806)=0,INDEX(TASA_EMP,1),INDEX(TASA_EMP,COUNTIF(TASA_DESDE,"&lt;="&amp;B806))))</f>
        <v/>
      </c>
    </row>
    <row r="807" customFormat="false" ht="15" hidden="false" customHeight="false" outlineLevel="0" collapsed="false">
      <c r="B807" s="78"/>
      <c r="C807" s="64"/>
      <c r="D807" s="72" t="str">
        <f aca="false">IF(C807="","",IFERROR(INDEX(T_NOMBRE,MATCH(C807,T_ID,0)),"⚠ ID no existe"))</f>
        <v/>
      </c>
      <c r="E807" s="69"/>
      <c r="F807" s="67"/>
      <c r="G807" s="67"/>
      <c r="H807" s="67"/>
      <c r="I807" s="67"/>
      <c r="J807" s="67"/>
      <c r="K807" s="85" t="str">
        <f aca="false">IF(AH807="","",N(F807)+N(G807)+N(H807)-N(I807)+N(J807))</f>
        <v/>
      </c>
      <c r="L807" s="67"/>
      <c r="M807" s="67"/>
      <c r="N807" s="67"/>
      <c r="O807" s="67"/>
      <c r="P807" s="85" t="str">
        <f aca="false">IF(AH807="","",K807+N(L807)+N(M807)+N(N807)+N(O807))</f>
        <v/>
      </c>
      <c r="Q807" s="67"/>
      <c r="R807" s="67"/>
      <c r="S807" s="67"/>
      <c r="T807" s="67"/>
      <c r="U807" s="67"/>
      <c r="V807" s="67"/>
      <c r="W807" s="85" t="str">
        <f aca="false">IF(AH807="","",N(Q807)+N(R807)+N(S807)+N(T807)+N(U807)+N(V807))</f>
        <v/>
      </c>
      <c r="X807" s="85" t="str">
        <f aca="false">IF(AH807="","",P807-W807)</f>
        <v/>
      </c>
      <c r="Y807" s="67"/>
      <c r="Z807" s="70" t="str">
        <f aca="false">IF(OR(AH807="",Y807=""),"",IF(ABS(X807-Y807)&lt;=1,"✓ Cuadra","⚠ Diferencia $"&amp;FIXED(X807-Y807,0)))</f>
        <v/>
      </c>
      <c r="AA807" s="72" t="str">
        <f aca="false">IF(AH807="","",IFERROR(INDEX(C_TIPO,MATCH(C807&amp;"-P"&amp;MAX(1,COUNTIFS(C_ID,C807,C_DEFINE,"Sí",C_INICIO,"&lt;="&amp;EOMONTH(B807,0))),C_CLAVE,0))&amp;"","Sin dato"))</f>
        <v/>
      </c>
      <c r="AB807" s="71" t="str">
        <f aca="false">IF(AH807="","",ROUND(MIN(K807,TOPE_AFP_UF*AJ807)*AK807,0))</f>
        <v/>
      </c>
      <c r="AC807" s="71" t="str">
        <f aca="false">IF(AH807="","",ROUND(MIN(K807,TOPE_AFC_UF*AJ807)*IF(AA807="Indefinido",AFC_EMP_INDEF,AFC_EMP_PF),0))</f>
        <v/>
      </c>
      <c r="AD807" s="71" t="str">
        <f aca="false">IF(AH807="","",ROUND(MIN(K807,TOPE_AFP_UF*AJ807)*(MUTUAL_BASICA+MUTUAL_ADIC+SANNA),0))</f>
        <v/>
      </c>
      <c r="AE807" s="71" t="str">
        <f aca="false">IF(AH807="","",P807-N(N807)+AB807+AC807+AD807)</f>
        <v/>
      </c>
      <c r="AF807" s="65"/>
      <c r="AG807" s="64"/>
      <c r="AH807" s="72" t="str">
        <f aca="false">IF(OR(B807="",C807=""),"",C807&amp;"|"&amp;(YEAR(B807)*100+MONTH(B807)))</f>
        <v/>
      </c>
      <c r="AI807" s="70" t="str">
        <f aca="false">IF(AH807="","",IF(COUNTIF(L_CLAVE,AH807)&gt;1,"⚠ Duplicado","OK"))</f>
        <v/>
      </c>
      <c r="AJ807" s="86" t="str">
        <f aca="false">IF(AH807="","",IF(SUMPRODUCT(MAX((IND_PER&lt;=B807)*(IND_UF&lt;&gt;"")*IND_PER))=0,UF_HOY,INDEX(IND_UF,MATCH(SUMPRODUCT(MAX((IND_PER&lt;=B807)*(IND_UF&lt;&gt;"")*IND_PER)),IND_PER,0))))</f>
        <v/>
      </c>
      <c r="AK807" s="87" t="str">
        <f aca="false">IF(AH807="","",IF(COUNTIF(TASA_DESDE,"&lt;="&amp;B807)=0,INDEX(TASA_EMP,1),INDEX(TASA_EMP,COUNTIF(TASA_DESDE,"&lt;="&amp;B807))))</f>
        <v/>
      </c>
    </row>
    <row r="808" customFormat="false" ht="15" hidden="false" customHeight="false" outlineLevel="0" collapsed="false">
      <c r="B808" s="78"/>
      <c r="C808" s="64"/>
      <c r="D808" s="72" t="str">
        <f aca="false">IF(C808="","",IFERROR(INDEX(T_NOMBRE,MATCH(C808,T_ID,0)),"⚠ ID no existe"))</f>
        <v/>
      </c>
      <c r="E808" s="69"/>
      <c r="F808" s="67"/>
      <c r="G808" s="67"/>
      <c r="H808" s="67"/>
      <c r="I808" s="67"/>
      <c r="J808" s="67"/>
      <c r="K808" s="85" t="str">
        <f aca="false">IF(AH808="","",N(F808)+N(G808)+N(H808)-N(I808)+N(J808))</f>
        <v/>
      </c>
      <c r="L808" s="67"/>
      <c r="M808" s="67"/>
      <c r="N808" s="67"/>
      <c r="O808" s="67"/>
      <c r="P808" s="85" t="str">
        <f aca="false">IF(AH808="","",K808+N(L808)+N(M808)+N(N808)+N(O808))</f>
        <v/>
      </c>
      <c r="Q808" s="67"/>
      <c r="R808" s="67"/>
      <c r="S808" s="67"/>
      <c r="T808" s="67"/>
      <c r="U808" s="67"/>
      <c r="V808" s="67"/>
      <c r="W808" s="85" t="str">
        <f aca="false">IF(AH808="","",N(Q808)+N(R808)+N(S808)+N(T808)+N(U808)+N(V808))</f>
        <v/>
      </c>
      <c r="X808" s="85" t="str">
        <f aca="false">IF(AH808="","",P808-W808)</f>
        <v/>
      </c>
      <c r="Y808" s="67"/>
      <c r="Z808" s="70" t="str">
        <f aca="false">IF(OR(AH808="",Y808=""),"",IF(ABS(X808-Y808)&lt;=1,"✓ Cuadra","⚠ Diferencia $"&amp;FIXED(X808-Y808,0)))</f>
        <v/>
      </c>
      <c r="AA808" s="72" t="str">
        <f aca="false">IF(AH808="","",IFERROR(INDEX(C_TIPO,MATCH(C808&amp;"-P"&amp;MAX(1,COUNTIFS(C_ID,C808,C_DEFINE,"Sí",C_INICIO,"&lt;="&amp;EOMONTH(B808,0))),C_CLAVE,0))&amp;"","Sin dato"))</f>
        <v/>
      </c>
      <c r="AB808" s="71" t="str">
        <f aca="false">IF(AH808="","",ROUND(MIN(K808,TOPE_AFP_UF*AJ808)*AK808,0))</f>
        <v/>
      </c>
      <c r="AC808" s="71" t="str">
        <f aca="false">IF(AH808="","",ROUND(MIN(K808,TOPE_AFC_UF*AJ808)*IF(AA808="Indefinido",AFC_EMP_INDEF,AFC_EMP_PF),0))</f>
        <v/>
      </c>
      <c r="AD808" s="71" t="str">
        <f aca="false">IF(AH808="","",ROUND(MIN(K808,TOPE_AFP_UF*AJ808)*(MUTUAL_BASICA+MUTUAL_ADIC+SANNA),0))</f>
        <v/>
      </c>
      <c r="AE808" s="71" t="str">
        <f aca="false">IF(AH808="","",P808-N(N808)+AB808+AC808+AD808)</f>
        <v/>
      </c>
      <c r="AF808" s="65"/>
      <c r="AG808" s="64"/>
      <c r="AH808" s="72" t="str">
        <f aca="false">IF(OR(B808="",C808=""),"",C808&amp;"|"&amp;(YEAR(B808)*100+MONTH(B808)))</f>
        <v/>
      </c>
      <c r="AI808" s="70" t="str">
        <f aca="false">IF(AH808="","",IF(COUNTIF(L_CLAVE,AH808)&gt;1,"⚠ Duplicado","OK"))</f>
        <v/>
      </c>
      <c r="AJ808" s="86" t="str">
        <f aca="false">IF(AH808="","",IF(SUMPRODUCT(MAX((IND_PER&lt;=B808)*(IND_UF&lt;&gt;"")*IND_PER))=0,UF_HOY,INDEX(IND_UF,MATCH(SUMPRODUCT(MAX((IND_PER&lt;=B808)*(IND_UF&lt;&gt;"")*IND_PER)),IND_PER,0))))</f>
        <v/>
      </c>
      <c r="AK808" s="87" t="str">
        <f aca="false">IF(AH808="","",IF(COUNTIF(TASA_DESDE,"&lt;="&amp;B808)=0,INDEX(TASA_EMP,1),INDEX(TASA_EMP,COUNTIF(TASA_DESDE,"&lt;="&amp;B808))))</f>
        <v/>
      </c>
    </row>
    <row r="809" customFormat="false" ht="15" hidden="false" customHeight="false" outlineLevel="0" collapsed="false">
      <c r="B809" s="78"/>
      <c r="C809" s="64"/>
      <c r="D809" s="72" t="str">
        <f aca="false">IF(C809="","",IFERROR(INDEX(T_NOMBRE,MATCH(C809,T_ID,0)),"⚠ ID no existe"))</f>
        <v/>
      </c>
      <c r="E809" s="69"/>
      <c r="F809" s="67"/>
      <c r="G809" s="67"/>
      <c r="H809" s="67"/>
      <c r="I809" s="67"/>
      <c r="J809" s="67"/>
      <c r="K809" s="85" t="str">
        <f aca="false">IF(AH809="","",N(F809)+N(G809)+N(H809)-N(I809)+N(J809))</f>
        <v/>
      </c>
      <c r="L809" s="67"/>
      <c r="M809" s="67"/>
      <c r="N809" s="67"/>
      <c r="O809" s="67"/>
      <c r="P809" s="85" t="str">
        <f aca="false">IF(AH809="","",K809+N(L809)+N(M809)+N(N809)+N(O809))</f>
        <v/>
      </c>
      <c r="Q809" s="67"/>
      <c r="R809" s="67"/>
      <c r="S809" s="67"/>
      <c r="T809" s="67"/>
      <c r="U809" s="67"/>
      <c r="V809" s="67"/>
      <c r="W809" s="85" t="str">
        <f aca="false">IF(AH809="","",N(Q809)+N(R809)+N(S809)+N(T809)+N(U809)+N(V809))</f>
        <v/>
      </c>
      <c r="X809" s="85" t="str">
        <f aca="false">IF(AH809="","",P809-W809)</f>
        <v/>
      </c>
      <c r="Y809" s="67"/>
      <c r="Z809" s="70" t="str">
        <f aca="false">IF(OR(AH809="",Y809=""),"",IF(ABS(X809-Y809)&lt;=1,"✓ Cuadra","⚠ Diferencia $"&amp;FIXED(X809-Y809,0)))</f>
        <v/>
      </c>
      <c r="AA809" s="72" t="str">
        <f aca="false">IF(AH809="","",IFERROR(INDEX(C_TIPO,MATCH(C809&amp;"-P"&amp;MAX(1,COUNTIFS(C_ID,C809,C_DEFINE,"Sí",C_INICIO,"&lt;="&amp;EOMONTH(B809,0))),C_CLAVE,0))&amp;"","Sin dato"))</f>
        <v/>
      </c>
      <c r="AB809" s="71" t="str">
        <f aca="false">IF(AH809="","",ROUND(MIN(K809,TOPE_AFP_UF*AJ809)*AK809,0))</f>
        <v/>
      </c>
      <c r="AC809" s="71" t="str">
        <f aca="false">IF(AH809="","",ROUND(MIN(K809,TOPE_AFC_UF*AJ809)*IF(AA809="Indefinido",AFC_EMP_INDEF,AFC_EMP_PF),0))</f>
        <v/>
      </c>
      <c r="AD809" s="71" t="str">
        <f aca="false">IF(AH809="","",ROUND(MIN(K809,TOPE_AFP_UF*AJ809)*(MUTUAL_BASICA+MUTUAL_ADIC+SANNA),0))</f>
        <v/>
      </c>
      <c r="AE809" s="71" t="str">
        <f aca="false">IF(AH809="","",P809-N(N809)+AB809+AC809+AD809)</f>
        <v/>
      </c>
      <c r="AF809" s="65"/>
      <c r="AG809" s="64"/>
      <c r="AH809" s="72" t="str">
        <f aca="false">IF(OR(B809="",C809=""),"",C809&amp;"|"&amp;(YEAR(B809)*100+MONTH(B809)))</f>
        <v/>
      </c>
      <c r="AI809" s="70" t="str">
        <f aca="false">IF(AH809="","",IF(COUNTIF(L_CLAVE,AH809)&gt;1,"⚠ Duplicado","OK"))</f>
        <v/>
      </c>
      <c r="AJ809" s="86" t="str">
        <f aca="false">IF(AH809="","",IF(SUMPRODUCT(MAX((IND_PER&lt;=B809)*(IND_UF&lt;&gt;"")*IND_PER))=0,UF_HOY,INDEX(IND_UF,MATCH(SUMPRODUCT(MAX((IND_PER&lt;=B809)*(IND_UF&lt;&gt;"")*IND_PER)),IND_PER,0))))</f>
        <v/>
      </c>
      <c r="AK809" s="87" t="str">
        <f aca="false">IF(AH809="","",IF(COUNTIF(TASA_DESDE,"&lt;="&amp;B809)=0,INDEX(TASA_EMP,1),INDEX(TASA_EMP,COUNTIF(TASA_DESDE,"&lt;="&amp;B809))))</f>
        <v/>
      </c>
    </row>
    <row r="810" customFormat="false" ht="15" hidden="false" customHeight="false" outlineLevel="0" collapsed="false">
      <c r="B810" s="78"/>
      <c r="C810" s="64"/>
      <c r="D810" s="72" t="str">
        <f aca="false">IF(C810="","",IFERROR(INDEX(T_NOMBRE,MATCH(C810,T_ID,0)),"⚠ ID no existe"))</f>
        <v/>
      </c>
      <c r="E810" s="69"/>
      <c r="F810" s="67"/>
      <c r="G810" s="67"/>
      <c r="H810" s="67"/>
      <c r="I810" s="67"/>
      <c r="J810" s="67"/>
      <c r="K810" s="85" t="str">
        <f aca="false">IF(AH810="","",N(F810)+N(G810)+N(H810)-N(I810)+N(J810))</f>
        <v/>
      </c>
      <c r="L810" s="67"/>
      <c r="M810" s="67"/>
      <c r="N810" s="67"/>
      <c r="O810" s="67"/>
      <c r="P810" s="85" t="str">
        <f aca="false">IF(AH810="","",K810+N(L810)+N(M810)+N(N810)+N(O810))</f>
        <v/>
      </c>
      <c r="Q810" s="67"/>
      <c r="R810" s="67"/>
      <c r="S810" s="67"/>
      <c r="T810" s="67"/>
      <c r="U810" s="67"/>
      <c r="V810" s="67"/>
      <c r="W810" s="85" t="str">
        <f aca="false">IF(AH810="","",N(Q810)+N(R810)+N(S810)+N(T810)+N(U810)+N(V810))</f>
        <v/>
      </c>
      <c r="X810" s="85" t="str">
        <f aca="false">IF(AH810="","",P810-W810)</f>
        <v/>
      </c>
      <c r="Y810" s="67"/>
      <c r="Z810" s="70" t="str">
        <f aca="false">IF(OR(AH810="",Y810=""),"",IF(ABS(X810-Y810)&lt;=1,"✓ Cuadra","⚠ Diferencia $"&amp;FIXED(X810-Y810,0)))</f>
        <v/>
      </c>
      <c r="AA810" s="72" t="str">
        <f aca="false">IF(AH810="","",IFERROR(INDEX(C_TIPO,MATCH(C810&amp;"-P"&amp;MAX(1,COUNTIFS(C_ID,C810,C_DEFINE,"Sí",C_INICIO,"&lt;="&amp;EOMONTH(B810,0))),C_CLAVE,0))&amp;"","Sin dato"))</f>
        <v/>
      </c>
      <c r="AB810" s="71" t="str">
        <f aca="false">IF(AH810="","",ROUND(MIN(K810,TOPE_AFP_UF*AJ810)*AK810,0))</f>
        <v/>
      </c>
      <c r="AC810" s="71" t="str">
        <f aca="false">IF(AH810="","",ROUND(MIN(K810,TOPE_AFC_UF*AJ810)*IF(AA810="Indefinido",AFC_EMP_INDEF,AFC_EMP_PF),0))</f>
        <v/>
      </c>
      <c r="AD810" s="71" t="str">
        <f aca="false">IF(AH810="","",ROUND(MIN(K810,TOPE_AFP_UF*AJ810)*(MUTUAL_BASICA+MUTUAL_ADIC+SANNA),0))</f>
        <v/>
      </c>
      <c r="AE810" s="71" t="str">
        <f aca="false">IF(AH810="","",P810-N(N810)+AB810+AC810+AD810)</f>
        <v/>
      </c>
      <c r="AF810" s="65"/>
      <c r="AG810" s="64"/>
      <c r="AH810" s="72" t="str">
        <f aca="false">IF(OR(B810="",C810=""),"",C810&amp;"|"&amp;(YEAR(B810)*100+MONTH(B810)))</f>
        <v/>
      </c>
      <c r="AI810" s="70" t="str">
        <f aca="false">IF(AH810="","",IF(COUNTIF(L_CLAVE,AH810)&gt;1,"⚠ Duplicado","OK"))</f>
        <v/>
      </c>
      <c r="AJ810" s="86" t="str">
        <f aca="false">IF(AH810="","",IF(SUMPRODUCT(MAX((IND_PER&lt;=B810)*(IND_UF&lt;&gt;"")*IND_PER))=0,UF_HOY,INDEX(IND_UF,MATCH(SUMPRODUCT(MAX((IND_PER&lt;=B810)*(IND_UF&lt;&gt;"")*IND_PER)),IND_PER,0))))</f>
        <v/>
      </c>
      <c r="AK810" s="87" t="str">
        <f aca="false">IF(AH810="","",IF(COUNTIF(TASA_DESDE,"&lt;="&amp;B810)=0,INDEX(TASA_EMP,1),INDEX(TASA_EMP,COUNTIF(TASA_DESDE,"&lt;="&amp;B810))))</f>
        <v/>
      </c>
    </row>
    <row r="811" customFormat="false" ht="15" hidden="false" customHeight="false" outlineLevel="0" collapsed="false">
      <c r="B811" s="78"/>
      <c r="C811" s="64"/>
      <c r="D811" s="72" t="str">
        <f aca="false">IF(C811="","",IFERROR(INDEX(T_NOMBRE,MATCH(C811,T_ID,0)),"⚠ ID no existe"))</f>
        <v/>
      </c>
      <c r="E811" s="69"/>
      <c r="F811" s="67"/>
      <c r="G811" s="67"/>
      <c r="H811" s="67"/>
      <c r="I811" s="67"/>
      <c r="J811" s="67"/>
      <c r="K811" s="85" t="str">
        <f aca="false">IF(AH811="","",N(F811)+N(G811)+N(H811)-N(I811)+N(J811))</f>
        <v/>
      </c>
      <c r="L811" s="67"/>
      <c r="M811" s="67"/>
      <c r="N811" s="67"/>
      <c r="O811" s="67"/>
      <c r="P811" s="85" t="str">
        <f aca="false">IF(AH811="","",K811+N(L811)+N(M811)+N(N811)+N(O811))</f>
        <v/>
      </c>
      <c r="Q811" s="67"/>
      <c r="R811" s="67"/>
      <c r="S811" s="67"/>
      <c r="T811" s="67"/>
      <c r="U811" s="67"/>
      <c r="V811" s="67"/>
      <c r="W811" s="85" t="str">
        <f aca="false">IF(AH811="","",N(Q811)+N(R811)+N(S811)+N(T811)+N(U811)+N(V811))</f>
        <v/>
      </c>
      <c r="X811" s="85" t="str">
        <f aca="false">IF(AH811="","",P811-W811)</f>
        <v/>
      </c>
      <c r="Y811" s="67"/>
      <c r="Z811" s="70" t="str">
        <f aca="false">IF(OR(AH811="",Y811=""),"",IF(ABS(X811-Y811)&lt;=1,"✓ Cuadra","⚠ Diferencia $"&amp;FIXED(X811-Y811,0)))</f>
        <v/>
      </c>
      <c r="AA811" s="72" t="str">
        <f aca="false">IF(AH811="","",IFERROR(INDEX(C_TIPO,MATCH(C811&amp;"-P"&amp;MAX(1,COUNTIFS(C_ID,C811,C_DEFINE,"Sí",C_INICIO,"&lt;="&amp;EOMONTH(B811,0))),C_CLAVE,0))&amp;"","Sin dato"))</f>
        <v/>
      </c>
      <c r="AB811" s="71" t="str">
        <f aca="false">IF(AH811="","",ROUND(MIN(K811,TOPE_AFP_UF*AJ811)*AK811,0))</f>
        <v/>
      </c>
      <c r="AC811" s="71" t="str">
        <f aca="false">IF(AH811="","",ROUND(MIN(K811,TOPE_AFC_UF*AJ811)*IF(AA811="Indefinido",AFC_EMP_INDEF,AFC_EMP_PF),0))</f>
        <v/>
      </c>
      <c r="AD811" s="71" t="str">
        <f aca="false">IF(AH811="","",ROUND(MIN(K811,TOPE_AFP_UF*AJ811)*(MUTUAL_BASICA+MUTUAL_ADIC+SANNA),0))</f>
        <v/>
      </c>
      <c r="AE811" s="71" t="str">
        <f aca="false">IF(AH811="","",P811-N(N811)+AB811+AC811+AD811)</f>
        <v/>
      </c>
      <c r="AF811" s="65"/>
      <c r="AG811" s="64"/>
      <c r="AH811" s="72" t="str">
        <f aca="false">IF(OR(B811="",C811=""),"",C811&amp;"|"&amp;(YEAR(B811)*100+MONTH(B811)))</f>
        <v/>
      </c>
      <c r="AI811" s="70" t="str">
        <f aca="false">IF(AH811="","",IF(COUNTIF(L_CLAVE,AH811)&gt;1,"⚠ Duplicado","OK"))</f>
        <v/>
      </c>
      <c r="AJ811" s="86" t="str">
        <f aca="false">IF(AH811="","",IF(SUMPRODUCT(MAX((IND_PER&lt;=B811)*(IND_UF&lt;&gt;"")*IND_PER))=0,UF_HOY,INDEX(IND_UF,MATCH(SUMPRODUCT(MAX((IND_PER&lt;=B811)*(IND_UF&lt;&gt;"")*IND_PER)),IND_PER,0))))</f>
        <v/>
      </c>
      <c r="AK811" s="87" t="str">
        <f aca="false">IF(AH811="","",IF(COUNTIF(TASA_DESDE,"&lt;="&amp;B811)=0,INDEX(TASA_EMP,1),INDEX(TASA_EMP,COUNTIF(TASA_DESDE,"&lt;="&amp;B811))))</f>
        <v/>
      </c>
    </row>
    <row r="812" customFormat="false" ht="15" hidden="false" customHeight="false" outlineLevel="0" collapsed="false">
      <c r="B812" s="78"/>
      <c r="C812" s="64"/>
      <c r="D812" s="72" t="str">
        <f aca="false">IF(C812="","",IFERROR(INDEX(T_NOMBRE,MATCH(C812,T_ID,0)),"⚠ ID no existe"))</f>
        <v/>
      </c>
      <c r="E812" s="69"/>
      <c r="F812" s="67"/>
      <c r="G812" s="67"/>
      <c r="H812" s="67"/>
      <c r="I812" s="67"/>
      <c r="J812" s="67"/>
      <c r="K812" s="85" t="str">
        <f aca="false">IF(AH812="","",N(F812)+N(G812)+N(H812)-N(I812)+N(J812))</f>
        <v/>
      </c>
      <c r="L812" s="67"/>
      <c r="M812" s="67"/>
      <c r="N812" s="67"/>
      <c r="O812" s="67"/>
      <c r="P812" s="85" t="str">
        <f aca="false">IF(AH812="","",K812+N(L812)+N(M812)+N(N812)+N(O812))</f>
        <v/>
      </c>
      <c r="Q812" s="67"/>
      <c r="R812" s="67"/>
      <c r="S812" s="67"/>
      <c r="T812" s="67"/>
      <c r="U812" s="67"/>
      <c r="V812" s="67"/>
      <c r="W812" s="85" t="str">
        <f aca="false">IF(AH812="","",N(Q812)+N(R812)+N(S812)+N(T812)+N(U812)+N(V812))</f>
        <v/>
      </c>
      <c r="X812" s="85" t="str">
        <f aca="false">IF(AH812="","",P812-W812)</f>
        <v/>
      </c>
      <c r="Y812" s="67"/>
      <c r="Z812" s="70" t="str">
        <f aca="false">IF(OR(AH812="",Y812=""),"",IF(ABS(X812-Y812)&lt;=1,"✓ Cuadra","⚠ Diferencia $"&amp;FIXED(X812-Y812,0)))</f>
        <v/>
      </c>
      <c r="AA812" s="72" t="str">
        <f aca="false">IF(AH812="","",IFERROR(INDEX(C_TIPO,MATCH(C812&amp;"-P"&amp;MAX(1,COUNTIFS(C_ID,C812,C_DEFINE,"Sí",C_INICIO,"&lt;="&amp;EOMONTH(B812,0))),C_CLAVE,0))&amp;"","Sin dato"))</f>
        <v/>
      </c>
      <c r="AB812" s="71" t="str">
        <f aca="false">IF(AH812="","",ROUND(MIN(K812,TOPE_AFP_UF*AJ812)*AK812,0))</f>
        <v/>
      </c>
      <c r="AC812" s="71" t="str">
        <f aca="false">IF(AH812="","",ROUND(MIN(K812,TOPE_AFC_UF*AJ812)*IF(AA812="Indefinido",AFC_EMP_INDEF,AFC_EMP_PF),0))</f>
        <v/>
      </c>
      <c r="AD812" s="71" t="str">
        <f aca="false">IF(AH812="","",ROUND(MIN(K812,TOPE_AFP_UF*AJ812)*(MUTUAL_BASICA+MUTUAL_ADIC+SANNA),0))</f>
        <v/>
      </c>
      <c r="AE812" s="71" t="str">
        <f aca="false">IF(AH812="","",P812-N(N812)+AB812+AC812+AD812)</f>
        <v/>
      </c>
      <c r="AF812" s="65"/>
      <c r="AG812" s="64"/>
      <c r="AH812" s="72" t="str">
        <f aca="false">IF(OR(B812="",C812=""),"",C812&amp;"|"&amp;(YEAR(B812)*100+MONTH(B812)))</f>
        <v/>
      </c>
      <c r="AI812" s="70" t="str">
        <f aca="false">IF(AH812="","",IF(COUNTIF(L_CLAVE,AH812)&gt;1,"⚠ Duplicado","OK"))</f>
        <v/>
      </c>
      <c r="AJ812" s="86" t="str">
        <f aca="false">IF(AH812="","",IF(SUMPRODUCT(MAX((IND_PER&lt;=B812)*(IND_UF&lt;&gt;"")*IND_PER))=0,UF_HOY,INDEX(IND_UF,MATCH(SUMPRODUCT(MAX((IND_PER&lt;=B812)*(IND_UF&lt;&gt;"")*IND_PER)),IND_PER,0))))</f>
        <v/>
      </c>
      <c r="AK812" s="87" t="str">
        <f aca="false">IF(AH812="","",IF(COUNTIF(TASA_DESDE,"&lt;="&amp;B812)=0,INDEX(TASA_EMP,1),INDEX(TASA_EMP,COUNTIF(TASA_DESDE,"&lt;="&amp;B812))))</f>
        <v/>
      </c>
    </row>
    <row r="813" customFormat="false" ht="15" hidden="false" customHeight="false" outlineLevel="0" collapsed="false">
      <c r="B813" s="78"/>
      <c r="C813" s="64"/>
      <c r="D813" s="72" t="str">
        <f aca="false">IF(C813="","",IFERROR(INDEX(T_NOMBRE,MATCH(C813,T_ID,0)),"⚠ ID no existe"))</f>
        <v/>
      </c>
      <c r="E813" s="69"/>
      <c r="F813" s="67"/>
      <c r="G813" s="67"/>
      <c r="H813" s="67"/>
      <c r="I813" s="67"/>
      <c r="J813" s="67"/>
      <c r="K813" s="85" t="str">
        <f aca="false">IF(AH813="","",N(F813)+N(G813)+N(H813)-N(I813)+N(J813))</f>
        <v/>
      </c>
      <c r="L813" s="67"/>
      <c r="M813" s="67"/>
      <c r="N813" s="67"/>
      <c r="O813" s="67"/>
      <c r="P813" s="85" t="str">
        <f aca="false">IF(AH813="","",K813+N(L813)+N(M813)+N(N813)+N(O813))</f>
        <v/>
      </c>
      <c r="Q813" s="67"/>
      <c r="R813" s="67"/>
      <c r="S813" s="67"/>
      <c r="T813" s="67"/>
      <c r="U813" s="67"/>
      <c r="V813" s="67"/>
      <c r="W813" s="85" t="str">
        <f aca="false">IF(AH813="","",N(Q813)+N(R813)+N(S813)+N(T813)+N(U813)+N(V813))</f>
        <v/>
      </c>
      <c r="X813" s="85" t="str">
        <f aca="false">IF(AH813="","",P813-W813)</f>
        <v/>
      </c>
      <c r="Y813" s="67"/>
      <c r="Z813" s="70" t="str">
        <f aca="false">IF(OR(AH813="",Y813=""),"",IF(ABS(X813-Y813)&lt;=1,"✓ Cuadra","⚠ Diferencia $"&amp;FIXED(X813-Y813,0)))</f>
        <v/>
      </c>
      <c r="AA813" s="72" t="str">
        <f aca="false">IF(AH813="","",IFERROR(INDEX(C_TIPO,MATCH(C813&amp;"-P"&amp;MAX(1,COUNTIFS(C_ID,C813,C_DEFINE,"Sí",C_INICIO,"&lt;="&amp;EOMONTH(B813,0))),C_CLAVE,0))&amp;"","Sin dato"))</f>
        <v/>
      </c>
      <c r="AB813" s="71" t="str">
        <f aca="false">IF(AH813="","",ROUND(MIN(K813,TOPE_AFP_UF*AJ813)*AK813,0))</f>
        <v/>
      </c>
      <c r="AC813" s="71" t="str">
        <f aca="false">IF(AH813="","",ROUND(MIN(K813,TOPE_AFC_UF*AJ813)*IF(AA813="Indefinido",AFC_EMP_INDEF,AFC_EMP_PF),0))</f>
        <v/>
      </c>
      <c r="AD813" s="71" t="str">
        <f aca="false">IF(AH813="","",ROUND(MIN(K813,TOPE_AFP_UF*AJ813)*(MUTUAL_BASICA+MUTUAL_ADIC+SANNA),0))</f>
        <v/>
      </c>
      <c r="AE813" s="71" t="str">
        <f aca="false">IF(AH813="","",P813-N(N813)+AB813+AC813+AD813)</f>
        <v/>
      </c>
      <c r="AF813" s="65"/>
      <c r="AG813" s="64"/>
      <c r="AH813" s="72" t="str">
        <f aca="false">IF(OR(B813="",C813=""),"",C813&amp;"|"&amp;(YEAR(B813)*100+MONTH(B813)))</f>
        <v/>
      </c>
      <c r="AI813" s="70" t="str">
        <f aca="false">IF(AH813="","",IF(COUNTIF(L_CLAVE,AH813)&gt;1,"⚠ Duplicado","OK"))</f>
        <v/>
      </c>
      <c r="AJ813" s="86" t="str">
        <f aca="false">IF(AH813="","",IF(SUMPRODUCT(MAX((IND_PER&lt;=B813)*(IND_UF&lt;&gt;"")*IND_PER))=0,UF_HOY,INDEX(IND_UF,MATCH(SUMPRODUCT(MAX((IND_PER&lt;=B813)*(IND_UF&lt;&gt;"")*IND_PER)),IND_PER,0))))</f>
        <v/>
      </c>
      <c r="AK813" s="87" t="str">
        <f aca="false">IF(AH813="","",IF(COUNTIF(TASA_DESDE,"&lt;="&amp;B813)=0,INDEX(TASA_EMP,1),INDEX(TASA_EMP,COUNTIF(TASA_DESDE,"&lt;="&amp;B813))))</f>
        <v/>
      </c>
    </row>
    <row r="814" customFormat="false" ht="15" hidden="false" customHeight="false" outlineLevel="0" collapsed="false">
      <c r="B814" s="78"/>
      <c r="C814" s="64"/>
      <c r="D814" s="72" t="str">
        <f aca="false">IF(C814="","",IFERROR(INDEX(T_NOMBRE,MATCH(C814,T_ID,0)),"⚠ ID no existe"))</f>
        <v/>
      </c>
      <c r="E814" s="69"/>
      <c r="F814" s="67"/>
      <c r="G814" s="67"/>
      <c r="H814" s="67"/>
      <c r="I814" s="67"/>
      <c r="J814" s="67"/>
      <c r="K814" s="85" t="str">
        <f aca="false">IF(AH814="","",N(F814)+N(G814)+N(H814)-N(I814)+N(J814))</f>
        <v/>
      </c>
      <c r="L814" s="67"/>
      <c r="M814" s="67"/>
      <c r="N814" s="67"/>
      <c r="O814" s="67"/>
      <c r="P814" s="85" t="str">
        <f aca="false">IF(AH814="","",K814+N(L814)+N(M814)+N(N814)+N(O814))</f>
        <v/>
      </c>
      <c r="Q814" s="67"/>
      <c r="R814" s="67"/>
      <c r="S814" s="67"/>
      <c r="T814" s="67"/>
      <c r="U814" s="67"/>
      <c r="V814" s="67"/>
      <c r="W814" s="85" t="str">
        <f aca="false">IF(AH814="","",N(Q814)+N(R814)+N(S814)+N(T814)+N(U814)+N(V814))</f>
        <v/>
      </c>
      <c r="X814" s="85" t="str">
        <f aca="false">IF(AH814="","",P814-W814)</f>
        <v/>
      </c>
      <c r="Y814" s="67"/>
      <c r="Z814" s="70" t="str">
        <f aca="false">IF(OR(AH814="",Y814=""),"",IF(ABS(X814-Y814)&lt;=1,"✓ Cuadra","⚠ Diferencia $"&amp;FIXED(X814-Y814,0)))</f>
        <v/>
      </c>
      <c r="AA814" s="72" t="str">
        <f aca="false">IF(AH814="","",IFERROR(INDEX(C_TIPO,MATCH(C814&amp;"-P"&amp;MAX(1,COUNTIFS(C_ID,C814,C_DEFINE,"Sí",C_INICIO,"&lt;="&amp;EOMONTH(B814,0))),C_CLAVE,0))&amp;"","Sin dato"))</f>
        <v/>
      </c>
      <c r="AB814" s="71" t="str">
        <f aca="false">IF(AH814="","",ROUND(MIN(K814,TOPE_AFP_UF*AJ814)*AK814,0))</f>
        <v/>
      </c>
      <c r="AC814" s="71" t="str">
        <f aca="false">IF(AH814="","",ROUND(MIN(K814,TOPE_AFC_UF*AJ814)*IF(AA814="Indefinido",AFC_EMP_INDEF,AFC_EMP_PF),0))</f>
        <v/>
      </c>
      <c r="AD814" s="71" t="str">
        <f aca="false">IF(AH814="","",ROUND(MIN(K814,TOPE_AFP_UF*AJ814)*(MUTUAL_BASICA+MUTUAL_ADIC+SANNA),0))</f>
        <v/>
      </c>
      <c r="AE814" s="71" t="str">
        <f aca="false">IF(AH814="","",P814-N(N814)+AB814+AC814+AD814)</f>
        <v/>
      </c>
      <c r="AF814" s="65"/>
      <c r="AG814" s="64"/>
      <c r="AH814" s="72" t="str">
        <f aca="false">IF(OR(B814="",C814=""),"",C814&amp;"|"&amp;(YEAR(B814)*100+MONTH(B814)))</f>
        <v/>
      </c>
      <c r="AI814" s="70" t="str">
        <f aca="false">IF(AH814="","",IF(COUNTIF(L_CLAVE,AH814)&gt;1,"⚠ Duplicado","OK"))</f>
        <v/>
      </c>
      <c r="AJ814" s="86" t="str">
        <f aca="false">IF(AH814="","",IF(SUMPRODUCT(MAX((IND_PER&lt;=B814)*(IND_UF&lt;&gt;"")*IND_PER))=0,UF_HOY,INDEX(IND_UF,MATCH(SUMPRODUCT(MAX((IND_PER&lt;=B814)*(IND_UF&lt;&gt;"")*IND_PER)),IND_PER,0))))</f>
        <v/>
      </c>
      <c r="AK814" s="87" t="str">
        <f aca="false">IF(AH814="","",IF(COUNTIF(TASA_DESDE,"&lt;="&amp;B814)=0,INDEX(TASA_EMP,1),INDEX(TASA_EMP,COUNTIF(TASA_DESDE,"&lt;="&amp;B814))))</f>
        <v/>
      </c>
    </row>
    <row r="815" customFormat="false" ht="15" hidden="false" customHeight="false" outlineLevel="0" collapsed="false">
      <c r="B815" s="78"/>
      <c r="C815" s="64"/>
      <c r="D815" s="72" t="str">
        <f aca="false">IF(C815="","",IFERROR(INDEX(T_NOMBRE,MATCH(C815,T_ID,0)),"⚠ ID no existe"))</f>
        <v/>
      </c>
      <c r="E815" s="69"/>
      <c r="F815" s="67"/>
      <c r="G815" s="67"/>
      <c r="H815" s="67"/>
      <c r="I815" s="67"/>
      <c r="J815" s="67"/>
      <c r="K815" s="85" t="str">
        <f aca="false">IF(AH815="","",N(F815)+N(G815)+N(H815)-N(I815)+N(J815))</f>
        <v/>
      </c>
      <c r="L815" s="67"/>
      <c r="M815" s="67"/>
      <c r="N815" s="67"/>
      <c r="O815" s="67"/>
      <c r="P815" s="85" t="str">
        <f aca="false">IF(AH815="","",K815+N(L815)+N(M815)+N(N815)+N(O815))</f>
        <v/>
      </c>
      <c r="Q815" s="67"/>
      <c r="R815" s="67"/>
      <c r="S815" s="67"/>
      <c r="T815" s="67"/>
      <c r="U815" s="67"/>
      <c r="V815" s="67"/>
      <c r="W815" s="85" t="str">
        <f aca="false">IF(AH815="","",N(Q815)+N(R815)+N(S815)+N(T815)+N(U815)+N(V815))</f>
        <v/>
      </c>
      <c r="X815" s="85" t="str">
        <f aca="false">IF(AH815="","",P815-W815)</f>
        <v/>
      </c>
      <c r="Y815" s="67"/>
      <c r="Z815" s="70" t="str">
        <f aca="false">IF(OR(AH815="",Y815=""),"",IF(ABS(X815-Y815)&lt;=1,"✓ Cuadra","⚠ Diferencia $"&amp;FIXED(X815-Y815,0)))</f>
        <v/>
      </c>
      <c r="AA815" s="72" t="str">
        <f aca="false">IF(AH815="","",IFERROR(INDEX(C_TIPO,MATCH(C815&amp;"-P"&amp;MAX(1,COUNTIFS(C_ID,C815,C_DEFINE,"Sí",C_INICIO,"&lt;="&amp;EOMONTH(B815,0))),C_CLAVE,0))&amp;"","Sin dato"))</f>
        <v/>
      </c>
      <c r="AB815" s="71" t="str">
        <f aca="false">IF(AH815="","",ROUND(MIN(K815,TOPE_AFP_UF*AJ815)*AK815,0))</f>
        <v/>
      </c>
      <c r="AC815" s="71" t="str">
        <f aca="false">IF(AH815="","",ROUND(MIN(K815,TOPE_AFC_UF*AJ815)*IF(AA815="Indefinido",AFC_EMP_INDEF,AFC_EMP_PF),0))</f>
        <v/>
      </c>
      <c r="AD815" s="71" t="str">
        <f aca="false">IF(AH815="","",ROUND(MIN(K815,TOPE_AFP_UF*AJ815)*(MUTUAL_BASICA+MUTUAL_ADIC+SANNA),0))</f>
        <v/>
      </c>
      <c r="AE815" s="71" t="str">
        <f aca="false">IF(AH815="","",P815-N(N815)+AB815+AC815+AD815)</f>
        <v/>
      </c>
      <c r="AF815" s="65"/>
      <c r="AG815" s="64"/>
      <c r="AH815" s="72" t="str">
        <f aca="false">IF(OR(B815="",C815=""),"",C815&amp;"|"&amp;(YEAR(B815)*100+MONTH(B815)))</f>
        <v/>
      </c>
      <c r="AI815" s="70" t="str">
        <f aca="false">IF(AH815="","",IF(COUNTIF(L_CLAVE,AH815)&gt;1,"⚠ Duplicado","OK"))</f>
        <v/>
      </c>
      <c r="AJ815" s="86" t="str">
        <f aca="false">IF(AH815="","",IF(SUMPRODUCT(MAX((IND_PER&lt;=B815)*(IND_UF&lt;&gt;"")*IND_PER))=0,UF_HOY,INDEX(IND_UF,MATCH(SUMPRODUCT(MAX((IND_PER&lt;=B815)*(IND_UF&lt;&gt;"")*IND_PER)),IND_PER,0))))</f>
        <v/>
      </c>
      <c r="AK815" s="87" t="str">
        <f aca="false">IF(AH815="","",IF(COUNTIF(TASA_DESDE,"&lt;="&amp;B815)=0,INDEX(TASA_EMP,1),INDEX(TASA_EMP,COUNTIF(TASA_DESDE,"&lt;="&amp;B815))))</f>
        <v/>
      </c>
    </row>
    <row r="816" customFormat="false" ht="15" hidden="false" customHeight="false" outlineLevel="0" collapsed="false">
      <c r="B816" s="78"/>
      <c r="C816" s="64"/>
      <c r="D816" s="72" t="str">
        <f aca="false">IF(C816="","",IFERROR(INDEX(T_NOMBRE,MATCH(C816,T_ID,0)),"⚠ ID no existe"))</f>
        <v/>
      </c>
      <c r="E816" s="69"/>
      <c r="F816" s="67"/>
      <c r="G816" s="67"/>
      <c r="H816" s="67"/>
      <c r="I816" s="67"/>
      <c r="J816" s="67"/>
      <c r="K816" s="85" t="str">
        <f aca="false">IF(AH816="","",N(F816)+N(G816)+N(H816)-N(I816)+N(J816))</f>
        <v/>
      </c>
      <c r="L816" s="67"/>
      <c r="M816" s="67"/>
      <c r="N816" s="67"/>
      <c r="O816" s="67"/>
      <c r="P816" s="85" t="str">
        <f aca="false">IF(AH816="","",K816+N(L816)+N(M816)+N(N816)+N(O816))</f>
        <v/>
      </c>
      <c r="Q816" s="67"/>
      <c r="R816" s="67"/>
      <c r="S816" s="67"/>
      <c r="T816" s="67"/>
      <c r="U816" s="67"/>
      <c r="V816" s="67"/>
      <c r="W816" s="85" t="str">
        <f aca="false">IF(AH816="","",N(Q816)+N(R816)+N(S816)+N(T816)+N(U816)+N(V816))</f>
        <v/>
      </c>
      <c r="X816" s="85" t="str">
        <f aca="false">IF(AH816="","",P816-W816)</f>
        <v/>
      </c>
      <c r="Y816" s="67"/>
      <c r="Z816" s="70" t="str">
        <f aca="false">IF(OR(AH816="",Y816=""),"",IF(ABS(X816-Y816)&lt;=1,"✓ Cuadra","⚠ Diferencia $"&amp;FIXED(X816-Y816,0)))</f>
        <v/>
      </c>
      <c r="AA816" s="72" t="str">
        <f aca="false">IF(AH816="","",IFERROR(INDEX(C_TIPO,MATCH(C816&amp;"-P"&amp;MAX(1,COUNTIFS(C_ID,C816,C_DEFINE,"Sí",C_INICIO,"&lt;="&amp;EOMONTH(B816,0))),C_CLAVE,0))&amp;"","Sin dato"))</f>
        <v/>
      </c>
      <c r="AB816" s="71" t="str">
        <f aca="false">IF(AH816="","",ROUND(MIN(K816,TOPE_AFP_UF*AJ816)*AK816,0))</f>
        <v/>
      </c>
      <c r="AC816" s="71" t="str">
        <f aca="false">IF(AH816="","",ROUND(MIN(K816,TOPE_AFC_UF*AJ816)*IF(AA816="Indefinido",AFC_EMP_INDEF,AFC_EMP_PF),0))</f>
        <v/>
      </c>
      <c r="AD816" s="71" t="str">
        <f aca="false">IF(AH816="","",ROUND(MIN(K816,TOPE_AFP_UF*AJ816)*(MUTUAL_BASICA+MUTUAL_ADIC+SANNA),0))</f>
        <v/>
      </c>
      <c r="AE816" s="71" t="str">
        <f aca="false">IF(AH816="","",P816-N(N816)+AB816+AC816+AD816)</f>
        <v/>
      </c>
      <c r="AF816" s="65"/>
      <c r="AG816" s="64"/>
      <c r="AH816" s="72" t="str">
        <f aca="false">IF(OR(B816="",C816=""),"",C816&amp;"|"&amp;(YEAR(B816)*100+MONTH(B816)))</f>
        <v/>
      </c>
      <c r="AI816" s="70" t="str">
        <f aca="false">IF(AH816="","",IF(COUNTIF(L_CLAVE,AH816)&gt;1,"⚠ Duplicado","OK"))</f>
        <v/>
      </c>
      <c r="AJ816" s="86" t="str">
        <f aca="false">IF(AH816="","",IF(SUMPRODUCT(MAX((IND_PER&lt;=B816)*(IND_UF&lt;&gt;"")*IND_PER))=0,UF_HOY,INDEX(IND_UF,MATCH(SUMPRODUCT(MAX((IND_PER&lt;=B816)*(IND_UF&lt;&gt;"")*IND_PER)),IND_PER,0))))</f>
        <v/>
      </c>
      <c r="AK816" s="87" t="str">
        <f aca="false">IF(AH816="","",IF(COUNTIF(TASA_DESDE,"&lt;="&amp;B816)=0,INDEX(TASA_EMP,1),INDEX(TASA_EMP,COUNTIF(TASA_DESDE,"&lt;="&amp;B816))))</f>
        <v/>
      </c>
    </row>
    <row r="817" customFormat="false" ht="15" hidden="false" customHeight="false" outlineLevel="0" collapsed="false">
      <c r="B817" s="78"/>
      <c r="C817" s="64"/>
      <c r="D817" s="72" t="str">
        <f aca="false">IF(C817="","",IFERROR(INDEX(T_NOMBRE,MATCH(C817,T_ID,0)),"⚠ ID no existe"))</f>
        <v/>
      </c>
      <c r="E817" s="69"/>
      <c r="F817" s="67"/>
      <c r="G817" s="67"/>
      <c r="H817" s="67"/>
      <c r="I817" s="67"/>
      <c r="J817" s="67"/>
      <c r="K817" s="85" t="str">
        <f aca="false">IF(AH817="","",N(F817)+N(G817)+N(H817)-N(I817)+N(J817))</f>
        <v/>
      </c>
      <c r="L817" s="67"/>
      <c r="M817" s="67"/>
      <c r="N817" s="67"/>
      <c r="O817" s="67"/>
      <c r="P817" s="85" t="str">
        <f aca="false">IF(AH817="","",K817+N(L817)+N(M817)+N(N817)+N(O817))</f>
        <v/>
      </c>
      <c r="Q817" s="67"/>
      <c r="R817" s="67"/>
      <c r="S817" s="67"/>
      <c r="T817" s="67"/>
      <c r="U817" s="67"/>
      <c r="V817" s="67"/>
      <c r="W817" s="85" t="str">
        <f aca="false">IF(AH817="","",N(Q817)+N(R817)+N(S817)+N(T817)+N(U817)+N(V817))</f>
        <v/>
      </c>
      <c r="X817" s="85" t="str">
        <f aca="false">IF(AH817="","",P817-W817)</f>
        <v/>
      </c>
      <c r="Y817" s="67"/>
      <c r="Z817" s="70" t="str">
        <f aca="false">IF(OR(AH817="",Y817=""),"",IF(ABS(X817-Y817)&lt;=1,"✓ Cuadra","⚠ Diferencia $"&amp;FIXED(X817-Y817,0)))</f>
        <v/>
      </c>
      <c r="AA817" s="72" t="str">
        <f aca="false">IF(AH817="","",IFERROR(INDEX(C_TIPO,MATCH(C817&amp;"-P"&amp;MAX(1,COUNTIFS(C_ID,C817,C_DEFINE,"Sí",C_INICIO,"&lt;="&amp;EOMONTH(B817,0))),C_CLAVE,0))&amp;"","Sin dato"))</f>
        <v/>
      </c>
      <c r="AB817" s="71" t="str">
        <f aca="false">IF(AH817="","",ROUND(MIN(K817,TOPE_AFP_UF*AJ817)*AK817,0))</f>
        <v/>
      </c>
      <c r="AC817" s="71" t="str">
        <f aca="false">IF(AH817="","",ROUND(MIN(K817,TOPE_AFC_UF*AJ817)*IF(AA817="Indefinido",AFC_EMP_INDEF,AFC_EMP_PF),0))</f>
        <v/>
      </c>
      <c r="AD817" s="71" t="str">
        <f aca="false">IF(AH817="","",ROUND(MIN(K817,TOPE_AFP_UF*AJ817)*(MUTUAL_BASICA+MUTUAL_ADIC+SANNA),0))</f>
        <v/>
      </c>
      <c r="AE817" s="71" t="str">
        <f aca="false">IF(AH817="","",P817-N(N817)+AB817+AC817+AD817)</f>
        <v/>
      </c>
      <c r="AF817" s="65"/>
      <c r="AG817" s="64"/>
      <c r="AH817" s="72" t="str">
        <f aca="false">IF(OR(B817="",C817=""),"",C817&amp;"|"&amp;(YEAR(B817)*100+MONTH(B817)))</f>
        <v/>
      </c>
      <c r="AI817" s="70" t="str">
        <f aca="false">IF(AH817="","",IF(COUNTIF(L_CLAVE,AH817)&gt;1,"⚠ Duplicado","OK"))</f>
        <v/>
      </c>
      <c r="AJ817" s="86" t="str">
        <f aca="false">IF(AH817="","",IF(SUMPRODUCT(MAX((IND_PER&lt;=B817)*(IND_UF&lt;&gt;"")*IND_PER))=0,UF_HOY,INDEX(IND_UF,MATCH(SUMPRODUCT(MAX((IND_PER&lt;=B817)*(IND_UF&lt;&gt;"")*IND_PER)),IND_PER,0))))</f>
        <v/>
      </c>
      <c r="AK817" s="87" t="str">
        <f aca="false">IF(AH817="","",IF(COUNTIF(TASA_DESDE,"&lt;="&amp;B817)=0,INDEX(TASA_EMP,1),INDEX(TASA_EMP,COUNTIF(TASA_DESDE,"&lt;="&amp;B817))))</f>
        <v/>
      </c>
    </row>
    <row r="818" customFormat="false" ht="15" hidden="false" customHeight="false" outlineLevel="0" collapsed="false">
      <c r="B818" s="78"/>
      <c r="C818" s="64"/>
      <c r="D818" s="72" t="str">
        <f aca="false">IF(C818="","",IFERROR(INDEX(T_NOMBRE,MATCH(C818,T_ID,0)),"⚠ ID no existe"))</f>
        <v/>
      </c>
      <c r="E818" s="69"/>
      <c r="F818" s="67"/>
      <c r="G818" s="67"/>
      <c r="H818" s="67"/>
      <c r="I818" s="67"/>
      <c r="J818" s="67"/>
      <c r="K818" s="85" t="str">
        <f aca="false">IF(AH818="","",N(F818)+N(G818)+N(H818)-N(I818)+N(J818))</f>
        <v/>
      </c>
      <c r="L818" s="67"/>
      <c r="M818" s="67"/>
      <c r="N818" s="67"/>
      <c r="O818" s="67"/>
      <c r="P818" s="85" t="str">
        <f aca="false">IF(AH818="","",K818+N(L818)+N(M818)+N(N818)+N(O818))</f>
        <v/>
      </c>
      <c r="Q818" s="67"/>
      <c r="R818" s="67"/>
      <c r="S818" s="67"/>
      <c r="T818" s="67"/>
      <c r="U818" s="67"/>
      <c r="V818" s="67"/>
      <c r="W818" s="85" t="str">
        <f aca="false">IF(AH818="","",N(Q818)+N(R818)+N(S818)+N(T818)+N(U818)+N(V818))</f>
        <v/>
      </c>
      <c r="X818" s="85" t="str">
        <f aca="false">IF(AH818="","",P818-W818)</f>
        <v/>
      </c>
      <c r="Y818" s="67"/>
      <c r="Z818" s="70" t="str">
        <f aca="false">IF(OR(AH818="",Y818=""),"",IF(ABS(X818-Y818)&lt;=1,"✓ Cuadra","⚠ Diferencia $"&amp;FIXED(X818-Y818,0)))</f>
        <v/>
      </c>
      <c r="AA818" s="72" t="str">
        <f aca="false">IF(AH818="","",IFERROR(INDEX(C_TIPO,MATCH(C818&amp;"-P"&amp;MAX(1,COUNTIFS(C_ID,C818,C_DEFINE,"Sí",C_INICIO,"&lt;="&amp;EOMONTH(B818,0))),C_CLAVE,0))&amp;"","Sin dato"))</f>
        <v/>
      </c>
      <c r="AB818" s="71" t="str">
        <f aca="false">IF(AH818="","",ROUND(MIN(K818,TOPE_AFP_UF*AJ818)*AK818,0))</f>
        <v/>
      </c>
      <c r="AC818" s="71" t="str">
        <f aca="false">IF(AH818="","",ROUND(MIN(K818,TOPE_AFC_UF*AJ818)*IF(AA818="Indefinido",AFC_EMP_INDEF,AFC_EMP_PF),0))</f>
        <v/>
      </c>
      <c r="AD818" s="71" t="str">
        <f aca="false">IF(AH818="","",ROUND(MIN(K818,TOPE_AFP_UF*AJ818)*(MUTUAL_BASICA+MUTUAL_ADIC+SANNA),0))</f>
        <v/>
      </c>
      <c r="AE818" s="71" t="str">
        <f aca="false">IF(AH818="","",P818-N(N818)+AB818+AC818+AD818)</f>
        <v/>
      </c>
      <c r="AF818" s="65"/>
      <c r="AG818" s="64"/>
      <c r="AH818" s="72" t="str">
        <f aca="false">IF(OR(B818="",C818=""),"",C818&amp;"|"&amp;(YEAR(B818)*100+MONTH(B818)))</f>
        <v/>
      </c>
      <c r="AI818" s="70" t="str">
        <f aca="false">IF(AH818="","",IF(COUNTIF(L_CLAVE,AH818)&gt;1,"⚠ Duplicado","OK"))</f>
        <v/>
      </c>
      <c r="AJ818" s="86" t="str">
        <f aca="false">IF(AH818="","",IF(SUMPRODUCT(MAX((IND_PER&lt;=B818)*(IND_UF&lt;&gt;"")*IND_PER))=0,UF_HOY,INDEX(IND_UF,MATCH(SUMPRODUCT(MAX((IND_PER&lt;=B818)*(IND_UF&lt;&gt;"")*IND_PER)),IND_PER,0))))</f>
        <v/>
      </c>
      <c r="AK818" s="87" t="str">
        <f aca="false">IF(AH818="","",IF(COUNTIF(TASA_DESDE,"&lt;="&amp;B818)=0,INDEX(TASA_EMP,1),INDEX(TASA_EMP,COUNTIF(TASA_DESDE,"&lt;="&amp;B818))))</f>
        <v/>
      </c>
    </row>
    <row r="819" customFormat="false" ht="15" hidden="false" customHeight="false" outlineLevel="0" collapsed="false">
      <c r="B819" s="78"/>
      <c r="C819" s="64"/>
      <c r="D819" s="72" t="str">
        <f aca="false">IF(C819="","",IFERROR(INDEX(T_NOMBRE,MATCH(C819,T_ID,0)),"⚠ ID no existe"))</f>
        <v/>
      </c>
      <c r="E819" s="69"/>
      <c r="F819" s="67"/>
      <c r="G819" s="67"/>
      <c r="H819" s="67"/>
      <c r="I819" s="67"/>
      <c r="J819" s="67"/>
      <c r="K819" s="85" t="str">
        <f aca="false">IF(AH819="","",N(F819)+N(G819)+N(H819)-N(I819)+N(J819))</f>
        <v/>
      </c>
      <c r="L819" s="67"/>
      <c r="M819" s="67"/>
      <c r="N819" s="67"/>
      <c r="O819" s="67"/>
      <c r="P819" s="85" t="str">
        <f aca="false">IF(AH819="","",K819+N(L819)+N(M819)+N(N819)+N(O819))</f>
        <v/>
      </c>
      <c r="Q819" s="67"/>
      <c r="R819" s="67"/>
      <c r="S819" s="67"/>
      <c r="T819" s="67"/>
      <c r="U819" s="67"/>
      <c r="V819" s="67"/>
      <c r="W819" s="85" t="str">
        <f aca="false">IF(AH819="","",N(Q819)+N(R819)+N(S819)+N(T819)+N(U819)+N(V819))</f>
        <v/>
      </c>
      <c r="X819" s="85" t="str">
        <f aca="false">IF(AH819="","",P819-W819)</f>
        <v/>
      </c>
      <c r="Y819" s="67"/>
      <c r="Z819" s="70" t="str">
        <f aca="false">IF(OR(AH819="",Y819=""),"",IF(ABS(X819-Y819)&lt;=1,"✓ Cuadra","⚠ Diferencia $"&amp;FIXED(X819-Y819,0)))</f>
        <v/>
      </c>
      <c r="AA819" s="72" t="str">
        <f aca="false">IF(AH819="","",IFERROR(INDEX(C_TIPO,MATCH(C819&amp;"-P"&amp;MAX(1,COUNTIFS(C_ID,C819,C_DEFINE,"Sí",C_INICIO,"&lt;="&amp;EOMONTH(B819,0))),C_CLAVE,0))&amp;"","Sin dato"))</f>
        <v/>
      </c>
      <c r="AB819" s="71" t="str">
        <f aca="false">IF(AH819="","",ROUND(MIN(K819,TOPE_AFP_UF*AJ819)*AK819,0))</f>
        <v/>
      </c>
      <c r="AC819" s="71" t="str">
        <f aca="false">IF(AH819="","",ROUND(MIN(K819,TOPE_AFC_UF*AJ819)*IF(AA819="Indefinido",AFC_EMP_INDEF,AFC_EMP_PF),0))</f>
        <v/>
      </c>
      <c r="AD819" s="71" t="str">
        <f aca="false">IF(AH819="","",ROUND(MIN(K819,TOPE_AFP_UF*AJ819)*(MUTUAL_BASICA+MUTUAL_ADIC+SANNA),0))</f>
        <v/>
      </c>
      <c r="AE819" s="71" t="str">
        <f aca="false">IF(AH819="","",P819-N(N819)+AB819+AC819+AD819)</f>
        <v/>
      </c>
      <c r="AF819" s="65"/>
      <c r="AG819" s="64"/>
      <c r="AH819" s="72" t="str">
        <f aca="false">IF(OR(B819="",C819=""),"",C819&amp;"|"&amp;(YEAR(B819)*100+MONTH(B819)))</f>
        <v/>
      </c>
      <c r="AI819" s="70" t="str">
        <f aca="false">IF(AH819="","",IF(COUNTIF(L_CLAVE,AH819)&gt;1,"⚠ Duplicado","OK"))</f>
        <v/>
      </c>
      <c r="AJ819" s="86" t="str">
        <f aca="false">IF(AH819="","",IF(SUMPRODUCT(MAX((IND_PER&lt;=B819)*(IND_UF&lt;&gt;"")*IND_PER))=0,UF_HOY,INDEX(IND_UF,MATCH(SUMPRODUCT(MAX((IND_PER&lt;=B819)*(IND_UF&lt;&gt;"")*IND_PER)),IND_PER,0))))</f>
        <v/>
      </c>
      <c r="AK819" s="87" t="str">
        <f aca="false">IF(AH819="","",IF(COUNTIF(TASA_DESDE,"&lt;="&amp;B819)=0,INDEX(TASA_EMP,1),INDEX(TASA_EMP,COUNTIF(TASA_DESDE,"&lt;="&amp;B819))))</f>
        <v/>
      </c>
    </row>
    <row r="820" customFormat="false" ht="15" hidden="false" customHeight="false" outlineLevel="0" collapsed="false">
      <c r="B820" s="78"/>
      <c r="C820" s="64"/>
      <c r="D820" s="72" t="str">
        <f aca="false">IF(C820="","",IFERROR(INDEX(T_NOMBRE,MATCH(C820,T_ID,0)),"⚠ ID no existe"))</f>
        <v/>
      </c>
      <c r="E820" s="69"/>
      <c r="F820" s="67"/>
      <c r="G820" s="67"/>
      <c r="H820" s="67"/>
      <c r="I820" s="67"/>
      <c r="J820" s="67"/>
      <c r="K820" s="85" t="str">
        <f aca="false">IF(AH820="","",N(F820)+N(G820)+N(H820)-N(I820)+N(J820))</f>
        <v/>
      </c>
      <c r="L820" s="67"/>
      <c r="M820" s="67"/>
      <c r="N820" s="67"/>
      <c r="O820" s="67"/>
      <c r="P820" s="85" t="str">
        <f aca="false">IF(AH820="","",K820+N(L820)+N(M820)+N(N820)+N(O820))</f>
        <v/>
      </c>
      <c r="Q820" s="67"/>
      <c r="R820" s="67"/>
      <c r="S820" s="67"/>
      <c r="T820" s="67"/>
      <c r="U820" s="67"/>
      <c r="V820" s="67"/>
      <c r="W820" s="85" t="str">
        <f aca="false">IF(AH820="","",N(Q820)+N(R820)+N(S820)+N(T820)+N(U820)+N(V820))</f>
        <v/>
      </c>
      <c r="X820" s="85" t="str">
        <f aca="false">IF(AH820="","",P820-W820)</f>
        <v/>
      </c>
      <c r="Y820" s="67"/>
      <c r="Z820" s="70" t="str">
        <f aca="false">IF(OR(AH820="",Y820=""),"",IF(ABS(X820-Y820)&lt;=1,"✓ Cuadra","⚠ Diferencia $"&amp;FIXED(X820-Y820,0)))</f>
        <v/>
      </c>
      <c r="AA820" s="72" t="str">
        <f aca="false">IF(AH820="","",IFERROR(INDEX(C_TIPO,MATCH(C820&amp;"-P"&amp;MAX(1,COUNTIFS(C_ID,C820,C_DEFINE,"Sí",C_INICIO,"&lt;="&amp;EOMONTH(B820,0))),C_CLAVE,0))&amp;"","Sin dato"))</f>
        <v/>
      </c>
      <c r="AB820" s="71" t="str">
        <f aca="false">IF(AH820="","",ROUND(MIN(K820,TOPE_AFP_UF*AJ820)*AK820,0))</f>
        <v/>
      </c>
      <c r="AC820" s="71" t="str">
        <f aca="false">IF(AH820="","",ROUND(MIN(K820,TOPE_AFC_UF*AJ820)*IF(AA820="Indefinido",AFC_EMP_INDEF,AFC_EMP_PF),0))</f>
        <v/>
      </c>
      <c r="AD820" s="71" t="str">
        <f aca="false">IF(AH820="","",ROUND(MIN(K820,TOPE_AFP_UF*AJ820)*(MUTUAL_BASICA+MUTUAL_ADIC+SANNA),0))</f>
        <v/>
      </c>
      <c r="AE820" s="71" t="str">
        <f aca="false">IF(AH820="","",P820-N(N820)+AB820+AC820+AD820)</f>
        <v/>
      </c>
      <c r="AF820" s="65"/>
      <c r="AG820" s="64"/>
      <c r="AH820" s="72" t="str">
        <f aca="false">IF(OR(B820="",C820=""),"",C820&amp;"|"&amp;(YEAR(B820)*100+MONTH(B820)))</f>
        <v/>
      </c>
      <c r="AI820" s="70" t="str">
        <f aca="false">IF(AH820="","",IF(COUNTIF(L_CLAVE,AH820)&gt;1,"⚠ Duplicado","OK"))</f>
        <v/>
      </c>
      <c r="AJ820" s="86" t="str">
        <f aca="false">IF(AH820="","",IF(SUMPRODUCT(MAX((IND_PER&lt;=B820)*(IND_UF&lt;&gt;"")*IND_PER))=0,UF_HOY,INDEX(IND_UF,MATCH(SUMPRODUCT(MAX((IND_PER&lt;=B820)*(IND_UF&lt;&gt;"")*IND_PER)),IND_PER,0))))</f>
        <v/>
      </c>
      <c r="AK820" s="87" t="str">
        <f aca="false">IF(AH820="","",IF(COUNTIF(TASA_DESDE,"&lt;="&amp;B820)=0,INDEX(TASA_EMP,1),INDEX(TASA_EMP,COUNTIF(TASA_DESDE,"&lt;="&amp;B820))))</f>
        <v/>
      </c>
    </row>
    <row r="821" customFormat="false" ht="15" hidden="false" customHeight="false" outlineLevel="0" collapsed="false">
      <c r="B821" s="78"/>
      <c r="C821" s="64"/>
      <c r="D821" s="72" t="str">
        <f aca="false">IF(C821="","",IFERROR(INDEX(T_NOMBRE,MATCH(C821,T_ID,0)),"⚠ ID no existe"))</f>
        <v/>
      </c>
      <c r="E821" s="69"/>
      <c r="F821" s="67"/>
      <c r="G821" s="67"/>
      <c r="H821" s="67"/>
      <c r="I821" s="67"/>
      <c r="J821" s="67"/>
      <c r="K821" s="85" t="str">
        <f aca="false">IF(AH821="","",N(F821)+N(G821)+N(H821)-N(I821)+N(J821))</f>
        <v/>
      </c>
      <c r="L821" s="67"/>
      <c r="M821" s="67"/>
      <c r="N821" s="67"/>
      <c r="O821" s="67"/>
      <c r="P821" s="85" t="str">
        <f aca="false">IF(AH821="","",K821+N(L821)+N(M821)+N(N821)+N(O821))</f>
        <v/>
      </c>
      <c r="Q821" s="67"/>
      <c r="R821" s="67"/>
      <c r="S821" s="67"/>
      <c r="T821" s="67"/>
      <c r="U821" s="67"/>
      <c r="V821" s="67"/>
      <c r="W821" s="85" t="str">
        <f aca="false">IF(AH821="","",N(Q821)+N(R821)+N(S821)+N(T821)+N(U821)+N(V821))</f>
        <v/>
      </c>
      <c r="X821" s="85" t="str">
        <f aca="false">IF(AH821="","",P821-W821)</f>
        <v/>
      </c>
      <c r="Y821" s="67"/>
      <c r="Z821" s="70" t="str">
        <f aca="false">IF(OR(AH821="",Y821=""),"",IF(ABS(X821-Y821)&lt;=1,"✓ Cuadra","⚠ Diferencia $"&amp;FIXED(X821-Y821,0)))</f>
        <v/>
      </c>
      <c r="AA821" s="72" t="str">
        <f aca="false">IF(AH821="","",IFERROR(INDEX(C_TIPO,MATCH(C821&amp;"-P"&amp;MAX(1,COUNTIFS(C_ID,C821,C_DEFINE,"Sí",C_INICIO,"&lt;="&amp;EOMONTH(B821,0))),C_CLAVE,0))&amp;"","Sin dato"))</f>
        <v/>
      </c>
      <c r="AB821" s="71" t="str">
        <f aca="false">IF(AH821="","",ROUND(MIN(K821,TOPE_AFP_UF*AJ821)*AK821,0))</f>
        <v/>
      </c>
      <c r="AC821" s="71" t="str">
        <f aca="false">IF(AH821="","",ROUND(MIN(K821,TOPE_AFC_UF*AJ821)*IF(AA821="Indefinido",AFC_EMP_INDEF,AFC_EMP_PF),0))</f>
        <v/>
      </c>
      <c r="AD821" s="71" t="str">
        <f aca="false">IF(AH821="","",ROUND(MIN(K821,TOPE_AFP_UF*AJ821)*(MUTUAL_BASICA+MUTUAL_ADIC+SANNA),0))</f>
        <v/>
      </c>
      <c r="AE821" s="71" t="str">
        <f aca="false">IF(AH821="","",P821-N(N821)+AB821+AC821+AD821)</f>
        <v/>
      </c>
      <c r="AF821" s="65"/>
      <c r="AG821" s="64"/>
      <c r="AH821" s="72" t="str">
        <f aca="false">IF(OR(B821="",C821=""),"",C821&amp;"|"&amp;(YEAR(B821)*100+MONTH(B821)))</f>
        <v/>
      </c>
      <c r="AI821" s="70" t="str">
        <f aca="false">IF(AH821="","",IF(COUNTIF(L_CLAVE,AH821)&gt;1,"⚠ Duplicado","OK"))</f>
        <v/>
      </c>
      <c r="AJ821" s="86" t="str">
        <f aca="false">IF(AH821="","",IF(SUMPRODUCT(MAX((IND_PER&lt;=B821)*(IND_UF&lt;&gt;"")*IND_PER))=0,UF_HOY,INDEX(IND_UF,MATCH(SUMPRODUCT(MAX((IND_PER&lt;=B821)*(IND_UF&lt;&gt;"")*IND_PER)),IND_PER,0))))</f>
        <v/>
      </c>
      <c r="AK821" s="87" t="str">
        <f aca="false">IF(AH821="","",IF(COUNTIF(TASA_DESDE,"&lt;="&amp;B821)=0,INDEX(TASA_EMP,1),INDEX(TASA_EMP,COUNTIF(TASA_DESDE,"&lt;="&amp;B821))))</f>
        <v/>
      </c>
    </row>
    <row r="822" customFormat="false" ht="15" hidden="false" customHeight="false" outlineLevel="0" collapsed="false">
      <c r="B822" s="78"/>
      <c r="C822" s="64"/>
      <c r="D822" s="72" t="str">
        <f aca="false">IF(C822="","",IFERROR(INDEX(T_NOMBRE,MATCH(C822,T_ID,0)),"⚠ ID no existe"))</f>
        <v/>
      </c>
      <c r="E822" s="69"/>
      <c r="F822" s="67"/>
      <c r="G822" s="67"/>
      <c r="H822" s="67"/>
      <c r="I822" s="67"/>
      <c r="J822" s="67"/>
      <c r="K822" s="85" t="str">
        <f aca="false">IF(AH822="","",N(F822)+N(G822)+N(H822)-N(I822)+N(J822))</f>
        <v/>
      </c>
      <c r="L822" s="67"/>
      <c r="M822" s="67"/>
      <c r="N822" s="67"/>
      <c r="O822" s="67"/>
      <c r="P822" s="85" t="str">
        <f aca="false">IF(AH822="","",K822+N(L822)+N(M822)+N(N822)+N(O822))</f>
        <v/>
      </c>
      <c r="Q822" s="67"/>
      <c r="R822" s="67"/>
      <c r="S822" s="67"/>
      <c r="T822" s="67"/>
      <c r="U822" s="67"/>
      <c r="V822" s="67"/>
      <c r="W822" s="85" t="str">
        <f aca="false">IF(AH822="","",N(Q822)+N(R822)+N(S822)+N(T822)+N(U822)+N(V822))</f>
        <v/>
      </c>
      <c r="X822" s="85" t="str">
        <f aca="false">IF(AH822="","",P822-W822)</f>
        <v/>
      </c>
      <c r="Y822" s="67"/>
      <c r="Z822" s="70" t="str">
        <f aca="false">IF(OR(AH822="",Y822=""),"",IF(ABS(X822-Y822)&lt;=1,"✓ Cuadra","⚠ Diferencia $"&amp;FIXED(X822-Y822,0)))</f>
        <v/>
      </c>
      <c r="AA822" s="72" t="str">
        <f aca="false">IF(AH822="","",IFERROR(INDEX(C_TIPO,MATCH(C822&amp;"-P"&amp;MAX(1,COUNTIFS(C_ID,C822,C_DEFINE,"Sí",C_INICIO,"&lt;="&amp;EOMONTH(B822,0))),C_CLAVE,0))&amp;"","Sin dato"))</f>
        <v/>
      </c>
      <c r="AB822" s="71" t="str">
        <f aca="false">IF(AH822="","",ROUND(MIN(K822,TOPE_AFP_UF*AJ822)*AK822,0))</f>
        <v/>
      </c>
      <c r="AC822" s="71" t="str">
        <f aca="false">IF(AH822="","",ROUND(MIN(K822,TOPE_AFC_UF*AJ822)*IF(AA822="Indefinido",AFC_EMP_INDEF,AFC_EMP_PF),0))</f>
        <v/>
      </c>
      <c r="AD822" s="71" t="str">
        <f aca="false">IF(AH822="","",ROUND(MIN(K822,TOPE_AFP_UF*AJ822)*(MUTUAL_BASICA+MUTUAL_ADIC+SANNA),0))</f>
        <v/>
      </c>
      <c r="AE822" s="71" t="str">
        <f aca="false">IF(AH822="","",P822-N(N822)+AB822+AC822+AD822)</f>
        <v/>
      </c>
      <c r="AF822" s="65"/>
      <c r="AG822" s="64"/>
      <c r="AH822" s="72" t="str">
        <f aca="false">IF(OR(B822="",C822=""),"",C822&amp;"|"&amp;(YEAR(B822)*100+MONTH(B822)))</f>
        <v/>
      </c>
      <c r="AI822" s="70" t="str">
        <f aca="false">IF(AH822="","",IF(COUNTIF(L_CLAVE,AH822)&gt;1,"⚠ Duplicado","OK"))</f>
        <v/>
      </c>
      <c r="AJ822" s="86" t="str">
        <f aca="false">IF(AH822="","",IF(SUMPRODUCT(MAX((IND_PER&lt;=B822)*(IND_UF&lt;&gt;"")*IND_PER))=0,UF_HOY,INDEX(IND_UF,MATCH(SUMPRODUCT(MAX((IND_PER&lt;=B822)*(IND_UF&lt;&gt;"")*IND_PER)),IND_PER,0))))</f>
        <v/>
      </c>
      <c r="AK822" s="87" t="str">
        <f aca="false">IF(AH822="","",IF(COUNTIF(TASA_DESDE,"&lt;="&amp;B822)=0,INDEX(TASA_EMP,1),INDEX(TASA_EMP,COUNTIF(TASA_DESDE,"&lt;="&amp;B822))))</f>
        <v/>
      </c>
    </row>
    <row r="823" customFormat="false" ht="15" hidden="false" customHeight="false" outlineLevel="0" collapsed="false">
      <c r="B823" s="78"/>
      <c r="C823" s="64"/>
      <c r="D823" s="72" t="str">
        <f aca="false">IF(C823="","",IFERROR(INDEX(T_NOMBRE,MATCH(C823,T_ID,0)),"⚠ ID no existe"))</f>
        <v/>
      </c>
      <c r="E823" s="69"/>
      <c r="F823" s="67"/>
      <c r="G823" s="67"/>
      <c r="H823" s="67"/>
      <c r="I823" s="67"/>
      <c r="J823" s="67"/>
      <c r="K823" s="85" t="str">
        <f aca="false">IF(AH823="","",N(F823)+N(G823)+N(H823)-N(I823)+N(J823))</f>
        <v/>
      </c>
      <c r="L823" s="67"/>
      <c r="M823" s="67"/>
      <c r="N823" s="67"/>
      <c r="O823" s="67"/>
      <c r="P823" s="85" t="str">
        <f aca="false">IF(AH823="","",K823+N(L823)+N(M823)+N(N823)+N(O823))</f>
        <v/>
      </c>
      <c r="Q823" s="67"/>
      <c r="R823" s="67"/>
      <c r="S823" s="67"/>
      <c r="T823" s="67"/>
      <c r="U823" s="67"/>
      <c r="V823" s="67"/>
      <c r="W823" s="85" t="str">
        <f aca="false">IF(AH823="","",N(Q823)+N(R823)+N(S823)+N(T823)+N(U823)+N(V823))</f>
        <v/>
      </c>
      <c r="X823" s="85" t="str">
        <f aca="false">IF(AH823="","",P823-W823)</f>
        <v/>
      </c>
      <c r="Y823" s="67"/>
      <c r="Z823" s="70" t="str">
        <f aca="false">IF(OR(AH823="",Y823=""),"",IF(ABS(X823-Y823)&lt;=1,"✓ Cuadra","⚠ Diferencia $"&amp;FIXED(X823-Y823,0)))</f>
        <v/>
      </c>
      <c r="AA823" s="72" t="str">
        <f aca="false">IF(AH823="","",IFERROR(INDEX(C_TIPO,MATCH(C823&amp;"-P"&amp;MAX(1,COUNTIFS(C_ID,C823,C_DEFINE,"Sí",C_INICIO,"&lt;="&amp;EOMONTH(B823,0))),C_CLAVE,0))&amp;"","Sin dato"))</f>
        <v/>
      </c>
      <c r="AB823" s="71" t="str">
        <f aca="false">IF(AH823="","",ROUND(MIN(K823,TOPE_AFP_UF*AJ823)*AK823,0))</f>
        <v/>
      </c>
      <c r="AC823" s="71" t="str">
        <f aca="false">IF(AH823="","",ROUND(MIN(K823,TOPE_AFC_UF*AJ823)*IF(AA823="Indefinido",AFC_EMP_INDEF,AFC_EMP_PF),0))</f>
        <v/>
      </c>
      <c r="AD823" s="71" t="str">
        <f aca="false">IF(AH823="","",ROUND(MIN(K823,TOPE_AFP_UF*AJ823)*(MUTUAL_BASICA+MUTUAL_ADIC+SANNA),0))</f>
        <v/>
      </c>
      <c r="AE823" s="71" t="str">
        <f aca="false">IF(AH823="","",P823-N(N823)+AB823+AC823+AD823)</f>
        <v/>
      </c>
      <c r="AF823" s="65"/>
      <c r="AG823" s="64"/>
      <c r="AH823" s="72" t="str">
        <f aca="false">IF(OR(B823="",C823=""),"",C823&amp;"|"&amp;(YEAR(B823)*100+MONTH(B823)))</f>
        <v/>
      </c>
      <c r="AI823" s="70" t="str">
        <f aca="false">IF(AH823="","",IF(COUNTIF(L_CLAVE,AH823)&gt;1,"⚠ Duplicado","OK"))</f>
        <v/>
      </c>
      <c r="AJ823" s="86" t="str">
        <f aca="false">IF(AH823="","",IF(SUMPRODUCT(MAX((IND_PER&lt;=B823)*(IND_UF&lt;&gt;"")*IND_PER))=0,UF_HOY,INDEX(IND_UF,MATCH(SUMPRODUCT(MAX((IND_PER&lt;=B823)*(IND_UF&lt;&gt;"")*IND_PER)),IND_PER,0))))</f>
        <v/>
      </c>
      <c r="AK823" s="87" t="str">
        <f aca="false">IF(AH823="","",IF(COUNTIF(TASA_DESDE,"&lt;="&amp;B823)=0,INDEX(TASA_EMP,1),INDEX(TASA_EMP,COUNTIF(TASA_DESDE,"&lt;="&amp;B823))))</f>
        <v/>
      </c>
    </row>
    <row r="824" customFormat="false" ht="15" hidden="false" customHeight="false" outlineLevel="0" collapsed="false">
      <c r="B824" s="78"/>
      <c r="C824" s="64"/>
      <c r="D824" s="72" t="str">
        <f aca="false">IF(C824="","",IFERROR(INDEX(T_NOMBRE,MATCH(C824,T_ID,0)),"⚠ ID no existe"))</f>
        <v/>
      </c>
      <c r="E824" s="69"/>
      <c r="F824" s="67"/>
      <c r="G824" s="67"/>
      <c r="H824" s="67"/>
      <c r="I824" s="67"/>
      <c r="J824" s="67"/>
      <c r="K824" s="85" t="str">
        <f aca="false">IF(AH824="","",N(F824)+N(G824)+N(H824)-N(I824)+N(J824))</f>
        <v/>
      </c>
      <c r="L824" s="67"/>
      <c r="M824" s="67"/>
      <c r="N824" s="67"/>
      <c r="O824" s="67"/>
      <c r="P824" s="85" t="str">
        <f aca="false">IF(AH824="","",K824+N(L824)+N(M824)+N(N824)+N(O824))</f>
        <v/>
      </c>
      <c r="Q824" s="67"/>
      <c r="R824" s="67"/>
      <c r="S824" s="67"/>
      <c r="T824" s="67"/>
      <c r="U824" s="67"/>
      <c r="V824" s="67"/>
      <c r="W824" s="85" t="str">
        <f aca="false">IF(AH824="","",N(Q824)+N(R824)+N(S824)+N(T824)+N(U824)+N(V824))</f>
        <v/>
      </c>
      <c r="X824" s="85" t="str">
        <f aca="false">IF(AH824="","",P824-W824)</f>
        <v/>
      </c>
      <c r="Y824" s="67"/>
      <c r="Z824" s="70" t="str">
        <f aca="false">IF(OR(AH824="",Y824=""),"",IF(ABS(X824-Y824)&lt;=1,"✓ Cuadra","⚠ Diferencia $"&amp;FIXED(X824-Y824,0)))</f>
        <v/>
      </c>
      <c r="AA824" s="72" t="str">
        <f aca="false">IF(AH824="","",IFERROR(INDEX(C_TIPO,MATCH(C824&amp;"-P"&amp;MAX(1,COUNTIFS(C_ID,C824,C_DEFINE,"Sí",C_INICIO,"&lt;="&amp;EOMONTH(B824,0))),C_CLAVE,0))&amp;"","Sin dato"))</f>
        <v/>
      </c>
      <c r="AB824" s="71" t="str">
        <f aca="false">IF(AH824="","",ROUND(MIN(K824,TOPE_AFP_UF*AJ824)*AK824,0))</f>
        <v/>
      </c>
      <c r="AC824" s="71" t="str">
        <f aca="false">IF(AH824="","",ROUND(MIN(K824,TOPE_AFC_UF*AJ824)*IF(AA824="Indefinido",AFC_EMP_INDEF,AFC_EMP_PF),0))</f>
        <v/>
      </c>
      <c r="AD824" s="71" t="str">
        <f aca="false">IF(AH824="","",ROUND(MIN(K824,TOPE_AFP_UF*AJ824)*(MUTUAL_BASICA+MUTUAL_ADIC+SANNA),0))</f>
        <v/>
      </c>
      <c r="AE824" s="71" t="str">
        <f aca="false">IF(AH824="","",P824-N(N824)+AB824+AC824+AD824)</f>
        <v/>
      </c>
      <c r="AF824" s="65"/>
      <c r="AG824" s="64"/>
      <c r="AH824" s="72" t="str">
        <f aca="false">IF(OR(B824="",C824=""),"",C824&amp;"|"&amp;(YEAR(B824)*100+MONTH(B824)))</f>
        <v/>
      </c>
      <c r="AI824" s="70" t="str">
        <f aca="false">IF(AH824="","",IF(COUNTIF(L_CLAVE,AH824)&gt;1,"⚠ Duplicado","OK"))</f>
        <v/>
      </c>
      <c r="AJ824" s="86" t="str">
        <f aca="false">IF(AH824="","",IF(SUMPRODUCT(MAX((IND_PER&lt;=B824)*(IND_UF&lt;&gt;"")*IND_PER))=0,UF_HOY,INDEX(IND_UF,MATCH(SUMPRODUCT(MAX((IND_PER&lt;=B824)*(IND_UF&lt;&gt;"")*IND_PER)),IND_PER,0))))</f>
        <v/>
      </c>
      <c r="AK824" s="87" t="str">
        <f aca="false">IF(AH824="","",IF(COUNTIF(TASA_DESDE,"&lt;="&amp;B824)=0,INDEX(TASA_EMP,1),INDEX(TASA_EMP,COUNTIF(TASA_DESDE,"&lt;="&amp;B824))))</f>
        <v/>
      </c>
    </row>
    <row r="825" customFormat="false" ht="15" hidden="false" customHeight="false" outlineLevel="0" collapsed="false">
      <c r="B825" s="78"/>
      <c r="C825" s="64"/>
      <c r="D825" s="72" t="str">
        <f aca="false">IF(C825="","",IFERROR(INDEX(T_NOMBRE,MATCH(C825,T_ID,0)),"⚠ ID no existe"))</f>
        <v/>
      </c>
      <c r="E825" s="69"/>
      <c r="F825" s="67"/>
      <c r="G825" s="67"/>
      <c r="H825" s="67"/>
      <c r="I825" s="67"/>
      <c r="J825" s="67"/>
      <c r="K825" s="85" t="str">
        <f aca="false">IF(AH825="","",N(F825)+N(G825)+N(H825)-N(I825)+N(J825))</f>
        <v/>
      </c>
      <c r="L825" s="67"/>
      <c r="M825" s="67"/>
      <c r="N825" s="67"/>
      <c r="O825" s="67"/>
      <c r="P825" s="85" t="str">
        <f aca="false">IF(AH825="","",K825+N(L825)+N(M825)+N(N825)+N(O825))</f>
        <v/>
      </c>
      <c r="Q825" s="67"/>
      <c r="R825" s="67"/>
      <c r="S825" s="67"/>
      <c r="T825" s="67"/>
      <c r="U825" s="67"/>
      <c r="V825" s="67"/>
      <c r="W825" s="85" t="str">
        <f aca="false">IF(AH825="","",N(Q825)+N(R825)+N(S825)+N(T825)+N(U825)+N(V825))</f>
        <v/>
      </c>
      <c r="X825" s="85" t="str">
        <f aca="false">IF(AH825="","",P825-W825)</f>
        <v/>
      </c>
      <c r="Y825" s="67"/>
      <c r="Z825" s="70" t="str">
        <f aca="false">IF(OR(AH825="",Y825=""),"",IF(ABS(X825-Y825)&lt;=1,"✓ Cuadra","⚠ Diferencia $"&amp;FIXED(X825-Y825,0)))</f>
        <v/>
      </c>
      <c r="AA825" s="72" t="str">
        <f aca="false">IF(AH825="","",IFERROR(INDEX(C_TIPO,MATCH(C825&amp;"-P"&amp;MAX(1,COUNTIFS(C_ID,C825,C_DEFINE,"Sí",C_INICIO,"&lt;="&amp;EOMONTH(B825,0))),C_CLAVE,0))&amp;"","Sin dato"))</f>
        <v/>
      </c>
      <c r="AB825" s="71" t="str">
        <f aca="false">IF(AH825="","",ROUND(MIN(K825,TOPE_AFP_UF*AJ825)*AK825,0))</f>
        <v/>
      </c>
      <c r="AC825" s="71" t="str">
        <f aca="false">IF(AH825="","",ROUND(MIN(K825,TOPE_AFC_UF*AJ825)*IF(AA825="Indefinido",AFC_EMP_INDEF,AFC_EMP_PF),0))</f>
        <v/>
      </c>
      <c r="AD825" s="71" t="str">
        <f aca="false">IF(AH825="","",ROUND(MIN(K825,TOPE_AFP_UF*AJ825)*(MUTUAL_BASICA+MUTUAL_ADIC+SANNA),0))</f>
        <v/>
      </c>
      <c r="AE825" s="71" t="str">
        <f aca="false">IF(AH825="","",P825-N(N825)+AB825+AC825+AD825)</f>
        <v/>
      </c>
      <c r="AF825" s="65"/>
      <c r="AG825" s="64"/>
      <c r="AH825" s="72" t="str">
        <f aca="false">IF(OR(B825="",C825=""),"",C825&amp;"|"&amp;(YEAR(B825)*100+MONTH(B825)))</f>
        <v/>
      </c>
      <c r="AI825" s="70" t="str">
        <f aca="false">IF(AH825="","",IF(COUNTIF(L_CLAVE,AH825)&gt;1,"⚠ Duplicado","OK"))</f>
        <v/>
      </c>
      <c r="AJ825" s="86" t="str">
        <f aca="false">IF(AH825="","",IF(SUMPRODUCT(MAX((IND_PER&lt;=B825)*(IND_UF&lt;&gt;"")*IND_PER))=0,UF_HOY,INDEX(IND_UF,MATCH(SUMPRODUCT(MAX((IND_PER&lt;=B825)*(IND_UF&lt;&gt;"")*IND_PER)),IND_PER,0))))</f>
        <v/>
      </c>
      <c r="AK825" s="87" t="str">
        <f aca="false">IF(AH825="","",IF(COUNTIF(TASA_DESDE,"&lt;="&amp;B825)=0,INDEX(TASA_EMP,1),INDEX(TASA_EMP,COUNTIF(TASA_DESDE,"&lt;="&amp;B825))))</f>
        <v/>
      </c>
    </row>
    <row r="826" customFormat="false" ht="15" hidden="false" customHeight="false" outlineLevel="0" collapsed="false">
      <c r="B826" s="78"/>
      <c r="C826" s="64"/>
      <c r="D826" s="72" t="str">
        <f aca="false">IF(C826="","",IFERROR(INDEX(T_NOMBRE,MATCH(C826,T_ID,0)),"⚠ ID no existe"))</f>
        <v/>
      </c>
      <c r="E826" s="69"/>
      <c r="F826" s="67"/>
      <c r="G826" s="67"/>
      <c r="H826" s="67"/>
      <c r="I826" s="67"/>
      <c r="J826" s="67"/>
      <c r="K826" s="85" t="str">
        <f aca="false">IF(AH826="","",N(F826)+N(G826)+N(H826)-N(I826)+N(J826))</f>
        <v/>
      </c>
      <c r="L826" s="67"/>
      <c r="M826" s="67"/>
      <c r="N826" s="67"/>
      <c r="O826" s="67"/>
      <c r="P826" s="85" t="str">
        <f aca="false">IF(AH826="","",K826+N(L826)+N(M826)+N(N826)+N(O826))</f>
        <v/>
      </c>
      <c r="Q826" s="67"/>
      <c r="R826" s="67"/>
      <c r="S826" s="67"/>
      <c r="T826" s="67"/>
      <c r="U826" s="67"/>
      <c r="V826" s="67"/>
      <c r="W826" s="85" t="str">
        <f aca="false">IF(AH826="","",N(Q826)+N(R826)+N(S826)+N(T826)+N(U826)+N(V826))</f>
        <v/>
      </c>
      <c r="X826" s="85" t="str">
        <f aca="false">IF(AH826="","",P826-W826)</f>
        <v/>
      </c>
      <c r="Y826" s="67"/>
      <c r="Z826" s="70" t="str">
        <f aca="false">IF(OR(AH826="",Y826=""),"",IF(ABS(X826-Y826)&lt;=1,"✓ Cuadra","⚠ Diferencia $"&amp;FIXED(X826-Y826,0)))</f>
        <v/>
      </c>
      <c r="AA826" s="72" t="str">
        <f aca="false">IF(AH826="","",IFERROR(INDEX(C_TIPO,MATCH(C826&amp;"-P"&amp;MAX(1,COUNTIFS(C_ID,C826,C_DEFINE,"Sí",C_INICIO,"&lt;="&amp;EOMONTH(B826,0))),C_CLAVE,0))&amp;"","Sin dato"))</f>
        <v/>
      </c>
      <c r="AB826" s="71" t="str">
        <f aca="false">IF(AH826="","",ROUND(MIN(K826,TOPE_AFP_UF*AJ826)*AK826,0))</f>
        <v/>
      </c>
      <c r="AC826" s="71" t="str">
        <f aca="false">IF(AH826="","",ROUND(MIN(K826,TOPE_AFC_UF*AJ826)*IF(AA826="Indefinido",AFC_EMP_INDEF,AFC_EMP_PF),0))</f>
        <v/>
      </c>
      <c r="AD826" s="71" t="str">
        <f aca="false">IF(AH826="","",ROUND(MIN(K826,TOPE_AFP_UF*AJ826)*(MUTUAL_BASICA+MUTUAL_ADIC+SANNA),0))</f>
        <v/>
      </c>
      <c r="AE826" s="71" t="str">
        <f aca="false">IF(AH826="","",P826-N(N826)+AB826+AC826+AD826)</f>
        <v/>
      </c>
      <c r="AF826" s="65"/>
      <c r="AG826" s="64"/>
      <c r="AH826" s="72" t="str">
        <f aca="false">IF(OR(B826="",C826=""),"",C826&amp;"|"&amp;(YEAR(B826)*100+MONTH(B826)))</f>
        <v/>
      </c>
      <c r="AI826" s="70" t="str">
        <f aca="false">IF(AH826="","",IF(COUNTIF(L_CLAVE,AH826)&gt;1,"⚠ Duplicado","OK"))</f>
        <v/>
      </c>
      <c r="AJ826" s="86" t="str">
        <f aca="false">IF(AH826="","",IF(SUMPRODUCT(MAX((IND_PER&lt;=B826)*(IND_UF&lt;&gt;"")*IND_PER))=0,UF_HOY,INDEX(IND_UF,MATCH(SUMPRODUCT(MAX((IND_PER&lt;=B826)*(IND_UF&lt;&gt;"")*IND_PER)),IND_PER,0))))</f>
        <v/>
      </c>
      <c r="AK826" s="87" t="str">
        <f aca="false">IF(AH826="","",IF(COUNTIF(TASA_DESDE,"&lt;="&amp;B826)=0,INDEX(TASA_EMP,1),INDEX(TASA_EMP,COUNTIF(TASA_DESDE,"&lt;="&amp;B826))))</f>
        <v/>
      </c>
    </row>
    <row r="827" customFormat="false" ht="15" hidden="false" customHeight="false" outlineLevel="0" collapsed="false">
      <c r="B827" s="78"/>
      <c r="C827" s="64"/>
      <c r="D827" s="72" t="str">
        <f aca="false">IF(C827="","",IFERROR(INDEX(T_NOMBRE,MATCH(C827,T_ID,0)),"⚠ ID no existe"))</f>
        <v/>
      </c>
      <c r="E827" s="69"/>
      <c r="F827" s="67"/>
      <c r="G827" s="67"/>
      <c r="H827" s="67"/>
      <c r="I827" s="67"/>
      <c r="J827" s="67"/>
      <c r="K827" s="85" t="str">
        <f aca="false">IF(AH827="","",N(F827)+N(G827)+N(H827)-N(I827)+N(J827))</f>
        <v/>
      </c>
      <c r="L827" s="67"/>
      <c r="M827" s="67"/>
      <c r="N827" s="67"/>
      <c r="O827" s="67"/>
      <c r="P827" s="85" t="str">
        <f aca="false">IF(AH827="","",K827+N(L827)+N(M827)+N(N827)+N(O827))</f>
        <v/>
      </c>
      <c r="Q827" s="67"/>
      <c r="R827" s="67"/>
      <c r="S827" s="67"/>
      <c r="T827" s="67"/>
      <c r="U827" s="67"/>
      <c r="V827" s="67"/>
      <c r="W827" s="85" t="str">
        <f aca="false">IF(AH827="","",N(Q827)+N(R827)+N(S827)+N(T827)+N(U827)+N(V827))</f>
        <v/>
      </c>
      <c r="X827" s="85" t="str">
        <f aca="false">IF(AH827="","",P827-W827)</f>
        <v/>
      </c>
      <c r="Y827" s="67"/>
      <c r="Z827" s="70" t="str">
        <f aca="false">IF(OR(AH827="",Y827=""),"",IF(ABS(X827-Y827)&lt;=1,"✓ Cuadra","⚠ Diferencia $"&amp;FIXED(X827-Y827,0)))</f>
        <v/>
      </c>
      <c r="AA827" s="72" t="str">
        <f aca="false">IF(AH827="","",IFERROR(INDEX(C_TIPO,MATCH(C827&amp;"-P"&amp;MAX(1,COUNTIFS(C_ID,C827,C_DEFINE,"Sí",C_INICIO,"&lt;="&amp;EOMONTH(B827,0))),C_CLAVE,0))&amp;"","Sin dato"))</f>
        <v/>
      </c>
      <c r="AB827" s="71" t="str">
        <f aca="false">IF(AH827="","",ROUND(MIN(K827,TOPE_AFP_UF*AJ827)*AK827,0))</f>
        <v/>
      </c>
      <c r="AC827" s="71" t="str">
        <f aca="false">IF(AH827="","",ROUND(MIN(K827,TOPE_AFC_UF*AJ827)*IF(AA827="Indefinido",AFC_EMP_INDEF,AFC_EMP_PF),0))</f>
        <v/>
      </c>
      <c r="AD827" s="71" t="str">
        <f aca="false">IF(AH827="","",ROUND(MIN(K827,TOPE_AFP_UF*AJ827)*(MUTUAL_BASICA+MUTUAL_ADIC+SANNA),0))</f>
        <v/>
      </c>
      <c r="AE827" s="71" t="str">
        <f aca="false">IF(AH827="","",P827-N(N827)+AB827+AC827+AD827)</f>
        <v/>
      </c>
      <c r="AF827" s="65"/>
      <c r="AG827" s="64"/>
      <c r="AH827" s="72" t="str">
        <f aca="false">IF(OR(B827="",C827=""),"",C827&amp;"|"&amp;(YEAR(B827)*100+MONTH(B827)))</f>
        <v/>
      </c>
      <c r="AI827" s="70" t="str">
        <f aca="false">IF(AH827="","",IF(COUNTIF(L_CLAVE,AH827)&gt;1,"⚠ Duplicado","OK"))</f>
        <v/>
      </c>
      <c r="AJ827" s="86" t="str">
        <f aca="false">IF(AH827="","",IF(SUMPRODUCT(MAX((IND_PER&lt;=B827)*(IND_UF&lt;&gt;"")*IND_PER))=0,UF_HOY,INDEX(IND_UF,MATCH(SUMPRODUCT(MAX((IND_PER&lt;=B827)*(IND_UF&lt;&gt;"")*IND_PER)),IND_PER,0))))</f>
        <v/>
      </c>
      <c r="AK827" s="87" t="str">
        <f aca="false">IF(AH827="","",IF(COUNTIF(TASA_DESDE,"&lt;="&amp;B827)=0,INDEX(TASA_EMP,1),INDEX(TASA_EMP,COUNTIF(TASA_DESDE,"&lt;="&amp;B827))))</f>
        <v/>
      </c>
    </row>
    <row r="828" customFormat="false" ht="15" hidden="false" customHeight="false" outlineLevel="0" collapsed="false">
      <c r="B828" s="78"/>
      <c r="C828" s="64"/>
      <c r="D828" s="72" t="str">
        <f aca="false">IF(C828="","",IFERROR(INDEX(T_NOMBRE,MATCH(C828,T_ID,0)),"⚠ ID no existe"))</f>
        <v/>
      </c>
      <c r="E828" s="69"/>
      <c r="F828" s="67"/>
      <c r="G828" s="67"/>
      <c r="H828" s="67"/>
      <c r="I828" s="67"/>
      <c r="J828" s="67"/>
      <c r="K828" s="85" t="str">
        <f aca="false">IF(AH828="","",N(F828)+N(G828)+N(H828)-N(I828)+N(J828))</f>
        <v/>
      </c>
      <c r="L828" s="67"/>
      <c r="M828" s="67"/>
      <c r="N828" s="67"/>
      <c r="O828" s="67"/>
      <c r="P828" s="85" t="str">
        <f aca="false">IF(AH828="","",K828+N(L828)+N(M828)+N(N828)+N(O828))</f>
        <v/>
      </c>
      <c r="Q828" s="67"/>
      <c r="R828" s="67"/>
      <c r="S828" s="67"/>
      <c r="T828" s="67"/>
      <c r="U828" s="67"/>
      <c r="V828" s="67"/>
      <c r="W828" s="85" t="str">
        <f aca="false">IF(AH828="","",N(Q828)+N(R828)+N(S828)+N(T828)+N(U828)+N(V828))</f>
        <v/>
      </c>
      <c r="X828" s="85" t="str">
        <f aca="false">IF(AH828="","",P828-W828)</f>
        <v/>
      </c>
      <c r="Y828" s="67"/>
      <c r="Z828" s="70" t="str">
        <f aca="false">IF(OR(AH828="",Y828=""),"",IF(ABS(X828-Y828)&lt;=1,"✓ Cuadra","⚠ Diferencia $"&amp;FIXED(X828-Y828,0)))</f>
        <v/>
      </c>
      <c r="AA828" s="72" t="str">
        <f aca="false">IF(AH828="","",IFERROR(INDEX(C_TIPO,MATCH(C828&amp;"-P"&amp;MAX(1,COUNTIFS(C_ID,C828,C_DEFINE,"Sí",C_INICIO,"&lt;="&amp;EOMONTH(B828,0))),C_CLAVE,0))&amp;"","Sin dato"))</f>
        <v/>
      </c>
      <c r="AB828" s="71" t="str">
        <f aca="false">IF(AH828="","",ROUND(MIN(K828,TOPE_AFP_UF*AJ828)*AK828,0))</f>
        <v/>
      </c>
      <c r="AC828" s="71" t="str">
        <f aca="false">IF(AH828="","",ROUND(MIN(K828,TOPE_AFC_UF*AJ828)*IF(AA828="Indefinido",AFC_EMP_INDEF,AFC_EMP_PF),0))</f>
        <v/>
      </c>
      <c r="AD828" s="71" t="str">
        <f aca="false">IF(AH828="","",ROUND(MIN(K828,TOPE_AFP_UF*AJ828)*(MUTUAL_BASICA+MUTUAL_ADIC+SANNA),0))</f>
        <v/>
      </c>
      <c r="AE828" s="71" t="str">
        <f aca="false">IF(AH828="","",P828-N(N828)+AB828+AC828+AD828)</f>
        <v/>
      </c>
      <c r="AF828" s="65"/>
      <c r="AG828" s="64"/>
      <c r="AH828" s="72" t="str">
        <f aca="false">IF(OR(B828="",C828=""),"",C828&amp;"|"&amp;(YEAR(B828)*100+MONTH(B828)))</f>
        <v/>
      </c>
      <c r="AI828" s="70" t="str">
        <f aca="false">IF(AH828="","",IF(COUNTIF(L_CLAVE,AH828)&gt;1,"⚠ Duplicado","OK"))</f>
        <v/>
      </c>
      <c r="AJ828" s="86" t="str">
        <f aca="false">IF(AH828="","",IF(SUMPRODUCT(MAX((IND_PER&lt;=B828)*(IND_UF&lt;&gt;"")*IND_PER))=0,UF_HOY,INDEX(IND_UF,MATCH(SUMPRODUCT(MAX((IND_PER&lt;=B828)*(IND_UF&lt;&gt;"")*IND_PER)),IND_PER,0))))</f>
        <v/>
      </c>
      <c r="AK828" s="87" t="str">
        <f aca="false">IF(AH828="","",IF(COUNTIF(TASA_DESDE,"&lt;="&amp;B828)=0,INDEX(TASA_EMP,1),INDEX(TASA_EMP,COUNTIF(TASA_DESDE,"&lt;="&amp;B828))))</f>
        <v/>
      </c>
    </row>
    <row r="829" customFormat="false" ht="15" hidden="false" customHeight="false" outlineLevel="0" collapsed="false">
      <c r="B829" s="78"/>
      <c r="C829" s="64"/>
      <c r="D829" s="72" t="str">
        <f aca="false">IF(C829="","",IFERROR(INDEX(T_NOMBRE,MATCH(C829,T_ID,0)),"⚠ ID no existe"))</f>
        <v/>
      </c>
      <c r="E829" s="69"/>
      <c r="F829" s="67"/>
      <c r="G829" s="67"/>
      <c r="H829" s="67"/>
      <c r="I829" s="67"/>
      <c r="J829" s="67"/>
      <c r="K829" s="85" t="str">
        <f aca="false">IF(AH829="","",N(F829)+N(G829)+N(H829)-N(I829)+N(J829))</f>
        <v/>
      </c>
      <c r="L829" s="67"/>
      <c r="M829" s="67"/>
      <c r="N829" s="67"/>
      <c r="O829" s="67"/>
      <c r="P829" s="85" t="str">
        <f aca="false">IF(AH829="","",K829+N(L829)+N(M829)+N(N829)+N(O829))</f>
        <v/>
      </c>
      <c r="Q829" s="67"/>
      <c r="R829" s="67"/>
      <c r="S829" s="67"/>
      <c r="T829" s="67"/>
      <c r="U829" s="67"/>
      <c r="V829" s="67"/>
      <c r="W829" s="85" t="str">
        <f aca="false">IF(AH829="","",N(Q829)+N(R829)+N(S829)+N(T829)+N(U829)+N(V829))</f>
        <v/>
      </c>
      <c r="X829" s="85" t="str">
        <f aca="false">IF(AH829="","",P829-W829)</f>
        <v/>
      </c>
      <c r="Y829" s="67"/>
      <c r="Z829" s="70" t="str">
        <f aca="false">IF(OR(AH829="",Y829=""),"",IF(ABS(X829-Y829)&lt;=1,"✓ Cuadra","⚠ Diferencia $"&amp;FIXED(X829-Y829,0)))</f>
        <v/>
      </c>
      <c r="AA829" s="72" t="str">
        <f aca="false">IF(AH829="","",IFERROR(INDEX(C_TIPO,MATCH(C829&amp;"-P"&amp;MAX(1,COUNTIFS(C_ID,C829,C_DEFINE,"Sí",C_INICIO,"&lt;="&amp;EOMONTH(B829,0))),C_CLAVE,0))&amp;"","Sin dato"))</f>
        <v/>
      </c>
      <c r="AB829" s="71" t="str">
        <f aca="false">IF(AH829="","",ROUND(MIN(K829,TOPE_AFP_UF*AJ829)*AK829,0))</f>
        <v/>
      </c>
      <c r="AC829" s="71" t="str">
        <f aca="false">IF(AH829="","",ROUND(MIN(K829,TOPE_AFC_UF*AJ829)*IF(AA829="Indefinido",AFC_EMP_INDEF,AFC_EMP_PF),0))</f>
        <v/>
      </c>
      <c r="AD829" s="71" t="str">
        <f aca="false">IF(AH829="","",ROUND(MIN(K829,TOPE_AFP_UF*AJ829)*(MUTUAL_BASICA+MUTUAL_ADIC+SANNA),0))</f>
        <v/>
      </c>
      <c r="AE829" s="71" t="str">
        <f aca="false">IF(AH829="","",P829-N(N829)+AB829+AC829+AD829)</f>
        <v/>
      </c>
      <c r="AF829" s="65"/>
      <c r="AG829" s="64"/>
      <c r="AH829" s="72" t="str">
        <f aca="false">IF(OR(B829="",C829=""),"",C829&amp;"|"&amp;(YEAR(B829)*100+MONTH(B829)))</f>
        <v/>
      </c>
      <c r="AI829" s="70" t="str">
        <f aca="false">IF(AH829="","",IF(COUNTIF(L_CLAVE,AH829)&gt;1,"⚠ Duplicado","OK"))</f>
        <v/>
      </c>
      <c r="AJ829" s="86" t="str">
        <f aca="false">IF(AH829="","",IF(SUMPRODUCT(MAX((IND_PER&lt;=B829)*(IND_UF&lt;&gt;"")*IND_PER))=0,UF_HOY,INDEX(IND_UF,MATCH(SUMPRODUCT(MAX((IND_PER&lt;=B829)*(IND_UF&lt;&gt;"")*IND_PER)),IND_PER,0))))</f>
        <v/>
      </c>
      <c r="AK829" s="87" t="str">
        <f aca="false">IF(AH829="","",IF(COUNTIF(TASA_DESDE,"&lt;="&amp;B829)=0,INDEX(TASA_EMP,1),INDEX(TASA_EMP,COUNTIF(TASA_DESDE,"&lt;="&amp;B829))))</f>
        <v/>
      </c>
    </row>
    <row r="830" customFormat="false" ht="15" hidden="false" customHeight="false" outlineLevel="0" collapsed="false">
      <c r="B830" s="78"/>
      <c r="C830" s="64"/>
      <c r="D830" s="72" t="str">
        <f aca="false">IF(C830="","",IFERROR(INDEX(T_NOMBRE,MATCH(C830,T_ID,0)),"⚠ ID no existe"))</f>
        <v/>
      </c>
      <c r="E830" s="69"/>
      <c r="F830" s="67"/>
      <c r="G830" s="67"/>
      <c r="H830" s="67"/>
      <c r="I830" s="67"/>
      <c r="J830" s="67"/>
      <c r="K830" s="85" t="str">
        <f aca="false">IF(AH830="","",N(F830)+N(G830)+N(H830)-N(I830)+N(J830))</f>
        <v/>
      </c>
      <c r="L830" s="67"/>
      <c r="M830" s="67"/>
      <c r="N830" s="67"/>
      <c r="O830" s="67"/>
      <c r="P830" s="85" t="str">
        <f aca="false">IF(AH830="","",K830+N(L830)+N(M830)+N(N830)+N(O830))</f>
        <v/>
      </c>
      <c r="Q830" s="67"/>
      <c r="R830" s="67"/>
      <c r="S830" s="67"/>
      <c r="T830" s="67"/>
      <c r="U830" s="67"/>
      <c r="V830" s="67"/>
      <c r="W830" s="85" t="str">
        <f aca="false">IF(AH830="","",N(Q830)+N(R830)+N(S830)+N(T830)+N(U830)+N(V830))</f>
        <v/>
      </c>
      <c r="X830" s="85" t="str">
        <f aca="false">IF(AH830="","",P830-W830)</f>
        <v/>
      </c>
      <c r="Y830" s="67"/>
      <c r="Z830" s="70" t="str">
        <f aca="false">IF(OR(AH830="",Y830=""),"",IF(ABS(X830-Y830)&lt;=1,"✓ Cuadra","⚠ Diferencia $"&amp;FIXED(X830-Y830,0)))</f>
        <v/>
      </c>
      <c r="AA830" s="72" t="str">
        <f aca="false">IF(AH830="","",IFERROR(INDEX(C_TIPO,MATCH(C830&amp;"-P"&amp;MAX(1,COUNTIFS(C_ID,C830,C_DEFINE,"Sí",C_INICIO,"&lt;="&amp;EOMONTH(B830,0))),C_CLAVE,0))&amp;"","Sin dato"))</f>
        <v/>
      </c>
      <c r="AB830" s="71" t="str">
        <f aca="false">IF(AH830="","",ROUND(MIN(K830,TOPE_AFP_UF*AJ830)*AK830,0))</f>
        <v/>
      </c>
      <c r="AC830" s="71" t="str">
        <f aca="false">IF(AH830="","",ROUND(MIN(K830,TOPE_AFC_UF*AJ830)*IF(AA830="Indefinido",AFC_EMP_INDEF,AFC_EMP_PF),0))</f>
        <v/>
      </c>
      <c r="AD830" s="71" t="str">
        <f aca="false">IF(AH830="","",ROUND(MIN(K830,TOPE_AFP_UF*AJ830)*(MUTUAL_BASICA+MUTUAL_ADIC+SANNA),0))</f>
        <v/>
      </c>
      <c r="AE830" s="71" t="str">
        <f aca="false">IF(AH830="","",P830-N(N830)+AB830+AC830+AD830)</f>
        <v/>
      </c>
      <c r="AF830" s="65"/>
      <c r="AG830" s="64"/>
      <c r="AH830" s="72" t="str">
        <f aca="false">IF(OR(B830="",C830=""),"",C830&amp;"|"&amp;(YEAR(B830)*100+MONTH(B830)))</f>
        <v/>
      </c>
      <c r="AI830" s="70" t="str">
        <f aca="false">IF(AH830="","",IF(COUNTIF(L_CLAVE,AH830)&gt;1,"⚠ Duplicado","OK"))</f>
        <v/>
      </c>
      <c r="AJ830" s="86" t="str">
        <f aca="false">IF(AH830="","",IF(SUMPRODUCT(MAX((IND_PER&lt;=B830)*(IND_UF&lt;&gt;"")*IND_PER))=0,UF_HOY,INDEX(IND_UF,MATCH(SUMPRODUCT(MAX((IND_PER&lt;=B830)*(IND_UF&lt;&gt;"")*IND_PER)),IND_PER,0))))</f>
        <v/>
      </c>
      <c r="AK830" s="87" t="str">
        <f aca="false">IF(AH830="","",IF(COUNTIF(TASA_DESDE,"&lt;="&amp;B830)=0,INDEX(TASA_EMP,1),INDEX(TASA_EMP,COUNTIF(TASA_DESDE,"&lt;="&amp;B830))))</f>
        <v/>
      </c>
    </row>
    <row r="831" customFormat="false" ht="15" hidden="false" customHeight="false" outlineLevel="0" collapsed="false">
      <c r="B831" s="78"/>
      <c r="C831" s="64"/>
      <c r="D831" s="72" t="str">
        <f aca="false">IF(C831="","",IFERROR(INDEX(T_NOMBRE,MATCH(C831,T_ID,0)),"⚠ ID no existe"))</f>
        <v/>
      </c>
      <c r="E831" s="69"/>
      <c r="F831" s="67"/>
      <c r="G831" s="67"/>
      <c r="H831" s="67"/>
      <c r="I831" s="67"/>
      <c r="J831" s="67"/>
      <c r="K831" s="85" t="str">
        <f aca="false">IF(AH831="","",N(F831)+N(G831)+N(H831)-N(I831)+N(J831))</f>
        <v/>
      </c>
      <c r="L831" s="67"/>
      <c r="M831" s="67"/>
      <c r="N831" s="67"/>
      <c r="O831" s="67"/>
      <c r="P831" s="85" t="str">
        <f aca="false">IF(AH831="","",K831+N(L831)+N(M831)+N(N831)+N(O831))</f>
        <v/>
      </c>
      <c r="Q831" s="67"/>
      <c r="R831" s="67"/>
      <c r="S831" s="67"/>
      <c r="T831" s="67"/>
      <c r="U831" s="67"/>
      <c r="V831" s="67"/>
      <c r="W831" s="85" t="str">
        <f aca="false">IF(AH831="","",N(Q831)+N(R831)+N(S831)+N(T831)+N(U831)+N(V831))</f>
        <v/>
      </c>
      <c r="X831" s="85" t="str">
        <f aca="false">IF(AH831="","",P831-W831)</f>
        <v/>
      </c>
      <c r="Y831" s="67"/>
      <c r="Z831" s="70" t="str">
        <f aca="false">IF(OR(AH831="",Y831=""),"",IF(ABS(X831-Y831)&lt;=1,"✓ Cuadra","⚠ Diferencia $"&amp;FIXED(X831-Y831,0)))</f>
        <v/>
      </c>
      <c r="AA831" s="72" t="str">
        <f aca="false">IF(AH831="","",IFERROR(INDEX(C_TIPO,MATCH(C831&amp;"-P"&amp;MAX(1,COUNTIFS(C_ID,C831,C_DEFINE,"Sí",C_INICIO,"&lt;="&amp;EOMONTH(B831,0))),C_CLAVE,0))&amp;"","Sin dato"))</f>
        <v/>
      </c>
      <c r="AB831" s="71" t="str">
        <f aca="false">IF(AH831="","",ROUND(MIN(K831,TOPE_AFP_UF*AJ831)*AK831,0))</f>
        <v/>
      </c>
      <c r="AC831" s="71" t="str">
        <f aca="false">IF(AH831="","",ROUND(MIN(K831,TOPE_AFC_UF*AJ831)*IF(AA831="Indefinido",AFC_EMP_INDEF,AFC_EMP_PF),0))</f>
        <v/>
      </c>
      <c r="AD831" s="71" t="str">
        <f aca="false">IF(AH831="","",ROUND(MIN(K831,TOPE_AFP_UF*AJ831)*(MUTUAL_BASICA+MUTUAL_ADIC+SANNA),0))</f>
        <v/>
      </c>
      <c r="AE831" s="71" t="str">
        <f aca="false">IF(AH831="","",P831-N(N831)+AB831+AC831+AD831)</f>
        <v/>
      </c>
      <c r="AF831" s="65"/>
      <c r="AG831" s="64"/>
      <c r="AH831" s="72" t="str">
        <f aca="false">IF(OR(B831="",C831=""),"",C831&amp;"|"&amp;(YEAR(B831)*100+MONTH(B831)))</f>
        <v/>
      </c>
      <c r="AI831" s="70" t="str">
        <f aca="false">IF(AH831="","",IF(COUNTIF(L_CLAVE,AH831)&gt;1,"⚠ Duplicado","OK"))</f>
        <v/>
      </c>
      <c r="AJ831" s="86" t="str">
        <f aca="false">IF(AH831="","",IF(SUMPRODUCT(MAX((IND_PER&lt;=B831)*(IND_UF&lt;&gt;"")*IND_PER))=0,UF_HOY,INDEX(IND_UF,MATCH(SUMPRODUCT(MAX((IND_PER&lt;=B831)*(IND_UF&lt;&gt;"")*IND_PER)),IND_PER,0))))</f>
        <v/>
      </c>
      <c r="AK831" s="87" t="str">
        <f aca="false">IF(AH831="","",IF(COUNTIF(TASA_DESDE,"&lt;="&amp;B831)=0,INDEX(TASA_EMP,1),INDEX(TASA_EMP,COUNTIF(TASA_DESDE,"&lt;="&amp;B831))))</f>
        <v/>
      </c>
    </row>
    <row r="832" customFormat="false" ht="15" hidden="false" customHeight="false" outlineLevel="0" collapsed="false">
      <c r="B832" s="78"/>
      <c r="C832" s="64"/>
      <c r="D832" s="72" t="str">
        <f aca="false">IF(C832="","",IFERROR(INDEX(T_NOMBRE,MATCH(C832,T_ID,0)),"⚠ ID no existe"))</f>
        <v/>
      </c>
      <c r="E832" s="69"/>
      <c r="F832" s="67"/>
      <c r="G832" s="67"/>
      <c r="H832" s="67"/>
      <c r="I832" s="67"/>
      <c r="J832" s="67"/>
      <c r="K832" s="85" t="str">
        <f aca="false">IF(AH832="","",N(F832)+N(G832)+N(H832)-N(I832)+N(J832))</f>
        <v/>
      </c>
      <c r="L832" s="67"/>
      <c r="M832" s="67"/>
      <c r="N832" s="67"/>
      <c r="O832" s="67"/>
      <c r="P832" s="85" t="str">
        <f aca="false">IF(AH832="","",K832+N(L832)+N(M832)+N(N832)+N(O832))</f>
        <v/>
      </c>
      <c r="Q832" s="67"/>
      <c r="R832" s="67"/>
      <c r="S832" s="67"/>
      <c r="T832" s="67"/>
      <c r="U832" s="67"/>
      <c r="V832" s="67"/>
      <c r="W832" s="85" t="str">
        <f aca="false">IF(AH832="","",N(Q832)+N(R832)+N(S832)+N(T832)+N(U832)+N(V832))</f>
        <v/>
      </c>
      <c r="X832" s="85" t="str">
        <f aca="false">IF(AH832="","",P832-W832)</f>
        <v/>
      </c>
      <c r="Y832" s="67"/>
      <c r="Z832" s="70" t="str">
        <f aca="false">IF(OR(AH832="",Y832=""),"",IF(ABS(X832-Y832)&lt;=1,"✓ Cuadra","⚠ Diferencia $"&amp;FIXED(X832-Y832,0)))</f>
        <v/>
      </c>
      <c r="AA832" s="72" t="str">
        <f aca="false">IF(AH832="","",IFERROR(INDEX(C_TIPO,MATCH(C832&amp;"-P"&amp;MAX(1,COUNTIFS(C_ID,C832,C_DEFINE,"Sí",C_INICIO,"&lt;="&amp;EOMONTH(B832,0))),C_CLAVE,0))&amp;"","Sin dato"))</f>
        <v/>
      </c>
      <c r="AB832" s="71" t="str">
        <f aca="false">IF(AH832="","",ROUND(MIN(K832,TOPE_AFP_UF*AJ832)*AK832,0))</f>
        <v/>
      </c>
      <c r="AC832" s="71" t="str">
        <f aca="false">IF(AH832="","",ROUND(MIN(K832,TOPE_AFC_UF*AJ832)*IF(AA832="Indefinido",AFC_EMP_INDEF,AFC_EMP_PF),0))</f>
        <v/>
      </c>
      <c r="AD832" s="71" t="str">
        <f aca="false">IF(AH832="","",ROUND(MIN(K832,TOPE_AFP_UF*AJ832)*(MUTUAL_BASICA+MUTUAL_ADIC+SANNA),0))</f>
        <v/>
      </c>
      <c r="AE832" s="71" t="str">
        <f aca="false">IF(AH832="","",P832-N(N832)+AB832+AC832+AD832)</f>
        <v/>
      </c>
      <c r="AF832" s="65"/>
      <c r="AG832" s="64"/>
      <c r="AH832" s="72" t="str">
        <f aca="false">IF(OR(B832="",C832=""),"",C832&amp;"|"&amp;(YEAR(B832)*100+MONTH(B832)))</f>
        <v/>
      </c>
      <c r="AI832" s="70" t="str">
        <f aca="false">IF(AH832="","",IF(COUNTIF(L_CLAVE,AH832)&gt;1,"⚠ Duplicado","OK"))</f>
        <v/>
      </c>
      <c r="AJ832" s="86" t="str">
        <f aca="false">IF(AH832="","",IF(SUMPRODUCT(MAX((IND_PER&lt;=B832)*(IND_UF&lt;&gt;"")*IND_PER))=0,UF_HOY,INDEX(IND_UF,MATCH(SUMPRODUCT(MAX((IND_PER&lt;=B832)*(IND_UF&lt;&gt;"")*IND_PER)),IND_PER,0))))</f>
        <v/>
      </c>
      <c r="AK832" s="87" t="str">
        <f aca="false">IF(AH832="","",IF(COUNTIF(TASA_DESDE,"&lt;="&amp;B832)=0,INDEX(TASA_EMP,1),INDEX(TASA_EMP,COUNTIF(TASA_DESDE,"&lt;="&amp;B832))))</f>
        <v/>
      </c>
    </row>
    <row r="833" customFormat="false" ht="15" hidden="false" customHeight="false" outlineLevel="0" collapsed="false">
      <c r="B833" s="78"/>
      <c r="C833" s="64"/>
      <c r="D833" s="72" t="str">
        <f aca="false">IF(C833="","",IFERROR(INDEX(T_NOMBRE,MATCH(C833,T_ID,0)),"⚠ ID no existe"))</f>
        <v/>
      </c>
      <c r="E833" s="69"/>
      <c r="F833" s="67"/>
      <c r="G833" s="67"/>
      <c r="H833" s="67"/>
      <c r="I833" s="67"/>
      <c r="J833" s="67"/>
      <c r="K833" s="85" t="str">
        <f aca="false">IF(AH833="","",N(F833)+N(G833)+N(H833)-N(I833)+N(J833))</f>
        <v/>
      </c>
      <c r="L833" s="67"/>
      <c r="M833" s="67"/>
      <c r="N833" s="67"/>
      <c r="O833" s="67"/>
      <c r="P833" s="85" t="str">
        <f aca="false">IF(AH833="","",K833+N(L833)+N(M833)+N(N833)+N(O833))</f>
        <v/>
      </c>
      <c r="Q833" s="67"/>
      <c r="R833" s="67"/>
      <c r="S833" s="67"/>
      <c r="T833" s="67"/>
      <c r="U833" s="67"/>
      <c r="V833" s="67"/>
      <c r="W833" s="85" t="str">
        <f aca="false">IF(AH833="","",N(Q833)+N(R833)+N(S833)+N(T833)+N(U833)+N(V833))</f>
        <v/>
      </c>
      <c r="X833" s="85" t="str">
        <f aca="false">IF(AH833="","",P833-W833)</f>
        <v/>
      </c>
      <c r="Y833" s="67"/>
      <c r="Z833" s="70" t="str">
        <f aca="false">IF(OR(AH833="",Y833=""),"",IF(ABS(X833-Y833)&lt;=1,"✓ Cuadra","⚠ Diferencia $"&amp;FIXED(X833-Y833,0)))</f>
        <v/>
      </c>
      <c r="AA833" s="72" t="str">
        <f aca="false">IF(AH833="","",IFERROR(INDEX(C_TIPO,MATCH(C833&amp;"-P"&amp;MAX(1,COUNTIFS(C_ID,C833,C_DEFINE,"Sí",C_INICIO,"&lt;="&amp;EOMONTH(B833,0))),C_CLAVE,0))&amp;"","Sin dato"))</f>
        <v/>
      </c>
      <c r="AB833" s="71" t="str">
        <f aca="false">IF(AH833="","",ROUND(MIN(K833,TOPE_AFP_UF*AJ833)*AK833,0))</f>
        <v/>
      </c>
      <c r="AC833" s="71" t="str">
        <f aca="false">IF(AH833="","",ROUND(MIN(K833,TOPE_AFC_UF*AJ833)*IF(AA833="Indefinido",AFC_EMP_INDEF,AFC_EMP_PF),0))</f>
        <v/>
      </c>
      <c r="AD833" s="71" t="str">
        <f aca="false">IF(AH833="","",ROUND(MIN(K833,TOPE_AFP_UF*AJ833)*(MUTUAL_BASICA+MUTUAL_ADIC+SANNA),0))</f>
        <v/>
      </c>
      <c r="AE833" s="71" t="str">
        <f aca="false">IF(AH833="","",P833-N(N833)+AB833+AC833+AD833)</f>
        <v/>
      </c>
      <c r="AF833" s="65"/>
      <c r="AG833" s="64"/>
      <c r="AH833" s="72" t="str">
        <f aca="false">IF(OR(B833="",C833=""),"",C833&amp;"|"&amp;(YEAR(B833)*100+MONTH(B833)))</f>
        <v/>
      </c>
      <c r="AI833" s="70" t="str">
        <f aca="false">IF(AH833="","",IF(COUNTIF(L_CLAVE,AH833)&gt;1,"⚠ Duplicado","OK"))</f>
        <v/>
      </c>
      <c r="AJ833" s="86" t="str">
        <f aca="false">IF(AH833="","",IF(SUMPRODUCT(MAX((IND_PER&lt;=B833)*(IND_UF&lt;&gt;"")*IND_PER))=0,UF_HOY,INDEX(IND_UF,MATCH(SUMPRODUCT(MAX((IND_PER&lt;=B833)*(IND_UF&lt;&gt;"")*IND_PER)),IND_PER,0))))</f>
        <v/>
      </c>
      <c r="AK833" s="87" t="str">
        <f aca="false">IF(AH833="","",IF(COUNTIF(TASA_DESDE,"&lt;="&amp;B833)=0,INDEX(TASA_EMP,1),INDEX(TASA_EMP,COUNTIF(TASA_DESDE,"&lt;="&amp;B833))))</f>
        <v/>
      </c>
    </row>
    <row r="834" customFormat="false" ht="15" hidden="false" customHeight="false" outlineLevel="0" collapsed="false">
      <c r="B834" s="78"/>
      <c r="C834" s="64"/>
      <c r="D834" s="72" t="str">
        <f aca="false">IF(C834="","",IFERROR(INDEX(T_NOMBRE,MATCH(C834,T_ID,0)),"⚠ ID no existe"))</f>
        <v/>
      </c>
      <c r="E834" s="69"/>
      <c r="F834" s="67"/>
      <c r="G834" s="67"/>
      <c r="H834" s="67"/>
      <c r="I834" s="67"/>
      <c r="J834" s="67"/>
      <c r="K834" s="85" t="str">
        <f aca="false">IF(AH834="","",N(F834)+N(G834)+N(H834)-N(I834)+N(J834))</f>
        <v/>
      </c>
      <c r="L834" s="67"/>
      <c r="M834" s="67"/>
      <c r="N834" s="67"/>
      <c r="O834" s="67"/>
      <c r="P834" s="85" t="str">
        <f aca="false">IF(AH834="","",K834+N(L834)+N(M834)+N(N834)+N(O834))</f>
        <v/>
      </c>
      <c r="Q834" s="67"/>
      <c r="R834" s="67"/>
      <c r="S834" s="67"/>
      <c r="T834" s="67"/>
      <c r="U834" s="67"/>
      <c r="V834" s="67"/>
      <c r="W834" s="85" t="str">
        <f aca="false">IF(AH834="","",N(Q834)+N(R834)+N(S834)+N(T834)+N(U834)+N(V834))</f>
        <v/>
      </c>
      <c r="X834" s="85" t="str">
        <f aca="false">IF(AH834="","",P834-W834)</f>
        <v/>
      </c>
      <c r="Y834" s="67"/>
      <c r="Z834" s="70" t="str">
        <f aca="false">IF(OR(AH834="",Y834=""),"",IF(ABS(X834-Y834)&lt;=1,"✓ Cuadra","⚠ Diferencia $"&amp;FIXED(X834-Y834,0)))</f>
        <v/>
      </c>
      <c r="AA834" s="72" t="str">
        <f aca="false">IF(AH834="","",IFERROR(INDEX(C_TIPO,MATCH(C834&amp;"-P"&amp;MAX(1,COUNTIFS(C_ID,C834,C_DEFINE,"Sí",C_INICIO,"&lt;="&amp;EOMONTH(B834,0))),C_CLAVE,0))&amp;"","Sin dato"))</f>
        <v/>
      </c>
      <c r="AB834" s="71" t="str">
        <f aca="false">IF(AH834="","",ROUND(MIN(K834,TOPE_AFP_UF*AJ834)*AK834,0))</f>
        <v/>
      </c>
      <c r="AC834" s="71" t="str">
        <f aca="false">IF(AH834="","",ROUND(MIN(K834,TOPE_AFC_UF*AJ834)*IF(AA834="Indefinido",AFC_EMP_INDEF,AFC_EMP_PF),0))</f>
        <v/>
      </c>
      <c r="AD834" s="71" t="str">
        <f aca="false">IF(AH834="","",ROUND(MIN(K834,TOPE_AFP_UF*AJ834)*(MUTUAL_BASICA+MUTUAL_ADIC+SANNA),0))</f>
        <v/>
      </c>
      <c r="AE834" s="71" t="str">
        <f aca="false">IF(AH834="","",P834-N(N834)+AB834+AC834+AD834)</f>
        <v/>
      </c>
      <c r="AF834" s="65"/>
      <c r="AG834" s="64"/>
      <c r="AH834" s="72" t="str">
        <f aca="false">IF(OR(B834="",C834=""),"",C834&amp;"|"&amp;(YEAR(B834)*100+MONTH(B834)))</f>
        <v/>
      </c>
      <c r="AI834" s="70" t="str">
        <f aca="false">IF(AH834="","",IF(COUNTIF(L_CLAVE,AH834)&gt;1,"⚠ Duplicado","OK"))</f>
        <v/>
      </c>
      <c r="AJ834" s="86" t="str">
        <f aca="false">IF(AH834="","",IF(SUMPRODUCT(MAX((IND_PER&lt;=B834)*(IND_UF&lt;&gt;"")*IND_PER))=0,UF_HOY,INDEX(IND_UF,MATCH(SUMPRODUCT(MAX((IND_PER&lt;=B834)*(IND_UF&lt;&gt;"")*IND_PER)),IND_PER,0))))</f>
        <v/>
      </c>
      <c r="AK834" s="87" t="str">
        <f aca="false">IF(AH834="","",IF(COUNTIF(TASA_DESDE,"&lt;="&amp;B834)=0,INDEX(TASA_EMP,1),INDEX(TASA_EMP,COUNTIF(TASA_DESDE,"&lt;="&amp;B834))))</f>
        <v/>
      </c>
    </row>
    <row r="835" customFormat="false" ht="15" hidden="false" customHeight="false" outlineLevel="0" collapsed="false">
      <c r="B835" s="78"/>
      <c r="C835" s="64"/>
      <c r="D835" s="72" t="str">
        <f aca="false">IF(C835="","",IFERROR(INDEX(T_NOMBRE,MATCH(C835,T_ID,0)),"⚠ ID no existe"))</f>
        <v/>
      </c>
      <c r="E835" s="69"/>
      <c r="F835" s="67"/>
      <c r="G835" s="67"/>
      <c r="H835" s="67"/>
      <c r="I835" s="67"/>
      <c r="J835" s="67"/>
      <c r="K835" s="85" t="str">
        <f aca="false">IF(AH835="","",N(F835)+N(G835)+N(H835)-N(I835)+N(J835))</f>
        <v/>
      </c>
      <c r="L835" s="67"/>
      <c r="M835" s="67"/>
      <c r="N835" s="67"/>
      <c r="O835" s="67"/>
      <c r="P835" s="85" t="str">
        <f aca="false">IF(AH835="","",K835+N(L835)+N(M835)+N(N835)+N(O835))</f>
        <v/>
      </c>
      <c r="Q835" s="67"/>
      <c r="R835" s="67"/>
      <c r="S835" s="67"/>
      <c r="T835" s="67"/>
      <c r="U835" s="67"/>
      <c r="V835" s="67"/>
      <c r="W835" s="85" t="str">
        <f aca="false">IF(AH835="","",N(Q835)+N(R835)+N(S835)+N(T835)+N(U835)+N(V835))</f>
        <v/>
      </c>
      <c r="X835" s="85" t="str">
        <f aca="false">IF(AH835="","",P835-W835)</f>
        <v/>
      </c>
      <c r="Y835" s="67"/>
      <c r="Z835" s="70" t="str">
        <f aca="false">IF(OR(AH835="",Y835=""),"",IF(ABS(X835-Y835)&lt;=1,"✓ Cuadra","⚠ Diferencia $"&amp;FIXED(X835-Y835,0)))</f>
        <v/>
      </c>
      <c r="AA835" s="72" t="str">
        <f aca="false">IF(AH835="","",IFERROR(INDEX(C_TIPO,MATCH(C835&amp;"-P"&amp;MAX(1,COUNTIFS(C_ID,C835,C_DEFINE,"Sí",C_INICIO,"&lt;="&amp;EOMONTH(B835,0))),C_CLAVE,0))&amp;"","Sin dato"))</f>
        <v/>
      </c>
      <c r="AB835" s="71" t="str">
        <f aca="false">IF(AH835="","",ROUND(MIN(K835,TOPE_AFP_UF*AJ835)*AK835,0))</f>
        <v/>
      </c>
      <c r="AC835" s="71" t="str">
        <f aca="false">IF(AH835="","",ROUND(MIN(K835,TOPE_AFC_UF*AJ835)*IF(AA835="Indefinido",AFC_EMP_INDEF,AFC_EMP_PF),0))</f>
        <v/>
      </c>
      <c r="AD835" s="71" t="str">
        <f aca="false">IF(AH835="","",ROUND(MIN(K835,TOPE_AFP_UF*AJ835)*(MUTUAL_BASICA+MUTUAL_ADIC+SANNA),0))</f>
        <v/>
      </c>
      <c r="AE835" s="71" t="str">
        <f aca="false">IF(AH835="","",P835-N(N835)+AB835+AC835+AD835)</f>
        <v/>
      </c>
      <c r="AF835" s="65"/>
      <c r="AG835" s="64"/>
      <c r="AH835" s="72" t="str">
        <f aca="false">IF(OR(B835="",C835=""),"",C835&amp;"|"&amp;(YEAR(B835)*100+MONTH(B835)))</f>
        <v/>
      </c>
      <c r="AI835" s="70" t="str">
        <f aca="false">IF(AH835="","",IF(COUNTIF(L_CLAVE,AH835)&gt;1,"⚠ Duplicado","OK"))</f>
        <v/>
      </c>
      <c r="AJ835" s="86" t="str">
        <f aca="false">IF(AH835="","",IF(SUMPRODUCT(MAX((IND_PER&lt;=B835)*(IND_UF&lt;&gt;"")*IND_PER))=0,UF_HOY,INDEX(IND_UF,MATCH(SUMPRODUCT(MAX((IND_PER&lt;=B835)*(IND_UF&lt;&gt;"")*IND_PER)),IND_PER,0))))</f>
        <v/>
      </c>
      <c r="AK835" s="87" t="str">
        <f aca="false">IF(AH835="","",IF(COUNTIF(TASA_DESDE,"&lt;="&amp;B835)=0,INDEX(TASA_EMP,1),INDEX(TASA_EMP,COUNTIF(TASA_DESDE,"&lt;="&amp;B835))))</f>
        <v/>
      </c>
    </row>
    <row r="836" customFormat="false" ht="15" hidden="false" customHeight="false" outlineLevel="0" collapsed="false">
      <c r="B836" s="78"/>
      <c r="C836" s="64"/>
      <c r="D836" s="72" t="str">
        <f aca="false">IF(C836="","",IFERROR(INDEX(T_NOMBRE,MATCH(C836,T_ID,0)),"⚠ ID no existe"))</f>
        <v/>
      </c>
      <c r="E836" s="69"/>
      <c r="F836" s="67"/>
      <c r="G836" s="67"/>
      <c r="H836" s="67"/>
      <c r="I836" s="67"/>
      <c r="J836" s="67"/>
      <c r="K836" s="85" t="str">
        <f aca="false">IF(AH836="","",N(F836)+N(G836)+N(H836)-N(I836)+N(J836))</f>
        <v/>
      </c>
      <c r="L836" s="67"/>
      <c r="M836" s="67"/>
      <c r="N836" s="67"/>
      <c r="O836" s="67"/>
      <c r="P836" s="85" t="str">
        <f aca="false">IF(AH836="","",K836+N(L836)+N(M836)+N(N836)+N(O836))</f>
        <v/>
      </c>
      <c r="Q836" s="67"/>
      <c r="R836" s="67"/>
      <c r="S836" s="67"/>
      <c r="T836" s="67"/>
      <c r="U836" s="67"/>
      <c r="V836" s="67"/>
      <c r="W836" s="85" t="str">
        <f aca="false">IF(AH836="","",N(Q836)+N(R836)+N(S836)+N(T836)+N(U836)+N(V836))</f>
        <v/>
      </c>
      <c r="X836" s="85" t="str">
        <f aca="false">IF(AH836="","",P836-W836)</f>
        <v/>
      </c>
      <c r="Y836" s="67"/>
      <c r="Z836" s="70" t="str">
        <f aca="false">IF(OR(AH836="",Y836=""),"",IF(ABS(X836-Y836)&lt;=1,"✓ Cuadra","⚠ Diferencia $"&amp;FIXED(X836-Y836,0)))</f>
        <v/>
      </c>
      <c r="AA836" s="72" t="str">
        <f aca="false">IF(AH836="","",IFERROR(INDEX(C_TIPO,MATCH(C836&amp;"-P"&amp;MAX(1,COUNTIFS(C_ID,C836,C_DEFINE,"Sí",C_INICIO,"&lt;="&amp;EOMONTH(B836,0))),C_CLAVE,0))&amp;"","Sin dato"))</f>
        <v/>
      </c>
      <c r="AB836" s="71" t="str">
        <f aca="false">IF(AH836="","",ROUND(MIN(K836,TOPE_AFP_UF*AJ836)*AK836,0))</f>
        <v/>
      </c>
      <c r="AC836" s="71" t="str">
        <f aca="false">IF(AH836="","",ROUND(MIN(K836,TOPE_AFC_UF*AJ836)*IF(AA836="Indefinido",AFC_EMP_INDEF,AFC_EMP_PF),0))</f>
        <v/>
      </c>
      <c r="AD836" s="71" t="str">
        <f aca="false">IF(AH836="","",ROUND(MIN(K836,TOPE_AFP_UF*AJ836)*(MUTUAL_BASICA+MUTUAL_ADIC+SANNA),0))</f>
        <v/>
      </c>
      <c r="AE836" s="71" t="str">
        <f aca="false">IF(AH836="","",P836-N(N836)+AB836+AC836+AD836)</f>
        <v/>
      </c>
      <c r="AF836" s="65"/>
      <c r="AG836" s="64"/>
      <c r="AH836" s="72" t="str">
        <f aca="false">IF(OR(B836="",C836=""),"",C836&amp;"|"&amp;(YEAR(B836)*100+MONTH(B836)))</f>
        <v/>
      </c>
      <c r="AI836" s="70" t="str">
        <f aca="false">IF(AH836="","",IF(COUNTIF(L_CLAVE,AH836)&gt;1,"⚠ Duplicado","OK"))</f>
        <v/>
      </c>
      <c r="AJ836" s="86" t="str">
        <f aca="false">IF(AH836="","",IF(SUMPRODUCT(MAX((IND_PER&lt;=B836)*(IND_UF&lt;&gt;"")*IND_PER))=0,UF_HOY,INDEX(IND_UF,MATCH(SUMPRODUCT(MAX((IND_PER&lt;=B836)*(IND_UF&lt;&gt;"")*IND_PER)),IND_PER,0))))</f>
        <v/>
      </c>
      <c r="AK836" s="87" t="str">
        <f aca="false">IF(AH836="","",IF(COUNTIF(TASA_DESDE,"&lt;="&amp;B836)=0,INDEX(TASA_EMP,1),INDEX(TASA_EMP,COUNTIF(TASA_DESDE,"&lt;="&amp;B836))))</f>
        <v/>
      </c>
    </row>
    <row r="837" customFormat="false" ht="15" hidden="false" customHeight="false" outlineLevel="0" collapsed="false">
      <c r="B837" s="78"/>
      <c r="C837" s="64"/>
      <c r="D837" s="72" t="str">
        <f aca="false">IF(C837="","",IFERROR(INDEX(T_NOMBRE,MATCH(C837,T_ID,0)),"⚠ ID no existe"))</f>
        <v/>
      </c>
      <c r="E837" s="69"/>
      <c r="F837" s="67"/>
      <c r="G837" s="67"/>
      <c r="H837" s="67"/>
      <c r="I837" s="67"/>
      <c r="J837" s="67"/>
      <c r="K837" s="85" t="str">
        <f aca="false">IF(AH837="","",N(F837)+N(G837)+N(H837)-N(I837)+N(J837))</f>
        <v/>
      </c>
      <c r="L837" s="67"/>
      <c r="M837" s="67"/>
      <c r="N837" s="67"/>
      <c r="O837" s="67"/>
      <c r="P837" s="85" t="str">
        <f aca="false">IF(AH837="","",K837+N(L837)+N(M837)+N(N837)+N(O837))</f>
        <v/>
      </c>
      <c r="Q837" s="67"/>
      <c r="R837" s="67"/>
      <c r="S837" s="67"/>
      <c r="T837" s="67"/>
      <c r="U837" s="67"/>
      <c r="V837" s="67"/>
      <c r="W837" s="85" t="str">
        <f aca="false">IF(AH837="","",N(Q837)+N(R837)+N(S837)+N(T837)+N(U837)+N(V837))</f>
        <v/>
      </c>
      <c r="X837" s="85" t="str">
        <f aca="false">IF(AH837="","",P837-W837)</f>
        <v/>
      </c>
      <c r="Y837" s="67"/>
      <c r="Z837" s="70" t="str">
        <f aca="false">IF(OR(AH837="",Y837=""),"",IF(ABS(X837-Y837)&lt;=1,"✓ Cuadra","⚠ Diferencia $"&amp;FIXED(X837-Y837,0)))</f>
        <v/>
      </c>
      <c r="AA837" s="72" t="str">
        <f aca="false">IF(AH837="","",IFERROR(INDEX(C_TIPO,MATCH(C837&amp;"-P"&amp;MAX(1,COUNTIFS(C_ID,C837,C_DEFINE,"Sí",C_INICIO,"&lt;="&amp;EOMONTH(B837,0))),C_CLAVE,0))&amp;"","Sin dato"))</f>
        <v/>
      </c>
      <c r="AB837" s="71" t="str">
        <f aca="false">IF(AH837="","",ROUND(MIN(K837,TOPE_AFP_UF*AJ837)*AK837,0))</f>
        <v/>
      </c>
      <c r="AC837" s="71" t="str">
        <f aca="false">IF(AH837="","",ROUND(MIN(K837,TOPE_AFC_UF*AJ837)*IF(AA837="Indefinido",AFC_EMP_INDEF,AFC_EMP_PF),0))</f>
        <v/>
      </c>
      <c r="AD837" s="71" t="str">
        <f aca="false">IF(AH837="","",ROUND(MIN(K837,TOPE_AFP_UF*AJ837)*(MUTUAL_BASICA+MUTUAL_ADIC+SANNA),0))</f>
        <v/>
      </c>
      <c r="AE837" s="71" t="str">
        <f aca="false">IF(AH837="","",P837-N(N837)+AB837+AC837+AD837)</f>
        <v/>
      </c>
      <c r="AF837" s="65"/>
      <c r="AG837" s="64"/>
      <c r="AH837" s="72" t="str">
        <f aca="false">IF(OR(B837="",C837=""),"",C837&amp;"|"&amp;(YEAR(B837)*100+MONTH(B837)))</f>
        <v/>
      </c>
      <c r="AI837" s="70" t="str">
        <f aca="false">IF(AH837="","",IF(COUNTIF(L_CLAVE,AH837)&gt;1,"⚠ Duplicado","OK"))</f>
        <v/>
      </c>
      <c r="AJ837" s="86" t="str">
        <f aca="false">IF(AH837="","",IF(SUMPRODUCT(MAX((IND_PER&lt;=B837)*(IND_UF&lt;&gt;"")*IND_PER))=0,UF_HOY,INDEX(IND_UF,MATCH(SUMPRODUCT(MAX((IND_PER&lt;=B837)*(IND_UF&lt;&gt;"")*IND_PER)),IND_PER,0))))</f>
        <v/>
      </c>
      <c r="AK837" s="87" t="str">
        <f aca="false">IF(AH837="","",IF(COUNTIF(TASA_DESDE,"&lt;="&amp;B837)=0,INDEX(TASA_EMP,1),INDEX(TASA_EMP,COUNTIF(TASA_DESDE,"&lt;="&amp;B837))))</f>
        <v/>
      </c>
    </row>
    <row r="838" customFormat="false" ht="15" hidden="false" customHeight="false" outlineLevel="0" collapsed="false">
      <c r="B838" s="78"/>
      <c r="C838" s="64"/>
      <c r="D838" s="72" t="str">
        <f aca="false">IF(C838="","",IFERROR(INDEX(T_NOMBRE,MATCH(C838,T_ID,0)),"⚠ ID no existe"))</f>
        <v/>
      </c>
      <c r="E838" s="69"/>
      <c r="F838" s="67"/>
      <c r="G838" s="67"/>
      <c r="H838" s="67"/>
      <c r="I838" s="67"/>
      <c r="J838" s="67"/>
      <c r="K838" s="85" t="str">
        <f aca="false">IF(AH838="","",N(F838)+N(G838)+N(H838)-N(I838)+N(J838))</f>
        <v/>
      </c>
      <c r="L838" s="67"/>
      <c r="M838" s="67"/>
      <c r="N838" s="67"/>
      <c r="O838" s="67"/>
      <c r="P838" s="85" t="str">
        <f aca="false">IF(AH838="","",K838+N(L838)+N(M838)+N(N838)+N(O838))</f>
        <v/>
      </c>
      <c r="Q838" s="67"/>
      <c r="R838" s="67"/>
      <c r="S838" s="67"/>
      <c r="T838" s="67"/>
      <c r="U838" s="67"/>
      <c r="V838" s="67"/>
      <c r="W838" s="85" t="str">
        <f aca="false">IF(AH838="","",N(Q838)+N(R838)+N(S838)+N(T838)+N(U838)+N(V838))</f>
        <v/>
      </c>
      <c r="X838" s="85" t="str">
        <f aca="false">IF(AH838="","",P838-W838)</f>
        <v/>
      </c>
      <c r="Y838" s="67"/>
      <c r="Z838" s="70" t="str">
        <f aca="false">IF(OR(AH838="",Y838=""),"",IF(ABS(X838-Y838)&lt;=1,"✓ Cuadra","⚠ Diferencia $"&amp;FIXED(X838-Y838,0)))</f>
        <v/>
      </c>
      <c r="AA838" s="72" t="str">
        <f aca="false">IF(AH838="","",IFERROR(INDEX(C_TIPO,MATCH(C838&amp;"-P"&amp;MAX(1,COUNTIFS(C_ID,C838,C_DEFINE,"Sí",C_INICIO,"&lt;="&amp;EOMONTH(B838,0))),C_CLAVE,0))&amp;"","Sin dato"))</f>
        <v/>
      </c>
      <c r="AB838" s="71" t="str">
        <f aca="false">IF(AH838="","",ROUND(MIN(K838,TOPE_AFP_UF*AJ838)*AK838,0))</f>
        <v/>
      </c>
      <c r="AC838" s="71" t="str">
        <f aca="false">IF(AH838="","",ROUND(MIN(K838,TOPE_AFC_UF*AJ838)*IF(AA838="Indefinido",AFC_EMP_INDEF,AFC_EMP_PF),0))</f>
        <v/>
      </c>
      <c r="AD838" s="71" t="str">
        <f aca="false">IF(AH838="","",ROUND(MIN(K838,TOPE_AFP_UF*AJ838)*(MUTUAL_BASICA+MUTUAL_ADIC+SANNA),0))</f>
        <v/>
      </c>
      <c r="AE838" s="71" t="str">
        <f aca="false">IF(AH838="","",P838-N(N838)+AB838+AC838+AD838)</f>
        <v/>
      </c>
      <c r="AF838" s="65"/>
      <c r="AG838" s="64"/>
      <c r="AH838" s="72" t="str">
        <f aca="false">IF(OR(B838="",C838=""),"",C838&amp;"|"&amp;(YEAR(B838)*100+MONTH(B838)))</f>
        <v/>
      </c>
      <c r="AI838" s="70" t="str">
        <f aca="false">IF(AH838="","",IF(COUNTIF(L_CLAVE,AH838)&gt;1,"⚠ Duplicado","OK"))</f>
        <v/>
      </c>
      <c r="AJ838" s="86" t="str">
        <f aca="false">IF(AH838="","",IF(SUMPRODUCT(MAX((IND_PER&lt;=B838)*(IND_UF&lt;&gt;"")*IND_PER))=0,UF_HOY,INDEX(IND_UF,MATCH(SUMPRODUCT(MAX((IND_PER&lt;=B838)*(IND_UF&lt;&gt;"")*IND_PER)),IND_PER,0))))</f>
        <v/>
      </c>
      <c r="AK838" s="87" t="str">
        <f aca="false">IF(AH838="","",IF(COUNTIF(TASA_DESDE,"&lt;="&amp;B838)=0,INDEX(TASA_EMP,1),INDEX(TASA_EMP,COUNTIF(TASA_DESDE,"&lt;="&amp;B838))))</f>
        <v/>
      </c>
    </row>
    <row r="839" customFormat="false" ht="15" hidden="false" customHeight="false" outlineLevel="0" collapsed="false">
      <c r="B839" s="78"/>
      <c r="C839" s="64"/>
      <c r="D839" s="72" t="str">
        <f aca="false">IF(C839="","",IFERROR(INDEX(T_NOMBRE,MATCH(C839,T_ID,0)),"⚠ ID no existe"))</f>
        <v/>
      </c>
      <c r="E839" s="69"/>
      <c r="F839" s="67"/>
      <c r="G839" s="67"/>
      <c r="H839" s="67"/>
      <c r="I839" s="67"/>
      <c r="J839" s="67"/>
      <c r="K839" s="85" t="str">
        <f aca="false">IF(AH839="","",N(F839)+N(G839)+N(H839)-N(I839)+N(J839))</f>
        <v/>
      </c>
      <c r="L839" s="67"/>
      <c r="M839" s="67"/>
      <c r="N839" s="67"/>
      <c r="O839" s="67"/>
      <c r="P839" s="85" t="str">
        <f aca="false">IF(AH839="","",K839+N(L839)+N(M839)+N(N839)+N(O839))</f>
        <v/>
      </c>
      <c r="Q839" s="67"/>
      <c r="R839" s="67"/>
      <c r="S839" s="67"/>
      <c r="T839" s="67"/>
      <c r="U839" s="67"/>
      <c r="V839" s="67"/>
      <c r="W839" s="85" t="str">
        <f aca="false">IF(AH839="","",N(Q839)+N(R839)+N(S839)+N(T839)+N(U839)+N(V839))</f>
        <v/>
      </c>
      <c r="X839" s="85" t="str">
        <f aca="false">IF(AH839="","",P839-W839)</f>
        <v/>
      </c>
      <c r="Y839" s="67"/>
      <c r="Z839" s="70" t="str">
        <f aca="false">IF(OR(AH839="",Y839=""),"",IF(ABS(X839-Y839)&lt;=1,"✓ Cuadra","⚠ Diferencia $"&amp;FIXED(X839-Y839,0)))</f>
        <v/>
      </c>
      <c r="AA839" s="72" t="str">
        <f aca="false">IF(AH839="","",IFERROR(INDEX(C_TIPO,MATCH(C839&amp;"-P"&amp;MAX(1,COUNTIFS(C_ID,C839,C_DEFINE,"Sí",C_INICIO,"&lt;="&amp;EOMONTH(B839,0))),C_CLAVE,0))&amp;"","Sin dato"))</f>
        <v/>
      </c>
      <c r="AB839" s="71" t="str">
        <f aca="false">IF(AH839="","",ROUND(MIN(K839,TOPE_AFP_UF*AJ839)*AK839,0))</f>
        <v/>
      </c>
      <c r="AC839" s="71" t="str">
        <f aca="false">IF(AH839="","",ROUND(MIN(K839,TOPE_AFC_UF*AJ839)*IF(AA839="Indefinido",AFC_EMP_INDEF,AFC_EMP_PF),0))</f>
        <v/>
      </c>
      <c r="AD839" s="71" t="str">
        <f aca="false">IF(AH839="","",ROUND(MIN(K839,TOPE_AFP_UF*AJ839)*(MUTUAL_BASICA+MUTUAL_ADIC+SANNA),0))</f>
        <v/>
      </c>
      <c r="AE839" s="71" t="str">
        <f aca="false">IF(AH839="","",P839-N(N839)+AB839+AC839+AD839)</f>
        <v/>
      </c>
      <c r="AF839" s="65"/>
      <c r="AG839" s="64"/>
      <c r="AH839" s="72" t="str">
        <f aca="false">IF(OR(B839="",C839=""),"",C839&amp;"|"&amp;(YEAR(B839)*100+MONTH(B839)))</f>
        <v/>
      </c>
      <c r="AI839" s="70" t="str">
        <f aca="false">IF(AH839="","",IF(COUNTIF(L_CLAVE,AH839)&gt;1,"⚠ Duplicado","OK"))</f>
        <v/>
      </c>
      <c r="AJ839" s="86" t="str">
        <f aca="false">IF(AH839="","",IF(SUMPRODUCT(MAX((IND_PER&lt;=B839)*(IND_UF&lt;&gt;"")*IND_PER))=0,UF_HOY,INDEX(IND_UF,MATCH(SUMPRODUCT(MAX((IND_PER&lt;=B839)*(IND_UF&lt;&gt;"")*IND_PER)),IND_PER,0))))</f>
        <v/>
      </c>
      <c r="AK839" s="87" t="str">
        <f aca="false">IF(AH839="","",IF(COUNTIF(TASA_DESDE,"&lt;="&amp;B839)=0,INDEX(TASA_EMP,1),INDEX(TASA_EMP,COUNTIF(TASA_DESDE,"&lt;="&amp;B839))))</f>
        <v/>
      </c>
    </row>
    <row r="840" customFormat="false" ht="15" hidden="false" customHeight="false" outlineLevel="0" collapsed="false">
      <c r="B840" s="78"/>
      <c r="C840" s="64"/>
      <c r="D840" s="72" t="str">
        <f aca="false">IF(C840="","",IFERROR(INDEX(T_NOMBRE,MATCH(C840,T_ID,0)),"⚠ ID no existe"))</f>
        <v/>
      </c>
      <c r="E840" s="69"/>
      <c r="F840" s="67"/>
      <c r="G840" s="67"/>
      <c r="H840" s="67"/>
      <c r="I840" s="67"/>
      <c r="J840" s="67"/>
      <c r="K840" s="85" t="str">
        <f aca="false">IF(AH840="","",N(F840)+N(G840)+N(H840)-N(I840)+N(J840))</f>
        <v/>
      </c>
      <c r="L840" s="67"/>
      <c r="M840" s="67"/>
      <c r="N840" s="67"/>
      <c r="O840" s="67"/>
      <c r="P840" s="85" t="str">
        <f aca="false">IF(AH840="","",K840+N(L840)+N(M840)+N(N840)+N(O840))</f>
        <v/>
      </c>
      <c r="Q840" s="67"/>
      <c r="R840" s="67"/>
      <c r="S840" s="67"/>
      <c r="T840" s="67"/>
      <c r="U840" s="67"/>
      <c r="V840" s="67"/>
      <c r="W840" s="85" t="str">
        <f aca="false">IF(AH840="","",N(Q840)+N(R840)+N(S840)+N(T840)+N(U840)+N(V840))</f>
        <v/>
      </c>
      <c r="X840" s="85" t="str">
        <f aca="false">IF(AH840="","",P840-W840)</f>
        <v/>
      </c>
      <c r="Y840" s="67"/>
      <c r="Z840" s="70" t="str">
        <f aca="false">IF(OR(AH840="",Y840=""),"",IF(ABS(X840-Y840)&lt;=1,"✓ Cuadra","⚠ Diferencia $"&amp;FIXED(X840-Y840,0)))</f>
        <v/>
      </c>
      <c r="AA840" s="72" t="str">
        <f aca="false">IF(AH840="","",IFERROR(INDEX(C_TIPO,MATCH(C840&amp;"-P"&amp;MAX(1,COUNTIFS(C_ID,C840,C_DEFINE,"Sí",C_INICIO,"&lt;="&amp;EOMONTH(B840,0))),C_CLAVE,0))&amp;"","Sin dato"))</f>
        <v/>
      </c>
      <c r="AB840" s="71" t="str">
        <f aca="false">IF(AH840="","",ROUND(MIN(K840,TOPE_AFP_UF*AJ840)*AK840,0))</f>
        <v/>
      </c>
      <c r="AC840" s="71" t="str">
        <f aca="false">IF(AH840="","",ROUND(MIN(K840,TOPE_AFC_UF*AJ840)*IF(AA840="Indefinido",AFC_EMP_INDEF,AFC_EMP_PF),0))</f>
        <v/>
      </c>
      <c r="AD840" s="71" t="str">
        <f aca="false">IF(AH840="","",ROUND(MIN(K840,TOPE_AFP_UF*AJ840)*(MUTUAL_BASICA+MUTUAL_ADIC+SANNA),0))</f>
        <v/>
      </c>
      <c r="AE840" s="71" t="str">
        <f aca="false">IF(AH840="","",P840-N(N840)+AB840+AC840+AD840)</f>
        <v/>
      </c>
      <c r="AF840" s="65"/>
      <c r="AG840" s="64"/>
      <c r="AH840" s="72" t="str">
        <f aca="false">IF(OR(B840="",C840=""),"",C840&amp;"|"&amp;(YEAR(B840)*100+MONTH(B840)))</f>
        <v/>
      </c>
      <c r="AI840" s="70" t="str">
        <f aca="false">IF(AH840="","",IF(COUNTIF(L_CLAVE,AH840)&gt;1,"⚠ Duplicado","OK"))</f>
        <v/>
      </c>
      <c r="AJ840" s="86" t="str">
        <f aca="false">IF(AH840="","",IF(SUMPRODUCT(MAX((IND_PER&lt;=B840)*(IND_UF&lt;&gt;"")*IND_PER))=0,UF_HOY,INDEX(IND_UF,MATCH(SUMPRODUCT(MAX((IND_PER&lt;=B840)*(IND_UF&lt;&gt;"")*IND_PER)),IND_PER,0))))</f>
        <v/>
      </c>
      <c r="AK840" s="87" t="str">
        <f aca="false">IF(AH840="","",IF(COUNTIF(TASA_DESDE,"&lt;="&amp;B840)=0,INDEX(TASA_EMP,1),INDEX(TASA_EMP,COUNTIF(TASA_DESDE,"&lt;="&amp;B840))))</f>
        <v/>
      </c>
    </row>
    <row r="841" customFormat="false" ht="15" hidden="false" customHeight="false" outlineLevel="0" collapsed="false">
      <c r="B841" s="78"/>
      <c r="C841" s="64"/>
      <c r="D841" s="72" t="str">
        <f aca="false">IF(C841="","",IFERROR(INDEX(T_NOMBRE,MATCH(C841,T_ID,0)),"⚠ ID no existe"))</f>
        <v/>
      </c>
      <c r="E841" s="69"/>
      <c r="F841" s="67"/>
      <c r="G841" s="67"/>
      <c r="H841" s="67"/>
      <c r="I841" s="67"/>
      <c r="J841" s="67"/>
      <c r="K841" s="85" t="str">
        <f aca="false">IF(AH841="","",N(F841)+N(G841)+N(H841)-N(I841)+N(J841))</f>
        <v/>
      </c>
      <c r="L841" s="67"/>
      <c r="M841" s="67"/>
      <c r="N841" s="67"/>
      <c r="O841" s="67"/>
      <c r="P841" s="85" t="str">
        <f aca="false">IF(AH841="","",K841+N(L841)+N(M841)+N(N841)+N(O841))</f>
        <v/>
      </c>
      <c r="Q841" s="67"/>
      <c r="R841" s="67"/>
      <c r="S841" s="67"/>
      <c r="T841" s="67"/>
      <c r="U841" s="67"/>
      <c r="V841" s="67"/>
      <c r="W841" s="85" t="str">
        <f aca="false">IF(AH841="","",N(Q841)+N(R841)+N(S841)+N(T841)+N(U841)+N(V841))</f>
        <v/>
      </c>
      <c r="X841" s="85" t="str">
        <f aca="false">IF(AH841="","",P841-W841)</f>
        <v/>
      </c>
      <c r="Y841" s="67"/>
      <c r="Z841" s="70" t="str">
        <f aca="false">IF(OR(AH841="",Y841=""),"",IF(ABS(X841-Y841)&lt;=1,"✓ Cuadra","⚠ Diferencia $"&amp;FIXED(X841-Y841,0)))</f>
        <v/>
      </c>
      <c r="AA841" s="72" t="str">
        <f aca="false">IF(AH841="","",IFERROR(INDEX(C_TIPO,MATCH(C841&amp;"-P"&amp;MAX(1,COUNTIFS(C_ID,C841,C_DEFINE,"Sí",C_INICIO,"&lt;="&amp;EOMONTH(B841,0))),C_CLAVE,0))&amp;"","Sin dato"))</f>
        <v/>
      </c>
      <c r="AB841" s="71" t="str">
        <f aca="false">IF(AH841="","",ROUND(MIN(K841,TOPE_AFP_UF*AJ841)*AK841,0))</f>
        <v/>
      </c>
      <c r="AC841" s="71" t="str">
        <f aca="false">IF(AH841="","",ROUND(MIN(K841,TOPE_AFC_UF*AJ841)*IF(AA841="Indefinido",AFC_EMP_INDEF,AFC_EMP_PF),0))</f>
        <v/>
      </c>
      <c r="AD841" s="71" t="str">
        <f aca="false">IF(AH841="","",ROUND(MIN(K841,TOPE_AFP_UF*AJ841)*(MUTUAL_BASICA+MUTUAL_ADIC+SANNA),0))</f>
        <v/>
      </c>
      <c r="AE841" s="71" t="str">
        <f aca="false">IF(AH841="","",P841-N(N841)+AB841+AC841+AD841)</f>
        <v/>
      </c>
      <c r="AF841" s="65"/>
      <c r="AG841" s="64"/>
      <c r="AH841" s="72" t="str">
        <f aca="false">IF(OR(B841="",C841=""),"",C841&amp;"|"&amp;(YEAR(B841)*100+MONTH(B841)))</f>
        <v/>
      </c>
      <c r="AI841" s="70" t="str">
        <f aca="false">IF(AH841="","",IF(COUNTIF(L_CLAVE,AH841)&gt;1,"⚠ Duplicado","OK"))</f>
        <v/>
      </c>
      <c r="AJ841" s="86" t="str">
        <f aca="false">IF(AH841="","",IF(SUMPRODUCT(MAX((IND_PER&lt;=B841)*(IND_UF&lt;&gt;"")*IND_PER))=0,UF_HOY,INDEX(IND_UF,MATCH(SUMPRODUCT(MAX((IND_PER&lt;=B841)*(IND_UF&lt;&gt;"")*IND_PER)),IND_PER,0))))</f>
        <v/>
      </c>
      <c r="AK841" s="87" t="str">
        <f aca="false">IF(AH841="","",IF(COUNTIF(TASA_DESDE,"&lt;="&amp;B841)=0,INDEX(TASA_EMP,1),INDEX(TASA_EMP,COUNTIF(TASA_DESDE,"&lt;="&amp;B841))))</f>
        <v/>
      </c>
    </row>
    <row r="842" customFormat="false" ht="15" hidden="false" customHeight="false" outlineLevel="0" collapsed="false">
      <c r="B842" s="78"/>
      <c r="C842" s="64"/>
      <c r="D842" s="72" t="str">
        <f aca="false">IF(C842="","",IFERROR(INDEX(T_NOMBRE,MATCH(C842,T_ID,0)),"⚠ ID no existe"))</f>
        <v/>
      </c>
      <c r="E842" s="69"/>
      <c r="F842" s="67"/>
      <c r="G842" s="67"/>
      <c r="H842" s="67"/>
      <c r="I842" s="67"/>
      <c r="J842" s="67"/>
      <c r="K842" s="85" t="str">
        <f aca="false">IF(AH842="","",N(F842)+N(G842)+N(H842)-N(I842)+N(J842))</f>
        <v/>
      </c>
      <c r="L842" s="67"/>
      <c r="M842" s="67"/>
      <c r="N842" s="67"/>
      <c r="O842" s="67"/>
      <c r="P842" s="85" t="str">
        <f aca="false">IF(AH842="","",K842+N(L842)+N(M842)+N(N842)+N(O842))</f>
        <v/>
      </c>
      <c r="Q842" s="67"/>
      <c r="R842" s="67"/>
      <c r="S842" s="67"/>
      <c r="T842" s="67"/>
      <c r="U842" s="67"/>
      <c r="V842" s="67"/>
      <c r="W842" s="85" t="str">
        <f aca="false">IF(AH842="","",N(Q842)+N(R842)+N(S842)+N(T842)+N(U842)+N(V842))</f>
        <v/>
      </c>
      <c r="X842" s="85" t="str">
        <f aca="false">IF(AH842="","",P842-W842)</f>
        <v/>
      </c>
      <c r="Y842" s="67"/>
      <c r="Z842" s="70" t="str">
        <f aca="false">IF(OR(AH842="",Y842=""),"",IF(ABS(X842-Y842)&lt;=1,"✓ Cuadra","⚠ Diferencia $"&amp;FIXED(X842-Y842,0)))</f>
        <v/>
      </c>
      <c r="AA842" s="72" t="str">
        <f aca="false">IF(AH842="","",IFERROR(INDEX(C_TIPO,MATCH(C842&amp;"-P"&amp;MAX(1,COUNTIFS(C_ID,C842,C_DEFINE,"Sí",C_INICIO,"&lt;="&amp;EOMONTH(B842,0))),C_CLAVE,0))&amp;"","Sin dato"))</f>
        <v/>
      </c>
      <c r="AB842" s="71" t="str">
        <f aca="false">IF(AH842="","",ROUND(MIN(K842,TOPE_AFP_UF*AJ842)*AK842,0))</f>
        <v/>
      </c>
      <c r="AC842" s="71" t="str">
        <f aca="false">IF(AH842="","",ROUND(MIN(K842,TOPE_AFC_UF*AJ842)*IF(AA842="Indefinido",AFC_EMP_INDEF,AFC_EMP_PF),0))</f>
        <v/>
      </c>
      <c r="AD842" s="71" t="str">
        <f aca="false">IF(AH842="","",ROUND(MIN(K842,TOPE_AFP_UF*AJ842)*(MUTUAL_BASICA+MUTUAL_ADIC+SANNA),0))</f>
        <v/>
      </c>
      <c r="AE842" s="71" t="str">
        <f aca="false">IF(AH842="","",P842-N(N842)+AB842+AC842+AD842)</f>
        <v/>
      </c>
      <c r="AF842" s="65"/>
      <c r="AG842" s="64"/>
      <c r="AH842" s="72" t="str">
        <f aca="false">IF(OR(B842="",C842=""),"",C842&amp;"|"&amp;(YEAR(B842)*100+MONTH(B842)))</f>
        <v/>
      </c>
      <c r="AI842" s="70" t="str">
        <f aca="false">IF(AH842="","",IF(COUNTIF(L_CLAVE,AH842)&gt;1,"⚠ Duplicado","OK"))</f>
        <v/>
      </c>
      <c r="AJ842" s="86" t="str">
        <f aca="false">IF(AH842="","",IF(SUMPRODUCT(MAX((IND_PER&lt;=B842)*(IND_UF&lt;&gt;"")*IND_PER))=0,UF_HOY,INDEX(IND_UF,MATCH(SUMPRODUCT(MAX((IND_PER&lt;=B842)*(IND_UF&lt;&gt;"")*IND_PER)),IND_PER,0))))</f>
        <v/>
      </c>
      <c r="AK842" s="87" t="str">
        <f aca="false">IF(AH842="","",IF(COUNTIF(TASA_DESDE,"&lt;="&amp;B842)=0,INDEX(TASA_EMP,1),INDEX(TASA_EMP,COUNTIF(TASA_DESDE,"&lt;="&amp;B842))))</f>
        <v/>
      </c>
    </row>
    <row r="843" customFormat="false" ht="15" hidden="false" customHeight="false" outlineLevel="0" collapsed="false">
      <c r="B843" s="78"/>
      <c r="C843" s="64"/>
      <c r="D843" s="72" t="str">
        <f aca="false">IF(C843="","",IFERROR(INDEX(T_NOMBRE,MATCH(C843,T_ID,0)),"⚠ ID no existe"))</f>
        <v/>
      </c>
      <c r="E843" s="69"/>
      <c r="F843" s="67"/>
      <c r="G843" s="67"/>
      <c r="H843" s="67"/>
      <c r="I843" s="67"/>
      <c r="J843" s="67"/>
      <c r="K843" s="85" t="str">
        <f aca="false">IF(AH843="","",N(F843)+N(G843)+N(H843)-N(I843)+N(J843))</f>
        <v/>
      </c>
      <c r="L843" s="67"/>
      <c r="M843" s="67"/>
      <c r="N843" s="67"/>
      <c r="O843" s="67"/>
      <c r="P843" s="85" t="str">
        <f aca="false">IF(AH843="","",K843+N(L843)+N(M843)+N(N843)+N(O843))</f>
        <v/>
      </c>
      <c r="Q843" s="67"/>
      <c r="R843" s="67"/>
      <c r="S843" s="67"/>
      <c r="T843" s="67"/>
      <c r="U843" s="67"/>
      <c r="V843" s="67"/>
      <c r="W843" s="85" t="str">
        <f aca="false">IF(AH843="","",N(Q843)+N(R843)+N(S843)+N(T843)+N(U843)+N(V843))</f>
        <v/>
      </c>
      <c r="X843" s="85" t="str">
        <f aca="false">IF(AH843="","",P843-W843)</f>
        <v/>
      </c>
      <c r="Y843" s="67"/>
      <c r="Z843" s="70" t="str">
        <f aca="false">IF(OR(AH843="",Y843=""),"",IF(ABS(X843-Y843)&lt;=1,"✓ Cuadra","⚠ Diferencia $"&amp;FIXED(X843-Y843,0)))</f>
        <v/>
      </c>
      <c r="AA843" s="72" t="str">
        <f aca="false">IF(AH843="","",IFERROR(INDEX(C_TIPO,MATCH(C843&amp;"-P"&amp;MAX(1,COUNTIFS(C_ID,C843,C_DEFINE,"Sí",C_INICIO,"&lt;="&amp;EOMONTH(B843,0))),C_CLAVE,0))&amp;"","Sin dato"))</f>
        <v/>
      </c>
      <c r="AB843" s="71" t="str">
        <f aca="false">IF(AH843="","",ROUND(MIN(K843,TOPE_AFP_UF*AJ843)*AK843,0))</f>
        <v/>
      </c>
      <c r="AC843" s="71" t="str">
        <f aca="false">IF(AH843="","",ROUND(MIN(K843,TOPE_AFC_UF*AJ843)*IF(AA843="Indefinido",AFC_EMP_INDEF,AFC_EMP_PF),0))</f>
        <v/>
      </c>
      <c r="AD843" s="71" t="str">
        <f aca="false">IF(AH843="","",ROUND(MIN(K843,TOPE_AFP_UF*AJ843)*(MUTUAL_BASICA+MUTUAL_ADIC+SANNA),0))</f>
        <v/>
      </c>
      <c r="AE843" s="71" t="str">
        <f aca="false">IF(AH843="","",P843-N(N843)+AB843+AC843+AD843)</f>
        <v/>
      </c>
      <c r="AF843" s="65"/>
      <c r="AG843" s="64"/>
      <c r="AH843" s="72" t="str">
        <f aca="false">IF(OR(B843="",C843=""),"",C843&amp;"|"&amp;(YEAR(B843)*100+MONTH(B843)))</f>
        <v/>
      </c>
      <c r="AI843" s="70" t="str">
        <f aca="false">IF(AH843="","",IF(COUNTIF(L_CLAVE,AH843)&gt;1,"⚠ Duplicado","OK"))</f>
        <v/>
      </c>
      <c r="AJ843" s="86" t="str">
        <f aca="false">IF(AH843="","",IF(SUMPRODUCT(MAX((IND_PER&lt;=B843)*(IND_UF&lt;&gt;"")*IND_PER))=0,UF_HOY,INDEX(IND_UF,MATCH(SUMPRODUCT(MAX((IND_PER&lt;=B843)*(IND_UF&lt;&gt;"")*IND_PER)),IND_PER,0))))</f>
        <v/>
      </c>
      <c r="AK843" s="87" t="str">
        <f aca="false">IF(AH843="","",IF(COUNTIF(TASA_DESDE,"&lt;="&amp;B843)=0,INDEX(TASA_EMP,1),INDEX(TASA_EMP,COUNTIF(TASA_DESDE,"&lt;="&amp;B843))))</f>
        <v/>
      </c>
    </row>
    <row r="844" customFormat="false" ht="15" hidden="false" customHeight="false" outlineLevel="0" collapsed="false">
      <c r="B844" s="78"/>
      <c r="C844" s="64"/>
      <c r="D844" s="72" t="str">
        <f aca="false">IF(C844="","",IFERROR(INDEX(T_NOMBRE,MATCH(C844,T_ID,0)),"⚠ ID no existe"))</f>
        <v/>
      </c>
      <c r="E844" s="69"/>
      <c r="F844" s="67"/>
      <c r="G844" s="67"/>
      <c r="H844" s="67"/>
      <c r="I844" s="67"/>
      <c r="J844" s="67"/>
      <c r="K844" s="85" t="str">
        <f aca="false">IF(AH844="","",N(F844)+N(G844)+N(H844)-N(I844)+N(J844))</f>
        <v/>
      </c>
      <c r="L844" s="67"/>
      <c r="M844" s="67"/>
      <c r="N844" s="67"/>
      <c r="O844" s="67"/>
      <c r="P844" s="85" t="str">
        <f aca="false">IF(AH844="","",K844+N(L844)+N(M844)+N(N844)+N(O844))</f>
        <v/>
      </c>
      <c r="Q844" s="67"/>
      <c r="R844" s="67"/>
      <c r="S844" s="67"/>
      <c r="T844" s="67"/>
      <c r="U844" s="67"/>
      <c r="V844" s="67"/>
      <c r="W844" s="85" t="str">
        <f aca="false">IF(AH844="","",N(Q844)+N(R844)+N(S844)+N(T844)+N(U844)+N(V844))</f>
        <v/>
      </c>
      <c r="X844" s="85" t="str">
        <f aca="false">IF(AH844="","",P844-W844)</f>
        <v/>
      </c>
      <c r="Y844" s="67"/>
      <c r="Z844" s="70" t="str">
        <f aca="false">IF(OR(AH844="",Y844=""),"",IF(ABS(X844-Y844)&lt;=1,"✓ Cuadra","⚠ Diferencia $"&amp;FIXED(X844-Y844,0)))</f>
        <v/>
      </c>
      <c r="AA844" s="72" t="str">
        <f aca="false">IF(AH844="","",IFERROR(INDEX(C_TIPO,MATCH(C844&amp;"-P"&amp;MAX(1,COUNTIFS(C_ID,C844,C_DEFINE,"Sí",C_INICIO,"&lt;="&amp;EOMONTH(B844,0))),C_CLAVE,0))&amp;"","Sin dato"))</f>
        <v/>
      </c>
      <c r="AB844" s="71" t="str">
        <f aca="false">IF(AH844="","",ROUND(MIN(K844,TOPE_AFP_UF*AJ844)*AK844,0))</f>
        <v/>
      </c>
      <c r="AC844" s="71" t="str">
        <f aca="false">IF(AH844="","",ROUND(MIN(K844,TOPE_AFC_UF*AJ844)*IF(AA844="Indefinido",AFC_EMP_INDEF,AFC_EMP_PF),0))</f>
        <v/>
      </c>
      <c r="AD844" s="71" t="str">
        <f aca="false">IF(AH844="","",ROUND(MIN(K844,TOPE_AFP_UF*AJ844)*(MUTUAL_BASICA+MUTUAL_ADIC+SANNA),0))</f>
        <v/>
      </c>
      <c r="AE844" s="71" t="str">
        <f aca="false">IF(AH844="","",P844-N(N844)+AB844+AC844+AD844)</f>
        <v/>
      </c>
      <c r="AF844" s="65"/>
      <c r="AG844" s="64"/>
      <c r="AH844" s="72" t="str">
        <f aca="false">IF(OR(B844="",C844=""),"",C844&amp;"|"&amp;(YEAR(B844)*100+MONTH(B844)))</f>
        <v/>
      </c>
      <c r="AI844" s="70" t="str">
        <f aca="false">IF(AH844="","",IF(COUNTIF(L_CLAVE,AH844)&gt;1,"⚠ Duplicado","OK"))</f>
        <v/>
      </c>
      <c r="AJ844" s="86" t="str">
        <f aca="false">IF(AH844="","",IF(SUMPRODUCT(MAX((IND_PER&lt;=B844)*(IND_UF&lt;&gt;"")*IND_PER))=0,UF_HOY,INDEX(IND_UF,MATCH(SUMPRODUCT(MAX((IND_PER&lt;=B844)*(IND_UF&lt;&gt;"")*IND_PER)),IND_PER,0))))</f>
        <v/>
      </c>
      <c r="AK844" s="87" t="str">
        <f aca="false">IF(AH844="","",IF(COUNTIF(TASA_DESDE,"&lt;="&amp;B844)=0,INDEX(TASA_EMP,1),INDEX(TASA_EMP,COUNTIF(TASA_DESDE,"&lt;="&amp;B844))))</f>
        <v/>
      </c>
    </row>
    <row r="845" customFormat="false" ht="15" hidden="false" customHeight="false" outlineLevel="0" collapsed="false">
      <c r="B845" s="78"/>
      <c r="C845" s="64"/>
      <c r="D845" s="72" t="str">
        <f aca="false">IF(C845="","",IFERROR(INDEX(T_NOMBRE,MATCH(C845,T_ID,0)),"⚠ ID no existe"))</f>
        <v/>
      </c>
      <c r="E845" s="69"/>
      <c r="F845" s="67"/>
      <c r="G845" s="67"/>
      <c r="H845" s="67"/>
      <c r="I845" s="67"/>
      <c r="J845" s="67"/>
      <c r="K845" s="85" t="str">
        <f aca="false">IF(AH845="","",N(F845)+N(G845)+N(H845)-N(I845)+N(J845))</f>
        <v/>
      </c>
      <c r="L845" s="67"/>
      <c r="M845" s="67"/>
      <c r="N845" s="67"/>
      <c r="O845" s="67"/>
      <c r="P845" s="85" t="str">
        <f aca="false">IF(AH845="","",K845+N(L845)+N(M845)+N(N845)+N(O845))</f>
        <v/>
      </c>
      <c r="Q845" s="67"/>
      <c r="R845" s="67"/>
      <c r="S845" s="67"/>
      <c r="T845" s="67"/>
      <c r="U845" s="67"/>
      <c r="V845" s="67"/>
      <c r="W845" s="85" t="str">
        <f aca="false">IF(AH845="","",N(Q845)+N(R845)+N(S845)+N(T845)+N(U845)+N(V845))</f>
        <v/>
      </c>
      <c r="X845" s="85" t="str">
        <f aca="false">IF(AH845="","",P845-W845)</f>
        <v/>
      </c>
      <c r="Y845" s="67"/>
      <c r="Z845" s="70" t="str">
        <f aca="false">IF(OR(AH845="",Y845=""),"",IF(ABS(X845-Y845)&lt;=1,"✓ Cuadra","⚠ Diferencia $"&amp;FIXED(X845-Y845,0)))</f>
        <v/>
      </c>
      <c r="AA845" s="72" t="str">
        <f aca="false">IF(AH845="","",IFERROR(INDEX(C_TIPO,MATCH(C845&amp;"-P"&amp;MAX(1,COUNTIFS(C_ID,C845,C_DEFINE,"Sí",C_INICIO,"&lt;="&amp;EOMONTH(B845,0))),C_CLAVE,0))&amp;"","Sin dato"))</f>
        <v/>
      </c>
      <c r="AB845" s="71" t="str">
        <f aca="false">IF(AH845="","",ROUND(MIN(K845,TOPE_AFP_UF*AJ845)*AK845,0))</f>
        <v/>
      </c>
      <c r="AC845" s="71" t="str">
        <f aca="false">IF(AH845="","",ROUND(MIN(K845,TOPE_AFC_UF*AJ845)*IF(AA845="Indefinido",AFC_EMP_INDEF,AFC_EMP_PF),0))</f>
        <v/>
      </c>
      <c r="AD845" s="71" t="str">
        <f aca="false">IF(AH845="","",ROUND(MIN(K845,TOPE_AFP_UF*AJ845)*(MUTUAL_BASICA+MUTUAL_ADIC+SANNA),0))</f>
        <v/>
      </c>
      <c r="AE845" s="71" t="str">
        <f aca="false">IF(AH845="","",P845-N(N845)+AB845+AC845+AD845)</f>
        <v/>
      </c>
      <c r="AF845" s="65"/>
      <c r="AG845" s="64"/>
      <c r="AH845" s="72" t="str">
        <f aca="false">IF(OR(B845="",C845=""),"",C845&amp;"|"&amp;(YEAR(B845)*100+MONTH(B845)))</f>
        <v/>
      </c>
      <c r="AI845" s="70" t="str">
        <f aca="false">IF(AH845="","",IF(COUNTIF(L_CLAVE,AH845)&gt;1,"⚠ Duplicado","OK"))</f>
        <v/>
      </c>
      <c r="AJ845" s="86" t="str">
        <f aca="false">IF(AH845="","",IF(SUMPRODUCT(MAX((IND_PER&lt;=B845)*(IND_UF&lt;&gt;"")*IND_PER))=0,UF_HOY,INDEX(IND_UF,MATCH(SUMPRODUCT(MAX((IND_PER&lt;=B845)*(IND_UF&lt;&gt;"")*IND_PER)),IND_PER,0))))</f>
        <v/>
      </c>
      <c r="AK845" s="87" t="str">
        <f aca="false">IF(AH845="","",IF(COUNTIF(TASA_DESDE,"&lt;="&amp;B845)=0,INDEX(TASA_EMP,1),INDEX(TASA_EMP,COUNTIF(TASA_DESDE,"&lt;="&amp;B845))))</f>
        <v/>
      </c>
    </row>
    <row r="846" customFormat="false" ht="15" hidden="false" customHeight="false" outlineLevel="0" collapsed="false">
      <c r="B846" s="78"/>
      <c r="C846" s="64"/>
      <c r="D846" s="72" t="str">
        <f aca="false">IF(C846="","",IFERROR(INDEX(T_NOMBRE,MATCH(C846,T_ID,0)),"⚠ ID no existe"))</f>
        <v/>
      </c>
      <c r="E846" s="69"/>
      <c r="F846" s="67"/>
      <c r="G846" s="67"/>
      <c r="H846" s="67"/>
      <c r="I846" s="67"/>
      <c r="J846" s="67"/>
      <c r="K846" s="85" t="str">
        <f aca="false">IF(AH846="","",N(F846)+N(G846)+N(H846)-N(I846)+N(J846))</f>
        <v/>
      </c>
      <c r="L846" s="67"/>
      <c r="M846" s="67"/>
      <c r="N846" s="67"/>
      <c r="O846" s="67"/>
      <c r="P846" s="85" t="str">
        <f aca="false">IF(AH846="","",K846+N(L846)+N(M846)+N(N846)+N(O846))</f>
        <v/>
      </c>
      <c r="Q846" s="67"/>
      <c r="R846" s="67"/>
      <c r="S846" s="67"/>
      <c r="T846" s="67"/>
      <c r="U846" s="67"/>
      <c r="V846" s="67"/>
      <c r="W846" s="85" t="str">
        <f aca="false">IF(AH846="","",N(Q846)+N(R846)+N(S846)+N(T846)+N(U846)+N(V846))</f>
        <v/>
      </c>
      <c r="X846" s="85" t="str">
        <f aca="false">IF(AH846="","",P846-W846)</f>
        <v/>
      </c>
      <c r="Y846" s="67"/>
      <c r="Z846" s="70" t="str">
        <f aca="false">IF(OR(AH846="",Y846=""),"",IF(ABS(X846-Y846)&lt;=1,"✓ Cuadra","⚠ Diferencia $"&amp;FIXED(X846-Y846,0)))</f>
        <v/>
      </c>
      <c r="AA846" s="72" t="str">
        <f aca="false">IF(AH846="","",IFERROR(INDEX(C_TIPO,MATCH(C846&amp;"-P"&amp;MAX(1,COUNTIFS(C_ID,C846,C_DEFINE,"Sí",C_INICIO,"&lt;="&amp;EOMONTH(B846,0))),C_CLAVE,0))&amp;"","Sin dato"))</f>
        <v/>
      </c>
      <c r="AB846" s="71" t="str">
        <f aca="false">IF(AH846="","",ROUND(MIN(K846,TOPE_AFP_UF*AJ846)*AK846,0))</f>
        <v/>
      </c>
      <c r="AC846" s="71" t="str">
        <f aca="false">IF(AH846="","",ROUND(MIN(K846,TOPE_AFC_UF*AJ846)*IF(AA846="Indefinido",AFC_EMP_INDEF,AFC_EMP_PF),0))</f>
        <v/>
      </c>
      <c r="AD846" s="71" t="str">
        <f aca="false">IF(AH846="","",ROUND(MIN(K846,TOPE_AFP_UF*AJ846)*(MUTUAL_BASICA+MUTUAL_ADIC+SANNA),0))</f>
        <v/>
      </c>
      <c r="AE846" s="71" t="str">
        <f aca="false">IF(AH846="","",P846-N(N846)+AB846+AC846+AD846)</f>
        <v/>
      </c>
      <c r="AF846" s="65"/>
      <c r="AG846" s="64"/>
      <c r="AH846" s="72" t="str">
        <f aca="false">IF(OR(B846="",C846=""),"",C846&amp;"|"&amp;(YEAR(B846)*100+MONTH(B846)))</f>
        <v/>
      </c>
      <c r="AI846" s="70" t="str">
        <f aca="false">IF(AH846="","",IF(COUNTIF(L_CLAVE,AH846)&gt;1,"⚠ Duplicado","OK"))</f>
        <v/>
      </c>
      <c r="AJ846" s="86" t="str">
        <f aca="false">IF(AH846="","",IF(SUMPRODUCT(MAX((IND_PER&lt;=B846)*(IND_UF&lt;&gt;"")*IND_PER))=0,UF_HOY,INDEX(IND_UF,MATCH(SUMPRODUCT(MAX((IND_PER&lt;=B846)*(IND_UF&lt;&gt;"")*IND_PER)),IND_PER,0))))</f>
        <v/>
      </c>
      <c r="AK846" s="87" t="str">
        <f aca="false">IF(AH846="","",IF(COUNTIF(TASA_DESDE,"&lt;="&amp;B846)=0,INDEX(TASA_EMP,1),INDEX(TASA_EMP,COUNTIF(TASA_DESDE,"&lt;="&amp;B846))))</f>
        <v/>
      </c>
    </row>
    <row r="847" customFormat="false" ht="15" hidden="false" customHeight="false" outlineLevel="0" collapsed="false">
      <c r="B847" s="78"/>
      <c r="C847" s="64"/>
      <c r="D847" s="72" t="str">
        <f aca="false">IF(C847="","",IFERROR(INDEX(T_NOMBRE,MATCH(C847,T_ID,0)),"⚠ ID no existe"))</f>
        <v/>
      </c>
      <c r="E847" s="69"/>
      <c r="F847" s="67"/>
      <c r="G847" s="67"/>
      <c r="H847" s="67"/>
      <c r="I847" s="67"/>
      <c r="J847" s="67"/>
      <c r="K847" s="85" t="str">
        <f aca="false">IF(AH847="","",N(F847)+N(G847)+N(H847)-N(I847)+N(J847))</f>
        <v/>
      </c>
      <c r="L847" s="67"/>
      <c r="M847" s="67"/>
      <c r="N847" s="67"/>
      <c r="O847" s="67"/>
      <c r="P847" s="85" t="str">
        <f aca="false">IF(AH847="","",K847+N(L847)+N(M847)+N(N847)+N(O847))</f>
        <v/>
      </c>
      <c r="Q847" s="67"/>
      <c r="R847" s="67"/>
      <c r="S847" s="67"/>
      <c r="T847" s="67"/>
      <c r="U847" s="67"/>
      <c r="V847" s="67"/>
      <c r="W847" s="85" t="str">
        <f aca="false">IF(AH847="","",N(Q847)+N(R847)+N(S847)+N(T847)+N(U847)+N(V847))</f>
        <v/>
      </c>
      <c r="X847" s="85" t="str">
        <f aca="false">IF(AH847="","",P847-W847)</f>
        <v/>
      </c>
      <c r="Y847" s="67"/>
      <c r="Z847" s="70" t="str">
        <f aca="false">IF(OR(AH847="",Y847=""),"",IF(ABS(X847-Y847)&lt;=1,"✓ Cuadra","⚠ Diferencia $"&amp;FIXED(X847-Y847,0)))</f>
        <v/>
      </c>
      <c r="AA847" s="72" t="str">
        <f aca="false">IF(AH847="","",IFERROR(INDEX(C_TIPO,MATCH(C847&amp;"-P"&amp;MAX(1,COUNTIFS(C_ID,C847,C_DEFINE,"Sí",C_INICIO,"&lt;="&amp;EOMONTH(B847,0))),C_CLAVE,0))&amp;"","Sin dato"))</f>
        <v/>
      </c>
      <c r="AB847" s="71" t="str">
        <f aca="false">IF(AH847="","",ROUND(MIN(K847,TOPE_AFP_UF*AJ847)*AK847,0))</f>
        <v/>
      </c>
      <c r="AC847" s="71" t="str">
        <f aca="false">IF(AH847="","",ROUND(MIN(K847,TOPE_AFC_UF*AJ847)*IF(AA847="Indefinido",AFC_EMP_INDEF,AFC_EMP_PF),0))</f>
        <v/>
      </c>
      <c r="AD847" s="71" t="str">
        <f aca="false">IF(AH847="","",ROUND(MIN(K847,TOPE_AFP_UF*AJ847)*(MUTUAL_BASICA+MUTUAL_ADIC+SANNA),0))</f>
        <v/>
      </c>
      <c r="AE847" s="71" t="str">
        <f aca="false">IF(AH847="","",P847-N(N847)+AB847+AC847+AD847)</f>
        <v/>
      </c>
      <c r="AF847" s="65"/>
      <c r="AG847" s="64"/>
      <c r="AH847" s="72" t="str">
        <f aca="false">IF(OR(B847="",C847=""),"",C847&amp;"|"&amp;(YEAR(B847)*100+MONTH(B847)))</f>
        <v/>
      </c>
      <c r="AI847" s="70" t="str">
        <f aca="false">IF(AH847="","",IF(COUNTIF(L_CLAVE,AH847)&gt;1,"⚠ Duplicado","OK"))</f>
        <v/>
      </c>
      <c r="AJ847" s="86" t="str">
        <f aca="false">IF(AH847="","",IF(SUMPRODUCT(MAX((IND_PER&lt;=B847)*(IND_UF&lt;&gt;"")*IND_PER))=0,UF_HOY,INDEX(IND_UF,MATCH(SUMPRODUCT(MAX((IND_PER&lt;=B847)*(IND_UF&lt;&gt;"")*IND_PER)),IND_PER,0))))</f>
        <v/>
      </c>
      <c r="AK847" s="87" t="str">
        <f aca="false">IF(AH847="","",IF(COUNTIF(TASA_DESDE,"&lt;="&amp;B847)=0,INDEX(TASA_EMP,1),INDEX(TASA_EMP,COUNTIF(TASA_DESDE,"&lt;="&amp;B847))))</f>
        <v/>
      </c>
    </row>
    <row r="848" customFormat="false" ht="15" hidden="false" customHeight="false" outlineLevel="0" collapsed="false">
      <c r="B848" s="78"/>
      <c r="C848" s="64"/>
      <c r="D848" s="72" t="str">
        <f aca="false">IF(C848="","",IFERROR(INDEX(T_NOMBRE,MATCH(C848,T_ID,0)),"⚠ ID no existe"))</f>
        <v/>
      </c>
      <c r="E848" s="69"/>
      <c r="F848" s="67"/>
      <c r="G848" s="67"/>
      <c r="H848" s="67"/>
      <c r="I848" s="67"/>
      <c r="J848" s="67"/>
      <c r="K848" s="85" t="str">
        <f aca="false">IF(AH848="","",N(F848)+N(G848)+N(H848)-N(I848)+N(J848))</f>
        <v/>
      </c>
      <c r="L848" s="67"/>
      <c r="M848" s="67"/>
      <c r="N848" s="67"/>
      <c r="O848" s="67"/>
      <c r="P848" s="85" t="str">
        <f aca="false">IF(AH848="","",K848+N(L848)+N(M848)+N(N848)+N(O848))</f>
        <v/>
      </c>
      <c r="Q848" s="67"/>
      <c r="R848" s="67"/>
      <c r="S848" s="67"/>
      <c r="T848" s="67"/>
      <c r="U848" s="67"/>
      <c r="V848" s="67"/>
      <c r="W848" s="85" t="str">
        <f aca="false">IF(AH848="","",N(Q848)+N(R848)+N(S848)+N(T848)+N(U848)+N(V848))</f>
        <v/>
      </c>
      <c r="X848" s="85" t="str">
        <f aca="false">IF(AH848="","",P848-W848)</f>
        <v/>
      </c>
      <c r="Y848" s="67"/>
      <c r="Z848" s="70" t="str">
        <f aca="false">IF(OR(AH848="",Y848=""),"",IF(ABS(X848-Y848)&lt;=1,"✓ Cuadra","⚠ Diferencia $"&amp;FIXED(X848-Y848,0)))</f>
        <v/>
      </c>
      <c r="AA848" s="72" t="str">
        <f aca="false">IF(AH848="","",IFERROR(INDEX(C_TIPO,MATCH(C848&amp;"-P"&amp;MAX(1,COUNTIFS(C_ID,C848,C_DEFINE,"Sí",C_INICIO,"&lt;="&amp;EOMONTH(B848,0))),C_CLAVE,0))&amp;"","Sin dato"))</f>
        <v/>
      </c>
      <c r="AB848" s="71" t="str">
        <f aca="false">IF(AH848="","",ROUND(MIN(K848,TOPE_AFP_UF*AJ848)*AK848,0))</f>
        <v/>
      </c>
      <c r="AC848" s="71" t="str">
        <f aca="false">IF(AH848="","",ROUND(MIN(K848,TOPE_AFC_UF*AJ848)*IF(AA848="Indefinido",AFC_EMP_INDEF,AFC_EMP_PF),0))</f>
        <v/>
      </c>
      <c r="AD848" s="71" t="str">
        <f aca="false">IF(AH848="","",ROUND(MIN(K848,TOPE_AFP_UF*AJ848)*(MUTUAL_BASICA+MUTUAL_ADIC+SANNA),0))</f>
        <v/>
      </c>
      <c r="AE848" s="71" t="str">
        <f aca="false">IF(AH848="","",P848-N(N848)+AB848+AC848+AD848)</f>
        <v/>
      </c>
      <c r="AF848" s="65"/>
      <c r="AG848" s="64"/>
      <c r="AH848" s="72" t="str">
        <f aca="false">IF(OR(B848="",C848=""),"",C848&amp;"|"&amp;(YEAR(B848)*100+MONTH(B848)))</f>
        <v/>
      </c>
      <c r="AI848" s="70" t="str">
        <f aca="false">IF(AH848="","",IF(COUNTIF(L_CLAVE,AH848)&gt;1,"⚠ Duplicado","OK"))</f>
        <v/>
      </c>
      <c r="AJ848" s="86" t="str">
        <f aca="false">IF(AH848="","",IF(SUMPRODUCT(MAX((IND_PER&lt;=B848)*(IND_UF&lt;&gt;"")*IND_PER))=0,UF_HOY,INDEX(IND_UF,MATCH(SUMPRODUCT(MAX((IND_PER&lt;=B848)*(IND_UF&lt;&gt;"")*IND_PER)),IND_PER,0))))</f>
        <v/>
      </c>
      <c r="AK848" s="87" t="str">
        <f aca="false">IF(AH848="","",IF(COUNTIF(TASA_DESDE,"&lt;="&amp;B848)=0,INDEX(TASA_EMP,1),INDEX(TASA_EMP,COUNTIF(TASA_DESDE,"&lt;="&amp;B848))))</f>
        <v/>
      </c>
    </row>
    <row r="849" customFormat="false" ht="15" hidden="false" customHeight="false" outlineLevel="0" collapsed="false">
      <c r="B849" s="78"/>
      <c r="C849" s="64"/>
      <c r="D849" s="72" t="str">
        <f aca="false">IF(C849="","",IFERROR(INDEX(T_NOMBRE,MATCH(C849,T_ID,0)),"⚠ ID no existe"))</f>
        <v/>
      </c>
      <c r="E849" s="69"/>
      <c r="F849" s="67"/>
      <c r="G849" s="67"/>
      <c r="H849" s="67"/>
      <c r="I849" s="67"/>
      <c r="J849" s="67"/>
      <c r="K849" s="85" t="str">
        <f aca="false">IF(AH849="","",N(F849)+N(G849)+N(H849)-N(I849)+N(J849))</f>
        <v/>
      </c>
      <c r="L849" s="67"/>
      <c r="M849" s="67"/>
      <c r="N849" s="67"/>
      <c r="O849" s="67"/>
      <c r="P849" s="85" t="str">
        <f aca="false">IF(AH849="","",K849+N(L849)+N(M849)+N(N849)+N(O849))</f>
        <v/>
      </c>
      <c r="Q849" s="67"/>
      <c r="R849" s="67"/>
      <c r="S849" s="67"/>
      <c r="T849" s="67"/>
      <c r="U849" s="67"/>
      <c r="V849" s="67"/>
      <c r="W849" s="85" t="str">
        <f aca="false">IF(AH849="","",N(Q849)+N(R849)+N(S849)+N(T849)+N(U849)+N(V849))</f>
        <v/>
      </c>
      <c r="X849" s="85" t="str">
        <f aca="false">IF(AH849="","",P849-W849)</f>
        <v/>
      </c>
      <c r="Y849" s="67"/>
      <c r="Z849" s="70" t="str">
        <f aca="false">IF(OR(AH849="",Y849=""),"",IF(ABS(X849-Y849)&lt;=1,"✓ Cuadra","⚠ Diferencia $"&amp;FIXED(X849-Y849,0)))</f>
        <v/>
      </c>
      <c r="AA849" s="72" t="str">
        <f aca="false">IF(AH849="","",IFERROR(INDEX(C_TIPO,MATCH(C849&amp;"-P"&amp;MAX(1,COUNTIFS(C_ID,C849,C_DEFINE,"Sí",C_INICIO,"&lt;="&amp;EOMONTH(B849,0))),C_CLAVE,0))&amp;"","Sin dato"))</f>
        <v/>
      </c>
      <c r="AB849" s="71" t="str">
        <f aca="false">IF(AH849="","",ROUND(MIN(K849,TOPE_AFP_UF*AJ849)*AK849,0))</f>
        <v/>
      </c>
      <c r="AC849" s="71" t="str">
        <f aca="false">IF(AH849="","",ROUND(MIN(K849,TOPE_AFC_UF*AJ849)*IF(AA849="Indefinido",AFC_EMP_INDEF,AFC_EMP_PF),0))</f>
        <v/>
      </c>
      <c r="AD849" s="71" t="str">
        <f aca="false">IF(AH849="","",ROUND(MIN(K849,TOPE_AFP_UF*AJ849)*(MUTUAL_BASICA+MUTUAL_ADIC+SANNA),0))</f>
        <v/>
      </c>
      <c r="AE849" s="71" t="str">
        <f aca="false">IF(AH849="","",P849-N(N849)+AB849+AC849+AD849)</f>
        <v/>
      </c>
      <c r="AF849" s="65"/>
      <c r="AG849" s="64"/>
      <c r="AH849" s="72" t="str">
        <f aca="false">IF(OR(B849="",C849=""),"",C849&amp;"|"&amp;(YEAR(B849)*100+MONTH(B849)))</f>
        <v/>
      </c>
      <c r="AI849" s="70" t="str">
        <f aca="false">IF(AH849="","",IF(COUNTIF(L_CLAVE,AH849)&gt;1,"⚠ Duplicado","OK"))</f>
        <v/>
      </c>
      <c r="AJ849" s="86" t="str">
        <f aca="false">IF(AH849="","",IF(SUMPRODUCT(MAX((IND_PER&lt;=B849)*(IND_UF&lt;&gt;"")*IND_PER))=0,UF_HOY,INDEX(IND_UF,MATCH(SUMPRODUCT(MAX((IND_PER&lt;=B849)*(IND_UF&lt;&gt;"")*IND_PER)),IND_PER,0))))</f>
        <v/>
      </c>
      <c r="AK849" s="87" t="str">
        <f aca="false">IF(AH849="","",IF(COUNTIF(TASA_DESDE,"&lt;="&amp;B849)=0,INDEX(TASA_EMP,1),INDEX(TASA_EMP,COUNTIF(TASA_DESDE,"&lt;="&amp;B849))))</f>
        <v/>
      </c>
    </row>
    <row r="850" customFormat="false" ht="15" hidden="false" customHeight="false" outlineLevel="0" collapsed="false">
      <c r="B850" s="78"/>
      <c r="C850" s="64"/>
      <c r="D850" s="72" t="str">
        <f aca="false">IF(C850="","",IFERROR(INDEX(T_NOMBRE,MATCH(C850,T_ID,0)),"⚠ ID no existe"))</f>
        <v/>
      </c>
      <c r="E850" s="69"/>
      <c r="F850" s="67"/>
      <c r="G850" s="67"/>
      <c r="H850" s="67"/>
      <c r="I850" s="67"/>
      <c r="J850" s="67"/>
      <c r="K850" s="85" t="str">
        <f aca="false">IF(AH850="","",N(F850)+N(G850)+N(H850)-N(I850)+N(J850))</f>
        <v/>
      </c>
      <c r="L850" s="67"/>
      <c r="M850" s="67"/>
      <c r="N850" s="67"/>
      <c r="O850" s="67"/>
      <c r="P850" s="85" t="str">
        <f aca="false">IF(AH850="","",K850+N(L850)+N(M850)+N(N850)+N(O850))</f>
        <v/>
      </c>
      <c r="Q850" s="67"/>
      <c r="R850" s="67"/>
      <c r="S850" s="67"/>
      <c r="T850" s="67"/>
      <c r="U850" s="67"/>
      <c r="V850" s="67"/>
      <c r="W850" s="85" t="str">
        <f aca="false">IF(AH850="","",N(Q850)+N(R850)+N(S850)+N(T850)+N(U850)+N(V850))</f>
        <v/>
      </c>
      <c r="X850" s="85" t="str">
        <f aca="false">IF(AH850="","",P850-W850)</f>
        <v/>
      </c>
      <c r="Y850" s="67"/>
      <c r="Z850" s="70" t="str">
        <f aca="false">IF(OR(AH850="",Y850=""),"",IF(ABS(X850-Y850)&lt;=1,"✓ Cuadra","⚠ Diferencia $"&amp;FIXED(X850-Y850,0)))</f>
        <v/>
      </c>
      <c r="AA850" s="72" t="str">
        <f aca="false">IF(AH850="","",IFERROR(INDEX(C_TIPO,MATCH(C850&amp;"-P"&amp;MAX(1,COUNTIFS(C_ID,C850,C_DEFINE,"Sí",C_INICIO,"&lt;="&amp;EOMONTH(B850,0))),C_CLAVE,0))&amp;"","Sin dato"))</f>
        <v/>
      </c>
      <c r="AB850" s="71" t="str">
        <f aca="false">IF(AH850="","",ROUND(MIN(K850,TOPE_AFP_UF*AJ850)*AK850,0))</f>
        <v/>
      </c>
      <c r="AC850" s="71" t="str">
        <f aca="false">IF(AH850="","",ROUND(MIN(K850,TOPE_AFC_UF*AJ850)*IF(AA850="Indefinido",AFC_EMP_INDEF,AFC_EMP_PF),0))</f>
        <v/>
      </c>
      <c r="AD850" s="71" t="str">
        <f aca="false">IF(AH850="","",ROUND(MIN(K850,TOPE_AFP_UF*AJ850)*(MUTUAL_BASICA+MUTUAL_ADIC+SANNA),0))</f>
        <v/>
      </c>
      <c r="AE850" s="71" t="str">
        <f aca="false">IF(AH850="","",P850-N(N850)+AB850+AC850+AD850)</f>
        <v/>
      </c>
      <c r="AF850" s="65"/>
      <c r="AG850" s="64"/>
      <c r="AH850" s="72" t="str">
        <f aca="false">IF(OR(B850="",C850=""),"",C850&amp;"|"&amp;(YEAR(B850)*100+MONTH(B850)))</f>
        <v/>
      </c>
      <c r="AI850" s="70" t="str">
        <f aca="false">IF(AH850="","",IF(COUNTIF(L_CLAVE,AH850)&gt;1,"⚠ Duplicado","OK"))</f>
        <v/>
      </c>
      <c r="AJ850" s="86" t="str">
        <f aca="false">IF(AH850="","",IF(SUMPRODUCT(MAX((IND_PER&lt;=B850)*(IND_UF&lt;&gt;"")*IND_PER))=0,UF_HOY,INDEX(IND_UF,MATCH(SUMPRODUCT(MAX((IND_PER&lt;=B850)*(IND_UF&lt;&gt;"")*IND_PER)),IND_PER,0))))</f>
        <v/>
      </c>
      <c r="AK850" s="87" t="str">
        <f aca="false">IF(AH850="","",IF(COUNTIF(TASA_DESDE,"&lt;="&amp;B850)=0,INDEX(TASA_EMP,1),INDEX(TASA_EMP,COUNTIF(TASA_DESDE,"&lt;="&amp;B850))))</f>
        <v/>
      </c>
    </row>
    <row r="851" customFormat="false" ht="15" hidden="false" customHeight="false" outlineLevel="0" collapsed="false">
      <c r="B851" s="78"/>
      <c r="C851" s="64"/>
      <c r="D851" s="72" t="str">
        <f aca="false">IF(C851="","",IFERROR(INDEX(T_NOMBRE,MATCH(C851,T_ID,0)),"⚠ ID no existe"))</f>
        <v/>
      </c>
      <c r="E851" s="69"/>
      <c r="F851" s="67"/>
      <c r="G851" s="67"/>
      <c r="H851" s="67"/>
      <c r="I851" s="67"/>
      <c r="J851" s="67"/>
      <c r="K851" s="85" t="str">
        <f aca="false">IF(AH851="","",N(F851)+N(G851)+N(H851)-N(I851)+N(J851))</f>
        <v/>
      </c>
      <c r="L851" s="67"/>
      <c r="M851" s="67"/>
      <c r="N851" s="67"/>
      <c r="O851" s="67"/>
      <c r="P851" s="85" t="str">
        <f aca="false">IF(AH851="","",K851+N(L851)+N(M851)+N(N851)+N(O851))</f>
        <v/>
      </c>
      <c r="Q851" s="67"/>
      <c r="R851" s="67"/>
      <c r="S851" s="67"/>
      <c r="T851" s="67"/>
      <c r="U851" s="67"/>
      <c r="V851" s="67"/>
      <c r="W851" s="85" t="str">
        <f aca="false">IF(AH851="","",N(Q851)+N(R851)+N(S851)+N(T851)+N(U851)+N(V851))</f>
        <v/>
      </c>
      <c r="X851" s="85" t="str">
        <f aca="false">IF(AH851="","",P851-W851)</f>
        <v/>
      </c>
      <c r="Y851" s="67"/>
      <c r="Z851" s="70" t="str">
        <f aca="false">IF(OR(AH851="",Y851=""),"",IF(ABS(X851-Y851)&lt;=1,"✓ Cuadra","⚠ Diferencia $"&amp;FIXED(X851-Y851,0)))</f>
        <v/>
      </c>
      <c r="AA851" s="72" t="str">
        <f aca="false">IF(AH851="","",IFERROR(INDEX(C_TIPO,MATCH(C851&amp;"-P"&amp;MAX(1,COUNTIFS(C_ID,C851,C_DEFINE,"Sí",C_INICIO,"&lt;="&amp;EOMONTH(B851,0))),C_CLAVE,0))&amp;"","Sin dato"))</f>
        <v/>
      </c>
      <c r="AB851" s="71" t="str">
        <f aca="false">IF(AH851="","",ROUND(MIN(K851,TOPE_AFP_UF*AJ851)*AK851,0))</f>
        <v/>
      </c>
      <c r="AC851" s="71" t="str">
        <f aca="false">IF(AH851="","",ROUND(MIN(K851,TOPE_AFC_UF*AJ851)*IF(AA851="Indefinido",AFC_EMP_INDEF,AFC_EMP_PF),0))</f>
        <v/>
      </c>
      <c r="AD851" s="71" t="str">
        <f aca="false">IF(AH851="","",ROUND(MIN(K851,TOPE_AFP_UF*AJ851)*(MUTUAL_BASICA+MUTUAL_ADIC+SANNA),0))</f>
        <v/>
      </c>
      <c r="AE851" s="71" t="str">
        <f aca="false">IF(AH851="","",P851-N(N851)+AB851+AC851+AD851)</f>
        <v/>
      </c>
      <c r="AF851" s="65"/>
      <c r="AG851" s="64"/>
      <c r="AH851" s="72" t="str">
        <f aca="false">IF(OR(B851="",C851=""),"",C851&amp;"|"&amp;(YEAR(B851)*100+MONTH(B851)))</f>
        <v/>
      </c>
      <c r="AI851" s="70" t="str">
        <f aca="false">IF(AH851="","",IF(COUNTIF(L_CLAVE,AH851)&gt;1,"⚠ Duplicado","OK"))</f>
        <v/>
      </c>
      <c r="AJ851" s="86" t="str">
        <f aca="false">IF(AH851="","",IF(SUMPRODUCT(MAX((IND_PER&lt;=B851)*(IND_UF&lt;&gt;"")*IND_PER))=0,UF_HOY,INDEX(IND_UF,MATCH(SUMPRODUCT(MAX((IND_PER&lt;=B851)*(IND_UF&lt;&gt;"")*IND_PER)),IND_PER,0))))</f>
        <v/>
      </c>
      <c r="AK851" s="87" t="str">
        <f aca="false">IF(AH851="","",IF(COUNTIF(TASA_DESDE,"&lt;="&amp;B851)=0,INDEX(TASA_EMP,1),INDEX(TASA_EMP,COUNTIF(TASA_DESDE,"&lt;="&amp;B851))))</f>
        <v/>
      </c>
    </row>
    <row r="852" customFormat="false" ht="15" hidden="false" customHeight="false" outlineLevel="0" collapsed="false">
      <c r="B852" s="78"/>
      <c r="C852" s="64"/>
      <c r="D852" s="72" t="str">
        <f aca="false">IF(C852="","",IFERROR(INDEX(T_NOMBRE,MATCH(C852,T_ID,0)),"⚠ ID no existe"))</f>
        <v/>
      </c>
      <c r="E852" s="69"/>
      <c r="F852" s="67"/>
      <c r="G852" s="67"/>
      <c r="H852" s="67"/>
      <c r="I852" s="67"/>
      <c r="J852" s="67"/>
      <c r="K852" s="85" t="str">
        <f aca="false">IF(AH852="","",N(F852)+N(G852)+N(H852)-N(I852)+N(J852))</f>
        <v/>
      </c>
      <c r="L852" s="67"/>
      <c r="M852" s="67"/>
      <c r="N852" s="67"/>
      <c r="O852" s="67"/>
      <c r="P852" s="85" t="str">
        <f aca="false">IF(AH852="","",K852+N(L852)+N(M852)+N(N852)+N(O852))</f>
        <v/>
      </c>
      <c r="Q852" s="67"/>
      <c r="R852" s="67"/>
      <c r="S852" s="67"/>
      <c r="T852" s="67"/>
      <c r="U852" s="67"/>
      <c r="V852" s="67"/>
      <c r="W852" s="85" t="str">
        <f aca="false">IF(AH852="","",N(Q852)+N(R852)+N(S852)+N(T852)+N(U852)+N(V852))</f>
        <v/>
      </c>
      <c r="X852" s="85" t="str">
        <f aca="false">IF(AH852="","",P852-W852)</f>
        <v/>
      </c>
      <c r="Y852" s="67"/>
      <c r="Z852" s="70" t="str">
        <f aca="false">IF(OR(AH852="",Y852=""),"",IF(ABS(X852-Y852)&lt;=1,"✓ Cuadra","⚠ Diferencia $"&amp;FIXED(X852-Y852,0)))</f>
        <v/>
      </c>
      <c r="AA852" s="72" t="str">
        <f aca="false">IF(AH852="","",IFERROR(INDEX(C_TIPO,MATCH(C852&amp;"-P"&amp;MAX(1,COUNTIFS(C_ID,C852,C_DEFINE,"Sí",C_INICIO,"&lt;="&amp;EOMONTH(B852,0))),C_CLAVE,0))&amp;"","Sin dato"))</f>
        <v/>
      </c>
      <c r="AB852" s="71" t="str">
        <f aca="false">IF(AH852="","",ROUND(MIN(K852,TOPE_AFP_UF*AJ852)*AK852,0))</f>
        <v/>
      </c>
      <c r="AC852" s="71" t="str">
        <f aca="false">IF(AH852="","",ROUND(MIN(K852,TOPE_AFC_UF*AJ852)*IF(AA852="Indefinido",AFC_EMP_INDEF,AFC_EMP_PF),0))</f>
        <v/>
      </c>
      <c r="AD852" s="71" t="str">
        <f aca="false">IF(AH852="","",ROUND(MIN(K852,TOPE_AFP_UF*AJ852)*(MUTUAL_BASICA+MUTUAL_ADIC+SANNA),0))</f>
        <v/>
      </c>
      <c r="AE852" s="71" t="str">
        <f aca="false">IF(AH852="","",P852-N(N852)+AB852+AC852+AD852)</f>
        <v/>
      </c>
      <c r="AF852" s="65"/>
      <c r="AG852" s="64"/>
      <c r="AH852" s="72" t="str">
        <f aca="false">IF(OR(B852="",C852=""),"",C852&amp;"|"&amp;(YEAR(B852)*100+MONTH(B852)))</f>
        <v/>
      </c>
      <c r="AI852" s="70" t="str">
        <f aca="false">IF(AH852="","",IF(COUNTIF(L_CLAVE,AH852)&gt;1,"⚠ Duplicado","OK"))</f>
        <v/>
      </c>
      <c r="AJ852" s="86" t="str">
        <f aca="false">IF(AH852="","",IF(SUMPRODUCT(MAX((IND_PER&lt;=B852)*(IND_UF&lt;&gt;"")*IND_PER))=0,UF_HOY,INDEX(IND_UF,MATCH(SUMPRODUCT(MAX((IND_PER&lt;=B852)*(IND_UF&lt;&gt;"")*IND_PER)),IND_PER,0))))</f>
        <v/>
      </c>
      <c r="AK852" s="87" t="str">
        <f aca="false">IF(AH852="","",IF(COUNTIF(TASA_DESDE,"&lt;="&amp;B852)=0,INDEX(TASA_EMP,1),INDEX(TASA_EMP,COUNTIF(TASA_DESDE,"&lt;="&amp;B852))))</f>
        <v/>
      </c>
    </row>
    <row r="853" customFormat="false" ht="15" hidden="false" customHeight="false" outlineLevel="0" collapsed="false">
      <c r="B853" s="78"/>
      <c r="C853" s="64"/>
      <c r="D853" s="72" t="str">
        <f aca="false">IF(C853="","",IFERROR(INDEX(T_NOMBRE,MATCH(C853,T_ID,0)),"⚠ ID no existe"))</f>
        <v/>
      </c>
      <c r="E853" s="69"/>
      <c r="F853" s="67"/>
      <c r="G853" s="67"/>
      <c r="H853" s="67"/>
      <c r="I853" s="67"/>
      <c r="J853" s="67"/>
      <c r="K853" s="85" t="str">
        <f aca="false">IF(AH853="","",N(F853)+N(G853)+N(H853)-N(I853)+N(J853))</f>
        <v/>
      </c>
      <c r="L853" s="67"/>
      <c r="M853" s="67"/>
      <c r="N853" s="67"/>
      <c r="O853" s="67"/>
      <c r="P853" s="85" t="str">
        <f aca="false">IF(AH853="","",K853+N(L853)+N(M853)+N(N853)+N(O853))</f>
        <v/>
      </c>
      <c r="Q853" s="67"/>
      <c r="R853" s="67"/>
      <c r="S853" s="67"/>
      <c r="T853" s="67"/>
      <c r="U853" s="67"/>
      <c r="V853" s="67"/>
      <c r="W853" s="85" t="str">
        <f aca="false">IF(AH853="","",N(Q853)+N(R853)+N(S853)+N(T853)+N(U853)+N(V853))</f>
        <v/>
      </c>
      <c r="X853" s="85" t="str">
        <f aca="false">IF(AH853="","",P853-W853)</f>
        <v/>
      </c>
      <c r="Y853" s="67"/>
      <c r="Z853" s="70" t="str">
        <f aca="false">IF(OR(AH853="",Y853=""),"",IF(ABS(X853-Y853)&lt;=1,"✓ Cuadra","⚠ Diferencia $"&amp;FIXED(X853-Y853,0)))</f>
        <v/>
      </c>
      <c r="AA853" s="72" t="str">
        <f aca="false">IF(AH853="","",IFERROR(INDEX(C_TIPO,MATCH(C853&amp;"-P"&amp;MAX(1,COUNTIFS(C_ID,C853,C_DEFINE,"Sí",C_INICIO,"&lt;="&amp;EOMONTH(B853,0))),C_CLAVE,0))&amp;"","Sin dato"))</f>
        <v/>
      </c>
      <c r="AB853" s="71" t="str">
        <f aca="false">IF(AH853="","",ROUND(MIN(K853,TOPE_AFP_UF*AJ853)*AK853,0))</f>
        <v/>
      </c>
      <c r="AC853" s="71" t="str">
        <f aca="false">IF(AH853="","",ROUND(MIN(K853,TOPE_AFC_UF*AJ853)*IF(AA853="Indefinido",AFC_EMP_INDEF,AFC_EMP_PF),0))</f>
        <v/>
      </c>
      <c r="AD853" s="71" t="str">
        <f aca="false">IF(AH853="","",ROUND(MIN(K853,TOPE_AFP_UF*AJ853)*(MUTUAL_BASICA+MUTUAL_ADIC+SANNA),0))</f>
        <v/>
      </c>
      <c r="AE853" s="71" t="str">
        <f aca="false">IF(AH853="","",P853-N(N853)+AB853+AC853+AD853)</f>
        <v/>
      </c>
      <c r="AF853" s="65"/>
      <c r="AG853" s="64"/>
      <c r="AH853" s="72" t="str">
        <f aca="false">IF(OR(B853="",C853=""),"",C853&amp;"|"&amp;(YEAR(B853)*100+MONTH(B853)))</f>
        <v/>
      </c>
      <c r="AI853" s="70" t="str">
        <f aca="false">IF(AH853="","",IF(COUNTIF(L_CLAVE,AH853)&gt;1,"⚠ Duplicado","OK"))</f>
        <v/>
      </c>
      <c r="AJ853" s="86" t="str">
        <f aca="false">IF(AH853="","",IF(SUMPRODUCT(MAX((IND_PER&lt;=B853)*(IND_UF&lt;&gt;"")*IND_PER))=0,UF_HOY,INDEX(IND_UF,MATCH(SUMPRODUCT(MAX((IND_PER&lt;=B853)*(IND_UF&lt;&gt;"")*IND_PER)),IND_PER,0))))</f>
        <v/>
      </c>
      <c r="AK853" s="87" t="str">
        <f aca="false">IF(AH853="","",IF(COUNTIF(TASA_DESDE,"&lt;="&amp;B853)=0,INDEX(TASA_EMP,1),INDEX(TASA_EMP,COUNTIF(TASA_DESDE,"&lt;="&amp;B853))))</f>
        <v/>
      </c>
    </row>
    <row r="854" customFormat="false" ht="15" hidden="false" customHeight="false" outlineLevel="0" collapsed="false">
      <c r="B854" s="78"/>
      <c r="C854" s="64"/>
      <c r="D854" s="72" t="str">
        <f aca="false">IF(C854="","",IFERROR(INDEX(T_NOMBRE,MATCH(C854,T_ID,0)),"⚠ ID no existe"))</f>
        <v/>
      </c>
      <c r="E854" s="69"/>
      <c r="F854" s="67"/>
      <c r="G854" s="67"/>
      <c r="H854" s="67"/>
      <c r="I854" s="67"/>
      <c r="J854" s="67"/>
      <c r="K854" s="85" t="str">
        <f aca="false">IF(AH854="","",N(F854)+N(G854)+N(H854)-N(I854)+N(J854))</f>
        <v/>
      </c>
      <c r="L854" s="67"/>
      <c r="M854" s="67"/>
      <c r="N854" s="67"/>
      <c r="O854" s="67"/>
      <c r="P854" s="85" t="str">
        <f aca="false">IF(AH854="","",K854+N(L854)+N(M854)+N(N854)+N(O854))</f>
        <v/>
      </c>
      <c r="Q854" s="67"/>
      <c r="R854" s="67"/>
      <c r="S854" s="67"/>
      <c r="T854" s="67"/>
      <c r="U854" s="67"/>
      <c r="V854" s="67"/>
      <c r="W854" s="85" t="str">
        <f aca="false">IF(AH854="","",N(Q854)+N(R854)+N(S854)+N(T854)+N(U854)+N(V854))</f>
        <v/>
      </c>
      <c r="X854" s="85" t="str">
        <f aca="false">IF(AH854="","",P854-W854)</f>
        <v/>
      </c>
      <c r="Y854" s="67"/>
      <c r="Z854" s="70" t="str">
        <f aca="false">IF(OR(AH854="",Y854=""),"",IF(ABS(X854-Y854)&lt;=1,"✓ Cuadra","⚠ Diferencia $"&amp;FIXED(X854-Y854,0)))</f>
        <v/>
      </c>
      <c r="AA854" s="72" t="str">
        <f aca="false">IF(AH854="","",IFERROR(INDEX(C_TIPO,MATCH(C854&amp;"-P"&amp;MAX(1,COUNTIFS(C_ID,C854,C_DEFINE,"Sí",C_INICIO,"&lt;="&amp;EOMONTH(B854,0))),C_CLAVE,0))&amp;"","Sin dato"))</f>
        <v/>
      </c>
      <c r="AB854" s="71" t="str">
        <f aca="false">IF(AH854="","",ROUND(MIN(K854,TOPE_AFP_UF*AJ854)*AK854,0))</f>
        <v/>
      </c>
      <c r="AC854" s="71" t="str">
        <f aca="false">IF(AH854="","",ROUND(MIN(K854,TOPE_AFC_UF*AJ854)*IF(AA854="Indefinido",AFC_EMP_INDEF,AFC_EMP_PF),0))</f>
        <v/>
      </c>
      <c r="AD854" s="71" t="str">
        <f aca="false">IF(AH854="","",ROUND(MIN(K854,TOPE_AFP_UF*AJ854)*(MUTUAL_BASICA+MUTUAL_ADIC+SANNA),0))</f>
        <v/>
      </c>
      <c r="AE854" s="71" t="str">
        <f aca="false">IF(AH854="","",P854-N(N854)+AB854+AC854+AD854)</f>
        <v/>
      </c>
      <c r="AF854" s="65"/>
      <c r="AG854" s="64"/>
      <c r="AH854" s="72" t="str">
        <f aca="false">IF(OR(B854="",C854=""),"",C854&amp;"|"&amp;(YEAR(B854)*100+MONTH(B854)))</f>
        <v/>
      </c>
      <c r="AI854" s="70" t="str">
        <f aca="false">IF(AH854="","",IF(COUNTIF(L_CLAVE,AH854)&gt;1,"⚠ Duplicado","OK"))</f>
        <v/>
      </c>
      <c r="AJ854" s="86" t="str">
        <f aca="false">IF(AH854="","",IF(SUMPRODUCT(MAX((IND_PER&lt;=B854)*(IND_UF&lt;&gt;"")*IND_PER))=0,UF_HOY,INDEX(IND_UF,MATCH(SUMPRODUCT(MAX((IND_PER&lt;=B854)*(IND_UF&lt;&gt;"")*IND_PER)),IND_PER,0))))</f>
        <v/>
      </c>
      <c r="AK854" s="87" t="str">
        <f aca="false">IF(AH854="","",IF(COUNTIF(TASA_DESDE,"&lt;="&amp;B854)=0,INDEX(TASA_EMP,1),INDEX(TASA_EMP,COUNTIF(TASA_DESDE,"&lt;="&amp;B854))))</f>
        <v/>
      </c>
    </row>
    <row r="855" customFormat="false" ht="15" hidden="false" customHeight="false" outlineLevel="0" collapsed="false">
      <c r="B855" s="78"/>
      <c r="C855" s="64"/>
      <c r="D855" s="72" t="str">
        <f aca="false">IF(C855="","",IFERROR(INDEX(T_NOMBRE,MATCH(C855,T_ID,0)),"⚠ ID no existe"))</f>
        <v/>
      </c>
      <c r="E855" s="69"/>
      <c r="F855" s="67"/>
      <c r="G855" s="67"/>
      <c r="H855" s="67"/>
      <c r="I855" s="67"/>
      <c r="J855" s="67"/>
      <c r="K855" s="85" t="str">
        <f aca="false">IF(AH855="","",N(F855)+N(G855)+N(H855)-N(I855)+N(J855))</f>
        <v/>
      </c>
      <c r="L855" s="67"/>
      <c r="M855" s="67"/>
      <c r="N855" s="67"/>
      <c r="O855" s="67"/>
      <c r="P855" s="85" t="str">
        <f aca="false">IF(AH855="","",K855+N(L855)+N(M855)+N(N855)+N(O855))</f>
        <v/>
      </c>
      <c r="Q855" s="67"/>
      <c r="R855" s="67"/>
      <c r="S855" s="67"/>
      <c r="T855" s="67"/>
      <c r="U855" s="67"/>
      <c r="V855" s="67"/>
      <c r="W855" s="85" t="str">
        <f aca="false">IF(AH855="","",N(Q855)+N(R855)+N(S855)+N(T855)+N(U855)+N(V855))</f>
        <v/>
      </c>
      <c r="X855" s="85" t="str">
        <f aca="false">IF(AH855="","",P855-W855)</f>
        <v/>
      </c>
      <c r="Y855" s="67"/>
      <c r="Z855" s="70" t="str">
        <f aca="false">IF(OR(AH855="",Y855=""),"",IF(ABS(X855-Y855)&lt;=1,"✓ Cuadra","⚠ Diferencia $"&amp;FIXED(X855-Y855,0)))</f>
        <v/>
      </c>
      <c r="AA855" s="72" t="str">
        <f aca="false">IF(AH855="","",IFERROR(INDEX(C_TIPO,MATCH(C855&amp;"-P"&amp;MAX(1,COUNTIFS(C_ID,C855,C_DEFINE,"Sí",C_INICIO,"&lt;="&amp;EOMONTH(B855,0))),C_CLAVE,0))&amp;"","Sin dato"))</f>
        <v/>
      </c>
      <c r="AB855" s="71" t="str">
        <f aca="false">IF(AH855="","",ROUND(MIN(K855,TOPE_AFP_UF*AJ855)*AK855,0))</f>
        <v/>
      </c>
      <c r="AC855" s="71" t="str">
        <f aca="false">IF(AH855="","",ROUND(MIN(K855,TOPE_AFC_UF*AJ855)*IF(AA855="Indefinido",AFC_EMP_INDEF,AFC_EMP_PF),0))</f>
        <v/>
      </c>
      <c r="AD855" s="71" t="str">
        <f aca="false">IF(AH855="","",ROUND(MIN(K855,TOPE_AFP_UF*AJ855)*(MUTUAL_BASICA+MUTUAL_ADIC+SANNA),0))</f>
        <v/>
      </c>
      <c r="AE855" s="71" t="str">
        <f aca="false">IF(AH855="","",P855-N(N855)+AB855+AC855+AD855)</f>
        <v/>
      </c>
      <c r="AF855" s="65"/>
      <c r="AG855" s="64"/>
      <c r="AH855" s="72" t="str">
        <f aca="false">IF(OR(B855="",C855=""),"",C855&amp;"|"&amp;(YEAR(B855)*100+MONTH(B855)))</f>
        <v/>
      </c>
      <c r="AI855" s="70" t="str">
        <f aca="false">IF(AH855="","",IF(COUNTIF(L_CLAVE,AH855)&gt;1,"⚠ Duplicado","OK"))</f>
        <v/>
      </c>
      <c r="AJ855" s="86" t="str">
        <f aca="false">IF(AH855="","",IF(SUMPRODUCT(MAX((IND_PER&lt;=B855)*(IND_UF&lt;&gt;"")*IND_PER))=0,UF_HOY,INDEX(IND_UF,MATCH(SUMPRODUCT(MAX((IND_PER&lt;=B855)*(IND_UF&lt;&gt;"")*IND_PER)),IND_PER,0))))</f>
        <v/>
      </c>
      <c r="AK855" s="87" t="str">
        <f aca="false">IF(AH855="","",IF(COUNTIF(TASA_DESDE,"&lt;="&amp;B855)=0,INDEX(TASA_EMP,1),INDEX(TASA_EMP,COUNTIF(TASA_DESDE,"&lt;="&amp;B855))))</f>
        <v/>
      </c>
    </row>
    <row r="856" customFormat="false" ht="15" hidden="false" customHeight="false" outlineLevel="0" collapsed="false">
      <c r="B856" s="78"/>
      <c r="C856" s="64"/>
      <c r="D856" s="72" t="str">
        <f aca="false">IF(C856="","",IFERROR(INDEX(T_NOMBRE,MATCH(C856,T_ID,0)),"⚠ ID no existe"))</f>
        <v/>
      </c>
      <c r="E856" s="69"/>
      <c r="F856" s="67"/>
      <c r="G856" s="67"/>
      <c r="H856" s="67"/>
      <c r="I856" s="67"/>
      <c r="J856" s="67"/>
      <c r="K856" s="85" t="str">
        <f aca="false">IF(AH856="","",N(F856)+N(G856)+N(H856)-N(I856)+N(J856))</f>
        <v/>
      </c>
      <c r="L856" s="67"/>
      <c r="M856" s="67"/>
      <c r="N856" s="67"/>
      <c r="O856" s="67"/>
      <c r="P856" s="85" t="str">
        <f aca="false">IF(AH856="","",K856+N(L856)+N(M856)+N(N856)+N(O856))</f>
        <v/>
      </c>
      <c r="Q856" s="67"/>
      <c r="R856" s="67"/>
      <c r="S856" s="67"/>
      <c r="T856" s="67"/>
      <c r="U856" s="67"/>
      <c r="V856" s="67"/>
      <c r="W856" s="85" t="str">
        <f aca="false">IF(AH856="","",N(Q856)+N(R856)+N(S856)+N(T856)+N(U856)+N(V856))</f>
        <v/>
      </c>
      <c r="X856" s="85" t="str">
        <f aca="false">IF(AH856="","",P856-W856)</f>
        <v/>
      </c>
      <c r="Y856" s="67"/>
      <c r="Z856" s="70" t="str">
        <f aca="false">IF(OR(AH856="",Y856=""),"",IF(ABS(X856-Y856)&lt;=1,"✓ Cuadra","⚠ Diferencia $"&amp;FIXED(X856-Y856,0)))</f>
        <v/>
      </c>
      <c r="AA856" s="72" t="str">
        <f aca="false">IF(AH856="","",IFERROR(INDEX(C_TIPO,MATCH(C856&amp;"-P"&amp;MAX(1,COUNTIFS(C_ID,C856,C_DEFINE,"Sí",C_INICIO,"&lt;="&amp;EOMONTH(B856,0))),C_CLAVE,0))&amp;"","Sin dato"))</f>
        <v/>
      </c>
      <c r="AB856" s="71" t="str">
        <f aca="false">IF(AH856="","",ROUND(MIN(K856,TOPE_AFP_UF*AJ856)*AK856,0))</f>
        <v/>
      </c>
      <c r="AC856" s="71" t="str">
        <f aca="false">IF(AH856="","",ROUND(MIN(K856,TOPE_AFC_UF*AJ856)*IF(AA856="Indefinido",AFC_EMP_INDEF,AFC_EMP_PF),0))</f>
        <v/>
      </c>
      <c r="AD856" s="71" t="str">
        <f aca="false">IF(AH856="","",ROUND(MIN(K856,TOPE_AFP_UF*AJ856)*(MUTUAL_BASICA+MUTUAL_ADIC+SANNA),0))</f>
        <v/>
      </c>
      <c r="AE856" s="71" t="str">
        <f aca="false">IF(AH856="","",P856-N(N856)+AB856+AC856+AD856)</f>
        <v/>
      </c>
      <c r="AF856" s="65"/>
      <c r="AG856" s="64"/>
      <c r="AH856" s="72" t="str">
        <f aca="false">IF(OR(B856="",C856=""),"",C856&amp;"|"&amp;(YEAR(B856)*100+MONTH(B856)))</f>
        <v/>
      </c>
      <c r="AI856" s="70" t="str">
        <f aca="false">IF(AH856="","",IF(COUNTIF(L_CLAVE,AH856)&gt;1,"⚠ Duplicado","OK"))</f>
        <v/>
      </c>
      <c r="AJ856" s="86" t="str">
        <f aca="false">IF(AH856="","",IF(SUMPRODUCT(MAX((IND_PER&lt;=B856)*(IND_UF&lt;&gt;"")*IND_PER))=0,UF_HOY,INDEX(IND_UF,MATCH(SUMPRODUCT(MAX((IND_PER&lt;=B856)*(IND_UF&lt;&gt;"")*IND_PER)),IND_PER,0))))</f>
        <v/>
      </c>
      <c r="AK856" s="87" t="str">
        <f aca="false">IF(AH856="","",IF(COUNTIF(TASA_DESDE,"&lt;="&amp;B856)=0,INDEX(TASA_EMP,1),INDEX(TASA_EMP,COUNTIF(TASA_DESDE,"&lt;="&amp;B856))))</f>
        <v/>
      </c>
    </row>
    <row r="857" customFormat="false" ht="15" hidden="false" customHeight="false" outlineLevel="0" collapsed="false">
      <c r="B857" s="78"/>
      <c r="C857" s="64"/>
      <c r="D857" s="72" t="str">
        <f aca="false">IF(C857="","",IFERROR(INDEX(T_NOMBRE,MATCH(C857,T_ID,0)),"⚠ ID no existe"))</f>
        <v/>
      </c>
      <c r="E857" s="69"/>
      <c r="F857" s="67"/>
      <c r="G857" s="67"/>
      <c r="H857" s="67"/>
      <c r="I857" s="67"/>
      <c r="J857" s="67"/>
      <c r="K857" s="85" t="str">
        <f aca="false">IF(AH857="","",N(F857)+N(G857)+N(H857)-N(I857)+N(J857))</f>
        <v/>
      </c>
      <c r="L857" s="67"/>
      <c r="M857" s="67"/>
      <c r="N857" s="67"/>
      <c r="O857" s="67"/>
      <c r="P857" s="85" t="str">
        <f aca="false">IF(AH857="","",K857+N(L857)+N(M857)+N(N857)+N(O857))</f>
        <v/>
      </c>
      <c r="Q857" s="67"/>
      <c r="R857" s="67"/>
      <c r="S857" s="67"/>
      <c r="T857" s="67"/>
      <c r="U857" s="67"/>
      <c r="V857" s="67"/>
      <c r="W857" s="85" t="str">
        <f aca="false">IF(AH857="","",N(Q857)+N(R857)+N(S857)+N(T857)+N(U857)+N(V857))</f>
        <v/>
      </c>
      <c r="X857" s="85" t="str">
        <f aca="false">IF(AH857="","",P857-W857)</f>
        <v/>
      </c>
      <c r="Y857" s="67"/>
      <c r="Z857" s="70" t="str">
        <f aca="false">IF(OR(AH857="",Y857=""),"",IF(ABS(X857-Y857)&lt;=1,"✓ Cuadra","⚠ Diferencia $"&amp;FIXED(X857-Y857,0)))</f>
        <v/>
      </c>
      <c r="AA857" s="72" t="str">
        <f aca="false">IF(AH857="","",IFERROR(INDEX(C_TIPO,MATCH(C857&amp;"-P"&amp;MAX(1,COUNTIFS(C_ID,C857,C_DEFINE,"Sí",C_INICIO,"&lt;="&amp;EOMONTH(B857,0))),C_CLAVE,0))&amp;"","Sin dato"))</f>
        <v/>
      </c>
      <c r="AB857" s="71" t="str">
        <f aca="false">IF(AH857="","",ROUND(MIN(K857,TOPE_AFP_UF*AJ857)*AK857,0))</f>
        <v/>
      </c>
      <c r="AC857" s="71" t="str">
        <f aca="false">IF(AH857="","",ROUND(MIN(K857,TOPE_AFC_UF*AJ857)*IF(AA857="Indefinido",AFC_EMP_INDEF,AFC_EMP_PF),0))</f>
        <v/>
      </c>
      <c r="AD857" s="71" t="str">
        <f aca="false">IF(AH857="","",ROUND(MIN(K857,TOPE_AFP_UF*AJ857)*(MUTUAL_BASICA+MUTUAL_ADIC+SANNA),0))</f>
        <v/>
      </c>
      <c r="AE857" s="71" t="str">
        <f aca="false">IF(AH857="","",P857-N(N857)+AB857+AC857+AD857)</f>
        <v/>
      </c>
      <c r="AF857" s="65"/>
      <c r="AG857" s="64"/>
      <c r="AH857" s="72" t="str">
        <f aca="false">IF(OR(B857="",C857=""),"",C857&amp;"|"&amp;(YEAR(B857)*100+MONTH(B857)))</f>
        <v/>
      </c>
      <c r="AI857" s="70" t="str">
        <f aca="false">IF(AH857="","",IF(COUNTIF(L_CLAVE,AH857)&gt;1,"⚠ Duplicado","OK"))</f>
        <v/>
      </c>
      <c r="AJ857" s="86" t="str">
        <f aca="false">IF(AH857="","",IF(SUMPRODUCT(MAX((IND_PER&lt;=B857)*(IND_UF&lt;&gt;"")*IND_PER))=0,UF_HOY,INDEX(IND_UF,MATCH(SUMPRODUCT(MAX((IND_PER&lt;=B857)*(IND_UF&lt;&gt;"")*IND_PER)),IND_PER,0))))</f>
        <v/>
      </c>
      <c r="AK857" s="87" t="str">
        <f aca="false">IF(AH857="","",IF(COUNTIF(TASA_DESDE,"&lt;="&amp;B857)=0,INDEX(TASA_EMP,1),INDEX(TASA_EMP,COUNTIF(TASA_DESDE,"&lt;="&amp;B857))))</f>
        <v/>
      </c>
    </row>
    <row r="858" customFormat="false" ht="15" hidden="false" customHeight="false" outlineLevel="0" collapsed="false">
      <c r="B858" s="78"/>
      <c r="C858" s="64"/>
      <c r="D858" s="72" t="str">
        <f aca="false">IF(C858="","",IFERROR(INDEX(T_NOMBRE,MATCH(C858,T_ID,0)),"⚠ ID no existe"))</f>
        <v/>
      </c>
      <c r="E858" s="69"/>
      <c r="F858" s="67"/>
      <c r="G858" s="67"/>
      <c r="H858" s="67"/>
      <c r="I858" s="67"/>
      <c r="J858" s="67"/>
      <c r="K858" s="85" t="str">
        <f aca="false">IF(AH858="","",N(F858)+N(G858)+N(H858)-N(I858)+N(J858))</f>
        <v/>
      </c>
      <c r="L858" s="67"/>
      <c r="M858" s="67"/>
      <c r="N858" s="67"/>
      <c r="O858" s="67"/>
      <c r="P858" s="85" t="str">
        <f aca="false">IF(AH858="","",K858+N(L858)+N(M858)+N(N858)+N(O858))</f>
        <v/>
      </c>
      <c r="Q858" s="67"/>
      <c r="R858" s="67"/>
      <c r="S858" s="67"/>
      <c r="T858" s="67"/>
      <c r="U858" s="67"/>
      <c r="V858" s="67"/>
      <c r="W858" s="85" t="str">
        <f aca="false">IF(AH858="","",N(Q858)+N(R858)+N(S858)+N(T858)+N(U858)+N(V858))</f>
        <v/>
      </c>
      <c r="X858" s="85" t="str">
        <f aca="false">IF(AH858="","",P858-W858)</f>
        <v/>
      </c>
      <c r="Y858" s="67"/>
      <c r="Z858" s="70" t="str">
        <f aca="false">IF(OR(AH858="",Y858=""),"",IF(ABS(X858-Y858)&lt;=1,"✓ Cuadra","⚠ Diferencia $"&amp;FIXED(X858-Y858,0)))</f>
        <v/>
      </c>
      <c r="AA858" s="72" t="str">
        <f aca="false">IF(AH858="","",IFERROR(INDEX(C_TIPO,MATCH(C858&amp;"-P"&amp;MAX(1,COUNTIFS(C_ID,C858,C_DEFINE,"Sí",C_INICIO,"&lt;="&amp;EOMONTH(B858,0))),C_CLAVE,0))&amp;"","Sin dato"))</f>
        <v/>
      </c>
      <c r="AB858" s="71" t="str">
        <f aca="false">IF(AH858="","",ROUND(MIN(K858,TOPE_AFP_UF*AJ858)*AK858,0))</f>
        <v/>
      </c>
      <c r="AC858" s="71" t="str">
        <f aca="false">IF(AH858="","",ROUND(MIN(K858,TOPE_AFC_UF*AJ858)*IF(AA858="Indefinido",AFC_EMP_INDEF,AFC_EMP_PF),0))</f>
        <v/>
      </c>
      <c r="AD858" s="71" t="str">
        <f aca="false">IF(AH858="","",ROUND(MIN(K858,TOPE_AFP_UF*AJ858)*(MUTUAL_BASICA+MUTUAL_ADIC+SANNA),0))</f>
        <v/>
      </c>
      <c r="AE858" s="71" t="str">
        <f aca="false">IF(AH858="","",P858-N(N858)+AB858+AC858+AD858)</f>
        <v/>
      </c>
      <c r="AF858" s="65"/>
      <c r="AG858" s="64"/>
      <c r="AH858" s="72" t="str">
        <f aca="false">IF(OR(B858="",C858=""),"",C858&amp;"|"&amp;(YEAR(B858)*100+MONTH(B858)))</f>
        <v/>
      </c>
      <c r="AI858" s="70" t="str">
        <f aca="false">IF(AH858="","",IF(COUNTIF(L_CLAVE,AH858)&gt;1,"⚠ Duplicado","OK"))</f>
        <v/>
      </c>
      <c r="AJ858" s="86" t="str">
        <f aca="false">IF(AH858="","",IF(SUMPRODUCT(MAX((IND_PER&lt;=B858)*(IND_UF&lt;&gt;"")*IND_PER))=0,UF_HOY,INDEX(IND_UF,MATCH(SUMPRODUCT(MAX((IND_PER&lt;=B858)*(IND_UF&lt;&gt;"")*IND_PER)),IND_PER,0))))</f>
        <v/>
      </c>
      <c r="AK858" s="87" t="str">
        <f aca="false">IF(AH858="","",IF(COUNTIF(TASA_DESDE,"&lt;="&amp;B858)=0,INDEX(TASA_EMP,1),INDEX(TASA_EMP,COUNTIF(TASA_DESDE,"&lt;="&amp;B858))))</f>
        <v/>
      </c>
    </row>
    <row r="859" customFormat="false" ht="15" hidden="false" customHeight="false" outlineLevel="0" collapsed="false">
      <c r="B859" s="78"/>
      <c r="C859" s="64"/>
      <c r="D859" s="72" t="str">
        <f aca="false">IF(C859="","",IFERROR(INDEX(T_NOMBRE,MATCH(C859,T_ID,0)),"⚠ ID no existe"))</f>
        <v/>
      </c>
      <c r="E859" s="69"/>
      <c r="F859" s="67"/>
      <c r="G859" s="67"/>
      <c r="H859" s="67"/>
      <c r="I859" s="67"/>
      <c r="J859" s="67"/>
      <c r="K859" s="85" t="str">
        <f aca="false">IF(AH859="","",N(F859)+N(G859)+N(H859)-N(I859)+N(J859))</f>
        <v/>
      </c>
      <c r="L859" s="67"/>
      <c r="M859" s="67"/>
      <c r="N859" s="67"/>
      <c r="O859" s="67"/>
      <c r="P859" s="85" t="str">
        <f aca="false">IF(AH859="","",K859+N(L859)+N(M859)+N(N859)+N(O859))</f>
        <v/>
      </c>
      <c r="Q859" s="67"/>
      <c r="R859" s="67"/>
      <c r="S859" s="67"/>
      <c r="T859" s="67"/>
      <c r="U859" s="67"/>
      <c r="V859" s="67"/>
      <c r="W859" s="85" t="str">
        <f aca="false">IF(AH859="","",N(Q859)+N(R859)+N(S859)+N(T859)+N(U859)+N(V859))</f>
        <v/>
      </c>
      <c r="X859" s="85" t="str">
        <f aca="false">IF(AH859="","",P859-W859)</f>
        <v/>
      </c>
      <c r="Y859" s="67"/>
      <c r="Z859" s="70" t="str">
        <f aca="false">IF(OR(AH859="",Y859=""),"",IF(ABS(X859-Y859)&lt;=1,"✓ Cuadra","⚠ Diferencia $"&amp;FIXED(X859-Y859,0)))</f>
        <v/>
      </c>
      <c r="AA859" s="72" t="str">
        <f aca="false">IF(AH859="","",IFERROR(INDEX(C_TIPO,MATCH(C859&amp;"-P"&amp;MAX(1,COUNTIFS(C_ID,C859,C_DEFINE,"Sí",C_INICIO,"&lt;="&amp;EOMONTH(B859,0))),C_CLAVE,0))&amp;"","Sin dato"))</f>
        <v/>
      </c>
      <c r="AB859" s="71" t="str">
        <f aca="false">IF(AH859="","",ROUND(MIN(K859,TOPE_AFP_UF*AJ859)*AK859,0))</f>
        <v/>
      </c>
      <c r="AC859" s="71" t="str">
        <f aca="false">IF(AH859="","",ROUND(MIN(K859,TOPE_AFC_UF*AJ859)*IF(AA859="Indefinido",AFC_EMP_INDEF,AFC_EMP_PF),0))</f>
        <v/>
      </c>
      <c r="AD859" s="71" t="str">
        <f aca="false">IF(AH859="","",ROUND(MIN(K859,TOPE_AFP_UF*AJ859)*(MUTUAL_BASICA+MUTUAL_ADIC+SANNA),0))</f>
        <v/>
      </c>
      <c r="AE859" s="71" t="str">
        <f aca="false">IF(AH859="","",P859-N(N859)+AB859+AC859+AD859)</f>
        <v/>
      </c>
      <c r="AF859" s="65"/>
      <c r="AG859" s="64"/>
      <c r="AH859" s="72" t="str">
        <f aca="false">IF(OR(B859="",C859=""),"",C859&amp;"|"&amp;(YEAR(B859)*100+MONTH(B859)))</f>
        <v/>
      </c>
      <c r="AI859" s="70" t="str">
        <f aca="false">IF(AH859="","",IF(COUNTIF(L_CLAVE,AH859)&gt;1,"⚠ Duplicado","OK"))</f>
        <v/>
      </c>
      <c r="AJ859" s="86" t="str">
        <f aca="false">IF(AH859="","",IF(SUMPRODUCT(MAX((IND_PER&lt;=B859)*(IND_UF&lt;&gt;"")*IND_PER))=0,UF_HOY,INDEX(IND_UF,MATCH(SUMPRODUCT(MAX((IND_PER&lt;=B859)*(IND_UF&lt;&gt;"")*IND_PER)),IND_PER,0))))</f>
        <v/>
      </c>
      <c r="AK859" s="87" t="str">
        <f aca="false">IF(AH859="","",IF(COUNTIF(TASA_DESDE,"&lt;="&amp;B859)=0,INDEX(TASA_EMP,1),INDEX(TASA_EMP,COUNTIF(TASA_DESDE,"&lt;="&amp;B859))))</f>
        <v/>
      </c>
    </row>
    <row r="860" customFormat="false" ht="15" hidden="false" customHeight="false" outlineLevel="0" collapsed="false">
      <c r="B860" s="78"/>
      <c r="C860" s="64"/>
      <c r="D860" s="72" t="str">
        <f aca="false">IF(C860="","",IFERROR(INDEX(T_NOMBRE,MATCH(C860,T_ID,0)),"⚠ ID no existe"))</f>
        <v/>
      </c>
      <c r="E860" s="69"/>
      <c r="F860" s="67"/>
      <c r="G860" s="67"/>
      <c r="H860" s="67"/>
      <c r="I860" s="67"/>
      <c r="J860" s="67"/>
      <c r="K860" s="85" t="str">
        <f aca="false">IF(AH860="","",N(F860)+N(G860)+N(H860)-N(I860)+N(J860))</f>
        <v/>
      </c>
      <c r="L860" s="67"/>
      <c r="M860" s="67"/>
      <c r="N860" s="67"/>
      <c r="O860" s="67"/>
      <c r="P860" s="85" t="str">
        <f aca="false">IF(AH860="","",K860+N(L860)+N(M860)+N(N860)+N(O860))</f>
        <v/>
      </c>
      <c r="Q860" s="67"/>
      <c r="R860" s="67"/>
      <c r="S860" s="67"/>
      <c r="T860" s="67"/>
      <c r="U860" s="67"/>
      <c r="V860" s="67"/>
      <c r="W860" s="85" t="str">
        <f aca="false">IF(AH860="","",N(Q860)+N(R860)+N(S860)+N(T860)+N(U860)+N(V860))</f>
        <v/>
      </c>
      <c r="X860" s="85" t="str">
        <f aca="false">IF(AH860="","",P860-W860)</f>
        <v/>
      </c>
      <c r="Y860" s="67"/>
      <c r="Z860" s="70" t="str">
        <f aca="false">IF(OR(AH860="",Y860=""),"",IF(ABS(X860-Y860)&lt;=1,"✓ Cuadra","⚠ Diferencia $"&amp;FIXED(X860-Y860,0)))</f>
        <v/>
      </c>
      <c r="AA860" s="72" t="str">
        <f aca="false">IF(AH860="","",IFERROR(INDEX(C_TIPO,MATCH(C860&amp;"-P"&amp;MAX(1,COUNTIFS(C_ID,C860,C_DEFINE,"Sí",C_INICIO,"&lt;="&amp;EOMONTH(B860,0))),C_CLAVE,0))&amp;"","Sin dato"))</f>
        <v/>
      </c>
      <c r="AB860" s="71" t="str">
        <f aca="false">IF(AH860="","",ROUND(MIN(K860,TOPE_AFP_UF*AJ860)*AK860,0))</f>
        <v/>
      </c>
      <c r="AC860" s="71" t="str">
        <f aca="false">IF(AH860="","",ROUND(MIN(K860,TOPE_AFC_UF*AJ860)*IF(AA860="Indefinido",AFC_EMP_INDEF,AFC_EMP_PF),0))</f>
        <v/>
      </c>
      <c r="AD860" s="71" t="str">
        <f aca="false">IF(AH860="","",ROUND(MIN(K860,TOPE_AFP_UF*AJ860)*(MUTUAL_BASICA+MUTUAL_ADIC+SANNA),0))</f>
        <v/>
      </c>
      <c r="AE860" s="71" t="str">
        <f aca="false">IF(AH860="","",P860-N(N860)+AB860+AC860+AD860)</f>
        <v/>
      </c>
      <c r="AF860" s="65"/>
      <c r="AG860" s="64"/>
      <c r="AH860" s="72" t="str">
        <f aca="false">IF(OR(B860="",C860=""),"",C860&amp;"|"&amp;(YEAR(B860)*100+MONTH(B860)))</f>
        <v/>
      </c>
      <c r="AI860" s="70" t="str">
        <f aca="false">IF(AH860="","",IF(COUNTIF(L_CLAVE,AH860)&gt;1,"⚠ Duplicado","OK"))</f>
        <v/>
      </c>
      <c r="AJ860" s="86" t="str">
        <f aca="false">IF(AH860="","",IF(SUMPRODUCT(MAX((IND_PER&lt;=B860)*(IND_UF&lt;&gt;"")*IND_PER))=0,UF_HOY,INDEX(IND_UF,MATCH(SUMPRODUCT(MAX((IND_PER&lt;=B860)*(IND_UF&lt;&gt;"")*IND_PER)),IND_PER,0))))</f>
        <v/>
      </c>
      <c r="AK860" s="87" t="str">
        <f aca="false">IF(AH860="","",IF(COUNTIF(TASA_DESDE,"&lt;="&amp;B860)=0,INDEX(TASA_EMP,1),INDEX(TASA_EMP,COUNTIF(TASA_DESDE,"&lt;="&amp;B860))))</f>
        <v/>
      </c>
    </row>
    <row r="861" customFormat="false" ht="15" hidden="false" customHeight="false" outlineLevel="0" collapsed="false">
      <c r="B861" s="78"/>
      <c r="C861" s="64"/>
      <c r="D861" s="72" t="str">
        <f aca="false">IF(C861="","",IFERROR(INDEX(T_NOMBRE,MATCH(C861,T_ID,0)),"⚠ ID no existe"))</f>
        <v/>
      </c>
      <c r="E861" s="69"/>
      <c r="F861" s="67"/>
      <c r="G861" s="67"/>
      <c r="H861" s="67"/>
      <c r="I861" s="67"/>
      <c r="J861" s="67"/>
      <c r="K861" s="85" t="str">
        <f aca="false">IF(AH861="","",N(F861)+N(G861)+N(H861)-N(I861)+N(J861))</f>
        <v/>
      </c>
      <c r="L861" s="67"/>
      <c r="M861" s="67"/>
      <c r="N861" s="67"/>
      <c r="O861" s="67"/>
      <c r="P861" s="85" t="str">
        <f aca="false">IF(AH861="","",K861+N(L861)+N(M861)+N(N861)+N(O861))</f>
        <v/>
      </c>
      <c r="Q861" s="67"/>
      <c r="R861" s="67"/>
      <c r="S861" s="67"/>
      <c r="T861" s="67"/>
      <c r="U861" s="67"/>
      <c r="V861" s="67"/>
      <c r="W861" s="85" t="str">
        <f aca="false">IF(AH861="","",N(Q861)+N(R861)+N(S861)+N(T861)+N(U861)+N(V861))</f>
        <v/>
      </c>
      <c r="X861" s="85" t="str">
        <f aca="false">IF(AH861="","",P861-W861)</f>
        <v/>
      </c>
      <c r="Y861" s="67"/>
      <c r="Z861" s="70" t="str">
        <f aca="false">IF(OR(AH861="",Y861=""),"",IF(ABS(X861-Y861)&lt;=1,"✓ Cuadra","⚠ Diferencia $"&amp;FIXED(X861-Y861,0)))</f>
        <v/>
      </c>
      <c r="AA861" s="72" t="str">
        <f aca="false">IF(AH861="","",IFERROR(INDEX(C_TIPO,MATCH(C861&amp;"-P"&amp;MAX(1,COUNTIFS(C_ID,C861,C_DEFINE,"Sí",C_INICIO,"&lt;="&amp;EOMONTH(B861,0))),C_CLAVE,0))&amp;"","Sin dato"))</f>
        <v/>
      </c>
      <c r="AB861" s="71" t="str">
        <f aca="false">IF(AH861="","",ROUND(MIN(K861,TOPE_AFP_UF*AJ861)*AK861,0))</f>
        <v/>
      </c>
      <c r="AC861" s="71" t="str">
        <f aca="false">IF(AH861="","",ROUND(MIN(K861,TOPE_AFC_UF*AJ861)*IF(AA861="Indefinido",AFC_EMP_INDEF,AFC_EMP_PF),0))</f>
        <v/>
      </c>
      <c r="AD861" s="71" t="str">
        <f aca="false">IF(AH861="","",ROUND(MIN(K861,TOPE_AFP_UF*AJ861)*(MUTUAL_BASICA+MUTUAL_ADIC+SANNA),0))</f>
        <v/>
      </c>
      <c r="AE861" s="71" t="str">
        <f aca="false">IF(AH861="","",P861-N(N861)+AB861+AC861+AD861)</f>
        <v/>
      </c>
      <c r="AF861" s="65"/>
      <c r="AG861" s="64"/>
      <c r="AH861" s="72" t="str">
        <f aca="false">IF(OR(B861="",C861=""),"",C861&amp;"|"&amp;(YEAR(B861)*100+MONTH(B861)))</f>
        <v/>
      </c>
      <c r="AI861" s="70" t="str">
        <f aca="false">IF(AH861="","",IF(COUNTIF(L_CLAVE,AH861)&gt;1,"⚠ Duplicado","OK"))</f>
        <v/>
      </c>
      <c r="AJ861" s="86" t="str">
        <f aca="false">IF(AH861="","",IF(SUMPRODUCT(MAX((IND_PER&lt;=B861)*(IND_UF&lt;&gt;"")*IND_PER))=0,UF_HOY,INDEX(IND_UF,MATCH(SUMPRODUCT(MAX((IND_PER&lt;=B861)*(IND_UF&lt;&gt;"")*IND_PER)),IND_PER,0))))</f>
        <v/>
      </c>
      <c r="AK861" s="87" t="str">
        <f aca="false">IF(AH861="","",IF(COUNTIF(TASA_DESDE,"&lt;="&amp;B861)=0,INDEX(TASA_EMP,1),INDEX(TASA_EMP,COUNTIF(TASA_DESDE,"&lt;="&amp;B861))))</f>
        <v/>
      </c>
    </row>
    <row r="862" customFormat="false" ht="15" hidden="false" customHeight="false" outlineLevel="0" collapsed="false">
      <c r="B862" s="78"/>
      <c r="C862" s="64"/>
      <c r="D862" s="72" t="str">
        <f aca="false">IF(C862="","",IFERROR(INDEX(T_NOMBRE,MATCH(C862,T_ID,0)),"⚠ ID no existe"))</f>
        <v/>
      </c>
      <c r="E862" s="69"/>
      <c r="F862" s="67"/>
      <c r="G862" s="67"/>
      <c r="H862" s="67"/>
      <c r="I862" s="67"/>
      <c r="J862" s="67"/>
      <c r="K862" s="85" t="str">
        <f aca="false">IF(AH862="","",N(F862)+N(G862)+N(H862)-N(I862)+N(J862))</f>
        <v/>
      </c>
      <c r="L862" s="67"/>
      <c r="M862" s="67"/>
      <c r="N862" s="67"/>
      <c r="O862" s="67"/>
      <c r="P862" s="85" t="str">
        <f aca="false">IF(AH862="","",K862+N(L862)+N(M862)+N(N862)+N(O862))</f>
        <v/>
      </c>
      <c r="Q862" s="67"/>
      <c r="R862" s="67"/>
      <c r="S862" s="67"/>
      <c r="T862" s="67"/>
      <c r="U862" s="67"/>
      <c r="V862" s="67"/>
      <c r="W862" s="85" t="str">
        <f aca="false">IF(AH862="","",N(Q862)+N(R862)+N(S862)+N(T862)+N(U862)+N(V862))</f>
        <v/>
      </c>
      <c r="X862" s="85" t="str">
        <f aca="false">IF(AH862="","",P862-W862)</f>
        <v/>
      </c>
      <c r="Y862" s="67"/>
      <c r="Z862" s="70" t="str">
        <f aca="false">IF(OR(AH862="",Y862=""),"",IF(ABS(X862-Y862)&lt;=1,"✓ Cuadra","⚠ Diferencia $"&amp;FIXED(X862-Y862,0)))</f>
        <v/>
      </c>
      <c r="AA862" s="72" t="str">
        <f aca="false">IF(AH862="","",IFERROR(INDEX(C_TIPO,MATCH(C862&amp;"-P"&amp;MAX(1,COUNTIFS(C_ID,C862,C_DEFINE,"Sí",C_INICIO,"&lt;="&amp;EOMONTH(B862,0))),C_CLAVE,0))&amp;"","Sin dato"))</f>
        <v/>
      </c>
      <c r="AB862" s="71" t="str">
        <f aca="false">IF(AH862="","",ROUND(MIN(K862,TOPE_AFP_UF*AJ862)*AK862,0))</f>
        <v/>
      </c>
      <c r="AC862" s="71" t="str">
        <f aca="false">IF(AH862="","",ROUND(MIN(K862,TOPE_AFC_UF*AJ862)*IF(AA862="Indefinido",AFC_EMP_INDEF,AFC_EMP_PF),0))</f>
        <v/>
      </c>
      <c r="AD862" s="71" t="str">
        <f aca="false">IF(AH862="","",ROUND(MIN(K862,TOPE_AFP_UF*AJ862)*(MUTUAL_BASICA+MUTUAL_ADIC+SANNA),0))</f>
        <v/>
      </c>
      <c r="AE862" s="71" t="str">
        <f aca="false">IF(AH862="","",P862-N(N862)+AB862+AC862+AD862)</f>
        <v/>
      </c>
      <c r="AF862" s="65"/>
      <c r="AG862" s="64"/>
      <c r="AH862" s="72" t="str">
        <f aca="false">IF(OR(B862="",C862=""),"",C862&amp;"|"&amp;(YEAR(B862)*100+MONTH(B862)))</f>
        <v/>
      </c>
      <c r="AI862" s="70" t="str">
        <f aca="false">IF(AH862="","",IF(COUNTIF(L_CLAVE,AH862)&gt;1,"⚠ Duplicado","OK"))</f>
        <v/>
      </c>
      <c r="AJ862" s="86" t="str">
        <f aca="false">IF(AH862="","",IF(SUMPRODUCT(MAX((IND_PER&lt;=B862)*(IND_UF&lt;&gt;"")*IND_PER))=0,UF_HOY,INDEX(IND_UF,MATCH(SUMPRODUCT(MAX((IND_PER&lt;=B862)*(IND_UF&lt;&gt;"")*IND_PER)),IND_PER,0))))</f>
        <v/>
      </c>
      <c r="AK862" s="87" t="str">
        <f aca="false">IF(AH862="","",IF(COUNTIF(TASA_DESDE,"&lt;="&amp;B862)=0,INDEX(TASA_EMP,1),INDEX(TASA_EMP,COUNTIF(TASA_DESDE,"&lt;="&amp;B862))))</f>
        <v/>
      </c>
    </row>
    <row r="863" customFormat="false" ht="15" hidden="false" customHeight="false" outlineLevel="0" collapsed="false">
      <c r="B863" s="78"/>
      <c r="C863" s="64"/>
      <c r="D863" s="72" t="str">
        <f aca="false">IF(C863="","",IFERROR(INDEX(T_NOMBRE,MATCH(C863,T_ID,0)),"⚠ ID no existe"))</f>
        <v/>
      </c>
      <c r="E863" s="69"/>
      <c r="F863" s="67"/>
      <c r="G863" s="67"/>
      <c r="H863" s="67"/>
      <c r="I863" s="67"/>
      <c r="J863" s="67"/>
      <c r="K863" s="85" t="str">
        <f aca="false">IF(AH863="","",N(F863)+N(G863)+N(H863)-N(I863)+N(J863))</f>
        <v/>
      </c>
      <c r="L863" s="67"/>
      <c r="M863" s="67"/>
      <c r="N863" s="67"/>
      <c r="O863" s="67"/>
      <c r="P863" s="85" t="str">
        <f aca="false">IF(AH863="","",K863+N(L863)+N(M863)+N(N863)+N(O863))</f>
        <v/>
      </c>
      <c r="Q863" s="67"/>
      <c r="R863" s="67"/>
      <c r="S863" s="67"/>
      <c r="T863" s="67"/>
      <c r="U863" s="67"/>
      <c r="V863" s="67"/>
      <c r="W863" s="85" t="str">
        <f aca="false">IF(AH863="","",N(Q863)+N(R863)+N(S863)+N(T863)+N(U863)+N(V863))</f>
        <v/>
      </c>
      <c r="X863" s="85" t="str">
        <f aca="false">IF(AH863="","",P863-W863)</f>
        <v/>
      </c>
      <c r="Y863" s="67"/>
      <c r="Z863" s="70" t="str">
        <f aca="false">IF(OR(AH863="",Y863=""),"",IF(ABS(X863-Y863)&lt;=1,"✓ Cuadra","⚠ Diferencia $"&amp;FIXED(X863-Y863,0)))</f>
        <v/>
      </c>
      <c r="AA863" s="72" t="str">
        <f aca="false">IF(AH863="","",IFERROR(INDEX(C_TIPO,MATCH(C863&amp;"-P"&amp;MAX(1,COUNTIFS(C_ID,C863,C_DEFINE,"Sí",C_INICIO,"&lt;="&amp;EOMONTH(B863,0))),C_CLAVE,0))&amp;"","Sin dato"))</f>
        <v/>
      </c>
      <c r="AB863" s="71" t="str">
        <f aca="false">IF(AH863="","",ROUND(MIN(K863,TOPE_AFP_UF*AJ863)*AK863,0))</f>
        <v/>
      </c>
      <c r="AC863" s="71" t="str">
        <f aca="false">IF(AH863="","",ROUND(MIN(K863,TOPE_AFC_UF*AJ863)*IF(AA863="Indefinido",AFC_EMP_INDEF,AFC_EMP_PF),0))</f>
        <v/>
      </c>
      <c r="AD863" s="71" t="str">
        <f aca="false">IF(AH863="","",ROUND(MIN(K863,TOPE_AFP_UF*AJ863)*(MUTUAL_BASICA+MUTUAL_ADIC+SANNA),0))</f>
        <v/>
      </c>
      <c r="AE863" s="71" t="str">
        <f aca="false">IF(AH863="","",P863-N(N863)+AB863+AC863+AD863)</f>
        <v/>
      </c>
      <c r="AF863" s="65"/>
      <c r="AG863" s="64"/>
      <c r="AH863" s="72" t="str">
        <f aca="false">IF(OR(B863="",C863=""),"",C863&amp;"|"&amp;(YEAR(B863)*100+MONTH(B863)))</f>
        <v/>
      </c>
      <c r="AI863" s="70" t="str">
        <f aca="false">IF(AH863="","",IF(COUNTIF(L_CLAVE,AH863)&gt;1,"⚠ Duplicado","OK"))</f>
        <v/>
      </c>
      <c r="AJ863" s="86" t="str">
        <f aca="false">IF(AH863="","",IF(SUMPRODUCT(MAX((IND_PER&lt;=B863)*(IND_UF&lt;&gt;"")*IND_PER))=0,UF_HOY,INDEX(IND_UF,MATCH(SUMPRODUCT(MAX((IND_PER&lt;=B863)*(IND_UF&lt;&gt;"")*IND_PER)),IND_PER,0))))</f>
        <v/>
      </c>
      <c r="AK863" s="87" t="str">
        <f aca="false">IF(AH863="","",IF(COUNTIF(TASA_DESDE,"&lt;="&amp;B863)=0,INDEX(TASA_EMP,1),INDEX(TASA_EMP,COUNTIF(TASA_DESDE,"&lt;="&amp;B863))))</f>
        <v/>
      </c>
    </row>
    <row r="864" customFormat="false" ht="15" hidden="false" customHeight="false" outlineLevel="0" collapsed="false">
      <c r="B864" s="78"/>
      <c r="C864" s="64"/>
      <c r="D864" s="72" t="str">
        <f aca="false">IF(C864="","",IFERROR(INDEX(T_NOMBRE,MATCH(C864,T_ID,0)),"⚠ ID no existe"))</f>
        <v/>
      </c>
      <c r="E864" s="69"/>
      <c r="F864" s="67"/>
      <c r="G864" s="67"/>
      <c r="H864" s="67"/>
      <c r="I864" s="67"/>
      <c r="J864" s="67"/>
      <c r="K864" s="85" t="str">
        <f aca="false">IF(AH864="","",N(F864)+N(G864)+N(H864)-N(I864)+N(J864))</f>
        <v/>
      </c>
      <c r="L864" s="67"/>
      <c r="M864" s="67"/>
      <c r="N864" s="67"/>
      <c r="O864" s="67"/>
      <c r="P864" s="85" t="str">
        <f aca="false">IF(AH864="","",K864+N(L864)+N(M864)+N(N864)+N(O864))</f>
        <v/>
      </c>
      <c r="Q864" s="67"/>
      <c r="R864" s="67"/>
      <c r="S864" s="67"/>
      <c r="T864" s="67"/>
      <c r="U864" s="67"/>
      <c r="V864" s="67"/>
      <c r="W864" s="85" t="str">
        <f aca="false">IF(AH864="","",N(Q864)+N(R864)+N(S864)+N(T864)+N(U864)+N(V864))</f>
        <v/>
      </c>
      <c r="X864" s="85" t="str">
        <f aca="false">IF(AH864="","",P864-W864)</f>
        <v/>
      </c>
      <c r="Y864" s="67"/>
      <c r="Z864" s="70" t="str">
        <f aca="false">IF(OR(AH864="",Y864=""),"",IF(ABS(X864-Y864)&lt;=1,"✓ Cuadra","⚠ Diferencia $"&amp;FIXED(X864-Y864,0)))</f>
        <v/>
      </c>
      <c r="AA864" s="72" t="str">
        <f aca="false">IF(AH864="","",IFERROR(INDEX(C_TIPO,MATCH(C864&amp;"-P"&amp;MAX(1,COUNTIFS(C_ID,C864,C_DEFINE,"Sí",C_INICIO,"&lt;="&amp;EOMONTH(B864,0))),C_CLAVE,0))&amp;"","Sin dato"))</f>
        <v/>
      </c>
      <c r="AB864" s="71" t="str">
        <f aca="false">IF(AH864="","",ROUND(MIN(K864,TOPE_AFP_UF*AJ864)*AK864,0))</f>
        <v/>
      </c>
      <c r="AC864" s="71" t="str">
        <f aca="false">IF(AH864="","",ROUND(MIN(K864,TOPE_AFC_UF*AJ864)*IF(AA864="Indefinido",AFC_EMP_INDEF,AFC_EMP_PF),0))</f>
        <v/>
      </c>
      <c r="AD864" s="71" t="str">
        <f aca="false">IF(AH864="","",ROUND(MIN(K864,TOPE_AFP_UF*AJ864)*(MUTUAL_BASICA+MUTUAL_ADIC+SANNA),0))</f>
        <v/>
      </c>
      <c r="AE864" s="71" t="str">
        <f aca="false">IF(AH864="","",P864-N(N864)+AB864+AC864+AD864)</f>
        <v/>
      </c>
      <c r="AF864" s="65"/>
      <c r="AG864" s="64"/>
      <c r="AH864" s="72" t="str">
        <f aca="false">IF(OR(B864="",C864=""),"",C864&amp;"|"&amp;(YEAR(B864)*100+MONTH(B864)))</f>
        <v/>
      </c>
      <c r="AI864" s="70" t="str">
        <f aca="false">IF(AH864="","",IF(COUNTIF(L_CLAVE,AH864)&gt;1,"⚠ Duplicado","OK"))</f>
        <v/>
      </c>
      <c r="AJ864" s="86" t="str">
        <f aca="false">IF(AH864="","",IF(SUMPRODUCT(MAX((IND_PER&lt;=B864)*(IND_UF&lt;&gt;"")*IND_PER))=0,UF_HOY,INDEX(IND_UF,MATCH(SUMPRODUCT(MAX((IND_PER&lt;=B864)*(IND_UF&lt;&gt;"")*IND_PER)),IND_PER,0))))</f>
        <v/>
      </c>
      <c r="AK864" s="87" t="str">
        <f aca="false">IF(AH864="","",IF(COUNTIF(TASA_DESDE,"&lt;="&amp;B864)=0,INDEX(TASA_EMP,1),INDEX(TASA_EMP,COUNTIF(TASA_DESDE,"&lt;="&amp;B864))))</f>
        <v/>
      </c>
    </row>
    <row r="865" customFormat="false" ht="15" hidden="false" customHeight="false" outlineLevel="0" collapsed="false">
      <c r="B865" s="78"/>
      <c r="C865" s="64"/>
      <c r="D865" s="72" t="str">
        <f aca="false">IF(C865="","",IFERROR(INDEX(T_NOMBRE,MATCH(C865,T_ID,0)),"⚠ ID no existe"))</f>
        <v/>
      </c>
      <c r="E865" s="69"/>
      <c r="F865" s="67"/>
      <c r="G865" s="67"/>
      <c r="H865" s="67"/>
      <c r="I865" s="67"/>
      <c r="J865" s="67"/>
      <c r="K865" s="85" t="str">
        <f aca="false">IF(AH865="","",N(F865)+N(G865)+N(H865)-N(I865)+N(J865))</f>
        <v/>
      </c>
      <c r="L865" s="67"/>
      <c r="M865" s="67"/>
      <c r="N865" s="67"/>
      <c r="O865" s="67"/>
      <c r="P865" s="85" t="str">
        <f aca="false">IF(AH865="","",K865+N(L865)+N(M865)+N(N865)+N(O865))</f>
        <v/>
      </c>
      <c r="Q865" s="67"/>
      <c r="R865" s="67"/>
      <c r="S865" s="67"/>
      <c r="T865" s="67"/>
      <c r="U865" s="67"/>
      <c r="V865" s="67"/>
      <c r="W865" s="85" t="str">
        <f aca="false">IF(AH865="","",N(Q865)+N(R865)+N(S865)+N(T865)+N(U865)+N(V865))</f>
        <v/>
      </c>
      <c r="X865" s="85" t="str">
        <f aca="false">IF(AH865="","",P865-W865)</f>
        <v/>
      </c>
      <c r="Y865" s="67"/>
      <c r="Z865" s="70" t="str">
        <f aca="false">IF(OR(AH865="",Y865=""),"",IF(ABS(X865-Y865)&lt;=1,"✓ Cuadra","⚠ Diferencia $"&amp;FIXED(X865-Y865,0)))</f>
        <v/>
      </c>
      <c r="AA865" s="72" t="str">
        <f aca="false">IF(AH865="","",IFERROR(INDEX(C_TIPO,MATCH(C865&amp;"-P"&amp;MAX(1,COUNTIFS(C_ID,C865,C_DEFINE,"Sí",C_INICIO,"&lt;="&amp;EOMONTH(B865,0))),C_CLAVE,0))&amp;"","Sin dato"))</f>
        <v/>
      </c>
      <c r="AB865" s="71" t="str">
        <f aca="false">IF(AH865="","",ROUND(MIN(K865,TOPE_AFP_UF*AJ865)*AK865,0))</f>
        <v/>
      </c>
      <c r="AC865" s="71" t="str">
        <f aca="false">IF(AH865="","",ROUND(MIN(K865,TOPE_AFC_UF*AJ865)*IF(AA865="Indefinido",AFC_EMP_INDEF,AFC_EMP_PF),0))</f>
        <v/>
      </c>
      <c r="AD865" s="71" t="str">
        <f aca="false">IF(AH865="","",ROUND(MIN(K865,TOPE_AFP_UF*AJ865)*(MUTUAL_BASICA+MUTUAL_ADIC+SANNA),0))</f>
        <v/>
      </c>
      <c r="AE865" s="71" t="str">
        <f aca="false">IF(AH865="","",P865-N(N865)+AB865+AC865+AD865)</f>
        <v/>
      </c>
      <c r="AF865" s="65"/>
      <c r="AG865" s="64"/>
      <c r="AH865" s="72" t="str">
        <f aca="false">IF(OR(B865="",C865=""),"",C865&amp;"|"&amp;(YEAR(B865)*100+MONTH(B865)))</f>
        <v/>
      </c>
      <c r="AI865" s="70" t="str">
        <f aca="false">IF(AH865="","",IF(COUNTIF(L_CLAVE,AH865)&gt;1,"⚠ Duplicado","OK"))</f>
        <v/>
      </c>
      <c r="AJ865" s="86" t="str">
        <f aca="false">IF(AH865="","",IF(SUMPRODUCT(MAX((IND_PER&lt;=B865)*(IND_UF&lt;&gt;"")*IND_PER))=0,UF_HOY,INDEX(IND_UF,MATCH(SUMPRODUCT(MAX((IND_PER&lt;=B865)*(IND_UF&lt;&gt;"")*IND_PER)),IND_PER,0))))</f>
        <v/>
      </c>
      <c r="AK865" s="87" t="str">
        <f aca="false">IF(AH865="","",IF(COUNTIF(TASA_DESDE,"&lt;="&amp;B865)=0,INDEX(TASA_EMP,1),INDEX(TASA_EMP,COUNTIF(TASA_DESDE,"&lt;="&amp;B865))))</f>
        <v/>
      </c>
    </row>
    <row r="866" customFormat="false" ht="15" hidden="false" customHeight="false" outlineLevel="0" collapsed="false">
      <c r="B866" s="78"/>
      <c r="C866" s="64"/>
      <c r="D866" s="72" t="str">
        <f aca="false">IF(C866="","",IFERROR(INDEX(T_NOMBRE,MATCH(C866,T_ID,0)),"⚠ ID no existe"))</f>
        <v/>
      </c>
      <c r="E866" s="69"/>
      <c r="F866" s="67"/>
      <c r="G866" s="67"/>
      <c r="H866" s="67"/>
      <c r="I866" s="67"/>
      <c r="J866" s="67"/>
      <c r="K866" s="85" t="str">
        <f aca="false">IF(AH866="","",N(F866)+N(G866)+N(H866)-N(I866)+N(J866))</f>
        <v/>
      </c>
      <c r="L866" s="67"/>
      <c r="M866" s="67"/>
      <c r="N866" s="67"/>
      <c r="O866" s="67"/>
      <c r="P866" s="85" t="str">
        <f aca="false">IF(AH866="","",K866+N(L866)+N(M866)+N(N866)+N(O866))</f>
        <v/>
      </c>
      <c r="Q866" s="67"/>
      <c r="R866" s="67"/>
      <c r="S866" s="67"/>
      <c r="T866" s="67"/>
      <c r="U866" s="67"/>
      <c r="V866" s="67"/>
      <c r="W866" s="85" t="str">
        <f aca="false">IF(AH866="","",N(Q866)+N(R866)+N(S866)+N(T866)+N(U866)+N(V866))</f>
        <v/>
      </c>
      <c r="X866" s="85" t="str">
        <f aca="false">IF(AH866="","",P866-W866)</f>
        <v/>
      </c>
      <c r="Y866" s="67"/>
      <c r="Z866" s="70" t="str">
        <f aca="false">IF(OR(AH866="",Y866=""),"",IF(ABS(X866-Y866)&lt;=1,"✓ Cuadra","⚠ Diferencia $"&amp;FIXED(X866-Y866,0)))</f>
        <v/>
      </c>
      <c r="AA866" s="72" t="str">
        <f aca="false">IF(AH866="","",IFERROR(INDEX(C_TIPO,MATCH(C866&amp;"-P"&amp;MAX(1,COUNTIFS(C_ID,C866,C_DEFINE,"Sí",C_INICIO,"&lt;="&amp;EOMONTH(B866,0))),C_CLAVE,0))&amp;"","Sin dato"))</f>
        <v/>
      </c>
      <c r="AB866" s="71" t="str">
        <f aca="false">IF(AH866="","",ROUND(MIN(K866,TOPE_AFP_UF*AJ866)*AK866,0))</f>
        <v/>
      </c>
      <c r="AC866" s="71" t="str">
        <f aca="false">IF(AH866="","",ROUND(MIN(K866,TOPE_AFC_UF*AJ866)*IF(AA866="Indefinido",AFC_EMP_INDEF,AFC_EMP_PF),0))</f>
        <v/>
      </c>
      <c r="AD866" s="71" t="str">
        <f aca="false">IF(AH866="","",ROUND(MIN(K866,TOPE_AFP_UF*AJ866)*(MUTUAL_BASICA+MUTUAL_ADIC+SANNA),0))</f>
        <v/>
      </c>
      <c r="AE866" s="71" t="str">
        <f aca="false">IF(AH866="","",P866-N(N866)+AB866+AC866+AD866)</f>
        <v/>
      </c>
      <c r="AF866" s="65"/>
      <c r="AG866" s="64"/>
      <c r="AH866" s="72" t="str">
        <f aca="false">IF(OR(B866="",C866=""),"",C866&amp;"|"&amp;(YEAR(B866)*100+MONTH(B866)))</f>
        <v/>
      </c>
      <c r="AI866" s="70" t="str">
        <f aca="false">IF(AH866="","",IF(COUNTIF(L_CLAVE,AH866)&gt;1,"⚠ Duplicado","OK"))</f>
        <v/>
      </c>
      <c r="AJ866" s="86" t="str">
        <f aca="false">IF(AH866="","",IF(SUMPRODUCT(MAX((IND_PER&lt;=B866)*(IND_UF&lt;&gt;"")*IND_PER))=0,UF_HOY,INDEX(IND_UF,MATCH(SUMPRODUCT(MAX((IND_PER&lt;=B866)*(IND_UF&lt;&gt;"")*IND_PER)),IND_PER,0))))</f>
        <v/>
      </c>
      <c r="AK866" s="87" t="str">
        <f aca="false">IF(AH866="","",IF(COUNTIF(TASA_DESDE,"&lt;="&amp;B866)=0,INDEX(TASA_EMP,1),INDEX(TASA_EMP,COUNTIF(TASA_DESDE,"&lt;="&amp;B866))))</f>
        <v/>
      </c>
    </row>
    <row r="867" customFormat="false" ht="15" hidden="false" customHeight="false" outlineLevel="0" collapsed="false">
      <c r="B867" s="78"/>
      <c r="C867" s="64"/>
      <c r="D867" s="72" t="str">
        <f aca="false">IF(C867="","",IFERROR(INDEX(T_NOMBRE,MATCH(C867,T_ID,0)),"⚠ ID no existe"))</f>
        <v/>
      </c>
      <c r="E867" s="69"/>
      <c r="F867" s="67"/>
      <c r="G867" s="67"/>
      <c r="H867" s="67"/>
      <c r="I867" s="67"/>
      <c r="J867" s="67"/>
      <c r="K867" s="85" t="str">
        <f aca="false">IF(AH867="","",N(F867)+N(G867)+N(H867)-N(I867)+N(J867))</f>
        <v/>
      </c>
      <c r="L867" s="67"/>
      <c r="M867" s="67"/>
      <c r="N867" s="67"/>
      <c r="O867" s="67"/>
      <c r="P867" s="85" t="str">
        <f aca="false">IF(AH867="","",K867+N(L867)+N(M867)+N(N867)+N(O867))</f>
        <v/>
      </c>
      <c r="Q867" s="67"/>
      <c r="R867" s="67"/>
      <c r="S867" s="67"/>
      <c r="T867" s="67"/>
      <c r="U867" s="67"/>
      <c r="V867" s="67"/>
      <c r="W867" s="85" t="str">
        <f aca="false">IF(AH867="","",N(Q867)+N(R867)+N(S867)+N(T867)+N(U867)+N(V867))</f>
        <v/>
      </c>
      <c r="X867" s="85" t="str">
        <f aca="false">IF(AH867="","",P867-W867)</f>
        <v/>
      </c>
      <c r="Y867" s="67"/>
      <c r="Z867" s="70" t="str">
        <f aca="false">IF(OR(AH867="",Y867=""),"",IF(ABS(X867-Y867)&lt;=1,"✓ Cuadra","⚠ Diferencia $"&amp;FIXED(X867-Y867,0)))</f>
        <v/>
      </c>
      <c r="AA867" s="72" t="str">
        <f aca="false">IF(AH867="","",IFERROR(INDEX(C_TIPO,MATCH(C867&amp;"-P"&amp;MAX(1,COUNTIFS(C_ID,C867,C_DEFINE,"Sí",C_INICIO,"&lt;="&amp;EOMONTH(B867,0))),C_CLAVE,0))&amp;"","Sin dato"))</f>
        <v/>
      </c>
      <c r="AB867" s="71" t="str">
        <f aca="false">IF(AH867="","",ROUND(MIN(K867,TOPE_AFP_UF*AJ867)*AK867,0))</f>
        <v/>
      </c>
      <c r="AC867" s="71" t="str">
        <f aca="false">IF(AH867="","",ROUND(MIN(K867,TOPE_AFC_UF*AJ867)*IF(AA867="Indefinido",AFC_EMP_INDEF,AFC_EMP_PF),0))</f>
        <v/>
      </c>
      <c r="AD867" s="71" t="str">
        <f aca="false">IF(AH867="","",ROUND(MIN(K867,TOPE_AFP_UF*AJ867)*(MUTUAL_BASICA+MUTUAL_ADIC+SANNA),0))</f>
        <v/>
      </c>
      <c r="AE867" s="71" t="str">
        <f aca="false">IF(AH867="","",P867-N(N867)+AB867+AC867+AD867)</f>
        <v/>
      </c>
      <c r="AF867" s="65"/>
      <c r="AG867" s="64"/>
      <c r="AH867" s="72" t="str">
        <f aca="false">IF(OR(B867="",C867=""),"",C867&amp;"|"&amp;(YEAR(B867)*100+MONTH(B867)))</f>
        <v/>
      </c>
      <c r="AI867" s="70" t="str">
        <f aca="false">IF(AH867="","",IF(COUNTIF(L_CLAVE,AH867)&gt;1,"⚠ Duplicado","OK"))</f>
        <v/>
      </c>
      <c r="AJ867" s="86" t="str">
        <f aca="false">IF(AH867="","",IF(SUMPRODUCT(MAX((IND_PER&lt;=B867)*(IND_UF&lt;&gt;"")*IND_PER))=0,UF_HOY,INDEX(IND_UF,MATCH(SUMPRODUCT(MAX((IND_PER&lt;=B867)*(IND_UF&lt;&gt;"")*IND_PER)),IND_PER,0))))</f>
        <v/>
      </c>
      <c r="AK867" s="87" t="str">
        <f aca="false">IF(AH867="","",IF(COUNTIF(TASA_DESDE,"&lt;="&amp;B867)=0,INDEX(TASA_EMP,1),INDEX(TASA_EMP,COUNTIF(TASA_DESDE,"&lt;="&amp;B867))))</f>
        <v/>
      </c>
    </row>
    <row r="868" customFormat="false" ht="15" hidden="false" customHeight="false" outlineLevel="0" collapsed="false">
      <c r="B868" s="78"/>
      <c r="C868" s="64"/>
      <c r="D868" s="72" t="str">
        <f aca="false">IF(C868="","",IFERROR(INDEX(T_NOMBRE,MATCH(C868,T_ID,0)),"⚠ ID no existe"))</f>
        <v/>
      </c>
      <c r="E868" s="69"/>
      <c r="F868" s="67"/>
      <c r="G868" s="67"/>
      <c r="H868" s="67"/>
      <c r="I868" s="67"/>
      <c r="J868" s="67"/>
      <c r="K868" s="85" t="str">
        <f aca="false">IF(AH868="","",N(F868)+N(G868)+N(H868)-N(I868)+N(J868))</f>
        <v/>
      </c>
      <c r="L868" s="67"/>
      <c r="M868" s="67"/>
      <c r="N868" s="67"/>
      <c r="O868" s="67"/>
      <c r="P868" s="85" t="str">
        <f aca="false">IF(AH868="","",K868+N(L868)+N(M868)+N(N868)+N(O868))</f>
        <v/>
      </c>
      <c r="Q868" s="67"/>
      <c r="R868" s="67"/>
      <c r="S868" s="67"/>
      <c r="T868" s="67"/>
      <c r="U868" s="67"/>
      <c r="V868" s="67"/>
      <c r="W868" s="85" t="str">
        <f aca="false">IF(AH868="","",N(Q868)+N(R868)+N(S868)+N(T868)+N(U868)+N(V868))</f>
        <v/>
      </c>
      <c r="X868" s="85" t="str">
        <f aca="false">IF(AH868="","",P868-W868)</f>
        <v/>
      </c>
      <c r="Y868" s="67"/>
      <c r="Z868" s="70" t="str">
        <f aca="false">IF(OR(AH868="",Y868=""),"",IF(ABS(X868-Y868)&lt;=1,"✓ Cuadra","⚠ Diferencia $"&amp;FIXED(X868-Y868,0)))</f>
        <v/>
      </c>
      <c r="AA868" s="72" t="str">
        <f aca="false">IF(AH868="","",IFERROR(INDEX(C_TIPO,MATCH(C868&amp;"-P"&amp;MAX(1,COUNTIFS(C_ID,C868,C_DEFINE,"Sí",C_INICIO,"&lt;="&amp;EOMONTH(B868,0))),C_CLAVE,0))&amp;"","Sin dato"))</f>
        <v/>
      </c>
      <c r="AB868" s="71" t="str">
        <f aca="false">IF(AH868="","",ROUND(MIN(K868,TOPE_AFP_UF*AJ868)*AK868,0))</f>
        <v/>
      </c>
      <c r="AC868" s="71" t="str">
        <f aca="false">IF(AH868="","",ROUND(MIN(K868,TOPE_AFC_UF*AJ868)*IF(AA868="Indefinido",AFC_EMP_INDEF,AFC_EMP_PF),0))</f>
        <v/>
      </c>
      <c r="AD868" s="71" t="str">
        <f aca="false">IF(AH868="","",ROUND(MIN(K868,TOPE_AFP_UF*AJ868)*(MUTUAL_BASICA+MUTUAL_ADIC+SANNA),0))</f>
        <v/>
      </c>
      <c r="AE868" s="71" t="str">
        <f aca="false">IF(AH868="","",P868-N(N868)+AB868+AC868+AD868)</f>
        <v/>
      </c>
      <c r="AF868" s="65"/>
      <c r="AG868" s="64"/>
      <c r="AH868" s="72" t="str">
        <f aca="false">IF(OR(B868="",C868=""),"",C868&amp;"|"&amp;(YEAR(B868)*100+MONTH(B868)))</f>
        <v/>
      </c>
      <c r="AI868" s="70" t="str">
        <f aca="false">IF(AH868="","",IF(COUNTIF(L_CLAVE,AH868)&gt;1,"⚠ Duplicado","OK"))</f>
        <v/>
      </c>
      <c r="AJ868" s="86" t="str">
        <f aca="false">IF(AH868="","",IF(SUMPRODUCT(MAX((IND_PER&lt;=B868)*(IND_UF&lt;&gt;"")*IND_PER))=0,UF_HOY,INDEX(IND_UF,MATCH(SUMPRODUCT(MAX((IND_PER&lt;=B868)*(IND_UF&lt;&gt;"")*IND_PER)),IND_PER,0))))</f>
        <v/>
      </c>
      <c r="AK868" s="87" t="str">
        <f aca="false">IF(AH868="","",IF(COUNTIF(TASA_DESDE,"&lt;="&amp;B868)=0,INDEX(TASA_EMP,1),INDEX(TASA_EMP,COUNTIF(TASA_DESDE,"&lt;="&amp;B868))))</f>
        <v/>
      </c>
    </row>
    <row r="869" customFormat="false" ht="15" hidden="false" customHeight="false" outlineLevel="0" collapsed="false">
      <c r="B869" s="78"/>
      <c r="C869" s="64"/>
      <c r="D869" s="72" t="str">
        <f aca="false">IF(C869="","",IFERROR(INDEX(T_NOMBRE,MATCH(C869,T_ID,0)),"⚠ ID no existe"))</f>
        <v/>
      </c>
      <c r="E869" s="69"/>
      <c r="F869" s="67"/>
      <c r="G869" s="67"/>
      <c r="H869" s="67"/>
      <c r="I869" s="67"/>
      <c r="J869" s="67"/>
      <c r="K869" s="85" t="str">
        <f aca="false">IF(AH869="","",N(F869)+N(G869)+N(H869)-N(I869)+N(J869))</f>
        <v/>
      </c>
      <c r="L869" s="67"/>
      <c r="M869" s="67"/>
      <c r="N869" s="67"/>
      <c r="O869" s="67"/>
      <c r="P869" s="85" t="str">
        <f aca="false">IF(AH869="","",K869+N(L869)+N(M869)+N(N869)+N(O869))</f>
        <v/>
      </c>
      <c r="Q869" s="67"/>
      <c r="R869" s="67"/>
      <c r="S869" s="67"/>
      <c r="T869" s="67"/>
      <c r="U869" s="67"/>
      <c r="V869" s="67"/>
      <c r="W869" s="85" t="str">
        <f aca="false">IF(AH869="","",N(Q869)+N(R869)+N(S869)+N(T869)+N(U869)+N(V869))</f>
        <v/>
      </c>
      <c r="X869" s="85" t="str">
        <f aca="false">IF(AH869="","",P869-W869)</f>
        <v/>
      </c>
      <c r="Y869" s="67"/>
      <c r="Z869" s="70" t="str">
        <f aca="false">IF(OR(AH869="",Y869=""),"",IF(ABS(X869-Y869)&lt;=1,"✓ Cuadra","⚠ Diferencia $"&amp;FIXED(X869-Y869,0)))</f>
        <v/>
      </c>
      <c r="AA869" s="72" t="str">
        <f aca="false">IF(AH869="","",IFERROR(INDEX(C_TIPO,MATCH(C869&amp;"-P"&amp;MAX(1,COUNTIFS(C_ID,C869,C_DEFINE,"Sí",C_INICIO,"&lt;="&amp;EOMONTH(B869,0))),C_CLAVE,0))&amp;"","Sin dato"))</f>
        <v/>
      </c>
      <c r="AB869" s="71" t="str">
        <f aca="false">IF(AH869="","",ROUND(MIN(K869,TOPE_AFP_UF*AJ869)*AK869,0))</f>
        <v/>
      </c>
      <c r="AC869" s="71" t="str">
        <f aca="false">IF(AH869="","",ROUND(MIN(K869,TOPE_AFC_UF*AJ869)*IF(AA869="Indefinido",AFC_EMP_INDEF,AFC_EMP_PF),0))</f>
        <v/>
      </c>
      <c r="AD869" s="71" t="str">
        <f aca="false">IF(AH869="","",ROUND(MIN(K869,TOPE_AFP_UF*AJ869)*(MUTUAL_BASICA+MUTUAL_ADIC+SANNA),0))</f>
        <v/>
      </c>
      <c r="AE869" s="71" t="str">
        <f aca="false">IF(AH869="","",P869-N(N869)+AB869+AC869+AD869)</f>
        <v/>
      </c>
      <c r="AF869" s="65"/>
      <c r="AG869" s="64"/>
      <c r="AH869" s="72" t="str">
        <f aca="false">IF(OR(B869="",C869=""),"",C869&amp;"|"&amp;(YEAR(B869)*100+MONTH(B869)))</f>
        <v/>
      </c>
      <c r="AI869" s="70" t="str">
        <f aca="false">IF(AH869="","",IF(COUNTIF(L_CLAVE,AH869)&gt;1,"⚠ Duplicado","OK"))</f>
        <v/>
      </c>
      <c r="AJ869" s="86" t="str">
        <f aca="false">IF(AH869="","",IF(SUMPRODUCT(MAX((IND_PER&lt;=B869)*(IND_UF&lt;&gt;"")*IND_PER))=0,UF_HOY,INDEX(IND_UF,MATCH(SUMPRODUCT(MAX((IND_PER&lt;=B869)*(IND_UF&lt;&gt;"")*IND_PER)),IND_PER,0))))</f>
        <v/>
      </c>
      <c r="AK869" s="87" t="str">
        <f aca="false">IF(AH869="","",IF(COUNTIF(TASA_DESDE,"&lt;="&amp;B869)=0,INDEX(TASA_EMP,1),INDEX(TASA_EMP,COUNTIF(TASA_DESDE,"&lt;="&amp;B869))))</f>
        <v/>
      </c>
    </row>
    <row r="870" customFormat="false" ht="15" hidden="false" customHeight="false" outlineLevel="0" collapsed="false">
      <c r="B870" s="78"/>
      <c r="C870" s="64"/>
      <c r="D870" s="72" t="str">
        <f aca="false">IF(C870="","",IFERROR(INDEX(T_NOMBRE,MATCH(C870,T_ID,0)),"⚠ ID no existe"))</f>
        <v/>
      </c>
      <c r="E870" s="69"/>
      <c r="F870" s="67"/>
      <c r="G870" s="67"/>
      <c r="H870" s="67"/>
      <c r="I870" s="67"/>
      <c r="J870" s="67"/>
      <c r="K870" s="85" t="str">
        <f aca="false">IF(AH870="","",N(F870)+N(G870)+N(H870)-N(I870)+N(J870))</f>
        <v/>
      </c>
      <c r="L870" s="67"/>
      <c r="M870" s="67"/>
      <c r="N870" s="67"/>
      <c r="O870" s="67"/>
      <c r="P870" s="85" t="str">
        <f aca="false">IF(AH870="","",K870+N(L870)+N(M870)+N(N870)+N(O870))</f>
        <v/>
      </c>
      <c r="Q870" s="67"/>
      <c r="R870" s="67"/>
      <c r="S870" s="67"/>
      <c r="T870" s="67"/>
      <c r="U870" s="67"/>
      <c r="V870" s="67"/>
      <c r="W870" s="85" t="str">
        <f aca="false">IF(AH870="","",N(Q870)+N(R870)+N(S870)+N(T870)+N(U870)+N(V870))</f>
        <v/>
      </c>
      <c r="X870" s="85" t="str">
        <f aca="false">IF(AH870="","",P870-W870)</f>
        <v/>
      </c>
      <c r="Y870" s="67"/>
      <c r="Z870" s="70" t="str">
        <f aca="false">IF(OR(AH870="",Y870=""),"",IF(ABS(X870-Y870)&lt;=1,"✓ Cuadra","⚠ Diferencia $"&amp;FIXED(X870-Y870,0)))</f>
        <v/>
      </c>
      <c r="AA870" s="72" t="str">
        <f aca="false">IF(AH870="","",IFERROR(INDEX(C_TIPO,MATCH(C870&amp;"-P"&amp;MAX(1,COUNTIFS(C_ID,C870,C_DEFINE,"Sí",C_INICIO,"&lt;="&amp;EOMONTH(B870,0))),C_CLAVE,0))&amp;"","Sin dato"))</f>
        <v/>
      </c>
      <c r="AB870" s="71" t="str">
        <f aca="false">IF(AH870="","",ROUND(MIN(K870,TOPE_AFP_UF*AJ870)*AK870,0))</f>
        <v/>
      </c>
      <c r="AC870" s="71" t="str">
        <f aca="false">IF(AH870="","",ROUND(MIN(K870,TOPE_AFC_UF*AJ870)*IF(AA870="Indefinido",AFC_EMP_INDEF,AFC_EMP_PF),0))</f>
        <v/>
      </c>
      <c r="AD870" s="71" t="str">
        <f aca="false">IF(AH870="","",ROUND(MIN(K870,TOPE_AFP_UF*AJ870)*(MUTUAL_BASICA+MUTUAL_ADIC+SANNA),0))</f>
        <v/>
      </c>
      <c r="AE870" s="71" t="str">
        <f aca="false">IF(AH870="","",P870-N(N870)+AB870+AC870+AD870)</f>
        <v/>
      </c>
      <c r="AF870" s="65"/>
      <c r="AG870" s="64"/>
      <c r="AH870" s="72" t="str">
        <f aca="false">IF(OR(B870="",C870=""),"",C870&amp;"|"&amp;(YEAR(B870)*100+MONTH(B870)))</f>
        <v/>
      </c>
      <c r="AI870" s="70" t="str">
        <f aca="false">IF(AH870="","",IF(COUNTIF(L_CLAVE,AH870)&gt;1,"⚠ Duplicado","OK"))</f>
        <v/>
      </c>
      <c r="AJ870" s="86" t="str">
        <f aca="false">IF(AH870="","",IF(SUMPRODUCT(MAX((IND_PER&lt;=B870)*(IND_UF&lt;&gt;"")*IND_PER))=0,UF_HOY,INDEX(IND_UF,MATCH(SUMPRODUCT(MAX((IND_PER&lt;=B870)*(IND_UF&lt;&gt;"")*IND_PER)),IND_PER,0))))</f>
        <v/>
      </c>
      <c r="AK870" s="87" t="str">
        <f aca="false">IF(AH870="","",IF(COUNTIF(TASA_DESDE,"&lt;="&amp;B870)=0,INDEX(TASA_EMP,1),INDEX(TASA_EMP,COUNTIF(TASA_DESDE,"&lt;="&amp;B870))))</f>
        <v/>
      </c>
    </row>
    <row r="871" customFormat="false" ht="15" hidden="false" customHeight="false" outlineLevel="0" collapsed="false">
      <c r="B871" s="78"/>
      <c r="C871" s="64"/>
      <c r="D871" s="72" t="str">
        <f aca="false">IF(C871="","",IFERROR(INDEX(T_NOMBRE,MATCH(C871,T_ID,0)),"⚠ ID no existe"))</f>
        <v/>
      </c>
      <c r="E871" s="69"/>
      <c r="F871" s="67"/>
      <c r="G871" s="67"/>
      <c r="H871" s="67"/>
      <c r="I871" s="67"/>
      <c r="J871" s="67"/>
      <c r="K871" s="85" t="str">
        <f aca="false">IF(AH871="","",N(F871)+N(G871)+N(H871)-N(I871)+N(J871))</f>
        <v/>
      </c>
      <c r="L871" s="67"/>
      <c r="M871" s="67"/>
      <c r="N871" s="67"/>
      <c r="O871" s="67"/>
      <c r="P871" s="85" t="str">
        <f aca="false">IF(AH871="","",K871+N(L871)+N(M871)+N(N871)+N(O871))</f>
        <v/>
      </c>
      <c r="Q871" s="67"/>
      <c r="R871" s="67"/>
      <c r="S871" s="67"/>
      <c r="T871" s="67"/>
      <c r="U871" s="67"/>
      <c r="V871" s="67"/>
      <c r="W871" s="85" t="str">
        <f aca="false">IF(AH871="","",N(Q871)+N(R871)+N(S871)+N(T871)+N(U871)+N(V871))</f>
        <v/>
      </c>
      <c r="X871" s="85" t="str">
        <f aca="false">IF(AH871="","",P871-W871)</f>
        <v/>
      </c>
      <c r="Y871" s="67"/>
      <c r="Z871" s="70" t="str">
        <f aca="false">IF(OR(AH871="",Y871=""),"",IF(ABS(X871-Y871)&lt;=1,"✓ Cuadra","⚠ Diferencia $"&amp;FIXED(X871-Y871,0)))</f>
        <v/>
      </c>
      <c r="AA871" s="72" t="str">
        <f aca="false">IF(AH871="","",IFERROR(INDEX(C_TIPO,MATCH(C871&amp;"-P"&amp;MAX(1,COUNTIFS(C_ID,C871,C_DEFINE,"Sí",C_INICIO,"&lt;="&amp;EOMONTH(B871,0))),C_CLAVE,0))&amp;"","Sin dato"))</f>
        <v/>
      </c>
      <c r="AB871" s="71" t="str">
        <f aca="false">IF(AH871="","",ROUND(MIN(K871,TOPE_AFP_UF*AJ871)*AK871,0))</f>
        <v/>
      </c>
      <c r="AC871" s="71" t="str">
        <f aca="false">IF(AH871="","",ROUND(MIN(K871,TOPE_AFC_UF*AJ871)*IF(AA871="Indefinido",AFC_EMP_INDEF,AFC_EMP_PF),0))</f>
        <v/>
      </c>
      <c r="AD871" s="71" t="str">
        <f aca="false">IF(AH871="","",ROUND(MIN(K871,TOPE_AFP_UF*AJ871)*(MUTUAL_BASICA+MUTUAL_ADIC+SANNA),0))</f>
        <v/>
      </c>
      <c r="AE871" s="71" t="str">
        <f aca="false">IF(AH871="","",P871-N(N871)+AB871+AC871+AD871)</f>
        <v/>
      </c>
      <c r="AF871" s="65"/>
      <c r="AG871" s="64"/>
      <c r="AH871" s="72" t="str">
        <f aca="false">IF(OR(B871="",C871=""),"",C871&amp;"|"&amp;(YEAR(B871)*100+MONTH(B871)))</f>
        <v/>
      </c>
      <c r="AI871" s="70" t="str">
        <f aca="false">IF(AH871="","",IF(COUNTIF(L_CLAVE,AH871)&gt;1,"⚠ Duplicado","OK"))</f>
        <v/>
      </c>
      <c r="AJ871" s="86" t="str">
        <f aca="false">IF(AH871="","",IF(SUMPRODUCT(MAX((IND_PER&lt;=B871)*(IND_UF&lt;&gt;"")*IND_PER))=0,UF_HOY,INDEX(IND_UF,MATCH(SUMPRODUCT(MAX((IND_PER&lt;=B871)*(IND_UF&lt;&gt;"")*IND_PER)),IND_PER,0))))</f>
        <v/>
      </c>
      <c r="AK871" s="87" t="str">
        <f aca="false">IF(AH871="","",IF(COUNTIF(TASA_DESDE,"&lt;="&amp;B871)=0,INDEX(TASA_EMP,1),INDEX(TASA_EMP,COUNTIF(TASA_DESDE,"&lt;="&amp;B871))))</f>
        <v/>
      </c>
    </row>
    <row r="872" customFormat="false" ht="15" hidden="false" customHeight="false" outlineLevel="0" collapsed="false">
      <c r="B872" s="78"/>
      <c r="C872" s="64"/>
      <c r="D872" s="72" t="str">
        <f aca="false">IF(C872="","",IFERROR(INDEX(T_NOMBRE,MATCH(C872,T_ID,0)),"⚠ ID no existe"))</f>
        <v/>
      </c>
      <c r="E872" s="69"/>
      <c r="F872" s="67"/>
      <c r="G872" s="67"/>
      <c r="H872" s="67"/>
      <c r="I872" s="67"/>
      <c r="J872" s="67"/>
      <c r="K872" s="85" t="str">
        <f aca="false">IF(AH872="","",N(F872)+N(G872)+N(H872)-N(I872)+N(J872))</f>
        <v/>
      </c>
      <c r="L872" s="67"/>
      <c r="M872" s="67"/>
      <c r="N872" s="67"/>
      <c r="O872" s="67"/>
      <c r="P872" s="85" t="str">
        <f aca="false">IF(AH872="","",K872+N(L872)+N(M872)+N(N872)+N(O872))</f>
        <v/>
      </c>
      <c r="Q872" s="67"/>
      <c r="R872" s="67"/>
      <c r="S872" s="67"/>
      <c r="T872" s="67"/>
      <c r="U872" s="67"/>
      <c r="V872" s="67"/>
      <c r="W872" s="85" t="str">
        <f aca="false">IF(AH872="","",N(Q872)+N(R872)+N(S872)+N(T872)+N(U872)+N(V872))</f>
        <v/>
      </c>
      <c r="X872" s="85" t="str">
        <f aca="false">IF(AH872="","",P872-W872)</f>
        <v/>
      </c>
      <c r="Y872" s="67"/>
      <c r="Z872" s="70" t="str">
        <f aca="false">IF(OR(AH872="",Y872=""),"",IF(ABS(X872-Y872)&lt;=1,"✓ Cuadra","⚠ Diferencia $"&amp;FIXED(X872-Y872,0)))</f>
        <v/>
      </c>
      <c r="AA872" s="72" t="str">
        <f aca="false">IF(AH872="","",IFERROR(INDEX(C_TIPO,MATCH(C872&amp;"-P"&amp;MAX(1,COUNTIFS(C_ID,C872,C_DEFINE,"Sí",C_INICIO,"&lt;="&amp;EOMONTH(B872,0))),C_CLAVE,0))&amp;"","Sin dato"))</f>
        <v/>
      </c>
      <c r="AB872" s="71" t="str">
        <f aca="false">IF(AH872="","",ROUND(MIN(K872,TOPE_AFP_UF*AJ872)*AK872,0))</f>
        <v/>
      </c>
      <c r="AC872" s="71" t="str">
        <f aca="false">IF(AH872="","",ROUND(MIN(K872,TOPE_AFC_UF*AJ872)*IF(AA872="Indefinido",AFC_EMP_INDEF,AFC_EMP_PF),0))</f>
        <v/>
      </c>
      <c r="AD872" s="71" t="str">
        <f aca="false">IF(AH872="","",ROUND(MIN(K872,TOPE_AFP_UF*AJ872)*(MUTUAL_BASICA+MUTUAL_ADIC+SANNA),0))</f>
        <v/>
      </c>
      <c r="AE872" s="71" t="str">
        <f aca="false">IF(AH872="","",P872-N(N872)+AB872+AC872+AD872)</f>
        <v/>
      </c>
      <c r="AF872" s="65"/>
      <c r="AG872" s="64"/>
      <c r="AH872" s="72" t="str">
        <f aca="false">IF(OR(B872="",C872=""),"",C872&amp;"|"&amp;(YEAR(B872)*100+MONTH(B872)))</f>
        <v/>
      </c>
      <c r="AI872" s="70" t="str">
        <f aca="false">IF(AH872="","",IF(COUNTIF(L_CLAVE,AH872)&gt;1,"⚠ Duplicado","OK"))</f>
        <v/>
      </c>
      <c r="AJ872" s="86" t="str">
        <f aca="false">IF(AH872="","",IF(SUMPRODUCT(MAX((IND_PER&lt;=B872)*(IND_UF&lt;&gt;"")*IND_PER))=0,UF_HOY,INDEX(IND_UF,MATCH(SUMPRODUCT(MAX((IND_PER&lt;=B872)*(IND_UF&lt;&gt;"")*IND_PER)),IND_PER,0))))</f>
        <v/>
      </c>
      <c r="AK872" s="87" t="str">
        <f aca="false">IF(AH872="","",IF(COUNTIF(TASA_DESDE,"&lt;="&amp;B872)=0,INDEX(TASA_EMP,1),INDEX(TASA_EMP,COUNTIF(TASA_DESDE,"&lt;="&amp;B872))))</f>
        <v/>
      </c>
    </row>
    <row r="873" customFormat="false" ht="15" hidden="false" customHeight="false" outlineLevel="0" collapsed="false">
      <c r="B873" s="78"/>
      <c r="C873" s="64"/>
      <c r="D873" s="72" t="str">
        <f aca="false">IF(C873="","",IFERROR(INDEX(T_NOMBRE,MATCH(C873,T_ID,0)),"⚠ ID no existe"))</f>
        <v/>
      </c>
      <c r="E873" s="69"/>
      <c r="F873" s="67"/>
      <c r="G873" s="67"/>
      <c r="H873" s="67"/>
      <c r="I873" s="67"/>
      <c r="J873" s="67"/>
      <c r="K873" s="85" t="str">
        <f aca="false">IF(AH873="","",N(F873)+N(G873)+N(H873)-N(I873)+N(J873))</f>
        <v/>
      </c>
      <c r="L873" s="67"/>
      <c r="M873" s="67"/>
      <c r="N873" s="67"/>
      <c r="O873" s="67"/>
      <c r="P873" s="85" t="str">
        <f aca="false">IF(AH873="","",K873+N(L873)+N(M873)+N(N873)+N(O873))</f>
        <v/>
      </c>
      <c r="Q873" s="67"/>
      <c r="R873" s="67"/>
      <c r="S873" s="67"/>
      <c r="T873" s="67"/>
      <c r="U873" s="67"/>
      <c r="V873" s="67"/>
      <c r="W873" s="85" t="str">
        <f aca="false">IF(AH873="","",N(Q873)+N(R873)+N(S873)+N(T873)+N(U873)+N(V873))</f>
        <v/>
      </c>
      <c r="X873" s="85" t="str">
        <f aca="false">IF(AH873="","",P873-W873)</f>
        <v/>
      </c>
      <c r="Y873" s="67"/>
      <c r="Z873" s="70" t="str">
        <f aca="false">IF(OR(AH873="",Y873=""),"",IF(ABS(X873-Y873)&lt;=1,"✓ Cuadra","⚠ Diferencia $"&amp;FIXED(X873-Y873,0)))</f>
        <v/>
      </c>
      <c r="AA873" s="72" t="str">
        <f aca="false">IF(AH873="","",IFERROR(INDEX(C_TIPO,MATCH(C873&amp;"-P"&amp;MAX(1,COUNTIFS(C_ID,C873,C_DEFINE,"Sí",C_INICIO,"&lt;="&amp;EOMONTH(B873,0))),C_CLAVE,0))&amp;"","Sin dato"))</f>
        <v/>
      </c>
      <c r="AB873" s="71" t="str">
        <f aca="false">IF(AH873="","",ROUND(MIN(K873,TOPE_AFP_UF*AJ873)*AK873,0))</f>
        <v/>
      </c>
      <c r="AC873" s="71" t="str">
        <f aca="false">IF(AH873="","",ROUND(MIN(K873,TOPE_AFC_UF*AJ873)*IF(AA873="Indefinido",AFC_EMP_INDEF,AFC_EMP_PF),0))</f>
        <v/>
      </c>
      <c r="AD873" s="71" t="str">
        <f aca="false">IF(AH873="","",ROUND(MIN(K873,TOPE_AFP_UF*AJ873)*(MUTUAL_BASICA+MUTUAL_ADIC+SANNA),0))</f>
        <v/>
      </c>
      <c r="AE873" s="71" t="str">
        <f aca="false">IF(AH873="","",P873-N(N873)+AB873+AC873+AD873)</f>
        <v/>
      </c>
      <c r="AF873" s="65"/>
      <c r="AG873" s="64"/>
      <c r="AH873" s="72" t="str">
        <f aca="false">IF(OR(B873="",C873=""),"",C873&amp;"|"&amp;(YEAR(B873)*100+MONTH(B873)))</f>
        <v/>
      </c>
      <c r="AI873" s="70" t="str">
        <f aca="false">IF(AH873="","",IF(COUNTIF(L_CLAVE,AH873)&gt;1,"⚠ Duplicado","OK"))</f>
        <v/>
      </c>
      <c r="AJ873" s="86" t="str">
        <f aca="false">IF(AH873="","",IF(SUMPRODUCT(MAX((IND_PER&lt;=B873)*(IND_UF&lt;&gt;"")*IND_PER))=0,UF_HOY,INDEX(IND_UF,MATCH(SUMPRODUCT(MAX((IND_PER&lt;=B873)*(IND_UF&lt;&gt;"")*IND_PER)),IND_PER,0))))</f>
        <v/>
      </c>
      <c r="AK873" s="87" t="str">
        <f aca="false">IF(AH873="","",IF(COUNTIF(TASA_DESDE,"&lt;="&amp;B873)=0,INDEX(TASA_EMP,1),INDEX(TASA_EMP,COUNTIF(TASA_DESDE,"&lt;="&amp;B873))))</f>
        <v/>
      </c>
    </row>
    <row r="874" customFormat="false" ht="15" hidden="false" customHeight="false" outlineLevel="0" collapsed="false">
      <c r="B874" s="78"/>
      <c r="C874" s="64"/>
      <c r="D874" s="72" t="str">
        <f aca="false">IF(C874="","",IFERROR(INDEX(T_NOMBRE,MATCH(C874,T_ID,0)),"⚠ ID no existe"))</f>
        <v/>
      </c>
      <c r="E874" s="69"/>
      <c r="F874" s="67"/>
      <c r="G874" s="67"/>
      <c r="H874" s="67"/>
      <c r="I874" s="67"/>
      <c r="J874" s="67"/>
      <c r="K874" s="85" t="str">
        <f aca="false">IF(AH874="","",N(F874)+N(G874)+N(H874)-N(I874)+N(J874))</f>
        <v/>
      </c>
      <c r="L874" s="67"/>
      <c r="M874" s="67"/>
      <c r="N874" s="67"/>
      <c r="O874" s="67"/>
      <c r="P874" s="85" t="str">
        <f aca="false">IF(AH874="","",K874+N(L874)+N(M874)+N(N874)+N(O874))</f>
        <v/>
      </c>
      <c r="Q874" s="67"/>
      <c r="R874" s="67"/>
      <c r="S874" s="67"/>
      <c r="T874" s="67"/>
      <c r="U874" s="67"/>
      <c r="V874" s="67"/>
      <c r="W874" s="85" t="str">
        <f aca="false">IF(AH874="","",N(Q874)+N(R874)+N(S874)+N(T874)+N(U874)+N(V874))</f>
        <v/>
      </c>
      <c r="X874" s="85" t="str">
        <f aca="false">IF(AH874="","",P874-W874)</f>
        <v/>
      </c>
      <c r="Y874" s="67"/>
      <c r="Z874" s="70" t="str">
        <f aca="false">IF(OR(AH874="",Y874=""),"",IF(ABS(X874-Y874)&lt;=1,"✓ Cuadra","⚠ Diferencia $"&amp;FIXED(X874-Y874,0)))</f>
        <v/>
      </c>
      <c r="AA874" s="72" t="str">
        <f aca="false">IF(AH874="","",IFERROR(INDEX(C_TIPO,MATCH(C874&amp;"-P"&amp;MAX(1,COUNTIFS(C_ID,C874,C_DEFINE,"Sí",C_INICIO,"&lt;="&amp;EOMONTH(B874,0))),C_CLAVE,0))&amp;"","Sin dato"))</f>
        <v/>
      </c>
      <c r="AB874" s="71" t="str">
        <f aca="false">IF(AH874="","",ROUND(MIN(K874,TOPE_AFP_UF*AJ874)*AK874,0))</f>
        <v/>
      </c>
      <c r="AC874" s="71" t="str">
        <f aca="false">IF(AH874="","",ROUND(MIN(K874,TOPE_AFC_UF*AJ874)*IF(AA874="Indefinido",AFC_EMP_INDEF,AFC_EMP_PF),0))</f>
        <v/>
      </c>
      <c r="AD874" s="71" t="str">
        <f aca="false">IF(AH874="","",ROUND(MIN(K874,TOPE_AFP_UF*AJ874)*(MUTUAL_BASICA+MUTUAL_ADIC+SANNA),0))</f>
        <v/>
      </c>
      <c r="AE874" s="71" t="str">
        <f aca="false">IF(AH874="","",P874-N(N874)+AB874+AC874+AD874)</f>
        <v/>
      </c>
      <c r="AF874" s="65"/>
      <c r="AG874" s="64"/>
      <c r="AH874" s="72" t="str">
        <f aca="false">IF(OR(B874="",C874=""),"",C874&amp;"|"&amp;(YEAR(B874)*100+MONTH(B874)))</f>
        <v/>
      </c>
      <c r="AI874" s="70" t="str">
        <f aca="false">IF(AH874="","",IF(COUNTIF(L_CLAVE,AH874)&gt;1,"⚠ Duplicado","OK"))</f>
        <v/>
      </c>
      <c r="AJ874" s="86" t="str">
        <f aca="false">IF(AH874="","",IF(SUMPRODUCT(MAX((IND_PER&lt;=B874)*(IND_UF&lt;&gt;"")*IND_PER))=0,UF_HOY,INDEX(IND_UF,MATCH(SUMPRODUCT(MAX((IND_PER&lt;=B874)*(IND_UF&lt;&gt;"")*IND_PER)),IND_PER,0))))</f>
        <v/>
      </c>
      <c r="AK874" s="87" t="str">
        <f aca="false">IF(AH874="","",IF(COUNTIF(TASA_DESDE,"&lt;="&amp;B874)=0,INDEX(TASA_EMP,1),INDEX(TASA_EMP,COUNTIF(TASA_DESDE,"&lt;="&amp;B874))))</f>
        <v/>
      </c>
    </row>
    <row r="875" customFormat="false" ht="15" hidden="false" customHeight="false" outlineLevel="0" collapsed="false">
      <c r="B875" s="78"/>
      <c r="C875" s="64"/>
      <c r="D875" s="72" t="str">
        <f aca="false">IF(C875="","",IFERROR(INDEX(T_NOMBRE,MATCH(C875,T_ID,0)),"⚠ ID no existe"))</f>
        <v/>
      </c>
      <c r="E875" s="69"/>
      <c r="F875" s="67"/>
      <c r="G875" s="67"/>
      <c r="H875" s="67"/>
      <c r="I875" s="67"/>
      <c r="J875" s="67"/>
      <c r="K875" s="85" t="str">
        <f aca="false">IF(AH875="","",N(F875)+N(G875)+N(H875)-N(I875)+N(J875))</f>
        <v/>
      </c>
      <c r="L875" s="67"/>
      <c r="M875" s="67"/>
      <c r="N875" s="67"/>
      <c r="O875" s="67"/>
      <c r="P875" s="85" t="str">
        <f aca="false">IF(AH875="","",K875+N(L875)+N(M875)+N(N875)+N(O875))</f>
        <v/>
      </c>
      <c r="Q875" s="67"/>
      <c r="R875" s="67"/>
      <c r="S875" s="67"/>
      <c r="T875" s="67"/>
      <c r="U875" s="67"/>
      <c r="V875" s="67"/>
      <c r="W875" s="85" t="str">
        <f aca="false">IF(AH875="","",N(Q875)+N(R875)+N(S875)+N(T875)+N(U875)+N(V875))</f>
        <v/>
      </c>
      <c r="X875" s="85" t="str">
        <f aca="false">IF(AH875="","",P875-W875)</f>
        <v/>
      </c>
      <c r="Y875" s="67"/>
      <c r="Z875" s="70" t="str">
        <f aca="false">IF(OR(AH875="",Y875=""),"",IF(ABS(X875-Y875)&lt;=1,"✓ Cuadra","⚠ Diferencia $"&amp;FIXED(X875-Y875,0)))</f>
        <v/>
      </c>
      <c r="AA875" s="72" t="str">
        <f aca="false">IF(AH875="","",IFERROR(INDEX(C_TIPO,MATCH(C875&amp;"-P"&amp;MAX(1,COUNTIFS(C_ID,C875,C_DEFINE,"Sí",C_INICIO,"&lt;="&amp;EOMONTH(B875,0))),C_CLAVE,0))&amp;"","Sin dato"))</f>
        <v/>
      </c>
      <c r="AB875" s="71" t="str">
        <f aca="false">IF(AH875="","",ROUND(MIN(K875,TOPE_AFP_UF*AJ875)*AK875,0))</f>
        <v/>
      </c>
      <c r="AC875" s="71" t="str">
        <f aca="false">IF(AH875="","",ROUND(MIN(K875,TOPE_AFC_UF*AJ875)*IF(AA875="Indefinido",AFC_EMP_INDEF,AFC_EMP_PF),0))</f>
        <v/>
      </c>
      <c r="AD875" s="71" t="str">
        <f aca="false">IF(AH875="","",ROUND(MIN(K875,TOPE_AFP_UF*AJ875)*(MUTUAL_BASICA+MUTUAL_ADIC+SANNA),0))</f>
        <v/>
      </c>
      <c r="AE875" s="71" t="str">
        <f aca="false">IF(AH875="","",P875-N(N875)+AB875+AC875+AD875)</f>
        <v/>
      </c>
      <c r="AF875" s="65"/>
      <c r="AG875" s="64"/>
      <c r="AH875" s="72" t="str">
        <f aca="false">IF(OR(B875="",C875=""),"",C875&amp;"|"&amp;(YEAR(B875)*100+MONTH(B875)))</f>
        <v/>
      </c>
      <c r="AI875" s="70" t="str">
        <f aca="false">IF(AH875="","",IF(COUNTIF(L_CLAVE,AH875)&gt;1,"⚠ Duplicado","OK"))</f>
        <v/>
      </c>
      <c r="AJ875" s="86" t="str">
        <f aca="false">IF(AH875="","",IF(SUMPRODUCT(MAX((IND_PER&lt;=B875)*(IND_UF&lt;&gt;"")*IND_PER))=0,UF_HOY,INDEX(IND_UF,MATCH(SUMPRODUCT(MAX((IND_PER&lt;=B875)*(IND_UF&lt;&gt;"")*IND_PER)),IND_PER,0))))</f>
        <v/>
      </c>
      <c r="AK875" s="87" t="str">
        <f aca="false">IF(AH875="","",IF(COUNTIF(TASA_DESDE,"&lt;="&amp;B875)=0,INDEX(TASA_EMP,1),INDEX(TASA_EMP,COUNTIF(TASA_DESDE,"&lt;="&amp;B875))))</f>
        <v/>
      </c>
    </row>
    <row r="876" customFormat="false" ht="15" hidden="false" customHeight="false" outlineLevel="0" collapsed="false">
      <c r="B876" s="78"/>
      <c r="C876" s="64"/>
      <c r="D876" s="72" t="str">
        <f aca="false">IF(C876="","",IFERROR(INDEX(T_NOMBRE,MATCH(C876,T_ID,0)),"⚠ ID no existe"))</f>
        <v/>
      </c>
      <c r="E876" s="69"/>
      <c r="F876" s="67"/>
      <c r="G876" s="67"/>
      <c r="H876" s="67"/>
      <c r="I876" s="67"/>
      <c r="J876" s="67"/>
      <c r="K876" s="85" t="str">
        <f aca="false">IF(AH876="","",N(F876)+N(G876)+N(H876)-N(I876)+N(J876))</f>
        <v/>
      </c>
      <c r="L876" s="67"/>
      <c r="M876" s="67"/>
      <c r="N876" s="67"/>
      <c r="O876" s="67"/>
      <c r="P876" s="85" t="str">
        <f aca="false">IF(AH876="","",K876+N(L876)+N(M876)+N(N876)+N(O876))</f>
        <v/>
      </c>
      <c r="Q876" s="67"/>
      <c r="R876" s="67"/>
      <c r="S876" s="67"/>
      <c r="T876" s="67"/>
      <c r="U876" s="67"/>
      <c r="V876" s="67"/>
      <c r="W876" s="85" t="str">
        <f aca="false">IF(AH876="","",N(Q876)+N(R876)+N(S876)+N(T876)+N(U876)+N(V876))</f>
        <v/>
      </c>
      <c r="X876" s="85" t="str">
        <f aca="false">IF(AH876="","",P876-W876)</f>
        <v/>
      </c>
      <c r="Y876" s="67"/>
      <c r="Z876" s="70" t="str">
        <f aca="false">IF(OR(AH876="",Y876=""),"",IF(ABS(X876-Y876)&lt;=1,"✓ Cuadra","⚠ Diferencia $"&amp;FIXED(X876-Y876,0)))</f>
        <v/>
      </c>
      <c r="AA876" s="72" t="str">
        <f aca="false">IF(AH876="","",IFERROR(INDEX(C_TIPO,MATCH(C876&amp;"-P"&amp;MAX(1,COUNTIFS(C_ID,C876,C_DEFINE,"Sí",C_INICIO,"&lt;="&amp;EOMONTH(B876,0))),C_CLAVE,0))&amp;"","Sin dato"))</f>
        <v/>
      </c>
      <c r="AB876" s="71" t="str">
        <f aca="false">IF(AH876="","",ROUND(MIN(K876,TOPE_AFP_UF*AJ876)*AK876,0))</f>
        <v/>
      </c>
      <c r="AC876" s="71" t="str">
        <f aca="false">IF(AH876="","",ROUND(MIN(K876,TOPE_AFC_UF*AJ876)*IF(AA876="Indefinido",AFC_EMP_INDEF,AFC_EMP_PF),0))</f>
        <v/>
      </c>
      <c r="AD876" s="71" t="str">
        <f aca="false">IF(AH876="","",ROUND(MIN(K876,TOPE_AFP_UF*AJ876)*(MUTUAL_BASICA+MUTUAL_ADIC+SANNA),0))</f>
        <v/>
      </c>
      <c r="AE876" s="71" t="str">
        <f aca="false">IF(AH876="","",P876-N(N876)+AB876+AC876+AD876)</f>
        <v/>
      </c>
      <c r="AF876" s="65"/>
      <c r="AG876" s="64"/>
      <c r="AH876" s="72" t="str">
        <f aca="false">IF(OR(B876="",C876=""),"",C876&amp;"|"&amp;(YEAR(B876)*100+MONTH(B876)))</f>
        <v/>
      </c>
      <c r="AI876" s="70" t="str">
        <f aca="false">IF(AH876="","",IF(COUNTIF(L_CLAVE,AH876)&gt;1,"⚠ Duplicado","OK"))</f>
        <v/>
      </c>
      <c r="AJ876" s="86" t="str">
        <f aca="false">IF(AH876="","",IF(SUMPRODUCT(MAX((IND_PER&lt;=B876)*(IND_UF&lt;&gt;"")*IND_PER))=0,UF_HOY,INDEX(IND_UF,MATCH(SUMPRODUCT(MAX((IND_PER&lt;=B876)*(IND_UF&lt;&gt;"")*IND_PER)),IND_PER,0))))</f>
        <v/>
      </c>
      <c r="AK876" s="87" t="str">
        <f aca="false">IF(AH876="","",IF(COUNTIF(TASA_DESDE,"&lt;="&amp;B876)=0,INDEX(TASA_EMP,1),INDEX(TASA_EMP,COUNTIF(TASA_DESDE,"&lt;="&amp;B876))))</f>
        <v/>
      </c>
    </row>
    <row r="877" customFormat="false" ht="15" hidden="false" customHeight="false" outlineLevel="0" collapsed="false">
      <c r="B877" s="78"/>
      <c r="C877" s="64"/>
      <c r="D877" s="72" t="str">
        <f aca="false">IF(C877="","",IFERROR(INDEX(T_NOMBRE,MATCH(C877,T_ID,0)),"⚠ ID no existe"))</f>
        <v/>
      </c>
      <c r="E877" s="69"/>
      <c r="F877" s="67"/>
      <c r="G877" s="67"/>
      <c r="H877" s="67"/>
      <c r="I877" s="67"/>
      <c r="J877" s="67"/>
      <c r="K877" s="85" t="str">
        <f aca="false">IF(AH877="","",N(F877)+N(G877)+N(H877)-N(I877)+N(J877))</f>
        <v/>
      </c>
      <c r="L877" s="67"/>
      <c r="M877" s="67"/>
      <c r="N877" s="67"/>
      <c r="O877" s="67"/>
      <c r="P877" s="85" t="str">
        <f aca="false">IF(AH877="","",K877+N(L877)+N(M877)+N(N877)+N(O877))</f>
        <v/>
      </c>
      <c r="Q877" s="67"/>
      <c r="R877" s="67"/>
      <c r="S877" s="67"/>
      <c r="T877" s="67"/>
      <c r="U877" s="67"/>
      <c r="V877" s="67"/>
      <c r="W877" s="85" t="str">
        <f aca="false">IF(AH877="","",N(Q877)+N(R877)+N(S877)+N(T877)+N(U877)+N(V877))</f>
        <v/>
      </c>
      <c r="X877" s="85" t="str">
        <f aca="false">IF(AH877="","",P877-W877)</f>
        <v/>
      </c>
      <c r="Y877" s="67"/>
      <c r="Z877" s="70" t="str">
        <f aca="false">IF(OR(AH877="",Y877=""),"",IF(ABS(X877-Y877)&lt;=1,"✓ Cuadra","⚠ Diferencia $"&amp;FIXED(X877-Y877,0)))</f>
        <v/>
      </c>
      <c r="AA877" s="72" t="str">
        <f aca="false">IF(AH877="","",IFERROR(INDEX(C_TIPO,MATCH(C877&amp;"-P"&amp;MAX(1,COUNTIFS(C_ID,C877,C_DEFINE,"Sí",C_INICIO,"&lt;="&amp;EOMONTH(B877,0))),C_CLAVE,0))&amp;"","Sin dato"))</f>
        <v/>
      </c>
      <c r="AB877" s="71" t="str">
        <f aca="false">IF(AH877="","",ROUND(MIN(K877,TOPE_AFP_UF*AJ877)*AK877,0))</f>
        <v/>
      </c>
      <c r="AC877" s="71" t="str">
        <f aca="false">IF(AH877="","",ROUND(MIN(K877,TOPE_AFC_UF*AJ877)*IF(AA877="Indefinido",AFC_EMP_INDEF,AFC_EMP_PF),0))</f>
        <v/>
      </c>
      <c r="AD877" s="71" t="str">
        <f aca="false">IF(AH877="","",ROUND(MIN(K877,TOPE_AFP_UF*AJ877)*(MUTUAL_BASICA+MUTUAL_ADIC+SANNA),0))</f>
        <v/>
      </c>
      <c r="AE877" s="71" t="str">
        <f aca="false">IF(AH877="","",P877-N(N877)+AB877+AC877+AD877)</f>
        <v/>
      </c>
      <c r="AF877" s="65"/>
      <c r="AG877" s="64"/>
      <c r="AH877" s="72" t="str">
        <f aca="false">IF(OR(B877="",C877=""),"",C877&amp;"|"&amp;(YEAR(B877)*100+MONTH(B877)))</f>
        <v/>
      </c>
      <c r="AI877" s="70" t="str">
        <f aca="false">IF(AH877="","",IF(COUNTIF(L_CLAVE,AH877)&gt;1,"⚠ Duplicado","OK"))</f>
        <v/>
      </c>
      <c r="AJ877" s="86" t="str">
        <f aca="false">IF(AH877="","",IF(SUMPRODUCT(MAX((IND_PER&lt;=B877)*(IND_UF&lt;&gt;"")*IND_PER))=0,UF_HOY,INDEX(IND_UF,MATCH(SUMPRODUCT(MAX((IND_PER&lt;=B877)*(IND_UF&lt;&gt;"")*IND_PER)),IND_PER,0))))</f>
        <v/>
      </c>
      <c r="AK877" s="87" t="str">
        <f aca="false">IF(AH877="","",IF(COUNTIF(TASA_DESDE,"&lt;="&amp;B877)=0,INDEX(TASA_EMP,1),INDEX(TASA_EMP,COUNTIF(TASA_DESDE,"&lt;="&amp;B877))))</f>
        <v/>
      </c>
    </row>
    <row r="878" customFormat="false" ht="15" hidden="false" customHeight="false" outlineLevel="0" collapsed="false">
      <c r="B878" s="78"/>
      <c r="C878" s="64"/>
      <c r="D878" s="72" t="str">
        <f aca="false">IF(C878="","",IFERROR(INDEX(T_NOMBRE,MATCH(C878,T_ID,0)),"⚠ ID no existe"))</f>
        <v/>
      </c>
      <c r="E878" s="69"/>
      <c r="F878" s="67"/>
      <c r="G878" s="67"/>
      <c r="H878" s="67"/>
      <c r="I878" s="67"/>
      <c r="J878" s="67"/>
      <c r="K878" s="85" t="str">
        <f aca="false">IF(AH878="","",N(F878)+N(G878)+N(H878)-N(I878)+N(J878))</f>
        <v/>
      </c>
      <c r="L878" s="67"/>
      <c r="M878" s="67"/>
      <c r="N878" s="67"/>
      <c r="O878" s="67"/>
      <c r="P878" s="85" t="str">
        <f aca="false">IF(AH878="","",K878+N(L878)+N(M878)+N(N878)+N(O878))</f>
        <v/>
      </c>
      <c r="Q878" s="67"/>
      <c r="R878" s="67"/>
      <c r="S878" s="67"/>
      <c r="T878" s="67"/>
      <c r="U878" s="67"/>
      <c r="V878" s="67"/>
      <c r="W878" s="85" t="str">
        <f aca="false">IF(AH878="","",N(Q878)+N(R878)+N(S878)+N(T878)+N(U878)+N(V878))</f>
        <v/>
      </c>
      <c r="X878" s="85" t="str">
        <f aca="false">IF(AH878="","",P878-W878)</f>
        <v/>
      </c>
      <c r="Y878" s="67"/>
      <c r="Z878" s="70" t="str">
        <f aca="false">IF(OR(AH878="",Y878=""),"",IF(ABS(X878-Y878)&lt;=1,"✓ Cuadra","⚠ Diferencia $"&amp;FIXED(X878-Y878,0)))</f>
        <v/>
      </c>
      <c r="AA878" s="72" t="str">
        <f aca="false">IF(AH878="","",IFERROR(INDEX(C_TIPO,MATCH(C878&amp;"-P"&amp;MAX(1,COUNTIFS(C_ID,C878,C_DEFINE,"Sí",C_INICIO,"&lt;="&amp;EOMONTH(B878,0))),C_CLAVE,0))&amp;"","Sin dato"))</f>
        <v/>
      </c>
      <c r="AB878" s="71" t="str">
        <f aca="false">IF(AH878="","",ROUND(MIN(K878,TOPE_AFP_UF*AJ878)*AK878,0))</f>
        <v/>
      </c>
      <c r="AC878" s="71" t="str">
        <f aca="false">IF(AH878="","",ROUND(MIN(K878,TOPE_AFC_UF*AJ878)*IF(AA878="Indefinido",AFC_EMP_INDEF,AFC_EMP_PF),0))</f>
        <v/>
      </c>
      <c r="AD878" s="71" t="str">
        <f aca="false">IF(AH878="","",ROUND(MIN(K878,TOPE_AFP_UF*AJ878)*(MUTUAL_BASICA+MUTUAL_ADIC+SANNA),0))</f>
        <v/>
      </c>
      <c r="AE878" s="71" t="str">
        <f aca="false">IF(AH878="","",P878-N(N878)+AB878+AC878+AD878)</f>
        <v/>
      </c>
      <c r="AF878" s="65"/>
      <c r="AG878" s="64"/>
      <c r="AH878" s="72" t="str">
        <f aca="false">IF(OR(B878="",C878=""),"",C878&amp;"|"&amp;(YEAR(B878)*100+MONTH(B878)))</f>
        <v/>
      </c>
      <c r="AI878" s="70" t="str">
        <f aca="false">IF(AH878="","",IF(COUNTIF(L_CLAVE,AH878)&gt;1,"⚠ Duplicado","OK"))</f>
        <v/>
      </c>
      <c r="AJ878" s="86" t="str">
        <f aca="false">IF(AH878="","",IF(SUMPRODUCT(MAX((IND_PER&lt;=B878)*(IND_UF&lt;&gt;"")*IND_PER))=0,UF_HOY,INDEX(IND_UF,MATCH(SUMPRODUCT(MAX((IND_PER&lt;=B878)*(IND_UF&lt;&gt;"")*IND_PER)),IND_PER,0))))</f>
        <v/>
      </c>
      <c r="AK878" s="87" t="str">
        <f aca="false">IF(AH878="","",IF(COUNTIF(TASA_DESDE,"&lt;="&amp;B878)=0,INDEX(TASA_EMP,1),INDEX(TASA_EMP,COUNTIF(TASA_DESDE,"&lt;="&amp;B878))))</f>
        <v/>
      </c>
    </row>
    <row r="879" customFormat="false" ht="15" hidden="false" customHeight="false" outlineLevel="0" collapsed="false">
      <c r="B879" s="78"/>
      <c r="C879" s="64"/>
      <c r="D879" s="72" t="str">
        <f aca="false">IF(C879="","",IFERROR(INDEX(T_NOMBRE,MATCH(C879,T_ID,0)),"⚠ ID no existe"))</f>
        <v/>
      </c>
      <c r="E879" s="69"/>
      <c r="F879" s="67"/>
      <c r="G879" s="67"/>
      <c r="H879" s="67"/>
      <c r="I879" s="67"/>
      <c r="J879" s="67"/>
      <c r="K879" s="85" t="str">
        <f aca="false">IF(AH879="","",N(F879)+N(G879)+N(H879)-N(I879)+N(J879))</f>
        <v/>
      </c>
      <c r="L879" s="67"/>
      <c r="M879" s="67"/>
      <c r="N879" s="67"/>
      <c r="O879" s="67"/>
      <c r="P879" s="85" t="str">
        <f aca="false">IF(AH879="","",K879+N(L879)+N(M879)+N(N879)+N(O879))</f>
        <v/>
      </c>
      <c r="Q879" s="67"/>
      <c r="R879" s="67"/>
      <c r="S879" s="67"/>
      <c r="T879" s="67"/>
      <c r="U879" s="67"/>
      <c r="V879" s="67"/>
      <c r="W879" s="85" t="str">
        <f aca="false">IF(AH879="","",N(Q879)+N(R879)+N(S879)+N(T879)+N(U879)+N(V879))</f>
        <v/>
      </c>
      <c r="X879" s="85" t="str">
        <f aca="false">IF(AH879="","",P879-W879)</f>
        <v/>
      </c>
      <c r="Y879" s="67"/>
      <c r="Z879" s="70" t="str">
        <f aca="false">IF(OR(AH879="",Y879=""),"",IF(ABS(X879-Y879)&lt;=1,"✓ Cuadra","⚠ Diferencia $"&amp;FIXED(X879-Y879,0)))</f>
        <v/>
      </c>
      <c r="AA879" s="72" t="str">
        <f aca="false">IF(AH879="","",IFERROR(INDEX(C_TIPO,MATCH(C879&amp;"-P"&amp;MAX(1,COUNTIFS(C_ID,C879,C_DEFINE,"Sí",C_INICIO,"&lt;="&amp;EOMONTH(B879,0))),C_CLAVE,0))&amp;"","Sin dato"))</f>
        <v/>
      </c>
      <c r="AB879" s="71" t="str">
        <f aca="false">IF(AH879="","",ROUND(MIN(K879,TOPE_AFP_UF*AJ879)*AK879,0))</f>
        <v/>
      </c>
      <c r="AC879" s="71" t="str">
        <f aca="false">IF(AH879="","",ROUND(MIN(K879,TOPE_AFC_UF*AJ879)*IF(AA879="Indefinido",AFC_EMP_INDEF,AFC_EMP_PF),0))</f>
        <v/>
      </c>
      <c r="AD879" s="71" t="str">
        <f aca="false">IF(AH879="","",ROUND(MIN(K879,TOPE_AFP_UF*AJ879)*(MUTUAL_BASICA+MUTUAL_ADIC+SANNA),0))</f>
        <v/>
      </c>
      <c r="AE879" s="71" t="str">
        <f aca="false">IF(AH879="","",P879-N(N879)+AB879+AC879+AD879)</f>
        <v/>
      </c>
      <c r="AF879" s="65"/>
      <c r="AG879" s="64"/>
      <c r="AH879" s="72" t="str">
        <f aca="false">IF(OR(B879="",C879=""),"",C879&amp;"|"&amp;(YEAR(B879)*100+MONTH(B879)))</f>
        <v/>
      </c>
      <c r="AI879" s="70" t="str">
        <f aca="false">IF(AH879="","",IF(COUNTIF(L_CLAVE,AH879)&gt;1,"⚠ Duplicado","OK"))</f>
        <v/>
      </c>
      <c r="AJ879" s="86" t="str">
        <f aca="false">IF(AH879="","",IF(SUMPRODUCT(MAX((IND_PER&lt;=B879)*(IND_UF&lt;&gt;"")*IND_PER))=0,UF_HOY,INDEX(IND_UF,MATCH(SUMPRODUCT(MAX((IND_PER&lt;=B879)*(IND_UF&lt;&gt;"")*IND_PER)),IND_PER,0))))</f>
        <v/>
      </c>
      <c r="AK879" s="87" t="str">
        <f aca="false">IF(AH879="","",IF(COUNTIF(TASA_DESDE,"&lt;="&amp;B879)=0,INDEX(TASA_EMP,1),INDEX(TASA_EMP,COUNTIF(TASA_DESDE,"&lt;="&amp;B879))))</f>
        <v/>
      </c>
    </row>
    <row r="880" customFormat="false" ht="15" hidden="false" customHeight="false" outlineLevel="0" collapsed="false">
      <c r="B880" s="78"/>
      <c r="C880" s="64"/>
      <c r="D880" s="72" t="str">
        <f aca="false">IF(C880="","",IFERROR(INDEX(T_NOMBRE,MATCH(C880,T_ID,0)),"⚠ ID no existe"))</f>
        <v/>
      </c>
      <c r="E880" s="69"/>
      <c r="F880" s="67"/>
      <c r="G880" s="67"/>
      <c r="H880" s="67"/>
      <c r="I880" s="67"/>
      <c r="J880" s="67"/>
      <c r="K880" s="85" t="str">
        <f aca="false">IF(AH880="","",N(F880)+N(G880)+N(H880)-N(I880)+N(J880))</f>
        <v/>
      </c>
      <c r="L880" s="67"/>
      <c r="M880" s="67"/>
      <c r="N880" s="67"/>
      <c r="O880" s="67"/>
      <c r="P880" s="85" t="str">
        <f aca="false">IF(AH880="","",K880+N(L880)+N(M880)+N(N880)+N(O880))</f>
        <v/>
      </c>
      <c r="Q880" s="67"/>
      <c r="R880" s="67"/>
      <c r="S880" s="67"/>
      <c r="T880" s="67"/>
      <c r="U880" s="67"/>
      <c r="V880" s="67"/>
      <c r="W880" s="85" t="str">
        <f aca="false">IF(AH880="","",N(Q880)+N(R880)+N(S880)+N(T880)+N(U880)+N(V880))</f>
        <v/>
      </c>
      <c r="X880" s="85" t="str">
        <f aca="false">IF(AH880="","",P880-W880)</f>
        <v/>
      </c>
      <c r="Y880" s="67"/>
      <c r="Z880" s="70" t="str">
        <f aca="false">IF(OR(AH880="",Y880=""),"",IF(ABS(X880-Y880)&lt;=1,"✓ Cuadra","⚠ Diferencia $"&amp;FIXED(X880-Y880,0)))</f>
        <v/>
      </c>
      <c r="AA880" s="72" t="str">
        <f aca="false">IF(AH880="","",IFERROR(INDEX(C_TIPO,MATCH(C880&amp;"-P"&amp;MAX(1,COUNTIFS(C_ID,C880,C_DEFINE,"Sí",C_INICIO,"&lt;="&amp;EOMONTH(B880,0))),C_CLAVE,0))&amp;"","Sin dato"))</f>
        <v/>
      </c>
      <c r="AB880" s="71" t="str">
        <f aca="false">IF(AH880="","",ROUND(MIN(K880,TOPE_AFP_UF*AJ880)*AK880,0))</f>
        <v/>
      </c>
      <c r="AC880" s="71" t="str">
        <f aca="false">IF(AH880="","",ROUND(MIN(K880,TOPE_AFC_UF*AJ880)*IF(AA880="Indefinido",AFC_EMP_INDEF,AFC_EMP_PF),0))</f>
        <v/>
      </c>
      <c r="AD880" s="71" t="str">
        <f aca="false">IF(AH880="","",ROUND(MIN(K880,TOPE_AFP_UF*AJ880)*(MUTUAL_BASICA+MUTUAL_ADIC+SANNA),0))</f>
        <v/>
      </c>
      <c r="AE880" s="71" t="str">
        <f aca="false">IF(AH880="","",P880-N(N880)+AB880+AC880+AD880)</f>
        <v/>
      </c>
      <c r="AF880" s="65"/>
      <c r="AG880" s="64"/>
      <c r="AH880" s="72" t="str">
        <f aca="false">IF(OR(B880="",C880=""),"",C880&amp;"|"&amp;(YEAR(B880)*100+MONTH(B880)))</f>
        <v/>
      </c>
      <c r="AI880" s="70" t="str">
        <f aca="false">IF(AH880="","",IF(COUNTIF(L_CLAVE,AH880)&gt;1,"⚠ Duplicado","OK"))</f>
        <v/>
      </c>
      <c r="AJ880" s="86" t="str">
        <f aca="false">IF(AH880="","",IF(SUMPRODUCT(MAX((IND_PER&lt;=B880)*(IND_UF&lt;&gt;"")*IND_PER))=0,UF_HOY,INDEX(IND_UF,MATCH(SUMPRODUCT(MAX((IND_PER&lt;=B880)*(IND_UF&lt;&gt;"")*IND_PER)),IND_PER,0))))</f>
        <v/>
      </c>
      <c r="AK880" s="87" t="str">
        <f aca="false">IF(AH880="","",IF(COUNTIF(TASA_DESDE,"&lt;="&amp;B880)=0,INDEX(TASA_EMP,1),INDEX(TASA_EMP,COUNTIF(TASA_DESDE,"&lt;="&amp;B880))))</f>
        <v/>
      </c>
    </row>
    <row r="881" customFormat="false" ht="15" hidden="false" customHeight="false" outlineLevel="0" collapsed="false">
      <c r="B881" s="78"/>
      <c r="C881" s="64"/>
      <c r="D881" s="72" t="str">
        <f aca="false">IF(C881="","",IFERROR(INDEX(T_NOMBRE,MATCH(C881,T_ID,0)),"⚠ ID no existe"))</f>
        <v/>
      </c>
      <c r="E881" s="69"/>
      <c r="F881" s="67"/>
      <c r="G881" s="67"/>
      <c r="H881" s="67"/>
      <c r="I881" s="67"/>
      <c r="J881" s="67"/>
      <c r="K881" s="85" t="str">
        <f aca="false">IF(AH881="","",N(F881)+N(G881)+N(H881)-N(I881)+N(J881))</f>
        <v/>
      </c>
      <c r="L881" s="67"/>
      <c r="M881" s="67"/>
      <c r="N881" s="67"/>
      <c r="O881" s="67"/>
      <c r="P881" s="85" t="str">
        <f aca="false">IF(AH881="","",K881+N(L881)+N(M881)+N(N881)+N(O881))</f>
        <v/>
      </c>
      <c r="Q881" s="67"/>
      <c r="R881" s="67"/>
      <c r="S881" s="67"/>
      <c r="T881" s="67"/>
      <c r="U881" s="67"/>
      <c r="V881" s="67"/>
      <c r="W881" s="85" t="str">
        <f aca="false">IF(AH881="","",N(Q881)+N(R881)+N(S881)+N(T881)+N(U881)+N(V881))</f>
        <v/>
      </c>
      <c r="X881" s="85" t="str">
        <f aca="false">IF(AH881="","",P881-W881)</f>
        <v/>
      </c>
      <c r="Y881" s="67"/>
      <c r="Z881" s="70" t="str">
        <f aca="false">IF(OR(AH881="",Y881=""),"",IF(ABS(X881-Y881)&lt;=1,"✓ Cuadra","⚠ Diferencia $"&amp;FIXED(X881-Y881,0)))</f>
        <v/>
      </c>
      <c r="AA881" s="72" t="str">
        <f aca="false">IF(AH881="","",IFERROR(INDEX(C_TIPO,MATCH(C881&amp;"-P"&amp;MAX(1,COUNTIFS(C_ID,C881,C_DEFINE,"Sí",C_INICIO,"&lt;="&amp;EOMONTH(B881,0))),C_CLAVE,0))&amp;"","Sin dato"))</f>
        <v/>
      </c>
      <c r="AB881" s="71" t="str">
        <f aca="false">IF(AH881="","",ROUND(MIN(K881,TOPE_AFP_UF*AJ881)*AK881,0))</f>
        <v/>
      </c>
      <c r="AC881" s="71" t="str">
        <f aca="false">IF(AH881="","",ROUND(MIN(K881,TOPE_AFC_UF*AJ881)*IF(AA881="Indefinido",AFC_EMP_INDEF,AFC_EMP_PF),0))</f>
        <v/>
      </c>
      <c r="AD881" s="71" t="str">
        <f aca="false">IF(AH881="","",ROUND(MIN(K881,TOPE_AFP_UF*AJ881)*(MUTUAL_BASICA+MUTUAL_ADIC+SANNA),0))</f>
        <v/>
      </c>
      <c r="AE881" s="71" t="str">
        <f aca="false">IF(AH881="","",P881-N(N881)+AB881+AC881+AD881)</f>
        <v/>
      </c>
      <c r="AF881" s="65"/>
      <c r="AG881" s="64"/>
      <c r="AH881" s="72" t="str">
        <f aca="false">IF(OR(B881="",C881=""),"",C881&amp;"|"&amp;(YEAR(B881)*100+MONTH(B881)))</f>
        <v/>
      </c>
      <c r="AI881" s="70" t="str">
        <f aca="false">IF(AH881="","",IF(COUNTIF(L_CLAVE,AH881)&gt;1,"⚠ Duplicado","OK"))</f>
        <v/>
      </c>
      <c r="AJ881" s="86" t="str">
        <f aca="false">IF(AH881="","",IF(SUMPRODUCT(MAX((IND_PER&lt;=B881)*(IND_UF&lt;&gt;"")*IND_PER))=0,UF_HOY,INDEX(IND_UF,MATCH(SUMPRODUCT(MAX((IND_PER&lt;=B881)*(IND_UF&lt;&gt;"")*IND_PER)),IND_PER,0))))</f>
        <v/>
      </c>
      <c r="AK881" s="87" t="str">
        <f aca="false">IF(AH881="","",IF(COUNTIF(TASA_DESDE,"&lt;="&amp;B881)=0,INDEX(TASA_EMP,1),INDEX(TASA_EMP,COUNTIF(TASA_DESDE,"&lt;="&amp;B881))))</f>
        <v/>
      </c>
    </row>
    <row r="882" customFormat="false" ht="15" hidden="false" customHeight="false" outlineLevel="0" collapsed="false">
      <c r="B882" s="78"/>
      <c r="C882" s="64"/>
      <c r="D882" s="72" t="str">
        <f aca="false">IF(C882="","",IFERROR(INDEX(T_NOMBRE,MATCH(C882,T_ID,0)),"⚠ ID no existe"))</f>
        <v/>
      </c>
      <c r="E882" s="69"/>
      <c r="F882" s="67"/>
      <c r="G882" s="67"/>
      <c r="H882" s="67"/>
      <c r="I882" s="67"/>
      <c r="J882" s="67"/>
      <c r="K882" s="85" t="str">
        <f aca="false">IF(AH882="","",N(F882)+N(G882)+N(H882)-N(I882)+N(J882))</f>
        <v/>
      </c>
      <c r="L882" s="67"/>
      <c r="M882" s="67"/>
      <c r="N882" s="67"/>
      <c r="O882" s="67"/>
      <c r="P882" s="85" t="str">
        <f aca="false">IF(AH882="","",K882+N(L882)+N(M882)+N(N882)+N(O882))</f>
        <v/>
      </c>
      <c r="Q882" s="67"/>
      <c r="R882" s="67"/>
      <c r="S882" s="67"/>
      <c r="T882" s="67"/>
      <c r="U882" s="67"/>
      <c r="V882" s="67"/>
      <c r="W882" s="85" t="str">
        <f aca="false">IF(AH882="","",N(Q882)+N(R882)+N(S882)+N(T882)+N(U882)+N(V882))</f>
        <v/>
      </c>
      <c r="X882" s="85" t="str">
        <f aca="false">IF(AH882="","",P882-W882)</f>
        <v/>
      </c>
      <c r="Y882" s="67"/>
      <c r="Z882" s="70" t="str">
        <f aca="false">IF(OR(AH882="",Y882=""),"",IF(ABS(X882-Y882)&lt;=1,"✓ Cuadra","⚠ Diferencia $"&amp;FIXED(X882-Y882,0)))</f>
        <v/>
      </c>
      <c r="AA882" s="72" t="str">
        <f aca="false">IF(AH882="","",IFERROR(INDEX(C_TIPO,MATCH(C882&amp;"-P"&amp;MAX(1,COUNTIFS(C_ID,C882,C_DEFINE,"Sí",C_INICIO,"&lt;="&amp;EOMONTH(B882,0))),C_CLAVE,0))&amp;"","Sin dato"))</f>
        <v/>
      </c>
      <c r="AB882" s="71" t="str">
        <f aca="false">IF(AH882="","",ROUND(MIN(K882,TOPE_AFP_UF*AJ882)*AK882,0))</f>
        <v/>
      </c>
      <c r="AC882" s="71" t="str">
        <f aca="false">IF(AH882="","",ROUND(MIN(K882,TOPE_AFC_UF*AJ882)*IF(AA882="Indefinido",AFC_EMP_INDEF,AFC_EMP_PF),0))</f>
        <v/>
      </c>
      <c r="AD882" s="71" t="str">
        <f aca="false">IF(AH882="","",ROUND(MIN(K882,TOPE_AFP_UF*AJ882)*(MUTUAL_BASICA+MUTUAL_ADIC+SANNA),0))</f>
        <v/>
      </c>
      <c r="AE882" s="71" t="str">
        <f aca="false">IF(AH882="","",P882-N(N882)+AB882+AC882+AD882)</f>
        <v/>
      </c>
      <c r="AF882" s="65"/>
      <c r="AG882" s="64"/>
      <c r="AH882" s="72" t="str">
        <f aca="false">IF(OR(B882="",C882=""),"",C882&amp;"|"&amp;(YEAR(B882)*100+MONTH(B882)))</f>
        <v/>
      </c>
      <c r="AI882" s="70" t="str">
        <f aca="false">IF(AH882="","",IF(COUNTIF(L_CLAVE,AH882)&gt;1,"⚠ Duplicado","OK"))</f>
        <v/>
      </c>
      <c r="AJ882" s="86" t="str">
        <f aca="false">IF(AH882="","",IF(SUMPRODUCT(MAX((IND_PER&lt;=B882)*(IND_UF&lt;&gt;"")*IND_PER))=0,UF_HOY,INDEX(IND_UF,MATCH(SUMPRODUCT(MAX((IND_PER&lt;=B882)*(IND_UF&lt;&gt;"")*IND_PER)),IND_PER,0))))</f>
        <v/>
      </c>
      <c r="AK882" s="87" t="str">
        <f aca="false">IF(AH882="","",IF(COUNTIF(TASA_DESDE,"&lt;="&amp;B882)=0,INDEX(TASA_EMP,1),INDEX(TASA_EMP,COUNTIF(TASA_DESDE,"&lt;="&amp;B882))))</f>
        <v/>
      </c>
    </row>
    <row r="883" customFormat="false" ht="15" hidden="false" customHeight="false" outlineLevel="0" collapsed="false">
      <c r="B883" s="78"/>
      <c r="C883" s="64"/>
      <c r="D883" s="72" t="str">
        <f aca="false">IF(C883="","",IFERROR(INDEX(T_NOMBRE,MATCH(C883,T_ID,0)),"⚠ ID no existe"))</f>
        <v/>
      </c>
      <c r="E883" s="69"/>
      <c r="F883" s="67"/>
      <c r="G883" s="67"/>
      <c r="H883" s="67"/>
      <c r="I883" s="67"/>
      <c r="J883" s="67"/>
      <c r="K883" s="85" t="str">
        <f aca="false">IF(AH883="","",N(F883)+N(G883)+N(H883)-N(I883)+N(J883))</f>
        <v/>
      </c>
      <c r="L883" s="67"/>
      <c r="M883" s="67"/>
      <c r="N883" s="67"/>
      <c r="O883" s="67"/>
      <c r="P883" s="85" t="str">
        <f aca="false">IF(AH883="","",K883+N(L883)+N(M883)+N(N883)+N(O883))</f>
        <v/>
      </c>
      <c r="Q883" s="67"/>
      <c r="R883" s="67"/>
      <c r="S883" s="67"/>
      <c r="T883" s="67"/>
      <c r="U883" s="67"/>
      <c r="V883" s="67"/>
      <c r="W883" s="85" t="str">
        <f aca="false">IF(AH883="","",N(Q883)+N(R883)+N(S883)+N(T883)+N(U883)+N(V883))</f>
        <v/>
      </c>
      <c r="X883" s="85" t="str">
        <f aca="false">IF(AH883="","",P883-W883)</f>
        <v/>
      </c>
      <c r="Y883" s="67"/>
      <c r="Z883" s="70" t="str">
        <f aca="false">IF(OR(AH883="",Y883=""),"",IF(ABS(X883-Y883)&lt;=1,"✓ Cuadra","⚠ Diferencia $"&amp;FIXED(X883-Y883,0)))</f>
        <v/>
      </c>
      <c r="AA883" s="72" t="str">
        <f aca="false">IF(AH883="","",IFERROR(INDEX(C_TIPO,MATCH(C883&amp;"-P"&amp;MAX(1,COUNTIFS(C_ID,C883,C_DEFINE,"Sí",C_INICIO,"&lt;="&amp;EOMONTH(B883,0))),C_CLAVE,0))&amp;"","Sin dato"))</f>
        <v/>
      </c>
      <c r="AB883" s="71" t="str">
        <f aca="false">IF(AH883="","",ROUND(MIN(K883,TOPE_AFP_UF*AJ883)*AK883,0))</f>
        <v/>
      </c>
      <c r="AC883" s="71" t="str">
        <f aca="false">IF(AH883="","",ROUND(MIN(K883,TOPE_AFC_UF*AJ883)*IF(AA883="Indefinido",AFC_EMP_INDEF,AFC_EMP_PF),0))</f>
        <v/>
      </c>
      <c r="AD883" s="71" t="str">
        <f aca="false">IF(AH883="","",ROUND(MIN(K883,TOPE_AFP_UF*AJ883)*(MUTUAL_BASICA+MUTUAL_ADIC+SANNA),0))</f>
        <v/>
      </c>
      <c r="AE883" s="71" t="str">
        <f aca="false">IF(AH883="","",P883-N(N883)+AB883+AC883+AD883)</f>
        <v/>
      </c>
      <c r="AF883" s="65"/>
      <c r="AG883" s="64"/>
      <c r="AH883" s="72" t="str">
        <f aca="false">IF(OR(B883="",C883=""),"",C883&amp;"|"&amp;(YEAR(B883)*100+MONTH(B883)))</f>
        <v/>
      </c>
      <c r="AI883" s="70" t="str">
        <f aca="false">IF(AH883="","",IF(COUNTIF(L_CLAVE,AH883)&gt;1,"⚠ Duplicado","OK"))</f>
        <v/>
      </c>
      <c r="AJ883" s="86" t="str">
        <f aca="false">IF(AH883="","",IF(SUMPRODUCT(MAX((IND_PER&lt;=B883)*(IND_UF&lt;&gt;"")*IND_PER))=0,UF_HOY,INDEX(IND_UF,MATCH(SUMPRODUCT(MAX((IND_PER&lt;=B883)*(IND_UF&lt;&gt;"")*IND_PER)),IND_PER,0))))</f>
        <v/>
      </c>
      <c r="AK883" s="87" t="str">
        <f aca="false">IF(AH883="","",IF(COUNTIF(TASA_DESDE,"&lt;="&amp;B883)=0,INDEX(TASA_EMP,1),INDEX(TASA_EMP,COUNTIF(TASA_DESDE,"&lt;="&amp;B883))))</f>
        <v/>
      </c>
    </row>
    <row r="884" customFormat="false" ht="15" hidden="false" customHeight="false" outlineLevel="0" collapsed="false">
      <c r="B884" s="78"/>
      <c r="C884" s="64"/>
      <c r="D884" s="72" t="str">
        <f aca="false">IF(C884="","",IFERROR(INDEX(T_NOMBRE,MATCH(C884,T_ID,0)),"⚠ ID no existe"))</f>
        <v/>
      </c>
      <c r="E884" s="69"/>
      <c r="F884" s="67"/>
      <c r="G884" s="67"/>
      <c r="H884" s="67"/>
      <c r="I884" s="67"/>
      <c r="J884" s="67"/>
      <c r="K884" s="85" t="str">
        <f aca="false">IF(AH884="","",N(F884)+N(G884)+N(H884)-N(I884)+N(J884))</f>
        <v/>
      </c>
      <c r="L884" s="67"/>
      <c r="M884" s="67"/>
      <c r="N884" s="67"/>
      <c r="O884" s="67"/>
      <c r="P884" s="85" t="str">
        <f aca="false">IF(AH884="","",K884+N(L884)+N(M884)+N(N884)+N(O884))</f>
        <v/>
      </c>
      <c r="Q884" s="67"/>
      <c r="R884" s="67"/>
      <c r="S884" s="67"/>
      <c r="T884" s="67"/>
      <c r="U884" s="67"/>
      <c r="V884" s="67"/>
      <c r="W884" s="85" t="str">
        <f aca="false">IF(AH884="","",N(Q884)+N(R884)+N(S884)+N(T884)+N(U884)+N(V884))</f>
        <v/>
      </c>
      <c r="X884" s="85" t="str">
        <f aca="false">IF(AH884="","",P884-W884)</f>
        <v/>
      </c>
      <c r="Y884" s="67"/>
      <c r="Z884" s="70" t="str">
        <f aca="false">IF(OR(AH884="",Y884=""),"",IF(ABS(X884-Y884)&lt;=1,"✓ Cuadra","⚠ Diferencia $"&amp;FIXED(X884-Y884,0)))</f>
        <v/>
      </c>
      <c r="AA884" s="72" t="str">
        <f aca="false">IF(AH884="","",IFERROR(INDEX(C_TIPO,MATCH(C884&amp;"-P"&amp;MAX(1,COUNTIFS(C_ID,C884,C_DEFINE,"Sí",C_INICIO,"&lt;="&amp;EOMONTH(B884,0))),C_CLAVE,0))&amp;"","Sin dato"))</f>
        <v/>
      </c>
      <c r="AB884" s="71" t="str">
        <f aca="false">IF(AH884="","",ROUND(MIN(K884,TOPE_AFP_UF*AJ884)*AK884,0))</f>
        <v/>
      </c>
      <c r="AC884" s="71" t="str">
        <f aca="false">IF(AH884="","",ROUND(MIN(K884,TOPE_AFC_UF*AJ884)*IF(AA884="Indefinido",AFC_EMP_INDEF,AFC_EMP_PF),0))</f>
        <v/>
      </c>
      <c r="AD884" s="71" t="str">
        <f aca="false">IF(AH884="","",ROUND(MIN(K884,TOPE_AFP_UF*AJ884)*(MUTUAL_BASICA+MUTUAL_ADIC+SANNA),0))</f>
        <v/>
      </c>
      <c r="AE884" s="71" t="str">
        <f aca="false">IF(AH884="","",P884-N(N884)+AB884+AC884+AD884)</f>
        <v/>
      </c>
      <c r="AF884" s="65"/>
      <c r="AG884" s="64"/>
      <c r="AH884" s="72" t="str">
        <f aca="false">IF(OR(B884="",C884=""),"",C884&amp;"|"&amp;(YEAR(B884)*100+MONTH(B884)))</f>
        <v/>
      </c>
      <c r="AI884" s="70" t="str">
        <f aca="false">IF(AH884="","",IF(COUNTIF(L_CLAVE,AH884)&gt;1,"⚠ Duplicado","OK"))</f>
        <v/>
      </c>
      <c r="AJ884" s="86" t="str">
        <f aca="false">IF(AH884="","",IF(SUMPRODUCT(MAX((IND_PER&lt;=B884)*(IND_UF&lt;&gt;"")*IND_PER))=0,UF_HOY,INDEX(IND_UF,MATCH(SUMPRODUCT(MAX((IND_PER&lt;=B884)*(IND_UF&lt;&gt;"")*IND_PER)),IND_PER,0))))</f>
        <v/>
      </c>
      <c r="AK884" s="87" t="str">
        <f aca="false">IF(AH884="","",IF(COUNTIF(TASA_DESDE,"&lt;="&amp;B884)=0,INDEX(TASA_EMP,1),INDEX(TASA_EMP,COUNTIF(TASA_DESDE,"&lt;="&amp;B884))))</f>
        <v/>
      </c>
    </row>
    <row r="885" customFormat="false" ht="15" hidden="false" customHeight="false" outlineLevel="0" collapsed="false">
      <c r="B885" s="78"/>
      <c r="C885" s="64"/>
      <c r="D885" s="72" t="str">
        <f aca="false">IF(C885="","",IFERROR(INDEX(T_NOMBRE,MATCH(C885,T_ID,0)),"⚠ ID no existe"))</f>
        <v/>
      </c>
      <c r="E885" s="69"/>
      <c r="F885" s="67"/>
      <c r="G885" s="67"/>
      <c r="H885" s="67"/>
      <c r="I885" s="67"/>
      <c r="J885" s="67"/>
      <c r="K885" s="85" t="str">
        <f aca="false">IF(AH885="","",N(F885)+N(G885)+N(H885)-N(I885)+N(J885))</f>
        <v/>
      </c>
      <c r="L885" s="67"/>
      <c r="M885" s="67"/>
      <c r="N885" s="67"/>
      <c r="O885" s="67"/>
      <c r="P885" s="85" t="str">
        <f aca="false">IF(AH885="","",K885+N(L885)+N(M885)+N(N885)+N(O885))</f>
        <v/>
      </c>
      <c r="Q885" s="67"/>
      <c r="R885" s="67"/>
      <c r="S885" s="67"/>
      <c r="T885" s="67"/>
      <c r="U885" s="67"/>
      <c r="V885" s="67"/>
      <c r="W885" s="85" t="str">
        <f aca="false">IF(AH885="","",N(Q885)+N(R885)+N(S885)+N(T885)+N(U885)+N(V885))</f>
        <v/>
      </c>
      <c r="X885" s="85" t="str">
        <f aca="false">IF(AH885="","",P885-W885)</f>
        <v/>
      </c>
      <c r="Y885" s="67"/>
      <c r="Z885" s="70" t="str">
        <f aca="false">IF(OR(AH885="",Y885=""),"",IF(ABS(X885-Y885)&lt;=1,"✓ Cuadra","⚠ Diferencia $"&amp;FIXED(X885-Y885,0)))</f>
        <v/>
      </c>
      <c r="AA885" s="72" t="str">
        <f aca="false">IF(AH885="","",IFERROR(INDEX(C_TIPO,MATCH(C885&amp;"-P"&amp;MAX(1,COUNTIFS(C_ID,C885,C_DEFINE,"Sí",C_INICIO,"&lt;="&amp;EOMONTH(B885,0))),C_CLAVE,0))&amp;"","Sin dato"))</f>
        <v/>
      </c>
      <c r="AB885" s="71" t="str">
        <f aca="false">IF(AH885="","",ROUND(MIN(K885,TOPE_AFP_UF*AJ885)*AK885,0))</f>
        <v/>
      </c>
      <c r="AC885" s="71" t="str">
        <f aca="false">IF(AH885="","",ROUND(MIN(K885,TOPE_AFC_UF*AJ885)*IF(AA885="Indefinido",AFC_EMP_INDEF,AFC_EMP_PF),0))</f>
        <v/>
      </c>
      <c r="AD885" s="71" t="str">
        <f aca="false">IF(AH885="","",ROUND(MIN(K885,TOPE_AFP_UF*AJ885)*(MUTUAL_BASICA+MUTUAL_ADIC+SANNA),0))</f>
        <v/>
      </c>
      <c r="AE885" s="71" t="str">
        <f aca="false">IF(AH885="","",P885-N(N885)+AB885+AC885+AD885)</f>
        <v/>
      </c>
      <c r="AF885" s="65"/>
      <c r="AG885" s="64"/>
      <c r="AH885" s="72" t="str">
        <f aca="false">IF(OR(B885="",C885=""),"",C885&amp;"|"&amp;(YEAR(B885)*100+MONTH(B885)))</f>
        <v/>
      </c>
      <c r="AI885" s="70" t="str">
        <f aca="false">IF(AH885="","",IF(COUNTIF(L_CLAVE,AH885)&gt;1,"⚠ Duplicado","OK"))</f>
        <v/>
      </c>
      <c r="AJ885" s="86" t="str">
        <f aca="false">IF(AH885="","",IF(SUMPRODUCT(MAX((IND_PER&lt;=B885)*(IND_UF&lt;&gt;"")*IND_PER))=0,UF_HOY,INDEX(IND_UF,MATCH(SUMPRODUCT(MAX((IND_PER&lt;=B885)*(IND_UF&lt;&gt;"")*IND_PER)),IND_PER,0))))</f>
        <v/>
      </c>
      <c r="AK885" s="87" t="str">
        <f aca="false">IF(AH885="","",IF(COUNTIF(TASA_DESDE,"&lt;="&amp;B885)=0,INDEX(TASA_EMP,1),INDEX(TASA_EMP,COUNTIF(TASA_DESDE,"&lt;="&amp;B885))))</f>
        <v/>
      </c>
    </row>
    <row r="886" customFormat="false" ht="15" hidden="false" customHeight="false" outlineLevel="0" collapsed="false">
      <c r="B886" s="78"/>
      <c r="C886" s="64"/>
      <c r="D886" s="72" t="str">
        <f aca="false">IF(C886="","",IFERROR(INDEX(T_NOMBRE,MATCH(C886,T_ID,0)),"⚠ ID no existe"))</f>
        <v/>
      </c>
      <c r="E886" s="69"/>
      <c r="F886" s="67"/>
      <c r="G886" s="67"/>
      <c r="H886" s="67"/>
      <c r="I886" s="67"/>
      <c r="J886" s="67"/>
      <c r="K886" s="85" t="str">
        <f aca="false">IF(AH886="","",N(F886)+N(G886)+N(H886)-N(I886)+N(J886))</f>
        <v/>
      </c>
      <c r="L886" s="67"/>
      <c r="M886" s="67"/>
      <c r="N886" s="67"/>
      <c r="O886" s="67"/>
      <c r="P886" s="85" t="str">
        <f aca="false">IF(AH886="","",K886+N(L886)+N(M886)+N(N886)+N(O886))</f>
        <v/>
      </c>
      <c r="Q886" s="67"/>
      <c r="R886" s="67"/>
      <c r="S886" s="67"/>
      <c r="T886" s="67"/>
      <c r="U886" s="67"/>
      <c r="V886" s="67"/>
      <c r="W886" s="85" t="str">
        <f aca="false">IF(AH886="","",N(Q886)+N(R886)+N(S886)+N(T886)+N(U886)+N(V886))</f>
        <v/>
      </c>
      <c r="X886" s="85" t="str">
        <f aca="false">IF(AH886="","",P886-W886)</f>
        <v/>
      </c>
      <c r="Y886" s="67"/>
      <c r="Z886" s="70" t="str">
        <f aca="false">IF(OR(AH886="",Y886=""),"",IF(ABS(X886-Y886)&lt;=1,"✓ Cuadra","⚠ Diferencia $"&amp;FIXED(X886-Y886,0)))</f>
        <v/>
      </c>
      <c r="AA886" s="72" t="str">
        <f aca="false">IF(AH886="","",IFERROR(INDEX(C_TIPO,MATCH(C886&amp;"-P"&amp;MAX(1,COUNTIFS(C_ID,C886,C_DEFINE,"Sí",C_INICIO,"&lt;="&amp;EOMONTH(B886,0))),C_CLAVE,0))&amp;"","Sin dato"))</f>
        <v/>
      </c>
      <c r="AB886" s="71" t="str">
        <f aca="false">IF(AH886="","",ROUND(MIN(K886,TOPE_AFP_UF*AJ886)*AK886,0))</f>
        <v/>
      </c>
      <c r="AC886" s="71" t="str">
        <f aca="false">IF(AH886="","",ROUND(MIN(K886,TOPE_AFC_UF*AJ886)*IF(AA886="Indefinido",AFC_EMP_INDEF,AFC_EMP_PF),0))</f>
        <v/>
      </c>
      <c r="AD886" s="71" t="str">
        <f aca="false">IF(AH886="","",ROUND(MIN(K886,TOPE_AFP_UF*AJ886)*(MUTUAL_BASICA+MUTUAL_ADIC+SANNA),0))</f>
        <v/>
      </c>
      <c r="AE886" s="71" t="str">
        <f aca="false">IF(AH886="","",P886-N(N886)+AB886+AC886+AD886)</f>
        <v/>
      </c>
      <c r="AF886" s="65"/>
      <c r="AG886" s="64"/>
      <c r="AH886" s="72" t="str">
        <f aca="false">IF(OR(B886="",C886=""),"",C886&amp;"|"&amp;(YEAR(B886)*100+MONTH(B886)))</f>
        <v/>
      </c>
      <c r="AI886" s="70" t="str">
        <f aca="false">IF(AH886="","",IF(COUNTIF(L_CLAVE,AH886)&gt;1,"⚠ Duplicado","OK"))</f>
        <v/>
      </c>
      <c r="AJ886" s="86" t="str">
        <f aca="false">IF(AH886="","",IF(SUMPRODUCT(MAX((IND_PER&lt;=B886)*(IND_UF&lt;&gt;"")*IND_PER))=0,UF_HOY,INDEX(IND_UF,MATCH(SUMPRODUCT(MAX((IND_PER&lt;=B886)*(IND_UF&lt;&gt;"")*IND_PER)),IND_PER,0))))</f>
        <v/>
      </c>
      <c r="AK886" s="87" t="str">
        <f aca="false">IF(AH886="","",IF(COUNTIF(TASA_DESDE,"&lt;="&amp;B886)=0,INDEX(TASA_EMP,1),INDEX(TASA_EMP,COUNTIF(TASA_DESDE,"&lt;="&amp;B886))))</f>
        <v/>
      </c>
    </row>
    <row r="887" customFormat="false" ht="15" hidden="false" customHeight="false" outlineLevel="0" collapsed="false">
      <c r="B887" s="78"/>
      <c r="C887" s="64"/>
      <c r="D887" s="72" t="str">
        <f aca="false">IF(C887="","",IFERROR(INDEX(T_NOMBRE,MATCH(C887,T_ID,0)),"⚠ ID no existe"))</f>
        <v/>
      </c>
      <c r="E887" s="69"/>
      <c r="F887" s="67"/>
      <c r="G887" s="67"/>
      <c r="H887" s="67"/>
      <c r="I887" s="67"/>
      <c r="J887" s="67"/>
      <c r="K887" s="85" t="str">
        <f aca="false">IF(AH887="","",N(F887)+N(G887)+N(H887)-N(I887)+N(J887))</f>
        <v/>
      </c>
      <c r="L887" s="67"/>
      <c r="M887" s="67"/>
      <c r="N887" s="67"/>
      <c r="O887" s="67"/>
      <c r="P887" s="85" t="str">
        <f aca="false">IF(AH887="","",K887+N(L887)+N(M887)+N(N887)+N(O887))</f>
        <v/>
      </c>
      <c r="Q887" s="67"/>
      <c r="R887" s="67"/>
      <c r="S887" s="67"/>
      <c r="T887" s="67"/>
      <c r="U887" s="67"/>
      <c r="V887" s="67"/>
      <c r="W887" s="85" t="str">
        <f aca="false">IF(AH887="","",N(Q887)+N(R887)+N(S887)+N(T887)+N(U887)+N(V887))</f>
        <v/>
      </c>
      <c r="X887" s="85" t="str">
        <f aca="false">IF(AH887="","",P887-W887)</f>
        <v/>
      </c>
      <c r="Y887" s="67"/>
      <c r="Z887" s="70" t="str">
        <f aca="false">IF(OR(AH887="",Y887=""),"",IF(ABS(X887-Y887)&lt;=1,"✓ Cuadra","⚠ Diferencia $"&amp;FIXED(X887-Y887,0)))</f>
        <v/>
      </c>
      <c r="AA887" s="72" t="str">
        <f aca="false">IF(AH887="","",IFERROR(INDEX(C_TIPO,MATCH(C887&amp;"-P"&amp;MAX(1,COUNTIFS(C_ID,C887,C_DEFINE,"Sí",C_INICIO,"&lt;="&amp;EOMONTH(B887,0))),C_CLAVE,0))&amp;"","Sin dato"))</f>
        <v/>
      </c>
      <c r="AB887" s="71" t="str">
        <f aca="false">IF(AH887="","",ROUND(MIN(K887,TOPE_AFP_UF*AJ887)*AK887,0))</f>
        <v/>
      </c>
      <c r="AC887" s="71" t="str">
        <f aca="false">IF(AH887="","",ROUND(MIN(K887,TOPE_AFC_UF*AJ887)*IF(AA887="Indefinido",AFC_EMP_INDEF,AFC_EMP_PF),0))</f>
        <v/>
      </c>
      <c r="AD887" s="71" t="str">
        <f aca="false">IF(AH887="","",ROUND(MIN(K887,TOPE_AFP_UF*AJ887)*(MUTUAL_BASICA+MUTUAL_ADIC+SANNA),0))</f>
        <v/>
      </c>
      <c r="AE887" s="71" t="str">
        <f aca="false">IF(AH887="","",P887-N(N887)+AB887+AC887+AD887)</f>
        <v/>
      </c>
      <c r="AF887" s="65"/>
      <c r="AG887" s="64"/>
      <c r="AH887" s="72" t="str">
        <f aca="false">IF(OR(B887="",C887=""),"",C887&amp;"|"&amp;(YEAR(B887)*100+MONTH(B887)))</f>
        <v/>
      </c>
      <c r="AI887" s="70" t="str">
        <f aca="false">IF(AH887="","",IF(COUNTIF(L_CLAVE,AH887)&gt;1,"⚠ Duplicado","OK"))</f>
        <v/>
      </c>
      <c r="AJ887" s="86" t="str">
        <f aca="false">IF(AH887="","",IF(SUMPRODUCT(MAX((IND_PER&lt;=B887)*(IND_UF&lt;&gt;"")*IND_PER))=0,UF_HOY,INDEX(IND_UF,MATCH(SUMPRODUCT(MAX((IND_PER&lt;=B887)*(IND_UF&lt;&gt;"")*IND_PER)),IND_PER,0))))</f>
        <v/>
      </c>
      <c r="AK887" s="87" t="str">
        <f aca="false">IF(AH887="","",IF(COUNTIF(TASA_DESDE,"&lt;="&amp;B887)=0,INDEX(TASA_EMP,1),INDEX(TASA_EMP,COUNTIF(TASA_DESDE,"&lt;="&amp;B887))))</f>
        <v/>
      </c>
    </row>
    <row r="888" customFormat="false" ht="15" hidden="false" customHeight="false" outlineLevel="0" collapsed="false">
      <c r="B888" s="78"/>
      <c r="C888" s="64"/>
      <c r="D888" s="72" t="str">
        <f aca="false">IF(C888="","",IFERROR(INDEX(T_NOMBRE,MATCH(C888,T_ID,0)),"⚠ ID no existe"))</f>
        <v/>
      </c>
      <c r="E888" s="69"/>
      <c r="F888" s="67"/>
      <c r="G888" s="67"/>
      <c r="H888" s="67"/>
      <c r="I888" s="67"/>
      <c r="J888" s="67"/>
      <c r="K888" s="85" t="str">
        <f aca="false">IF(AH888="","",N(F888)+N(G888)+N(H888)-N(I888)+N(J888))</f>
        <v/>
      </c>
      <c r="L888" s="67"/>
      <c r="M888" s="67"/>
      <c r="N888" s="67"/>
      <c r="O888" s="67"/>
      <c r="P888" s="85" t="str">
        <f aca="false">IF(AH888="","",K888+N(L888)+N(M888)+N(N888)+N(O888))</f>
        <v/>
      </c>
      <c r="Q888" s="67"/>
      <c r="R888" s="67"/>
      <c r="S888" s="67"/>
      <c r="T888" s="67"/>
      <c r="U888" s="67"/>
      <c r="V888" s="67"/>
      <c r="W888" s="85" t="str">
        <f aca="false">IF(AH888="","",N(Q888)+N(R888)+N(S888)+N(T888)+N(U888)+N(V888))</f>
        <v/>
      </c>
      <c r="X888" s="85" t="str">
        <f aca="false">IF(AH888="","",P888-W888)</f>
        <v/>
      </c>
      <c r="Y888" s="67"/>
      <c r="Z888" s="70" t="str">
        <f aca="false">IF(OR(AH888="",Y888=""),"",IF(ABS(X888-Y888)&lt;=1,"✓ Cuadra","⚠ Diferencia $"&amp;FIXED(X888-Y888,0)))</f>
        <v/>
      </c>
      <c r="AA888" s="72" t="str">
        <f aca="false">IF(AH888="","",IFERROR(INDEX(C_TIPO,MATCH(C888&amp;"-P"&amp;MAX(1,COUNTIFS(C_ID,C888,C_DEFINE,"Sí",C_INICIO,"&lt;="&amp;EOMONTH(B888,0))),C_CLAVE,0))&amp;"","Sin dato"))</f>
        <v/>
      </c>
      <c r="AB888" s="71" t="str">
        <f aca="false">IF(AH888="","",ROUND(MIN(K888,TOPE_AFP_UF*AJ888)*AK888,0))</f>
        <v/>
      </c>
      <c r="AC888" s="71" t="str">
        <f aca="false">IF(AH888="","",ROUND(MIN(K888,TOPE_AFC_UF*AJ888)*IF(AA888="Indefinido",AFC_EMP_INDEF,AFC_EMP_PF),0))</f>
        <v/>
      </c>
      <c r="AD888" s="71" t="str">
        <f aca="false">IF(AH888="","",ROUND(MIN(K888,TOPE_AFP_UF*AJ888)*(MUTUAL_BASICA+MUTUAL_ADIC+SANNA),0))</f>
        <v/>
      </c>
      <c r="AE888" s="71" t="str">
        <f aca="false">IF(AH888="","",P888-N(N888)+AB888+AC888+AD888)</f>
        <v/>
      </c>
      <c r="AF888" s="65"/>
      <c r="AG888" s="64"/>
      <c r="AH888" s="72" t="str">
        <f aca="false">IF(OR(B888="",C888=""),"",C888&amp;"|"&amp;(YEAR(B888)*100+MONTH(B888)))</f>
        <v/>
      </c>
      <c r="AI888" s="70" t="str">
        <f aca="false">IF(AH888="","",IF(COUNTIF(L_CLAVE,AH888)&gt;1,"⚠ Duplicado","OK"))</f>
        <v/>
      </c>
      <c r="AJ888" s="86" t="str">
        <f aca="false">IF(AH888="","",IF(SUMPRODUCT(MAX((IND_PER&lt;=B888)*(IND_UF&lt;&gt;"")*IND_PER))=0,UF_HOY,INDEX(IND_UF,MATCH(SUMPRODUCT(MAX((IND_PER&lt;=B888)*(IND_UF&lt;&gt;"")*IND_PER)),IND_PER,0))))</f>
        <v/>
      </c>
      <c r="AK888" s="87" t="str">
        <f aca="false">IF(AH888="","",IF(COUNTIF(TASA_DESDE,"&lt;="&amp;B888)=0,INDEX(TASA_EMP,1),INDEX(TASA_EMP,COUNTIF(TASA_DESDE,"&lt;="&amp;B888))))</f>
        <v/>
      </c>
    </row>
    <row r="889" customFormat="false" ht="15" hidden="false" customHeight="false" outlineLevel="0" collapsed="false">
      <c r="B889" s="78"/>
      <c r="C889" s="64"/>
      <c r="D889" s="72" t="str">
        <f aca="false">IF(C889="","",IFERROR(INDEX(T_NOMBRE,MATCH(C889,T_ID,0)),"⚠ ID no existe"))</f>
        <v/>
      </c>
      <c r="E889" s="69"/>
      <c r="F889" s="67"/>
      <c r="G889" s="67"/>
      <c r="H889" s="67"/>
      <c r="I889" s="67"/>
      <c r="J889" s="67"/>
      <c r="K889" s="85" t="str">
        <f aca="false">IF(AH889="","",N(F889)+N(G889)+N(H889)-N(I889)+N(J889))</f>
        <v/>
      </c>
      <c r="L889" s="67"/>
      <c r="M889" s="67"/>
      <c r="N889" s="67"/>
      <c r="O889" s="67"/>
      <c r="P889" s="85" t="str">
        <f aca="false">IF(AH889="","",K889+N(L889)+N(M889)+N(N889)+N(O889))</f>
        <v/>
      </c>
      <c r="Q889" s="67"/>
      <c r="R889" s="67"/>
      <c r="S889" s="67"/>
      <c r="T889" s="67"/>
      <c r="U889" s="67"/>
      <c r="V889" s="67"/>
      <c r="W889" s="85" t="str">
        <f aca="false">IF(AH889="","",N(Q889)+N(R889)+N(S889)+N(T889)+N(U889)+N(V889))</f>
        <v/>
      </c>
      <c r="X889" s="85" t="str">
        <f aca="false">IF(AH889="","",P889-W889)</f>
        <v/>
      </c>
      <c r="Y889" s="67"/>
      <c r="Z889" s="70" t="str">
        <f aca="false">IF(OR(AH889="",Y889=""),"",IF(ABS(X889-Y889)&lt;=1,"✓ Cuadra","⚠ Diferencia $"&amp;FIXED(X889-Y889,0)))</f>
        <v/>
      </c>
      <c r="AA889" s="72" t="str">
        <f aca="false">IF(AH889="","",IFERROR(INDEX(C_TIPO,MATCH(C889&amp;"-P"&amp;MAX(1,COUNTIFS(C_ID,C889,C_DEFINE,"Sí",C_INICIO,"&lt;="&amp;EOMONTH(B889,0))),C_CLAVE,0))&amp;"","Sin dato"))</f>
        <v/>
      </c>
      <c r="AB889" s="71" t="str">
        <f aca="false">IF(AH889="","",ROUND(MIN(K889,TOPE_AFP_UF*AJ889)*AK889,0))</f>
        <v/>
      </c>
      <c r="AC889" s="71" t="str">
        <f aca="false">IF(AH889="","",ROUND(MIN(K889,TOPE_AFC_UF*AJ889)*IF(AA889="Indefinido",AFC_EMP_INDEF,AFC_EMP_PF),0))</f>
        <v/>
      </c>
      <c r="AD889" s="71" t="str">
        <f aca="false">IF(AH889="","",ROUND(MIN(K889,TOPE_AFP_UF*AJ889)*(MUTUAL_BASICA+MUTUAL_ADIC+SANNA),0))</f>
        <v/>
      </c>
      <c r="AE889" s="71" t="str">
        <f aca="false">IF(AH889="","",P889-N(N889)+AB889+AC889+AD889)</f>
        <v/>
      </c>
      <c r="AF889" s="65"/>
      <c r="AG889" s="64"/>
      <c r="AH889" s="72" t="str">
        <f aca="false">IF(OR(B889="",C889=""),"",C889&amp;"|"&amp;(YEAR(B889)*100+MONTH(B889)))</f>
        <v/>
      </c>
      <c r="AI889" s="70" t="str">
        <f aca="false">IF(AH889="","",IF(COUNTIF(L_CLAVE,AH889)&gt;1,"⚠ Duplicado","OK"))</f>
        <v/>
      </c>
      <c r="AJ889" s="86" t="str">
        <f aca="false">IF(AH889="","",IF(SUMPRODUCT(MAX((IND_PER&lt;=B889)*(IND_UF&lt;&gt;"")*IND_PER))=0,UF_HOY,INDEX(IND_UF,MATCH(SUMPRODUCT(MAX((IND_PER&lt;=B889)*(IND_UF&lt;&gt;"")*IND_PER)),IND_PER,0))))</f>
        <v/>
      </c>
      <c r="AK889" s="87" t="str">
        <f aca="false">IF(AH889="","",IF(COUNTIF(TASA_DESDE,"&lt;="&amp;B889)=0,INDEX(TASA_EMP,1),INDEX(TASA_EMP,COUNTIF(TASA_DESDE,"&lt;="&amp;B889))))</f>
        <v/>
      </c>
    </row>
    <row r="890" customFormat="false" ht="15" hidden="false" customHeight="false" outlineLevel="0" collapsed="false">
      <c r="B890" s="78"/>
      <c r="C890" s="64"/>
      <c r="D890" s="72" t="str">
        <f aca="false">IF(C890="","",IFERROR(INDEX(T_NOMBRE,MATCH(C890,T_ID,0)),"⚠ ID no existe"))</f>
        <v/>
      </c>
      <c r="E890" s="69"/>
      <c r="F890" s="67"/>
      <c r="G890" s="67"/>
      <c r="H890" s="67"/>
      <c r="I890" s="67"/>
      <c r="J890" s="67"/>
      <c r="K890" s="85" t="str">
        <f aca="false">IF(AH890="","",N(F890)+N(G890)+N(H890)-N(I890)+N(J890))</f>
        <v/>
      </c>
      <c r="L890" s="67"/>
      <c r="M890" s="67"/>
      <c r="N890" s="67"/>
      <c r="O890" s="67"/>
      <c r="P890" s="85" t="str">
        <f aca="false">IF(AH890="","",K890+N(L890)+N(M890)+N(N890)+N(O890))</f>
        <v/>
      </c>
      <c r="Q890" s="67"/>
      <c r="R890" s="67"/>
      <c r="S890" s="67"/>
      <c r="T890" s="67"/>
      <c r="U890" s="67"/>
      <c r="V890" s="67"/>
      <c r="W890" s="85" t="str">
        <f aca="false">IF(AH890="","",N(Q890)+N(R890)+N(S890)+N(T890)+N(U890)+N(V890))</f>
        <v/>
      </c>
      <c r="X890" s="85" t="str">
        <f aca="false">IF(AH890="","",P890-W890)</f>
        <v/>
      </c>
      <c r="Y890" s="67"/>
      <c r="Z890" s="70" t="str">
        <f aca="false">IF(OR(AH890="",Y890=""),"",IF(ABS(X890-Y890)&lt;=1,"✓ Cuadra","⚠ Diferencia $"&amp;FIXED(X890-Y890,0)))</f>
        <v/>
      </c>
      <c r="AA890" s="72" t="str">
        <f aca="false">IF(AH890="","",IFERROR(INDEX(C_TIPO,MATCH(C890&amp;"-P"&amp;MAX(1,COUNTIFS(C_ID,C890,C_DEFINE,"Sí",C_INICIO,"&lt;="&amp;EOMONTH(B890,0))),C_CLAVE,0))&amp;"","Sin dato"))</f>
        <v/>
      </c>
      <c r="AB890" s="71" t="str">
        <f aca="false">IF(AH890="","",ROUND(MIN(K890,TOPE_AFP_UF*AJ890)*AK890,0))</f>
        <v/>
      </c>
      <c r="AC890" s="71" t="str">
        <f aca="false">IF(AH890="","",ROUND(MIN(K890,TOPE_AFC_UF*AJ890)*IF(AA890="Indefinido",AFC_EMP_INDEF,AFC_EMP_PF),0))</f>
        <v/>
      </c>
      <c r="AD890" s="71" t="str">
        <f aca="false">IF(AH890="","",ROUND(MIN(K890,TOPE_AFP_UF*AJ890)*(MUTUAL_BASICA+MUTUAL_ADIC+SANNA),0))</f>
        <v/>
      </c>
      <c r="AE890" s="71" t="str">
        <f aca="false">IF(AH890="","",P890-N(N890)+AB890+AC890+AD890)</f>
        <v/>
      </c>
      <c r="AF890" s="65"/>
      <c r="AG890" s="64"/>
      <c r="AH890" s="72" t="str">
        <f aca="false">IF(OR(B890="",C890=""),"",C890&amp;"|"&amp;(YEAR(B890)*100+MONTH(B890)))</f>
        <v/>
      </c>
      <c r="AI890" s="70" t="str">
        <f aca="false">IF(AH890="","",IF(COUNTIF(L_CLAVE,AH890)&gt;1,"⚠ Duplicado","OK"))</f>
        <v/>
      </c>
      <c r="AJ890" s="86" t="str">
        <f aca="false">IF(AH890="","",IF(SUMPRODUCT(MAX((IND_PER&lt;=B890)*(IND_UF&lt;&gt;"")*IND_PER))=0,UF_HOY,INDEX(IND_UF,MATCH(SUMPRODUCT(MAX((IND_PER&lt;=B890)*(IND_UF&lt;&gt;"")*IND_PER)),IND_PER,0))))</f>
        <v/>
      </c>
      <c r="AK890" s="87" t="str">
        <f aca="false">IF(AH890="","",IF(COUNTIF(TASA_DESDE,"&lt;="&amp;B890)=0,INDEX(TASA_EMP,1),INDEX(TASA_EMP,COUNTIF(TASA_DESDE,"&lt;="&amp;B890))))</f>
        <v/>
      </c>
    </row>
    <row r="891" customFormat="false" ht="15" hidden="false" customHeight="false" outlineLevel="0" collapsed="false">
      <c r="B891" s="78"/>
      <c r="C891" s="64"/>
      <c r="D891" s="72" t="str">
        <f aca="false">IF(C891="","",IFERROR(INDEX(T_NOMBRE,MATCH(C891,T_ID,0)),"⚠ ID no existe"))</f>
        <v/>
      </c>
      <c r="E891" s="69"/>
      <c r="F891" s="67"/>
      <c r="G891" s="67"/>
      <c r="H891" s="67"/>
      <c r="I891" s="67"/>
      <c r="J891" s="67"/>
      <c r="K891" s="85" t="str">
        <f aca="false">IF(AH891="","",N(F891)+N(G891)+N(H891)-N(I891)+N(J891))</f>
        <v/>
      </c>
      <c r="L891" s="67"/>
      <c r="M891" s="67"/>
      <c r="N891" s="67"/>
      <c r="O891" s="67"/>
      <c r="P891" s="85" t="str">
        <f aca="false">IF(AH891="","",K891+N(L891)+N(M891)+N(N891)+N(O891))</f>
        <v/>
      </c>
      <c r="Q891" s="67"/>
      <c r="R891" s="67"/>
      <c r="S891" s="67"/>
      <c r="T891" s="67"/>
      <c r="U891" s="67"/>
      <c r="V891" s="67"/>
      <c r="W891" s="85" t="str">
        <f aca="false">IF(AH891="","",N(Q891)+N(R891)+N(S891)+N(T891)+N(U891)+N(V891))</f>
        <v/>
      </c>
      <c r="X891" s="85" t="str">
        <f aca="false">IF(AH891="","",P891-W891)</f>
        <v/>
      </c>
      <c r="Y891" s="67"/>
      <c r="Z891" s="70" t="str">
        <f aca="false">IF(OR(AH891="",Y891=""),"",IF(ABS(X891-Y891)&lt;=1,"✓ Cuadra","⚠ Diferencia $"&amp;FIXED(X891-Y891,0)))</f>
        <v/>
      </c>
      <c r="AA891" s="72" t="str">
        <f aca="false">IF(AH891="","",IFERROR(INDEX(C_TIPO,MATCH(C891&amp;"-P"&amp;MAX(1,COUNTIFS(C_ID,C891,C_DEFINE,"Sí",C_INICIO,"&lt;="&amp;EOMONTH(B891,0))),C_CLAVE,0))&amp;"","Sin dato"))</f>
        <v/>
      </c>
      <c r="AB891" s="71" t="str">
        <f aca="false">IF(AH891="","",ROUND(MIN(K891,TOPE_AFP_UF*AJ891)*AK891,0))</f>
        <v/>
      </c>
      <c r="AC891" s="71" t="str">
        <f aca="false">IF(AH891="","",ROUND(MIN(K891,TOPE_AFC_UF*AJ891)*IF(AA891="Indefinido",AFC_EMP_INDEF,AFC_EMP_PF),0))</f>
        <v/>
      </c>
      <c r="AD891" s="71" t="str">
        <f aca="false">IF(AH891="","",ROUND(MIN(K891,TOPE_AFP_UF*AJ891)*(MUTUAL_BASICA+MUTUAL_ADIC+SANNA),0))</f>
        <v/>
      </c>
      <c r="AE891" s="71" t="str">
        <f aca="false">IF(AH891="","",P891-N(N891)+AB891+AC891+AD891)</f>
        <v/>
      </c>
      <c r="AF891" s="65"/>
      <c r="AG891" s="64"/>
      <c r="AH891" s="72" t="str">
        <f aca="false">IF(OR(B891="",C891=""),"",C891&amp;"|"&amp;(YEAR(B891)*100+MONTH(B891)))</f>
        <v/>
      </c>
      <c r="AI891" s="70" t="str">
        <f aca="false">IF(AH891="","",IF(COUNTIF(L_CLAVE,AH891)&gt;1,"⚠ Duplicado","OK"))</f>
        <v/>
      </c>
      <c r="AJ891" s="86" t="str">
        <f aca="false">IF(AH891="","",IF(SUMPRODUCT(MAX((IND_PER&lt;=B891)*(IND_UF&lt;&gt;"")*IND_PER))=0,UF_HOY,INDEX(IND_UF,MATCH(SUMPRODUCT(MAX((IND_PER&lt;=B891)*(IND_UF&lt;&gt;"")*IND_PER)),IND_PER,0))))</f>
        <v/>
      </c>
      <c r="AK891" s="87" t="str">
        <f aca="false">IF(AH891="","",IF(COUNTIF(TASA_DESDE,"&lt;="&amp;B891)=0,INDEX(TASA_EMP,1),INDEX(TASA_EMP,COUNTIF(TASA_DESDE,"&lt;="&amp;B891))))</f>
        <v/>
      </c>
    </row>
    <row r="892" customFormat="false" ht="15" hidden="false" customHeight="false" outlineLevel="0" collapsed="false">
      <c r="B892" s="78"/>
      <c r="C892" s="64"/>
      <c r="D892" s="72" t="str">
        <f aca="false">IF(C892="","",IFERROR(INDEX(T_NOMBRE,MATCH(C892,T_ID,0)),"⚠ ID no existe"))</f>
        <v/>
      </c>
      <c r="E892" s="69"/>
      <c r="F892" s="67"/>
      <c r="G892" s="67"/>
      <c r="H892" s="67"/>
      <c r="I892" s="67"/>
      <c r="J892" s="67"/>
      <c r="K892" s="85" t="str">
        <f aca="false">IF(AH892="","",N(F892)+N(G892)+N(H892)-N(I892)+N(J892))</f>
        <v/>
      </c>
      <c r="L892" s="67"/>
      <c r="M892" s="67"/>
      <c r="N892" s="67"/>
      <c r="O892" s="67"/>
      <c r="P892" s="85" t="str">
        <f aca="false">IF(AH892="","",K892+N(L892)+N(M892)+N(N892)+N(O892))</f>
        <v/>
      </c>
      <c r="Q892" s="67"/>
      <c r="R892" s="67"/>
      <c r="S892" s="67"/>
      <c r="T892" s="67"/>
      <c r="U892" s="67"/>
      <c r="V892" s="67"/>
      <c r="W892" s="85" t="str">
        <f aca="false">IF(AH892="","",N(Q892)+N(R892)+N(S892)+N(T892)+N(U892)+N(V892))</f>
        <v/>
      </c>
      <c r="X892" s="85" t="str">
        <f aca="false">IF(AH892="","",P892-W892)</f>
        <v/>
      </c>
      <c r="Y892" s="67"/>
      <c r="Z892" s="70" t="str">
        <f aca="false">IF(OR(AH892="",Y892=""),"",IF(ABS(X892-Y892)&lt;=1,"✓ Cuadra","⚠ Diferencia $"&amp;FIXED(X892-Y892,0)))</f>
        <v/>
      </c>
      <c r="AA892" s="72" t="str">
        <f aca="false">IF(AH892="","",IFERROR(INDEX(C_TIPO,MATCH(C892&amp;"-P"&amp;MAX(1,COUNTIFS(C_ID,C892,C_DEFINE,"Sí",C_INICIO,"&lt;="&amp;EOMONTH(B892,0))),C_CLAVE,0))&amp;"","Sin dato"))</f>
        <v/>
      </c>
      <c r="AB892" s="71" t="str">
        <f aca="false">IF(AH892="","",ROUND(MIN(K892,TOPE_AFP_UF*AJ892)*AK892,0))</f>
        <v/>
      </c>
      <c r="AC892" s="71" t="str">
        <f aca="false">IF(AH892="","",ROUND(MIN(K892,TOPE_AFC_UF*AJ892)*IF(AA892="Indefinido",AFC_EMP_INDEF,AFC_EMP_PF),0))</f>
        <v/>
      </c>
      <c r="AD892" s="71" t="str">
        <f aca="false">IF(AH892="","",ROUND(MIN(K892,TOPE_AFP_UF*AJ892)*(MUTUAL_BASICA+MUTUAL_ADIC+SANNA),0))</f>
        <v/>
      </c>
      <c r="AE892" s="71" t="str">
        <f aca="false">IF(AH892="","",P892-N(N892)+AB892+AC892+AD892)</f>
        <v/>
      </c>
      <c r="AF892" s="65"/>
      <c r="AG892" s="64"/>
      <c r="AH892" s="72" t="str">
        <f aca="false">IF(OR(B892="",C892=""),"",C892&amp;"|"&amp;(YEAR(B892)*100+MONTH(B892)))</f>
        <v/>
      </c>
      <c r="AI892" s="70" t="str">
        <f aca="false">IF(AH892="","",IF(COUNTIF(L_CLAVE,AH892)&gt;1,"⚠ Duplicado","OK"))</f>
        <v/>
      </c>
      <c r="AJ892" s="86" t="str">
        <f aca="false">IF(AH892="","",IF(SUMPRODUCT(MAX((IND_PER&lt;=B892)*(IND_UF&lt;&gt;"")*IND_PER))=0,UF_HOY,INDEX(IND_UF,MATCH(SUMPRODUCT(MAX((IND_PER&lt;=B892)*(IND_UF&lt;&gt;"")*IND_PER)),IND_PER,0))))</f>
        <v/>
      </c>
      <c r="AK892" s="87" t="str">
        <f aca="false">IF(AH892="","",IF(COUNTIF(TASA_DESDE,"&lt;="&amp;B892)=0,INDEX(TASA_EMP,1),INDEX(TASA_EMP,COUNTIF(TASA_DESDE,"&lt;="&amp;B892))))</f>
        <v/>
      </c>
    </row>
    <row r="893" customFormat="false" ht="15" hidden="false" customHeight="false" outlineLevel="0" collapsed="false">
      <c r="B893" s="78"/>
      <c r="C893" s="64"/>
      <c r="D893" s="72" t="str">
        <f aca="false">IF(C893="","",IFERROR(INDEX(T_NOMBRE,MATCH(C893,T_ID,0)),"⚠ ID no existe"))</f>
        <v/>
      </c>
      <c r="E893" s="69"/>
      <c r="F893" s="67"/>
      <c r="G893" s="67"/>
      <c r="H893" s="67"/>
      <c r="I893" s="67"/>
      <c r="J893" s="67"/>
      <c r="K893" s="85" t="str">
        <f aca="false">IF(AH893="","",N(F893)+N(G893)+N(H893)-N(I893)+N(J893))</f>
        <v/>
      </c>
      <c r="L893" s="67"/>
      <c r="M893" s="67"/>
      <c r="N893" s="67"/>
      <c r="O893" s="67"/>
      <c r="P893" s="85" t="str">
        <f aca="false">IF(AH893="","",K893+N(L893)+N(M893)+N(N893)+N(O893))</f>
        <v/>
      </c>
      <c r="Q893" s="67"/>
      <c r="R893" s="67"/>
      <c r="S893" s="67"/>
      <c r="T893" s="67"/>
      <c r="U893" s="67"/>
      <c r="V893" s="67"/>
      <c r="W893" s="85" t="str">
        <f aca="false">IF(AH893="","",N(Q893)+N(R893)+N(S893)+N(T893)+N(U893)+N(V893))</f>
        <v/>
      </c>
      <c r="X893" s="85" t="str">
        <f aca="false">IF(AH893="","",P893-W893)</f>
        <v/>
      </c>
      <c r="Y893" s="67"/>
      <c r="Z893" s="70" t="str">
        <f aca="false">IF(OR(AH893="",Y893=""),"",IF(ABS(X893-Y893)&lt;=1,"✓ Cuadra","⚠ Diferencia $"&amp;FIXED(X893-Y893,0)))</f>
        <v/>
      </c>
      <c r="AA893" s="72" t="str">
        <f aca="false">IF(AH893="","",IFERROR(INDEX(C_TIPO,MATCH(C893&amp;"-P"&amp;MAX(1,COUNTIFS(C_ID,C893,C_DEFINE,"Sí",C_INICIO,"&lt;="&amp;EOMONTH(B893,0))),C_CLAVE,0))&amp;"","Sin dato"))</f>
        <v/>
      </c>
      <c r="AB893" s="71" t="str">
        <f aca="false">IF(AH893="","",ROUND(MIN(K893,TOPE_AFP_UF*AJ893)*AK893,0))</f>
        <v/>
      </c>
      <c r="AC893" s="71" t="str">
        <f aca="false">IF(AH893="","",ROUND(MIN(K893,TOPE_AFC_UF*AJ893)*IF(AA893="Indefinido",AFC_EMP_INDEF,AFC_EMP_PF),0))</f>
        <v/>
      </c>
      <c r="AD893" s="71" t="str">
        <f aca="false">IF(AH893="","",ROUND(MIN(K893,TOPE_AFP_UF*AJ893)*(MUTUAL_BASICA+MUTUAL_ADIC+SANNA),0))</f>
        <v/>
      </c>
      <c r="AE893" s="71" t="str">
        <f aca="false">IF(AH893="","",P893-N(N893)+AB893+AC893+AD893)</f>
        <v/>
      </c>
      <c r="AF893" s="65"/>
      <c r="AG893" s="64"/>
      <c r="AH893" s="72" t="str">
        <f aca="false">IF(OR(B893="",C893=""),"",C893&amp;"|"&amp;(YEAR(B893)*100+MONTH(B893)))</f>
        <v/>
      </c>
      <c r="AI893" s="70" t="str">
        <f aca="false">IF(AH893="","",IF(COUNTIF(L_CLAVE,AH893)&gt;1,"⚠ Duplicado","OK"))</f>
        <v/>
      </c>
      <c r="AJ893" s="86" t="str">
        <f aca="false">IF(AH893="","",IF(SUMPRODUCT(MAX((IND_PER&lt;=B893)*(IND_UF&lt;&gt;"")*IND_PER))=0,UF_HOY,INDEX(IND_UF,MATCH(SUMPRODUCT(MAX((IND_PER&lt;=B893)*(IND_UF&lt;&gt;"")*IND_PER)),IND_PER,0))))</f>
        <v/>
      </c>
      <c r="AK893" s="87" t="str">
        <f aca="false">IF(AH893="","",IF(COUNTIF(TASA_DESDE,"&lt;="&amp;B893)=0,INDEX(TASA_EMP,1),INDEX(TASA_EMP,COUNTIF(TASA_DESDE,"&lt;="&amp;B893))))</f>
        <v/>
      </c>
    </row>
    <row r="894" customFormat="false" ht="15" hidden="false" customHeight="false" outlineLevel="0" collapsed="false">
      <c r="B894" s="78"/>
      <c r="C894" s="64"/>
      <c r="D894" s="72" t="str">
        <f aca="false">IF(C894="","",IFERROR(INDEX(T_NOMBRE,MATCH(C894,T_ID,0)),"⚠ ID no existe"))</f>
        <v/>
      </c>
      <c r="E894" s="69"/>
      <c r="F894" s="67"/>
      <c r="G894" s="67"/>
      <c r="H894" s="67"/>
      <c r="I894" s="67"/>
      <c r="J894" s="67"/>
      <c r="K894" s="85" t="str">
        <f aca="false">IF(AH894="","",N(F894)+N(G894)+N(H894)-N(I894)+N(J894))</f>
        <v/>
      </c>
      <c r="L894" s="67"/>
      <c r="M894" s="67"/>
      <c r="N894" s="67"/>
      <c r="O894" s="67"/>
      <c r="P894" s="85" t="str">
        <f aca="false">IF(AH894="","",K894+N(L894)+N(M894)+N(N894)+N(O894))</f>
        <v/>
      </c>
      <c r="Q894" s="67"/>
      <c r="R894" s="67"/>
      <c r="S894" s="67"/>
      <c r="T894" s="67"/>
      <c r="U894" s="67"/>
      <c r="V894" s="67"/>
      <c r="W894" s="85" t="str">
        <f aca="false">IF(AH894="","",N(Q894)+N(R894)+N(S894)+N(T894)+N(U894)+N(V894))</f>
        <v/>
      </c>
      <c r="X894" s="85" t="str">
        <f aca="false">IF(AH894="","",P894-W894)</f>
        <v/>
      </c>
      <c r="Y894" s="67"/>
      <c r="Z894" s="70" t="str">
        <f aca="false">IF(OR(AH894="",Y894=""),"",IF(ABS(X894-Y894)&lt;=1,"✓ Cuadra","⚠ Diferencia $"&amp;FIXED(X894-Y894,0)))</f>
        <v/>
      </c>
      <c r="AA894" s="72" t="str">
        <f aca="false">IF(AH894="","",IFERROR(INDEX(C_TIPO,MATCH(C894&amp;"-P"&amp;MAX(1,COUNTIFS(C_ID,C894,C_DEFINE,"Sí",C_INICIO,"&lt;="&amp;EOMONTH(B894,0))),C_CLAVE,0))&amp;"","Sin dato"))</f>
        <v/>
      </c>
      <c r="AB894" s="71" t="str">
        <f aca="false">IF(AH894="","",ROUND(MIN(K894,TOPE_AFP_UF*AJ894)*AK894,0))</f>
        <v/>
      </c>
      <c r="AC894" s="71" t="str">
        <f aca="false">IF(AH894="","",ROUND(MIN(K894,TOPE_AFC_UF*AJ894)*IF(AA894="Indefinido",AFC_EMP_INDEF,AFC_EMP_PF),0))</f>
        <v/>
      </c>
      <c r="AD894" s="71" t="str">
        <f aca="false">IF(AH894="","",ROUND(MIN(K894,TOPE_AFP_UF*AJ894)*(MUTUAL_BASICA+MUTUAL_ADIC+SANNA),0))</f>
        <v/>
      </c>
      <c r="AE894" s="71" t="str">
        <f aca="false">IF(AH894="","",P894-N(N894)+AB894+AC894+AD894)</f>
        <v/>
      </c>
      <c r="AF894" s="65"/>
      <c r="AG894" s="64"/>
      <c r="AH894" s="72" t="str">
        <f aca="false">IF(OR(B894="",C894=""),"",C894&amp;"|"&amp;(YEAR(B894)*100+MONTH(B894)))</f>
        <v/>
      </c>
      <c r="AI894" s="70" t="str">
        <f aca="false">IF(AH894="","",IF(COUNTIF(L_CLAVE,AH894)&gt;1,"⚠ Duplicado","OK"))</f>
        <v/>
      </c>
      <c r="AJ894" s="86" t="str">
        <f aca="false">IF(AH894="","",IF(SUMPRODUCT(MAX((IND_PER&lt;=B894)*(IND_UF&lt;&gt;"")*IND_PER))=0,UF_HOY,INDEX(IND_UF,MATCH(SUMPRODUCT(MAX((IND_PER&lt;=B894)*(IND_UF&lt;&gt;"")*IND_PER)),IND_PER,0))))</f>
        <v/>
      </c>
      <c r="AK894" s="87" t="str">
        <f aca="false">IF(AH894="","",IF(COUNTIF(TASA_DESDE,"&lt;="&amp;B894)=0,INDEX(TASA_EMP,1),INDEX(TASA_EMP,COUNTIF(TASA_DESDE,"&lt;="&amp;B894))))</f>
        <v/>
      </c>
    </row>
    <row r="895" customFormat="false" ht="15" hidden="false" customHeight="false" outlineLevel="0" collapsed="false">
      <c r="B895" s="78"/>
      <c r="C895" s="64"/>
      <c r="D895" s="72" t="str">
        <f aca="false">IF(C895="","",IFERROR(INDEX(T_NOMBRE,MATCH(C895,T_ID,0)),"⚠ ID no existe"))</f>
        <v/>
      </c>
      <c r="E895" s="69"/>
      <c r="F895" s="67"/>
      <c r="G895" s="67"/>
      <c r="H895" s="67"/>
      <c r="I895" s="67"/>
      <c r="J895" s="67"/>
      <c r="K895" s="85" t="str">
        <f aca="false">IF(AH895="","",N(F895)+N(G895)+N(H895)-N(I895)+N(J895))</f>
        <v/>
      </c>
      <c r="L895" s="67"/>
      <c r="M895" s="67"/>
      <c r="N895" s="67"/>
      <c r="O895" s="67"/>
      <c r="P895" s="85" t="str">
        <f aca="false">IF(AH895="","",K895+N(L895)+N(M895)+N(N895)+N(O895))</f>
        <v/>
      </c>
      <c r="Q895" s="67"/>
      <c r="R895" s="67"/>
      <c r="S895" s="67"/>
      <c r="T895" s="67"/>
      <c r="U895" s="67"/>
      <c r="V895" s="67"/>
      <c r="W895" s="85" t="str">
        <f aca="false">IF(AH895="","",N(Q895)+N(R895)+N(S895)+N(T895)+N(U895)+N(V895))</f>
        <v/>
      </c>
      <c r="X895" s="85" t="str">
        <f aca="false">IF(AH895="","",P895-W895)</f>
        <v/>
      </c>
      <c r="Y895" s="67"/>
      <c r="Z895" s="70" t="str">
        <f aca="false">IF(OR(AH895="",Y895=""),"",IF(ABS(X895-Y895)&lt;=1,"✓ Cuadra","⚠ Diferencia $"&amp;FIXED(X895-Y895,0)))</f>
        <v/>
      </c>
      <c r="AA895" s="72" t="str">
        <f aca="false">IF(AH895="","",IFERROR(INDEX(C_TIPO,MATCH(C895&amp;"-P"&amp;MAX(1,COUNTIFS(C_ID,C895,C_DEFINE,"Sí",C_INICIO,"&lt;="&amp;EOMONTH(B895,0))),C_CLAVE,0))&amp;"","Sin dato"))</f>
        <v/>
      </c>
      <c r="AB895" s="71" t="str">
        <f aca="false">IF(AH895="","",ROUND(MIN(K895,TOPE_AFP_UF*AJ895)*AK895,0))</f>
        <v/>
      </c>
      <c r="AC895" s="71" t="str">
        <f aca="false">IF(AH895="","",ROUND(MIN(K895,TOPE_AFC_UF*AJ895)*IF(AA895="Indefinido",AFC_EMP_INDEF,AFC_EMP_PF),0))</f>
        <v/>
      </c>
      <c r="AD895" s="71" t="str">
        <f aca="false">IF(AH895="","",ROUND(MIN(K895,TOPE_AFP_UF*AJ895)*(MUTUAL_BASICA+MUTUAL_ADIC+SANNA),0))</f>
        <v/>
      </c>
      <c r="AE895" s="71" t="str">
        <f aca="false">IF(AH895="","",P895-N(N895)+AB895+AC895+AD895)</f>
        <v/>
      </c>
      <c r="AF895" s="65"/>
      <c r="AG895" s="64"/>
      <c r="AH895" s="72" t="str">
        <f aca="false">IF(OR(B895="",C895=""),"",C895&amp;"|"&amp;(YEAR(B895)*100+MONTH(B895)))</f>
        <v/>
      </c>
      <c r="AI895" s="70" t="str">
        <f aca="false">IF(AH895="","",IF(COUNTIF(L_CLAVE,AH895)&gt;1,"⚠ Duplicado","OK"))</f>
        <v/>
      </c>
      <c r="AJ895" s="86" t="str">
        <f aca="false">IF(AH895="","",IF(SUMPRODUCT(MAX((IND_PER&lt;=B895)*(IND_UF&lt;&gt;"")*IND_PER))=0,UF_HOY,INDEX(IND_UF,MATCH(SUMPRODUCT(MAX((IND_PER&lt;=B895)*(IND_UF&lt;&gt;"")*IND_PER)),IND_PER,0))))</f>
        <v/>
      </c>
      <c r="AK895" s="87" t="str">
        <f aca="false">IF(AH895="","",IF(COUNTIF(TASA_DESDE,"&lt;="&amp;B895)=0,INDEX(TASA_EMP,1),INDEX(TASA_EMP,COUNTIF(TASA_DESDE,"&lt;="&amp;B895))))</f>
        <v/>
      </c>
    </row>
    <row r="896" customFormat="false" ht="15" hidden="false" customHeight="false" outlineLevel="0" collapsed="false">
      <c r="B896" s="78"/>
      <c r="C896" s="64"/>
      <c r="D896" s="72" t="str">
        <f aca="false">IF(C896="","",IFERROR(INDEX(T_NOMBRE,MATCH(C896,T_ID,0)),"⚠ ID no existe"))</f>
        <v/>
      </c>
      <c r="E896" s="69"/>
      <c r="F896" s="67"/>
      <c r="G896" s="67"/>
      <c r="H896" s="67"/>
      <c r="I896" s="67"/>
      <c r="J896" s="67"/>
      <c r="K896" s="85" t="str">
        <f aca="false">IF(AH896="","",N(F896)+N(G896)+N(H896)-N(I896)+N(J896))</f>
        <v/>
      </c>
      <c r="L896" s="67"/>
      <c r="M896" s="67"/>
      <c r="N896" s="67"/>
      <c r="O896" s="67"/>
      <c r="P896" s="85" t="str">
        <f aca="false">IF(AH896="","",K896+N(L896)+N(M896)+N(N896)+N(O896))</f>
        <v/>
      </c>
      <c r="Q896" s="67"/>
      <c r="R896" s="67"/>
      <c r="S896" s="67"/>
      <c r="T896" s="67"/>
      <c r="U896" s="67"/>
      <c r="V896" s="67"/>
      <c r="W896" s="85" t="str">
        <f aca="false">IF(AH896="","",N(Q896)+N(R896)+N(S896)+N(T896)+N(U896)+N(V896))</f>
        <v/>
      </c>
      <c r="X896" s="85" t="str">
        <f aca="false">IF(AH896="","",P896-W896)</f>
        <v/>
      </c>
      <c r="Y896" s="67"/>
      <c r="Z896" s="70" t="str">
        <f aca="false">IF(OR(AH896="",Y896=""),"",IF(ABS(X896-Y896)&lt;=1,"✓ Cuadra","⚠ Diferencia $"&amp;FIXED(X896-Y896,0)))</f>
        <v/>
      </c>
      <c r="AA896" s="72" t="str">
        <f aca="false">IF(AH896="","",IFERROR(INDEX(C_TIPO,MATCH(C896&amp;"-P"&amp;MAX(1,COUNTIFS(C_ID,C896,C_DEFINE,"Sí",C_INICIO,"&lt;="&amp;EOMONTH(B896,0))),C_CLAVE,0))&amp;"","Sin dato"))</f>
        <v/>
      </c>
      <c r="AB896" s="71" t="str">
        <f aca="false">IF(AH896="","",ROUND(MIN(K896,TOPE_AFP_UF*AJ896)*AK896,0))</f>
        <v/>
      </c>
      <c r="AC896" s="71" t="str">
        <f aca="false">IF(AH896="","",ROUND(MIN(K896,TOPE_AFC_UF*AJ896)*IF(AA896="Indefinido",AFC_EMP_INDEF,AFC_EMP_PF),0))</f>
        <v/>
      </c>
      <c r="AD896" s="71" t="str">
        <f aca="false">IF(AH896="","",ROUND(MIN(K896,TOPE_AFP_UF*AJ896)*(MUTUAL_BASICA+MUTUAL_ADIC+SANNA),0))</f>
        <v/>
      </c>
      <c r="AE896" s="71" t="str">
        <f aca="false">IF(AH896="","",P896-N(N896)+AB896+AC896+AD896)</f>
        <v/>
      </c>
      <c r="AF896" s="65"/>
      <c r="AG896" s="64"/>
      <c r="AH896" s="72" t="str">
        <f aca="false">IF(OR(B896="",C896=""),"",C896&amp;"|"&amp;(YEAR(B896)*100+MONTH(B896)))</f>
        <v/>
      </c>
      <c r="AI896" s="70" t="str">
        <f aca="false">IF(AH896="","",IF(COUNTIF(L_CLAVE,AH896)&gt;1,"⚠ Duplicado","OK"))</f>
        <v/>
      </c>
      <c r="AJ896" s="86" t="str">
        <f aca="false">IF(AH896="","",IF(SUMPRODUCT(MAX((IND_PER&lt;=B896)*(IND_UF&lt;&gt;"")*IND_PER))=0,UF_HOY,INDEX(IND_UF,MATCH(SUMPRODUCT(MAX((IND_PER&lt;=B896)*(IND_UF&lt;&gt;"")*IND_PER)),IND_PER,0))))</f>
        <v/>
      </c>
      <c r="AK896" s="87" t="str">
        <f aca="false">IF(AH896="","",IF(COUNTIF(TASA_DESDE,"&lt;="&amp;B896)=0,INDEX(TASA_EMP,1),INDEX(TASA_EMP,COUNTIF(TASA_DESDE,"&lt;="&amp;B896))))</f>
        <v/>
      </c>
    </row>
    <row r="897" customFormat="false" ht="15" hidden="false" customHeight="false" outlineLevel="0" collapsed="false">
      <c r="B897" s="78"/>
      <c r="C897" s="64"/>
      <c r="D897" s="72" t="str">
        <f aca="false">IF(C897="","",IFERROR(INDEX(T_NOMBRE,MATCH(C897,T_ID,0)),"⚠ ID no existe"))</f>
        <v/>
      </c>
      <c r="E897" s="69"/>
      <c r="F897" s="67"/>
      <c r="G897" s="67"/>
      <c r="H897" s="67"/>
      <c r="I897" s="67"/>
      <c r="J897" s="67"/>
      <c r="K897" s="85" t="str">
        <f aca="false">IF(AH897="","",N(F897)+N(G897)+N(H897)-N(I897)+N(J897))</f>
        <v/>
      </c>
      <c r="L897" s="67"/>
      <c r="M897" s="67"/>
      <c r="N897" s="67"/>
      <c r="O897" s="67"/>
      <c r="P897" s="85" t="str">
        <f aca="false">IF(AH897="","",K897+N(L897)+N(M897)+N(N897)+N(O897))</f>
        <v/>
      </c>
      <c r="Q897" s="67"/>
      <c r="R897" s="67"/>
      <c r="S897" s="67"/>
      <c r="T897" s="67"/>
      <c r="U897" s="67"/>
      <c r="V897" s="67"/>
      <c r="W897" s="85" t="str">
        <f aca="false">IF(AH897="","",N(Q897)+N(R897)+N(S897)+N(T897)+N(U897)+N(V897))</f>
        <v/>
      </c>
      <c r="X897" s="85" t="str">
        <f aca="false">IF(AH897="","",P897-W897)</f>
        <v/>
      </c>
      <c r="Y897" s="67"/>
      <c r="Z897" s="70" t="str">
        <f aca="false">IF(OR(AH897="",Y897=""),"",IF(ABS(X897-Y897)&lt;=1,"✓ Cuadra","⚠ Diferencia $"&amp;FIXED(X897-Y897,0)))</f>
        <v/>
      </c>
      <c r="AA897" s="72" t="str">
        <f aca="false">IF(AH897="","",IFERROR(INDEX(C_TIPO,MATCH(C897&amp;"-P"&amp;MAX(1,COUNTIFS(C_ID,C897,C_DEFINE,"Sí",C_INICIO,"&lt;="&amp;EOMONTH(B897,0))),C_CLAVE,0))&amp;"","Sin dato"))</f>
        <v/>
      </c>
      <c r="AB897" s="71" t="str">
        <f aca="false">IF(AH897="","",ROUND(MIN(K897,TOPE_AFP_UF*AJ897)*AK897,0))</f>
        <v/>
      </c>
      <c r="AC897" s="71" t="str">
        <f aca="false">IF(AH897="","",ROUND(MIN(K897,TOPE_AFC_UF*AJ897)*IF(AA897="Indefinido",AFC_EMP_INDEF,AFC_EMP_PF),0))</f>
        <v/>
      </c>
      <c r="AD897" s="71" t="str">
        <f aca="false">IF(AH897="","",ROUND(MIN(K897,TOPE_AFP_UF*AJ897)*(MUTUAL_BASICA+MUTUAL_ADIC+SANNA),0))</f>
        <v/>
      </c>
      <c r="AE897" s="71" t="str">
        <f aca="false">IF(AH897="","",P897-N(N897)+AB897+AC897+AD897)</f>
        <v/>
      </c>
      <c r="AF897" s="65"/>
      <c r="AG897" s="64"/>
      <c r="AH897" s="72" t="str">
        <f aca="false">IF(OR(B897="",C897=""),"",C897&amp;"|"&amp;(YEAR(B897)*100+MONTH(B897)))</f>
        <v/>
      </c>
      <c r="AI897" s="70" t="str">
        <f aca="false">IF(AH897="","",IF(COUNTIF(L_CLAVE,AH897)&gt;1,"⚠ Duplicado","OK"))</f>
        <v/>
      </c>
      <c r="AJ897" s="86" t="str">
        <f aca="false">IF(AH897="","",IF(SUMPRODUCT(MAX((IND_PER&lt;=B897)*(IND_UF&lt;&gt;"")*IND_PER))=0,UF_HOY,INDEX(IND_UF,MATCH(SUMPRODUCT(MAX((IND_PER&lt;=B897)*(IND_UF&lt;&gt;"")*IND_PER)),IND_PER,0))))</f>
        <v/>
      </c>
      <c r="AK897" s="87" t="str">
        <f aca="false">IF(AH897="","",IF(COUNTIF(TASA_DESDE,"&lt;="&amp;B897)=0,INDEX(TASA_EMP,1),INDEX(TASA_EMP,COUNTIF(TASA_DESDE,"&lt;="&amp;B897))))</f>
        <v/>
      </c>
    </row>
    <row r="898" customFormat="false" ht="15" hidden="false" customHeight="false" outlineLevel="0" collapsed="false">
      <c r="B898" s="78"/>
      <c r="C898" s="64"/>
      <c r="D898" s="72" t="str">
        <f aca="false">IF(C898="","",IFERROR(INDEX(T_NOMBRE,MATCH(C898,T_ID,0)),"⚠ ID no existe"))</f>
        <v/>
      </c>
      <c r="E898" s="69"/>
      <c r="F898" s="67"/>
      <c r="G898" s="67"/>
      <c r="H898" s="67"/>
      <c r="I898" s="67"/>
      <c r="J898" s="67"/>
      <c r="K898" s="85" t="str">
        <f aca="false">IF(AH898="","",N(F898)+N(G898)+N(H898)-N(I898)+N(J898))</f>
        <v/>
      </c>
      <c r="L898" s="67"/>
      <c r="M898" s="67"/>
      <c r="N898" s="67"/>
      <c r="O898" s="67"/>
      <c r="P898" s="85" t="str">
        <f aca="false">IF(AH898="","",K898+N(L898)+N(M898)+N(N898)+N(O898))</f>
        <v/>
      </c>
      <c r="Q898" s="67"/>
      <c r="R898" s="67"/>
      <c r="S898" s="67"/>
      <c r="T898" s="67"/>
      <c r="U898" s="67"/>
      <c r="V898" s="67"/>
      <c r="W898" s="85" t="str">
        <f aca="false">IF(AH898="","",N(Q898)+N(R898)+N(S898)+N(T898)+N(U898)+N(V898))</f>
        <v/>
      </c>
      <c r="X898" s="85" t="str">
        <f aca="false">IF(AH898="","",P898-W898)</f>
        <v/>
      </c>
      <c r="Y898" s="67"/>
      <c r="Z898" s="70" t="str">
        <f aca="false">IF(OR(AH898="",Y898=""),"",IF(ABS(X898-Y898)&lt;=1,"✓ Cuadra","⚠ Diferencia $"&amp;FIXED(X898-Y898,0)))</f>
        <v/>
      </c>
      <c r="AA898" s="72" t="str">
        <f aca="false">IF(AH898="","",IFERROR(INDEX(C_TIPO,MATCH(C898&amp;"-P"&amp;MAX(1,COUNTIFS(C_ID,C898,C_DEFINE,"Sí",C_INICIO,"&lt;="&amp;EOMONTH(B898,0))),C_CLAVE,0))&amp;"","Sin dato"))</f>
        <v/>
      </c>
      <c r="AB898" s="71" t="str">
        <f aca="false">IF(AH898="","",ROUND(MIN(K898,TOPE_AFP_UF*AJ898)*AK898,0))</f>
        <v/>
      </c>
      <c r="AC898" s="71" t="str">
        <f aca="false">IF(AH898="","",ROUND(MIN(K898,TOPE_AFC_UF*AJ898)*IF(AA898="Indefinido",AFC_EMP_INDEF,AFC_EMP_PF),0))</f>
        <v/>
      </c>
      <c r="AD898" s="71" t="str">
        <f aca="false">IF(AH898="","",ROUND(MIN(K898,TOPE_AFP_UF*AJ898)*(MUTUAL_BASICA+MUTUAL_ADIC+SANNA),0))</f>
        <v/>
      </c>
      <c r="AE898" s="71" t="str">
        <f aca="false">IF(AH898="","",P898-N(N898)+AB898+AC898+AD898)</f>
        <v/>
      </c>
      <c r="AF898" s="65"/>
      <c r="AG898" s="64"/>
      <c r="AH898" s="72" t="str">
        <f aca="false">IF(OR(B898="",C898=""),"",C898&amp;"|"&amp;(YEAR(B898)*100+MONTH(B898)))</f>
        <v/>
      </c>
      <c r="AI898" s="70" t="str">
        <f aca="false">IF(AH898="","",IF(COUNTIF(L_CLAVE,AH898)&gt;1,"⚠ Duplicado","OK"))</f>
        <v/>
      </c>
      <c r="AJ898" s="86" t="str">
        <f aca="false">IF(AH898="","",IF(SUMPRODUCT(MAX((IND_PER&lt;=B898)*(IND_UF&lt;&gt;"")*IND_PER))=0,UF_HOY,INDEX(IND_UF,MATCH(SUMPRODUCT(MAX((IND_PER&lt;=B898)*(IND_UF&lt;&gt;"")*IND_PER)),IND_PER,0))))</f>
        <v/>
      </c>
      <c r="AK898" s="87" t="str">
        <f aca="false">IF(AH898="","",IF(COUNTIF(TASA_DESDE,"&lt;="&amp;B898)=0,INDEX(TASA_EMP,1),INDEX(TASA_EMP,COUNTIF(TASA_DESDE,"&lt;="&amp;B898))))</f>
        <v/>
      </c>
    </row>
    <row r="899" customFormat="false" ht="15" hidden="false" customHeight="false" outlineLevel="0" collapsed="false">
      <c r="B899" s="78"/>
      <c r="C899" s="64"/>
      <c r="D899" s="72" t="str">
        <f aca="false">IF(C899="","",IFERROR(INDEX(T_NOMBRE,MATCH(C899,T_ID,0)),"⚠ ID no existe"))</f>
        <v/>
      </c>
      <c r="E899" s="69"/>
      <c r="F899" s="67"/>
      <c r="G899" s="67"/>
      <c r="H899" s="67"/>
      <c r="I899" s="67"/>
      <c r="J899" s="67"/>
      <c r="K899" s="85" t="str">
        <f aca="false">IF(AH899="","",N(F899)+N(G899)+N(H899)-N(I899)+N(J899))</f>
        <v/>
      </c>
      <c r="L899" s="67"/>
      <c r="M899" s="67"/>
      <c r="N899" s="67"/>
      <c r="O899" s="67"/>
      <c r="P899" s="85" t="str">
        <f aca="false">IF(AH899="","",K899+N(L899)+N(M899)+N(N899)+N(O899))</f>
        <v/>
      </c>
      <c r="Q899" s="67"/>
      <c r="R899" s="67"/>
      <c r="S899" s="67"/>
      <c r="T899" s="67"/>
      <c r="U899" s="67"/>
      <c r="V899" s="67"/>
      <c r="W899" s="85" t="str">
        <f aca="false">IF(AH899="","",N(Q899)+N(R899)+N(S899)+N(T899)+N(U899)+N(V899))</f>
        <v/>
      </c>
      <c r="X899" s="85" t="str">
        <f aca="false">IF(AH899="","",P899-W899)</f>
        <v/>
      </c>
      <c r="Y899" s="67"/>
      <c r="Z899" s="70" t="str">
        <f aca="false">IF(OR(AH899="",Y899=""),"",IF(ABS(X899-Y899)&lt;=1,"✓ Cuadra","⚠ Diferencia $"&amp;FIXED(X899-Y899,0)))</f>
        <v/>
      </c>
      <c r="AA899" s="72" t="str">
        <f aca="false">IF(AH899="","",IFERROR(INDEX(C_TIPO,MATCH(C899&amp;"-P"&amp;MAX(1,COUNTIFS(C_ID,C899,C_DEFINE,"Sí",C_INICIO,"&lt;="&amp;EOMONTH(B899,0))),C_CLAVE,0))&amp;"","Sin dato"))</f>
        <v/>
      </c>
      <c r="AB899" s="71" t="str">
        <f aca="false">IF(AH899="","",ROUND(MIN(K899,TOPE_AFP_UF*AJ899)*AK899,0))</f>
        <v/>
      </c>
      <c r="AC899" s="71" t="str">
        <f aca="false">IF(AH899="","",ROUND(MIN(K899,TOPE_AFC_UF*AJ899)*IF(AA899="Indefinido",AFC_EMP_INDEF,AFC_EMP_PF),0))</f>
        <v/>
      </c>
      <c r="AD899" s="71" t="str">
        <f aca="false">IF(AH899="","",ROUND(MIN(K899,TOPE_AFP_UF*AJ899)*(MUTUAL_BASICA+MUTUAL_ADIC+SANNA),0))</f>
        <v/>
      </c>
      <c r="AE899" s="71" t="str">
        <f aca="false">IF(AH899="","",P899-N(N899)+AB899+AC899+AD899)</f>
        <v/>
      </c>
      <c r="AF899" s="65"/>
      <c r="AG899" s="64"/>
      <c r="AH899" s="72" t="str">
        <f aca="false">IF(OR(B899="",C899=""),"",C899&amp;"|"&amp;(YEAR(B899)*100+MONTH(B899)))</f>
        <v/>
      </c>
      <c r="AI899" s="70" t="str">
        <f aca="false">IF(AH899="","",IF(COUNTIF(L_CLAVE,AH899)&gt;1,"⚠ Duplicado","OK"))</f>
        <v/>
      </c>
      <c r="AJ899" s="86" t="str">
        <f aca="false">IF(AH899="","",IF(SUMPRODUCT(MAX((IND_PER&lt;=B899)*(IND_UF&lt;&gt;"")*IND_PER))=0,UF_HOY,INDEX(IND_UF,MATCH(SUMPRODUCT(MAX((IND_PER&lt;=B899)*(IND_UF&lt;&gt;"")*IND_PER)),IND_PER,0))))</f>
        <v/>
      </c>
      <c r="AK899" s="87" t="str">
        <f aca="false">IF(AH899="","",IF(COUNTIF(TASA_DESDE,"&lt;="&amp;B899)=0,INDEX(TASA_EMP,1),INDEX(TASA_EMP,COUNTIF(TASA_DESDE,"&lt;="&amp;B899))))</f>
        <v/>
      </c>
    </row>
    <row r="900" customFormat="false" ht="15" hidden="false" customHeight="false" outlineLevel="0" collapsed="false">
      <c r="B900" s="78"/>
      <c r="C900" s="64"/>
      <c r="D900" s="72" t="str">
        <f aca="false">IF(C900="","",IFERROR(INDEX(T_NOMBRE,MATCH(C900,T_ID,0)),"⚠ ID no existe"))</f>
        <v/>
      </c>
      <c r="E900" s="69"/>
      <c r="F900" s="67"/>
      <c r="G900" s="67"/>
      <c r="H900" s="67"/>
      <c r="I900" s="67"/>
      <c r="J900" s="67"/>
      <c r="K900" s="85" t="str">
        <f aca="false">IF(AH900="","",N(F900)+N(G900)+N(H900)-N(I900)+N(J900))</f>
        <v/>
      </c>
      <c r="L900" s="67"/>
      <c r="M900" s="67"/>
      <c r="N900" s="67"/>
      <c r="O900" s="67"/>
      <c r="P900" s="85" t="str">
        <f aca="false">IF(AH900="","",K900+N(L900)+N(M900)+N(N900)+N(O900))</f>
        <v/>
      </c>
      <c r="Q900" s="67"/>
      <c r="R900" s="67"/>
      <c r="S900" s="67"/>
      <c r="T900" s="67"/>
      <c r="U900" s="67"/>
      <c r="V900" s="67"/>
      <c r="W900" s="85" t="str">
        <f aca="false">IF(AH900="","",N(Q900)+N(R900)+N(S900)+N(T900)+N(U900)+N(V900))</f>
        <v/>
      </c>
      <c r="X900" s="85" t="str">
        <f aca="false">IF(AH900="","",P900-W900)</f>
        <v/>
      </c>
      <c r="Y900" s="67"/>
      <c r="Z900" s="70" t="str">
        <f aca="false">IF(OR(AH900="",Y900=""),"",IF(ABS(X900-Y900)&lt;=1,"✓ Cuadra","⚠ Diferencia $"&amp;FIXED(X900-Y900,0)))</f>
        <v/>
      </c>
      <c r="AA900" s="72" t="str">
        <f aca="false">IF(AH900="","",IFERROR(INDEX(C_TIPO,MATCH(C900&amp;"-P"&amp;MAX(1,COUNTIFS(C_ID,C900,C_DEFINE,"Sí",C_INICIO,"&lt;="&amp;EOMONTH(B900,0))),C_CLAVE,0))&amp;"","Sin dato"))</f>
        <v/>
      </c>
      <c r="AB900" s="71" t="str">
        <f aca="false">IF(AH900="","",ROUND(MIN(K900,TOPE_AFP_UF*AJ900)*AK900,0))</f>
        <v/>
      </c>
      <c r="AC900" s="71" t="str">
        <f aca="false">IF(AH900="","",ROUND(MIN(K900,TOPE_AFC_UF*AJ900)*IF(AA900="Indefinido",AFC_EMP_INDEF,AFC_EMP_PF),0))</f>
        <v/>
      </c>
      <c r="AD900" s="71" t="str">
        <f aca="false">IF(AH900="","",ROUND(MIN(K900,TOPE_AFP_UF*AJ900)*(MUTUAL_BASICA+MUTUAL_ADIC+SANNA),0))</f>
        <v/>
      </c>
      <c r="AE900" s="71" t="str">
        <f aca="false">IF(AH900="","",P900-N(N900)+AB900+AC900+AD900)</f>
        <v/>
      </c>
      <c r="AF900" s="65"/>
      <c r="AG900" s="64"/>
      <c r="AH900" s="72" t="str">
        <f aca="false">IF(OR(B900="",C900=""),"",C900&amp;"|"&amp;(YEAR(B900)*100+MONTH(B900)))</f>
        <v/>
      </c>
      <c r="AI900" s="70" t="str">
        <f aca="false">IF(AH900="","",IF(COUNTIF(L_CLAVE,AH900)&gt;1,"⚠ Duplicado","OK"))</f>
        <v/>
      </c>
      <c r="AJ900" s="86" t="str">
        <f aca="false">IF(AH900="","",IF(SUMPRODUCT(MAX((IND_PER&lt;=B900)*(IND_UF&lt;&gt;"")*IND_PER))=0,UF_HOY,INDEX(IND_UF,MATCH(SUMPRODUCT(MAX((IND_PER&lt;=B900)*(IND_UF&lt;&gt;"")*IND_PER)),IND_PER,0))))</f>
        <v/>
      </c>
      <c r="AK900" s="87" t="str">
        <f aca="false">IF(AH900="","",IF(COUNTIF(TASA_DESDE,"&lt;="&amp;B900)=0,INDEX(TASA_EMP,1),INDEX(TASA_EMP,COUNTIF(TASA_DESDE,"&lt;="&amp;B900))))</f>
        <v/>
      </c>
    </row>
    <row r="901" customFormat="false" ht="15" hidden="false" customHeight="false" outlineLevel="0" collapsed="false">
      <c r="B901" s="78"/>
      <c r="C901" s="64"/>
      <c r="D901" s="72" t="str">
        <f aca="false">IF(C901="","",IFERROR(INDEX(T_NOMBRE,MATCH(C901,T_ID,0)),"⚠ ID no existe"))</f>
        <v/>
      </c>
      <c r="E901" s="69"/>
      <c r="F901" s="67"/>
      <c r="G901" s="67"/>
      <c r="H901" s="67"/>
      <c r="I901" s="67"/>
      <c r="J901" s="67"/>
      <c r="K901" s="85" t="str">
        <f aca="false">IF(AH901="","",N(F901)+N(G901)+N(H901)-N(I901)+N(J901))</f>
        <v/>
      </c>
      <c r="L901" s="67"/>
      <c r="M901" s="67"/>
      <c r="N901" s="67"/>
      <c r="O901" s="67"/>
      <c r="P901" s="85" t="str">
        <f aca="false">IF(AH901="","",K901+N(L901)+N(M901)+N(N901)+N(O901))</f>
        <v/>
      </c>
      <c r="Q901" s="67"/>
      <c r="R901" s="67"/>
      <c r="S901" s="67"/>
      <c r="T901" s="67"/>
      <c r="U901" s="67"/>
      <c r="V901" s="67"/>
      <c r="W901" s="85" t="str">
        <f aca="false">IF(AH901="","",N(Q901)+N(R901)+N(S901)+N(T901)+N(U901)+N(V901))</f>
        <v/>
      </c>
      <c r="X901" s="85" t="str">
        <f aca="false">IF(AH901="","",P901-W901)</f>
        <v/>
      </c>
      <c r="Y901" s="67"/>
      <c r="Z901" s="70" t="str">
        <f aca="false">IF(OR(AH901="",Y901=""),"",IF(ABS(X901-Y901)&lt;=1,"✓ Cuadra","⚠ Diferencia $"&amp;FIXED(X901-Y901,0)))</f>
        <v/>
      </c>
      <c r="AA901" s="72" t="str">
        <f aca="false">IF(AH901="","",IFERROR(INDEX(C_TIPO,MATCH(C901&amp;"-P"&amp;MAX(1,COUNTIFS(C_ID,C901,C_DEFINE,"Sí",C_INICIO,"&lt;="&amp;EOMONTH(B901,0))),C_CLAVE,0))&amp;"","Sin dato"))</f>
        <v/>
      </c>
      <c r="AB901" s="71" t="str">
        <f aca="false">IF(AH901="","",ROUND(MIN(K901,TOPE_AFP_UF*AJ901)*AK901,0))</f>
        <v/>
      </c>
      <c r="AC901" s="71" t="str">
        <f aca="false">IF(AH901="","",ROUND(MIN(K901,TOPE_AFC_UF*AJ901)*IF(AA901="Indefinido",AFC_EMP_INDEF,AFC_EMP_PF),0))</f>
        <v/>
      </c>
      <c r="AD901" s="71" t="str">
        <f aca="false">IF(AH901="","",ROUND(MIN(K901,TOPE_AFP_UF*AJ901)*(MUTUAL_BASICA+MUTUAL_ADIC+SANNA),0))</f>
        <v/>
      </c>
      <c r="AE901" s="71" t="str">
        <f aca="false">IF(AH901="","",P901-N(N901)+AB901+AC901+AD901)</f>
        <v/>
      </c>
      <c r="AF901" s="65"/>
      <c r="AG901" s="64"/>
      <c r="AH901" s="72" t="str">
        <f aca="false">IF(OR(B901="",C901=""),"",C901&amp;"|"&amp;(YEAR(B901)*100+MONTH(B901)))</f>
        <v/>
      </c>
      <c r="AI901" s="70" t="str">
        <f aca="false">IF(AH901="","",IF(COUNTIF(L_CLAVE,AH901)&gt;1,"⚠ Duplicado","OK"))</f>
        <v/>
      </c>
      <c r="AJ901" s="86" t="str">
        <f aca="false">IF(AH901="","",IF(SUMPRODUCT(MAX((IND_PER&lt;=B901)*(IND_UF&lt;&gt;"")*IND_PER))=0,UF_HOY,INDEX(IND_UF,MATCH(SUMPRODUCT(MAX((IND_PER&lt;=B901)*(IND_UF&lt;&gt;"")*IND_PER)),IND_PER,0))))</f>
        <v/>
      </c>
      <c r="AK901" s="87" t="str">
        <f aca="false">IF(AH901="","",IF(COUNTIF(TASA_DESDE,"&lt;="&amp;B901)=0,INDEX(TASA_EMP,1),INDEX(TASA_EMP,COUNTIF(TASA_DESDE,"&lt;="&amp;B901))))</f>
        <v/>
      </c>
    </row>
    <row r="902" customFormat="false" ht="15" hidden="false" customHeight="false" outlineLevel="0" collapsed="false">
      <c r="B902" s="78"/>
      <c r="C902" s="64"/>
      <c r="D902" s="72" t="str">
        <f aca="false">IF(C902="","",IFERROR(INDEX(T_NOMBRE,MATCH(C902,T_ID,0)),"⚠ ID no existe"))</f>
        <v/>
      </c>
      <c r="E902" s="69"/>
      <c r="F902" s="67"/>
      <c r="G902" s="67"/>
      <c r="H902" s="67"/>
      <c r="I902" s="67"/>
      <c r="J902" s="67"/>
      <c r="K902" s="85" t="str">
        <f aca="false">IF(AH902="","",N(F902)+N(G902)+N(H902)-N(I902)+N(J902))</f>
        <v/>
      </c>
      <c r="L902" s="67"/>
      <c r="M902" s="67"/>
      <c r="N902" s="67"/>
      <c r="O902" s="67"/>
      <c r="P902" s="85" t="str">
        <f aca="false">IF(AH902="","",K902+N(L902)+N(M902)+N(N902)+N(O902))</f>
        <v/>
      </c>
      <c r="Q902" s="67"/>
      <c r="R902" s="67"/>
      <c r="S902" s="67"/>
      <c r="T902" s="67"/>
      <c r="U902" s="67"/>
      <c r="V902" s="67"/>
      <c r="W902" s="85" t="str">
        <f aca="false">IF(AH902="","",N(Q902)+N(R902)+N(S902)+N(T902)+N(U902)+N(V902))</f>
        <v/>
      </c>
      <c r="X902" s="85" t="str">
        <f aca="false">IF(AH902="","",P902-W902)</f>
        <v/>
      </c>
      <c r="Y902" s="67"/>
      <c r="Z902" s="70" t="str">
        <f aca="false">IF(OR(AH902="",Y902=""),"",IF(ABS(X902-Y902)&lt;=1,"✓ Cuadra","⚠ Diferencia $"&amp;FIXED(X902-Y902,0)))</f>
        <v/>
      </c>
      <c r="AA902" s="72" t="str">
        <f aca="false">IF(AH902="","",IFERROR(INDEX(C_TIPO,MATCH(C902&amp;"-P"&amp;MAX(1,COUNTIFS(C_ID,C902,C_DEFINE,"Sí",C_INICIO,"&lt;="&amp;EOMONTH(B902,0))),C_CLAVE,0))&amp;"","Sin dato"))</f>
        <v/>
      </c>
      <c r="AB902" s="71" t="str">
        <f aca="false">IF(AH902="","",ROUND(MIN(K902,TOPE_AFP_UF*AJ902)*AK902,0))</f>
        <v/>
      </c>
      <c r="AC902" s="71" t="str">
        <f aca="false">IF(AH902="","",ROUND(MIN(K902,TOPE_AFC_UF*AJ902)*IF(AA902="Indefinido",AFC_EMP_INDEF,AFC_EMP_PF),0))</f>
        <v/>
      </c>
      <c r="AD902" s="71" t="str">
        <f aca="false">IF(AH902="","",ROUND(MIN(K902,TOPE_AFP_UF*AJ902)*(MUTUAL_BASICA+MUTUAL_ADIC+SANNA),0))</f>
        <v/>
      </c>
      <c r="AE902" s="71" t="str">
        <f aca="false">IF(AH902="","",P902-N(N902)+AB902+AC902+AD902)</f>
        <v/>
      </c>
      <c r="AF902" s="65"/>
      <c r="AG902" s="64"/>
      <c r="AH902" s="72" t="str">
        <f aca="false">IF(OR(B902="",C902=""),"",C902&amp;"|"&amp;(YEAR(B902)*100+MONTH(B902)))</f>
        <v/>
      </c>
      <c r="AI902" s="70" t="str">
        <f aca="false">IF(AH902="","",IF(COUNTIF(L_CLAVE,AH902)&gt;1,"⚠ Duplicado","OK"))</f>
        <v/>
      </c>
      <c r="AJ902" s="86" t="str">
        <f aca="false">IF(AH902="","",IF(SUMPRODUCT(MAX((IND_PER&lt;=B902)*(IND_UF&lt;&gt;"")*IND_PER))=0,UF_HOY,INDEX(IND_UF,MATCH(SUMPRODUCT(MAX((IND_PER&lt;=B902)*(IND_UF&lt;&gt;"")*IND_PER)),IND_PER,0))))</f>
        <v/>
      </c>
      <c r="AK902" s="87" t="str">
        <f aca="false">IF(AH902="","",IF(COUNTIF(TASA_DESDE,"&lt;="&amp;B902)=0,INDEX(TASA_EMP,1),INDEX(TASA_EMP,COUNTIF(TASA_DESDE,"&lt;="&amp;B902))))</f>
        <v/>
      </c>
    </row>
    <row r="903" customFormat="false" ht="15" hidden="false" customHeight="false" outlineLevel="0" collapsed="false">
      <c r="B903" s="78"/>
      <c r="C903" s="64"/>
      <c r="D903" s="72" t="str">
        <f aca="false">IF(C903="","",IFERROR(INDEX(T_NOMBRE,MATCH(C903,T_ID,0)),"⚠ ID no existe"))</f>
        <v/>
      </c>
      <c r="E903" s="69"/>
      <c r="F903" s="67"/>
      <c r="G903" s="67"/>
      <c r="H903" s="67"/>
      <c r="I903" s="67"/>
      <c r="J903" s="67"/>
      <c r="K903" s="85" t="str">
        <f aca="false">IF(AH903="","",N(F903)+N(G903)+N(H903)-N(I903)+N(J903))</f>
        <v/>
      </c>
      <c r="L903" s="67"/>
      <c r="M903" s="67"/>
      <c r="N903" s="67"/>
      <c r="O903" s="67"/>
      <c r="P903" s="85" t="str">
        <f aca="false">IF(AH903="","",K903+N(L903)+N(M903)+N(N903)+N(O903))</f>
        <v/>
      </c>
      <c r="Q903" s="67"/>
      <c r="R903" s="67"/>
      <c r="S903" s="67"/>
      <c r="T903" s="67"/>
      <c r="U903" s="67"/>
      <c r="V903" s="67"/>
      <c r="W903" s="85" t="str">
        <f aca="false">IF(AH903="","",N(Q903)+N(R903)+N(S903)+N(T903)+N(U903)+N(V903))</f>
        <v/>
      </c>
      <c r="X903" s="85" t="str">
        <f aca="false">IF(AH903="","",P903-W903)</f>
        <v/>
      </c>
      <c r="Y903" s="67"/>
      <c r="Z903" s="70" t="str">
        <f aca="false">IF(OR(AH903="",Y903=""),"",IF(ABS(X903-Y903)&lt;=1,"✓ Cuadra","⚠ Diferencia $"&amp;FIXED(X903-Y903,0)))</f>
        <v/>
      </c>
      <c r="AA903" s="72" t="str">
        <f aca="false">IF(AH903="","",IFERROR(INDEX(C_TIPO,MATCH(C903&amp;"-P"&amp;MAX(1,COUNTIFS(C_ID,C903,C_DEFINE,"Sí",C_INICIO,"&lt;="&amp;EOMONTH(B903,0))),C_CLAVE,0))&amp;"","Sin dato"))</f>
        <v/>
      </c>
      <c r="AB903" s="71" t="str">
        <f aca="false">IF(AH903="","",ROUND(MIN(K903,TOPE_AFP_UF*AJ903)*AK903,0))</f>
        <v/>
      </c>
      <c r="AC903" s="71" t="str">
        <f aca="false">IF(AH903="","",ROUND(MIN(K903,TOPE_AFC_UF*AJ903)*IF(AA903="Indefinido",AFC_EMP_INDEF,AFC_EMP_PF),0))</f>
        <v/>
      </c>
      <c r="AD903" s="71" t="str">
        <f aca="false">IF(AH903="","",ROUND(MIN(K903,TOPE_AFP_UF*AJ903)*(MUTUAL_BASICA+MUTUAL_ADIC+SANNA),0))</f>
        <v/>
      </c>
      <c r="AE903" s="71" t="str">
        <f aca="false">IF(AH903="","",P903-N(N903)+AB903+AC903+AD903)</f>
        <v/>
      </c>
      <c r="AF903" s="65"/>
      <c r="AG903" s="64"/>
      <c r="AH903" s="72" t="str">
        <f aca="false">IF(OR(B903="",C903=""),"",C903&amp;"|"&amp;(YEAR(B903)*100+MONTH(B903)))</f>
        <v/>
      </c>
      <c r="AI903" s="70" t="str">
        <f aca="false">IF(AH903="","",IF(COUNTIF(L_CLAVE,AH903)&gt;1,"⚠ Duplicado","OK"))</f>
        <v/>
      </c>
      <c r="AJ903" s="86" t="str">
        <f aca="false">IF(AH903="","",IF(SUMPRODUCT(MAX((IND_PER&lt;=B903)*(IND_UF&lt;&gt;"")*IND_PER))=0,UF_HOY,INDEX(IND_UF,MATCH(SUMPRODUCT(MAX((IND_PER&lt;=B903)*(IND_UF&lt;&gt;"")*IND_PER)),IND_PER,0))))</f>
        <v/>
      </c>
      <c r="AK903" s="87" t="str">
        <f aca="false">IF(AH903="","",IF(COUNTIF(TASA_DESDE,"&lt;="&amp;B903)=0,INDEX(TASA_EMP,1),INDEX(TASA_EMP,COUNTIF(TASA_DESDE,"&lt;="&amp;B903))))</f>
        <v/>
      </c>
    </row>
    <row r="904" customFormat="false" ht="15" hidden="false" customHeight="false" outlineLevel="0" collapsed="false">
      <c r="B904" s="78"/>
      <c r="C904" s="64"/>
      <c r="D904" s="72" t="str">
        <f aca="false">IF(C904="","",IFERROR(INDEX(T_NOMBRE,MATCH(C904,T_ID,0)),"⚠ ID no existe"))</f>
        <v/>
      </c>
      <c r="E904" s="69"/>
      <c r="F904" s="67"/>
      <c r="G904" s="67"/>
      <c r="H904" s="67"/>
      <c r="I904" s="67"/>
      <c r="J904" s="67"/>
      <c r="K904" s="85" t="str">
        <f aca="false">IF(AH904="","",N(F904)+N(G904)+N(H904)-N(I904)+N(J904))</f>
        <v/>
      </c>
      <c r="L904" s="67"/>
      <c r="M904" s="67"/>
      <c r="N904" s="67"/>
      <c r="O904" s="67"/>
      <c r="P904" s="85" t="str">
        <f aca="false">IF(AH904="","",K904+N(L904)+N(M904)+N(N904)+N(O904))</f>
        <v/>
      </c>
      <c r="Q904" s="67"/>
      <c r="R904" s="67"/>
      <c r="S904" s="67"/>
      <c r="T904" s="67"/>
      <c r="U904" s="67"/>
      <c r="V904" s="67"/>
      <c r="W904" s="85" t="str">
        <f aca="false">IF(AH904="","",N(Q904)+N(R904)+N(S904)+N(T904)+N(U904)+N(V904))</f>
        <v/>
      </c>
      <c r="X904" s="85" t="str">
        <f aca="false">IF(AH904="","",P904-W904)</f>
        <v/>
      </c>
      <c r="Y904" s="67"/>
      <c r="Z904" s="70" t="str">
        <f aca="false">IF(OR(AH904="",Y904=""),"",IF(ABS(X904-Y904)&lt;=1,"✓ Cuadra","⚠ Diferencia $"&amp;FIXED(X904-Y904,0)))</f>
        <v/>
      </c>
      <c r="AA904" s="72" t="str">
        <f aca="false">IF(AH904="","",IFERROR(INDEX(C_TIPO,MATCH(C904&amp;"-P"&amp;MAX(1,COUNTIFS(C_ID,C904,C_DEFINE,"Sí",C_INICIO,"&lt;="&amp;EOMONTH(B904,0))),C_CLAVE,0))&amp;"","Sin dato"))</f>
        <v/>
      </c>
      <c r="AB904" s="71" t="str">
        <f aca="false">IF(AH904="","",ROUND(MIN(K904,TOPE_AFP_UF*AJ904)*AK904,0))</f>
        <v/>
      </c>
      <c r="AC904" s="71" t="str">
        <f aca="false">IF(AH904="","",ROUND(MIN(K904,TOPE_AFC_UF*AJ904)*IF(AA904="Indefinido",AFC_EMP_INDEF,AFC_EMP_PF),0))</f>
        <v/>
      </c>
      <c r="AD904" s="71" t="str">
        <f aca="false">IF(AH904="","",ROUND(MIN(K904,TOPE_AFP_UF*AJ904)*(MUTUAL_BASICA+MUTUAL_ADIC+SANNA),0))</f>
        <v/>
      </c>
      <c r="AE904" s="71" t="str">
        <f aca="false">IF(AH904="","",P904-N(N904)+AB904+AC904+AD904)</f>
        <v/>
      </c>
      <c r="AF904" s="65"/>
      <c r="AG904" s="64"/>
      <c r="AH904" s="72" t="str">
        <f aca="false">IF(OR(B904="",C904=""),"",C904&amp;"|"&amp;(YEAR(B904)*100+MONTH(B904)))</f>
        <v/>
      </c>
      <c r="AI904" s="70" t="str">
        <f aca="false">IF(AH904="","",IF(COUNTIF(L_CLAVE,AH904)&gt;1,"⚠ Duplicado","OK"))</f>
        <v/>
      </c>
      <c r="AJ904" s="86" t="str">
        <f aca="false">IF(AH904="","",IF(SUMPRODUCT(MAX((IND_PER&lt;=B904)*(IND_UF&lt;&gt;"")*IND_PER))=0,UF_HOY,INDEX(IND_UF,MATCH(SUMPRODUCT(MAX((IND_PER&lt;=B904)*(IND_UF&lt;&gt;"")*IND_PER)),IND_PER,0))))</f>
        <v/>
      </c>
      <c r="AK904" s="87" t="str">
        <f aca="false">IF(AH904="","",IF(COUNTIF(TASA_DESDE,"&lt;="&amp;B904)=0,INDEX(TASA_EMP,1),INDEX(TASA_EMP,COUNTIF(TASA_DESDE,"&lt;="&amp;B904))))</f>
        <v/>
      </c>
    </row>
    <row r="905" customFormat="false" ht="15" hidden="false" customHeight="false" outlineLevel="0" collapsed="false">
      <c r="B905" s="78"/>
      <c r="C905" s="64"/>
      <c r="D905" s="72" t="str">
        <f aca="false">IF(C905="","",IFERROR(INDEX(T_NOMBRE,MATCH(C905,T_ID,0)),"⚠ ID no existe"))</f>
        <v/>
      </c>
      <c r="E905" s="69"/>
      <c r="F905" s="67"/>
      <c r="G905" s="67"/>
      <c r="H905" s="67"/>
      <c r="I905" s="67"/>
      <c r="J905" s="67"/>
      <c r="K905" s="85" t="str">
        <f aca="false">IF(AH905="","",N(F905)+N(G905)+N(H905)-N(I905)+N(J905))</f>
        <v/>
      </c>
      <c r="L905" s="67"/>
      <c r="M905" s="67"/>
      <c r="N905" s="67"/>
      <c r="O905" s="67"/>
      <c r="P905" s="85" t="str">
        <f aca="false">IF(AH905="","",K905+N(L905)+N(M905)+N(N905)+N(O905))</f>
        <v/>
      </c>
      <c r="Q905" s="67"/>
      <c r="R905" s="67"/>
      <c r="S905" s="67"/>
      <c r="T905" s="67"/>
      <c r="U905" s="67"/>
      <c r="V905" s="67"/>
      <c r="W905" s="85" t="str">
        <f aca="false">IF(AH905="","",N(Q905)+N(R905)+N(S905)+N(T905)+N(U905)+N(V905))</f>
        <v/>
      </c>
      <c r="X905" s="85" t="str">
        <f aca="false">IF(AH905="","",P905-W905)</f>
        <v/>
      </c>
      <c r="Y905" s="67"/>
      <c r="Z905" s="70" t="str">
        <f aca="false">IF(OR(AH905="",Y905=""),"",IF(ABS(X905-Y905)&lt;=1,"✓ Cuadra","⚠ Diferencia $"&amp;FIXED(X905-Y905,0)))</f>
        <v/>
      </c>
      <c r="AA905" s="72" t="str">
        <f aca="false">IF(AH905="","",IFERROR(INDEX(C_TIPO,MATCH(C905&amp;"-P"&amp;MAX(1,COUNTIFS(C_ID,C905,C_DEFINE,"Sí",C_INICIO,"&lt;="&amp;EOMONTH(B905,0))),C_CLAVE,0))&amp;"","Sin dato"))</f>
        <v/>
      </c>
      <c r="AB905" s="71" t="str">
        <f aca="false">IF(AH905="","",ROUND(MIN(K905,TOPE_AFP_UF*AJ905)*AK905,0))</f>
        <v/>
      </c>
      <c r="AC905" s="71" t="str">
        <f aca="false">IF(AH905="","",ROUND(MIN(K905,TOPE_AFC_UF*AJ905)*IF(AA905="Indefinido",AFC_EMP_INDEF,AFC_EMP_PF),0))</f>
        <v/>
      </c>
      <c r="AD905" s="71" t="str">
        <f aca="false">IF(AH905="","",ROUND(MIN(K905,TOPE_AFP_UF*AJ905)*(MUTUAL_BASICA+MUTUAL_ADIC+SANNA),0))</f>
        <v/>
      </c>
      <c r="AE905" s="71" t="str">
        <f aca="false">IF(AH905="","",P905-N(N905)+AB905+AC905+AD905)</f>
        <v/>
      </c>
      <c r="AF905" s="65"/>
      <c r="AG905" s="64"/>
      <c r="AH905" s="72" t="str">
        <f aca="false">IF(OR(B905="",C905=""),"",C905&amp;"|"&amp;(YEAR(B905)*100+MONTH(B905)))</f>
        <v/>
      </c>
      <c r="AI905" s="70" t="str">
        <f aca="false">IF(AH905="","",IF(COUNTIF(L_CLAVE,AH905)&gt;1,"⚠ Duplicado","OK"))</f>
        <v/>
      </c>
      <c r="AJ905" s="86" t="str">
        <f aca="false">IF(AH905="","",IF(SUMPRODUCT(MAX((IND_PER&lt;=B905)*(IND_UF&lt;&gt;"")*IND_PER))=0,UF_HOY,INDEX(IND_UF,MATCH(SUMPRODUCT(MAX((IND_PER&lt;=B905)*(IND_UF&lt;&gt;"")*IND_PER)),IND_PER,0))))</f>
        <v/>
      </c>
      <c r="AK905" s="87" t="str">
        <f aca="false">IF(AH905="","",IF(COUNTIF(TASA_DESDE,"&lt;="&amp;B905)=0,INDEX(TASA_EMP,1),INDEX(TASA_EMP,COUNTIF(TASA_DESDE,"&lt;="&amp;B905))))</f>
        <v/>
      </c>
    </row>
    <row r="906" customFormat="false" ht="15" hidden="false" customHeight="false" outlineLevel="0" collapsed="false">
      <c r="B906" s="78"/>
      <c r="C906" s="64"/>
      <c r="D906" s="72" t="str">
        <f aca="false">IF(C906="","",IFERROR(INDEX(T_NOMBRE,MATCH(C906,T_ID,0)),"⚠ ID no existe"))</f>
        <v/>
      </c>
      <c r="E906" s="69"/>
      <c r="F906" s="67"/>
      <c r="G906" s="67"/>
      <c r="H906" s="67"/>
      <c r="I906" s="67"/>
      <c r="J906" s="67"/>
      <c r="K906" s="85" t="str">
        <f aca="false">IF(AH906="","",N(F906)+N(G906)+N(H906)-N(I906)+N(J906))</f>
        <v/>
      </c>
      <c r="L906" s="67"/>
      <c r="M906" s="67"/>
      <c r="N906" s="67"/>
      <c r="O906" s="67"/>
      <c r="P906" s="85" t="str">
        <f aca="false">IF(AH906="","",K906+N(L906)+N(M906)+N(N906)+N(O906))</f>
        <v/>
      </c>
      <c r="Q906" s="67"/>
      <c r="R906" s="67"/>
      <c r="S906" s="67"/>
      <c r="T906" s="67"/>
      <c r="U906" s="67"/>
      <c r="V906" s="67"/>
      <c r="W906" s="85" t="str">
        <f aca="false">IF(AH906="","",N(Q906)+N(R906)+N(S906)+N(T906)+N(U906)+N(V906))</f>
        <v/>
      </c>
      <c r="X906" s="85" t="str">
        <f aca="false">IF(AH906="","",P906-W906)</f>
        <v/>
      </c>
      <c r="Y906" s="67"/>
      <c r="Z906" s="70" t="str">
        <f aca="false">IF(OR(AH906="",Y906=""),"",IF(ABS(X906-Y906)&lt;=1,"✓ Cuadra","⚠ Diferencia $"&amp;FIXED(X906-Y906,0)))</f>
        <v/>
      </c>
      <c r="AA906" s="72" t="str">
        <f aca="false">IF(AH906="","",IFERROR(INDEX(C_TIPO,MATCH(C906&amp;"-P"&amp;MAX(1,COUNTIFS(C_ID,C906,C_DEFINE,"Sí",C_INICIO,"&lt;="&amp;EOMONTH(B906,0))),C_CLAVE,0))&amp;"","Sin dato"))</f>
        <v/>
      </c>
      <c r="AB906" s="71" t="str">
        <f aca="false">IF(AH906="","",ROUND(MIN(K906,TOPE_AFP_UF*AJ906)*AK906,0))</f>
        <v/>
      </c>
      <c r="AC906" s="71" t="str">
        <f aca="false">IF(AH906="","",ROUND(MIN(K906,TOPE_AFC_UF*AJ906)*IF(AA906="Indefinido",AFC_EMP_INDEF,AFC_EMP_PF),0))</f>
        <v/>
      </c>
      <c r="AD906" s="71" t="str">
        <f aca="false">IF(AH906="","",ROUND(MIN(K906,TOPE_AFP_UF*AJ906)*(MUTUAL_BASICA+MUTUAL_ADIC+SANNA),0))</f>
        <v/>
      </c>
      <c r="AE906" s="71" t="str">
        <f aca="false">IF(AH906="","",P906-N(N906)+AB906+AC906+AD906)</f>
        <v/>
      </c>
      <c r="AF906" s="65"/>
      <c r="AG906" s="64"/>
      <c r="AH906" s="72" t="str">
        <f aca="false">IF(OR(B906="",C906=""),"",C906&amp;"|"&amp;(YEAR(B906)*100+MONTH(B906)))</f>
        <v/>
      </c>
      <c r="AI906" s="70" t="str">
        <f aca="false">IF(AH906="","",IF(COUNTIF(L_CLAVE,AH906)&gt;1,"⚠ Duplicado","OK"))</f>
        <v/>
      </c>
      <c r="AJ906" s="86" t="str">
        <f aca="false">IF(AH906="","",IF(SUMPRODUCT(MAX((IND_PER&lt;=B906)*(IND_UF&lt;&gt;"")*IND_PER))=0,UF_HOY,INDEX(IND_UF,MATCH(SUMPRODUCT(MAX((IND_PER&lt;=B906)*(IND_UF&lt;&gt;"")*IND_PER)),IND_PER,0))))</f>
        <v/>
      </c>
      <c r="AK906" s="87" t="str">
        <f aca="false">IF(AH906="","",IF(COUNTIF(TASA_DESDE,"&lt;="&amp;B906)=0,INDEX(TASA_EMP,1),INDEX(TASA_EMP,COUNTIF(TASA_DESDE,"&lt;="&amp;B906))))</f>
        <v/>
      </c>
    </row>
    <row r="907" customFormat="false" ht="15" hidden="false" customHeight="false" outlineLevel="0" collapsed="false">
      <c r="B907" s="78"/>
      <c r="C907" s="64"/>
      <c r="D907" s="72" t="str">
        <f aca="false">IF(C907="","",IFERROR(INDEX(T_NOMBRE,MATCH(C907,T_ID,0)),"⚠ ID no existe"))</f>
        <v/>
      </c>
      <c r="E907" s="69"/>
      <c r="F907" s="67"/>
      <c r="G907" s="67"/>
      <c r="H907" s="67"/>
      <c r="I907" s="67"/>
      <c r="J907" s="67"/>
      <c r="K907" s="85" t="str">
        <f aca="false">IF(AH907="","",N(F907)+N(G907)+N(H907)-N(I907)+N(J907))</f>
        <v/>
      </c>
      <c r="L907" s="67"/>
      <c r="M907" s="67"/>
      <c r="N907" s="67"/>
      <c r="O907" s="67"/>
      <c r="P907" s="85" t="str">
        <f aca="false">IF(AH907="","",K907+N(L907)+N(M907)+N(N907)+N(O907))</f>
        <v/>
      </c>
      <c r="Q907" s="67"/>
      <c r="R907" s="67"/>
      <c r="S907" s="67"/>
      <c r="T907" s="67"/>
      <c r="U907" s="67"/>
      <c r="V907" s="67"/>
      <c r="W907" s="85" t="str">
        <f aca="false">IF(AH907="","",N(Q907)+N(R907)+N(S907)+N(T907)+N(U907)+N(V907))</f>
        <v/>
      </c>
      <c r="X907" s="85" t="str">
        <f aca="false">IF(AH907="","",P907-W907)</f>
        <v/>
      </c>
      <c r="Y907" s="67"/>
      <c r="Z907" s="70" t="str">
        <f aca="false">IF(OR(AH907="",Y907=""),"",IF(ABS(X907-Y907)&lt;=1,"✓ Cuadra","⚠ Diferencia $"&amp;FIXED(X907-Y907,0)))</f>
        <v/>
      </c>
      <c r="AA907" s="72" t="str">
        <f aca="false">IF(AH907="","",IFERROR(INDEX(C_TIPO,MATCH(C907&amp;"-P"&amp;MAX(1,COUNTIFS(C_ID,C907,C_DEFINE,"Sí",C_INICIO,"&lt;="&amp;EOMONTH(B907,0))),C_CLAVE,0))&amp;"","Sin dato"))</f>
        <v/>
      </c>
      <c r="AB907" s="71" t="str">
        <f aca="false">IF(AH907="","",ROUND(MIN(K907,TOPE_AFP_UF*AJ907)*AK907,0))</f>
        <v/>
      </c>
      <c r="AC907" s="71" t="str">
        <f aca="false">IF(AH907="","",ROUND(MIN(K907,TOPE_AFC_UF*AJ907)*IF(AA907="Indefinido",AFC_EMP_INDEF,AFC_EMP_PF),0))</f>
        <v/>
      </c>
      <c r="AD907" s="71" t="str">
        <f aca="false">IF(AH907="","",ROUND(MIN(K907,TOPE_AFP_UF*AJ907)*(MUTUAL_BASICA+MUTUAL_ADIC+SANNA),0))</f>
        <v/>
      </c>
      <c r="AE907" s="71" t="str">
        <f aca="false">IF(AH907="","",P907-N(N907)+AB907+AC907+AD907)</f>
        <v/>
      </c>
      <c r="AF907" s="65"/>
      <c r="AG907" s="64"/>
      <c r="AH907" s="72" t="str">
        <f aca="false">IF(OR(B907="",C907=""),"",C907&amp;"|"&amp;(YEAR(B907)*100+MONTH(B907)))</f>
        <v/>
      </c>
      <c r="AI907" s="70" t="str">
        <f aca="false">IF(AH907="","",IF(COUNTIF(L_CLAVE,AH907)&gt;1,"⚠ Duplicado","OK"))</f>
        <v/>
      </c>
      <c r="AJ907" s="86" t="str">
        <f aca="false">IF(AH907="","",IF(SUMPRODUCT(MAX((IND_PER&lt;=B907)*(IND_UF&lt;&gt;"")*IND_PER))=0,UF_HOY,INDEX(IND_UF,MATCH(SUMPRODUCT(MAX((IND_PER&lt;=B907)*(IND_UF&lt;&gt;"")*IND_PER)),IND_PER,0))))</f>
        <v/>
      </c>
      <c r="AK907" s="87" t="str">
        <f aca="false">IF(AH907="","",IF(COUNTIF(TASA_DESDE,"&lt;="&amp;B907)=0,INDEX(TASA_EMP,1),INDEX(TASA_EMP,COUNTIF(TASA_DESDE,"&lt;="&amp;B907))))</f>
        <v/>
      </c>
    </row>
    <row r="908" customFormat="false" ht="15" hidden="false" customHeight="false" outlineLevel="0" collapsed="false">
      <c r="B908" s="78"/>
      <c r="C908" s="64"/>
      <c r="D908" s="72" t="str">
        <f aca="false">IF(C908="","",IFERROR(INDEX(T_NOMBRE,MATCH(C908,T_ID,0)),"⚠ ID no existe"))</f>
        <v/>
      </c>
      <c r="E908" s="69"/>
      <c r="F908" s="67"/>
      <c r="G908" s="67"/>
      <c r="H908" s="67"/>
      <c r="I908" s="67"/>
      <c r="J908" s="67"/>
      <c r="K908" s="85" t="str">
        <f aca="false">IF(AH908="","",N(F908)+N(G908)+N(H908)-N(I908)+N(J908))</f>
        <v/>
      </c>
      <c r="L908" s="67"/>
      <c r="M908" s="67"/>
      <c r="N908" s="67"/>
      <c r="O908" s="67"/>
      <c r="P908" s="85" t="str">
        <f aca="false">IF(AH908="","",K908+N(L908)+N(M908)+N(N908)+N(O908))</f>
        <v/>
      </c>
      <c r="Q908" s="67"/>
      <c r="R908" s="67"/>
      <c r="S908" s="67"/>
      <c r="T908" s="67"/>
      <c r="U908" s="67"/>
      <c r="V908" s="67"/>
      <c r="W908" s="85" t="str">
        <f aca="false">IF(AH908="","",N(Q908)+N(R908)+N(S908)+N(T908)+N(U908)+N(V908))</f>
        <v/>
      </c>
      <c r="X908" s="85" t="str">
        <f aca="false">IF(AH908="","",P908-W908)</f>
        <v/>
      </c>
      <c r="Y908" s="67"/>
      <c r="Z908" s="70" t="str">
        <f aca="false">IF(OR(AH908="",Y908=""),"",IF(ABS(X908-Y908)&lt;=1,"✓ Cuadra","⚠ Diferencia $"&amp;FIXED(X908-Y908,0)))</f>
        <v/>
      </c>
      <c r="AA908" s="72" t="str">
        <f aca="false">IF(AH908="","",IFERROR(INDEX(C_TIPO,MATCH(C908&amp;"-P"&amp;MAX(1,COUNTIFS(C_ID,C908,C_DEFINE,"Sí",C_INICIO,"&lt;="&amp;EOMONTH(B908,0))),C_CLAVE,0))&amp;"","Sin dato"))</f>
        <v/>
      </c>
      <c r="AB908" s="71" t="str">
        <f aca="false">IF(AH908="","",ROUND(MIN(K908,TOPE_AFP_UF*AJ908)*AK908,0))</f>
        <v/>
      </c>
      <c r="AC908" s="71" t="str">
        <f aca="false">IF(AH908="","",ROUND(MIN(K908,TOPE_AFC_UF*AJ908)*IF(AA908="Indefinido",AFC_EMP_INDEF,AFC_EMP_PF),0))</f>
        <v/>
      </c>
      <c r="AD908" s="71" t="str">
        <f aca="false">IF(AH908="","",ROUND(MIN(K908,TOPE_AFP_UF*AJ908)*(MUTUAL_BASICA+MUTUAL_ADIC+SANNA),0))</f>
        <v/>
      </c>
      <c r="AE908" s="71" t="str">
        <f aca="false">IF(AH908="","",P908-N(N908)+AB908+AC908+AD908)</f>
        <v/>
      </c>
      <c r="AF908" s="65"/>
      <c r="AG908" s="64"/>
      <c r="AH908" s="72" t="str">
        <f aca="false">IF(OR(B908="",C908=""),"",C908&amp;"|"&amp;(YEAR(B908)*100+MONTH(B908)))</f>
        <v/>
      </c>
      <c r="AI908" s="70" t="str">
        <f aca="false">IF(AH908="","",IF(COUNTIF(L_CLAVE,AH908)&gt;1,"⚠ Duplicado","OK"))</f>
        <v/>
      </c>
      <c r="AJ908" s="86" t="str">
        <f aca="false">IF(AH908="","",IF(SUMPRODUCT(MAX((IND_PER&lt;=B908)*(IND_UF&lt;&gt;"")*IND_PER))=0,UF_HOY,INDEX(IND_UF,MATCH(SUMPRODUCT(MAX((IND_PER&lt;=B908)*(IND_UF&lt;&gt;"")*IND_PER)),IND_PER,0))))</f>
        <v/>
      </c>
      <c r="AK908" s="87" t="str">
        <f aca="false">IF(AH908="","",IF(COUNTIF(TASA_DESDE,"&lt;="&amp;B908)=0,INDEX(TASA_EMP,1),INDEX(TASA_EMP,COUNTIF(TASA_DESDE,"&lt;="&amp;B908))))</f>
        <v/>
      </c>
    </row>
    <row r="909" customFormat="false" ht="15" hidden="false" customHeight="false" outlineLevel="0" collapsed="false">
      <c r="B909" s="78"/>
      <c r="C909" s="64"/>
      <c r="D909" s="72" t="str">
        <f aca="false">IF(C909="","",IFERROR(INDEX(T_NOMBRE,MATCH(C909,T_ID,0)),"⚠ ID no existe"))</f>
        <v/>
      </c>
      <c r="E909" s="69"/>
      <c r="F909" s="67"/>
      <c r="G909" s="67"/>
      <c r="H909" s="67"/>
      <c r="I909" s="67"/>
      <c r="J909" s="67"/>
      <c r="K909" s="85" t="str">
        <f aca="false">IF(AH909="","",N(F909)+N(G909)+N(H909)-N(I909)+N(J909))</f>
        <v/>
      </c>
      <c r="L909" s="67"/>
      <c r="M909" s="67"/>
      <c r="N909" s="67"/>
      <c r="O909" s="67"/>
      <c r="P909" s="85" t="str">
        <f aca="false">IF(AH909="","",K909+N(L909)+N(M909)+N(N909)+N(O909))</f>
        <v/>
      </c>
      <c r="Q909" s="67"/>
      <c r="R909" s="67"/>
      <c r="S909" s="67"/>
      <c r="T909" s="67"/>
      <c r="U909" s="67"/>
      <c r="V909" s="67"/>
      <c r="W909" s="85" t="str">
        <f aca="false">IF(AH909="","",N(Q909)+N(R909)+N(S909)+N(T909)+N(U909)+N(V909))</f>
        <v/>
      </c>
      <c r="X909" s="85" t="str">
        <f aca="false">IF(AH909="","",P909-W909)</f>
        <v/>
      </c>
      <c r="Y909" s="67"/>
      <c r="Z909" s="70" t="str">
        <f aca="false">IF(OR(AH909="",Y909=""),"",IF(ABS(X909-Y909)&lt;=1,"✓ Cuadra","⚠ Diferencia $"&amp;FIXED(X909-Y909,0)))</f>
        <v/>
      </c>
      <c r="AA909" s="72" t="str">
        <f aca="false">IF(AH909="","",IFERROR(INDEX(C_TIPO,MATCH(C909&amp;"-P"&amp;MAX(1,COUNTIFS(C_ID,C909,C_DEFINE,"Sí",C_INICIO,"&lt;="&amp;EOMONTH(B909,0))),C_CLAVE,0))&amp;"","Sin dato"))</f>
        <v/>
      </c>
      <c r="AB909" s="71" t="str">
        <f aca="false">IF(AH909="","",ROUND(MIN(K909,TOPE_AFP_UF*AJ909)*AK909,0))</f>
        <v/>
      </c>
      <c r="AC909" s="71" t="str">
        <f aca="false">IF(AH909="","",ROUND(MIN(K909,TOPE_AFC_UF*AJ909)*IF(AA909="Indefinido",AFC_EMP_INDEF,AFC_EMP_PF),0))</f>
        <v/>
      </c>
      <c r="AD909" s="71" t="str">
        <f aca="false">IF(AH909="","",ROUND(MIN(K909,TOPE_AFP_UF*AJ909)*(MUTUAL_BASICA+MUTUAL_ADIC+SANNA),0))</f>
        <v/>
      </c>
      <c r="AE909" s="71" t="str">
        <f aca="false">IF(AH909="","",P909-N(N909)+AB909+AC909+AD909)</f>
        <v/>
      </c>
      <c r="AF909" s="65"/>
      <c r="AG909" s="64"/>
      <c r="AH909" s="72" t="str">
        <f aca="false">IF(OR(B909="",C909=""),"",C909&amp;"|"&amp;(YEAR(B909)*100+MONTH(B909)))</f>
        <v/>
      </c>
      <c r="AI909" s="70" t="str">
        <f aca="false">IF(AH909="","",IF(COUNTIF(L_CLAVE,AH909)&gt;1,"⚠ Duplicado","OK"))</f>
        <v/>
      </c>
      <c r="AJ909" s="86" t="str">
        <f aca="false">IF(AH909="","",IF(SUMPRODUCT(MAX((IND_PER&lt;=B909)*(IND_UF&lt;&gt;"")*IND_PER))=0,UF_HOY,INDEX(IND_UF,MATCH(SUMPRODUCT(MAX((IND_PER&lt;=B909)*(IND_UF&lt;&gt;"")*IND_PER)),IND_PER,0))))</f>
        <v/>
      </c>
      <c r="AK909" s="87" t="str">
        <f aca="false">IF(AH909="","",IF(COUNTIF(TASA_DESDE,"&lt;="&amp;B909)=0,INDEX(TASA_EMP,1),INDEX(TASA_EMP,COUNTIF(TASA_DESDE,"&lt;="&amp;B909))))</f>
        <v/>
      </c>
    </row>
    <row r="910" customFormat="false" ht="15" hidden="false" customHeight="false" outlineLevel="0" collapsed="false">
      <c r="B910" s="78"/>
      <c r="C910" s="64"/>
      <c r="D910" s="72" t="str">
        <f aca="false">IF(C910="","",IFERROR(INDEX(T_NOMBRE,MATCH(C910,T_ID,0)),"⚠ ID no existe"))</f>
        <v/>
      </c>
      <c r="E910" s="69"/>
      <c r="F910" s="67"/>
      <c r="G910" s="67"/>
      <c r="H910" s="67"/>
      <c r="I910" s="67"/>
      <c r="J910" s="67"/>
      <c r="K910" s="85" t="str">
        <f aca="false">IF(AH910="","",N(F910)+N(G910)+N(H910)-N(I910)+N(J910))</f>
        <v/>
      </c>
      <c r="L910" s="67"/>
      <c r="M910" s="67"/>
      <c r="N910" s="67"/>
      <c r="O910" s="67"/>
      <c r="P910" s="85" t="str">
        <f aca="false">IF(AH910="","",K910+N(L910)+N(M910)+N(N910)+N(O910))</f>
        <v/>
      </c>
      <c r="Q910" s="67"/>
      <c r="R910" s="67"/>
      <c r="S910" s="67"/>
      <c r="T910" s="67"/>
      <c r="U910" s="67"/>
      <c r="V910" s="67"/>
      <c r="W910" s="85" t="str">
        <f aca="false">IF(AH910="","",N(Q910)+N(R910)+N(S910)+N(T910)+N(U910)+N(V910))</f>
        <v/>
      </c>
      <c r="X910" s="85" t="str">
        <f aca="false">IF(AH910="","",P910-W910)</f>
        <v/>
      </c>
      <c r="Y910" s="67"/>
      <c r="Z910" s="70" t="str">
        <f aca="false">IF(OR(AH910="",Y910=""),"",IF(ABS(X910-Y910)&lt;=1,"✓ Cuadra","⚠ Diferencia $"&amp;FIXED(X910-Y910,0)))</f>
        <v/>
      </c>
      <c r="AA910" s="72" t="str">
        <f aca="false">IF(AH910="","",IFERROR(INDEX(C_TIPO,MATCH(C910&amp;"-P"&amp;MAX(1,COUNTIFS(C_ID,C910,C_DEFINE,"Sí",C_INICIO,"&lt;="&amp;EOMONTH(B910,0))),C_CLAVE,0))&amp;"","Sin dato"))</f>
        <v/>
      </c>
      <c r="AB910" s="71" t="str">
        <f aca="false">IF(AH910="","",ROUND(MIN(K910,TOPE_AFP_UF*AJ910)*AK910,0))</f>
        <v/>
      </c>
      <c r="AC910" s="71" t="str">
        <f aca="false">IF(AH910="","",ROUND(MIN(K910,TOPE_AFC_UF*AJ910)*IF(AA910="Indefinido",AFC_EMP_INDEF,AFC_EMP_PF),0))</f>
        <v/>
      </c>
      <c r="AD910" s="71" t="str">
        <f aca="false">IF(AH910="","",ROUND(MIN(K910,TOPE_AFP_UF*AJ910)*(MUTUAL_BASICA+MUTUAL_ADIC+SANNA),0))</f>
        <v/>
      </c>
      <c r="AE910" s="71" t="str">
        <f aca="false">IF(AH910="","",P910-N(N910)+AB910+AC910+AD910)</f>
        <v/>
      </c>
      <c r="AF910" s="65"/>
      <c r="AG910" s="64"/>
      <c r="AH910" s="72" t="str">
        <f aca="false">IF(OR(B910="",C910=""),"",C910&amp;"|"&amp;(YEAR(B910)*100+MONTH(B910)))</f>
        <v/>
      </c>
      <c r="AI910" s="70" t="str">
        <f aca="false">IF(AH910="","",IF(COUNTIF(L_CLAVE,AH910)&gt;1,"⚠ Duplicado","OK"))</f>
        <v/>
      </c>
      <c r="AJ910" s="86" t="str">
        <f aca="false">IF(AH910="","",IF(SUMPRODUCT(MAX((IND_PER&lt;=B910)*(IND_UF&lt;&gt;"")*IND_PER))=0,UF_HOY,INDEX(IND_UF,MATCH(SUMPRODUCT(MAX((IND_PER&lt;=B910)*(IND_UF&lt;&gt;"")*IND_PER)),IND_PER,0))))</f>
        <v/>
      </c>
      <c r="AK910" s="87" t="str">
        <f aca="false">IF(AH910="","",IF(COUNTIF(TASA_DESDE,"&lt;="&amp;B910)=0,INDEX(TASA_EMP,1),INDEX(TASA_EMP,COUNTIF(TASA_DESDE,"&lt;="&amp;B910))))</f>
        <v/>
      </c>
    </row>
    <row r="911" customFormat="false" ht="15" hidden="false" customHeight="false" outlineLevel="0" collapsed="false">
      <c r="B911" s="78"/>
      <c r="C911" s="64"/>
      <c r="D911" s="72" t="str">
        <f aca="false">IF(C911="","",IFERROR(INDEX(T_NOMBRE,MATCH(C911,T_ID,0)),"⚠ ID no existe"))</f>
        <v/>
      </c>
      <c r="E911" s="69"/>
      <c r="F911" s="67"/>
      <c r="G911" s="67"/>
      <c r="H911" s="67"/>
      <c r="I911" s="67"/>
      <c r="J911" s="67"/>
      <c r="K911" s="85" t="str">
        <f aca="false">IF(AH911="","",N(F911)+N(G911)+N(H911)-N(I911)+N(J911))</f>
        <v/>
      </c>
      <c r="L911" s="67"/>
      <c r="M911" s="67"/>
      <c r="N911" s="67"/>
      <c r="O911" s="67"/>
      <c r="P911" s="85" t="str">
        <f aca="false">IF(AH911="","",K911+N(L911)+N(M911)+N(N911)+N(O911))</f>
        <v/>
      </c>
      <c r="Q911" s="67"/>
      <c r="R911" s="67"/>
      <c r="S911" s="67"/>
      <c r="T911" s="67"/>
      <c r="U911" s="67"/>
      <c r="V911" s="67"/>
      <c r="W911" s="85" t="str">
        <f aca="false">IF(AH911="","",N(Q911)+N(R911)+N(S911)+N(T911)+N(U911)+N(V911))</f>
        <v/>
      </c>
      <c r="X911" s="85" t="str">
        <f aca="false">IF(AH911="","",P911-W911)</f>
        <v/>
      </c>
      <c r="Y911" s="67"/>
      <c r="Z911" s="70" t="str">
        <f aca="false">IF(OR(AH911="",Y911=""),"",IF(ABS(X911-Y911)&lt;=1,"✓ Cuadra","⚠ Diferencia $"&amp;FIXED(X911-Y911,0)))</f>
        <v/>
      </c>
      <c r="AA911" s="72" t="str">
        <f aca="false">IF(AH911="","",IFERROR(INDEX(C_TIPO,MATCH(C911&amp;"-P"&amp;MAX(1,COUNTIFS(C_ID,C911,C_DEFINE,"Sí",C_INICIO,"&lt;="&amp;EOMONTH(B911,0))),C_CLAVE,0))&amp;"","Sin dato"))</f>
        <v/>
      </c>
      <c r="AB911" s="71" t="str">
        <f aca="false">IF(AH911="","",ROUND(MIN(K911,TOPE_AFP_UF*AJ911)*AK911,0))</f>
        <v/>
      </c>
      <c r="AC911" s="71" t="str">
        <f aca="false">IF(AH911="","",ROUND(MIN(K911,TOPE_AFC_UF*AJ911)*IF(AA911="Indefinido",AFC_EMP_INDEF,AFC_EMP_PF),0))</f>
        <v/>
      </c>
      <c r="AD911" s="71" t="str">
        <f aca="false">IF(AH911="","",ROUND(MIN(K911,TOPE_AFP_UF*AJ911)*(MUTUAL_BASICA+MUTUAL_ADIC+SANNA),0))</f>
        <v/>
      </c>
      <c r="AE911" s="71" t="str">
        <f aca="false">IF(AH911="","",P911-N(N911)+AB911+AC911+AD911)</f>
        <v/>
      </c>
      <c r="AF911" s="65"/>
      <c r="AG911" s="64"/>
      <c r="AH911" s="72" t="str">
        <f aca="false">IF(OR(B911="",C911=""),"",C911&amp;"|"&amp;(YEAR(B911)*100+MONTH(B911)))</f>
        <v/>
      </c>
      <c r="AI911" s="70" t="str">
        <f aca="false">IF(AH911="","",IF(COUNTIF(L_CLAVE,AH911)&gt;1,"⚠ Duplicado","OK"))</f>
        <v/>
      </c>
      <c r="AJ911" s="86" t="str">
        <f aca="false">IF(AH911="","",IF(SUMPRODUCT(MAX((IND_PER&lt;=B911)*(IND_UF&lt;&gt;"")*IND_PER))=0,UF_HOY,INDEX(IND_UF,MATCH(SUMPRODUCT(MAX((IND_PER&lt;=B911)*(IND_UF&lt;&gt;"")*IND_PER)),IND_PER,0))))</f>
        <v/>
      </c>
      <c r="AK911" s="87" t="str">
        <f aca="false">IF(AH911="","",IF(COUNTIF(TASA_DESDE,"&lt;="&amp;B911)=0,INDEX(TASA_EMP,1),INDEX(TASA_EMP,COUNTIF(TASA_DESDE,"&lt;="&amp;B911))))</f>
        <v/>
      </c>
    </row>
    <row r="912" customFormat="false" ht="15" hidden="false" customHeight="false" outlineLevel="0" collapsed="false">
      <c r="B912" s="78"/>
      <c r="C912" s="64"/>
      <c r="D912" s="72" t="str">
        <f aca="false">IF(C912="","",IFERROR(INDEX(T_NOMBRE,MATCH(C912,T_ID,0)),"⚠ ID no existe"))</f>
        <v/>
      </c>
      <c r="E912" s="69"/>
      <c r="F912" s="67"/>
      <c r="G912" s="67"/>
      <c r="H912" s="67"/>
      <c r="I912" s="67"/>
      <c r="J912" s="67"/>
      <c r="K912" s="85" t="str">
        <f aca="false">IF(AH912="","",N(F912)+N(G912)+N(H912)-N(I912)+N(J912))</f>
        <v/>
      </c>
      <c r="L912" s="67"/>
      <c r="M912" s="67"/>
      <c r="N912" s="67"/>
      <c r="O912" s="67"/>
      <c r="P912" s="85" t="str">
        <f aca="false">IF(AH912="","",K912+N(L912)+N(M912)+N(N912)+N(O912))</f>
        <v/>
      </c>
      <c r="Q912" s="67"/>
      <c r="R912" s="67"/>
      <c r="S912" s="67"/>
      <c r="T912" s="67"/>
      <c r="U912" s="67"/>
      <c r="V912" s="67"/>
      <c r="W912" s="85" t="str">
        <f aca="false">IF(AH912="","",N(Q912)+N(R912)+N(S912)+N(T912)+N(U912)+N(V912))</f>
        <v/>
      </c>
      <c r="X912" s="85" t="str">
        <f aca="false">IF(AH912="","",P912-W912)</f>
        <v/>
      </c>
      <c r="Y912" s="67"/>
      <c r="Z912" s="70" t="str">
        <f aca="false">IF(OR(AH912="",Y912=""),"",IF(ABS(X912-Y912)&lt;=1,"✓ Cuadra","⚠ Diferencia $"&amp;FIXED(X912-Y912,0)))</f>
        <v/>
      </c>
      <c r="AA912" s="72" t="str">
        <f aca="false">IF(AH912="","",IFERROR(INDEX(C_TIPO,MATCH(C912&amp;"-P"&amp;MAX(1,COUNTIFS(C_ID,C912,C_DEFINE,"Sí",C_INICIO,"&lt;="&amp;EOMONTH(B912,0))),C_CLAVE,0))&amp;"","Sin dato"))</f>
        <v/>
      </c>
      <c r="AB912" s="71" t="str">
        <f aca="false">IF(AH912="","",ROUND(MIN(K912,TOPE_AFP_UF*AJ912)*AK912,0))</f>
        <v/>
      </c>
      <c r="AC912" s="71" t="str">
        <f aca="false">IF(AH912="","",ROUND(MIN(K912,TOPE_AFC_UF*AJ912)*IF(AA912="Indefinido",AFC_EMP_INDEF,AFC_EMP_PF),0))</f>
        <v/>
      </c>
      <c r="AD912" s="71" t="str">
        <f aca="false">IF(AH912="","",ROUND(MIN(K912,TOPE_AFP_UF*AJ912)*(MUTUAL_BASICA+MUTUAL_ADIC+SANNA),0))</f>
        <v/>
      </c>
      <c r="AE912" s="71" t="str">
        <f aca="false">IF(AH912="","",P912-N(N912)+AB912+AC912+AD912)</f>
        <v/>
      </c>
      <c r="AF912" s="65"/>
      <c r="AG912" s="64"/>
      <c r="AH912" s="72" t="str">
        <f aca="false">IF(OR(B912="",C912=""),"",C912&amp;"|"&amp;(YEAR(B912)*100+MONTH(B912)))</f>
        <v/>
      </c>
      <c r="AI912" s="70" t="str">
        <f aca="false">IF(AH912="","",IF(COUNTIF(L_CLAVE,AH912)&gt;1,"⚠ Duplicado","OK"))</f>
        <v/>
      </c>
      <c r="AJ912" s="86" t="str">
        <f aca="false">IF(AH912="","",IF(SUMPRODUCT(MAX((IND_PER&lt;=B912)*(IND_UF&lt;&gt;"")*IND_PER))=0,UF_HOY,INDEX(IND_UF,MATCH(SUMPRODUCT(MAX((IND_PER&lt;=B912)*(IND_UF&lt;&gt;"")*IND_PER)),IND_PER,0))))</f>
        <v/>
      </c>
      <c r="AK912" s="87" t="str">
        <f aca="false">IF(AH912="","",IF(COUNTIF(TASA_DESDE,"&lt;="&amp;B912)=0,INDEX(TASA_EMP,1),INDEX(TASA_EMP,COUNTIF(TASA_DESDE,"&lt;="&amp;B912))))</f>
        <v/>
      </c>
    </row>
    <row r="913" customFormat="false" ht="15" hidden="false" customHeight="false" outlineLevel="0" collapsed="false">
      <c r="B913" s="78"/>
      <c r="C913" s="64"/>
      <c r="D913" s="72" t="str">
        <f aca="false">IF(C913="","",IFERROR(INDEX(T_NOMBRE,MATCH(C913,T_ID,0)),"⚠ ID no existe"))</f>
        <v/>
      </c>
      <c r="E913" s="69"/>
      <c r="F913" s="67"/>
      <c r="G913" s="67"/>
      <c r="H913" s="67"/>
      <c r="I913" s="67"/>
      <c r="J913" s="67"/>
      <c r="K913" s="85" t="str">
        <f aca="false">IF(AH913="","",N(F913)+N(G913)+N(H913)-N(I913)+N(J913))</f>
        <v/>
      </c>
      <c r="L913" s="67"/>
      <c r="M913" s="67"/>
      <c r="N913" s="67"/>
      <c r="O913" s="67"/>
      <c r="P913" s="85" t="str">
        <f aca="false">IF(AH913="","",K913+N(L913)+N(M913)+N(N913)+N(O913))</f>
        <v/>
      </c>
      <c r="Q913" s="67"/>
      <c r="R913" s="67"/>
      <c r="S913" s="67"/>
      <c r="T913" s="67"/>
      <c r="U913" s="67"/>
      <c r="V913" s="67"/>
      <c r="W913" s="85" t="str">
        <f aca="false">IF(AH913="","",N(Q913)+N(R913)+N(S913)+N(T913)+N(U913)+N(V913))</f>
        <v/>
      </c>
      <c r="X913" s="85" t="str">
        <f aca="false">IF(AH913="","",P913-W913)</f>
        <v/>
      </c>
      <c r="Y913" s="67"/>
      <c r="Z913" s="70" t="str">
        <f aca="false">IF(OR(AH913="",Y913=""),"",IF(ABS(X913-Y913)&lt;=1,"✓ Cuadra","⚠ Diferencia $"&amp;FIXED(X913-Y913,0)))</f>
        <v/>
      </c>
      <c r="AA913" s="72" t="str">
        <f aca="false">IF(AH913="","",IFERROR(INDEX(C_TIPO,MATCH(C913&amp;"-P"&amp;MAX(1,COUNTIFS(C_ID,C913,C_DEFINE,"Sí",C_INICIO,"&lt;="&amp;EOMONTH(B913,0))),C_CLAVE,0))&amp;"","Sin dato"))</f>
        <v/>
      </c>
      <c r="AB913" s="71" t="str">
        <f aca="false">IF(AH913="","",ROUND(MIN(K913,TOPE_AFP_UF*AJ913)*AK913,0))</f>
        <v/>
      </c>
      <c r="AC913" s="71" t="str">
        <f aca="false">IF(AH913="","",ROUND(MIN(K913,TOPE_AFC_UF*AJ913)*IF(AA913="Indefinido",AFC_EMP_INDEF,AFC_EMP_PF),0))</f>
        <v/>
      </c>
      <c r="AD913" s="71" t="str">
        <f aca="false">IF(AH913="","",ROUND(MIN(K913,TOPE_AFP_UF*AJ913)*(MUTUAL_BASICA+MUTUAL_ADIC+SANNA),0))</f>
        <v/>
      </c>
      <c r="AE913" s="71" t="str">
        <f aca="false">IF(AH913="","",P913-N(N913)+AB913+AC913+AD913)</f>
        <v/>
      </c>
      <c r="AF913" s="65"/>
      <c r="AG913" s="64"/>
      <c r="AH913" s="72" t="str">
        <f aca="false">IF(OR(B913="",C913=""),"",C913&amp;"|"&amp;(YEAR(B913)*100+MONTH(B913)))</f>
        <v/>
      </c>
      <c r="AI913" s="70" t="str">
        <f aca="false">IF(AH913="","",IF(COUNTIF(L_CLAVE,AH913)&gt;1,"⚠ Duplicado","OK"))</f>
        <v/>
      </c>
      <c r="AJ913" s="86" t="str">
        <f aca="false">IF(AH913="","",IF(SUMPRODUCT(MAX((IND_PER&lt;=B913)*(IND_UF&lt;&gt;"")*IND_PER))=0,UF_HOY,INDEX(IND_UF,MATCH(SUMPRODUCT(MAX((IND_PER&lt;=B913)*(IND_UF&lt;&gt;"")*IND_PER)),IND_PER,0))))</f>
        <v/>
      </c>
      <c r="AK913" s="87" t="str">
        <f aca="false">IF(AH913="","",IF(COUNTIF(TASA_DESDE,"&lt;="&amp;B913)=0,INDEX(TASA_EMP,1),INDEX(TASA_EMP,COUNTIF(TASA_DESDE,"&lt;="&amp;B913))))</f>
        <v/>
      </c>
    </row>
    <row r="914" customFormat="false" ht="15" hidden="false" customHeight="false" outlineLevel="0" collapsed="false">
      <c r="B914" s="78"/>
      <c r="C914" s="64"/>
      <c r="D914" s="72" t="str">
        <f aca="false">IF(C914="","",IFERROR(INDEX(T_NOMBRE,MATCH(C914,T_ID,0)),"⚠ ID no existe"))</f>
        <v/>
      </c>
      <c r="E914" s="69"/>
      <c r="F914" s="67"/>
      <c r="G914" s="67"/>
      <c r="H914" s="67"/>
      <c r="I914" s="67"/>
      <c r="J914" s="67"/>
      <c r="K914" s="85" t="str">
        <f aca="false">IF(AH914="","",N(F914)+N(G914)+N(H914)-N(I914)+N(J914))</f>
        <v/>
      </c>
      <c r="L914" s="67"/>
      <c r="M914" s="67"/>
      <c r="N914" s="67"/>
      <c r="O914" s="67"/>
      <c r="P914" s="85" t="str">
        <f aca="false">IF(AH914="","",K914+N(L914)+N(M914)+N(N914)+N(O914))</f>
        <v/>
      </c>
      <c r="Q914" s="67"/>
      <c r="R914" s="67"/>
      <c r="S914" s="67"/>
      <c r="T914" s="67"/>
      <c r="U914" s="67"/>
      <c r="V914" s="67"/>
      <c r="W914" s="85" t="str">
        <f aca="false">IF(AH914="","",N(Q914)+N(R914)+N(S914)+N(T914)+N(U914)+N(V914))</f>
        <v/>
      </c>
      <c r="X914" s="85" t="str">
        <f aca="false">IF(AH914="","",P914-W914)</f>
        <v/>
      </c>
      <c r="Y914" s="67"/>
      <c r="Z914" s="70" t="str">
        <f aca="false">IF(OR(AH914="",Y914=""),"",IF(ABS(X914-Y914)&lt;=1,"✓ Cuadra","⚠ Diferencia $"&amp;FIXED(X914-Y914,0)))</f>
        <v/>
      </c>
      <c r="AA914" s="72" t="str">
        <f aca="false">IF(AH914="","",IFERROR(INDEX(C_TIPO,MATCH(C914&amp;"-P"&amp;MAX(1,COUNTIFS(C_ID,C914,C_DEFINE,"Sí",C_INICIO,"&lt;="&amp;EOMONTH(B914,0))),C_CLAVE,0))&amp;"","Sin dato"))</f>
        <v/>
      </c>
      <c r="AB914" s="71" t="str">
        <f aca="false">IF(AH914="","",ROUND(MIN(K914,TOPE_AFP_UF*AJ914)*AK914,0))</f>
        <v/>
      </c>
      <c r="AC914" s="71" t="str">
        <f aca="false">IF(AH914="","",ROUND(MIN(K914,TOPE_AFC_UF*AJ914)*IF(AA914="Indefinido",AFC_EMP_INDEF,AFC_EMP_PF),0))</f>
        <v/>
      </c>
      <c r="AD914" s="71" t="str">
        <f aca="false">IF(AH914="","",ROUND(MIN(K914,TOPE_AFP_UF*AJ914)*(MUTUAL_BASICA+MUTUAL_ADIC+SANNA),0))</f>
        <v/>
      </c>
      <c r="AE914" s="71" t="str">
        <f aca="false">IF(AH914="","",P914-N(N914)+AB914+AC914+AD914)</f>
        <v/>
      </c>
      <c r="AF914" s="65"/>
      <c r="AG914" s="64"/>
      <c r="AH914" s="72" t="str">
        <f aca="false">IF(OR(B914="",C914=""),"",C914&amp;"|"&amp;(YEAR(B914)*100+MONTH(B914)))</f>
        <v/>
      </c>
      <c r="AI914" s="70" t="str">
        <f aca="false">IF(AH914="","",IF(COUNTIF(L_CLAVE,AH914)&gt;1,"⚠ Duplicado","OK"))</f>
        <v/>
      </c>
      <c r="AJ914" s="86" t="str">
        <f aca="false">IF(AH914="","",IF(SUMPRODUCT(MAX((IND_PER&lt;=B914)*(IND_UF&lt;&gt;"")*IND_PER))=0,UF_HOY,INDEX(IND_UF,MATCH(SUMPRODUCT(MAX((IND_PER&lt;=B914)*(IND_UF&lt;&gt;"")*IND_PER)),IND_PER,0))))</f>
        <v/>
      </c>
      <c r="AK914" s="87" t="str">
        <f aca="false">IF(AH914="","",IF(COUNTIF(TASA_DESDE,"&lt;="&amp;B914)=0,INDEX(TASA_EMP,1),INDEX(TASA_EMP,COUNTIF(TASA_DESDE,"&lt;="&amp;B914))))</f>
        <v/>
      </c>
    </row>
    <row r="915" customFormat="false" ht="15" hidden="false" customHeight="false" outlineLevel="0" collapsed="false">
      <c r="B915" s="78"/>
      <c r="C915" s="64"/>
      <c r="D915" s="72" t="str">
        <f aca="false">IF(C915="","",IFERROR(INDEX(T_NOMBRE,MATCH(C915,T_ID,0)),"⚠ ID no existe"))</f>
        <v/>
      </c>
      <c r="E915" s="69"/>
      <c r="F915" s="67"/>
      <c r="G915" s="67"/>
      <c r="H915" s="67"/>
      <c r="I915" s="67"/>
      <c r="J915" s="67"/>
      <c r="K915" s="85" t="str">
        <f aca="false">IF(AH915="","",N(F915)+N(G915)+N(H915)-N(I915)+N(J915))</f>
        <v/>
      </c>
      <c r="L915" s="67"/>
      <c r="M915" s="67"/>
      <c r="N915" s="67"/>
      <c r="O915" s="67"/>
      <c r="P915" s="85" t="str">
        <f aca="false">IF(AH915="","",K915+N(L915)+N(M915)+N(N915)+N(O915))</f>
        <v/>
      </c>
      <c r="Q915" s="67"/>
      <c r="R915" s="67"/>
      <c r="S915" s="67"/>
      <c r="T915" s="67"/>
      <c r="U915" s="67"/>
      <c r="V915" s="67"/>
      <c r="W915" s="85" t="str">
        <f aca="false">IF(AH915="","",N(Q915)+N(R915)+N(S915)+N(T915)+N(U915)+N(V915))</f>
        <v/>
      </c>
      <c r="X915" s="85" t="str">
        <f aca="false">IF(AH915="","",P915-W915)</f>
        <v/>
      </c>
      <c r="Y915" s="67"/>
      <c r="Z915" s="70" t="str">
        <f aca="false">IF(OR(AH915="",Y915=""),"",IF(ABS(X915-Y915)&lt;=1,"✓ Cuadra","⚠ Diferencia $"&amp;FIXED(X915-Y915,0)))</f>
        <v/>
      </c>
      <c r="AA915" s="72" t="str">
        <f aca="false">IF(AH915="","",IFERROR(INDEX(C_TIPO,MATCH(C915&amp;"-P"&amp;MAX(1,COUNTIFS(C_ID,C915,C_DEFINE,"Sí",C_INICIO,"&lt;="&amp;EOMONTH(B915,0))),C_CLAVE,0))&amp;"","Sin dato"))</f>
        <v/>
      </c>
      <c r="AB915" s="71" t="str">
        <f aca="false">IF(AH915="","",ROUND(MIN(K915,TOPE_AFP_UF*AJ915)*AK915,0))</f>
        <v/>
      </c>
      <c r="AC915" s="71" t="str">
        <f aca="false">IF(AH915="","",ROUND(MIN(K915,TOPE_AFC_UF*AJ915)*IF(AA915="Indefinido",AFC_EMP_INDEF,AFC_EMP_PF),0))</f>
        <v/>
      </c>
      <c r="AD915" s="71" t="str">
        <f aca="false">IF(AH915="","",ROUND(MIN(K915,TOPE_AFP_UF*AJ915)*(MUTUAL_BASICA+MUTUAL_ADIC+SANNA),0))</f>
        <v/>
      </c>
      <c r="AE915" s="71" t="str">
        <f aca="false">IF(AH915="","",P915-N(N915)+AB915+AC915+AD915)</f>
        <v/>
      </c>
      <c r="AF915" s="65"/>
      <c r="AG915" s="64"/>
      <c r="AH915" s="72" t="str">
        <f aca="false">IF(OR(B915="",C915=""),"",C915&amp;"|"&amp;(YEAR(B915)*100+MONTH(B915)))</f>
        <v/>
      </c>
      <c r="AI915" s="70" t="str">
        <f aca="false">IF(AH915="","",IF(COUNTIF(L_CLAVE,AH915)&gt;1,"⚠ Duplicado","OK"))</f>
        <v/>
      </c>
      <c r="AJ915" s="86" t="str">
        <f aca="false">IF(AH915="","",IF(SUMPRODUCT(MAX((IND_PER&lt;=B915)*(IND_UF&lt;&gt;"")*IND_PER))=0,UF_HOY,INDEX(IND_UF,MATCH(SUMPRODUCT(MAX((IND_PER&lt;=B915)*(IND_UF&lt;&gt;"")*IND_PER)),IND_PER,0))))</f>
        <v/>
      </c>
      <c r="AK915" s="87" t="str">
        <f aca="false">IF(AH915="","",IF(COUNTIF(TASA_DESDE,"&lt;="&amp;B915)=0,INDEX(TASA_EMP,1),INDEX(TASA_EMP,COUNTIF(TASA_DESDE,"&lt;="&amp;B915))))</f>
        <v/>
      </c>
    </row>
    <row r="916" customFormat="false" ht="15" hidden="false" customHeight="false" outlineLevel="0" collapsed="false">
      <c r="B916" s="78"/>
      <c r="C916" s="64"/>
      <c r="D916" s="72" t="str">
        <f aca="false">IF(C916="","",IFERROR(INDEX(T_NOMBRE,MATCH(C916,T_ID,0)),"⚠ ID no existe"))</f>
        <v/>
      </c>
      <c r="E916" s="69"/>
      <c r="F916" s="67"/>
      <c r="G916" s="67"/>
      <c r="H916" s="67"/>
      <c r="I916" s="67"/>
      <c r="J916" s="67"/>
      <c r="K916" s="85" t="str">
        <f aca="false">IF(AH916="","",N(F916)+N(G916)+N(H916)-N(I916)+N(J916))</f>
        <v/>
      </c>
      <c r="L916" s="67"/>
      <c r="M916" s="67"/>
      <c r="N916" s="67"/>
      <c r="O916" s="67"/>
      <c r="P916" s="85" t="str">
        <f aca="false">IF(AH916="","",K916+N(L916)+N(M916)+N(N916)+N(O916))</f>
        <v/>
      </c>
      <c r="Q916" s="67"/>
      <c r="R916" s="67"/>
      <c r="S916" s="67"/>
      <c r="T916" s="67"/>
      <c r="U916" s="67"/>
      <c r="V916" s="67"/>
      <c r="W916" s="85" t="str">
        <f aca="false">IF(AH916="","",N(Q916)+N(R916)+N(S916)+N(T916)+N(U916)+N(V916))</f>
        <v/>
      </c>
      <c r="X916" s="85" t="str">
        <f aca="false">IF(AH916="","",P916-W916)</f>
        <v/>
      </c>
      <c r="Y916" s="67"/>
      <c r="Z916" s="70" t="str">
        <f aca="false">IF(OR(AH916="",Y916=""),"",IF(ABS(X916-Y916)&lt;=1,"✓ Cuadra","⚠ Diferencia $"&amp;FIXED(X916-Y916,0)))</f>
        <v/>
      </c>
      <c r="AA916" s="72" t="str">
        <f aca="false">IF(AH916="","",IFERROR(INDEX(C_TIPO,MATCH(C916&amp;"-P"&amp;MAX(1,COUNTIFS(C_ID,C916,C_DEFINE,"Sí",C_INICIO,"&lt;="&amp;EOMONTH(B916,0))),C_CLAVE,0))&amp;"","Sin dato"))</f>
        <v/>
      </c>
      <c r="AB916" s="71" t="str">
        <f aca="false">IF(AH916="","",ROUND(MIN(K916,TOPE_AFP_UF*AJ916)*AK916,0))</f>
        <v/>
      </c>
      <c r="AC916" s="71" t="str">
        <f aca="false">IF(AH916="","",ROUND(MIN(K916,TOPE_AFC_UF*AJ916)*IF(AA916="Indefinido",AFC_EMP_INDEF,AFC_EMP_PF),0))</f>
        <v/>
      </c>
      <c r="AD916" s="71" t="str">
        <f aca="false">IF(AH916="","",ROUND(MIN(K916,TOPE_AFP_UF*AJ916)*(MUTUAL_BASICA+MUTUAL_ADIC+SANNA),0))</f>
        <v/>
      </c>
      <c r="AE916" s="71" t="str">
        <f aca="false">IF(AH916="","",P916-N(N916)+AB916+AC916+AD916)</f>
        <v/>
      </c>
      <c r="AF916" s="65"/>
      <c r="AG916" s="64"/>
      <c r="AH916" s="72" t="str">
        <f aca="false">IF(OR(B916="",C916=""),"",C916&amp;"|"&amp;(YEAR(B916)*100+MONTH(B916)))</f>
        <v/>
      </c>
      <c r="AI916" s="70" t="str">
        <f aca="false">IF(AH916="","",IF(COUNTIF(L_CLAVE,AH916)&gt;1,"⚠ Duplicado","OK"))</f>
        <v/>
      </c>
      <c r="AJ916" s="86" t="str">
        <f aca="false">IF(AH916="","",IF(SUMPRODUCT(MAX((IND_PER&lt;=B916)*(IND_UF&lt;&gt;"")*IND_PER))=0,UF_HOY,INDEX(IND_UF,MATCH(SUMPRODUCT(MAX((IND_PER&lt;=B916)*(IND_UF&lt;&gt;"")*IND_PER)),IND_PER,0))))</f>
        <v/>
      </c>
      <c r="AK916" s="87" t="str">
        <f aca="false">IF(AH916="","",IF(COUNTIF(TASA_DESDE,"&lt;="&amp;B916)=0,INDEX(TASA_EMP,1),INDEX(TASA_EMP,COUNTIF(TASA_DESDE,"&lt;="&amp;B916))))</f>
        <v/>
      </c>
    </row>
    <row r="917" customFormat="false" ht="15" hidden="false" customHeight="false" outlineLevel="0" collapsed="false">
      <c r="B917" s="78"/>
      <c r="C917" s="64"/>
      <c r="D917" s="72" t="str">
        <f aca="false">IF(C917="","",IFERROR(INDEX(T_NOMBRE,MATCH(C917,T_ID,0)),"⚠ ID no existe"))</f>
        <v/>
      </c>
      <c r="E917" s="69"/>
      <c r="F917" s="67"/>
      <c r="G917" s="67"/>
      <c r="H917" s="67"/>
      <c r="I917" s="67"/>
      <c r="J917" s="67"/>
      <c r="K917" s="85" t="str">
        <f aca="false">IF(AH917="","",N(F917)+N(G917)+N(H917)-N(I917)+N(J917))</f>
        <v/>
      </c>
      <c r="L917" s="67"/>
      <c r="M917" s="67"/>
      <c r="N917" s="67"/>
      <c r="O917" s="67"/>
      <c r="P917" s="85" t="str">
        <f aca="false">IF(AH917="","",K917+N(L917)+N(M917)+N(N917)+N(O917))</f>
        <v/>
      </c>
      <c r="Q917" s="67"/>
      <c r="R917" s="67"/>
      <c r="S917" s="67"/>
      <c r="T917" s="67"/>
      <c r="U917" s="67"/>
      <c r="V917" s="67"/>
      <c r="W917" s="85" t="str">
        <f aca="false">IF(AH917="","",N(Q917)+N(R917)+N(S917)+N(T917)+N(U917)+N(V917))</f>
        <v/>
      </c>
      <c r="X917" s="85" t="str">
        <f aca="false">IF(AH917="","",P917-W917)</f>
        <v/>
      </c>
      <c r="Y917" s="67"/>
      <c r="Z917" s="70" t="str">
        <f aca="false">IF(OR(AH917="",Y917=""),"",IF(ABS(X917-Y917)&lt;=1,"✓ Cuadra","⚠ Diferencia $"&amp;FIXED(X917-Y917,0)))</f>
        <v/>
      </c>
      <c r="AA917" s="72" t="str">
        <f aca="false">IF(AH917="","",IFERROR(INDEX(C_TIPO,MATCH(C917&amp;"-P"&amp;MAX(1,COUNTIFS(C_ID,C917,C_DEFINE,"Sí",C_INICIO,"&lt;="&amp;EOMONTH(B917,0))),C_CLAVE,0))&amp;"","Sin dato"))</f>
        <v/>
      </c>
      <c r="AB917" s="71" t="str">
        <f aca="false">IF(AH917="","",ROUND(MIN(K917,TOPE_AFP_UF*AJ917)*AK917,0))</f>
        <v/>
      </c>
      <c r="AC917" s="71" t="str">
        <f aca="false">IF(AH917="","",ROUND(MIN(K917,TOPE_AFC_UF*AJ917)*IF(AA917="Indefinido",AFC_EMP_INDEF,AFC_EMP_PF),0))</f>
        <v/>
      </c>
      <c r="AD917" s="71" t="str">
        <f aca="false">IF(AH917="","",ROUND(MIN(K917,TOPE_AFP_UF*AJ917)*(MUTUAL_BASICA+MUTUAL_ADIC+SANNA),0))</f>
        <v/>
      </c>
      <c r="AE917" s="71" t="str">
        <f aca="false">IF(AH917="","",P917-N(N917)+AB917+AC917+AD917)</f>
        <v/>
      </c>
      <c r="AF917" s="65"/>
      <c r="AG917" s="64"/>
      <c r="AH917" s="72" t="str">
        <f aca="false">IF(OR(B917="",C917=""),"",C917&amp;"|"&amp;(YEAR(B917)*100+MONTH(B917)))</f>
        <v/>
      </c>
      <c r="AI917" s="70" t="str">
        <f aca="false">IF(AH917="","",IF(COUNTIF(L_CLAVE,AH917)&gt;1,"⚠ Duplicado","OK"))</f>
        <v/>
      </c>
      <c r="AJ917" s="86" t="str">
        <f aca="false">IF(AH917="","",IF(SUMPRODUCT(MAX((IND_PER&lt;=B917)*(IND_UF&lt;&gt;"")*IND_PER))=0,UF_HOY,INDEX(IND_UF,MATCH(SUMPRODUCT(MAX((IND_PER&lt;=B917)*(IND_UF&lt;&gt;"")*IND_PER)),IND_PER,0))))</f>
        <v/>
      </c>
      <c r="AK917" s="87" t="str">
        <f aca="false">IF(AH917="","",IF(COUNTIF(TASA_DESDE,"&lt;="&amp;B917)=0,INDEX(TASA_EMP,1),INDEX(TASA_EMP,COUNTIF(TASA_DESDE,"&lt;="&amp;B917))))</f>
        <v/>
      </c>
    </row>
    <row r="918" customFormat="false" ht="15" hidden="false" customHeight="false" outlineLevel="0" collapsed="false">
      <c r="B918" s="78"/>
      <c r="C918" s="64"/>
      <c r="D918" s="72" t="str">
        <f aca="false">IF(C918="","",IFERROR(INDEX(T_NOMBRE,MATCH(C918,T_ID,0)),"⚠ ID no existe"))</f>
        <v/>
      </c>
      <c r="E918" s="69"/>
      <c r="F918" s="67"/>
      <c r="G918" s="67"/>
      <c r="H918" s="67"/>
      <c r="I918" s="67"/>
      <c r="J918" s="67"/>
      <c r="K918" s="85" t="str">
        <f aca="false">IF(AH918="","",N(F918)+N(G918)+N(H918)-N(I918)+N(J918))</f>
        <v/>
      </c>
      <c r="L918" s="67"/>
      <c r="M918" s="67"/>
      <c r="N918" s="67"/>
      <c r="O918" s="67"/>
      <c r="P918" s="85" t="str">
        <f aca="false">IF(AH918="","",K918+N(L918)+N(M918)+N(N918)+N(O918))</f>
        <v/>
      </c>
      <c r="Q918" s="67"/>
      <c r="R918" s="67"/>
      <c r="S918" s="67"/>
      <c r="T918" s="67"/>
      <c r="U918" s="67"/>
      <c r="V918" s="67"/>
      <c r="W918" s="85" t="str">
        <f aca="false">IF(AH918="","",N(Q918)+N(R918)+N(S918)+N(T918)+N(U918)+N(V918))</f>
        <v/>
      </c>
      <c r="X918" s="85" t="str">
        <f aca="false">IF(AH918="","",P918-W918)</f>
        <v/>
      </c>
      <c r="Y918" s="67"/>
      <c r="Z918" s="70" t="str">
        <f aca="false">IF(OR(AH918="",Y918=""),"",IF(ABS(X918-Y918)&lt;=1,"✓ Cuadra","⚠ Diferencia $"&amp;FIXED(X918-Y918,0)))</f>
        <v/>
      </c>
      <c r="AA918" s="72" t="str">
        <f aca="false">IF(AH918="","",IFERROR(INDEX(C_TIPO,MATCH(C918&amp;"-P"&amp;MAX(1,COUNTIFS(C_ID,C918,C_DEFINE,"Sí",C_INICIO,"&lt;="&amp;EOMONTH(B918,0))),C_CLAVE,0))&amp;"","Sin dato"))</f>
        <v/>
      </c>
      <c r="AB918" s="71" t="str">
        <f aca="false">IF(AH918="","",ROUND(MIN(K918,TOPE_AFP_UF*AJ918)*AK918,0))</f>
        <v/>
      </c>
      <c r="AC918" s="71" t="str">
        <f aca="false">IF(AH918="","",ROUND(MIN(K918,TOPE_AFC_UF*AJ918)*IF(AA918="Indefinido",AFC_EMP_INDEF,AFC_EMP_PF),0))</f>
        <v/>
      </c>
      <c r="AD918" s="71" t="str">
        <f aca="false">IF(AH918="","",ROUND(MIN(K918,TOPE_AFP_UF*AJ918)*(MUTUAL_BASICA+MUTUAL_ADIC+SANNA),0))</f>
        <v/>
      </c>
      <c r="AE918" s="71" t="str">
        <f aca="false">IF(AH918="","",P918-N(N918)+AB918+AC918+AD918)</f>
        <v/>
      </c>
      <c r="AF918" s="65"/>
      <c r="AG918" s="64"/>
      <c r="AH918" s="72" t="str">
        <f aca="false">IF(OR(B918="",C918=""),"",C918&amp;"|"&amp;(YEAR(B918)*100+MONTH(B918)))</f>
        <v/>
      </c>
      <c r="AI918" s="70" t="str">
        <f aca="false">IF(AH918="","",IF(COUNTIF(L_CLAVE,AH918)&gt;1,"⚠ Duplicado","OK"))</f>
        <v/>
      </c>
      <c r="AJ918" s="86" t="str">
        <f aca="false">IF(AH918="","",IF(SUMPRODUCT(MAX((IND_PER&lt;=B918)*(IND_UF&lt;&gt;"")*IND_PER))=0,UF_HOY,INDEX(IND_UF,MATCH(SUMPRODUCT(MAX((IND_PER&lt;=B918)*(IND_UF&lt;&gt;"")*IND_PER)),IND_PER,0))))</f>
        <v/>
      </c>
      <c r="AK918" s="87" t="str">
        <f aca="false">IF(AH918="","",IF(COUNTIF(TASA_DESDE,"&lt;="&amp;B918)=0,INDEX(TASA_EMP,1),INDEX(TASA_EMP,COUNTIF(TASA_DESDE,"&lt;="&amp;B918))))</f>
        <v/>
      </c>
    </row>
    <row r="919" customFormat="false" ht="15" hidden="false" customHeight="false" outlineLevel="0" collapsed="false">
      <c r="B919" s="78"/>
      <c r="C919" s="64"/>
      <c r="D919" s="72" t="str">
        <f aca="false">IF(C919="","",IFERROR(INDEX(T_NOMBRE,MATCH(C919,T_ID,0)),"⚠ ID no existe"))</f>
        <v/>
      </c>
      <c r="E919" s="69"/>
      <c r="F919" s="67"/>
      <c r="G919" s="67"/>
      <c r="H919" s="67"/>
      <c r="I919" s="67"/>
      <c r="J919" s="67"/>
      <c r="K919" s="85" t="str">
        <f aca="false">IF(AH919="","",N(F919)+N(G919)+N(H919)-N(I919)+N(J919))</f>
        <v/>
      </c>
      <c r="L919" s="67"/>
      <c r="M919" s="67"/>
      <c r="N919" s="67"/>
      <c r="O919" s="67"/>
      <c r="P919" s="85" t="str">
        <f aca="false">IF(AH919="","",K919+N(L919)+N(M919)+N(N919)+N(O919))</f>
        <v/>
      </c>
      <c r="Q919" s="67"/>
      <c r="R919" s="67"/>
      <c r="S919" s="67"/>
      <c r="T919" s="67"/>
      <c r="U919" s="67"/>
      <c r="V919" s="67"/>
      <c r="W919" s="85" t="str">
        <f aca="false">IF(AH919="","",N(Q919)+N(R919)+N(S919)+N(T919)+N(U919)+N(V919))</f>
        <v/>
      </c>
      <c r="X919" s="85" t="str">
        <f aca="false">IF(AH919="","",P919-W919)</f>
        <v/>
      </c>
      <c r="Y919" s="67"/>
      <c r="Z919" s="70" t="str">
        <f aca="false">IF(OR(AH919="",Y919=""),"",IF(ABS(X919-Y919)&lt;=1,"✓ Cuadra","⚠ Diferencia $"&amp;FIXED(X919-Y919,0)))</f>
        <v/>
      </c>
      <c r="AA919" s="72" t="str">
        <f aca="false">IF(AH919="","",IFERROR(INDEX(C_TIPO,MATCH(C919&amp;"-P"&amp;MAX(1,COUNTIFS(C_ID,C919,C_DEFINE,"Sí",C_INICIO,"&lt;="&amp;EOMONTH(B919,0))),C_CLAVE,0))&amp;"","Sin dato"))</f>
        <v/>
      </c>
      <c r="AB919" s="71" t="str">
        <f aca="false">IF(AH919="","",ROUND(MIN(K919,TOPE_AFP_UF*AJ919)*AK919,0))</f>
        <v/>
      </c>
      <c r="AC919" s="71" t="str">
        <f aca="false">IF(AH919="","",ROUND(MIN(K919,TOPE_AFC_UF*AJ919)*IF(AA919="Indefinido",AFC_EMP_INDEF,AFC_EMP_PF),0))</f>
        <v/>
      </c>
      <c r="AD919" s="71" t="str">
        <f aca="false">IF(AH919="","",ROUND(MIN(K919,TOPE_AFP_UF*AJ919)*(MUTUAL_BASICA+MUTUAL_ADIC+SANNA),0))</f>
        <v/>
      </c>
      <c r="AE919" s="71" t="str">
        <f aca="false">IF(AH919="","",P919-N(N919)+AB919+AC919+AD919)</f>
        <v/>
      </c>
      <c r="AF919" s="65"/>
      <c r="AG919" s="64"/>
      <c r="AH919" s="72" t="str">
        <f aca="false">IF(OR(B919="",C919=""),"",C919&amp;"|"&amp;(YEAR(B919)*100+MONTH(B919)))</f>
        <v/>
      </c>
      <c r="AI919" s="70" t="str">
        <f aca="false">IF(AH919="","",IF(COUNTIF(L_CLAVE,AH919)&gt;1,"⚠ Duplicado","OK"))</f>
        <v/>
      </c>
      <c r="AJ919" s="86" t="str">
        <f aca="false">IF(AH919="","",IF(SUMPRODUCT(MAX((IND_PER&lt;=B919)*(IND_UF&lt;&gt;"")*IND_PER))=0,UF_HOY,INDEX(IND_UF,MATCH(SUMPRODUCT(MAX((IND_PER&lt;=B919)*(IND_UF&lt;&gt;"")*IND_PER)),IND_PER,0))))</f>
        <v/>
      </c>
      <c r="AK919" s="87" t="str">
        <f aca="false">IF(AH919="","",IF(COUNTIF(TASA_DESDE,"&lt;="&amp;B919)=0,INDEX(TASA_EMP,1),INDEX(TASA_EMP,COUNTIF(TASA_DESDE,"&lt;="&amp;B919))))</f>
        <v/>
      </c>
    </row>
    <row r="920" customFormat="false" ht="15" hidden="false" customHeight="false" outlineLevel="0" collapsed="false">
      <c r="B920" s="78"/>
      <c r="C920" s="64"/>
      <c r="D920" s="72" t="str">
        <f aca="false">IF(C920="","",IFERROR(INDEX(T_NOMBRE,MATCH(C920,T_ID,0)),"⚠ ID no existe"))</f>
        <v/>
      </c>
      <c r="E920" s="69"/>
      <c r="F920" s="67"/>
      <c r="G920" s="67"/>
      <c r="H920" s="67"/>
      <c r="I920" s="67"/>
      <c r="J920" s="67"/>
      <c r="K920" s="85" t="str">
        <f aca="false">IF(AH920="","",N(F920)+N(G920)+N(H920)-N(I920)+N(J920))</f>
        <v/>
      </c>
      <c r="L920" s="67"/>
      <c r="M920" s="67"/>
      <c r="N920" s="67"/>
      <c r="O920" s="67"/>
      <c r="P920" s="85" t="str">
        <f aca="false">IF(AH920="","",K920+N(L920)+N(M920)+N(N920)+N(O920))</f>
        <v/>
      </c>
      <c r="Q920" s="67"/>
      <c r="R920" s="67"/>
      <c r="S920" s="67"/>
      <c r="T920" s="67"/>
      <c r="U920" s="67"/>
      <c r="V920" s="67"/>
      <c r="W920" s="85" t="str">
        <f aca="false">IF(AH920="","",N(Q920)+N(R920)+N(S920)+N(T920)+N(U920)+N(V920))</f>
        <v/>
      </c>
      <c r="X920" s="85" t="str">
        <f aca="false">IF(AH920="","",P920-W920)</f>
        <v/>
      </c>
      <c r="Y920" s="67"/>
      <c r="Z920" s="70" t="str">
        <f aca="false">IF(OR(AH920="",Y920=""),"",IF(ABS(X920-Y920)&lt;=1,"✓ Cuadra","⚠ Diferencia $"&amp;FIXED(X920-Y920,0)))</f>
        <v/>
      </c>
      <c r="AA920" s="72" t="str">
        <f aca="false">IF(AH920="","",IFERROR(INDEX(C_TIPO,MATCH(C920&amp;"-P"&amp;MAX(1,COUNTIFS(C_ID,C920,C_DEFINE,"Sí",C_INICIO,"&lt;="&amp;EOMONTH(B920,0))),C_CLAVE,0))&amp;"","Sin dato"))</f>
        <v/>
      </c>
      <c r="AB920" s="71" t="str">
        <f aca="false">IF(AH920="","",ROUND(MIN(K920,TOPE_AFP_UF*AJ920)*AK920,0))</f>
        <v/>
      </c>
      <c r="AC920" s="71" t="str">
        <f aca="false">IF(AH920="","",ROUND(MIN(K920,TOPE_AFC_UF*AJ920)*IF(AA920="Indefinido",AFC_EMP_INDEF,AFC_EMP_PF),0))</f>
        <v/>
      </c>
      <c r="AD920" s="71" t="str">
        <f aca="false">IF(AH920="","",ROUND(MIN(K920,TOPE_AFP_UF*AJ920)*(MUTUAL_BASICA+MUTUAL_ADIC+SANNA),0))</f>
        <v/>
      </c>
      <c r="AE920" s="71" t="str">
        <f aca="false">IF(AH920="","",P920-N(N920)+AB920+AC920+AD920)</f>
        <v/>
      </c>
      <c r="AF920" s="65"/>
      <c r="AG920" s="64"/>
      <c r="AH920" s="72" t="str">
        <f aca="false">IF(OR(B920="",C920=""),"",C920&amp;"|"&amp;(YEAR(B920)*100+MONTH(B920)))</f>
        <v/>
      </c>
      <c r="AI920" s="70" t="str">
        <f aca="false">IF(AH920="","",IF(COUNTIF(L_CLAVE,AH920)&gt;1,"⚠ Duplicado","OK"))</f>
        <v/>
      </c>
      <c r="AJ920" s="86" t="str">
        <f aca="false">IF(AH920="","",IF(SUMPRODUCT(MAX((IND_PER&lt;=B920)*(IND_UF&lt;&gt;"")*IND_PER))=0,UF_HOY,INDEX(IND_UF,MATCH(SUMPRODUCT(MAX((IND_PER&lt;=B920)*(IND_UF&lt;&gt;"")*IND_PER)),IND_PER,0))))</f>
        <v/>
      </c>
      <c r="AK920" s="87" t="str">
        <f aca="false">IF(AH920="","",IF(COUNTIF(TASA_DESDE,"&lt;="&amp;B920)=0,INDEX(TASA_EMP,1),INDEX(TASA_EMP,COUNTIF(TASA_DESDE,"&lt;="&amp;B920))))</f>
        <v/>
      </c>
    </row>
    <row r="921" customFormat="false" ht="15" hidden="false" customHeight="false" outlineLevel="0" collapsed="false">
      <c r="B921" s="78"/>
      <c r="C921" s="64"/>
      <c r="D921" s="72" t="str">
        <f aca="false">IF(C921="","",IFERROR(INDEX(T_NOMBRE,MATCH(C921,T_ID,0)),"⚠ ID no existe"))</f>
        <v/>
      </c>
      <c r="E921" s="69"/>
      <c r="F921" s="67"/>
      <c r="G921" s="67"/>
      <c r="H921" s="67"/>
      <c r="I921" s="67"/>
      <c r="J921" s="67"/>
      <c r="K921" s="85" t="str">
        <f aca="false">IF(AH921="","",N(F921)+N(G921)+N(H921)-N(I921)+N(J921))</f>
        <v/>
      </c>
      <c r="L921" s="67"/>
      <c r="M921" s="67"/>
      <c r="N921" s="67"/>
      <c r="O921" s="67"/>
      <c r="P921" s="85" t="str">
        <f aca="false">IF(AH921="","",K921+N(L921)+N(M921)+N(N921)+N(O921))</f>
        <v/>
      </c>
      <c r="Q921" s="67"/>
      <c r="R921" s="67"/>
      <c r="S921" s="67"/>
      <c r="T921" s="67"/>
      <c r="U921" s="67"/>
      <c r="V921" s="67"/>
      <c r="W921" s="85" t="str">
        <f aca="false">IF(AH921="","",N(Q921)+N(R921)+N(S921)+N(T921)+N(U921)+N(V921))</f>
        <v/>
      </c>
      <c r="X921" s="85" t="str">
        <f aca="false">IF(AH921="","",P921-W921)</f>
        <v/>
      </c>
      <c r="Y921" s="67"/>
      <c r="Z921" s="70" t="str">
        <f aca="false">IF(OR(AH921="",Y921=""),"",IF(ABS(X921-Y921)&lt;=1,"✓ Cuadra","⚠ Diferencia $"&amp;FIXED(X921-Y921,0)))</f>
        <v/>
      </c>
      <c r="AA921" s="72" t="str">
        <f aca="false">IF(AH921="","",IFERROR(INDEX(C_TIPO,MATCH(C921&amp;"-P"&amp;MAX(1,COUNTIFS(C_ID,C921,C_DEFINE,"Sí",C_INICIO,"&lt;="&amp;EOMONTH(B921,0))),C_CLAVE,0))&amp;"","Sin dato"))</f>
        <v/>
      </c>
      <c r="AB921" s="71" t="str">
        <f aca="false">IF(AH921="","",ROUND(MIN(K921,TOPE_AFP_UF*AJ921)*AK921,0))</f>
        <v/>
      </c>
      <c r="AC921" s="71" t="str">
        <f aca="false">IF(AH921="","",ROUND(MIN(K921,TOPE_AFC_UF*AJ921)*IF(AA921="Indefinido",AFC_EMP_INDEF,AFC_EMP_PF),0))</f>
        <v/>
      </c>
      <c r="AD921" s="71" t="str">
        <f aca="false">IF(AH921="","",ROUND(MIN(K921,TOPE_AFP_UF*AJ921)*(MUTUAL_BASICA+MUTUAL_ADIC+SANNA),0))</f>
        <v/>
      </c>
      <c r="AE921" s="71" t="str">
        <f aca="false">IF(AH921="","",P921-N(N921)+AB921+AC921+AD921)</f>
        <v/>
      </c>
      <c r="AF921" s="65"/>
      <c r="AG921" s="64"/>
      <c r="AH921" s="72" t="str">
        <f aca="false">IF(OR(B921="",C921=""),"",C921&amp;"|"&amp;(YEAR(B921)*100+MONTH(B921)))</f>
        <v/>
      </c>
      <c r="AI921" s="70" t="str">
        <f aca="false">IF(AH921="","",IF(COUNTIF(L_CLAVE,AH921)&gt;1,"⚠ Duplicado","OK"))</f>
        <v/>
      </c>
      <c r="AJ921" s="86" t="str">
        <f aca="false">IF(AH921="","",IF(SUMPRODUCT(MAX((IND_PER&lt;=B921)*(IND_UF&lt;&gt;"")*IND_PER))=0,UF_HOY,INDEX(IND_UF,MATCH(SUMPRODUCT(MAX((IND_PER&lt;=B921)*(IND_UF&lt;&gt;"")*IND_PER)),IND_PER,0))))</f>
        <v/>
      </c>
      <c r="AK921" s="87" t="str">
        <f aca="false">IF(AH921="","",IF(COUNTIF(TASA_DESDE,"&lt;="&amp;B921)=0,INDEX(TASA_EMP,1),INDEX(TASA_EMP,COUNTIF(TASA_DESDE,"&lt;="&amp;B921))))</f>
        <v/>
      </c>
    </row>
    <row r="922" customFormat="false" ht="15" hidden="false" customHeight="false" outlineLevel="0" collapsed="false">
      <c r="B922" s="78"/>
      <c r="C922" s="64"/>
      <c r="D922" s="72" t="str">
        <f aca="false">IF(C922="","",IFERROR(INDEX(T_NOMBRE,MATCH(C922,T_ID,0)),"⚠ ID no existe"))</f>
        <v/>
      </c>
      <c r="E922" s="69"/>
      <c r="F922" s="67"/>
      <c r="G922" s="67"/>
      <c r="H922" s="67"/>
      <c r="I922" s="67"/>
      <c r="J922" s="67"/>
      <c r="K922" s="85" t="str">
        <f aca="false">IF(AH922="","",N(F922)+N(G922)+N(H922)-N(I922)+N(J922))</f>
        <v/>
      </c>
      <c r="L922" s="67"/>
      <c r="M922" s="67"/>
      <c r="N922" s="67"/>
      <c r="O922" s="67"/>
      <c r="P922" s="85" t="str">
        <f aca="false">IF(AH922="","",K922+N(L922)+N(M922)+N(N922)+N(O922))</f>
        <v/>
      </c>
      <c r="Q922" s="67"/>
      <c r="R922" s="67"/>
      <c r="S922" s="67"/>
      <c r="T922" s="67"/>
      <c r="U922" s="67"/>
      <c r="V922" s="67"/>
      <c r="W922" s="85" t="str">
        <f aca="false">IF(AH922="","",N(Q922)+N(R922)+N(S922)+N(T922)+N(U922)+N(V922))</f>
        <v/>
      </c>
      <c r="X922" s="85" t="str">
        <f aca="false">IF(AH922="","",P922-W922)</f>
        <v/>
      </c>
      <c r="Y922" s="67"/>
      <c r="Z922" s="70" t="str">
        <f aca="false">IF(OR(AH922="",Y922=""),"",IF(ABS(X922-Y922)&lt;=1,"✓ Cuadra","⚠ Diferencia $"&amp;FIXED(X922-Y922,0)))</f>
        <v/>
      </c>
      <c r="AA922" s="72" t="str">
        <f aca="false">IF(AH922="","",IFERROR(INDEX(C_TIPO,MATCH(C922&amp;"-P"&amp;MAX(1,COUNTIFS(C_ID,C922,C_DEFINE,"Sí",C_INICIO,"&lt;="&amp;EOMONTH(B922,0))),C_CLAVE,0))&amp;"","Sin dato"))</f>
        <v/>
      </c>
      <c r="AB922" s="71" t="str">
        <f aca="false">IF(AH922="","",ROUND(MIN(K922,TOPE_AFP_UF*AJ922)*AK922,0))</f>
        <v/>
      </c>
      <c r="AC922" s="71" t="str">
        <f aca="false">IF(AH922="","",ROUND(MIN(K922,TOPE_AFC_UF*AJ922)*IF(AA922="Indefinido",AFC_EMP_INDEF,AFC_EMP_PF),0))</f>
        <v/>
      </c>
      <c r="AD922" s="71" t="str">
        <f aca="false">IF(AH922="","",ROUND(MIN(K922,TOPE_AFP_UF*AJ922)*(MUTUAL_BASICA+MUTUAL_ADIC+SANNA),0))</f>
        <v/>
      </c>
      <c r="AE922" s="71" t="str">
        <f aca="false">IF(AH922="","",P922-N(N922)+AB922+AC922+AD922)</f>
        <v/>
      </c>
      <c r="AF922" s="65"/>
      <c r="AG922" s="64"/>
      <c r="AH922" s="72" t="str">
        <f aca="false">IF(OR(B922="",C922=""),"",C922&amp;"|"&amp;(YEAR(B922)*100+MONTH(B922)))</f>
        <v/>
      </c>
      <c r="AI922" s="70" t="str">
        <f aca="false">IF(AH922="","",IF(COUNTIF(L_CLAVE,AH922)&gt;1,"⚠ Duplicado","OK"))</f>
        <v/>
      </c>
      <c r="AJ922" s="86" t="str">
        <f aca="false">IF(AH922="","",IF(SUMPRODUCT(MAX((IND_PER&lt;=B922)*(IND_UF&lt;&gt;"")*IND_PER))=0,UF_HOY,INDEX(IND_UF,MATCH(SUMPRODUCT(MAX((IND_PER&lt;=B922)*(IND_UF&lt;&gt;"")*IND_PER)),IND_PER,0))))</f>
        <v/>
      </c>
      <c r="AK922" s="87" t="str">
        <f aca="false">IF(AH922="","",IF(COUNTIF(TASA_DESDE,"&lt;="&amp;B922)=0,INDEX(TASA_EMP,1),INDEX(TASA_EMP,COUNTIF(TASA_DESDE,"&lt;="&amp;B922))))</f>
        <v/>
      </c>
    </row>
    <row r="923" customFormat="false" ht="15" hidden="false" customHeight="false" outlineLevel="0" collapsed="false">
      <c r="B923" s="78"/>
      <c r="C923" s="64"/>
      <c r="D923" s="72" t="str">
        <f aca="false">IF(C923="","",IFERROR(INDEX(T_NOMBRE,MATCH(C923,T_ID,0)),"⚠ ID no existe"))</f>
        <v/>
      </c>
      <c r="E923" s="69"/>
      <c r="F923" s="67"/>
      <c r="G923" s="67"/>
      <c r="H923" s="67"/>
      <c r="I923" s="67"/>
      <c r="J923" s="67"/>
      <c r="K923" s="85" t="str">
        <f aca="false">IF(AH923="","",N(F923)+N(G923)+N(H923)-N(I923)+N(J923))</f>
        <v/>
      </c>
      <c r="L923" s="67"/>
      <c r="M923" s="67"/>
      <c r="N923" s="67"/>
      <c r="O923" s="67"/>
      <c r="P923" s="85" t="str">
        <f aca="false">IF(AH923="","",K923+N(L923)+N(M923)+N(N923)+N(O923))</f>
        <v/>
      </c>
      <c r="Q923" s="67"/>
      <c r="R923" s="67"/>
      <c r="S923" s="67"/>
      <c r="T923" s="67"/>
      <c r="U923" s="67"/>
      <c r="V923" s="67"/>
      <c r="W923" s="85" t="str">
        <f aca="false">IF(AH923="","",N(Q923)+N(R923)+N(S923)+N(T923)+N(U923)+N(V923))</f>
        <v/>
      </c>
      <c r="X923" s="85" t="str">
        <f aca="false">IF(AH923="","",P923-W923)</f>
        <v/>
      </c>
      <c r="Y923" s="67"/>
      <c r="Z923" s="70" t="str">
        <f aca="false">IF(OR(AH923="",Y923=""),"",IF(ABS(X923-Y923)&lt;=1,"✓ Cuadra","⚠ Diferencia $"&amp;FIXED(X923-Y923,0)))</f>
        <v/>
      </c>
      <c r="AA923" s="72" t="str">
        <f aca="false">IF(AH923="","",IFERROR(INDEX(C_TIPO,MATCH(C923&amp;"-P"&amp;MAX(1,COUNTIFS(C_ID,C923,C_DEFINE,"Sí",C_INICIO,"&lt;="&amp;EOMONTH(B923,0))),C_CLAVE,0))&amp;"","Sin dato"))</f>
        <v/>
      </c>
      <c r="AB923" s="71" t="str">
        <f aca="false">IF(AH923="","",ROUND(MIN(K923,TOPE_AFP_UF*AJ923)*AK923,0))</f>
        <v/>
      </c>
      <c r="AC923" s="71" t="str">
        <f aca="false">IF(AH923="","",ROUND(MIN(K923,TOPE_AFC_UF*AJ923)*IF(AA923="Indefinido",AFC_EMP_INDEF,AFC_EMP_PF),0))</f>
        <v/>
      </c>
      <c r="AD923" s="71" t="str">
        <f aca="false">IF(AH923="","",ROUND(MIN(K923,TOPE_AFP_UF*AJ923)*(MUTUAL_BASICA+MUTUAL_ADIC+SANNA),0))</f>
        <v/>
      </c>
      <c r="AE923" s="71" t="str">
        <f aca="false">IF(AH923="","",P923-N(N923)+AB923+AC923+AD923)</f>
        <v/>
      </c>
      <c r="AF923" s="65"/>
      <c r="AG923" s="64"/>
      <c r="AH923" s="72" t="str">
        <f aca="false">IF(OR(B923="",C923=""),"",C923&amp;"|"&amp;(YEAR(B923)*100+MONTH(B923)))</f>
        <v/>
      </c>
      <c r="AI923" s="70" t="str">
        <f aca="false">IF(AH923="","",IF(COUNTIF(L_CLAVE,AH923)&gt;1,"⚠ Duplicado","OK"))</f>
        <v/>
      </c>
      <c r="AJ923" s="86" t="str">
        <f aca="false">IF(AH923="","",IF(SUMPRODUCT(MAX((IND_PER&lt;=B923)*(IND_UF&lt;&gt;"")*IND_PER))=0,UF_HOY,INDEX(IND_UF,MATCH(SUMPRODUCT(MAX((IND_PER&lt;=B923)*(IND_UF&lt;&gt;"")*IND_PER)),IND_PER,0))))</f>
        <v/>
      </c>
      <c r="AK923" s="87" t="str">
        <f aca="false">IF(AH923="","",IF(COUNTIF(TASA_DESDE,"&lt;="&amp;B923)=0,INDEX(TASA_EMP,1),INDEX(TASA_EMP,COUNTIF(TASA_DESDE,"&lt;="&amp;B923))))</f>
        <v/>
      </c>
    </row>
    <row r="924" customFormat="false" ht="15" hidden="false" customHeight="false" outlineLevel="0" collapsed="false">
      <c r="B924" s="78"/>
      <c r="C924" s="64"/>
      <c r="D924" s="72" t="str">
        <f aca="false">IF(C924="","",IFERROR(INDEX(T_NOMBRE,MATCH(C924,T_ID,0)),"⚠ ID no existe"))</f>
        <v/>
      </c>
      <c r="E924" s="69"/>
      <c r="F924" s="67"/>
      <c r="G924" s="67"/>
      <c r="H924" s="67"/>
      <c r="I924" s="67"/>
      <c r="J924" s="67"/>
      <c r="K924" s="85" t="str">
        <f aca="false">IF(AH924="","",N(F924)+N(G924)+N(H924)-N(I924)+N(J924))</f>
        <v/>
      </c>
      <c r="L924" s="67"/>
      <c r="M924" s="67"/>
      <c r="N924" s="67"/>
      <c r="O924" s="67"/>
      <c r="P924" s="85" t="str">
        <f aca="false">IF(AH924="","",K924+N(L924)+N(M924)+N(N924)+N(O924))</f>
        <v/>
      </c>
      <c r="Q924" s="67"/>
      <c r="R924" s="67"/>
      <c r="S924" s="67"/>
      <c r="T924" s="67"/>
      <c r="U924" s="67"/>
      <c r="V924" s="67"/>
      <c r="W924" s="85" t="str">
        <f aca="false">IF(AH924="","",N(Q924)+N(R924)+N(S924)+N(T924)+N(U924)+N(V924))</f>
        <v/>
      </c>
      <c r="X924" s="85" t="str">
        <f aca="false">IF(AH924="","",P924-W924)</f>
        <v/>
      </c>
      <c r="Y924" s="67"/>
      <c r="Z924" s="70" t="str">
        <f aca="false">IF(OR(AH924="",Y924=""),"",IF(ABS(X924-Y924)&lt;=1,"✓ Cuadra","⚠ Diferencia $"&amp;FIXED(X924-Y924,0)))</f>
        <v/>
      </c>
      <c r="AA924" s="72" t="str">
        <f aca="false">IF(AH924="","",IFERROR(INDEX(C_TIPO,MATCH(C924&amp;"-P"&amp;MAX(1,COUNTIFS(C_ID,C924,C_DEFINE,"Sí",C_INICIO,"&lt;="&amp;EOMONTH(B924,0))),C_CLAVE,0))&amp;"","Sin dato"))</f>
        <v/>
      </c>
      <c r="AB924" s="71" t="str">
        <f aca="false">IF(AH924="","",ROUND(MIN(K924,TOPE_AFP_UF*AJ924)*AK924,0))</f>
        <v/>
      </c>
      <c r="AC924" s="71" t="str">
        <f aca="false">IF(AH924="","",ROUND(MIN(K924,TOPE_AFC_UF*AJ924)*IF(AA924="Indefinido",AFC_EMP_INDEF,AFC_EMP_PF),0))</f>
        <v/>
      </c>
      <c r="AD924" s="71" t="str">
        <f aca="false">IF(AH924="","",ROUND(MIN(K924,TOPE_AFP_UF*AJ924)*(MUTUAL_BASICA+MUTUAL_ADIC+SANNA),0))</f>
        <v/>
      </c>
      <c r="AE924" s="71" t="str">
        <f aca="false">IF(AH924="","",P924-N(N924)+AB924+AC924+AD924)</f>
        <v/>
      </c>
      <c r="AF924" s="65"/>
      <c r="AG924" s="64"/>
      <c r="AH924" s="72" t="str">
        <f aca="false">IF(OR(B924="",C924=""),"",C924&amp;"|"&amp;(YEAR(B924)*100+MONTH(B924)))</f>
        <v/>
      </c>
      <c r="AI924" s="70" t="str">
        <f aca="false">IF(AH924="","",IF(COUNTIF(L_CLAVE,AH924)&gt;1,"⚠ Duplicado","OK"))</f>
        <v/>
      </c>
      <c r="AJ924" s="86" t="str">
        <f aca="false">IF(AH924="","",IF(SUMPRODUCT(MAX((IND_PER&lt;=B924)*(IND_UF&lt;&gt;"")*IND_PER))=0,UF_HOY,INDEX(IND_UF,MATCH(SUMPRODUCT(MAX((IND_PER&lt;=B924)*(IND_UF&lt;&gt;"")*IND_PER)),IND_PER,0))))</f>
        <v/>
      </c>
      <c r="AK924" s="87" t="str">
        <f aca="false">IF(AH924="","",IF(COUNTIF(TASA_DESDE,"&lt;="&amp;B924)=0,INDEX(TASA_EMP,1),INDEX(TASA_EMP,COUNTIF(TASA_DESDE,"&lt;="&amp;B924))))</f>
        <v/>
      </c>
    </row>
    <row r="925" customFormat="false" ht="15" hidden="false" customHeight="false" outlineLevel="0" collapsed="false">
      <c r="B925" s="78"/>
      <c r="C925" s="64"/>
      <c r="D925" s="72" t="str">
        <f aca="false">IF(C925="","",IFERROR(INDEX(T_NOMBRE,MATCH(C925,T_ID,0)),"⚠ ID no existe"))</f>
        <v/>
      </c>
      <c r="E925" s="69"/>
      <c r="F925" s="67"/>
      <c r="G925" s="67"/>
      <c r="H925" s="67"/>
      <c r="I925" s="67"/>
      <c r="J925" s="67"/>
      <c r="K925" s="85" t="str">
        <f aca="false">IF(AH925="","",N(F925)+N(G925)+N(H925)-N(I925)+N(J925))</f>
        <v/>
      </c>
      <c r="L925" s="67"/>
      <c r="M925" s="67"/>
      <c r="N925" s="67"/>
      <c r="O925" s="67"/>
      <c r="P925" s="85" t="str">
        <f aca="false">IF(AH925="","",K925+N(L925)+N(M925)+N(N925)+N(O925))</f>
        <v/>
      </c>
      <c r="Q925" s="67"/>
      <c r="R925" s="67"/>
      <c r="S925" s="67"/>
      <c r="T925" s="67"/>
      <c r="U925" s="67"/>
      <c r="V925" s="67"/>
      <c r="W925" s="85" t="str">
        <f aca="false">IF(AH925="","",N(Q925)+N(R925)+N(S925)+N(T925)+N(U925)+N(V925))</f>
        <v/>
      </c>
      <c r="X925" s="85" t="str">
        <f aca="false">IF(AH925="","",P925-W925)</f>
        <v/>
      </c>
      <c r="Y925" s="67"/>
      <c r="Z925" s="70" t="str">
        <f aca="false">IF(OR(AH925="",Y925=""),"",IF(ABS(X925-Y925)&lt;=1,"✓ Cuadra","⚠ Diferencia $"&amp;FIXED(X925-Y925,0)))</f>
        <v/>
      </c>
      <c r="AA925" s="72" t="str">
        <f aca="false">IF(AH925="","",IFERROR(INDEX(C_TIPO,MATCH(C925&amp;"-P"&amp;MAX(1,COUNTIFS(C_ID,C925,C_DEFINE,"Sí",C_INICIO,"&lt;="&amp;EOMONTH(B925,0))),C_CLAVE,0))&amp;"","Sin dato"))</f>
        <v/>
      </c>
      <c r="AB925" s="71" t="str">
        <f aca="false">IF(AH925="","",ROUND(MIN(K925,TOPE_AFP_UF*AJ925)*AK925,0))</f>
        <v/>
      </c>
      <c r="AC925" s="71" t="str">
        <f aca="false">IF(AH925="","",ROUND(MIN(K925,TOPE_AFC_UF*AJ925)*IF(AA925="Indefinido",AFC_EMP_INDEF,AFC_EMP_PF),0))</f>
        <v/>
      </c>
      <c r="AD925" s="71" t="str">
        <f aca="false">IF(AH925="","",ROUND(MIN(K925,TOPE_AFP_UF*AJ925)*(MUTUAL_BASICA+MUTUAL_ADIC+SANNA),0))</f>
        <v/>
      </c>
      <c r="AE925" s="71" t="str">
        <f aca="false">IF(AH925="","",P925-N(N925)+AB925+AC925+AD925)</f>
        <v/>
      </c>
      <c r="AF925" s="65"/>
      <c r="AG925" s="64"/>
      <c r="AH925" s="72" t="str">
        <f aca="false">IF(OR(B925="",C925=""),"",C925&amp;"|"&amp;(YEAR(B925)*100+MONTH(B925)))</f>
        <v/>
      </c>
      <c r="AI925" s="70" t="str">
        <f aca="false">IF(AH925="","",IF(COUNTIF(L_CLAVE,AH925)&gt;1,"⚠ Duplicado","OK"))</f>
        <v/>
      </c>
      <c r="AJ925" s="86" t="str">
        <f aca="false">IF(AH925="","",IF(SUMPRODUCT(MAX((IND_PER&lt;=B925)*(IND_UF&lt;&gt;"")*IND_PER))=0,UF_HOY,INDEX(IND_UF,MATCH(SUMPRODUCT(MAX((IND_PER&lt;=B925)*(IND_UF&lt;&gt;"")*IND_PER)),IND_PER,0))))</f>
        <v/>
      </c>
      <c r="AK925" s="87" t="str">
        <f aca="false">IF(AH925="","",IF(COUNTIF(TASA_DESDE,"&lt;="&amp;B925)=0,INDEX(TASA_EMP,1),INDEX(TASA_EMP,COUNTIF(TASA_DESDE,"&lt;="&amp;B925))))</f>
        <v/>
      </c>
    </row>
    <row r="926" customFormat="false" ht="15" hidden="false" customHeight="false" outlineLevel="0" collapsed="false">
      <c r="B926" s="78"/>
      <c r="C926" s="64"/>
      <c r="D926" s="72" t="str">
        <f aca="false">IF(C926="","",IFERROR(INDEX(T_NOMBRE,MATCH(C926,T_ID,0)),"⚠ ID no existe"))</f>
        <v/>
      </c>
      <c r="E926" s="69"/>
      <c r="F926" s="67"/>
      <c r="G926" s="67"/>
      <c r="H926" s="67"/>
      <c r="I926" s="67"/>
      <c r="J926" s="67"/>
      <c r="K926" s="85" t="str">
        <f aca="false">IF(AH926="","",N(F926)+N(G926)+N(H926)-N(I926)+N(J926))</f>
        <v/>
      </c>
      <c r="L926" s="67"/>
      <c r="M926" s="67"/>
      <c r="N926" s="67"/>
      <c r="O926" s="67"/>
      <c r="P926" s="85" t="str">
        <f aca="false">IF(AH926="","",K926+N(L926)+N(M926)+N(N926)+N(O926))</f>
        <v/>
      </c>
      <c r="Q926" s="67"/>
      <c r="R926" s="67"/>
      <c r="S926" s="67"/>
      <c r="T926" s="67"/>
      <c r="U926" s="67"/>
      <c r="V926" s="67"/>
      <c r="W926" s="85" t="str">
        <f aca="false">IF(AH926="","",N(Q926)+N(R926)+N(S926)+N(T926)+N(U926)+N(V926))</f>
        <v/>
      </c>
      <c r="X926" s="85" t="str">
        <f aca="false">IF(AH926="","",P926-W926)</f>
        <v/>
      </c>
      <c r="Y926" s="67"/>
      <c r="Z926" s="70" t="str">
        <f aca="false">IF(OR(AH926="",Y926=""),"",IF(ABS(X926-Y926)&lt;=1,"✓ Cuadra","⚠ Diferencia $"&amp;FIXED(X926-Y926,0)))</f>
        <v/>
      </c>
      <c r="AA926" s="72" t="str">
        <f aca="false">IF(AH926="","",IFERROR(INDEX(C_TIPO,MATCH(C926&amp;"-P"&amp;MAX(1,COUNTIFS(C_ID,C926,C_DEFINE,"Sí",C_INICIO,"&lt;="&amp;EOMONTH(B926,0))),C_CLAVE,0))&amp;"","Sin dato"))</f>
        <v/>
      </c>
      <c r="AB926" s="71" t="str">
        <f aca="false">IF(AH926="","",ROUND(MIN(K926,TOPE_AFP_UF*AJ926)*AK926,0))</f>
        <v/>
      </c>
      <c r="AC926" s="71" t="str">
        <f aca="false">IF(AH926="","",ROUND(MIN(K926,TOPE_AFC_UF*AJ926)*IF(AA926="Indefinido",AFC_EMP_INDEF,AFC_EMP_PF),0))</f>
        <v/>
      </c>
      <c r="AD926" s="71" t="str">
        <f aca="false">IF(AH926="","",ROUND(MIN(K926,TOPE_AFP_UF*AJ926)*(MUTUAL_BASICA+MUTUAL_ADIC+SANNA),0))</f>
        <v/>
      </c>
      <c r="AE926" s="71" t="str">
        <f aca="false">IF(AH926="","",P926-N(N926)+AB926+AC926+AD926)</f>
        <v/>
      </c>
      <c r="AF926" s="65"/>
      <c r="AG926" s="64"/>
      <c r="AH926" s="72" t="str">
        <f aca="false">IF(OR(B926="",C926=""),"",C926&amp;"|"&amp;(YEAR(B926)*100+MONTH(B926)))</f>
        <v/>
      </c>
      <c r="AI926" s="70" t="str">
        <f aca="false">IF(AH926="","",IF(COUNTIF(L_CLAVE,AH926)&gt;1,"⚠ Duplicado","OK"))</f>
        <v/>
      </c>
      <c r="AJ926" s="86" t="str">
        <f aca="false">IF(AH926="","",IF(SUMPRODUCT(MAX((IND_PER&lt;=B926)*(IND_UF&lt;&gt;"")*IND_PER))=0,UF_HOY,INDEX(IND_UF,MATCH(SUMPRODUCT(MAX((IND_PER&lt;=B926)*(IND_UF&lt;&gt;"")*IND_PER)),IND_PER,0))))</f>
        <v/>
      </c>
      <c r="AK926" s="87" t="str">
        <f aca="false">IF(AH926="","",IF(COUNTIF(TASA_DESDE,"&lt;="&amp;B926)=0,INDEX(TASA_EMP,1),INDEX(TASA_EMP,COUNTIF(TASA_DESDE,"&lt;="&amp;B926))))</f>
        <v/>
      </c>
    </row>
    <row r="927" customFormat="false" ht="15" hidden="false" customHeight="false" outlineLevel="0" collapsed="false">
      <c r="B927" s="78"/>
      <c r="C927" s="64"/>
      <c r="D927" s="72" t="str">
        <f aca="false">IF(C927="","",IFERROR(INDEX(T_NOMBRE,MATCH(C927,T_ID,0)),"⚠ ID no existe"))</f>
        <v/>
      </c>
      <c r="E927" s="69"/>
      <c r="F927" s="67"/>
      <c r="G927" s="67"/>
      <c r="H927" s="67"/>
      <c r="I927" s="67"/>
      <c r="J927" s="67"/>
      <c r="K927" s="85" t="str">
        <f aca="false">IF(AH927="","",N(F927)+N(G927)+N(H927)-N(I927)+N(J927))</f>
        <v/>
      </c>
      <c r="L927" s="67"/>
      <c r="M927" s="67"/>
      <c r="N927" s="67"/>
      <c r="O927" s="67"/>
      <c r="P927" s="85" t="str">
        <f aca="false">IF(AH927="","",K927+N(L927)+N(M927)+N(N927)+N(O927))</f>
        <v/>
      </c>
      <c r="Q927" s="67"/>
      <c r="R927" s="67"/>
      <c r="S927" s="67"/>
      <c r="T927" s="67"/>
      <c r="U927" s="67"/>
      <c r="V927" s="67"/>
      <c r="W927" s="85" t="str">
        <f aca="false">IF(AH927="","",N(Q927)+N(R927)+N(S927)+N(T927)+N(U927)+N(V927))</f>
        <v/>
      </c>
      <c r="X927" s="85" t="str">
        <f aca="false">IF(AH927="","",P927-W927)</f>
        <v/>
      </c>
      <c r="Y927" s="67"/>
      <c r="Z927" s="70" t="str">
        <f aca="false">IF(OR(AH927="",Y927=""),"",IF(ABS(X927-Y927)&lt;=1,"✓ Cuadra","⚠ Diferencia $"&amp;FIXED(X927-Y927,0)))</f>
        <v/>
      </c>
      <c r="AA927" s="72" t="str">
        <f aca="false">IF(AH927="","",IFERROR(INDEX(C_TIPO,MATCH(C927&amp;"-P"&amp;MAX(1,COUNTIFS(C_ID,C927,C_DEFINE,"Sí",C_INICIO,"&lt;="&amp;EOMONTH(B927,0))),C_CLAVE,0))&amp;"","Sin dato"))</f>
        <v/>
      </c>
      <c r="AB927" s="71" t="str">
        <f aca="false">IF(AH927="","",ROUND(MIN(K927,TOPE_AFP_UF*AJ927)*AK927,0))</f>
        <v/>
      </c>
      <c r="AC927" s="71" t="str">
        <f aca="false">IF(AH927="","",ROUND(MIN(K927,TOPE_AFC_UF*AJ927)*IF(AA927="Indefinido",AFC_EMP_INDEF,AFC_EMP_PF),0))</f>
        <v/>
      </c>
      <c r="AD927" s="71" t="str">
        <f aca="false">IF(AH927="","",ROUND(MIN(K927,TOPE_AFP_UF*AJ927)*(MUTUAL_BASICA+MUTUAL_ADIC+SANNA),0))</f>
        <v/>
      </c>
      <c r="AE927" s="71" t="str">
        <f aca="false">IF(AH927="","",P927-N(N927)+AB927+AC927+AD927)</f>
        <v/>
      </c>
      <c r="AF927" s="65"/>
      <c r="AG927" s="64"/>
      <c r="AH927" s="72" t="str">
        <f aca="false">IF(OR(B927="",C927=""),"",C927&amp;"|"&amp;(YEAR(B927)*100+MONTH(B927)))</f>
        <v/>
      </c>
      <c r="AI927" s="70" t="str">
        <f aca="false">IF(AH927="","",IF(COUNTIF(L_CLAVE,AH927)&gt;1,"⚠ Duplicado","OK"))</f>
        <v/>
      </c>
      <c r="AJ927" s="86" t="str">
        <f aca="false">IF(AH927="","",IF(SUMPRODUCT(MAX((IND_PER&lt;=B927)*(IND_UF&lt;&gt;"")*IND_PER))=0,UF_HOY,INDEX(IND_UF,MATCH(SUMPRODUCT(MAX((IND_PER&lt;=B927)*(IND_UF&lt;&gt;"")*IND_PER)),IND_PER,0))))</f>
        <v/>
      </c>
      <c r="AK927" s="87" t="str">
        <f aca="false">IF(AH927="","",IF(COUNTIF(TASA_DESDE,"&lt;="&amp;B927)=0,INDEX(TASA_EMP,1),INDEX(TASA_EMP,COUNTIF(TASA_DESDE,"&lt;="&amp;B927))))</f>
        <v/>
      </c>
    </row>
    <row r="928" customFormat="false" ht="15" hidden="false" customHeight="false" outlineLevel="0" collapsed="false">
      <c r="B928" s="78"/>
      <c r="C928" s="64"/>
      <c r="D928" s="72" t="str">
        <f aca="false">IF(C928="","",IFERROR(INDEX(T_NOMBRE,MATCH(C928,T_ID,0)),"⚠ ID no existe"))</f>
        <v/>
      </c>
      <c r="E928" s="69"/>
      <c r="F928" s="67"/>
      <c r="G928" s="67"/>
      <c r="H928" s="67"/>
      <c r="I928" s="67"/>
      <c r="J928" s="67"/>
      <c r="K928" s="85" t="str">
        <f aca="false">IF(AH928="","",N(F928)+N(G928)+N(H928)-N(I928)+N(J928))</f>
        <v/>
      </c>
      <c r="L928" s="67"/>
      <c r="M928" s="67"/>
      <c r="N928" s="67"/>
      <c r="O928" s="67"/>
      <c r="P928" s="85" t="str">
        <f aca="false">IF(AH928="","",K928+N(L928)+N(M928)+N(N928)+N(O928))</f>
        <v/>
      </c>
      <c r="Q928" s="67"/>
      <c r="R928" s="67"/>
      <c r="S928" s="67"/>
      <c r="T928" s="67"/>
      <c r="U928" s="67"/>
      <c r="V928" s="67"/>
      <c r="W928" s="85" t="str">
        <f aca="false">IF(AH928="","",N(Q928)+N(R928)+N(S928)+N(T928)+N(U928)+N(V928))</f>
        <v/>
      </c>
      <c r="X928" s="85" t="str">
        <f aca="false">IF(AH928="","",P928-W928)</f>
        <v/>
      </c>
      <c r="Y928" s="67"/>
      <c r="Z928" s="70" t="str">
        <f aca="false">IF(OR(AH928="",Y928=""),"",IF(ABS(X928-Y928)&lt;=1,"✓ Cuadra","⚠ Diferencia $"&amp;FIXED(X928-Y928,0)))</f>
        <v/>
      </c>
      <c r="AA928" s="72" t="str">
        <f aca="false">IF(AH928="","",IFERROR(INDEX(C_TIPO,MATCH(C928&amp;"-P"&amp;MAX(1,COUNTIFS(C_ID,C928,C_DEFINE,"Sí",C_INICIO,"&lt;="&amp;EOMONTH(B928,0))),C_CLAVE,0))&amp;"","Sin dato"))</f>
        <v/>
      </c>
      <c r="AB928" s="71" t="str">
        <f aca="false">IF(AH928="","",ROUND(MIN(K928,TOPE_AFP_UF*AJ928)*AK928,0))</f>
        <v/>
      </c>
      <c r="AC928" s="71" t="str">
        <f aca="false">IF(AH928="","",ROUND(MIN(K928,TOPE_AFC_UF*AJ928)*IF(AA928="Indefinido",AFC_EMP_INDEF,AFC_EMP_PF),0))</f>
        <v/>
      </c>
      <c r="AD928" s="71" t="str">
        <f aca="false">IF(AH928="","",ROUND(MIN(K928,TOPE_AFP_UF*AJ928)*(MUTUAL_BASICA+MUTUAL_ADIC+SANNA),0))</f>
        <v/>
      </c>
      <c r="AE928" s="71" t="str">
        <f aca="false">IF(AH928="","",P928-N(N928)+AB928+AC928+AD928)</f>
        <v/>
      </c>
      <c r="AF928" s="65"/>
      <c r="AG928" s="64"/>
      <c r="AH928" s="72" t="str">
        <f aca="false">IF(OR(B928="",C928=""),"",C928&amp;"|"&amp;(YEAR(B928)*100+MONTH(B928)))</f>
        <v/>
      </c>
      <c r="AI928" s="70" t="str">
        <f aca="false">IF(AH928="","",IF(COUNTIF(L_CLAVE,AH928)&gt;1,"⚠ Duplicado","OK"))</f>
        <v/>
      </c>
      <c r="AJ928" s="86" t="str">
        <f aca="false">IF(AH928="","",IF(SUMPRODUCT(MAX((IND_PER&lt;=B928)*(IND_UF&lt;&gt;"")*IND_PER))=0,UF_HOY,INDEX(IND_UF,MATCH(SUMPRODUCT(MAX((IND_PER&lt;=B928)*(IND_UF&lt;&gt;"")*IND_PER)),IND_PER,0))))</f>
        <v/>
      </c>
      <c r="AK928" s="87" t="str">
        <f aca="false">IF(AH928="","",IF(COUNTIF(TASA_DESDE,"&lt;="&amp;B928)=0,INDEX(TASA_EMP,1),INDEX(TASA_EMP,COUNTIF(TASA_DESDE,"&lt;="&amp;B928))))</f>
        <v/>
      </c>
    </row>
    <row r="929" customFormat="false" ht="15" hidden="false" customHeight="false" outlineLevel="0" collapsed="false">
      <c r="B929" s="78"/>
      <c r="C929" s="64"/>
      <c r="D929" s="72" t="str">
        <f aca="false">IF(C929="","",IFERROR(INDEX(T_NOMBRE,MATCH(C929,T_ID,0)),"⚠ ID no existe"))</f>
        <v/>
      </c>
      <c r="E929" s="69"/>
      <c r="F929" s="67"/>
      <c r="G929" s="67"/>
      <c r="H929" s="67"/>
      <c r="I929" s="67"/>
      <c r="J929" s="67"/>
      <c r="K929" s="85" t="str">
        <f aca="false">IF(AH929="","",N(F929)+N(G929)+N(H929)-N(I929)+N(J929))</f>
        <v/>
      </c>
      <c r="L929" s="67"/>
      <c r="M929" s="67"/>
      <c r="N929" s="67"/>
      <c r="O929" s="67"/>
      <c r="P929" s="85" t="str">
        <f aca="false">IF(AH929="","",K929+N(L929)+N(M929)+N(N929)+N(O929))</f>
        <v/>
      </c>
      <c r="Q929" s="67"/>
      <c r="R929" s="67"/>
      <c r="S929" s="67"/>
      <c r="T929" s="67"/>
      <c r="U929" s="67"/>
      <c r="V929" s="67"/>
      <c r="W929" s="85" t="str">
        <f aca="false">IF(AH929="","",N(Q929)+N(R929)+N(S929)+N(T929)+N(U929)+N(V929))</f>
        <v/>
      </c>
      <c r="X929" s="85" t="str">
        <f aca="false">IF(AH929="","",P929-W929)</f>
        <v/>
      </c>
      <c r="Y929" s="67"/>
      <c r="Z929" s="70" t="str">
        <f aca="false">IF(OR(AH929="",Y929=""),"",IF(ABS(X929-Y929)&lt;=1,"✓ Cuadra","⚠ Diferencia $"&amp;FIXED(X929-Y929,0)))</f>
        <v/>
      </c>
      <c r="AA929" s="72" t="str">
        <f aca="false">IF(AH929="","",IFERROR(INDEX(C_TIPO,MATCH(C929&amp;"-P"&amp;MAX(1,COUNTIFS(C_ID,C929,C_DEFINE,"Sí",C_INICIO,"&lt;="&amp;EOMONTH(B929,0))),C_CLAVE,0))&amp;"","Sin dato"))</f>
        <v/>
      </c>
      <c r="AB929" s="71" t="str">
        <f aca="false">IF(AH929="","",ROUND(MIN(K929,TOPE_AFP_UF*AJ929)*AK929,0))</f>
        <v/>
      </c>
      <c r="AC929" s="71" t="str">
        <f aca="false">IF(AH929="","",ROUND(MIN(K929,TOPE_AFC_UF*AJ929)*IF(AA929="Indefinido",AFC_EMP_INDEF,AFC_EMP_PF),0))</f>
        <v/>
      </c>
      <c r="AD929" s="71" t="str">
        <f aca="false">IF(AH929="","",ROUND(MIN(K929,TOPE_AFP_UF*AJ929)*(MUTUAL_BASICA+MUTUAL_ADIC+SANNA),0))</f>
        <v/>
      </c>
      <c r="AE929" s="71" t="str">
        <f aca="false">IF(AH929="","",P929-N(N929)+AB929+AC929+AD929)</f>
        <v/>
      </c>
      <c r="AF929" s="65"/>
      <c r="AG929" s="64"/>
      <c r="AH929" s="72" t="str">
        <f aca="false">IF(OR(B929="",C929=""),"",C929&amp;"|"&amp;(YEAR(B929)*100+MONTH(B929)))</f>
        <v/>
      </c>
      <c r="AI929" s="70" t="str">
        <f aca="false">IF(AH929="","",IF(COUNTIF(L_CLAVE,AH929)&gt;1,"⚠ Duplicado","OK"))</f>
        <v/>
      </c>
      <c r="AJ929" s="86" t="str">
        <f aca="false">IF(AH929="","",IF(SUMPRODUCT(MAX((IND_PER&lt;=B929)*(IND_UF&lt;&gt;"")*IND_PER))=0,UF_HOY,INDEX(IND_UF,MATCH(SUMPRODUCT(MAX((IND_PER&lt;=B929)*(IND_UF&lt;&gt;"")*IND_PER)),IND_PER,0))))</f>
        <v/>
      </c>
      <c r="AK929" s="87" t="str">
        <f aca="false">IF(AH929="","",IF(COUNTIF(TASA_DESDE,"&lt;="&amp;B929)=0,INDEX(TASA_EMP,1),INDEX(TASA_EMP,COUNTIF(TASA_DESDE,"&lt;="&amp;B929))))</f>
        <v/>
      </c>
    </row>
    <row r="930" customFormat="false" ht="15" hidden="false" customHeight="false" outlineLevel="0" collapsed="false">
      <c r="B930" s="78"/>
      <c r="C930" s="64"/>
      <c r="D930" s="72" t="str">
        <f aca="false">IF(C930="","",IFERROR(INDEX(T_NOMBRE,MATCH(C930,T_ID,0)),"⚠ ID no existe"))</f>
        <v/>
      </c>
      <c r="E930" s="69"/>
      <c r="F930" s="67"/>
      <c r="G930" s="67"/>
      <c r="H930" s="67"/>
      <c r="I930" s="67"/>
      <c r="J930" s="67"/>
      <c r="K930" s="85" t="str">
        <f aca="false">IF(AH930="","",N(F930)+N(G930)+N(H930)-N(I930)+N(J930))</f>
        <v/>
      </c>
      <c r="L930" s="67"/>
      <c r="M930" s="67"/>
      <c r="N930" s="67"/>
      <c r="O930" s="67"/>
      <c r="P930" s="85" t="str">
        <f aca="false">IF(AH930="","",K930+N(L930)+N(M930)+N(N930)+N(O930))</f>
        <v/>
      </c>
      <c r="Q930" s="67"/>
      <c r="R930" s="67"/>
      <c r="S930" s="67"/>
      <c r="T930" s="67"/>
      <c r="U930" s="67"/>
      <c r="V930" s="67"/>
      <c r="W930" s="85" t="str">
        <f aca="false">IF(AH930="","",N(Q930)+N(R930)+N(S930)+N(T930)+N(U930)+N(V930))</f>
        <v/>
      </c>
      <c r="X930" s="85" t="str">
        <f aca="false">IF(AH930="","",P930-W930)</f>
        <v/>
      </c>
      <c r="Y930" s="67"/>
      <c r="Z930" s="70" t="str">
        <f aca="false">IF(OR(AH930="",Y930=""),"",IF(ABS(X930-Y930)&lt;=1,"✓ Cuadra","⚠ Diferencia $"&amp;FIXED(X930-Y930,0)))</f>
        <v/>
      </c>
      <c r="AA930" s="72" t="str">
        <f aca="false">IF(AH930="","",IFERROR(INDEX(C_TIPO,MATCH(C930&amp;"-P"&amp;MAX(1,COUNTIFS(C_ID,C930,C_DEFINE,"Sí",C_INICIO,"&lt;="&amp;EOMONTH(B930,0))),C_CLAVE,0))&amp;"","Sin dato"))</f>
        <v/>
      </c>
      <c r="AB930" s="71" t="str">
        <f aca="false">IF(AH930="","",ROUND(MIN(K930,TOPE_AFP_UF*AJ930)*AK930,0))</f>
        <v/>
      </c>
      <c r="AC930" s="71" t="str">
        <f aca="false">IF(AH930="","",ROUND(MIN(K930,TOPE_AFC_UF*AJ930)*IF(AA930="Indefinido",AFC_EMP_INDEF,AFC_EMP_PF),0))</f>
        <v/>
      </c>
      <c r="AD930" s="71" t="str">
        <f aca="false">IF(AH930="","",ROUND(MIN(K930,TOPE_AFP_UF*AJ930)*(MUTUAL_BASICA+MUTUAL_ADIC+SANNA),0))</f>
        <v/>
      </c>
      <c r="AE930" s="71" t="str">
        <f aca="false">IF(AH930="","",P930-N(N930)+AB930+AC930+AD930)</f>
        <v/>
      </c>
      <c r="AF930" s="65"/>
      <c r="AG930" s="64"/>
      <c r="AH930" s="72" t="str">
        <f aca="false">IF(OR(B930="",C930=""),"",C930&amp;"|"&amp;(YEAR(B930)*100+MONTH(B930)))</f>
        <v/>
      </c>
      <c r="AI930" s="70" t="str">
        <f aca="false">IF(AH930="","",IF(COUNTIF(L_CLAVE,AH930)&gt;1,"⚠ Duplicado","OK"))</f>
        <v/>
      </c>
      <c r="AJ930" s="86" t="str">
        <f aca="false">IF(AH930="","",IF(SUMPRODUCT(MAX((IND_PER&lt;=B930)*(IND_UF&lt;&gt;"")*IND_PER))=0,UF_HOY,INDEX(IND_UF,MATCH(SUMPRODUCT(MAX((IND_PER&lt;=B930)*(IND_UF&lt;&gt;"")*IND_PER)),IND_PER,0))))</f>
        <v/>
      </c>
      <c r="AK930" s="87" t="str">
        <f aca="false">IF(AH930="","",IF(COUNTIF(TASA_DESDE,"&lt;="&amp;B930)=0,INDEX(TASA_EMP,1),INDEX(TASA_EMP,COUNTIF(TASA_DESDE,"&lt;="&amp;B930))))</f>
        <v/>
      </c>
    </row>
    <row r="931" customFormat="false" ht="15" hidden="false" customHeight="false" outlineLevel="0" collapsed="false">
      <c r="B931" s="78"/>
      <c r="C931" s="64"/>
      <c r="D931" s="72" t="str">
        <f aca="false">IF(C931="","",IFERROR(INDEX(T_NOMBRE,MATCH(C931,T_ID,0)),"⚠ ID no existe"))</f>
        <v/>
      </c>
      <c r="E931" s="69"/>
      <c r="F931" s="67"/>
      <c r="G931" s="67"/>
      <c r="H931" s="67"/>
      <c r="I931" s="67"/>
      <c r="J931" s="67"/>
      <c r="K931" s="85" t="str">
        <f aca="false">IF(AH931="","",N(F931)+N(G931)+N(H931)-N(I931)+N(J931))</f>
        <v/>
      </c>
      <c r="L931" s="67"/>
      <c r="M931" s="67"/>
      <c r="N931" s="67"/>
      <c r="O931" s="67"/>
      <c r="P931" s="85" t="str">
        <f aca="false">IF(AH931="","",K931+N(L931)+N(M931)+N(N931)+N(O931))</f>
        <v/>
      </c>
      <c r="Q931" s="67"/>
      <c r="R931" s="67"/>
      <c r="S931" s="67"/>
      <c r="T931" s="67"/>
      <c r="U931" s="67"/>
      <c r="V931" s="67"/>
      <c r="W931" s="85" t="str">
        <f aca="false">IF(AH931="","",N(Q931)+N(R931)+N(S931)+N(T931)+N(U931)+N(V931))</f>
        <v/>
      </c>
      <c r="X931" s="85" t="str">
        <f aca="false">IF(AH931="","",P931-W931)</f>
        <v/>
      </c>
      <c r="Y931" s="67"/>
      <c r="Z931" s="70" t="str">
        <f aca="false">IF(OR(AH931="",Y931=""),"",IF(ABS(X931-Y931)&lt;=1,"✓ Cuadra","⚠ Diferencia $"&amp;FIXED(X931-Y931,0)))</f>
        <v/>
      </c>
      <c r="AA931" s="72" t="str">
        <f aca="false">IF(AH931="","",IFERROR(INDEX(C_TIPO,MATCH(C931&amp;"-P"&amp;MAX(1,COUNTIFS(C_ID,C931,C_DEFINE,"Sí",C_INICIO,"&lt;="&amp;EOMONTH(B931,0))),C_CLAVE,0))&amp;"","Sin dato"))</f>
        <v/>
      </c>
      <c r="AB931" s="71" t="str">
        <f aca="false">IF(AH931="","",ROUND(MIN(K931,TOPE_AFP_UF*AJ931)*AK931,0))</f>
        <v/>
      </c>
      <c r="AC931" s="71" t="str">
        <f aca="false">IF(AH931="","",ROUND(MIN(K931,TOPE_AFC_UF*AJ931)*IF(AA931="Indefinido",AFC_EMP_INDEF,AFC_EMP_PF),0))</f>
        <v/>
      </c>
      <c r="AD931" s="71" t="str">
        <f aca="false">IF(AH931="","",ROUND(MIN(K931,TOPE_AFP_UF*AJ931)*(MUTUAL_BASICA+MUTUAL_ADIC+SANNA),0))</f>
        <v/>
      </c>
      <c r="AE931" s="71" t="str">
        <f aca="false">IF(AH931="","",P931-N(N931)+AB931+AC931+AD931)</f>
        <v/>
      </c>
      <c r="AF931" s="65"/>
      <c r="AG931" s="64"/>
      <c r="AH931" s="72" t="str">
        <f aca="false">IF(OR(B931="",C931=""),"",C931&amp;"|"&amp;(YEAR(B931)*100+MONTH(B931)))</f>
        <v/>
      </c>
      <c r="AI931" s="70" t="str">
        <f aca="false">IF(AH931="","",IF(COUNTIF(L_CLAVE,AH931)&gt;1,"⚠ Duplicado","OK"))</f>
        <v/>
      </c>
      <c r="AJ931" s="86" t="str">
        <f aca="false">IF(AH931="","",IF(SUMPRODUCT(MAX((IND_PER&lt;=B931)*(IND_UF&lt;&gt;"")*IND_PER))=0,UF_HOY,INDEX(IND_UF,MATCH(SUMPRODUCT(MAX((IND_PER&lt;=B931)*(IND_UF&lt;&gt;"")*IND_PER)),IND_PER,0))))</f>
        <v/>
      </c>
      <c r="AK931" s="87" t="str">
        <f aca="false">IF(AH931="","",IF(COUNTIF(TASA_DESDE,"&lt;="&amp;B931)=0,INDEX(TASA_EMP,1),INDEX(TASA_EMP,COUNTIF(TASA_DESDE,"&lt;="&amp;B931))))</f>
        <v/>
      </c>
    </row>
    <row r="932" customFormat="false" ht="15" hidden="false" customHeight="false" outlineLevel="0" collapsed="false">
      <c r="B932" s="78"/>
      <c r="C932" s="64"/>
      <c r="D932" s="72" t="str">
        <f aca="false">IF(C932="","",IFERROR(INDEX(T_NOMBRE,MATCH(C932,T_ID,0)),"⚠ ID no existe"))</f>
        <v/>
      </c>
      <c r="E932" s="69"/>
      <c r="F932" s="67"/>
      <c r="G932" s="67"/>
      <c r="H932" s="67"/>
      <c r="I932" s="67"/>
      <c r="J932" s="67"/>
      <c r="K932" s="85" t="str">
        <f aca="false">IF(AH932="","",N(F932)+N(G932)+N(H932)-N(I932)+N(J932))</f>
        <v/>
      </c>
      <c r="L932" s="67"/>
      <c r="M932" s="67"/>
      <c r="N932" s="67"/>
      <c r="O932" s="67"/>
      <c r="P932" s="85" t="str">
        <f aca="false">IF(AH932="","",K932+N(L932)+N(M932)+N(N932)+N(O932))</f>
        <v/>
      </c>
      <c r="Q932" s="67"/>
      <c r="R932" s="67"/>
      <c r="S932" s="67"/>
      <c r="T932" s="67"/>
      <c r="U932" s="67"/>
      <c r="V932" s="67"/>
      <c r="W932" s="85" t="str">
        <f aca="false">IF(AH932="","",N(Q932)+N(R932)+N(S932)+N(T932)+N(U932)+N(V932))</f>
        <v/>
      </c>
      <c r="X932" s="85" t="str">
        <f aca="false">IF(AH932="","",P932-W932)</f>
        <v/>
      </c>
      <c r="Y932" s="67"/>
      <c r="Z932" s="70" t="str">
        <f aca="false">IF(OR(AH932="",Y932=""),"",IF(ABS(X932-Y932)&lt;=1,"✓ Cuadra","⚠ Diferencia $"&amp;FIXED(X932-Y932,0)))</f>
        <v/>
      </c>
      <c r="AA932" s="72" t="str">
        <f aca="false">IF(AH932="","",IFERROR(INDEX(C_TIPO,MATCH(C932&amp;"-P"&amp;MAX(1,COUNTIFS(C_ID,C932,C_DEFINE,"Sí",C_INICIO,"&lt;="&amp;EOMONTH(B932,0))),C_CLAVE,0))&amp;"","Sin dato"))</f>
        <v/>
      </c>
      <c r="AB932" s="71" t="str">
        <f aca="false">IF(AH932="","",ROUND(MIN(K932,TOPE_AFP_UF*AJ932)*AK932,0))</f>
        <v/>
      </c>
      <c r="AC932" s="71" t="str">
        <f aca="false">IF(AH932="","",ROUND(MIN(K932,TOPE_AFC_UF*AJ932)*IF(AA932="Indefinido",AFC_EMP_INDEF,AFC_EMP_PF),0))</f>
        <v/>
      </c>
      <c r="AD932" s="71" t="str">
        <f aca="false">IF(AH932="","",ROUND(MIN(K932,TOPE_AFP_UF*AJ932)*(MUTUAL_BASICA+MUTUAL_ADIC+SANNA),0))</f>
        <v/>
      </c>
      <c r="AE932" s="71" t="str">
        <f aca="false">IF(AH932="","",P932-N(N932)+AB932+AC932+AD932)</f>
        <v/>
      </c>
      <c r="AF932" s="65"/>
      <c r="AG932" s="64"/>
      <c r="AH932" s="72" t="str">
        <f aca="false">IF(OR(B932="",C932=""),"",C932&amp;"|"&amp;(YEAR(B932)*100+MONTH(B932)))</f>
        <v/>
      </c>
      <c r="AI932" s="70" t="str">
        <f aca="false">IF(AH932="","",IF(COUNTIF(L_CLAVE,AH932)&gt;1,"⚠ Duplicado","OK"))</f>
        <v/>
      </c>
      <c r="AJ932" s="86" t="str">
        <f aca="false">IF(AH932="","",IF(SUMPRODUCT(MAX((IND_PER&lt;=B932)*(IND_UF&lt;&gt;"")*IND_PER))=0,UF_HOY,INDEX(IND_UF,MATCH(SUMPRODUCT(MAX((IND_PER&lt;=B932)*(IND_UF&lt;&gt;"")*IND_PER)),IND_PER,0))))</f>
        <v/>
      </c>
      <c r="AK932" s="87" t="str">
        <f aca="false">IF(AH932="","",IF(COUNTIF(TASA_DESDE,"&lt;="&amp;B932)=0,INDEX(TASA_EMP,1),INDEX(TASA_EMP,COUNTIF(TASA_DESDE,"&lt;="&amp;B932))))</f>
        <v/>
      </c>
    </row>
    <row r="933" customFormat="false" ht="15" hidden="false" customHeight="false" outlineLevel="0" collapsed="false">
      <c r="B933" s="78"/>
      <c r="C933" s="64"/>
      <c r="D933" s="72" t="str">
        <f aca="false">IF(C933="","",IFERROR(INDEX(T_NOMBRE,MATCH(C933,T_ID,0)),"⚠ ID no existe"))</f>
        <v/>
      </c>
      <c r="E933" s="69"/>
      <c r="F933" s="67"/>
      <c r="G933" s="67"/>
      <c r="H933" s="67"/>
      <c r="I933" s="67"/>
      <c r="J933" s="67"/>
      <c r="K933" s="85" t="str">
        <f aca="false">IF(AH933="","",N(F933)+N(G933)+N(H933)-N(I933)+N(J933))</f>
        <v/>
      </c>
      <c r="L933" s="67"/>
      <c r="M933" s="67"/>
      <c r="N933" s="67"/>
      <c r="O933" s="67"/>
      <c r="P933" s="85" t="str">
        <f aca="false">IF(AH933="","",K933+N(L933)+N(M933)+N(N933)+N(O933))</f>
        <v/>
      </c>
      <c r="Q933" s="67"/>
      <c r="R933" s="67"/>
      <c r="S933" s="67"/>
      <c r="T933" s="67"/>
      <c r="U933" s="67"/>
      <c r="V933" s="67"/>
      <c r="W933" s="85" t="str">
        <f aca="false">IF(AH933="","",N(Q933)+N(R933)+N(S933)+N(T933)+N(U933)+N(V933))</f>
        <v/>
      </c>
      <c r="X933" s="85" t="str">
        <f aca="false">IF(AH933="","",P933-W933)</f>
        <v/>
      </c>
      <c r="Y933" s="67"/>
      <c r="Z933" s="70" t="str">
        <f aca="false">IF(OR(AH933="",Y933=""),"",IF(ABS(X933-Y933)&lt;=1,"✓ Cuadra","⚠ Diferencia $"&amp;FIXED(X933-Y933,0)))</f>
        <v/>
      </c>
      <c r="AA933" s="72" t="str">
        <f aca="false">IF(AH933="","",IFERROR(INDEX(C_TIPO,MATCH(C933&amp;"-P"&amp;MAX(1,COUNTIFS(C_ID,C933,C_DEFINE,"Sí",C_INICIO,"&lt;="&amp;EOMONTH(B933,0))),C_CLAVE,0))&amp;"","Sin dato"))</f>
        <v/>
      </c>
      <c r="AB933" s="71" t="str">
        <f aca="false">IF(AH933="","",ROUND(MIN(K933,TOPE_AFP_UF*AJ933)*AK933,0))</f>
        <v/>
      </c>
      <c r="AC933" s="71" t="str">
        <f aca="false">IF(AH933="","",ROUND(MIN(K933,TOPE_AFC_UF*AJ933)*IF(AA933="Indefinido",AFC_EMP_INDEF,AFC_EMP_PF),0))</f>
        <v/>
      </c>
      <c r="AD933" s="71" t="str">
        <f aca="false">IF(AH933="","",ROUND(MIN(K933,TOPE_AFP_UF*AJ933)*(MUTUAL_BASICA+MUTUAL_ADIC+SANNA),0))</f>
        <v/>
      </c>
      <c r="AE933" s="71" t="str">
        <f aca="false">IF(AH933="","",P933-N(N933)+AB933+AC933+AD933)</f>
        <v/>
      </c>
      <c r="AF933" s="65"/>
      <c r="AG933" s="64"/>
      <c r="AH933" s="72" t="str">
        <f aca="false">IF(OR(B933="",C933=""),"",C933&amp;"|"&amp;(YEAR(B933)*100+MONTH(B933)))</f>
        <v/>
      </c>
      <c r="AI933" s="70" t="str">
        <f aca="false">IF(AH933="","",IF(COUNTIF(L_CLAVE,AH933)&gt;1,"⚠ Duplicado","OK"))</f>
        <v/>
      </c>
      <c r="AJ933" s="86" t="str">
        <f aca="false">IF(AH933="","",IF(SUMPRODUCT(MAX((IND_PER&lt;=B933)*(IND_UF&lt;&gt;"")*IND_PER))=0,UF_HOY,INDEX(IND_UF,MATCH(SUMPRODUCT(MAX((IND_PER&lt;=B933)*(IND_UF&lt;&gt;"")*IND_PER)),IND_PER,0))))</f>
        <v/>
      </c>
      <c r="AK933" s="87" t="str">
        <f aca="false">IF(AH933="","",IF(COUNTIF(TASA_DESDE,"&lt;="&amp;B933)=0,INDEX(TASA_EMP,1),INDEX(TASA_EMP,COUNTIF(TASA_DESDE,"&lt;="&amp;B933))))</f>
        <v/>
      </c>
    </row>
    <row r="934" customFormat="false" ht="15" hidden="false" customHeight="false" outlineLevel="0" collapsed="false">
      <c r="B934" s="78"/>
      <c r="C934" s="64"/>
      <c r="D934" s="72" t="str">
        <f aca="false">IF(C934="","",IFERROR(INDEX(T_NOMBRE,MATCH(C934,T_ID,0)),"⚠ ID no existe"))</f>
        <v/>
      </c>
      <c r="E934" s="69"/>
      <c r="F934" s="67"/>
      <c r="G934" s="67"/>
      <c r="H934" s="67"/>
      <c r="I934" s="67"/>
      <c r="J934" s="67"/>
      <c r="K934" s="85" t="str">
        <f aca="false">IF(AH934="","",N(F934)+N(G934)+N(H934)-N(I934)+N(J934))</f>
        <v/>
      </c>
      <c r="L934" s="67"/>
      <c r="M934" s="67"/>
      <c r="N934" s="67"/>
      <c r="O934" s="67"/>
      <c r="P934" s="85" t="str">
        <f aca="false">IF(AH934="","",K934+N(L934)+N(M934)+N(N934)+N(O934))</f>
        <v/>
      </c>
      <c r="Q934" s="67"/>
      <c r="R934" s="67"/>
      <c r="S934" s="67"/>
      <c r="T934" s="67"/>
      <c r="U934" s="67"/>
      <c r="V934" s="67"/>
      <c r="W934" s="85" t="str">
        <f aca="false">IF(AH934="","",N(Q934)+N(R934)+N(S934)+N(T934)+N(U934)+N(V934))</f>
        <v/>
      </c>
      <c r="X934" s="85" t="str">
        <f aca="false">IF(AH934="","",P934-W934)</f>
        <v/>
      </c>
      <c r="Y934" s="67"/>
      <c r="Z934" s="70" t="str">
        <f aca="false">IF(OR(AH934="",Y934=""),"",IF(ABS(X934-Y934)&lt;=1,"✓ Cuadra","⚠ Diferencia $"&amp;FIXED(X934-Y934,0)))</f>
        <v/>
      </c>
      <c r="AA934" s="72" t="str">
        <f aca="false">IF(AH934="","",IFERROR(INDEX(C_TIPO,MATCH(C934&amp;"-P"&amp;MAX(1,COUNTIFS(C_ID,C934,C_DEFINE,"Sí",C_INICIO,"&lt;="&amp;EOMONTH(B934,0))),C_CLAVE,0))&amp;"","Sin dato"))</f>
        <v/>
      </c>
      <c r="AB934" s="71" t="str">
        <f aca="false">IF(AH934="","",ROUND(MIN(K934,TOPE_AFP_UF*AJ934)*AK934,0))</f>
        <v/>
      </c>
      <c r="AC934" s="71" t="str">
        <f aca="false">IF(AH934="","",ROUND(MIN(K934,TOPE_AFC_UF*AJ934)*IF(AA934="Indefinido",AFC_EMP_INDEF,AFC_EMP_PF),0))</f>
        <v/>
      </c>
      <c r="AD934" s="71" t="str">
        <f aca="false">IF(AH934="","",ROUND(MIN(K934,TOPE_AFP_UF*AJ934)*(MUTUAL_BASICA+MUTUAL_ADIC+SANNA),0))</f>
        <v/>
      </c>
      <c r="AE934" s="71" t="str">
        <f aca="false">IF(AH934="","",P934-N(N934)+AB934+AC934+AD934)</f>
        <v/>
      </c>
      <c r="AF934" s="65"/>
      <c r="AG934" s="64"/>
      <c r="AH934" s="72" t="str">
        <f aca="false">IF(OR(B934="",C934=""),"",C934&amp;"|"&amp;(YEAR(B934)*100+MONTH(B934)))</f>
        <v/>
      </c>
      <c r="AI934" s="70" t="str">
        <f aca="false">IF(AH934="","",IF(COUNTIF(L_CLAVE,AH934)&gt;1,"⚠ Duplicado","OK"))</f>
        <v/>
      </c>
      <c r="AJ934" s="86" t="str">
        <f aca="false">IF(AH934="","",IF(SUMPRODUCT(MAX((IND_PER&lt;=B934)*(IND_UF&lt;&gt;"")*IND_PER))=0,UF_HOY,INDEX(IND_UF,MATCH(SUMPRODUCT(MAX((IND_PER&lt;=B934)*(IND_UF&lt;&gt;"")*IND_PER)),IND_PER,0))))</f>
        <v/>
      </c>
      <c r="AK934" s="87" t="str">
        <f aca="false">IF(AH934="","",IF(COUNTIF(TASA_DESDE,"&lt;="&amp;B934)=0,INDEX(TASA_EMP,1),INDEX(TASA_EMP,COUNTIF(TASA_DESDE,"&lt;="&amp;B934))))</f>
        <v/>
      </c>
    </row>
    <row r="935" customFormat="false" ht="15" hidden="false" customHeight="false" outlineLevel="0" collapsed="false">
      <c r="B935" s="78"/>
      <c r="C935" s="64"/>
      <c r="D935" s="72" t="str">
        <f aca="false">IF(C935="","",IFERROR(INDEX(T_NOMBRE,MATCH(C935,T_ID,0)),"⚠ ID no existe"))</f>
        <v/>
      </c>
      <c r="E935" s="69"/>
      <c r="F935" s="67"/>
      <c r="G935" s="67"/>
      <c r="H935" s="67"/>
      <c r="I935" s="67"/>
      <c r="J935" s="67"/>
      <c r="K935" s="85" t="str">
        <f aca="false">IF(AH935="","",N(F935)+N(G935)+N(H935)-N(I935)+N(J935))</f>
        <v/>
      </c>
      <c r="L935" s="67"/>
      <c r="M935" s="67"/>
      <c r="N935" s="67"/>
      <c r="O935" s="67"/>
      <c r="P935" s="85" t="str">
        <f aca="false">IF(AH935="","",K935+N(L935)+N(M935)+N(N935)+N(O935))</f>
        <v/>
      </c>
      <c r="Q935" s="67"/>
      <c r="R935" s="67"/>
      <c r="S935" s="67"/>
      <c r="T935" s="67"/>
      <c r="U935" s="67"/>
      <c r="V935" s="67"/>
      <c r="W935" s="85" t="str">
        <f aca="false">IF(AH935="","",N(Q935)+N(R935)+N(S935)+N(T935)+N(U935)+N(V935))</f>
        <v/>
      </c>
      <c r="X935" s="85" t="str">
        <f aca="false">IF(AH935="","",P935-W935)</f>
        <v/>
      </c>
      <c r="Y935" s="67"/>
      <c r="Z935" s="70" t="str">
        <f aca="false">IF(OR(AH935="",Y935=""),"",IF(ABS(X935-Y935)&lt;=1,"✓ Cuadra","⚠ Diferencia $"&amp;FIXED(X935-Y935,0)))</f>
        <v/>
      </c>
      <c r="AA935" s="72" t="str">
        <f aca="false">IF(AH935="","",IFERROR(INDEX(C_TIPO,MATCH(C935&amp;"-P"&amp;MAX(1,COUNTIFS(C_ID,C935,C_DEFINE,"Sí",C_INICIO,"&lt;="&amp;EOMONTH(B935,0))),C_CLAVE,0))&amp;"","Sin dato"))</f>
        <v/>
      </c>
      <c r="AB935" s="71" t="str">
        <f aca="false">IF(AH935="","",ROUND(MIN(K935,TOPE_AFP_UF*AJ935)*AK935,0))</f>
        <v/>
      </c>
      <c r="AC935" s="71" t="str">
        <f aca="false">IF(AH935="","",ROUND(MIN(K935,TOPE_AFC_UF*AJ935)*IF(AA935="Indefinido",AFC_EMP_INDEF,AFC_EMP_PF),0))</f>
        <v/>
      </c>
      <c r="AD935" s="71" t="str">
        <f aca="false">IF(AH935="","",ROUND(MIN(K935,TOPE_AFP_UF*AJ935)*(MUTUAL_BASICA+MUTUAL_ADIC+SANNA),0))</f>
        <v/>
      </c>
      <c r="AE935" s="71" t="str">
        <f aca="false">IF(AH935="","",P935-N(N935)+AB935+AC935+AD935)</f>
        <v/>
      </c>
      <c r="AF935" s="65"/>
      <c r="AG935" s="64"/>
      <c r="AH935" s="72" t="str">
        <f aca="false">IF(OR(B935="",C935=""),"",C935&amp;"|"&amp;(YEAR(B935)*100+MONTH(B935)))</f>
        <v/>
      </c>
      <c r="AI935" s="70" t="str">
        <f aca="false">IF(AH935="","",IF(COUNTIF(L_CLAVE,AH935)&gt;1,"⚠ Duplicado","OK"))</f>
        <v/>
      </c>
      <c r="AJ935" s="86" t="str">
        <f aca="false">IF(AH935="","",IF(SUMPRODUCT(MAX((IND_PER&lt;=B935)*(IND_UF&lt;&gt;"")*IND_PER))=0,UF_HOY,INDEX(IND_UF,MATCH(SUMPRODUCT(MAX((IND_PER&lt;=B935)*(IND_UF&lt;&gt;"")*IND_PER)),IND_PER,0))))</f>
        <v/>
      </c>
      <c r="AK935" s="87" t="str">
        <f aca="false">IF(AH935="","",IF(COUNTIF(TASA_DESDE,"&lt;="&amp;B935)=0,INDEX(TASA_EMP,1),INDEX(TASA_EMP,COUNTIF(TASA_DESDE,"&lt;="&amp;B935))))</f>
        <v/>
      </c>
    </row>
    <row r="936" customFormat="false" ht="15" hidden="false" customHeight="false" outlineLevel="0" collapsed="false">
      <c r="B936" s="78"/>
      <c r="C936" s="64"/>
      <c r="D936" s="72" t="str">
        <f aca="false">IF(C936="","",IFERROR(INDEX(T_NOMBRE,MATCH(C936,T_ID,0)),"⚠ ID no existe"))</f>
        <v/>
      </c>
      <c r="E936" s="69"/>
      <c r="F936" s="67"/>
      <c r="G936" s="67"/>
      <c r="H936" s="67"/>
      <c r="I936" s="67"/>
      <c r="J936" s="67"/>
      <c r="K936" s="85" t="str">
        <f aca="false">IF(AH936="","",N(F936)+N(G936)+N(H936)-N(I936)+N(J936))</f>
        <v/>
      </c>
      <c r="L936" s="67"/>
      <c r="M936" s="67"/>
      <c r="N936" s="67"/>
      <c r="O936" s="67"/>
      <c r="P936" s="85" t="str">
        <f aca="false">IF(AH936="","",K936+N(L936)+N(M936)+N(N936)+N(O936))</f>
        <v/>
      </c>
      <c r="Q936" s="67"/>
      <c r="R936" s="67"/>
      <c r="S936" s="67"/>
      <c r="T936" s="67"/>
      <c r="U936" s="67"/>
      <c r="V936" s="67"/>
      <c r="W936" s="85" t="str">
        <f aca="false">IF(AH936="","",N(Q936)+N(R936)+N(S936)+N(T936)+N(U936)+N(V936))</f>
        <v/>
      </c>
      <c r="X936" s="85" t="str">
        <f aca="false">IF(AH936="","",P936-W936)</f>
        <v/>
      </c>
      <c r="Y936" s="67"/>
      <c r="Z936" s="70" t="str">
        <f aca="false">IF(OR(AH936="",Y936=""),"",IF(ABS(X936-Y936)&lt;=1,"✓ Cuadra","⚠ Diferencia $"&amp;FIXED(X936-Y936,0)))</f>
        <v/>
      </c>
      <c r="AA936" s="72" t="str">
        <f aca="false">IF(AH936="","",IFERROR(INDEX(C_TIPO,MATCH(C936&amp;"-P"&amp;MAX(1,COUNTIFS(C_ID,C936,C_DEFINE,"Sí",C_INICIO,"&lt;="&amp;EOMONTH(B936,0))),C_CLAVE,0))&amp;"","Sin dato"))</f>
        <v/>
      </c>
      <c r="AB936" s="71" t="str">
        <f aca="false">IF(AH936="","",ROUND(MIN(K936,TOPE_AFP_UF*AJ936)*AK936,0))</f>
        <v/>
      </c>
      <c r="AC936" s="71" t="str">
        <f aca="false">IF(AH936="","",ROUND(MIN(K936,TOPE_AFC_UF*AJ936)*IF(AA936="Indefinido",AFC_EMP_INDEF,AFC_EMP_PF),0))</f>
        <v/>
      </c>
      <c r="AD936" s="71" t="str">
        <f aca="false">IF(AH936="","",ROUND(MIN(K936,TOPE_AFP_UF*AJ936)*(MUTUAL_BASICA+MUTUAL_ADIC+SANNA),0))</f>
        <v/>
      </c>
      <c r="AE936" s="71" t="str">
        <f aca="false">IF(AH936="","",P936-N(N936)+AB936+AC936+AD936)</f>
        <v/>
      </c>
      <c r="AF936" s="65"/>
      <c r="AG936" s="64"/>
      <c r="AH936" s="72" t="str">
        <f aca="false">IF(OR(B936="",C936=""),"",C936&amp;"|"&amp;(YEAR(B936)*100+MONTH(B936)))</f>
        <v/>
      </c>
      <c r="AI936" s="70" t="str">
        <f aca="false">IF(AH936="","",IF(COUNTIF(L_CLAVE,AH936)&gt;1,"⚠ Duplicado","OK"))</f>
        <v/>
      </c>
      <c r="AJ936" s="86" t="str">
        <f aca="false">IF(AH936="","",IF(SUMPRODUCT(MAX((IND_PER&lt;=B936)*(IND_UF&lt;&gt;"")*IND_PER))=0,UF_HOY,INDEX(IND_UF,MATCH(SUMPRODUCT(MAX((IND_PER&lt;=B936)*(IND_UF&lt;&gt;"")*IND_PER)),IND_PER,0))))</f>
        <v/>
      </c>
      <c r="AK936" s="87" t="str">
        <f aca="false">IF(AH936="","",IF(COUNTIF(TASA_DESDE,"&lt;="&amp;B936)=0,INDEX(TASA_EMP,1),INDEX(TASA_EMP,COUNTIF(TASA_DESDE,"&lt;="&amp;B936))))</f>
        <v/>
      </c>
    </row>
    <row r="937" customFormat="false" ht="15" hidden="false" customHeight="false" outlineLevel="0" collapsed="false">
      <c r="B937" s="78"/>
      <c r="C937" s="64"/>
      <c r="D937" s="72" t="str">
        <f aca="false">IF(C937="","",IFERROR(INDEX(T_NOMBRE,MATCH(C937,T_ID,0)),"⚠ ID no existe"))</f>
        <v/>
      </c>
      <c r="E937" s="69"/>
      <c r="F937" s="67"/>
      <c r="G937" s="67"/>
      <c r="H937" s="67"/>
      <c r="I937" s="67"/>
      <c r="J937" s="67"/>
      <c r="K937" s="85" t="str">
        <f aca="false">IF(AH937="","",N(F937)+N(G937)+N(H937)-N(I937)+N(J937))</f>
        <v/>
      </c>
      <c r="L937" s="67"/>
      <c r="M937" s="67"/>
      <c r="N937" s="67"/>
      <c r="O937" s="67"/>
      <c r="P937" s="85" t="str">
        <f aca="false">IF(AH937="","",K937+N(L937)+N(M937)+N(N937)+N(O937))</f>
        <v/>
      </c>
      <c r="Q937" s="67"/>
      <c r="R937" s="67"/>
      <c r="S937" s="67"/>
      <c r="T937" s="67"/>
      <c r="U937" s="67"/>
      <c r="V937" s="67"/>
      <c r="W937" s="85" t="str">
        <f aca="false">IF(AH937="","",N(Q937)+N(R937)+N(S937)+N(T937)+N(U937)+N(V937))</f>
        <v/>
      </c>
      <c r="X937" s="85" t="str">
        <f aca="false">IF(AH937="","",P937-W937)</f>
        <v/>
      </c>
      <c r="Y937" s="67"/>
      <c r="Z937" s="70" t="str">
        <f aca="false">IF(OR(AH937="",Y937=""),"",IF(ABS(X937-Y937)&lt;=1,"✓ Cuadra","⚠ Diferencia $"&amp;FIXED(X937-Y937,0)))</f>
        <v/>
      </c>
      <c r="AA937" s="72" t="str">
        <f aca="false">IF(AH937="","",IFERROR(INDEX(C_TIPO,MATCH(C937&amp;"-P"&amp;MAX(1,COUNTIFS(C_ID,C937,C_DEFINE,"Sí",C_INICIO,"&lt;="&amp;EOMONTH(B937,0))),C_CLAVE,0))&amp;"","Sin dato"))</f>
        <v/>
      </c>
      <c r="AB937" s="71" t="str">
        <f aca="false">IF(AH937="","",ROUND(MIN(K937,TOPE_AFP_UF*AJ937)*AK937,0))</f>
        <v/>
      </c>
      <c r="AC937" s="71" t="str">
        <f aca="false">IF(AH937="","",ROUND(MIN(K937,TOPE_AFC_UF*AJ937)*IF(AA937="Indefinido",AFC_EMP_INDEF,AFC_EMP_PF),0))</f>
        <v/>
      </c>
      <c r="AD937" s="71" t="str">
        <f aca="false">IF(AH937="","",ROUND(MIN(K937,TOPE_AFP_UF*AJ937)*(MUTUAL_BASICA+MUTUAL_ADIC+SANNA),0))</f>
        <v/>
      </c>
      <c r="AE937" s="71" t="str">
        <f aca="false">IF(AH937="","",P937-N(N937)+AB937+AC937+AD937)</f>
        <v/>
      </c>
      <c r="AF937" s="65"/>
      <c r="AG937" s="64"/>
      <c r="AH937" s="72" t="str">
        <f aca="false">IF(OR(B937="",C937=""),"",C937&amp;"|"&amp;(YEAR(B937)*100+MONTH(B937)))</f>
        <v/>
      </c>
      <c r="AI937" s="70" t="str">
        <f aca="false">IF(AH937="","",IF(COUNTIF(L_CLAVE,AH937)&gt;1,"⚠ Duplicado","OK"))</f>
        <v/>
      </c>
      <c r="AJ937" s="86" t="str">
        <f aca="false">IF(AH937="","",IF(SUMPRODUCT(MAX((IND_PER&lt;=B937)*(IND_UF&lt;&gt;"")*IND_PER))=0,UF_HOY,INDEX(IND_UF,MATCH(SUMPRODUCT(MAX((IND_PER&lt;=B937)*(IND_UF&lt;&gt;"")*IND_PER)),IND_PER,0))))</f>
        <v/>
      </c>
      <c r="AK937" s="87" t="str">
        <f aca="false">IF(AH937="","",IF(COUNTIF(TASA_DESDE,"&lt;="&amp;B937)=0,INDEX(TASA_EMP,1),INDEX(TASA_EMP,COUNTIF(TASA_DESDE,"&lt;="&amp;B937))))</f>
        <v/>
      </c>
    </row>
    <row r="938" customFormat="false" ht="15" hidden="false" customHeight="false" outlineLevel="0" collapsed="false">
      <c r="B938" s="78"/>
      <c r="C938" s="64"/>
      <c r="D938" s="72" t="str">
        <f aca="false">IF(C938="","",IFERROR(INDEX(T_NOMBRE,MATCH(C938,T_ID,0)),"⚠ ID no existe"))</f>
        <v/>
      </c>
      <c r="E938" s="69"/>
      <c r="F938" s="67"/>
      <c r="G938" s="67"/>
      <c r="H938" s="67"/>
      <c r="I938" s="67"/>
      <c r="J938" s="67"/>
      <c r="K938" s="85" t="str">
        <f aca="false">IF(AH938="","",N(F938)+N(G938)+N(H938)-N(I938)+N(J938))</f>
        <v/>
      </c>
      <c r="L938" s="67"/>
      <c r="M938" s="67"/>
      <c r="N938" s="67"/>
      <c r="O938" s="67"/>
      <c r="P938" s="85" t="str">
        <f aca="false">IF(AH938="","",K938+N(L938)+N(M938)+N(N938)+N(O938))</f>
        <v/>
      </c>
      <c r="Q938" s="67"/>
      <c r="R938" s="67"/>
      <c r="S938" s="67"/>
      <c r="T938" s="67"/>
      <c r="U938" s="67"/>
      <c r="V938" s="67"/>
      <c r="W938" s="85" t="str">
        <f aca="false">IF(AH938="","",N(Q938)+N(R938)+N(S938)+N(T938)+N(U938)+N(V938))</f>
        <v/>
      </c>
      <c r="X938" s="85" t="str">
        <f aca="false">IF(AH938="","",P938-W938)</f>
        <v/>
      </c>
      <c r="Y938" s="67"/>
      <c r="Z938" s="70" t="str">
        <f aca="false">IF(OR(AH938="",Y938=""),"",IF(ABS(X938-Y938)&lt;=1,"✓ Cuadra","⚠ Diferencia $"&amp;FIXED(X938-Y938,0)))</f>
        <v/>
      </c>
      <c r="AA938" s="72" t="str">
        <f aca="false">IF(AH938="","",IFERROR(INDEX(C_TIPO,MATCH(C938&amp;"-P"&amp;MAX(1,COUNTIFS(C_ID,C938,C_DEFINE,"Sí",C_INICIO,"&lt;="&amp;EOMONTH(B938,0))),C_CLAVE,0))&amp;"","Sin dato"))</f>
        <v/>
      </c>
      <c r="AB938" s="71" t="str">
        <f aca="false">IF(AH938="","",ROUND(MIN(K938,TOPE_AFP_UF*AJ938)*AK938,0))</f>
        <v/>
      </c>
      <c r="AC938" s="71" t="str">
        <f aca="false">IF(AH938="","",ROUND(MIN(K938,TOPE_AFC_UF*AJ938)*IF(AA938="Indefinido",AFC_EMP_INDEF,AFC_EMP_PF),0))</f>
        <v/>
      </c>
      <c r="AD938" s="71" t="str">
        <f aca="false">IF(AH938="","",ROUND(MIN(K938,TOPE_AFP_UF*AJ938)*(MUTUAL_BASICA+MUTUAL_ADIC+SANNA),0))</f>
        <v/>
      </c>
      <c r="AE938" s="71" t="str">
        <f aca="false">IF(AH938="","",P938-N(N938)+AB938+AC938+AD938)</f>
        <v/>
      </c>
      <c r="AF938" s="65"/>
      <c r="AG938" s="64"/>
      <c r="AH938" s="72" t="str">
        <f aca="false">IF(OR(B938="",C938=""),"",C938&amp;"|"&amp;(YEAR(B938)*100+MONTH(B938)))</f>
        <v/>
      </c>
      <c r="AI938" s="70" t="str">
        <f aca="false">IF(AH938="","",IF(COUNTIF(L_CLAVE,AH938)&gt;1,"⚠ Duplicado","OK"))</f>
        <v/>
      </c>
      <c r="AJ938" s="86" t="str">
        <f aca="false">IF(AH938="","",IF(SUMPRODUCT(MAX((IND_PER&lt;=B938)*(IND_UF&lt;&gt;"")*IND_PER))=0,UF_HOY,INDEX(IND_UF,MATCH(SUMPRODUCT(MAX((IND_PER&lt;=B938)*(IND_UF&lt;&gt;"")*IND_PER)),IND_PER,0))))</f>
        <v/>
      </c>
      <c r="AK938" s="87" t="str">
        <f aca="false">IF(AH938="","",IF(COUNTIF(TASA_DESDE,"&lt;="&amp;B938)=0,INDEX(TASA_EMP,1),INDEX(TASA_EMP,COUNTIF(TASA_DESDE,"&lt;="&amp;B938))))</f>
        <v/>
      </c>
    </row>
    <row r="939" customFormat="false" ht="15" hidden="false" customHeight="false" outlineLevel="0" collapsed="false">
      <c r="B939" s="78"/>
      <c r="C939" s="64"/>
      <c r="D939" s="72" t="str">
        <f aca="false">IF(C939="","",IFERROR(INDEX(T_NOMBRE,MATCH(C939,T_ID,0)),"⚠ ID no existe"))</f>
        <v/>
      </c>
      <c r="E939" s="69"/>
      <c r="F939" s="67"/>
      <c r="G939" s="67"/>
      <c r="H939" s="67"/>
      <c r="I939" s="67"/>
      <c r="J939" s="67"/>
      <c r="K939" s="85" t="str">
        <f aca="false">IF(AH939="","",N(F939)+N(G939)+N(H939)-N(I939)+N(J939))</f>
        <v/>
      </c>
      <c r="L939" s="67"/>
      <c r="M939" s="67"/>
      <c r="N939" s="67"/>
      <c r="O939" s="67"/>
      <c r="P939" s="85" t="str">
        <f aca="false">IF(AH939="","",K939+N(L939)+N(M939)+N(N939)+N(O939))</f>
        <v/>
      </c>
      <c r="Q939" s="67"/>
      <c r="R939" s="67"/>
      <c r="S939" s="67"/>
      <c r="T939" s="67"/>
      <c r="U939" s="67"/>
      <c r="V939" s="67"/>
      <c r="W939" s="85" t="str">
        <f aca="false">IF(AH939="","",N(Q939)+N(R939)+N(S939)+N(T939)+N(U939)+N(V939))</f>
        <v/>
      </c>
      <c r="X939" s="85" t="str">
        <f aca="false">IF(AH939="","",P939-W939)</f>
        <v/>
      </c>
      <c r="Y939" s="67"/>
      <c r="Z939" s="70" t="str">
        <f aca="false">IF(OR(AH939="",Y939=""),"",IF(ABS(X939-Y939)&lt;=1,"✓ Cuadra","⚠ Diferencia $"&amp;FIXED(X939-Y939,0)))</f>
        <v/>
      </c>
      <c r="AA939" s="72" t="str">
        <f aca="false">IF(AH939="","",IFERROR(INDEX(C_TIPO,MATCH(C939&amp;"-P"&amp;MAX(1,COUNTIFS(C_ID,C939,C_DEFINE,"Sí",C_INICIO,"&lt;="&amp;EOMONTH(B939,0))),C_CLAVE,0))&amp;"","Sin dato"))</f>
        <v/>
      </c>
      <c r="AB939" s="71" t="str">
        <f aca="false">IF(AH939="","",ROUND(MIN(K939,TOPE_AFP_UF*AJ939)*AK939,0))</f>
        <v/>
      </c>
      <c r="AC939" s="71" t="str">
        <f aca="false">IF(AH939="","",ROUND(MIN(K939,TOPE_AFC_UF*AJ939)*IF(AA939="Indefinido",AFC_EMP_INDEF,AFC_EMP_PF),0))</f>
        <v/>
      </c>
      <c r="AD939" s="71" t="str">
        <f aca="false">IF(AH939="","",ROUND(MIN(K939,TOPE_AFP_UF*AJ939)*(MUTUAL_BASICA+MUTUAL_ADIC+SANNA),0))</f>
        <v/>
      </c>
      <c r="AE939" s="71" t="str">
        <f aca="false">IF(AH939="","",P939-N(N939)+AB939+AC939+AD939)</f>
        <v/>
      </c>
      <c r="AF939" s="65"/>
      <c r="AG939" s="64"/>
      <c r="AH939" s="72" t="str">
        <f aca="false">IF(OR(B939="",C939=""),"",C939&amp;"|"&amp;(YEAR(B939)*100+MONTH(B939)))</f>
        <v/>
      </c>
      <c r="AI939" s="70" t="str">
        <f aca="false">IF(AH939="","",IF(COUNTIF(L_CLAVE,AH939)&gt;1,"⚠ Duplicado","OK"))</f>
        <v/>
      </c>
      <c r="AJ939" s="86" t="str">
        <f aca="false">IF(AH939="","",IF(SUMPRODUCT(MAX((IND_PER&lt;=B939)*(IND_UF&lt;&gt;"")*IND_PER))=0,UF_HOY,INDEX(IND_UF,MATCH(SUMPRODUCT(MAX((IND_PER&lt;=B939)*(IND_UF&lt;&gt;"")*IND_PER)),IND_PER,0))))</f>
        <v/>
      </c>
      <c r="AK939" s="87" t="str">
        <f aca="false">IF(AH939="","",IF(COUNTIF(TASA_DESDE,"&lt;="&amp;B939)=0,INDEX(TASA_EMP,1),INDEX(TASA_EMP,COUNTIF(TASA_DESDE,"&lt;="&amp;B939))))</f>
        <v/>
      </c>
    </row>
    <row r="940" customFormat="false" ht="15" hidden="false" customHeight="false" outlineLevel="0" collapsed="false">
      <c r="B940" s="78"/>
      <c r="C940" s="64"/>
      <c r="D940" s="72" t="str">
        <f aca="false">IF(C940="","",IFERROR(INDEX(T_NOMBRE,MATCH(C940,T_ID,0)),"⚠ ID no existe"))</f>
        <v/>
      </c>
      <c r="E940" s="69"/>
      <c r="F940" s="67"/>
      <c r="G940" s="67"/>
      <c r="H940" s="67"/>
      <c r="I940" s="67"/>
      <c r="J940" s="67"/>
      <c r="K940" s="85" t="str">
        <f aca="false">IF(AH940="","",N(F940)+N(G940)+N(H940)-N(I940)+N(J940))</f>
        <v/>
      </c>
      <c r="L940" s="67"/>
      <c r="M940" s="67"/>
      <c r="N940" s="67"/>
      <c r="O940" s="67"/>
      <c r="P940" s="85" t="str">
        <f aca="false">IF(AH940="","",K940+N(L940)+N(M940)+N(N940)+N(O940))</f>
        <v/>
      </c>
      <c r="Q940" s="67"/>
      <c r="R940" s="67"/>
      <c r="S940" s="67"/>
      <c r="T940" s="67"/>
      <c r="U940" s="67"/>
      <c r="V940" s="67"/>
      <c r="W940" s="85" t="str">
        <f aca="false">IF(AH940="","",N(Q940)+N(R940)+N(S940)+N(T940)+N(U940)+N(V940))</f>
        <v/>
      </c>
      <c r="X940" s="85" t="str">
        <f aca="false">IF(AH940="","",P940-W940)</f>
        <v/>
      </c>
      <c r="Y940" s="67"/>
      <c r="Z940" s="70" t="str">
        <f aca="false">IF(OR(AH940="",Y940=""),"",IF(ABS(X940-Y940)&lt;=1,"✓ Cuadra","⚠ Diferencia $"&amp;FIXED(X940-Y940,0)))</f>
        <v/>
      </c>
      <c r="AA940" s="72" t="str">
        <f aca="false">IF(AH940="","",IFERROR(INDEX(C_TIPO,MATCH(C940&amp;"-P"&amp;MAX(1,COUNTIFS(C_ID,C940,C_DEFINE,"Sí",C_INICIO,"&lt;="&amp;EOMONTH(B940,0))),C_CLAVE,0))&amp;"","Sin dato"))</f>
        <v/>
      </c>
      <c r="AB940" s="71" t="str">
        <f aca="false">IF(AH940="","",ROUND(MIN(K940,TOPE_AFP_UF*AJ940)*AK940,0))</f>
        <v/>
      </c>
      <c r="AC940" s="71" t="str">
        <f aca="false">IF(AH940="","",ROUND(MIN(K940,TOPE_AFC_UF*AJ940)*IF(AA940="Indefinido",AFC_EMP_INDEF,AFC_EMP_PF),0))</f>
        <v/>
      </c>
      <c r="AD940" s="71" t="str">
        <f aca="false">IF(AH940="","",ROUND(MIN(K940,TOPE_AFP_UF*AJ940)*(MUTUAL_BASICA+MUTUAL_ADIC+SANNA),0))</f>
        <v/>
      </c>
      <c r="AE940" s="71" t="str">
        <f aca="false">IF(AH940="","",P940-N(N940)+AB940+AC940+AD940)</f>
        <v/>
      </c>
      <c r="AF940" s="65"/>
      <c r="AG940" s="64"/>
      <c r="AH940" s="72" t="str">
        <f aca="false">IF(OR(B940="",C940=""),"",C940&amp;"|"&amp;(YEAR(B940)*100+MONTH(B940)))</f>
        <v/>
      </c>
      <c r="AI940" s="70" t="str">
        <f aca="false">IF(AH940="","",IF(COUNTIF(L_CLAVE,AH940)&gt;1,"⚠ Duplicado","OK"))</f>
        <v/>
      </c>
      <c r="AJ940" s="86" t="str">
        <f aca="false">IF(AH940="","",IF(SUMPRODUCT(MAX((IND_PER&lt;=B940)*(IND_UF&lt;&gt;"")*IND_PER))=0,UF_HOY,INDEX(IND_UF,MATCH(SUMPRODUCT(MAX((IND_PER&lt;=B940)*(IND_UF&lt;&gt;"")*IND_PER)),IND_PER,0))))</f>
        <v/>
      </c>
      <c r="AK940" s="87" t="str">
        <f aca="false">IF(AH940="","",IF(COUNTIF(TASA_DESDE,"&lt;="&amp;B940)=0,INDEX(TASA_EMP,1),INDEX(TASA_EMP,COUNTIF(TASA_DESDE,"&lt;="&amp;B940))))</f>
        <v/>
      </c>
    </row>
    <row r="941" customFormat="false" ht="15" hidden="false" customHeight="false" outlineLevel="0" collapsed="false">
      <c r="B941" s="78"/>
      <c r="C941" s="64"/>
      <c r="D941" s="72" t="str">
        <f aca="false">IF(C941="","",IFERROR(INDEX(T_NOMBRE,MATCH(C941,T_ID,0)),"⚠ ID no existe"))</f>
        <v/>
      </c>
      <c r="E941" s="69"/>
      <c r="F941" s="67"/>
      <c r="G941" s="67"/>
      <c r="H941" s="67"/>
      <c r="I941" s="67"/>
      <c r="J941" s="67"/>
      <c r="K941" s="85" t="str">
        <f aca="false">IF(AH941="","",N(F941)+N(G941)+N(H941)-N(I941)+N(J941))</f>
        <v/>
      </c>
      <c r="L941" s="67"/>
      <c r="M941" s="67"/>
      <c r="N941" s="67"/>
      <c r="O941" s="67"/>
      <c r="P941" s="85" t="str">
        <f aca="false">IF(AH941="","",K941+N(L941)+N(M941)+N(N941)+N(O941))</f>
        <v/>
      </c>
      <c r="Q941" s="67"/>
      <c r="R941" s="67"/>
      <c r="S941" s="67"/>
      <c r="T941" s="67"/>
      <c r="U941" s="67"/>
      <c r="V941" s="67"/>
      <c r="W941" s="85" t="str">
        <f aca="false">IF(AH941="","",N(Q941)+N(R941)+N(S941)+N(T941)+N(U941)+N(V941))</f>
        <v/>
      </c>
      <c r="X941" s="85" t="str">
        <f aca="false">IF(AH941="","",P941-W941)</f>
        <v/>
      </c>
      <c r="Y941" s="67"/>
      <c r="Z941" s="70" t="str">
        <f aca="false">IF(OR(AH941="",Y941=""),"",IF(ABS(X941-Y941)&lt;=1,"✓ Cuadra","⚠ Diferencia $"&amp;FIXED(X941-Y941,0)))</f>
        <v/>
      </c>
      <c r="AA941" s="72" t="str">
        <f aca="false">IF(AH941="","",IFERROR(INDEX(C_TIPO,MATCH(C941&amp;"-P"&amp;MAX(1,COUNTIFS(C_ID,C941,C_DEFINE,"Sí",C_INICIO,"&lt;="&amp;EOMONTH(B941,0))),C_CLAVE,0))&amp;"","Sin dato"))</f>
        <v/>
      </c>
      <c r="AB941" s="71" t="str">
        <f aca="false">IF(AH941="","",ROUND(MIN(K941,TOPE_AFP_UF*AJ941)*AK941,0))</f>
        <v/>
      </c>
      <c r="AC941" s="71" t="str">
        <f aca="false">IF(AH941="","",ROUND(MIN(K941,TOPE_AFC_UF*AJ941)*IF(AA941="Indefinido",AFC_EMP_INDEF,AFC_EMP_PF),0))</f>
        <v/>
      </c>
      <c r="AD941" s="71" t="str">
        <f aca="false">IF(AH941="","",ROUND(MIN(K941,TOPE_AFP_UF*AJ941)*(MUTUAL_BASICA+MUTUAL_ADIC+SANNA),0))</f>
        <v/>
      </c>
      <c r="AE941" s="71" t="str">
        <f aca="false">IF(AH941="","",P941-N(N941)+AB941+AC941+AD941)</f>
        <v/>
      </c>
      <c r="AF941" s="65"/>
      <c r="AG941" s="64"/>
      <c r="AH941" s="72" t="str">
        <f aca="false">IF(OR(B941="",C941=""),"",C941&amp;"|"&amp;(YEAR(B941)*100+MONTH(B941)))</f>
        <v/>
      </c>
      <c r="AI941" s="70" t="str">
        <f aca="false">IF(AH941="","",IF(COUNTIF(L_CLAVE,AH941)&gt;1,"⚠ Duplicado","OK"))</f>
        <v/>
      </c>
      <c r="AJ941" s="86" t="str">
        <f aca="false">IF(AH941="","",IF(SUMPRODUCT(MAX((IND_PER&lt;=B941)*(IND_UF&lt;&gt;"")*IND_PER))=0,UF_HOY,INDEX(IND_UF,MATCH(SUMPRODUCT(MAX((IND_PER&lt;=B941)*(IND_UF&lt;&gt;"")*IND_PER)),IND_PER,0))))</f>
        <v/>
      </c>
      <c r="AK941" s="87" t="str">
        <f aca="false">IF(AH941="","",IF(COUNTIF(TASA_DESDE,"&lt;="&amp;B941)=0,INDEX(TASA_EMP,1),INDEX(TASA_EMP,COUNTIF(TASA_DESDE,"&lt;="&amp;B941))))</f>
        <v/>
      </c>
    </row>
    <row r="942" customFormat="false" ht="15" hidden="false" customHeight="false" outlineLevel="0" collapsed="false">
      <c r="B942" s="78"/>
      <c r="C942" s="64"/>
      <c r="D942" s="72" t="str">
        <f aca="false">IF(C942="","",IFERROR(INDEX(T_NOMBRE,MATCH(C942,T_ID,0)),"⚠ ID no existe"))</f>
        <v/>
      </c>
      <c r="E942" s="69"/>
      <c r="F942" s="67"/>
      <c r="G942" s="67"/>
      <c r="H942" s="67"/>
      <c r="I942" s="67"/>
      <c r="J942" s="67"/>
      <c r="K942" s="85" t="str">
        <f aca="false">IF(AH942="","",N(F942)+N(G942)+N(H942)-N(I942)+N(J942))</f>
        <v/>
      </c>
      <c r="L942" s="67"/>
      <c r="M942" s="67"/>
      <c r="N942" s="67"/>
      <c r="O942" s="67"/>
      <c r="P942" s="85" t="str">
        <f aca="false">IF(AH942="","",K942+N(L942)+N(M942)+N(N942)+N(O942))</f>
        <v/>
      </c>
      <c r="Q942" s="67"/>
      <c r="R942" s="67"/>
      <c r="S942" s="67"/>
      <c r="T942" s="67"/>
      <c r="U942" s="67"/>
      <c r="V942" s="67"/>
      <c r="W942" s="85" t="str">
        <f aca="false">IF(AH942="","",N(Q942)+N(R942)+N(S942)+N(T942)+N(U942)+N(V942))</f>
        <v/>
      </c>
      <c r="X942" s="85" t="str">
        <f aca="false">IF(AH942="","",P942-W942)</f>
        <v/>
      </c>
      <c r="Y942" s="67"/>
      <c r="Z942" s="70" t="str">
        <f aca="false">IF(OR(AH942="",Y942=""),"",IF(ABS(X942-Y942)&lt;=1,"✓ Cuadra","⚠ Diferencia $"&amp;FIXED(X942-Y942,0)))</f>
        <v/>
      </c>
      <c r="AA942" s="72" t="str">
        <f aca="false">IF(AH942="","",IFERROR(INDEX(C_TIPO,MATCH(C942&amp;"-P"&amp;MAX(1,COUNTIFS(C_ID,C942,C_DEFINE,"Sí",C_INICIO,"&lt;="&amp;EOMONTH(B942,0))),C_CLAVE,0))&amp;"","Sin dato"))</f>
        <v/>
      </c>
      <c r="AB942" s="71" t="str">
        <f aca="false">IF(AH942="","",ROUND(MIN(K942,TOPE_AFP_UF*AJ942)*AK942,0))</f>
        <v/>
      </c>
      <c r="AC942" s="71" t="str">
        <f aca="false">IF(AH942="","",ROUND(MIN(K942,TOPE_AFC_UF*AJ942)*IF(AA942="Indefinido",AFC_EMP_INDEF,AFC_EMP_PF),0))</f>
        <v/>
      </c>
      <c r="AD942" s="71" t="str">
        <f aca="false">IF(AH942="","",ROUND(MIN(K942,TOPE_AFP_UF*AJ942)*(MUTUAL_BASICA+MUTUAL_ADIC+SANNA),0))</f>
        <v/>
      </c>
      <c r="AE942" s="71" t="str">
        <f aca="false">IF(AH942="","",P942-N(N942)+AB942+AC942+AD942)</f>
        <v/>
      </c>
      <c r="AF942" s="65"/>
      <c r="AG942" s="64"/>
      <c r="AH942" s="72" t="str">
        <f aca="false">IF(OR(B942="",C942=""),"",C942&amp;"|"&amp;(YEAR(B942)*100+MONTH(B942)))</f>
        <v/>
      </c>
      <c r="AI942" s="70" t="str">
        <f aca="false">IF(AH942="","",IF(COUNTIF(L_CLAVE,AH942)&gt;1,"⚠ Duplicado","OK"))</f>
        <v/>
      </c>
      <c r="AJ942" s="86" t="str">
        <f aca="false">IF(AH942="","",IF(SUMPRODUCT(MAX((IND_PER&lt;=B942)*(IND_UF&lt;&gt;"")*IND_PER))=0,UF_HOY,INDEX(IND_UF,MATCH(SUMPRODUCT(MAX((IND_PER&lt;=B942)*(IND_UF&lt;&gt;"")*IND_PER)),IND_PER,0))))</f>
        <v/>
      </c>
      <c r="AK942" s="87" t="str">
        <f aca="false">IF(AH942="","",IF(COUNTIF(TASA_DESDE,"&lt;="&amp;B942)=0,INDEX(TASA_EMP,1),INDEX(TASA_EMP,COUNTIF(TASA_DESDE,"&lt;="&amp;B942))))</f>
        <v/>
      </c>
    </row>
    <row r="943" customFormat="false" ht="15" hidden="false" customHeight="false" outlineLevel="0" collapsed="false">
      <c r="B943" s="78"/>
      <c r="C943" s="64"/>
      <c r="D943" s="72" t="str">
        <f aca="false">IF(C943="","",IFERROR(INDEX(T_NOMBRE,MATCH(C943,T_ID,0)),"⚠ ID no existe"))</f>
        <v/>
      </c>
      <c r="E943" s="69"/>
      <c r="F943" s="67"/>
      <c r="G943" s="67"/>
      <c r="H943" s="67"/>
      <c r="I943" s="67"/>
      <c r="J943" s="67"/>
      <c r="K943" s="85" t="str">
        <f aca="false">IF(AH943="","",N(F943)+N(G943)+N(H943)-N(I943)+N(J943))</f>
        <v/>
      </c>
      <c r="L943" s="67"/>
      <c r="M943" s="67"/>
      <c r="N943" s="67"/>
      <c r="O943" s="67"/>
      <c r="P943" s="85" t="str">
        <f aca="false">IF(AH943="","",K943+N(L943)+N(M943)+N(N943)+N(O943))</f>
        <v/>
      </c>
      <c r="Q943" s="67"/>
      <c r="R943" s="67"/>
      <c r="S943" s="67"/>
      <c r="T943" s="67"/>
      <c r="U943" s="67"/>
      <c r="V943" s="67"/>
      <c r="W943" s="85" t="str">
        <f aca="false">IF(AH943="","",N(Q943)+N(R943)+N(S943)+N(T943)+N(U943)+N(V943))</f>
        <v/>
      </c>
      <c r="X943" s="85" t="str">
        <f aca="false">IF(AH943="","",P943-W943)</f>
        <v/>
      </c>
      <c r="Y943" s="67"/>
      <c r="Z943" s="70" t="str">
        <f aca="false">IF(OR(AH943="",Y943=""),"",IF(ABS(X943-Y943)&lt;=1,"✓ Cuadra","⚠ Diferencia $"&amp;FIXED(X943-Y943,0)))</f>
        <v/>
      </c>
      <c r="AA943" s="72" t="str">
        <f aca="false">IF(AH943="","",IFERROR(INDEX(C_TIPO,MATCH(C943&amp;"-P"&amp;MAX(1,COUNTIFS(C_ID,C943,C_DEFINE,"Sí",C_INICIO,"&lt;="&amp;EOMONTH(B943,0))),C_CLAVE,0))&amp;"","Sin dato"))</f>
        <v/>
      </c>
      <c r="AB943" s="71" t="str">
        <f aca="false">IF(AH943="","",ROUND(MIN(K943,TOPE_AFP_UF*AJ943)*AK943,0))</f>
        <v/>
      </c>
      <c r="AC943" s="71" t="str">
        <f aca="false">IF(AH943="","",ROUND(MIN(K943,TOPE_AFC_UF*AJ943)*IF(AA943="Indefinido",AFC_EMP_INDEF,AFC_EMP_PF),0))</f>
        <v/>
      </c>
      <c r="AD943" s="71" t="str">
        <f aca="false">IF(AH943="","",ROUND(MIN(K943,TOPE_AFP_UF*AJ943)*(MUTUAL_BASICA+MUTUAL_ADIC+SANNA),0))</f>
        <v/>
      </c>
      <c r="AE943" s="71" t="str">
        <f aca="false">IF(AH943="","",P943-N(N943)+AB943+AC943+AD943)</f>
        <v/>
      </c>
      <c r="AF943" s="65"/>
      <c r="AG943" s="64"/>
      <c r="AH943" s="72" t="str">
        <f aca="false">IF(OR(B943="",C943=""),"",C943&amp;"|"&amp;(YEAR(B943)*100+MONTH(B943)))</f>
        <v/>
      </c>
      <c r="AI943" s="70" t="str">
        <f aca="false">IF(AH943="","",IF(COUNTIF(L_CLAVE,AH943)&gt;1,"⚠ Duplicado","OK"))</f>
        <v/>
      </c>
      <c r="AJ943" s="86" t="str">
        <f aca="false">IF(AH943="","",IF(SUMPRODUCT(MAX((IND_PER&lt;=B943)*(IND_UF&lt;&gt;"")*IND_PER))=0,UF_HOY,INDEX(IND_UF,MATCH(SUMPRODUCT(MAX((IND_PER&lt;=B943)*(IND_UF&lt;&gt;"")*IND_PER)),IND_PER,0))))</f>
        <v/>
      </c>
      <c r="AK943" s="87" t="str">
        <f aca="false">IF(AH943="","",IF(COUNTIF(TASA_DESDE,"&lt;="&amp;B943)=0,INDEX(TASA_EMP,1),INDEX(TASA_EMP,COUNTIF(TASA_DESDE,"&lt;="&amp;B943))))</f>
        <v/>
      </c>
    </row>
    <row r="944" customFormat="false" ht="15" hidden="false" customHeight="false" outlineLevel="0" collapsed="false">
      <c r="B944" s="78"/>
      <c r="C944" s="64"/>
      <c r="D944" s="72" t="str">
        <f aca="false">IF(C944="","",IFERROR(INDEX(T_NOMBRE,MATCH(C944,T_ID,0)),"⚠ ID no existe"))</f>
        <v/>
      </c>
      <c r="E944" s="69"/>
      <c r="F944" s="67"/>
      <c r="G944" s="67"/>
      <c r="H944" s="67"/>
      <c r="I944" s="67"/>
      <c r="J944" s="67"/>
      <c r="K944" s="85" t="str">
        <f aca="false">IF(AH944="","",N(F944)+N(G944)+N(H944)-N(I944)+N(J944))</f>
        <v/>
      </c>
      <c r="L944" s="67"/>
      <c r="M944" s="67"/>
      <c r="N944" s="67"/>
      <c r="O944" s="67"/>
      <c r="P944" s="85" t="str">
        <f aca="false">IF(AH944="","",K944+N(L944)+N(M944)+N(N944)+N(O944))</f>
        <v/>
      </c>
      <c r="Q944" s="67"/>
      <c r="R944" s="67"/>
      <c r="S944" s="67"/>
      <c r="T944" s="67"/>
      <c r="U944" s="67"/>
      <c r="V944" s="67"/>
      <c r="W944" s="85" t="str">
        <f aca="false">IF(AH944="","",N(Q944)+N(R944)+N(S944)+N(T944)+N(U944)+N(V944))</f>
        <v/>
      </c>
      <c r="X944" s="85" t="str">
        <f aca="false">IF(AH944="","",P944-W944)</f>
        <v/>
      </c>
      <c r="Y944" s="67"/>
      <c r="Z944" s="70" t="str">
        <f aca="false">IF(OR(AH944="",Y944=""),"",IF(ABS(X944-Y944)&lt;=1,"✓ Cuadra","⚠ Diferencia $"&amp;FIXED(X944-Y944,0)))</f>
        <v/>
      </c>
      <c r="AA944" s="72" t="str">
        <f aca="false">IF(AH944="","",IFERROR(INDEX(C_TIPO,MATCH(C944&amp;"-P"&amp;MAX(1,COUNTIFS(C_ID,C944,C_DEFINE,"Sí",C_INICIO,"&lt;="&amp;EOMONTH(B944,0))),C_CLAVE,0))&amp;"","Sin dato"))</f>
        <v/>
      </c>
      <c r="AB944" s="71" t="str">
        <f aca="false">IF(AH944="","",ROUND(MIN(K944,TOPE_AFP_UF*AJ944)*AK944,0))</f>
        <v/>
      </c>
      <c r="AC944" s="71" t="str">
        <f aca="false">IF(AH944="","",ROUND(MIN(K944,TOPE_AFC_UF*AJ944)*IF(AA944="Indefinido",AFC_EMP_INDEF,AFC_EMP_PF),0))</f>
        <v/>
      </c>
      <c r="AD944" s="71" t="str">
        <f aca="false">IF(AH944="","",ROUND(MIN(K944,TOPE_AFP_UF*AJ944)*(MUTUAL_BASICA+MUTUAL_ADIC+SANNA),0))</f>
        <v/>
      </c>
      <c r="AE944" s="71" t="str">
        <f aca="false">IF(AH944="","",P944-N(N944)+AB944+AC944+AD944)</f>
        <v/>
      </c>
      <c r="AF944" s="65"/>
      <c r="AG944" s="64"/>
      <c r="AH944" s="72" t="str">
        <f aca="false">IF(OR(B944="",C944=""),"",C944&amp;"|"&amp;(YEAR(B944)*100+MONTH(B944)))</f>
        <v/>
      </c>
      <c r="AI944" s="70" t="str">
        <f aca="false">IF(AH944="","",IF(COUNTIF(L_CLAVE,AH944)&gt;1,"⚠ Duplicado","OK"))</f>
        <v/>
      </c>
      <c r="AJ944" s="86" t="str">
        <f aca="false">IF(AH944="","",IF(SUMPRODUCT(MAX((IND_PER&lt;=B944)*(IND_UF&lt;&gt;"")*IND_PER))=0,UF_HOY,INDEX(IND_UF,MATCH(SUMPRODUCT(MAX((IND_PER&lt;=B944)*(IND_UF&lt;&gt;"")*IND_PER)),IND_PER,0))))</f>
        <v/>
      </c>
      <c r="AK944" s="87" t="str">
        <f aca="false">IF(AH944="","",IF(COUNTIF(TASA_DESDE,"&lt;="&amp;B944)=0,INDEX(TASA_EMP,1),INDEX(TASA_EMP,COUNTIF(TASA_DESDE,"&lt;="&amp;B944))))</f>
        <v/>
      </c>
    </row>
    <row r="945" customFormat="false" ht="15" hidden="false" customHeight="false" outlineLevel="0" collapsed="false">
      <c r="B945" s="78"/>
      <c r="C945" s="64"/>
      <c r="D945" s="72" t="str">
        <f aca="false">IF(C945="","",IFERROR(INDEX(T_NOMBRE,MATCH(C945,T_ID,0)),"⚠ ID no existe"))</f>
        <v/>
      </c>
      <c r="E945" s="69"/>
      <c r="F945" s="67"/>
      <c r="G945" s="67"/>
      <c r="H945" s="67"/>
      <c r="I945" s="67"/>
      <c r="J945" s="67"/>
      <c r="K945" s="85" t="str">
        <f aca="false">IF(AH945="","",N(F945)+N(G945)+N(H945)-N(I945)+N(J945))</f>
        <v/>
      </c>
      <c r="L945" s="67"/>
      <c r="M945" s="67"/>
      <c r="N945" s="67"/>
      <c r="O945" s="67"/>
      <c r="P945" s="85" t="str">
        <f aca="false">IF(AH945="","",K945+N(L945)+N(M945)+N(N945)+N(O945))</f>
        <v/>
      </c>
      <c r="Q945" s="67"/>
      <c r="R945" s="67"/>
      <c r="S945" s="67"/>
      <c r="T945" s="67"/>
      <c r="U945" s="67"/>
      <c r="V945" s="67"/>
      <c r="W945" s="85" t="str">
        <f aca="false">IF(AH945="","",N(Q945)+N(R945)+N(S945)+N(T945)+N(U945)+N(V945))</f>
        <v/>
      </c>
      <c r="X945" s="85" t="str">
        <f aca="false">IF(AH945="","",P945-W945)</f>
        <v/>
      </c>
      <c r="Y945" s="67"/>
      <c r="Z945" s="70" t="str">
        <f aca="false">IF(OR(AH945="",Y945=""),"",IF(ABS(X945-Y945)&lt;=1,"✓ Cuadra","⚠ Diferencia $"&amp;FIXED(X945-Y945,0)))</f>
        <v/>
      </c>
      <c r="AA945" s="72" t="str">
        <f aca="false">IF(AH945="","",IFERROR(INDEX(C_TIPO,MATCH(C945&amp;"-P"&amp;MAX(1,COUNTIFS(C_ID,C945,C_DEFINE,"Sí",C_INICIO,"&lt;="&amp;EOMONTH(B945,0))),C_CLAVE,0))&amp;"","Sin dato"))</f>
        <v/>
      </c>
      <c r="AB945" s="71" t="str">
        <f aca="false">IF(AH945="","",ROUND(MIN(K945,TOPE_AFP_UF*AJ945)*AK945,0))</f>
        <v/>
      </c>
      <c r="AC945" s="71" t="str">
        <f aca="false">IF(AH945="","",ROUND(MIN(K945,TOPE_AFC_UF*AJ945)*IF(AA945="Indefinido",AFC_EMP_INDEF,AFC_EMP_PF),0))</f>
        <v/>
      </c>
      <c r="AD945" s="71" t="str">
        <f aca="false">IF(AH945="","",ROUND(MIN(K945,TOPE_AFP_UF*AJ945)*(MUTUAL_BASICA+MUTUAL_ADIC+SANNA),0))</f>
        <v/>
      </c>
      <c r="AE945" s="71" t="str">
        <f aca="false">IF(AH945="","",P945-N(N945)+AB945+AC945+AD945)</f>
        <v/>
      </c>
      <c r="AF945" s="65"/>
      <c r="AG945" s="64"/>
      <c r="AH945" s="72" t="str">
        <f aca="false">IF(OR(B945="",C945=""),"",C945&amp;"|"&amp;(YEAR(B945)*100+MONTH(B945)))</f>
        <v/>
      </c>
      <c r="AI945" s="70" t="str">
        <f aca="false">IF(AH945="","",IF(COUNTIF(L_CLAVE,AH945)&gt;1,"⚠ Duplicado","OK"))</f>
        <v/>
      </c>
      <c r="AJ945" s="86" t="str">
        <f aca="false">IF(AH945="","",IF(SUMPRODUCT(MAX((IND_PER&lt;=B945)*(IND_UF&lt;&gt;"")*IND_PER))=0,UF_HOY,INDEX(IND_UF,MATCH(SUMPRODUCT(MAX((IND_PER&lt;=B945)*(IND_UF&lt;&gt;"")*IND_PER)),IND_PER,0))))</f>
        <v/>
      </c>
      <c r="AK945" s="87" t="str">
        <f aca="false">IF(AH945="","",IF(COUNTIF(TASA_DESDE,"&lt;="&amp;B945)=0,INDEX(TASA_EMP,1),INDEX(TASA_EMP,COUNTIF(TASA_DESDE,"&lt;="&amp;B945))))</f>
        <v/>
      </c>
    </row>
    <row r="946" customFormat="false" ht="15" hidden="false" customHeight="false" outlineLevel="0" collapsed="false">
      <c r="B946" s="78"/>
      <c r="C946" s="64"/>
      <c r="D946" s="72" t="str">
        <f aca="false">IF(C946="","",IFERROR(INDEX(T_NOMBRE,MATCH(C946,T_ID,0)),"⚠ ID no existe"))</f>
        <v/>
      </c>
      <c r="E946" s="69"/>
      <c r="F946" s="67"/>
      <c r="G946" s="67"/>
      <c r="H946" s="67"/>
      <c r="I946" s="67"/>
      <c r="J946" s="67"/>
      <c r="K946" s="85" t="str">
        <f aca="false">IF(AH946="","",N(F946)+N(G946)+N(H946)-N(I946)+N(J946))</f>
        <v/>
      </c>
      <c r="L946" s="67"/>
      <c r="M946" s="67"/>
      <c r="N946" s="67"/>
      <c r="O946" s="67"/>
      <c r="P946" s="85" t="str">
        <f aca="false">IF(AH946="","",K946+N(L946)+N(M946)+N(N946)+N(O946))</f>
        <v/>
      </c>
      <c r="Q946" s="67"/>
      <c r="R946" s="67"/>
      <c r="S946" s="67"/>
      <c r="T946" s="67"/>
      <c r="U946" s="67"/>
      <c r="V946" s="67"/>
      <c r="W946" s="85" t="str">
        <f aca="false">IF(AH946="","",N(Q946)+N(R946)+N(S946)+N(T946)+N(U946)+N(V946))</f>
        <v/>
      </c>
      <c r="X946" s="85" t="str">
        <f aca="false">IF(AH946="","",P946-W946)</f>
        <v/>
      </c>
      <c r="Y946" s="67"/>
      <c r="Z946" s="70" t="str">
        <f aca="false">IF(OR(AH946="",Y946=""),"",IF(ABS(X946-Y946)&lt;=1,"✓ Cuadra","⚠ Diferencia $"&amp;FIXED(X946-Y946,0)))</f>
        <v/>
      </c>
      <c r="AA946" s="72" t="str">
        <f aca="false">IF(AH946="","",IFERROR(INDEX(C_TIPO,MATCH(C946&amp;"-P"&amp;MAX(1,COUNTIFS(C_ID,C946,C_DEFINE,"Sí",C_INICIO,"&lt;="&amp;EOMONTH(B946,0))),C_CLAVE,0))&amp;"","Sin dato"))</f>
        <v/>
      </c>
      <c r="AB946" s="71" t="str">
        <f aca="false">IF(AH946="","",ROUND(MIN(K946,TOPE_AFP_UF*AJ946)*AK946,0))</f>
        <v/>
      </c>
      <c r="AC946" s="71" t="str">
        <f aca="false">IF(AH946="","",ROUND(MIN(K946,TOPE_AFC_UF*AJ946)*IF(AA946="Indefinido",AFC_EMP_INDEF,AFC_EMP_PF),0))</f>
        <v/>
      </c>
      <c r="AD946" s="71" t="str">
        <f aca="false">IF(AH946="","",ROUND(MIN(K946,TOPE_AFP_UF*AJ946)*(MUTUAL_BASICA+MUTUAL_ADIC+SANNA),0))</f>
        <v/>
      </c>
      <c r="AE946" s="71" t="str">
        <f aca="false">IF(AH946="","",P946-N(N946)+AB946+AC946+AD946)</f>
        <v/>
      </c>
      <c r="AF946" s="65"/>
      <c r="AG946" s="64"/>
      <c r="AH946" s="72" t="str">
        <f aca="false">IF(OR(B946="",C946=""),"",C946&amp;"|"&amp;(YEAR(B946)*100+MONTH(B946)))</f>
        <v/>
      </c>
      <c r="AI946" s="70" t="str">
        <f aca="false">IF(AH946="","",IF(COUNTIF(L_CLAVE,AH946)&gt;1,"⚠ Duplicado","OK"))</f>
        <v/>
      </c>
      <c r="AJ946" s="86" t="str">
        <f aca="false">IF(AH946="","",IF(SUMPRODUCT(MAX((IND_PER&lt;=B946)*(IND_UF&lt;&gt;"")*IND_PER))=0,UF_HOY,INDEX(IND_UF,MATCH(SUMPRODUCT(MAX((IND_PER&lt;=B946)*(IND_UF&lt;&gt;"")*IND_PER)),IND_PER,0))))</f>
        <v/>
      </c>
      <c r="AK946" s="87" t="str">
        <f aca="false">IF(AH946="","",IF(COUNTIF(TASA_DESDE,"&lt;="&amp;B946)=0,INDEX(TASA_EMP,1),INDEX(TASA_EMP,COUNTIF(TASA_DESDE,"&lt;="&amp;B946))))</f>
        <v/>
      </c>
    </row>
    <row r="947" customFormat="false" ht="15" hidden="false" customHeight="false" outlineLevel="0" collapsed="false">
      <c r="B947" s="78"/>
      <c r="C947" s="64"/>
      <c r="D947" s="72" t="str">
        <f aca="false">IF(C947="","",IFERROR(INDEX(T_NOMBRE,MATCH(C947,T_ID,0)),"⚠ ID no existe"))</f>
        <v/>
      </c>
      <c r="E947" s="69"/>
      <c r="F947" s="67"/>
      <c r="G947" s="67"/>
      <c r="H947" s="67"/>
      <c r="I947" s="67"/>
      <c r="J947" s="67"/>
      <c r="K947" s="85" t="str">
        <f aca="false">IF(AH947="","",N(F947)+N(G947)+N(H947)-N(I947)+N(J947))</f>
        <v/>
      </c>
      <c r="L947" s="67"/>
      <c r="M947" s="67"/>
      <c r="N947" s="67"/>
      <c r="O947" s="67"/>
      <c r="P947" s="85" t="str">
        <f aca="false">IF(AH947="","",K947+N(L947)+N(M947)+N(N947)+N(O947))</f>
        <v/>
      </c>
      <c r="Q947" s="67"/>
      <c r="R947" s="67"/>
      <c r="S947" s="67"/>
      <c r="T947" s="67"/>
      <c r="U947" s="67"/>
      <c r="V947" s="67"/>
      <c r="W947" s="85" t="str">
        <f aca="false">IF(AH947="","",N(Q947)+N(R947)+N(S947)+N(T947)+N(U947)+N(V947))</f>
        <v/>
      </c>
      <c r="X947" s="85" t="str">
        <f aca="false">IF(AH947="","",P947-W947)</f>
        <v/>
      </c>
      <c r="Y947" s="67"/>
      <c r="Z947" s="70" t="str">
        <f aca="false">IF(OR(AH947="",Y947=""),"",IF(ABS(X947-Y947)&lt;=1,"✓ Cuadra","⚠ Diferencia $"&amp;FIXED(X947-Y947,0)))</f>
        <v/>
      </c>
      <c r="AA947" s="72" t="str">
        <f aca="false">IF(AH947="","",IFERROR(INDEX(C_TIPO,MATCH(C947&amp;"-P"&amp;MAX(1,COUNTIFS(C_ID,C947,C_DEFINE,"Sí",C_INICIO,"&lt;="&amp;EOMONTH(B947,0))),C_CLAVE,0))&amp;"","Sin dato"))</f>
        <v/>
      </c>
      <c r="AB947" s="71" t="str">
        <f aca="false">IF(AH947="","",ROUND(MIN(K947,TOPE_AFP_UF*AJ947)*AK947,0))</f>
        <v/>
      </c>
      <c r="AC947" s="71" t="str">
        <f aca="false">IF(AH947="","",ROUND(MIN(K947,TOPE_AFC_UF*AJ947)*IF(AA947="Indefinido",AFC_EMP_INDEF,AFC_EMP_PF),0))</f>
        <v/>
      </c>
      <c r="AD947" s="71" t="str">
        <f aca="false">IF(AH947="","",ROUND(MIN(K947,TOPE_AFP_UF*AJ947)*(MUTUAL_BASICA+MUTUAL_ADIC+SANNA),0))</f>
        <v/>
      </c>
      <c r="AE947" s="71" t="str">
        <f aca="false">IF(AH947="","",P947-N(N947)+AB947+AC947+AD947)</f>
        <v/>
      </c>
      <c r="AF947" s="65"/>
      <c r="AG947" s="64"/>
      <c r="AH947" s="72" t="str">
        <f aca="false">IF(OR(B947="",C947=""),"",C947&amp;"|"&amp;(YEAR(B947)*100+MONTH(B947)))</f>
        <v/>
      </c>
      <c r="AI947" s="70" t="str">
        <f aca="false">IF(AH947="","",IF(COUNTIF(L_CLAVE,AH947)&gt;1,"⚠ Duplicado","OK"))</f>
        <v/>
      </c>
      <c r="AJ947" s="86" t="str">
        <f aca="false">IF(AH947="","",IF(SUMPRODUCT(MAX((IND_PER&lt;=B947)*(IND_UF&lt;&gt;"")*IND_PER))=0,UF_HOY,INDEX(IND_UF,MATCH(SUMPRODUCT(MAX((IND_PER&lt;=B947)*(IND_UF&lt;&gt;"")*IND_PER)),IND_PER,0))))</f>
        <v/>
      </c>
      <c r="AK947" s="87" t="str">
        <f aca="false">IF(AH947="","",IF(COUNTIF(TASA_DESDE,"&lt;="&amp;B947)=0,INDEX(TASA_EMP,1),INDEX(TASA_EMP,COUNTIF(TASA_DESDE,"&lt;="&amp;B947))))</f>
        <v/>
      </c>
    </row>
    <row r="948" customFormat="false" ht="15" hidden="false" customHeight="false" outlineLevel="0" collapsed="false">
      <c r="B948" s="78"/>
      <c r="C948" s="64"/>
      <c r="D948" s="72" t="str">
        <f aca="false">IF(C948="","",IFERROR(INDEX(T_NOMBRE,MATCH(C948,T_ID,0)),"⚠ ID no existe"))</f>
        <v/>
      </c>
      <c r="E948" s="69"/>
      <c r="F948" s="67"/>
      <c r="G948" s="67"/>
      <c r="H948" s="67"/>
      <c r="I948" s="67"/>
      <c r="J948" s="67"/>
      <c r="K948" s="85" t="str">
        <f aca="false">IF(AH948="","",N(F948)+N(G948)+N(H948)-N(I948)+N(J948))</f>
        <v/>
      </c>
      <c r="L948" s="67"/>
      <c r="M948" s="67"/>
      <c r="N948" s="67"/>
      <c r="O948" s="67"/>
      <c r="P948" s="85" t="str">
        <f aca="false">IF(AH948="","",K948+N(L948)+N(M948)+N(N948)+N(O948))</f>
        <v/>
      </c>
      <c r="Q948" s="67"/>
      <c r="R948" s="67"/>
      <c r="S948" s="67"/>
      <c r="T948" s="67"/>
      <c r="U948" s="67"/>
      <c r="V948" s="67"/>
      <c r="W948" s="85" t="str">
        <f aca="false">IF(AH948="","",N(Q948)+N(R948)+N(S948)+N(T948)+N(U948)+N(V948))</f>
        <v/>
      </c>
      <c r="X948" s="85" t="str">
        <f aca="false">IF(AH948="","",P948-W948)</f>
        <v/>
      </c>
      <c r="Y948" s="67"/>
      <c r="Z948" s="70" t="str">
        <f aca="false">IF(OR(AH948="",Y948=""),"",IF(ABS(X948-Y948)&lt;=1,"✓ Cuadra","⚠ Diferencia $"&amp;FIXED(X948-Y948,0)))</f>
        <v/>
      </c>
      <c r="AA948" s="72" t="str">
        <f aca="false">IF(AH948="","",IFERROR(INDEX(C_TIPO,MATCH(C948&amp;"-P"&amp;MAX(1,COUNTIFS(C_ID,C948,C_DEFINE,"Sí",C_INICIO,"&lt;="&amp;EOMONTH(B948,0))),C_CLAVE,0))&amp;"","Sin dato"))</f>
        <v/>
      </c>
      <c r="AB948" s="71" t="str">
        <f aca="false">IF(AH948="","",ROUND(MIN(K948,TOPE_AFP_UF*AJ948)*AK948,0))</f>
        <v/>
      </c>
      <c r="AC948" s="71" t="str">
        <f aca="false">IF(AH948="","",ROUND(MIN(K948,TOPE_AFC_UF*AJ948)*IF(AA948="Indefinido",AFC_EMP_INDEF,AFC_EMP_PF),0))</f>
        <v/>
      </c>
      <c r="AD948" s="71" t="str">
        <f aca="false">IF(AH948="","",ROUND(MIN(K948,TOPE_AFP_UF*AJ948)*(MUTUAL_BASICA+MUTUAL_ADIC+SANNA),0))</f>
        <v/>
      </c>
      <c r="AE948" s="71" t="str">
        <f aca="false">IF(AH948="","",P948-N(N948)+AB948+AC948+AD948)</f>
        <v/>
      </c>
      <c r="AF948" s="65"/>
      <c r="AG948" s="64"/>
      <c r="AH948" s="72" t="str">
        <f aca="false">IF(OR(B948="",C948=""),"",C948&amp;"|"&amp;(YEAR(B948)*100+MONTH(B948)))</f>
        <v/>
      </c>
      <c r="AI948" s="70" t="str">
        <f aca="false">IF(AH948="","",IF(COUNTIF(L_CLAVE,AH948)&gt;1,"⚠ Duplicado","OK"))</f>
        <v/>
      </c>
      <c r="AJ948" s="86" t="str">
        <f aca="false">IF(AH948="","",IF(SUMPRODUCT(MAX((IND_PER&lt;=B948)*(IND_UF&lt;&gt;"")*IND_PER))=0,UF_HOY,INDEX(IND_UF,MATCH(SUMPRODUCT(MAX((IND_PER&lt;=B948)*(IND_UF&lt;&gt;"")*IND_PER)),IND_PER,0))))</f>
        <v/>
      </c>
      <c r="AK948" s="87" t="str">
        <f aca="false">IF(AH948="","",IF(COUNTIF(TASA_DESDE,"&lt;="&amp;B948)=0,INDEX(TASA_EMP,1),INDEX(TASA_EMP,COUNTIF(TASA_DESDE,"&lt;="&amp;B948))))</f>
        <v/>
      </c>
    </row>
    <row r="949" customFormat="false" ht="15" hidden="false" customHeight="false" outlineLevel="0" collapsed="false">
      <c r="B949" s="78"/>
      <c r="C949" s="64"/>
      <c r="D949" s="72" t="str">
        <f aca="false">IF(C949="","",IFERROR(INDEX(T_NOMBRE,MATCH(C949,T_ID,0)),"⚠ ID no existe"))</f>
        <v/>
      </c>
      <c r="E949" s="69"/>
      <c r="F949" s="67"/>
      <c r="G949" s="67"/>
      <c r="H949" s="67"/>
      <c r="I949" s="67"/>
      <c r="J949" s="67"/>
      <c r="K949" s="85" t="str">
        <f aca="false">IF(AH949="","",N(F949)+N(G949)+N(H949)-N(I949)+N(J949))</f>
        <v/>
      </c>
      <c r="L949" s="67"/>
      <c r="M949" s="67"/>
      <c r="N949" s="67"/>
      <c r="O949" s="67"/>
      <c r="P949" s="85" t="str">
        <f aca="false">IF(AH949="","",K949+N(L949)+N(M949)+N(N949)+N(O949))</f>
        <v/>
      </c>
      <c r="Q949" s="67"/>
      <c r="R949" s="67"/>
      <c r="S949" s="67"/>
      <c r="T949" s="67"/>
      <c r="U949" s="67"/>
      <c r="V949" s="67"/>
      <c r="W949" s="85" t="str">
        <f aca="false">IF(AH949="","",N(Q949)+N(R949)+N(S949)+N(T949)+N(U949)+N(V949))</f>
        <v/>
      </c>
      <c r="X949" s="85" t="str">
        <f aca="false">IF(AH949="","",P949-W949)</f>
        <v/>
      </c>
      <c r="Y949" s="67"/>
      <c r="Z949" s="70" t="str">
        <f aca="false">IF(OR(AH949="",Y949=""),"",IF(ABS(X949-Y949)&lt;=1,"✓ Cuadra","⚠ Diferencia $"&amp;FIXED(X949-Y949,0)))</f>
        <v/>
      </c>
      <c r="AA949" s="72" t="str">
        <f aca="false">IF(AH949="","",IFERROR(INDEX(C_TIPO,MATCH(C949&amp;"-P"&amp;MAX(1,COUNTIFS(C_ID,C949,C_DEFINE,"Sí",C_INICIO,"&lt;="&amp;EOMONTH(B949,0))),C_CLAVE,0))&amp;"","Sin dato"))</f>
        <v/>
      </c>
      <c r="AB949" s="71" t="str">
        <f aca="false">IF(AH949="","",ROUND(MIN(K949,TOPE_AFP_UF*AJ949)*AK949,0))</f>
        <v/>
      </c>
      <c r="AC949" s="71" t="str">
        <f aca="false">IF(AH949="","",ROUND(MIN(K949,TOPE_AFC_UF*AJ949)*IF(AA949="Indefinido",AFC_EMP_INDEF,AFC_EMP_PF),0))</f>
        <v/>
      </c>
      <c r="AD949" s="71" t="str">
        <f aca="false">IF(AH949="","",ROUND(MIN(K949,TOPE_AFP_UF*AJ949)*(MUTUAL_BASICA+MUTUAL_ADIC+SANNA),0))</f>
        <v/>
      </c>
      <c r="AE949" s="71" t="str">
        <f aca="false">IF(AH949="","",P949-N(N949)+AB949+AC949+AD949)</f>
        <v/>
      </c>
      <c r="AF949" s="65"/>
      <c r="AG949" s="64"/>
      <c r="AH949" s="72" t="str">
        <f aca="false">IF(OR(B949="",C949=""),"",C949&amp;"|"&amp;(YEAR(B949)*100+MONTH(B949)))</f>
        <v/>
      </c>
      <c r="AI949" s="70" t="str">
        <f aca="false">IF(AH949="","",IF(COUNTIF(L_CLAVE,AH949)&gt;1,"⚠ Duplicado","OK"))</f>
        <v/>
      </c>
      <c r="AJ949" s="86" t="str">
        <f aca="false">IF(AH949="","",IF(SUMPRODUCT(MAX((IND_PER&lt;=B949)*(IND_UF&lt;&gt;"")*IND_PER))=0,UF_HOY,INDEX(IND_UF,MATCH(SUMPRODUCT(MAX((IND_PER&lt;=B949)*(IND_UF&lt;&gt;"")*IND_PER)),IND_PER,0))))</f>
        <v/>
      </c>
      <c r="AK949" s="87" t="str">
        <f aca="false">IF(AH949="","",IF(COUNTIF(TASA_DESDE,"&lt;="&amp;B949)=0,INDEX(TASA_EMP,1),INDEX(TASA_EMP,COUNTIF(TASA_DESDE,"&lt;="&amp;B949))))</f>
        <v/>
      </c>
    </row>
    <row r="950" customFormat="false" ht="15" hidden="false" customHeight="false" outlineLevel="0" collapsed="false">
      <c r="B950" s="78"/>
      <c r="C950" s="64"/>
      <c r="D950" s="72" t="str">
        <f aca="false">IF(C950="","",IFERROR(INDEX(T_NOMBRE,MATCH(C950,T_ID,0)),"⚠ ID no existe"))</f>
        <v/>
      </c>
      <c r="E950" s="69"/>
      <c r="F950" s="67"/>
      <c r="G950" s="67"/>
      <c r="H950" s="67"/>
      <c r="I950" s="67"/>
      <c r="J950" s="67"/>
      <c r="K950" s="85" t="str">
        <f aca="false">IF(AH950="","",N(F950)+N(G950)+N(H950)-N(I950)+N(J950))</f>
        <v/>
      </c>
      <c r="L950" s="67"/>
      <c r="M950" s="67"/>
      <c r="N950" s="67"/>
      <c r="O950" s="67"/>
      <c r="P950" s="85" t="str">
        <f aca="false">IF(AH950="","",K950+N(L950)+N(M950)+N(N950)+N(O950))</f>
        <v/>
      </c>
      <c r="Q950" s="67"/>
      <c r="R950" s="67"/>
      <c r="S950" s="67"/>
      <c r="T950" s="67"/>
      <c r="U950" s="67"/>
      <c r="V950" s="67"/>
      <c r="W950" s="85" t="str">
        <f aca="false">IF(AH950="","",N(Q950)+N(R950)+N(S950)+N(T950)+N(U950)+N(V950))</f>
        <v/>
      </c>
      <c r="X950" s="85" t="str">
        <f aca="false">IF(AH950="","",P950-W950)</f>
        <v/>
      </c>
      <c r="Y950" s="67"/>
      <c r="Z950" s="70" t="str">
        <f aca="false">IF(OR(AH950="",Y950=""),"",IF(ABS(X950-Y950)&lt;=1,"✓ Cuadra","⚠ Diferencia $"&amp;FIXED(X950-Y950,0)))</f>
        <v/>
      </c>
      <c r="AA950" s="72" t="str">
        <f aca="false">IF(AH950="","",IFERROR(INDEX(C_TIPO,MATCH(C950&amp;"-P"&amp;MAX(1,COUNTIFS(C_ID,C950,C_DEFINE,"Sí",C_INICIO,"&lt;="&amp;EOMONTH(B950,0))),C_CLAVE,0))&amp;"","Sin dato"))</f>
        <v/>
      </c>
      <c r="AB950" s="71" t="str">
        <f aca="false">IF(AH950="","",ROUND(MIN(K950,TOPE_AFP_UF*AJ950)*AK950,0))</f>
        <v/>
      </c>
      <c r="AC950" s="71" t="str">
        <f aca="false">IF(AH950="","",ROUND(MIN(K950,TOPE_AFC_UF*AJ950)*IF(AA950="Indefinido",AFC_EMP_INDEF,AFC_EMP_PF),0))</f>
        <v/>
      </c>
      <c r="AD950" s="71" t="str">
        <f aca="false">IF(AH950="","",ROUND(MIN(K950,TOPE_AFP_UF*AJ950)*(MUTUAL_BASICA+MUTUAL_ADIC+SANNA),0))</f>
        <v/>
      </c>
      <c r="AE950" s="71" t="str">
        <f aca="false">IF(AH950="","",P950-N(N950)+AB950+AC950+AD950)</f>
        <v/>
      </c>
      <c r="AF950" s="65"/>
      <c r="AG950" s="64"/>
      <c r="AH950" s="72" t="str">
        <f aca="false">IF(OR(B950="",C950=""),"",C950&amp;"|"&amp;(YEAR(B950)*100+MONTH(B950)))</f>
        <v/>
      </c>
      <c r="AI950" s="70" t="str">
        <f aca="false">IF(AH950="","",IF(COUNTIF(L_CLAVE,AH950)&gt;1,"⚠ Duplicado","OK"))</f>
        <v/>
      </c>
      <c r="AJ950" s="86" t="str">
        <f aca="false">IF(AH950="","",IF(SUMPRODUCT(MAX((IND_PER&lt;=B950)*(IND_UF&lt;&gt;"")*IND_PER))=0,UF_HOY,INDEX(IND_UF,MATCH(SUMPRODUCT(MAX((IND_PER&lt;=B950)*(IND_UF&lt;&gt;"")*IND_PER)),IND_PER,0))))</f>
        <v/>
      </c>
      <c r="AK950" s="87" t="str">
        <f aca="false">IF(AH950="","",IF(COUNTIF(TASA_DESDE,"&lt;="&amp;B950)=0,INDEX(TASA_EMP,1),INDEX(TASA_EMP,COUNTIF(TASA_DESDE,"&lt;="&amp;B950))))</f>
        <v/>
      </c>
    </row>
    <row r="951" customFormat="false" ht="15" hidden="false" customHeight="false" outlineLevel="0" collapsed="false">
      <c r="B951" s="78"/>
      <c r="C951" s="64"/>
      <c r="D951" s="72" t="str">
        <f aca="false">IF(C951="","",IFERROR(INDEX(T_NOMBRE,MATCH(C951,T_ID,0)),"⚠ ID no existe"))</f>
        <v/>
      </c>
      <c r="E951" s="69"/>
      <c r="F951" s="67"/>
      <c r="G951" s="67"/>
      <c r="H951" s="67"/>
      <c r="I951" s="67"/>
      <c r="J951" s="67"/>
      <c r="K951" s="85" t="str">
        <f aca="false">IF(AH951="","",N(F951)+N(G951)+N(H951)-N(I951)+N(J951))</f>
        <v/>
      </c>
      <c r="L951" s="67"/>
      <c r="M951" s="67"/>
      <c r="N951" s="67"/>
      <c r="O951" s="67"/>
      <c r="P951" s="85" t="str">
        <f aca="false">IF(AH951="","",K951+N(L951)+N(M951)+N(N951)+N(O951))</f>
        <v/>
      </c>
      <c r="Q951" s="67"/>
      <c r="R951" s="67"/>
      <c r="S951" s="67"/>
      <c r="T951" s="67"/>
      <c r="U951" s="67"/>
      <c r="V951" s="67"/>
      <c r="W951" s="85" t="str">
        <f aca="false">IF(AH951="","",N(Q951)+N(R951)+N(S951)+N(T951)+N(U951)+N(V951))</f>
        <v/>
      </c>
      <c r="X951" s="85" t="str">
        <f aca="false">IF(AH951="","",P951-W951)</f>
        <v/>
      </c>
      <c r="Y951" s="67"/>
      <c r="Z951" s="70" t="str">
        <f aca="false">IF(OR(AH951="",Y951=""),"",IF(ABS(X951-Y951)&lt;=1,"✓ Cuadra","⚠ Diferencia $"&amp;FIXED(X951-Y951,0)))</f>
        <v/>
      </c>
      <c r="AA951" s="72" t="str">
        <f aca="false">IF(AH951="","",IFERROR(INDEX(C_TIPO,MATCH(C951&amp;"-P"&amp;MAX(1,COUNTIFS(C_ID,C951,C_DEFINE,"Sí",C_INICIO,"&lt;="&amp;EOMONTH(B951,0))),C_CLAVE,0))&amp;"","Sin dato"))</f>
        <v/>
      </c>
      <c r="AB951" s="71" t="str">
        <f aca="false">IF(AH951="","",ROUND(MIN(K951,TOPE_AFP_UF*AJ951)*AK951,0))</f>
        <v/>
      </c>
      <c r="AC951" s="71" t="str">
        <f aca="false">IF(AH951="","",ROUND(MIN(K951,TOPE_AFC_UF*AJ951)*IF(AA951="Indefinido",AFC_EMP_INDEF,AFC_EMP_PF),0))</f>
        <v/>
      </c>
      <c r="AD951" s="71" t="str">
        <f aca="false">IF(AH951="","",ROUND(MIN(K951,TOPE_AFP_UF*AJ951)*(MUTUAL_BASICA+MUTUAL_ADIC+SANNA),0))</f>
        <v/>
      </c>
      <c r="AE951" s="71" t="str">
        <f aca="false">IF(AH951="","",P951-N(N951)+AB951+AC951+AD951)</f>
        <v/>
      </c>
      <c r="AF951" s="65"/>
      <c r="AG951" s="64"/>
      <c r="AH951" s="72" t="str">
        <f aca="false">IF(OR(B951="",C951=""),"",C951&amp;"|"&amp;(YEAR(B951)*100+MONTH(B951)))</f>
        <v/>
      </c>
      <c r="AI951" s="70" t="str">
        <f aca="false">IF(AH951="","",IF(COUNTIF(L_CLAVE,AH951)&gt;1,"⚠ Duplicado","OK"))</f>
        <v/>
      </c>
      <c r="AJ951" s="86" t="str">
        <f aca="false">IF(AH951="","",IF(SUMPRODUCT(MAX((IND_PER&lt;=B951)*(IND_UF&lt;&gt;"")*IND_PER))=0,UF_HOY,INDEX(IND_UF,MATCH(SUMPRODUCT(MAX((IND_PER&lt;=B951)*(IND_UF&lt;&gt;"")*IND_PER)),IND_PER,0))))</f>
        <v/>
      </c>
      <c r="AK951" s="87" t="str">
        <f aca="false">IF(AH951="","",IF(COUNTIF(TASA_DESDE,"&lt;="&amp;B951)=0,INDEX(TASA_EMP,1),INDEX(TASA_EMP,COUNTIF(TASA_DESDE,"&lt;="&amp;B951))))</f>
        <v/>
      </c>
    </row>
    <row r="952" customFormat="false" ht="15" hidden="false" customHeight="false" outlineLevel="0" collapsed="false">
      <c r="B952" s="78"/>
      <c r="C952" s="64"/>
      <c r="D952" s="72" t="str">
        <f aca="false">IF(C952="","",IFERROR(INDEX(T_NOMBRE,MATCH(C952,T_ID,0)),"⚠ ID no existe"))</f>
        <v/>
      </c>
      <c r="E952" s="69"/>
      <c r="F952" s="67"/>
      <c r="G952" s="67"/>
      <c r="H952" s="67"/>
      <c r="I952" s="67"/>
      <c r="J952" s="67"/>
      <c r="K952" s="85" t="str">
        <f aca="false">IF(AH952="","",N(F952)+N(G952)+N(H952)-N(I952)+N(J952))</f>
        <v/>
      </c>
      <c r="L952" s="67"/>
      <c r="M952" s="67"/>
      <c r="N952" s="67"/>
      <c r="O952" s="67"/>
      <c r="P952" s="85" t="str">
        <f aca="false">IF(AH952="","",K952+N(L952)+N(M952)+N(N952)+N(O952))</f>
        <v/>
      </c>
      <c r="Q952" s="67"/>
      <c r="R952" s="67"/>
      <c r="S952" s="67"/>
      <c r="T952" s="67"/>
      <c r="U952" s="67"/>
      <c r="V952" s="67"/>
      <c r="W952" s="85" t="str">
        <f aca="false">IF(AH952="","",N(Q952)+N(R952)+N(S952)+N(T952)+N(U952)+N(V952))</f>
        <v/>
      </c>
      <c r="X952" s="85" t="str">
        <f aca="false">IF(AH952="","",P952-W952)</f>
        <v/>
      </c>
      <c r="Y952" s="67"/>
      <c r="Z952" s="70" t="str">
        <f aca="false">IF(OR(AH952="",Y952=""),"",IF(ABS(X952-Y952)&lt;=1,"✓ Cuadra","⚠ Diferencia $"&amp;FIXED(X952-Y952,0)))</f>
        <v/>
      </c>
      <c r="AA952" s="72" t="str">
        <f aca="false">IF(AH952="","",IFERROR(INDEX(C_TIPO,MATCH(C952&amp;"-P"&amp;MAX(1,COUNTIFS(C_ID,C952,C_DEFINE,"Sí",C_INICIO,"&lt;="&amp;EOMONTH(B952,0))),C_CLAVE,0))&amp;"","Sin dato"))</f>
        <v/>
      </c>
      <c r="AB952" s="71" t="str">
        <f aca="false">IF(AH952="","",ROUND(MIN(K952,TOPE_AFP_UF*AJ952)*AK952,0))</f>
        <v/>
      </c>
      <c r="AC952" s="71" t="str">
        <f aca="false">IF(AH952="","",ROUND(MIN(K952,TOPE_AFC_UF*AJ952)*IF(AA952="Indefinido",AFC_EMP_INDEF,AFC_EMP_PF),0))</f>
        <v/>
      </c>
      <c r="AD952" s="71" t="str">
        <f aca="false">IF(AH952="","",ROUND(MIN(K952,TOPE_AFP_UF*AJ952)*(MUTUAL_BASICA+MUTUAL_ADIC+SANNA),0))</f>
        <v/>
      </c>
      <c r="AE952" s="71" t="str">
        <f aca="false">IF(AH952="","",P952-N(N952)+AB952+AC952+AD952)</f>
        <v/>
      </c>
      <c r="AF952" s="65"/>
      <c r="AG952" s="64"/>
      <c r="AH952" s="72" t="str">
        <f aca="false">IF(OR(B952="",C952=""),"",C952&amp;"|"&amp;(YEAR(B952)*100+MONTH(B952)))</f>
        <v/>
      </c>
      <c r="AI952" s="70" t="str">
        <f aca="false">IF(AH952="","",IF(COUNTIF(L_CLAVE,AH952)&gt;1,"⚠ Duplicado","OK"))</f>
        <v/>
      </c>
      <c r="AJ952" s="86" t="str">
        <f aca="false">IF(AH952="","",IF(SUMPRODUCT(MAX((IND_PER&lt;=B952)*(IND_UF&lt;&gt;"")*IND_PER))=0,UF_HOY,INDEX(IND_UF,MATCH(SUMPRODUCT(MAX((IND_PER&lt;=B952)*(IND_UF&lt;&gt;"")*IND_PER)),IND_PER,0))))</f>
        <v/>
      </c>
      <c r="AK952" s="87" t="str">
        <f aca="false">IF(AH952="","",IF(COUNTIF(TASA_DESDE,"&lt;="&amp;B952)=0,INDEX(TASA_EMP,1),INDEX(TASA_EMP,COUNTIF(TASA_DESDE,"&lt;="&amp;B952))))</f>
        <v/>
      </c>
    </row>
    <row r="953" customFormat="false" ht="15" hidden="false" customHeight="false" outlineLevel="0" collapsed="false">
      <c r="B953" s="78"/>
      <c r="C953" s="64"/>
      <c r="D953" s="72" t="str">
        <f aca="false">IF(C953="","",IFERROR(INDEX(T_NOMBRE,MATCH(C953,T_ID,0)),"⚠ ID no existe"))</f>
        <v/>
      </c>
      <c r="E953" s="69"/>
      <c r="F953" s="67"/>
      <c r="G953" s="67"/>
      <c r="H953" s="67"/>
      <c r="I953" s="67"/>
      <c r="J953" s="67"/>
      <c r="K953" s="85" t="str">
        <f aca="false">IF(AH953="","",N(F953)+N(G953)+N(H953)-N(I953)+N(J953))</f>
        <v/>
      </c>
      <c r="L953" s="67"/>
      <c r="M953" s="67"/>
      <c r="N953" s="67"/>
      <c r="O953" s="67"/>
      <c r="P953" s="85" t="str">
        <f aca="false">IF(AH953="","",K953+N(L953)+N(M953)+N(N953)+N(O953))</f>
        <v/>
      </c>
      <c r="Q953" s="67"/>
      <c r="R953" s="67"/>
      <c r="S953" s="67"/>
      <c r="T953" s="67"/>
      <c r="U953" s="67"/>
      <c r="V953" s="67"/>
      <c r="W953" s="85" t="str">
        <f aca="false">IF(AH953="","",N(Q953)+N(R953)+N(S953)+N(T953)+N(U953)+N(V953))</f>
        <v/>
      </c>
      <c r="X953" s="85" t="str">
        <f aca="false">IF(AH953="","",P953-W953)</f>
        <v/>
      </c>
      <c r="Y953" s="67"/>
      <c r="Z953" s="70" t="str">
        <f aca="false">IF(OR(AH953="",Y953=""),"",IF(ABS(X953-Y953)&lt;=1,"✓ Cuadra","⚠ Diferencia $"&amp;FIXED(X953-Y953,0)))</f>
        <v/>
      </c>
      <c r="AA953" s="72" t="str">
        <f aca="false">IF(AH953="","",IFERROR(INDEX(C_TIPO,MATCH(C953&amp;"-P"&amp;MAX(1,COUNTIFS(C_ID,C953,C_DEFINE,"Sí",C_INICIO,"&lt;="&amp;EOMONTH(B953,0))),C_CLAVE,0))&amp;"","Sin dato"))</f>
        <v/>
      </c>
      <c r="AB953" s="71" t="str">
        <f aca="false">IF(AH953="","",ROUND(MIN(K953,TOPE_AFP_UF*AJ953)*AK953,0))</f>
        <v/>
      </c>
      <c r="AC953" s="71" t="str">
        <f aca="false">IF(AH953="","",ROUND(MIN(K953,TOPE_AFC_UF*AJ953)*IF(AA953="Indefinido",AFC_EMP_INDEF,AFC_EMP_PF),0))</f>
        <v/>
      </c>
      <c r="AD953" s="71" t="str">
        <f aca="false">IF(AH953="","",ROUND(MIN(K953,TOPE_AFP_UF*AJ953)*(MUTUAL_BASICA+MUTUAL_ADIC+SANNA),0))</f>
        <v/>
      </c>
      <c r="AE953" s="71" t="str">
        <f aca="false">IF(AH953="","",P953-N(N953)+AB953+AC953+AD953)</f>
        <v/>
      </c>
      <c r="AF953" s="65"/>
      <c r="AG953" s="64"/>
      <c r="AH953" s="72" t="str">
        <f aca="false">IF(OR(B953="",C953=""),"",C953&amp;"|"&amp;(YEAR(B953)*100+MONTH(B953)))</f>
        <v/>
      </c>
      <c r="AI953" s="70" t="str">
        <f aca="false">IF(AH953="","",IF(COUNTIF(L_CLAVE,AH953)&gt;1,"⚠ Duplicado","OK"))</f>
        <v/>
      </c>
      <c r="AJ953" s="86" t="str">
        <f aca="false">IF(AH953="","",IF(SUMPRODUCT(MAX((IND_PER&lt;=B953)*(IND_UF&lt;&gt;"")*IND_PER))=0,UF_HOY,INDEX(IND_UF,MATCH(SUMPRODUCT(MAX((IND_PER&lt;=B953)*(IND_UF&lt;&gt;"")*IND_PER)),IND_PER,0))))</f>
        <v/>
      </c>
      <c r="AK953" s="87" t="str">
        <f aca="false">IF(AH953="","",IF(COUNTIF(TASA_DESDE,"&lt;="&amp;B953)=0,INDEX(TASA_EMP,1),INDEX(TASA_EMP,COUNTIF(TASA_DESDE,"&lt;="&amp;B953))))</f>
        <v/>
      </c>
    </row>
    <row r="954" customFormat="false" ht="15" hidden="false" customHeight="false" outlineLevel="0" collapsed="false">
      <c r="B954" s="78"/>
      <c r="C954" s="64"/>
      <c r="D954" s="72" t="str">
        <f aca="false">IF(C954="","",IFERROR(INDEX(T_NOMBRE,MATCH(C954,T_ID,0)),"⚠ ID no existe"))</f>
        <v/>
      </c>
      <c r="E954" s="69"/>
      <c r="F954" s="67"/>
      <c r="G954" s="67"/>
      <c r="H954" s="67"/>
      <c r="I954" s="67"/>
      <c r="J954" s="67"/>
      <c r="K954" s="85" t="str">
        <f aca="false">IF(AH954="","",N(F954)+N(G954)+N(H954)-N(I954)+N(J954))</f>
        <v/>
      </c>
      <c r="L954" s="67"/>
      <c r="M954" s="67"/>
      <c r="N954" s="67"/>
      <c r="O954" s="67"/>
      <c r="P954" s="85" t="str">
        <f aca="false">IF(AH954="","",K954+N(L954)+N(M954)+N(N954)+N(O954))</f>
        <v/>
      </c>
      <c r="Q954" s="67"/>
      <c r="R954" s="67"/>
      <c r="S954" s="67"/>
      <c r="T954" s="67"/>
      <c r="U954" s="67"/>
      <c r="V954" s="67"/>
      <c r="W954" s="85" t="str">
        <f aca="false">IF(AH954="","",N(Q954)+N(R954)+N(S954)+N(T954)+N(U954)+N(V954))</f>
        <v/>
      </c>
      <c r="X954" s="85" t="str">
        <f aca="false">IF(AH954="","",P954-W954)</f>
        <v/>
      </c>
      <c r="Y954" s="67"/>
      <c r="Z954" s="70" t="str">
        <f aca="false">IF(OR(AH954="",Y954=""),"",IF(ABS(X954-Y954)&lt;=1,"✓ Cuadra","⚠ Diferencia $"&amp;FIXED(X954-Y954,0)))</f>
        <v/>
      </c>
      <c r="AA954" s="72" t="str">
        <f aca="false">IF(AH954="","",IFERROR(INDEX(C_TIPO,MATCH(C954&amp;"-P"&amp;MAX(1,COUNTIFS(C_ID,C954,C_DEFINE,"Sí",C_INICIO,"&lt;="&amp;EOMONTH(B954,0))),C_CLAVE,0))&amp;"","Sin dato"))</f>
        <v/>
      </c>
      <c r="AB954" s="71" t="str">
        <f aca="false">IF(AH954="","",ROUND(MIN(K954,TOPE_AFP_UF*AJ954)*AK954,0))</f>
        <v/>
      </c>
      <c r="AC954" s="71" t="str">
        <f aca="false">IF(AH954="","",ROUND(MIN(K954,TOPE_AFC_UF*AJ954)*IF(AA954="Indefinido",AFC_EMP_INDEF,AFC_EMP_PF),0))</f>
        <v/>
      </c>
      <c r="AD954" s="71" t="str">
        <f aca="false">IF(AH954="","",ROUND(MIN(K954,TOPE_AFP_UF*AJ954)*(MUTUAL_BASICA+MUTUAL_ADIC+SANNA),0))</f>
        <v/>
      </c>
      <c r="AE954" s="71" t="str">
        <f aca="false">IF(AH954="","",P954-N(N954)+AB954+AC954+AD954)</f>
        <v/>
      </c>
      <c r="AF954" s="65"/>
      <c r="AG954" s="64"/>
      <c r="AH954" s="72" t="str">
        <f aca="false">IF(OR(B954="",C954=""),"",C954&amp;"|"&amp;(YEAR(B954)*100+MONTH(B954)))</f>
        <v/>
      </c>
      <c r="AI954" s="70" t="str">
        <f aca="false">IF(AH954="","",IF(COUNTIF(L_CLAVE,AH954)&gt;1,"⚠ Duplicado","OK"))</f>
        <v/>
      </c>
      <c r="AJ954" s="86" t="str">
        <f aca="false">IF(AH954="","",IF(SUMPRODUCT(MAX((IND_PER&lt;=B954)*(IND_UF&lt;&gt;"")*IND_PER))=0,UF_HOY,INDEX(IND_UF,MATCH(SUMPRODUCT(MAX((IND_PER&lt;=B954)*(IND_UF&lt;&gt;"")*IND_PER)),IND_PER,0))))</f>
        <v/>
      </c>
      <c r="AK954" s="87" t="str">
        <f aca="false">IF(AH954="","",IF(COUNTIF(TASA_DESDE,"&lt;="&amp;B954)=0,INDEX(TASA_EMP,1),INDEX(TASA_EMP,COUNTIF(TASA_DESDE,"&lt;="&amp;B954))))</f>
        <v/>
      </c>
    </row>
    <row r="955" customFormat="false" ht="15" hidden="false" customHeight="false" outlineLevel="0" collapsed="false">
      <c r="B955" s="78"/>
      <c r="C955" s="64"/>
      <c r="D955" s="72" t="str">
        <f aca="false">IF(C955="","",IFERROR(INDEX(T_NOMBRE,MATCH(C955,T_ID,0)),"⚠ ID no existe"))</f>
        <v/>
      </c>
      <c r="E955" s="69"/>
      <c r="F955" s="67"/>
      <c r="G955" s="67"/>
      <c r="H955" s="67"/>
      <c r="I955" s="67"/>
      <c r="J955" s="67"/>
      <c r="K955" s="85" t="str">
        <f aca="false">IF(AH955="","",N(F955)+N(G955)+N(H955)-N(I955)+N(J955))</f>
        <v/>
      </c>
      <c r="L955" s="67"/>
      <c r="M955" s="67"/>
      <c r="N955" s="67"/>
      <c r="O955" s="67"/>
      <c r="P955" s="85" t="str">
        <f aca="false">IF(AH955="","",K955+N(L955)+N(M955)+N(N955)+N(O955))</f>
        <v/>
      </c>
      <c r="Q955" s="67"/>
      <c r="R955" s="67"/>
      <c r="S955" s="67"/>
      <c r="T955" s="67"/>
      <c r="U955" s="67"/>
      <c r="V955" s="67"/>
      <c r="W955" s="85" t="str">
        <f aca="false">IF(AH955="","",N(Q955)+N(R955)+N(S955)+N(T955)+N(U955)+N(V955))</f>
        <v/>
      </c>
      <c r="X955" s="85" t="str">
        <f aca="false">IF(AH955="","",P955-W955)</f>
        <v/>
      </c>
      <c r="Y955" s="67"/>
      <c r="Z955" s="70" t="str">
        <f aca="false">IF(OR(AH955="",Y955=""),"",IF(ABS(X955-Y955)&lt;=1,"✓ Cuadra","⚠ Diferencia $"&amp;FIXED(X955-Y955,0)))</f>
        <v/>
      </c>
      <c r="AA955" s="72" t="str">
        <f aca="false">IF(AH955="","",IFERROR(INDEX(C_TIPO,MATCH(C955&amp;"-P"&amp;MAX(1,COUNTIFS(C_ID,C955,C_DEFINE,"Sí",C_INICIO,"&lt;="&amp;EOMONTH(B955,0))),C_CLAVE,0))&amp;"","Sin dato"))</f>
        <v/>
      </c>
      <c r="AB955" s="71" t="str">
        <f aca="false">IF(AH955="","",ROUND(MIN(K955,TOPE_AFP_UF*AJ955)*AK955,0))</f>
        <v/>
      </c>
      <c r="AC955" s="71" t="str">
        <f aca="false">IF(AH955="","",ROUND(MIN(K955,TOPE_AFC_UF*AJ955)*IF(AA955="Indefinido",AFC_EMP_INDEF,AFC_EMP_PF),0))</f>
        <v/>
      </c>
      <c r="AD955" s="71" t="str">
        <f aca="false">IF(AH955="","",ROUND(MIN(K955,TOPE_AFP_UF*AJ955)*(MUTUAL_BASICA+MUTUAL_ADIC+SANNA),0))</f>
        <v/>
      </c>
      <c r="AE955" s="71" t="str">
        <f aca="false">IF(AH955="","",P955-N(N955)+AB955+AC955+AD955)</f>
        <v/>
      </c>
      <c r="AF955" s="65"/>
      <c r="AG955" s="64"/>
      <c r="AH955" s="72" t="str">
        <f aca="false">IF(OR(B955="",C955=""),"",C955&amp;"|"&amp;(YEAR(B955)*100+MONTH(B955)))</f>
        <v/>
      </c>
      <c r="AI955" s="70" t="str">
        <f aca="false">IF(AH955="","",IF(COUNTIF(L_CLAVE,AH955)&gt;1,"⚠ Duplicado","OK"))</f>
        <v/>
      </c>
      <c r="AJ955" s="86" t="str">
        <f aca="false">IF(AH955="","",IF(SUMPRODUCT(MAX((IND_PER&lt;=B955)*(IND_UF&lt;&gt;"")*IND_PER))=0,UF_HOY,INDEX(IND_UF,MATCH(SUMPRODUCT(MAX((IND_PER&lt;=B955)*(IND_UF&lt;&gt;"")*IND_PER)),IND_PER,0))))</f>
        <v/>
      </c>
      <c r="AK955" s="87" t="str">
        <f aca="false">IF(AH955="","",IF(COUNTIF(TASA_DESDE,"&lt;="&amp;B955)=0,INDEX(TASA_EMP,1),INDEX(TASA_EMP,COUNTIF(TASA_DESDE,"&lt;="&amp;B955))))</f>
        <v/>
      </c>
    </row>
    <row r="956" customFormat="false" ht="15" hidden="false" customHeight="false" outlineLevel="0" collapsed="false">
      <c r="B956" s="78"/>
      <c r="C956" s="64"/>
      <c r="D956" s="72" t="str">
        <f aca="false">IF(C956="","",IFERROR(INDEX(T_NOMBRE,MATCH(C956,T_ID,0)),"⚠ ID no existe"))</f>
        <v/>
      </c>
      <c r="E956" s="69"/>
      <c r="F956" s="67"/>
      <c r="G956" s="67"/>
      <c r="H956" s="67"/>
      <c r="I956" s="67"/>
      <c r="J956" s="67"/>
      <c r="K956" s="85" t="str">
        <f aca="false">IF(AH956="","",N(F956)+N(G956)+N(H956)-N(I956)+N(J956))</f>
        <v/>
      </c>
      <c r="L956" s="67"/>
      <c r="M956" s="67"/>
      <c r="N956" s="67"/>
      <c r="O956" s="67"/>
      <c r="P956" s="85" t="str">
        <f aca="false">IF(AH956="","",K956+N(L956)+N(M956)+N(N956)+N(O956))</f>
        <v/>
      </c>
      <c r="Q956" s="67"/>
      <c r="R956" s="67"/>
      <c r="S956" s="67"/>
      <c r="T956" s="67"/>
      <c r="U956" s="67"/>
      <c r="V956" s="67"/>
      <c r="W956" s="85" t="str">
        <f aca="false">IF(AH956="","",N(Q956)+N(R956)+N(S956)+N(T956)+N(U956)+N(V956))</f>
        <v/>
      </c>
      <c r="X956" s="85" t="str">
        <f aca="false">IF(AH956="","",P956-W956)</f>
        <v/>
      </c>
      <c r="Y956" s="67"/>
      <c r="Z956" s="70" t="str">
        <f aca="false">IF(OR(AH956="",Y956=""),"",IF(ABS(X956-Y956)&lt;=1,"✓ Cuadra","⚠ Diferencia $"&amp;FIXED(X956-Y956,0)))</f>
        <v/>
      </c>
      <c r="AA956" s="72" t="str">
        <f aca="false">IF(AH956="","",IFERROR(INDEX(C_TIPO,MATCH(C956&amp;"-P"&amp;MAX(1,COUNTIFS(C_ID,C956,C_DEFINE,"Sí",C_INICIO,"&lt;="&amp;EOMONTH(B956,0))),C_CLAVE,0))&amp;"","Sin dato"))</f>
        <v/>
      </c>
      <c r="AB956" s="71" t="str">
        <f aca="false">IF(AH956="","",ROUND(MIN(K956,TOPE_AFP_UF*AJ956)*AK956,0))</f>
        <v/>
      </c>
      <c r="AC956" s="71" t="str">
        <f aca="false">IF(AH956="","",ROUND(MIN(K956,TOPE_AFC_UF*AJ956)*IF(AA956="Indefinido",AFC_EMP_INDEF,AFC_EMP_PF),0))</f>
        <v/>
      </c>
      <c r="AD956" s="71" t="str">
        <f aca="false">IF(AH956="","",ROUND(MIN(K956,TOPE_AFP_UF*AJ956)*(MUTUAL_BASICA+MUTUAL_ADIC+SANNA),0))</f>
        <v/>
      </c>
      <c r="AE956" s="71" t="str">
        <f aca="false">IF(AH956="","",P956-N(N956)+AB956+AC956+AD956)</f>
        <v/>
      </c>
      <c r="AF956" s="65"/>
      <c r="AG956" s="64"/>
      <c r="AH956" s="72" t="str">
        <f aca="false">IF(OR(B956="",C956=""),"",C956&amp;"|"&amp;(YEAR(B956)*100+MONTH(B956)))</f>
        <v/>
      </c>
      <c r="AI956" s="70" t="str">
        <f aca="false">IF(AH956="","",IF(COUNTIF(L_CLAVE,AH956)&gt;1,"⚠ Duplicado","OK"))</f>
        <v/>
      </c>
      <c r="AJ956" s="86" t="str">
        <f aca="false">IF(AH956="","",IF(SUMPRODUCT(MAX((IND_PER&lt;=B956)*(IND_UF&lt;&gt;"")*IND_PER))=0,UF_HOY,INDEX(IND_UF,MATCH(SUMPRODUCT(MAX((IND_PER&lt;=B956)*(IND_UF&lt;&gt;"")*IND_PER)),IND_PER,0))))</f>
        <v/>
      </c>
      <c r="AK956" s="87" t="str">
        <f aca="false">IF(AH956="","",IF(COUNTIF(TASA_DESDE,"&lt;="&amp;B956)=0,INDEX(TASA_EMP,1),INDEX(TASA_EMP,COUNTIF(TASA_DESDE,"&lt;="&amp;B956))))</f>
        <v/>
      </c>
    </row>
    <row r="957" customFormat="false" ht="15" hidden="false" customHeight="false" outlineLevel="0" collapsed="false">
      <c r="B957" s="78"/>
      <c r="C957" s="64"/>
      <c r="D957" s="72" t="str">
        <f aca="false">IF(C957="","",IFERROR(INDEX(T_NOMBRE,MATCH(C957,T_ID,0)),"⚠ ID no existe"))</f>
        <v/>
      </c>
      <c r="E957" s="69"/>
      <c r="F957" s="67"/>
      <c r="G957" s="67"/>
      <c r="H957" s="67"/>
      <c r="I957" s="67"/>
      <c r="J957" s="67"/>
      <c r="K957" s="85" t="str">
        <f aca="false">IF(AH957="","",N(F957)+N(G957)+N(H957)-N(I957)+N(J957))</f>
        <v/>
      </c>
      <c r="L957" s="67"/>
      <c r="M957" s="67"/>
      <c r="N957" s="67"/>
      <c r="O957" s="67"/>
      <c r="P957" s="85" t="str">
        <f aca="false">IF(AH957="","",K957+N(L957)+N(M957)+N(N957)+N(O957))</f>
        <v/>
      </c>
      <c r="Q957" s="67"/>
      <c r="R957" s="67"/>
      <c r="S957" s="67"/>
      <c r="T957" s="67"/>
      <c r="U957" s="67"/>
      <c r="V957" s="67"/>
      <c r="W957" s="85" t="str">
        <f aca="false">IF(AH957="","",N(Q957)+N(R957)+N(S957)+N(T957)+N(U957)+N(V957))</f>
        <v/>
      </c>
      <c r="X957" s="85" t="str">
        <f aca="false">IF(AH957="","",P957-W957)</f>
        <v/>
      </c>
      <c r="Y957" s="67"/>
      <c r="Z957" s="70" t="str">
        <f aca="false">IF(OR(AH957="",Y957=""),"",IF(ABS(X957-Y957)&lt;=1,"✓ Cuadra","⚠ Diferencia $"&amp;FIXED(X957-Y957,0)))</f>
        <v/>
      </c>
      <c r="AA957" s="72" t="str">
        <f aca="false">IF(AH957="","",IFERROR(INDEX(C_TIPO,MATCH(C957&amp;"-P"&amp;MAX(1,COUNTIFS(C_ID,C957,C_DEFINE,"Sí",C_INICIO,"&lt;="&amp;EOMONTH(B957,0))),C_CLAVE,0))&amp;"","Sin dato"))</f>
        <v/>
      </c>
      <c r="AB957" s="71" t="str">
        <f aca="false">IF(AH957="","",ROUND(MIN(K957,TOPE_AFP_UF*AJ957)*AK957,0))</f>
        <v/>
      </c>
      <c r="AC957" s="71" t="str">
        <f aca="false">IF(AH957="","",ROUND(MIN(K957,TOPE_AFC_UF*AJ957)*IF(AA957="Indefinido",AFC_EMP_INDEF,AFC_EMP_PF),0))</f>
        <v/>
      </c>
      <c r="AD957" s="71" t="str">
        <f aca="false">IF(AH957="","",ROUND(MIN(K957,TOPE_AFP_UF*AJ957)*(MUTUAL_BASICA+MUTUAL_ADIC+SANNA),0))</f>
        <v/>
      </c>
      <c r="AE957" s="71" t="str">
        <f aca="false">IF(AH957="","",P957-N(N957)+AB957+AC957+AD957)</f>
        <v/>
      </c>
      <c r="AF957" s="65"/>
      <c r="AG957" s="64"/>
      <c r="AH957" s="72" t="str">
        <f aca="false">IF(OR(B957="",C957=""),"",C957&amp;"|"&amp;(YEAR(B957)*100+MONTH(B957)))</f>
        <v/>
      </c>
      <c r="AI957" s="70" t="str">
        <f aca="false">IF(AH957="","",IF(COUNTIF(L_CLAVE,AH957)&gt;1,"⚠ Duplicado","OK"))</f>
        <v/>
      </c>
      <c r="AJ957" s="86" t="str">
        <f aca="false">IF(AH957="","",IF(SUMPRODUCT(MAX((IND_PER&lt;=B957)*(IND_UF&lt;&gt;"")*IND_PER))=0,UF_HOY,INDEX(IND_UF,MATCH(SUMPRODUCT(MAX((IND_PER&lt;=B957)*(IND_UF&lt;&gt;"")*IND_PER)),IND_PER,0))))</f>
        <v/>
      </c>
      <c r="AK957" s="87" t="str">
        <f aca="false">IF(AH957="","",IF(COUNTIF(TASA_DESDE,"&lt;="&amp;B957)=0,INDEX(TASA_EMP,1),INDEX(TASA_EMP,COUNTIF(TASA_DESDE,"&lt;="&amp;B957))))</f>
        <v/>
      </c>
    </row>
    <row r="958" customFormat="false" ht="15" hidden="false" customHeight="false" outlineLevel="0" collapsed="false">
      <c r="B958" s="78"/>
      <c r="C958" s="64"/>
      <c r="D958" s="72" t="str">
        <f aca="false">IF(C958="","",IFERROR(INDEX(T_NOMBRE,MATCH(C958,T_ID,0)),"⚠ ID no existe"))</f>
        <v/>
      </c>
      <c r="E958" s="69"/>
      <c r="F958" s="67"/>
      <c r="G958" s="67"/>
      <c r="H958" s="67"/>
      <c r="I958" s="67"/>
      <c r="J958" s="67"/>
      <c r="K958" s="85" t="str">
        <f aca="false">IF(AH958="","",N(F958)+N(G958)+N(H958)-N(I958)+N(J958))</f>
        <v/>
      </c>
      <c r="L958" s="67"/>
      <c r="M958" s="67"/>
      <c r="N958" s="67"/>
      <c r="O958" s="67"/>
      <c r="P958" s="85" t="str">
        <f aca="false">IF(AH958="","",K958+N(L958)+N(M958)+N(N958)+N(O958))</f>
        <v/>
      </c>
      <c r="Q958" s="67"/>
      <c r="R958" s="67"/>
      <c r="S958" s="67"/>
      <c r="T958" s="67"/>
      <c r="U958" s="67"/>
      <c r="V958" s="67"/>
      <c r="W958" s="85" t="str">
        <f aca="false">IF(AH958="","",N(Q958)+N(R958)+N(S958)+N(T958)+N(U958)+N(V958))</f>
        <v/>
      </c>
      <c r="X958" s="85" t="str">
        <f aca="false">IF(AH958="","",P958-W958)</f>
        <v/>
      </c>
      <c r="Y958" s="67"/>
      <c r="Z958" s="70" t="str">
        <f aca="false">IF(OR(AH958="",Y958=""),"",IF(ABS(X958-Y958)&lt;=1,"✓ Cuadra","⚠ Diferencia $"&amp;FIXED(X958-Y958,0)))</f>
        <v/>
      </c>
      <c r="AA958" s="72" t="str">
        <f aca="false">IF(AH958="","",IFERROR(INDEX(C_TIPO,MATCH(C958&amp;"-P"&amp;MAX(1,COUNTIFS(C_ID,C958,C_DEFINE,"Sí",C_INICIO,"&lt;="&amp;EOMONTH(B958,0))),C_CLAVE,0))&amp;"","Sin dato"))</f>
        <v/>
      </c>
      <c r="AB958" s="71" t="str">
        <f aca="false">IF(AH958="","",ROUND(MIN(K958,TOPE_AFP_UF*AJ958)*AK958,0))</f>
        <v/>
      </c>
      <c r="AC958" s="71" t="str">
        <f aca="false">IF(AH958="","",ROUND(MIN(K958,TOPE_AFC_UF*AJ958)*IF(AA958="Indefinido",AFC_EMP_INDEF,AFC_EMP_PF),0))</f>
        <v/>
      </c>
      <c r="AD958" s="71" t="str">
        <f aca="false">IF(AH958="","",ROUND(MIN(K958,TOPE_AFP_UF*AJ958)*(MUTUAL_BASICA+MUTUAL_ADIC+SANNA),0))</f>
        <v/>
      </c>
      <c r="AE958" s="71" t="str">
        <f aca="false">IF(AH958="","",P958-N(N958)+AB958+AC958+AD958)</f>
        <v/>
      </c>
      <c r="AF958" s="65"/>
      <c r="AG958" s="64"/>
      <c r="AH958" s="72" t="str">
        <f aca="false">IF(OR(B958="",C958=""),"",C958&amp;"|"&amp;(YEAR(B958)*100+MONTH(B958)))</f>
        <v/>
      </c>
      <c r="AI958" s="70" t="str">
        <f aca="false">IF(AH958="","",IF(COUNTIF(L_CLAVE,AH958)&gt;1,"⚠ Duplicado","OK"))</f>
        <v/>
      </c>
      <c r="AJ958" s="86" t="str">
        <f aca="false">IF(AH958="","",IF(SUMPRODUCT(MAX((IND_PER&lt;=B958)*(IND_UF&lt;&gt;"")*IND_PER))=0,UF_HOY,INDEX(IND_UF,MATCH(SUMPRODUCT(MAX((IND_PER&lt;=B958)*(IND_UF&lt;&gt;"")*IND_PER)),IND_PER,0))))</f>
        <v/>
      </c>
      <c r="AK958" s="87" t="str">
        <f aca="false">IF(AH958="","",IF(COUNTIF(TASA_DESDE,"&lt;="&amp;B958)=0,INDEX(TASA_EMP,1),INDEX(TASA_EMP,COUNTIF(TASA_DESDE,"&lt;="&amp;B958))))</f>
        <v/>
      </c>
    </row>
    <row r="959" customFormat="false" ht="15" hidden="false" customHeight="false" outlineLevel="0" collapsed="false">
      <c r="B959" s="78"/>
      <c r="C959" s="64"/>
      <c r="D959" s="72" t="str">
        <f aca="false">IF(C959="","",IFERROR(INDEX(T_NOMBRE,MATCH(C959,T_ID,0)),"⚠ ID no existe"))</f>
        <v/>
      </c>
      <c r="E959" s="69"/>
      <c r="F959" s="67"/>
      <c r="G959" s="67"/>
      <c r="H959" s="67"/>
      <c r="I959" s="67"/>
      <c r="J959" s="67"/>
      <c r="K959" s="85" t="str">
        <f aca="false">IF(AH959="","",N(F959)+N(G959)+N(H959)-N(I959)+N(J959))</f>
        <v/>
      </c>
      <c r="L959" s="67"/>
      <c r="M959" s="67"/>
      <c r="N959" s="67"/>
      <c r="O959" s="67"/>
      <c r="P959" s="85" t="str">
        <f aca="false">IF(AH959="","",K959+N(L959)+N(M959)+N(N959)+N(O959))</f>
        <v/>
      </c>
      <c r="Q959" s="67"/>
      <c r="R959" s="67"/>
      <c r="S959" s="67"/>
      <c r="T959" s="67"/>
      <c r="U959" s="67"/>
      <c r="V959" s="67"/>
      <c r="W959" s="85" t="str">
        <f aca="false">IF(AH959="","",N(Q959)+N(R959)+N(S959)+N(T959)+N(U959)+N(V959))</f>
        <v/>
      </c>
      <c r="X959" s="85" t="str">
        <f aca="false">IF(AH959="","",P959-W959)</f>
        <v/>
      </c>
      <c r="Y959" s="67"/>
      <c r="Z959" s="70" t="str">
        <f aca="false">IF(OR(AH959="",Y959=""),"",IF(ABS(X959-Y959)&lt;=1,"✓ Cuadra","⚠ Diferencia $"&amp;FIXED(X959-Y959,0)))</f>
        <v/>
      </c>
      <c r="AA959" s="72" t="str">
        <f aca="false">IF(AH959="","",IFERROR(INDEX(C_TIPO,MATCH(C959&amp;"-P"&amp;MAX(1,COUNTIFS(C_ID,C959,C_DEFINE,"Sí",C_INICIO,"&lt;="&amp;EOMONTH(B959,0))),C_CLAVE,0))&amp;"","Sin dato"))</f>
        <v/>
      </c>
      <c r="AB959" s="71" t="str">
        <f aca="false">IF(AH959="","",ROUND(MIN(K959,TOPE_AFP_UF*AJ959)*AK959,0))</f>
        <v/>
      </c>
      <c r="AC959" s="71" t="str">
        <f aca="false">IF(AH959="","",ROUND(MIN(K959,TOPE_AFC_UF*AJ959)*IF(AA959="Indefinido",AFC_EMP_INDEF,AFC_EMP_PF),0))</f>
        <v/>
      </c>
      <c r="AD959" s="71" t="str">
        <f aca="false">IF(AH959="","",ROUND(MIN(K959,TOPE_AFP_UF*AJ959)*(MUTUAL_BASICA+MUTUAL_ADIC+SANNA),0))</f>
        <v/>
      </c>
      <c r="AE959" s="71" t="str">
        <f aca="false">IF(AH959="","",P959-N(N959)+AB959+AC959+AD959)</f>
        <v/>
      </c>
      <c r="AF959" s="65"/>
      <c r="AG959" s="64"/>
      <c r="AH959" s="72" t="str">
        <f aca="false">IF(OR(B959="",C959=""),"",C959&amp;"|"&amp;(YEAR(B959)*100+MONTH(B959)))</f>
        <v/>
      </c>
      <c r="AI959" s="70" t="str">
        <f aca="false">IF(AH959="","",IF(COUNTIF(L_CLAVE,AH959)&gt;1,"⚠ Duplicado","OK"))</f>
        <v/>
      </c>
      <c r="AJ959" s="86" t="str">
        <f aca="false">IF(AH959="","",IF(SUMPRODUCT(MAX((IND_PER&lt;=B959)*(IND_UF&lt;&gt;"")*IND_PER))=0,UF_HOY,INDEX(IND_UF,MATCH(SUMPRODUCT(MAX((IND_PER&lt;=B959)*(IND_UF&lt;&gt;"")*IND_PER)),IND_PER,0))))</f>
        <v/>
      </c>
      <c r="AK959" s="87" t="str">
        <f aca="false">IF(AH959="","",IF(COUNTIF(TASA_DESDE,"&lt;="&amp;B959)=0,INDEX(TASA_EMP,1),INDEX(TASA_EMP,COUNTIF(TASA_DESDE,"&lt;="&amp;B959))))</f>
        <v/>
      </c>
    </row>
    <row r="960" customFormat="false" ht="15" hidden="false" customHeight="false" outlineLevel="0" collapsed="false">
      <c r="B960" s="78"/>
      <c r="C960" s="64"/>
      <c r="D960" s="72" t="str">
        <f aca="false">IF(C960="","",IFERROR(INDEX(T_NOMBRE,MATCH(C960,T_ID,0)),"⚠ ID no existe"))</f>
        <v/>
      </c>
      <c r="E960" s="69"/>
      <c r="F960" s="67"/>
      <c r="G960" s="67"/>
      <c r="H960" s="67"/>
      <c r="I960" s="67"/>
      <c r="J960" s="67"/>
      <c r="K960" s="85" t="str">
        <f aca="false">IF(AH960="","",N(F960)+N(G960)+N(H960)-N(I960)+N(J960))</f>
        <v/>
      </c>
      <c r="L960" s="67"/>
      <c r="M960" s="67"/>
      <c r="N960" s="67"/>
      <c r="O960" s="67"/>
      <c r="P960" s="85" t="str">
        <f aca="false">IF(AH960="","",K960+N(L960)+N(M960)+N(N960)+N(O960))</f>
        <v/>
      </c>
      <c r="Q960" s="67"/>
      <c r="R960" s="67"/>
      <c r="S960" s="67"/>
      <c r="T960" s="67"/>
      <c r="U960" s="67"/>
      <c r="V960" s="67"/>
      <c r="W960" s="85" t="str">
        <f aca="false">IF(AH960="","",N(Q960)+N(R960)+N(S960)+N(T960)+N(U960)+N(V960))</f>
        <v/>
      </c>
      <c r="X960" s="85" t="str">
        <f aca="false">IF(AH960="","",P960-W960)</f>
        <v/>
      </c>
      <c r="Y960" s="67"/>
      <c r="Z960" s="70" t="str">
        <f aca="false">IF(OR(AH960="",Y960=""),"",IF(ABS(X960-Y960)&lt;=1,"✓ Cuadra","⚠ Diferencia $"&amp;FIXED(X960-Y960,0)))</f>
        <v/>
      </c>
      <c r="AA960" s="72" t="str">
        <f aca="false">IF(AH960="","",IFERROR(INDEX(C_TIPO,MATCH(C960&amp;"-P"&amp;MAX(1,COUNTIFS(C_ID,C960,C_DEFINE,"Sí",C_INICIO,"&lt;="&amp;EOMONTH(B960,0))),C_CLAVE,0))&amp;"","Sin dato"))</f>
        <v/>
      </c>
      <c r="AB960" s="71" t="str">
        <f aca="false">IF(AH960="","",ROUND(MIN(K960,TOPE_AFP_UF*AJ960)*AK960,0))</f>
        <v/>
      </c>
      <c r="AC960" s="71" t="str">
        <f aca="false">IF(AH960="","",ROUND(MIN(K960,TOPE_AFC_UF*AJ960)*IF(AA960="Indefinido",AFC_EMP_INDEF,AFC_EMP_PF),0))</f>
        <v/>
      </c>
      <c r="AD960" s="71" t="str">
        <f aca="false">IF(AH960="","",ROUND(MIN(K960,TOPE_AFP_UF*AJ960)*(MUTUAL_BASICA+MUTUAL_ADIC+SANNA),0))</f>
        <v/>
      </c>
      <c r="AE960" s="71" t="str">
        <f aca="false">IF(AH960="","",P960-N(N960)+AB960+AC960+AD960)</f>
        <v/>
      </c>
      <c r="AF960" s="65"/>
      <c r="AG960" s="64"/>
      <c r="AH960" s="72" t="str">
        <f aca="false">IF(OR(B960="",C960=""),"",C960&amp;"|"&amp;(YEAR(B960)*100+MONTH(B960)))</f>
        <v/>
      </c>
      <c r="AI960" s="70" t="str">
        <f aca="false">IF(AH960="","",IF(COUNTIF(L_CLAVE,AH960)&gt;1,"⚠ Duplicado","OK"))</f>
        <v/>
      </c>
      <c r="AJ960" s="86" t="str">
        <f aca="false">IF(AH960="","",IF(SUMPRODUCT(MAX((IND_PER&lt;=B960)*(IND_UF&lt;&gt;"")*IND_PER))=0,UF_HOY,INDEX(IND_UF,MATCH(SUMPRODUCT(MAX((IND_PER&lt;=B960)*(IND_UF&lt;&gt;"")*IND_PER)),IND_PER,0))))</f>
        <v/>
      </c>
      <c r="AK960" s="87" t="str">
        <f aca="false">IF(AH960="","",IF(COUNTIF(TASA_DESDE,"&lt;="&amp;B960)=0,INDEX(TASA_EMP,1),INDEX(TASA_EMP,COUNTIF(TASA_DESDE,"&lt;="&amp;B960))))</f>
        <v/>
      </c>
    </row>
    <row r="961" customFormat="false" ht="15" hidden="false" customHeight="false" outlineLevel="0" collapsed="false">
      <c r="B961" s="78"/>
      <c r="C961" s="64"/>
      <c r="D961" s="72" t="str">
        <f aca="false">IF(C961="","",IFERROR(INDEX(T_NOMBRE,MATCH(C961,T_ID,0)),"⚠ ID no existe"))</f>
        <v/>
      </c>
      <c r="E961" s="69"/>
      <c r="F961" s="67"/>
      <c r="G961" s="67"/>
      <c r="H961" s="67"/>
      <c r="I961" s="67"/>
      <c r="J961" s="67"/>
      <c r="K961" s="85" t="str">
        <f aca="false">IF(AH961="","",N(F961)+N(G961)+N(H961)-N(I961)+N(J961))</f>
        <v/>
      </c>
      <c r="L961" s="67"/>
      <c r="M961" s="67"/>
      <c r="N961" s="67"/>
      <c r="O961" s="67"/>
      <c r="P961" s="85" t="str">
        <f aca="false">IF(AH961="","",K961+N(L961)+N(M961)+N(N961)+N(O961))</f>
        <v/>
      </c>
      <c r="Q961" s="67"/>
      <c r="R961" s="67"/>
      <c r="S961" s="67"/>
      <c r="T961" s="67"/>
      <c r="U961" s="67"/>
      <c r="V961" s="67"/>
      <c r="W961" s="85" t="str">
        <f aca="false">IF(AH961="","",N(Q961)+N(R961)+N(S961)+N(T961)+N(U961)+N(V961))</f>
        <v/>
      </c>
      <c r="X961" s="85" t="str">
        <f aca="false">IF(AH961="","",P961-W961)</f>
        <v/>
      </c>
      <c r="Y961" s="67"/>
      <c r="Z961" s="70" t="str">
        <f aca="false">IF(OR(AH961="",Y961=""),"",IF(ABS(X961-Y961)&lt;=1,"✓ Cuadra","⚠ Diferencia $"&amp;FIXED(X961-Y961,0)))</f>
        <v/>
      </c>
      <c r="AA961" s="72" t="str">
        <f aca="false">IF(AH961="","",IFERROR(INDEX(C_TIPO,MATCH(C961&amp;"-P"&amp;MAX(1,COUNTIFS(C_ID,C961,C_DEFINE,"Sí",C_INICIO,"&lt;="&amp;EOMONTH(B961,0))),C_CLAVE,0))&amp;"","Sin dato"))</f>
        <v/>
      </c>
      <c r="AB961" s="71" t="str">
        <f aca="false">IF(AH961="","",ROUND(MIN(K961,TOPE_AFP_UF*AJ961)*AK961,0))</f>
        <v/>
      </c>
      <c r="AC961" s="71" t="str">
        <f aca="false">IF(AH961="","",ROUND(MIN(K961,TOPE_AFC_UF*AJ961)*IF(AA961="Indefinido",AFC_EMP_INDEF,AFC_EMP_PF),0))</f>
        <v/>
      </c>
      <c r="AD961" s="71" t="str">
        <f aca="false">IF(AH961="","",ROUND(MIN(K961,TOPE_AFP_UF*AJ961)*(MUTUAL_BASICA+MUTUAL_ADIC+SANNA),0))</f>
        <v/>
      </c>
      <c r="AE961" s="71" t="str">
        <f aca="false">IF(AH961="","",P961-N(N961)+AB961+AC961+AD961)</f>
        <v/>
      </c>
      <c r="AF961" s="65"/>
      <c r="AG961" s="64"/>
      <c r="AH961" s="72" t="str">
        <f aca="false">IF(OR(B961="",C961=""),"",C961&amp;"|"&amp;(YEAR(B961)*100+MONTH(B961)))</f>
        <v/>
      </c>
      <c r="AI961" s="70" t="str">
        <f aca="false">IF(AH961="","",IF(COUNTIF(L_CLAVE,AH961)&gt;1,"⚠ Duplicado","OK"))</f>
        <v/>
      </c>
      <c r="AJ961" s="86" t="str">
        <f aca="false">IF(AH961="","",IF(SUMPRODUCT(MAX((IND_PER&lt;=B961)*(IND_UF&lt;&gt;"")*IND_PER))=0,UF_HOY,INDEX(IND_UF,MATCH(SUMPRODUCT(MAX((IND_PER&lt;=B961)*(IND_UF&lt;&gt;"")*IND_PER)),IND_PER,0))))</f>
        <v/>
      </c>
      <c r="AK961" s="87" t="str">
        <f aca="false">IF(AH961="","",IF(COUNTIF(TASA_DESDE,"&lt;="&amp;B961)=0,INDEX(TASA_EMP,1),INDEX(TASA_EMP,COUNTIF(TASA_DESDE,"&lt;="&amp;B961))))</f>
        <v/>
      </c>
    </row>
    <row r="962" customFormat="false" ht="15" hidden="false" customHeight="false" outlineLevel="0" collapsed="false">
      <c r="B962" s="78"/>
      <c r="C962" s="64"/>
      <c r="D962" s="72" t="str">
        <f aca="false">IF(C962="","",IFERROR(INDEX(T_NOMBRE,MATCH(C962,T_ID,0)),"⚠ ID no existe"))</f>
        <v/>
      </c>
      <c r="E962" s="69"/>
      <c r="F962" s="67"/>
      <c r="G962" s="67"/>
      <c r="H962" s="67"/>
      <c r="I962" s="67"/>
      <c r="J962" s="67"/>
      <c r="K962" s="85" t="str">
        <f aca="false">IF(AH962="","",N(F962)+N(G962)+N(H962)-N(I962)+N(J962))</f>
        <v/>
      </c>
      <c r="L962" s="67"/>
      <c r="M962" s="67"/>
      <c r="N962" s="67"/>
      <c r="O962" s="67"/>
      <c r="P962" s="85" t="str">
        <f aca="false">IF(AH962="","",K962+N(L962)+N(M962)+N(N962)+N(O962))</f>
        <v/>
      </c>
      <c r="Q962" s="67"/>
      <c r="R962" s="67"/>
      <c r="S962" s="67"/>
      <c r="T962" s="67"/>
      <c r="U962" s="67"/>
      <c r="V962" s="67"/>
      <c r="W962" s="85" t="str">
        <f aca="false">IF(AH962="","",N(Q962)+N(R962)+N(S962)+N(T962)+N(U962)+N(V962))</f>
        <v/>
      </c>
      <c r="X962" s="85" t="str">
        <f aca="false">IF(AH962="","",P962-W962)</f>
        <v/>
      </c>
      <c r="Y962" s="67"/>
      <c r="Z962" s="70" t="str">
        <f aca="false">IF(OR(AH962="",Y962=""),"",IF(ABS(X962-Y962)&lt;=1,"✓ Cuadra","⚠ Diferencia $"&amp;FIXED(X962-Y962,0)))</f>
        <v/>
      </c>
      <c r="AA962" s="72" t="str">
        <f aca="false">IF(AH962="","",IFERROR(INDEX(C_TIPO,MATCH(C962&amp;"-P"&amp;MAX(1,COUNTIFS(C_ID,C962,C_DEFINE,"Sí",C_INICIO,"&lt;="&amp;EOMONTH(B962,0))),C_CLAVE,0))&amp;"","Sin dato"))</f>
        <v/>
      </c>
      <c r="AB962" s="71" t="str">
        <f aca="false">IF(AH962="","",ROUND(MIN(K962,TOPE_AFP_UF*AJ962)*AK962,0))</f>
        <v/>
      </c>
      <c r="AC962" s="71" t="str">
        <f aca="false">IF(AH962="","",ROUND(MIN(K962,TOPE_AFC_UF*AJ962)*IF(AA962="Indefinido",AFC_EMP_INDEF,AFC_EMP_PF),0))</f>
        <v/>
      </c>
      <c r="AD962" s="71" t="str">
        <f aca="false">IF(AH962="","",ROUND(MIN(K962,TOPE_AFP_UF*AJ962)*(MUTUAL_BASICA+MUTUAL_ADIC+SANNA),0))</f>
        <v/>
      </c>
      <c r="AE962" s="71" t="str">
        <f aca="false">IF(AH962="","",P962-N(N962)+AB962+AC962+AD962)</f>
        <v/>
      </c>
      <c r="AF962" s="65"/>
      <c r="AG962" s="64"/>
      <c r="AH962" s="72" t="str">
        <f aca="false">IF(OR(B962="",C962=""),"",C962&amp;"|"&amp;(YEAR(B962)*100+MONTH(B962)))</f>
        <v/>
      </c>
      <c r="AI962" s="70" t="str">
        <f aca="false">IF(AH962="","",IF(COUNTIF(L_CLAVE,AH962)&gt;1,"⚠ Duplicado","OK"))</f>
        <v/>
      </c>
      <c r="AJ962" s="86" t="str">
        <f aca="false">IF(AH962="","",IF(SUMPRODUCT(MAX((IND_PER&lt;=B962)*(IND_UF&lt;&gt;"")*IND_PER))=0,UF_HOY,INDEX(IND_UF,MATCH(SUMPRODUCT(MAX((IND_PER&lt;=B962)*(IND_UF&lt;&gt;"")*IND_PER)),IND_PER,0))))</f>
        <v/>
      </c>
      <c r="AK962" s="87" t="str">
        <f aca="false">IF(AH962="","",IF(COUNTIF(TASA_DESDE,"&lt;="&amp;B962)=0,INDEX(TASA_EMP,1),INDEX(TASA_EMP,COUNTIF(TASA_DESDE,"&lt;="&amp;B962))))</f>
        <v/>
      </c>
    </row>
    <row r="963" customFormat="false" ht="15" hidden="false" customHeight="false" outlineLevel="0" collapsed="false">
      <c r="B963" s="78"/>
      <c r="C963" s="64"/>
      <c r="D963" s="72" t="str">
        <f aca="false">IF(C963="","",IFERROR(INDEX(T_NOMBRE,MATCH(C963,T_ID,0)),"⚠ ID no existe"))</f>
        <v/>
      </c>
      <c r="E963" s="69"/>
      <c r="F963" s="67"/>
      <c r="G963" s="67"/>
      <c r="H963" s="67"/>
      <c r="I963" s="67"/>
      <c r="J963" s="67"/>
      <c r="K963" s="85" t="str">
        <f aca="false">IF(AH963="","",N(F963)+N(G963)+N(H963)-N(I963)+N(J963))</f>
        <v/>
      </c>
      <c r="L963" s="67"/>
      <c r="M963" s="67"/>
      <c r="N963" s="67"/>
      <c r="O963" s="67"/>
      <c r="P963" s="85" t="str">
        <f aca="false">IF(AH963="","",K963+N(L963)+N(M963)+N(N963)+N(O963))</f>
        <v/>
      </c>
      <c r="Q963" s="67"/>
      <c r="R963" s="67"/>
      <c r="S963" s="67"/>
      <c r="T963" s="67"/>
      <c r="U963" s="67"/>
      <c r="V963" s="67"/>
      <c r="W963" s="85" t="str">
        <f aca="false">IF(AH963="","",N(Q963)+N(R963)+N(S963)+N(T963)+N(U963)+N(V963))</f>
        <v/>
      </c>
      <c r="X963" s="85" t="str">
        <f aca="false">IF(AH963="","",P963-W963)</f>
        <v/>
      </c>
      <c r="Y963" s="67"/>
      <c r="Z963" s="70" t="str">
        <f aca="false">IF(OR(AH963="",Y963=""),"",IF(ABS(X963-Y963)&lt;=1,"✓ Cuadra","⚠ Diferencia $"&amp;FIXED(X963-Y963,0)))</f>
        <v/>
      </c>
      <c r="AA963" s="72" t="str">
        <f aca="false">IF(AH963="","",IFERROR(INDEX(C_TIPO,MATCH(C963&amp;"-P"&amp;MAX(1,COUNTIFS(C_ID,C963,C_DEFINE,"Sí",C_INICIO,"&lt;="&amp;EOMONTH(B963,0))),C_CLAVE,0))&amp;"","Sin dato"))</f>
        <v/>
      </c>
      <c r="AB963" s="71" t="str">
        <f aca="false">IF(AH963="","",ROUND(MIN(K963,TOPE_AFP_UF*AJ963)*AK963,0))</f>
        <v/>
      </c>
      <c r="AC963" s="71" t="str">
        <f aca="false">IF(AH963="","",ROUND(MIN(K963,TOPE_AFC_UF*AJ963)*IF(AA963="Indefinido",AFC_EMP_INDEF,AFC_EMP_PF),0))</f>
        <v/>
      </c>
      <c r="AD963" s="71" t="str">
        <f aca="false">IF(AH963="","",ROUND(MIN(K963,TOPE_AFP_UF*AJ963)*(MUTUAL_BASICA+MUTUAL_ADIC+SANNA),0))</f>
        <v/>
      </c>
      <c r="AE963" s="71" t="str">
        <f aca="false">IF(AH963="","",P963-N(N963)+AB963+AC963+AD963)</f>
        <v/>
      </c>
      <c r="AF963" s="65"/>
      <c r="AG963" s="64"/>
      <c r="AH963" s="72" t="str">
        <f aca="false">IF(OR(B963="",C963=""),"",C963&amp;"|"&amp;(YEAR(B963)*100+MONTH(B963)))</f>
        <v/>
      </c>
      <c r="AI963" s="70" t="str">
        <f aca="false">IF(AH963="","",IF(COUNTIF(L_CLAVE,AH963)&gt;1,"⚠ Duplicado","OK"))</f>
        <v/>
      </c>
      <c r="AJ963" s="86" t="str">
        <f aca="false">IF(AH963="","",IF(SUMPRODUCT(MAX((IND_PER&lt;=B963)*(IND_UF&lt;&gt;"")*IND_PER))=0,UF_HOY,INDEX(IND_UF,MATCH(SUMPRODUCT(MAX((IND_PER&lt;=B963)*(IND_UF&lt;&gt;"")*IND_PER)),IND_PER,0))))</f>
        <v/>
      </c>
      <c r="AK963" s="87" t="str">
        <f aca="false">IF(AH963="","",IF(COUNTIF(TASA_DESDE,"&lt;="&amp;B963)=0,INDEX(TASA_EMP,1),INDEX(TASA_EMP,COUNTIF(TASA_DESDE,"&lt;="&amp;B963))))</f>
        <v/>
      </c>
    </row>
    <row r="964" customFormat="false" ht="15" hidden="false" customHeight="false" outlineLevel="0" collapsed="false">
      <c r="B964" s="78"/>
      <c r="C964" s="64"/>
      <c r="D964" s="72" t="str">
        <f aca="false">IF(C964="","",IFERROR(INDEX(T_NOMBRE,MATCH(C964,T_ID,0)),"⚠ ID no existe"))</f>
        <v/>
      </c>
      <c r="E964" s="69"/>
      <c r="F964" s="67"/>
      <c r="G964" s="67"/>
      <c r="H964" s="67"/>
      <c r="I964" s="67"/>
      <c r="J964" s="67"/>
      <c r="K964" s="85" t="str">
        <f aca="false">IF(AH964="","",N(F964)+N(G964)+N(H964)-N(I964)+N(J964))</f>
        <v/>
      </c>
      <c r="L964" s="67"/>
      <c r="M964" s="67"/>
      <c r="N964" s="67"/>
      <c r="O964" s="67"/>
      <c r="P964" s="85" t="str">
        <f aca="false">IF(AH964="","",K964+N(L964)+N(M964)+N(N964)+N(O964))</f>
        <v/>
      </c>
      <c r="Q964" s="67"/>
      <c r="R964" s="67"/>
      <c r="S964" s="67"/>
      <c r="T964" s="67"/>
      <c r="U964" s="67"/>
      <c r="V964" s="67"/>
      <c r="W964" s="85" t="str">
        <f aca="false">IF(AH964="","",N(Q964)+N(R964)+N(S964)+N(T964)+N(U964)+N(V964))</f>
        <v/>
      </c>
      <c r="X964" s="85" t="str">
        <f aca="false">IF(AH964="","",P964-W964)</f>
        <v/>
      </c>
      <c r="Y964" s="67"/>
      <c r="Z964" s="70" t="str">
        <f aca="false">IF(OR(AH964="",Y964=""),"",IF(ABS(X964-Y964)&lt;=1,"✓ Cuadra","⚠ Diferencia $"&amp;FIXED(X964-Y964,0)))</f>
        <v/>
      </c>
      <c r="AA964" s="72" t="str">
        <f aca="false">IF(AH964="","",IFERROR(INDEX(C_TIPO,MATCH(C964&amp;"-P"&amp;MAX(1,COUNTIFS(C_ID,C964,C_DEFINE,"Sí",C_INICIO,"&lt;="&amp;EOMONTH(B964,0))),C_CLAVE,0))&amp;"","Sin dato"))</f>
        <v/>
      </c>
      <c r="AB964" s="71" t="str">
        <f aca="false">IF(AH964="","",ROUND(MIN(K964,TOPE_AFP_UF*AJ964)*AK964,0))</f>
        <v/>
      </c>
      <c r="AC964" s="71" t="str">
        <f aca="false">IF(AH964="","",ROUND(MIN(K964,TOPE_AFC_UF*AJ964)*IF(AA964="Indefinido",AFC_EMP_INDEF,AFC_EMP_PF),0))</f>
        <v/>
      </c>
      <c r="AD964" s="71" t="str">
        <f aca="false">IF(AH964="","",ROUND(MIN(K964,TOPE_AFP_UF*AJ964)*(MUTUAL_BASICA+MUTUAL_ADIC+SANNA),0))</f>
        <v/>
      </c>
      <c r="AE964" s="71" t="str">
        <f aca="false">IF(AH964="","",P964-N(N964)+AB964+AC964+AD964)</f>
        <v/>
      </c>
      <c r="AF964" s="65"/>
      <c r="AG964" s="64"/>
      <c r="AH964" s="72" t="str">
        <f aca="false">IF(OR(B964="",C964=""),"",C964&amp;"|"&amp;(YEAR(B964)*100+MONTH(B964)))</f>
        <v/>
      </c>
      <c r="AI964" s="70" t="str">
        <f aca="false">IF(AH964="","",IF(COUNTIF(L_CLAVE,AH964)&gt;1,"⚠ Duplicado","OK"))</f>
        <v/>
      </c>
      <c r="AJ964" s="86" t="str">
        <f aca="false">IF(AH964="","",IF(SUMPRODUCT(MAX((IND_PER&lt;=B964)*(IND_UF&lt;&gt;"")*IND_PER))=0,UF_HOY,INDEX(IND_UF,MATCH(SUMPRODUCT(MAX((IND_PER&lt;=B964)*(IND_UF&lt;&gt;"")*IND_PER)),IND_PER,0))))</f>
        <v/>
      </c>
      <c r="AK964" s="87" t="str">
        <f aca="false">IF(AH964="","",IF(COUNTIF(TASA_DESDE,"&lt;="&amp;B964)=0,INDEX(TASA_EMP,1),INDEX(TASA_EMP,COUNTIF(TASA_DESDE,"&lt;="&amp;B964))))</f>
        <v/>
      </c>
    </row>
    <row r="965" customFormat="false" ht="15" hidden="false" customHeight="false" outlineLevel="0" collapsed="false">
      <c r="B965" s="78"/>
      <c r="C965" s="64"/>
      <c r="D965" s="72" t="str">
        <f aca="false">IF(C965="","",IFERROR(INDEX(T_NOMBRE,MATCH(C965,T_ID,0)),"⚠ ID no existe"))</f>
        <v/>
      </c>
      <c r="E965" s="69"/>
      <c r="F965" s="67"/>
      <c r="G965" s="67"/>
      <c r="H965" s="67"/>
      <c r="I965" s="67"/>
      <c r="J965" s="67"/>
      <c r="K965" s="85" t="str">
        <f aca="false">IF(AH965="","",N(F965)+N(G965)+N(H965)-N(I965)+N(J965))</f>
        <v/>
      </c>
      <c r="L965" s="67"/>
      <c r="M965" s="67"/>
      <c r="N965" s="67"/>
      <c r="O965" s="67"/>
      <c r="P965" s="85" t="str">
        <f aca="false">IF(AH965="","",K965+N(L965)+N(M965)+N(N965)+N(O965))</f>
        <v/>
      </c>
      <c r="Q965" s="67"/>
      <c r="R965" s="67"/>
      <c r="S965" s="67"/>
      <c r="T965" s="67"/>
      <c r="U965" s="67"/>
      <c r="V965" s="67"/>
      <c r="W965" s="85" t="str">
        <f aca="false">IF(AH965="","",N(Q965)+N(R965)+N(S965)+N(T965)+N(U965)+N(V965))</f>
        <v/>
      </c>
      <c r="X965" s="85" t="str">
        <f aca="false">IF(AH965="","",P965-W965)</f>
        <v/>
      </c>
      <c r="Y965" s="67"/>
      <c r="Z965" s="70" t="str">
        <f aca="false">IF(OR(AH965="",Y965=""),"",IF(ABS(X965-Y965)&lt;=1,"✓ Cuadra","⚠ Diferencia $"&amp;FIXED(X965-Y965,0)))</f>
        <v/>
      </c>
      <c r="AA965" s="72" t="str">
        <f aca="false">IF(AH965="","",IFERROR(INDEX(C_TIPO,MATCH(C965&amp;"-P"&amp;MAX(1,COUNTIFS(C_ID,C965,C_DEFINE,"Sí",C_INICIO,"&lt;="&amp;EOMONTH(B965,0))),C_CLAVE,0))&amp;"","Sin dato"))</f>
        <v/>
      </c>
      <c r="AB965" s="71" t="str">
        <f aca="false">IF(AH965="","",ROUND(MIN(K965,TOPE_AFP_UF*AJ965)*AK965,0))</f>
        <v/>
      </c>
      <c r="AC965" s="71" t="str">
        <f aca="false">IF(AH965="","",ROUND(MIN(K965,TOPE_AFC_UF*AJ965)*IF(AA965="Indefinido",AFC_EMP_INDEF,AFC_EMP_PF),0))</f>
        <v/>
      </c>
      <c r="AD965" s="71" t="str">
        <f aca="false">IF(AH965="","",ROUND(MIN(K965,TOPE_AFP_UF*AJ965)*(MUTUAL_BASICA+MUTUAL_ADIC+SANNA),0))</f>
        <v/>
      </c>
      <c r="AE965" s="71" t="str">
        <f aca="false">IF(AH965="","",P965-N(N965)+AB965+AC965+AD965)</f>
        <v/>
      </c>
      <c r="AF965" s="65"/>
      <c r="AG965" s="64"/>
      <c r="AH965" s="72" t="str">
        <f aca="false">IF(OR(B965="",C965=""),"",C965&amp;"|"&amp;(YEAR(B965)*100+MONTH(B965)))</f>
        <v/>
      </c>
      <c r="AI965" s="70" t="str">
        <f aca="false">IF(AH965="","",IF(COUNTIF(L_CLAVE,AH965)&gt;1,"⚠ Duplicado","OK"))</f>
        <v/>
      </c>
      <c r="AJ965" s="86" t="str">
        <f aca="false">IF(AH965="","",IF(SUMPRODUCT(MAX((IND_PER&lt;=B965)*(IND_UF&lt;&gt;"")*IND_PER))=0,UF_HOY,INDEX(IND_UF,MATCH(SUMPRODUCT(MAX((IND_PER&lt;=B965)*(IND_UF&lt;&gt;"")*IND_PER)),IND_PER,0))))</f>
        <v/>
      </c>
      <c r="AK965" s="87" t="str">
        <f aca="false">IF(AH965="","",IF(COUNTIF(TASA_DESDE,"&lt;="&amp;B965)=0,INDEX(TASA_EMP,1),INDEX(TASA_EMP,COUNTIF(TASA_DESDE,"&lt;="&amp;B965))))</f>
        <v/>
      </c>
    </row>
    <row r="966" customFormat="false" ht="15" hidden="false" customHeight="false" outlineLevel="0" collapsed="false">
      <c r="B966" s="78"/>
      <c r="C966" s="64"/>
      <c r="D966" s="72" t="str">
        <f aca="false">IF(C966="","",IFERROR(INDEX(T_NOMBRE,MATCH(C966,T_ID,0)),"⚠ ID no existe"))</f>
        <v/>
      </c>
      <c r="E966" s="69"/>
      <c r="F966" s="67"/>
      <c r="G966" s="67"/>
      <c r="H966" s="67"/>
      <c r="I966" s="67"/>
      <c r="J966" s="67"/>
      <c r="K966" s="85" t="str">
        <f aca="false">IF(AH966="","",N(F966)+N(G966)+N(H966)-N(I966)+N(J966))</f>
        <v/>
      </c>
      <c r="L966" s="67"/>
      <c r="M966" s="67"/>
      <c r="N966" s="67"/>
      <c r="O966" s="67"/>
      <c r="P966" s="85" t="str">
        <f aca="false">IF(AH966="","",K966+N(L966)+N(M966)+N(N966)+N(O966))</f>
        <v/>
      </c>
      <c r="Q966" s="67"/>
      <c r="R966" s="67"/>
      <c r="S966" s="67"/>
      <c r="T966" s="67"/>
      <c r="U966" s="67"/>
      <c r="V966" s="67"/>
      <c r="W966" s="85" t="str">
        <f aca="false">IF(AH966="","",N(Q966)+N(R966)+N(S966)+N(T966)+N(U966)+N(V966))</f>
        <v/>
      </c>
      <c r="X966" s="85" t="str">
        <f aca="false">IF(AH966="","",P966-W966)</f>
        <v/>
      </c>
      <c r="Y966" s="67"/>
      <c r="Z966" s="70" t="str">
        <f aca="false">IF(OR(AH966="",Y966=""),"",IF(ABS(X966-Y966)&lt;=1,"✓ Cuadra","⚠ Diferencia $"&amp;FIXED(X966-Y966,0)))</f>
        <v/>
      </c>
      <c r="AA966" s="72" t="str">
        <f aca="false">IF(AH966="","",IFERROR(INDEX(C_TIPO,MATCH(C966&amp;"-P"&amp;MAX(1,COUNTIFS(C_ID,C966,C_DEFINE,"Sí",C_INICIO,"&lt;="&amp;EOMONTH(B966,0))),C_CLAVE,0))&amp;"","Sin dato"))</f>
        <v/>
      </c>
      <c r="AB966" s="71" t="str">
        <f aca="false">IF(AH966="","",ROUND(MIN(K966,TOPE_AFP_UF*AJ966)*AK966,0))</f>
        <v/>
      </c>
      <c r="AC966" s="71" t="str">
        <f aca="false">IF(AH966="","",ROUND(MIN(K966,TOPE_AFC_UF*AJ966)*IF(AA966="Indefinido",AFC_EMP_INDEF,AFC_EMP_PF),0))</f>
        <v/>
      </c>
      <c r="AD966" s="71" t="str">
        <f aca="false">IF(AH966="","",ROUND(MIN(K966,TOPE_AFP_UF*AJ966)*(MUTUAL_BASICA+MUTUAL_ADIC+SANNA),0))</f>
        <v/>
      </c>
      <c r="AE966" s="71" t="str">
        <f aca="false">IF(AH966="","",P966-N(N966)+AB966+AC966+AD966)</f>
        <v/>
      </c>
      <c r="AF966" s="65"/>
      <c r="AG966" s="64"/>
      <c r="AH966" s="72" t="str">
        <f aca="false">IF(OR(B966="",C966=""),"",C966&amp;"|"&amp;(YEAR(B966)*100+MONTH(B966)))</f>
        <v/>
      </c>
      <c r="AI966" s="70" t="str">
        <f aca="false">IF(AH966="","",IF(COUNTIF(L_CLAVE,AH966)&gt;1,"⚠ Duplicado","OK"))</f>
        <v/>
      </c>
      <c r="AJ966" s="86" t="str">
        <f aca="false">IF(AH966="","",IF(SUMPRODUCT(MAX((IND_PER&lt;=B966)*(IND_UF&lt;&gt;"")*IND_PER))=0,UF_HOY,INDEX(IND_UF,MATCH(SUMPRODUCT(MAX((IND_PER&lt;=B966)*(IND_UF&lt;&gt;"")*IND_PER)),IND_PER,0))))</f>
        <v/>
      </c>
      <c r="AK966" s="87" t="str">
        <f aca="false">IF(AH966="","",IF(COUNTIF(TASA_DESDE,"&lt;="&amp;B966)=0,INDEX(TASA_EMP,1),INDEX(TASA_EMP,COUNTIF(TASA_DESDE,"&lt;="&amp;B966))))</f>
        <v/>
      </c>
    </row>
    <row r="967" customFormat="false" ht="15" hidden="false" customHeight="false" outlineLevel="0" collapsed="false">
      <c r="B967" s="78"/>
      <c r="C967" s="64"/>
      <c r="D967" s="72" t="str">
        <f aca="false">IF(C967="","",IFERROR(INDEX(T_NOMBRE,MATCH(C967,T_ID,0)),"⚠ ID no existe"))</f>
        <v/>
      </c>
      <c r="E967" s="69"/>
      <c r="F967" s="67"/>
      <c r="G967" s="67"/>
      <c r="H967" s="67"/>
      <c r="I967" s="67"/>
      <c r="J967" s="67"/>
      <c r="K967" s="85" t="str">
        <f aca="false">IF(AH967="","",N(F967)+N(G967)+N(H967)-N(I967)+N(J967))</f>
        <v/>
      </c>
      <c r="L967" s="67"/>
      <c r="M967" s="67"/>
      <c r="N967" s="67"/>
      <c r="O967" s="67"/>
      <c r="P967" s="85" t="str">
        <f aca="false">IF(AH967="","",K967+N(L967)+N(M967)+N(N967)+N(O967))</f>
        <v/>
      </c>
      <c r="Q967" s="67"/>
      <c r="R967" s="67"/>
      <c r="S967" s="67"/>
      <c r="T967" s="67"/>
      <c r="U967" s="67"/>
      <c r="V967" s="67"/>
      <c r="W967" s="85" t="str">
        <f aca="false">IF(AH967="","",N(Q967)+N(R967)+N(S967)+N(T967)+N(U967)+N(V967))</f>
        <v/>
      </c>
      <c r="X967" s="85" t="str">
        <f aca="false">IF(AH967="","",P967-W967)</f>
        <v/>
      </c>
      <c r="Y967" s="67"/>
      <c r="Z967" s="70" t="str">
        <f aca="false">IF(OR(AH967="",Y967=""),"",IF(ABS(X967-Y967)&lt;=1,"✓ Cuadra","⚠ Diferencia $"&amp;FIXED(X967-Y967,0)))</f>
        <v/>
      </c>
      <c r="AA967" s="72" t="str">
        <f aca="false">IF(AH967="","",IFERROR(INDEX(C_TIPO,MATCH(C967&amp;"-P"&amp;MAX(1,COUNTIFS(C_ID,C967,C_DEFINE,"Sí",C_INICIO,"&lt;="&amp;EOMONTH(B967,0))),C_CLAVE,0))&amp;"","Sin dato"))</f>
        <v/>
      </c>
      <c r="AB967" s="71" t="str">
        <f aca="false">IF(AH967="","",ROUND(MIN(K967,TOPE_AFP_UF*AJ967)*AK967,0))</f>
        <v/>
      </c>
      <c r="AC967" s="71" t="str">
        <f aca="false">IF(AH967="","",ROUND(MIN(K967,TOPE_AFC_UF*AJ967)*IF(AA967="Indefinido",AFC_EMP_INDEF,AFC_EMP_PF),0))</f>
        <v/>
      </c>
      <c r="AD967" s="71" t="str">
        <f aca="false">IF(AH967="","",ROUND(MIN(K967,TOPE_AFP_UF*AJ967)*(MUTUAL_BASICA+MUTUAL_ADIC+SANNA),0))</f>
        <v/>
      </c>
      <c r="AE967" s="71" t="str">
        <f aca="false">IF(AH967="","",P967-N(N967)+AB967+AC967+AD967)</f>
        <v/>
      </c>
      <c r="AF967" s="65"/>
      <c r="AG967" s="64"/>
      <c r="AH967" s="72" t="str">
        <f aca="false">IF(OR(B967="",C967=""),"",C967&amp;"|"&amp;(YEAR(B967)*100+MONTH(B967)))</f>
        <v/>
      </c>
      <c r="AI967" s="70" t="str">
        <f aca="false">IF(AH967="","",IF(COUNTIF(L_CLAVE,AH967)&gt;1,"⚠ Duplicado","OK"))</f>
        <v/>
      </c>
      <c r="AJ967" s="86" t="str">
        <f aca="false">IF(AH967="","",IF(SUMPRODUCT(MAX((IND_PER&lt;=B967)*(IND_UF&lt;&gt;"")*IND_PER))=0,UF_HOY,INDEX(IND_UF,MATCH(SUMPRODUCT(MAX((IND_PER&lt;=B967)*(IND_UF&lt;&gt;"")*IND_PER)),IND_PER,0))))</f>
        <v/>
      </c>
      <c r="AK967" s="87" t="str">
        <f aca="false">IF(AH967="","",IF(COUNTIF(TASA_DESDE,"&lt;="&amp;B967)=0,INDEX(TASA_EMP,1),INDEX(TASA_EMP,COUNTIF(TASA_DESDE,"&lt;="&amp;B967))))</f>
        <v/>
      </c>
    </row>
    <row r="968" customFormat="false" ht="15" hidden="false" customHeight="false" outlineLevel="0" collapsed="false">
      <c r="B968" s="78"/>
      <c r="C968" s="64"/>
      <c r="D968" s="72" t="str">
        <f aca="false">IF(C968="","",IFERROR(INDEX(T_NOMBRE,MATCH(C968,T_ID,0)),"⚠ ID no existe"))</f>
        <v/>
      </c>
      <c r="E968" s="69"/>
      <c r="F968" s="67"/>
      <c r="G968" s="67"/>
      <c r="H968" s="67"/>
      <c r="I968" s="67"/>
      <c r="J968" s="67"/>
      <c r="K968" s="85" t="str">
        <f aca="false">IF(AH968="","",N(F968)+N(G968)+N(H968)-N(I968)+N(J968))</f>
        <v/>
      </c>
      <c r="L968" s="67"/>
      <c r="M968" s="67"/>
      <c r="N968" s="67"/>
      <c r="O968" s="67"/>
      <c r="P968" s="85" t="str">
        <f aca="false">IF(AH968="","",K968+N(L968)+N(M968)+N(N968)+N(O968))</f>
        <v/>
      </c>
      <c r="Q968" s="67"/>
      <c r="R968" s="67"/>
      <c r="S968" s="67"/>
      <c r="T968" s="67"/>
      <c r="U968" s="67"/>
      <c r="V968" s="67"/>
      <c r="W968" s="85" t="str">
        <f aca="false">IF(AH968="","",N(Q968)+N(R968)+N(S968)+N(T968)+N(U968)+N(V968))</f>
        <v/>
      </c>
      <c r="X968" s="85" t="str">
        <f aca="false">IF(AH968="","",P968-W968)</f>
        <v/>
      </c>
      <c r="Y968" s="67"/>
      <c r="Z968" s="70" t="str">
        <f aca="false">IF(OR(AH968="",Y968=""),"",IF(ABS(X968-Y968)&lt;=1,"✓ Cuadra","⚠ Diferencia $"&amp;FIXED(X968-Y968,0)))</f>
        <v/>
      </c>
      <c r="AA968" s="72" t="str">
        <f aca="false">IF(AH968="","",IFERROR(INDEX(C_TIPO,MATCH(C968&amp;"-P"&amp;MAX(1,COUNTIFS(C_ID,C968,C_DEFINE,"Sí",C_INICIO,"&lt;="&amp;EOMONTH(B968,0))),C_CLAVE,0))&amp;"","Sin dato"))</f>
        <v/>
      </c>
      <c r="AB968" s="71" t="str">
        <f aca="false">IF(AH968="","",ROUND(MIN(K968,TOPE_AFP_UF*AJ968)*AK968,0))</f>
        <v/>
      </c>
      <c r="AC968" s="71" t="str">
        <f aca="false">IF(AH968="","",ROUND(MIN(K968,TOPE_AFC_UF*AJ968)*IF(AA968="Indefinido",AFC_EMP_INDEF,AFC_EMP_PF),0))</f>
        <v/>
      </c>
      <c r="AD968" s="71" t="str">
        <f aca="false">IF(AH968="","",ROUND(MIN(K968,TOPE_AFP_UF*AJ968)*(MUTUAL_BASICA+MUTUAL_ADIC+SANNA),0))</f>
        <v/>
      </c>
      <c r="AE968" s="71" t="str">
        <f aca="false">IF(AH968="","",P968-N(N968)+AB968+AC968+AD968)</f>
        <v/>
      </c>
      <c r="AF968" s="65"/>
      <c r="AG968" s="64"/>
      <c r="AH968" s="72" t="str">
        <f aca="false">IF(OR(B968="",C968=""),"",C968&amp;"|"&amp;(YEAR(B968)*100+MONTH(B968)))</f>
        <v/>
      </c>
      <c r="AI968" s="70" t="str">
        <f aca="false">IF(AH968="","",IF(COUNTIF(L_CLAVE,AH968)&gt;1,"⚠ Duplicado","OK"))</f>
        <v/>
      </c>
      <c r="AJ968" s="86" t="str">
        <f aca="false">IF(AH968="","",IF(SUMPRODUCT(MAX((IND_PER&lt;=B968)*(IND_UF&lt;&gt;"")*IND_PER))=0,UF_HOY,INDEX(IND_UF,MATCH(SUMPRODUCT(MAX((IND_PER&lt;=B968)*(IND_UF&lt;&gt;"")*IND_PER)),IND_PER,0))))</f>
        <v/>
      </c>
      <c r="AK968" s="87" t="str">
        <f aca="false">IF(AH968="","",IF(COUNTIF(TASA_DESDE,"&lt;="&amp;B968)=0,INDEX(TASA_EMP,1),INDEX(TASA_EMP,COUNTIF(TASA_DESDE,"&lt;="&amp;B968))))</f>
        <v/>
      </c>
    </row>
    <row r="969" customFormat="false" ht="15" hidden="false" customHeight="false" outlineLevel="0" collapsed="false">
      <c r="B969" s="78"/>
      <c r="C969" s="64"/>
      <c r="D969" s="72" t="str">
        <f aca="false">IF(C969="","",IFERROR(INDEX(T_NOMBRE,MATCH(C969,T_ID,0)),"⚠ ID no existe"))</f>
        <v/>
      </c>
      <c r="E969" s="69"/>
      <c r="F969" s="67"/>
      <c r="G969" s="67"/>
      <c r="H969" s="67"/>
      <c r="I969" s="67"/>
      <c r="J969" s="67"/>
      <c r="K969" s="85" t="str">
        <f aca="false">IF(AH969="","",N(F969)+N(G969)+N(H969)-N(I969)+N(J969))</f>
        <v/>
      </c>
      <c r="L969" s="67"/>
      <c r="M969" s="67"/>
      <c r="N969" s="67"/>
      <c r="O969" s="67"/>
      <c r="P969" s="85" t="str">
        <f aca="false">IF(AH969="","",K969+N(L969)+N(M969)+N(N969)+N(O969))</f>
        <v/>
      </c>
      <c r="Q969" s="67"/>
      <c r="R969" s="67"/>
      <c r="S969" s="67"/>
      <c r="T969" s="67"/>
      <c r="U969" s="67"/>
      <c r="V969" s="67"/>
      <c r="W969" s="85" t="str">
        <f aca="false">IF(AH969="","",N(Q969)+N(R969)+N(S969)+N(T969)+N(U969)+N(V969))</f>
        <v/>
      </c>
      <c r="X969" s="85" t="str">
        <f aca="false">IF(AH969="","",P969-W969)</f>
        <v/>
      </c>
      <c r="Y969" s="67"/>
      <c r="Z969" s="70" t="str">
        <f aca="false">IF(OR(AH969="",Y969=""),"",IF(ABS(X969-Y969)&lt;=1,"✓ Cuadra","⚠ Diferencia $"&amp;FIXED(X969-Y969,0)))</f>
        <v/>
      </c>
      <c r="AA969" s="72" t="str">
        <f aca="false">IF(AH969="","",IFERROR(INDEX(C_TIPO,MATCH(C969&amp;"-P"&amp;MAX(1,COUNTIFS(C_ID,C969,C_DEFINE,"Sí",C_INICIO,"&lt;="&amp;EOMONTH(B969,0))),C_CLAVE,0))&amp;"","Sin dato"))</f>
        <v/>
      </c>
      <c r="AB969" s="71" t="str">
        <f aca="false">IF(AH969="","",ROUND(MIN(K969,TOPE_AFP_UF*AJ969)*AK969,0))</f>
        <v/>
      </c>
      <c r="AC969" s="71" t="str">
        <f aca="false">IF(AH969="","",ROUND(MIN(K969,TOPE_AFC_UF*AJ969)*IF(AA969="Indefinido",AFC_EMP_INDEF,AFC_EMP_PF),0))</f>
        <v/>
      </c>
      <c r="AD969" s="71" t="str">
        <f aca="false">IF(AH969="","",ROUND(MIN(K969,TOPE_AFP_UF*AJ969)*(MUTUAL_BASICA+MUTUAL_ADIC+SANNA),0))</f>
        <v/>
      </c>
      <c r="AE969" s="71" t="str">
        <f aca="false">IF(AH969="","",P969-N(N969)+AB969+AC969+AD969)</f>
        <v/>
      </c>
      <c r="AF969" s="65"/>
      <c r="AG969" s="64"/>
      <c r="AH969" s="72" t="str">
        <f aca="false">IF(OR(B969="",C969=""),"",C969&amp;"|"&amp;(YEAR(B969)*100+MONTH(B969)))</f>
        <v/>
      </c>
      <c r="AI969" s="70" t="str">
        <f aca="false">IF(AH969="","",IF(COUNTIF(L_CLAVE,AH969)&gt;1,"⚠ Duplicado","OK"))</f>
        <v/>
      </c>
      <c r="AJ969" s="86" t="str">
        <f aca="false">IF(AH969="","",IF(SUMPRODUCT(MAX((IND_PER&lt;=B969)*(IND_UF&lt;&gt;"")*IND_PER))=0,UF_HOY,INDEX(IND_UF,MATCH(SUMPRODUCT(MAX((IND_PER&lt;=B969)*(IND_UF&lt;&gt;"")*IND_PER)),IND_PER,0))))</f>
        <v/>
      </c>
      <c r="AK969" s="87" t="str">
        <f aca="false">IF(AH969="","",IF(COUNTIF(TASA_DESDE,"&lt;="&amp;B969)=0,INDEX(TASA_EMP,1),INDEX(TASA_EMP,COUNTIF(TASA_DESDE,"&lt;="&amp;B969))))</f>
        <v/>
      </c>
    </row>
    <row r="970" customFormat="false" ht="15" hidden="false" customHeight="false" outlineLevel="0" collapsed="false">
      <c r="B970" s="78"/>
      <c r="C970" s="64"/>
      <c r="D970" s="72" t="str">
        <f aca="false">IF(C970="","",IFERROR(INDEX(T_NOMBRE,MATCH(C970,T_ID,0)),"⚠ ID no existe"))</f>
        <v/>
      </c>
      <c r="E970" s="69"/>
      <c r="F970" s="67"/>
      <c r="G970" s="67"/>
      <c r="H970" s="67"/>
      <c r="I970" s="67"/>
      <c r="J970" s="67"/>
      <c r="K970" s="85" t="str">
        <f aca="false">IF(AH970="","",N(F970)+N(G970)+N(H970)-N(I970)+N(J970))</f>
        <v/>
      </c>
      <c r="L970" s="67"/>
      <c r="M970" s="67"/>
      <c r="N970" s="67"/>
      <c r="O970" s="67"/>
      <c r="P970" s="85" t="str">
        <f aca="false">IF(AH970="","",K970+N(L970)+N(M970)+N(N970)+N(O970))</f>
        <v/>
      </c>
      <c r="Q970" s="67"/>
      <c r="R970" s="67"/>
      <c r="S970" s="67"/>
      <c r="T970" s="67"/>
      <c r="U970" s="67"/>
      <c r="V970" s="67"/>
      <c r="W970" s="85" t="str">
        <f aca="false">IF(AH970="","",N(Q970)+N(R970)+N(S970)+N(T970)+N(U970)+N(V970))</f>
        <v/>
      </c>
      <c r="X970" s="85" t="str">
        <f aca="false">IF(AH970="","",P970-W970)</f>
        <v/>
      </c>
      <c r="Y970" s="67"/>
      <c r="Z970" s="70" t="str">
        <f aca="false">IF(OR(AH970="",Y970=""),"",IF(ABS(X970-Y970)&lt;=1,"✓ Cuadra","⚠ Diferencia $"&amp;FIXED(X970-Y970,0)))</f>
        <v/>
      </c>
      <c r="AA970" s="72" t="str">
        <f aca="false">IF(AH970="","",IFERROR(INDEX(C_TIPO,MATCH(C970&amp;"-P"&amp;MAX(1,COUNTIFS(C_ID,C970,C_DEFINE,"Sí",C_INICIO,"&lt;="&amp;EOMONTH(B970,0))),C_CLAVE,0))&amp;"","Sin dato"))</f>
        <v/>
      </c>
      <c r="AB970" s="71" t="str">
        <f aca="false">IF(AH970="","",ROUND(MIN(K970,TOPE_AFP_UF*AJ970)*AK970,0))</f>
        <v/>
      </c>
      <c r="AC970" s="71" t="str">
        <f aca="false">IF(AH970="","",ROUND(MIN(K970,TOPE_AFC_UF*AJ970)*IF(AA970="Indefinido",AFC_EMP_INDEF,AFC_EMP_PF),0))</f>
        <v/>
      </c>
      <c r="AD970" s="71" t="str">
        <f aca="false">IF(AH970="","",ROUND(MIN(K970,TOPE_AFP_UF*AJ970)*(MUTUAL_BASICA+MUTUAL_ADIC+SANNA),0))</f>
        <v/>
      </c>
      <c r="AE970" s="71" t="str">
        <f aca="false">IF(AH970="","",P970-N(N970)+AB970+AC970+AD970)</f>
        <v/>
      </c>
      <c r="AF970" s="65"/>
      <c r="AG970" s="64"/>
      <c r="AH970" s="72" t="str">
        <f aca="false">IF(OR(B970="",C970=""),"",C970&amp;"|"&amp;(YEAR(B970)*100+MONTH(B970)))</f>
        <v/>
      </c>
      <c r="AI970" s="70" t="str">
        <f aca="false">IF(AH970="","",IF(COUNTIF(L_CLAVE,AH970)&gt;1,"⚠ Duplicado","OK"))</f>
        <v/>
      </c>
      <c r="AJ970" s="86" t="str">
        <f aca="false">IF(AH970="","",IF(SUMPRODUCT(MAX((IND_PER&lt;=B970)*(IND_UF&lt;&gt;"")*IND_PER))=0,UF_HOY,INDEX(IND_UF,MATCH(SUMPRODUCT(MAX((IND_PER&lt;=B970)*(IND_UF&lt;&gt;"")*IND_PER)),IND_PER,0))))</f>
        <v/>
      </c>
      <c r="AK970" s="87" t="str">
        <f aca="false">IF(AH970="","",IF(COUNTIF(TASA_DESDE,"&lt;="&amp;B970)=0,INDEX(TASA_EMP,1),INDEX(TASA_EMP,COUNTIF(TASA_DESDE,"&lt;="&amp;B970))))</f>
        <v/>
      </c>
    </row>
    <row r="971" customFormat="false" ht="15" hidden="false" customHeight="false" outlineLevel="0" collapsed="false">
      <c r="B971" s="78"/>
      <c r="C971" s="64"/>
      <c r="D971" s="72" t="str">
        <f aca="false">IF(C971="","",IFERROR(INDEX(T_NOMBRE,MATCH(C971,T_ID,0)),"⚠ ID no existe"))</f>
        <v/>
      </c>
      <c r="E971" s="69"/>
      <c r="F971" s="67"/>
      <c r="G971" s="67"/>
      <c r="H971" s="67"/>
      <c r="I971" s="67"/>
      <c r="J971" s="67"/>
      <c r="K971" s="85" t="str">
        <f aca="false">IF(AH971="","",N(F971)+N(G971)+N(H971)-N(I971)+N(J971))</f>
        <v/>
      </c>
      <c r="L971" s="67"/>
      <c r="M971" s="67"/>
      <c r="N971" s="67"/>
      <c r="O971" s="67"/>
      <c r="P971" s="85" t="str">
        <f aca="false">IF(AH971="","",K971+N(L971)+N(M971)+N(N971)+N(O971))</f>
        <v/>
      </c>
      <c r="Q971" s="67"/>
      <c r="R971" s="67"/>
      <c r="S971" s="67"/>
      <c r="T971" s="67"/>
      <c r="U971" s="67"/>
      <c r="V971" s="67"/>
      <c r="W971" s="85" t="str">
        <f aca="false">IF(AH971="","",N(Q971)+N(R971)+N(S971)+N(T971)+N(U971)+N(V971))</f>
        <v/>
      </c>
      <c r="X971" s="85" t="str">
        <f aca="false">IF(AH971="","",P971-W971)</f>
        <v/>
      </c>
      <c r="Y971" s="67"/>
      <c r="Z971" s="70" t="str">
        <f aca="false">IF(OR(AH971="",Y971=""),"",IF(ABS(X971-Y971)&lt;=1,"✓ Cuadra","⚠ Diferencia $"&amp;FIXED(X971-Y971,0)))</f>
        <v/>
      </c>
      <c r="AA971" s="72" t="str">
        <f aca="false">IF(AH971="","",IFERROR(INDEX(C_TIPO,MATCH(C971&amp;"-P"&amp;MAX(1,COUNTIFS(C_ID,C971,C_DEFINE,"Sí",C_INICIO,"&lt;="&amp;EOMONTH(B971,0))),C_CLAVE,0))&amp;"","Sin dato"))</f>
        <v/>
      </c>
      <c r="AB971" s="71" t="str">
        <f aca="false">IF(AH971="","",ROUND(MIN(K971,TOPE_AFP_UF*AJ971)*AK971,0))</f>
        <v/>
      </c>
      <c r="AC971" s="71" t="str">
        <f aca="false">IF(AH971="","",ROUND(MIN(K971,TOPE_AFC_UF*AJ971)*IF(AA971="Indefinido",AFC_EMP_INDEF,AFC_EMP_PF),0))</f>
        <v/>
      </c>
      <c r="AD971" s="71" t="str">
        <f aca="false">IF(AH971="","",ROUND(MIN(K971,TOPE_AFP_UF*AJ971)*(MUTUAL_BASICA+MUTUAL_ADIC+SANNA),0))</f>
        <v/>
      </c>
      <c r="AE971" s="71" t="str">
        <f aca="false">IF(AH971="","",P971-N(N971)+AB971+AC971+AD971)</f>
        <v/>
      </c>
      <c r="AF971" s="65"/>
      <c r="AG971" s="64"/>
      <c r="AH971" s="72" t="str">
        <f aca="false">IF(OR(B971="",C971=""),"",C971&amp;"|"&amp;(YEAR(B971)*100+MONTH(B971)))</f>
        <v/>
      </c>
      <c r="AI971" s="70" t="str">
        <f aca="false">IF(AH971="","",IF(COUNTIF(L_CLAVE,AH971)&gt;1,"⚠ Duplicado","OK"))</f>
        <v/>
      </c>
      <c r="AJ971" s="86" t="str">
        <f aca="false">IF(AH971="","",IF(SUMPRODUCT(MAX((IND_PER&lt;=B971)*(IND_UF&lt;&gt;"")*IND_PER))=0,UF_HOY,INDEX(IND_UF,MATCH(SUMPRODUCT(MAX((IND_PER&lt;=B971)*(IND_UF&lt;&gt;"")*IND_PER)),IND_PER,0))))</f>
        <v/>
      </c>
      <c r="AK971" s="87" t="str">
        <f aca="false">IF(AH971="","",IF(COUNTIF(TASA_DESDE,"&lt;="&amp;B971)=0,INDEX(TASA_EMP,1),INDEX(TASA_EMP,COUNTIF(TASA_DESDE,"&lt;="&amp;B971))))</f>
        <v/>
      </c>
    </row>
    <row r="972" customFormat="false" ht="15" hidden="false" customHeight="false" outlineLevel="0" collapsed="false">
      <c r="B972" s="78"/>
      <c r="C972" s="64"/>
      <c r="D972" s="72" t="str">
        <f aca="false">IF(C972="","",IFERROR(INDEX(T_NOMBRE,MATCH(C972,T_ID,0)),"⚠ ID no existe"))</f>
        <v/>
      </c>
      <c r="E972" s="69"/>
      <c r="F972" s="67"/>
      <c r="G972" s="67"/>
      <c r="H972" s="67"/>
      <c r="I972" s="67"/>
      <c r="J972" s="67"/>
      <c r="K972" s="85" t="str">
        <f aca="false">IF(AH972="","",N(F972)+N(G972)+N(H972)-N(I972)+N(J972))</f>
        <v/>
      </c>
      <c r="L972" s="67"/>
      <c r="M972" s="67"/>
      <c r="N972" s="67"/>
      <c r="O972" s="67"/>
      <c r="P972" s="85" t="str">
        <f aca="false">IF(AH972="","",K972+N(L972)+N(M972)+N(N972)+N(O972))</f>
        <v/>
      </c>
      <c r="Q972" s="67"/>
      <c r="R972" s="67"/>
      <c r="S972" s="67"/>
      <c r="T972" s="67"/>
      <c r="U972" s="67"/>
      <c r="V972" s="67"/>
      <c r="W972" s="85" t="str">
        <f aca="false">IF(AH972="","",N(Q972)+N(R972)+N(S972)+N(T972)+N(U972)+N(V972))</f>
        <v/>
      </c>
      <c r="X972" s="85" t="str">
        <f aca="false">IF(AH972="","",P972-W972)</f>
        <v/>
      </c>
      <c r="Y972" s="67"/>
      <c r="Z972" s="70" t="str">
        <f aca="false">IF(OR(AH972="",Y972=""),"",IF(ABS(X972-Y972)&lt;=1,"✓ Cuadra","⚠ Diferencia $"&amp;FIXED(X972-Y972,0)))</f>
        <v/>
      </c>
      <c r="AA972" s="72" t="str">
        <f aca="false">IF(AH972="","",IFERROR(INDEX(C_TIPO,MATCH(C972&amp;"-P"&amp;MAX(1,COUNTIFS(C_ID,C972,C_DEFINE,"Sí",C_INICIO,"&lt;="&amp;EOMONTH(B972,0))),C_CLAVE,0))&amp;"","Sin dato"))</f>
        <v/>
      </c>
      <c r="AB972" s="71" t="str">
        <f aca="false">IF(AH972="","",ROUND(MIN(K972,TOPE_AFP_UF*AJ972)*AK972,0))</f>
        <v/>
      </c>
      <c r="AC972" s="71" t="str">
        <f aca="false">IF(AH972="","",ROUND(MIN(K972,TOPE_AFC_UF*AJ972)*IF(AA972="Indefinido",AFC_EMP_INDEF,AFC_EMP_PF),0))</f>
        <v/>
      </c>
      <c r="AD972" s="71" t="str">
        <f aca="false">IF(AH972="","",ROUND(MIN(K972,TOPE_AFP_UF*AJ972)*(MUTUAL_BASICA+MUTUAL_ADIC+SANNA),0))</f>
        <v/>
      </c>
      <c r="AE972" s="71" t="str">
        <f aca="false">IF(AH972="","",P972-N(N972)+AB972+AC972+AD972)</f>
        <v/>
      </c>
      <c r="AF972" s="65"/>
      <c r="AG972" s="64"/>
      <c r="AH972" s="72" t="str">
        <f aca="false">IF(OR(B972="",C972=""),"",C972&amp;"|"&amp;(YEAR(B972)*100+MONTH(B972)))</f>
        <v/>
      </c>
      <c r="AI972" s="70" t="str">
        <f aca="false">IF(AH972="","",IF(COUNTIF(L_CLAVE,AH972)&gt;1,"⚠ Duplicado","OK"))</f>
        <v/>
      </c>
      <c r="AJ972" s="86" t="str">
        <f aca="false">IF(AH972="","",IF(SUMPRODUCT(MAX((IND_PER&lt;=B972)*(IND_UF&lt;&gt;"")*IND_PER))=0,UF_HOY,INDEX(IND_UF,MATCH(SUMPRODUCT(MAX((IND_PER&lt;=B972)*(IND_UF&lt;&gt;"")*IND_PER)),IND_PER,0))))</f>
        <v/>
      </c>
      <c r="AK972" s="87" t="str">
        <f aca="false">IF(AH972="","",IF(COUNTIF(TASA_DESDE,"&lt;="&amp;B972)=0,INDEX(TASA_EMP,1),INDEX(TASA_EMP,COUNTIF(TASA_DESDE,"&lt;="&amp;B972))))</f>
        <v/>
      </c>
    </row>
    <row r="973" customFormat="false" ht="15" hidden="false" customHeight="false" outlineLevel="0" collapsed="false">
      <c r="B973" s="78"/>
      <c r="C973" s="64"/>
      <c r="D973" s="72" t="str">
        <f aca="false">IF(C973="","",IFERROR(INDEX(T_NOMBRE,MATCH(C973,T_ID,0)),"⚠ ID no existe"))</f>
        <v/>
      </c>
      <c r="E973" s="69"/>
      <c r="F973" s="67"/>
      <c r="G973" s="67"/>
      <c r="H973" s="67"/>
      <c r="I973" s="67"/>
      <c r="J973" s="67"/>
      <c r="K973" s="85" t="str">
        <f aca="false">IF(AH973="","",N(F973)+N(G973)+N(H973)-N(I973)+N(J973))</f>
        <v/>
      </c>
      <c r="L973" s="67"/>
      <c r="M973" s="67"/>
      <c r="N973" s="67"/>
      <c r="O973" s="67"/>
      <c r="P973" s="85" t="str">
        <f aca="false">IF(AH973="","",K973+N(L973)+N(M973)+N(N973)+N(O973))</f>
        <v/>
      </c>
      <c r="Q973" s="67"/>
      <c r="R973" s="67"/>
      <c r="S973" s="67"/>
      <c r="T973" s="67"/>
      <c r="U973" s="67"/>
      <c r="V973" s="67"/>
      <c r="W973" s="85" t="str">
        <f aca="false">IF(AH973="","",N(Q973)+N(R973)+N(S973)+N(T973)+N(U973)+N(V973))</f>
        <v/>
      </c>
      <c r="X973" s="85" t="str">
        <f aca="false">IF(AH973="","",P973-W973)</f>
        <v/>
      </c>
      <c r="Y973" s="67"/>
      <c r="Z973" s="70" t="str">
        <f aca="false">IF(OR(AH973="",Y973=""),"",IF(ABS(X973-Y973)&lt;=1,"✓ Cuadra","⚠ Diferencia $"&amp;FIXED(X973-Y973,0)))</f>
        <v/>
      </c>
      <c r="AA973" s="72" t="str">
        <f aca="false">IF(AH973="","",IFERROR(INDEX(C_TIPO,MATCH(C973&amp;"-P"&amp;MAX(1,COUNTIFS(C_ID,C973,C_DEFINE,"Sí",C_INICIO,"&lt;="&amp;EOMONTH(B973,0))),C_CLAVE,0))&amp;"","Sin dato"))</f>
        <v/>
      </c>
      <c r="AB973" s="71" t="str">
        <f aca="false">IF(AH973="","",ROUND(MIN(K973,TOPE_AFP_UF*AJ973)*AK973,0))</f>
        <v/>
      </c>
      <c r="AC973" s="71" t="str">
        <f aca="false">IF(AH973="","",ROUND(MIN(K973,TOPE_AFC_UF*AJ973)*IF(AA973="Indefinido",AFC_EMP_INDEF,AFC_EMP_PF),0))</f>
        <v/>
      </c>
      <c r="AD973" s="71" t="str">
        <f aca="false">IF(AH973="","",ROUND(MIN(K973,TOPE_AFP_UF*AJ973)*(MUTUAL_BASICA+MUTUAL_ADIC+SANNA),0))</f>
        <v/>
      </c>
      <c r="AE973" s="71" t="str">
        <f aca="false">IF(AH973="","",P973-N(N973)+AB973+AC973+AD973)</f>
        <v/>
      </c>
      <c r="AF973" s="65"/>
      <c r="AG973" s="64"/>
      <c r="AH973" s="72" t="str">
        <f aca="false">IF(OR(B973="",C973=""),"",C973&amp;"|"&amp;(YEAR(B973)*100+MONTH(B973)))</f>
        <v/>
      </c>
      <c r="AI973" s="70" t="str">
        <f aca="false">IF(AH973="","",IF(COUNTIF(L_CLAVE,AH973)&gt;1,"⚠ Duplicado","OK"))</f>
        <v/>
      </c>
      <c r="AJ973" s="86" t="str">
        <f aca="false">IF(AH973="","",IF(SUMPRODUCT(MAX((IND_PER&lt;=B973)*(IND_UF&lt;&gt;"")*IND_PER))=0,UF_HOY,INDEX(IND_UF,MATCH(SUMPRODUCT(MAX((IND_PER&lt;=B973)*(IND_UF&lt;&gt;"")*IND_PER)),IND_PER,0))))</f>
        <v/>
      </c>
      <c r="AK973" s="87" t="str">
        <f aca="false">IF(AH973="","",IF(COUNTIF(TASA_DESDE,"&lt;="&amp;B973)=0,INDEX(TASA_EMP,1),INDEX(TASA_EMP,COUNTIF(TASA_DESDE,"&lt;="&amp;B973))))</f>
        <v/>
      </c>
    </row>
    <row r="974" customFormat="false" ht="15" hidden="false" customHeight="false" outlineLevel="0" collapsed="false">
      <c r="B974" s="78"/>
      <c r="C974" s="64"/>
      <c r="D974" s="72" t="str">
        <f aca="false">IF(C974="","",IFERROR(INDEX(T_NOMBRE,MATCH(C974,T_ID,0)),"⚠ ID no existe"))</f>
        <v/>
      </c>
      <c r="E974" s="69"/>
      <c r="F974" s="67"/>
      <c r="G974" s="67"/>
      <c r="H974" s="67"/>
      <c r="I974" s="67"/>
      <c r="J974" s="67"/>
      <c r="K974" s="85" t="str">
        <f aca="false">IF(AH974="","",N(F974)+N(G974)+N(H974)-N(I974)+N(J974))</f>
        <v/>
      </c>
      <c r="L974" s="67"/>
      <c r="M974" s="67"/>
      <c r="N974" s="67"/>
      <c r="O974" s="67"/>
      <c r="P974" s="85" t="str">
        <f aca="false">IF(AH974="","",K974+N(L974)+N(M974)+N(N974)+N(O974))</f>
        <v/>
      </c>
      <c r="Q974" s="67"/>
      <c r="R974" s="67"/>
      <c r="S974" s="67"/>
      <c r="T974" s="67"/>
      <c r="U974" s="67"/>
      <c r="V974" s="67"/>
      <c r="W974" s="85" t="str">
        <f aca="false">IF(AH974="","",N(Q974)+N(R974)+N(S974)+N(T974)+N(U974)+N(V974))</f>
        <v/>
      </c>
      <c r="X974" s="85" t="str">
        <f aca="false">IF(AH974="","",P974-W974)</f>
        <v/>
      </c>
      <c r="Y974" s="67"/>
      <c r="Z974" s="70" t="str">
        <f aca="false">IF(OR(AH974="",Y974=""),"",IF(ABS(X974-Y974)&lt;=1,"✓ Cuadra","⚠ Diferencia $"&amp;FIXED(X974-Y974,0)))</f>
        <v/>
      </c>
      <c r="AA974" s="72" t="str">
        <f aca="false">IF(AH974="","",IFERROR(INDEX(C_TIPO,MATCH(C974&amp;"-P"&amp;MAX(1,COUNTIFS(C_ID,C974,C_DEFINE,"Sí",C_INICIO,"&lt;="&amp;EOMONTH(B974,0))),C_CLAVE,0))&amp;"","Sin dato"))</f>
        <v/>
      </c>
      <c r="AB974" s="71" t="str">
        <f aca="false">IF(AH974="","",ROUND(MIN(K974,TOPE_AFP_UF*AJ974)*AK974,0))</f>
        <v/>
      </c>
      <c r="AC974" s="71" t="str">
        <f aca="false">IF(AH974="","",ROUND(MIN(K974,TOPE_AFC_UF*AJ974)*IF(AA974="Indefinido",AFC_EMP_INDEF,AFC_EMP_PF),0))</f>
        <v/>
      </c>
      <c r="AD974" s="71" t="str">
        <f aca="false">IF(AH974="","",ROUND(MIN(K974,TOPE_AFP_UF*AJ974)*(MUTUAL_BASICA+MUTUAL_ADIC+SANNA),0))</f>
        <v/>
      </c>
      <c r="AE974" s="71" t="str">
        <f aca="false">IF(AH974="","",P974-N(N974)+AB974+AC974+AD974)</f>
        <v/>
      </c>
      <c r="AF974" s="65"/>
      <c r="AG974" s="64"/>
      <c r="AH974" s="72" t="str">
        <f aca="false">IF(OR(B974="",C974=""),"",C974&amp;"|"&amp;(YEAR(B974)*100+MONTH(B974)))</f>
        <v/>
      </c>
      <c r="AI974" s="70" t="str">
        <f aca="false">IF(AH974="","",IF(COUNTIF(L_CLAVE,AH974)&gt;1,"⚠ Duplicado","OK"))</f>
        <v/>
      </c>
      <c r="AJ974" s="86" t="str">
        <f aca="false">IF(AH974="","",IF(SUMPRODUCT(MAX((IND_PER&lt;=B974)*(IND_UF&lt;&gt;"")*IND_PER))=0,UF_HOY,INDEX(IND_UF,MATCH(SUMPRODUCT(MAX((IND_PER&lt;=B974)*(IND_UF&lt;&gt;"")*IND_PER)),IND_PER,0))))</f>
        <v/>
      </c>
      <c r="AK974" s="87" t="str">
        <f aca="false">IF(AH974="","",IF(COUNTIF(TASA_DESDE,"&lt;="&amp;B974)=0,INDEX(TASA_EMP,1),INDEX(TASA_EMP,COUNTIF(TASA_DESDE,"&lt;="&amp;B974))))</f>
        <v/>
      </c>
    </row>
    <row r="975" customFormat="false" ht="15" hidden="false" customHeight="false" outlineLevel="0" collapsed="false">
      <c r="B975" s="78"/>
      <c r="C975" s="64"/>
      <c r="D975" s="72" t="str">
        <f aca="false">IF(C975="","",IFERROR(INDEX(T_NOMBRE,MATCH(C975,T_ID,0)),"⚠ ID no existe"))</f>
        <v/>
      </c>
      <c r="E975" s="69"/>
      <c r="F975" s="67"/>
      <c r="G975" s="67"/>
      <c r="H975" s="67"/>
      <c r="I975" s="67"/>
      <c r="J975" s="67"/>
      <c r="K975" s="85" t="str">
        <f aca="false">IF(AH975="","",N(F975)+N(G975)+N(H975)-N(I975)+N(J975))</f>
        <v/>
      </c>
      <c r="L975" s="67"/>
      <c r="M975" s="67"/>
      <c r="N975" s="67"/>
      <c r="O975" s="67"/>
      <c r="P975" s="85" t="str">
        <f aca="false">IF(AH975="","",K975+N(L975)+N(M975)+N(N975)+N(O975))</f>
        <v/>
      </c>
      <c r="Q975" s="67"/>
      <c r="R975" s="67"/>
      <c r="S975" s="67"/>
      <c r="T975" s="67"/>
      <c r="U975" s="67"/>
      <c r="V975" s="67"/>
      <c r="W975" s="85" t="str">
        <f aca="false">IF(AH975="","",N(Q975)+N(R975)+N(S975)+N(T975)+N(U975)+N(V975))</f>
        <v/>
      </c>
      <c r="X975" s="85" t="str">
        <f aca="false">IF(AH975="","",P975-W975)</f>
        <v/>
      </c>
      <c r="Y975" s="67"/>
      <c r="Z975" s="70" t="str">
        <f aca="false">IF(OR(AH975="",Y975=""),"",IF(ABS(X975-Y975)&lt;=1,"✓ Cuadra","⚠ Diferencia $"&amp;FIXED(X975-Y975,0)))</f>
        <v/>
      </c>
      <c r="AA975" s="72" t="str">
        <f aca="false">IF(AH975="","",IFERROR(INDEX(C_TIPO,MATCH(C975&amp;"-P"&amp;MAX(1,COUNTIFS(C_ID,C975,C_DEFINE,"Sí",C_INICIO,"&lt;="&amp;EOMONTH(B975,0))),C_CLAVE,0))&amp;"","Sin dato"))</f>
        <v/>
      </c>
      <c r="AB975" s="71" t="str">
        <f aca="false">IF(AH975="","",ROUND(MIN(K975,TOPE_AFP_UF*AJ975)*AK975,0))</f>
        <v/>
      </c>
      <c r="AC975" s="71" t="str">
        <f aca="false">IF(AH975="","",ROUND(MIN(K975,TOPE_AFC_UF*AJ975)*IF(AA975="Indefinido",AFC_EMP_INDEF,AFC_EMP_PF),0))</f>
        <v/>
      </c>
      <c r="AD975" s="71" t="str">
        <f aca="false">IF(AH975="","",ROUND(MIN(K975,TOPE_AFP_UF*AJ975)*(MUTUAL_BASICA+MUTUAL_ADIC+SANNA),0))</f>
        <v/>
      </c>
      <c r="AE975" s="71" t="str">
        <f aca="false">IF(AH975="","",P975-N(N975)+AB975+AC975+AD975)</f>
        <v/>
      </c>
      <c r="AF975" s="65"/>
      <c r="AG975" s="64"/>
      <c r="AH975" s="72" t="str">
        <f aca="false">IF(OR(B975="",C975=""),"",C975&amp;"|"&amp;(YEAR(B975)*100+MONTH(B975)))</f>
        <v/>
      </c>
      <c r="AI975" s="70" t="str">
        <f aca="false">IF(AH975="","",IF(COUNTIF(L_CLAVE,AH975)&gt;1,"⚠ Duplicado","OK"))</f>
        <v/>
      </c>
      <c r="AJ975" s="86" t="str">
        <f aca="false">IF(AH975="","",IF(SUMPRODUCT(MAX((IND_PER&lt;=B975)*(IND_UF&lt;&gt;"")*IND_PER))=0,UF_HOY,INDEX(IND_UF,MATCH(SUMPRODUCT(MAX((IND_PER&lt;=B975)*(IND_UF&lt;&gt;"")*IND_PER)),IND_PER,0))))</f>
        <v/>
      </c>
      <c r="AK975" s="87" t="str">
        <f aca="false">IF(AH975="","",IF(COUNTIF(TASA_DESDE,"&lt;="&amp;B975)=0,INDEX(TASA_EMP,1),INDEX(TASA_EMP,COUNTIF(TASA_DESDE,"&lt;="&amp;B975))))</f>
        <v/>
      </c>
    </row>
    <row r="976" customFormat="false" ht="15" hidden="false" customHeight="false" outlineLevel="0" collapsed="false">
      <c r="B976" s="78"/>
      <c r="C976" s="64"/>
      <c r="D976" s="72" t="str">
        <f aca="false">IF(C976="","",IFERROR(INDEX(T_NOMBRE,MATCH(C976,T_ID,0)),"⚠ ID no existe"))</f>
        <v/>
      </c>
      <c r="E976" s="69"/>
      <c r="F976" s="67"/>
      <c r="G976" s="67"/>
      <c r="H976" s="67"/>
      <c r="I976" s="67"/>
      <c r="J976" s="67"/>
      <c r="K976" s="85" t="str">
        <f aca="false">IF(AH976="","",N(F976)+N(G976)+N(H976)-N(I976)+N(J976))</f>
        <v/>
      </c>
      <c r="L976" s="67"/>
      <c r="M976" s="67"/>
      <c r="N976" s="67"/>
      <c r="O976" s="67"/>
      <c r="P976" s="85" t="str">
        <f aca="false">IF(AH976="","",K976+N(L976)+N(M976)+N(N976)+N(O976))</f>
        <v/>
      </c>
      <c r="Q976" s="67"/>
      <c r="R976" s="67"/>
      <c r="S976" s="67"/>
      <c r="T976" s="67"/>
      <c r="U976" s="67"/>
      <c r="V976" s="67"/>
      <c r="W976" s="85" t="str">
        <f aca="false">IF(AH976="","",N(Q976)+N(R976)+N(S976)+N(T976)+N(U976)+N(V976))</f>
        <v/>
      </c>
      <c r="X976" s="85" t="str">
        <f aca="false">IF(AH976="","",P976-W976)</f>
        <v/>
      </c>
      <c r="Y976" s="67"/>
      <c r="Z976" s="70" t="str">
        <f aca="false">IF(OR(AH976="",Y976=""),"",IF(ABS(X976-Y976)&lt;=1,"✓ Cuadra","⚠ Diferencia $"&amp;FIXED(X976-Y976,0)))</f>
        <v/>
      </c>
      <c r="AA976" s="72" t="str">
        <f aca="false">IF(AH976="","",IFERROR(INDEX(C_TIPO,MATCH(C976&amp;"-P"&amp;MAX(1,COUNTIFS(C_ID,C976,C_DEFINE,"Sí",C_INICIO,"&lt;="&amp;EOMONTH(B976,0))),C_CLAVE,0))&amp;"","Sin dato"))</f>
        <v/>
      </c>
      <c r="AB976" s="71" t="str">
        <f aca="false">IF(AH976="","",ROUND(MIN(K976,TOPE_AFP_UF*AJ976)*AK976,0))</f>
        <v/>
      </c>
      <c r="AC976" s="71" t="str">
        <f aca="false">IF(AH976="","",ROUND(MIN(K976,TOPE_AFC_UF*AJ976)*IF(AA976="Indefinido",AFC_EMP_INDEF,AFC_EMP_PF),0))</f>
        <v/>
      </c>
      <c r="AD976" s="71" t="str">
        <f aca="false">IF(AH976="","",ROUND(MIN(K976,TOPE_AFP_UF*AJ976)*(MUTUAL_BASICA+MUTUAL_ADIC+SANNA),0))</f>
        <v/>
      </c>
      <c r="AE976" s="71" t="str">
        <f aca="false">IF(AH976="","",P976-N(N976)+AB976+AC976+AD976)</f>
        <v/>
      </c>
      <c r="AF976" s="65"/>
      <c r="AG976" s="64"/>
      <c r="AH976" s="72" t="str">
        <f aca="false">IF(OR(B976="",C976=""),"",C976&amp;"|"&amp;(YEAR(B976)*100+MONTH(B976)))</f>
        <v/>
      </c>
      <c r="AI976" s="70" t="str">
        <f aca="false">IF(AH976="","",IF(COUNTIF(L_CLAVE,AH976)&gt;1,"⚠ Duplicado","OK"))</f>
        <v/>
      </c>
      <c r="AJ976" s="86" t="str">
        <f aca="false">IF(AH976="","",IF(SUMPRODUCT(MAX((IND_PER&lt;=B976)*(IND_UF&lt;&gt;"")*IND_PER))=0,UF_HOY,INDEX(IND_UF,MATCH(SUMPRODUCT(MAX((IND_PER&lt;=B976)*(IND_UF&lt;&gt;"")*IND_PER)),IND_PER,0))))</f>
        <v/>
      </c>
      <c r="AK976" s="87" t="str">
        <f aca="false">IF(AH976="","",IF(COUNTIF(TASA_DESDE,"&lt;="&amp;B976)=0,INDEX(TASA_EMP,1),INDEX(TASA_EMP,COUNTIF(TASA_DESDE,"&lt;="&amp;B976))))</f>
        <v/>
      </c>
    </row>
    <row r="977" customFormat="false" ht="15" hidden="false" customHeight="false" outlineLevel="0" collapsed="false">
      <c r="B977" s="78"/>
      <c r="C977" s="64"/>
      <c r="D977" s="72" t="str">
        <f aca="false">IF(C977="","",IFERROR(INDEX(T_NOMBRE,MATCH(C977,T_ID,0)),"⚠ ID no existe"))</f>
        <v/>
      </c>
      <c r="E977" s="69"/>
      <c r="F977" s="67"/>
      <c r="G977" s="67"/>
      <c r="H977" s="67"/>
      <c r="I977" s="67"/>
      <c r="J977" s="67"/>
      <c r="K977" s="85" t="str">
        <f aca="false">IF(AH977="","",N(F977)+N(G977)+N(H977)-N(I977)+N(J977))</f>
        <v/>
      </c>
      <c r="L977" s="67"/>
      <c r="M977" s="67"/>
      <c r="N977" s="67"/>
      <c r="O977" s="67"/>
      <c r="P977" s="85" t="str">
        <f aca="false">IF(AH977="","",K977+N(L977)+N(M977)+N(N977)+N(O977))</f>
        <v/>
      </c>
      <c r="Q977" s="67"/>
      <c r="R977" s="67"/>
      <c r="S977" s="67"/>
      <c r="T977" s="67"/>
      <c r="U977" s="67"/>
      <c r="V977" s="67"/>
      <c r="W977" s="85" t="str">
        <f aca="false">IF(AH977="","",N(Q977)+N(R977)+N(S977)+N(T977)+N(U977)+N(V977))</f>
        <v/>
      </c>
      <c r="X977" s="85" t="str">
        <f aca="false">IF(AH977="","",P977-W977)</f>
        <v/>
      </c>
      <c r="Y977" s="67"/>
      <c r="Z977" s="70" t="str">
        <f aca="false">IF(OR(AH977="",Y977=""),"",IF(ABS(X977-Y977)&lt;=1,"✓ Cuadra","⚠ Diferencia $"&amp;FIXED(X977-Y977,0)))</f>
        <v/>
      </c>
      <c r="AA977" s="72" t="str">
        <f aca="false">IF(AH977="","",IFERROR(INDEX(C_TIPO,MATCH(C977&amp;"-P"&amp;MAX(1,COUNTIFS(C_ID,C977,C_DEFINE,"Sí",C_INICIO,"&lt;="&amp;EOMONTH(B977,0))),C_CLAVE,0))&amp;"","Sin dato"))</f>
        <v/>
      </c>
      <c r="AB977" s="71" t="str">
        <f aca="false">IF(AH977="","",ROUND(MIN(K977,TOPE_AFP_UF*AJ977)*AK977,0))</f>
        <v/>
      </c>
      <c r="AC977" s="71" t="str">
        <f aca="false">IF(AH977="","",ROUND(MIN(K977,TOPE_AFC_UF*AJ977)*IF(AA977="Indefinido",AFC_EMP_INDEF,AFC_EMP_PF),0))</f>
        <v/>
      </c>
      <c r="AD977" s="71" t="str">
        <f aca="false">IF(AH977="","",ROUND(MIN(K977,TOPE_AFP_UF*AJ977)*(MUTUAL_BASICA+MUTUAL_ADIC+SANNA),0))</f>
        <v/>
      </c>
      <c r="AE977" s="71" t="str">
        <f aca="false">IF(AH977="","",P977-N(N977)+AB977+AC977+AD977)</f>
        <v/>
      </c>
      <c r="AF977" s="65"/>
      <c r="AG977" s="64"/>
      <c r="AH977" s="72" t="str">
        <f aca="false">IF(OR(B977="",C977=""),"",C977&amp;"|"&amp;(YEAR(B977)*100+MONTH(B977)))</f>
        <v/>
      </c>
      <c r="AI977" s="70" t="str">
        <f aca="false">IF(AH977="","",IF(COUNTIF(L_CLAVE,AH977)&gt;1,"⚠ Duplicado","OK"))</f>
        <v/>
      </c>
      <c r="AJ977" s="86" t="str">
        <f aca="false">IF(AH977="","",IF(SUMPRODUCT(MAX((IND_PER&lt;=B977)*(IND_UF&lt;&gt;"")*IND_PER))=0,UF_HOY,INDEX(IND_UF,MATCH(SUMPRODUCT(MAX((IND_PER&lt;=B977)*(IND_UF&lt;&gt;"")*IND_PER)),IND_PER,0))))</f>
        <v/>
      </c>
      <c r="AK977" s="87" t="str">
        <f aca="false">IF(AH977="","",IF(COUNTIF(TASA_DESDE,"&lt;="&amp;B977)=0,INDEX(TASA_EMP,1),INDEX(TASA_EMP,COUNTIF(TASA_DESDE,"&lt;="&amp;B977))))</f>
        <v/>
      </c>
    </row>
    <row r="978" customFormat="false" ht="15" hidden="false" customHeight="false" outlineLevel="0" collapsed="false">
      <c r="B978" s="78"/>
      <c r="C978" s="64"/>
      <c r="D978" s="72" t="str">
        <f aca="false">IF(C978="","",IFERROR(INDEX(T_NOMBRE,MATCH(C978,T_ID,0)),"⚠ ID no existe"))</f>
        <v/>
      </c>
      <c r="E978" s="69"/>
      <c r="F978" s="67"/>
      <c r="G978" s="67"/>
      <c r="H978" s="67"/>
      <c r="I978" s="67"/>
      <c r="J978" s="67"/>
      <c r="K978" s="85" t="str">
        <f aca="false">IF(AH978="","",N(F978)+N(G978)+N(H978)-N(I978)+N(J978))</f>
        <v/>
      </c>
      <c r="L978" s="67"/>
      <c r="M978" s="67"/>
      <c r="N978" s="67"/>
      <c r="O978" s="67"/>
      <c r="P978" s="85" t="str">
        <f aca="false">IF(AH978="","",K978+N(L978)+N(M978)+N(N978)+N(O978))</f>
        <v/>
      </c>
      <c r="Q978" s="67"/>
      <c r="R978" s="67"/>
      <c r="S978" s="67"/>
      <c r="T978" s="67"/>
      <c r="U978" s="67"/>
      <c r="V978" s="67"/>
      <c r="W978" s="85" t="str">
        <f aca="false">IF(AH978="","",N(Q978)+N(R978)+N(S978)+N(T978)+N(U978)+N(V978))</f>
        <v/>
      </c>
      <c r="X978" s="85" t="str">
        <f aca="false">IF(AH978="","",P978-W978)</f>
        <v/>
      </c>
      <c r="Y978" s="67"/>
      <c r="Z978" s="70" t="str">
        <f aca="false">IF(OR(AH978="",Y978=""),"",IF(ABS(X978-Y978)&lt;=1,"✓ Cuadra","⚠ Diferencia $"&amp;FIXED(X978-Y978,0)))</f>
        <v/>
      </c>
      <c r="AA978" s="72" t="str">
        <f aca="false">IF(AH978="","",IFERROR(INDEX(C_TIPO,MATCH(C978&amp;"-P"&amp;MAX(1,COUNTIFS(C_ID,C978,C_DEFINE,"Sí",C_INICIO,"&lt;="&amp;EOMONTH(B978,0))),C_CLAVE,0))&amp;"","Sin dato"))</f>
        <v/>
      </c>
      <c r="AB978" s="71" t="str">
        <f aca="false">IF(AH978="","",ROUND(MIN(K978,TOPE_AFP_UF*AJ978)*AK978,0))</f>
        <v/>
      </c>
      <c r="AC978" s="71" t="str">
        <f aca="false">IF(AH978="","",ROUND(MIN(K978,TOPE_AFC_UF*AJ978)*IF(AA978="Indefinido",AFC_EMP_INDEF,AFC_EMP_PF),0))</f>
        <v/>
      </c>
      <c r="AD978" s="71" t="str">
        <f aca="false">IF(AH978="","",ROUND(MIN(K978,TOPE_AFP_UF*AJ978)*(MUTUAL_BASICA+MUTUAL_ADIC+SANNA),0))</f>
        <v/>
      </c>
      <c r="AE978" s="71" t="str">
        <f aca="false">IF(AH978="","",P978-N(N978)+AB978+AC978+AD978)</f>
        <v/>
      </c>
      <c r="AF978" s="65"/>
      <c r="AG978" s="64"/>
      <c r="AH978" s="72" t="str">
        <f aca="false">IF(OR(B978="",C978=""),"",C978&amp;"|"&amp;(YEAR(B978)*100+MONTH(B978)))</f>
        <v/>
      </c>
      <c r="AI978" s="70" t="str">
        <f aca="false">IF(AH978="","",IF(COUNTIF(L_CLAVE,AH978)&gt;1,"⚠ Duplicado","OK"))</f>
        <v/>
      </c>
      <c r="AJ978" s="86" t="str">
        <f aca="false">IF(AH978="","",IF(SUMPRODUCT(MAX((IND_PER&lt;=B978)*(IND_UF&lt;&gt;"")*IND_PER))=0,UF_HOY,INDEX(IND_UF,MATCH(SUMPRODUCT(MAX((IND_PER&lt;=B978)*(IND_UF&lt;&gt;"")*IND_PER)),IND_PER,0))))</f>
        <v/>
      </c>
      <c r="AK978" s="87" t="str">
        <f aca="false">IF(AH978="","",IF(COUNTIF(TASA_DESDE,"&lt;="&amp;B978)=0,INDEX(TASA_EMP,1),INDEX(TASA_EMP,COUNTIF(TASA_DESDE,"&lt;="&amp;B978))))</f>
        <v/>
      </c>
    </row>
    <row r="979" customFormat="false" ht="15" hidden="false" customHeight="false" outlineLevel="0" collapsed="false">
      <c r="B979" s="78"/>
      <c r="C979" s="64"/>
      <c r="D979" s="72" t="str">
        <f aca="false">IF(C979="","",IFERROR(INDEX(T_NOMBRE,MATCH(C979,T_ID,0)),"⚠ ID no existe"))</f>
        <v/>
      </c>
      <c r="E979" s="69"/>
      <c r="F979" s="67"/>
      <c r="G979" s="67"/>
      <c r="H979" s="67"/>
      <c r="I979" s="67"/>
      <c r="J979" s="67"/>
      <c r="K979" s="85" t="str">
        <f aca="false">IF(AH979="","",N(F979)+N(G979)+N(H979)-N(I979)+N(J979))</f>
        <v/>
      </c>
      <c r="L979" s="67"/>
      <c r="M979" s="67"/>
      <c r="N979" s="67"/>
      <c r="O979" s="67"/>
      <c r="P979" s="85" t="str">
        <f aca="false">IF(AH979="","",K979+N(L979)+N(M979)+N(N979)+N(O979))</f>
        <v/>
      </c>
      <c r="Q979" s="67"/>
      <c r="R979" s="67"/>
      <c r="S979" s="67"/>
      <c r="T979" s="67"/>
      <c r="U979" s="67"/>
      <c r="V979" s="67"/>
      <c r="W979" s="85" t="str">
        <f aca="false">IF(AH979="","",N(Q979)+N(R979)+N(S979)+N(T979)+N(U979)+N(V979))</f>
        <v/>
      </c>
      <c r="X979" s="85" t="str">
        <f aca="false">IF(AH979="","",P979-W979)</f>
        <v/>
      </c>
      <c r="Y979" s="67"/>
      <c r="Z979" s="70" t="str">
        <f aca="false">IF(OR(AH979="",Y979=""),"",IF(ABS(X979-Y979)&lt;=1,"✓ Cuadra","⚠ Diferencia $"&amp;FIXED(X979-Y979,0)))</f>
        <v/>
      </c>
      <c r="AA979" s="72" t="str">
        <f aca="false">IF(AH979="","",IFERROR(INDEX(C_TIPO,MATCH(C979&amp;"-P"&amp;MAX(1,COUNTIFS(C_ID,C979,C_DEFINE,"Sí",C_INICIO,"&lt;="&amp;EOMONTH(B979,0))),C_CLAVE,0))&amp;"","Sin dato"))</f>
        <v/>
      </c>
      <c r="AB979" s="71" t="str">
        <f aca="false">IF(AH979="","",ROUND(MIN(K979,TOPE_AFP_UF*AJ979)*AK979,0))</f>
        <v/>
      </c>
      <c r="AC979" s="71" t="str">
        <f aca="false">IF(AH979="","",ROUND(MIN(K979,TOPE_AFC_UF*AJ979)*IF(AA979="Indefinido",AFC_EMP_INDEF,AFC_EMP_PF),0))</f>
        <v/>
      </c>
      <c r="AD979" s="71" t="str">
        <f aca="false">IF(AH979="","",ROUND(MIN(K979,TOPE_AFP_UF*AJ979)*(MUTUAL_BASICA+MUTUAL_ADIC+SANNA),0))</f>
        <v/>
      </c>
      <c r="AE979" s="71" t="str">
        <f aca="false">IF(AH979="","",P979-N(N979)+AB979+AC979+AD979)</f>
        <v/>
      </c>
      <c r="AF979" s="65"/>
      <c r="AG979" s="64"/>
      <c r="AH979" s="72" t="str">
        <f aca="false">IF(OR(B979="",C979=""),"",C979&amp;"|"&amp;(YEAR(B979)*100+MONTH(B979)))</f>
        <v/>
      </c>
      <c r="AI979" s="70" t="str">
        <f aca="false">IF(AH979="","",IF(COUNTIF(L_CLAVE,AH979)&gt;1,"⚠ Duplicado","OK"))</f>
        <v/>
      </c>
      <c r="AJ979" s="86" t="str">
        <f aca="false">IF(AH979="","",IF(SUMPRODUCT(MAX((IND_PER&lt;=B979)*(IND_UF&lt;&gt;"")*IND_PER))=0,UF_HOY,INDEX(IND_UF,MATCH(SUMPRODUCT(MAX((IND_PER&lt;=B979)*(IND_UF&lt;&gt;"")*IND_PER)),IND_PER,0))))</f>
        <v/>
      </c>
      <c r="AK979" s="87" t="str">
        <f aca="false">IF(AH979="","",IF(COUNTIF(TASA_DESDE,"&lt;="&amp;B979)=0,INDEX(TASA_EMP,1),INDEX(TASA_EMP,COUNTIF(TASA_DESDE,"&lt;="&amp;B979))))</f>
        <v/>
      </c>
    </row>
    <row r="980" customFormat="false" ht="15" hidden="false" customHeight="false" outlineLevel="0" collapsed="false">
      <c r="B980" s="78"/>
      <c r="C980" s="64"/>
      <c r="D980" s="72" t="str">
        <f aca="false">IF(C980="","",IFERROR(INDEX(T_NOMBRE,MATCH(C980,T_ID,0)),"⚠ ID no existe"))</f>
        <v/>
      </c>
      <c r="E980" s="69"/>
      <c r="F980" s="67"/>
      <c r="G980" s="67"/>
      <c r="H980" s="67"/>
      <c r="I980" s="67"/>
      <c r="J980" s="67"/>
      <c r="K980" s="85" t="str">
        <f aca="false">IF(AH980="","",N(F980)+N(G980)+N(H980)-N(I980)+N(J980))</f>
        <v/>
      </c>
      <c r="L980" s="67"/>
      <c r="M980" s="67"/>
      <c r="N980" s="67"/>
      <c r="O980" s="67"/>
      <c r="P980" s="85" t="str">
        <f aca="false">IF(AH980="","",K980+N(L980)+N(M980)+N(N980)+N(O980))</f>
        <v/>
      </c>
      <c r="Q980" s="67"/>
      <c r="R980" s="67"/>
      <c r="S980" s="67"/>
      <c r="T980" s="67"/>
      <c r="U980" s="67"/>
      <c r="V980" s="67"/>
      <c r="W980" s="85" t="str">
        <f aca="false">IF(AH980="","",N(Q980)+N(R980)+N(S980)+N(T980)+N(U980)+N(V980))</f>
        <v/>
      </c>
      <c r="X980" s="85" t="str">
        <f aca="false">IF(AH980="","",P980-W980)</f>
        <v/>
      </c>
      <c r="Y980" s="67"/>
      <c r="Z980" s="70" t="str">
        <f aca="false">IF(OR(AH980="",Y980=""),"",IF(ABS(X980-Y980)&lt;=1,"✓ Cuadra","⚠ Diferencia $"&amp;FIXED(X980-Y980,0)))</f>
        <v/>
      </c>
      <c r="AA980" s="72" t="str">
        <f aca="false">IF(AH980="","",IFERROR(INDEX(C_TIPO,MATCH(C980&amp;"-P"&amp;MAX(1,COUNTIFS(C_ID,C980,C_DEFINE,"Sí",C_INICIO,"&lt;="&amp;EOMONTH(B980,0))),C_CLAVE,0))&amp;"","Sin dato"))</f>
        <v/>
      </c>
      <c r="AB980" s="71" t="str">
        <f aca="false">IF(AH980="","",ROUND(MIN(K980,TOPE_AFP_UF*AJ980)*AK980,0))</f>
        <v/>
      </c>
      <c r="AC980" s="71" t="str">
        <f aca="false">IF(AH980="","",ROUND(MIN(K980,TOPE_AFC_UF*AJ980)*IF(AA980="Indefinido",AFC_EMP_INDEF,AFC_EMP_PF),0))</f>
        <v/>
      </c>
      <c r="AD980" s="71" t="str">
        <f aca="false">IF(AH980="","",ROUND(MIN(K980,TOPE_AFP_UF*AJ980)*(MUTUAL_BASICA+MUTUAL_ADIC+SANNA),0))</f>
        <v/>
      </c>
      <c r="AE980" s="71" t="str">
        <f aca="false">IF(AH980="","",P980-N(N980)+AB980+AC980+AD980)</f>
        <v/>
      </c>
      <c r="AF980" s="65"/>
      <c r="AG980" s="64"/>
      <c r="AH980" s="72" t="str">
        <f aca="false">IF(OR(B980="",C980=""),"",C980&amp;"|"&amp;(YEAR(B980)*100+MONTH(B980)))</f>
        <v/>
      </c>
      <c r="AI980" s="70" t="str">
        <f aca="false">IF(AH980="","",IF(COUNTIF(L_CLAVE,AH980)&gt;1,"⚠ Duplicado","OK"))</f>
        <v/>
      </c>
      <c r="AJ980" s="86" t="str">
        <f aca="false">IF(AH980="","",IF(SUMPRODUCT(MAX((IND_PER&lt;=B980)*(IND_UF&lt;&gt;"")*IND_PER))=0,UF_HOY,INDEX(IND_UF,MATCH(SUMPRODUCT(MAX((IND_PER&lt;=B980)*(IND_UF&lt;&gt;"")*IND_PER)),IND_PER,0))))</f>
        <v/>
      </c>
      <c r="AK980" s="87" t="str">
        <f aca="false">IF(AH980="","",IF(COUNTIF(TASA_DESDE,"&lt;="&amp;B980)=0,INDEX(TASA_EMP,1),INDEX(TASA_EMP,COUNTIF(TASA_DESDE,"&lt;="&amp;B980))))</f>
        <v/>
      </c>
    </row>
    <row r="981" customFormat="false" ht="15" hidden="false" customHeight="false" outlineLevel="0" collapsed="false">
      <c r="B981" s="78"/>
      <c r="C981" s="64"/>
      <c r="D981" s="72" t="str">
        <f aca="false">IF(C981="","",IFERROR(INDEX(T_NOMBRE,MATCH(C981,T_ID,0)),"⚠ ID no existe"))</f>
        <v/>
      </c>
      <c r="E981" s="69"/>
      <c r="F981" s="67"/>
      <c r="G981" s="67"/>
      <c r="H981" s="67"/>
      <c r="I981" s="67"/>
      <c r="J981" s="67"/>
      <c r="K981" s="85" t="str">
        <f aca="false">IF(AH981="","",N(F981)+N(G981)+N(H981)-N(I981)+N(J981))</f>
        <v/>
      </c>
      <c r="L981" s="67"/>
      <c r="M981" s="67"/>
      <c r="N981" s="67"/>
      <c r="O981" s="67"/>
      <c r="P981" s="85" t="str">
        <f aca="false">IF(AH981="","",K981+N(L981)+N(M981)+N(N981)+N(O981))</f>
        <v/>
      </c>
      <c r="Q981" s="67"/>
      <c r="R981" s="67"/>
      <c r="S981" s="67"/>
      <c r="T981" s="67"/>
      <c r="U981" s="67"/>
      <c r="V981" s="67"/>
      <c r="W981" s="85" t="str">
        <f aca="false">IF(AH981="","",N(Q981)+N(R981)+N(S981)+N(T981)+N(U981)+N(V981))</f>
        <v/>
      </c>
      <c r="X981" s="85" t="str">
        <f aca="false">IF(AH981="","",P981-W981)</f>
        <v/>
      </c>
      <c r="Y981" s="67"/>
      <c r="Z981" s="70" t="str">
        <f aca="false">IF(OR(AH981="",Y981=""),"",IF(ABS(X981-Y981)&lt;=1,"✓ Cuadra","⚠ Diferencia $"&amp;FIXED(X981-Y981,0)))</f>
        <v/>
      </c>
      <c r="AA981" s="72" t="str">
        <f aca="false">IF(AH981="","",IFERROR(INDEX(C_TIPO,MATCH(C981&amp;"-P"&amp;MAX(1,COUNTIFS(C_ID,C981,C_DEFINE,"Sí",C_INICIO,"&lt;="&amp;EOMONTH(B981,0))),C_CLAVE,0))&amp;"","Sin dato"))</f>
        <v/>
      </c>
      <c r="AB981" s="71" t="str">
        <f aca="false">IF(AH981="","",ROUND(MIN(K981,TOPE_AFP_UF*AJ981)*AK981,0))</f>
        <v/>
      </c>
      <c r="AC981" s="71" t="str">
        <f aca="false">IF(AH981="","",ROUND(MIN(K981,TOPE_AFC_UF*AJ981)*IF(AA981="Indefinido",AFC_EMP_INDEF,AFC_EMP_PF),0))</f>
        <v/>
      </c>
      <c r="AD981" s="71" t="str">
        <f aca="false">IF(AH981="","",ROUND(MIN(K981,TOPE_AFP_UF*AJ981)*(MUTUAL_BASICA+MUTUAL_ADIC+SANNA),0))</f>
        <v/>
      </c>
      <c r="AE981" s="71" t="str">
        <f aca="false">IF(AH981="","",P981-N(N981)+AB981+AC981+AD981)</f>
        <v/>
      </c>
      <c r="AF981" s="65"/>
      <c r="AG981" s="64"/>
      <c r="AH981" s="72" t="str">
        <f aca="false">IF(OR(B981="",C981=""),"",C981&amp;"|"&amp;(YEAR(B981)*100+MONTH(B981)))</f>
        <v/>
      </c>
      <c r="AI981" s="70" t="str">
        <f aca="false">IF(AH981="","",IF(COUNTIF(L_CLAVE,AH981)&gt;1,"⚠ Duplicado","OK"))</f>
        <v/>
      </c>
      <c r="AJ981" s="86" t="str">
        <f aca="false">IF(AH981="","",IF(SUMPRODUCT(MAX((IND_PER&lt;=B981)*(IND_UF&lt;&gt;"")*IND_PER))=0,UF_HOY,INDEX(IND_UF,MATCH(SUMPRODUCT(MAX((IND_PER&lt;=B981)*(IND_UF&lt;&gt;"")*IND_PER)),IND_PER,0))))</f>
        <v/>
      </c>
      <c r="AK981" s="87" t="str">
        <f aca="false">IF(AH981="","",IF(COUNTIF(TASA_DESDE,"&lt;="&amp;B981)=0,INDEX(TASA_EMP,1),INDEX(TASA_EMP,COUNTIF(TASA_DESDE,"&lt;="&amp;B981))))</f>
        <v/>
      </c>
    </row>
    <row r="982" customFormat="false" ht="15" hidden="false" customHeight="false" outlineLevel="0" collapsed="false">
      <c r="B982" s="78"/>
      <c r="C982" s="64"/>
      <c r="D982" s="72" t="str">
        <f aca="false">IF(C982="","",IFERROR(INDEX(T_NOMBRE,MATCH(C982,T_ID,0)),"⚠ ID no existe"))</f>
        <v/>
      </c>
      <c r="E982" s="69"/>
      <c r="F982" s="67"/>
      <c r="G982" s="67"/>
      <c r="H982" s="67"/>
      <c r="I982" s="67"/>
      <c r="J982" s="67"/>
      <c r="K982" s="85" t="str">
        <f aca="false">IF(AH982="","",N(F982)+N(G982)+N(H982)-N(I982)+N(J982))</f>
        <v/>
      </c>
      <c r="L982" s="67"/>
      <c r="M982" s="67"/>
      <c r="N982" s="67"/>
      <c r="O982" s="67"/>
      <c r="P982" s="85" t="str">
        <f aca="false">IF(AH982="","",K982+N(L982)+N(M982)+N(N982)+N(O982))</f>
        <v/>
      </c>
      <c r="Q982" s="67"/>
      <c r="R982" s="67"/>
      <c r="S982" s="67"/>
      <c r="T982" s="67"/>
      <c r="U982" s="67"/>
      <c r="V982" s="67"/>
      <c r="W982" s="85" t="str">
        <f aca="false">IF(AH982="","",N(Q982)+N(R982)+N(S982)+N(T982)+N(U982)+N(V982))</f>
        <v/>
      </c>
      <c r="X982" s="85" t="str">
        <f aca="false">IF(AH982="","",P982-W982)</f>
        <v/>
      </c>
      <c r="Y982" s="67"/>
      <c r="Z982" s="70" t="str">
        <f aca="false">IF(OR(AH982="",Y982=""),"",IF(ABS(X982-Y982)&lt;=1,"✓ Cuadra","⚠ Diferencia $"&amp;FIXED(X982-Y982,0)))</f>
        <v/>
      </c>
      <c r="AA982" s="72" t="str">
        <f aca="false">IF(AH982="","",IFERROR(INDEX(C_TIPO,MATCH(C982&amp;"-P"&amp;MAX(1,COUNTIFS(C_ID,C982,C_DEFINE,"Sí",C_INICIO,"&lt;="&amp;EOMONTH(B982,0))),C_CLAVE,0))&amp;"","Sin dato"))</f>
        <v/>
      </c>
      <c r="AB982" s="71" t="str">
        <f aca="false">IF(AH982="","",ROUND(MIN(K982,TOPE_AFP_UF*AJ982)*AK982,0))</f>
        <v/>
      </c>
      <c r="AC982" s="71" t="str">
        <f aca="false">IF(AH982="","",ROUND(MIN(K982,TOPE_AFC_UF*AJ982)*IF(AA982="Indefinido",AFC_EMP_INDEF,AFC_EMP_PF),0))</f>
        <v/>
      </c>
      <c r="AD982" s="71" t="str">
        <f aca="false">IF(AH982="","",ROUND(MIN(K982,TOPE_AFP_UF*AJ982)*(MUTUAL_BASICA+MUTUAL_ADIC+SANNA),0))</f>
        <v/>
      </c>
      <c r="AE982" s="71" t="str">
        <f aca="false">IF(AH982="","",P982-N(N982)+AB982+AC982+AD982)</f>
        <v/>
      </c>
      <c r="AF982" s="65"/>
      <c r="AG982" s="64"/>
      <c r="AH982" s="72" t="str">
        <f aca="false">IF(OR(B982="",C982=""),"",C982&amp;"|"&amp;(YEAR(B982)*100+MONTH(B982)))</f>
        <v/>
      </c>
      <c r="AI982" s="70" t="str">
        <f aca="false">IF(AH982="","",IF(COUNTIF(L_CLAVE,AH982)&gt;1,"⚠ Duplicado","OK"))</f>
        <v/>
      </c>
      <c r="AJ982" s="86" t="str">
        <f aca="false">IF(AH982="","",IF(SUMPRODUCT(MAX((IND_PER&lt;=B982)*(IND_UF&lt;&gt;"")*IND_PER))=0,UF_HOY,INDEX(IND_UF,MATCH(SUMPRODUCT(MAX((IND_PER&lt;=B982)*(IND_UF&lt;&gt;"")*IND_PER)),IND_PER,0))))</f>
        <v/>
      </c>
      <c r="AK982" s="87" t="str">
        <f aca="false">IF(AH982="","",IF(COUNTIF(TASA_DESDE,"&lt;="&amp;B982)=0,INDEX(TASA_EMP,1),INDEX(TASA_EMP,COUNTIF(TASA_DESDE,"&lt;="&amp;B982))))</f>
        <v/>
      </c>
    </row>
    <row r="983" customFormat="false" ht="15" hidden="false" customHeight="false" outlineLevel="0" collapsed="false">
      <c r="B983" s="78"/>
      <c r="C983" s="64"/>
      <c r="D983" s="72" t="str">
        <f aca="false">IF(C983="","",IFERROR(INDEX(T_NOMBRE,MATCH(C983,T_ID,0)),"⚠ ID no existe"))</f>
        <v/>
      </c>
      <c r="E983" s="69"/>
      <c r="F983" s="67"/>
      <c r="G983" s="67"/>
      <c r="H983" s="67"/>
      <c r="I983" s="67"/>
      <c r="J983" s="67"/>
      <c r="K983" s="85" t="str">
        <f aca="false">IF(AH983="","",N(F983)+N(G983)+N(H983)-N(I983)+N(J983))</f>
        <v/>
      </c>
      <c r="L983" s="67"/>
      <c r="M983" s="67"/>
      <c r="N983" s="67"/>
      <c r="O983" s="67"/>
      <c r="P983" s="85" t="str">
        <f aca="false">IF(AH983="","",K983+N(L983)+N(M983)+N(N983)+N(O983))</f>
        <v/>
      </c>
      <c r="Q983" s="67"/>
      <c r="R983" s="67"/>
      <c r="S983" s="67"/>
      <c r="T983" s="67"/>
      <c r="U983" s="67"/>
      <c r="V983" s="67"/>
      <c r="W983" s="85" t="str">
        <f aca="false">IF(AH983="","",N(Q983)+N(R983)+N(S983)+N(T983)+N(U983)+N(V983))</f>
        <v/>
      </c>
      <c r="X983" s="85" t="str">
        <f aca="false">IF(AH983="","",P983-W983)</f>
        <v/>
      </c>
      <c r="Y983" s="67"/>
      <c r="Z983" s="70" t="str">
        <f aca="false">IF(OR(AH983="",Y983=""),"",IF(ABS(X983-Y983)&lt;=1,"✓ Cuadra","⚠ Diferencia $"&amp;FIXED(X983-Y983,0)))</f>
        <v/>
      </c>
      <c r="AA983" s="72" t="str">
        <f aca="false">IF(AH983="","",IFERROR(INDEX(C_TIPO,MATCH(C983&amp;"-P"&amp;MAX(1,COUNTIFS(C_ID,C983,C_DEFINE,"Sí",C_INICIO,"&lt;="&amp;EOMONTH(B983,0))),C_CLAVE,0))&amp;"","Sin dato"))</f>
        <v/>
      </c>
      <c r="AB983" s="71" t="str">
        <f aca="false">IF(AH983="","",ROUND(MIN(K983,TOPE_AFP_UF*AJ983)*AK983,0))</f>
        <v/>
      </c>
      <c r="AC983" s="71" t="str">
        <f aca="false">IF(AH983="","",ROUND(MIN(K983,TOPE_AFC_UF*AJ983)*IF(AA983="Indefinido",AFC_EMP_INDEF,AFC_EMP_PF),0))</f>
        <v/>
      </c>
      <c r="AD983" s="71" t="str">
        <f aca="false">IF(AH983="","",ROUND(MIN(K983,TOPE_AFP_UF*AJ983)*(MUTUAL_BASICA+MUTUAL_ADIC+SANNA),0))</f>
        <v/>
      </c>
      <c r="AE983" s="71" t="str">
        <f aca="false">IF(AH983="","",P983-N(N983)+AB983+AC983+AD983)</f>
        <v/>
      </c>
      <c r="AF983" s="65"/>
      <c r="AG983" s="64"/>
      <c r="AH983" s="72" t="str">
        <f aca="false">IF(OR(B983="",C983=""),"",C983&amp;"|"&amp;(YEAR(B983)*100+MONTH(B983)))</f>
        <v/>
      </c>
      <c r="AI983" s="70" t="str">
        <f aca="false">IF(AH983="","",IF(COUNTIF(L_CLAVE,AH983)&gt;1,"⚠ Duplicado","OK"))</f>
        <v/>
      </c>
      <c r="AJ983" s="86" t="str">
        <f aca="false">IF(AH983="","",IF(SUMPRODUCT(MAX((IND_PER&lt;=B983)*(IND_UF&lt;&gt;"")*IND_PER))=0,UF_HOY,INDEX(IND_UF,MATCH(SUMPRODUCT(MAX((IND_PER&lt;=B983)*(IND_UF&lt;&gt;"")*IND_PER)),IND_PER,0))))</f>
        <v/>
      </c>
      <c r="AK983" s="87" t="str">
        <f aca="false">IF(AH983="","",IF(COUNTIF(TASA_DESDE,"&lt;="&amp;B983)=0,INDEX(TASA_EMP,1),INDEX(TASA_EMP,COUNTIF(TASA_DESDE,"&lt;="&amp;B983))))</f>
        <v/>
      </c>
    </row>
    <row r="984" customFormat="false" ht="15" hidden="false" customHeight="false" outlineLevel="0" collapsed="false">
      <c r="B984" s="78"/>
      <c r="C984" s="64"/>
      <c r="D984" s="72" t="str">
        <f aca="false">IF(C984="","",IFERROR(INDEX(T_NOMBRE,MATCH(C984,T_ID,0)),"⚠ ID no existe"))</f>
        <v/>
      </c>
      <c r="E984" s="69"/>
      <c r="F984" s="67"/>
      <c r="G984" s="67"/>
      <c r="H984" s="67"/>
      <c r="I984" s="67"/>
      <c r="J984" s="67"/>
      <c r="K984" s="85" t="str">
        <f aca="false">IF(AH984="","",N(F984)+N(G984)+N(H984)-N(I984)+N(J984))</f>
        <v/>
      </c>
      <c r="L984" s="67"/>
      <c r="M984" s="67"/>
      <c r="N984" s="67"/>
      <c r="O984" s="67"/>
      <c r="P984" s="85" t="str">
        <f aca="false">IF(AH984="","",K984+N(L984)+N(M984)+N(N984)+N(O984))</f>
        <v/>
      </c>
      <c r="Q984" s="67"/>
      <c r="R984" s="67"/>
      <c r="S984" s="67"/>
      <c r="T984" s="67"/>
      <c r="U984" s="67"/>
      <c r="V984" s="67"/>
      <c r="W984" s="85" t="str">
        <f aca="false">IF(AH984="","",N(Q984)+N(R984)+N(S984)+N(T984)+N(U984)+N(V984))</f>
        <v/>
      </c>
      <c r="X984" s="85" t="str">
        <f aca="false">IF(AH984="","",P984-W984)</f>
        <v/>
      </c>
      <c r="Y984" s="67"/>
      <c r="Z984" s="70" t="str">
        <f aca="false">IF(OR(AH984="",Y984=""),"",IF(ABS(X984-Y984)&lt;=1,"✓ Cuadra","⚠ Diferencia $"&amp;FIXED(X984-Y984,0)))</f>
        <v/>
      </c>
      <c r="AA984" s="72" t="str">
        <f aca="false">IF(AH984="","",IFERROR(INDEX(C_TIPO,MATCH(C984&amp;"-P"&amp;MAX(1,COUNTIFS(C_ID,C984,C_DEFINE,"Sí",C_INICIO,"&lt;="&amp;EOMONTH(B984,0))),C_CLAVE,0))&amp;"","Sin dato"))</f>
        <v/>
      </c>
      <c r="AB984" s="71" t="str">
        <f aca="false">IF(AH984="","",ROUND(MIN(K984,TOPE_AFP_UF*AJ984)*AK984,0))</f>
        <v/>
      </c>
      <c r="AC984" s="71" t="str">
        <f aca="false">IF(AH984="","",ROUND(MIN(K984,TOPE_AFC_UF*AJ984)*IF(AA984="Indefinido",AFC_EMP_INDEF,AFC_EMP_PF),0))</f>
        <v/>
      </c>
      <c r="AD984" s="71" t="str">
        <f aca="false">IF(AH984="","",ROUND(MIN(K984,TOPE_AFP_UF*AJ984)*(MUTUAL_BASICA+MUTUAL_ADIC+SANNA),0))</f>
        <v/>
      </c>
      <c r="AE984" s="71" t="str">
        <f aca="false">IF(AH984="","",P984-N(N984)+AB984+AC984+AD984)</f>
        <v/>
      </c>
      <c r="AF984" s="65"/>
      <c r="AG984" s="64"/>
      <c r="AH984" s="72" t="str">
        <f aca="false">IF(OR(B984="",C984=""),"",C984&amp;"|"&amp;(YEAR(B984)*100+MONTH(B984)))</f>
        <v/>
      </c>
      <c r="AI984" s="70" t="str">
        <f aca="false">IF(AH984="","",IF(COUNTIF(L_CLAVE,AH984)&gt;1,"⚠ Duplicado","OK"))</f>
        <v/>
      </c>
      <c r="AJ984" s="86" t="str">
        <f aca="false">IF(AH984="","",IF(SUMPRODUCT(MAX((IND_PER&lt;=B984)*(IND_UF&lt;&gt;"")*IND_PER))=0,UF_HOY,INDEX(IND_UF,MATCH(SUMPRODUCT(MAX((IND_PER&lt;=B984)*(IND_UF&lt;&gt;"")*IND_PER)),IND_PER,0))))</f>
        <v/>
      </c>
      <c r="AK984" s="87" t="str">
        <f aca="false">IF(AH984="","",IF(COUNTIF(TASA_DESDE,"&lt;="&amp;B984)=0,INDEX(TASA_EMP,1),INDEX(TASA_EMP,COUNTIF(TASA_DESDE,"&lt;="&amp;B984))))</f>
        <v/>
      </c>
    </row>
    <row r="985" customFormat="false" ht="15" hidden="false" customHeight="false" outlineLevel="0" collapsed="false">
      <c r="B985" s="78"/>
      <c r="C985" s="64"/>
      <c r="D985" s="72" t="str">
        <f aca="false">IF(C985="","",IFERROR(INDEX(T_NOMBRE,MATCH(C985,T_ID,0)),"⚠ ID no existe"))</f>
        <v/>
      </c>
      <c r="E985" s="69"/>
      <c r="F985" s="67"/>
      <c r="G985" s="67"/>
      <c r="H985" s="67"/>
      <c r="I985" s="67"/>
      <c r="J985" s="67"/>
      <c r="K985" s="85" t="str">
        <f aca="false">IF(AH985="","",N(F985)+N(G985)+N(H985)-N(I985)+N(J985))</f>
        <v/>
      </c>
      <c r="L985" s="67"/>
      <c r="M985" s="67"/>
      <c r="N985" s="67"/>
      <c r="O985" s="67"/>
      <c r="P985" s="85" t="str">
        <f aca="false">IF(AH985="","",K985+N(L985)+N(M985)+N(N985)+N(O985))</f>
        <v/>
      </c>
      <c r="Q985" s="67"/>
      <c r="R985" s="67"/>
      <c r="S985" s="67"/>
      <c r="T985" s="67"/>
      <c r="U985" s="67"/>
      <c r="V985" s="67"/>
      <c r="W985" s="85" t="str">
        <f aca="false">IF(AH985="","",N(Q985)+N(R985)+N(S985)+N(T985)+N(U985)+N(V985))</f>
        <v/>
      </c>
      <c r="X985" s="85" t="str">
        <f aca="false">IF(AH985="","",P985-W985)</f>
        <v/>
      </c>
      <c r="Y985" s="67"/>
      <c r="Z985" s="70" t="str">
        <f aca="false">IF(OR(AH985="",Y985=""),"",IF(ABS(X985-Y985)&lt;=1,"✓ Cuadra","⚠ Diferencia $"&amp;FIXED(X985-Y985,0)))</f>
        <v/>
      </c>
      <c r="AA985" s="72" t="str">
        <f aca="false">IF(AH985="","",IFERROR(INDEX(C_TIPO,MATCH(C985&amp;"-P"&amp;MAX(1,COUNTIFS(C_ID,C985,C_DEFINE,"Sí",C_INICIO,"&lt;="&amp;EOMONTH(B985,0))),C_CLAVE,0))&amp;"","Sin dato"))</f>
        <v/>
      </c>
      <c r="AB985" s="71" t="str">
        <f aca="false">IF(AH985="","",ROUND(MIN(K985,TOPE_AFP_UF*AJ985)*AK985,0))</f>
        <v/>
      </c>
      <c r="AC985" s="71" t="str">
        <f aca="false">IF(AH985="","",ROUND(MIN(K985,TOPE_AFC_UF*AJ985)*IF(AA985="Indefinido",AFC_EMP_INDEF,AFC_EMP_PF),0))</f>
        <v/>
      </c>
      <c r="AD985" s="71" t="str">
        <f aca="false">IF(AH985="","",ROUND(MIN(K985,TOPE_AFP_UF*AJ985)*(MUTUAL_BASICA+MUTUAL_ADIC+SANNA),0))</f>
        <v/>
      </c>
      <c r="AE985" s="71" t="str">
        <f aca="false">IF(AH985="","",P985-N(N985)+AB985+AC985+AD985)</f>
        <v/>
      </c>
      <c r="AF985" s="65"/>
      <c r="AG985" s="64"/>
      <c r="AH985" s="72" t="str">
        <f aca="false">IF(OR(B985="",C985=""),"",C985&amp;"|"&amp;(YEAR(B985)*100+MONTH(B985)))</f>
        <v/>
      </c>
      <c r="AI985" s="70" t="str">
        <f aca="false">IF(AH985="","",IF(COUNTIF(L_CLAVE,AH985)&gt;1,"⚠ Duplicado","OK"))</f>
        <v/>
      </c>
      <c r="AJ985" s="86" t="str">
        <f aca="false">IF(AH985="","",IF(SUMPRODUCT(MAX((IND_PER&lt;=B985)*(IND_UF&lt;&gt;"")*IND_PER))=0,UF_HOY,INDEX(IND_UF,MATCH(SUMPRODUCT(MAX((IND_PER&lt;=B985)*(IND_UF&lt;&gt;"")*IND_PER)),IND_PER,0))))</f>
        <v/>
      </c>
      <c r="AK985" s="87" t="str">
        <f aca="false">IF(AH985="","",IF(COUNTIF(TASA_DESDE,"&lt;="&amp;B985)=0,INDEX(TASA_EMP,1),INDEX(TASA_EMP,COUNTIF(TASA_DESDE,"&lt;="&amp;B985))))</f>
        <v/>
      </c>
    </row>
    <row r="986" customFormat="false" ht="15" hidden="false" customHeight="false" outlineLevel="0" collapsed="false">
      <c r="B986" s="78"/>
      <c r="C986" s="64"/>
      <c r="D986" s="72" t="str">
        <f aca="false">IF(C986="","",IFERROR(INDEX(T_NOMBRE,MATCH(C986,T_ID,0)),"⚠ ID no existe"))</f>
        <v/>
      </c>
      <c r="E986" s="69"/>
      <c r="F986" s="67"/>
      <c r="G986" s="67"/>
      <c r="H986" s="67"/>
      <c r="I986" s="67"/>
      <c r="J986" s="67"/>
      <c r="K986" s="85" t="str">
        <f aca="false">IF(AH986="","",N(F986)+N(G986)+N(H986)-N(I986)+N(J986))</f>
        <v/>
      </c>
      <c r="L986" s="67"/>
      <c r="M986" s="67"/>
      <c r="N986" s="67"/>
      <c r="O986" s="67"/>
      <c r="P986" s="85" t="str">
        <f aca="false">IF(AH986="","",K986+N(L986)+N(M986)+N(N986)+N(O986))</f>
        <v/>
      </c>
      <c r="Q986" s="67"/>
      <c r="R986" s="67"/>
      <c r="S986" s="67"/>
      <c r="T986" s="67"/>
      <c r="U986" s="67"/>
      <c r="V986" s="67"/>
      <c r="W986" s="85" t="str">
        <f aca="false">IF(AH986="","",N(Q986)+N(R986)+N(S986)+N(T986)+N(U986)+N(V986))</f>
        <v/>
      </c>
      <c r="X986" s="85" t="str">
        <f aca="false">IF(AH986="","",P986-W986)</f>
        <v/>
      </c>
      <c r="Y986" s="67"/>
      <c r="Z986" s="70" t="str">
        <f aca="false">IF(OR(AH986="",Y986=""),"",IF(ABS(X986-Y986)&lt;=1,"✓ Cuadra","⚠ Diferencia $"&amp;FIXED(X986-Y986,0)))</f>
        <v/>
      </c>
      <c r="AA986" s="72" t="str">
        <f aca="false">IF(AH986="","",IFERROR(INDEX(C_TIPO,MATCH(C986&amp;"-P"&amp;MAX(1,COUNTIFS(C_ID,C986,C_DEFINE,"Sí",C_INICIO,"&lt;="&amp;EOMONTH(B986,0))),C_CLAVE,0))&amp;"","Sin dato"))</f>
        <v/>
      </c>
      <c r="AB986" s="71" t="str">
        <f aca="false">IF(AH986="","",ROUND(MIN(K986,TOPE_AFP_UF*AJ986)*AK986,0))</f>
        <v/>
      </c>
      <c r="AC986" s="71" t="str">
        <f aca="false">IF(AH986="","",ROUND(MIN(K986,TOPE_AFC_UF*AJ986)*IF(AA986="Indefinido",AFC_EMP_INDEF,AFC_EMP_PF),0))</f>
        <v/>
      </c>
      <c r="AD986" s="71" t="str">
        <f aca="false">IF(AH986="","",ROUND(MIN(K986,TOPE_AFP_UF*AJ986)*(MUTUAL_BASICA+MUTUAL_ADIC+SANNA),0))</f>
        <v/>
      </c>
      <c r="AE986" s="71" t="str">
        <f aca="false">IF(AH986="","",P986-N(N986)+AB986+AC986+AD986)</f>
        <v/>
      </c>
      <c r="AF986" s="65"/>
      <c r="AG986" s="64"/>
      <c r="AH986" s="72" t="str">
        <f aca="false">IF(OR(B986="",C986=""),"",C986&amp;"|"&amp;(YEAR(B986)*100+MONTH(B986)))</f>
        <v/>
      </c>
      <c r="AI986" s="70" t="str">
        <f aca="false">IF(AH986="","",IF(COUNTIF(L_CLAVE,AH986)&gt;1,"⚠ Duplicado","OK"))</f>
        <v/>
      </c>
      <c r="AJ986" s="86" t="str">
        <f aca="false">IF(AH986="","",IF(SUMPRODUCT(MAX((IND_PER&lt;=B986)*(IND_UF&lt;&gt;"")*IND_PER))=0,UF_HOY,INDEX(IND_UF,MATCH(SUMPRODUCT(MAX((IND_PER&lt;=B986)*(IND_UF&lt;&gt;"")*IND_PER)),IND_PER,0))))</f>
        <v/>
      </c>
      <c r="AK986" s="87" t="str">
        <f aca="false">IF(AH986="","",IF(COUNTIF(TASA_DESDE,"&lt;="&amp;B986)=0,INDEX(TASA_EMP,1),INDEX(TASA_EMP,COUNTIF(TASA_DESDE,"&lt;="&amp;B986))))</f>
        <v/>
      </c>
    </row>
    <row r="987" customFormat="false" ht="15" hidden="false" customHeight="false" outlineLevel="0" collapsed="false">
      <c r="B987" s="78"/>
      <c r="C987" s="64"/>
      <c r="D987" s="72" t="str">
        <f aca="false">IF(C987="","",IFERROR(INDEX(T_NOMBRE,MATCH(C987,T_ID,0)),"⚠ ID no existe"))</f>
        <v/>
      </c>
      <c r="E987" s="69"/>
      <c r="F987" s="67"/>
      <c r="G987" s="67"/>
      <c r="H987" s="67"/>
      <c r="I987" s="67"/>
      <c r="J987" s="67"/>
      <c r="K987" s="85" t="str">
        <f aca="false">IF(AH987="","",N(F987)+N(G987)+N(H987)-N(I987)+N(J987))</f>
        <v/>
      </c>
      <c r="L987" s="67"/>
      <c r="M987" s="67"/>
      <c r="N987" s="67"/>
      <c r="O987" s="67"/>
      <c r="P987" s="85" t="str">
        <f aca="false">IF(AH987="","",K987+N(L987)+N(M987)+N(N987)+N(O987))</f>
        <v/>
      </c>
      <c r="Q987" s="67"/>
      <c r="R987" s="67"/>
      <c r="S987" s="67"/>
      <c r="T987" s="67"/>
      <c r="U987" s="67"/>
      <c r="V987" s="67"/>
      <c r="W987" s="85" t="str">
        <f aca="false">IF(AH987="","",N(Q987)+N(R987)+N(S987)+N(T987)+N(U987)+N(V987))</f>
        <v/>
      </c>
      <c r="X987" s="85" t="str">
        <f aca="false">IF(AH987="","",P987-W987)</f>
        <v/>
      </c>
      <c r="Y987" s="67"/>
      <c r="Z987" s="70" t="str">
        <f aca="false">IF(OR(AH987="",Y987=""),"",IF(ABS(X987-Y987)&lt;=1,"✓ Cuadra","⚠ Diferencia $"&amp;FIXED(X987-Y987,0)))</f>
        <v/>
      </c>
      <c r="AA987" s="72" t="str">
        <f aca="false">IF(AH987="","",IFERROR(INDEX(C_TIPO,MATCH(C987&amp;"-P"&amp;MAX(1,COUNTIFS(C_ID,C987,C_DEFINE,"Sí",C_INICIO,"&lt;="&amp;EOMONTH(B987,0))),C_CLAVE,0))&amp;"","Sin dato"))</f>
        <v/>
      </c>
      <c r="AB987" s="71" t="str">
        <f aca="false">IF(AH987="","",ROUND(MIN(K987,TOPE_AFP_UF*AJ987)*AK987,0))</f>
        <v/>
      </c>
      <c r="AC987" s="71" t="str">
        <f aca="false">IF(AH987="","",ROUND(MIN(K987,TOPE_AFC_UF*AJ987)*IF(AA987="Indefinido",AFC_EMP_INDEF,AFC_EMP_PF),0))</f>
        <v/>
      </c>
      <c r="AD987" s="71" t="str">
        <f aca="false">IF(AH987="","",ROUND(MIN(K987,TOPE_AFP_UF*AJ987)*(MUTUAL_BASICA+MUTUAL_ADIC+SANNA),0))</f>
        <v/>
      </c>
      <c r="AE987" s="71" t="str">
        <f aca="false">IF(AH987="","",P987-N(N987)+AB987+AC987+AD987)</f>
        <v/>
      </c>
      <c r="AF987" s="65"/>
      <c r="AG987" s="64"/>
      <c r="AH987" s="72" t="str">
        <f aca="false">IF(OR(B987="",C987=""),"",C987&amp;"|"&amp;(YEAR(B987)*100+MONTH(B987)))</f>
        <v/>
      </c>
      <c r="AI987" s="70" t="str">
        <f aca="false">IF(AH987="","",IF(COUNTIF(L_CLAVE,AH987)&gt;1,"⚠ Duplicado","OK"))</f>
        <v/>
      </c>
      <c r="AJ987" s="86" t="str">
        <f aca="false">IF(AH987="","",IF(SUMPRODUCT(MAX((IND_PER&lt;=B987)*(IND_UF&lt;&gt;"")*IND_PER))=0,UF_HOY,INDEX(IND_UF,MATCH(SUMPRODUCT(MAX((IND_PER&lt;=B987)*(IND_UF&lt;&gt;"")*IND_PER)),IND_PER,0))))</f>
        <v/>
      </c>
      <c r="AK987" s="87" t="str">
        <f aca="false">IF(AH987="","",IF(COUNTIF(TASA_DESDE,"&lt;="&amp;B987)=0,INDEX(TASA_EMP,1),INDEX(TASA_EMP,COUNTIF(TASA_DESDE,"&lt;="&amp;B987))))</f>
        <v/>
      </c>
    </row>
    <row r="988" customFormat="false" ht="15" hidden="false" customHeight="false" outlineLevel="0" collapsed="false">
      <c r="B988" s="78"/>
      <c r="C988" s="64"/>
      <c r="D988" s="72" t="str">
        <f aca="false">IF(C988="","",IFERROR(INDEX(T_NOMBRE,MATCH(C988,T_ID,0)),"⚠ ID no existe"))</f>
        <v/>
      </c>
      <c r="E988" s="69"/>
      <c r="F988" s="67"/>
      <c r="G988" s="67"/>
      <c r="H988" s="67"/>
      <c r="I988" s="67"/>
      <c r="J988" s="67"/>
      <c r="K988" s="85" t="str">
        <f aca="false">IF(AH988="","",N(F988)+N(G988)+N(H988)-N(I988)+N(J988))</f>
        <v/>
      </c>
      <c r="L988" s="67"/>
      <c r="M988" s="67"/>
      <c r="N988" s="67"/>
      <c r="O988" s="67"/>
      <c r="P988" s="85" t="str">
        <f aca="false">IF(AH988="","",K988+N(L988)+N(M988)+N(N988)+N(O988))</f>
        <v/>
      </c>
      <c r="Q988" s="67"/>
      <c r="R988" s="67"/>
      <c r="S988" s="67"/>
      <c r="T988" s="67"/>
      <c r="U988" s="67"/>
      <c r="V988" s="67"/>
      <c r="W988" s="85" t="str">
        <f aca="false">IF(AH988="","",N(Q988)+N(R988)+N(S988)+N(T988)+N(U988)+N(V988))</f>
        <v/>
      </c>
      <c r="X988" s="85" t="str">
        <f aca="false">IF(AH988="","",P988-W988)</f>
        <v/>
      </c>
      <c r="Y988" s="67"/>
      <c r="Z988" s="70" t="str">
        <f aca="false">IF(OR(AH988="",Y988=""),"",IF(ABS(X988-Y988)&lt;=1,"✓ Cuadra","⚠ Diferencia $"&amp;FIXED(X988-Y988,0)))</f>
        <v/>
      </c>
      <c r="AA988" s="72" t="str">
        <f aca="false">IF(AH988="","",IFERROR(INDEX(C_TIPO,MATCH(C988&amp;"-P"&amp;MAX(1,COUNTIFS(C_ID,C988,C_DEFINE,"Sí",C_INICIO,"&lt;="&amp;EOMONTH(B988,0))),C_CLAVE,0))&amp;"","Sin dato"))</f>
        <v/>
      </c>
      <c r="AB988" s="71" t="str">
        <f aca="false">IF(AH988="","",ROUND(MIN(K988,TOPE_AFP_UF*AJ988)*AK988,0))</f>
        <v/>
      </c>
      <c r="AC988" s="71" t="str">
        <f aca="false">IF(AH988="","",ROUND(MIN(K988,TOPE_AFC_UF*AJ988)*IF(AA988="Indefinido",AFC_EMP_INDEF,AFC_EMP_PF),0))</f>
        <v/>
      </c>
      <c r="AD988" s="71" t="str">
        <f aca="false">IF(AH988="","",ROUND(MIN(K988,TOPE_AFP_UF*AJ988)*(MUTUAL_BASICA+MUTUAL_ADIC+SANNA),0))</f>
        <v/>
      </c>
      <c r="AE988" s="71" t="str">
        <f aca="false">IF(AH988="","",P988-N(N988)+AB988+AC988+AD988)</f>
        <v/>
      </c>
      <c r="AF988" s="65"/>
      <c r="AG988" s="64"/>
      <c r="AH988" s="72" t="str">
        <f aca="false">IF(OR(B988="",C988=""),"",C988&amp;"|"&amp;(YEAR(B988)*100+MONTH(B988)))</f>
        <v/>
      </c>
      <c r="AI988" s="70" t="str">
        <f aca="false">IF(AH988="","",IF(COUNTIF(L_CLAVE,AH988)&gt;1,"⚠ Duplicado","OK"))</f>
        <v/>
      </c>
      <c r="AJ988" s="86" t="str">
        <f aca="false">IF(AH988="","",IF(SUMPRODUCT(MAX((IND_PER&lt;=B988)*(IND_UF&lt;&gt;"")*IND_PER))=0,UF_HOY,INDEX(IND_UF,MATCH(SUMPRODUCT(MAX((IND_PER&lt;=B988)*(IND_UF&lt;&gt;"")*IND_PER)),IND_PER,0))))</f>
        <v/>
      </c>
      <c r="AK988" s="87" t="str">
        <f aca="false">IF(AH988="","",IF(COUNTIF(TASA_DESDE,"&lt;="&amp;B988)=0,INDEX(TASA_EMP,1),INDEX(TASA_EMP,COUNTIF(TASA_DESDE,"&lt;="&amp;B988))))</f>
        <v/>
      </c>
    </row>
    <row r="989" customFormat="false" ht="15" hidden="false" customHeight="false" outlineLevel="0" collapsed="false">
      <c r="B989" s="78"/>
      <c r="C989" s="64"/>
      <c r="D989" s="72" t="str">
        <f aca="false">IF(C989="","",IFERROR(INDEX(T_NOMBRE,MATCH(C989,T_ID,0)),"⚠ ID no existe"))</f>
        <v/>
      </c>
      <c r="E989" s="69"/>
      <c r="F989" s="67"/>
      <c r="G989" s="67"/>
      <c r="H989" s="67"/>
      <c r="I989" s="67"/>
      <c r="J989" s="67"/>
      <c r="K989" s="85" t="str">
        <f aca="false">IF(AH989="","",N(F989)+N(G989)+N(H989)-N(I989)+N(J989))</f>
        <v/>
      </c>
      <c r="L989" s="67"/>
      <c r="M989" s="67"/>
      <c r="N989" s="67"/>
      <c r="O989" s="67"/>
      <c r="P989" s="85" t="str">
        <f aca="false">IF(AH989="","",K989+N(L989)+N(M989)+N(N989)+N(O989))</f>
        <v/>
      </c>
      <c r="Q989" s="67"/>
      <c r="R989" s="67"/>
      <c r="S989" s="67"/>
      <c r="T989" s="67"/>
      <c r="U989" s="67"/>
      <c r="V989" s="67"/>
      <c r="W989" s="85" t="str">
        <f aca="false">IF(AH989="","",N(Q989)+N(R989)+N(S989)+N(T989)+N(U989)+N(V989))</f>
        <v/>
      </c>
      <c r="X989" s="85" t="str">
        <f aca="false">IF(AH989="","",P989-W989)</f>
        <v/>
      </c>
      <c r="Y989" s="67"/>
      <c r="Z989" s="70" t="str">
        <f aca="false">IF(OR(AH989="",Y989=""),"",IF(ABS(X989-Y989)&lt;=1,"✓ Cuadra","⚠ Diferencia $"&amp;FIXED(X989-Y989,0)))</f>
        <v/>
      </c>
      <c r="AA989" s="72" t="str">
        <f aca="false">IF(AH989="","",IFERROR(INDEX(C_TIPO,MATCH(C989&amp;"-P"&amp;MAX(1,COUNTIFS(C_ID,C989,C_DEFINE,"Sí",C_INICIO,"&lt;="&amp;EOMONTH(B989,0))),C_CLAVE,0))&amp;"","Sin dato"))</f>
        <v/>
      </c>
      <c r="AB989" s="71" t="str">
        <f aca="false">IF(AH989="","",ROUND(MIN(K989,TOPE_AFP_UF*AJ989)*AK989,0))</f>
        <v/>
      </c>
      <c r="AC989" s="71" t="str">
        <f aca="false">IF(AH989="","",ROUND(MIN(K989,TOPE_AFC_UF*AJ989)*IF(AA989="Indefinido",AFC_EMP_INDEF,AFC_EMP_PF),0))</f>
        <v/>
      </c>
      <c r="AD989" s="71" t="str">
        <f aca="false">IF(AH989="","",ROUND(MIN(K989,TOPE_AFP_UF*AJ989)*(MUTUAL_BASICA+MUTUAL_ADIC+SANNA),0))</f>
        <v/>
      </c>
      <c r="AE989" s="71" t="str">
        <f aca="false">IF(AH989="","",P989-N(N989)+AB989+AC989+AD989)</f>
        <v/>
      </c>
      <c r="AF989" s="65"/>
      <c r="AG989" s="64"/>
      <c r="AH989" s="72" t="str">
        <f aca="false">IF(OR(B989="",C989=""),"",C989&amp;"|"&amp;(YEAR(B989)*100+MONTH(B989)))</f>
        <v/>
      </c>
      <c r="AI989" s="70" t="str">
        <f aca="false">IF(AH989="","",IF(COUNTIF(L_CLAVE,AH989)&gt;1,"⚠ Duplicado","OK"))</f>
        <v/>
      </c>
      <c r="AJ989" s="86" t="str">
        <f aca="false">IF(AH989="","",IF(SUMPRODUCT(MAX((IND_PER&lt;=B989)*(IND_UF&lt;&gt;"")*IND_PER))=0,UF_HOY,INDEX(IND_UF,MATCH(SUMPRODUCT(MAX((IND_PER&lt;=B989)*(IND_UF&lt;&gt;"")*IND_PER)),IND_PER,0))))</f>
        <v/>
      </c>
      <c r="AK989" s="87" t="str">
        <f aca="false">IF(AH989="","",IF(COUNTIF(TASA_DESDE,"&lt;="&amp;B989)=0,INDEX(TASA_EMP,1),INDEX(TASA_EMP,COUNTIF(TASA_DESDE,"&lt;="&amp;B989))))</f>
        <v/>
      </c>
    </row>
    <row r="990" customFormat="false" ht="15" hidden="false" customHeight="false" outlineLevel="0" collapsed="false">
      <c r="B990" s="78"/>
      <c r="C990" s="64"/>
      <c r="D990" s="72" t="str">
        <f aca="false">IF(C990="","",IFERROR(INDEX(T_NOMBRE,MATCH(C990,T_ID,0)),"⚠ ID no existe"))</f>
        <v/>
      </c>
      <c r="E990" s="69"/>
      <c r="F990" s="67"/>
      <c r="G990" s="67"/>
      <c r="H990" s="67"/>
      <c r="I990" s="67"/>
      <c r="J990" s="67"/>
      <c r="K990" s="85" t="str">
        <f aca="false">IF(AH990="","",N(F990)+N(G990)+N(H990)-N(I990)+N(J990))</f>
        <v/>
      </c>
      <c r="L990" s="67"/>
      <c r="M990" s="67"/>
      <c r="N990" s="67"/>
      <c r="O990" s="67"/>
      <c r="P990" s="85" t="str">
        <f aca="false">IF(AH990="","",K990+N(L990)+N(M990)+N(N990)+N(O990))</f>
        <v/>
      </c>
      <c r="Q990" s="67"/>
      <c r="R990" s="67"/>
      <c r="S990" s="67"/>
      <c r="T990" s="67"/>
      <c r="U990" s="67"/>
      <c r="V990" s="67"/>
      <c r="W990" s="85" t="str">
        <f aca="false">IF(AH990="","",N(Q990)+N(R990)+N(S990)+N(T990)+N(U990)+N(V990))</f>
        <v/>
      </c>
      <c r="X990" s="85" t="str">
        <f aca="false">IF(AH990="","",P990-W990)</f>
        <v/>
      </c>
      <c r="Y990" s="67"/>
      <c r="Z990" s="70" t="str">
        <f aca="false">IF(OR(AH990="",Y990=""),"",IF(ABS(X990-Y990)&lt;=1,"✓ Cuadra","⚠ Diferencia $"&amp;FIXED(X990-Y990,0)))</f>
        <v/>
      </c>
      <c r="AA990" s="72" t="str">
        <f aca="false">IF(AH990="","",IFERROR(INDEX(C_TIPO,MATCH(C990&amp;"-P"&amp;MAX(1,COUNTIFS(C_ID,C990,C_DEFINE,"Sí",C_INICIO,"&lt;="&amp;EOMONTH(B990,0))),C_CLAVE,0))&amp;"","Sin dato"))</f>
        <v/>
      </c>
      <c r="AB990" s="71" t="str">
        <f aca="false">IF(AH990="","",ROUND(MIN(K990,TOPE_AFP_UF*AJ990)*AK990,0))</f>
        <v/>
      </c>
      <c r="AC990" s="71" t="str">
        <f aca="false">IF(AH990="","",ROUND(MIN(K990,TOPE_AFC_UF*AJ990)*IF(AA990="Indefinido",AFC_EMP_INDEF,AFC_EMP_PF),0))</f>
        <v/>
      </c>
      <c r="AD990" s="71" t="str">
        <f aca="false">IF(AH990="","",ROUND(MIN(K990,TOPE_AFP_UF*AJ990)*(MUTUAL_BASICA+MUTUAL_ADIC+SANNA),0))</f>
        <v/>
      </c>
      <c r="AE990" s="71" t="str">
        <f aca="false">IF(AH990="","",P990-N(N990)+AB990+AC990+AD990)</f>
        <v/>
      </c>
      <c r="AF990" s="65"/>
      <c r="AG990" s="64"/>
      <c r="AH990" s="72" t="str">
        <f aca="false">IF(OR(B990="",C990=""),"",C990&amp;"|"&amp;(YEAR(B990)*100+MONTH(B990)))</f>
        <v/>
      </c>
      <c r="AI990" s="70" t="str">
        <f aca="false">IF(AH990="","",IF(COUNTIF(L_CLAVE,AH990)&gt;1,"⚠ Duplicado","OK"))</f>
        <v/>
      </c>
      <c r="AJ990" s="86" t="str">
        <f aca="false">IF(AH990="","",IF(SUMPRODUCT(MAX((IND_PER&lt;=B990)*(IND_UF&lt;&gt;"")*IND_PER))=0,UF_HOY,INDEX(IND_UF,MATCH(SUMPRODUCT(MAX((IND_PER&lt;=B990)*(IND_UF&lt;&gt;"")*IND_PER)),IND_PER,0))))</f>
        <v/>
      </c>
      <c r="AK990" s="87" t="str">
        <f aca="false">IF(AH990="","",IF(COUNTIF(TASA_DESDE,"&lt;="&amp;B990)=0,INDEX(TASA_EMP,1),INDEX(TASA_EMP,COUNTIF(TASA_DESDE,"&lt;="&amp;B990))))</f>
        <v/>
      </c>
    </row>
    <row r="991" customFormat="false" ht="15" hidden="false" customHeight="false" outlineLevel="0" collapsed="false">
      <c r="B991" s="78"/>
      <c r="C991" s="64"/>
      <c r="D991" s="72" t="str">
        <f aca="false">IF(C991="","",IFERROR(INDEX(T_NOMBRE,MATCH(C991,T_ID,0)),"⚠ ID no existe"))</f>
        <v/>
      </c>
      <c r="E991" s="69"/>
      <c r="F991" s="67"/>
      <c r="G991" s="67"/>
      <c r="H991" s="67"/>
      <c r="I991" s="67"/>
      <c r="J991" s="67"/>
      <c r="K991" s="85" t="str">
        <f aca="false">IF(AH991="","",N(F991)+N(G991)+N(H991)-N(I991)+N(J991))</f>
        <v/>
      </c>
      <c r="L991" s="67"/>
      <c r="M991" s="67"/>
      <c r="N991" s="67"/>
      <c r="O991" s="67"/>
      <c r="P991" s="85" t="str">
        <f aca="false">IF(AH991="","",K991+N(L991)+N(M991)+N(N991)+N(O991))</f>
        <v/>
      </c>
      <c r="Q991" s="67"/>
      <c r="R991" s="67"/>
      <c r="S991" s="67"/>
      <c r="T991" s="67"/>
      <c r="U991" s="67"/>
      <c r="V991" s="67"/>
      <c r="W991" s="85" t="str">
        <f aca="false">IF(AH991="","",N(Q991)+N(R991)+N(S991)+N(T991)+N(U991)+N(V991))</f>
        <v/>
      </c>
      <c r="X991" s="85" t="str">
        <f aca="false">IF(AH991="","",P991-W991)</f>
        <v/>
      </c>
      <c r="Y991" s="67"/>
      <c r="Z991" s="70" t="str">
        <f aca="false">IF(OR(AH991="",Y991=""),"",IF(ABS(X991-Y991)&lt;=1,"✓ Cuadra","⚠ Diferencia $"&amp;FIXED(X991-Y991,0)))</f>
        <v/>
      </c>
      <c r="AA991" s="72" t="str">
        <f aca="false">IF(AH991="","",IFERROR(INDEX(C_TIPO,MATCH(C991&amp;"-P"&amp;MAX(1,COUNTIFS(C_ID,C991,C_DEFINE,"Sí",C_INICIO,"&lt;="&amp;EOMONTH(B991,0))),C_CLAVE,0))&amp;"","Sin dato"))</f>
        <v/>
      </c>
      <c r="AB991" s="71" t="str">
        <f aca="false">IF(AH991="","",ROUND(MIN(K991,TOPE_AFP_UF*AJ991)*AK991,0))</f>
        <v/>
      </c>
      <c r="AC991" s="71" t="str">
        <f aca="false">IF(AH991="","",ROUND(MIN(K991,TOPE_AFC_UF*AJ991)*IF(AA991="Indefinido",AFC_EMP_INDEF,AFC_EMP_PF),0))</f>
        <v/>
      </c>
      <c r="AD991" s="71" t="str">
        <f aca="false">IF(AH991="","",ROUND(MIN(K991,TOPE_AFP_UF*AJ991)*(MUTUAL_BASICA+MUTUAL_ADIC+SANNA),0))</f>
        <v/>
      </c>
      <c r="AE991" s="71" t="str">
        <f aca="false">IF(AH991="","",P991-N(N991)+AB991+AC991+AD991)</f>
        <v/>
      </c>
      <c r="AF991" s="65"/>
      <c r="AG991" s="64"/>
      <c r="AH991" s="72" t="str">
        <f aca="false">IF(OR(B991="",C991=""),"",C991&amp;"|"&amp;(YEAR(B991)*100+MONTH(B991)))</f>
        <v/>
      </c>
      <c r="AI991" s="70" t="str">
        <f aca="false">IF(AH991="","",IF(COUNTIF(L_CLAVE,AH991)&gt;1,"⚠ Duplicado","OK"))</f>
        <v/>
      </c>
      <c r="AJ991" s="86" t="str">
        <f aca="false">IF(AH991="","",IF(SUMPRODUCT(MAX((IND_PER&lt;=B991)*(IND_UF&lt;&gt;"")*IND_PER))=0,UF_HOY,INDEX(IND_UF,MATCH(SUMPRODUCT(MAX((IND_PER&lt;=B991)*(IND_UF&lt;&gt;"")*IND_PER)),IND_PER,0))))</f>
        <v/>
      </c>
      <c r="AK991" s="87" t="str">
        <f aca="false">IF(AH991="","",IF(COUNTIF(TASA_DESDE,"&lt;="&amp;B991)=0,INDEX(TASA_EMP,1),INDEX(TASA_EMP,COUNTIF(TASA_DESDE,"&lt;="&amp;B991))))</f>
        <v/>
      </c>
    </row>
    <row r="992" customFormat="false" ht="15" hidden="false" customHeight="false" outlineLevel="0" collapsed="false">
      <c r="B992" s="78"/>
      <c r="C992" s="64"/>
      <c r="D992" s="72" t="str">
        <f aca="false">IF(C992="","",IFERROR(INDEX(T_NOMBRE,MATCH(C992,T_ID,0)),"⚠ ID no existe"))</f>
        <v/>
      </c>
      <c r="E992" s="69"/>
      <c r="F992" s="67"/>
      <c r="G992" s="67"/>
      <c r="H992" s="67"/>
      <c r="I992" s="67"/>
      <c r="J992" s="67"/>
      <c r="K992" s="85" t="str">
        <f aca="false">IF(AH992="","",N(F992)+N(G992)+N(H992)-N(I992)+N(J992))</f>
        <v/>
      </c>
      <c r="L992" s="67"/>
      <c r="M992" s="67"/>
      <c r="N992" s="67"/>
      <c r="O992" s="67"/>
      <c r="P992" s="85" t="str">
        <f aca="false">IF(AH992="","",K992+N(L992)+N(M992)+N(N992)+N(O992))</f>
        <v/>
      </c>
      <c r="Q992" s="67"/>
      <c r="R992" s="67"/>
      <c r="S992" s="67"/>
      <c r="T992" s="67"/>
      <c r="U992" s="67"/>
      <c r="V992" s="67"/>
      <c r="W992" s="85" t="str">
        <f aca="false">IF(AH992="","",N(Q992)+N(R992)+N(S992)+N(T992)+N(U992)+N(V992))</f>
        <v/>
      </c>
      <c r="X992" s="85" t="str">
        <f aca="false">IF(AH992="","",P992-W992)</f>
        <v/>
      </c>
      <c r="Y992" s="67"/>
      <c r="Z992" s="70" t="str">
        <f aca="false">IF(OR(AH992="",Y992=""),"",IF(ABS(X992-Y992)&lt;=1,"✓ Cuadra","⚠ Diferencia $"&amp;FIXED(X992-Y992,0)))</f>
        <v/>
      </c>
      <c r="AA992" s="72" t="str">
        <f aca="false">IF(AH992="","",IFERROR(INDEX(C_TIPO,MATCH(C992&amp;"-P"&amp;MAX(1,COUNTIFS(C_ID,C992,C_DEFINE,"Sí",C_INICIO,"&lt;="&amp;EOMONTH(B992,0))),C_CLAVE,0))&amp;"","Sin dato"))</f>
        <v/>
      </c>
      <c r="AB992" s="71" t="str">
        <f aca="false">IF(AH992="","",ROUND(MIN(K992,TOPE_AFP_UF*AJ992)*AK992,0))</f>
        <v/>
      </c>
      <c r="AC992" s="71" t="str">
        <f aca="false">IF(AH992="","",ROUND(MIN(K992,TOPE_AFC_UF*AJ992)*IF(AA992="Indefinido",AFC_EMP_INDEF,AFC_EMP_PF),0))</f>
        <v/>
      </c>
      <c r="AD992" s="71" t="str">
        <f aca="false">IF(AH992="","",ROUND(MIN(K992,TOPE_AFP_UF*AJ992)*(MUTUAL_BASICA+MUTUAL_ADIC+SANNA),0))</f>
        <v/>
      </c>
      <c r="AE992" s="71" t="str">
        <f aca="false">IF(AH992="","",P992-N(N992)+AB992+AC992+AD992)</f>
        <v/>
      </c>
      <c r="AF992" s="65"/>
      <c r="AG992" s="64"/>
      <c r="AH992" s="72" t="str">
        <f aca="false">IF(OR(B992="",C992=""),"",C992&amp;"|"&amp;(YEAR(B992)*100+MONTH(B992)))</f>
        <v/>
      </c>
      <c r="AI992" s="70" t="str">
        <f aca="false">IF(AH992="","",IF(COUNTIF(L_CLAVE,AH992)&gt;1,"⚠ Duplicado","OK"))</f>
        <v/>
      </c>
      <c r="AJ992" s="86" t="str">
        <f aca="false">IF(AH992="","",IF(SUMPRODUCT(MAX((IND_PER&lt;=B992)*(IND_UF&lt;&gt;"")*IND_PER))=0,UF_HOY,INDEX(IND_UF,MATCH(SUMPRODUCT(MAX((IND_PER&lt;=B992)*(IND_UF&lt;&gt;"")*IND_PER)),IND_PER,0))))</f>
        <v/>
      </c>
      <c r="AK992" s="87" t="str">
        <f aca="false">IF(AH992="","",IF(COUNTIF(TASA_DESDE,"&lt;="&amp;B992)=0,INDEX(TASA_EMP,1),INDEX(TASA_EMP,COUNTIF(TASA_DESDE,"&lt;="&amp;B992))))</f>
        <v/>
      </c>
    </row>
    <row r="993" customFormat="false" ht="15" hidden="false" customHeight="false" outlineLevel="0" collapsed="false">
      <c r="B993" s="78"/>
      <c r="C993" s="64"/>
      <c r="D993" s="72" t="str">
        <f aca="false">IF(C993="","",IFERROR(INDEX(T_NOMBRE,MATCH(C993,T_ID,0)),"⚠ ID no existe"))</f>
        <v/>
      </c>
      <c r="E993" s="69"/>
      <c r="F993" s="67"/>
      <c r="G993" s="67"/>
      <c r="H993" s="67"/>
      <c r="I993" s="67"/>
      <c r="J993" s="67"/>
      <c r="K993" s="85" t="str">
        <f aca="false">IF(AH993="","",N(F993)+N(G993)+N(H993)-N(I993)+N(J993))</f>
        <v/>
      </c>
      <c r="L993" s="67"/>
      <c r="M993" s="67"/>
      <c r="N993" s="67"/>
      <c r="O993" s="67"/>
      <c r="P993" s="85" t="str">
        <f aca="false">IF(AH993="","",K993+N(L993)+N(M993)+N(N993)+N(O993))</f>
        <v/>
      </c>
      <c r="Q993" s="67"/>
      <c r="R993" s="67"/>
      <c r="S993" s="67"/>
      <c r="T993" s="67"/>
      <c r="U993" s="67"/>
      <c r="V993" s="67"/>
      <c r="W993" s="85" t="str">
        <f aca="false">IF(AH993="","",N(Q993)+N(R993)+N(S993)+N(T993)+N(U993)+N(V993))</f>
        <v/>
      </c>
      <c r="X993" s="85" t="str">
        <f aca="false">IF(AH993="","",P993-W993)</f>
        <v/>
      </c>
      <c r="Y993" s="67"/>
      <c r="Z993" s="70" t="str">
        <f aca="false">IF(OR(AH993="",Y993=""),"",IF(ABS(X993-Y993)&lt;=1,"✓ Cuadra","⚠ Diferencia $"&amp;FIXED(X993-Y993,0)))</f>
        <v/>
      </c>
      <c r="AA993" s="72" t="str">
        <f aca="false">IF(AH993="","",IFERROR(INDEX(C_TIPO,MATCH(C993&amp;"-P"&amp;MAX(1,COUNTIFS(C_ID,C993,C_DEFINE,"Sí",C_INICIO,"&lt;="&amp;EOMONTH(B993,0))),C_CLAVE,0))&amp;"","Sin dato"))</f>
        <v/>
      </c>
      <c r="AB993" s="71" t="str">
        <f aca="false">IF(AH993="","",ROUND(MIN(K993,TOPE_AFP_UF*AJ993)*AK993,0))</f>
        <v/>
      </c>
      <c r="AC993" s="71" t="str">
        <f aca="false">IF(AH993="","",ROUND(MIN(K993,TOPE_AFC_UF*AJ993)*IF(AA993="Indefinido",AFC_EMP_INDEF,AFC_EMP_PF),0))</f>
        <v/>
      </c>
      <c r="AD993" s="71" t="str">
        <f aca="false">IF(AH993="","",ROUND(MIN(K993,TOPE_AFP_UF*AJ993)*(MUTUAL_BASICA+MUTUAL_ADIC+SANNA),0))</f>
        <v/>
      </c>
      <c r="AE993" s="71" t="str">
        <f aca="false">IF(AH993="","",P993-N(N993)+AB993+AC993+AD993)</f>
        <v/>
      </c>
      <c r="AF993" s="65"/>
      <c r="AG993" s="64"/>
      <c r="AH993" s="72" t="str">
        <f aca="false">IF(OR(B993="",C993=""),"",C993&amp;"|"&amp;(YEAR(B993)*100+MONTH(B993)))</f>
        <v/>
      </c>
      <c r="AI993" s="70" t="str">
        <f aca="false">IF(AH993="","",IF(COUNTIF(L_CLAVE,AH993)&gt;1,"⚠ Duplicado","OK"))</f>
        <v/>
      </c>
      <c r="AJ993" s="86" t="str">
        <f aca="false">IF(AH993="","",IF(SUMPRODUCT(MAX((IND_PER&lt;=B993)*(IND_UF&lt;&gt;"")*IND_PER))=0,UF_HOY,INDEX(IND_UF,MATCH(SUMPRODUCT(MAX((IND_PER&lt;=B993)*(IND_UF&lt;&gt;"")*IND_PER)),IND_PER,0))))</f>
        <v/>
      </c>
      <c r="AK993" s="87" t="str">
        <f aca="false">IF(AH993="","",IF(COUNTIF(TASA_DESDE,"&lt;="&amp;B993)=0,INDEX(TASA_EMP,1),INDEX(TASA_EMP,COUNTIF(TASA_DESDE,"&lt;="&amp;B993))))</f>
        <v/>
      </c>
    </row>
    <row r="994" customFormat="false" ht="15" hidden="false" customHeight="false" outlineLevel="0" collapsed="false">
      <c r="B994" s="78"/>
      <c r="C994" s="64"/>
      <c r="D994" s="72" t="str">
        <f aca="false">IF(C994="","",IFERROR(INDEX(T_NOMBRE,MATCH(C994,T_ID,0)),"⚠ ID no existe"))</f>
        <v/>
      </c>
      <c r="E994" s="69"/>
      <c r="F994" s="67"/>
      <c r="G994" s="67"/>
      <c r="H994" s="67"/>
      <c r="I994" s="67"/>
      <c r="J994" s="67"/>
      <c r="K994" s="85" t="str">
        <f aca="false">IF(AH994="","",N(F994)+N(G994)+N(H994)-N(I994)+N(J994))</f>
        <v/>
      </c>
      <c r="L994" s="67"/>
      <c r="M994" s="67"/>
      <c r="N994" s="67"/>
      <c r="O994" s="67"/>
      <c r="P994" s="85" t="str">
        <f aca="false">IF(AH994="","",K994+N(L994)+N(M994)+N(N994)+N(O994))</f>
        <v/>
      </c>
      <c r="Q994" s="67"/>
      <c r="R994" s="67"/>
      <c r="S994" s="67"/>
      <c r="T994" s="67"/>
      <c r="U994" s="67"/>
      <c r="V994" s="67"/>
      <c r="W994" s="85" t="str">
        <f aca="false">IF(AH994="","",N(Q994)+N(R994)+N(S994)+N(T994)+N(U994)+N(V994))</f>
        <v/>
      </c>
      <c r="X994" s="85" t="str">
        <f aca="false">IF(AH994="","",P994-W994)</f>
        <v/>
      </c>
      <c r="Y994" s="67"/>
      <c r="Z994" s="70" t="str">
        <f aca="false">IF(OR(AH994="",Y994=""),"",IF(ABS(X994-Y994)&lt;=1,"✓ Cuadra","⚠ Diferencia $"&amp;FIXED(X994-Y994,0)))</f>
        <v/>
      </c>
      <c r="AA994" s="72" t="str">
        <f aca="false">IF(AH994="","",IFERROR(INDEX(C_TIPO,MATCH(C994&amp;"-P"&amp;MAX(1,COUNTIFS(C_ID,C994,C_DEFINE,"Sí",C_INICIO,"&lt;="&amp;EOMONTH(B994,0))),C_CLAVE,0))&amp;"","Sin dato"))</f>
        <v/>
      </c>
      <c r="AB994" s="71" t="str">
        <f aca="false">IF(AH994="","",ROUND(MIN(K994,TOPE_AFP_UF*AJ994)*AK994,0))</f>
        <v/>
      </c>
      <c r="AC994" s="71" t="str">
        <f aca="false">IF(AH994="","",ROUND(MIN(K994,TOPE_AFC_UF*AJ994)*IF(AA994="Indefinido",AFC_EMP_INDEF,AFC_EMP_PF),0))</f>
        <v/>
      </c>
      <c r="AD994" s="71" t="str">
        <f aca="false">IF(AH994="","",ROUND(MIN(K994,TOPE_AFP_UF*AJ994)*(MUTUAL_BASICA+MUTUAL_ADIC+SANNA),0))</f>
        <v/>
      </c>
      <c r="AE994" s="71" t="str">
        <f aca="false">IF(AH994="","",P994-N(N994)+AB994+AC994+AD994)</f>
        <v/>
      </c>
      <c r="AF994" s="65"/>
      <c r="AG994" s="64"/>
      <c r="AH994" s="72" t="str">
        <f aca="false">IF(OR(B994="",C994=""),"",C994&amp;"|"&amp;(YEAR(B994)*100+MONTH(B994)))</f>
        <v/>
      </c>
      <c r="AI994" s="70" t="str">
        <f aca="false">IF(AH994="","",IF(COUNTIF(L_CLAVE,AH994)&gt;1,"⚠ Duplicado","OK"))</f>
        <v/>
      </c>
      <c r="AJ994" s="86" t="str">
        <f aca="false">IF(AH994="","",IF(SUMPRODUCT(MAX((IND_PER&lt;=B994)*(IND_UF&lt;&gt;"")*IND_PER))=0,UF_HOY,INDEX(IND_UF,MATCH(SUMPRODUCT(MAX((IND_PER&lt;=B994)*(IND_UF&lt;&gt;"")*IND_PER)),IND_PER,0))))</f>
        <v/>
      </c>
      <c r="AK994" s="87" t="str">
        <f aca="false">IF(AH994="","",IF(COUNTIF(TASA_DESDE,"&lt;="&amp;B994)=0,INDEX(TASA_EMP,1),INDEX(TASA_EMP,COUNTIF(TASA_DESDE,"&lt;="&amp;B994))))</f>
        <v/>
      </c>
    </row>
    <row r="995" customFormat="false" ht="15" hidden="false" customHeight="false" outlineLevel="0" collapsed="false">
      <c r="B995" s="78"/>
      <c r="C995" s="64"/>
      <c r="D995" s="72" t="str">
        <f aca="false">IF(C995="","",IFERROR(INDEX(T_NOMBRE,MATCH(C995,T_ID,0)),"⚠ ID no existe"))</f>
        <v/>
      </c>
      <c r="E995" s="69"/>
      <c r="F995" s="67"/>
      <c r="G995" s="67"/>
      <c r="H995" s="67"/>
      <c r="I995" s="67"/>
      <c r="J995" s="67"/>
      <c r="K995" s="85" t="str">
        <f aca="false">IF(AH995="","",N(F995)+N(G995)+N(H995)-N(I995)+N(J995))</f>
        <v/>
      </c>
      <c r="L995" s="67"/>
      <c r="M995" s="67"/>
      <c r="N995" s="67"/>
      <c r="O995" s="67"/>
      <c r="P995" s="85" t="str">
        <f aca="false">IF(AH995="","",K995+N(L995)+N(M995)+N(N995)+N(O995))</f>
        <v/>
      </c>
      <c r="Q995" s="67"/>
      <c r="R995" s="67"/>
      <c r="S995" s="67"/>
      <c r="T995" s="67"/>
      <c r="U995" s="67"/>
      <c r="V995" s="67"/>
      <c r="W995" s="85" t="str">
        <f aca="false">IF(AH995="","",N(Q995)+N(R995)+N(S995)+N(T995)+N(U995)+N(V995))</f>
        <v/>
      </c>
      <c r="X995" s="85" t="str">
        <f aca="false">IF(AH995="","",P995-W995)</f>
        <v/>
      </c>
      <c r="Y995" s="67"/>
      <c r="Z995" s="70" t="str">
        <f aca="false">IF(OR(AH995="",Y995=""),"",IF(ABS(X995-Y995)&lt;=1,"✓ Cuadra","⚠ Diferencia $"&amp;FIXED(X995-Y995,0)))</f>
        <v/>
      </c>
      <c r="AA995" s="72" t="str">
        <f aca="false">IF(AH995="","",IFERROR(INDEX(C_TIPO,MATCH(C995&amp;"-P"&amp;MAX(1,COUNTIFS(C_ID,C995,C_DEFINE,"Sí",C_INICIO,"&lt;="&amp;EOMONTH(B995,0))),C_CLAVE,0))&amp;"","Sin dato"))</f>
        <v/>
      </c>
      <c r="AB995" s="71" t="str">
        <f aca="false">IF(AH995="","",ROUND(MIN(K995,TOPE_AFP_UF*AJ995)*AK995,0))</f>
        <v/>
      </c>
      <c r="AC995" s="71" t="str">
        <f aca="false">IF(AH995="","",ROUND(MIN(K995,TOPE_AFC_UF*AJ995)*IF(AA995="Indefinido",AFC_EMP_INDEF,AFC_EMP_PF),0))</f>
        <v/>
      </c>
      <c r="AD995" s="71" t="str">
        <f aca="false">IF(AH995="","",ROUND(MIN(K995,TOPE_AFP_UF*AJ995)*(MUTUAL_BASICA+MUTUAL_ADIC+SANNA),0))</f>
        <v/>
      </c>
      <c r="AE995" s="71" t="str">
        <f aca="false">IF(AH995="","",P995-N(N995)+AB995+AC995+AD995)</f>
        <v/>
      </c>
      <c r="AF995" s="65"/>
      <c r="AG995" s="64"/>
      <c r="AH995" s="72" t="str">
        <f aca="false">IF(OR(B995="",C995=""),"",C995&amp;"|"&amp;(YEAR(B995)*100+MONTH(B995)))</f>
        <v/>
      </c>
      <c r="AI995" s="70" t="str">
        <f aca="false">IF(AH995="","",IF(COUNTIF(L_CLAVE,AH995)&gt;1,"⚠ Duplicado","OK"))</f>
        <v/>
      </c>
      <c r="AJ995" s="86" t="str">
        <f aca="false">IF(AH995="","",IF(SUMPRODUCT(MAX((IND_PER&lt;=B995)*(IND_UF&lt;&gt;"")*IND_PER))=0,UF_HOY,INDEX(IND_UF,MATCH(SUMPRODUCT(MAX((IND_PER&lt;=B995)*(IND_UF&lt;&gt;"")*IND_PER)),IND_PER,0))))</f>
        <v/>
      </c>
      <c r="AK995" s="87" t="str">
        <f aca="false">IF(AH995="","",IF(COUNTIF(TASA_DESDE,"&lt;="&amp;B995)=0,INDEX(TASA_EMP,1),INDEX(TASA_EMP,COUNTIF(TASA_DESDE,"&lt;="&amp;B995))))</f>
        <v/>
      </c>
    </row>
    <row r="996" customFormat="false" ht="15" hidden="false" customHeight="false" outlineLevel="0" collapsed="false">
      <c r="B996" s="78"/>
      <c r="C996" s="64"/>
      <c r="D996" s="72" t="str">
        <f aca="false">IF(C996="","",IFERROR(INDEX(T_NOMBRE,MATCH(C996,T_ID,0)),"⚠ ID no existe"))</f>
        <v/>
      </c>
      <c r="E996" s="69"/>
      <c r="F996" s="67"/>
      <c r="G996" s="67"/>
      <c r="H996" s="67"/>
      <c r="I996" s="67"/>
      <c r="J996" s="67"/>
      <c r="K996" s="85" t="str">
        <f aca="false">IF(AH996="","",N(F996)+N(G996)+N(H996)-N(I996)+N(J996))</f>
        <v/>
      </c>
      <c r="L996" s="67"/>
      <c r="M996" s="67"/>
      <c r="N996" s="67"/>
      <c r="O996" s="67"/>
      <c r="P996" s="85" t="str">
        <f aca="false">IF(AH996="","",K996+N(L996)+N(M996)+N(N996)+N(O996))</f>
        <v/>
      </c>
      <c r="Q996" s="67"/>
      <c r="R996" s="67"/>
      <c r="S996" s="67"/>
      <c r="T996" s="67"/>
      <c r="U996" s="67"/>
      <c r="V996" s="67"/>
      <c r="W996" s="85" t="str">
        <f aca="false">IF(AH996="","",N(Q996)+N(R996)+N(S996)+N(T996)+N(U996)+N(V996))</f>
        <v/>
      </c>
      <c r="X996" s="85" t="str">
        <f aca="false">IF(AH996="","",P996-W996)</f>
        <v/>
      </c>
      <c r="Y996" s="67"/>
      <c r="Z996" s="70" t="str">
        <f aca="false">IF(OR(AH996="",Y996=""),"",IF(ABS(X996-Y996)&lt;=1,"✓ Cuadra","⚠ Diferencia $"&amp;FIXED(X996-Y996,0)))</f>
        <v/>
      </c>
      <c r="AA996" s="72" t="str">
        <f aca="false">IF(AH996="","",IFERROR(INDEX(C_TIPO,MATCH(C996&amp;"-P"&amp;MAX(1,COUNTIFS(C_ID,C996,C_DEFINE,"Sí",C_INICIO,"&lt;="&amp;EOMONTH(B996,0))),C_CLAVE,0))&amp;"","Sin dato"))</f>
        <v/>
      </c>
      <c r="AB996" s="71" t="str">
        <f aca="false">IF(AH996="","",ROUND(MIN(K996,TOPE_AFP_UF*AJ996)*AK996,0))</f>
        <v/>
      </c>
      <c r="AC996" s="71" t="str">
        <f aca="false">IF(AH996="","",ROUND(MIN(K996,TOPE_AFC_UF*AJ996)*IF(AA996="Indefinido",AFC_EMP_INDEF,AFC_EMP_PF),0))</f>
        <v/>
      </c>
      <c r="AD996" s="71" t="str">
        <f aca="false">IF(AH996="","",ROUND(MIN(K996,TOPE_AFP_UF*AJ996)*(MUTUAL_BASICA+MUTUAL_ADIC+SANNA),0))</f>
        <v/>
      </c>
      <c r="AE996" s="71" t="str">
        <f aca="false">IF(AH996="","",P996-N(N996)+AB996+AC996+AD996)</f>
        <v/>
      </c>
      <c r="AF996" s="65"/>
      <c r="AG996" s="64"/>
      <c r="AH996" s="72" t="str">
        <f aca="false">IF(OR(B996="",C996=""),"",C996&amp;"|"&amp;(YEAR(B996)*100+MONTH(B996)))</f>
        <v/>
      </c>
      <c r="AI996" s="70" t="str">
        <f aca="false">IF(AH996="","",IF(COUNTIF(L_CLAVE,AH996)&gt;1,"⚠ Duplicado","OK"))</f>
        <v/>
      </c>
      <c r="AJ996" s="86" t="str">
        <f aca="false">IF(AH996="","",IF(SUMPRODUCT(MAX((IND_PER&lt;=B996)*(IND_UF&lt;&gt;"")*IND_PER))=0,UF_HOY,INDEX(IND_UF,MATCH(SUMPRODUCT(MAX((IND_PER&lt;=B996)*(IND_UF&lt;&gt;"")*IND_PER)),IND_PER,0))))</f>
        <v/>
      </c>
      <c r="AK996" s="87" t="str">
        <f aca="false">IF(AH996="","",IF(COUNTIF(TASA_DESDE,"&lt;="&amp;B996)=0,INDEX(TASA_EMP,1),INDEX(TASA_EMP,COUNTIF(TASA_DESDE,"&lt;="&amp;B996))))</f>
        <v/>
      </c>
    </row>
    <row r="997" customFormat="false" ht="15" hidden="false" customHeight="false" outlineLevel="0" collapsed="false">
      <c r="B997" s="78"/>
      <c r="C997" s="64"/>
      <c r="D997" s="72" t="str">
        <f aca="false">IF(C997="","",IFERROR(INDEX(T_NOMBRE,MATCH(C997,T_ID,0)),"⚠ ID no existe"))</f>
        <v/>
      </c>
      <c r="E997" s="69"/>
      <c r="F997" s="67"/>
      <c r="G997" s="67"/>
      <c r="H997" s="67"/>
      <c r="I997" s="67"/>
      <c r="J997" s="67"/>
      <c r="K997" s="85" t="str">
        <f aca="false">IF(AH997="","",N(F997)+N(G997)+N(H997)-N(I997)+N(J997))</f>
        <v/>
      </c>
      <c r="L997" s="67"/>
      <c r="M997" s="67"/>
      <c r="N997" s="67"/>
      <c r="O997" s="67"/>
      <c r="P997" s="85" t="str">
        <f aca="false">IF(AH997="","",K997+N(L997)+N(M997)+N(N997)+N(O997))</f>
        <v/>
      </c>
      <c r="Q997" s="67"/>
      <c r="R997" s="67"/>
      <c r="S997" s="67"/>
      <c r="T997" s="67"/>
      <c r="U997" s="67"/>
      <c r="V997" s="67"/>
      <c r="W997" s="85" t="str">
        <f aca="false">IF(AH997="","",N(Q997)+N(R997)+N(S997)+N(T997)+N(U997)+N(V997))</f>
        <v/>
      </c>
      <c r="X997" s="85" t="str">
        <f aca="false">IF(AH997="","",P997-W997)</f>
        <v/>
      </c>
      <c r="Y997" s="67"/>
      <c r="Z997" s="70" t="str">
        <f aca="false">IF(OR(AH997="",Y997=""),"",IF(ABS(X997-Y997)&lt;=1,"✓ Cuadra","⚠ Diferencia $"&amp;FIXED(X997-Y997,0)))</f>
        <v/>
      </c>
      <c r="AA997" s="72" t="str">
        <f aca="false">IF(AH997="","",IFERROR(INDEX(C_TIPO,MATCH(C997&amp;"-P"&amp;MAX(1,COUNTIFS(C_ID,C997,C_DEFINE,"Sí",C_INICIO,"&lt;="&amp;EOMONTH(B997,0))),C_CLAVE,0))&amp;"","Sin dato"))</f>
        <v/>
      </c>
      <c r="AB997" s="71" t="str">
        <f aca="false">IF(AH997="","",ROUND(MIN(K997,TOPE_AFP_UF*AJ997)*AK997,0))</f>
        <v/>
      </c>
      <c r="AC997" s="71" t="str">
        <f aca="false">IF(AH997="","",ROUND(MIN(K997,TOPE_AFC_UF*AJ997)*IF(AA997="Indefinido",AFC_EMP_INDEF,AFC_EMP_PF),0))</f>
        <v/>
      </c>
      <c r="AD997" s="71" t="str">
        <f aca="false">IF(AH997="","",ROUND(MIN(K997,TOPE_AFP_UF*AJ997)*(MUTUAL_BASICA+MUTUAL_ADIC+SANNA),0))</f>
        <v/>
      </c>
      <c r="AE997" s="71" t="str">
        <f aca="false">IF(AH997="","",P997-N(N997)+AB997+AC997+AD997)</f>
        <v/>
      </c>
      <c r="AF997" s="65"/>
      <c r="AG997" s="64"/>
      <c r="AH997" s="72" t="str">
        <f aca="false">IF(OR(B997="",C997=""),"",C997&amp;"|"&amp;(YEAR(B997)*100+MONTH(B997)))</f>
        <v/>
      </c>
      <c r="AI997" s="70" t="str">
        <f aca="false">IF(AH997="","",IF(COUNTIF(L_CLAVE,AH997)&gt;1,"⚠ Duplicado","OK"))</f>
        <v/>
      </c>
      <c r="AJ997" s="86" t="str">
        <f aca="false">IF(AH997="","",IF(SUMPRODUCT(MAX((IND_PER&lt;=B997)*(IND_UF&lt;&gt;"")*IND_PER))=0,UF_HOY,INDEX(IND_UF,MATCH(SUMPRODUCT(MAX((IND_PER&lt;=B997)*(IND_UF&lt;&gt;"")*IND_PER)),IND_PER,0))))</f>
        <v/>
      </c>
      <c r="AK997" s="87" t="str">
        <f aca="false">IF(AH997="","",IF(COUNTIF(TASA_DESDE,"&lt;="&amp;B997)=0,INDEX(TASA_EMP,1),INDEX(TASA_EMP,COUNTIF(TASA_DESDE,"&lt;="&amp;B997))))</f>
        <v/>
      </c>
    </row>
    <row r="998" customFormat="false" ht="15" hidden="false" customHeight="false" outlineLevel="0" collapsed="false">
      <c r="B998" s="78"/>
      <c r="C998" s="64"/>
      <c r="D998" s="72" t="str">
        <f aca="false">IF(C998="","",IFERROR(INDEX(T_NOMBRE,MATCH(C998,T_ID,0)),"⚠ ID no existe"))</f>
        <v/>
      </c>
      <c r="E998" s="69"/>
      <c r="F998" s="67"/>
      <c r="G998" s="67"/>
      <c r="H998" s="67"/>
      <c r="I998" s="67"/>
      <c r="J998" s="67"/>
      <c r="K998" s="85" t="str">
        <f aca="false">IF(AH998="","",N(F998)+N(G998)+N(H998)-N(I998)+N(J998))</f>
        <v/>
      </c>
      <c r="L998" s="67"/>
      <c r="M998" s="67"/>
      <c r="N998" s="67"/>
      <c r="O998" s="67"/>
      <c r="P998" s="85" t="str">
        <f aca="false">IF(AH998="","",K998+N(L998)+N(M998)+N(N998)+N(O998))</f>
        <v/>
      </c>
      <c r="Q998" s="67"/>
      <c r="R998" s="67"/>
      <c r="S998" s="67"/>
      <c r="T998" s="67"/>
      <c r="U998" s="67"/>
      <c r="V998" s="67"/>
      <c r="W998" s="85" t="str">
        <f aca="false">IF(AH998="","",N(Q998)+N(R998)+N(S998)+N(T998)+N(U998)+N(V998))</f>
        <v/>
      </c>
      <c r="X998" s="85" t="str">
        <f aca="false">IF(AH998="","",P998-W998)</f>
        <v/>
      </c>
      <c r="Y998" s="67"/>
      <c r="Z998" s="70" t="str">
        <f aca="false">IF(OR(AH998="",Y998=""),"",IF(ABS(X998-Y998)&lt;=1,"✓ Cuadra","⚠ Diferencia $"&amp;FIXED(X998-Y998,0)))</f>
        <v/>
      </c>
      <c r="AA998" s="72" t="str">
        <f aca="false">IF(AH998="","",IFERROR(INDEX(C_TIPO,MATCH(C998&amp;"-P"&amp;MAX(1,COUNTIFS(C_ID,C998,C_DEFINE,"Sí",C_INICIO,"&lt;="&amp;EOMONTH(B998,0))),C_CLAVE,0))&amp;"","Sin dato"))</f>
        <v/>
      </c>
      <c r="AB998" s="71" t="str">
        <f aca="false">IF(AH998="","",ROUND(MIN(K998,TOPE_AFP_UF*AJ998)*AK998,0))</f>
        <v/>
      </c>
      <c r="AC998" s="71" t="str">
        <f aca="false">IF(AH998="","",ROUND(MIN(K998,TOPE_AFC_UF*AJ998)*IF(AA998="Indefinido",AFC_EMP_INDEF,AFC_EMP_PF),0))</f>
        <v/>
      </c>
      <c r="AD998" s="71" t="str">
        <f aca="false">IF(AH998="","",ROUND(MIN(K998,TOPE_AFP_UF*AJ998)*(MUTUAL_BASICA+MUTUAL_ADIC+SANNA),0))</f>
        <v/>
      </c>
      <c r="AE998" s="71" t="str">
        <f aca="false">IF(AH998="","",P998-N(N998)+AB998+AC998+AD998)</f>
        <v/>
      </c>
      <c r="AF998" s="65"/>
      <c r="AG998" s="64"/>
      <c r="AH998" s="72" t="str">
        <f aca="false">IF(OR(B998="",C998=""),"",C998&amp;"|"&amp;(YEAR(B998)*100+MONTH(B998)))</f>
        <v/>
      </c>
      <c r="AI998" s="70" t="str">
        <f aca="false">IF(AH998="","",IF(COUNTIF(L_CLAVE,AH998)&gt;1,"⚠ Duplicado","OK"))</f>
        <v/>
      </c>
      <c r="AJ998" s="86" t="str">
        <f aca="false">IF(AH998="","",IF(SUMPRODUCT(MAX((IND_PER&lt;=B998)*(IND_UF&lt;&gt;"")*IND_PER))=0,UF_HOY,INDEX(IND_UF,MATCH(SUMPRODUCT(MAX((IND_PER&lt;=B998)*(IND_UF&lt;&gt;"")*IND_PER)),IND_PER,0))))</f>
        <v/>
      </c>
      <c r="AK998" s="87" t="str">
        <f aca="false">IF(AH998="","",IF(COUNTIF(TASA_DESDE,"&lt;="&amp;B998)=0,INDEX(TASA_EMP,1),INDEX(TASA_EMP,COUNTIF(TASA_DESDE,"&lt;="&amp;B998))))</f>
        <v/>
      </c>
    </row>
    <row r="999" customFormat="false" ht="15" hidden="false" customHeight="false" outlineLevel="0" collapsed="false">
      <c r="B999" s="78"/>
      <c r="C999" s="64"/>
      <c r="D999" s="72" t="str">
        <f aca="false">IF(C999="","",IFERROR(INDEX(T_NOMBRE,MATCH(C999,T_ID,0)),"⚠ ID no existe"))</f>
        <v/>
      </c>
      <c r="E999" s="69"/>
      <c r="F999" s="67"/>
      <c r="G999" s="67"/>
      <c r="H999" s="67"/>
      <c r="I999" s="67"/>
      <c r="J999" s="67"/>
      <c r="K999" s="85" t="str">
        <f aca="false">IF(AH999="","",N(F999)+N(G999)+N(H999)-N(I999)+N(J999))</f>
        <v/>
      </c>
      <c r="L999" s="67"/>
      <c r="M999" s="67"/>
      <c r="N999" s="67"/>
      <c r="O999" s="67"/>
      <c r="P999" s="85" t="str">
        <f aca="false">IF(AH999="","",K999+N(L999)+N(M999)+N(N999)+N(O999))</f>
        <v/>
      </c>
      <c r="Q999" s="67"/>
      <c r="R999" s="67"/>
      <c r="S999" s="67"/>
      <c r="T999" s="67"/>
      <c r="U999" s="67"/>
      <c r="V999" s="67"/>
      <c r="W999" s="85" t="str">
        <f aca="false">IF(AH999="","",N(Q999)+N(R999)+N(S999)+N(T999)+N(U999)+N(V999))</f>
        <v/>
      </c>
      <c r="X999" s="85" t="str">
        <f aca="false">IF(AH999="","",P999-W999)</f>
        <v/>
      </c>
      <c r="Y999" s="67"/>
      <c r="Z999" s="70" t="str">
        <f aca="false">IF(OR(AH999="",Y999=""),"",IF(ABS(X999-Y999)&lt;=1,"✓ Cuadra","⚠ Diferencia $"&amp;FIXED(X999-Y999,0)))</f>
        <v/>
      </c>
      <c r="AA999" s="72" t="str">
        <f aca="false">IF(AH999="","",IFERROR(INDEX(C_TIPO,MATCH(C999&amp;"-P"&amp;MAX(1,COUNTIFS(C_ID,C999,C_DEFINE,"Sí",C_INICIO,"&lt;="&amp;EOMONTH(B999,0))),C_CLAVE,0))&amp;"","Sin dato"))</f>
        <v/>
      </c>
      <c r="AB999" s="71" t="str">
        <f aca="false">IF(AH999="","",ROUND(MIN(K999,TOPE_AFP_UF*AJ999)*AK999,0))</f>
        <v/>
      </c>
      <c r="AC999" s="71" t="str">
        <f aca="false">IF(AH999="","",ROUND(MIN(K999,TOPE_AFC_UF*AJ999)*IF(AA999="Indefinido",AFC_EMP_INDEF,AFC_EMP_PF),0))</f>
        <v/>
      </c>
      <c r="AD999" s="71" t="str">
        <f aca="false">IF(AH999="","",ROUND(MIN(K999,TOPE_AFP_UF*AJ999)*(MUTUAL_BASICA+MUTUAL_ADIC+SANNA),0))</f>
        <v/>
      </c>
      <c r="AE999" s="71" t="str">
        <f aca="false">IF(AH999="","",P999-N(N999)+AB999+AC999+AD999)</f>
        <v/>
      </c>
      <c r="AF999" s="65"/>
      <c r="AG999" s="64"/>
      <c r="AH999" s="72" t="str">
        <f aca="false">IF(OR(B999="",C999=""),"",C999&amp;"|"&amp;(YEAR(B999)*100+MONTH(B999)))</f>
        <v/>
      </c>
      <c r="AI999" s="70" t="str">
        <f aca="false">IF(AH999="","",IF(COUNTIF(L_CLAVE,AH999)&gt;1,"⚠ Duplicado","OK"))</f>
        <v/>
      </c>
      <c r="AJ999" s="86" t="str">
        <f aca="false">IF(AH999="","",IF(SUMPRODUCT(MAX((IND_PER&lt;=B999)*(IND_UF&lt;&gt;"")*IND_PER))=0,UF_HOY,INDEX(IND_UF,MATCH(SUMPRODUCT(MAX((IND_PER&lt;=B999)*(IND_UF&lt;&gt;"")*IND_PER)),IND_PER,0))))</f>
        <v/>
      </c>
      <c r="AK999" s="87" t="str">
        <f aca="false">IF(AH999="","",IF(COUNTIF(TASA_DESDE,"&lt;="&amp;B999)=0,INDEX(TASA_EMP,1),INDEX(TASA_EMP,COUNTIF(TASA_DESDE,"&lt;="&amp;B999))))</f>
        <v/>
      </c>
    </row>
    <row r="1000" customFormat="false" ht="15" hidden="false" customHeight="false" outlineLevel="0" collapsed="false">
      <c r="B1000" s="78"/>
      <c r="C1000" s="64"/>
      <c r="D1000" s="72" t="str">
        <f aca="false">IF(C1000="","",IFERROR(INDEX(T_NOMBRE,MATCH(C1000,T_ID,0)),"⚠ ID no existe"))</f>
        <v/>
      </c>
      <c r="E1000" s="69"/>
      <c r="F1000" s="67"/>
      <c r="G1000" s="67"/>
      <c r="H1000" s="67"/>
      <c r="I1000" s="67"/>
      <c r="J1000" s="67"/>
      <c r="K1000" s="85" t="str">
        <f aca="false">IF(AH1000="","",N(F1000)+N(G1000)+N(H1000)-N(I1000)+N(J1000))</f>
        <v/>
      </c>
      <c r="L1000" s="67"/>
      <c r="M1000" s="67"/>
      <c r="N1000" s="67"/>
      <c r="O1000" s="67"/>
      <c r="P1000" s="85" t="str">
        <f aca="false">IF(AH1000="","",K1000+N(L1000)+N(M1000)+N(N1000)+N(O1000))</f>
        <v/>
      </c>
      <c r="Q1000" s="67"/>
      <c r="R1000" s="67"/>
      <c r="S1000" s="67"/>
      <c r="T1000" s="67"/>
      <c r="U1000" s="67"/>
      <c r="V1000" s="67"/>
      <c r="W1000" s="85" t="str">
        <f aca="false">IF(AH1000="","",N(Q1000)+N(R1000)+N(S1000)+N(T1000)+N(U1000)+N(V1000))</f>
        <v/>
      </c>
      <c r="X1000" s="85" t="str">
        <f aca="false">IF(AH1000="","",P1000-W1000)</f>
        <v/>
      </c>
      <c r="Y1000" s="67"/>
      <c r="Z1000" s="70" t="str">
        <f aca="false">IF(OR(AH1000="",Y1000=""),"",IF(ABS(X1000-Y1000)&lt;=1,"✓ Cuadra","⚠ Diferencia $"&amp;FIXED(X1000-Y1000,0)))</f>
        <v/>
      </c>
      <c r="AA1000" s="72" t="str">
        <f aca="false">IF(AH1000="","",IFERROR(INDEX(C_TIPO,MATCH(C1000&amp;"-P"&amp;MAX(1,COUNTIFS(C_ID,C1000,C_DEFINE,"Sí",C_INICIO,"&lt;="&amp;EOMONTH(B1000,0))),C_CLAVE,0))&amp;"","Sin dato"))</f>
        <v/>
      </c>
      <c r="AB1000" s="71" t="str">
        <f aca="false">IF(AH1000="","",ROUND(MIN(K1000,TOPE_AFP_UF*AJ1000)*AK1000,0))</f>
        <v/>
      </c>
      <c r="AC1000" s="71" t="str">
        <f aca="false">IF(AH1000="","",ROUND(MIN(K1000,TOPE_AFC_UF*AJ1000)*IF(AA1000="Indefinido",AFC_EMP_INDEF,AFC_EMP_PF),0))</f>
        <v/>
      </c>
      <c r="AD1000" s="71" t="str">
        <f aca="false">IF(AH1000="","",ROUND(MIN(K1000,TOPE_AFP_UF*AJ1000)*(MUTUAL_BASICA+MUTUAL_ADIC+SANNA),0))</f>
        <v/>
      </c>
      <c r="AE1000" s="71" t="str">
        <f aca="false">IF(AH1000="","",P1000-N(N1000)+AB1000+AC1000+AD1000)</f>
        <v/>
      </c>
      <c r="AF1000" s="65"/>
      <c r="AG1000" s="64"/>
      <c r="AH1000" s="72" t="str">
        <f aca="false">IF(OR(B1000="",C1000=""),"",C1000&amp;"|"&amp;(YEAR(B1000)*100+MONTH(B1000)))</f>
        <v/>
      </c>
      <c r="AI1000" s="70" t="str">
        <f aca="false">IF(AH1000="","",IF(COUNTIF(L_CLAVE,AH1000)&gt;1,"⚠ Duplicado","OK"))</f>
        <v/>
      </c>
      <c r="AJ1000" s="86" t="str">
        <f aca="false">IF(AH1000="","",IF(SUMPRODUCT(MAX((IND_PER&lt;=B1000)*(IND_UF&lt;&gt;"")*IND_PER))=0,UF_HOY,INDEX(IND_UF,MATCH(SUMPRODUCT(MAX((IND_PER&lt;=B1000)*(IND_UF&lt;&gt;"")*IND_PER)),IND_PER,0))))</f>
        <v/>
      </c>
      <c r="AK1000" s="87" t="str">
        <f aca="false">IF(AH1000="","",IF(COUNTIF(TASA_DESDE,"&lt;="&amp;B1000)=0,INDEX(TASA_EMP,1),INDEX(TASA_EMP,COUNTIF(TASA_DESDE,"&lt;="&amp;B1000))))</f>
        <v/>
      </c>
    </row>
    <row r="1001" customFormat="false" ht="15" hidden="false" customHeight="false" outlineLevel="0" collapsed="false">
      <c r="B1001" s="78"/>
      <c r="C1001" s="64"/>
      <c r="D1001" s="72" t="str">
        <f aca="false">IF(C1001="","",IFERROR(INDEX(T_NOMBRE,MATCH(C1001,T_ID,0)),"⚠ ID no existe"))</f>
        <v/>
      </c>
      <c r="E1001" s="69"/>
      <c r="F1001" s="67"/>
      <c r="G1001" s="67"/>
      <c r="H1001" s="67"/>
      <c r="I1001" s="67"/>
      <c r="J1001" s="67"/>
      <c r="K1001" s="85" t="str">
        <f aca="false">IF(AH1001="","",N(F1001)+N(G1001)+N(H1001)-N(I1001)+N(J1001))</f>
        <v/>
      </c>
      <c r="L1001" s="67"/>
      <c r="M1001" s="67"/>
      <c r="N1001" s="67"/>
      <c r="O1001" s="67"/>
      <c r="P1001" s="85" t="str">
        <f aca="false">IF(AH1001="","",K1001+N(L1001)+N(M1001)+N(N1001)+N(O1001))</f>
        <v/>
      </c>
      <c r="Q1001" s="67"/>
      <c r="R1001" s="67"/>
      <c r="S1001" s="67"/>
      <c r="T1001" s="67"/>
      <c r="U1001" s="67"/>
      <c r="V1001" s="67"/>
      <c r="W1001" s="85" t="str">
        <f aca="false">IF(AH1001="","",N(Q1001)+N(R1001)+N(S1001)+N(T1001)+N(U1001)+N(V1001))</f>
        <v/>
      </c>
      <c r="X1001" s="85" t="str">
        <f aca="false">IF(AH1001="","",P1001-W1001)</f>
        <v/>
      </c>
      <c r="Y1001" s="67"/>
      <c r="Z1001" s="70" t="str">
        <f aca="false">IF(OR(AH1001="",Y1001=""),"",IF(ABS(X1001-Y1001)&lt;=1,"✓ Cuadra","⚠ Diferencia $"&amp;FIXED(X1001-Y1001,0)))</f>
        <v/>
      </c>
      <c r="AA1001" s="72" t="str">
        <f aca="false">IF(AH1001="","",IFERROR(INDEX(C_TIPO,MATCH(C1001&amp;"-P"&amp;MAX(1,COUNTIFS(C_ID,C1001,C_DEFINE,"Sí",C_INICIO,"&lt;="&amp;EOMONTH(B1001,0))),C_CLAVE,0))&amp;"","Sin dato"))</f>
        <v/>
      </c>
      <c r="AB1001" s="71" t="str">
        <f aca="false">IF(AH1001="","",ROUND(MIN(K1001,TOPE_AFP_UF*AJ1001)*AK1001,0))</f>
        <v/>
      </c>
      <c r="AC1001" s="71" t="str">
        <f aca="false">IF(AH1001="","",ROUND(MIN(K1001,TOPE_AFC_UF*AJ1001)*IF(AA1001="Indefinido",AFC_EMP_INDEF,AFC_EMP_PF),0))</f>
        <v/>
      </c>
      <c r="AD1001" s="71" t="str">
        <f aca="false">IF(AH1001="","",ROUND(MIN(K1001,TOPE_AFP_UF*AJ1001)*(MUTUAL_BASICA+MUTUAL_ADIC+SANNA),0))</f>
        <v/>
      </c>
      <c r="AE1001" s="71" t="str">
        <f aca="false">IF(AH1001="","",P1001-N(N1001)+AB1001+AC1001+AD1001)</f>
        <v/>
      </c>
      <c r="AF1001" s="65"/>
      <c r="AG1001" s="64"/>
      <c r="AH1001" s="72" t="str">
        <f aca="false">IF(OR(B1001="",C1001=""),"",C1001&amp;"|"&amp;(YEAR(B1001)*100+MONTH(B1001)))</f>
        <v/>
      </c>
      <c r="AI1001" s="70" t="str">
        <f aca="false">IF(AH1001="","",IF(COUNTIF(L_CLAVE,AH1001)&gt;1,"⚠ Duplicado","OK"))</f>
        <v/>
      </c>
      <c r="AJ1001" s="86" t="str">
        <f aca="false">IF(AH1001="","",IF(SUMPRODUCT(MAX((IND_PER&lt;=B1001)*(IND_UF&lt;&gt;"")*IND_PER))=0,UF_HOY,INDEX(IND_UF,MATCH(SUMPRODUCT(MAX((IND_PER&lt;=B1001)*(IND_UF&lt;&gt;"")*IND_PER)),IND_PER,0))))</f>
        <v/>
      </c>
      <c r="AK1001" s="87" t="str">
        <f aca="false">IF(AH1001="","",IF(COUNTIF(TASA_DESDE,"&lt;="&amp;B1001)=0,INDEX(TASA_EMP,1),INDEX(TASA_EMP,COUNTIF(TASA_DESDE,"&lt;="&amp;B1001))))</f>
        <v/>
      </c>
    </row>
    <row r="1002" customFormat="false" ht="15" hidden="false" customHeight="false" outlineLevel="0" collapsed="false">
      <c r="B1002" s="78"/>
      <c r="C1002" s="64"/>
      <c r="D1002" s="72" t="str">
        <f aca="false">IF(C1002="","",IFERROR(INDEX(T_NOMBRE,MATCH(C1002,T_ID,0)),"⚠ ID no existe"))</f>
        <v/>
      </c>
      <c r="E1002" s="69"/>
      <c r="F1002" s="67"/>
      <c r="G1002" s="67"/>
      <c r="H1002" s="67"/>
      <c r="I1002" s="67"/>
      <c r="J1002" s="67"/>
      <c r="K1002" s="85" t="str">
        <f aca="false">IF(AH1002="","",N(F1002)+N(G1002)+N(H1002)-N(I1002)+N(J1002))</f>
        <v/>
      </c>
      <c r="L1002" s="67"/>
      <c r="M1002" s="67"/>
      <c r="N1002" s="67"/>
      <c r="O1002" s="67"/>
      <c r="P1002" s="85" t="str">
        <f aca="false">IF(AH1002="","",K1002+N(L1002)+N(M1002)+N(N1002)+N(O1002))</f>
        <v/>
      </c>
      <c r="Q1002" s="67"/>
      <c r="R1002" s="67"/>
      <c r="S1002" s="67"/>
      <c r="T1002" s="67"/>
      <c r="U1002" s="67"/>
      <c r="V1002" s="67"/>
      <c r="W1002" s="85" t="str">
        <f aca="false">IF(AH1002="","",N(Q1002)+N(R1002)+N(S1002)+N(T1002)+N(U1002)+N(V1002))</f>
        <v/>
      </c>
      <c r="X1002" s="85" t="str">
        <f aca="false">IF(AH1002="","",P1002-W1002)</f>
        <v/>
      </c>
      <c r="Y1002" s="67"/>
      <c r="Z1002" s="70" t="str">
        <f aca="false">IF(OR(AH1002="",Y1002=""),"",IF(ABS(X1002-Y1002)&lt;=1,"✓ Cuadra","⚠ Diferencia $"&amp;FIXED(X1002-Y1002,0)))</f>
        <v/>
      </c>
      <c r="AA1002" s="72" t="str">
        <f aca="false">IF(AH1002="","",IFERROR(INDEX(C_TIPO,MATCH(C1002&amp;"-P"&amp;MAX(1,COUNTIFS(C_ID,C1002,C_DEFINE,"Sí",C_INICIO,"&lt;="&amp;EOMONTH(B1002,0))),C_CLAVE,0))&amp;"","Sin dato"))</f>
        <v/>
      </c>
      <c r="AB1002" s="71" t="str">
        <f aca="false">IF(AH1002="","",ROUND(MIN(K1002,TOPE_AFP_UF*AJ1002)*AK1002,0))</f>
        <v/>
      </c>
      <c r="AC1002" s="71" t="str">
        <f aca="false">IF(AH1002="","",ROUND(MIN(K1002,TOPE_AFC_UF*AJ1002)*IF(AA1002="Indefinido",AFC_EMP_INDEF,AFC_EMP_PF),0))</f>
        <v/>
      </c>
      <c r="AD1002" s="71" t="str">
        <f aca="false">IF(AH1002="","",ROUND(MIN(K1002,TOPE_AFP_UF*AJ1002)*(MUTUAL_BASICA+MUTUAL_ADIC+SANNA),0))</f>
        <v/>
      </c>
      <c r="AE1002" s="71" t="str">
        <f aca="false">IF(AH1002="","",P1002-N(N1002)+AB1002+AC1002+AD1002)</f>
        <v/>
      </c>
      <c r="AF1002" s="65"/>
      <c r="AG1002" s="64"/>
      <c r="AH1002" s="72" t="str">
        <f aca="false">IF(OR(B1002="",C1002=""),"",C1002&amp;"|"&amp;(YEAR(B1002)*100+MONTH(B1002)))</f>
        <v/>
      </c>
      <c r="AI1002" s="70" t="str">
        <f aca="false">IF(AH1002="","",IF(COUNTIF(L_CLAVE,AH1002)&gt;1,"⚠ Duplicado","OK"))</f>
        <v/>
      </c>
      <c r="AJ1002" s="86" t="str">
        <f aca="false">IF(AH1002="","",IF(SUMPRODUCT(MAX((IND_PER&lt;=B1002)*(IND_UF&lt;&gt;"")*IND_PER))=0,UF_HOY,INDEX(IND_UF,MATCH(SUMPRODUCT(MAX((IND_PER&lt;=B1002)*(IND_UF&lt;&gt;"")*IND_PER)),IND_PER,0))))</f>
        <v/>
      </c>
      <c r="AK1002" s="87" t="str">
        <f aca="false">IF(AH1002="","",IF(COUNTIF(TASA_DESDE,"&lt;="&amp;B1002)=0,INDEX(TASA_EMP,1),INDEX(TASA_EMP,COUNTIF(TASA_DESDE,"&lt;="&amp;B1002))))</f>
        <v/>
      </c>
    </row>
    <row r="1003" customFormat="false" ht="15" hidden="false" customHeight="false" outlineLevel="0" collapsed="false">
      <c r="B1003" s="78"/>
      <c r="C1003" s="64"/>
      <c r="D1003" s="72" t="str">
        <f aca="false">IF(C1003="","",IFERROR(INDEX(T_NOMBRE,MATCH(C1003,T_ID,0)),"⚠ ID no existe"))</f>
        <v/>
      </c>
      <c r="E1003" s="69"/>
      <c r="F1003" s="67"/>
      <c r="G1003" s="67"/>
      <c r="H1003" s="67"/>
      <c r="I1003" s="67"/>
      <c r="J1003" s="67"/>
      <c r="K1003" s="85" t="str">
        <f aca="false">IF(AH1003="","",N(F1003)+N(G1003)+N(H1003)-N(I1003)+N(J1003))</f>
        <v/>
      </c>
      <c r="L1003" s="67"/>
      <c r="M1003" s="67"/>
      <c r="N1003" s="67"/>
      <c r="O1003" s="67"/>
      <c r="P1003" s="85" t="str">
        <f aca="false">IF(AH1003="","",K1003+N(L1003)+N(M1003)+N(N1003)+N(O1003))</f>
        <v/>
      </c>
      <c r="Q1003" s="67"/>
      <c r="R1003" s="67"/>
      <c r="S1003" s="67"/>
      <c r="T1003" s="67"/>
      <c r="U1003" s="67"/>
      <c r="V1003" s="67"/>
      <c r="W1003" s="85" t="str">
        <f aca="false">IF(AH1003="","",N(Q1003)+N(R1003)+N(S1003)+N(T1003)+N(U1003)+N(V1003))</f>
        <v/>
      </c>
      <c r="X1003" s="85" t="str">
        <f aca="false">IF(AH1003="","",P1003-W1003)</f>
        <v/>
      </c>
      <c r="Y1003" s="67"/>
      <c r="Z1003" s="70" t="str">
        <f aca="false">IF(OR(AH1003="",Y1003=""),"",IF(ABS(X1003-Y1003)&lt;=1,"✓ Cuadra","⚠ Diferencia $"&amp;FIXED(X1003-Y1003,0)))</f>
        <v/>
      </c>
      <c r="AA1003" s="72" t="str">
        <f aca="false">IF(AH1003="","",IFERROR(INDEX(C_TIPO,MATCH(C1003&amp;"-P"&amp;MAX(1,COUNTIFS(C_ID,C1003,C_DEFINE,"Sí",C_INICIO,"&lt;="&amp;EOMONTH(B1003,0))),C_CLAVE,0))&amp;"","Sin dato"))</f>
        <v/>
      </c>
      <c r="AB1003" s="71" t="str">
        <f aca="false">IF(AH1003="","",ROUND(MIN(K1003,TOPE_AFP_UF*AJ1003)*AK1003,0))</f>
        <v/>
      </c>
      <c r="AC1003" s="71" t="str">
        <f aca="false">IF(AH1003="","",ROUND(MIN(K1003,TOPE_AFC_UF*AJ1003)*IF(AA1003="Indefinido",AFC_EMP_INDEF,AFC_EMP_PF),0))</f>
        <v/>
      </c>
      <c r="AD1003" s="71" t="str">
        <f aca="false">IF(AH1003="","",ROUND(MIN(K1003,TOPE_AFP_UF*AJ1003)*(MUTUAL_BASICA+MUTUAL_ADIC+SANNA),0))</f>
        <v/>
      </c>
      <c r="AE1003" s="71" t="str">
        <f aca="false">IF(AH1003="","",P1003-N(N1003)+AB1003+AC1003+AD1003)</f>
        <v/>
      </c>
      <c r="AF1003" s="65"/>
      <c r="AG1003" s="64"/>
      <c r="AH1003" s="72" t="str">
        <f aca="false">IF(OR(B1003="",C1003=""),"",C1003&amp;"|"&amp;(YEAR(B1003)*100+MONTH(B1003)))</f>
        <v/>
      </c>
      <c r="AI1003" s="70" t="str">
        <f aca="false">IF(AH1003="","",IF(COUNTIF(L_CLAVE,AH1003)&gt;1,"⚠ Duplicado","OK"))</f>
        <v/>
      </c>
      <c r="AJ1003" s="86" t="str">
        <f aca="false">IF(AH1003="","",IF(SUMPRODUCT(MAX((IND_PER&lt;=B1003)*(IND_UF&lt;&gt;"")*IND_PER))=0,UF_HOY,INDEX(IND_UF,MATCH(SUMPRODUCT(MAX((IND_PER&lt;=B1003)*(IND_UF&lt;&gt;"")*IND_PER)),IND_PER,0))))</f>
        <v/>
      </c>
      <c r="AK1003" s="87" t="str">
        <f aca="false">IF(AH1003="","",IF(COUNTIF(TASA_DESDE,"&lt;="&amp;B1003)=0,INDEX(TASA_EMP,1),INDEX(TASA_EMP,COUNTIF(TASA_DESDE,"&lt;="&amp;B1003))))</f>
        <v/>
      </c>
    </row>
    <row r="1004" customFormat="false" ht="15" hidden="false" customHeight="false" outlineLevel="0" collapsed="false">
      <c r="B1004" s="78"/>
      <c r="C1004" s="64"/>
      <c r="D1004" s="72" t="str">
        <f aca="false">IF(C1004="","",IFERROR(INDEX(T_NOMBRE,MATCH(C1004,T_ID,0)),"⚠ ID no existe"))</f>
        <v/>
      </c>
      <c r="E1004" s="69"/>
      <c r="F1004" s="67"/>
      <c r="G1004" s="67"/>
      <c r="H1004" s="67"/>
      <c r="I1004" s="67"/>
      <c r="J1004" s="67"/>
      <c r="K1004" s="85" t="str">
        <f aca="false">IF(AH1004="","",N(F1004)+N(G1004)+N(H1004)-N(I1004)+N(J1004))</f>
        <v/>
      </c>
      <c r="L1004" s="67"/>
      <c r="M1004" s="67"/>
      <c r="N1004" s="67"/>
      <c r="O1004" s="67"/>
      <c r="P1004" s="85" t="str">
        <f aca="false">IF(AH1004="","",K1004+N(L1004)+N(M1004)+N(N1004)+N(O1004))</f>
        <v/>
      </c>
      <c r="Q1004" s="67"/>
      <c r="R1004" s="67"/>
      <c r="S1004" s="67"/>
      <c r="T1004" s="67"/>
      <c r="U1004" s="67"/>
      <c r="V1004" s="67"/>
      <c r="W1004" s="85" t="str">
        <f aca="false">IF(AH1004="","",N(Q1004)+N(R1004)+N(S1004)+N(T1004)+N(U1004)+N(V1004))</f>
        <v/>
      </c>
      <c r="X1004" s="85" t="str">
        <f aca="false">IF(AH1004="","",P1004-W1004)</f>
        <v/>
      </c>
      <c r="Y1004" s="67"/>
      <c r="Z1004" s="70" t="str">
        <f aca="false">IF(OR(AH1004="",Y1004=""),"",IF(ABS(X1004-Y1004)&lt;=1,"✓ Cuadra","⚠ Diferencia $"&amp;FIXED(X1004-Y1004,0)))</f>
        <v/>
      </c>
      <c r="AA1004" s="72" t="str">
        <f aca="false">IF(AH1004="","",IFERROR(INDEX(C_TIPO,MATCH(C1004&amp;"-P"&amp;MAX(1,COUNTIFS(C_ID,C1004,C_DEFINE,"Sí",C_INICIO,"&lt;="&amp;EOMONTH(B1004,0))),C_CLAVE,0))&amp;"","Sin dato"))</f>
        <v/>
      </c>
      <c r="AB1004" s="71" t="str">
        <f aca="false">IF(AH1004="","",ROUND(MIN(K1004,TOPE_AFP_UF*AJ1004)*AK1004,0))</f>
        <v/>
      </c>
      <c r="AC1004" s="71" t="str">
        <f aca="false">IF(AH1004="","",ROUND(MIN(K1004,TOPE_AFC_UF*AJ1004)*IF(AA1004="Indefinido",AFC_EMP_INDEF,AFC_EMP_PF),0))</f>
        <v/>
      </c>
      <c r="AD1004" s="71" t="str">
        <f aca="false">IF(AH1004="","",ROUND(MIN(K1004,TOPE_AFP_UF*AJ1004)*(MUTUAL_BASICA+MUTUAL_ADIC+SANNA),0))</f>
        <v/>
      </c>
      <c r="AE1004" s="71" t="str">
        <f aca="false">IF(AH1004="","",P1004-N(N1004)+AB1004+AC1004+AD1004)</f>
        <v/>
      </c>
      <c r="AF1004" s="65"/>
      <c r="AG1004" s="64"/>
      <c r="AH1004" s="72" t="str">
        <f aca="false">IF(OR(B1004="",C1004=""),"",C1004&amp;"|"&amp;(YEAR(B1004)*100+MONTH(B1004)))</f>
        <v/>
      </c>
      <c r="AI1004" s="70" t="str">
        <f aca="false">IF(AH1004="","",IF(COUNTIF(L_CLAVE,AH1004)&gt;1,"⚠ Duplicado","OK"))</f>
        <v/>
      </c>
      <c r="AJ1004" s="86" t="str">
        <f aca="false">IF(AH1004="","",IF(SUMPRODUCT(MAX((IND_PER&lt;=B1004)*(IND_UF&lt;&gt;"")*IND_PER))=0,UF_HOY,INDEX(IND_UF,MATCH(SUMPRODUCT(MAX((IND_PER&lt;=B1004)*(IND_UF&lt;&gt;"")*IND_PER)),IND_PER,0))))</f>
        <v/>
      </c>
      <c r="AK1004" s="87" t="str">
        <f aca="false">IF(AH1004="","",IF(COUNTIF(TASA_DESDE,"&lt;="&amp;B1004)=0,INDEX(TASA_EMP,1),INDEX(TASA_EMP,COUNTIF(TASA_DESDE,"&lt;="&amp;B1004))))</f>
        <v/>
      </c>
    </row>
    <row r="1005" customFormat="false" ht="15" hidden="false" customHeight="false" outlineLevel="0" collapsed="false">
      <c r="B1005" s="78"/>
      <c r="C1005" s="64"/>
      <c r="D1005" s="72" t="str">
        <f aca="false">IF(C1005="","",IFERROR(INDEX(T_NOMBRE,MATCH(C1005,T_ID,0)),"⚠ ID no existe"))</f>
        <v/>
      </c>
      <c r="E1005" s="69"/>
      <c r="F1005" s="67"/>
      <c r="G1005" s="67"/>
      <c r="H1005" s="67"/>
      <c r="I1005" s="67"/>
      <c r="J1005" s="67"/>
      <c r="K1005" s="85" t="str">
        <f aca="false">IF(AH1005="","",N(F1005)+N(G1005)+N(H1005)-N(I1005)+N(J1005))</f>
        <v/>
      </c>
      <c r="L1005" s="67"/>
      <c r="M1005" s="67"/>
      <c r="N1005" s="67"/>
      <c r="O1005" s="67"/>
      <c r="P1005" s="85" t="str">
        <f aca="false">IF(AH1005="","",K1005+N(L1005)+N(M1005)+N(N1005)+N(O1005))</f>
        <v/>
      </c>
      <c r="Q1005" s="67"/>
      <c r="R1005" s="67"/>
      <c r="S1005" s="67"/>
      <c r="T1005" s="67"/>
      <c r="U1005" s="67"/>
      <c r="V1005" s="67"/>
      <c r="W1005" s="85" t="str">
        <f aca="false">IF(AH1005="","",N(Q1005)+N(R1005)+N(S1005)+N(T1005)+N(U1005)+N(V1005))</f>
        <v/>
      </c>
      <c r="X1005" s="85" t="str">
        <f aca="false">IF(AH1005="","",P1005-W1005)</f>
        <v/>
      </c>
      <c r="Y1005" s="67"/>
      <c r="Z1005" s="70" t="str">
        <f aca="false">IF(OR(AH1005="",Y1005=""),"",IF(ABS(X1005-Y1005)&lt;=1,"✓ Cuadra","⚠ Diferencia $"&amp;FIXED(X1005-Y1005,0)))</f>
        <v/>
      </c>
      <c r="AA1005" s="72" t="str">
        <f aca="false">IF(AH1005="","",IFERROR(INDEX(C_TIPO,MATCH(C1005&amp;"-P"&amp;MAX(1,COUNTIFS(C_ID,C1005,C_DEFINE,"Sí",C_INICIO,"&lt;="&amp;EOMONTH(B1005,0))),C_CLAVE,0))&amp;"","Sin dato"))</f>
        <v/>
      </c>
      <c r="AB1005" s="71" t="str">
        <f aca="false">IF(AH1005="","",ROUND(MIN(K1005,TOPE_AFP_UF*AJ1005)*AK1005,0))</f>
        <v/>
      </c>
      <c r="AC1005" s="71" t="str">
        <f aca="false">IF(AH1005="","",ROUND(MIN(K1005,TOPE_AFC_UF*AJ1005)*IF(AA1005="Indefinido",AFC_EMP_INDEF,AFC_EMP_PF),0))</f>
        <v/>
      </c>
      <c r="AD1005" s="71" t="str">
        <f aca="false">IF(AH1005="","",ROUND(MIN(K1005,TOPE_AFP_UF*AJ1005)*(MUTUAL_BASICA+MUTUAL_ADIC+SANNA),0))</f>
        <v/>
      </c>
      <c r="AE1005" s="71" t="str">
        <f aca="false">IF(AH1005="","",P1005-N(N1005)+AB1005+AC1005+AD1005)</f>
        <v/>
      </c>
      <c r="AF1005" s="65"/>
      <c r="AG1005" s="64"/>
      <c r="AH1005" s="72" t="str">
        <f aca="false">IF(OR(B1005="",C1005=""),"",C1005&amp;"|"&amp;(YEAR(B1005)*100+MONTH(B1005)))</f>
        <v/>
      </c>
      <c r="AI1005" s="70" t="str">
        <f aca="false">IF(AH1005="","",IF(COUNTIF(L_CLAVE,AH1005)&gt;1,"⚠ Duplicado","OK"))</f>
        <v/>
      </c>
      <c r="AJ1005" s="86" t="str">
        <f aca="false">IF(AH1005="","",IF(SUMPRODUCT(MAX((IND_PER&lt;=B1005)*(IND_UF&lt;&gt;"")*IND_PER))=0,UF_HOY,INDEX(IND_UF,MATCH(SUMPRODUCT(MAX((IND_PER&lt;=B1005)*(IND_UF&lt;&gt;"")*IND_PER)),IND_PER,0))))</f>
        <v/>
      </c>
      <c r="AK1005" s="87" t="str">
        <f aca="false">IF(AH1005="","",IF(COUNTIF(TASA_DESDE,"&lt;="&amp;B1005)=0,INDEX(TASA_EMP,1),INDEX(TASA_EMP,COUNTIF(TASA_DESDE,"&lt;="&amp;B1005))))</f>
        <v/>
      </c>
    </row>
    <row r="1006" customFormat="false" ht="15" hidden="false" customHeight="false" outlineLevel="0" collapsed="false">
      <c r="B1006" s="78"/>
      <c r="C1006" s="64"/>
      <c r="D1006" s="72" t="str">
        <f aca="false">IF(C1006="","",IFERROR(INDEX(T_NOMBRE,MATCH(C1006,T_ID,0)),"⚠ ID no existe"))</f>
        <v/>
      </c>
      <c r="E1006" s="69"/>
      <c r="F1006" s="67"/>
      <c r="G1006" s="67"/>
      <c r="H1006" s="67"/>
      <c r="I1006" s="67"/>
      <c r="J1006" s="67"/>
      <c r="K1006" s="85" t="str">
        <f aca="false">IF(AH1006="","",N(F1006)+N(G1006)+N(H1006)-N(I1006)+N(J1006))</f>
        <v/>
      </c>
      <c r="L1006" s="67"/>
      <c r="M1006" s="67"/>
      <c r="N1006" s="67"/>
      <c r="O1006" s="67"/>
      <c r="P1006" s="85" t="str">
        <f aca="false">IF(AH1006="","",K1006+N(L1006)+N(M1006)+N(N1006)+N(O1006))</f>
        <v/>
      </c>
      <c r="Q1006" s="67"/>
      <c r="R1006" s="67"/>
      <c r="S1006" s="67"/>
      <c r="T1006" s="67"/>
      <c r="U1006" s="67"/>
      <c r="V1006" s="67"/>
      <c r="W1006" s="85" t="str">
        <f aca="false">IF(AH1006="","",N(Q1006)+N(R1006)+N(S1006)+N(T1006)+N(U1006)+N(V1006))</f>
        <v/>
      </c>
      <c r="X1006" s="85" t="str">
        <f aca="false">IF(AH1006="","",P1006-W1006)</f>
        <v/>
      </c>
      <c r="Y1006" s="67"/>
      <c r="Z1006" s="70" t="str">
        <f aca="false">IF(OR(AH1006="",Y1006=""),"",IF(ABS(X1006-Y1006)&lt;=1,"✓ Cuadra","⚠ Diferencia $"&amp;FIXED(X1006-Y1006,0)))</f>
        <v/>
      </c>
      <c r="AA1006" s="72" t="str">
        <f aca="false">IF(AH1006="","",IFERROR(INDEX(C_TIPO,MATCH(C1006&amp;"-P"&amp;MAX(1,COUNTIFS(C_ID,C1006,C_DEFINE,"Sí",C_INICIO,"&lt;="&amp;EOMONTH(B1006,0))),C_CLAVE,0))&amp;"","Sin dato"))</f>
        <v/>
      </c>
      <c r="AB1006" s="71" t="str">
        <f aca="false">IF(AH1006="","",ROUND(MIN(K1006,TOPE_AFP_UF*AJ1006)*AK1006,0))</f>
        <v/>
      </c>
      <c r="AC1006" s="71" t="str">
        <f aca="false">IF(AH1006="","",ROUND(MIN(K1006,TOPE_AFC_UF*AJ1006)*IF(AA1006="Indefinido",AFC_EMP_INDEF,AFC_EMP_PF),0))</f>
        <v/>
      </c>
      <c r="AD1006" s="71" t="str">
        <f aca="false">IF(AH1006="","",ROUND(MIN(K1006,TOPE_AFP_UF*AJ1006)*(MUTUAL_BASICA+MUTUAL_ADIC+SANNA),0))</f>
        <v/>
      </c>
      <c r="AE1006" s="71" t="str">
        <f aca="false">IF(AH1006="","",P1006-N(N1006)+AB1006+AC1006+AD1006)</f>
        <v/>
      </c>
      <c r="AF1006" s="65"/>
      <c r="AG1006" s="64"/>
      <c r="AH1006" s="72" t="str">
        <f aca="false">IF(OR(B1006="",C1006=""),"",C1006&amp;"|"&amp;(YEAR(B1006)*100+MONTH(B1006)))</f>
        <v/>
      </c>
      <c r="AI1006" s="70" t="str">
        <f aca="false">IF(AH1006="","",IF(COUNTIF(L_CLAVE,AH1006)&gt;1,"⚠ Duplicado","OK"))</f>
        <v/>
      </c>
      <c r="AJ1006" s="86" t="str">
        <f aca="false">IF(AH1006="","",IF(SUMPRODUCT(MAX((IND_PER&lt;=B1006)*(IND_UF&lt;&gt;"")*IND_PER))=0,UF_HOY,INDEX(IND_UF,MATCH(SUMPRODUCT(MAX((IND_PER&lt;=B1006)*(IND_UF&lt;&gt;"")*IND_PER)),IND_PER,0))))</f>
        <v/>
      </c>
      <c r="AK1006" s="87" t="str">
        <f aca="false">IF(AH1006="","",IF(COUNTIF(TASA_DESDE,"&lt;="&amp;B1006)=0,INDEX(TASA_EMP,1),INDEX(TASA_EMP,COUNTIF(TASA_DESDE,"&lt;="&amp;B1006))))</f>
        <v/>
      </c>
    </row>
    <row r="1007" customFormat="false" ht="15" hidden="false" customHeight="false" outlineLevel="0" collapsed="false">
      <c r="B1007" s="78"/>
      <c r="C1007" s="64"/>
      <c r="D1007" s="72" t="str">
        <f aca="false">IF(C1007="","",IFERROR(INDEX(T_NOMBRE,MATCH(C1007,T_ID,0)),"⚠ ID no existe"))</f>
        <v/>
      </c>
      <c r="E1007" s="69"/>
      <c r="F1007" s="67"/>
      <c r="G1007" s="67"/>
      <c r="H1007" s="67"/>
      <c r="I1007" s="67"/>
      <c r="J1007" s="67"/>
      <c r="K1007" s="85" t="str">
        <f aca="false">IF(AH1007="","",N(F1007)+N(G1007)+N(H1007)-N(I1007)+N(J1007))</f>
        <v/>
      </c>
      <c r="L1007" s="67"/>
      <c r="M1007" s="67"/>
      <c r="N1007" s="67"/>
      <c r="O1007" s="67"/>
      <c r="P1007" s="85" t="str">
        <f aca="false">IF(AH1007="","",K1007+N(L1007)+N(M1007)+N(N1007)+N(O1007))</f>
        <v/>
      </c>
      <c r="Q1007" s="67"/>
      <c r="R1007" s="67"/>
      <c r="S1007" s="67"/>
      <c r="T1007" s="67"/>
      <c r="U1007" s="67"/>
      <c r="V1007" s="67"/>
      <c r="W1007" s="85" t="str">
        <f aca="false">IF(AH1007="","",N(Q1007)+N(R1007)+N(S1007)+N(T1007)+N(U1007)+N(V1007))</f>
        <v/>
      </c>
      <c r="X1007" s="85" t="str">
        <f aca="false">IF(AH1007="","",P1007-W1007)</f>
        <v/>
      </c>
      <c r="Y1007" s="67"/>
      <c r="Z1007" s="70" t="str">
        <f aca="false">IF(OR(AH1007="",Y1007=""),"",IF(ABS(X1007-Y1007)&lt;=1,"✓ Cuadra","⚠ Diferencia $"&amp;FIXED(X1007-Y1007,0)))</f>
        <v/>
      </c>
      <c r="AA1007" s="72" t="str">
        <f aca="false">IF(AH1007="","",IFERROR(INDEX(C_TIPO,MATCH(C1007&amp;"-P"&amp;MAX(1,COUNTIFS(C_ID,C1007,C_DEFINE,"Sí",C_INICIO,"&lt;="&amp;EOMONTH(B1007,0))),C_CLAVE,0))&amp;"","Sin dato"))</f>
        <v/>
      </c>
      <c r="AB1007" s="71" t="str">
        <f aca="false">IF(AH1007="","",ROUND(MIN(K1007,TOPE_AFP_UF*AJ1007)*AK1007,0))</f>
        <v/>
      </c>
      <c r="AC1007" s="71" t="str">
        <f aca="false">IF(AH1007="","",ROUND(MIN(K1007,TOPE_AFC_UF*AJ1007)*IF(AA1007="Indefinido",AFC_EMP_INDEF,AFC_EMP_PF),0))</f>
        <v/>
      </c>
      <c r="AD1007" s="71" t="str">
        <f aca="false">IF(AH1007="","",ROUND(MIN(K1007,TOPE_AFP_UF*AJ1007)*(MUTUAL_BASICA+MUTUAL_ADIC+SANNA),0))</f>
        <v/>
      </c>
      <c r="AE1007" s="71" t="str">
        <f aca="false">IF(AH1007="","",P1007-N(N1007)+AB1007+AC1007+AD1007)</f>
        <v/>
      </c>
      <c r="AF1007" s="65"/>
      <c r="AG1007" s="64"/>
      <c r="AH1007" s="72" t="str">
        <f aca="false">IF(OR(B1007="",C1007=""),"",C1007&amp;"|"&amp;(YEAR(B1007)*100+MONTH(B1007)))</f>
        <v/>
      </c>
      <c r="AI1007" s="70" t="str">
        <f aca="false">IF(AH1007="","",IF(COUNTIF(L_CLAVE,AH1007)&gt;1,"⚠ Duplicado","OK"))</f>
        <v/>
      </c>
      <c r="AJ1007" s="86" t="str">
        <f aca="false">IF(AH1007="","",IF(SUMPRODUCT(MAX((IND_PER&lt;=B1007)*(IND_UF&lt;&gt;"")*IND_PER))=0,UF_HOY,INDEX(IND_UF,MATCH(SUMPRODUCT(MAX((IND_PER&lt;=B1007)*(IND_UF&lt;&gt;"")*IND_PER)),IND_PER,0))))</f>
        <v/>
      </c>
      <c r="AK1007" s="87" t="str">
        <f aca="false">IF(AH1007="","",IF(COUNTIF(TASA_DESDE,"&lt;="&amp;B1007)=0,INDEX(TASA_EMP,1),INDEX(TASA_EMP,COUNTIF(TASA_DESDE,"&lt;="&amp;B1007))))</f>
        <v/>
      </c>
    </row>
    <row r="1008" customFormat="false" ht="15" hidden="false" customHeight="false" outlineLevel="0" collapsed="false">
      <c r="B1008" s="78"/>
      <c r="C1008" s="64"/>
      <c r="D1008" s="72" t="str">
        <f aca="false">IF(C1008="","",IFERROR(INDEX(T_NOMBRE,MATCH(C1008,T_ID,0)),"⚠ ID no existe"))</f>
        <v/>
      </c>
      <c r="E1008" s="69"/>
      <c r="F1008" s="67"/>
      <c r="G1008" s="67"/>
      <c r="H1008" s="67"/>
      <c r="I1008" s="67"/>
      <c r="J1008" s="67"/>
      <c r="K1008" s="85" t="str">
        <f aca="false">IF(AH1008="","",N(F1008)+N(G1008)+N(H1008)-N(I1008)+N(J1008))</f>
        <v/>
      </c>
      <c r="L1008" s="67"/>
      <c r="M1008" s="67"/>
      <c r="N1008" s="67"/>
      <c r="O1008" s="67"/>
      <c r="P1008" s="85" t="str">
        <f aca="false">IF(AH1008="","",K1008+N(L1008)+N(M1008)+N(N1008)+N(O1008))</f>
        <v/>
      </c>
      <c r="Q1008" s="67"/>
      <c r="R1008" s="67"/>
      <c r="S1008" s="67"/>
      <c r="T1008" s="67"/>
      <c r="U1008" s="67"/>
      <c r="V1008" s="67"/>
      <c r="W1008" s="85" t="str">
        <f aca="false">IF(AH1008="","",N(Q1008)+N(R1008)+N(S1008)+N(T1008)+N(U1008)+N(V1008))</f>
        <v/>
      </c>
      <c r="X1008" s="85" t="str">
        <f aca="false">IF(AH1008="","",P1008-W1008)</f>
        <v/>
      </c>
      <c r="Y1008" s="67"/>
      <c r="Z1008" s="70" t="str">
        <f aca="false">IF(OR(AH1008="",Y1008=""),"",IF(ABS(X1008-Y1008)&lt;=1,"✓ Cuadra","⚠ Diferencia $"&amp;FIXED(X1008-Y1008,0)))</f>
        <v/>
      </c>
      <c r="AA1008" s="72" t="str">
        <f aca="false">IF(AH1008="","",IFERROR(INDEX(C_TIPO,MATCH(C1008&amp;"-P"&amp;MAX(1,COUNTIFS(C_ID,C1008,C_DEFINE,"Sí",C_INICIO,"&lt;="&amp;EOMONTH(B1008,0))),C_CLAVE,0))&amp;"","Sin dato"))</f>
        <v/>
      </c>
      <c r="AB1008" s="71" t="str">
        <f aca="false">IF(AH1008="","",ROUND(MIN(K1008,TOPE_AFP_UF*AJ1008)*AK1008,0))</f>
        <v/>
      </c>
      <c r="AC1008" s="71" t="str">
        <f aca="false">IF(AH1008="","",ROUND(MIN(K1008,TOPE_AFC_UF*AJ1008)*IF(AA1008="Indefinido",AFC_EMP_INDEF,AFC_EMP_PF),0))</f>
        <v/>
      </c>
      <c r="AD1008" s="71" t="str">
        <f aca="false">IF(AH1008="","",ROUND(MIN(K1008,TOPE_AFP_UF*AJ1008)*(MUTUAL_BASICA+MUTUAL_ADIC+SANNA),0))</f>
        <v/>
      </c>
      <c r="AE1008" s="71" t="str">
        <f aca="false">IF(AH1008="","",P1008-N(N1008)+AB1008+AC1008+AD1008)</f>
        <v/>
      </c>
      <c r="AF1008" s="65"/>
      <c r="AG1008" s="64"/>
      <c r="AH1008" s="72" t="str">
        <f aca="false">IF(OR(B1008="",C1008=""),"",C1008&amp;"|"&amp;(YEAR(B1008)*100+MONTH(B1008)))</f>
        <v/>
      </c>
      <c r="AI1008" s="70" t="str">
        <f aca="false">IF(AH1008="","",IF(COUNTIF(L_CLAVE,AH1008)&gt;1,"⚠ Duplicado","OK"))</f>
        <v/>
      </c>
      <c r="AJ1008" s="86" t="str">
        <f aca="false">IF(AH1008="","",IF(SUMPRODUCT(MAX((IND_PER&lt;=B1008)*(IND_UF&lt;&gt;"")*IND_PER))=0,UF_HOY,INDEX(IND_UF,MATCH(SUMPRODUCT(MAX((IND_PER&lt;=B1008)*(IND_UF&lt;&gt;"")*IND_PER)),IND_PER,0))))</f>
        <v/>
      </c>
      <c r="AK1008" s="87" t="str">
        <f aca="false">IF(AH1008="","",IF(COUNTIF(TASA_DESDE,"&lt;="&amp;B1008)=0,INDEX(TASA_EMP,1),INDEX(TASA_EMP,COUNTIF(TASA_DESDE,"&lt;="&amp;B1008))))</f>
        <v/>
      </c>
    </row>
    <row r="1009" customFormat="false" ht="15" hidden="false" customHeight="false" outlineLevel="0" collapsed="false">
      <c r="B1009" s="78"/>
      <c r="C1009" s="64"/>
      <c r="D1009" s="72" t="str">
        <f aca="false">IF(C1009="","",IFERROR(INDEX(T_NOMBRE,MATCH(C1009,T_ID,0)),"⚠ ID no existe"))</f>
        <v/>
      </c>
      <c r="E1009" s="69"/>
      <c r="F1009" s="67"/>
      <c r="G1009" s="67"/>
      <c r="H1009" s="67"/>
      <c r="I1009" s="67"/>
      <c r="J1009" s="67"/>
      <c r="K1009" s="85" t="str">
        <f aca="false">IF(AH1009="","",N(F1009)+N(G1009)+N(H1009)-N(I1009)+N(J1009))</f>
        <v/>
      </c>
      <c r="L1009" s="67"/>
      <c r="M1009" s="67"/>
      <c r="N1009" s="67"/>
      <c r="O1009" s="67"/>
      <c r="P1009" s="85" t="str">
        <f aca="false">IF(AH1009="","",K1009+N(L1009)+N(M1009)+N(N1009)+N(O1009))</f>
        <v/>
      </c>
      <c r="Q1009" s="67"/>
      <c r="R1009" s="67"/>
      <c r="S1009" s="67"/>
      <c r="T1009" s="67"/>
      <c r="U1009" s="67"/>
      <c r="V1009" s="67"/>
      <c r="W1009" s="85" t="str">
        <f aca="false">IF(AH1009="","",N(Q1009)+N(R1009)+N(S1009)+N(T1009)+N(U1009)+N(V1009))</f>
        <v/>
      </c>
      <c r="X1009" s="85" t="str">
        <f aca="false">IF(AH1009="","",P1009-W1009)</f>
        <v/>
      </c>
      <c r="Y1009" s="67"/>
      <c r="Z1009" s="70" t="str">
        <f aca="false">IF(OR(AH1009="",Y1009=""),"",IF(ABS(X1009-Y1009)&lt;=1,"✓ Cuadra","⚠ Diferencia $"&amp;FIXED(X1009-Y1009,0)))</f>
        <v/>
      </c>
      <c r="AA1009" s="72" t="str">
        <f aca="false">IF(AH1009="","",IFERROR(INDEX(C_TIPO,MATCH(C1009&amp;"-P"&amp;MAX(1,COUNTIFS(C_ID,C1009,C_DEFINE,"Sí",C_INICIO,"&lt;="&amp;EOMONTH(B1009,0))),C_CLAVE,0))&amp;"","Sin dato"))</f>
        <v/>
      </c>
      <c r="AB1009" s="71" t="str">
        <f aca="false">IF(AH1009="","",ROUND(MIN(K1009,TOPE_AFP_UF*AJ1009)*AK1009,0))</f>
        <v/>
      </c>
      <c r="AC1009" s="71" t="str">
        <f aca="false">IF(AH1009="","",ROUND(MIN(K1009,TOPE_AFC_UF*AJ1009)*IF(AA1009="Indefinido",AFC_EMP_INDEF,AFC_EMP_PF),0))</f>
        <v/>
      </c>
      <c r="AD1009" s="71" t="str">
        <f aca="false">IF(AH1009="","",ROUND(MIN(K1009,TOPE_AFP_UF*AJ1009)*(MUTUAL_BASICA+MUTUAL_ADIC+SANNA),0))</f>
        <v/>
      </c>
      <c r="AE1009" s="71" t="str">
        <f aca="false">IF(AH1009="","",P1009-N(N1009)+AB1009+AC1009+AD1009)</f>
        <v/>
      </c>
      <c r="AF1009" s="65"/>
      <c r="AG1009" s="64"/>
      <c r="AH1009" s="72" t="str">
        <f aca="false">IF(OR(B1009="",C1009=""),"",C1009&amp;"|"&amp;(YEAR(B1009)*100+MONTH(B1009)))</f>
        <v/>
      </c>
      <c r="AI1009" s="70" t="str">
        <f aca="false">IF(AH1009="","",IF(COUNTIF(L_CLAVE,AH1009)&gt;1,"⚠ Duplicado","OK"))</f>
        <v/>
      </c>
      <c r="AJ1009" s="86" t="str">
        <f aca="false">IF(AH1009="","",IF(SUMPRODUCT(MAX((IND_PER&lt;=B1009)*(IND_UF&lt;&gt;"")*IND_PER))=0,UF_HOY,INDEX(IND_UF,MATCH(SUMPRODUCT(MAX((IND_PER&lt;=B1009)*(IND_UF&lt;&gt;"")*IND_PER)),IND_PER,0))))</f>
        <v/>
      </c>
      <c r="AK1009" s="87" t="str">
        <f aca="false">IF(AH1009="","",IF(COUNTIF(TASA_DESDE,"&lt;="&amp;B1009)=0,INDEX(TASA_EMP,1),INDEX(TASA_EMP,COUNTIF(TASA_DESDE,"&lt;="&amp;B1009))))</f>
        <v/>
      </c>
    </row>
    <row r="1010" customFormat="false" ht="15" hidden="false" customHeight="false" outlineLevel="0" collapsed="false">
      <c r="B1010" s="78"/>
      <c r="C1010" s="64"/>
      <c r="D1010" s="72" t="str">
        <f aca="false">IF(C1010="","",IFERROR(INDEX(T_NOMBRE,MATCH(C1010,T_ID,0)),"⚠ ID no existe"))</f>
        <v/>
      </c>
      <c r="E1010" s="69"/>
      <c r="F1010" s="67"/>
      <c r="G1010" s="67"/>
      <c r="H1010" s="67"/>
      <c r="I1010" s="67"/>
      <c r="J1010" s="67"/>
      <c r="K1010" s="85" t="str">
        <f aca="false">IF(AH1010="","",N(F1010)+N(G1010)+N(H1010)-N(I1010)+N(J1010))</f>
        <v/>
      </c>
      <c r="L1010" s="67"/>
      <c r="M1010" s="67"/>
      <c r="N1010" s="67"/>
      <c r="O1010" s="67"/>
      <c r="P1010" s="85" t="str">
        <f aca="false">IF(AH1010="","",K1010+N(L1010)+N(M1010)+N(N1010)+N(O1010))</f>
        <v/>
      </c>
      <c r="Q1010" s="67"/>
      <c r="R1010" s="67"/>
      <c r="S1010" s="67"/>
      <c r="T1010" s="67"/>
      <c r="U1010" s="67"/>
      <c r="V1010" s="67"/>
      <c r="W1010" s="85" t="str">
        <f aca="false">IF(AH1010="","",N(Q1010)+N(R1010)+N(S1010)+N(T1010)+N(U1010)+N(V1010))</f>
        <v/>
      </c>
      <c r="X1010" s="85" t="str">
        <f aca="false">IF(AH1010="","",P1010-W1010)</f>
        <v/>
      </c>
      <c r="Y1010" s="67"/>
      <c r="Z1010" s="70" t="str">
        <f aca="false">IF(OR(AH1010="",Y1010=""),"",IF(ABS(X1010-Y1010)&lt;=1,"✓ Cuadra","⚠ Diferencia $"&amp;FIXED(X1010-Y1010,0)))</f>
        <v/>
      </c>
      <c r="AA1010" s="72" t="str">
        <f aca="false">IF(AH1010="","",IFERROR(INDEX(C_TIPO,MATCH(C1010&amp;"-P"&amp;MAX(1,COUNTIFS(C_ID,C1010,C_DEFINE,"Sí",C_INICIO,"&lt;="&amp;EOMONTH(B1010,0))),C_CLAVE,0))&amp;"","Sin dato"))</f>
        <v/>
      </c>
      <c r="AB1010" s="71" t="str">
        <f aca="false">IF(AH1010="","",ROUND(MIN(K1010,TOPE_AFP_UF*AJ1010)*AK1010,0))</f>
        <v/>
      </c>
      <c r="AC1010" s="71" t="str">
        <f aca="false">IF(AH1010="","",ROUND(MIN(K1010,TOPE_AFC_UF*AJ1010)*IF(AA1010="Indefinido",AFC_EMP_INDEF,AFC_EMP_PF),0))</f>
        <v/>
      </c>
      <c r="AD1010" s="71" t="str">
        <f aca="false">IF(AH1010="","",ROUND(MIN(K1010,TOPE_AFP_UF*AJ1010)*(MUTUAL_BASICA+MUTUAL_ADIC+SANNA),0))</f>
        <v/>
      </c>
      <c r="AE1010" s="71" t="str">
        <f aca="false">IF(AH1010="","",P1010-N(N1010)+AB1010+AC1010+AD1010)</f>
        <v/>
      </c>
      <c r="AF1010" s="65"/>
      <c r="AG1010" s="64"/>
      <c r="AH1010" s="72" t="str">
        <f aca="false">IF(OR(B1010="",C1010=""),"",C1010&amp;"|"&amp;(YEAR(B1010)*100+MONTH(B1010)))</f>
        <v/>
      </c>
      <c r="AI1010" s="70" t="str">
        <f aca="false">IF(AH1010="","",IF(COUNTIF(L_CLAVE,AH1010)&gt;1,"⚠ Duplicado","OK"))</f>
        <v/>
      </c>
      <c r="AJ1010" s="86" t="str">
        <f aca="false">IF(AH1010="","",IF(SUMPRODUCT(MAX((IND_PER&lt;=B1010)*(IND_UF&lt;&gt;"")*IND_PER))=0,UF_HOY,INDEX(IND_UF,MATCH(SUMPRODUCT(MAX((IND_PER&lt;=B1010)*(IND_UF&lt;&gt;"")*IND_PER)),IND_PER,0))))</f>
        <v/>
      </c>
      <c r="AK1010" s="87" t="str">
        <f aca="false">IF(AH1010="","",IF(COUNTIF(TASA_DESDE,"&lt;="&amp;B1010)=0,INDEX(TASA_EMP,1),INDEX(TASA_EMP,COUNTIF(TASA_DESDE,"&lt;="&amp;B1010))))</f>
        <v/>
      </c>
    </row>
    <row r="1011" customFormat="false" ht="15" hidden="false" customHeight="false" outlineLevel="0" collapsed="false">
      <c r="B1011" s="78"/>
      <c r="C1011" s="64"/>
      <c r="D1011" s="72" t="str">
        <f aca="false">IF(C1011="","",IFERROR(INDEX(T_NOMBRE,MATCH(C1011,T_ID,0)),"⚠ ID no existe"))</f>
        <v/>
      </c>
      <c r="E1011" s="69"/>
      <c r="F1011" s="67"/>
      <c r="G1011" s="67"/>
      <c r="H1011" s="67"/>
      <c r="I1011" s="67"/>
      <c r="J1011" s="67"/>
      <c r="K1011" s="85" t="str">
        <f aca="false">IF(AH1011="","",N(F1011)+N(G1011)+N(H1011)-N(I1011)+N(J1011))</f>
        <v/>
      </c>
      <c r="L1011" s="67"/>
      <c r="M1011" s="67"/>
      <c r="N1011" s="67"/>
      <c r="O1011" s="67"/>
      <c r="P1011" s="85" t="str">
        <f aca="false">IF(AH1011="","",K1011+N(L1011)+N(M1011)+N(N1011)+N(O1011))</f>
        <v/>
      </c>
      <c r="Q1011" s="67"/>
      <c r="R1011" s="67"/>
      <c r="S1011" s="67"/>
      <c r="T1011" s="67"/>
      <c r="U1011" s="67"/>
      <c r="V1011" s="67"/>
      <c r="W1011" s="85" t="str">
        <f aca="false">IF(AH1011="","",N(Q1011)+N(R1011)+N(S1011)+N(T1011)+N(U1011)+N(V1011))</f>
        <v/>
      </c>
      <c r="X1011" s="85" t="str">
        <f aca="false">IF(AH1011="","",P1011-W1011)</f>
        <v/>
      </c>
      <c r="Y1011" s="67"/>
      <c r="Z1011" s="70" t="str">
        <f aca="false">IF(OR(AH1011="",Y1011=""),"",IF(ABS(X1011-Y1011)&lt;=1,"✓ Cuadra","⚠ Diferencia $"&amp;FIXED(X1011-Y1011,0)))</f>
        <v/>
      </c>
      <c r="AA1011" s="72" t="str">
        <f aca="false">IF(AH1011="","",IFERROR(INDEX(C_TIPO,MATCH(C1011&amp;"-P"&amp;MAX(1,COUNTIFS(C_ID,C1011,C_DEFINE,"Sí",C_INICIO,"&lt;="&amp;EOMONTH(B1011,0))),C_CLAVE,0))&amp;"","Sin dato"))</f>
        <v/>
      </c>
      <c r="AB1011" s="71" t="str">
        <f aca="false">IF(AH1011="","",ROUND(MIN(K1011,TOPE_AFP_UF*AJ1011)*AK1011,0))</f>
        <v/>
      </c>
      <c r="AC1011" s="71" t="str">
        <f aca="false">IF(AH1011="","",ROUND(MIN(K1011,TOPE_AFC_UF*AJ1011)*IF(AA1011="Indefinido",AFC_EMP_INDEF,AFC_EMP_PF),0))</f>
        <v/>
      </c>
      <c r="AD1011" s="71" t="str">
        <f aca="false">IF(AH1011="","",ROUND(MIN(K1011,TOPE_AFP_UF*AJ1011)*(MUTUAL_BASICA+MUTUAL_ADIC+SANNA),0))</f>
        <v/>
      </c>
      <c r="AE1011" s="71" t="str">
        <f aca="false">IF(AH1011="","",P1011-N(N1011)+AB1011+AC1011+AD1011)</f>
        <v/>
      </c>
      <c r="AF1011" s="65"/>
      <c r="AG1011" s="64"/>
      <c r="AH1011" s="72" t="str">
        <f aca="false">IF(OR(B1011="",C1011=""),"",C1011&amp;"|"&amp;(YEAR(B1011)*100+MONTH(B1011)))</f>
        <v/>
      </c>
      <c r="AI1011" s="70" t="str">
        <f aca="false">IF(AH1011="","",IF(COUNTIF(L_CLAVE,AH1011)&gt;1,"⚠ Duplicado","OK"))</f>
        <v/>
      </c>
      <c r="AJ1011" s="86" t="str">
        <f aca="false">IF(AH1011="","",IF(SUMPRODUCT(MAX((IND_PER&lt;=B1011)*(IND_UF&lt;&gt;"")*IND_PER))=0,UF_HOY,INDEX(IND_UF,MATCH(SUMPRODUCT(MAX((IND_PER&lt;=B1011)*(IND_UF&lt;&gt;"")*IND_PER)),IND_PER,0))))</f>
        <v/>
      </c>
      <c r="AK1011" s="87" t="str">
        <f aca="false">IF(AH1011="","",IF(COUNTIF(TASA_DESDE,"&lt;="&amp;B1011)=0,INDEX(TASA_EMP,1),INDEX(TASA_EMP,COUNTIF(TASA_DESDE,"&lt;="&amp;B1011))))</f>
        <v/>
      </c>
    </row>
    <row r="1012" customFormat="false" ht="15" hidden="false" customHeight="false" outlineLevel="0" collapsed="false">
      <c r="B1012" s="78"/>
      <c r="C1012" s="64"/>
      <c r="D1012" s="72" t="str">
        <f aca="false">IF(C1012="","",IFERROR(INDEX(T_NOMBRE,MATCH(C1012,T_ID,0)),"⚠ ID no existe"))</f>
        <v/>
      </c>
      <c r="E1012" s="69"/>
      <c r="F1012" s="67"/>
      <c r="G1012" s="67"/>
      <c r="H1012" s="67"/>
      <c r="I1012" s="67"/>
      <c r="J1012" s="67"/>
      <c r="K1012" s="85" t="str">
        <f aca="false">IF(AH1012="","",N(F1012)+N(G1012)+N(H1012)-N(I1012)+N(J1012))</f>
        <v/>
      </c>
      <c r="L1012" s="67"/>
      <c r="M1012" s="67"/>
      <c r="N1012" s="67"/>
      <c r="O1012" s="67"/>
      <c r="P1012" s="85" t="str">
        <f aca="false">IF(AH1012="","",K1012+N(L1012)+N(M1012)+N(N1012)+N(O1012))</f>
        <v/>
      </c>
      <c r="Q1012" s="67"/>
      <c r="R1012" s="67"/>
      <c r="S1012" s="67"/>
      <c r="T1012" s="67"/>
      <c r="U1012" s="67"/>
      <c r="V1012" s="67"/>
      <c r="W1012" s="85" t="str">
        <f aca="false">IF(AH1012="","",N(Q1012)+N(R1012)+N(S1012)+N(T1012)+N(U1012)+N(V1012))</f>
        <v/>
      </c>
      <c r="X1012" s="85" t="str">
        <f aca="false">IF(AH1012="","",P1012-W1012)</f>
        <v/>
      </c>
      <c r="Y1012" s="67"/>
      <c r="Z1012" s="70" t="str">
        <f aca="false">IF(OR(AH1012="",Y1012=""),"",IF(ABS(X1012-Y1012)&lt;=1,"✓ Cuadra","⚠ Diferencia $"&amp;FIXED(X1012-Y1012,0)))</f>
        <v/>
      </c>
      <c r="AA1012" s="72" t="str">
        <f aca="false">IF(AH1012="","",IFERROR(INDEX(C_TIPO,MATCH(C1012&amp;"-P"&amp;MAX(1,COUNTIFS(C_ID,C1012,C_DEFINE,"Sí",C_INICIO,"&lt;="&amp;EOMONTH(B1012,0))),C_CLAVE,0))&amp;"","Sin dato"))</f>
        <v/>
      </c>
      <c r="AB1012" s="71" t="str">
        <f aca="false">IF(AH1012="","",ROUND(MIN(K1012,TOPE_AFP_UF*AJ1012)*AK1012,0))</f>
        <v/>
      </c>
      <c r="AC1012" s="71" t="str">
        <f aca="false">IF(AH1012="","",ROUND(MIN(K1012,TOPE_AFC_UF*AJ1012)*IF(AA1012="Indefinido",AFC_EMP_INDEF,AFC_EMP_PF),0))</f>
        <v/>
      </c>
      <c r="AD1012" s="71" t="str">
        <f aca="false">IF(AH1012="","",ROUND(MIN(K1012,TOPE_AFP_UF*AJ1012)*(MUTUAL_BASICA+MUTUAL_ADIC+SANNA),0))</f>
        <v/>
      </c>
      <c r="AE1012" s="71" t="str">
        <f aca="false">IF(AH1012="","",P1012-N(N1012)+AB1012+AC1012+AD1012)</f>
        <v/>
      </c>
      <c r="AF1012" s="65"/>
      <c r="AG1012" s="64"/>
      <c r="AH1012" s="72" t="str">
        <f aca="false">IF(OR(B1012="",C1012=""),"",C1012&amp;"|"&amp;(YEAR(B1012)*100+MONTH(B1012)))</f>
        <v/>
      </c>
      <c r="AI1012" s="70" t="str">
        <f aca="false">IF(AH1012="","",IF(COUNTIF(L_CLAVE,AH1012)&gt;1,"⚠ Duplicado","OK"))</f>
        <v/>
      </c>
      <c r="AJ1012" s="86" t="str">
        <f aca="false">IF(AH1012="","",IF(SUMPRODUCT(MAX((IND_PER&lt;=B1012)*(IND_UF&lt;&gt;"")*IND_PER))=0,UF_HOY,INDEX(IND_UF,MATCH(SUMPRODUCT(MAX((IND_PER&lt;=B1012)*(IND_UF&lt;&gt;"")*IND_PER)),IND_PER,0))))</f>
        <v/>
      </c>
      <c r="AK1012" s="87" t="str">
        <f aca="false">IF(AH1012="","",IF(COUNTIF(TASA_DESDE,"&lt;="&amp;B1012)=0,INDEX(TASA_EMP,1),INDEX(TASA_EMP,COUNTIF(TASA_DESDE,"&lt;="&amp;B1012))))</f>
        <v/>
      </c>
    </row>
    <row r="1013" customFormat="false" ht="15" hidden="false" customHeight="false" outlineLevel="0" collapsed="false">
      <c r="B1013" s="78"/>
      <c r="C1013" s="64"/>
      <c r="D1013" s="72" t="str">
        <f aca="false">IF(C1013="","",IFERROR(INDEX(T_NOMBRE,MATCH(C1013,T_ID,0)),"⚠ ID no existe"))</f>
        <v/>
      </c>
      <c r="E1013" s="69"/>
      <c r="F1013" s="67"/>
      <c r="G1013" s="67"/>
      <c r="H1013" s="67"/>
      <c r="I1013" s="67"/>
      <c r="J1013" s="67"/>
      <c r="K1013" s="85" t="str">
        <f aca="false">IF(AH1013="","",N(F1013)+N(G1013)+N(H1013)-N(I1013)+N(J1013))</f>
        <v/>
      </c>
      <c r="L1013" s="67"/>
      <c r="M1013" s="67"/>
      <c r="N1013" s="67"/>
      <c r="O1013" s="67"/>
      <c r="P1013" s="85" t="str">
        <f aca="false">IF(AH1013="","",K1013+N(L1013)+N(M1013)+N(N1013)+N(O1013))</f>
        <v/>
      </c>
      <c r="Q1013" s="67"/>
      <c r="R1013" s="67"/>
      <c r="S1013" s="67"/>
      <c r="T1013" s="67"/>
      <c r="U1013" s="67"/>
      <c r="V1013" s="67"/>
      <c r="W1013" s="85" t="str">
        <f aca="false">IF(AH1013="","",N(Q1013)+N(R1013)+N(S1013)+N(T1013)+N(U1013)+N(V1013))</f>
        <v/>
      </c>
      <c r="X1013" s="85" t="str">
        <f aca="false">IF(AH1013="","",P1013-W1013)</f>
        <v/>
      </c>
      <c r="Y1013" s="67"/>
      <c r="Z1013" s="70" t="str">
        <f aca="false">IF(OR(AH1013="",Y1013=""),"",IF(ABS(X1013-Y1013)&lt;=1,"✓ Cuadra","⚠ Diferencia $"&amp;FIXED(X1013-Y1013,0)))</f>
        <v/>
      </c>
      <c r="AA1013" s="72" t="str">
        <f aca="false">IF(AH1013="","",IFERROR(INDEX(C_TIPO,MATCH(C1013&amp;"-P"&amp;MAX(1,COUNTIFS(C_ID,C1013,C_DEFINE,"Sí",C_INICIO,"&lt;="&amp;EOMONTH(B1013,0))),C_CLAVE,0))&amp;"","Sin dato"))</f>
        <v/>
      </c>
      <c r="AB1013" s="71" t="str">
        <f aca="false">IF(AH1013="","",ROUND(MIN(K1013,TOPE_AFP_UF*AJ1013)*AK1013,0))</f>
        <v/>
      </c>
      <c r="AC1013" s="71" t="str">
        <f aca="false">IF(AH1013="","",ROUND(MIN(K1013,TOPE_AFC_UF*AJ1013)*IF(AA1013="Indefinido",AFC_EMP_INDEF,AFC_EMP_PF),0))</f>
        <v/>
      </c>
      <c r="AD1013" s="71" t="str">
        <f aca="false">IF(AH1013="","",ROUND(MIN(K1013,TOPE_AFP_UF*AJ1013)*(MUTUAL_BASICA+MUTUAL_ADIC+SANNA),0))</f>
        <v/>
      </c>
      <c r="AE1013" s="71" t="str">
        <f aca="false">IF(AH1013="","",P1013-N(N1013)+AB1013+AC1013+AD1013)</f>
        <v/>
      </c>
      <c r="AF1013" s="65"/>
      <c r="AG1013" s="64"/>
      <c r="AH1013" s="72" t="str">
        <f aca="false">IF(OR(B1013="",C1013=""),"",C1013&amp;"|"&amp;(YEAR(B1013)*100+MONTH(B1013)))</f>
        <v/>
      </c>
      <c r="AI1013" s="70" t="str">
        <f aca="false">IF(AH1013="","",IF(COUNTIF(L_CLAVE,AH1013)&gt;1,"⚠ Duplicado","OK"))</f>
        <v/>
      </c>
      <c r="AJ1013" s="86" t="str">
        <f aca="false">IF(AH1013="","",IF(SUMPRODUCT(MAX((IND_PER&lt;=B1013)*(IND_UF&lt;&gt;"")*IND_PER))=0,UF_HOY,INDEX(IND_UF,MATCH(SUMPRODUCT(MAX((IND_PER&lt;=B1013)*(IND_UF&lt;&gt;"")*IND_PER)),IND_PER,0))))</f>
        <v/>
      </c>
      <c r="AK1013" s="87" t="str">
        <f aca="false">IF(AH1013="","",IF(COUNTIF(TASA_DESDE,"&lt;="&amp;B1013)=0,INDEX(TASA_EMP,1),INDEX(TASA_EMP,COUNTIF(TASA_DESDE,"&lt;="&amp;B1013))))</f>
        <v/>
      </c>
    </row>
    <row r="1014" customFormat="false" ht="15" hidden="false" customHeight="false" outlineLevel="0" collapsed="false">
      <c r="B1014" s="78"/>
      <c r="C1014" s="64"/>
      <c r="D1014" s="72" t="str">
        <f aca="false">IF(C1014="","",IFERROR(INDEX(T_NOMBRE,MATCH(C1014,T_ID,0)),"⚠ ID no existe"))</f>
        <v/>
      </c>
      <c r="E1014" s="69"/>
      <c r="F1014" s="67"/>
      <c r="G1014" s="67"/>
      <c r="H1014" s="67"/>
      <c r="I1014" s="67"/>
      <c r="J1014" s="67"/>
      <c r="K1014" s="85" t="str">
        <f aca="false">IF(AH1014="","",N(F1014)+N(G1014)+N(H1014)-N(I1014)+N(J1014))</f>
        <v/>
      </c>
      <c r="L1014" s="67"/>
      <c r="M1014" s="67"/>
      <c r="N1014" s="67"/>
      <c r="O1014" s="67"/>
      <c r="P1014" s="85" t="str">
        <f aca="false">IF(AH1014="","",K1014+N(L1014)+N(M1014)+N(N1014)+N(O1014))</f>
        <v/>
      </c>
      <c r="Q1014" s="67"/>
      <c r="R1014" s="67"/>
      <c r="S1014" s="67"/>
      <c r="T1014" s="67"/>
      <c r="U1014" s="67"/>
      <c r="V1014" s="67"/>
      <c r="W1014" s="85" t="str">
        <f aca="false">IF(AH1014="","",N(Q1014)+N(R1014)+N(S1014)+N(T1014)+N(U1014)+N(V1014))</f>
        <v/>
      </c>
      <c r="X1014" s="85" t="str">
        <f aca="false">IF(AH1014="","",P1014-W1014)</f>
        <v/>
      </c>
      <c r="Y1014" s="67"/>
      <c r="Z1014" s="70" t="str">
        <f aca="false">IF(OR(AH1014="",Y1014=""),"",IF(ABS(X1014-Y1014)&lt;=1,"✓ Cuadra","⚠ Diferencia $"&amp;FIXED(X1014-Y1014,0)))</f>
        <v/>
      </c>
      <c r="AA1014" s="72" t="str">
        <f aca="false">IF(AH1014="","",IFERROR(INDEX(C_TIPO,MATCH(C1014&amp;"-P"&amp;MAX(1,COUNTIFS(C_ID,C1014,C_DEFINE,"Sí",C_INICIO,"&lt;="&amp;EOMONTH(B1014,0))),C_CLAVE,0))&amp;"","Sin dato"))</f>
        <v/>
      </c>
      <c r="AB1014" s="71" t="str">
        <f aca="false">IF(AH1014="","",ROUND(MIN(K1014,TOPE_AFP_UF*AJ1014)*AK1014,0))</f>
        <v/>
      </c>
      <c r="AC1014" s="71" t="str">
        <f aca="false">IF(AH1014="","",ROUND(MIN(K1014,TOPE_AFC_UF*AJ1014)*IF(AA1014="Indefinido",AFC_EMP_INDEF,AFC_EMP_PF),0))</f>
        <v/>
      </c>
      <c r="AD1014" s="71" t="str">
        <f aca="false">IF(AH1014="","",ROUND(MIN(K1014,TOPE_AFP_UF*AJ1014)*(MUTUAL_BASICA+MUTUAL_ADIC+SANNA),0))</f>
        <v/>
      </c>
      <c r="AE1014" s="71" t="str">
        <f aca="false">IF(AH1014="","",P1014-N(N1014)+AB1014+AC1014+AD1014)</f>
        <v/>
      </c>
      <c r="AF1014" s="65"/>
      <c r="AG1014" s="64"/>
      <c r="AH1014" s="72" t="str">
        <f aca="false">IF(OR(B1014="",C1014=""),"",C1014&amp;"|"&amp;(YEAR(B1014)*100+MONTH(B1014)))</f>
        <v/>
      </c>
      <c r="AI1014" s="70" t="str">
        <f aca="false">IF(AH1014="","",IF(COUNTIF(L_CLAVE,AH1014)&gt;1,"⚠ Duplicado","OK"))</f>
        <v/>
      </c>
      <c r="AJ1014" s="86" t="str">
        <f aca="false">IF(AH1014="","",IF(SUMPRODUCT(MAX((IND_PER&lt;=B1014)*(IND_UF&lt;&gt;"")*IND_PER))=0,UF_HOY,INDEX(IND_UF,MATCH(SUMPRODUCT(MAX((IND_PER&lt;=B1014)*(IND_UF&lt;&gt;"")*IND_PER)),IND_PER,0))))</f>
        <v/>
      </c>
      <c r="AK1014" s="87" t="str">
        <f aca="false">IF(AH1014="","",IF(COUNTIF(TASA_DESDE,"&lt;="&amp;B1014)=0,INDEX(TASA_EMP,1),INDEX(TASA_EMP,COUNTIF(TASA_DESDE,"&lt;="&amp;B1014))))</f>
        <v/>
      </c>
    </row>
    <row r="1015" customFormat="false" ht="15" hidden="false" customHeight="false" outlineLevel="0" collapsed="false">
      <c r="B1015" s="78"/>
      <c r="C1015" s="64"/>
      <c r="D1015" s="72" t="str">
        <f aca="false">IF(C1015="","",IFERROR(INDEX(T_NOMBRE,MATCH(C1015,T_ID,0)),"⚠ ID no existe"))</f>
        <v/>
      </c>
      <c r="E1015" s="69"/>
      <c r="F1015" s="67"/>
      <c r="G1015" s="67"/>
      <c r="H1015" s="67"/>
      <c r="I1015" s="67"/>
      <c r="J1015" s="67"/>
      <c r="K1015" s="85" t="str">
        <f aca="false">IF(AH1015="","",N(F1015)+N(G1015)+N(H1015)-N(I1015)+N(J1015))</f>
        <v/>
      </c>
      <c r="L1015" s="67"/>
      <c r="M1015" s="67"/>
      <c r="N1015" s="67"/>
      <c r="O1015" s="67"/>
      <c r="P1015" s="85" t="str">
        <f aca="false">IF(AH1015="","",K1015+N(L1015)+N(M1015)+N(N1015)+N(O1015))</f>
        <v/>
      </c>
      <c r="Q1015" s="67"/>
      <c r="R1015" s="67"/>
      <c r="S1015" s="67"/>
      <c r="T1015" s="67"/>
      <c r="U1015" s="67"/>
      <c r="V1015" s="67"/>
      <c r="W1015" s="85" t="str">
        <f aca="false">IF(AH1015="","",N(Q1015)+N(R1015)+N(S1015)+N(T1015)+N(U1015)+N(V1015))</f>
        <v/>
      </c>
      <c r="X1015" s="85" t="str">
        <f aca="false">IF(AH1015="","",P1015-W1015)</f>
        <v/>
      </c>
      <c r="Y1015" s="67"/>
      <c r="Z1015" s="70" t="str">
        <f aca="false">IF(OR(AH1015="",Y1015=""),"",IF(ABS(X1015-Y1015)&lt;=1,"✓ Cuadra","⚠ Diferencia $"&amp;FIXED(X1015-Y1015,0)))</f>
        <v/>
      </c>
      <c r="AA1015" s="72" t="str">
        <f aca="false">IF(AH1015="","",IFERROR(INDEX(C_TIPO,MATCH(C1015&amp;"-P"&amp;MAX(1,COUNTIFS(C_ID,C1015,C_DEFINE,"Sí",C_INICIO,"&lt;="&amp;EOMONTH(B1015,0))),C_CLAVE,0))&amp;"","Sin dato"))</f>
        <v/>
      </c>
      <c r="AB1015" s="71" t="str">
        <f aca="false">IF(AH1015="","",ROUND(MIN(K1015,TOPE_AFP_UF*AJ1015)*AK1015,0))</f>
        <v/>
      </c>
      <c r="AC1015" s="71" t="str">
        <f aca="false">IF(AH1015="","",ROUND(MIN(K1015,TOPE_AFC_UF*AJ1015)*IF(AA1015="Indefinido",AFC_EMP_INDEF,AFC_EMP_PF),0))</f>
        <v/>
      </c>
      <c r="AD1015" s="71" t="str">
        <f aca="false">IF(AH1015="","",ROUND(MIN(K1015,TOPE_AFP_UF*AJ1015)*(MUTUAL_BASICA+MUTUAL_ADIC+SANNA),0))</f>
        <v/>
      </c>
      <c r="AE1015" s="71" t="str">
        <f aca="false">IF(AH1015="","",P1015-N(N1015)+AB1015+AC1015+AD1015)</f>
        <v/>
      </c>
      <c r="AF1015" s="65"/>
      <c r="AG1015" s="64"/>
      <c r="AH1015" s="72" t="str">
        <f aca="false">IF(OR(B1015="",C1015=""),"",C1015&amp;"|"&amp;(YEAR(B1015)*100+MONTH(B1015)))</f>
        <v/>
      </c>
      <c r="AI1015" s="70" t="str">
        <f aca="false">IF(AH1015="","",IF(COUNTIF(L_CLAVE,AH1015)&gt;1,"⚠ Duplicado","OK"))</f>
        <v/>
      </c>
      <c r="AJ1015" s="86" t="str">
        <f aca="false">IF(AH1015="","",IF(SUMPRODUCT(MAX((IND_PER&lt;=B1015)*(IND_UF&lt;&gt;"")*IND_PER))=0,UF_HOY,INDEX(IND_UF,MATCH(SUMPRODUCT(MAX((IND_PER&lt;=B1015)*(IND_UF&lt;&gt;"")*IND_PER)),IND_PER,0))))</f>
        <v/>
      </c>
      <c r="AK1015" s="87" t="str">
        <f aca="false">IF(AH1015="","",IF(COUNTIF(TASA_DESDE,"&lt;="&amp;B1015)=0,INDEX(TASA_EMP,1),INDEX(TASA_EMP,COUNTIF(TASA_DESDE,"&lt;="&amp;B1015))))</f>
        <v/>
      </c>
    </row>
    <row r="1016" customFormat="false" ht="15" hidden="false" customHeight="false" outlineLevel="0" collapsed="false">
      <c r="B1016" s="78"/>
      <c r="C1016" s="64"/>
      <c r="D1016" s="72" t="str">
        <f aca="false">IF(C1016="","",IFERROR(INDEX(T_NOMBRE,MATCH(C1016,T_ID,0)),"⚠ ID no existe"))</f>
        <v/>
      </c>
      <c r="E1016" s="69"/>
      <c r="F1016" s="67"/>
      <c r="G1016" s="67"/>
      <c r="H1016" s="67"/>
      <c r="I1016" s="67"/>
      <c r="J1016" s="67"/>
      <c r="K1016" s="85" t="str">
        <f aca="false">IF(AH1016="","",N(F1016)+N(G1016)+N(H1016)-N(I1016)+N(J1016))</f>
        <v/>
      </c>
      <c r="L1016" s="67"/>
      <c r="M1016" s="67"/>
      <c r="N1016" s="67"/>
      <c r="O1016" s="67"/>
      <c r="P1016" s="85" t="str">
        <f aca="false">IF(AH1016="","",K1016+N(L1016)+N(M1016)+N(N1016)+N(O1016))</f>
        <v/>
      </c>
      <c r="Q1016" s="67"/>
      <c r="R1016" s="67"/>
      <c r="S1016" s="67"/>
      <c r="T1016" s="67"/>
      <c r="U1016" s="67"/>
      <c r="V1016" s="67"/>
      <c r="W1016" s="85" t="str">
        <f aca="false">IF(AH1016="","",N(Q1016)+N(R1016)+N(S1016)+N(T1016)+N(U1016)+N(V1016))</f>
        <v/>
      </c>
      <c r="X1016" s="85" t="str">
        <f aca="false">IF(AH1016="","",P1016-W1016)</f>
        <v/>
      </c>
      <c r="Y1016" s="67"/>
      <c r="Z1016" s="70" t="str">
        <f aca="false">IF(OR(AH1016="",Y1016=""),"",IF(ABS(X1016-Y1016)&lt;=1,"✓ Cuadra","⚠ Diferencia $"&amp;FIXED(X1016-Y1016,0)))</f>
        <v/>
      </c>
      <c r="AA1016" s="72" t="str">
        <f aca="false">IF(AH1016="","",IFERROR(INDEX(C_TIPO,MATCH(C1016&amp;"-P"&amp;MAX(1,COUNTIFS(C_ID,C1016,C_DEFINE,"Sí",C_INICIO,"&lt;="&amp;EOMONTH(B1016,0))),C_CLAVE,0))&amp;"","Sin dato"))</f>
        <v/>
      </c>
      <c r="AB1016" s="71" t="str">
        <f aca="false">IF(AH1016="","",ROUND(MIN(K1016,TOPE_AFP_UF*AJ1016)*AK1016,0))</f>
        <v/>
      </c>
      <c r="AC1016" s="71" t="str">
        <f aca="false">IF(AH1016="","",ROUND(MIN(K1016,TOPE_AFC_UF*AJ1016)*IF(AA1016="Indefinido",AFC_EMP_INDEF,AFC_EMP_PF),0))</f>
        <v/>
      </c>
      <c r="AD1016" s="71" t="str">
        <f aca="false">IF(AH1016="","",ROUND(MIN(K1016,TOPE_AFP_UF*AJ1016)*(MUTUAL_BASICA+MUTUAL_ADIC+SANNA),0))</f>
        <v/>
      </c>
      <c r="AE1016" s="71" t="str">
        <f aca="false">IF(AH1016="","",P1016-N(N1016)+AB1016+AC1016+AD1016)</f>
        <v/>
      </c>
      <c r="AF1016" s="65"/>
      <c r="AG1016" s="64"/>
      <c r="AH1016" s="72" t="str">
        <f aca="false">IF(OR(B1016="",C1016=""),"",C1016&amp;"|"&amp;(YEAR(B1016)*100+MONTH(B1016)))</f>
        <v/>
      </c>
      <c r="AI1016" s="70" t="str">
        <f aca="false">IF(AH1016="","",IF(COUNTIF(L_CLAVE,AH1016)&gt;1,"⚠ Duplicado","OK"))</f>
        <v/>
      </c>
      <c r="AJ1016" s="86" t="str">
        <f aca="false">IF(AH1016="","",IF(SUMPRODUCT(MAX((IND_PER&lt;=B1016)*(IND_UF&lt;&gt;"")*IND_PER))=0,UF_HOY,INDEX(IND_UF,MATCH(SUMPRODUCT(MAX((IND_PER&lt;=B1016)*(IND_UF&lt;&gt;"")*IND_PER)),IND_PER,0))))</f>
        <v/>
      </c>
      <c r="AK1016" s="87" t="str">
        <f aca="false">IF(AH1016="","",IF(COUNTIF(TASA_DESDE,"&lt;="&amp;B1016)=0,INDEX(TASA_EMP,1),INDEX(TASA_EMP,COUNTIF(TASA_DESDE,"&lt;="&amp;B1016))))</f>
        <v/>
      </c>
    </row>
    <row r="1017" customFormat="false" ht="15" hidden="false" customHeight="false" outlineLevel="0" collapsed="false">
      <c r="B1017" s="78"/>
      <c r="C1017" s="64"/>
      <c r="D1017" s="72" t="str">
        <f aca="false">IF(C1017="","",IFERROR(INDEX(T_NOMBRE,MATCH(C1017,T_ID,0)),"⚠ ID no existe"))</f>
        <v/>
      </c>
      <c r="E1017" s="69"/>
      <c r="F1017" s="67"/>
      <c r="G1017" s="67"/>
      <c r="H1017" s="67"/>
      <c r="I1017" s="67"/>
      <c r="J1017" s="67"/>
      <c r="K1017" s="85" t="str">
        <f aca="false">IF(AH1017="","",N(F1017)+N(G1017)+N(H1017)-N(I1017)+N(J1017))</f>
        <v/>
      </c>
      <c r="L1017" s="67"/>
      <c r="M1017" s="67"/>
      <c r="N1017" s="67"/>
      <c r="O1017" s="67"/>
      <c r="P1017" s="85" t="str">
        <f aca="false">IF(AH1017="","",K1017+N(L1017)+N(M1017)+N(N1017)+N(O1017))</f>
        <v/>
      </c>
      <c r="Q1017" s="67"/>
      <c r="R1017" s="67"/>
      <c r="S1017" s="67"/>
      <c r="T1017" s="67"/>
      <c r="U1017" s="67"/>
      <c r="V1017" s="67"/>
      <c r="W1017" s="85" t="str">
        <f aca="false">IF(AH1017="","",N(Q1017)+N(R1017)+N(S1017)+N(T1017)+N(U1017)+N(V1017))</f>
        <v/>
      </c>
      <c r="X1017" s="85" t="str">
        <f aca="false">IF(AH1017="","",P1017-W1017)</f>
        <v/>
      </c>
      <c r="Y1017" s="67"/>
      <c r="Z1017" s="70" t="str">
        <f aca="false">IF(OR(AH1017="",Y1017=""),"",IF(ABS(X1017-Y1017)&lt;=1,"✓ Cuadra","⚠ Diferencia $"&amp;FIXED(X1017-Y1017,0)))</f>
        <v/>
      </c>
      <c r="AA1017" s="72" t="str">
        <f aca="false">IF(AH1017="","",IFERROR(INDEX(C_TIPO,MATCH(C1017&amp;"-P"&amp;MAX(1,COUNTIFS(C_ID,C1017,C_DEFINE,"Sí",C_INICIO,"&lt;="&amp;EOMONTH(B1017,0))),C_CLAVE,0))&amp;"","Sin dato"))</f>
        <v/>
      </c>
      <c r="AB1017" s="71" t="str">
        <f aca="false">IF(AH1017="","",ROUND(MIN(K1017,TOPE_AFP_UF*AJ1017)*AK1017,0))</f>
        <v/>
      </c>
      <c r="AC1017" s="71" t="str">
        <f aca="false">IF(AH1017="","",ROUND(MIN(K1017,TOPE_AFC_UF*AJ1017)*IF(AA1017="Indefinido",AFC_EMP_INDEF,AFC_EMP_PF),0))</f>
        <v/>
      </c>
      <c r="AD1017" s="71" t="str">
        <f aca="false">IF(AH1017="","",ROUND(MIN(K1017,TOPE_AFP_UF*AJ1017)*(MUTUAL_BASICA+MUTUAL_ADIC+SANNA),0))</f>
        <v/>
      </c>
      <c r="AE1017" s="71" t="str">
        <f aca="false">IF(AH1017="","",P1017-N(N1017)+AB1017+AC1017+AD1017)</f>
        <v/>
      </c>
      <c r="AF1017" s="65"/>
      <c r="AG1017" s="64"/>
      <c r="AH1017" s="72" t="str">
        <f aca="false">IF(OR(B1017="",C1017=""),"",C1017&amp;"|"&amp;(YEAR(B1017)*100+MONTH(B1017)))</f>
        <v/>
      </c>
      <c r="AI1017" s="70" t="str">
        <f aca="false">IF(AH1017="","",IF(COUNTIF(L_CLAVE,AH1017)&gt;1,"⚠ Duplicado","OK"))</f>
        <v/>
      </c>
      <c r="AJ1017" s="86" t="str">
        <f aca="false">IF(AH1017="","",IF(SUMPRODUCT(MAX((IND_PER&lt;=B1017)*(IND_UF&lt;&gt;"")*IND_PER))=0,UF_HOY,INDEX(IND_UF,MATCH(SUMPRODUCT(MAX((IND_PER&lt;=B1017)*(IND_UF&lt;&gt;"")*IND_PER)),IND_PER,0))))</f>
        <v/>
      </c>
      <c r="AK1017" s="87" t="str">
        <f aca="false">IF(AH1017="","",IF(COUNTIF(TASA_DESDE,"&lt;="&amp;B1017)=0,INDEX(TASA_EMP,1),INDEX(TASA_EMP,COUNTIF(TASA_DESDE,"&lt;="&amp;B1017))))</f>
        <v/>
      </c>
    </row>
    <row r="1018" customFormat="false" ht="15" hidden="false" customHeight="false" outlineLevel="0" collapsed="false">
      <c r="B1018" s="78"/>
      <c r="C1018" s="64"/>
      <c r="D1018" s="72" t="str">
        <f aca="false">IF(C1018="","",IFERROR(INDEX(T_NOMBRE,MATCH(C1018,T_ID,0)),"⚠ ID no existe"))</f>
        <v/>
      </c>
      <c r="E1018" s="69"/>
      <c r="F1018" s="67"/>
      <c r="G1018" s="67"/>
      <c r="H1018" s="67"/>
      <c r="I1018" s="67"/>
      <c r="J1018" s="67"/>
      <c r="K1018" s="85" t="str">
        <f aca="false">IF(AH1018="","",N(F1018)+N(G1018)+N(H1018)-N(I1018)+N(J1018))</f>
        <v/>
      </c>
      <c r="L1018" s="67"/>
      <c r="M1018" s="67"/>
      <c r="N1018" s="67"/>
      <c r="O1018" s="67"/>
      <c r="P1018" s="85" t="str">
        <f aca="false">IF(AH1018="","",K1018+N(L1018)+N(M1018)+N(N1018)+N(O1018))</f>
        <v/>
      </c>
      <c r="Q1018" s="67"/>
      <c r="R1018" s="67"/>
      <c r="S1018" s="67"/>
      <c r="T1018" s="67"/>
      <c r="U1018" s="67"/>
      <c r="V1018" s="67"/>
      <c r="W1018" s="85" t="str">
        <f aca="false">IF(AH1018="","",N(Q1018)+N(R1018)+N(S1018)+N(T1018)+N(U1018)+N(V1018))</f>
        <v/>
      </c>
      <c r="X1018" s="85" t="str">
        <f aca="false">IF(AH1018="","",P1018-W1018)</f>
        <v/>
      </c>
      <c r="Y1018" s="67"/>
      <c r="Z1018" s="70" t="str">
        <f aca="false">IF(OR(AH1018="",Y1018=""),"",IF(ABS(X1018-Y1018)&lt;=1,"✓ Cuadra","⚠ Diferencia $"&amp;FIXED(X1018-Y1018,0)))</f>
        <v/>
      </c>
      <c r="AA1018" s="72" t="str">
        <f aca="false">IF(AH1018="","",IFERROR(INDEX(C_TIPO,MATCH(C1018&amp;"-P"&amp;MAX(1,COUNTIFS(C_ID,C1018,C_DEFINE,"Sí",C_INICIO,"&lt;="&amp;EOMONTH(B1018,0))),C_CLAVE,0))&amp;"","Sin dato"))</f>
        <v/>
      </c>
      <c r="AB1018" s="71" t="str">
        <f aca="false">IF(AH1018="","",ROUND(MIN(K1018,TOPE_AFP_UF*AJ1018)*AK1018,0))</f>
        <v/>
      </c>
      <c r="AC1018" s="71" t="str">
        <f aca="false">IF(AH1018="","",ROUND(MIN(K1018,TOPE_AFC_UF*AJ1018)*IF(AA1018="Indefinido",AFC_EMP_INDEF,AFC_EMP_PF),0))</f>
        <v/>
      </c>
      <c r="AD1018" s="71" t="str">
        <f aca="false">IF(AH1018="","",ROUND(MIN(K1018,TOPE_AFP_UF*AJ1018)*(MUTUAL_BASICA+MUTUAL_ADIC+SANNA),0))</f>
        <v/>
      </c>
      <c r="AE1018" s="71" t="str">
        <f aca="false">IF(AH1018="","",P1018-N(N1018)+AB1018+AC1018+AD1018)</f>
        <v/>
      </c>
      <c r="AF1018" s="65"/>
      <c r="AG1018" s="64"/>
      <c r="AH1018" s="72" t="str">
        <f aca="false">IF(OR(B1018="",C1018=""),"",C1018&amp;"|"&amp;(YEAR(B1018)*100+MONTH(B1018)))</f>
        <v/>
      </c>
      <c r="AI1018" s="70" t="str">
        <f aca="false">IF(AH1018="","",IF(COUNTIF(L_CLAVE,AH1018)&gt;1,"⚠ Duplicado","OK"))</f>
        <v/>
      </c>
      <c r="AJ1018" s="86" t="str">
        <f aca="false">IF(AH1018="","",IF(SUMPRODUCT(MAX((IND_PER&lt;=B1018)*(IND_UF&lt;&gt;"")*IND_PER))=0,UF_HOY,INDEX(IND_UF,MATCH(SUMPRODUCT(MAX((IND_PER&lt;=B1018)*(IND_UF&lt;&gt;"")*IND_PER)),IND_PER,0))))</f>
        <v/>
      </c>
      <c r="AK1018" s="87" t="str">
        <f aca="false">IF(AH1018="","",IF(COUNTIF(TASA_DESDE,"&lt;="&amp;B1018)=0,INDEX(TASA_EMP,1),INDEX(TASA_EMP,COUNTIF(TASA_DESDE,"&lt;="&amp;B1018))))</f>
        <v/>
      </c>
    </row>
    <row r="1019" customFormat="false" ht="15" hidden="false" customHeight="false" outlineLevel="0" collapsed="false">
      <c r="B1019" s="78"/>
      <c r="C1019" s="64"/>
      <c r="D1019" s="72" t="str">
        <f aca="false">IF(C1019="","",IFERROR(INDEX(T_NOMBRE,MATCH(C1019,T_ID,0)),"⚠ ID no existe"))</f>
        <v/>
      </c>
      <c r="E1019" s="69"/>
      <c r="F1019" s="67"/>
      <c r="G1019" s="67"/>
      <c r="H1019" s="67"/>
      <c r="I1019" s="67"/>
      <c r="J1019" s="67"/>
      <c r="K1019" s="85" t="str">
        <f aca="false">IF(AH1019="","",N(F1019)+N(G1019)+N(H1019)-N(I1019)+N(J1019))</f>
        <v/>
      </c>
      <c r="L1019" s="67"/>
      <c r="M1019" s="67"/>
      <c r="N1019" s="67"/>
      <c r="O1019" s="67"/>
      <c r="P1019" s="85" t="str">
        <f aca="false">IF(AH1019="","",K1019+N(L1019)+N(M1019)+N(N1019)+N(O1019))</f>
        <v/>
      </c>
      <c r="Q1019" s="67"/>
      <c r="R1019" s="67"/>
      <c r="S1019" s="67"/>
      <c r="T1019" s="67"/>
      <c r="U1019" s="67"/>
      <c r="V1019" s="67"/>
      <c r="W1019" s="85" t="str">
        <f aca="false">IF(AH1019="","",N(Q1019)+N(R1019)+N(S1019)+N(T1019)+N(U1019)+N(V1019))</f>
        <v/>
      </c>
      <c r="X1019" s="85" t="str">
        <f aca="false">IF(AH1019="","",P1019-W1019)</f>
        <v/>
      </c>
      <c r="Y1019" s="67"/>
      <c r="Z1019" s="70" t="str">
        <f aca="false">IF(OR(AH1019="",Y1019=""),"",IF(ABS(X1019-Y1019)&lt;=1,"✓ Cuadra","⚠ Diferencia $"&amp;FIXED(X1019-Y1019,0)))</f>
        <v/>
      </c>
      <c r="AA1019" s="72" t="str">
        <f aca="false">IF(AH1019="","",IFERROR(INDEX(C_TIPO,MATCH(C1019&amp;"-P"&amp;MAX(1,COUNTIFS(C_ID,C1019,C_DEFINE,"Sí",C_INICIO,"&lt;="&amp;EOMONTH(B1019,0))),C_CLAVE,0))&amp;"","Sin dato"))</f>
        <v/>
      </c>
      <c r="AB1019" s="71" t="str">
        <f aca="false">IF(AH1019="","",ROUND(MIN(K1019,TOPE_AFP_UF*AJ1019)*AK1019,0))</f>
        <v/>
      </c>
      <c r="AC1019" s="71" t="str">
        <f aca="false">IF(AH1019="","",ROUND(MIN(K1019,TOPE_AFC_UF*AJ1019)*IF(AA1019="Indefinido",AFC_EMP_INDEF,AFC_EMP_PF),0))</f>
        <v/>
      </c>
      <c r="AD1019" s="71" t="str">
        <f aca="false">IF(AH1019="","",ROUND(MIN(K1019,TOPE_AFP_UF*AJ1019)*(MUTUAL_BASICA+MUTUAL_ADIC+SANNA),0))</f>
        <v/>
      </c>
      <c r="AE1019" s="71" t="str">
        <f aca="false">IF(AH1019="","",P1019-N(N1019)+AB1019+AC1019+AD1019)</f>
        <v/>
      </c>
      <c r="AF1019" s="65"/>
      <c r="AG1019" s="64"/>
      <c r="AH1019" s="72" t="str">
        <f aca="false">IF(OR(B1019="",C1019=""),"",C1019&amp;"|"&amp;(YEAR(B1019)*100+MONTH(B1019)))</f>
        <v/>
      </c>
      <c r="AI1019" s="70" t="str">
        <f aca="false">IF(AH1019="","",IF(COUNTIF(L_CLAVE,AH1019)&gt;1,"⚠ Duplicado","OK"))</f>
        <v/>
      </c>
      <c r="AJ1019" s="86" t="str">
        <f aca="false">IF(AH1019="","",IF(SUMPRODUCT(MAX((IND_PER&lt;=B1019)*(IND_UF&lt;&gt;"")*IND_PER))=0,UF_HOY,INDEX(IND_UF,MATCH(SUMPRODUCT(MAX((IND_PER&lt;=B1019)*(IND_UF&lt;&gt;"")*IND_PER)),IND_PER,0))))</f>
        <v/>
      </c>
      <c r="AK1019" s="87" t="str">
        <f aca="false">IF(AH1019="","",IF(COUNTIF(TASA_DESDE,"&lt;="&amp;B1019)=0,INDEX(TASA_EMP,1),INDEX(TASA_EMP,COUNTIF(TASA_DESDE,"&lt;="&amp;B1019))))</f>
        <v/>
      </c>
    </row>
    <row r="1020" customFormat="false" ht="15" hidden="false" customHeight="false" outlineLevel="0" collapsed="false">
      <c r="B1020" s="78"/>
      <c r="C1020" s="64"/>
      <c r="D1020" s="72" t="str">
        <f aca="false">IF(C1020="","",IFERROR(INDEX(T_NOMBRE,MATCH(C1020,T_ID,0)),"⚠ ID no existe"))</f>
        <v/>
      </c>
      <c r="E1020" s="69"/>
      <c r="F1020" s="67"/>
      <c r="G1020" s="67"/>
      <c r="H1020" s="67"/>
      <c r="I1020" s="67"/>
      <c r="J1020" s="67"/>
      <c r="K1020" s="85" t="str">
        <f aca="false">IF(AH1020="","",N(F1020)+N(G1020)+N(H1020)-N(I1020)+N(J1020))</f>
        <v/>
      </c>
      <c r="L1020" s="67"/>
      <c r="M1020" s="67"/>
      <c r="N1020" s="67"/>
      <c r="O1020" s="67"/>
      <c r="P1020" s="85" t="str">
        <f aca="false">IF(AH1020="","",K1020+N(L1020)+N(M1020)+N(N1020)+N(O1020))</f>
        <v/>
      </c>
      <c r="Q1020" s="67"/>
      <c r="R1020" s="67"/>
      <c r="S1020" s="67"/>
      <c r="T1020" s="67"/>
      <c r="U1020" s="67"/>
      <c r="V1020" s="67"/>
      <c r="W1020" s="85" t="str">
        <f aca="false">IF(AH1020="","",N(Q1020)+N(R1020)+N(S1020)+N(T1020)+N(U1020)+N(V1020))</f>
        <v/>
      </c>
      <c r="X1020" s="85" t="str">
        <f aca="false">IF(AH1020="","",P1020-W1020)</f>
        <v/>
      </c>
      <c r="Y1020" s="67"/>
      <c r="Z1020" s="70" t="str">
        <f aca="false">IF(OR(AH1020="",Y1020=""),"",IF(ABS(X1020-Y1020)&lt;=1,"✓ Cuadra","⚠ Diferencia $"&amp;FIXED(X1020-Y1020,0)))</f>
        <v/>
      </c>
      <c r="AA1020" s="72" t="str">
        <f aca="false">IF(AH1020="","",IFERROR(INDEX(C_TIPO,MATCH(C1020&amp;"-P"&amp;MAX(1,COUNTIFS(C_ID,C1020,C_DEFINE,"Sí",C_INICIO,"&lt;="&amp;EOMONTH(B1020,0))),C_CLAVE,0))&amp;"","Sin dato"))</f>
        <v/>
      </c>
      <c r="AB1020" s="71" t="str">
        <f aca="false">IF(AH1020="","",ROUND(MIN(K1020,TOPE_AFP_UF*AJ1020)*AK1020,0))</f>
        <v/>
      </c>
      <c r="AC1020" s="71" t="str">
        <f aca="false">IF(AH1020="","",ROUND(MIN(K1020,TOPE_AFC_UF*AJ1020)*IF(AA1020="Indefinido",AFC_EMP_INDEF,AFC_EMP_PF),0))</f>
        <v/>
      </c>
      <c r="AD1020" s="71" t="str">
        <f aca="false">IF(AH1020="","",ROUND(MIN(K1020,TOPE_AFP_UF*AJ1020)*(MUTUAL_BASICA+MUTUAL_ADIC+SANNA),0))</f>
        <v/>
      </c>
      <c r="AE1020" s="71" t="str">
        <f aca="false">IF(AH1020="","",P1020-N(N1020)+AB1020+AC1020+AD1020)</f>
        <v/>
      </c>
      <c r="AF1020" s="65"/>
      <c r="AG1020" s="64"/>
      <c r="AH1020" s="72" t="str">
        <f aca="false">IF(OR(B1020="",C1020=""),"",C1020&amp;"|"&amp;(YEAR(B1020)*100+MONTH(B1020)))</f>
        <v/>
      </c>
      <c r="AI1020" s="70" t="str">
        <f aca="false">IF(AH1020="","",IF(COUNTIF(L_CLAVE,AH1020)&gt;1,"⚠ Duplicado","OK"))</f>
        <v/>
      </c>
      <c r="AJ1020" s="86" t="str">
        <f aca="false">IF(AH1020="","",IF(SUMPRODUCT(MAX((IND_PER&lt;=B1020)*(IND_UF&lt;&gt;"")*IND_PER))=0,UF_HOY,INDEX(IND_UF,MATCH(SUMPRODUCT(MAX((IND_PER&lt;=B1020)*(IND_UF&lt;&gt;"")*IND_PER)),IND_PER,0))))</f>
        <v/>
      </c>
      <c r="AK1020" s="87" t="str">
        <f aca="false">IF(AH1020="","",IF(COUNTIF(TASA_DESDE,"&lt;="&amp;B1020)=0,INDEX(TASA_EMP,1),INDEX(TASA_EMP,COUNTIF(TASA_DESDE,"&lt;="&amp;B1020))))</f>
        <v/>
      </c>
    </row>
    <row r="1021" customFormat="false" ht="15" hidden="false" customHeight="false" outlineLevel="0" collapsed="false">
      <c r="B1021" s="78"/>
      <c r="C1021" s="64"/>
      <c r="D1021" s="72" t="str">
        <f aca="false">IF(C1021="","",IFERROR(INDEX(T_NOMBRE,MATCH(C1021,T_ID,0)),"⚠ ID no existe"))</f>
        <v/>
      </c>
      <c r="E1021" s="69"/>
      <c r="F1021" s="67"/>
      <c r="G1021" s="67"/>
      <c r="H1021" s="67"/>
      <c r="I1021" s="67"/>
      <c r="J1021" s="67"/>
      <c r="K1021" s="85" t="str">
        <f aca="false">IF(AH1021="","",N(F1021)+N(G1021)+N(H1021)-N(I1021)+N(J1021))</f>
        <v/>
      </c>
      <c r="L1021" s="67"/>
      <c r="M1021" s="67"/>
      <c r="N1021" s="67"/>
      <c r="O1021" s="67"/>
      <c r="P1021" s="85" t="str">
        <f aca="false">IF(AH1021="","",K1021+N(L1021)+N(M1021)+N(N1021)+N(O1021))</f>
        <v/>
      </c>
      <c r="Q1021" s="67"/>
      <c r="R1021" s="67"/>
      <c r="S1021" s="67"/>
      <c r="T1021" s="67"/>
      <c r="U1021" s="67"/>
      <c r="V1021" s="67"/>
      <c r="W1021" s="85" t="str">
        <f aca="false">IF(AH1021="","",N(Q1021)+N(R1021)+N(S1021)+N(T1021)+N(U1021)+N(V1021))</f>
        <v/>
      </c>
      <c r="X1021" s="85" t="str">
        <f aca="false">IF(AH1021="","",P1021-W1021)</f>
        <v/>
      </c>
      <c r="Y1021" s="67"/>
      <c r="Z1021" s="70" t="str">
        <f aca="false">IF(OR(AH1021="",Y1021=""),"",IF(ABS(X1021-Y1021)&lt;=1,"✓ Cuadra","⚠ Diferencia $"&amp;FIXED(X1021-Y1021,0)))</f>
        <v/>
      </c>
      <c r="AA1021" s="72" t="str">
        <f aca="false">IF(AH1021="","",IFERROR(INDEX(C_TIPO,MATCH(C1021&amp;"-P"&amp;MAX(1,COUNTIFS(C_ID,C1021,C_DEFINE,"Sí",C_INICIO,"&lt;="&amp;EOMONTH(B1021,0))),C_CLAVE,0))&amp;"","Sin dato"))</f>
        <v/>
      </c>
      <c r="AB1021" s="71" t="str">
        <f aca="false">IF(AH1021="","",ROUND(MIN(K1021,TOPE_AFP_UF*AJ1021)*AK1021,0))</f>
        <v/>
      </c>
      <c r="AC1021" s="71" t="str">
        <f aca="false">IF(AH1021="","",ROUND(MIN(K1021,TOPE_AFC_UF*AJ1021)*IF(AA1021="Indefinido",AFC_EMP_INDEF,AFC_EMP_PF),0))</f>
        <v/>
      </c>
      <c r="AD1021" s="71" t="str">
        <f aca="false">IF(AH1021="","",ROUND(MIN(K1021,TOPE_AFP_UF*AJ1021)*(MUTUAL_BASICA+MUTUAL_ADIC+SANNA),0))</f>
        <v/>
      </c>
      <c r="AE1021" s="71" t="str">
        <f aca="false">IF(AH1021="","",P1021-N(N1021)+AB1021+AC1021+AD1021)</f>
        <v/>
      </c>
      <c r="AF1021" s="65"/>
      <c r="AG1021" s="64"/>
      <c r="AH1021" s="72" t="str">
        <f aca="false">IF(OR(B1021="",C1021=""),"",C1021&amp;"|"&amp;(YEAR(B1021)*100+MONTH(B1021)))</f>
        <v/>
      </c>
      <c r="AI1021" s="70" t="str">
        <f aca="false">IF(AH1021="","",IF(COUNTIF(L_CLAVE,AH1021)&gt;1,"⚠ Duplicado","OK"))</f>
        <v/>
      </c>
      <c r="AJ1021" s="86" t="str">
        <f aca="false">IF(AH1021="","",IF(SUMPRODUCT(MAX((IND_PER&lt;=B1021)*(IND_UF&lt;&gt;"")*IND_PER))=0,UF_HOY,INDEX(IND_UF,MATCH(SUMPRODUCT(MAX((IND_PER&lt;=B1021)*(IND_UF&lt;&gt;"")*IND_PER)),IND_PER,0))))</f>
        <v/>
      </c>
      <c r="AK1021" s="87" t="str">
        <f aca="false">IF(AH1021="","",IF(COUNTIF(TASA_DESDE,"&lt;="&amp;B1021)=0,INDEX(TASA_EMP,1),INDEX(TASA_EMP,COUNTIF(TASA_DESDE,"&lt;="&amp;B1021))))</f>
        <v/>
      </c>
    </row>
    <row r="1022" customFormat="false" ht="15" hidden="false" customHeight="false" outlineLevel="0" collapsed="false">
      <c r="B1022" s="78"/>
      <c r="C1022" s="64"/>
      <c r="D1022" s="72" t="str">
        <f aca="false">IF(C1022="","",IFERROR(INDEX(T_NOMBRE,MATCH(C1022,T_ID,0)),"⚠ ID no existe"))</f>
        <v/>
      </c>
      <c r="E1022" s="69"/>
      <c r="F1022" s="67"/>
      <c r="G1022" s="67"/>
      <c r="H1022" s="67"/>
      <c r="I1022" s="67"/>
      <c r="J1022" s="67"/>
      <c r="K1022" s="85" t="str">
        <f aca="false">IF(AH1022="","",N(F1022)+N(G1022)+N(H1022)-N(I1022)+N(J1022))</f>
        <v/>
      </c>
      <c r="L1022" s="67"/>
      <c r="M1022" s="67"/>
      <c r="N1022" s="67"/>
      <c r="O1022" s="67"/>
      <c r="P1022" s="85" t="str">
        <f aca="false">IF(AH1022="","",K1022+N(L1022)+N(M1022)+N(N1022)+N(O1022))</f>
        <v/>
      </c>
      <c r="Q1022" s="67"/>
      <c r="R1022" s="67"/>
      <c r="S1022" s="67"/>
      <c r="T1022" s="67"/>
      <c r="U1022" s="67"/>
      <c r="V1022" s="67"/>
      <c r="W1022" s="85" t="str">
        <f aca="false">IF(AH1022="","",N(Q1022)+N(R1022)+N(S1022)+N(T1022)+N(U1022)+N(V1022))</f>
        <v/>
      </c>
      <c r="X1022" s="85" t="str">
        <f aca="false">IF(AH1022="","",P1022-W1022)</f>
        <v/>
      </c>
      <c r="Y1022" s="67"/>
      <c r="Z1022" s="70" t="str">
        <f aca="false">IF(OR(AH1022="",Y1022=""),"",IF(ABS(X1022-Y1022)&lt;=1,"✓ Cuadra","⚠ Diferencia $"&amp;FIXED(X1022-Y1022,0)))</f>
        <v/>
      </c>
      <c r="AA1022" s="72" t="str">
        <f aca="false">IF(AH1022="","",IFERROR(INDEX(C_TIPO,MATCH(C1022&amp;"-P"&amp;MAX(1,COUNTIFS(C_ID,C1022,C_DEFINE,"Sí",C_INICIO,"&lt;="&amp;EOMONTH(B1022,0))),C_CLAVE,0))&amp;"","Sin dato"))</f>
        <v/>
      </c>
      <c r="AB1022" s="71" t="str">
        <f aca="false">IF(AH1022="","",ROUND(MIN(K1022,TOPE_AFP_UF*AJ1022)*AK1022,0))</f>
        <v/>
      </c>
      <c r="AC1022" s="71" t="str">
        <f aca="false">IF(AH1022="","",ROUND(MIN(K1022,TOPE_AFC_UF*AJ1022)*IF(AA1022="Indefinido",AFC_EMP_INDEF,AFC_EMP_PF),0))</f>
        <v/>
      </c>
      <c r="AD1022" s="71" t="str">
        <f aca="false">IF(AH1022="","",ROUND(MIN(K1022,TOPE_AFP_UF*AJ1022)*(MUTUAL_BASICA+MUTUAL_ADIC+SANNA),0))</f>
        <v/>
      </c>
      <c r="AE1022" s="71" t="str">
        <f aca="false">IF(AH1022="","",P1022-N(N1022)+AB1022+AC1022+AD1022)</f>
        <v/>
      </c>
      <c r="AF1022" s="65"/>
      <c r="AG1022" s="64"/>
      <c r="AH1022" s="72" t="str">
        <f aca="false">IF(OR(B1022="",C1022=""),"",C1022&amp;"|"&amp;(YEAR(B1022)*100+MONTH(B1022)))</f>
        <v/>
      </c>
      <c r="AI1022" s="70" t="str">
        <f aca="false">IF(AH1022="","",IF(COUNTIF(L_CLAVE,AH1022)&gt;1,"⚠ Duplicado","OK"))</f>
        <v/>
      </c>
      <c r="AJ1022" s="86" t="str">
        <f aca="false">IF(AH1022="","",IF(SUMPRODUCT(MAX((IND_PER&lt;=B1022)*(IND_UF&lt;&gt;"")*IND_PER))=0,UF_HOY,INDEX(IND_UF,MATCH(SUMPRODUCT(MAX((IND_PER&lt;=B1022)*(IND_UF&lt;&gt;"")*IND_PER)),IND_PER,0))))</f>
        <v/>
      </c>
      <c r="AK1022" s="87" t="str">
        <f aca="false">IF(AH1022="","",IF(COUNTIF(TASA_DESDE,"&lt;="&amp;B1022)=0,INDEX(TASA_EMP,1),INDEX(TASA_EMP,COUNTIF(TASA_DESDE,"&lt;="&amp;B1022))))</f>
        <v/>
      </c>
    </row>
    <row r="1023" customFormat="false" ht="15" hidden="false" customHeight="false" outlineLevel="0" collapsed="false">
      <c r="B1023" s="78"/>
      <c r="C1023" s="64"/>
      <c r="D1023" s="72" t="str">
        <f aca="false">IF(C1023="","",IFERROR(INDEX(T_NOMBRE,MATCH(C1023,T_ID,0)),"⚠ ID no existe"))</f>
        <v/>
      </c>
      <c r="E1023" s="69"/>
      <c r="F1023" s="67"/>
      <c r="G1023" s="67"/>
      <c r="H1023" s="67"/>
      <c r="I1023" s="67"/>
      <c r="J1023" s="67"/>
      <c r="K1023" s="85" t="str">
        <f aca="false">IF(AH1023="","",N(F1023)+N(G1023)+N(H1023)-N(I1023)+N(J1023))</f>
        <v/>
      </c>
      <c r="L1023" s="67"/>
      <c r="M1023" s="67"/>
      <c r="N1023" s="67"/>
      <c r="O1023" s="67"/>
      <c r="P1023" s="85" t="str">
        <f aca="false">IF(AH1023="","",K1023+N(L1023)+N(M1023)+N(N1023)+N(O1023))</f>
        <v/>
      </c>
      <c r="Q1023" s="67"/>
      <c r="R1023" s="67"/>
      <c r="S1023" s="67"/>
      <c r="T1023" s="67"/>
      <c r="U1023" s="67"/>
      <c r="V1023" s="67"/>
      <c r="W1023" s="85" t="str">
        <f aca="false">IF(AH1023="","",N(Q1023)+N(R1023)+N(S1023)+N(T1023)+N(U1023)+N(V1023))</f>
        <v/>
      </c>
      <c r="X1023" s="85" t="str">
        <f aca="false">IF(AH1023="","",P1023-W1023)</f>
        <v/>
      </c>
      <c r="Y1023" s="67"/>
      <c r="Z1023" s="70" t="str">
        <f aca="false">IF(OR(AH1023="",Y1023=""),"",IF(ABS(X1023-Y1023)&lt;=1,"✓ Cuadra","⚠ Diferencia $"&amp;FIXED(X1023-Y1023,0)))</f>
        <v/>
      </c>
      <c r="AA1023" s="72" t="str">
        <f aca="false">IF(AH1023="","",IFERROR(INDEX(C_TIPO,MATCH(C1023&amp;"-P"&amp;MAX(1,COUNTIFS(C_ID,C1023,C_DEFINE,"Sí",C_INICIO,"&lt;="&amp;EOMONTH(B1023,0))),C_CLAVE,0))&amp;"","Sin dato"))</f>
        <v/>
      </c>
      <c r="AB1023" s="71" t="str">
        <f aca="false">IF(AH1023="","",ROUND(MIN(K1023,TOPE_AFP_UF*AJ1023)*AK1023,0))</f>
        <v/>
      </c>
      <c r="AC1023" s="71" t="str">
        <f aca="false">IF(AH1023="","",ROUND(MIN(K1023,TOPE_AFC_UF*AJ1023)*IF(AA1023="Indefinido",AFC_EMP_INDEF,AFC_EMP_PF),0))</f>
        <v/>
      </c>
      <c r="AD1023" s="71" t="str">
        <f aca="false">IF(AH1023="","",ROUND(MIN(K1023,TOPE_AFP_UF*AJ1023)*(MUTUAL_BASICA+MUTUAL_ADIC+SANNA),0))</f>
        <v/>
      </c>
      <c r="AE1023" s="71" t="str">
        <f aca="false">IF(AH1023="","",P1023-N(N1023)+AB1023+AC1023+AD1023)</f>
        <v/>
      </c>
      <c r="AF1023" s="65"/>
      <c r="AG1023" s="64"/>
      <c r="AH1023" s="72" t="str">
        <f aca="false">IF(OR(B1023="",C1023=""),"",C1023&amp;"|"&amp;(YEAR(B1023)*100+MONTH(B1023)))</f>
        <v/>
      </c>
      <c r="AI1023" s="70" t="str">
        <f aca="false">IF(AH1023="","",IF(COUNTIF(L_CLAVE,AH1023)&gt;1,"⚠ Duplicado","OK"))</f>
        <v/>
      </c>
      <c r="AJ1023" s="86" t="str">
        <f aca="false">IF(AH1023="","",IF(SUMPRODUCT(MAX((IND_PER&lt;=B1023)*(IND_UF&lt;&gt;"")*IND_PER))=0,UF_HOY,INDEX(IND_UF,MATCH(SUMPRODUCT(MAX((IND_PER&lt;=B1023)*(IND_UF&lt;&gt;"")*IND_PER)),IND_PER,0))))</f>
        <v/>
      </c>
      <c r="AK1023" s="87" t="str">
        <f aca="false">IF(AH1023="","",IF(COUNTIF(TASA_DESDE,"&lt;="&amp;B1023)=0,INDEX(TASA_EMP,1),INDEX(TASA_EMP,COUNTIF(TASA_DESDE,"&lt;="&amp;B1023))))</f>
        <v/>
      </c>
    </row>
    <row r="1024" customFormat="false" ht="15" hidden="false" customHeight="false" outlineLevel="0" collapsed="false">
      <c r="B1024" s="78"/>
      <c r="C1024" s="64"/>
      <c r="D1024" s="72" t="str">
        <f aca="false">IF(C1024="","",IFERROR(INDEX(T_NOMBRE,MATCH(C1024,T_ID,0)),"⚠ ID no existe"))</f>
        <v/>
      </c>
      <c r="E1024" s="69"/>
      <c r="F1024" s="67"/>
      <c r="G1024" s="67"/>
      <c r="H1024" s="67"/>
      <c r="I1024" s="67"/>
      <c r="J1024" s="67"/>
      <c r="K1024" s="85" t="str">
        <f aca="false">IF(AH1024="","",N(F1024)+N(G1024)+N(H1024)-N(I1024)+N(J1024))</f>
        <v/>
      </c>
      <c r="L1024" s="67"/>
      <c r="M1024" s="67"/>
      <c r="N1024" s="67"/>
      <c r="O1024" s="67"/>
      <c r="P1024" s="85" t="str">
        <f aca="false">IF(AH1024="","",K1024+N(L1024)+N(M1024)+N(N1024)+N(O1024))</f>
        <v/>
      </c>
      <c r="Q1024" s="67"/>
      <c r="R1024" s="67"/>
      <c r="S1024" s="67"/>
      <c r="T1024" s="67"/>
      <c r="U1024" s="67"/>
      <c r="V1024" s="67"/>
      <c r="W1024" s="85" t="str">
        <f aca="false">IF(AH1024="","",N(Q1024)+N(R1024)+N(S1024)+N(T1024)+N(U1024)+N(V1024))</f>
        <v/>
      </c>
      <c r="X1024" s="85" t="str">
        <f aca="false">IF(AH1024="","",P1024-W1024)</f>
        <v/>
      </c>
      <c r="Y1024" s="67"/>
      <c r="Z1024" s="70" t="str">
        <f aca="false">IF(OR(AH1024="",Y1024=""),"",IF(ABS(X1024-Y1024)&lt;=1,"✓ Cuadra","⚠ Diferencia $"&amp;FIXED(X1024-Y1024,0)))</f>
        <v/>
      </c>
      <c r="AA1024" s="72" t="str">
        <f aca="false">IF(AH1024="","",IFERROR(INDEX(C_TIPO,MATCH(C1024&amp;"-P"&amp;MAX(1,COUNTIFS(C_ID,C1024,C_DEFINE,"Sí",C_INICIO,"&lt;="&amp;EOMONTH(B1024,0))),C_CLAVE,0))&amp;"","Sin dato"))</f>
        <v/>
      </c>
      <c r="AB1024" s="71" t="str">
        <f aca="false">IF(AH1024="","",ROUND(MIN(K1024,TOPE_AFP_UF*AJ1024)*AK1024,0))</f>
        <v/>
      </c>
      <c r="AC1024" s="71" t="str">
        <f aca="false">IF(AH1024="","",ROUND(MIN(K1024,TOPE_AFC_UF*AJ1024)*IF(AA1024="Indefinido",AFC_EMP_INDEF,AFC_EMP_PF),0))</f>
        <v/>
      </c>
      <c r="AD1024" s="71" t="str">
        <f aca="false">IF(AH1024="","",ROUND(MIN(K1024,TOPE_AFP_UF*AJ1024)*(MUTUAL_BASICA+MUTUAL_ADIC+SANNA),0))</f>
        <v/>
      </c>
      <c r="AE1024" s="71" t="str">
        <f aca="false">IF(AH1024="","",P1024-N(N1024)+AB1024+AC1024+AD1024)</f>
        <v/>
      </c>
      <c r="AF1024" s="65"/>
      <c r="AG1024" s="64"/>
      <c r="AH1024" s="72" t="str">
        <f aca="false">IF(OR(B1024="",C1024=""),"",C1024&amp;"|"&amp;(YEAR(B1024)*100+MONTH(B1024)))</f>
        <v/>
      </c>
      <c r="AI1024" s="70" t="str">
        <f aca="false">IF(AH1024="","",IF(COUNTIF(L_CLAVE,AH1024)&gt;1,"⚠ Duplicado","OK"))</f>
        <v/>
      </c>
      <c r="AJ1024" s="86" t="str">
        <f aca="false">IF(AH1024="","",IF(SUMPRODUCT(MAX((IND_PER&lt;=B1024)*(IND_UF&lt;&gt;"")*IND_PER))=0,UF_HOY,INDEX(IND_UF,MATCH(SUMPRODUCT(MAX((IND_PER&lt;=B1024)*(IND_UF&lt;&gt;"")*IND_PER)),IND_PER,0))))</f>
        <v/>
      </c>
      <c r="AK1024" s="87" t="str">
        <f aca="false">IF(AH1024="","",IF(COUNTIF(TASA_DESDE,"&lt;="&amp;B1024)=0,INDEX(TASA_EMP,1),INDEX(TASA_EMP,COUNTIF(TASA_DESDE,"&lt;="&amp;B1024))))</f>
        <v/>
      </c>
    </row>
    <row r="1025" customFormat="false" ht="15" hidden="false" customHeight="false" outlineLevel="0" collapsed="false">
      <c r="B1025" s="78"/>
      <c r="C1025" s="64"/>
      <c r="D1025" s="72" t="str">
        <f aca="false">IF(C1025="","",IFERROR(INDEX(T_NOMBRE,MATCH(C1025,T_ID,0)),"⚠ ID no existe"))</f>
        <v/>
      </c>
      <c r="E1025" s="69"/>
      <c r="F1025" s="67"/>
      <c r="G1025" s="67"/>
      <c r="H1025" s="67"/>
      <c r="I1025" s="67"/>
      <c r="J1025" s="67"/>
      <c r="K1025" s="85" t="str">
        <f aca="false">IF(AH1025="","",N(F1025)+N(G1025)+N(H1025)-N(I1025)+N(J1025))</f>
        <v/>
      </c>
      <c r="L1025" s="67"/>
      <c r="M1025" s="67"/>
      <c r="N1025" s="67"/>
      <c r="O1025" s="67"/>
      <c r="P1025" s="85" t="str">
        <f aca="false">IF(AH1025="","",K1025+N(L1025)+N(M1025)+N(N1025)+N(O1025))</f>
        <v/>
      </c>
      <c r="Q1025" s="67"/>
      <c r="R1025" s="67"/>
      <c r="S1025" s="67"/>
      <c r="T1025" s="67"/>
      <c r="U1025" s="67"/>
      <c r="V1025" s="67"/>
      <c r="W1025" s="85" t="str">
        <f aca="false">IF(AH1025="","",N(Q1025)+N(R1025)+N(S1025)+N(T1025)+N(U1025)+N(V1025))</f>
        <v/>
      </c>
      <c r="X1025" s="85" t="str">
        <f aca="false">IF(AH1025="","",P1025-W1025)</f>
        <v/>
      </c>
      <c r="Y1025" s="67"/>
      <c r="Z1025" s="70" t="str">
        <f aca="false">IF(OR(AH1025="",Y1025=""),"",IF(ABS(X1025-Y1025)&lt;=1,"✓ Cuadra","⚠ Diferencia $"&amp;FIXED(X1025-Y1025,0)))</f>
        <v/>
      </c>
      <c r="AA1025" s="72" t="str">
        <f aca="false">IF(AH1025="","",IFERROR(INDEX(C_TIPO,MATCH(C1025&amp;"-P"&amp;MAX(1,COUNTIFS(C_ID,C1025,C_DEFINE,"Sí",C_INICIO,"&lt;="&amp;EOMONTH(B1025,0))),C_CLAVE,0))&amp;"","Sin dato"))</f>
        <v/>
      </c>
      <c r="AB1025" s="71" t="str">
        <f aca="false">IF(AH1025="","",ROUND(MIN(K1025,TOPE_AFP_UF*AJ1025)*AK1025,0))</f>
        <v/>
      </c>
      <c r="AC1025" s="71" t="str">
        <f aca="false">IF(AH1025="","",ROUND(MIN(K1025,TOPE_AFC_UF*AJ1025)*IF(AA1025="Indefinido",AFC_EMP_INDEF,AFC_EMP_PF),0))</f>
        <v/>
      </c>
      <c r="AD1025" s="71" t="str">
        <f aca="false">IF(AH1025="","",ROUND(MIN(K1025,TOPE_AFP_UF*AJ1025)*(MUTUAL_BASICA+MUTUAL_ADIC+SANNA),0))</f>
        <v/>
      </c>
      <c r="AE1025" s="71" t="str">
        <f aca="false">IF(AH1025="","",P1025-N(N1025)+AB1025+AC1025+AD1025)</f>
        <v/>
      </c>
      <c r="AF1025" s="65"/>
      <c r="AG1025" s="64"/>
      <c r="AH1025" s="72" t="str">
        <f aca="false">IF(OR(B1025="",C1025=""),"",C1025&amp;"|"&amp;(YEAR(B1025)*100+MONTH(B1025)))</f>
        <v/>
      </c>
      <c r="AI1025" s="70" t="str">
        <f aca="false">IF(AH1025="","",IF(COUNTIF(L_CLAVE,AH1025)&gt;1,"⚠ Duplicado","OK"))</f>
        <v/>
      </c>
      <c r="AJ1025" s="86" t="str">
        <f aca="false">IF(AH1025="","",IF(SUMPRODUCT(MAX((IND_PER&lt;=B1025)*(IND_UF&lt;&gt;"")*IND_PER))=0,UF_HOY,INDEX(IND_UF,MATCH(SUMPRODUCT(MAX((IND_PER&lt;=B1025)*(IND_UF&lt;&gt;"")*IND_PER)),IND_PER,0))))</f>
        <v/>
      </c>
      <c r="AK1025" s="87" t="str">
        <f aca="false">IF(AH1025="","",IF(COUNTIF(TASA_DESDE,"&lt;="&amp;B1025)=0,INDEX(TASA_EMP,1),INDEX(TASA_EMP,COUNTIF(TASA_DESDE,"&lt;="&amp;B1025))))</f>
        <v/>
      </c>
    </row>
    <row r="1026" customFormat="false" ht="15" hidden="false" customHeight="false" outlineLevel="0" collapsed="false">
      <c r="B1026" s="78"/>
      <c r="C1026" s="64"/>
      <c r="D1026" s="72" t="str">
        <f aca="false">IF(C1026="","",IFERROR(INDEX(T_NOMBRE,MATCH(C1026,T_ID,0)),"⚠ ID no existe"))</f>
        <v/>
      </c>
      <c r="E1026" s="69"/>
      <c r="F1026" s="67"/>
      <c r="G1026" s="67"/>
      <c r="H1026" s="67"/>
      <c r="I1026" s="67"/>
      <c r="J1026" s="67"/>
      <c r="K1026" s="85" t="str">
        <f aca="false">IF(AH1026="","",N(F1026)+N(G1026)+N(H1026)-N(I1026)+N(J1026))</f>
        <v/>
      </c>
      <c r="L1026" s="67"/>
      <c r="M1026" s="67"/>
      <c r="N1026" s="67"/>
      <c r="O1026" s="67"/>
      <c r="P1026" s="85" t="str">
        <f aca="false">IF(AH1026="","",K1026+N(L1026)+N(M1026)+N(N1026)+N(O1026))</f>
        <v/>
      </c>
      <c r="Q1026" s="67"/>
      <c r="R1026" s="67"/>
      <c r="S1026" s="67"/>
      <c r="T1026" s="67"/>
      <c r="U1026" s="67"/>
      <c r="V1026" s="67"/>
      <c r="W1026" s="85" t="str">
        <f aca="false">IF(AH1026="","",N(Q1026)+N(R1026)+N(S1026)+N(T1026)+N(U1026)+N(V1026))</f>
        <v/>
      </c>
      <c r="X1026" s="85" t="str">
        <f aca="false">IF(AH1026="","",P1026-W1026)</f>
        <v/>
      </c>
      <c r="Y1026" s="67"/>
      <c r="Z1026" s="70" t="str">
        <f aca="false">IF(OR(AH1026="",Y1026=""),"",IF(ABS(X1026-Y1026)&lt;=1,"✓ Cuadra","⚠ Diferencia $"&amp;FIXED(X1026-Y1026,0)))</f>
        <v/>
      </c>
      <c r="AA1026" s="72" t="str">
        <f aca="false">IF(AH1026="","",IFERROR(INDEX(C_TIPO,MATCH(C1026&amp;"-P"&amp;MAX(1,COUNTIFS(C_ID,C1026,C_DEFINE,"Sí",C_INICIO,"&lt;="&amp;EOMONTH(B1026,0))),C_CLAVE,0))&amp;"","Sin dato"))</f>
        <v/>
      </c>
      <c r="AB1026" s="71" t="str">
        <f aca="false">IF(AH1026="","",ROUND(MIN(K1026,TOPE_AFP_UF*AJ1026)*AK1026,0))</f>
        <v/>
      </c>
      <c r="AC1026" s="71" t="str">
        <f aca="false">IF(AH1026="","",ROUND(MIN(K1026,TOPE_AFC_UF*AJ1026)*IF(AA1026="Indefinido",AFC_EMP_INDEF,AFC_EMP_PF),0))</f>
        <v/>
      </c>
      <c r="AD1026" s="71" t="str">
        <f aca="false">IF(AH1026="","",ROUND(MIN(K1026,TOPE_AFP_UF*AJ1026)*(MUTUAL_BASICA+MUTUAL_ADIC+SANNA),0))</f>
        <v/>
      </c>
      <c r="AE1026" s="71" t="str">
        <f aca="false">IF(AH1026="","",P1026-N(N1026)+AB1026+AC1026+AD1026)</f>
        <v/>
      </c>
      <c r="AF1026" s="65"/>
      <c r="AG1026" s="64"/>
      <c r="AH1026" s="72" t="str">
        <f aca="false">IF(OR(B1026="",C1026=""),"",C1026&amp;"|"&amp;(YEAR(B1026)*100+MONTH(B1026)))</f>
        <v/>
      </c>
      <c r="AI1026" s="70" t="str">
        <f aca="false">IF(AH1026="","",IF(COUNTIF(L_CLAVE,AH1026)&gt;1,"⚠ Duplicado","OK"))</f>
        <v/>
      </c>
      <c r="AJ1026" s="86" t="str">
        <f aca="false">IF(AH1026="","",IF(SUMPRODUCT(MAX((IND_PER&lt;=B1026)*(IND_UF&lt;&gt;"")*IND_PER))=0,UF_HOY,INDEX(IND_UF,MATCH(SUMPRODUCT(MAX((IND_PER&lt;=B1026)*(IND_UF&lt;&gt;"")*IND_PER)),IND_PER,0))))</f>
        <v/>
      </c>
      <c r="AK1026" s="87" t="str">
        <f aca="false">IF(AH1026="","",IF(COUNTIF(TASA_DESDE,"&lt;="&amp;B1026)=0,INDEX(TASA_EMP,1),INDEX(TASA_EMP,COUNTIF(TASA_DESDE,"&lt;="&amp;B1026))))</f>
        <v/>
      </c>
    </row>
    <row r="1027" customFormat="false" ht="15" hidden="false" customHeight="false" outlineLevel="0" collapsed="false">
      <c r="B1027" s="78"/>
      <c r="C1027" s="64"/>
      <c r="D1027" s="72" t="str">
        <f aca="false">IF(C1027="","",IFERROR(INDEX(T_NOMBRE,MATCH(C1027,T_ID,0)),"⚠ ID no existe"))</f>
        <v/>
      </c>
      <c r="E1027" s="69"/>
      <c r="F1027" s="67"/>
      <c r="G1027" s="67"/>
      <c r="H1027" s="67"/>
      <c r="I1027" s="67"/>
      <c r="J1027" s="67"/>
      <c r="K1027" s="85" t="str">
        <f aca="false">IF(AH1027="","",N(F1027)+N(G1027)+N(H1027)-N(I1027)+N(J1027))</f>
        <v/>
      </c>
      <c r="L1027" s="67"/>
      <c r="M1027" s="67"/>
      <c r="N1027" s="67"/>
      <c r="O1027" s="67"/>
      <c r="P1027" s="85" t="str">
        <f aca="false">IF(AH1027="","",K1027+N(L1027)+N(M1027)+N(N1027)+N(O1027))</f>
        <v/>
      </c>
      <c r="Q1027" s="67"/>
      <c r="R1027" s="67"/>
      <c r="S1027" s="67"/>
      <c r="T1027" s="67"/>
      <c r="U1027" s="67"/>
      <c r="V1027" s="67"/>
      <c r="W1027" s="85" t="str">
        <f aca="false">IF(AH1027="","",N(Q1027)+N(R1027)+N(S1027)+N(T1027)+N(U1027)+N(V1027))</f>
        <v/>
      </c>
      <c r="X1027" s="85" t="str">
        <f aca="false">IF(AH1027="","",P1027-W1027)</f>
        <v/>
      </c>
      <c r="Y1027" s="67"/>
      <c r="Z1027" s="70" t="str">
        <f aca="false">IF(OR(AH1027="",Y1027=""),"",IF(ABS(X1027-Y1027)&lt;=1,"✓ Cuadra","⚠ Diferencia $"&amp;FIXED(X1027-Y1027,0)))</f>
        <v/>
      </c>
      <c r="AA1027" s="72" t="str">
        <f aca="false">IF(AH1027="","",IFERROR(INDEX(C_TIPO,MATCH(C1027&amp;"-P"&amp;MAX(1,COUNTIFS(C_ID,C1027,C_DEFINE,"Sí",C_INICIO,"&lt;="&amp;EOMONTH(B1027,0))),C_CLAVE,0))&amp;"","Sin dato"))</f>
        <v/>
      </c>
      <c r="AB1027" s="71" t="str">
        <f aca="false">IF(AH1027="","",ROUND(MIN(K1027,TOPE_AFP_UF*AJ1027)*AK1027,0))</f>
        <v/>
      </c>
      <c r="AC1027" s="71" t="str">
        <f aca="false">IF(AH1027="","",ROUND(MIN(K1027,TOPE_AFC_UF*AJ1027)*IF(AA1027="Indefinido",AFC_EMP_INDEF,AFC_EMP_PF),0))</f>
        <v/>
      </c>
      <c r="AD1027" s="71" t="str">
        <f aca="false">IF(AH1027="","",ROUND(MIN(K1027,TOPE_AFP_UF*AJ1027)*(MUTUAL_BASICA+MUTUAL_ADIC+SANNA),0))</f>
        <v/>
      </c>
      <c r="AE1027" s="71" t="str">
        <f aca="false">IF(AH1027="","",P1027-N(N1027)+AB1027+AC1027+AD1027)</f>
        <v/>
      </c>
      <c r="AF1027" s="65"/>
      <c r="AG1027" s="64"/>
      <c r="AH1027" s="72" t="str">
        <f aca="false">IF(OR(B1027="",C1027=""),"",C1027&amp;"|"&amp;(YEAR(B1027)*100+MONTH(B1027)))</f>
        <v/>
      </c>
      <c r="AI1027" s="70" t="str">
        <f aca="false">IF(AH1027="","",IF(COUNTIF(L_CLAVE,AH1027)&gt;1,"⚠ Duplicado","OK"))</f>
        <v/>
      </c>
      <c r="AJ1027" s="86" t="str">
        <f aca="false">IF(AH1027="","",IF(SUMPRODUCT(MAX((IND_PER&lt;=B1027)*(IND_UF&lt;&gt;"")*IND_PER))=0,UF_HOY,INDEX(IND_UF,MATCH(SUMPRODUCT(MAX((IND_PER&lt;=B1027)*(IND_UF&lt;&gt;"")*IND_PER)),IND_PER,0))))</f>
        <v/>
      </c>
      <c r="AK1027" s="87" t="str">
        <f aca="false">IF(AH1027="","",IF(COUNTIF(TASA_DESDE,"&lt;="&amp;B1027)=0,INDEX(TASA_EMP,1),INDEX(TASA_EMP,COUNTIF(TASA_DESDE,"&lt;="&amp;B1027))))</f>
        <v/>
      </c>
    </row>
    <row r="1028" customFormat="false" ht="15" hidden="false" customHeight="false" outlineLevel="0" collapsed="false">
      <c r="B1028" s="78"/>
      <c r="C1028" s="64"/>
      <c r="D1028" s="72" t="str">
        <f aca="false">IF(C1028="","",IFERROR(INDEX(T_NOMBRE,MATCH(C1028,T_ID,0)),"⚠ ID no existe"))</f>
        <v/>
      </c>
      <c r="E1028" s="69"/>
      <c r="F1028" s="67"/>
      <c r="G1028" s="67"/>
      <c r="H1028" s="67"/>
      <c r="I1028" s="67"/>
      <c r="J1028" s="67"/>
      <c r="K1028" s="85" t="str">
        <f aca="false">IF(AH1028="","",N(F1028)+N(G1028)+N(H1028)-N(I1028)+N(J1028))</f>
        <v/>
      </c>
      <c r="L1028" s="67"/>
      <c r="M1028" s="67"/>
      <c r="N1028" s="67"/>
      <c r="O1028" s="67"/>
      <c r="P1028" s="85" t="str">
        <f aca="false">IF(AH1028="","",K1028+N(L1028)+N(M1028)+N(N1028)+N(O1028))</f>
        <v/>
      </c>
      <c r="Q1028" s="67"/>
      <c r="R1028" s="67"/>
      <c r="S1028" s="67"/>
      <c r="T1028" s="67"/>
      <c r="U1028" s="67"/>
      <c r="V1028" s="67"/>
      <c r="W1028" s="85" t="str">
        <f aca="false">IF(AH1028="","",N(Q1028)+N(R1028)+N(S1028)+N(T1028)+N(U1028)+N(V1028))</f>
        <v/>
      </c>
      <c r="X1028" s="85" t="str">
        <f aca="false">IF(AH1028="","",P1028-W1028)</f>
        <v/>
      </c>
      <c r="Y1028" s="67"/>
      <c r="Z1028" s="70" t="str">
        <f aca="false">IF(OR(AH1028="",Y1028=""),"",IF(ABS(X1028-Y1028)&lt;=1,"✓ Cuadra","⚠ Diferencia $"&amp;FIXED(X1028-Y1028,0)))</f>
        <v/>
      </c>
      <c r="AA1028" s="72" t="str">
        <f aca="false">IF(AH1028="","",IFERROR(INDEX(C_TIPO,MATCH(C1028&amp;"-P"&amp;MAX(1,COUNTIFS(C_ID,C1028,C_DEFINE,"Sí",C_INICIO,"&lt;="&amp;EOMONTH(B1028,0))),C_CLAVE,0))&amp;"","Sin dato"))</f>
        <v/>
      </c>
      <c r="AB1028" s="71" t="str">
        <f aca="false">IF(AH1028="","",ROUND(MIN(K1028,TOPE_AFP_UF*AJ1028)*AK1028,0))</f>
        <v/>
      </c>
      <c r="AC1028" s="71" t="str">
        <f aca="false">IF(AH1028="","",ROUND(MIN(K1028,TOPE_AFC_UF*AJ1028)*IF(AA1028="Indefinido",AFC_EMP_INDEF,AFC_EMP_PF),0))</f>
        <v/>
      </c>
      <c r="AD1028" s="71" t="str">
        <f aca="false">IF(AH1028="","",ROUND(MIN(K1028,TOPE_AFP_UF*AJ1028)*(MUTUAL_BASICA+MUTUAL_ADIC+SANNA),0))</f>
        <v/>
      </c>
      <c r="AE1028" s="71" t="str">
        <f aca="false">IF(AH1028="","",P1028-N(N1028)+AB1028+AC1028+AD1028)</f>
        <v/>
      </c>
      <c r="AF1028" s="65"/>
      <c r="AG1028" s="64"/>
      <c r="AH1028" s="72" t="str">
        <f aca="false">IF(OR(B1028="",C1028=""),"",C1028&amp;"|"&amp;(YEAR(B1028)*100+MONTH(B1028)))</f>
        <v/>
      </c>
      <c r="AI1028" s="70" t="str">
        <f aca="false">IF(AH1028="","",IF(COUNTIF(L_CLAVE,AH1028)&gt;1,"⚠ Duplicado","OK"))</f>
        <v/>
      </c>
      <c r="AJ1028" s="86" t="str">
        <f aca="false">IF(AH1028="","",IF(SUMPRODUCT(MAX((IND_PER&lt;=B1028)*(IND_UF&lt;&gt;"")*IND_PER))=0,UF_HOY,INDEX(IND_UF,MATCH(SUMPRODUCT(MAX((IND_PER&lt;=B1028)*(IND_UF&lt;&gt;"")*IND_PER)),IND_PER,0))))</f>
        <v/>
      </c>
      <c r="AK1028" s="87" t="str">
        <f aca="false">IF(AH1028="","",IF(COUNTIF(TASA_DESDE,"&lt;="&amp;B1028)=0,INDEX(TASA_EMP,1),INDEX(TASA_EMP,COUNTIF(TASA_DESDE,"&lt;="&amp;B1028))))</f>
        <v/>
      </c>
    </row>
    <row r="1029" customFormat="false" ht="15" hidden="false" customHeight="false" outlineLevel="0" collapsed="false">
      <c r="B1029" s="78"/>
      <c r="C1029" s="64"/>
      <c r="D1029" s="72" t="str">
        <f aca="false">IF(C1029="","",IFERROR(INDEX(T_NOMBRE,MATCH(C1029,T_ID,0)),"⚠ ID no existe"))</f>
        <v/>
      </c>
      <c r="E1029" s="69"/>
      <c r="F1029" s="67"/>
      <c r="G1029" s="67"/>
      <c r="H1029" s="67"/>
      <c r="I1029" s="67"/>
      <c r="J1029" s="67"/>
      <c r="K1029" s="85" t="str">
        <f aca="false">IF(AH1029="","",N(F1029)+N(G1029)+N(H1029)-N(I1029)+N(J1029))</f>
        <v/>
      </c>
      <c r="L1029" s="67"/>
      <c r="M1029" s="67"/>
      <c r="N1029" s="67"/>
      <c r="O1029" s="67"/>
      <c r="P1029" s="85" t="str">
        <f aca="false">IF(AH1029="","",K1029+N(L1029)+N(M1029)+N(N1029)+N(O1029))</f>
        <v/>
      </c>
      <c r="Q1029" s="67"/>
      <c r="R1029" s="67"/>
      <c r="S1029" s="67"/>
      <c r="T1029" s="67"/>
      <c r="U1029" s="67"/>
      <c r="V1029" s="67"/>
      <c r="W1029" s="85" t="str">
        <f aca="false">IF(AH1029="","",N(Q1029)+N(R1029)+N(S1029)+N(T1029)+N(U1029)+N(V1029))</f>
        <v/>
      </c>
      <c r="X1029" s="85" t="str">
        <f aca="false">IF(AH1029="","",P1029-W1029)</f>
        <v/>
      </c>
      <c r="Y1029" s="67"/>
      <c r="Z1029" s="70" t="str">
        <f aca="false">IF(OR(AH1029="",Y1029=""),"",IF(ABS(X1029-Y1029)&lt;=1,"✓ Cuadra","⚠ Diferencia $"&amp;FIXED(X1029-Y1029,0)))</f>
        <v/>
      </c>
      <c r="AA1029" s="72" t="str">
        <f aca="false">IF(AH1029="","",IFERROR(INDEX(C_TIPO,MATCH(C1029&amp;"-P"&amp;MAX(1,COUNTIFS(C_ID,C1029,C_DEFINE,"Sí",C_INICIO,"&lt;="&amp;EOMONTH(B1029,0))),C_CLAVE,0))&amp;"","Sin dato"))</f>
        <v/>
      </c>
      <c r="AB1029" s="71" t="str">
        <f aca="false">IF(AH1029="","",ROUND(MIN(K1029,TOPE_AFP_UF*AJ1029)*AK1029,0))</f>
        <v/>
      </c>
      <c r="AC1029" s="71" t="str">
        <f aca="false">IF(AH1029="","",ROUND(MIN(K1029,TOPE_AFC_UF*AJ1029)*IF(AA1029="Indefinido",AFC_EMP_INDEF,AFC_EMP_PF),0))</f>
        <v/>
      </c>
      <c r="AD1029" s="71" t="str">
        <f aca="false">IF(AH1029="","",ROUND(MIN(K1029,TOPE_AFP_UF*AJ1029)*(MUTUAL_BASICA+MUTUAL_ADIC+SANNA),0))</f>
        <v/>
      </c>
      <c r="AE1029" s="71" t="str">
        <f aca="false">IF(AH1029="","",P1029-N(N1029)+AB1029+AC1029+AD1029)</f>
        <v/>
      </c>
      <c r="AF1029" s="65"/>
      <c r="AG1029" s="64"/>
      <c r="AH1029" s="72" t="str">
        <f aca="false">IF(OR(B1029="",C1029=""),"",C1029&amp;"|"&amp;(YEAR(B1029)*100+MONTH(B1029)))</f>
        <v/>
      </c>
      <c r="AI1029" s="70" t="str">
        <f aca="false">IF(AH1029="","",IF(COUNTIF(L_CLAVE,AH1029)&gt;1,"⚠ Duplicado","OK"))</f>
        <v/>
      </c>
      <c r="AJ1029" s="86" t="str">
        <f aca="false">IF(AH1029="","",IF(SUMPRODUCT(MAX((IND_PER&lt;=B1029)*(IND_UF&lt;&gt;"")*IND_PER))=0,UF_HOY,INDEX(IND_UF,MATCH(SUMPRODUCT(MAX((IND_PER&lt;=B1029)*(IND_UF&lt;&gt;"")*IND_PER)),IND_PER,0))))</f>
        <v/>
      </c>
      <c r="AK1029" s="87" t="str">
        <f aca="false">IF(AH1029="","",IF(COUNTIF(TASA_DESDE,"&lt;="&amp;B1029)=0,INDEX(TASA_EMP,1),INDEX(TASA_EMP,COUNTIF(TASA_DESDE,"&lt;="&amp;B1029))))</f>
        <v/>
      </c>
    </row>
    <row r="1030" customFormat="false" ht="15" hidden="false" customHeight="false" outlineLevel="0" collapsed="false">
      <c r="B1030" s="78"/>
      <c r="C1030" s="64"/>
      <c r="D1030" s="72" t="str">
        <f aca="false">IF(C1030="","",IFERROR(INDEX(T_NOMBRE,MATCH(C1030,T_ID,0)),"⚠ ID no existe"))</f>
        <v/>
      </c>
      <c r="E1030" s="69"/>
      <c r="F1030" s="67"/>
      <c r="G1030" s="67"/>
      <c r="H1030" s="67"/>
      <c r="I1030" s="67"/>
      <c r="J1030" s="67"/>
      <c r="K1030" s="85" t="str">
        <f aca="false">IF(AH1030="","",N(F1030)+N(G1030)+N(H1030)-N(I1030)+N(J1030))</f>
        <v/>
      </c>
      <c r="L1030" s="67"/>
      <c r="M1030" s="67"/>
      <c r="N1030" s="67"/>
      <c r="O1030" s="67"/>
      <c r="P1030" s="85" t="str">
        <f aca="false">IF(AH1030="","",K1030+N(L1030)+N(M1030)+N(N1030)+N(O1030))</f>
        <v/>
      </c>
      <c r="Q1030" s="67"/>
      <c r="R1030" s="67"/>
      <c r="S1030" s="67"/>
      <c r="T1030" s="67"/>
      <c r="U1030" s="67"/>
      <c r="V1030" s="67"/>
      <c r="W1030" s="85" t="str">
        <f aca="false">IF(AH1030="","",N(Q1030)+N(R1030)+N(S1030)+N(T1030)+N(U1030)+N(V1030))</f>
        <v/>
      </c>
      <c r="X1030" s="85" t="str">
        <f aca="false">IF(AH1030="","",P1030-W1030)</f>
        <v/>
      </c>
      <c r="Y1030" s="67"/>
      <c r="Z1030" s="70" t="str">
        <f aca="false">IF(OR(AH1030="",Y1030=""),"",IF(ABS(X1030-Y1030)&lt;=1,"✓ Cuadra","⚠ Diferencia $"&amp;FIXED(X1030-Y1030,0)))</f>
        <v/>
      </c>
      <c r="AA1030" s="72" t="str">
        <f aca="false">IF(AH1030="","",IFERROR(INDEX(C_TIPO,MATCH(C1030&amp;"-P"&amp;MAX(1,COUNTIFS(C_ID,C1030,C_DEFINE,"Sí",C_INICIO,"&lt;="&amp;EOMONTH(B1030,0))),C_CLAVE,0))&amp;"","Sin dato"))</f>
        <v/>
      </c>
      <c r="AB1030" s="71" t="str">
        <f aca="false">IF(AH1030="","",ROUND(MIN(K1030,TOPE_AFP_UF*AJ1030)*AK1030,0))</f>
        <v/>
      </c>
      <c r="AC1030" s="71" t="str">
        <f aca="false">IF(AH1030="","",ROUND(MIN(K1030,TOPE_AFC_UF*AJ1030)*IF(AA1030="Indefinido",AFC_EMP_INDEF,AFC_EMP_PF),0))</f>
        <v/>
      </c>
      <c r="AD1030" s="71" t="str">
        <f aca="false">IF(AH1030="","",ROUND(MIN(K1030,TOPE_AFP_UF*AJ1030)*(MUTUAL_BASICA+MUTUAL_ADIC+SANNA),0))</f>
        <v/>
      </c>
      <c r="AE1030" s="71" t="str">
        <f aca="false">IF(AH1030="","",P1030-N(N1030)+AB1030+AC1030+AD1030)</f>
        <v/>
      </c>
      <c r="AF1030" s="65"/>
      <c r="AG1030" s="64"/>
      <c r="AH1030" s="72" t="str">
        <f aca="false">IF(OR(B1030="",C1030=""),"",C1030&amp;"|"&amp;(YEAR(B1030)*100+MONTH(B1030)))</f>
        <v/>
      </c>
      <c r="AI1030" s="70" t="str">
        <f aca="false">IF(AH1030="","",IF(COUNTIF(L_CLAVE,AH1030)&gt;1,"⚠ Duplicado","OK"))</f>
        <v/>
      </c>
      <c r="AJ1030" s="86" t="str">
        <f aca="false">IF(AH1030="","",IF(SUMPRODUCT(MAX((IND_PER&lt;=B1030)*(IND_UF&lt;&gt;"")*IND_PER))=0,UF_HOY,INDEX(IND_UF,MATCH(SUMPRODUCT(MAX((IND_PER&lt;=B1030)*(IND_UF&lt;&gt;"")*IND_PER)),IND_PER,0))))</f>
        <v/>
      </c>
      <c r="AK1030" s="87" t="str">
        <f aca="false">IF(AH1030="","",IF(COUNTIF(TASA_DESDE,"&lt;="&amp;B1030)=0,INDEX(TASA_EMP,1),INDEX(TASA_EMP,COUNTIF(TASA_DESDE,"&lt;="&amp;B1030))))</f>
        <v/>
      </c>
    </row>
    <row r="1031" customFormat="false" ht="15" hidden="false" customHeight="false" outlineLevel="0" collapsed="false">
      <c r="B1031" s="78"/>
      <c r="C1031" s="64"/>
      <c r="D1031" s="72" t="str">
        <f aca="false">IF(C1031="","",IFERROR(INDEX(T_NOMBRE,MATCH(C1031,T_ID,0)),"⚠ ID no existe"))</f>
        <v/>
      </c>
      <c r="E1031" s="69"/>
      <c r="F1031" s="67"/>
      <c r="G1031" s="67"/>
      <c r="H1031" s="67"/>
      <c r="I1031" s="67"/>
      <c r="J1031" s="67"/>
      <c r="K1031" s="85" t="str">
        <f aca="false">IF(AH1031="","",N(F1031)+N(G1031)+N(H1031)-N(I1031)+N(J1031))</f>
        <v/>
      </c>
      <c r="L1031" s="67"/>
      <c r="M1031" s="67"/>
      <c r="N1031" s="67"/>
      <c r="O1031" s="67"/>
      <c r="P1031" s="85" t="str">
        <f aca="false">IF(AH1031="","",K1031+N(L1031)+N(M1031)+N(N1031)+N(O1031))</f>
        <v/>
      </c>
      <c r="Q1031" s="67"/>
      <c r="R1031" s="67"/>
      <c r="S1031" s="67"/>
      <c r="T1031" s="67"/>
      <c r="U1031" s="67"/>
      <c r="V1031" s="67"/>
      <c r="W1031" s="85" t="str">
        <f aca="false">IF(AH1031="","",N(Q1031)+N(R1031)+N(S1031)+N(T1031)+N(U1031)+N(V1031))</f>
        <v/>
      </c>
      <c r="X1031" s="85" t="str">
        <f aca="false">IF(AH1031="","",P1031-W1031)</f>
        <v/>
      </c>
      <c r="Y1031" s="67"/>
      <c r="Z1031" s="70" t="str">
        <f aca="false">IF(OR(AH1031="",Y1031=""),"",IF(ABS(X1031-Y1031)&lt;=1,"✓ Cuadra","⚠ Diferencia $"&amp;FIXED(X1031-Y1031,0)))</f>
        <v/>
      </c>
      <c r="AA1031" s="72" t="str">
        <f aca="false">IF(AH1031="","",IFERROR(INDEX(C_TIPO,MATCH(C1031&amp;"-P"&amp;MAX(1,COUNTIFS(C_ID,C1031,C_DEFINE,"Sí",C_INICIO,"&lt;="&amp;EOMONTH(B1031,0))),C_CLAVE,0))&amp;"","Sin dato"))</f>
        <v/>
      </c>
      <c r="AB1031" s="71" t="str">
        <f aca="false">IF(AH1031="","",ROUND(MIN(K1031,TOPE_AFP_UF*AJ1031)*AK1031,0))</f>
        <v/>
      </c>
      <c r="AC1031" s="71" t="str">
        <f aca="false">IF(AH1031="","",ROUND(MIN(K1031,TOPE_AFC_UF*AJ1031)*IF(AA1031="Indefinido",AFC_EMP_INDEF,AFC_EMP_PF),0))</f>
        <v/>
      </c>
      <c r="AD1031" s="71" t="str">
        <f aca="false">IF(AH1031="","",ROUND(MIN(K1031,TOPE_AFP_UF*AJ1031)*(MUTUAL_BASICA+MUTUAL_ADIC+SANNA),0))</f>
        <v/>
      </c>
      <c r="AE1031" s="71" t="str">
        <f aca="false">IF(AH1031="","",P1031-N(N1031)+AB1031+AC1031+AD1031)</f>
        <v/>
      </c>
      <c r="AF1031" s="65"/>
      <c r="AG1031" s="64"/>
      <c r="AH1031" s="72" t="str">
        <f aca="false">IF(OR(B1031="",C1031=""),"",C1031&amp;"|"&amp;(YEAR(B1031)*100+MONTH(B1031)))</f>
        <v/>
      </c>
      <c r="AI1031" s="70" t="str">
        <f aca="false">IF(AH1031="","",IF(COUNTIF(L_CLAVE,AH1031)&gt;1,"⚠ Duplicado","OK"))</f>
        <v/>
      </c>
      <c r="AJ1031" s="86" t="str">
        <f aca="false">IF(AH1031="","",IF(SUMPRODUCT(MAX((IND_PER&lt;=B1031)*(IND_UF&lt;&gt;"")*IND_PER))=0,UF_HOY,INDEX(IND_UF,MATCH(SUMPRODUCT(MAX((IND_PER&lt;=B1031)*(IND_UF&lt;&gt;"")*IND_PER)),IND_PER,0))))</f>
        <v/>
      </c>
      <c r="AK1031" s="87" t="str">
        <f aca="false">IF(AH1031="","",IF(COUNTIF(TASA_DESDE,"&lt;="&amp;B1031)=0,INDEX(TASA_EMP,1),INDEX(TASA_EMP,COUNTIF(TASA_DESDE,"&lt;="&amp;B1031))))</f>
        <v/>
      </c>
    </row>
    <row r="1032" customFormat="false" ht="15" hidden="false" customHeight="false" outlineLevel="0" collapsed="false">
      <c r="B1032" s="78"/>
      <c r="C1032" s="64"/>
      <c r="D1032" s="72" t="str">
        <f aca="false">IF(C1032="","",IFERROR(INDEX(T_NOMBRE,MATCH(C1032,T_ID,0)),"⚠ ID no existe"))</f>
        <v/>
      </c>
      <c r="E1032" s="69"/>
      <c r="F1032" s="67"/>
      <c r="G1032" s="67"/>
      <c r="H1032" s="67"/>
      <c r="I1032" s="67"/>
      <c r="J1032" s="67"/>
      <c r="K1032" s="85" t="str">
        <f aca="false">IF(AH1032="","",N(F1032)+N(G1032)+N(H1032)-N(I1032)+N(J1032))</f>
        <v/>
      </c>
      <c r="L1032" s="67"/>
      <c r="M1032" s="67"/>
      <c r="N1032" s="67"/>
      <c r="O1032" s="67"/>
      <c r="P1032" s="85" t="str">
        <f aca="false">IF(AH1032="","",K1032+N(L1032)+N(M1032)+N(N1032)+N(O1032))</f>
        <v/>
      </c>
      <c r="Q1032" s="67"/>
      <c r="R1032" s="67"/>
      <c r="S1032" s="67"/>
      <c r="T1032" s="67"/>
      <c r="U1032" s="67"/>
      <c r="V1032" s="67"/>
      <c r="W1032" s="85" t="str">
        <f aca="false">IF(AH1032="","",N(Q1032)+N(R1032)+N(S1032)+N(T1032)+N(U1032)+N(V1032))</f>
        <v/>
      </c>
      <c r="X1032" s="85" t="str">
        <f aca="false">IF(AH1032="","",P1032-W1032)</f>
        <v/>
      </c>
      <c r="Y1032" s="67"/>
      <c r="Z1032" s="70" t="str">
        <f aca="false">IF(OR(AH1032="",Y1032=""),"",IF(ABS(X1032-Y1032)&lt;=1,"✓ Cuadra","⚠ Diferencia $"&amp;FIXED(X1032-Y1032,0)))</f>
        <v/>
      </c>
      <c r="AA1032" s="72" t="str">
        <f aca="false">IF(AH1032="","",IFERROR(INDEX(C_TIPO,MATCH(C1032&amp;"-P"&amp;MAX(1,COUNTIFS(C_ID,C1032,C_DEFINE,"Sí",C_INICIO,"&lt;="&amp;EOMONTH(B1032,0))),C_CLAVE,0))&amp;"","Sin dato"))</f>
        <v/>
      </c>
      <c r="AB1032" s="71" t="str">
        <f aca="false">IF(AH1032="","",ROUND(MIN(K1032,TOPE_AFP_UF*AJ1032)*AK1032,0))</f>
        <v/>
      </c>
      <c r="AC1032" s="71" t="str">
        <f aca="false">IF(AH1032="","",ROUND(MIN(K1032,TOPE_AFC_UF*AJ1032)*IF(AA1032="Indefinido",AFC_EMP_INDEF,AFC_EMP_PF),0))</f>
        <v/>
      </c>
      <c r="AD1032" s="71" t="str">
        <f aca="false">IF(AH1032="","",ROUND(MIN(K1032,TOPE_AFP_UF*AJ1032)*(MUTUAL_BASICA+MUTUAL_ADIC+SANNA),0))</f>
        <v/>
      </c>
      <c r="AE1032" s="71" t="str">
        <f aca="false">IF(AH1032="","",P1032-N(N1032)+AB1032+AC1032+AD1032)</f>
        <v/>
      </c>
      <c r="AF1032" s="65"/>
      <c r="AG1032" s="64"/>
      <c r="AH1032" s="72" t="str">
        <f aca="false">IF(OR(B1032="",C1032=""),"",C1032&amp;"|"&amp;(YEAR(B1032)*100+MONTH(B1032)))</f>
        <v/>
      </c>
      <c r="AI1032" s="70" t="str">
        <f aca="false">IF(AH1032="","",IF(COUNTIF(L_CLAVE,AH1032)&gt;1,"⚠ Duplicado","OK"))</f>
        <v/>
      </c>
      <c r="AJ1032" s="86" t="str">
        <f aca="false">IF(AH1032="","",IF(SUMPRODUCT(MAX((IND_PER&lt;=B1032)*(IND_UF&lt;&gt;"")*IND_PER))=0,UF_HOY,INDEX(IND_UF,MATCH(SUMPRODUCT(MAX((IND_PER&lt;=B1032)*(IND_UF&lt;&gt;"")*IND_PER)),IND_PER,0))))</f>
        <v/>
      </c>
      <c r="AK1032" s="87" t="str">
        <f aca="false">IF(AH1032="","",IF(COUNTIF(TASA_DESDE,"&lt;="&amp;B1032)=0,INDEX(TASA_EMP,1),INDEX(TASA_EMP,COUNTIF(TASA_DESDE,"&lt;="&amp;B1032))))</f>
        <v/>
      </c>
    </row>
    <row r="1033" customFormat="false" ht="15" hidden="false" customHeight="false" outlineLevel="0" collapsed="false">
      <c r="B1033" s="78"/>
      <c r="C1033" s="64"/>
      <c r="D1033" s="72" t="str">
        <f aca="false">IF(C1033="","",IFERROR(INDEX(T_NOMBRE,MATCH(C1033,T_ID,0)),"⚠ ID no existe"))</f>
        <v/>
      </c>
      <c r="E1033" s="69"/>
      <c r="F1033" s="67"/>
      <c r="G1033" s="67"/>
      <c r="H1033" s="67"/>
      <c r="I1033" s="67"/>
      <c r="J1033" s="67"/>
      <c r="K1033" s="85" t="str">
        <f aca="false">IF(AH1033="","",N(F1033)+N(G1033)+N(H1033)-N(I1033)+N(J1033))</f>
        <v/>
      </c>
      <c r="L1033" s="67"/>
      <c r="M1033" s="67"/>
      <c r="N1033" s="67"/>
      <c r="O1033" s="67"/>
      <c r="P1033" s="85" t="str">
        <f aca="false">IF(AH1033="","",K1033+N(L1033)+N(M1033)+N(N1033)+N(O1033))</f>
        <v/>
      </c>
      <c r="Q1033" s="67"/>
      <c r="R1033" s="67"/>
      <c r="S1033" s="67"/>
      <c r="T1033" s="67"/>
      <c r="U1033" s="67"/>
      <c r="V1033" s="67"/>
      <c r="W1033" s="85" t="str">
        <f aca="false">IF(AH1033="","",N(Q1033)+N(R1033)+N(S1033)+N(T1033)+N(U1033)+N(V1033))</f>
        <v/>
      </c>
      <c r="X1033" s="85" t="str">
        <f aca="false">IF(AH1033="","",P1033-W1033)</f>
        <v/>
      </c>
      <c r="Y1033" s="67"/>
      <c r="Z1033" s="70" t="str">
        <f aca="false">IF(OR(AH1033="",Y1033=""),"",IF(ABS(X1033-Y1033)&lt;=1,"✓ Cuadra","⚠ Diferencia $"&amp;FIXED(X1033-Y1033,0)))</f>
        <v/>
      </c>
      <c r="AA1033" s="72" t="str">
        <f aca="false">IF(AH1033="","",IFERROR(INDEX(C_TIPO,MATCH(C1033&amp;"-P"&amp;MAX(1,COUNTIFS(C_ID,C1033,C_DEFINE,"Sí",C_INICIO,"&lt;="&amp;EOMONTH(B1033,0))),C_CLAVE,0))&amp;"","Sin dato"))</f>
        <v/>
      </c>
      <c r="AB1033" s="71" t="str">
        <f aca="false">IF(AH1033="","",ROUND(MIN(K1033,TOPE_AFP_UF*AJ1033)*AK1033,0))</f>
        <v/>
      </c>
      <c r="AC1033" s="71" t="str">
        <f aca="false">IF(AH1033="","",ROUND(MIN(K1033,TOPE_AFC_UF*AJ1033)*IF(AA1033="Indefinido",AFC_EMP_INDEF,AFC_EMP_PF),0))</f>
        <v/>
      </c>
      <c r="AD1033" s="71" t="str">
        <f aca="false">IF(AH1033="","",ROUND(MIN(K1033,TOPE_AFP_UF*AJ1033)*(MUTUAL_BASICA+MUTUAL_ADIC+SANNA),0))</f>
        <v/>
      </c>
      <c r="AE1033" s="71" t="str">
        <f aca="false">IF(AH1033="","",P1033-N(N1033)+AB1033+AC1033+AD1033)</f>
        <v/>
      </c>
      <c r="AF1033" s="65"/>
      <c r="AG1033" s="64"/>
      <c r="AH1033" s="72" t="str">
        <f aca="false">IF(OR(B1033="",C1033=""),"",C1033&amp;"|"&amp;(YEAR(B1033)*100+MONTH(B1033)))</f>
        <v/>
      </c>
      <c r="AI1033" s="70" t="str">
        <f aca="false">IF(AH1033="","",IF(COUNTIF(L_CLAVE,AH1033)&gt;1,"⚠ Duplicado","OK"))</f>
        <v/>
      </c>
      <c r="AJ1033" s="86" t="str">
        <f aca="false">IF(AH1033="","",IF(SUMPRODUCT(MAX((IND_PER&lt;=B1033)*(IND_UF&lt;&gt;"")*IND_PER))=0,UF_HOY,INDEX(IND_UF,MATCH(SUMPRODUCT(MAX((IND_PER&lt;=B1033)*(IND_UF&lt;&gt;"")*IND_PER)),IND_PER,0))))</f>
        <v/>
      </c>
      <c r="AK1033" s="87" t="str">
        <f aca="false">IF(AH1033="","",IF(COUNTIF(TASA_DESDE,"&lt;="&amp;B1033)=0,INDEX(TASA_EMP,1),INDEX(TASA_EMP,COUNTIF(TASA_DESDE,"&lt;="&amp;B1033))))</f>
        <v/>
      </c>
    </row>
    <row r="1034" customFormat="false" ht="15" hidden="false" customHeight="false" outlineLevel="0" collapsed="false">
      <c r="B1034" s="78"/>
      <c r="C1034" s="64"/>
      <c r="D1034" s="72" t="str">
        <f aca="false">IF(C1034="","",IFERROR(INDEX(T_NOMBRE,MATCH(C1034,T_ID,0)),"⚠ ID no existe"))</f>
        <v/>
      </c>
      <c r="E1034" s="69"/>
      <c r="F1034" s="67"/>
      <c r="G1034" s="67"/>
      <c r="H1034" s="67"/>
      <c r="I1034" s="67"/>
      <c r="J1034" s="67"/>
      <c r="K1034" s="85" t="str">
        <f aca="false">IF(AH1034="","",N(F1034)+N(G1034)+N(H1034)-N(I1034)+N(J1034))</f>
        <v/>
      </c>
      <c r="L1034" s="67"/>
      <c r="M1034" s="67"/>
      <c r="N1034" s="67"/>
      <c r="O1034" s="67"/>
      <c r="P1034" s="85" t="str">
        <f aca="false">IF(AH1034="","",K1034+N(L1034)+N(M1034)+N(N1034)+N(O1034))</f>
        <v/>
      </c>
      <c r="Q1034" s="67"/>
      <c r="R1034" s="67"/>
      <c r="S1034" s="67"/>
      <c r="T1034" s="67"/>
      <c r="U1034" s="67"/>
      <c r="V1034" s="67"/>
      <c r="W1034" s="85" t="str">
        <f aca="false">IF(AH1034="","",N(Q1034)+N(R1034)+N(S1034)+N(T1034)+N(U1034)+N(V1034))</f>
        <v/>
      </c>
      <c r="X1034" s="85" t="str">
        <f aca="false">IF(AH1034="","",P1034-W1034)</f>
        <v/>
      </c>
      <c r="Y1034" s="67"/>
      <c r="Z1034" s="70" t="str">
        <f aca="false">IF(OR(AH1034="",Y1034=""),"",IF(ABS(X1034-Y1034)&lt;=1,"✓ Cuadra","⚠ Diferencia $"&amp;FIXED(X1034-Y1034,0)))</f>
        <v/>
      </c>
      <c r="AA1034" s="72" t="str">
        <f aca="false">IF(AH1034="","",IFERROR(INDEX(C_TIPO,MATCH(C1034&amp;"-P"&amp;MAX(1,COUNTIFS(C_ID,C1034,C_DEFINE,"Sí",C_INICIO,"&lt;="&amp;EOMONTH(B1034,0))),C_CLAVE,0))&amp;"","Sin dato"))</f>
        <v/>
      </c>
      <c r="AB1034" s="71" t="str">
        <f aca="false">IF(AH1034="","",ROUND(MIN(K1034,TOPE_AFP_UF*AJ1034)*AK1034,0))</f>
        <v/>
      </c>
      <c r="AC1034" s="71" t="str">
        <f aca="false">IF(AH1034="","",ROUND(MIN(K1034,TOPE_AFC_UF*AJ1034)*IF(AA1034="Indefinido",AFC_EMP_INDEF,AFC_EMP_PF),0))</f>
        <v/>
      </c>
      <c r="AD1034" s="71" t="str">
        <f aca="false">IF(AH1034="","",ROUND(MIN(K1034,TOPE_AFP_UF*AJ1034)*(MUTUAL_BASICA+MUTUAL_ADIC+SANNA),0))</f>
        <v/>
      </c>
      <c r="AE1034" s="71" t="str">
        <f aca="false">IF(AH1034="","",P1034-N(N1034)+AB1034+AC1034+AD1034)</f>
        <v/>
      </c>
      <c r="AF1034" s="65"/>
      <c r="AG1034" s="64"/>
      <c r="AH1034" s="72" t="str">
        <f aca="false">IF(OR(B1034="",C1034=""),"",C1034&amp;"|"&amp;(YEAR(B1034)*100+MONTH(B1034)))</f>
        <v/>
      </c>
      <c r="AI1034" s="70" t="str">
        <f aca="false">IF(AH1034="","",IF(COUNTIF(L_CLAVE,AH1034)&gt;1,"⚠ Duplicado","OK"))</f>
        <v/>
      </c>
      <c r="AJ1034" s="86" t="str">
        <f aca="false">IF(AH1034="","",IF(SUMPRODUCT(MAX((IND_PER&lt;=B1034)*(IND_UF&lt;&gt;"")*IND_PER))=0,UF_HOY,INDEX(IND_UF,MATCH(SUMPRODUCT(MAX((IND_PER&lt;=B1034)*(IND_UF&lt;&gt;"")*IND_PER)),IND_PER,0))))</f>
        <v/>
      </c>
      <c r="AK1034" s="87" t="str">
        <f aca="false">IF(AH1034="","",IF(COUNTIF(TASA_DESDE,"&lt;="&amp;B1034)=0,INDEX(TASA_EMP,1),INDEX(TASA_EMP,COUNTIF(TASA_DESDE,"&lt;="&amp;B1034))))</f>
        <v/>
      </c>
    </row>
    <row r="1035" customFormat="false" ht="15" hidden="false" customHeight="false" outlineLevel="0" collapsed="false">
      <c r="B1035" s="78"/>
      <c r="C1035" s="64"/>
      <c r="D1035" s="72" t="str">
        <f aca="false">IF(C1035="","",IFERROR(INDEX(T_NOMBRE,MATCH(C1035,T_ID,0)),"⚠ ID no existe"))</f>
        <v/>
      </c>
      <c r="E1035" s="69"/>
      <c r="F1035" s="67"/>
      <c r="G1035" s="67"/>
      <c r="H1035" s="67"/>
      <c r="I1035" s="67"/>
      <c r="J1035" s="67"/>
      <c r="K1035" s="85" t="str">
        <f aca="false">IF(AH1035="","",N(F1035)+N(G1035)+N(H1035)-N(I1035)+N(J1035))</f>
        <v/>
      </c>
      <c r="L1035" s="67"/>
      <c r="M1035" s="67"/>
      <c r="N1035" s="67"/>
      <c r="O1035" s="67"/>
      <c r="P1035" s="85" t="str">
        <f aca="false">IF(AH1035="","",K1035+N(L1035)+N(M1035)+N(N1035)+N(O1035))</f>
        <v/>
      </c>
      <c r="Q1035" s="67"/>
      <c r="R1035" s="67"/>
      <c r="S1035" s="67"/>
      <c r="T1035" s="67"/>
      <c r="U1035" s="67"/>
      <c r="V1035" s="67"/>
      <c r="W1035" s="85" t="str">
        <f aca="false">IF(AH1035="","",N(Q1035)+N(R1035)+N(S1035)+N(T1035)+N(U1035)+N(V1035))</f>
        <v/>
      </c>
      <c r="X1035" s="85" t="str">
        <f aca="false">IF(AH1035="","",P1035-W1035)</f>
        <v/>
      </c>
      <c r="Y1035" s="67"/>
      <c r="Z1035" s="70" t="str">
        <f aca="false">IF(OR(AH1035="",Y1035=""),"",IF(ABS(X1035-Y1035)&lt;=1,"✓ Cuadra","⚠ Diferencia $"&amp;FIXED(X1035-Y1035,0)))</f>
        <v/>
      </c>
      <c r="AA1035" s="72" t="str">
        <f aca="false">IF(AH1035="","",IFERROR(INDEX(C_TIPO,MATCH(C1035&amp;"-P"&amp;MAX(1,COUNTIFS(C_ID,C1035,C_DEFINE,"Sí",C_INICIO,"&lt;="&amp;EOMONTH(B1035,0))),C_CLAVE,0))&amp;"","Sin dato"))</f>
        <v/>
      </c>
      <c r="AB1035" s="71" t="str">
        <f aca="false">IF(AH1035="","",ROUND(MIN(K1035,TOPE_AFP_UF*AJ1035)*AK1035,0))</f>
        <v/>
      </c>
      <c r="AC1035" s="71" t="str">
        <f aca="false">IF(AH1035="","",ROUND(MIN(K1035,TOPE_AFC_UF*AJ1035)*IF(AA1035="Indefinido",AFC_EMP_INDEF,AFC_EMP_PF),0))</f>
        <v/>
      </c>
      <c r="AD1035" s="71" t="str">
        <f aca="false">IF(AH1035="","",ROUND(MIN(K1035,TOPE_AFP_UF*AJ1035)*(MUTUAL_BASICA+MUTUAL_ADIC+SANNA),0))</f>
        <v/>
      </c>
      <c r="AE1035" s="71" t="str">
        <f aca="false">IF(AH1035="","",P1035-N(N1035)+AB1035+AC1035+AD1035)</f>
        <v/>
      </c>
      <c r="AF1035" s="65"/>
      <c r="AG1035" s="64"/>
      <c r="AH1035" s="72" t="str">
        <f aca="false">IF(OR(B1035="",C1035=""),"",C1035&amp;"|"&amp;(YEAR(B1035)*100+MONTH(B1035)))</f>
        <v/>
      </c>
      <c r="AI1035" s="70" t="str">
        <f aca="false">IF(AH1035="","",IF(COUNTIF(L_CLAVE,AH1035)&gt;1,"⚠ Duplicado","OK"))</f>
        <v/>
      </c>
      <c r="AJ1035" s="86" t="str">
        <f aca="false">IF(AH1035="","",IF(SUMPRODUCT(MAX((IND_PER&lt;=B1035)*(IND_UF&lt;&gt;"")*IND_PER))=0,UF_HOY,INDEX(IND_UF,MATCH(SUMPRODUCT(MAX((IND_PER&lt;=B1035)*(IND_UF&lt;&gt;"")*IND_PER)),IND_PER,0))))</f>
        <v/>
      </c>
      <c r="AK1035" s="87" t="str">
        <f aca="false">IF(AH1035="","",IF(COUNTIF(TASA_DESDE,"&lt;="&amp;B1035)=0,INDEX(TASA_EMP,1),INDEX(TASA_EMP,COUNTIF(TASA_DESDE,"&lt;="&amp;B1035))))</f>
        <v/>
      </c>
    </row>
    <row r="1036" customFormat="false" ht="15" hidden="false" customHeight="false" outlineLevel="0" collapsed="false">
      <c r="B1036" s="78"/>
      <c r="C1036" s="64"/>
      <c r="D1036" s="72" t="str">
        <f aca="false">IF(C1036="","",IFERROR(INDEX(T_NOMBRE,MATCH(C1036,T_ID,0)),"⚠ ID no existe"))</f>
        <v/>
      </c>
      <c r="E1036" s="69"/>
      <c r="F1036" s="67"/>
      <c r="G1036" s="67"/>
      <c r="H1036" s="67"/>
      <c r="I1036" s="67"/>
      <c r="J1036" s="67"/>
      <c r="K1036" s="85" t="str">
        <f aca="false">IF(AH1036="","",N(F1036)+N(G1036)+N(H1036)-N(I1036)+N(J1036))</f>
        <v/>
      </c>
      <c r="L1036" s="67"/>
      <c r="M1036" s="67"/>
      <c r="N1036" s="67"/>
      <c r="O1036" s="67"/>
      <c r="P1036" s="85" t="str">
        <f aca="false">IF(AH1036="","",K1036+N(L1036)+N(M1036)+N(N1036)+N(O1036))</f>
        <v/>
      </c>
      <c r="Q1036" s="67"/>
      <c r="R1036" s="67"/>
      <c r="S1036" s="67"/>
      <c r="T1036" s="67"/>
      <c r="U1036" s="67"/>
      <c r="V1036" s="67"/>
      <c r="W1036" s="85" t="str">
        <f aca="false">IF(AH1036="","",N(Q1036)+N(R1036)+N(S1036)+N(T1036)+N(U1036)+N(V1036))</f>
        <v/>
      </c>
      <c r="X1036" s="85" t="str">
        <f aca="false">IF(AH1036="","",P1036-W1036)</f>
        <v/>
      </c>
      <c r="Y1036" s="67"/>
      <c r="Z1036" s="70" t="str">
        <f aca="false">IF(OR(AH1036="",Y1036=""),"",IF(ABS(X1036-Y1036)&lt;=1,"✓ Cuadra","⚠ Diferencia $"&amp;FIXED(X1036-Y1036,0)))</f>
        <v/>
      </c>
      <c r="AA1036" s="72" t="str">
        <f aca="false">IF(AH1036="","",IFERROR(INDEX(C_TIPO,MATCH(C1036&amp;"-P"&amp;MAX(1,COUNTIFS(C_ID,C1036,C_DEFINE,"Sí",C_INICIO,"&lt;="&amp;EOMONTH(B1036,0))),C_CLAVE,0))&amp;"","Sin dato"))</f>
        <v/>
      </c>
      <c r="AB1036" s="71" t="str">
        <f aca="false">IF(AH1036="","",ROUND(MIN(K1036,TOPE_AFP_UF*AJ1036)*AK1036,0))</f>
        <v/>
      </c>
      <c r="AC1036" s="71" t="str">
        <f aca="false">IF(AH1036="","",ROUND(MIN(K1036,TOPE_AFC_UF*AJ1036)*IF(AA1036="Indefinido",AFC_EMP_INDEF,AFC_EMP_PF),0))</f>
        <v/>
      </c>
      <c r="AD1036" s="71" t="str">
        <f aca="false">IF(AH1036="","",ROUND(MIN(K1036,TOPE_AFP_UF*AJ1036)*(MUTUAL_BASICA+MUTUAL_ADIC+SANNA),0))</f>
        <v/>
      </c>
      <c r="AE1036" s="71" t="str">
        <f aca="false">IF(AH1036="","",P1036-N(N1036)+AB1036+AC1036+AD1036)</f>
        <v/>
      </c>
      <c r="AF1036" s="65"/>
      <c r="AG1036" s="64"/>
      <c r="AH1036" s="72" t="str">
        <f aca="false">IF(OR(B1036="",C1036=""),"",C1036&amp;"|"&amp;(YEAR(B1036)*100+MONTH(B1036)))</f>
        <v/>
      </c>
      <c r="AI1036" s="70" t="str">
        <f aca="false">IF(AH1036="","",IF(COUNTIF(L_CLAVE,AH1036)&gt;1,"⚠ Duplicado","OK"))</f>
        <v/>
      </c>
      <c r="AJ1036" s="86" t="str">
        <f aca="false">IF(AH1036="","",IF(SUMPRODUCT(MAX((IND_PER&lt;=B1036)*(IND_UF&lt;&gt;"")*IND_PER))=0,UF_HOY,INDEX(IND_UF,MATCH(SUMPRODUCT(MAX((IND_PER&lt;=B1036)*(IND_UF&lt;&gt;"")*IND_PER)),IND_PER,0))))</f>
        <v/>
      </c>
      <c r="AK1036" s="87" t="str">
        <f aca="false">IF(AH1036="","",IF(COUNTIF(TASA_DESDE,"&lt;="&amp;B1036)=0,INDEX(TASA_EMP,1),INDEX(TASA_EMP,COUNTIF(TASA_DESDE,"&lt;="&amp;B1036))))</f>
        <v/>
      </c>
    </row>
    <row r="1037" customFormat="false" ht="15" hidden="false" customHeight="false" outlineLevel="0" collapsed="false">
      <c r="B1037" s="78"/>
      <c r="C1037" s="64"/>
      <c r="D1037" s="72" t="str">
        <f aca="false">IF(C1037="","",IFERROR(INDEX(T_NOMBRE,MATCH(C1037,T_ID,0)),"⚠ ID no existe"))</f>
        <v/>
      </c>
      <c r="E1037" s="69"/>
      <c r="F1037" s="67"/>
      <c r="G1037" s="67"/>
      <c r="H1037" s="67"/>
      <c r="I1037" s="67"/>
      <c r="J1037" s="67"/>
      <c r="K1037" s="85" t="str">
        <f aca="false">IF(AH1037="","",N(F1037)+N(G1037)+N(H1037)-N(I1037)+N(J1037))</f>
        <v/>
      </c>
      <c r="L1037" s="67"/>
      <c r="M1037" s="67"/>
      <c r="N1037" s="67"/>
      <c r="O1037" s="67"/>
      <c r="P1037" s="85" t="str">
        <f aca="false">IF(AH1037="","",K1037+N(L1037)+N(M1037)+N(N1037)+N(O1037))</f>
        <v/>
      </c>
      <c r="Q1037" s="67"/>
      <c r="R1037" s="67"/>
      <c r="S1037" s="67"/>
      <c r="T1037" s="67"/>
      <c r="U1037" s="67"/>
      <c r="V1037" s="67"/>
      <c r="W1037" s="85" t="str">
        <f aca="false">IF(AH1037="","",N(Q1037)+N(R1037)+N(S1037)+N(T1037)+N(U1037)+N(V1037))</f>
        <v/>
      </c>
      <c r="X1037" s="85" t="str">
        <f aca="false">IF(AH1037="","",P1037-W1037)</f>
        <v/>
      </c>
      <c r="Y1037" s="67"/>
      <c r="Z1037" s="70" t="str">
        <f aca="false">IF(OR(AH1037="",Y1037=""),"",IF(ABS(X1037-Y1037)&lt;=1,"✓ Cuadra","⚠ Diferencia $"&amp;FIXED(X1037-Y1037,0)))</f>
        <v/>
      </c>
      <c r="AA1037" s="72" t="str">
        <f aca="false">IF(AH1037="","",IFERROR(INDEX(C_TIPO,MATCH(C1037&amp;"-P"&amp;MAX(1,COUNTIFS(C_ID,C1037,C_DEFINE,"Sí",C_INICIO,"&lt;="&amp;EOMONTH(B1037,0))),C_CLAVE,0))&amp;"","Sin dato"))</f>
        <v/>
      </c>
      <c r="AB1037" s="71" t="str">
        <f aca="false">IF(AH1037="","",ROUND(MIN(K1037,TOPE_AFP_UF*AJ1037)*AK1037,0))</f>
        <v/>
      </c>
      <c r="AC1037" s="71" t="str">
        <f aca="false">IF(AH1037="","",ROUND(MIN(K1037,TOPE_AFC_UF*AJ1037)*IF(AA1037="Indefinido",AFC_EMP_INDEF,AFC_EMP_PF),0))</f>
        <v/>
      </c>
      <c r="AD1037" s="71" t="str">
        <f aca="false">IF(AH1037="","",ROUND(MIN(K1037,TOPE_AFP_UF*AJ1037)*(MUTUAL_BASICA+MUTUAL_ADIC+SANNA),0))</f>
        <v/>
      </c>
      <c r="AE1037" s="71" t="str">
        <f aca="false">IF(AH1037="","",P1037-N(N1037)+AB1037+AC1037+AD1037)</f>
        <v/>
      </c>
      <c r="AF1037" s="65"/>
      <c r="AG1037" s="64"/>
      <c r="AH1037" s="72" t="str">
        <f aca="false">IF(OR(B1037="",C1037=""),"",C1037&amp;"|"&amp;(YEAR(B1037)*100+MONTH(B1037)))</f>
        <v/>
      </c>
      <c r="AI1037" s="70" t="str">
        <f aca="false">IF(AH1037="","",IF(COUNTIF(L_CLAVE,AH1037)&gt;1,"⚠ Duplicado","OK"))</f>
        <v/>
      </c>
      <c r="AJ1037" s="86" t="str">
        <f aca="false">IF(AH1037="","",IF(SUMPRODUCT(MAX((IND_PER&lt;=B1037)*(IND_UF&lt;&gt;"")*IND_PER))=0,UF_HOY,INDEX(IND_UF,MATCH(SUMPRODUCT(MAX((IND_PER&lt;=B1037)*(IND_UF&lt;&gt;"")*IND_PER)),IND_PER,0))))</f>
        <v/>
      </c>
      <c r="AK1037" s="87" t="str">
        <f aca="false">IF(AH1037="","",IF(COUNTIF(TASA_DESDE,"&lt;="&amp;B1037)=0,INDEX(TASA_EMP,1),INDEX(TASA_EMP,COUNTIF(TASA_DESDE,"&lt;="&amp;B1037))))</f>
        <v/>
      </c>
    </row>
    <row r="1038" customFormat="false" ht="15" hidden="false" customHeight="false" outlineLevel="0" collapsed="false">
      <c r="B1038" s="78"/>
      <c r="C1038" s="64"/>
      <c r="D1038" s="72" t="str">
        <f aca="false">IF(C1038="","",IFERROR(INDEX(T_NOMBRE,MATCH(C1038,T_ID,0)),"⚠ ID no existe"))</f>
        <v/>
      </c>
      <c r="E1038" s="69"/>
      <c r="F1038" s="67"/>
      <c r="G1038" s="67"/>
      <c r="H1038" s="67"/>
      <c r="I1038" s="67"/>
      <c r="J1038" s="67"/>
      <c r="K1038" s="85" t="str">
        <f aca="false">IF(AH1038="","",N(F1038)+N(G1038)+N(H1038)-N(I1038)+N(J1038))</f>
        <v/>
      </c>
      <c r="L1038" s="67"/>
      <c r="M1038" s="67"/>
      <c r="N1038" s="67"/>
      <c r="O1038" s="67"/>
      <c r="P1038" s="85" t="str">
        <f aca="false">IF(AH1038="","",K1038+N(L1038)+N(M1038)+N(N1038)+N(O1038))</f>
        <v/>
      </c>
      <c r="Q1038" s="67"/>
      <c r="R1038" s="67"/>
      <c r="S1038" s="67"/>
      <c r="T1038" s="67"/>
      <c r="U1038" s="67"/>
      <c r="V1038" s="67"/>
      <c r="W1038" s="85" t="str">
        <f aca="false">IF(AH1038="","",N(Q1038)+N(R1038)+N(S1038)+N(T1038)+N(U1038)+N(V1038))</f>
        <v/>
      </c>
      <c r="X1038" s="85" t="str">
        <f aca="false">IF(AH1038="","",P1038-W1038)</f>
        <v/>
      </c>
      <c r="Y1038" s="67"/>
      <c r="Z1038" s="70" t="str">
        <f aca="false">IF(OR(AH1038="",Y1038=""),"",IF(ABS(X1038-Y1038)&lt;=1,"✓ Cuadra","⚠ Diferencia $"&amp;FIXED(X1038-Y1038,0)))</f>
        <v/>
      </c>
      <c r="AA1038" s="72" t="str">
        <f aca="false">IF(AH1038="","",IFERROR(INDEX(C_TIPO,MATCH(C1038&amp;"-P"&amp;MAX(1,COUNTIFS(C_ID,C1038,C_DEFINE,"Sí",C_INICIO,"&lt;="&amp;EOMONTH(B1038,0))),C_CLAVE,0))&amp;"","Sin dato"))</f>
        <v/>
      </c>
      <c r="AB1038" s="71" t="str">
        <f aca="false">IF(AH1038="","",ROUND(MIN(K1038,TOPE_AFP_UF*AJ1038)*AK1038,0))</f>
        <v/>
      </c>
      <c r="AC1038" s="71" t="str">
        <f aca="false">IF(AH1038="","",ROUND(MIN(K1038,TOPE_AFC_UF*AJ1038)*IF(AA1038="Indefinido",AFC_EMP_INDEF,AFC_EMP_PF),0))</f>
        <v/>
      </c>
      <c r="AD1038" s="71" t="str">
        <f aca="false">IF(AH1038="","",ROUND(MIN(K1038,TOPE_AFP_UF*AJ1038)*(MUTUAL_BASICA+MUTUAL_ADIC+SANNA),0))</f>
        <v/>
      </c>
      <c r="AE1038" s="71" t="str">
        <f aca="false">IF(AH1038="","",P1038-N(N1038)+AB1038+AC1038+AD1038)</f>
        <v/>
      </c>
      <c r="AF1038" s="65"/>
      <c r="AG1038" s="64"/>
      <c r="AH1038" s="72" t="str">
        <f aca="false">IF(OR(B1038="",C1038=""),"",C1038&amp;"|"&amp;(YEAR(B1038)*100+MONTH(B1038)))</f>
        <v/>
      </c>
      <c r="AI1038" s="70" t="str">
        <f aca="false">IF(AH1038="","",IF(COUNTIF(L_CLAVE,AH1038)&gt;1,"⚠ Duplicado","OK"))</f>
        <v/>
      </c>
      <c r="AJ1038" s="86" t="str">
        <f aca="false">IF(AH1038="","",IF(SUMPRODUCT(MAX((IND_PER&lt;=B1038)*(IND_UF&lt;&gt;"")*IND_PER))=0,UF_HOY,INDEX(IND_UF,MATCH(SUMPRODUCT(MAX((IND_PER&lt;=B1038)*(IND_UF&lt;&gt;"")*IND_PER)),IND_PER,0))))</f>
        <v/>
      </c>
      <c r="AK1038" s="87" t="str">
        <f aca="false">IF(AH1038="","",IF(COUNTIF(TASA_DESDE,"&lt;="&amp;B1038)=0,INDEX(TASA_EMP,1),INDEX(TASA_EMP,COUNTIF(TASA_DESDE,"&lt;="&amp;B1038))))</f>
        <v/>
      </c>
    </row>
    <row r="1039" customFormat="false" ht="15" hidden="false" customHeight="false" outlineLevel="0" collapsed="false">
      <c r="B1039" s="78"/>
      <c r="C1039" s="64"/>
      <c r="D1039" s="72" t="str">
        <f aca="false">IF(C1039="","",IFERROR(INDEX(T_NOMBRE,MATCH(C1039,T_ID,0)),"⚠ ID no existe"))</f>
        <v/>
      </c>
      <c r="E1039" s="69"/>
      <c r="F1039" s="67"/>
      <c r="G1039" s="67"/>
      <c r="H1039" s="67"/>
      <c r="I1039" s="67"/>
      <c r="J1039" s="67"/>
      <c r="K1039" s="85" t="str">
        <f aca="false">IF(AH1039="","",N(F1039)+N(G1039)+N(H1039)-N(I1039)+N(J1039))</f>
        <v/>
      </c>
      <c r="L1039" s="67"/>
      <c r="M1039" s="67"/>
      <c r="N1039" s="67"/>
      <c r="O1039" s="67"/>
      <c r="P1039" s="85" t="str">
        <f aca="false">IF(AH1039="","",K1039+N(L1039)+N(M1039)+N(N1039)+N(O1039))</f>
        <v/>
      </c>
      <c r="Q1039" s="67"/>
      <c r="R1039" s="67"/>
      <c r="S1039" s="67"/>
      <c r="T1039" s="67"/>
      <c r="U1039" s="67"/>
      <c r="V1039" s="67"/>
      <c r="W1039" s="85" t="str">
        <f aca="false">IF(AH1039="","",N(Q1039)+N(R1039)+N(S1039)+N(T1039)+N(U1039)+N(V1039))</f>
        <v/>
      </c>
      <c r="X1039" s="85" t="str">
        <f aca="false">IF(AH1039="","",P1039-W1039)</f>
        <v/>
      </c>
      <c r="Y1039" s="67"/>
      <c r="Z1039" s="70" t="str">
        <f aca="false">IF(OR(AH1039="",Y1039=""),"",IF(ABS(X1039-Y1039)&lt;=1,"✓ Cuadra","⚠ Diferencia $"&amp;FIXED(X1039-Y1039,0)))</f>
        <v/>
      </c>
      <c r="AA1039" s="72" t="str">
        <f aca="false">IF(AH1039="","",IFERROR(INDEX(C_TIPO,MATCH(C1039&amp;"-P"&amp;MAX(1,COUNTIFS(C_ID,C1039,C_DEFINE,"Sí",C_INICIO,"&lt;="&amp;EOMONTH(B1039,0))),C_CLAVE,0))&amp;"","Sin dato"))</f>
        <v/>
      </c>
      <c r="AB1039" s="71" t="str">
        <f aca="false">IF(AH1039="","",ROUND(MIN(K1039,TOPE_AFP_UF*AJ1039)*AK1039,0))</f>
        <v/>
      </c>
      <c r="AC1039" s="71" t="str">
        <f aca="false">IF(AH1039="","",ROUND(MIN(K1039,TOPE_AFC_UF*AJ1039)*IF(AA1039="Indefinido",AFC_EMP_INDEF,AFC_EMP_PF),0))</f>
        <v/>
      </c>
      <c r="AD1039" s="71" t="str">
        <f aca="false">IF(AH1039="","",ROUND(MIN(K1039,TOPE_AFP_UF*AJ1039)*(MUTUAL_BASICA+MUTUAL_ADIC+SANNA),0))</f>
        <v/>
      </c>
      <c r="AE1039" s="71" t="str">
        <f aca="false">IF(AH1039="","",P1039-N(N1039)+AB1039+AC1039+AD1039)</f>
        <v/>
      </c>
      <c r="AF1039" s="65"/>
      <c r="AG1039" s="64"/>
      <c r="AH1039" s="72" t="str">
        <f aca="false">IF(OR(B1039="",C1039=""),"",C1039&amp;"|"&amp;(YEAR(B1039)*100+MONTH(B1039)))</f>
        <v/>
      </c>
      <c r="AI1039" s="70" t="str">
        <f aca="false">IF(AH1039="","",IF(COUNTIF(L_CLAVE,AH1039)&gt;1,"⚠ Duplicado","OK"))</f>
        <v/>
      </c>
      <c r="AJ1039" s="86" t="str">
        <f aca="false">IF(AH1039="","",IF(SUMPRODUCT(MAX((IND_PER&lt;=B1039)*(IND_UF&lt;&gt;"")*IND_PER))=0,UF_HOY,INDEX(IND_UF,MATCH(SUMPRODUCT(MAX((IND_PER&lt;=B1039)*(IND_UF&lt;&gt;"")*IND_PER)),IND_PER,0))))</f>
        <v/>
      </c>
      <c r="AK1039" s="87" t="str">
        <f aca="false">IF(AH1039="","",IF(COUNTIF(TASA_DESDE,"&lt;="&amp;B1039)=0,INDEX(TASA_EMP,1),INDEX(TASA_EMP,COUNTIF(TASA_DESDE,"&lt;="&amp;B1039))))</f>
        <v/>
      </c>
    </row>
    <row r="1040" customFormat="false" ht="15" hidden="false" customHeight="false" outlineLevel="0" collapsed="false">
      <c r="B1040" s="78"/>
      <c r="C1040" s="64"/>
      <c r="D1040" s="72" t="str">
        <f aca="false">IF(C1040="","",IFERROR(INDEX(T_NOMBRE,MATCH(C1040,T_ID,0)),"⚠ ID no existe"))</f>
        <v/>
      </c>
      <c r="E1040" s="69"/>
      <c r="F1040" s="67"/>
      <c r="G1040" s="67"/>
      <c r="H1040" s="67"/>
      <c r="I1040" s="67"/>
      <c r="J1040" s="67"/>
      <c r="K1040" s="85" t="str">
        <f aca="false">IF(AH1040="","",N(F1040)+N(G1040)+N(H1040)-N(I1040)+N(J1040))</f>
        <v/>
      </c>
      <c r="L1040" s="67"/>
      <c r="M1040" s="67"/>
      <c r="N1040" s="67"/>
      <c r="O1040" s="67"/>
      <c r="P1040" s="85" t="str">
        <f aca="false">IF(AH1040="","",K1040+N(L1040)+N(M1040)+N(N1040)+N(O1040))</f>
        <v/>
      </c>
      <c r="Q1040" s="67"/>
      <c r="R1040" s="67"/>
      <c r="S1040" s="67"/>
      <c r="T1040" s="67"/>
      <c r="U1040" s="67"/>
      <c r="V1040" s="67"/>
      <c r="W1040" s="85" t="str">
        <f aca="false">IF(AH1040="","",N(Q1040)+N(R1040)+N(S1040)+N(T1040)+N(U1040)+N(V1040))</f>
        <v/>
      </c>
      <c r="X1040" s="85" t="str">
        <f aca="false">IF(AH1040="","",P1040-W1040)</f>
        <v/>
      </c>
      <c r="Y1040" s="67"/>
      <c r="Z1040" s="70" t="str">
        <f aca="false">IF(OR(AH1040="",Y1040=""),"",IF(ABS(X1040-Y1040)&lt;=1,"✓ Cuadra","⚠ Diferencia $"&amp;FIXED(X1040-Y1040,0)))</f>
        <v/>
      </c>
      <c r="AA1040" s="72" t="str">
        <f aca="false">IF(AH1040="","",IFERROR(INDEX(C_TIPO,MATCH(C1040&amp;"-P"&amp;MAX(1,COUNTIFS(C_ID,C1040,C_DEFINE,"Sí",C_INICIO,"&lt;="&amp;EOMONTH(B1040,0))),C_CLAVE,0))&amp;"","Sin dato"))</f>
        <v/>
      </c>
      <c r="AB1040" s="71" t="str">
        <f aca="false">IF(AH1040="","",ROUND(MIN(K1040,TOPE_AFP_UF*AJ1040)*AK1040,0))</f>
        <v/>
      </c>
      <c r="AC1040" s="71" t="str">
        <f aca="false">IF(AH1040="","",ROUND(MIN(K1040,TOPE_AFC_UF*AJ1040)*IF(AA1040="Indefinido",AFC_EMP_INDEF,AFC_EMP_PF),0))</f>
        <v/>
      </c>
      <c r="AD1040" s="71" t="str">
        <f aca="false">IF(AH1040="","",ROUND(MIN(K1040,TOPE_AFP_UF*AJ1040)*(MUTUAL_BASICA+MUTUAL_ADIC+SANNA),0))</f>
        <v/>
      </c>
      <c r="AE1040" s="71" t="str">
        <f aca="false">IF(AH1040="","",P1040-N(N1040)+AB1040+AC1040+AD1040)</f>
        <v/>
      </c>
      <c r="AF1040" s="65"/>
      <c r="AG1040" s="64"/>
      <c r="AH1040" s="72" t="str">
        <f aca="false">IF(OR(B1040="",C1040=""),"",C1040&amp;"|"&amp;(YEAR(B1040)*100+MONTH(B1040)))</f>
        <v/>
      </c>
      <c r="AI1040" s="70" t="str">
        <f aca="false">IF(AH1040="","",IF(COUNTIF(L_CLAVE,AH1040)&gt;1,"⚠ Duplicado","OK"))</f>
        <v/>
      </c>
      <c r="AJ1040" s="86" t="str">
        <f aca="false">IF(AH1040="","",IF(SUMPRODUCT(MAX((IND_PER&lt;=B1040)*(IND_UF&lt;&gt;"")*IND_PER))=0,UF_HOY,INDEX(IND_UF,MATCH(SUMPRODUCT(MAX((IND_PER&lt;=B1040)*(IND_UF&lt;&gt;"")*IND_PER)),IND_PER,0))))</f>
        <v/>
      </c>
      <c r="AK1040" s="87" t="str">
        <f aca="false">IF(AH1040="","",IF(COUNTIF(TASA_DESDE,"&lt;="&amp;B1040)=0,INDEX(TASA_EMP,1),INDEX(TASA_EMP,COUNTIF(TASA_DESDE,"&lt;="&amp;B1040))))</f>
        <v/>
      </c>
    </row>
    <row r="1041" customFormat="false" ht="15" hidden="false" customHeight="false" outlineLevel="0" collapsed="false">
      <c r="B1041" s="78"/>
      <c r="C1041" s="64"/>
      <c r="D1041" s="72" t="str">
        <f aca="false">IF(C1041="","",IFERROR(INDEX(T_NOMBRE,MATCH(C1041,T_ID,0)),"⚠ ID no existe"))</f>
        <v/>
      </c>
      <c r="E1041" s="69"/>
      <c r="F1041" s="67"/>
      <c r="G1041" s="67"/>
      <c r="H1041" s="67"/>
      <c r="I1041" s="67"/>
      <c r="J1041" s="67"/>
      <c r="K1041" s="85" t="str">
        <f aca="false">IF(AH1041="","",N(F1041)+N(G1041)+N(H1041)-N(I1041)+N(J1041))</f>
        <v/>
      </c>
      <c r="L1041" s="67"/>
      <c r="M1041" s="67"/>
      <c r="N1041" s="67"/>
      <c r="O1041" s="67"/>
      <c r="P1041" s="85" t="str">
        <f aca="false">IF(AH1041="","",K1041+N(L1041)+N(M1041)+N(N1041)+N(O1041))</f>
        <v/>
      </c>
      <c r="Q1041" s="67"/>
      <c r="R1041" s="67"/>
      <c r="S1041" s="67"/>
      <c r="T1041" s="67"/>
      <c r="U1041" s="67"/>
      <c r="V1041" s="67"/>
      <c r="W1041" s="85" t="str">
        <f aca="false">IF(AH1041="","",N(Q1041)+N(R1041)+N(S1041)+N(T1041)+N(U1041)+N(V1041))</f>
        <v/>
      </c>
      <c r="X1041" s="85" t="str">
        <f aca="false">IF(AH1041="","",P1041-W1041)</f>
        <v/>
      </c>
      <c r="Y1041" s="67"/>
      <c r="Z1041" s="70" t="str">
        <f aca="false">IF(OR(AH1041="",Y1041=""),"",IF(ABS(X1041-Y1041)&lt;=1,"✓ Cuadra","⚠ Diferencia $"&amp;FIXED(X1041-Y1041,0)))</f>
        <v/>
      </c>
      <c r="AA1041" s="72" t="str">
        <f aca="false">IF(AH1041="","",IFERROR(INDEX(C_TIPO,MATCH(C1041&amp;"-P"&amp;MAX(1,COUNTIFS(C_ID,C1041,C_DEFINE,"Sí",C_INICIO,"&lt;="&amp;EOMONTH(B1041,0))),C_CLAVE,0))&amp;"","Sin dato"))</f>
        <v/>
      </c>
      <c r="AB1041" s="71" t="str">
        <f aca="false">IF(AH1041="","",ROUND(MIN(K1041,TOPE_AFP_UF*AJ1041)*AK1041,0))</f>
        <v/>
      </c>
      <c r="AC1041" s="71" t="str">
        <f aca="false">IF(AH1041="","",ROUND(MIN(K1041,TOPE_AFC_UF*AJ1041)*IF(AA1041="Indefinido",AFC_EMP_INDEF,AFC_EMP_PF),0))</f>
        <v/>
      </c>
      <c r="AD1041" s="71" t="str">
        <f aca="false">IF(AH1041="","",ROUND(MIN(K1041,TOPE_AFP_UF*AJ1041)*(MUTUAL_BASICA+MUTUAL_ADIC+SANNA),0))</f>
        <v/>
      </c>
      <c r="AE1041" s="71" t="str">
        <f aca="false">IF(AH1041="","",P1041-N(N1041)+AB1041+AC1041+AD1041)</f>
        <v/>
      </c>
      <c r="AF1041" s="65"/>
      <c r="AG1041" s="64"/>
      <c r="AH1041" s="72" t="str">
        <f aca="false">IF(OR(B1041="",C1041=""),"",C1041&amp;"|"&amp;(YEAR(B1041)*100+MONTH(B1041)))</f>
        <v/>
      </c>
      <c r="AI1041" s="70" t="str">
        <f aca="false">IF(AH1041="","",IF(COUNTIF(L_CLAVE,AH1041)&gt;1,"⚠ Duplicado","OK"))</f>
        <v/>
      </c>
      <c r="AJ1041" s="86" t="str">
        <f aca="false">IF(AH1041="","",IF(SUMPRODUCT(MAX((IND_PER&lt;=B1041)*(IND_UF&lt;&gt;"")*IND_PER))=0,UF_HOY,INDEX(IND_UF,MATCH(SUMPRODUCT(MAX((IND_PER&lt;=B1041)*(IND_UF&lt;&gt;"")*IND_PER)),IND_PER,0))))</f>
        <v/>
      </c>
      <c r="AK1041" s="87" t="str">
        <f aca="false">IF(AH1041="","",IF(COUNTIF(TASA_DESDE,"&lt;="&amp;B1041)=0,INDEX(TASA_EMP,1),INDEX(TASA_EMP,COUNTIF(TASA_DESDE,"&lt;="&amp;B1041))))</f>
        <v/>
      </c>
    </row>
    <row r="1042" customFormat="false" ht="15" hidden="false" customHeight="false" outlineLevel="0" collapsed="false">
      <c r="B1042" s="78"/>
      <c r="C1042" s="64"/>
      <c r="D1042" s="72" t="str">
        <f aca="false">IF(C1042="","",IFERROR(INDEX(T_NOMBRE,MATCH(C1042,T_ID,0)),"⚠ ID no existe"))</f>
        <v/>
      </c>
      <c r="E1042" s="69"/>
      <c r="F1042" s="67"/>
      <c r="G1042" s="67"/>
      <c r="H1042" s="67"/>
      <c r="I1042" s="67"/>
      <c r="J1042" s="67"/>
      <c r="K1042" s="85" t="str">
        <f aca="false">IF(AH1042="","",N(F1042)+N(G1042)+N(H1042)-N(I1042)+N(J1042))</f>
        <v/>
      </c>
      <c r="L1042" s="67"/>
      <c r="M1042" s="67"/>
      <c r="N1042" s="67"/>
      <c r="O1042" s="67"/>
      <c r="P1042" s="85" t="str">
        <f aca="false">IF(AH1042="","",K1042+N(L1042)+N(M1042)+N(N1042)+N(O1042))</f>
        <v/>
      </c>
      <c r="Q1042" s="67"/>
      <c r="R1042" s="67"/>
      <c r="S1042" s="67"/>
      <c r="T1042" s="67"/>
      <c r="U1042" s="67"/>
      <c r="V1042" s="67"/>
      <c r="W1042" s="85" t="str">
        <f aca="false">IF(AH1042="","",N(Q1042)+N(R1042)+N(S1042)+N(T1042)+N(U1042)+N(V1042))</f>
        <v/>
      </c>
      <c r="X1042" s="85" t="str">
        <f aca="false">IF(AH1042="","",P1042-W1042)</f>
        <v/>
      </c>
      <c r="Y1042" s="67"/>
      <c r="Z1042" s="70" t="str">
        <f aca="false">IF(OR(AH1042="",Y1042=""),"",IF(ABS(X1042-Y1042)&lt;=1,"✓ Cuadra","⚠ Diferencia $"&amp;FIXED(X1042-Y1042,0)))</f>
        <v/>
      </c>
      <c r="AA1042" s="72" t="str">
        <f aca="false">IF(AH1042="","",IFERROR(INDEX(C_TIPO,MATCH(C1042&amp;"-P"&amp;MAX(1,COUNTIFS(C_ID,C1042,C_DEFINE,"Sí",C_INICIO,"&lt;="&amp;EOMONTH(B1042,0))),C_CLAVE,0))&amp;"","Sin dato"))</f>
        <v/>
      </c>
      <c r="AB1042" s="71" t="str">
        <f aca="false">IF(AH1042="","",ROUND(MIN(K1042,TOPE_AFP_UF*AJ1042)*AK1042,0))</f>
        <v/>
      </c>
      <c r="AC1042" s="71" t="str">
        <f aca="false">IF(AH1042="","",ROUND(MIN(K1042,TOPE_AFC_UF*AJ1042)*IF(AA1042="Indefinido",AFC_EMP_INDEF,AFC_EMP_PF),0))</f>
        <v/>
      </c>
      <c r="AD1042" s="71" t="str">
        <f aca="false">IF(AH1042="","",ROUND(MIN(K1042,TOPE_AFP_UF*AJ1042)*(MUTUAL_BASICA+MUTUAL_ADIC+SANNA),0))</f>
        <v/>
      </c>
      <c r="AE1042" s="71" t="str">
        <f aca="false">IF(AH1042="","",P1042-N(N1042)+AB1042+AC1042+AD1042)</f>
        <v/>
      </c>
      <c r="AF1042" s="65"/>
      <c r="AG1042" s="64"/>
      <c r="AH1042" s="72" t="str">
        <f aca="false">IF(OR(B1042="",C1042=""),"",C1042&amp;"|"&amp;(YEAR(B1042)*100+MONTH(B1042)))</f>
        <v/>
      </c>
      <c r="AI1042" s="70" t="str">
        <f aca="false">IF(AH1042="","",IF(COUNTIF(L_CLAVE,AH1042)&gt;1,"⚠ Duplicado","OK"))</f>
        <v/>
      </c>
      <c r="AJ1042" s="86" t="str">
        <f aca="false">IF(AH1042="","",IF(SUMPRODUCT(MAX((IND_PER&lt;=B1042)*(IND_UF&lt;&gt;"")*IND_PER))=0,UF_HOY,INDEX(IND_UF,MATCH(SUMPRODUCT(MAX((IND_PER&lt;=B1042)*(IND_UF&lt;&gt;"")*IND_PER)),IND_PER,0))))</f>
        <v/>
      </c>
      <c r="AK1042" s="87" t="str">
        <f aca="false">IF(AH1042="","",IF(COUNTIF(TASA_DESDE,"&lt;="&amp;B1042)=0,INDEX(TASA_EMP,1),INDEX(TASA_EMP,COUNTIF(TASA_DESDE,"&lt;="&amp;B1042))))</f>
        <v/>
      </c>
    </row>
    <row r="1043" customFormat="false" ht="15" hidden="false" customHeight="false" outlineLevel="0" collapsed="false">
      <c r="B1043" s="78"/>
      <c r="C1043" s="64"/>
      <c r="D1043" s="72" t="str">
        <f aca="false">IF(C1043="","",IFERROR(INDEX(T_NOMBRE,MATCH(C1043,T_ID,0)),"⚠ ID no existe"))</f>
        <v/>
      </c>
      <c r="E1043" s="69"/>
      <c r="F1043" s="67"/>
      <c r="G1043" s="67"/>
      <c r="H1043" s="67"/>
      <c r="I1043" s="67"/>
      <c r="J1043" s="67"/>
      <c r="K1043" s="85" t="str">
        <f aca="false">IF(AH1043="","",N(F1043)+N(G1043)+N(H1043)-N(I1043)+N(J1043))</f>
        <v/>
      </c>
      <c r="L1043" s="67"/>
      <c r="M1043" s="67"/>
      <c r="N1043" s="67"/>
      <c r="O1043" s="67"/>
      <c r="P1043" s="85" t="str">
        <f aca="false">IF(AH1043="","",K1043+N(L1043)+N(M1043)+N(N1043)+N(O1043))</f>
        <v/>
      </c>
      <c r="Q1043" s="67"/>
      <c r="R1043" s="67"/>
      <c r="S1043" s="67"/>
      <c r="T1043" s="67"/>
      <c r="U1043" s="67"/>
      <c r="V1043" s="67"/>
      <c r="W1043" s="85" t="str">
        <f aca="false">IF(AH1043="","",N(Q1043)+N(R1043)+N(S1043)+N(T1043)+N(U1043)+N(V1043))</f>
        <v/>
      </c>
      <c r="X1043" s="85" t="str">
        <f aca="false">IF(AH1043="","",P1043-W1043)</f>
        <v/>
      </c>
      <c r="Y1043" s="67"/>
      <c r="Z1043" s="70" t="str">
        <f aca="false">IF(OR(AH1043="",Y1043=""),"",IF(ABS(X1043-Y1043)&lt;=1,"✓ Cuadra","⚠ Diferencia $"&amp;FIXED(X1043-Y1043,0)))</f>
        <v/>
      </c>
      <c r="AA1043" s="72" t="str">
        <f aca="false">IF(AH1043="","",IFERROR(INDEX(C_TIPO,MATCH(C1043&amp;"-P"&amp;MAX(1,COUNTIFS(C_ID,C1043,C_DEFINE,"Sí",C_INICIO,"&lt;="&amp;EOMONTH(B1043,0))),C_CLAVE,0))&amp;"","Sin dato"))</f>
        <v/>
      </c>
      <c r="AB1043" s="71" t="str">
        <f aca="false">IF(AH1043="","",ROUND(MIN(K1043,TOPE_AFP_UF*AJ1043)*AK1043,0))</f>
        <v/>
      </c>
      <c r="AC1043" s="71" t="str">
        <f aca="false">IF(AH1043="","",ROUND(MIN(K1043,TOPE_AFC_UF*AJ1043)*IF(AA1043="Indefinido",AFC_EMP_INDEF,AFC_EMP_PF),0))</f>
        <v/>
      </c>
      <c r="AD1043" s="71" t="str">
        <f aca="false">IF(AH1043="","",ROUND(MIN(K1043,TOPE_AFP_UF*AJ1043)*(MUTUAL_BASICA+MUTUAL_ADIC+SANNA),0))</f>
        <v/>
      </c>
      <c r="AE1043" s="71" t="str">
        <f aca="false">IF(AH1043="","",P1043-N(N1043)+AB1043+AC1043+AD1043)</f>
        <v/>
      </c>
      <c r="AF1043" s="65"/>
      <c r="AG1043" s="64"/>
      <c r="AH1043" s="72" t="str">
        <f aca="false">IF(OR(B1043="",C1043=""),"",C1043&amp;"|"&amp;(YEAR(B1043)*100+MONTH(B1043)))</f>
        <v/>
      </c>
      <c r="AI1043" s="70" t="str">
        <f aca="false">IF(AH1043="","",IF(COUNTIF(L_CLAVE,AH1043)&gt;1,"⚠ Duplicado","OK"))</f>
        <v/>
      </c>
      <c r="AJ1043" s="86" t="str">
        <f aca="false">IF(AH1043="","",IF(SUMPRODUCT(MAX((IND_PER&lt;=B1043)*(IND_UF&lt;&gt;"")*IND_PER))=0,UF_HOY,INDEX(IND_UF,MATCH(SUMPRODUCT(MAX((IND_PER&lt;=B1043)*(IND_UF&lt;&gt;"")*IND_PER)),IND_PER,0))))</f>
        <v/>
      </c>
      <c r="AK1043" s="87" t="str">
        <f aca="false">IF(AH1043="","",IF(COUNTIF(TASA_DESDE,"&lt;="&amp;B1043)=0,INDEX(TASA_EMP,1),INDEX(TASA_EMP,COUNTIF(TASA_DESDE,"&lt;="&amp;B1043))))</f>
        <v/>
      </c>
    </row>
    <row r="1044" customFormat="false" ht="15" hidden="false" customHeight="false" outlineLevel="0" collapsed="false">
      <c r="B1044" s="78"/>
      <c r="C1044" s="64"/>
      <c r="D1044" s="72" t="str">
        <f aca="false">IF(C1044="","",IFERROR(INDEX(T_NOMBRE,MATCH(C1044,T_ID,0)),"⚠ ID no existe"))</f>
        <v/>
      </c>
      <c r="E1044" s="69"/>
      <c r="F1044" s="67"/>
      <c r="G1044" s="67"/>
      <c r="H1044" s="67"/>
      <c r="I1044" s="67"/>
      <c r="J1044" s="67"/>
      <c r="K1044" s="85" t="str">
        <f aca="false">IF(AH1044="","",N(F1044)+N(G1044)+N(H1044)-N(I1044)+N(J1044))</f>
        <v/>
      </c>
      <c r="L1044" s="67"/>
      <c r="M1044" s="67"/>
      <c r="N1044" s="67"/>
      <c r="O1044" s="67"/>
      <c r="P1044" s="85" t="str">
        <f aca="false">IF(AH1044="","",K1044+N(L1044)+N(M1044)+N(N1044)+N(O1044))</f>
        <v/>
      </c>
      <c r="Q1044" s="67"/>
      <c r="R1044" s="67"/>
      <c r="S1044" s="67"/>
      <c r="T1044" s="67"/>
      <c r="U1044" s="67"/>
      <c r="V1044" s="67"/>
      <c r="W1044" s="85" t="str">
        <f aca="false">IF(AH1044="","",N(Q1044)+N(R1044)+N(S1044)+N(T1044)+N(U1044)+N(V1044))</f>
        <v/>
      </c>
      <c r="X1044" s="85" t="str">
        <f aca="false">IF(AH1044="","",P1044-W1044)</f>
        <v/>
      </c>
      <c r="Y1044" s="67"/>
      <c r="Z1044" s="70" t="str">
        <f aca="false">IF(OR(AH1044="",Y1044=""),"",IF(ABS(X1044-Y1044)&lt;=1,"✓ Cuadra","⚠ Diferencia $"&amp;FIXED(X1044-Y1044,0)))</f>
        <v/>
      </c>
      <c r="AA1044" s="72" t="str">
        <f aca="false">IF(AH1044="","",IFERROR(INDEX(C_TIPO,MATCH(C1044&amp;"-P"&amp;MAX(1,COUNTIFS(C_ID,C1044,C_DEFINE,"Sí",C_INICIO,"&lt;="&amp;EOMONTH(B1044,0))),C_CLAVE,0))&amp;"","Sin dato"))</f>
        <v/>
      </c>
      <c r="AB1044" s="71" t="str">
        <f aca="false">IF(AH1044="","",ROUND(MIN(K1044,TOPE_AFP_UF*AJ1044)*AK1044,0))</f>
        <v/>
      </c>
      <c r="AC1044" s="71" t="str">
        <f aca="false">IF(AH1044="","",ROUND(MIN(K1044,TOPE_AFC_UF*AJ1044)*IF(AA1044="Indefinido",AFC_EMP_INDEF,AFC_EMP_PF),0))</f>
        <v/>
      </c>
      <c r="AD1044" s="71" t="str">
        <f aca="false">IF(AH1044="","",ROUND(MIN(K1044,TOPE_AFP_UF*AJ1044)*(MUTUAL_BASICA+MUTUAL_ADIC+SANNA),0))</f>
        <v/>
      </c>
      <c r="AE1044" s="71" t="str">
        <f aca="false">IF(AH1044="","",P1044-N(N1044)+AB1044+AC1044+AD1044)</f>
        <v/>
      </c>
      <c r="AF1044" s="65"/>
      <c r="AG1044" s="64"/>
      <c r="AH1044" s="72" t="str">
        <f aca="false">IF(OR(B1044="",C1044=""),"",C1044&amp;"|"&amp;(YEAR(B1044)*100+MONTH(B1044)))</f>
        <v/>
      </c>
      <c r="AI1044" s="70" t="str">
        <f aca="false">IF(AH1044="","",IF(COUNTIF(L_CLAVE,AH1044)&gt;1,"⚠ Duplicado","OK"))</f>
        <v/>
      </c>
      <c r="AJ1044" s="86" t="str">
        <f aca="false">IF(AH1044="","",IF(SUMPRODUCT(MAX((IND_PER&lt;=B1044)*(IND_UF&lt;&gt;"")*IND_PER))=0,UF_HOY,INDEX(IND_UF,MATCH(SUMPRODUCT(MAX((IND_PER&lt;=B1044)*(IND_UF&lt;&gt;"")*IND_PER)),IND_PER,0))))</f>
        <v/>
      </c>
      <c r="AK1044" s="87" t="str">
        <f aca="false">IF(AH1044="","",IF(COUNTIF(TASA_DESDE,"&lt;="&amp;B1044)=0,INDEX(TASA_EMP,1),INDEX(TASA_EMP,COUNTIF(TASA_DESDE,"&lt;="&amp;B1044))))</f>
        <v/>
      </c>
    </row>
    <row r="1045" customFormat="false" ht="15" hidden="false" customHeight="false" outlineLevel="0" collapsed="false">
      <c r="B1045" s="78"/>
      <c r="C1045" s="64"/>
      <c r="D1045" s="72" t="str">
        <f aca="false">IF(C1045="","",IFERROR(INDEX(T_NOMBRE,MATCH(C1045,T_ID,0)),"⚠ ID no existe"))</f>
        <v/>
      </c>
      <c r="E1045" s="69"/>
      <c r="F1045" s="67"/>
      <c r="G1045" s="67"/>
      <c r="H1045" s="67"/>
      <c r="I1045" s="67"/>
      <c r="J1045" s="67"/>
      <c r="K1045" s="85" t="str">
        <f aca="false">IF(AH1045="","",N(F1045)+N(G1045)+N(H1045)-N(I1045)+N(J1045))</f>
        <v/>
      </c>
      <c r="L1045" s="67"/>
      <c r="M1045" s="67"/>
      <c r="N1045" s="67"/>
      <c r="O1045" s="67"/>
      <c r="P1045" s="85" t="str">
        <f aca="false">IF(AH1045="","",K1045+N(L1045)+N(M1045)+N(N1045)+N(O1045))</f>
        <v/>
      </c>
      <c r="Q1045" s="67"/>
      <c r="R1045" s="67"/>
      <c r="S1045" s="67"/>
      <c r="T1045" s="67"/>
      <c r="U1045" s="67"/>
      <c r="V1045" s="67"/>
      <c r="W1045" s="85" t="str">
        <f aca="false">IF(AH1045="","",N(Q1045)+N(R1045)+N(S1045)+N(T1045)+N(U1045)+N(V1045))</f>
        <v/>
      </c>
      <c r="X1045" s="85" t="str">
        <f aca="false">IF(AH1045="","",P1045-W1045)</f>
        <v/>
      </c>
      <c r="Y1045" s="67"/>
      <c r="Z1045" s="70" t="str">
        <f aca="false">IF(OR(AH1045="",Y1045=""),"",IF(ABS(X1045-Y1045)&lt;=1,"✓ Cuadra","⚠ Diferencia $"&amp;FIXED(X1045-Y1045,0)))</f>
        <v/>
      </c>
      <c r="AA1045" s="72" t="str">
        <f aca="false">IF(AH1045="","",IFERROR(INDEX(C_TIPO,MATCH(C1045&amp;"-P"&amp;MAX(1,COUNTIFS(C_ID,C1045,C_DEFINE,"Sí",C_INICIO,"&lt;="&amp;EOMONTH(B1045,0))),C_CLAVE,0))&amp;"","Sin dato"))</f>
        <v/>
      </c>
      <c r="AB1045" s="71" t="str">
        <f aca="false">IF(AH1045="","",ROUND(MIN(K1045,TOPE_AFP_UF*AJ1045)*AK1045,0))</f>
        <v/>
      </c>
      <c r="AC1045" s="71" t="str">
        <f aca="false">IF(AH1045="","",ROUND(MIN(K1045,TOPE_AFC_UF*AJ1045)*IF(AA1045="Indefinido",AFC_EMP_INDEF,AFC_EMP_PF),0))</f>
        <v/>
      </c>
      <c r="AD1045" s="71" t="str">
        <f aca="false">IF(AH1045="","",ROUND(MIN(K1045,TOPE_AFP_UF*AJ1045)*(MUTUAL_BASICA+MUTUAL_ADIC+SANNA),0))</f>
        <v/>
      </c>
      <c r="AE1045" s="71" t="str">
        <f aca="false">IF(AH1045="","",P1045-N(N1045)+AB1045+AC1045+AD1045)</f>
        <v/>
      </c>
      <c r="AF1045" s="65"/>
      <c r="AG1045" s="64"/>
      <c r="AH1045" s="72" t="str">
        <f aca="false">IF(OR(B1045="",C1045=""),"",C1045&amp;"|"&amp;(YEAR(B1045)*100+MONTH(B1045)))</f>
        <v/>
      </c>
      <c r="AI1045" s="70" t="str">
        <f aca="false">IF(AH1045="","",IF(COUNTIF(L_CLAVE,AH1045)&gt;1,"⚠ Duplicado","OK"))</f>
        <v/>
      </c>
      <c r="AJ1045" s="86" t="str">
        <f aca="false">IF(AH1045="","",IF(SUMPRODUCT(MAX((IND_PER&lt;=B1045)*(IND_UF&lt;&gt;"")*IND_PER))=0,UF_HOY,INDEX(IND_UF,MATCH(SUMPRODUCT(MAX((IND_PER&lt;=B1045)*(IND_UF&lt;&gt;"")*IND_PER)),IND_PER,0))))</f>
        <v/>
      </c>
      <c r="AK1045" s="87" t="str">
        <f aca="false">IF(AH1045="","",IF(COUNTIF(TASA_DESDE,"&lt;="&amp;B1045)=0,INDEX(TASA_EMP,1),INDEX(TASA_EMP,COUNTIF(TASA_DESDE,"&lt;="&amp;B1045))))</f>
        <v/>
      </c>
    </row>
    <row r="1046" customFormat="false" ht="15" hidden="false" customHeight="false" outlineLevel="0" collapsed="false">
      <c r="B1046" s="78"/>
      <c r="C1046" s="64"/>
      <c r="D1046" s="72" t="str">
        <f aca="false">IF(C1046="","",IFERROR(INDEX(T_NOMBRE,MATCH(C1046,T_ID,0)),"⚠ ID no existe"))</f>
        <v/>
      </c>
      <c r="E1046" s="69"/>
      <c r="F1046" s="67"/>
      <c r="G1046" s="67"/>
      <c r="H1046" s="67"/>
      <c r="I1046" s="67"/>
      <c r="J1046" s="67"/>
      <c r="K1046" s="85" t="str">
        <f aca="false">IF(AH1046="","",N(F1046)+N(G1046)+N(H1046)-N(I1046)+N(J1046))</f>
        <v/>
      </c>
      <c r="L1046" s="67"/>
      <c r="M1046" s="67"/>
      <c r="N1046" s="67"/>
      <c r="O1046" s="67"/>
      <c r="P1046" s="85" t="str">
        <f aca="false">IF(AH1046="","",K1046+N(L1046)+N(M1046)+N(N1046)+N(O1046))</f>
        <v/>
      </c>
      <c r="Q1046" s="67"/>
      <c r="R1046" s="67"/>
      <c r="S1046" s="67"/>
      <c r="T1046" s="67"/>
      <c r="U1046" s="67"/>
      <c r="V1046" s="67"/>
      <c r="W1046" s="85" t="str">
        <f aca="false">IF(AH1046="","",N(Q1046)+N(R1046)+N(S1046)+N(T1046)+N(U1046)+N(V1046))</f>
        <v/>
      </c>
      <c r="X1046" s="85" t="str">
        <f aca="false">IF(AH1046="","",P1046-W1046)</f>
        <v/>
      </c>
      <c r="Y1046" s="67"/>
      <c r="Z1046" s="70" t="str">
        <f aca="false">IF(OR(AH1046="",Y1046=""),"",IF(ABS(X1046-Y1046)&lt;=1,"✓ Cuadra","⚠ Diferencia $"&amp;FIXED(X1046-Y1046,0)))</f>
        <v/>
      </c>
      <c r="AA1046" s="72" t="str">
        <f aca="false">IF(AH1046="","",IFERROR(INDEX(C_TIPO,MATCH(C1046&amp;"-P"&amp;MAX(1,COUNTIFS(C_ID,C1046,C_DEFINE,"Sí",C_INICIO,"&lt;="&amp;EOMONTH(B1046,0))),C_CLAVE,0))&amp;"","Sin dato"))</f>
        <v/>
      </c>
      <c r="AB1046" s="71" t="str">
        <f aca="false">IF(AH1046="","",ROUND(MIN(K1046,TOPE_AFP_UF*AJ1046)*AK1046,0))</f>
        <v/>
      </c>
      <c r="AC1046" s="71" t="str">
        <f aca="false">IF(AH1046="","",ROUND(MIN(K1046,TOPE_AFC_UF*AJ1046)*IF(AA1046="Indefinido",AFC_EMP_INDEF,AFC_EMP_PF),0))</f>
        <v/>
      </c>
      <c r="AD1046" s="71" t="str">
        <f aca="false">IF(AH1046="","",ROUND(MIN(K1046,TOPE_AFP_UF*AJ1046)*(MUTUAL_BASICA+MUTUAL_ADIC+SANNA),0))</f>
        <v/>
      </c>
      <c r="AE1046" s="71" t="str">
        <f aca="false">IF(AH1046="","",P1046-N(N1046)+AB1046+AC1046+AD1046)</f>
        <v/>
      </c>
      <c r="AF1046" s="65"/>
      <c r="AG1046" s="64"/>
      <c r="AH1046" s="72" t="str">
        <f aca="false">IF(OR(B1046="",C1046=""),"",C1046&amp;"|"&amp;(YEAR(B1046)*100+MONTH(B1046)))</f>
        <v/>
      </c>
      <c r="AI1046" s="70" t="str">
        <f aca="false">IF(AH1046="","",IF(COUNTIF(L_CLAVE,AH1046)&gt;1,"⚠ Duplicado","OK"))</f>
        <v/>
      </c>
      <c r="AJ1046" s="86" t="str">
        <f aca="false">IF(AH1046="","",IF(SUMPRODUCT(MAX((IND_PER&lt;=B1046)*(IND_UF&lt;&gt;"")*IND_PER))=0,UF_HOY,INDEX(IND_UF,MATCH(SUMPRODUCT(MAX((IND_PER&lt;=B1046)*(IND_UF&lt;&gt;"")*IND_PER)),IND_PER,0))))</f>
        <v/>
      </c>
      <c r="AK1046" s="87" t="str">
        <f aca="false">IF(AH1046="","",IF(COUNTIF(TASA_DESDE,"&lt;="&amp;B1046)=0,INDEX(TASA_EMP,1),INDEX(TASA_EMP,COUNTIF(TASA_DESDE,"&lt;="&amp;B1046))))</f>
        <v/>
      </c>
    </row>
    <row r="1047" customFormat="false" ht="15" hidden="false" customHeight="false" outlineLevel="0" collapsed="false">
      <c r="B1047" s="78"/>
      <c r="C1047" s="64"/>
      <c r="D1047" s="72" t="str">
        <f aca="false">IF(C1047="","",IFERROR(INDEX(T_NOMBRE,MATCH(C1047,T_ID,0)),"⚠ ID no existe"))</f>
        <v/>
      </c>
      <c r="E1047" s="69"/>
      <c r="F1047" s="67"/>
      <c r="G1047" s="67"/>
      <c r="H1047" s="67"/>
      <c r="I1047" s="67"/>
      <c r="J1047" s="67"/>
      <c r="K1047" s="85" t="str">
        <f aca="false">IF(AH1047="","",N(F1047)+N(G1047)+N(H1047)-N(I1047)+N(J1047))</f>
        <v/>
      </c>
      <c r="L1047" s="67"/>
      <c r="M1047" s="67"/>
      <c r="N1047" s="67"/>
      <c r="O1047" s="67"/>
      <c r="P1047" s="85" t="str">
        <f aca="false">IF(AH1047="","",K1047+N(L1047)+N(M1047)+N(N1047)+N(O1047))</f>
        <v/>
      </c>
      <c r="Q1047" s="67"/>
      <c r="R1047" s="67"/>
      <c r="S1047" s="67"/>
      <c r="T1047" s="67"/>
      <c r="U1047" s="67"/>
      <c r="V1047" s="67"/>
      <c r="W1047" s="85" t="str">
        <f aca="false">IF(AH1047="","",N(Q1047)+N(R1047)+N(S1047)+N(T1047)+N(U1047)+N(V1047))</f>
        <v/>
      </c>
      <c r="X1047" s="85" t="str">
        <f aca="false">IF(AH1047="","",P1047-W1047)</f>
        <v/>
      </c>
      <c r="Y1047" s="67"/>
      <c r="Z1047" s="70" t="str">
        <f aca="false">IF(OR(AH1047="",Y1047=""),"",IF(ABS(X1047-Y1047)&lt;=1,"✓ Cuadra","⚠ Diferencia $"&amp;FIXED(X1047-Y1047,0)))</f>
        <v/>
      </c>
      <c r="AA1047" s="72" t="str">
        <f aca="false">IF(AH1047="","",IFERROR(INDEX(C_TIPO,MATCH(C1047&amp;"-P"&amp;MAX(1,COUNTIFS(C_ID,C1047,C_DEFINE,"Sí",C_INICIO,"&lt;="&amp;EOMONTH(B1047,0))),C_CLAVE,0))&amp;"","Sin dato"))</f>
        <v/>
      </c>
      <c r="AB1047" s="71" t="str">
        <f aca="false">IF(AH1047="","",ROUND(MIN(K1047,TOPE_AFP_UF*AJ1047)*AK1047,0))</f>
        <v/>
      </c>
      <c r="AC1047" s="71" t="str">
        <f aca="false">IF(AH1047="","",ROUND(MIN(K1047,TOPE_AFC_UF*AJ1047)*IF(AA1047="Indefinido",AFC_EMP_INDEF,AFC_EMP_PF),0))</f>
        <v/>
      </c>
      <c r="AD1047" s="71" t="str">
        <f aca="false">IF(AH1047="","",ROUND(MIN(K1047,TOPE_AFP_UF*AJ1047)*(MUTUAL_BASICA+MUTUAL_ADIC+SANNA),0))</f>
        <v/>
      </c>
      <c r="AE1047" s="71" t="str">
        <f aca="false">IF(AH1047="","",P1047-N(N1047)+AB1047+AC1047+AD1047)</f>
        <v/>
      </c>
      <c r="AF1047" s="65"/>
      <c r="AG1047" s="64"/>
      <c r="AH1047" s="72" t="str">
        <f aca="false">IF(OR(B1047="",C1047=""),"",C1047&amp;"|"&amp;(YEAR(B1047)*100+MONTH(B1047)))</f>
        <v/>
      </c>
      <c r="AI1047" s="70" t="str">
        <f aca="false">IF(AH1047="","",IF(COUNTIF(L_CLAVE,AH1047)&gt;1,"⚠ Duplicado","OK"))</f>
        <v/>
      </c>
      <c r="AJ1047" s="86" t="str">
        <f aca="false">IF(AH1047="","",IF(SUMPRODUCT(MAX((IND_PER&lt;=B1047)*(IND_UF&lt;&gt;"")*IND_PER))=0,UF_HOY,INDEX(IND_UF,MATCH(SUMPRODUCT(MAX((IND_PER&lt;=B1047)*(IND_UF&lt;&gt;"")*IND_PER)),IND_PER,0))))</f>
        <v/>
      </c>
      <c r="AK1047" s="87" t="str">
        <f aca="false">IF(AH1047="","",IF(COUNTIF(TASA_DESDE,"&lt;="&amp;B1047)=0,INDEX(TASA_EMP,1),INDEX(TASA_EMP,COUNTIF(TASA_DESDE,"&lt;="&amp;B1047))))</f>
        <v/>
      </c>
    </row>
    <row r="1048" customFormat="false" ht="15" hidden="false" customHeight="false" outlineLevel="0" collapsed="false">
      <c r="B1048" s="78"/>
      <c r="C1048" s="64"/>
      <c r="D1048" s="72" t="str">
        <f aca="false">IF(C1048="","",IFERROR(INDEX(T_NOMBRE,MATCH(C1048,T_ID,0)),"⚠ ID no existe"))</f>
        <v/>
      </c>
      <c r="E1048" s="69"/>
      <c r="F1048" s="67"/>
      <c r="G1048" s="67"/>
      <c r="H1048" s="67"/>
      <c r="I1048" s="67"/>
      <c r="J1048" s="67"/>
      <c r="K1048" s="85" t="str">
        <f aca="false">IF(AH1048="","",N(F1048)+N(G1048)+N(H1048)-N(I1048)+N(J1048))</f>
        <v/>
      </c>
      <c r="L1048" s="67"/>
      <c r="M1048" s="67"/>
      <c r="N1048" s="67"/>
      <c r="O1048" s="67"/>
      <c r="P1048" s="85" t="str">
        <f aca="false">IF(AH1048="","",K1048+N(L1048)+N(M1048)+N(N1048)+N(O1048))</f>
        <v/>
      </c>
      <c r="Q1048" s="67"/>
      <c r="R1048" s="67"/>
      <c r="S1048" s="67"/>
      <c r="T1048" s="67"/>
      <c r="U1048" s="67"/>
      <c r="V1048" s="67"/>
      <c r="W1048" s="85" t="str">
        <f aca="false">IF(AH1048="","",N(Q1048)+N(R1048)+N(S1048)+N(T1048)+N(U1048)+N(V1048))</f>
        <v/>
      </c>
      <c r="X1048" s="85" t="str">
        <f aca="false">IF(AH1048="","",P1048-W1048)</f>
        <v/>
      </c>
      <c r="Y1048" s="67"/>
      <c r="Z1048" s="70" t="str">
        <f aca="false">IF(OR(AH1048="",Y1048=""),"",IF(ABS(X1048-Y1048)&lt;=1,"✓ Cuadra","⚠ Diferencia $"&amp;FIXED(X1048-Y1048,0)))</f>
        <v/>
      </c>
      <c r="AA1048" s="72" t="str">
        <f aca="false">IF(AH1048="","",IFERROR(INDEX(C_TIPO,MATCH(C1048&amp;"-P"&amp;MAX(1,COUNTIFS(C_ID,C1048,C_DEFINE,"Sí",C_INICIO,"&lt;="&amp;EOMONTH(B1048,0))),C_CLAVE,0))&amp;"","Sin dato"))</f>
        <v/>
      </c>
      <c r="AB1048" s="71" t="str">
        <f aca="false">IF(AH1048="","",ROUND(MIN(K1048,TOPE_AFP_UF*AJ1048)*AK1048,0))</f>
        <v/>
      </c>
      <c r="AC1048" s="71" t="str">
        <f aca="false">IF(AH1048="","",ROUND(MIN(K1048,TOPE_AFC_UF*AJ1048)*IF(AA1048="Indefinido",AFC_EMP_INDEF,AFC_EMP_PF),0))</f>
        <v/>
      </c>
      <c r="AD1048" s="71" t="str">
        <f aca="false">IF(AH1048="","",ROUND(MIN(K1048,TOPE_AFP_UF*AJ1048)*(MUTUAL_BASICA+MUTUAL_ADIC+SANNA),0))</f>
        <v/>
      </c>
      <c r="AE1048" s="71" t="str">
        <f aca="false">IF(AH1048="","",P1048-N(N1048)+AB1048+AC1048+AD1048)</f>
        <v/>
      </c>
      <c r="AF1048" s="65"/>
      <c r="AG1048" s="64"/>
      <c r="AH1048" s="72" t="str">
        <f aca="false">IF(OR(B1048="",C1048=""),"",C1048&amp;"|"&amp;(YEAR(B1048)*100+MONTH(B1048)))</f>
        <v/>
      </c>
      <c r="AI1048" s="70" t="str">
        <f aca="false">IF(AH1048="","",IF(COUNTIF(L_CLAVE,AH1048)&gt;1,"⚠ Duplicado","OK"))</f>
        <v/>
      </c>
      <c r="AJ1048" s="86" t="str">
        <f aca="false">IF(AH1048="","",IF(SUMPRODUCT(MAX((IND_PER&lt;=B1048)*(IND_UF&lt;&gt;"")*IND_PER))=0,UF_HOY,INDEX(IND_UF,MATCH(SUMPRODUCT(MAX((IND_PER&lt;=B1048)*(IND_UF&lt;&gt;"")*IND_PER)),IND_PER,0))))</f>
        <v/>
      </c>
      <c r="AK1048" s="87" t="str">
        <f aca="false">IF(AH1048="","",IF(COUNTIF(TASA_DESDE,"&lt;="&amp;B1048)=0,INDEX(TASA_EMP,1),INDEX(TASA_EMP,COUNTIF(TASA_DESDE,"&lt;="&amp;B1048))))</f>
        <v/>
      </c>
    </row>
    <row r="1049" customFormat="false" ht="15" hidden="false" customHeight="false" outlineLevel="0" collapsed="false">
      <c r="B1049" s="78"/>
      <c r="C1049" s="64"/>
      <c r="D1049" s="72" t="str">
        <f aca="false">IF(C1049="","",IFERROR(INDEX(T_NOMBRE,MATCH(C1049,T_ID,0)),"⚠ ID no existe"))</f>
        <v/>
      </c>
      <c r="E1049" s="69"/>
      <c r="F1049" s="67"/>
      <c r="G1049" s="67"/>
      <c r="H1049" s="67"/>
      <c r="I1049" s="67"/>
      <c r="J1049" s="67"/>
      <c r="K1049" s="85" t="str">
        <f aca="false">IF(AH1049="","",N(F1049)+N(G1049)+N(H1049)-N(I1049)+N(J1049))</f>
        <v/>
      </c>
      <c r="L1049" s="67"/>
      <c r="M1049" s="67"/>
      <c r="N1049" s="67"/>
      <c r="O1049" s="67"/>
      <c r="P1049" s="85" t="str">
        <f aca="false">IF(AH1049="","",K1049+N(L1049)+N(M1049)+N(N1049)+N(O1049))</f>
        <v/>
      </c>
      <c r="Q1049" s="67"/>
      <c r="R1049" s="67"/>
      <c r="S1049" s="67"/>
      <c r="T1049" s="67"/>
      <c r="U1049" s="67"/>
      <c r="V1049" s="67"/>
      <c r="W1049" s="85" t="str">
        <f aca="false">IF(AH1049="","",N(Q1049)+N(R1049)+N(S1049)+N(T1049)+N(U1049)+N(V1049))</f>
        <v/>
      </c>
      <c r="X1049" s="85" t="str">
        <f aca="false">IF(AH1049="","",P1049-W1049)</f>
        <v/>
      </c>
      <c r="Y1049" s="67"/>
      <c r="Z1049" s="70" t="str">
        <f aca="false">IF(OR(AH1049="",Y1049=""),"",IF(ABS(X1049-Y1049)&lt;=1,"✓ Cuadra","⚠ Diferencia $"&amp;FIXED(X1049-Y1049,0)))</f>
        <v/>
      </c>
      <c r="AA1049" s="72" t="str">
        <f aca="false">IF(AH1049="","",IFERROR(INDEX(C_TIPO,MATCH(C1049&amp;"-P"&amp;MAX(1,COUNTIFS(C_ID,C1049,C_DEFINE,"Sí",C_INICIO,"&lt;="&amp;EOMONTH(B1049,0))),C_CLAVE,0))&amp;"","Sin dato"))</f>
        <v/>
      </c>
      <c r="AB1049" s="71" t="str">
        <f aca="false">IF(AH1049="","",ROUND(MIN(K1049,TOPE_AFP_UF*AJ1049)*AK1049,0))</f>
        <v/>
      </c>
      <c r="AC1049" s="71" t="str">
        <f aca="false">IF(AH1049="","",ROUND(MIN(K1049,TOPE_AFC_UF*AJ1049)*IF(AA1049="Indefinido",AFC_EMP_INDEF,AFC_EMP_PF),0))</f>
        <v/>
      </c>
      <c r="AD1049" s="71" t="str">
        <f aca="false">IF(AH1049="","",ROUND(MIN(K1049,TOPE_AFP_UF*AJ1049)*(MUTUAL_BASICA+MUTUAL_ADIC+SANNA),0))</f>
        <v/>
      </c>
      <c r="AE1049" s="71" t="str">
        <f aca="false">IF(AH1049="","",P1049-N(N1049)+AB1049+AC1049+AD1049)</f>
        <v/>
      </c>
      <c r="AF1049" s="65"/>
      <c r="AG1049" s="64"/>
      <c r="AH1049" s="72" t="str">
        <f aca="false">IF(OR(B1049="",C1049=""),"",C1049&amp;"|"&amp;(YEAR(B1049)*100+MONTH(B1049)))</f>
        <v/>
      </c>
      <c r="AI1049" s="70" t="str">
        <f aca="false">IF(AH1049="","",IF(COUNTIF(L_CLAVE,AH1049)&gt;1,"⚠ Duplicado","OK"))</f>
        <v/>
      </c>
      <c r="AJ1049" s="86" t="str">
        <f aca="false">IF(AH1049="","",IF(SUMPRODUCT(MAX((IND_PER&lt;=B1049)*(IND_UF&lt;&gt;"")*IND_PER))=0,UF_HOY,INDEX(IND_UF,MATCH(SUMPRODUCT(MAX((IND_PER&lt;=B1049)*(IND_UF&lt;&gt;"")*IND_PER)),IND_PER,0))))</f>
        <v/>
      </c>
      <c r="AK1049" s="87" t="str">
        <f aca="false">IF(AH1049="","",IF(COUNTIF(TASA_DESDE,"&lt;="&amp;B1049)=0,INDEX(TASA_EMP,1),INDEX(TASA_EMP,COUNTIF(TASA_DESDE,"&lt;="&amp;B1049))))</f>
        <v/>
      </c>
    </row>
    <row r="1050" customFormat="false" ht="15" hidden="false" customHeight="false" outlineLevel="0" collapsed="false">
      <c r="B1050" s="78"/>
      <c r="C1050" s="64"/>
      <c r="D1050" s="72" t="str">
        <f aca="false">IF(C1050="","",IFERROR(INDEX(T_NOMBRE,MATCH(C1050,T_ID,0)),"⚠ ID no existe"))</f>
        <v/>
      </c>
      <c r="E1050" s="69"/>
      <c r="F1050" s="67"/>
      <c r="G1050" s="67"/>
      <c r="H1050" s="67"/>
      <c r="I1050" s="67"/>
      <c r="J1050" s="67"/>
      <c r="K1050" s="85" t="str">
        <f aca="false">IF(AH1050="","",N(F1050)+N(G1050)+N(H1050)-N(I1050)+N(J1050))</f>
        <v/>
      </c>
      <c r="L1050" s="67"/>
      <c r="M1050" s="67"/>
      <c r="N1050" s="67"/>
      <c r="O1050" s="67"/>
      <c r="P1050" s="85" t="str">
        <f aca="false">IF(AH1050="","",K1050+N(L1050)+N(M1050)+N(N1050)+N(O1050))</f>
        <v/>
      </c>
      <c r="Q1050" s="67"/>
      <c r="R1050" s="67"/>
      <c r="S1050" s="67"/>
      <c r="T1050" s="67"/>
      <c r="U1050" s="67"/>
      <c r="V1050" s="67"/>
      <c r="W1050" s="85" t="str">
        <f aca="false">IF(AH1050="","",N(Q1050)+N(R1050)+N(S1050)+N(T1050)+N(U1050)+N(V1050))</f>
        <v/>
      </c>
      <c r="X1050" s="85" t="str">
        <f aca="false">IF(AH1050="","",P1050-W1050)</f>
        <v/>
      </c>
      <c r="Y1050" s="67"/>
      <c r="Z1050" s="70" t="str">
        <f aca="false">IF(OR(AH1050="",Y1050=""),"",IF(ABS(X1050-Y1050)&lt;=1,"✓ Cuadra","⚠ Diferencia $"&amp;FIXED(X1050-Y1050,0)))</f>
        <v/>
      </c>
      <c r="AA1050" s="72" t="str">
        <f aca="false">IF(AH1050="","",IFERROR(INDEX(C_TIPO,MATCH(C1050&amp;"-P"&amp;MAX(1,COUNTIFS(C_ID,C1050,C_DEFINE,"Sí",C_INICIO,"&lt;="&amp;EOMONTH(B1050,0))),C_CLAVE,0))&amp;"","Sin dato"))</f>
        <v/>
      </c>
      <c r="AB1050" s="71" t="str">
        <f aca="false">IF(AH1050="","",ROUND(MIN(K1050,TOPE_AFP_UF*AJ1050)*AK1050,0))</f>
        <v/>
      </c>
      <c r="AC1050" s="71" t="str">
        <f aca="false">IF(AH1050="","",ROUND(MIN(K1050,TOPE_AFC_UF*AJ1050)*IF(AA1050="Indefinido",AFC_EMP_INDEF,AFC_EMP_PF),0))</f>
        <v/>
      </c>
      <c r="AD1050" s="71" t="str">
        <f aca="false">IF(AH1050="","",ROUND(MIN(K1050,TOPE_AFP_UF*AJ1050)*(MUTUAL_BASICA+MUTUAL_ADIC+SANNA),0))</f>
        <v/>
      </c>
      <c r="AE1050" s="71" t="str">
        <f aca="false">IF(AH1050="","",P1050-N(N1050)+AB1050+AC1050+AD1050)</f>
        <v/>
      </c>
      <c r="AF1050" s="65"/>
      <c r="AG1050" s="64"/>
      <c r="AH1050" s="72" t="str">
        <f aca="false">IF(OR(B1050="",C1050=""),"",C1050&amp;"|"&amp;(YEAR(B1050)*100+MONTH(B1050)))</f>
        <v/>
      </c>
      <c r="AI1050" s="70" t="str">
        <f aca="false">IF(AH1050="","",IF(COUNTIF(L_CLAVE,AH1050)&gt;1,"⚠ Duplicado","OK"))</f>
        <v/>
      </c>
      <c r="AJ1050" s="86" t="str">
        <f aca="false">IF(AH1050="","",IF(SUMPRODUCT(MAX((IND_PER&lt;=B1050)*(IND_UF&lt;&gt;"")*IND_PER))=0,UF_HOY,INDEX(IND_UF,MATCH(SUMPRODUCT(MAX((IND_PER&lt;=B1050)*(IND_UF&lt;&gt;"")*IND_PER)),IND_PER,0))))</f>
        <v/>
      </c>
      <c r="AK1050" s="87" t="str">
        <f aca="false">IF(AH1050="","",IF(COUNTIF(TASA_DESDE,"&lt;="&amp;B1050)=0,INDEX(TASA_EMP,1),INDEX(TASA_EMP,COUNTIF(TASA_DESDE,"&lt;="&amp;B1050))))</f>
        <v/>
      </c>
    </row>
    <row r="1051" customFormat="false" ht="15" hidden="false" customHeight="false" outlineLevel="0" collapsed="false">
      <c r="B1051" s="78"/>
      <c r="C1051" s="64"/>
      <c r="D1051" s="72" t="str">
        <f aca="false">IF(C1051="","",IFERROR(INDEX(T_NOMBRE,MATCH(C1051,T_ID,0)),"⚠ ID no existe"))</f>
        <v/>
      </c>
      <c r="E1051" s="69"/>
      <c r="F1051" s="67"/>
      <c r="G1051" s="67"/>
      <c r="H1051" s="67"/>
      <c r="I1051" s="67"/>
      <c r="J1051" s="67"/>
      <c r="K1051" s="85" t="str">
        <f aca="false">IF(AH1051="","",N(F1051)+N(G1051)+N(H1051)-N(I1051)+N(J1051))</f>
        <v/>
      </c>
      <c r="L1051" s="67"/>
      <c r="M1051" s="67"/>
      <c r="N1051" s="67"/>
      <c r="O1051" s="67"/>
      <c r="P1051" s="85" t="str">
        <f aca="false">IF(AH1051="","",K1051+N(L1051)+N(M1051)+N(N1051)+N(O1051))</f>
        <v/>
      </c>
      <c r="Q1051" s="67"/>
      <c r="R1051" s="67"/>
      <c r="S1051" s="67"/>
      <c r="T1051" s="67"/>
      <c r="U1051" s="67"/>
      <c r="V1051" s="67"/>
      <c r="W1051" s="85" t="str">
        <f aca="false">IF(AH1051="","",N(Q1051)+N(R1051)+N(S1051)+N(T1051)+N(U1051)+N(V1051))</f>
        <v/>
      </c>
      <c r="X1051" s="85" t="str">
        <f aca="false">IF(AH1051="","",P1051-W1051)</f>
        <v/>
      </c>
      <c r="Y1051" s="67"/>
      <c r="Z1051" s="70" t="str">
        <f aca="false">IF(OR(AH1051="",Y1051=""),"",IF(ABS(X1051-Y1051)&lt;=1,"✓ Cuadra","⚠ Diferencia $"&amp;FIXED(X1051-Y1051,0)))</f>
        <v/>
      </c>
      <c r="AA1051" s="72" t="str">
        <f aca="false">IF(AH1051="","",IFERROR(INDEX(C_TIPO,MATCH(C1051&amp;"-P"&amp;MAX(1,COUNTIFS(C_ID,C1051,C_DEFINE,"Sí",C_INICIO,"&lt;="&amp;EOMONTH(B1051,0))),C_CLAVE,0))&amp;"","Sin dato"))</f>
        <v/>
      </c>
      <c r="AB1051" s="71" t="str">
        <f aca="false">IF(AH1051="","",ROUND(MIN(K1051,TOPE_AFP_UF*AJ1051)*AK1051,0))</f>
        <v/>
      </c>
      <c r="AC1051" s="71" t="str">
        <f aca="false">IF(AH1051="","",ROUND(MIN(K1051,TOPE_AFC_UF*AJ1051)*IF(AA1051="Indefinido",AFC_EMP_INDEF,AFC_EMP_PF),0))</f>
        <v/>
      </c>
      <c r="AD1051" s="71" t="str">
        <f aca="false">IF(AH1051="","",ROUND(MIN(K1051,TOPE_AFP_UF*AJ1051)*(MUTUAL_BASICA+MUTUAL_ADIC+SANNA),0))</f>
        <v/>
      </c>
      <c r="AE1051" s="71" t="str">
        <f aca="false">IF(AH1051="","",P1051-N(N1051)+AB1051+AC1051+AD1051)</f>
        <v/>
      </c>
      <c r="AF1051" s="65"/>
      <c r="AG1051" s="64"/>
      <c r="AH1051" s="72" t="str">
        <f aca="false">IF(OR(B1051="",C1051=""),"",C1051&amp;"|"&amp;(YEAR(B1051)*100+MONTH(B1051)))</f>
        <v/>
      </c>
      <c r="AI1051" s="70" t="str">
        <f aca="false">IF(AH1051="","",IF(COUNTIF(L_CLAVE,AH1051)&gt;1,"⚠ Duplicado","OK"))</f>
        <v/>
      </c>
      <c r="AJ1051" s="86" t="str">
        <f aca="false">IF(AH1051="","",IF(SUMPRODUCT(MAX((IND_PER&lt;=B1051)*(IND_UF&lt;&gt;"")*IND_PER))=0,UF_HOY,INDEX(IND_UF,MATCH(SUMPRODUCT(MAX((IND_PER&lt;=B1051)*(IND_UF&lt;&gt;"")*IND_PER)),IND_PER,0))))</f>
        <v/>
      </c>
      <c r="AK1051" s="87" t="str">
        <f aca="false">IF(AH1051="","",IF(COUNTIF(TASA_DESDE,"&lt;="&amp;B1051)=0,INDEX(TASA_EMP,1),INDEX(TASA_EMP,COUNTIF(TASA_DESDE,"&lt;="&amp;B1051))))</f>
        <v/>
      </c>
    </row>
    <row r="1052" customFormat="false" ht="15" hidden="false" customHeight="false" outlineLevel="0" collapsed="false">
      <c r="B1052" s="78"/>
      <c r="C1052" s="64"/>
      <c r="D1052" s="72" t="str">
        <f aca="false">IF(C1052="","",IFERROR(INDEX(T_NOMBRE,MATCH(C1052,T_ID,0)),"⚠ ID no existe"))</f>
        <v/>
      </c>
      <c r="E1052" s="69"/>
      <c r="F1052" s="67"/>
      <c r="G1052" s="67"/>
      <c r="H1052" s="67"/>
      <c r="I1052" s="67"/>
      <c r="J1052" s="67"/>
      <c r="K1052" s="85" t="str">
        <f aca="false">IF(AH1052="","",N(F1052)+N(G1052)+N(H1052)-N(I1052)+N(J1052))</f>
        <v/>
      </c>
      <c r="L1052" s="67"/>
      <c r="M1052" s="67"/>
      <c r="N1052" s="67"/>
      <c r="O1052" s="67"/>
      <c r="P1052" s="85" t="str">
        <f aca="false">IF(AH1052="","",K1052+N(L1052)+N(M1052)+N(N1052)+N(O1052))</f>
        <v/>
      </c>
      <c r="Q1052" s="67"/>
      <c r="R1052" s="67"/>
      <c r="S1052" s="67"/>
      <c r="T1052" s="67"/>
      <c r="U1052" s="67"/>
      <c r="V1052" s="67"/>
      <c r="W1052" s="85" t="str">
        <f aca="false">IF(AH1052="","",N(Q1052)+N(R1052)+N(S1052)+N(T1052)+N(U1052)+N(V1052))</f>
        <v/>
      </c>
      <c r="X1052" s="85" t="str">
        <f aca="false">IF(AH1052="","",P1052-W1052)</f>
        <v/>
      </c>
      <c r="Y1052" s="67"/>
      <c r="Z1052" s="70" t="str">
        <f aca="false">IF(OR(AH1052="",Y1052=""),"",IF(ABS(X1052-Y1052)&lt;=1,"✓ Cuadra","⚠ Diferencia $"&amp;FIXED(X1052-Y1052,0)))</f>
        <v/>
      </c>
      <c r="AA1052" s="72" t="str">
        <f aca="false">IF(AH1052="","",IFERROR(INDEX(C_TIPO,MATCH(C1052&amp;"-P"&amp;MAX(1,COUNTIFS(C_ID,C1052,C_DEFINE,"Sí",C_INICIO,"&lt;="&amp;EOMONTH(B1052,0))),C_CLAVE,0))&amp;"","Sin dato"))</f>
        <v/>
      </c>
      <c r="AB1052" s="71" t="str">
        <f aca="false">IF(AH1052="","",ROUND(MIN(K1052,TOPE_AFP_UF*AJ1052)*AK1052,0))</f>
        <v/>
      </c>
      <c r="AC1052" s="71" t="str">
        <f aca="false">IF(AH1052="","",ROUND(MIN(K1052,TOPE_AFC_UF*AJ1052)*IF(AA1052="Indefinido",AFC_EMP_INDEF,AFC_EMP_PF),0))</f>
        <v/>
      </c>
      <c r="AD1052" s="71" t="str">
        <f aca="false">IF(AH1052="","",ROUND(MIN(K1052,TOPE_AFP_UF*AJ1052)*(MUTUAL_BASICA+MUTUAL_ADIC+SANNA),0))</f>
        <v/>
      </c>
      <c r="AE1052" s="71" t="str">
        <f aca="false">IF(AH1052="","",P1052-N(N1052)+AB1052+AC1052+AD1052)</f>
        <v/>
      </c>
      <c r="AF1052" s="65"/>
      <c r="AG1052" s="64"/>
      <c r="AH1052" s="72" t="str">
        <f aca="false">IF(OR(B1052="",C1052=""),"",C1052&amp;"|"&amp;(YEAR(B1052)*100+MONTH(B1052)))</f>
        <v/>
      </c>
      <c r="AI1052" s="70" t="str">
        <f aca="false">IF(AH1052="","",IF(COUNTIF(L_CLAVE,AH1052)&gt;1,"⚠ Duplicado","OK"))</f>
        <v/>
      </c>
      <c r="AJ1052" s="86" t="str">
        <f aca="false">IF(AH1052="","",IF(SUMPRODUCT(MAX((IND_PER&lt;=B1052)*(IND_UF&lt;&gt;"")*IND_PER))=0,UF_HOY,INDEX(IND_UF,MATCH(SUMPRODUCT(MAX((IND_PER&lt;=B1052)*(IND_UF&lt;&gt;"")*IND_PER)),IND_PER,0))))</f>
        <v/>
      </c>
      <c r="AK1052" s="87" t="str">
        <f aca="false">IF(AH1052="","",IF(COUNTIF(TASA_DESDE,"&lt;="&amp;B1052)=0,INDEX(TASA_EMP,1),INDEX(TASA_EMP,COUNTIF(TASA_DESDE,"&lt;="&amp;B1052))))</f>
        <v/>
      </c>
    </row>
    <row r="1053" customFormat="false" ht="15" hidden="false" customHeight="false" outlineLevel="0" collapsed="false">
      <c r="B1053" s="78"/>
      <c r="C1053" s="64"/>
      <c r="D1053" s="72" t="str">
        <f aca="false">IF(C1053="","",IFERROR(INDEX(T_NOMBRE,MATCH(C1053,T_ID,0)),"⚠ ID no existe"))</f>
        <v/>
      </c>
      <c r="E1053" s="69"/>
      <c r="F1053" s="67"/>
      <c r="G1053" s="67"/>
      <c r="H1053" s="67"/>
      <c r="I1053" s="67"/>
      <c r="J1053" s="67"/>
      <c r="K1053" s="85" t="str">
        <f aca="false">IF(AH1053="","",N(F1053)+N(G1053)+N(H1053)-N(I1053)+N(J1053))</f>
        <v/>
      </c>
      <c r="L1053" s="67"/>
      <c r="M1053" s="67"/>
      <c r="N1053" s="67"/>
      <c r="O1053" s="67"/>
      <c r="P1053" s="85" t="str">
        <f aca="false">IF(AH1053="","",K1053+N(L1053)+N(M1053)+N(N1053)+N(O1053))</f>
        <v/>
      </c>
      <c r="Q1053" s="67"/>
      <c r="R1053" s="67"/>
      <c r="S1053" s="67"/>
      <c r="T1053" s="67"/>
      <c r="U1053" s="67"/>
      <c r="V1053" s="67"/>
      <c r="W1053" s="85" t="str">
        <f aca="false">IF(AH1053="","",N(Q1053)+N(R1053)+N(S1053)+N(T1053)+N(U1053)+N(V1053))</f>
        <v/>
      </c>
      <c r="X1053" s="85" t="str">
        <f aca="false">IF(AH1053="","",P1053-W1053)</f>
        <v/>
      </c>
      <c r="Y1053" s="67"/>
      <c r="Z1053" s="70" t="str">
        <f aca="false">IF(OR(AH1053="",Y1053=""),"",IF(ABS(X1053-Y1053)&lt;=1,"✓ Cuadra","⚠ Diferencia $"&amp;FIXED(X1053-Y1053,0)))</f>
        <v/>
      </c>
      <c r="AA1053" s="72" t="str">
        <f aca="false">IF(AH1053="","",IFERROR(INDEX(C_TIPO,MATCH(C1053&amp;"-P"&amp;MAX(1,COUNTIFS(C_ID,C1053,C_DEFINE,"Sí",C_INICIO,"&lt;="&amp;EOMONTH(B1053,0))),C_CLAVE,0))&amp;"","Sin dato"))</f>
        <v/>
      </c>
      <c r="AB1053" s="71" t="str">
        <f aca="false">IF(AH1053="","",ROUND(MIN(K1053,TOPE_AFP_UF*AJ1053)*AK1053,0))</f>
        <v/>
      </c>
      <c r="AC1053" s="71" t="str">
        <f aca="false">IF(AH1053="","",ROUND(MIN(K1053,TOPE_AFC_UF*AJ1053)*IF(AA1053="Indefinido",AFC_EMP_INDEF,AFC_EMP_PF),0))</f>
        <v/>
      </c>
      <c r="AD1053" s="71" t="str">
        <f aca="false">IF(AH1053="","",ROUND(MIN(K1053,TOPE_AFP_UF*AJ1053)*(MUTUAL_BASICA+MUTUAL_ADIC+SANNA),0))</f>
        <v/>
      </c>
      <c r="AE1053" s="71" t="str">
        <f aca="false">IF(AH1053="","",P1053-N(N1053)+AB1053+AC1053+AD1053)</f>
        <v/>
      </c>
      <c r="AF1053" s="65"/>
      <c r="AG1053" s="64"/>
      <c r="AH1053" s="72" t="str">
        <f aca="false">IF(OR(B1053="",C1053=""),"",C1053&amp;"|"&amp;(YEAR(B1053)*100+MONTH(B1053)))</f>
        <v/>
      </c>
      <c r="AI1053" s="70" t="str">
        <f aca="false">IF(AH1053="","",IF(COUNTIF(L_CLAVE,AH1053)&gt;1,"⚠ Duplicado","OK"))</f>
        <v/>
      </c>
      <c r="AJ1053" s="86" t="str">
        <f aca="false">IF(AH1053="","",IF(SUMPRODUCT(MAX((IND_PER&lt;=B1053)*(IND_UF&lt;&gt;"")*IND_PER))=0,UF_HOY,INDEX(IND_UF,MATCH(SUMPRODUCT(MAX((IND_PER&lt;=B1053)*(IND_UF&lt;&gt;"")*IND_PER)),IND_PER,0))))</f>
        <v/>
      </c>
      <c r="AK1053" s="87" t="str">
        <f aca="false">IF(AH1053="","",IF(COUNTIF(TASA_DESDE,"&lt;="&amp;B1053)=0,INDEX(TASA_EMP,1),INDEX(TASA_EMP,COUNTIF(TASA_DESDE,"&lt;="&amp;B1053))))</f>
        <v/>
      </c>
    </row>
    <row r="1054" customFormat="false" ht="15" hidden="false" customHeight="false" outlineLevel="0" collapsed="false">
      <c r="B1054" s="78"/>
      <c r="C1054" s="64"/>
      <c r="D1054" s="72" t="str">
        <f aca="false">IF(C1054="","",IFERROR(INDEX(T_NOMBRE,MATCH(C1054,T_ID,0)),"⚠ ID no existe"))</f>
        <v/>
      </c>
      <c r="E1054" s="69"/>
      <c r="F1054" s="67"/>
      <c r="G1054" s="67"/>
      <c r="H1054" s="67"/>
      <c r="I1054" s="67"/>
      <c r="J1054" s="67"/>
      <c r="K1054" s="85" t="str">
        <f aca="false">IF(AH1054="","",N(F1054)+N(G1054)+N(H1054)-N(I1054)+N(J1054))</f>
        <v/>
      </c>
      <c r="L1054" s="67"/>
      <c r="M1054" s="67"/>
      <c r="N1054" s="67"/>
      <c r="O1054" s="67"/>
      <c r="P1054" s="85" t="str">
        <f aca="false">IF(AH1054="","",K1054+N(L1054)+N(M1054)+N(N1054)+N(O1054))</f>
        <v/>
      </c>
      <c r="Q1054" s="67"/>
      <c r="R1054" s="67"/>
      <c r="S1054" s="67"/>
      <c r="T1054" s="67"/>
      <c r="U1054" s="67"/>
      <c r="V1054" s="67"/>
      <c r="W1054" s="85" t="str">
        <f aca="false">IF(AH1054="","",N(Q1054)+N(R1054)+N(S1054)+N(T1054)+N(U1054)+N(V1054))</f>
        <v/>
      </c>
      <c r="X1054" s="85" t="str">
        <f aca="false">IF(AH1054="","",P1054-W1054)</f>
        <v/>
      </c>
      <c r="Y1054" s="67"/>
      <c r="Z1054" s="70" t="str">
        <f aca="false">IF(OR(AH1054="",Y1054=""),"",IF(ABS(X1054-Y1054)&lt;=1,"✓ Cuadra","⚠ Diferencia $"&amp;FIXED(X1054-Y1054,0)))</f>
        <v/>
      </c>
      <c r="AA1054" s="72" t="str">
        <f aca="false">IF(AH1054="","",IFERROR(INDEX(C_TIPO,MATCH(C1054&amp;"-P"&amp;MAX(1,COUNTIFS(C_ID,C1054,C_DEFINE,"Sí",C_INICIO,"&lt;="&amp;EOMONTH(B1054,0))),C_CLAVE,0))&amp;"","Sin dato"))</f>
        <v/>
      </c>
      <c r="AB1054" s="71" t="str">
        <f aca="false">IF(AH1054="","",ROUND(MIN(K1054,TOPE_AFP_UF*AJ1054)*AK1054,0))</f>
        <v/>
      </c>
      <c r="AC1054" s="71" t="str">
        <f aca="false">IF(AH1054="","",ROUND(MIN(K1054,TOPE_AFC_UF*AJ1054)*IF(AA1054="Indefinido",AFC_EMP_INDEF,AFC_EMP_PF),0))</f>
        <v/>
      </c>
      <c r="AD1054" s="71" t="str">
        <f aca="false">IF(AH1054="","",ROUND(MIN(K1054,TOPE_AFP_UF*AJ1054)*(MUTUAL_BASICA+MUTUAL_ADIC+SANNA),0))</f>
        <v/>
      </c>
      <c r="AE1054" s="71" t="str">
        <f aca="false">IF(AH1054="","",P1054-N(N1054)+AB1054+AC1054+AD1054)</f>
        <v/>
      </c>
      <c r="AF1054" s="65"/>
      <c r="AG1054" s="64"/>
      <c r="AH1054" s="72" t="str">
        <f aca="false">IF(OR(B1054="",C1054=""),"",C1054&amp;"|"&amp;(YEAR(B1054)*100+MONTH(B1054)))</f>
        <v/>
      </c>
      <c r="AI1054" s="70" t="str">
        <f aca="false">IF(AH1054="","",IF(COUNTIF(L_CLAVE,AH1054)&gt;1,"⚠ Duplicado","OK"))</f>
        <v/>
      </c>
      <c r="AJ1054" s="86" t="str">
        <f aca="false">IF(AH1054="","",IF(SUMPRODUCT(MAX((IND_PER&lt;=B1054)*(IND_UF&lt;&gt;"")*IND_PER))=0,UF_HOY,INDEX(IND_UF,MATCH(SUMPRODUCT(MAX((IND_PER&lt;=B1054)*(IND_UF&lt;&gt;"")*IND_PER)),IND_PER,0))))</f>
        <v/>
      </c>
      <c r="AK1054" s="87" t="str">
        <f aca="false">IF(AH1054="","",IF(COUNTIF(TASA_DESDE,"&lt;="&amp;B1054)=0,INDEX(TASA_EMP,1),INDEX(TASA_EMP,COUNTIF(TASA_DESDE,"&lt;="&amp;B1054))))</f>
        <v/>
      </c>
    </row>
    <row r="1055" customFormat="false" ht="15" hidden="false" customHeight="false" outlineLevel="0" collapsed="false">
      <c r="B1055" s="78"/>
      <c r="C1055" s="64"/>
      <c r="D1055" s="72" t="str">
        <f aca="false">IF(C1055="","",IFERROR(INDEX(T_NOMBRE,MATCH(C1055,T_ID,0)),"⚠ ID no existe"))</f>
        <v/>
      </c>
      <c r="E1055" s="69"/>
      <c r="F1055" s="67"/>
      <c r="G1055" s="67"/>
      <c r="H1055" s="67"/>
      <c r="I1055" s="67"/>
      <c r="J1055" s="67"/>
      <c r="K1055" s="85" t="str">
        <f aca="false">IF(AH1055="","",N(F1055)+N(G1055)+N(H1055)-N(I1055)+N(J1055))</f>
        <v/>
      </c>
      <c r="L1055" s="67"/>
      <c r="M1055" s="67"/>
      <c r="N1055" s="67"/>
      <c r="O1055" s="67"/>
      <c r="P1055" s="85" t="str">
        <f aca="false">IF(AH1055="","",K1055+N(L1055)+N(M1055)+N(N1055)+N(O1055))</f>
        <v/>
      </c>
      <c r="Q1055" s="67"/>
      <c r="R1055" s="67"/>
      <c r="S1055" s="67"/>
      <c r="T1055" s="67"/>
      <c r="U1055" s="67"/>
      <c r="V1055" s="67"/>
      <c r="W1055" s="85" t="str">
        <f aca="false">IF(AH1055="","",N(Q1055)+N(R1055)+N(S1055)+N(T1055)+N(U1055)+N(V1055))</f>
        <v/>
      </c>
      <c r="X1055" s="85" t="str">
        <f aca="false">IF(AH1055="","",P1055-W1055)</f>
        <v/>
      </c>
      <c r="Y1055" s="67"/>
      <c r="Z1055" s="70" t="str">
        <f aca="false">IF(OR(AH1055="",Y1055=""),"",IF(ABS(X1055-Y1055)&lt;=1,"✓ Cuadra","⚠ Diferencia $"&amp;FIXED(X1055-Y1055,0)))</f>
        <v/>
      </c>
      <c r="AA1055" s="72" t="str">
        <f aca="false">IF(AH1055="","",IFERROR(INDEX(C_TIPO,MATCH(C1055&amp;"-P"&amp;MAX(1,COUNTIFS(C_ID,C1055,C_DEFINE,"Sí",C_INICIO,"&lt;="&amp;EOMONTH(B1055,0))),C_CLAVE,0))&amp;"","Sin dato"))</f>
        <v/>
      </c>
      <c r="AB1055" s="71" t="str">
        <f aca="false">IF(AH1055="","",ROUND(MIN(K1055,TOPE_AFP_UF*AJ1055)*AK1055,0))</f>
        <v/>
      </c>
      <c r="AC1055" s="71" t="str">
        <f aca="false">IF(AH1055="","",ROUND(MIN(K1055,TOPE_AFC_UF*AJ1055)*IF(AA1055="Indefinido",AFC_EMP_INDEF,AFC_EMP_PF),0))</f>
        <v/>
      </c>
      <c r="AD1055" s="71" t="str">
        <f aca="false">IF(AH1055="","",ROUND(MIN(K1055,TOPE_AFP_UF*AJ1055)*(MUTUAL_BASICA+MUTUAL_ADIC+SANNA),0))</f>
        <v/>
      </c>
      <c r="AE1055" s="71" t="str">
        <f aca="false">IF(AH1055="","",P1055-N(N1055)+AB1055+AC1055+AD1055)</f>
        <v/>
      </c>
      <c r="AF1055" s="65"/>
      <c r="AG1055" s="64"/>
      <c r="AH1055" s="72" t="str">
        <f aca="false">IF(OR(B1055="",C1055=""),"",C1055&amp;"|"&amp;(YEAR(B1055)*100+MONTH(B1055)))</f>
        <v/>
      </c>
      <c r="AI1055" s="70" t="str">
        <f aca="false">IF(AH1055="","",IF(COUNTIF(L_CLAVE,AH1055)&gt;1,"⚠ Duplicado","OK"))</f>
        <v/>
      </c>
      <c r="AJ1055" s="86" t="str">
        <f aca="false">IF(AH1055="","",IF(SUMPRODUCT(MAX((IND_PER&lt;=B1055)*(IND_UF&lt;&gt;"")*IND_PER))=0,UF_HOY,INDEX(IND_UF,MATCH(SUMPRODUCT(MAX((IND_PER&lt;=B1055)*(IND_UF&lt;&gt;"")*IND_PER)),IND_PER,0))))</f>
        <v/>
      </c>
      <c r="AK1055" s="87" t="str">
        <f aca="false">IF(AH1055="","",IF(COUNTIF(TASA_DESDE,"&lt;="&amp;B1055)=0,INDEX(TASA_EMP,1),INDEX(TASA_EMP,COUNTIF(TASA_DESDE,"&lt;="&amp;B1055))))</f>
        <v/>
      </c>
    </row>
    <row r="1056" customFormat="false" ht="15" hidden="false" customHeight="false" outlineLevel="0" collapsed="false">
      <c r="B1056" s="78"/>
      <c r="C1056" s="64"/>
      <c r="D1056" s="72" t="str">
        <f aca="false">IF(C1056="","",IFERROR(INDEX(T_NOMBRE,MATCH(C1056,T_ID,0)),"⚠ ID no existe"))</f>
        <v/>
      </c>
      <c r="E1056" s="69"/>
      <c r="F1056" s="67"/>
      <c r="G1056" s="67"/>
      <c r="H1056" s="67"/>
      <c r="I1056" s="67"/>
      <c r="J1056" s="67"/>
      <c r="K1056" s="85" t="str">
        <f aca="false">IF(AH1056="","",N(F1056)+N(G1056)+N(H1056)-N(I1056)+N(J1056))</f>
        <v/>
      </c>
      <c r="L1056" s="67"/>
      <c r="M1056" s="67"/>
      <c r="N1056" s="67"/>
      <c r="O1056" s="67"/>
      <c r="P1056" s="85" t="str">
        <f aca="false">IF(AH1056="","",K1056+N(L1056)+N(M1056)+N(N1056)+N(O1056))</f>
        <v/>
      </c>
      <c r="Q1056" s="67"/>
      <c r="R1056" s="67"/>
      <c r="S1056" s="67"/>
      <c r="T1056" s="67"/>
      <c r="U1056" s="67"/>
      <c r="V1056" s="67"/>
      <c r="W1056" s="85" t="str">
        <f aca="false">IF(AH1056="","",N(Q1056)+N(R1056)+N(S1056)+N(T1056)+N(U1056)+N(V1056))</f>
        <v/>
      </c>
      <c r="X1056" s="85" t="str">
        <f aca="false">IF(AH1056="","",P1056-W1056)</f>
        <v/>
      </c>
      <c r="Y1056" s="67"/>
      <c r="Z1056" s="70" t="str">
        <f aca="false">IF(OR(AH1056="",Y1056=""),"",IF(ABS(X1056-Y1056)&lt;=1,"✓ Cuadra","⚠ Diferencia $"&amp;FIXED(X1056-Y1056,0)))</f>
        <v/>
      </c>
      <c r="AA1056" s="72" t="str">
        <f aca="false">IF(AH1056="","",IFERROR(INDEX(C_TIPO,MATCH(C1056&amp;"-P"&amp;MAX(1,COUNTIFS(C_ID,C1056,C_DEFINE,"Sí",C_INICIO,"&lt;="&amp;EOMONTH(B1056,0))),C_CLAVE,0))&amp;"","Sin dato"))</f>
        <v/>
      </c>
      <c r="AB1056" s="71" t="str">
        <f aca="false">IF(AH1056="","",ROUND(MIN(K1056,TOPE_AFP_UF*AJ1056)*AK1056,0))</f>
        <v/>
      </c>
      <c r="AC1056" s="71" t="str">
        <f aca="false">IF(AH1056="","",ROUND(MIN(K1056,TOPE_AFC_UF*AJ1056)*IF(AA1056="Indefinido",AFC_EMP_INDEF,AFC_EMP_PF),0))</f>
        <v/>
      </c>
      <c r="AD1056" s="71" t="str">
        <f aca="false">IF(AH1056="","",ROUND(MIN(K1056,TOPE_AFP_UF*AJ1056)*(MUTUAL_BASICA+MUTUAL_ADIC+SANNA),0))</f>
        <v/>
      </c>
      <c r="AE1056" s="71" t="str">
        <f aca="false">IF(AH1056="","",P1056-N(N1056)+AB1056+AC1056+AD1056)</f>
        <v/>
      </c>
      <c r="AF1056" s="65"/>
      <c r="AG1056" s="64"/>
      <c r="AH1056" s="72" t="str">
        <f aca="false">IF(OR(B1056="",C1056=""),"",C1056&amp;"|"&amp;(YEAR(B1056)*100+MONTH(B1056)))</f>
        <v/>
      </c>
      <c r="AI1056" s="70" t="str">
        <f aca="false">IF(AH1056="","",IF(COUNTIF(L_CLAVE,AH1056)&gt;1,"⚠ Duplicado","OK"))</f>
        <v/>
      </c>
      <c r="AJ1056" s="86" t="str">
        <f aca="false">IF(AH1056="","",IF(SUMPRODUCT(MAX((IND_PER&lt;=B1056)*(IND_UF&lt;&gt;"")*IND_PER))=0,UF_HOY,INDEX(IND_UF,MATCH(SUMPRODUCT(MAX((IND_PER&lt;=B1056)*(IND_UF&lt;&gt;"")*IND_PER)),IND_PER,0))))</f>
        <v/>
      </c>
      <c r="AK1056" s="87" t="str">
        <f aca="false">IF(AH1056="","",IF(COUNTIF(TASA_DESDE,"&lt;="&amp;B1056)=0,INDEX(TASA_EMP,1),INDEX(TASA_EMP,COUNTIF(TASA_DESDE,"&lt;="&amp;B1056))))</f>
        <v/>
      </c>
    </row>
    <row r="1057" customFormat="false" ht="15" hidden="false" customHeight="false" outlineLevel="0" collapsed="false">
      <c r="B1057" s="78"/>
      <c r="C1057" s="64"/>
      <c r="D1057" s="72" t="str">
        <f aca="false">IF(C1057="","",IFERROR(INDEX(T_NOMBRE,MATCH(C1057,T_ID,0)),"⚠ ID no existe"))</f>
        <v/>
      </c>
      <c r="E1057" s="69"/>
      <c r="F1057" s="67"/>
      <c r="G1057" s="67"/>
      <c r="H1057" s="67"/>
      <c r="I1057" s="67"/>
      <c r="J1057" s="67"/>
      <c r="K1057" s="85" t="str">
        <f aca="false">IF(AH1057="","",N(F1057)+N(G1057)+N(H1057)-N(I1057)+N(J1057))</f>
        <v/>
      </c>
      <c r="L1057" s="67"/>
      <c r="M1057" s="67"/>
      <c r="N1057" s="67"/>
      <c r="O1057" s="67"/>
      <c r="P1057" s="85" t="str">
        <f aca="false">IF(AH1057="","",K1057+N(L1057)+N(M1057)+N(N1057)+N(O1057))</f>
        <v/>
      </c>
      <c r="Q1057" s="67"/>
      <c r="R1057" s="67"/>
      <c r="S1057" s="67"/>
      <c r="T1057" s="67"/>
      <c r="U1057" s="67"/>
      <c r="V1057" s="67"/>
      <c r="W1057" s="85" t="str">
        <f aca="false">IF(AH1057="","",N(Q1057)+N(R1057)+N(S1057)+N(T1057)+N(U1057)+N(V1057))</f>
        <v/>
      </c>
      <c r="X1057" s="85" t="str">
        <f aca="false">IF(AH1057="","",P1057-W1057)</f>
        <v/>
      </c>
      <c r="Y1057" s="67"/>
      <c r="Z1057" s="70" t="str">
        <f aca="false">IF(OR(AH1057="",Y1057=""),"",IF(ABS(X1057-Y1057)&lt;=1,"✓ Cuadra","⚠ Diferencia $"&amp;FIXED(X1057-Y1057,0)))</f>
        <v/>
      </c>
      <c r="AA1057" s="72" t="str">
        <f aca="false">IF(AH1057="","",IFERROR(INDEX(C_TIPO,MATCH(C1057&amp;"-P"&amp;MAX(1,COUNTIFS(C_ID,C1057,C_DEFINE,"Sí",C_INICIO,"&lt;="&amp;EOMONTH(B1057,0))),C_CLAVE,0))&amp;"","Sin dato"))</f>
        <v/>
      </c>
      <c r="AB1057" s="71" t="str">
        <f aca="false">IF(AH1057="","",ROUND(MIN(K1057,TOPE_AFP_UF*AJ1057)*AK1057,0))</f>
        <v/>
      </c>
      <c r="AC1057" s="71" t="str">
        <f aca="false">IF(AH1057="","",ROUND(MIN(K1057,TOPE_AFC_UF*AJ1057)*IF(AA1057="Indefinido",AFC_EMP_INDEF,AFC_EMP_PF),0))</f>
        <v/>
      </c>
      <c r="AD1057" s="71" t="str">
        <f aca="false">IF(AH1057="","",ROUND(MIN(K1057,TOPE_AFP_UF*AJ1057)*(MUTUAL_BASICA+MUTUAL_ADIC+SANNA),0))</f>
        <v/>
      </c>
      <c r="AE1057" s="71" t="str">
        <f aca="false">IF(AH1057="","",P1057-N(N1057)+AB1057+AC1057+AD1057)</f>
        <v/>
      </c>
      <c r="AF1057" s="65"/>
      <c r="AG1057" s="64"/>
      <c r="AH1057" s="72" t="str">
        <f aca="false">IF(OR(B1057="",C1057=""),"",C1057&amp;"|"&amp;(YEAR(B1057)*100+MONTH(B1057)))</f>
        <v/>
      </c>
      <c r="AI1057" s="70" t="str">
        <f aca="false">IF(AH1057="","",IF(COUNTIF(L_CLAVE,AH1057)&gt;1,"⚠ Duplicado","OK"))</f>
        <v/>
      </c>
      <c r="AJ1057" s="86" t="str">
        <f aca="false">IF(AH1057="","",IF(SUMPRODUCT(MAX((IND_PER&lt;=B1057)*(IND_UF&lt;&gt;"")*IND_PER))=0,UF_HOY,INDEX(IND_UF,MATCH(SUMPRODUCT(MAX((IND_PER&lt;=B1057)*(IND_UF&lt;&gt;"")*IND_PER)),IND_PER,0))))</f>
        <v/>
      </c>
      <c r="AK1057" s="87" t="str">
        <f aca="false">IF(AH1057="","",IF(COUNTIF(TASA_DESDE,"&lt;="&amp;B1057)=0,INDEX(TASA_EMP,1),INDEX(TASA_EMP,COUNTIF(TASA_DESDE,"&lt;="&amp;B1057))))</f>
        <v/>
      </c>
    </row>
    <row r="1058" customFormat="false" ht="15" hidden="false" customHeight="false" outlineLevel="0" collapsed="false">
      <c r="B1058" s="78"/>
      <c r="C1058" s="64"/>
      <c r="D1058" s="72" t="str">
        <f aca="false">IF(C1058="","",IFERROR(INDEX(T_NOMBRE,MATCH(C1058,T_ID,0)),"⚠ ID no existe"))</f>
        <v/>
      </c>
      <c r="E1058" s="69"/>
      <c r="F1058" s="67"/>
      <c r="G1058" s="67"/>
      <c r="H1058" s="67"/>
      <c r="I1058" s="67"/>
      <c r="J1058" s="67"/>
      <c r="K1058" s="85" t="str">
        <f aca="false">IF(AH1058="","",N(F1058)+N(G1058)+N(H1058)-N(I1058)+N(J1058))</f>
        <v/>
      </c>
      <c r="L1058" s="67"/>
      <c r="M1058" s="67"/>
      <c r="N1058" s="67"/>
      <c r="O1058" s="67"/>
      <c r="P1058" s="85" t="str">
        <f aca="false">IF(AH1058="","",K1058+N(L1058)+N(M1058)+N(N1058)+N(O1058))</f>
        <v/>
      </c>
      <c r="Q1058" s="67"/>
      <c r="R1058" s="67"/>
      <c r="S1058" s="67"/>
      <c r="T1058" s="67"/>
      <c r="U1058" s="67"/>
      <c r="V1058" s="67"/>
      <c r="W1058" s="85" t="str">
        <f aca="false">IF(AH1058="","",N(Q1058)+N(R1058)+N(S1058)+N(T1058)+N(U1058)+N(V1058))</f>
        <v/>
      </c>
      <c r="X1058" s="85" t="str">
        <f aca="false">IF(AH1058="","",P1058-W1058)</f>
        <v/>
      </c>
      <c r="Y1058" s="67"/>
      <c r="Z1058" s="70" t="str">
        <f aca="false">IF(OR(AH1058="",Y1058=""),"",IF(ABS(X1058-Y1058)&lt;=1,"✓ Cuadra","⚠ Diferencia $"&amp;FIXED(X1058-Y1058,0)))</f>
        <v/>
      </c>
      <c r="AA1058" s="72" t="str">
        <f aca="false">IF(AH1058="","",IFERROR(INDEX(C_TIPO,MATCH(C1058&amp;"-P"&amp;MAX(1,COUNTIFS(C_ID,C1058,C_DEFINE,"Sí",C_INICIO,"&lt;="&amp;EOMONTH(B1058,0))),C_CLAVE,0))&amp;"","Sin dato"))</f>
        <v/>
      </c>
      <c r="AB1058" s="71" t="str">
        <f aca="false">IF(AH1058="","",ROUND(MIN(K1058,TOPE_AFP_UF*AJ1058)*AK1058,0))</f>
        <v/>
      </c>
      <c r="AC1058" s="71" t="str">
        <f aca="false">IF(AH1058="","",ROUND(MIN(K1058,TOPE_AFC_UF*AJ1058)*IF(AA1058="Indefinido",AFC_EMP_INDEF,AFC_EMP_PF),0))</f>
        <v/>
      </c>
      <c r="AD1058" s="71" t="str">
        <f aca="false">IF(AH1058="","",ROUND(MIN(K1058,TOPE_AFP_UF*AJ1058)*(MUTUAL_BASICA+MUTUAL_ADIC+SANNA),0))</f>
        <v/>
      </c>
      <c r="AE1058" s="71" t="str">
        <f aca="false">IF(AH1058="","",P1058-N(N1058)+AB1058+AC1058+AD1058)</f>
        <v/>
      </c>
      <c r="AF1058" s="65"/>
      <c r="AG1058" s="64"/>
      <c r="AH1058" s="72" t="str">
        <f aca="false">IF(OR(B1058="",C1058=""),"",C1058&amp;"|"&amp;(YEAR(B1058)*100+MONTH(B1058)))</f>
        <v/>
      </c>
      <c r="AI1058" s="70" t="str">
        <f aca="false">IF(AH1058="","",IF(COUNTIF(L_CLAVE,AH1058)&gt;1,"⚠ Duplicado","OK"))</f>
        <v/>
      </c>
      <c r="AJ1058" s="86" t="str">
        <f aca="false">IF(AH1058="","",IF(SUMPRODUCT(MAX((IND_PER&lt;=B1058)*(IND_UF&lt;&gt;"")*IND_PER))=0,UF_HOY,INDEX(IND_UF,MATCH(SUMPRODUCT(MAX((IND_PER&lt;=B1058)*(IND_UF&lt;&gt;"")*IND_PER)),IND_PER,0))))</f>
        <v/>
      </c>
      <c r="AK1058" s="87" t="str">
        <f aca="false">IF(AH1058="","",IF(COUNTIF(TASA_DESDE,"&lt;="&amp;B1058)=0,INDEX(TASA_EMP,1),INDEX(TASA_EMP,COUNTIF(TASA_DESDE,"&lt;="&amp;B1058))))</f>
        <v/>
      </c>
    </row>
    <row r="1059" customFormat="false" ht="15" hidden="false" customHeight="false" outlineLevel="0" collapsed="false">
      <c r="B1059" s="78"/>
      <c r="C1059" s="64"/>
      <c r="D1059" s="72" t="str">
        <f aca="false">IF(C1059="","",IFERROR(INDEX(T_NOMBRE,MATCH(C1059,T_ID,0)),"⚠ ID no existe"))</f>
        <v/>
      </c>
      <c r="E1059" s="69"/>
      <c r="F1059" s="67"/>
      <c r="G1059" s="67"/>
      <c r="H1059" s="67"/>
      <c r="I1059" s="67"/>
      <c r="J1059" s="67"/>
      <c r="K1059" s="85" t="str">
        <f aca="false">IF(AH1059="","",N(F1059)+N(G1059)+N(H1059)-N(I1059)+N(J1059))</f>
        <v/>
      </c>
      <c r="L1059" s="67"/>
      <c r="M1059" s="67"/>
      <c r="N1059" s="67"/>
      <c r="O1059" s="67"/>
      <c r="P1059" s="85" t="str">
        <f aca="false">IF(AH1059="","",K1059+N(L1059)+N(M1059)+N(N1059)+N(O1059))</f>
        <v/>
      </c>
      <c r="Q1059" s="67"/>
      <c r="R1059" s="67"/>
      <c r="S1059" s="67"/>
      <c r="T1059" s="67"/>
      <c r="U1059" s="67"/>
      <c r="V1059" s="67"/>
      <c r="W1059" s="85" t="str">
        <f aca="false">IF(AH1059="","",N(Q1059)+N(R1059)+N(S1059)+N(T1059)+N(U1059)+N(V1059))</f>
        <v/>
      </c>
      <c r="X1059" s="85" t="str">
        <f aca="false">IF(AH1059="","",P1059-W1059)</f>
        <v/>
      </c>
      <c r="Y1059" s="67"/>
      <c r="Z1059" s="70" t="str">
        <f aca="false">IF(OR(AH1059="",Y1059=""),"",IF(ABS(X1059-Y1059)&lt;=1,"✓ Cuadra","⚠ Diferencia $"&amp;FIXED(X1059-Y1059,0)))</f>
        <v/>
      </c>
      <c r="AA1059" s="72" t="str">
        <f aca="false">IF(AH1059="","",IFERROR(INDEX(C_TIPO,MATCH(C1059&amp;"-P"&amp;MAX(1,COUNTIFS(C_ID,C1059,C_DEFINE,"Sí",C_INICIO,"&lt;="&amp;EOMONTH(B1059,0))),C_CLAVE,0))&amp;"","Sin dato"))</f>
        <v/>
      </c>
      <c r="AB1059" s="71" t="str">
        <f aca="false">IF(AH1059="","",ROUND(MIN(K1059,TOPE_AFP_UF*AJ1059)*AK1059,0))</f>
        <v/>
      </c>
      <c r="AC1059" s="71" t="str">
        <f aca="false">IF(AH1059="","",ROUND(MIN(K1059,TOPE_AFC_UF*AJ1059)*IF(AA1059="Indefinido",AFC_EMP_INDEF,AFC_EMP_PF),0))</f>
        <v/>
      </c>
      <c r="AD1059" s="71" t="str">
        <f aca="false">IF(AH1059="","",ROUND(MIN(K1059,TOPE_AFP_UF*AJ1059)*(MUTUAL_BASICA+MUTUAL_ADIC+SANNA),0))</f>
        <v/>
      </c>
      <c r="AE1059" s="71" t="str">
        <f aca="false">IF(AH1059="","",P1059-N(N1059)+AB1059+AC1059+AD1059)</f>
        <v/>
      </c>
      <c r="AF1059" s="65"/>
      <c r="AG1059" s="64"/>
      <c r="AH1059" s="72" t="str">
        <f aca="false">IF(OR(B1059="",C1059=""),"",C1059&amp;"|"&amp;(YEAR(B1059)*100+MONTH(B1059)))</f>
        <v/>
      </c>
      <c r="AI1059" s="70" t="str">
        <f aca="false">IF(AH1059="","",IF(COUNTIF(L_CLAVE,AH1059)&gt;1,"⚠ Duplicado","OK"))</f>
        <v/>
      </c>
      <c r="AJ1059" s="86" t="str">
        <f aca="false">IF(AH1059="","",IF(SUMPRODUCT(MAX((IND_PER&lt;=B1059)*(IND_UF&lt;&gt;"")*IND_PER))=0,UF_HOY,INDEX(IND_UF,MATCH(SUMPRODUCT(MAX((IND_PER&lt;=B1059)*(IND_UF&lt;&gt;"")*IND_PER)),IND_PER,0))))</f>
        <v/>
      </c>
      <c r="AK1059" s="87" t="str">
        <f aca="false">IF(AH1059="","",IF(COUNTIF(TASA_DESDE,"&lt;="&amp;B1059)=0,INDEX(TASA_EMP,1),INDEX(TASA_EMP,COUNTIF(TASA_DESDE,"&lt;="&amp;B1059))))</f>
        <v/>
      </c>
    </row>
    <row r="1060" customFormat="false" ht="15" hidden="false" customHeight="false" outlineLevel="0" collapsed="false">
      <c r="B1060" s="78"/>
      <c r="C1060" s="64"/>
      <c r="D1060" s="72" t="str">
        <f aca="false">IF(C1060="","",IFERROR(INDEX(T_NOMBRE,MATCH(C1060,T_ID,0)),"⚠ ID no existe"))</f>
        <v/>
      </c>
      <c r="E1060" s="69"/>
      <c r="F1060" s="67"/>
      <c r="G1060" s="67"/>
      <c r="H1060" s="67"/>
      <c r="I1060" s="67"/>
      <c r="J1060" s="67"/>
      <c r="K1060" s="85" t="str">
        <f aca="false">IF(AH1060="","",N(F1060)+N(G1060)+N(H1060)-N(I1060)+N(J1060))</f>
        <v/>
      </c>
      <c r="L1060" s="67"/>
      <c r="M1060" s="67"/>
      <c r="N1060" s="67"/>
      <c r="O1060" s="67"/>
      <c r="P1060" s="85" t="str">
        <f aca="false">IF(AH1060="","",K1060+N(L1060)+N(M1060)+N(N1060)+N(O1060))</f>
        <v/>
      </c>
      <c r="Q1060" s="67"/>
      <c r="R1060" s="67"/>
      <c r="S1060" s="67"/>
      <c r="T1060" s="67"/>
      <c r="U1060" s="67"/>
      <c r="V1060" s="67"/>
      <c r="W1060" s="85" t="str">
        <f aca="false">IF(AH1060="","",N(Q1060)+N(R1060)+N(S1060)+N(T1060)+N(U1060)+N(V1060))</f>
        <v/>
      </c>
      <c r="X1060" s="85" t="str">
        <f aca="false">IF(AH1060="","",P1060-W1060)</f>
        <v/>
      </c>
      <c r="Y1060" s="67"/>
      <c r="Z1060" s="70" t="str">
        <f aca="false">IF(OR(AH1060="",Y1060=""),"",IF(ABS(X1060-Y1060)&lt;=1,"✓ Cuadra","⚠ Diferencia $"&amp;FIXED(X1060-Y1060,0)))</f>
        <v/>
      </c>
      <c r="AA1060" s="72" t="str">
        <f aca="false">IF(AH1060="","",IFERROR(INDEX(C_TIPO,MATCH(C1060&amp;"-P"&amp;MAX(1,COUNTIFS(C_ID,C1060,C_DEFINE,"Sí",C_INICIO,"&lt;="&amp;EOMONTH(B1060,0))),C_CLAVE,0))&amp;"","Sin dato"))</f>
        <v/>
      </c>
      <c r="AB1060" s="71" t="str">
        <f aca="false">IF(AH1060="","",ROUND(MIN(K1060,TOPE_AFP_UF*AJ1060)*AK1060,0))</f>
        <v/>
      </c>
      <c r="AC1060" s="71" t="str">
        <f aca="false">IF(AH1060="","",ROUND(MIN(K1060,TOPE_AFC_UF*AJ1060)*IF(AA1060="Indefinido",AFC_EMP_INDEF,AFC_EMP_PF),0))</f>
        <v/>
      </c>
      <c r="AD1060" s="71" t="str">
        <f aca="false">IF(AH1060="","",ROUND(MIN(K1060,TOPE_AFP_UF*AJ1060)*(MUTUAL_BASICA+MUTUAL_ADIC+SANNA),0))</f>
        <v/>
      </c>
      <c r="AE1060" s="71" t="str">
        <f aca="false">IF(AH1060="","",P1060-N(N1060)+AB1060+AC1060+AD1060)</f>
        <v/>
      </c>
      <c r="AF1060" s="65"/>
      <c r="AG1060" s="64"/>
      <c r="AH1060" s="72" t="str">
        <f aca="false">IF(OR(B1060="",C1060=""),"",C1060&amp;"|"&amp;(YEAR(B1060)*100+MONTH(B1060)))</f>
        <v/>
      </c>
      <c r="AI1060" s="70" t="str">
        <f aca="false">IF(AH1060="","",IF(COUNTIF(L_CLAVE,AH1060)&gt;1,"⚠ Duplicado","OK"))</f>
        <v/>
      </c>
      <c r="AJ1060" s="86" t="str">
        <f aca="false">IF(AH1060="","",IF(SUMPRODUCT(MAX((IND_PER&lt;=B1060)*(IND_UF&lt;&gt;"")*IND_PER))=0,UF_HOY,INDEX(IND_UF,MATCH(SUMPRODUCT(MAX((IND_PER&lt;=B1060)*(IND_UF&lt;&gt;"")*IND_PER)),IND_PER,0))))</f>
        <v/>
      </c>
      <c r="AK1060" s="87" t="str">
        <f aca="false">IF(AH1060="","",IF(COUNTIF(TASA_DESDE,"&lt;="&amp;B1060)=0,INDEX(TASA_EMP,1),INDEX(TASA_EMP,COUNTIF(TASA_DESDE,"&lt;="&amp;B1060))))</f>
        <v/>
      </c>
    </row>
    <row r="1061" customFormat="false" ht="15" hidden="false" customHeight="false" outlineLevel="0" collapsed="false">
      <c r="B1061" s="78"/>
      <c r="C1061" s="64"/>
      <c r="D1061" s="72" t="str">
        <f aca="false">IF(C1061="","",IFERROR(INDEX(T_NOMBRE,MATCH(C1061,T_ID,0)),"⚠ ID no existe"))</f>
        <v/>
      </c>
      <c r="E1061" s="69"/>
      <c r="F1061" s="67"/>
      <c r="G1061" s="67"/>
      <c r="H1061" s="67"/>
      <c r="I1061" s="67"/>
      <c r="J1061" s="67"/>
      <c r="K1061" s="85" t="str">
        <f aca="false">IF(AH1061="","",N(F1061)+N(G1061)+N(H1061)-N(I1061)+N(J1061))</f>
        <v/>
      </c>
      <c r="L1061" s="67"/>
      <c r="M1061" s="67"/>
      <c r="N1061" s="67"/>
      <c r="O1061" s="67"/>
      <c r="P1061" s="85" t="str">
        <f aca="false">IF(AH1061="","",K1061+N(L1061)+N(M1061)+N(N1061)+N(O1061))</f>
        <v/>
      </c>
      <c r="Q1061" s="67"/>
      <c r="R1061" s="67"/>
      <c r="S1061" s="67"/>
      <c r="T1061" s="67"/>
      <c r="U1061" s="67"/>
      <c r="V1061" s="67"/>
      <c r="W1061" s="85" t="str">
        <f aca="false">IF(AH1061="","",N(Q1061)+N(R1061)+N(S1061)+N(T1061)+N(U1061)+N(V1061))</f>
        <v/>
      </c>
      <c r="X1061" s="85" t="str">
        <f aca="false">IF(AH1061="","",P1061-W1061)</f>
        <v/>
      </c>
      <c r="Y1061" s="67"/>
      <c r="Z1061" s="70" t="str">
        <f aca="false">IF(OR(AH1061="",Y1061=""),"",IF(ABS(X1061-Y1061)&lt;=1,"✓ Cuadra","⚠ Diferencia $"&amp;FIXED(X1061-Y1061,0)))</f>
        <v/>
      </c>
      <c r="AA1061" s="72" t="str">
        <f aca="false">IF(AH1061="","",IFERROR(INDEX(C_TIPO,MATCH(C1061&amp;"-P"&amp;MAX(1,COUNTIFS(C_ID,C1061,C_DEFINE,"Sí",C_INICIO,"&lt;="&amp;EOMONTH(B1061,0))),C_CLAVE,0))&amp;"","Sin dato"))</f>
        <v/>
      </c>
      <c r="AB1061" s="71" t="str">
        <f aca="false">IF(AH1061="","",ROUND(MIN(K1061,TOPE_AFP_UF*AJ1061)*AK1061,0))</f>
        <v/>
      </c>
      <c r="AC1061" s="71" t="str">
        <f aca="false">IF(AH1061="","",ROUND(MIN(K1061,TOPE_AFC_UF*AJ1061)*IF(AA1061="Indefinido",AFC_EMP_INDEF,AFC_EMP_PF),0))</f>
        <v/>
      </c>
      <c r="AD1061" s="71" t="str">
        <f aca="false">IF(AH1061="","",ROUND(MIN(K1061,TOPE_AFP_UF*AJ1061)*(MUTUAL_BASICA+MUTUAL_ADIC+SANNA),0))</f>
        <v/>
      </c>
      <c r="AE1061" s="71" t="str">
        <f aca="false">IF(AH1061="","",P1061-N(N1061)+AB1061+AC1061+AD1061)</f>
        <v/>
      </c>
      <c r="AF1061" s="65"/>
      <c r="AG1061" s="64"/>
      <c r="AH1061" s="72" t="str">
        <f aca="false">IF(OR(B1061="",C1061=""),"",C1061&amp;"|"&amp;(YEAR(B1061)*100+MONTH(B1061)))</f>
        <v/>
      </c>
      <c r="AI1061" s="70" t="str">
        <f aca="false">IF(AH1061="","",IF(COUNTIF(L_CLAVE,AH1061)&gt;1,"⚠ Duplicado","OK"))</f>
        <v/>
      </c>
      <c r="AJ1061" s="86" t="str">
        <f aca="false">IF(AH1061="","",IF(SUMPRODUCT(MAX((IND_PER&lt;=B1061)*(IND_UF&lt;&gt;"")*IND_PER))=0,UF_HOY,INDEX(IND_UF,MATCH(SUMPRODUCT(MAX((IND_PER&lt;=B1061)*(IND_UF&lt;&gt;"")*IND_PER)),IND_PER,0))))</f>
        <v/>
      </c>
      <c r="AK1061" s="87" t="str">
        <f aca="false">IF(AH1061="","",IF(COUNTIF(TASA_DESDE,"&lt;="&amp;B1061)=0,INDEX(TASA_EMP,1),INDEX(TASA_EMP,COUNTIF(TASA_DESDE,"&lt;="&amp;B1061))))</f>
        <v/>
      </c>
    </row>
    <row r="1062" customFormat="false" ht="15" hidden="false" customHeight="false" outlineLevel="0" collapsed="false">
      <c r="B1062" s="78"/>
      <c r="C1062" s="64"/>
      <c r="D1062" s="72" t="str">
        <f aca="false">IF(C1062="","",IFERROR(INDEX(T_NOMBRE,MATCH(C1062,T_ID,0)),"⚠ ID no existe"))</f>
        <v/>
      </c>
      <c r="E1062" s="69"/>
      <c r="F1062" s="67"/>
      <c r="G1062" s="67"/>
      <c r="H1062" s="67"/>
      <c r="I1062" s="67"/>
      <c r="J1062" s="67"/>
      <c r="K1062" s="85" t="str">
        <f aca="false">IF(AH1062="","",N(F1062)+N(G1062)+N(H1062)-N(I1062)+N(J1062))</f>
        <v/>
      </c>
      <c r="L1062" s="67"/>
      <c r="M1062" s="67"/>
      <c r="N1062" s="67"/>
      <c r="O1062" s="67"/>
      <c r="P1062" s="85" t="str">
        <f aca="false">IF(AH1062="","",K1062+N(L1062)+N(M1062)+N(N1062)+N(O1062))</f>
        <v/>
      </c>
      <c r="Q1062" s="67"/>
      <c r="R1062" s="67"/>
      <c r="S1062" s="67"/>
      <c r="T1062" s="67"/>
      <c r="U1062" s="67"/>
      <c r="V1062" s="67"/>
      <c r="W1062" s="85" t="str">
        <f aca="false">IF(AH1062="","",N(Q1062)+N(R1062)+N(S1062)+N(T1062)+N(U1062)+N(V1062))</f>
        <v/>
      </c>
      <c r="X1062" s="85" t="str">
        <f aca="false">IF(AH1062="","",P1062-W1062)</f>
        <v/>
      </c>
      <c r="Y1062" s="67"/>
      <c r="Z1062" s="70" t="str">
        <f aca="false">IF(OR(AH1062="",Y1062=""),"",IF(ABS(X1062-Y1062)&lt;=1,"✓ Cuadra","⚠ Diferencia $"&amp;FIXED(X1062-Y1062,0)))</f>
        <v/>
      </c>
      <c r="AA1062" s="72" t="str">
        <f aca="false">IF(AH1062="","",IFERROR(INDEX(C_TIPO,MATCH(C1062&amp;"-P"&amp;MAX(1,COUNTIFS(C_ID,C1062,C_DEFINE,"Sí",C_INICIO,"&lt;="&amp;EOMONTH(B1062,0))),C_CLAVE,0))&amp;"","Sin dato"))</f>
        <v/>
      </c>
      <c r="AB1062" s="71" t="str">
        <f aca="false">IF(AH1062="","",ROUND(MIN(K1062,TOPE_AFP_UF*AJ1062)*AK1062,0))</f>
        <v/>
      </c>
      <c r="AC1062" s="71" t="str">
        <f aca="false">IF(AH1062="","",ROUND(MIN(K1062,TOPE_AFC_UF*AJ1062)*IF(AA1062="Indefinido",AFC_EMP_INDEF,AFC_EMP_PF),0))</f>
        <v/>
      </c>
      <c r="AD1062" s="71" t="str">
        <f aca="false">IF(AH1062="","",ROUND(MIN(K1062,TOPE_AFP_UF*AJ1062)*(MUTUAL_BASICA+MUTUAL_ADIC+SANNA),0))</f>
        <v/>
      </c>
      <c r="AE1062" s="71" t="str">
        <f aca="false">IF(AH1062="","",P1062-N(N1062)+AB1062+AC1062+AD1062)</f>
        <v/>
      </c>
      <c r="AF1062" s="65"/>
      <c r="AG1062" s="64"/>
      <c r="AH1062" s="72" t="str">
        <f aca="false">IF(OR(B1062="",C1062=""),"",C1062&amp;"|"&amp;(YEAR(B1062)*100+MONTH(B1062)))</f>
        <v/>
      </c>
      <c r="AI1062" s="70" t="str">
        <f aca="false">IF(AH1062="","",IF(COUNTIF(L_CLAVE,AH1062)&gt;1,"⚠ Duplicado","OK"))</f>
        <v/>
      </c>
      <c r="AJ1062" s="86" t="str">
        <f aca="false">IF(AH1062="","",IF(SUMPRODUCT(MAX((IND_PER&lt;=B1062)*(IND_UF&lt;&gt;"")*IND_PER))=0,UF_HOY,INDEX(IND_UF,MATCH(SUMPRODUCT(MAX((IND_PER&lt;=B1062)*(IND_UF&lt;&gt;"")*IND_PER)),IND_PER,0))))</f>
        <v/>
      </c>
      <c r="AK1062" s="87" t="str">
        <f aca="false">IF(AH1062="","",IF(COUNTIF(TASA_DESDE,"&lt;="&amp;B1062)=0,INDEX(TASA_EMP,1),INDEX(TASA_EMP,COUNTIF(TASA_DESDE,"&lt;="&amp;B1062))))</f>
        <v/>
      </c>
    </row>
    <row r="1063" customFormat="false" ht="15" hidden="false" customHeight="false" outlineLevel="0" collapsed="false">
      <c r="B1063" s="78"/>
      <c r="C1063" s="64"/>
      <c r="D1063" s="72" t="str">
        <f aca="false">IF(C1063="","",IFERROR(INDEX(T_NOMBRE,MATCH(C1063,T_ID,0)),"⚠ ID no existe"))</f>
        <v/>
      </c>
      <c r="E1063" s="69"/>
      <c r="F1063" s="67"/>
      <c r="G1063" s="67"/>
      <c r="H1063" s="67"/>
      <c r="I1063" s="67"/>
      <c r="J1063" s="67"/>
      <c r="K1063" s="85" t="str">
        <f aca="false">IF(AH1063="","",N(F1063)+N(G1063)+N(H1063)-N(I1063)+N(J1063))</f>
        <v/>
      </c>
      <c r="L1063" s="67"/>
      <c r="M1063" s="67"/>
      <c r="N1063" s="67"/>
      <c r="O1063" s="67"/>
      <c r="P1063" s="85" t="str">
        <f aca="false">IF(AH1063="","",K1063+N(L1063)+N(M1063)+N(N1063)+N(O1063))</f>
        <v/>
      </c>
      <c r="Q1063" s="67"/>
      <c r="R1063" s="67"/>
      <c r="S1063" s="67"/>
      <c r="T1063" s="67"/>
      <c r="U1063" s="67"/>
      <c r="V1063" s="67"/>
      <c r="W1063" s="85" t="str">
        <f aca="false">IF(AH1063="","",N(Q1063)+N(R1063)+N(S1063)+N(T1063)+N(U1063)+N(V1063))</f>
        <v/>
      </c>
      <c r="X1063" s="85" t="str">
        <f aca="false">IF(AH1063="","",P1063-W1063)</f>
        <v/>
      </c>
      <c r="Y1063" s="67"/>
      <c r="Z1063" s="70" t="str">
        <f aca="false">IF(OR(AH1063="",Y1063=""),"",IF(ABS(X1063-Y1063)&lt;=1,"✓ Cuadra","⚠ Diferencia $"&amp;FIXED(X1063-Y1063,0)))</f>
        <v/>
      </c>
      <c r="AA1063" s="72" t="str">
        <f aca="false">IF(AH1063="","",IFERROR(INDEX(C_TIPO,MATCH(C1063&amp;"-P"&amp;MAX(1,COUNTIFS(C_ID,C1063,C_DEFINE,"Sí",C_INICIO,"&lt;="&amp;EOMONTH(B1063,0))),C_CLAVE,0))&amp;"","Sin dato"))</f>
        <v/>
      </c>
      <c r="AB1063" s="71" t="str">
        <f aca="false">IF(AH1063="","",ROUND(MIN(K1063,TOPE_AFP_UF*AJ1063)*AK1063,0))</f>
        <v/>
      </c>
      <c r="AC1063" s="71" t="str">
        <f aca="false">IF(AH1063="","",ROUND(MIN(K1063,TOPE_AFC_UF*AJ1063)*IF(AA1063="Indefinido",AFC_EMP_INDEF,AFC_EMP_PF),0))</f>
        <v/>
      </c>
      <c r="AD1063" s="71" t="str">
        <f aca="false">IF(AH1063="","",ROUND(MIN(K1063,TOPE_AFP_UF*AJ1063)*(MUTUAL_BASICA+MUTUAL_ADIC+SANNA),0))</f>
        <v/>
      </c>
      <c r="AE1063" s="71" t="str">
        <f aca="false">IF(AH1063="","",P1063-N(N1063)+AB1063+AC1063+AD1063)</f>
        <v/>
      </c>
      <c r="AF1063" s="65"/>
      <c r="AG1063" s="64"/>
      <c r="AH1063" s="72" t="str">
        <f aca="false">IF(OR(B1063="",C1063=""),"",C1063&amp;"|"&amp;(YEAR(B1063)*100+MONTH(B1063)))</f>
        <v/>
      </c>
      <c r="AI1063" s="70" t="str">
        <f aca="false">IF(AH1063="","",IF(COUNTIF(L_CLAVE,AH1063)&gt;1,"⚠ Duplicado","OK"))</f>
        <v/>
      </c>
      <c r="AJ1063" s="86" t="str">
        <f aca="false">IF(AH1063="","",IF(SUMPRODUCT(MAX((IND_PER&lt;=B1063)*(IND_UF&lt;&gt;"")*IND_PER))=0,UF_HOY,INDEX(IND_UF,MATCH(SUMPRODUCT(MAX((IND_PER&lt;=B1063)*(IND_UF&lt;&gt;"")*IND_PER)),IND_PER,0))))</f>
        <v/>
      </c>
      <c r="AK1063" s="87" t="str">
        <f aca="false">IF(AH1063="","",IF(COUNTIF(TASA_DESDE,"&lt;="&amp;B1063)=0,INDEX(TASA_EMP,1),INDEX(TASA_EMP,COUNTIF(TASA_DESDE,"&lt;="&amp;B1063))))</f>
        <v/>
      </c>
    </row>
    <row r="1064" customFormat="false" ht="15" hidden="false" customHeight="false" outlineLevel="0" collapsed="false">
      <c r="B1064" s="78"/>
      <c r="C1064" s="64"/>
      <c r="D1064" s="72" t="str">
        <f aca="false">IF(C1064="","",IFERROR(INDEX(T_NOMBRE,MATCH(C1064,T_ID,0)),"⚠ ID no existe"))</f>
        <v/>
      </c>
      <c r="E1064" s="69"/>
      <c r="F1064" s="67"/>
      <c r="G1064" s="67"/>
      <c r="H1064" s="67"/>
      <c r="I1064" s="67"/>
      <c r="J1064" s="67"/>
      <c r="K1064" s="85" t="str">
        <f aca="false">IF(AH1064="","",N(F1064)+N(G1064)+N(H1064)-N(I1064)+N(J1064))</f>
        <v/>
      </c>
      <c r="L1064" s="67"/>
      <c r="M1064" s="67"/>
      <c r="N1064" s="67"/>
      <c r="O1064" s="67"/>
      <c r="P1064" s="85" t="str">
        <f aca="false">IF(AH1064="","",K1064+N(L1064)+N(M1064)+N(N1064)+N(O1064))</f>
        <v/>
      </c>
      <c r="Q1064" s="67"/>
      <c r="R1064" s="67"/>
      <c r="S1064" s="67"/>
      <c r="T1064" s="67"/>
      <c r="U1064" s="67"/>
      <c r="V1064" s="67"/>
      <c r="W1064" s="85" t="str">
        <f aca="false">IF(AH1064="","",N(Q1064)+N(R1064)+N(S1064)+N(T1064)+N(U1064)+N(V1064))</f>
        <v/>
      </c>
      <c r="X1064" s="85" t="str">
        <f aca="false">IF(AH1064="","",P1064-W1064)</f>
        <v/>
      </c>
      <c r="Y1064" s="67"/>
      <c r="Z1064" s="70" t="str">
        <f aca="false">IF(OR(AH1064="",Y1064=""),"",IF(ABS(X1064-Y1064)&lt;=1,"✓ Cuadra","⚠ Diferencia $"&amp;FIXED(X1064-Y1064,0)))</f>
        <v/>
      </c>
      <c r="AA1064" s="72" t="str">
        <f aca="false">IF(AH1064="","",IFERROR(INDEX(C_TIPO,MATCH(C1064&amp;"-P"&amp;MAX(1,COUNTIFS(C_ID,C1064,C_DEFINE,"Sí",C_INICIO,"&lt;="&amp;EOMONTH(B1064,0))),C_CLAVE,0))&amp;"","Sin dato"))</f>
        <v/>
      </c>
      <c r="AB1064" s="71" t="str">
        <f aca="false">IF(AH1064="","",ROUND(MIN(K1064,TOPE_AFP_UF*AJ1064)*AK1064,0))</f>
        <v/>
      </c>
      <c r="AC1064" s="71" t="str">
        <f aca="false">IF(AH1064="","",ROUND(MIN(K1064,TOPE_AFC_UF*AJ1064)*IF(AA1064="Indefinido",AFC_EMP_INDEF,AFC_EMP_PF),0))</f>
        <v/>
      </c>
      <c r="AD1064" s="71" t="str">
        <f aca="false">IF(AH1064="","",ROUND(MIN(K1064,TOPE_AFP_UF*AJ1064)*(MUTUAL_BASICA+MUTUAL_ADIC+SANNA),0))</f>
        <v/>
      </c>
      <c r="AE1064" s="71" t="str">
        <f aca="false">IF(AH1064="","",P1064-N(N1064)+AB1064+AC1064+AD1064)</f>
        <v/>
      </c>
      <c r="AF1064" s="65"/>
      <c r="AG1064" s="64"/>
      <c r="AH1064" s="72" t="str">
        <f aca="false">IF(OR(B1064="",C1064=""),"",C1064&amp;"|"&amp;(YEAR(B1064)*100+MONTH(B1064)))</f>
        <v/>
      </c>
      <c r="AI1064" s="70" t="str">
        <f aca="false">IF(AH1064="","",IF(COUNTIF(L_CLAVE,AH1064)&gt;1,"⚠ Duplicado","OK"))</f>
        <v/>
      </c>
      <c r="AJ1064" s="86" t="str">
        <f aca="false">IF(AH1064="","",IF(SUMPRODUCT(MAX((IND_PER&lt;=B1064)*(IND_UF&lt;&gt;"")*IND_PER))=0,UF_HOY,INDEX(IND_UF,MATCH(SUMPRODUCT(MAX((IND_PER&lt;=B1064)*(IND_UF&lt;&gt;"")*IND_PER)),IND_PER,0))))</f>
        <v/>
      </c>
      <c r="AK1064" s="87" t="str">
        <f aca="false">IF(AH1064="","",IF(COUNTIF(TASA_DESDE,"&lt;="&amp;B1064)=0,INDEX(TASA_EMP,1),INDEX(TASA_EMP,COUNTIF(TASA_DESDE,"&lt;="&amp;B1064))))</f>
        <v/>
      </c>
    </row>
    <row r="1065" customFormat="false" ht="15" hidden="false" customHeight="false" outlineLevel="0" collapsed="false">
      <c r="B1065" s="78"/>
      <c r="C1065" s="64"/>
      <c r="D1065" s="72" t="str">
        <f aca="false">IF(C1065="","",IFERROR(INDEX(T_NOMBRE,MATCH(C1065,T_ID,0)),"⚠ ID no existe"))</f>
        <v/>
      </c>
      <c r="E1065" s="69"/>
      <c r="F1065" s="67"/>
      <c r="G1065" s="67"/>
      <c r="H1065" s="67"/>
      <c r="I1065" s="67"/>
      <c r="J1065" s="67"/>
      <c r="K1065" s="85" t="str">
        <f aca="false">IF(AH1065="","",N(F1065)+N(G1065)+N(H1065)-N(I1065)+N(J1065))</f>
        <v/>
      </c>
      <c r="L1065" s="67"/>
      <c r="M1065" s="67"/>
      <c r="N1065" s="67"/>
      <c r="O1065" s="67"/>
      <c r="P1065" s="85" t="str">
        <f aca="false">IF(AH1065="","",K1065+N(L1065)+N(M1065)+N(N1065)+N(O1065))</f>
        <v/>
      </c>
      <c r="Q1065" s="67"/>
      <c r="R1065" s="67"/>
      <c r="S1065" s="67"/>
      <c r="T1065" s="67"/>
      <c r="U1065" s="67"/>
      <c r="V1065" s="67"/>
      <c r="W1065" s="85" t="str">
        <f aca="false">IF(AH1065="","",N(Q1065)+N(R1065)+N(S1065)+N(T1065)+N(U1065)+N(V1065))</f>
        <v/>
      </c>
      <c r="X1065" s="85" t="str">
        <f aca="false">IF(AH1065="","",P1065-W1065)</f>
        <v/>
      </c>
      <c r="Y1065" s="67"/>
      <c r="Z1065" s="70" t="str">
        <f aca="false">IF(OR(AH1065="",Y1065=""),"",IF(ABS(X1065-Y1065)&lt;=1,"✓ Cuadra","⚠ Diferencia $"&amp;FIXED(X1065-Y1065,0)))</f>
        <v/>
      </c>
      <c r="AA1065" s="72" t="str">
        <f aca="false">IF(AH1065="","",IFERROR(INDEX(C_TIPO,MATCH(C1065&amp;"-P"&amp;MAX(1,COUNTIFS(C_ID,C1065,C_DEFINE,"Sí",C_INICIO,"&lt;="&amp;EOMONTH(B1065,0))),C_CLAVE,0))&amp;"","Sin dato"))</f>
        <v/>
      </c>
      <c r="AB1065" s="71" t="str">
        <f aca="false">IF(AH1065="","",ROUND(MIN(K1065,TOPE_AFP_UF*AJ1065)*AK1065,0))</f>
        <v/>
      </c>
      <c r="AC1065" s="71" t="str">
        <f aca="false">IF(AH1065="","",ROUND(MIN(K1065,TOPE_AFC_UF*AJ1065)*IF(AA1065="Indefinido",AFC_EMP_INDEF,AFC_EMP_PF),0))</f>
        <v/>
      </c>
      <c r="AD1065" s="71" t="str">
        <f aca="false">IF(AH1065="","",ROUND(MIN(K1065,TOPE_AFP_UF*AJ1065)*(MUTUAL_BASICA+MUTUAL_ADIC+SANNA),0))</f>
        <v/>
      </c>
      <c r="AE1065" s="71" t="str">
        <f aca="false">IF(AH1065="","",P1065-N(N1065)+AB1065+AC1065+AD1065)</f>
        <v/>
      </c>
      <c r="AF1065" s="65"/>
      <c r="AG1065" s="64"/>
      <c r="AH1065" s="72" t="str">
        <f aca="false">IF(OR(B1065="",C1065=""),"",C1065&amp;"|"&amp;(YEAR(B1065)*100+MONTH(B1065)))</f>
        <v/>
      </c>
      <c r="AI1065" s="70" t="str">
        <f aca="false">IF(AH1065="","",IF(COUNTIF(L_CLAVE,AH1065)&gt;1,"⚠ Duplicado","OK"))</f>
        <v/>
      </c>
      <c r="AJ1065" s="86" t="str">
        <f aca="false">IF(AH1065="","",IF(SUMPRODUCT(MAX((IND_PER&lt;=B1065)*(IND_UF&lt;&gt;"")*IND_PER))=0,UF_HOY,INDEX(IND_UF,MATCH(SUMPRODUCT(MAX((IND_PER&lt;=B1065)*(IND_UF&lt;&gt;"")*IND_PER)),IND_PER,0))))</f>
        <v/>
      </c>
      <c r="AK1065" s="87" t="str">
        <f aca="false">IF(AH1065="","",IF(COUNTIF(TASA_DESDE,"&lt;="&amp;B1065)=0,INDEX(TASA_EMP,1),INDEX(TASA_EMP,COUNTIF(TASA_DESDE,"&lt;="&amp;B1065))))</f>
        <v/>
      </c>
    </row>
    <row r="1066" customFormat="false" ht="15" hidden="false" customHeight="false" outlineLevel="0" collapsed="false">
      <c r="B1066" s="78"/>
      <c r="C1066" s="64"/>
      <c r="D1066" s="72" t="str">
        <f aca="false">IF(C1066="","",IFERROR(INDEX(T_NOMBRE,MATCH(C1066,T_ID,0)),"⚠ ID no existe"))</f>
        <v/>
      </c>
      <c r="E1066" s="69"/>
      <c r="F1066" s="67"/>
      <c r="G1066" s="67"/>
      <c r="H1066" s="67"/>
      <c r="I1066" s="67"/>
      <c r="J1066" s="67"/>
      <c r="K1066" s="85" t="str">
        <f aca="false">IF(AH1066="","",N(F1066)+N(G1066)+N(H1066)-N(I1066)+N(J1066))</f>
        <v/>
      </c>
      <c r="L1066" s="67"/>
      <c r="M1066" s="67"/>
      <c r="N1066" s="67"/>
      <c r="O1066" s="67"/>
      <c r="P1066" s="85" t="str">
        <f aca="false">IF(AH1066="","",K1066+N(L1066)+N(M1066)+N(N1066)+N(O1066))</f>
        <v/>
      </c>
      <c r="Q1066" s="67"/>
      <c r="R1066" s="67"/>
      <c r="S1066" s="67"/>
      <c r="T1066" s="67"/>
      <c r="U1066" s="67"/>
      <c r="V1066" s="67"/>
      <c r="W1066" s="85" t="str">
        <f aca="false">IF(AH1066="","",N(Q1066)+N(R1066)+N(S1066)+N(T1066)+N(U1066)+N(V1066))</f>
        <v/>
      </c>
      <c r="X1066" s="85" t="str">
        <f aca="false">IF(AH1066="","",P1066-W1066)</f>
        <v/>
      </c>
      <c r="Y1066" s="67"/>
      <c r="Z1066" s="70" t="str">
        <f aca="false">IF(OR(AH1066="",Y1066=""),"",IF(ABS(X1066-Y1066)&lt;=1,"✓ Cuadra","⚠ Diferencia $"&amp;FIXED(X1066-Y1066,0)))</f>
        <v/>
      </c>
      <c r="AA1066" s="72" t="str">
        <f aca="false">IF(AH1066="","",IFERROR(INDEX(C_TIPO,MATCH(C1066&amp;"-P"&amp;MAX(1,COUNTIFS(C_ID,C1066,C_DEFINE,"Sí",C_INICIO,"&lt;="&amp;EOMONTH(B1066,0))),C_CLAVE,0))&amp;"","Sin dato"))</f>
        <v/>
      </c>
      <c r="AB1066" s="71" t="str">
        <f aca="false">IF(AH1066="","",ROUND(MIN(K1066,TOPE_AFP_UF*AJ1066)*AK1066,0))</f>
        <v/>
      </c>
      <c r="AC1066" s="71" t="str">
        <f aca="false">IF(AH1066="","",ROUND(MIN(K1066,TOPE_AFC_UF*AJ1066)*IF(AA1066="Indefinido",AFC_EMP_INDEF,AFC_EMP_PF),0))</f>
        <v/>
      </c>
      <c r="AD1066" s="71" t="str">
        <f aca="false">IF(AH1066="","",ROUND(MIN(K1066,TOPE_AFP_UF*AJ1066)*(MUTUAL_BASICA+MUTUAL_ADIC+SANNA),0))</f>
        <v/>
      </c>
      <c r="AE1066" s="71" t="str">
        <f aca="false">IF(AH1066="","",P1066-N(N1066)+AB1066+AC1066+AD1066)</f>
        <v/>
      </c>
      <c r="AF1066" s="65"/>
      <c r="AG1066" s="64"/>
      <c r="AH1066" s="72" t="str">
        <f aca="false">IF(OR(B1066="",C1066=""),"",C1066&amp;"|"&amp;(YEAR(B1066)*100+MONTH(B1066)))</f>
        <v/>
      </c>
      <c r="AI1066" s="70" t="str">
        <f aca="false">IF(AH1066="","",IF(COUNTIF(L_CLAVE,AH1066)&gt;1,"⚠ Duplicado","OK"))</f>
        <v/>
      </c>
      <c r="AJ1066" s="86" t="str">
        <f aca="false">IF(AH1066="","",IF(SUMPRODUCT(MAX((IND_PER&lt;=B1066)*(IND_UF&lt;&gt;"")*IND_PER))=0,UF_HOY,INDEX(IND_UF,MATCH(SUMPRODUCT(MAX((IND_PER&lt;=B1066)*(IND_UF&lt;&gt;"")*IND_PER)),IND_PER,0))))</f>
        <v/>
      </c>
      <c r="AK1066" s="87" t="str">
        <f aca="false">IF(AH1066="","",IF(COUNTIF(TASA_DESDE,"&lt;="&amp;B1066)=0,INDEX(TASA_EMP,1),INDEX(TASA_EMP,COUNTIF(TASA_DESDE,"&lt;="&amp;B1066))))</f>
        <v/>
      </c>
    </row>
    <row r="1067" customFormat="false" ht="15" hidden="false" customHeight="false" outlineLevel="0" collapsed="false">
      <c r="B1067" s="78"/>
      <c r="C1067" s="64"/>
      <c r="D1067" s="72" t="str">
        <f aca="false">IF(C1067="","",IFERROR(INDEX(T_NOMBRE,MATCH(C1067,T_ID,0)),"⚠ ID no existe"))</f>
        <v/>
      </c>
      <c r="E1067" s="69"/>
      <c r="F1067" s="67"/>
      <c r="G1067" s="67"/>
      <c r="H1067" s="67"/>
      <c r="I1067" s="67"/>
      <c r="J1067" s="67"/>
      <c r="K1067" s="85" t="str">
        <f aca="false">IF(AH1067="","",N(F1067)+N(G1067)+N(H1067)-N(I1067)+N(J1067))</f>
        <v/>
      </c>
      <c r="L1067" s="67"/>
      <c r="M1067" s="67"/>
      <c r="N1067" s="67"/>
      <c r="O1067" s="67"/>
      <c r="P1067" s="85" t="str">
        <f aca="false">IF(AH1067="","",K1067+N(L1067)+N(M1067)+N(N1067)+N(O1067))</f>
        <v/>
      </c>
      <c r="Q1067" s="67"/>
      <c r="R1067" s="67"/>
      <c r="S1067" s="67"/>
      <c r="T1067" s="67"/>
      <c r="U1067" s="67"/>
      <c r="V1067" s="67"/>
      <c r="W1067" s="85" t="str">
        <f aca="false">IF(AH1067="","",N(Q1067)+N(R1067)+N(S1067)+N(T1067)+N(U1067)+N(V1067))</f>
        <v/>
      </c>
      <c r="X1067" s="85" t="str">
        <f aca="false">IF(AH1067="","",P1067-W1067)</f>
        <v/>
      </c>
      <c r="Y1067" s="67"/>
      <c r="Z1067" s="70" t="str">
        <f aca="false">IF(OR(AH1067="",Y1067=""),"",IF(ABS(X1067-Y1067)&lt;=1,"✓ Cuadra","⚠ Diferencia $"&amp;FIXED(X1067-Y1067,0)))</f>
        <v/>
      </c>
      <c r="AA1067" s="72" t="str">
        <f aca="false">IF(AH1067="","",IFERROR(INDEX(C_TIPO,MATCH(C1067&amp;"-P"&amp;MAX(1,COUNTIFS(C_ID,C1067,C_DEFINE,"Sí",C_INICIO,"&lt;="&amp;EOMONTH(B1067,0))),C_CLAVE,0))&amp;"","Sin dato"))</f>
        <v/>
      </c>
      <c r="AB1067" s="71" t="str">
        <f aca="false">IF(AH1067="","",ROUND(MIN(K1067,TOPE_AFP_UF*AJ1067)*AK1067,0))</f>
        <v/>
      </c>
      <c r="AC1067" s="71" t="str">
        <f aca="false">IF(AH1067="","",ROUND(MIN(K1067,TOPE_AFC_UF*AJ1067)*IF(AA1067="Indefinido",AFC_EMP_INDEF,AFC_EMP_PF),0))</f>
        <v/>
      </c>
      <c r="AD1067" s="71" t="str">
        <f aca="false">IF(AH1067="","",ROUND(MIN(K1067,TOPE_AFP_UF*AJ1067)*(MUTUAL_BASICA+MUTUAL_ADIC+SANNA),0))</f>
        <v/>
      </c>
      <c r="AE1067" s="71" t="str">
        <f aca="false">IF(AH1067="","",P1067-N(N1067)+AB1067+AC1067+AD1067)</f>
        <v/>
      </c>
      <c r="AF1067" s="65"/>
      <c r="AG1067" s="64"/>
      <c r="AH1067" s="72" t="str">
        <f aca="false">IF(OR(B1067="",C1067=""),"",C1067&amp;"|"&amp;(YEAR(B1067)*100+MONTH(B1067)))</f>
        <v/>
      </c>
      <c r="AI1067" s="70" t="str">
        <f aca="false">IF(AH1067="","",IF(COUNTIF(L_CLAVE,AH1067)&gt;1,"⚠ Duplicado","OK"))</f>
        <v/>
      </c>
      <c r="AJ1067" s="86" t="str">
        <f aca="false">IF(AH1067="","",IF(SUMPRODUCT(MAX((IND_PER&lt;=B1067)*(IND_UF&lt;&gt;"")*IND_PER))=0,UF_HOY,INDEX(IND_UF,MATCH(SUMPRODUCT(MAX((IND_PER&lt;=B1067)*(IND_UF&lt;&gt;"")*IND_PER)),IND_PER,0))))</f>
        <v/>
      </c>
      <c r="AK1067" s="87" t="str">
        <f aca="false">IF(AH1067="","",IF(COUNTIF(TASA_DESDE,"&lt;="&amp;B1067)=0,INDEX(TASA_EMP,1),INDEX(TASA_EMP,COUNTIF(TASA_DESDE,"&lt;="&amp;B1067))))</f>
        <v/>
      </c>
    </row>
    <row r="1068" customFormat="false" ht="15" hidden="false" customHeight="false" outlineLevel="0" collapsed="false">
      <c r="B1068" s="78"/>
      <c r="C1068" s="64"/>
      <c r="D1068" s="72" t="str">
        <f aca="false">IF(C1068="","",IFERROR(INDEX(T_NOMBRE,MATCH(C1068,T_ID,0)),"⚠ ID no existe"))</f>
        <v/>
      </c>
      <c r="E1068" s="69"/>
      <c r="F1068" s="67"/>
      <c r="G1068" s="67"/>
      <c r="H1068" s="67"/>
      <c r="I1068" s="67"/>
      <c r="J1068" s="67"/>
      <c r="K1068" s="85" t="str">
        <f aca="false">IF(AH1068="","",N(F1068)+N(G1068)+N(H1068)-N(I1068)+N(J1068))</f>
        <v/>
      </c>
      <c r="L1068" s="67"/>
      <c r="M1068" s="67"/>
      <c r="N1068" s="67"/>
      <c r="O1068" s="67"/>
      <c r="P1068" s="85" t="str">
        <f aca="false">IF(AH1068="","",K1068+N(L1068)+N(M1068)+N(N1068)+N(O1068))</f>
        <v/>
      </c>
      <c r="Q1068" s="67"/>
      <c r="R1068" s="67"/>
      <c r="S1068" s="67"/>
      <c r="T1068" s="67"/>
      <c r="U1068" s="67"/>
      <c r="V1068" s="67"/>
      <c r="W1068" s="85" t="str">
        <f aca="false">IF(AH1068="","",N(Q1068)+N(R1068)+N(S1068)+N(T1068)+N(U1068)+N(V1068))</f>
        <v/>
      </c>
      <c r="X1068" s="85" t="str">
        <f aca="false">IF(AH1068="","",P1068-W1068)</f>
        <v/>
      </c>
      <c r="Y1068" s="67"/>
      <c r="Z1068" s="70" t="str">
        <f aca="false">IF(OR(AH1068="",Y1068=""),"",IF(ABS(X1068-Y1068)&lt;=1,"✓ Cuadra","⚠ Diferencia $"&amp;FIXED(X1068-Y1068,0)))</f>
        <v/>
      </c>
      <c r="AA1068" s="72" t="str">
        <f aca="false">IF(AH1068="","",IFERROR(INDEX(C_TIPO,MATCH(C1068&amp;"-P"&amp;MAX(1,COUNTIFS(C_ID,C1068,C_DEFINE,"Sí",C_INICIO,"&lt;="&amp;EOMONTH(B1068,0))),C_CLAVE,0))&amp;"","Sin dato"))</f>
        <v/>
      </c>
      <c r="AB1068" s="71" t="str">
        <f aca="false">IF(AH1068="","",ROUND(MIN(K1068,TOPE_AFP_UF*AJ1068)*AK1068,0))</f>
        <v/>
      </c>
      <c r="AC1068" s="71" t="str">
        <f aca="false">IF(AH1068="","",ROUND(MIN(K1068,TOPE_AFC_UF*AJ1068)*IF(AA1068="Indefinido",AFC_EMP_INDEF,AFC_EMP_PF),0))</f>
        <v/>
      </c>
      <c r="AD1068" s="71" t="str">
        <f aca="false">IF(AH1068="","",ROUND(MIN(K1068,TOPE_AFP_UF*AJ1068)*(MUTUAL_BASICA+MUTUAL_ADIC+SANNA),0))</f>
        <v/>
      </c>
      <c r="AE1068" s="71" t="str">
        <f aca="false">IF(AH1068="","",P1068-N(N1068)+AB1068+AC1068+AD1068)</f>
        <v/>
      </c>
      <c r="AF1068" s="65"/>
      <c r="AG1068" s="64"/>
      <c r="AH1068" s="72" t="str">
        <f aca="false">IF(OR(B1068="",C1068=""),"",C1068&amp;"|"&amp;(YEAR(B1068)*100+MONTH(B1068)))</f>
        <v/>
      </c>
      <c r="AI1068" s="70" t="str">
        <f aca="false">IF(AH1068="","",IF(COUNTIF(L_CLAVE,AH1068)&gt;1,"⚠ Duplicado","OK"))</f>
        <v/>
      </c>
      <c r="AJ1068" s="86" t="str">
        <f aca="false">IF(AH1068="","",IF(SUMPRODUCT(MAX((IND_PER&lt;=B1068)*(IND_UF&lt;&gt;"")*IND_PER))=0,UF_HOY,INDEX(IND_UF,MATCH(SUMPRODUCT(MAX((IND_PER&lt;=B1068)*(IND_UF&lt;&gt;"")*IND_PER)),IND_PER,0))))</f>
        <v/>
      </c>
      <c r="AK1068" s="87" t="str">
        <f aca="false">IF(AH1068="","",IF(COUNTIF(TASA_DESDE,"&lt;="&amp;B1068)=0,INDEX(TASA_EMP,1),INDEX(TASA_EMP,COUNTIF(TASA_DESDE,"&lt;="&amp;B1068))))</f>
        <v/>
      </c>
    </row>
    <row r="1069" customFormat="false" ht="15" hidden="false" customHeight="false" outlineLevel="0" collapsed="false">
      <c r="B1069" s="78"/>
      <c r="C1069" s="64"/>
      <c r="D1069" s="72" t="str">
        <f aca="false">IF(C1069="","",IFERROR(INDEX(T_NOMBRE,MATCH(C1069,T_ID,0)),"⚠ ID no existe"))</f>
        <v/>
      </c>
      <c r="E1069" s="69"/>
      <c r="F1069" s="67"/>
      <c r="G1069" s="67"/>
      <c r="H1069" s="67"/>
      <c r="I1069" s="67"/>
      <c r="J1069" s="67"/>
      <c r="K1069" s="85" t="str">
        <f aca="false">IF(AH1069="","",N(F1069)+N(G1069)+N(H1069)-N(I1069)+N(J1069))</f>
        <v/>
      </c>
      <c r="L1069" s="67"/>
      <c r="M1069" s="67"/>
      <c r="N1069" s="67"/>
      <c r="O1069" s="67"/>
      <c r="P1069" s="85" t="str">
        <f aca="false">IF(AH1069="","",K1069+N(L1069)+N(M1069)+N(N1069)+N(O1069))</f>
        <v/>
      </c>
      <c r="Q1069" s="67"/>
      <c r="R1069" s="67"/>
      <c r="S1069" s="67"/>
      <c r="T1069" s="67"/>
      <c r="U1069" s="67"/>
      <c r="V1069" s="67"/>
      <c r="W1069" s="85" t="str">
        <f aca="false">IF(AH1069="","",N(Q1069)+N(R1069)+N(S1069)+N(T1069)+N(U1069)+N(V1069))</f>
        <v/>
      </c>
      <c r="X1069" s="85" t="str">
        <f aca="false">IF(AH1069="","",P1069-W1069)</f>
        <v/>
      </c>
      <c r="Y1069" s="67"/>
      <c r="Z1069" s="70" t="str">
        <f aca="false">IF(OR(AH1069="",Y1069=""),"",IF(ABS(X1069-Y1069)&lt;=1,"✓ Cuadra","⚠ Diferencia $"&amp;FIXED(X1069-Y1069,0)))</f>
        <v/>
      </c>
      <c r="AA1069" s="72" t="str">
        <f aca="false">IF(AH1069="","",IFERROR(INDEX(C_TIPO,MATCH(C1069&amp;"-P"&amp;MAX(1,COUNTIFS(C_ID,C1069,C_DEFINE,"Sí",C_INICIO,"&lt;="&amp;EOMONTH(B1069,0))),C_CLAVE,0))&amp;"","Sin dato"))</f>
        <v/>
      </c>
      <c r="AB1069" s="71" t="str">
        <f aca="false">IF(AH1069="","",ROUND(MIN(K1069,TOPE_AFP_UF*AJ1069)*AK1069,0))</f>
        <v/>
      </c>
      <c r="AC1069" s="71" t="str">
        <f aca="false">IF(AH1069="","",ROUND(MIN(K1069,TOPE_AFC_UF*AJ1069)*IF(AA1069="Indefinido",AFC_EMP_INDEF,AFC_EMP_PF),0))</f>
        <v/>
      </c>
      <c r="AD1069" s="71" t="str">
        <f aca="false">IF(AH1069="","",ROUND(MIN(K1069,TOPE_AFP_UF*AJ1069)*(MUTUAL_BASICA+MUTUAL_ADIC+SANNA),0))</f>
        <v/>
      </c>
      <c r="AE1069" s="71" t="str">
        <f aca="false">IF(AH1069="","",P1069-N(N1069)+AB1069+AC1069+AD1069)</f>
        <v/>
      </c>
      <c r="AF1069" s="65"/>
      <c r="AG1069" s="64"/>
      <c r="AH1069" s="72" t="str">
        <f aca="false">IF(OR(B1069="",C1069=""),"",C1069&amp;"|"&amp;(YEAR(B1069)*100+MONTH(B1069)))</f>
        <v/>
      </c>
      <c r="AI1069" s="70" t="str">
        <f aca="false">IF(AH1069="","",IF(COUNTIF(L_CLAVE,AH1069)&gt;1,"⚠ Duplicado","OK"))</f>
        <v/>
      </c>
      <c r="AJ1069" s="86" t="str">
        <f aca="false">IF(AH1069="","",IF(SUMPRODUCT(MAX((IND_PER&lt;=B1069)*(IND_UF&lt;&gt;"")*IND_PER))=0,UF_HOY,INDEX(IND_UF,MATCH(SUMPRODUCT(MAX((IND_PER&lt;=B1069)*(IND_UF&lt;&gt;"")*IND_PER)),IND_PER,0))))</f>
        <v/>
      </c>
      <c r="AK1069" s="87" t="str">
        <f aca="false">IF(AH1069="","",IF(COUNTIF(TASA_DESDE,"&lt;="&amp;B1069)=0,INDEX(TASA_EMP,1),INDEX(TASA_EMP,COUNTIF(TASA_DESDE,"&lt;="&amp;B1069))))</f>
        <v/>
      </c>
    </row>
    <row r="1070" customFormat="false" ht="15" hidden="false" customHeight="false" outlineLevel="0" collapsed="false">
      <c r="B1070" s="78"/>
      <c r="C1070" s="64"/>
      <c r="D1070" s="72" t="str">
        <f aca="false">IF(C1070="","",IFERROR(INDEX(T_NOMBRE,MATCH(C1070,T_ID,0)),"⚠ ID no existe"))</f>
        <v/>
      </c>
      <c r="E1070" s="69"/>
      <c r="F1070" s="67"/>
      <c r="G1070" s="67"/>
      <c r="H1070" s="67"/>
      <c r="I1070" s="67"/>
      <c r="J1070" s="67"/>
      <c r="K1070" s="85" t="str">
        <f aca="false">IF(AH1070="","",N(F1070)+N(G1070)+N(H1070)-N(I1070)+N(J1070))</f>
        <v/>
      </c>
      <c r="L1070" s="67"/>
      <c r="M1070" s="67"/>
      <c r="N1070" s="67"/>
      <c r="O1070" s="67"/>
      <c r="P1070" s="85" t="str">
        <f aca="false">IF(AH1070="","",K1070+N(L1070)+N(M1070)+N(N1070)+N(O1070))</f>
        <v/>
      </c>
      <c r="Q1070" s="67"/>
      <c r="R1070" s="67"/>
      <c r="S1070" s="67"/>
      <c r="T1070" s="67"/>
      <c r="U1070" s="67"/>
      <c r="V1070" s="67"/>
      <c r="W1070" s="85" t="str">
        <f aca="false">IF(AH1070="","",N(Q1070)+N(R1070)+N(S1070)+N(T1070)+N(U1070)+N(V1070))</f>
        <v/>
      </c>
      <c r="X1070" s="85" t="str">
        <f aca="false">IF(AH1070="","",P1070-W1070)</f>
        <v/>
      </c>
      <c r="Y1070" s="67"/>
      <c r="Z1070" s="70" t="str">
        <f aca="false">IF(OR(AH1070="",Y1070=""),"",IF(ABS(X1070-Y1070)&lt;=1,"✓ Cuadra","⚠ Diferencia $"&amp;FIXED(X1070-Y1070,0)))</f>
        <v/>
      </c>
      <c r="AA1070" s="72" t="str">
        <f aca="false">IF(AH1070="","",IFERROR(INDEX(C_TIPO,MATCH(C1070&amp;"-P"&amp;MAX(1,COUNTIFS(C_ID,C1070,C_DEFINE,"Sí",C_INICIO,"&lt;="&amp;EOMONTH(B1070,0))),C_CLAVE,0))&amp;"","Sin dato"))</f>
        <v/>
      </c>
      <c r="AB1070" s="71" t="str">
        <f aca="false">IF(AH1070="","",ROUND(MIN(K1070,TOPE_AFP_UF*AJ1070)*AK1070,0))</f>
        <v/>
      </c>
      <c r="AC1070" s="71" t="str">
        <f aca="false">IF(AH1070="","",ROUND(MIN(K1070,TOPE_AFC_UF*AJ1070)*IF(AA1070="Indefinido",AFC_EMP_INDEF,AFC_EMP_PF),0))</f>
        <v/>
      </c>
      <c r="AD1070" s="71" t="str">
        <f aca="false">IF(AH1070="","",ROUND(MIN(K1070,TOPE_AFP_UF*AJ1070)*(MUTUAL_BASICA+MUTUAL_ADIC+SANNA),0))</f>
        <v/>
      </c>
      <c r="AE1070" s="71" t="str">
        <f aca="false">IF(AH1070="","",P1070-N(N1070)+AB1070+AC1070+AD1070)</f>
        <v/>
      </c>
      <c r="AF1070" s="65"/>
      <c r="AG1070" s="64"/>
      <c r="AH1070" s="72" t="str">
        <f aca="false">IF(OR(B1070="",C1070=""),"",C1070&amp;"|"&amp;(YEAR(B1070)*100+MONTH(B1070)))</f>
        <v/>
      </c>
      <c r="AI1070" s="70" t="str">
        <f aca="false">IF(AH1070="","",IF(COUNTIF(L_CLAVE,AH1070)&gt;1,"⚠ Duplicado","OK"))</f>
        <v/>
      </c>
      <c r="AJ1070" s="86" t="str">
        <f aca="false">IF(AH1070="","",IF(SUMPRODUCT(MAX((IND_PER&lt;=B1070)*(IND_UF&lt;&gt;"")*IND_PER))=0,UF_HOY,INDEX(IND_UF,MATCH(SUMPRODUCT(MAX((IND_PER&lt;=B1070)*(IND_UF&lt;&gt;"")*IND_PER)),IND_PER,0))))</f>
        <v/>
      </c>
      <c r="AK1070" s="87" t="str">
        <f aca="false">IF(AH1070="","",IF(COUNTIF(TASA_DESDE,"&lt;="&amp;B1070)=0,INDEX(TASA_EMP,1),INDEX(TASA_EMP,COUNTIF(TASA_DESDE,"&lt;="&amp;B1070))))</f>
        <v/>
      </c>
    </row>
    <row r="1071" customFormat="false" ht="15" hidden="false" customHeight="false" outlineLevel="0" collapsed="false">
      <c r="B1071" s="78"/>
      <c r="C1071" s="64"/>
      <c r="D1071" s="72" t="str">
        <f aca="false">IF(C1071="","",IFERROR(INDEX(T_NOMBRE,MATCH(C1071,T_ID,0)),"⚠ ID no existe"))</f>
        <v/>
      </c>
      <c r="E1071" s="69"/>
      <c r="F1071" s="67"/>
      <c r="G1071" s="67"/>
      <c r="H1071" s="67"/>
      <c r="I1071" s="67"/>
      <c r="J1071" s="67"/>
      <c r="K1071" s="85" t="str">
        <f aca="false">IF(AH1071="","",N(F1071)+N(G1071)+N(H1071)-N(I1071)+N(J1071))</f>
        <v/>
      </c>
      <c r="L1071" s="67"/>
      <c r="M1071" s="67"/>
      <c r="N1071" s="67"/>
      <c r="O1071" s="67"/>
      <c r="P1071" s="85" t="str">
        <f aca="false">IF(AH1071="","",K1071+N(L1071)+N(M1071)+N(N1071)+N(O1071))</f>
        <v/>
      </c>
      <c r="Q1071" s="67"/>
      <c r="R1071" s="67"/>
      <c r="S1071" s="67"/>
      <c r="T1071" s="67"/>
      <c r="U1071" s="67"/>
      <c r="V1071" s="67"/>
      <c r="W1071" s="85" t="str">
        <f aca="false">IF(AH1071="","",N(Q1071)+N(R1071)+N(S1071)+N(T1071)+N(U1071)+N(V1071))</f>
        <v/>
      </c>
      <c r="X1071" s="85" t="str">
        <f aca="false">IF(AH1071="","",P1071-W1071)</f>
        <v/>
      </c>
      <c r="Y1071" s="67"/>
      <c r="Z1071" s="70" t="str">
        <f aca="false">IF(OR(AH1071="",Y1071=""),"",IF(ABS(X1071-Y1071)&lt;=1,"✓ Cuadra","⚠ Diferencia $"&amp;FIXED(X1071-Y1071,0)))</f>
        <v/>
      </c>
      <c r="AA1071" s="72" t="str">
        <f aca="false">IF(AH1071="","",IFERROR(INDEX(C_TIPO,MATCH(C1071&amp;"-P"&amp;MAX(1,COUNTIFS(C_ID,C1071,C_DEFINE,"Sí",C_INICIO,"&lt;="&amp;EOMONTH(B1071,0))),C_CLAVE,0))&amp;"","Sin dato"))</f>
        <v/>
      </c>
      <c r="AB1071" s="71" t="str">
        <f aca="false">IF(AH1071="","",ROUND(MIN(K1071,TOPE_AFP_UF*AJ1071)*AK1071,0))</f>
        <v/>
      </c>
      <c r="AC1071" s="71" t="str">
        <f aca="false">IF(AH1071="","",ROUND(MIN(K1071,TOPE_AFC_UF*AJ1071)*IF(AA1071="Indefinido",AFC_EMP_INDEF,AFC_EMP_PF),0))</f>
        <v/>
      </c>
      <c r="AD1071" s="71" t="str">
        <f aca="false">IF(AH1071="","",ROUND(MIN(K1071,TOPE_AFP_UF*AJ1071)*(MUTUAL_BASICA+MUTUAL_ADIC+SANNA),0))</f>
        <v/>
      </c>
      <c r="AE1071" s="71" t="str">
        <f aca="false">IF(AH1071="","",P1071-N(N1071)+AB1071+AC1071+AD1071)</f>
        <v/>
      </c>
      <c r="AF1071" s="65"/>
      <c r="AG1071" s="64"/>
      <c r="AH1071" s="72" t="str">
        <f aca="false">IF(OR(B1071="",C1071=""),"",C1071&amp;"|"&amp;(YEAR(B1071)*100+MONTH(B1071)))</f>
        <v/>
      </c>
      <c r="AI1071" s="70" t="str">
        <f aca="false">IF(AH1071="","",IF(COUNTIF(L_CLAVE,AH1071)&gt;1,"⚠ Duplicado","OK"))</f>
        <v/>
      </c>
      <c r="AJ1071" s="86" t="str">
        <f aca="false">IF(AH1071="","",IF(SUMPRODUCT(MAX((IND_PER&lt;=B1071)*(IND_UF&lt;&gt;"")*IND_PER))=0,UF_HOY,INDEX(IND_UF,MATCH(SUMPRODUCT(MAX((IND_PER&lt;=B1071)*(IND_UF&lt;&gt;"")*IND_PER)),IND_PER,0))))</f>
        <v/>
      </c>
      <c r="AK1071" s="87" t="str">
        <f aca="false">IF(AH1071="","",IF(COUNTIF(TASA_DESDE,"&lt;="&amp;B1071)=0,INDEX(TASA_EMP,1),INDEX(TASA_EMP,COUNTIF(TASA_DESDE,"&lt;="&amp;B1071))))</f>
        <v/>
      </c>
    </row>
    <row r="1072" customFormat="false" ht="15" hidden="false" customHeight="false" outlineLevel="0" collapsed="false">
      <c r="B1072" s="78"/>
      <c r="C1072" s="64"/>
      <c r="D1072" s="72" t="str">
        <f aca="false">IF(C1072="","",IFERROR(INDEX(T_NOMBRE,MATCH(C1072,T_ID,0)),"⚠ ID no existe"))</f>
        <v/>
      </c>
      <c r="E1072" s="69"/>
      <c r="F1072" s="67"/>
      <c r="G1072" s="67"/>
      <c r="H1072" s="67"/>
      <c r="I1072" s="67"/>
      <c r="J1072" s="67"/>
      <c r="K1072" s="85" t="str">
        <f aca="false">IF(AH1072="","",N(F1072)+N(G1072)+N(H1072)-N(I1072)+N(J1072))</f>
        <v/>
      </c>
      <c r="L1072" s="67"/>
      <c r="M1072" s="67"/>
      <c r="N1072" s="67"/>
      <c r="O1072" s="67"/>
      <c r="P1072" s="85" t="str">
        <f aca="false">IF(AH1072="","",K1072+N(L1072)+N(M1072)+N(N1072)+N(O1072))</f>
        <v/>
      </c>
      <c r="Q1072" s="67"/>
      <c r="R1072" s="67"/>
      <c r="S1072" s="67"/>
      <c r="T1072" s="67"/>
      <c r="U1072" s="67"/>
      <c r="V1072" s="67"/>
      <c r="W1072" s="85" t="str">
        <f aca="false">IF(AH1072="","",N(Q1072)+N(R1072)+N(S1072)+N(T1072)+N(U1072)+N(V1072))</f>
        <v/>
      </c>
      <c r="X1072" s="85" t="str">
        <f aca="false">IF(AH1072="","",P1072-W1072)</f>
        <v/>
      </c>
      <c r="Y1072" s="67"/>
      <c r="Z1072" s="70" t="str">
        <f aca="false">IF(OR(AH1072="",Y1072=""),"",IF(ABS(X1072-Y1072)&lt;=1,"✓ Cuadra","⚠ Diferencia $"&amp;FIXED(X1072-Y1072,0)))</f>
        <v/>
      </c>
      <c r="AA1072" s="72" t="str">
        <f aca="false">IF(AH1072="","",IFERROR(INDEX(C_TIPO,MATCH(C1072&amp;"-P"&amp;MAX(1,COUNTIFS(C_ID,C1072,C_DEFINE,"Sí",C_INICIO,"&lt;="&amp;EOMONTH(B1072,0))),C_CLAVE,0))&amp;"","Sin dato"))</f>
        <v/>
      </c>
      <c r="AB1072" s="71" t="str">
        <f aca="false">IF(AH1072="","",ROUND(MIN(K1072,TOPE_AFP_UF*AJ1072)*AK1072,0))</f>
        <v/>
      </c>
      <c r="AC1072" s="71" t="str">
        <f aca="false">IF(AH1072="","",ROUND(MIN(K1072,TOPE_AFC_UF*AJ1072)*IF(AA1072="Indefinido",AFC_EMP_INDEF,AFC_EMP_PF),0))</f>
        <v/>
      </c>
      <c r="AD1072" s="71" t="str">
        <f aca="false">IF(AH1072="","",ROUND(MIN(K1072,TOPE_AFP_UF*AJ1072)*(MUTUAL_BASICA+MUTUAL_ADIC+SANNA),0))</f>
        <v/>
      </c>
      <c r="AE1072" s="71" t="str">
        <f aca="false">IF(AH1072="","",P1072-N(N1072)+AB1072+AC1072+AD1072)</f>
        <v/>
      </c>
      <c r="AF1072" s="65"/>
      <c r="AG1072" s="64"/>
      <c r="AH1072" s="72" t="str">
        <f aca="false">IF(OR(B1072="",C1072=""),"",C1072&amp;"|"&amp;(YEAR(B1072)*100+MONTH(B1072)))</f>
        <v/>
      </c>
      <c r="AI1072" s="70" t="str">
        <f aca="false">IF(AH1072="","",IF(COUNTIF(L_CLAVE,AH1072)&gt;1,"⚠ Duplicado","OK"))</f>
        <v/>
      </c>
      <c r="AJ1072" s="86" t="str">
        <f aca="false">IF(AH1072="","",IF(SUMPRODUCT(MAX((IND_PER&lt;=B1072)*(IND_UF&lt;&gt;"")*IND_PER))=0,UF_HOY,INDEX(IND_UF,MATCH(SUMPRODUCT(MAX((IND_PER&lt;=B1072)*(IND_UF&lt;&gt;"")*IND_PER)),IND_PER,0))))</f>
        <v/>
      </c>
      <c r="AK1072" s="87" t="str">
        <f aca="false">IF(AH1072="","",IF(COUNTIF(TASA_DESDE,"&lt;="&amp;B1072)=0,INDEX(TASA_EMP,1),INDEX(TASA_EMP,COUNTIF(TASA_DESDE,"&lt;="&amp;B1072))))</f>
        <v/>
      </c>
    </row>
    <row r="1073" customFormat="false" ht="15" hidden="false" customHeight="false" outlineLevel="0" collapsed="false">
      <c r="B1073" s="78"/>
      <c r="C1073" s="64"/>
      <c r="D1073" s="72" t="str">
        <f aca="false">IF(C1073="","",IFERROR(INDEX(T_NOMBRE,MATCH(C1073,T_ID,0)),"⚠ ID no existe"))</f>
        <v/>
      </c>
      <c r="E1073" s="69"/>
      <c r="F1073" s="67"/>
      <c r="G1073" s="67"/>
      <c r="H1073" s="67"/>
      <c r="I1073" s="67"/>
      <c r="J1073" s="67"/>
      <c r="K1073" s="85" t="str">
        <f aca="false">IF(AH1073="","",N(F1073)+N(G1073)+N(H1073)-N(I1073)+N(J1073))</f>
        <v/>
      </c>
      <c r="L1073" s="67"/>
      <c r="M1073" s="67"/>
      <c r="N1073" s="67"/>
      <c r="O1073" s="67"/>
      <c r="P1073" s="85" t="str">
        <f aca="false">IF(AH1073="","",K1073+N(L1073)+N(M1073)+N(N1073)+N(O1073))</f>
        <v/>
      </c>
      <c r="Q1073" s="67"/>
      <c r="R1073" s="67"/>
      <c r="S1073" s="67"/>
      <c r="T1073" s="67"/>
      <c r="U1073" s="67"/>
      <c r="V1073" s="67"/>
      <c r="W1073" s="85" t="str">
        <f aca="false">IF(AH1073="","",N(Q1073)+N(R1073)+N(S1073)+N(T1073)+N(U1073)+N(V1073))</f>
        <v/>
      </c>
      <c r="X1073" s="85" t="str">
        <f aca="false">IF(AH1073="","",P1073-W1073)</f>
        <v/>
      </c>
      <c r="Y1073" s="67"/>
      <c r="Z1073" s="70" t="str">
        <f aca="false">IF(OR(AH1073="",Y1073=""),"",IF(ABS(X1073-Y1073)&lt;=1,"✓ Cuadra","⚠ Diferencia $"&amp;FIXED(X1073-Y1073,0)))</f>
        <v/>
      </c>
      <c r="AA1073" s="72" t="str">
        <f aca="false">IF(AH1073="","",IFERROR(INDEX(C_TIPO,MATCH(C1073&amp;"-P"&amp;MAX(1,COUNTIFS(C_ID,C1073,C_DEFINE,"Sí",C_INICIO,"&lt;="&amp;EOMONTH(B1073,0))),C_CLAVE,0))&amp;"","Sin dato"))</f>
        <v/>
      </c>
      <c r="AB1073" s="71" t="str">
        <f aca="false">IF(AH1073="","",ROUND(MIN(K1073,TOPE_AFP_UF*AJ1073)*AK1073,0))</f>
        <v/>
      </c>
      <c r="AC1073" s="71" t="str">
        <f aca="false">IF(AH1073="","",ROUND(MIN(K1073,TOPE_AFC_UF*AJ1073)*IF(AA1073="Indefinido",AFC_EMP_INDEF,AFC_EMP_PF),0))</f>
        <v/>
      </c>
      <c r="AD1073" s="71" t="str">
        <f aca="false">IF(AH1073="","",ROUND(MIN(K1073,TOPE_AFP_UF*AJ1073)*(MUTUAL_BASICA+MUTUAL_ADIC+SANNA),0))</f>
        <v/>
      </c>
      <c r="AE1073" s="71" t="str">
        <f aca="false">IF(AH1073="","",P1073-N(N1073)+AB1073+AC1073+AD1073)</f>
        <v/>
      </c>
      <c r="AF1073" s="65"/>
      <c r="AG1073" s="64"/>
      <c r="AH1073" s="72" t="str">
        <f aca="false">IF(OR(B1073="",C1073=""),"",C1073&amp;"|"&amp;(YEAR(B1073)*100+MONTH(B1073)))</f>
        <v/>
      </c>
      <c r="AI1073" s="70" t="str">
        <f aca="false">IF(AH1073="","",IF(COUNTIF(L_CLAVE,AH1073)&gt;1,"⚠ Duplicado","OK"))</f>
        <v/>
      </c>
      <c r="AJ1073" s="86" t="str">
        <f aca="false">IF(AH1073="","",IF(SUMPRODUCT(MAX((IND_PER&lt;=B1073)*(IND_UF&lt;&gt;"")*IND_PER))=0,UF_HOY,INDEX(IND_UF,MATCH(SUMPRODUCT(MAX((IND_PER&lt;=B1073)*(IND_UF&lt;&gt;"")*IND_PER)),IND_PER,0))))</f>
        <v/>
      </c>
      <c r="AK1073" s="87" t="str">
        <f aca="false">IF(AH1073="","",IF(COUNTIF(TASA_DESDE,"&lt;="&amp;B1073)=0,INDEX(TASA_EMP,1),INDEX(TASA_EMP,COUNTIF(TASA_DESDE,"&lt;="&amp;B1073))))</f>
        <v/>
      </c>
    </row>
    <row r="1074" customFormat="false" ht="15" hidden="false" customHeight="false" outlineLevel="0" collapsed="false">
      <c r="B1074" s="78"/>
      <c r="C1074" s="64"/>
      <c r="D1074" s="72" t="str">
        <f aca="false">IF(C1074="","",IFERROR(INDEX(T_NOMBRE,MATCH(C1074,T_ID,0)),"⚠ ID no existe"))</f>
        <v/>
      </c>
      <c r="E1074" s="69"/>
      <c r="F1074" s="67"/>
      <c r="G1074" s="67"/>
      <c r="H1074" s="67"/>
      <c r="I1074" s="67"/>
      <c r="J1074" s="67"/>
      <c r="K1074" s="85" t="str">
        <f aca="false">IF(AH1074="","",N(F1074)+N(G1074)+N(H1074)-N(I1074)+N(J1074))</f>
        <v/>
      </c>
      <c r="L1074" s="67"/>
      <c r="M1074" s="67"/>
      <c r="N1074" s="67"/>
      <c r="O1074" s="67"/>
      <c r="P1074" s="85" t="str">
        <f aca="false">IF(AH1074="","",K1074+N(L1074)+N(M1074)+N(N1074)+N(O1074))</f>
        <v/>
      </c>
      <c r="Q1074" s="67"/>
      <c r="R1074" s="67"/>
      <c r="S1074" s="67"/>
      <c r="T1074" s="67"/>
      <c r="U1074" s="67"/>
      <c r="V1074" s="67"/>
      <c r="W1074" s="85" t="str">
        <f aca="false">IF(AH1074="","",N(Q1074)+N(R1074)+N(S1074)+N(T1074)+N(U1074)+N(V1074))</f>
        <v/>
      </c>
      <c r="X1074" s="85" t="str">
        <f aca="false">IF(AH1074="","",P1074-W1074)</f>
        <v/>
      </c>
      <c r="Y1074" s="67"/>
      <c r="Z1074" s="70" t="str">
        <f aca="false">IF(OR(AH1074="",Y1074=""),"",IF(ABS(X1074-Y1074)&lt;=1,"✓ Cuadra","⚠ Diferencia $"&amp;FIXED(X1074-Y1074,0)))</f>
        <v/>
      </c>
      <c r="AA1074" s="72" t="str">
        <f aca="false">IF(AH1074="","",IFERROR(INDEX(C_TIPO,MATCH(C1074&amp;"-P"&amp;MAX(1,COUNTIFS(C_ID,C1074,C_DEFINE,"Sí",C_INICIO,"&lt;="&amp;EOMONTH(B1074,0))),C_CLAVE,0))&amp;"","Sin dato"))</f>
        <v/>
      </c>
      <c r="AB1074" s="71" t="str">
        <f aca="false">IF(AH1074="","",ROUND(MIN(K1074,TOPE_AFP_UF*AJ1074)*AK1074,0))</f>
        <v/>
      </c>
      <c r="AC1074" s="71" t="str">
        <f aca="false">IF(AH1074="","",ROUND(MIN(K1074,TOPE_AFC_UF*AJ1074)*IF(AA1074="Indefinido",AFC_EMP_INDEF,AFC_EMP_PF),0))</f>
        <v/>
      </c>
      <c r="AD1074" s="71" t="str">
        <f aca="false">IF(AH1074="","",ROUND(MIN(K1074,TOPE_AFP_UF*AJ1074)*(MUTUAL_BASICA+MUTUAL_ADIC+SANNA),0))</f>
        <v/>
      </c>
      <c r="AE1074" s="71" t="str">
        <f aca="false">IF(AH1074="","",P1074-N(N1074)+AB1074+AC1074+AD1074)</f>
        <v/>
      </c>
      <c r="AF1074" s="65"/>
      <c r="AG1074" s="64"/>
      <c r="AH1074" s="72" t="str">
        <f aca="false">IF(OR(B1074="",C1074=""),"",C1074&amp;"|"&amp;(YEAR(B1074)*100+MONTH(B1074)))</f>
        <v/>
      </c>
      <c r="AI1074" s="70" t="str">
        <f aca="false">IF(AH1074="","",IF(COUNTIF(L_CLAVE,AH1074)&gt;1,"⚠ Duplicado","OK"))</f>
        <v/>
      </c>
      <c r="AJ1074" s="86" t="str">
        <f aca="false">IF(AH1074="","",IF(SUMPRODUCT(MAX((IND_PER&lt;=B1074)*(IND_UF&lt;&gt;"")*IND_PER))=0,UF_HOY,INDEX(IND_UF,MATCH(SUMPRODUCT(MAX((IND_PER&lt;=B1074)*(IND_UF&lt;&gt;"")*IND_PER)),IND_PER,0))))</f>
        <v/>
      </c>
      <c r="AK1074" s="87" t="str">
        <f aca="false">IF(AH1074="","",IF(COUNTIF(TASA_DESDE,"&lt;="&amp;B1074)=0,INDEX(TASA_EMP,1),INDEX(TASA_EMP,COUNTIF(TASA_DESDE,"&lt;="&amp;B1074))))</f>
        <v/>
      </c>
    </row>
    <row r="1075" customFormat="false" ht="15" hidden="false" customHeight="false" outlineLevel="0" collapsed="false">
      <c r="B1075" s="78"/>
      <c r="C1075" s="64"/>
      <c r="D1075" s="72" t="str">
        <f aca="false">IF(C1075="","",IFERROR(INDEX(T_NOMBRE,MATCH(C1075,T_ID,0)),"⚠ ID no existe"))</f>
        <v/>
      </c>
      <c r="E1075" s="69"/>
      <c r="F1075" s="67"/>
      <c r="G1075" s="67"/>
      <c r="H1075" s="67"/>
      <c r="I1075" s="67"/>
      <c r="J1075" s="67"/>
      <c r="K1075" s="85" t="str">
        <f aca="false">IF(AH1075="","",N(F1075)+N(G1075)+N(H1075)-N(I1075)+N(J1075))</f>
        <v/>
      </c>
      <c r="L1075" s="67"/>
      <c r="M1075" s="67"/>
      <c r="N1075" s="67"/>
      <c r="O1075" s="67"/>
      <c r="P1075" s="85" t="str">
        <f aca="false">IF(AH1075="","",K1075+N(L1075)+N(M1075)+N(N1075)+N(O1075))</f>
        <v/>
      </c>
      <c r="Q1075" s="67"/>
      <c r="R1075" s="67"/>
      <c r="S1075" s="67"/>
      <c r="T1075" s="67"/>
      <c r="U1075" s="67"/>
      <c r="V1075" s="67"/>
      <c r="W1075" s="85" t="str">
        <f aca="false">IF(AH1075="","",N(Q1075)+N(R1075)+N(S1075)+N(T1075)+N(U1075)+N(V1075))</f>
        <v/>
      </c>
      <c r="X1075" s="85" t="str">
        <f aca="false">IF(AH1075="","",P1075-W1075)</f>
        <v/>
      </c>
      <c r="Y1075" s="67"/>
      <c r="Z1075" s="70" t="str">
        <f aca="false">IF(OR(AH1075="",Y1075=""),"",IF(ABS(X1075-Y1075)&lt;=1,"✓ Cuadra","⚠ Diferencia $"&amp;FIXED(X1075-Y1075,0)))</f>
        <v/>
      </c>
      <c r="AA1075" s="72" t="str">
        <f aca="false">IF(AH1075="","",IFERROR(INDEX(C_TIPO,MATCH(C1075&amp;"-P"&amp;MAX(1,COUNTIFS(C_ID,C1075,C_DEFINE,"Sí",C_INICIO,"&lt;="&amp;EOMONTH(B1075,0))),C_CLAVE,0))&amp;"","Sin dato"))</f>
        <v/>
      </c>
      <c r="AB1075" s="71" t="str">
        <f aca="false">IF(AH1075="","",ROUND(MIN(K1075,TOPE_AFP_UF*AJ1075)*AK1075,0))</f>
        <v/>
      </c>
      <c r="AC1075" s="71" t="str">
        <f aca="false">IF(AH1075="","",ROUND(MIN(K1075,TOPE_AFC_UF*AJ1075)*IF(AA1075="Indefinido",AFC_EMP_INDEF,AFC_EMP_PF),0))</f>
        <v/>
      </c>
      <c r="AD1075" s="71" t="str">
        <f aca="false">IF(AH1075="","",ROUND(MIN(K1075,TOPE_AFP_UF*AJ1075)*(MUTUAL_BASICA+MUTUAL_ADIC+SANNA),0))</f>
        <v/>
      </c>
      <c r="AE1075" s="71" t="str">
        <f aca="false">IF(AH1075="","",P1075-N(N1075)+AB1075+AC1075+AD1075)</f>
        <v/>
      </c>
      <c r="AF1075" s="65"/>
      <c r="AG1075" s="64"/>
      <c r="AH1075" s="72" t="str">
        <f aca="false">IF(OR(B1075="",C1075=""),"",C1075&amp;"|"&amp;(YEAR(B1075)*100+MONTH(B1075)))</f>
        <v/>
      </c>
      <c r="AI1075" s="70" t="str">
        <f aca="false">IF(AH1075="","",IF(COUNTIF(L_CLAVE,AH1075)&gt;1,"⚠ Duplicado","OK"))</f>
        <v/>
      </c>
      <c r="AJ1075" s="86" t="str">
        <f aca="false">IF(AH1075="","",IF(SUMPRODUCT(MAX((IND_PER&lt;=B1075)*(IND_UF&lt;&gt;"")*IND_PER))=0,UF_HOY,INDEX(IND_UF,MATCH(SUMPRODUCT(MAX((IND_PER&lt;=B1075)*(IND_UF&lt;&gt;"")*IND_PER)),IND_PER,0))))</f>
        <v/>
      </c>
      <c r="AK1075" s="87" t="str">
        <f aca="false">IF(AH1075="","",IF(COUNTIF(TASA_DESDE,"&lt;="&amp;B1075)=0,INDEX(TASA_EMP,1),INDEX(TASA_EMP,COUNTIF(TASA_DESDE,"&lt;="&amp;B1075))))</f>
        <v/>
      </c>
    </row>
    <row r="1076" customFormat="false" ht="15" hidden="false" customHeight="false" outlineLevel="0" collapsed="false">
      <c r="B1076" s="78"/>
      <c r="C1076" s="64"/>
      <c r="D1076" s="72" t="str">
        <f aca="false">IF(C1076="","",IFERROR(INDEX(T_NOMBRE,MATCH(C1076,T_ID,0)),"⚠ ID no existe"))</f>
        <v/>
      </c>
      <c r="E1076" s="69"/>
      <c r="F1076" s="67"/>
      <c r="G1076" s="67"/>
      <c r="H1076" s="67"/>
      <c r="I1076" s="67"/>
      <c r="J1076" s="67"/>
      <c r="K1076" s="85" t="str">
        <f aca="false">IF(AH1076="","",N(F1076)+N(G1076)+N(H1076)-N(I1076)+N(J1076))</f>
        <v/>
      </c>
      <c r="L1076" s="67"/>
      <c r="M1076" s="67"/>
      <c r="N1076" s="67"/>
      <c r="O1076" s="67"/>
      <c r="P1076" s="85" t="str">
        <f aca="false">IF(AH1076="","",K1076+N(L1076)+N(M1076)+N(N1076)+N(O1076))</f>
        <v/>
      </c>
      <c r="Q1076" s="67"/>
      <c r="R1076" s="67"/>
      <c r="S1076" s="67"/>
      <c r="T1076" s="67"/>
      <c r="U1076" s="67"/>
      <c r="V1076" s="67"/>
      <c r="W1076" s="85" t="str">
        <f aca="false">IF(AH1076="","",N(Q1076)+N(R1076)+N(S1076)+N(T1076)+N(U1076)+N(V1076))</f>
        <v/>
      </c>
      <c r="X1076" s="85" t="str">
        <f aca="false">IF(AH1076="","",P1076-W1076)</f>
        <v/>
      </c>
      <c r="Y1076" s="67"/>
      <c r="Z1076" s="70" t="str">
        <f aca="false">IF(OR(AH1076="",Y1076=""),"",IF(ABS(X1076-Y1076)&lt;=1,"✓ Cuadra","⚠ Diferencia $"&amp;FIXED(X1076-Y1076,0)))</f>
        <v/>
      </c>
      <c r="AA1076" s="72" t="str">
        <f aca="false">IF(AH1076="","",IFERROR(INDEX(C_TIPO,MATCH(C1076&amp;"-P"&amp;MAX(1,COUNTIFS(C_ID,C1076,C_DEFINE,"Sí",C_INICIO,"&lt;="&amp;EOMONTH(B1076,0))),C_CLAVE,0))&amp;"","Sin dato"))</f>
        <v/>
      </c>
      <c r="AB1076" s="71" t="str">
        <f aca="false">IF(AH1076="","",ROUND(MIN(K1076,TOPE_AFP_UF*AJ1076)*AK1076,0))</f>
        <v/>
      </c>
      <c r="AC1076" s="71" t="str">
        <f aca="false">IF(AH1076="","",ROUND(MIN(K1076,TOPE_AFC_UF*AJ1076)*IF(AA1076="Indefinido",AFC_EMP_INDEF,AFC_EMP_PF),0))</f>
        <v/>
      </c>
      <c r="AD1076" s="71" t="str">
        <f aca="false">IF(AH1076="","",ROUND(MIN(K1076,TOPE_AFP_UF*AJ1076)*(MUTUAL_BASICA+MUTUAL_ADIC+SANNA),0))</f>
        <v/>
      </c>
      <c r="AE1076" s="71" t="str">
        <f aca="false">IF(AH1076="","",P1076-N(N1076)+AB1076+AC1076+AD1076)</f>
        <v/>
      </c>
      <c r="AF1076" s="65"/>
      <c r="AG1076" s="64"/>
      <c r="AH1076" s="72" t="str">
        <f aca="false">IF(OR(B1076="",C1076=""),"",C1076&amp;"|"&amp;(YEAR(B1076)*100+MONTH(B1076)))</f>
        <v/>
      </c>
      <c r="AI1076" s="70" t="str">
        <f aca="false">IF(AH1076="","",IF(COUNTIF(L_CLAVE,AH1076)&gt;1,"⚠ Duplicado","OK"))</f>
        <v/>
      </c>
      <c r="AJ1076" s="86" t="str">
        <f aca="false">IF(AH1076="","",IF(SUMPRODUCT(MAX((IND_PER&lt;=B1076)*(IND_UF&lt;&gt;"")*IND_PER))=0,UF_HOY,INDEX(IND_UF,MATCH(SUMPRODUCT(MAX((IND_PER&lt;=B1076)*(IND_UF&lt;&gt;"")*IND_PER)),IND_PER,0))))</f>
        <v/>
      </c>
      <c r="AK1076" s="87" t="str">
        <f aca="false">IF(AH1076="","",IF(COUNTIF(TASA_DESDE,"&lt;="&amp;B1076)=0,INDEX(TASA_EMP,1),INDEX(TASA_EMP,COUNTIF(TASA_DESDE,"&lt;="&amp;B1076))))</f>
        <v/>
      </c>
    </row>
    <row r="1077" customFormat="false" ht="15" hidden="false" customHeight="false" outlineLevel="0" collapsed="false">
      <c r="B1077" s="78"/>
      <c r="C1077" s="64"/>
      <c r="D1077" s="72" t="str">
        <f aca="false">IF(C1077="","",IFERROR(INDEX(T_NOMBRE,MATCH(C1077,T_ID,0)),"⚠ ID no existe"))</f>
        <v/>
      </c>
      <c r="E1077" s="69"/>
      <c r="F1077" s="67"/>
      <c r="G1077" s="67"/>
      <c r="H1077" s="67"/>
      <c r="I1077" s="67"/>
      <c r="J1077" s="67"/>
      <c r="K1077" s="85" t="str">
        <f aca="false">IF(AH1077="","",N(F1077)+N(G1077)+N(H1077)-N(I1077)+N(J1077))</f>
        <v/>
      </c>
      <c r="L1077" s="67"/>
      <c r="M1077" s="67"/>
      <c r="N1077" s="67"/>
      <c r="O1077" s="67"/>
      <c r="P1077" s="85" t="str">
        <f aca="false">IF(AH1077="","",K1077+N(L1077)+N(M1077)+N(N1077)+N(O1077))</f>
        <v/>
      </c>
      <c r="Q1077" s="67"/>
      <c r="R1077" s="67"/>
      <c r="S1077" s="67"/>
      <c r="T1077" s="67"/>
      <c r="U1077" s="67"/>
      <c r="V1077" s="67"/>
      <c r="W1077" s="85" t="str">
        <f aca="false">IF(AH1077="","",N(Q1077)+N(R1077)+N(S1077)+N(T1077)+N(U1077)+N(V1077))</f>
        <v/>
      </c>
      <c r="X1077" s="85" t="str">
        <f aca="false">IF(AH1077="","",P1077-W1077)</f>
        <v/>
      </c>
      <c r="Y1077" s="67"/>
      <c r="Z1077" s="70" t="str">
        <f aca="false">IF(OR(AH1077="",Y1077=""),"",IF(ABS(X1077-Y1077)&lt;=1,"✓ Cuadra","⚠ Diferencia $"&amp;FIXED(X1077-Y1077,0)))</f>
        <v/>
      </c>
      <c r="AA1077" s="72" t="str">
        <f aca="false">IF(AH1077="","",IFERROR(INDEX(C_TIPO,MATCH(C1077&amp;"-P"&amp;MAX(1,COUNTIFS(C_ID,C1077,C_DEFINE,"Sí",C_INICIO,"&lt;="&amp;EOMONTH(B1077,0))),C_CLAVE,0))&amp;"","Sin dato"))</f>
        <v/>
      </c>
      <c r="AB1077" s="71" t="str">
        <f aca="false">IF(AH1077="","",ROUND(MIN(K1077,TOPE_AFP_UF*AJ1077)*AK1077,0))</f>
        <v/>
      </c>
      <c r="AC1077" s="71" t="str">
        <f aca="false">IF(AH1077="","",ROUND(MIN(K1077,TOPE_AFC_UF*AJ1077)*IF(AA1077="Indefinido",AFC_EMP_INDEF,AFC_EMP_PF),0))</f>
        <v/>
      </c>
      <c r="AD1077" s="71" t="str">
        <f aca="false">IF(AH1077="","",ROUND(MIN(K1077,TOPE_AFP_UF*AJ1077)*(MUTUAL_BASICA+MUTUAL_ADIC+SANNA),0))</f>
        <v/>
      </c>
      <c r="AE1077" s="71" t="str">
        <f aca="false">IF(AH1077="","",P1077-N(N1077)+AB1077+AC1077+AD1077)</f>
        <v/>
      </c>
      <c r="AF1077" s="65"/>
      <c r="AG1077" s="64"/>
      <c r="AH1077" s="72" t="str">
        <f aca="false">IF(OR(B1077="",C1077=""),"",C1077&amp;"|"&amp;(YEAR(B1077)*100+MONTH(B1077)))</f>
        <v/>
      </c>
      <c r="AI1077" s="70" t="str">
        <f aca="false">IF(AH1077="","",IF(COUNTIF(L_CLAVE,AH1077)&gt;1,"⚠ Duplicado","OK"))</f>
        <v/>
      </c>
      <c r="AJ1077" s="86" t="str">
        <f aca="false">IF(AH1077="","",IF(SUMPRODUCT(MAX((IND_PER&lt;=B1077)*(IND_UF&lt;&gt;"")*IND_PER))=0,UF_HOY,INDEX(IND_UF,MATCH(SUMPRODUCT(MAX((IND_PER&lt;=B1077)*(IND_UF&lt;&gt;"")*IND_PER)),IND_PER,0))))</f>
        <v/>
      </c>
      <c r="AK1077" s="87" t="str">
        <f aca="false">IF(AH1077="","",IF(COUNTIF(TASA_DESDE,"&lt;="&amp;B1077)=0,INDEX(TASA_EMP,1),INDEX(TASA_EMP,COUNTIF(TASA_DESDE,"&lt;="&amp;B1077))))</f>
        <v/>
      </c>
    </row>
    <row r="1078" customFormat="false" ht="15" hidden="false" customHeight="false" outlineLevel="0" collapsed="false">
      <c r="B1078" s="78"/>
      <c r="C1078" s="64"/>
      <c r="D1078" s="72" t="str">
        <f aca="false">IF(C1078="","",IFERROR(INDEX(T_NOMBRE,MATCH(C1078,T_ID,0)),"⚠ ID no existe"))</f>
        <v/>
      </c>
      <c r="E1078" s="69"/>
      <c r="F1078" s="67"/>
      <c r="G1078" s="67"/>
      <c r="H1078" s="67"/>
      <c r="I1078" s="67"/>
      <c r="J1078" s="67"/>
      <c r="K1078" s="85" t="str">
        <f aca="false">IF(AH1078="","",N(F1078)+N(G1078)+N(H1078)-N(I1078)+N(J1078))</f>
        <v/>
      </c>
      <c r="L1078" s="67"/>
      <c r="M1078" s="67"/>
      <c r="N1078" s="67"/>
      <c r="O1078" s="67"/>
      <c r="P1078" s="85" t="str">
        <f aca="false">IF(AH1078="","",K1078+N(L1078)+N(M1078)+N(N1078)+N(O1078))</f>
        <v/>
      </c>
      <c r="Q1078" s="67"/>
      <c r="R1078" s="67"/>
      <c r="S1078" s="67"/>
      <c r="T1078" s="67"/>
      <c r="U1078" s="67"/>
      <c r="V1078" s="67"/>
      <c r="W1078" s="85" t="str">
        <f aca="false">IF(AH1078="","",N(Q1078)+N(R1078)+N(S1078)+N(T1078)+N(U1078)+N(V1078))</f>
        <v/>
      </c>
      <c r="X1078" s="85" t="str">
        <f aca="false">IF(AH1078="","",P1078-W1078)</f>
        <v/>
      </c>
      <c r="Y1078" s="67"/>
      <c r="Z1078" s="70" t="str">
        <f aca="false">IF(OR(AH1078="",Y1078=""),"",IF(ABS(X1078-Y1078)&lt;=1,"✓ Cuadra","⚠ Diferencia $"&amp;FIXED(X1078-Y1078,0)))</f>
        <v/>
      </c>
      <c r="AA1078" s="72" t="str">
        <f aca="false">IF(AH1078="","",IFERROR(INDEX(C_TIPO,MATCH(C1078&amp;"-P"&amp;MAX(1,COUNTIFS(C_ID,C1078,C_DEFINE,"Sí",C_INICIO,"&lt;="&amp;EOMONTH(B1078,0))),C_CLAVE,0))&amp;"","Sin dato"))</f>
        <v/>
      </c>
      <c r="AB1078" s="71" t="str">
        <f aca="false">IF(AH1078="","",ROUND(MIN(K1078,TOPE_AFP_UF*AJ1078)*AK1078,0))</f>
        <v/>
      </c>
      <c r="AC1078" s="71" t="str">
        <f aca="false">IF(AH1078="","",ROUND(MIN(K1078,TOPE_AFC_UF*AJ1078)*IF(AA1078="Indefinido",AFC_EMP_INDEF,AFC_EMP_PF),0))</f>
        <v/>
      </c>
      <c r="AD1078" s="71" t="str">
        <f aca="false">IF(AH1078="","",ROUND(MIN(K1078,TOPE_AFP_UF*AJ1078)*(MUTUAL_BASICA+MUTUAL_ADIC+SANNA),0))</f>
        <v/>
      </c>
      <c r="AE1078" s="71" t="str">
        <f aca="false">IF(AH1078="","",P1078-N(N1078)+AB1078+AC1078+AD1078)</f>
        <v/>
      </c>
      <c r="AF1078" s="65"/>
      <c r="AG1078" s="64"/>
      <c r="AH1078" s="72" t="str">
        <f aca="false">IF(OR(B1078="",C1078=""),"",C1078&amp;"|"&amp;(YEAR(B1078)*100+MONTH(B1078)))</f>
        <v/>
      </c>
      <c r="AI1078" s="70" t="str">
        <f aca="false">IF(AH1078="","",IF(COUNTIF(L_CLAVE,AH1078)&gt;1,"⚠ Duplicado","OK"))</f>
        <v/>
      </c>
      <c r="AJ1078" s="86" t="str">
        <f aca="false">IF(AH1078="","",IF(SUMPRODUCT(MAX((IND_PER&lt;=B1078)*(IND_UF&lt;&gt;"")*IND_PER))=0,UF_HOY,INDEX(IND_UF,MATCH(SUMPRODUCT(MAX((IND_PER&lt;=B1078)*(IND_UF&lt;&gt;"")*IND_PER)),IND_PER,0))))</f>
        <v/>
      </c>
      <c r="AK1078" s="87" t="str">
        <f aca="false">IF(AH1078="","",IF(COUNTIF(TASA_DESDE,"&lt;="&amp;B1078)=0,INDEX(TASA_EMP,1),INDEX(TASA_EMP,COUNTIF(TASA_DESDE,"&lt;="&amp;B1078))))</f>
        <v/>
      </c>
    </row>
    <row r="1079" customFormat="false" ht="15" hidden="false" customHeight="false" outlineLevel="0" collapsed="false">
      <c r="B1079" s="78"/>
      <c r="C1079" s="64"/>
      <c r="D1079" s="72" t="str">
        <f aca="false">IF(C1079="","",IFERROR(INDEX(T_NOMBRE,MATCH(C1079,T_ID,0)),"⚠ ID no existe"))</f>
        <v/>
      </c>
      <c r="E1079" s="69"/>
      <c r="F1079" s="67"/>
      <c r="G1079" s="67"/>
      <c r="H1079" s="67"/>
      <c r="I1079" s="67"/>
      <c r="J1079" s="67"/>
      <c r="K1079" s="85" t="str">
        <f aca="false">IF(AH1079="","",N(F1079)+N(G1079)+N(H1079)-N(I1079)+N(J1079))</f>
        <v/>
      </c>
      <c r="L1079" s="67"/>
      <c r="M1079" s="67"/>
      <c r="N1079" s="67"/>
      <c r="O1079" s="67"/>
      <c r="P1079" s="85" t="str">
        <f aca="false">IF(AH1079="","",K1079+N(L1079)+N(M1079)+N(N1079)+N(O1079))</f>
        <v/>
      </c>
      <c r="Q1079" s="67"/>
      <c r="R1079" s="67"/>
      <c r="S1079" s="67"/>
      <c r="T1079" s="67"/>
      <c r="U1079" s="67"/>
      <c r="V1079" s="67"/>
      <c r="W1079" s="85" t="str">
        <f aca="false">IF(AH1079="","",N(Q1079)+N(R1079)+N(S1079)+N(T1079)+N(U1079)+N(V1079))</f>
        <v/>
      </c>
      <c r="X1079" s="85" t="str">
        <f aca="false">IF(AH1079="","",P1079-W1079)</f>
        <v/>
      </c>
      <c r="Y1079" s="67"/>
      <c r="Z1079" s="70" t="str">
        <f aca="false">IF(OR(AH1079="",Y1079=""),"",IF(ABS(X1079-Y1079)&lt;=1,"✓ Cuadra","⚠ Diferencia $"&amp;FIXED(X1079-Y1079,0)))</f>
        <v/>
      </c>
      <c r="AA1079" s="72" t="str">
        <f aca="false">IF(AH1079="","",IFERROR(INDEX(C_TIPO,MATCH(C1079&amp;"-P"&amp;MAX(1,COUNTIFS(C_ID,C1079,C_DEFINE,"Sí",C_INICIO,"&lt;="&amp;EOMONTH(B1079,0))),C_CLAVE,0))&amp;"","Sin dato"))</f>
        <v/>
      </c>
      <c r="AB1079" s="71" t="str">
        <f aca="false">IF(AH1079="","",ROUND(MIN(K1079,TOPE_AFP_UF*AJ1079)*AK1079,0))</f>
        <v/>
      </c>
      <c r="AC1079" s="71" t="str">
        <f aca="false">IF(AH1079="","",ROUND(MIN(K1079,TOPE_AFC_UF*AJ1079)*IF(AA1079="Indefinido",AFC_EMP_INDEF,AFC_EMP_PF),0))</f>
        <v/>
      </c>
      <c r="AD1079" s="71" t="str">
        <f aca="false">IF(AH1079="","",ROUND(MIN(K1079,TOPE_AFP_UF*AJ1079)*(MUTUAL_BASICA+MUTUAL_ADIC+SANNA),0))</f>
        <v/>
      </c>
      <c r="AE1079" s="71" t="str">
        <f aca="false">IF(AH1079="","",P1079-N(N1079)+AB1079+AC1079+AD1079)</f>
        <v/>
      </c>
      <c r="AF1079" s="65"/>
      <c r="AG1079" s="64"/>
      <c r="AH1079" s="72" t="str">
        <f aca="false">IF(OR(B1079="",C1079=""),"",C1079&amp;"|"&amp;(YEAR(B1079)*100+MONTH(B1079)))</f>
        <v/>
      </c>
      <c r="AI1079" s="70" t="str">
        <f aca="false">IF(AH1079="","",IF(COUNTIF(L_CLAVE,AH1079)&gt;1,"⚠ Duplicado","OK"))</f>
        <v/>
      </c>
      <c r="AJ1079" s="86" t="str">
        <f aca="false">IF(AH1079="","",IF(SUMPRODUCT(MAX((IND_PER&lt;=B1079)*(IND_UF&lt;&gt;"")*IND_PER))=0,UF_HOY,INDEX(IND_UF,MATCH(SUMPRODUCT(MAX((IND_PER&lt;=B1079)*(IND_UF&lt;&gt;"")*IND_PER)),IND_PER,0))))</f>
        <v/>
      </c>
      <c r="AK1079" s="87" t="str">
        <f aca="false">IF(AH1079="","",IF(COUNTIF(TASA_DESDE,"&lt;="&amp;B1079)=0,INDEX(TASA_EMP,1),INDEX(TASA_EMP,COUNTIF(TASA_DESDE,"&lt;="&amp;B1079))))</f>
        <v/>
      </c>
    </row>
    <row r="1080" customFormat="false" ht="15" hidden="false" customHeight="false" outlineLevel="0" collapsed="false">
      <c r="B1080" s="78"/>
      <c r="C1080" s="64"/>
      <c r="D1080" s="72" t="str">
        <f aca="false">IF(C1080="","",IFERROR(INDEX(T_NOMBRE,MATCH(C1080,T_ID,0)),"⚠ ID no existe"))</f>
        <v/>
      </c>
      <c r="E1080" s="69"/>
      <c r="F1080" s="67"/>
      <c r="G1080" s="67"/>
      <c r="H1080" s="67"/>
      <c r="I1080" s="67"/>
      <c r="J1080" s="67"/>
      <c r="K1080" s="85" t="str">
        <f aca="false">IF(AH1080="","",N(F1080)+N(G1080)+N(H1080)-N(I1080)+N(J1080))</f>
        <v/>
      </c>
      <c r="L1080" s="67"/>
      <c r="M1080" s="67"/>
      <c r="N1080" s="67"/>
      <c r="O1080" s="67"/>
      <c r="P1080" s="85" t="str">
        <f aca="false">IF(AH1080="","",K1080+N(L1080)+N(M1080)+N(N1080)+N(O1080))</f>
        <v/>
      </c>
      <c r="Q1080" s="67"/>
      <c r="R1080" s="67"/>
      <c r="S1080" s="67"/>
      <c r="T1080" s="67"/>
      <c r="U1080" s="67"/>
      <c r="V1080" s="67"/>
      <c r="W1080" s="85" t="str">
        <f aca="false">IF(AH1080="","",N(Q1080)+N(R1080)+N(S1080)+N(T1080)+N(U1080)+N(V1080))</f>
        <v/>
      </c>
      <c r="X1080" s="85" t="str">
        <f aca="false">IF(AH1080="","",P1080-W1080)</f>
        <v/>
      </c>
      <c r="Y1080" s="67"/>
      <c r="Z1080" s="70" t="str">
        <f aca="false">IF(OR(AH1080="",Y1080=""),"",IF(ABS(X1080-Y1080)&lt;=1,"✓ Cuadra","⚠ Diferencia $"&amp;FIXED(X1080-Y1080,0)))</f>
        <v/>
      </c>
      <c r="AA1080" s="72" t="str">
        <f aca="false">IF(AH1080="","",IFERROR(INDEX(C_TIPO,MATCH(C1080&amp;"-P"&amp;MAX(1,COUNTIFS(C_ID,C1080,C_DEFINE,"Sí",C_INICIO,"&lt;="&amp;EOMONTH(B1080,0))),C_CLAVE,0))&amp;"","Sin dato"))</f>
        <v/>
      </c>
      <c r="AB1080" s="71" t="str">
        <f aca="false">IF(AH1080="","",ROUND(MIN(K1080,TOPE_AFP_UF*AJ1080)*AK1080,0))</f>
        <v/>
      </c>
      <c r="AC1080" s="71" t="str">
        <f aca="false">IF(AH1080="","",ROUND(MIN(K1080,TOPE_AFC_UF*AJ1080)*IF(AA1080="Indefinido",AFC_EMP_INDEF,AFC_EMP_PF),0))</f>
        <v/>
      </c>
      <c r="AD1080" s="71" t="str">
        <f aca="false">IF(AH1080="","",ROUND(MIN(K1080,TOPE_AFP_UF*AJ1080)*(MUTUAL_BASICA+MUTUAL_ADIC+SANNA),0))</f>
        <v/>
      </c>
      <c r="AE1080" s="71" t="str">
        <f aca="false">IF(AH1080="","",P1080-N(N1080)+AB1080+AC1080+AD1080)</f>
        <v/>
      </c>
      <c r="AF1080" s="65"/>
      <c r="AG1080" s="64"/>
      <c r="AH1080" s="72" t="str">
        <f aca="false">IF(OR(B1080="",C1080=""),"",C1080&amp;"|"&amp;(YEAR(B1080)*100+MONTH(B1080)))</f>
        <v/>
      </c>
      <c r="AI1080" s="70" t="str">
        <f aca="false">IF(AH1080="","",IF(COUNTIF(L_CLAVE,AH1080)&gt;1,"⚠ Duplicado","OK"))</f>
        <v/>
      </c>
      <c r="AJ1080" s="86" t="str">
        <f aca="false">IF(AH1080="","",IF(SUMPRODUCT(MAX((IND_PER&lt;=B1080)*(IND_UF&lt;&gt;"")*IND_PER))=0,UF_HOY,INDEX(IND_UF,MATCH(SUMPRODUCT(MAX((IND_PER&lt;=B1080)*(IND_UF&lt;&gt;"")*IND_PER)),IND_PER,0))))</f>
        <v/>
      </c>
      <c r="AK1080" s="87" t="str">
        <f aca="false">IF(AH1080="","",IF(COUNTIF(TASA_DESDE,"&lt;="&amp;B1080)=0,INDEX(TASA_EMP,1),INDEX(TASA_EMP,COUNTIF(TASA_DESDE,"&lt;="&amp;B1080))))</f>
        <v/>
      </c>
    </row>
    <row r="1081" customFormat="false" ht="15" hidden="false" customHeight="false" outlineLevel="0" collapsed="false">
      <c r="B1081" s="78"/>
      <c r="C1081" s="64"/>
      <c r="D1081" s="72" t="str">
        <f aca="false">IF(C1081="","",IFERROR(INDEX(T_NOMBRE,MATCH(C1081,T_ID,0)),"⚠ ID no existe"))</f>
        <v/>
      </c>
      <c r="E1081" s="69"/>
      <c r="F1081" s="67"/>
      <c r="G1081" s="67"/>
      <c r="H1081" s="67"/>
      <c r="I1081" s="67"/>
      <c r="J1081" s="67"/>
      <c r="K1081" s="85" t="str">
        <f aca="false">IF(AH1081="","",N(F1081)+N(G1081)+N(H1081)-N(I1081)+N(J1081))</f>
        <v/>
      </c>
      <c r="L1081" s="67"/>
      <c r="M1081" s="67"/>
      <c r="N1081" s="67"/>
      <c r="O1081" s="67"/>
      <c r="P1081" s="85" t="str">
        <f aca="false">IF(AH1081="","",K1081+N(L1081)+N(M1081)+N(N1081)+N(O1081))</f>
        <v/>
      </c>
      <c r="Q1081" s="67"/>
      <c r="R1081" s="67"/>
      <c r="S1081" s="67"/>
      <c r="T1081" s="67"/>
      <c r="U1081" s="67"/>
      <c r="V1081" s="67"/>
      <c r="W1081" s="85" t="str">
        <f aca="false">IF(AH1081="","",N(Q1081)+N(R1081)+N(S1081)+N(T1081)+N(U1081)+N(V1081))</f>
        <v/>
      </c>
      <c r="X1081" s="85" t="str">
        <f aca="false">IF(AH1081="","",P1081-W1081)</f>
        <v/>
      </c>
      <c r="Y1081" s="67"/>
      <c r="Z1081" s="70" t="str">
        <f aca="false">IF(OR(AH1081="",Y1081=""),"",IF(ABS(X1081-Y1081)&lt;=1,"✓ Cuadra","⚠ Diferencia $"&amp;FIXED(X1081-Y1081,0)))</f>
        <v/>
      </c>
      <c r="AA1081" s="72" t="str">
        <f aca="false">IF(AH1081="","",IFERROR(INDEX(C_TIPO,MATCH(C1081&amp;"-P"&amp;MAX(1,COUNTIFS(C_ID,C1081,C_DEFINE,"Sí",C_INICIO,"&lt;="&amp;EOMONTH(B1081,0))),C_CLAVE,0))&amp;"","Sin dato"))</f>
        <v/>
      </c>
      <c r="AB1081" s="71" t="str">
        <f aca="false">IF(AH1081="","",ROUND(MIN(K1081,TOPE_AFP_UF*AJ1081)*AK1081,0))</f>
        <v/>
      </c>
      <c r="AC1081" s="71" t="str">
        <f aca="false">IF(AH1081="","",ROUND(MIN(K1081,TOPE_AFC_UF*AJ1081)*IF(AA1081="Indefinido",AFC_EMP_INDEF,AFC_EMP_PF),0))</f>
        <v/>
      </c>
      <c r="AD1081" s="71" t="str">
        <f aca="false">IF(AH1081="","",ROUND(MIN(K1081,TOPE_AFP_UF*AJ1081)*(MUTUAL_BASICA+MUTUAL_ADIC+SANNA),0))</f>
        <v/>
      </c>
      <c r="AE1081" s="71" t="str">
        <f aca="false">IF(AH1081="","",P1081-N(N1081)+AB1081+AC1081+AD1081)</f>
        <v/>
      </c>
      <c r="AF1081" s="65"/>
      <c r="AG1081" s="64"/>
      <c r="AH1081" s="72" t="str">
        <f aca="false">IF(OR(B1081="",C1081=""),"",C1081&amp;"|"&amp;(YEAR(B1081)*100+MONTH(B1081)))</f>
        <v/>
      </c>
      <c r="AI1081" s="70" t="str">
        <f aca="false">IF(AH1081="","",IF(COUNTIF(L_CLAVE,AH1081)&gt;1,"⚠ Duplicado","OK"))</f>
        <v/>
      </c>
      <c r="AJ1081" s="86" t="str">
        <f aca="false">IF(AH1081="","",IF(SUMPRODUCT(MAX((IND_PER&lt;=B1081)*(IND_UF&lt;&gt;"")*IND_PER))=0,UF_HOY,INDEX(IND_UF,MATCH(SUMPRODUCT(MAX((IND_PER&lt;=B1081)*(IND_UF&lt;&gt;"")*IND_PER)),IND_PER,0))))</f>
        <v/>
      </c>
      <c r="AK1081" s="87" t="str">
        <f aca="false">IF(AH1081="","",IF(COUNTIF(TASA_DESDE,"&lt;="&amp;B1081)=0,INDEX(TASA_EMP,1),INDEX(TASA_EMP,COUNTIF(TASA_DESDE,"&lt;="&amp;B1081))))</f>
        <v/>
      </c>
    </row>
    <row r="1082" customFormat="false" ht="15" hidden="false" customHeight="false" outlineLevel="0" collapsed="false">
      <c r="B1082" s="78"/>
      <c r="C1082" s="64"/>
      <c r="D1082" s="72" t="str">
        <f aca="false">IF(C1082="","",IFERROR(INDEX(T_NOMBRE,MATCH(C1082,T_ID,0)),"⚠ ID no existe"))</f>
        <v/>
      </c>
      <c r="E1082" s="69"/>
      <c r="F1082" s="67"/>
      <c r="G1082" s="67"/>
      <c r="H1082" s="67"/>
      <c r="I1082" s="67"/>
      <c r="J1082" s="67"/>
      <c r="K1082" s="85" t="str">
        <f aca="false">IF(AH1082="","",N(F1082)+N(G1082)+N(H1082)-N(I1082)+N(J1082))</f>
        <v/>
      </c>
      <c r="L1082" s="67"/>
      <c r="M1082" s="67"/>
      <c r="N1082" s="67"/>
      <c r="O1082" s="67"/>
      <c r="P1082" s="85" t="str">
        <f aca="false">IF(AH1082="","",K1082+N(L1082)+N(M1082)+N(N1082)+N(O1082))</f>
        <v/>
      </c>
      <c r="Q1082" s="67"/>
      <c r="R1082" s="67"/>
      <c r="S1082" s="67"/>
      <c r="T1082" s="67"/>
      <c r="U1082" s="67"/>
      <c r="V1082" s="67"/>
      <c r="W1082" s="85" t="str">
        <f aca="false">IF(AH1082="","",N(Q1082)+N(R1082)+N(S1082)+N(T1082)+N(U1082)+N(V1082))</f>
        <v/>
      </c>
      <c r="X1082" s="85" t="str">
        <f aca="false">IF(AH1082="","",P1082-W1082)</f>
        <v/>
      </c>
      <c r="Y1082" s="67"/>
      <c r="Z1082" s="70" t="str">
        <f aca="false">IF(OR(AH1082="",Y1082=""),"",IF(ABS(X1082-Y1082)&lt;=1,"✓ Cuadra","⚠ Diferencia $"&amp;FIXED(X1082-Y1082,0)))</f>
        <v/>
      </c>
      <c r="AA1082" s="72" t="str">
        <f aca="false">IF(AH1082="","",IFERROR(INDEX(C_TIPO,MATCH(C1082&amp;"-P"&amp;MAX(1,COUNTIFS(C_ID,C1082,C_DEFINE,"Sí",C_INICIO,"&lt;="&amp;EOMONTH(B1082,0))),C_CLAVE,0))&amp;"","Sin dato"))</f>
        <v/>
      </c>
      <c r="AB1082" s="71" t="str">
        <f aca="false">IF(AH1082="","",ROUND(MIN(K1082,TOPE_AFP_UF*AJ1082)*AK1082,0))</f>
        <v/>
      </c>
      <c r="AC1082" s="71" t="str">
        <f aca="false">IF(AH1082="","",ROUND(MIN(K1082,TOPE_AFC_UF*AJ1082)*IF(AA1082="Indefinido",AFC_EMP_INDEF,AFC_EMP_PF),0))</f>
        <v/>
      </c>
      <c r="AD1082" s="71" t="str">
        <f aca="false">IF(AH1082="","",ROUND(MIN(K1082,TOPE_AFP_UF*AJ1082)*(MUTUAL_BASICA+MUTUAL_ADIC+SANNA),0))</f>
        <v/>
      </c>
      <c r="AE1082" s="71" t="str">
        <f aca="false">IF(AH1082="","",P1082-N(N1082)+AB1082+AC1082+AD1082)</f>
        <v/>
      </c>
      <c r="AF1082" s="65"/>
      <c r="AG1082" s="64"/>
      <c r="AH1082" s="72" t="str">
        <f aca="false">IF(OR(B1082="",C1082=""),"",C1082&amp;"|"&amp;(YEAR(B1082)*100+MONTH(B1082)))</f>
        <v/>
      </c>
      <c r="AI1082" s="70" t="str">
        <f aca="false">IF(AH1082="","",IF(COUNTIF(L_CLAVE,AH1082)&gt;1,"⚠ Duplicado","OK"))</f>
        <v/>
      </c>
      <c r="AJ1082" s="86" t="str">
        <f aca="false">IF(AH1082="","",IF(SUMPRODUCT(MAX((IND_PER&lt;=B1082)*(IND_UF&lt;&gt;"")*IND_PER))=0,UF_HOY,INDEX(IND_UF,MATCH(SUMPRODUCT(MAX((IND_PER&lt;=B1082)*(IND_UF&lt;&gt;"")*IND_PER)),IND_PER,0))))</f>
        <v/>
      </c>
      <c r="AK1082" s="87" t="str">
        <f aca="false">IF(AH1082="","",IF(COUNTIF(TASA_DESDE,"&lt;="&amp;B1082)=0,INDEX(TASA_EMP,1),INDEX(TASA_EMP,COUNTIF(TASA_DESDE,"&lt;="&amp;B1082))))</f>
        <v/>
      </c>
    </row>
    <row r="1083" customFormat="false" ht="15" hidden="false" customHeight="false" outlineLevel="0" collapsed="false">
      <c r="B1083" s="78"/>
      <c r="C1083" s="64"/>
      <c r="D1083" s="72" t="str">
        <f aca="false">IF(C1083="","",IFERROR(INDEX(T_NOMBRE,MATCH(C1083,T_ID,0)),"⚠ ID no existe"))</f>
        <v/>
      </c>
      <c r="E1083" s="69"/>
      <c r="F1083" s="67"/>
      <c r="G1083" s="67"/>
      <c r="H1083" s="67"/>
      <c r="I1083" s="67"/>
      <c r="J1083" s="67"/>
      <c r="K1083" s="85" t="str">
        <f aca="false">IF(AH1083="","",N(F1083)+N(G1083)+N(H1083)-N(I1083)+N(J1083))</f>
        <v/>
      </c>
      <c r="L1083" s="67"/>
      <c r="M1083" s="67"/>
      <c r="N1083" s="67"/>
      <c r="O1083" s="67"/>
      <c r="P1083" s="85" t="str">
        <f aca="false">IF(AH1083="","",K1083+N(L1083)+N(M1083)+N(N1083)+N(O1083))</f>
        <v/>
      </c>
      <c r="Q1083" s="67"/>
      <c r="R1083" s="67"/>
      <c r="S1083" s="67"/>
      <c r="T1083" s="67"/>
      <c r="U1083" s="67"/>
      <c r="V1083" s="67"/>
      <c r="W1083" s="85" t="str">
        <f aca="false">IF(AH1083="","",N(Q1083)+N(R1083)+N(S1083)+N(T1083)+N(U1083)+N(V1083))</f>
        <v/>
      </c>
      <c r="X1083" s="85" t="str">
        <f aca="false">IF(AH1083="","",P1083-W1083)</f>
        <v/>
      </c>
      <c r="Y1083" s="67"/>
      <c r="Z1083" s="70" t="str">
        <f aca="false">IF(OR(AH1083="",Y1083=""),"",IF(ABS(X1083-Y1083)&lt;=1,"✓ Cuadra","⚠ Diferencia $"&amp;FIXED(X1083-Y1083,0)))</f>
        <v/>
      </c>
      <c r="AA1083" s="72" t="str">
        <f aca="false">IF(AH1083="","",IFERROR(INDEX(C_TIPO,MATCH(C1083&amp;"-P"&amp;MAX(1,COUNTIFS(C_ID,C1083,C_DEFINE,"Sí",C_INICIO,"&lt;="&amp;EOMONTH(B1083,0))),C_CLAVE,0))&amp;"","Sin dato"))</f>
        <v/>
      </c>
      <c r="AB1083" s="71" t="str">
        <f aca="false">IF(AH1083="","",ROUND(MIN(K1083,TOPE_AFP_UF*AJ1083)*AK1083,0))</f>
        <v/>
      </c>
      <c r="AC1083" s="71" t="str">
        <f aca="false">IF(AH1083="","",ROUND(MIN(K1083,TOPE_AFC_UF*AJ1083)*IF(AA1083="Indefinido",AFC_EMP_INDEF,AFC_EMP_PF),0))</f>
        <v/>
      </c>
      <c r="AD1083" s="71" t="str">
        <f aca="false">IF(AH1083="","",ROUND(MIN(K1083,TOPE_AFP_UF*AJ1083)*(MUTUAL_BASICA+MUTUAL_ADIC+SANNA),0))</f>
        <v/>
      </c>
      <c r="AE1083" s="71" t="str">
        <f aca="false">IF(AH1083="","",P1083-N(N1083)+AB1083+AC1083+AD1083)</f>
        <v/>
      </c>
      <c r="AF1083" s="65"/>
      <c r="AG1083" s="64"/>
      <c r="AH1083" s="72" t="str">
        <f aca="false">IF(OR(B1083="",C1083=""),"",C1083&amp;"|"&amp;(YEAR(B1083)*100+MONTH(B1083)))</f>
        <v/>
      </c>
      <c r="AI1083" s="70" t="str">
        <f aca="false">IF(AH1083="","",IF(COUNTIF(L_CLAVE,AH1083)&gt;1,"⚠ Duplicado","OK"))</f>
        <v/>
      </c>
      <c r="AJ1083" s="86" t="str">
        <f aca="false">IF(AH1083="","",IF(SUMPRODUCT(MAX((IND_PER&lt;=B1083)*(IND_UF&lt;&gt;"")*IND_PER))=0,UF_HOY,INDEX(IND_UF,MATCH(SUMPRODUCT(MAX((IND_PER&lt;=B1083)*(IND_UF&lt;&gt;"")*IND_PER)),IND_PER,0))))</f>
        <v/>
      </c>
      <c r="AK1083" s="87" t="str">
        <f aca="false">IF(AH1083="","",IF(COUNTIF(TASA_DESDE,"&lt;="&amp;B1083)=0,INDEX(TASA_EMP,1),INDEX(TASA_EMP,COUNTIF(TASA_DESDE,"&lt;="&amp;B1083))))</f>
        <v/>
      </c>
    </row>
    <row r="1084" customFormat="false" ht="15" hidden="false" customHeight="false" outlineLevel="0" collapsed="false">
      <c r="B1084" s="78"/>
      <c r="C1084" s="64"/>
      <c r="D1084" s="72" t="str">
        <f aca="false">IF(C1084="","",IFERROR(INDEX(T_NOMBRE,MATCH(C1084,T_ID,0)),"⚠ ID no existe"))</f>
        <v/>
      </c>
      <c r="E1084" s="69"/>
      <c r="F1084" s="67"/>
      <c r="G1084" s="67"/>
      <c r="H1084" s="67"/>
      <c r="I1084" s="67"/>
      <c r="J1084" s="67"/>
      <c r="K1084" s="85" t="str">
        <f aca="false">IF(AH1084="","",N(F1084)+N(G1084)+N(H1084)-N(I1084)+N(J1084))</f>
        <v/>
      </c>
      <c r="L1084" s="67"/>
      <c r="M1084" s="67"/>
      <c r="N1084" s="67"/>
      <c r="O1084" s="67"/>
      <c r="P1084" s="85" t="str">
        <f aca="false">IF(AH1084="","",K1084+N(L1084)+N(M1084)+N(N1084)+N(O1084))</f>
        <v/>
      </c>
      <c r="Q1084" s="67"/>
      <c r="R1084" s="67"/>
      <c r="S1084" s="67"/>
      <c r="T1084" s="67"/>
      <c r="U1084" s="67"/>
      <c r="V1084" s="67"/>
      <c r="W1084" s="85" t="str">
        <f aca="false">IF(AH1084="","",N(Q1084)+N(R1084)+N(S1084)+N(T1084)+N(U1084)+N(V1084))</f>
        <v/>
      </c>
      <c r="X1084" s="85" t="str">
        <f aca="false">IF(AH1084="","",P1084-W1084)</f>
        <v/>
      </c>
      <c r="Y1084" s="67"/>
      <c r="Z1084" s="70" t="str">
        <f aca="false">IF(OR(AH1084="",Y1084=""),"",IF(ABS(X1084-Y1084)&lt;=1,"✓ Cuadra","⚠ Diferencia $"&amp;FIXED(X1084-Y1084,0)))</f>
        <v/>
      </c>
      <c r="AA1084" s="72" t="str">
        <f aca="false">IF(AH1084="","",IFERROR(INDEX(C_TIPO,MATCH(C1084&amp;"-P"&amp;MAX(1,COUNTIFS(C_ID,C1084,C_DEFINE,"Sí",C_INICIO,"&lt;="&amp;EOMONTH(B1084,0))),C_CLAVE,0))&amp;"","Sin dato"))</f>
        <v/>
      </c>
      <c r="AB1084" s="71" t="str">
        <f aca="false">IF(AH1084="","",ROUND(MIN(K1084,TOPE_AFP_UF*AJ1084)*AK1084,0))</f>
        <v/>
      </c>
      <c r="AC1084" s="71" t="str">
        <f aca="false">IF(AH1084="","",ROUND(MIN(K1084,TOPE_AFC_UF*AJ1084)*IF(AA1084="Indefinido",AFC_EMP_INDEF,AFC_EMP_PF),0))</f>
        <v/>
      </c>
      <c r="AD1084" s="71" t="str">
        <f aca="false">IF(AH1084="","",ROUND(MIN(K1084,TOPE_AFP_UF*AJ1084)*(MUTUAL_BASICA+MUTUAL_ADIC+SANNA),0))</f>
        <v/>
      </c>
      <c r="AE1084" s="71" t="str">
        <f aca="false">IF(AH1084="","",P1084-N(N1084)+AB1084+AC1084+AD1084)</f>
        <v/>
      </c>
      <c r="AF1084" s="65"/>
      <c r="AG1084" s="64"/>
      <c r="AH1084" s="72" t="str">
        <f aca="false">IF(OR(B1084="",C1084=""),"",C1084&amp;"|"&amp;(YEAR(B1084)*100+MONTH(B1084)))</f>
        <v/>
      </c>
      <c r="AI1084" s="70" t="str">
        <f aca="false">IF(AH1084="","",IF(COUNTIF(L_CLAVE,AH1084)&gt;1,"⚠ Duplicado","OK"))</f>
        <v/>
      </c>
      <c r="AJ1084" s="86" t="str">
        <f aca="false">IF(AH1084="","",IF(SUMPRODUCT(MAX((IND_PER&lt;=B1084)*(IND_UF&lt;&gt;"")*IND_PER))=0,UF_HOY,INDEX(IND_UF,MATCH(SUMPRODUCT(MAX((IND_PER&lt;=B1084)*(IND_UF&lt;&gt;"")*IND_PER)),IND_PER,0))))</f>
        <v/>
      </c>
      <c r="AK1084" s="87" t="str">
        <f aca="false">IF(AH1084="","",IF(COUNTIF(TASA_DESDE,"&lt;="&amp;B1084)=0,INDEX(TASA_EMP,1),INDEX(TASA_EMP,COUNTIF(TASA_DESDE,"&lt;="&amp;B1084))))</f>
        <v/>
      </c>
    </row>
    <row r="1085" customFormat="false" ht="15" hidden="false" customHeight="false" outlineLevel="0" collapsed="false">
      <c r="B1085" s="78"/>
      <c r="C1085" s="64"/>
      <c r="D1085" s="72" t="str">
        <f aca="false">IF(C1085="","",IFERROR(INDEX(T_NOMBRE,MATCH(C1085,T_ID,0)),"⚠ ID no existe"))</f>
        <v/>
      </c>
      <c r="E1085" s="69"/>
      <c r="F1085" s="67"/>
      <c r="G1085" s="67"/>
      <c r="H1085" s="67"/>
      <c r="I1085" s="67"/>
      <c r="J1085" s="67"/>
      <c r="K1085" s="85" t="str">
        <f aca="false">IF(AH1085="","",N(F1085)+N(G1085)+N(H1085)-N(I1085)+N(J1085))</f>
        <v/>
      </c>
      <c r="L1085" s="67"/>
      <c r="M1085" s="67"/>
      <c r="N1085" s="67"/>
      <c r="O1085" s="67"/>
      <c r="P1085" s="85" t="str">
        <f aca="false">IF(AH1085="","",K1085+N(L1085)+N(M1085)+N(N1085)+N(O1085))</f>
        <v/>
      </c>
      <c r="Q1085" s="67"/>
      <c r="R1085" s="67"/>
      <c r="S1085" s="67"/>
      <c r="T1085" s="67"/>
      <c r="U1085" s="67"/>
      <c r="V1085" s="67"/>
      <c r="W1085" s="85" t="str">
        <f aca="false">IF(AH1085="","",N(Q1085)+N(R1085)+N(S1085)+N(T1085)+N(U1085)+N(V1085))</f>
        <v/>
      </c>
      <c r="X1085" s="85" t="str">
        <f aca="false">IF(AH1085="","",P1085-W1085)</f>
        <v/>
      </c>
      <c r="Y1085" s="67"/>
      <c r="Z1085" s="70" t="str">
        <f aca="false">IF(OR(AH1085="",Y1085=""),"",IF(ABS(X1085-Y1085)&lt;=1,"✓ Cuadra","⚠ Diferencia $"&amp;FIXED(X1085-Y1085,0)))</f>
        <v/>
      </c>
      <c r="AA1085" s="72" t="str">
        <f aca="false">IF(AH1085="","",IFERROR(INDEX(C_TIPO,MATCH(C1085&amp;"-P"&amp;MAX(1,COUNTIFS(C_ID,C1085,C_DEFINE,"Sí",C_INICIO,"&lt;="&amp;EOMONTH(B1085,0))),C_CLAVE,0))&amp;"","Sin dato"))</f>
        <v/>
      </c>
      <c r="AB1085" s="71" t="str">
        <f aca="false">IF(AH1085="","",ROUND(MIN(K1085,TOPE_AFP_UF*AJ1085)*AK1085,0))</f>
        <v/>
      </c>
      <c r="AC1085" s="71" t="str">
        <f aca="false">IF(AH1085="","",ROUND(MIN(K1085,TOPE_AFC_UF*AJ1085)*IF(AA1085="Indefinido",AFC_EMP_INDEF,AFC_EMP_PF),0))</f>
        <v/>
      </c>
      <c r="AD1085" s="71" t="str">
        <f aca="false">IF(AH1085="","",ROUND(MIN(K1085,TOPE_AFP_UF*AJ1085)*(MUTUAL_BASICA+MUTUAL_ADIC+SANNA),0))</f>
        <v/>
      </c>
      <c r="AE1085" s="71" t="str">
        <f aca="false">IF(AH1085="","",P1085-N(N1085)+AB1085+AC1085+AD1085)</f>
        <v/>
      </c>
      <c r="AF1085" s="65"/>
      <c r="AG1085" s="64"/>
      <c r="AH1085" s="72" t="str">
        <f aca="false">IF(OR(B1085="",C1085=""),"",C1085&amp;"|"&amp;(YEAR(B1085)*100+MONTH(B1085)))</f>
        <v/>
      </c>
      <c r="AI1085" s="70" t="str">
        <f aca="false">IF(AH1085="","",IF(COUNTIF(L_CLAVE,AH1085)&gt;1,"⚠ Duplicado","OK"))</f>
        <v/>
      </c>
      <c r="AJ1085" s="86" t="str">
        <f aca="false">IF(AH1085="","",IF(SUMPRODUCT(MAX((IND_PER&lt;=B1085)*(IND_UF&lt;&gt;"")*IND_PER))=0,UF_HOY,INDEX(IND_UF,MATCH(SUMPRODUCT(MAX((IND_PER&lt;=B1085)*(IND_UF&lt;&gt;"")*IND_PER)),IND_PER,0))))</f>
        <v/>
      </c>
      <c r="AK1085" s="87" t="str">
        <f aca="false">IF(AH1085="","",IF(COUNTIF(TASA_DESDE,"&lt;="&amp;B1085)=0,INDEX(TASA_EMP,1),INDEX(TASA_EMP,COUNTIF(TASA_DESDE,"&lt;="&amp;B1085))))</f>
        <v/>
      </c>
    </row>
    <row r="1086" customFormat="false" ht="15" hidden="false" customHeight="false" outlineLevel="0" collapsed="false">
      <c r="B1086" s="78"/>
      <c r="C1086" s="64"/>
      <c r="D1086" s="72" t="str">
        <f aca="false">IF(C1086="","",IFERROR(INDEX(T_NOMBRE,MATCH(C1086,T_ID,0)),"⚠ ID no existe"))</f>
        <v/>
      </c>
      <c r="E1086" s="69"/>
      <c r="F1086" s="67"/>
      <c r="G1086" s="67"/>
      <c r="H1086" s="67"/>
      <c r="I1086" s="67"/>
      <c r="J1086" s="67"/>
      <c r="K1086" s="85" t="str">
        <f aca="false">IF(AH1086="","",N(F1086)+N(G1086)+N(H1086)-N(I1086)+N(J1086))</f>
        <v/>
      </c>
      <c r="L1086" s="67"/>
      <c r="M1086" s="67"/>
      <c r="N1086" s="67"/>
      <c r="O1086" s="67"/>
      <c r="P1086" s="85" t="str">
        <f aca="false">IF(AH1086="","",K1086+N(L1086)+N(M1086)+N(N1086)+N(O1086))</f>
        <v/>
      </c>
      <c r="Q1086" s="67"/>
      <c r="R1086" s="67"/>
      <c r="S1086" s="67"/>
      <c r="T1086" s="67"/>
      <c r="U1086" s="67"/>
      <c r="V1086" s="67"/>
      <c r="W1086" s="85" t="str">
        <f aca="false">IF(AH1086="","",N(Q1086)+N(R1086)+N(S1086)+N(T1086)+N(U1086)+N(V1086))</f>
        <v/>
      </c>
      <c r="X1086" s="85" t="str">
        <f aca="false">IF(AH1086="","",P1086-W1086)</f>
        <v/>
      </c>
      <c r="Y1086" s="67"/>
      <c r="Z1086" s="70" t="str">
        <f aca="false">IF(OR(AH1086="",Y1086=""),"",IF(ABS(X1086-Y1086)&lt;=1,"✓ Cuadra","⚠ Diferencia $"&amp;FIXED(X1086-Y1086,0)))</f>
        <v/>
      </c>
      <c r="AA1086" s="72" t="str">
        <f aca="false">IF(AH1086="","",IFERROR(INDEX(C_TIPO,MATCH(C1086&amp;"-P"&amp;MAX(1,COUNTIFS(C_ID,C1086,C_DEFINE,"Sí",C_INICIO,"&lt;="&amp;EOMONTH(B1086,0))),C_CLAVE,0))&amp;"","Sin dato"))</f>
        <v/>
      </c>
      <c r="AB1086" s="71" t="str">
        <f aca="false">IF(AH1086="","",ROUND(MIN(K1086,TOPE_AFP_UF*AJ1086)*AK1086,0))</f>
        <v/>
      </c>
      <c r="AC1086" s="71" t="str">
        <f aca="false">IF(AH1086="","",ROUND(MIN(K1086,TOPE_AFC_UF*AJ1086)*IF(AA1086="Indefinido",AFC_EMP_INDEF,AFC_EMP_PF),0))</f>
        <v/>
      </c>
      <c r="AD1086" s="71" t="str">
        <f aca="false">IF(AH1086="","",ROUND(MIN(K1086,TOPE_AFP_UF*AJ1086)*(MUTUAL_BASICA+MUTUAL_ADIC+SANNA),0))</f>
        <v/>
      </c>
      <c r="AE1086" s="71" t="str">
        <f aca="false">IF(AH1086="","",P1086-N(N1086)+AB1086+AC1086+AD1086)</f>
        <v/>
      </c>
      <c r="AF1086" s="65"/>
      <c r="AG1086" s="64"/>
      <c r="AH1086" s="72" t="str">
        <f aca="false">IF(OR(B1086="",C1086=""),"",C1086&amp;"|"&amp;(YEAR(B1086)*100+MONTH(B1086)))</f>
        <v/>
      </c>
      <c r="AI1086" s="70" t="str">
        <f aca="false">IF(AH1086="","",IF(COUNTIF(L_CLAVE,AH1086)&gt;1,"⚠ Duplicado","OK"))</f>
        <v/>
      </c>
      <c r="AJ1086" s="86" t="str">
        <f aca="false">IF(AH1086="","",IF(SUMPRODUCT(MAX((IND_PER&lt;=B1086)*(IND_UF&lt;&gt;"")*IND_PER))=0,UF_HOY,INDEX(IND_UF,MATCH(SUMPRODUCT(MAX((IND_PER&lt;=B1086)*(IND_UF&lt;&gt;"")*IND_PER)),IND_PER,0))))</f>
        <v/>
      </c>
      <c r="AK1086" s="87" t="str">
        <f aca="false">IF(AH1086="","",IF(COUNTIF(TASA_DESDE,"&lt;="&amp;B1086)=0,INDEX(TASA_EMP,1),INDEX(TASA_EMP,COUNTIF(TASA_DESDE,"&lt;="&amp;B1086))))</f>
        <v/>
      </c>
    </row>
    <row r="1087" customFormat="false" ht="15" hidden="false" customHeight="false" outlineLevel="0" collapsed="false">
      <c r="B1087" s="78"/>
      <c r="C1087" s="64"/>
      <c r="D1087" s="72" t="str">
        <f aca="false">IF(C1087="","",IFERROR(INDEX(T_NOMBRE,MATCH(C1087,T_ID,0)),"⚠ ID no existe"))</f>
        <v/>
      </c>
      <c r="E1087" s="69"/>
      <c r="F1087" s="67"/>
      <c r="G1087" s="67"/>
      <c r="H1087" s="67"/>
      <c r="I1087" s="67"/>
      <c r="J1087" s="67"/>
      <c r="K1087" s="85" t="str">
        <f aca="false">IF(AH1087="","",N(F1087)+N(G1087)+N(H1087)-N(I1087)+N(J1087))</f>
        <v/>
      </c>
      <c r="L1087" s="67"/>
      <c r="M1087" s="67"/>
      <c r="N1087" s="67"/>
      <c r="O1087" s="67"/>
      <c r="P1087" s="85" t="str">
        <f aca="false">IF(AH1087="","",K1087+N(L1087)+N(M1087)+N(N1087)+N(O1087))</f>
        <v/>
      </c>
      <c r="Q1087" s="67"/>
      <c r="R1087" s="67"/>
      <c r="S1087" s="67"/>
      <c r="T1087" s="67"/>
      <c r="U1087" s="67"/>
      <c r="V1087" s="67"/>
      <c r="W1087" s="85" t="str">
        <f aca="false">IF(AH1087="","",N(Q1087)+N(R1087)+N(S1087)+N(T1087)+N(U1087)+N(V1087))</f>
        <v/>
      </c>
      <c r="X1087" s="85" t="str">
        <f aca="false">IF(AH1087="","",P1087-W1087)</f>
        <v/>
      </c>
      <c r="Y1087" s="67"/>
      <c r="Z1087" s="70" t="str">
        <f aca="false">IF(OR(AH1087="",Y1087=""),"",IF(ABS(X1087-Y1087)&lt;=1,"✓ Cuadra","⚠ Diferencia $"&amp;FIXED(X1087-Y1087,0)))</f>
        <v/>
      </c>
      <c r="AA1087" s="72" t="str">
        <f aca="false">IF(AH1087="","",IFERROR(INDEX(C_TIPO,MATCH(C1087&amp;"-P"&amp;MAX(1,COUNTIFS(C_ID,C1087,C_DEFINE,"Sí",C_INICIO,"&lt;="&amp;EOMONTH(B1087,0))),C_CLAVE,0))&amp;"","Sin dato"))</f>
        <v/>
      </c>
      <c r="AB1087" s="71" t="str">
        <f aca="false">IF(AH1087="","",ROUND(MIN(K1087,TOPE_AFP_UF*AJ1087)*AK1087,0))</f>
        <v/>
      </c>
      <c r="AC1087" s="71" t="str">
        <f aca="false">IF(AH1087="","",ROUND(MIN(K1087,TOPE_AFC_UF*AJ1087)*IF(AA1087="Indefinido",AFC_EMP_INDEF,AFC_EMP_PF),0))</f>
        <v/>
      </c>
      <c r="AD1087" s="71" t="str">
        <f aca="false">IF(AH1087="","",ROUND(MIN(K1087,TOPE_AFP_UF*AJ1087)*(MUTUAL_BASICA+MUTUAL_ADIC+SANNA),0))</f>
        <v/>
      </c>
      <c r="AE1087" s="71" t="str">
        <f aca="false">IF(AH1087="","",P1087-N(N1087)+AB1087+AC1087+AD1087)</f>
        <v/>
      </c>
      <c r="AF1087" s="65"/>
      <c r="AG1087" s="64"/>
      <c r="AH1087" s="72" t="str">
        <f aca="false">IF(OR(B1087="",C1087=""),"",C1087&amp;"|"&amp;(YEAR(B1087)*100+MONTH(B1087)))</f>
        <v/>
      </c>
      <c r="AI1087" s="70" t="str">
        <f aca="false">IF(AH1087="","",IF(COUNTIF(L_CLAVE,AH1087)&gt;1,"⚠ Duplicado","OK"))</f>
        <v/>
      </c>
      <c r="AJ1087" s="86" t="str">
        <f aca="false">IF(AH1087="","",IF(SUMPRODUCT(MAX((IND_PER&lt;=B1087)*(IND_UF&lt;&gt;"")*IND_PER))=0,UF_HOY,INDEX(IND_UF,MATCH(SUMPRODUCT(MAX((IND_PER&lt;=B1087)*(IND_UF&lt;&gt;"")*IND_PER)),IND_PER,0))))</f>
        <v/>
      </c>
      <c r="AK1087" s="87" t="str">
        <f aca="false">IF(AH1087="","",IF(COUNTIF(TASA_DESDE,"&lt;="&amp;B1087)=0,INDEX(TASA_EMP,1),INDEX(TASA_EMP,COUNTIF(TASA_DESDE,"&lt;="&amp;B1087))))</f>
        <v/>
      </c>
    </row>
    <row r="1088" customFormat="false" ht="15" hidden="false" customHeight="false" outlineLevel="0" collapsed="false">
      <c r="B1088" s="78"/>
      <c r="C1088" s="64"/>
      <c r="D1088" s="72" t="str">
        <f aca="false">IF(C1088="","",IFERROR(INDEX(T_NOMBRE,MATCH(C1088,T_ID,0)),"⚠ ID no existe"))</f>
        <v/>
      </c>
      <c r="E1088" s="69"/>
      <c r="F1088" s="67"/>
      <c r="G1088" s="67"/>
      <c r="H1088" s="67"/>
      <c r="I1088" s="67"/>
      <c r="J1088" s="67"/>
      <c r="K1088" s="85" t="str">
        <f aca="false">IF(AH1088="","",N(F1088)+N(G1088)+N(H1088)-N(I1088)+N(J1088))</f>
        <v/>
      </c>
      <c r="L1088" s="67"/>
      <c r="M1088" s="67"/>
      <c r="N1088" s="67"/>
      <c r="O1088" s="67"/>
      <c r="P1088" s="85" t="str">
        <f aca="false">IF(AH1088="","",K1088+N(L1088)+N(M1088)+N(N1088)+N(O1088))</f>
        <v/>
      </c>
      <c r="Q1088" s="67"/>
      <c r="R1088" s="67"/>
      <c r="S1088" s="67"/>
      <c r="T1088" s="67"/>
      <c r="U1088" s="67"/>
      <c r="V1088" s="67"/>
      <c r="W1088" s="85" t="str">
        <f aca="false">IF(AH1088="","",N(Q1088)+N(R1088)+N(S1088)+N(T1088)+N(U1088)+N(V1088))</f>
        <v/>
      </c>
      <c r="X1088" s="85" t="str">
        <f aca="false">IF(AH1088="","",P1088-W1088)</f>
        <v/>
      </c>
      <c r="Y1088" s="67"/>
      <c r="Z1088" s="70" t="str">
        <f aca="false">IF(OR(AH1088="",Y1088=""),"",IF(ABS(X1088-Y1088)&lt;=1,"✓ Cuadra","⚠ Diferencia $"&amp;FIXED(X1088-Y1088,0)))</f>
        <v/>
      </c>
      <c r="AA1088" s="72" t="str">
        <f aca="false">IF(AH1088="","",IFERROR(INDEX(C_TIPO,MATCH(C1088&amp;"-P"&amp;MAX(1,COUNTIFS(C_ID,C1088,C_DEFINE,"Sí",C_INICIO,"&lt;="&amp;EOMONTH(B1088,0))),C_CLAVE,0))&amp;"","Sin dato"))</f>
        <v/>
      </c>
      <c r="AB1088" s="71" t="str">
        <f aca="false">IF(AH1088="","",ROUND(MIN(K1088,TOPE_AFP_UF*AJ1088)*AK1088,0))</f>
        <v/>
      </c>
      <c r="AC1088" s="71" t="str">
        <f aca="false">IF(AH1088="","",ROUND(MIN(K1088,TOPE_AFC_UF*AJ1088)*IF(AA1088="Indefinido",AFC_EMP_INDEF,AFC_EMP_PF),0))</f>
        <v/>
      </c>
      <c r="AD1088" s="71" t="str">
        <f aca="false">IF(AH1088="","",ROUND(MIN(K1088,TOPE_AFP_UF*AJ1088)*(MUTUAL_BASICA+MUTUAL_ADIC+SANNA),0))</f>
        <v/>
      </c>
      <c r="AE1088" s="71" t="str">
        <f aca="false">IF(AH1088="","",P1088-N(N1088)+AB1088+AC1088+AD1088)</f>
        <v/>
      </c>
      <c r="AF1088" s="65"/>
      <c r="AG1088" s="64"/>
      <c r="AH1088" s="72" t="str">
        <f aca="false">IF(OR(B1088="",C1088=""),"",C1088&amp;"|"&amp;(YEAR(B1088)*100+MONTH(B1088)))</f>
        <v/>
      </c>
      <c r="AI1088" s="70" t="str">
        <f aca="false">IF(AH1088="","",IF(COUNTIF(L_CLAVE,AH1088)&gt;1,"⚠ Duplicado","OK"))</f>
        <v/>
      </c>
      <c r="AJ1088" s="86" t="str">
        <f aca="false">IF(AH1088="","",IF(SUMPRODUCT(MAX((IND_PER&lt;=B1088)*(IND_UF&lt;&gt;"")*IND_PER))=0,UF_HOY,INDEX(IND_UF,MATCH(SUMPRODUCT(MAX((IND_PER&lt;=B1088)*(IND_UF&lt;&gt;"")*IND_PER)),IND_PER,0))))</f>
        <v/>
      </c>
      <c r="AK1088" s="87" t="str">
        <f aca="false">IF(AH1088="","",IF(COUNTIF(TASA_DESDE,"&lt;="&amp;B1088)=0,INDEX(TASA_EMP,1),INDEX(TASA_EMP,COUNTIF(TASA_DESDE,"&lt;="&amp;B1088))))</f>
        <v/>
      </c>
    </row>
    <row r="1089" customFormat="false" ht="15" hidden="false" customHeight="false" outlineLevel="0" collapsed="false">
      <c r="B1089" s="78"/>
      <c r="C1089" s="64"/>
      <c r="D1089" s="72" t="str">
        <f aca="false">IF(C1089="","",IFERROR(INDEX(T_NOMBRE,MATCH(C1089,T_ID,0)),"⚠ ID no existe"))</f>
        <v/>
      </c>
      <c r="E1089" s="69"/>
      <c r="F1089" s="67"/>
      <c r="G1089" s="67"/>
      <c r="H1089" s="67"/>
      <c r="I1089" s="67"/>
      <c r="J1089" s="67"/>
      <c r="K1089" s="85" t="str">
        <f aca="false">IF(AH1089="","",N(F1089)+N(G1089)+N(H1089)-N(I1089)+N(J1089))</f>
        <v/>
      </c>
      <c r="L1089" s="67"/>
      <c r="M1089" s="67"/>
      <c r="N1089" s="67"/>
      <c r="O1089" s="67"/>
      <c r="P1089" s="85" t="str">
        <f aca="false">IF(AH1089="","",K1089+N(L1089)+N(M1089)+N(N1089)+N(O1089))</f>
        <v/>
      </c>
      <c r="Q1089" s="67"/>
      <c r="R1089" s="67"/>
      <c r="S1089" s="67"/>
      <c r="T1089" s="67"/>
      <c r="U1089" s="67"/>
      <c r="V1089" s="67"/>
      <c r="W1089" s="85" t="str">
        <f aca="false">IF(AH1089="","",N(Q1089)+N(R1089)+N(S1089)+N(T1089)+N(U1089)+N(V1089))</f>
        <v/>
      </c>
      <c r="X1089" s="85" t="str">
        <f aca="false">IF(AH1089="","",P1089-W1089)</f>
        <v/>
      </c>
      <c r="Y1089" s="67"/>
      <c r="Z1089" s="70" t="str">
        <f aca="false">IF(OR(AH1089="",Y1089=""),"",IF(ABS(X1089-Y1089)&lt;=1,"✓ Cuadra","⚠ Diferencia $"&amp;FIXED(X1089-Y1089,0)))</f>
        <v/>
      </c>
      <c r="AA1089" s="72" t="str">
        <f aca="false">IF(AH1089="","",IFERROR(INDEX(C_TIPO,MATCH(C1089&amp;"-P"&amp;MAX(1,COUNTIFS(C_ID,C1089,C_DEFINE,"Sí",C_INICIO,"&lt;="&amp;EOMONTH(B1089,0))),C_CLAVE,0))&amp;"","Sin dato"))</f>
        <v/>
      </c>
      <c r="AB1089" s="71" t="str">
        <f aca="false">IF(AH1089="","",ROUND(MIN(K1089,TOPE_AFP_UF*AJ1089)*AK1089,0))</f>
        <v/>
      </c>
      <c r="AC1089" s="71" t="str">
        <f aca="false">IF(AH1089="","",ROUND(MIN(K1089,TOPE_AFC_UF*AJ1089)*IF(AA1089="Indefinido",AFC_EMP_INDEF,AFC_EMP_PF),0))</f>
        <v/>
      </c>
      <c r="AD1089" s="71" t="str">
        <f aca="false">IF(AH1089="","",ROUND(MIN(K1089,TOPE_AFP_UF*AJ1089)*(MUTUAL_BASICA+MUTUAL_ADIC+SANNA),0))</f>
        <v/>
      </c>
      <c r="AE1089" s="71" t="str">
        <f aca="false">IF(AH1089="","",P1089-N(N1089)+AB1089+AC1089+AD1089)</f>
        <v/>
      </c>
      <c r="AF1089" s="65"/>
      <c r="AG1089" s="64"/>
      <c r="AH1089" s="72" t="str">
        <f aca="false">IF(OR(B1089="",C1089=""),"",C1089&amp;"|"&amp;(YEAR(B1089)*100+MONTH(B1089)))</f>
        <v/>
      </c>
      <c r="AI1089" s="70" t="str">
        <f aca="false">IF(AH1089="","",IF(COUNTIF(L_CLAVE,AH1089)&gt;1,"⚠ Duplicado","OK"))</f>
        <v/>
      </c>
      <c r="AJ1089" s="86" t="str">
        <f aca="false">IF(AH1089="","",IF(SUMPRODUCT(MAX((IND_PER&lt;=B1089)*(IND_UF&lt;&gt;"")*IND_PER))=0,UF_HOY,INDEX(IND_UF,MATCH(SUMPRODUCT(MAX((IND_PER&lt;=B1089)*(IND_UF&lt;&gt;"")*IND_PER)),IND_PER,0))))</f>
        <v/>
      </c>
      <c r="AK1089" s="87" t="str">
        <f aca="false">IF(AH1089="","",IF(COUNTIF(TASA_DESDE,"&lt;="&amp;B1089)=0,INDEX(TASA_EMP,1),INDEX(TASA_EMP,COUNTIF(TASA_DESDE,"&lt;="&amp;B1089))))</f>
        <v/>
      </c>
    </row>
    <row r="1090" customFormat="false" ht="15" hidden="false" customHeight="false" outlineLevel="0" collapsed="false">
      <c r="B1090" s="78"/>
      <c r="C1090" s="64"/>
      <c r="D1090" s="72" t="str">
        <f aca="false">IF(C1090="","",IFERROR(INDEX(T_NOMBRE,MATCH(C1090,T_ID,0)),"⚠ ID no existe"))</f>
        <v/>
      </c>
      <c r="E1090" s="69"/>
      <c r="F1090" s="67"/>
      <c r="G1090" s="67"/>
      <c r="H1090" s="67"/>
      <c r="I1090" s="67"/>
      <c r="J1090" s="67"/>
      <c r="K1090" s="85" t="str">
        <f aca="false">IF(AH1090="","",N(F1090)+N(G1090)+N(H1090)-N(I1090)+N(J1090))</f>
        <v/>
      </c>
      <c r="L1090" s="67"/>
      <c r="M1090" s="67"/>
      <c r="N1090" s="67"/>
      <c r="O1090" s="67"/>
      <c r="P1090" s="85" t="str">
        <f aca="false">IF(AH1090="","",K1090+N(L1090)+N(M1090)+N(N1090)+N(O1090))</f>
        <v/>
      </c>
      <c r="Q1090" s="67"/>
      <c r="R1090" s="67"/>
      <c r="S1090" s="67"/>
      <c r="T1090" s="67"/>
      <c r="U1090" s="67"/>
      <c r="V1090" s="67"/>
      <c r="W1090" s="85" t="str">
        <f aca="false">IF(AH1090="","",N(Q1090)+N(R1090)+N(S1090)+N(T1090)+N(U1090)+N(V1090))</f>
        <v/>
      </c>
      <c r="X1090" s="85" t="str">
        <f aca="false">IF(AH1090="","",P1090-W1090)</f>
        <v/>
      </c>
      <c r="Y1090" s="67"/>
      <c r="Z1090" s="70" t="str">
        <f aca="false">IF(OR(AH1090="",Y1090=""),"",IF(ABS(X1090-Y1090)&lt;=1,"✓ Cuadra","⚠ Diferencia $"&amp;FIXED(X1090-Y1090,0)))</f>
        <v/>
      </c>
      <c r="AA1090" s="72" t="str">
        <f aca="false">IF(AH1090="","",IFERROR(INDEX(C_TIPO,MATCH(C1090&amp;"-P"&amp;MAX(1,COUNTIFS(C_ID,C1090,C_DEFINE,"Sí",C_INICIO,"&lt;="&amp;EOMONTH(B1090,0))),C_CLAVE,0))&amp;"","Sin dato"))</f>
        <v/>
      </c>
      <c r="AB1090" s="71" t="str">
        <f aca="false">IF(AH1090="","",ROUND(MIN(K1090,TOPE_AFP_UF*AJ1090)*AK1090,0))</f>
        <v/>
      </c>
      <c r="AC1090" s="71" t="str">
        <f aca="false">IF(AH1090="","",ROUND(MIN(K1090,TOPE_AFC_UF*AJ1090)*IF(AA1090="Indefinido",AFC_EMP_INDEF,AFC_EMP_PF),0))</f>
        <v/>
      </c>
      <c r="AD1090" s="71" t="str">
        <f aca="false">IF(AH1090="","",ROUND(MIN(K1090,TOPE_AFP_UF*AJ1090)*(MUTUAL_BASICA+MUTUAL_ADIC+SANNA),0))</f>
        <v/>
      </c>
      <c r="AE1090" s="71" t="str">
        <f aca="false">IF(AH1090="","",P1090-N(N1090)+AB1090+AC1090+AD1090)</f>
        <v/>
      </c>
      <c r="AF1090" s="65"/>
      <c r="AG1090" s="64"/>
      <c r="AH1090" s="72" t="str">
        <f aca="false">IF(OR(B1090="",C1090=""),"",C1090&amp;"|"&amp;(YEAR(B1090)*100+MONTH(B1090)))</f>
        <v/>
      </c>
      <c r="AI1090" s="70" t="str">
        <f aca="false">IF(AH1090="","",IF(COUNTIF(L_CLAVE,AH1090)&gt;1,"⚠ Duplicado","OK"))</f>
        <v/>
      </c>
      <c r="AJ1090" s="86" t="str">
        <f aca="false">IF(AH1090="","",IF(SUMPRODUCT(MAX((IND_PER&lt;=B1090)*(IND_UF&lt;&gt;"")*IND_PER))=0,UF_HOY,INDEX(IND_UF,MATCH(SUMPRODUCT(MAX((IND_PER&lt;=B1090)*(IND_UF&lt;&gt;"")*IND_PER)),IND_PER,0))))</f>
        <v/>
      </c>
      <c r="AK1090" s="87" t="str">
        <f aca="false">IF(AH1090="","",IF(COUNTIF(TASA_DESDE,"&lt;="&amp;B1090)=0,INDEX(TASA_EMP,1),INDEX(TASA_EMP,COUNTIF(TASA_DESDE,"&lt;="&amp;B1090))))</f>
        <v/>
      </c>
    </row>
    <row r="1091" customFormat="false" ht="15" hidden="false" customHeight="false" outlineLevel="0" collapsed="false">
      <c r="B1091" s="78"/>
      <c r="C1091" s="64"/>
      <c r="D1091" s="72" t="str">
        <f aca="false">IF(C1091="","",IFERROR(INDEX(T_NOMBRE,MATCH(C1091,T_ID,0)),"⚠ ID no existe"))</f>
        <v/>
      </c>
      <c r="E1091" s="69"/>
      <c r="F1091" s="67"/>
      <c r="G1091" s="67"/>
      <c r="H1091" s="67"/>
      <c r="I1091" s="67"/>
      <c r="J1091" s="67"/>
      <c r="K1091" s="85" t="str">
        <f aca="false">IF(AH1091="","",N(F1091)+N(G1091)+N(H1091)-N(I1091)+N(J1091))</f>
        <v/>
      </c>
      <c r="L1091" s="67"/>
      <c r="M1091" s="67"/>
      <c r="N1091" s="67"/>
      <c r="O1091" s="67"/>
      <c r="P1091" s="85" t="str">
        <f aca="false">IF(AH1091="","",K1091+N(L1091)+N(M1091)+N(N1091)+N(O1091))</f>
        <v/>
      </c>
      <c r="Q1091" s="67"/>
      <c r="R1091" s="67"/>
      <c r="S1091" s="67"/>
      <c r="T1091" s="67"/>
      <c r="U1091" s="67"/>
      <c r="V1091" s="67"/>
      <c r="W1091" s="85" t="str">
        <f aca="false">IF(AH1091="","",N(Q1091)+N(R1091)+N(S1091)+N(T1091)+N(U1091)+N(V1091))</f>
        <v/>
      </c>
      <c r="X1091" s="85" t="str">
        <f aca="false">IF(AH1091="","",P1091-W1091)</f>
        <v/>
      </c>
      <c r="Y1091" s="67"/>
      <c r="Z1091" s="70" t="str">
        <f aca="false">IF(OR(AH1091="",Y1091=""),"",IF(ABS(X1091-Y1091)&lt;=1,"✓ Cuadra","⚠ Diferencia $"&amp;FIXED(X1091-Y1091,0)))</f>
        <v/>
      </c>
      <c r="AA1091" s="72" t="str">
        <f aca="false">IF(AH1091="","",IFERROR(INDEX(C_TIPO,MATCH(C1091&amp;"-P"&amp;MAX(1,COUNTIFS(C_ID,C1091,C_DEFINE,"Sí",C_INICIO,"&lt;="&amp;EOMONTH(B1091,0))),C_CLAVE,0))&amp;"","Sin dato"))</f>
        <v/>
      </c>
      <c r="AB1091" s="71" t="str">
        <f aca="false">IF(AH1091="","",ROUND(MIN(K1091,TOPE_AFP_UF*AJ1091)*AK1091,0))</f>
        <v/>
      </c>
      <c r="AC1091" s="71" t="str">
        <f aca="false">IF(AH1091="","",ROUND(MIN(K1091,TOPE_AFC_UF*AJ1091)*IF(AA1091="Indefinido",AFC_EMP_INDEF,AFC_EMP_PF),0))</f>
        <v/>
      </c>
      <c r="AD1091" s="71" t="str">
        <f aca="false">IF(AH1091="","",ROUND(MIN(K1091,TOPE_AFP_UF*AJ1091)*(MUTUAL_BASICA+MUTUAL_ADIC+SANNA),0))</f>
        <v/>
      </c>
      <c r="AE1091" s="71" t="str">
        <f aca="false">IF(AH1091="","",P1091-N(N1091)+AB1091+AC1091+AD1091)</f>
        <v/>
      </c>
      <c r="AF1091" s="65"/>
      <c r="AG1091" s="64"/>
      <c r="AH1091" s="72" t="str">
        <f aca="false">IF(OR(B1091="",C1091=""),"",C1091&amp;"|"&amp;(YEAR(B1091)*100+MONTH(B1091)))</f>
        <v/>
      </c>
      <c r="AI1091" s="70" t="str">
        <f aca="false">IF(AH1091="","",IF(COUNTIF(L_CLAVE,AH1091)&gt;1,"⚠ Duplicado","OK"))</f>
        <v/>
      </c>
      <c r="AJ1091" s="86" t="str">
        <f aca="false">IF(AH1091="","",IF(SUMPRODUCT(MAX((IND_PER&lt;=B1091)*(IND_UF&lt;&gt;"")*IND_PER))=0,UF_HOY,INDEX(IND_UF,MATCH(SUMPRODUCT(MAX((IND_PER&lt;=B1091)*(IND_UF&lt;&gt;"")*IND_PER)),IND_PER,0))))</f>
        <v/>
      </c>
      <c r="AK1091" s="87" t="str">
        <f aca="false">IF(AH1091="","",IF(COUNTIF(TASA_DESDE,"&lt;="&amp;B1091)=0,INDEX(TASA_EMP,1),INDEX(TASA_EMP,COUNTIF(TASA_DESDE,"&lt;="&amp;B1091))))</f>
        <v/>
      </c>
    </row>
    <row r="1092" customFormat="false" ht="15" hidden="false" customHeight="false" outlineLevel="0" collapsed="false">
      <c r="B1092" s="78"/>
      <c r="C1092" s="64"/>
      <c r="D1092" s="72" t="str">
        <f aca="false">IF(C1092="","",IFERROR(INDEX(T_NOMBRE,MATCH(C1092,T_ID,0)),"⚠ ID no existe"))</f>
        <v/>
      </c>
      <c r="E1092" s="69"/>
      <c r="F1092" s="67"/>
      <c r="G1092" s="67"/>
      <c r="H1092" s="67"/>
      <c r="I1092" s="67"/>
      <c r="J1092" s="67"/>
      <c r="K1092" s="85" t="str">
        <f aca="false">IF(AH1092="","",N(F1092)+N(G1092)+N(H1092)-N(I1092)+N(J1092))</f>
        <v/>
      </c>
      <c r="L1092" s="67"/>
      <c r="M1092" s="67"/>
      <c r="N1092" s="67"/>
      <c r="O1092" s="67"/>
      <c r="P1092" s="85" t="str">
        <f aca="false">IF(AH1092="","",K1092+N(L1092)+N(M1092)+N(N1092)+N(O1092))</f>
        <v/>
      </c>
      <c r="Q1092" s="67"/>
      <c r="R1092" s="67"/>
      <c r="S1092" s="67"/>
      <c r="T1092" s="67"/>
      <c r="U1092" s="67"/>
      <c r="V1092" s="67"/>
      <c r="W1092" s="85" t="str">
        <f aca="false">IF(AH1092="","",N(Q1092)+N(R1092)+N(S1092)+N(T1092)+N(U1092)+N(V1092))</f>
        <v/>
      </c>
      <c r="X1092" s="85" t="str">
        <f aca="false">IF(AH1092="","",P1092-W1092)</f>
        <v/>
      </c>
      <c r="Y1092" s="67"/>
      <c r="Z1092" s="70" t="str">
        <f aca="false">IF(OR(AH1092="",Y1092=""),"",IF(ABS(X1092-Y1092)&lt;=1,"✓ Cuadra","⚠ Diferencia $"&amp;FIXED(X1092-Y1092,0)))</f>
        <v/>
      </c>
      <c r="AA1092" s="72" t="str">
        <f aca="false">IF(AH1092="","",IFERROR(INDEX(C_TIPO,MATCH(C1092&amp;"-P"&amp;MAX(1,COUNTIFS(C_ID,C1092,C_DEFINE,"Sí",C_INICIO,"&lt;="&amp;EOMONTH(B1092,0))),C_CLAVE,0))&amp;"","Sin dato"))</f>
        <v/>
      </c>
      <c r="AB1092" s="71" t="str">
        <f aca="false">IF(AH1092="","",ROUND(MIN(K1092,TOPE_AFP_UF*AJ1092)*AK1092,0))</f>
        <v/>
      </c>
      <c r="AC1092" s="71" t="str">
        <f aca="false">IF(AH1092="","",ROUND(MIN(K1092,TOPE_AFC_UF*AJ1092)*IF(AA1092="Indefinido",AFC_EMP_INDEF,AFC_EMP_PF),0))</f>
        <v/>
      </c>
      <c r="AD1092" s="71" t="str">
        <f aca="false">IF(AH1092="","",ROUND(MIN(K1092,TOPE_AFP_UF*AJ1092)*(MUTUAL_BASICA+MUTUAL_ADIC+SANNA),0))</f>
        <v/>
      </c>
      <c r="AE1092" s="71" t="str">
        <f aca="false">IF(AH1092="","",P1092-N(N1092)+AB1092+AC1092+AD1092)</f>
        <v/>
      </c>
      <c r="AF1092" s="65"/>
      <c r="AG1092" s="64"/>
      <c r="AH1092" s="72" t="str">
        <f aca="false">IF(OR(B1092="",C1092=""),"",C1092&amp;"|"&amp;(YEAR(B1092)*100+MONTH(B1092)))</f>
        <v/>
      </c>
      <c r="AI1092" s="70" t="str">
        <f aca="false">IF(AH1092="","",IF(COUNTIF(L_CLAVE,AH1092)&gt;1,"⚠ Duplicado","OK"))</f>
        <v/>
      </c>
      <c r="AJ1092" s="86" t="str">
        <f aca="false">IF(AH1092="","",IF(SUMPRODUCT(MAX((IND_PER&lt;=B1092)*(IND_UF&lt;&gt;"")*IND_PER))=0,UF_HOY,INDEX(IND_UF,MATCH(SUMPRODUCT(MAX((IND_PER&lt;=B1092)*(IND_UF&lt;&gt;"")*IND_PER)),IND_PER,0))))</f>
        <v/>
      </c>
      <c r="AK1092" s="87" t="str">
        <f aca="false">IF(AH1092="","",IF(COUNTIF(TASA_DESDE,"&lt;="&amp;B1092)=0,INDEX(TASA_EMP,1),INDEX(TASA_EMP,COUNTIF(TASA_DESDE,"&lt;="&amp;B1092))))</f>
        <v/>
      </c>
    </row>
    <row r="1093" customFormat="false" ht="15" hidden="false" customHeight="false" outlineLevel="0" collapsed="false">
      <c r="B1093" s="78"/>
      <c r="C1093" s="64"/>
      <c r="D1093" s="72" t="str">
        <f aca="false">IF(C1093="","",IFERROR(INDEX(T_NOMBRE,MATCH(C1093,T_ID,0)),"⚠ ID no existe"))</f>
        <v/>
      </c>
      <c r="E1093" s="69"/>
      <c r="F1093" s="67"/>
      <c r="G1093" s="67"/>
      <c r="H1093" s="67"/>
      <c r="I1093" s="67"/>
      <c r="J1093" s="67"/>
      <c r="K1093" s="85" t="str">
        <f aca="false">IF(AH1093="","",N(F1093)+N(G1093)+N(H1093)-N(I1093)+N(J1093))</f>
        <v/>
      </c>
      <c r="L1093" s="67"/>
      <c r="M1093" s="67"/>
      <c r="N1093" s="67"/>
      <c r="O1093" s="67"/>
      <c r="P1093" s="85" t="str">
        <f aca="false">IF(AH1093="","",K1093+N(L1093)+N(M1093)+N(N1093)+N(O1093))</f>
        <v/>
      </c>
      <c r="Q1093" s="67"/>
      <c r="R1093" s="67"/>
      <c r="S1093" s="67"/>
      <c r="T1093" s="67"/>
      <c r="U1093" s="67"/>
      <c r="V1093" s="67"/>
      <c r="W1093" s="85" t="str">
        <f aca="false">IF(AH1093="","",N(Q1093)+N(R1093)+N(S1093)+N(T1093)+N(U1093)+N(V1093))</f>
        <v/>
      </c>
      <c r="X1093" s="85" t="str">
        <f aca="false">IF(AH1093="","",P1093-W1093)</f>
        <v/>
      </c>
      <c r="Y1093" s="67"/>
      <c r="Z1093" s="70" t="str">
        <f aca="false">IF(OR(AH1093="",Y1093=""),"",IF(ABS(X1093-Y1093)&lt;=1,"✓ Cuadra","⚠ Diferencia $"&amp;FIXED(X1093-Y1093,0)))</f>
        <v/>
      </c>
      <c r="AA1093" s="72" t="str">
        <f aca="false">IF(AH1093="","",IFERROR(INDEX(C_TIPO,MATCH(C1093&amp;"-P"&amp;MAX(1,COUNTIFS(C_ID,C1093,C_DEFINE,"Sí",C_INICIO,"&lt;="&amp;EOMONTH(B1093,0))),C_CLAVE,0))&amp;"","Sin dato"))</f>
        <v/>
      </c>
      <c r="AB1093" s="71" t="str">
        <f aca="false">IF(AH1093="","",ROUND(MIN(K1093,TOPE_AFP_UF*AJ1093)*AK1093,0))</f>
        <v/>
      </c>
      <c r="AC1093" s="71" t="str">
        <f aca="false">IF(AH1093="","",ROUND(MIN(K1093,TOPE_AFC_UF*AJ1093)*IF(AA1093="Indefinido",AFC_EMP_INDEF,AFC_EMP_PF),0))</f>
        <v/>
      </c>
      <c r="AD1093" s="71" t="str">
        <f aca="false">IF(AH1093="","",ROUND(MIN(K1093,TOPE_AFP_UF*AJ1093)*(MUTUAL_BASICA+MUTUAL_ADIC+SANNA),0))</f>
        <v/>
      </c>
      <c r="AE1093" s="71" t="str">
        <f aca="false">IF(AH1093="","",P1093-N(N1093)+AB1093+AC1093+AD1093)</f>
        <v/>
      </c>
      <c r="AF1093" s="65"/>
      <c r="AG1093" s="64"/>
      <c r="AH1093" s="72" t="str">
        <f aca="false">IF(OR(B1093="",C1093=""),"",C1093&amp;"|"&amp;(YEAR(B1093)*100+MONTH(B1093)))</f>
        <v/>
      </c>
      <c r="AI1093" s="70" t="str">
        <f aca="false">IF(AH1093="","",IF(COUNTIF(L_CLAVE,AH1093)&gt;1,"⚠ Duplicado","OK"))</f>
        <v/>
      </c>
      <c r="AJ1093" s="86" t="str">
        <f aca="false">IF(AH1093="","",IF(SUMPRODUCT(MAX((IND_PER&lt;=B1093)*(IND_UF&lt;&gt;"")*IND_PER))=0,UF_HOY,INDEX(IND_UF,MATCH(SUMPRODUCT(MAX((IND_PER&lt;=B1093)*(IND_UF&lt;&gt;"")*IND_PER)),IND_PER,0))))</f>
        <v/>
      </c>
      <c r="AK1093" s="87" t="str">
        <f aca="false">IF(AH1093="","",IF(COUNTIF(TASA_DESDE,"&lt;="&amp;B1093)=0,INDEX(TASA_EMP,1),INDEX(TASA_EMP,COUNTIF(TASA_DESDE,"&lt;="&amp;B1093))))</f>
        <v/>
      </c>
    </row>
    <row r="1094" customFormat="false" ht="15" hidden="false" customHeight="false" outlineLevel="0" collapsed="false">
      <c r="B1094" s="78"/>
      <c r="C1094" s="64"/>
      <c r="D1094" s="72" t="str">
        <f aca="false">IF(C1094="","",IFERROR(INDEX(T_NOMBRE,MATCH(C1094,T_ID,0)),"⚠ ID no existe"))</f>
        <v/>
      </c>
      <c r="E1094" s="69"/>
      <c r="F1094" s="67"/>
      <c r="G1094" s="67"/>
      <c r="H1094" s="67"/>
      <c r="I1094" s="67"/>
      <c r="J1094" s="67"/>
      <c r="K1094" s="85" t="str">
        <f aca="false">IF(AH1094="","",N(F1094)+N(G1094)+N(H1094)-N(I1094)+N(J1094))</f>
        <v/>
      </c>
      <c r="L1094" s="67"/>
      <c r="M1094" s="67"/>
      <c r="N1094" s="67"/>
      <c r="O1094" s="67"/>
      <c r="P1094" s="85" t="str">
        <f aca="false">IF(AH1094="","",K1094+N(L1094)+N(M1094)+N(N1094)+N(O1094))</f>
        <v/>
      </c>
      <c r="Q1094" s="67"/>
      <c r="R1094" s="67"/>
      <c r="S1094" s="67"/>
      <c r="T1094" s="67"/>
      <c r="U1094" s="67"/>
      <c r="V1094" s="67"/>
      <c r="W1094" s="85" t="str">
        <f aca="false">IF(AH1094="","",N(Q1094)+N(R1094)+N(S1094)+N(T1094)+N(U1094)+N(V1094))</f>
        <v/>
      </c>
      <c r="X1094" s="85" t="str">
        <f aca="false">IF(AH1094="","",P1094-W1094)</f>
        <v/>
      </c>
      <c r="Y1094" s="67"/>
      <c r="Z1094" s="70" t="str">
        <f aca="false">IF(OR(AH1094="",Y1094=""),"",IF(ABS(X1094-Y1094)&lt;=1,"✓ Cuadra","⚠ Diferencia $"&amp;FIXED(X1094-Y1094,0)))</f>
        <v/>
      </c>
      <c r="AA1094" s="72" t="str">
        <f aca="false">IF(AH1094="","",IFERROR(INDEX(C_TIPO,MATCH(C1094&amp;"-P"&amp;MAX(1,COUNTIFS(C_ID,C1094,C_DEFINE,"Sí",C_INICIO,"&lt;="&amp;EOMONTH(B1094,0))),C_CLAVE,0))&amp;"","Sin dato"))</f>
        <v/>
      </c>
      <c r="AB1094" s="71" t="str">
        <f aca="false">IF(AH1094="","",ROUND(MIN(K1094,TOPE_AFP_UF*AJ1094)*AK1094,0))</f>
        <v/>
      </c>
      <c r="AC1094" s="71" t="str">
        <f aca="false">IF(AH1094="","",ROUND(MIN(K1094,TOPE_AFC_UF*AJ1094)*IF(AA1094="Indefinido",AFC_EMP_INDEF,AFC_EMP_PF),0))</f>
        <v/>
      </c>
      <c r="AD1094" s="71" t="str">
        <f aca="false">IF(AH1094="","",ROUND(MIN(K1094,TOPE_AFP_UF*AJ1094)*(MUTUAL_BASICA+MUTUAL_ADIC+SANNA),0))</f>
        <v/>
      </c>
      <c r="AE1094" s="71" t="str">
        <f aca="false">IF(AH1094="","",P1094-N(N1094)+AB1094+AC1094+AD1094)</f>
        <v/>
      </c>
      <c r="AF1094" s="65"/>
      <c r="AG1094" s="64"/>
      <c r="AH1094" s="72" t="str">
        <f aca="false">IF(OR(B1094="",C1094=""),"",C1094&amp;"|"&amp;(YEAR(B1094)*100+MONTH(B1094)))</f>
        <v/>
      </c>
      <c r="AI1094" s="70" t="str">
        <f aca="false">IF(AH1094="","",IF(COUNTIF(L_CLAVE,AH1094)&gt;1,"⚠ Duplicado","OK"))</f>
        <v/>
      </c>
      <c r="AJ1094" s="86" t="str">
        <f aca="false">IF(AH1094="","",IF(SUMPRODUCT(MAX((IND_PER&lt;=B1094)*(IND_UF&lt;&gt;"")*IND_PER))=0,UF_HOY,INDEX(IND_UF,MATCH(SUMPRODUCT(MAX((IND_PER&lt;=B1094)*(IND_UF&lt;&gt;"")*IND_PER)),IND_PER,0))))</f>
        <v/>
      </c>
      <c r="AK1094" s="87" t="str">
        <f aca="false">IF(AH1094="","",IF(COUNTIF(TASA_DESDE,"&lt;="&amp;B1094)=0,INDEX(TASA_EMP,1),INDEX(TASA_EMP,COUNTIF(TASA_DESDE,"&lt;="&amp;B1094))))</f>
        <v/>
      </c>
    </row>
    <row r="1095" customFormat="false" ht="15" hidden="false" customHeight="false" outlineLevel="0" collapsed="false">
      <c r="B1095" s="78"/>
      <c r="C1095" s="64"/>
      <c r="D1095" s="72" t="str">
        <f aca="false">IF(C1095="","",IFERROR(INDEX(T_NOMBRE,MATCH(C1095,T_ID,0)),"⚠ ID no existe"))</f>
        <v/>
      </c>
      <c r="E1095" s="69"/>
      <c r="F1095" s="67"/>
      <c r="G1095" s="67"/>
      <c r="H1095" s="67"/>
      <c r="I1095" s="67"/>
      <c r="J1095" s="67"/>
      <c r="K1095" s="85" t="str">
        <f aca="false">IF(AH1095="","",N(F1095)+N(G1095)+N(H1095)-N(I1095)+N(J1095))</f>
        <v/>
      </c>
      <c r="L1095" s="67"/>
      <c r="M1095" s="67"/>
      <c r="N1095" s="67"/>
      <c r="O1095" s="67"/>
      <c r="P1095" s="85" t="str">
        <f aca="false">IF(AH1095="","",K1095+N(L1095)+N(M1095)+N(N1095)+N(O1095))</f>
        <v/>
      </c>
      <c r="Q1095" s="67"/>
      <c r="R1095" s="67"/>
      <c r="S1095" s="67"/>
      <c r="T1095" s="67"/>
      <c r="U1095" s="67"/>
      <c r="V1095" s="67"/>
      <c r="W1095" s="85" t="str">
        <f aca="false">IF(AH1095="","",N(Q1095)+N(R1095)+N(S1095)+N(T1095)+N(U1095)+N(V1095))</f>
        <v/>
      </c>
      <c r="X1095" s="85" t="str">
        <f aca="false">IF(AH1095="","",P1095-W1095)</f>
        <v/>
      </c>
      <c r="Y1095" s="67"/>
      <c r="Z1095" s="70" t="str">
        <f aca="false">IF(OR(AH1095="",Y1095=""),"",IF(ABS(X1095-Y1095)&lt;=1,"✓ Cuadra","⚠ Diferencia $"&amp;FIXED(X1095-Y1095,0)))</f>
        <v/>
      </c>
      <c r="AA1095" s="72" t="str">
        <f aca="false">IF(AH1095="","",IFERROR(INDEX(C_TIPO,MATCH(C1095&amp;"-P"&amp;MAX(1,COUNTIFS(C_ID,C1095,C_DEFINE,"Sí",C_INICIO,"&lt;="&amp;EOMONTH(B1095,0))),C_CLAVE,0))&amp;"","Sin dato"))</f>
        <v/>
      </c>
      <c r="AB1095" s="71" t="str">
        <f aca="false">IF(AH1095="","",ROUND(MIN(K1095,TOPE_AFP_UF*AJ1095)*AK1095,0))</f>
        <v/>
      </c>
      <c r="AC1095" s="71" t="str">
        <f aca="false">IF(AH1095="","",ROUND(MIN(K1095,TOPE_AFC_UF*AJ1095)*IF(AA1095="Indefinido",AFC_EMP_INDEF,AFC_EMP_PF),0))</f>
        <v/>
      </c>
      <c r="AD1095" s="71" t="str">
        <f aca="false">IF(AH1095="","",ROUND(MIN(K1095,TOPE_AFP_UF*AJ1095)*(MUTUAL_BASICA+MUTUAL_ADIC+SANNA),0))</f>
        <v/>
      </c>
      <c r="AE1095" s="71" t="str">
        <f aca="false">IF(AH1095="","",P1095-N(N1095)+AB1095+AC1095+AD1095)</f>
        <v/>
      </c>
      <c r="AF1095" s="65"/>
      <c r="AG1095" s="64"/>
      <c r="AH1095" s="72" t="str">
        <f aca="false">IF(OR(B1095="",C1095=""),"",C1095&amp;"|"&amp;(YEAR(B1095)*100+MONTH(B1095)))</f>
        <v/>
      </c>
      <c r="AI1095" s="70" t="str">
        <f aca="false">IF(AH1095="","",IF(COUNTIF(L_CLAVE,AH1095)&gt;1,"⚠ Duplicado","OK"))</f>
        <v/>
      </c>
      <c r="AJ1095" s="86" t="str">
        <f aca="false">IF(AH1095="","",IF(SUMPRODUCT(MAX((IND_PER&lt;=B1095)*(IND_UF&lt;&gt;"")*IND_PER))=0,UF_HOY,INDEX(IND_UF,MATCH(SUMPRODUCT(MAX((IND_PER&lt;=B1095)*(IND_UF&lt;&gt;"")*IND_PER)),IND_PER,0))))</f>
        <v/>
      </c>
      <c r="AK1095" s="87" t="str">
        <f aca="false">IF(AH1095="","",IF(COUNTIF(TASA_DESDE,"&lt;="&amp;B1095)=0,INDEX(TASA_EMP,1),INDEX(TASA_EMP,COUNTIF(TASA_DESDE,"&lt;="&amp;B1095))))</f>
        <v/>
      </c>
    </row>
    <row r="1096" customFormat="false" ht="15" hidden="false" customHeight="false" outlineLevel="0" collapsed="false">
      <c r="B1096" s="78"/>
      <c r="C1096" s="64"/>
      <c r="D1096" s="72" t="str">
        <f aca="false">IF(C1096="","",IFERROR(INDEX(T_NOMBRE,MATCH(C1096,T_ID,0)),"⚠ ID no existe"))</f>
        <v/>
      </c>
      <c r="E1096" s="69"/>
      <c r="F1096" s="67"/>
      <c r="G1096" s="67"/>
      <c r="H1096" s="67"/>
      <c r="I1096" s="67"/>
      <c r="J1096" s="67"/>
      <c r="K1096" s="85" t="str">
        <f aca="false">IF(AH1096="","",N(F1096)+N(G1096)+N(H1096)-N(I1096)+N(J1096))</f>
        <v/>
      </c>
      <c r="L1096" s="67"/>
      <c r="M1096" s="67"/>
      <c r="N1096" s="67"/>
      <c r="O1096" s="67"/>
      <c r="P1096" s="85" t="str">
        <f aca="false">IF(AH1096="","",K1096+N(L1096)+N(M1096)+N(N1096)+N(O1096))</f>
        <v/>
      </c>
      <c r="Q1096" s="67"/>
      <c r="R1096" s="67"/>
      <c r="S1096" s="67"/>
      <c r="T1096" s="67"/>
      <c r="U1096" s="67"/>
      <c r="V1096" s="67"/>
      <c r="W1096" s="85" t="str">
        <f aca="false">IF(AH1096="","",N(Q1096)+N(R1096)+N(S1096)+N(T1096)+N(U1096)+N(V1096))</f>
        <v/>
      </c>
      <c r="X1096" s="85" t="str">
        <f aca="false">IF(AH1096="","",P1096-W1096)</f>
        <v/>
      </c>
      <c r="Y1096" s="67"/>
      <c r="Z1096" s="70" t="str">
        <f aca="false">IF(OR(AH1096="",Y1096=""),"",IF(ABS(X1096-Y1096)&lt;=1,"✓ Cuadra","⚠ Diferencia $"&amp;FIXED(X1096-Y1096,0)))</f>
        <v/>
      </c>
      <c r="AA1096" s="72" t="str">
        <f aca="false">IF(AH1096="","",IFERROR(INDEX(C_TIPO,MATCH(C1096&amp;"-P"&amp;MAX(1,COUNTIFS(C_ID,C1096,C_DEFINE,"Sí",C_INICIO,"&lt;="&amp;EOMONTH(B1096,0))),C_CLAVE,0))&amp;"","Sin dato"))</f>
        <v/>
      </c>
      <c r="AB1096" s="71" t="str">
        <f aca="false">IF(AH1096="","",ROUND(MIN(K1096,TOPE_AFP_UF*AJ1096)*AK1096,0))</f>
        <v/>
      </c>
      <c r="AC1096" s="71" t="str">
        <f aca="false">IF(AH1096="","",ROUND(MIN(K1096,TOPE_AFC_UF*AJ1096)*IF(AA1096="Indefinido",AFC_EMP_INDEF,AFC_EMP_PF),0))</f>
        <v/>
      </c>
      <c r="AD1096" s="71" t="str">
        <f aca="false">IF(AH1096="","",ROUND(MIN(K1096,TOPE_AFP_UF*AJ1096)*(MUTUAL_BASICA+MUTUAL_ADIC+SANNA),0))</f>
        <v/>
      </c>
      <c r="AE1096" s="71" t="str">
        <f aca="false">IF(AH1096="","",P1096-N(N1096)+AB1096+AC1096+AD1096)</f>
        <v/>
      </c>
      <c r="AF1096" s="65"/>
      <c r="AG1096" s="64"/>
      <c r="AH1096" s="72" t="str">
        <f aca="false">IF(OR(B1096="",C1096=""),"",C1096&amp;"|"&amp;(YEAR(B1096)*100+MONTH(B1096)))</f>
        <v/>
      </c>
      <c r="AI1096" s="70" t="str">
        <f aca="false">IF(AH1096="","",IF(COUNTIF(L_CLAVE,AH1096)&gt;1,"⚠ Duplicado","OK"))</f>
        <v/>
      </c>
      <c r="AJ1096" s="86" t="str">
        <f aca="false">IF(AH1096="","",IF(SUMPRODUCT(MAX((IND_PER&lt;=B1096)*(IND_UF&lt;&gt;"")*IND_PER))=0,UF_HOY,INDEX(IND_UF,MATCH(SUMPRODUCT(MAX((IND_PER&lt;=B1096)*(IND_UF&lt;&gt;"")*IND_PER)),IND_PER,0))))</f>
        <v/>
      </c>
      <c r="AK1096" s="87" t="str">
        <f aca="false">IF(AH1096="","",IF(COUNTIF(TASA_DESDE,"&lt;="&amp;B1096)=0,INDEX(TASA_EMP,1),INDEX(TASA_EMP,COUNTIF(TASA_DESDE,"&lt;="&amp;B1096))))</f>
        <v/>
      </c>
    </row>
    <row r="1097" customFormat="false" ht="15" hidden="false" customHeight="false" outlineLevel="0" collapsed="false">
      <c r="B1097" s="78"/>
      <c r="C1097" s="64"/>
      <c r="D1097" s="72" t="str">
        <f aca="false">IF(C1097="","",IFERROR(INDEX(T_NOMBRE,MATCH(C1097,T_ID,0)),"⚠ ID no existe"))</f>
        <v/>
      </c>
      <c r="E1097" s="69"/>
      <c r="F1097" s="67"/>
      <c r="G1097" s="67"/>
      <c r="H1097" s="67"/>
      <c r="I1097" s="67"/>
      <c r="J1097" s="67"/>
      <c r="K1097" s="85" t="str">
        <f aca="false">IF(AH1097="","",N(F1097)+N(G1097)+N(H1097)-N(I1097)+N(J1097))</f>
        <v/>
      </c>
      <c r="L1097" s="67"/>
      <c r="M1097" s="67"/>
      <c r="N1097" s="67"/>
      <c r="O1097" s="67"/>
      <c r="P1097" s="85" t="str">
        <f aca="false">IF(AH1097="","",K1097+N(L1097)+N(M1097)+N(N1097)+N(O1097))</f>
        <v/>
      </c>
      <c r="Q1097" s="67"/>
      <c r="R1097" s="67"/>
      <c r="S1097" s="67"/>
      <c r="T1097" s="67"/>
      <c r="U1097" s="67"/>
      <c r="V1097" s="67"/>
      <c r="W1097" s="85" t="str">
        <f aca="false">IF(AH1097="","",N(Q1097)+N(R1097)+N(S1097)+N(T1097)+N(U1097)+N(V1097))</f>
        <v/>
      </c>
      <c r="X1097" s="85" t="str">
        <f aca="false">IF(AH1097="","",P1097-W1097)</f>
        <v/>
      </c>
      <c r="Y1097" s="67"/>
      <c r="Z1097" s="70" t="str">
        <f aca="false">IF(OR(AH1097="",Y1097=""),"",IF(ABS(X1097-Y1097)&lt;=1,"✓ Cuadra","⚠ Diferencia $"&amp;FIXED(X1097-Y1097,0)))</f>
        <v/>
      </c>
      <c r="AA1097" s="72" t="str">
        <f aca="false">IF(AH1097="","",IFERROR(INDEX(C_TIPO,MATCH(C1097&amp;"-P"&amp;MAX(1,COUNTIFS(C_ID,C1097,C_DEFINE,"Sí",C_INICIO,"&lt;="&amp;EOMONTH(B1097,0))),C_CLAVE,0))&amp;"","Sin dato"))</f>
        <v/>
      </c>
      <c r="AB1097" s="71" t="str">
        <f aca="false">IF(AH1097="","",ROUND(MIN(K1097,TOPE_AFP_UF*AJ1097)*AK1097,0))</f>
        <v/>
      </c>
      <c r="AC1097" s="71" t="str">
        <f aca="false">IF(AH1097="","",ROUND(MIN(K1097,TOPE_AFC_UF*AJ1097)*IF(AA1097="Indefinido",AFC_EMP_INDEF,AFC_EMP_PF),0))</f>
        <v/>
      </c>
      <c r="AD1097" s="71" t="str">
        <f aca="false">IF(AH1097="","",ROUND(MIN(K1097,TOPE_AFP_UF*AJ1097)*(MUTUAL_BASICA+MUTUAL_ADIC+SANNA),0))</f>
        <v/>
      </c>
      <c r="AE1097" s="71" t="str">
        <f aca="false">IF(AH1097="","",P1097-N(N1097)+AB1097+AC1097+AD1097)</f>
        <v/>
      </c>
      <c r="AF1097" s="65"/>
      <c r="AG1097" s="64"/>
      <c r="AH1097" s="72" t="str">
        <f aca="false">IF(OR(B1097="",C1097=""),"",C1097&amp;"|"&amp;(YEAR(B1097)*100+MONTH(B1097)))</f>
        <v/>
      </c>
      <c r="AI1097" s="70" t="str">
        <f aca="false">IF(AH1097="","",IF(COUNTIF(L_CLAVE,AH1097)&gt;1,"⚠ Duplicado","OK"))</f>
        <v/>
      </c>
      <c r="AJ1097" s="86" t="str">
        <f aca="false">IF(AH1097="","",IF(SUMPRODUCT(MAX((IND_PER&lt;=B1097)*(IND_UF&lt;&gt;"")*IND_PER))=0,UF_HOY,INDEX(IND_UF,MATCH(SUMPRODUCT(MAX((IND_PER&lt;=B1097)*(IND_UF&lt;&gt;"")*IND_PER)),IND_PER,0))))</f>
        <v/>
      </c>
      <c r="AK1097" s="87" t="str">
        <f aca="false">IF(AH1097="","",IF(COUNTIF(TASA_DESDE,"&lt;="&amp;B1097)=0,INDEX(TASA_EMP,1),INDEX(TASA_EMP,COUNTIF(TASA_DESDE,"&lt;="&amp;B1097))))</f>
        <v/>
      </c>
    </row>
    <row r="1098" customFormat="false" ht="15" hidden="false" customHeight="false" outlineLevel="0" collapsed="false">
      <c r="B1098" s="78"/>
      <c r="C1098" s="64"/>
      <c r="D1098" s="72" t="str">
        <f aca="false">IF(C1098="","",IFERROR(INDEX(T_NOMBRE,MATCH(C1098,T_ID,0)),"⚠ ID no existe"))</f>
        <v/>
      </c>
      <c r="E1098" s="69"/>
      <c r="F1098" s="67"/>
      <c r="G1098" s="67"/>
      <c r="H1098" s="67"/>
      <c r="I1098" s="67"/>
      <c r="J1098" s="67"/>
      <c r="K1098" s="85" t="str">
        <f aca="false">IF(AH1098="","",N(F1098)+N(G1098)+N(H1098)-N(I1098)+N(J1098))</f>
        <v/>
      </c>
      <c r="L1098" s="67"/>
      <c r="M1098" s="67"/>
      <c r="N1098" s="67"/>
      <c r="O1098" s="67"/>
      <c r="P1098" s="85" t="str">
        <f aca="false">IF(AH1098="","",K1098+N(L1098)+N(M1098)+N(N1098)+N(O1098))</f>
        <v/>
      </c>
      <c r="Q1098" s="67"/>
      <c r="R1098" s="67"/>
      <c r="S1098" s="67"/>
      <c r="T1098" s="67"/>
      <c r="U1098" s="67"/>
      <c r="V1098" s="67"/>
      <c r="W1098" s="85" t="str">
        <f aca="false">IF(AH1098="","",N(Q1098)+N(R1098)+N(S1098)+N(T1098)+N(U1098)+N(V1098))</f>
        <v/>
      </c>
      <c r="X1098" s="85" t="str">
        <f aca="false">IF(AH1098="","",P1098-W1098)</f>
        <v/>
      </c>
      <c r="Y1098" s="67"/>
      <c r="Z1098" s="70" t="str">
        <f aca="false">IF(OR(AH1098="",Y1098=""),"",IF(ABS(X1098-Y1098)&lt;=1,"✓ Cuadra","⚠ Diferencia $"&amp;FIXED(X1098-Y1098,0)))</f>
        <v/>
      </c>
      <c r="AA1098" s="72" t="str">
        <f aca="false">IF(AH1098="","",IFERROR(INDEX(C_TIPO,MATCH(C1098&amp;"-P"&amp;MAX(1,COUNTIFS(C_ID,C1098,C_DEFINE,"Sí",C_INICIO,"&lt;="&amp;EOMONTH(B1098,0))),C_CLAVE,0))&amp;"","Sin dato"))</f>
        <v/>
      </c>
      <c r="AB1098" s="71" t="str">
        <f aca="false">IF(AH1098="","",ROUND(MIN(K1098,TOPE_AFP_UF*AJ1098)*AK1098,0))</f>
        <v/>
      </c>
      <c r="AC1098" s="71" t="str">
        <f aca="false">IF(AH1098="","",ROUND(MIN(K1098,TOPE_AFC_UF*AJ1098)*IF(AA1098="Indefinido",AFC_EMP_INDEF,AFC_EMP_PF),0))</f>
        <v/>
      </c>
      <c r="AD1098" s="71" t="str">
        <f aca="false">IF(AH1098="","",ROUND(MIN(K1098,TOPE_AFP_UF*AJ1098)*(MUTUAL_BASICA+MUTUAL_ADIC+SANNA),0))</f>
        <v/>
      </c>
      <c r="AE1098" s="71" t="str">
        <f aca="false">IF(AH1098="","",P1098-N(N1098)+AB1098+AC1098+AD1098)</f>
        <v/>
      </c>
      <c r="AF1098" s="65"/>
      <c r="AG1098" s="64"/>
      <c r="AH1098" s="72" t="str">
        <f aca="false">IF(OR(B1098="",C1098=""),"",C1098&amp;"|"&amp;(YEAR(B1098)*100+MONTH(B1098)))</f>
        <v/>
      </c>
      <c r="AI1098" s="70" t="str">
        <f aca="false">IF(AH1098="","",IF(COUNTIF(L_CLAVE,AH1098)&gt;1,"⚠ Duplicado","OK"))</f>
        <v/>
      </c>
      <c r="AJ1098" s="86" t="str">
        <f aca="false">IF(AH1098="","",IF(SUMPRODUCT(MAX((IND_PER&lt;=B1098)*(IND_UF&lt;&gt;"")*IND_PER))=0,UF_HOY,INDEX(IND_UF,MATCH(SUMPRODUCT(MAX((IND_PER&lt;=B1098)*(IND_UF&lt;&gt;"")*IND_PER)),IND_PER,0))))</f>
        <v/>
      </c>
      <c r="AK1098" s="87" t="str">
        <f aca="false">IF(AH1098="","",IF(COUNTIF(TASA_DESDE,"&lt;="&amp;B1098)=0,INDEX(TASA_EMP,1),INDEX(TASA_EMP,COUNTIF(TASA_DESDE,"&lt;="&amp;B1098))))</f>
        <v/>
      </c>
    </row>
    <row r="1099" customFormat="false" ht="15" hidden="false" customHeight="false" outlineLevel="0" collapsed="false">
      <c r="B1099" s="78"/>
      <c r="C1099" s="64"/>
      <c r="D1099" s="72" t="str">
        <f aca="false">IF(C1099="","",IFERROR(INDEX(T_NOMBRE,MATCH(C1099,T_ID,0)),"⚠ ID no existe"))</f>
        <v/>
      </c>
      <c r="E1099" s="69"/>
      <c r="F1099" s="67"/>
      <c r="G1099" s="67"/>
      <c r="H1099" s="67"/>
      <c r="I1099" s="67"/>
      <c r="J1099" s="67"/>
      <c r="K1099" s="85" t="str">
        <f aca="false">IF(AH1099="","",N(F1099)+N(G1099)+N(H1099)-N(I1099)+N(J1099))</f>
        <v/>
      </c>
      <c r="L1099" s="67"/>
      <c r="M1099" s="67"/>
      <c r="N1099" s="67"/>
      <c r="O1099" s="67"/>
      <c r="P1099" s="85" t="str">
        <f aca="false">IF(AH1099="","",K1099+N(L1099)+N(M1099)+N(N1099)+N(O1099))</f>
        <v/>
      </c>
      <c r="Q1099" s="67"/>
      <c r="R1099" s="67"/>
      <c r="S1099" s="67"/>
      <c r="T1099" s="67"/>
      <c r="U1099" s="67"/>
      <c r="V1099" s="67"/>
      <c r="W1099" s="85" t="str">
        <f aca="false">IF(AH1099="","",N(Q1099)+N(R1099)+N(S1099)+N(T1099)+N(U1099)+N(V1099))</f>
        <v/>
      </c>
      <c r="X1099" s="85" t="str">
        <f aca="false">IF(AH1099="","",P1099-W1099)</f>
        <v/>
      </c>
      <c r="Y1099" s="67"/>
      <c r="Z1099" s="70" t="str">
        <f aca="false">IF(OR(AH1099="",Y1099=""),"",IF(ABS(X1099-Y1099)&lt;=1,"✓ Cuadra","⚠ Diferencia $"&amp;FIXED(X1099-Y1099,0)))</f>
        <v/>
      </c>
      <c r="AA1099" s="72" t="str">
        <f aca="false">IF(AH1099="","",IFERROR(INDEX(C_TIPO,MATCH(C1099&amp;"-P"&amp;MAX(1,COUNTIFS(C_ID,C1099,C_DEFINE,"Sí",C_INICIO,"&lt;="&amp;EOMONTH(B1099,0))),C_CLAVE,0))&amp;"","Sin dato"))</f>
        <v/>
      </c>
      <c r="AB1099" s="71" t="str">
        <f aca="false">IF(AH1099="","",ROUND(MIN(K1099,TOPE_AFP_UF*AJ1099)*AK1099,0))</f>
        <v/>
      </c>
      <c r="AC1099" s="71" t="str">
        <f aca="false">IF(AH1099="","",ROUND(MIN(K1099,TOPE_AFC_UF*AJ1099)*IF(AA1099="Indefinido",AFC_EMP_INDEF,AFC_EMP_PF),0))</f>
        <v/>
      </c>
      <c r="AD1099" s="71" t="str">
        <f aca="false">IF(AH1099="","",ROUND(MIN(K1099,TOPE_AFP_UF*AJ1099)*(MUTUAL_BASICA+MUTUAL_ADIC+SANNA),0))</f>
        <v/>
      </c>
      <c r="AE1099" s="71" t="str">
        <f aca="false">IF(AH1099="","",P1099-N(N1099)+AB1099+AC1099+AD1099)</f>
        <v/>
      </c>
      <c r="AF1099" s="65"/>
      <c r="AG1099" s="64"/>
      <c r="AH1099" s="72" t="str">
        <f aca="false">IF(OR(B1099="",C1099=""),"",C1099&amp;"|"&amp;(YEAR(B1099)*100+MONTH(B1099)))</f>
        <v/>
      </c>
      <c r="AI1099" s="70" t="str">
        <f aca="false">IF(AH1099="","",IF(COUNTIF(L_CLAVE,AH1099)&gt;1,"⚠ Duplicado","OK"))</f>
        <v/>
      </c>
      <c r="AJ1099" s="86" t="str">
        <f aca="false">IF(AH1099="","",IF(SUMPRODUCT(MAX((IND_PER&lt;=B1099)*(IND_UF&lt;&gt;"")*IND_PER))=0,UF_HOY,INDEX(IND_UF,MATCH(SUMPRODUCT(MAX((IND_PER&lt;=B1099)*(IND_UF&lt;&gt;"")*IND_PER)),IND_PER,0))))</f>
        <v/>
      </c>
      <c r="AK1099" s="87" t="str">
        <f aca="false">IF(AH1099="","",IF(COUNTIF(TASA_DESDE,"&lt;="&amp;B1099)=0,INDEX(TASA_EMP,1),INDEX(TASA_EMP,COUNTIF(TASA_DESDE,"&lt;="&amp;B1099))))</f>
        <v/>
      </c>
    </row>
    <row r="1100" customFormat="false" ht="15" hidden="false" customHeight="false" outlineLevel="0" collapsed="false">
      <c r="B1100" s="78"/>
      <c r="C1100" s="64"/>
      <c r="D1100" s="72" t="str">
        <f aca="false">IF(C1100="","",IFERROR(INDEX(T_NOMBRE,MATCH(C1100,T_ID,0)),"⚠ ID no existe"))</f>
        <v/>
      </c>
      <c r="E1100" s="69"/>
      <c r="F1100" s="67"/>
      <c r="G1100" s="67"/>
      <c r="H1100" s="67"/>
      <c r="I1100" s="67"/>
      <c r="J1100" s="67"/>
      <c r="K1100" s="85" t="str">
        <f aca="false">IF(AH1100="","",N(F1100)+N(G1100)+N(H1100)-N(I1100)+N(J1100))</f>
        <v/>
      </c>
      <c r="L1100" s="67"/>
      <c r="M1100" s="67"/>
      <c r="N1100" s="67"/>
      <c r="O1100" s="67"/>
      <c r="P1100" s="85" t="str">
        <f aca="false">IF(AH1100="","",K1100+N(L1100)+N(M1100)+N(N1100)+N(O1100))</f>
        <v/>
      </c>
      <c r="Q1100" s="67"/>
      <c r="R1100" s="67"/>
      <c r="S1100" s="67"/>
      <c r="T1100" s="67"/>
      <c r="U1100" s="67"/>
      <c r="V1100" s="67"/>
      <c r="W1100" s="85" t="str">
        <f aca="false">IF(AH1100="","",N(Q1100)+N(R1100)+N(S1100)+N(T1100)+N(U1100)+N(V1100))</f>
        <v/>
      </c>
      <c r="X1100" s="85" t="str">
        <f aca="false">IF(AH1100="","",P1100-W1100)</f>
        <v/>
      </c>
      <c r="Y1100" s="67"/>
      <c r="Z1100" s="70" t="str">
        <f aca="false">IF(OR(AH1100="",Y1100=""),"",IF(ABS(X1100-Y1100)&lt;=1,"✓ Cuadra","⚠ Diferencia $"&amp;FIXED(X1100-Y1100,0)))</f>
        <v/>
      </c>
      <c r="AA1100" s="72" t="str">
        <f aca="false">IF(AH1100="","",IFERROR(INDEX(C_TIPO,MATCH(C1100&amp;"-P"&amp;MAX(1,COUNTIFS(C_ID,C1100,C_DEFINE,"Sí",C_INICIO,"&lt;="&amp;EOMONTH(B1100,0))),C_CLAVE,0))&amp;"","Sin dato"))</f>
        <v/>
      </c>
      <c r="AB1100" s="71" t="str">
        <f aca="false">IF(AH1100="","",ROUND(MIN(K1100,TOPE_AFP_UF*AJ1100)*AK1100,0))</f>
        <v/>
      </c>
      <c r="AC1100" s="71" t="str">
        <f aca="false">IF(AH1100="","",ROUND(MIN(K1100,TOPE_AFC_UF*AJ1100)*IF(AA1100="Indefinido",AFC_EMP_INDEF,AFC_EMP_PF),0))</f>
        <v/>
      </c>
      <c r="AD1100" s="71" t="str">
        <f aca="false">IF(AH1100="","",ROUND(MIN(K1100,TOPE_AFP_UF*AJ1100)*(MUTUAL_BASICA+MUTUAL_ADIC+SANNA),0))</f>
        <v/>
      </c>
      <c r="AE1100" s="71" t="str">
        <f aca="false">IF(AH1100="","",P1100-N(N1100)+AB1100+AC1100+AD1100)</f>
        <v/>
      </c>
      <c r="AF1100" s="65"/>
      <c r="AG1100" s="64"/>
      <c r="AH1100" s="72" t="str">
        <f aca="false">IF(OR(B1100="",C1100=""),"",C1100&amp;"|"&amp;(YEAR(B1100)*100+MONTH(B1100)))</f>
        <v/>
      </c>
      <c r="AI1100" s="70" t="str">
        <f aca="false">IF(AH1100="","",IF(COUNTIF(L_CLAVE,AH1100)&gt;1,"⚠ Duplicado","OK"))</f>
        <v/>
      </c>
      <c r="AJ1100" s="86" t="str">
        <f aca="false">IF(AH1100="","",IF(SUMPRODUCT(MAX((IND_PER&lt;=B1100)*(IND_UF&lt;&gt;"")*IND_PER))=0,UF_HOY,INDEX(IND_UF,MATCH(SUMPRODUCT(MAX((IND_PER&lt;=B1100)*(IND_UF&lt;&gt;"")*IND_PER)),IND_PER,0))))</f>
        <v/>
      </c>
      <c r="AK1100" s="87" t="str">
        <f aca="false">IF(AH1100="","",IF(COUNTIF(TASA_DESDE,"&lt;="&amp;B1100)=0,INDEX(TASA_EMP,1),INDEX(TASA_EMP,COUNTIF(TASA_DESDE,"&lt;="&amp;B1100))))</f>
        <v/>
      </c>
    </row>
    <row r="1101" customFormat="false" ht="15" hidden="false" customHeight="false" outlineLevel="0" collapsed="false">
      <c r="B1101" s="78"/>
      <c r="C1101" s="64"/>
      <c r="D1101" s="72" t="str">
        <f aca="false">IF(C1101="","",IFERROR(INDEX(T_NOMBRE,MATCH(C1101,T_ID,0)),"⚠ ID no existe"))</f>
        <v/>
      </c>
      <c r="E1101" s="69"/>
      <c r="F1101" s="67"/>
      <c r="G1101" s="67"/>
      <c r="H1101" s="67"/>
      <c r="I1101" s="67"/>
      <c r="J1101" s="67"/>
      <c r="K1101" s="85" t="str">
        <f aca="false">IF(AH1101="","",N(F1101)+N(G1101)+N(H1101)-N(I1101)+N(J1101))</f>
        <v/>
      </c>
      <c r="L1101" s="67"/>
      <c r="M1101" s="67"/>
      <c r="N1101" s="67"/>
      <c r="O1101" s="67"/>
      <c r="P1101" s="85" t="str">
        <f aca="false">IF(AH1101="","",K1101+N(L1101)+N(M1101)+N(N1101)+N(O1101))</f>
        <v/>
      </c>
      <c r="Q1101" s="67"/>
      <c r="R1101" s="67"/>
      <c r="S1101" s="67"/>
      <c r="T1101" s="67"/>
      <c r="U1101" s="67"/>
      <c r="V1101" s="67"/>
      <c r="W1101" s="85" t="str">
        <f aca="false">IF(AH1101="","",N(Q1101)+N(R1101)+N(S1101)+N(T1101)+N(U1101)+N(V1101))</f>
        <v/>
      </c>
      <c r="X1101" s="85" t="str">
        <f aca="false">IF(AH1101="","",P1101-W1101)</f>
        <v/>
      </c>
      <c r="Y1101" s="67"/>
      <c r="Z1101" s="70" t="str">
        <f aca="false">IF(OR(AH1101="",Y1101=""),"",IF(ABS(X1101-Y1101)&lt;=1,"✓ Cuadra","⚠ Diferencia $"&amp;FIXED(X1101-Y1101,0)))</f>
        <v/>
      </c>
      <c r="AA1101" s="72" t="str">
        <f aca="false">IF(AH1101="","",IFERROR(INDEX(C_TIPO,MATCH(C1101&amp;"-P"&amp;MAX(1,COUNTIFS(C_ID,C1101,C_DEFINE,"Sí",C_INICIO,"&lt;="&amp;EOMONTH(B1101,0))),C_CLAVE,0))&amp;"","Sin dato"))</f>
        <v/>
      </c>
      <c r="AB1101" s="71" t="str">
        <f aca="false">IF(AH1101="","",ROUND(MIN(K1101,TOPE_AFP_UF*AJ1101)*AK1101,0))</f>
        <v/>
      </c>
      <c r="AC1101" s="71" t="str">
        <f aca="false">IF(AH1101="","",ROUND(MIN(K1101,TOPE_AFC_UF*AJ1101)*IF(AA1101="Indefinido",AFC_EMP_INDEF,AFC_EMP_PF),0))</f>
        <v/>
      </c>
      <c r="AD1101" s="71" t="str">
        <f aca="false">IF(AH1101="","",ROUND(MIN(K1101,TOPE_AFP_UF*AJ1101)*(MUTUAL_BASICA+MUTUAL_ADIC+SANNA),0))</f>
        <v/>
      </c>
      <c r="AE1101" s="71" t="str">
        <f aca="false">IF(AH1101="","",P1101-N(N1101)+AB1101+AC1101+AD1101)</f>
        <v/>
      </c>
      <c r="AF1101" s="65"/>
      <c r="AG1101" s="64"/>
      <c r="AH1101" s="72" t="str">
        <f aca="false">IF(OR(B1101="",C1101=""),"",C1101&amp;"|"&amp;(YEAR(B1101)*100+MONTH(B1101)))</f>
        <v/>
      </c>
      <c r="AI1101" s="70" t="str">
        <f aca="false">IF(AH1101="","",IF(COUNTIF(L_CLAVE,AH1101)&gt;1,"⚠ Duplicado","OK"))</f>
        <v/>
      </c>
      <c r="AJ1101" s="86" t="str">
        <f aca="false">IF(AH1101="","",IF(SUMPRODUCT(MAX((IND_PER&lt;=B1101)*(IND_UF&lt;&gt;"")*IND_PER))=0,UF_HOY,INDEX(IND_UF,MATCH(SUMPRODUCT(MAX((IND_PER&lt;=B1101)*(IND_UF&lt;&gt;"")*IND_PER)),IND_PER,0))))</f>
        <v/>
      </c>
      <c r="AK1101" s="87" t="str">
        <f aca="false">IF(AH1101="","",IF(COUNTIF(TASA_DESDE,"&lt;="&amp;B1101)=0,INDEX(TASA_EMP,1),INDEX(TASA_EMP,COUNTIF(TASA_DESDE,"&lt;="&amp;B1101))))</f>
        <v/>
      </c>
    </row>
    <row r="1102" customFormat="false" ht="15" hidden="false" customHeight="false" outlineLevel="0" collapsed="false">
      <c r="B1102" s="78"/>
      <c r="C1102" s="64"/>
      <c r="D1102" s="72" t="str">
        <f aca="false">IF(C1102="","",IFERROR(INDEX(T_NOMBRE,MATCH(C1102,T_ID,0)),"⚠ ID no existe"))</f>
        <v/>
      </c>
      <c r="E1102" s="69"/>
      <c r="F1102" s="67"/>
      <c r="G1102" s="67"/>
      <c r="H1102" s="67"/>
      <c r="I1102" s="67"/>
      <c r="J1102" s="67"/>
      <c r="K1102" s="85" t="str">
        <f aca="false">IF(AH1102="","",N(F1102)+N(G1102)+N(H1102)-N(I1102)+N(J1102))</f>
        <v/>
      </c>
      <c r="L1102" s="67"/>
      <c r="M1102" s="67"/>
      <c r="N1102" s="67"/>
      <c r="O1102" s="67"/>
      <c r="P1102" s="85" t="str">
        <f aca="false">IF(AH1102="","",K1102+N(L1102)+N(M1102)+N(N1102)+N(O1102))</f>
        <v/>
      </c>
      <c r="Q1102" s="67"/>
      <c r="R1102" s="67"/>
      <c r="S1102" s="67"/>
      <c r="T1102" s="67"/>
      <c r="U1102" s="67"/>
      <c r="V1102" s="67"/>
      <c r="W1102" s="85" t="str">
        <f aca="false">IF(AH1102="","",N(Q1102)+N(R1102)+N(S1102)+N(T1102)+N(U1102)+N(V1102))</f>
        <v/>
      </c>
      <c r="X1102" s="85" t="str">
        <f aca="false">IF(AH1102="","",P1102-W1102)</f>
        <v/>
      </c>
      <c r="Y1102" s="67"/>
      <c r="Z1102" s="70" t="str">
        <f aca="false">IF(OR(AH1102="",Y1102=""),"",IF(ABS(X1102-Y1102)&lt;=1,"✓ Cuadra","⚠ Diferencia $"&amp;FIXED(X1102-Y1102,0)))</f>
        <v/>
      </c>
      <c r="AA1102" s="72" t="str">
        <f aca="false">IF(AH1102="","",IFERROR(INDEX(C_TIPO,MATCH(C1102&amp;"-P"&amp;MAX(1,COUNTIFS(C_ID,C1102,C_DEFINE,"Sí",C_INICIO,"&lt;="&amp;EOMONTH(B1102,0))),C_CLAVE,0))&amp;"","Sin dato"))</f>
        <v/>
      </c>
      <c r="AB1102" s="71" t="str">
        <f aca="false">IF(AH1102="","",ROUND(MIN(K1102,TOPE_AFP_UF*AJ1102)*AK1102,0))</f>
        <v/>
      </c>
      <c r="AC1102" s="71" t="str">
        <f aca="false">IF(AH1102="","",ROUND(MIN(K1102,TOPE_AFC_UF*AJ1102)*IF(AA1102="Indefinido",AFC_EMP_INDEF,AFC_EMP_PF),0))</f>
        <v/>
      </c>
      <c r="AD1102" s="71" t="str">
        <f aca="false">IF(AH1102="","",ROUND(MIN(K1102,TOPE_AFP_UF*AJ1102)*(MUTUAL_BASICA+MUTUAL_ADIC+SANNA),0))</f>
        <v/>
      </c>
      <c r="AE1102" s="71" t="str">
        <f aca="false">IF(AH1102="","",P1102-N(N1102)+AB1102+AC1102+AD1102)</f>
        <v/>
      </c>
      <c r="AF1102" s="65"/>
      <c r="AG1102" s="64"/>
      <c r="AH1102" s="72" t="str">
        <f aca="false">IF(OR(B1102="",C1102=""),"",C1102&amp;"|"&amp;(YEAR(B1102)*100+MONTH(B1102)))</f>
        <v/>
      </c>
      <c r="AI1102" s="70" t="str">
        <f aca="false">IF(AH1102="","",IF(COUNTIF(L_CLAVE,AH1102)&gt;1,"⚠ Duplicado","OK"))</f>
        <v/>
      </c>
      <c r="AJ1102" s="86" t="str">
        <f aca="false">IF(AH1102="","",IF(SUMPRODUCT(MAX((IND_PER&lt;=B1102)*(IND_UF&lt;&gt;"")*IND_PER))=0,UF_HOY,INDEX(IND_UF,MATCH(SUMPRODUCT(MAX((IND_PER&lt;=B1102)*(IND_UF&lt;&gt;"")*IND_PER)),IND_PER,0))))</f>
        <v/>
      </c>
      <c r="AK1102" s="87" t="str">
        <f aca="false">IF(AH1102="","",IF(COUNTIF(TASA_DESDE,"&lt;="&amp;B1102)=0,INDEX(TASA_EMP,1),INDEX(TASA_EMP,COUNTIF(TASA_DESDE,"&lt;="&amp;B1102))))</f>
        <v/>
      </c>
    </row>
    <row r="1103" customFormat="false" ht="15" hidden="false" customHeight="false" outlineLevel="0" collapsed="false">
      <c r="B1103" s="78"/>
      <c r="C1103" s="64"/>
      <c r="D1103" s="72" t="str">
        <f aca="false">IF(C1103="","",IFERROR(INDEX(T_NOMBRE,MATCH(C1103,T_ID,0)),"⚠ ID no existe"))</f>
        <v/>
      </c>
      <c r="E1103" s="69"/>
      <c r="F1103" s="67"/>
      <c r="G1103" s="67"/>
      <c r="H1103" s="67"/>
      <c r="I1103" s="67"/>
      <c r="J1103" s="67"/>
      <c r="K1103" s="85" t="str">
        <f aca="false">IF(AH1103="","",N(F1103)+N(G1103)+N(H1103)-N(I1103)+N(J1103))</f>
        <v/>
      </c>
      <c r="L1103" s="67"/>
      <c r="M1103" s="67"/>
      <c r="N1103" s="67"/>
      <c r="O1103" s="67"/>
      <c r="P1103" s="85" t="str">
        <f aca="false">IF(AH1103="","",K1103+N(L1103)+N(M1103)+N(N1103)+N(O1103))</f>
        <v/>
      </c>
      <c r="Q1103" s="67"/>
      <c r="R1103" s="67"/>
      <c r="S1103" s="67"/>
      <c r="T1103" s="67"/>
      <c r="U1103" s="67"/>
      <c r="V1103" s="67"/>
      <c r="W1103" s="85" t="str">
        <f aca="false">IF(AH1103="","",N(Q1103)+N(R1103)+N(S1103)+N(T1103)+N(U1103)+N(V1103))</f>
        <v/>
      </c>
      <c r="X1103" s="85" t="str">
        <f aca="false">IF(AH1103="","",P1103-W1103)</f>
        <v/>
      </c>
      <c r="Y1103" s="67"/>
      <c r="Z1103" s="70" t="str">
        <f aca="false">IF(OR(AH1103="",Y1103=""),"",IF(ABS(X1103-Y1103)&lt;=1,"✓ Cuadra","⚠ Diferencia $"&amp;FIXED(X1103-Y1103,0)))</f>
        <v/>
      </c>
      <c r="AA1103" s="72" t="str">
        <f aca="false">IF(AH1103="","",IFERROR(INDEX(C_TIPO,MATCH(C1103&amp;"-P"&amp;MAX(1,COUNTIFS(C_ID,C1103,C_DEFINE,"Sí",C_INICIO,"&lt;="&amp;EOMONTH(B1103,0))),C_CLAVE,0))&amp;"","Sin dato"))</f>
        <v/>
      </c>
      <c r="AB1103" s="71" t="str">
        <f aca="false">IF(AH1103="","",ROUND(MIN(K1103,TOPE_AFP_UF*AJ1103)*AK1103,0))</f>
        <v/>
      </c>
      <c r="AC1103" s="71" t="str">
        <f aca="false">IF(AH1103="","",ROUND(MIN(K1103,TOPE_AFC_UF*AJ1103)*IF(AA1103="Indefinido",AFC_EMP_INDEF,AFC_EMP_PF),0))</f>
        <v/>
      </c>
      <c r="AD1103" s="71" t="str">
        <f aca="false">IF(AH1103="","",ROUND(MIN(K1103,TOPE_AFP_UF*AJ1103)*(MUTUAL_BASICA+MUTUAL_ADIC+SANNA),0))</f>
        <v/>
      </c>
      <c r="AE1103" s="71" t="str">
        <f aca="false">IF(AH1103="","",P1103-N(N1103)+AB1103+AC1103+AD1103)</f>
        <v/>
      </c>
      <c r="AF1103" s="65"/>
      <c r="AG1103" s="64"/>
      <c r="AH1103" s="72" t="str">
        <f aca="false">IF(OR(B1103="",C1103=""),"",C1103&amp;"|"&amp;(YEAR(B1103)*100+MONTH(B1103)))</f>
        <v/>
      </c>
      <c r="AI1103" s="70" t="str">
        <f aca="false">IF(AH1103="","",IF(COUNTIF(L_CLAVE,AH1103)&gt;1,"⚠ Duplicado","OK"))</f>
        <v/>
      </c>
      <c r="AJ1103" s="86" t="str">
        <f aca="false">IF(AH1103="","",IF(SUMPRODUCT(MAX((IND_PER&lt;=B1103)*(IND_UF&lt;&gt;"")*IND_PER))=0,UF_HOY,INDEX(IND_UF,MATCH(SUMPRODUCT(MAX((IND_PER&lt;=B1103)*(IND_UF&lt;&gt;"")*IND_PER)),IND_PER,0))))</f>
        <v/>
      </c>
      <c r="AK1103" s="87" t="str">
        <f aca="false">IF(AH1103="","",IF(COUNTIF(TASA_DESDE,"&lt;="&amp;B1103)=0,INDEX(TASA_EMP,1),INDEX(TASA_EMP,COUNTIF(TASA_DESDE,"&lt;="&amp;B1103))))</f>
        <v/>
      </c>
    </row>
    <row r="1104" customFormat="false" ht="15" hidden="false" customHeight="false" outlineLevel="0" collapsed="false">
      <c r="B1104" s="78"/>
      <c r="C1104" s="64"/>
      <c r="D1104" s="72" t="str">
        <f aca="false">IF(C1104="","",IFERROR(INDEX(T_NOMBRE,MATCH(C1104,T_ID,0)),"⚠ ID no existe"))</f>
        <v/>
      </c>
      <c r="E1104" s="69"/>
      <c r="F1104" s="67"/>
      <c r="G1104" s="67"/>
      <c r="H1104" s="67"/>
      <c r="I1104" s="67"/>
      <c r="J1104" s="67"/>
      <c r="K1104" s="85" t="str">
        <f aca="false">IF(AH1104="","",N(F1104)+N(G1104)+N(H1104)-N(I1104)+N(J1104))</f>
        <v/>
      </c>
      <c r="L1104" s="67"/>
      <c r="M1104" s="67"/>
      <c r="N1104" s="67"/>
      <c r="O1104" s="67"/>
      <c r="P1104" s="85" t="str">
        <f aca="false">IF(AH1104="","",K1104+N(L1104)+N(M1104)+N(N1104)+N(O1104))</f>
        <v/>
      </c>
      <c r="Q1104" s="67"/>
      <c r="R1104" s="67"/>
      <c r="S1104" s="67"/>
      <c r="T1104" s="67"/>
      <c r="U1104" s="67"/>
      <c r="V1104" s="67"/>
      <c r="W1104" s="85" t="str">
        <f aca="false">IF(AH1104="","",N(Q1104)+N(R1104)+N(S1104)+N(T1104)+N(U1104)+N(V1104))</f>
        <v/>
      </c>
      <c r="X1104" s="85" t="str">
        <f aca="false">IF(AH1104="","",P1104-W1104)</f>
        <v/>
      </c>
      <c r="Y1104" s="67"/>
      <c r="Z1104" s="70" t="str">
        <f aca="false">IF(OR(AH1104="",Y1104=""),"",IF(ABS(X1104-Y1104)&lt;=1,"✓ Cuadra","⚠ Diferencia $"&amp;FIXED(X1104-Y1104,0)))</f>
        <v/>
      </c>
      <c r="AA1104" s="72" t="str">
        <f aca="false">IF(AH1104="","",IFERROR(INDEX(C_TIPO,MATCH(C1104&amp;"-P"&amp;MAX(1,COUNTIFS(C_ID,C1104,C_DEFINE,"Sí",C_INICIO,"&lt;="&amp;EOMONTH(B1104,0))),C_CLAVE,0))&amp;"","Sin dato"))</f>
        <v/>
      </c>
      <c r="AB1104" s="71" t="str">
        <f aca="false">IF(AH1104="","",ROUND(MIN(K1104,TOPE_AFP_UF*AJ1104)*AK1104,0))</f>
        <v/>
      </c>
      <c r="AC1104" s="71" t="str">
        <f aca="false">IF(AH1104="","",ROUND(MIN(K1104,TOPE_AFC_UF*AJ1104)*IF(AA1104="Indefinido",AFC_EMP_INDEF,AFC_EMP_PF),0))</f>
        <v/>
      </c>
      <c r="AD1104" s="71" t="str">
        <f aca="false">IF(AH1104="","",ROUND(MIN(K1104,TOPE_AFP_UF*AJ1104)*(MUTUAL_BASICA+MUTUAL_ADIC+SANNA),0))</f>
        <v/>
      </c>
      <c r="AE1104" s="71" t="str">
        <f aca="false">IF(AH1104="","",P1104-N(N1104)+AB1104+AC1104+AD1104)</f>
        <v/>
      </c>
      <c r="AF1104" s="65"/>
      <c r="AG1104" s="64"/>
      <c r="AH1104" s="72" t="str">
        <f aca="false">IF(OR(B1104="",C1104=""),"",C1104&amp;"|"&amp;(YEAR(B1104)*100+MONTH(B1104)))</f>
        <v/>
      </c>
      <c r="AI1104" s="70" t="str">
        <f aca="false">IF(AH1104="","",IF(COUNTIF(L_CLAVE,AH1104)&gt;1,"⚠ Duplicado","OK"))</f>
        <v/>
      </c>
      <c r="AJ1104" s="86" t="str">
        <f aca="false">IF(AH1104="","",IF(SUMPRODUCT(MAX((IND_PER&lt;=B1104)*(IND_UF&lt;&gt;"")*IND_PER))=0,UF_HOY,INDEX(IND_UF,MATCH(SUMPRODUCT(MAX((IND_PER&lt;=B1104)*(IND_UF&lt;&gt;"")*IND_PER)),IND_PER,0))))</f>
        <v/>
      </c>
      <c r="AK1104" s="87" t="str">
        <f aca="false">IF(AH1104="","",IF(COUNTIF(TASA_DESDE,"&lt;="&amp;B1104)=0,INDEX(TASA_EMP,1),INDEX(TASA_EMP,COUNTIF(TASA_DESDE,"&lt;="&amp;B1104))))</f>
        <v/>
      </c>
    </row>
    <row r="1105" customFormat="false" ht="15" hidden="false" customHeight="false" outlineLevel="0" collapsed="false">
      <c r="B1105" s="78"/>
      <c r="C1105" s="64"/>
      <c r="D1105" s="72" t="str">
        <f aca="false">IF(C1105="","",IFERROR(INDEX(T_NOMBRE,MATCH(C1105,T_ID,0)),"⚠ ID no existe"))</f>
        <v/>
      </c>
      <c r="E1105" s="69"/>
      <c r="F1105" s="67"/>
      <c r="G1105" s="67"/>
      <c r="H1105" s="67"/>
      <c r="I1105" s="67"/>
      <c r="J1105" s="67"/>
      <c r="K1105" s="85" t="str">
        <f aca="false">IF(AH1105="","",N(F1105)+N(G1105)+N(H1105)-N(I1105)+N(J1105))</f>
        <v/>
      </c>
      <c r="L1105" s="67"/>
      <c r="M1105" s="67"/>
      <c r="N1105" s="67"/>
      <c r="O1105" s="67"/>
      <c r="P1105" s="85" t="str">
        <f aca="false">IF(AH1105="","",K1105+N(L1105)+N(M1105)+N(N1105)+N(O1105))</f>
        <v/>
      </c>
      <c r="Q1105" s="67"/>
      <c r="R1105" s="67"/>
      <c r="S1105" s="67"/>
      <c r="T1105" s="67"/>
      <c r="U1105" s="67"/>
      <c r="V1105" s="67"/>
      <c r="W1105" s="85" t="str">
        <f aca="false">IF(AH1105="","",N(Q1105)+N(R1105)+N(S1105)+N(T1105)+N(U1105)+N(V1105))</f>
        <v/>
      </c>
      <c r="X1105" s="85" t="str">
        <f aca="false">IF(AH1105="","",P1105-W1105)</f>
        <v/>
      </c>
      <c r="Y1105" s="67"/>
      <c r="Z1105" s="70" t="str">
        <f aca="false">IF(OR(AH1105="",Y1105=""),"",IF(ABS(X1105-Y1105)&lt;=1,"✓ Cuadra","⚠ Diferencia $"&amp;FIXED(X1105-Y1105,0)))</f>
        <v/>
      </c>
      <c r="AA1105" s="72" t="str">
        <f aca="false">IF(AH1105="","",IFERROR(INDEX(C_TIPO,MATCH(C1105&amp;"-P"&amp;MAX(1,COUNTIFS(C_ID,C1105,C_DEFINE,"Sí",C_INICIO,"&lt;="&amp;EOMONTH(B1105,0))),C_CLAVE,0))&amp;"","Sin dato"))</f>
        <v/>
      </c>
      <c r="AB1105" s="71" t="str">
        <f aca="false">IF(AH1105="","",ROUND(MIN(K1105,TOPE_AFP_UF*AJ1105)*AK1105,0))</f>
        <v/>
      </c>
      <c r="AC1105" s="71" t="str">
        <f aca="false">IF(AH1105="","",ROUND(MIN(K1105,TOPE_AFC_UF*AJ1105)*IF(AA1105="Indefinido",AFC_EMP_INDEF,AFC_EMP_PF),0))</f>
        <v/>
      </c>
      <c r="AD1105" s="71" t="str">
        <f aca="false">IF(AH1105="","",ROUND(MIN(K1105,TOPE_AFP_UF*AJ1105)*(MUTUAL_BASICA+MUTUAL_ADIC+SANNA),0))</f>
        <v/>
      </c>
      <c r="AE1105" s="71" t="str">
        <f aca="false">IF(AH1105="","",P1105-N(N1105)+AB1105+AC1105+AD1105)</f>
        <v/>
      </c>
      <c r="AF1105" s="65"/>
      <c r="AG1105" s="64"/>
      <c r="AH1105" s="72" t="str">
        <f aca="false">IF(OR(B1105="",C1105=""),"",C1105&amp;"|"&amp;(YEAR(B1105)*100+MONTH(B1105)))</f>
        <v/>
      </c>
      <c r="AI1105" s="70" t="str">
        <f aca="false">IF(AH1105="","",IF(COUNTIF(L_CLAVE,AH1105)&gt;1,"⚠ Duplicado","OK"))</f>
        <v/>
      </c>
      <c r="AJ1105" s="86" t="str">
        <f aca="false">IF(AH1105="","",IF(SUMPRODUCT(MAX((IND_PER&lt;=B1105)*(IND_UF&lt;&gt;"")*IND_PER))=0,UF_HOY,INDEX(IND_UF,MATCH(SUMPRODUCT(MAX((IND_PER&lt;=B1105)*(IND_UF&lt;&gt;"")*IND_PER)),IND_PER,0))))</f>
        <v/>
      </c>
      <c r="AK1105" s="87" t="str">
        <f aca="false">IF(AH1105="","",IF(COUNTIF(TASA_DESDE,"&lt;="&amp;B1105)=0,INDEX(TASA_EMP,1),INDEX(TASA_EMP,COUNTIF(TASA_DESDE,"&lt;="&amp;B1105))))</f>
        <v/>
      </c>
    </row>
    <row r="1106" customFormat="false" ht="15" hidden="false" customHeight="false" outlineLevel="0" collapsed="false">
      <c r="B1106" s="78"/>
      <c r="C1106" s="64"/>
      <c r="D1106" s="72" t="str">
        <f aca="false">IF(C1106="","",IFERROR(INDEX(T_NOMBRE,MATCH(C1106,T_ID,0)),"⚠ ID no existe"))</f>
        <v/>
      </c>
      <c r="E1106" s="69"/>
      <c r="F1106" s="67"/>
      <c r="G1106" s="67"/>
      <c r="H1106" s="67"/>
      <c r="I1106" s="67"/>
      <c r="J1106" s="67"/>
      <c r="K1106" s="85" t="str">
        <f aca="false">IF(AH1106="","",N(F1106)+N(G1106)+N(H1106)-N(I1106)+N(J1106))</f>
        <v/>
      </c>
      <c r="L1106" s="67"/>
      <c r="M1106" s="67"/>
      <c r="N1106" s="67"/>
      <c r="O1106" s="67"/>
      <c r="P1106" s="85" t="str">
        <f aca="false">IF(AH1106="","",K1106+N(L1106)+N(M1106)+N(N1106)+N(O1106))</f>
        <v/>
      </c>
      <c r="Q1106" s="67"/>
      <c r="R1106" s="67"/>
      <c r="S1106" s="67"/>
      <c r="T1106" s="67"/>
      <c r="U1106" s="67"/>
      <c r="V1106" s="67"/>
      <c r="W1106" s="85" t="str">
        <f aca="false">IF(AH1106="","",N(Q1106)+N(R1106)+N(S1106)+N(T1106)+N(U1106)+N(V1106))</f>
        <v/>
      </c>
      <c r="X1106" s="85" t="str">
        <f aca="false">IF(AH1106="","",P1106-W1106)</f>
        <v/>
      </c>
      <c r="Y1106" s="67"/>
      <c r="Z1106" s="70" t="str">
        <f aca="false">IF(OR(AH1106="",Y1106=""),"",IF(ABS(X1106-Y1106)&lt;=1,"✓ Cuadra","⚠ Diferencia $"&amp;FIXED(X1106-Y1106,0)))</f>
        <v/>
      </c>
      <c r="AA1106" s="72" t="str">
        <f aca="false">IF(AH1106="","",IFERROR(INDEX(C_TIPO,MATCH(C1106&amp;"-P"&amp;MAX(1,COUNTIFS(C_ID,C1106,C_DEFINE,"Sí",C_INICIO,"&lt;="&amp;EOMONTH(B1106,0))),C_CLAVE,0))&amp;"","Sin dato"))</f>
        <v/>
      </c>
      <c r="AB1106" s="71" t="str">
        <f aca="false">IF(AH1106="","",ROUND(MIN(K1106,TOPE_AFP_UF*AJ1106)*AK1106,0))</f>
        <v/>
      </c>
      <c r="AC1106" s="71" t="str">
        <f aca="false">IF(AH1106="","",ROUND(MIN(K1106,TOPE_AFC_UF*AJ1106)*IF(AA1106="Indefinido",AFC_EMP_INDEF,AFC_EMP_PF),0))</f>
        <v/>
      </c>
      <c r="AD1106" s="71" t="str">
        <f aca="false">IF(AH1106="","",ROUND(MIN(K1106,TOPE_AFP_UF*AJ1106)*(MUTUAL_BASICA+MUTUAL_ADIC+SANNA),0))</f>
        <v/>
      </c>
      <c r="AE1106" s="71" t="str">
        <f aca="false">IF(AH1106="","",P1106-N(N1106)+AB1106+AC1106+AD1106)</f>
        <v/>
      </c>
      <c r="AF1106" s="65"/>
      <c r="AG1106" s="64"/>
      <c r="AH1106" s="72" t="str">
        <f aca="false">IF(OR(B1106="",C1106=""),"",C1106&amp;"|"&amp;(YEAR(B1106)*100+MONTH(B1106)))</f>
        <v/>
      </c>
      <c r="AI1106" s="70" t="str">
        <f aca="false">IF(AH1106="","",IF(COUNTIF(L_CLAVE,AH1106)&gt;1,"⚠ Duplicado","OK"))</f>
        <v/>
      </c>
      <c r="AJ1106" s="86" t="str">
        <f aca="false">IF(AH1106="","",IF(SUMPRODUCT(MAX((IND_PER&lt;=B1106)*(IND_UF&lt;&gt;"")*IND_PER))=0,UF_HOY,INDEX(IND_UF,MATCH(SUMPRODUCT(MAX((IND_PER&lt;=B1106)*(IND_UF&lt;&gt;"")*IND_PER)),IND_PER,0))))</f>
        <v/>
      </c>
      <c r="AK1106" s="87" t="str">
        <f aca="false">IF(AH1106="","",IF(COUNTIF(TASA_DESDE,"&lt;="&amp;B1106)=0,INDEX(TASA_EMP,1),INDEX(TASA_EMP,COUNTIF(TASA_DESDE,"&lt;="&amp;B1106))))</f>
        <v/>
      </c>
    </row>
    <row r="1107" customFormat="false" ht="15" hidden="false" customHeight="false" outlineLevel="0" collapsed="false">
      <c r="B1107" s="78"/>
      <c r="C1107" s="64"/>
      <c r="D1107" s="72" t="str">
        <f aca="false">IF(C1107="","",IFERROR(INDEX(T_NOMBRE,MATCH(C1107,T_ID,0)),"⚠ ID no existe"))</f>
        <v/>
      </c>
      <c r="E1107" s="69"/>
      <c r="F1107" s="67"/>
      <c r="G1107" s="67"/>
      <c r="H1107" s="67"/>
      <c r="I1107" s="67"/>
      <c r="J1107" s="67"/>
      <c r="K1107" s="85" t="str">
        <f aca="false">IF(AH1107="","",N(F1107)+N(G1107)+N(H1107)-N(I1107)+N(J1107))</f>
        <v/>
      </c>
      <c r="L1107" s="67"/>
      <c r="M1107" s="67"/>
      <c r="N1107" s="67"/>
      <c r="O1107" s="67"/>
      <c r="P1107" s="85" t="str">
        <f aca="false">IF(AH1107="","",K1107+N(L1107)+N(M1107)+N(N1107)+N(O1107))</f>
        <v/>
      </c>
      <c r="Q1107" s="67"/>
      <c r="R1107" s="67"/>
      <c r="S1107" s="67"/>
      <c r="T1107" s="67"/>
      <c r="U1107" s="67"/>
      <c r="V1107" s="67"/>
      <c r="W1107" s="85" t="str">
        <f aca="false">IF(AH1107="","",N(Q1107)+N(R1107)+N(S1107)+N(T1107)+N(U1107)+N(V1107))</f>
        <v/>
      </c>
      <c r="X1107" s="85" t="str">
        <f aca="false">IF(AH1107="","",P1107-W1107)</f>
        <v/>
      </c>
      <c r="Y1107" s="67"/>
      <c r="Z1107" s="70" t="str">
        <f aca="false">IF(OR(AH1107="",Y1107=""),"",IF(ABS(X1107-Y1107)&lt;=1,"✓ Cuadra","⚠ Diferencia $"&amp;FIXED(X1107-Y1107,0)))</f>
        <v/>
      </c>
      <c r="AA1107" s="72" t="str">
        <f aca="false">IF(AH1107="","",IFERROR(INDEX(C_TIPO,MATCH(C1107&amp;"-P"&amp;MAX(1,COUNTIFS(C_ID,C1107,C_DEFINE,"Sí",C_INICIO,"&lt;="&amp;EOMONTH(B1107,0))),C_CLAVE,0))&amp;"","Sin dato"))</f>
        <v/>
      </c>
      <c r="AB1107" s="71" t="str">
        <f aca="false">IF(AH1107="","",ROUND(MIN(K1107,TOPE_AFP_UF*AJ1107)*AK1107,0))</f>
        <v/>
      </c>
      <c r="AC1107" s="71" t="str">
        <f aca="false">IF(AH1107="","",ROUND(MIN(K1107,TOPE_AFC_UF*AJ1107)*IF(AA1107="Indefinido",AFC_EMP_INDEF,AFC_EMP_PF),0))</f>
        <v/>
      </c>
      <c r="AD1107" s="71" t="str">
        <f aca="false">IF(AH1107="","",ROUND(MIN(K1107,TOPE_AFP_UF*AJ1107)*(MUTUAL_BASICA+MUTUAL_ADIC+SANNA),0))</f>
        <v/>
      </c>
      <c r="AE1107" s="71" t="str">
        <f aca="false">IF(AH1107="","",P1107-N(N1107)+AB1107+AC1107+AD1107)</f>
        <v/>
      </c>
      <c r="AF1107" s="65"/>
      <c r="AG1107" s="64"/>
      <c r="AH1107" s="72" t="str">
        <f aca="false">IF(OR(B1107="",C1107=""),"",C1107&amp;"|"&amp;(YEAR(B1107)*100+MONTH(B1107)))</f>
        <v/>
      </c>
      <c r="AI1107" s="70" t="str">
        <f aca="false">IF(AH1107="","",IF(COUNTIF(L_CLAVE,AH1107)&gt;1,"⚠ Duplicado","OK"))</f>
        <v/>
      </c>
      <c r="AJ1107" s="86" t="str">
        <f aca="false">IF(AH1107="","",IF(SUMPRODUCT(MAX((IND_PER&lt;=B1107)*(IND_UF&lt;&gt;"")*IND_PER))=0,UF_HOY,INDEX(IND_UF,MATCH(SUMPRODUCT(MAX((IND_PER&lt;=B1107)*(IND_UF&lt;&gt;"")*IND_PER)),IND_PER,0))))</f>
        <v/>
      </c>
      <c r="AK1107" s="87" t="str">
        <f aca="false">IF(AH1107="","",IF(COUNTIF(TASA_DESDE,"&lt;="&amp;B1107)=0,INDEX(TASA_EMP,1),INDEX(TASA_EMP,COUNTIF(TASA_DESDE,"&lt;="&amp;B1107))))</f>
        <v/>
      </c>
    </row>
    <row r="1108" customFormat="false" ht="15" hidden="false" customHeight="false" outlineLevel="0" collapsed="false">
      <c r="B1108" s="78"/>
      <c r="C1108" s="64"/>
      <c r="D1108" s="72" t="str">
        <f aca="false">IF(C1108="","",IFERROR(INDEX(T_NOMBRE,MATCH(C1108,T_ID,0)),"⚠ ID no existe"))</f>
        <v/>
      </c>
      <c r="E1108" s="69"/>
      <c r="F1108" s="67"/>
      <c r="G1108" s="67"/>
      <c r="H1108" s="67"/>
      <c r="I1108" s="67"/>
      <c r="J1108" s="67"/>
      <c r="K1108" s="85" t="str">
        <f aca="false">IF(AH1108="","",N(F1108)+N(G1108)+N(H1108)-N(I1108)+N(J1108))</f>
        <v/>
      </c>
      <c r="L1108" s="67"/>
      <c r="M1108" s="67"/>
      <c r="N1108" s="67"/>
      <c r="O1108" s="67"/>
      <c r="P1108" s="85" t="str">
        <f aca="false">IF(AH1108="","",K1108+N(L1108)+N(M1108)+N(N1108)+N(O1108))</f>
        <v/>
      </c>
      <c r="Q1108" s="67"/>
      <c r="R1108" s="67"/>
      <c r="S1108" s="67"/>
      <c r="T1108" s="67"/>
      <c r="U1108" s="67"/>
      <c r="V1108" s="67"/>
      <c r="W1108" s="85" t="str">
        <f aca="false">IF(AH1108="","",N(Q1108)+N(R1108)+N(S1108)+N(T1108)+N(U1108)+N(V1108))</f>
        <v/>
      </c>
      <c r="X1108" s="85" t="str">
        <f aca="false">IF(AH1108="","",P1108-W1108)</f>
        <v/>
      </c>
      <c r="Y1108" s="67"/>
      <c r="Z1108" s="70" t="str">
        <f aca="false">IF(OR(AH1108="",Y1108=""),"",IF(ABS(X1108-Y1108)&lt;=1,"✓ Cuadra","⚠ Diferencia $"&amp;FIXED(X1108-Y1108,0)))</f>
        <v/>
      </c>
      <c r="AA1108" s="72" t="str">
        <f aca="false">IF(AH1108="","",IFERROR(INDEX(C_TIPO,MATCH(C1108&amp;"-P"&amp;MAX(1,COUNTIFS(C_ID,C1108,C_DEFINE,"Sí",C_INICIO,"&lt;="&amp;EOMONTH(B1108,0))),C_CLAVE,0))&amp;"","Sin dato"))</f>
        <v/>
      </c>
      <c r="AB1108" s="71" t="str">
        <f aca="false">IF(AH1108="","",ROUND(MIN(K1108,TOPE_AFP_UF*AJ1108)*AK1108,0))</f>
        <v/>
      </c>
      <c r="AC1108" s="71" t="str">
        <f aca="false">IF(AH1108="","",ROUND(MIN(K1108,TOPE_AFC_UF*AJ1108)*IF(AA1108="Indefinido",AFC_EMP_INDEF,AFC_EMP_PF),0))</f>
        <v/>
      </c>
      <c r="AD1108" s="71" t="str">
        <f aca="false">IF(AH1108="","",ROUND(MIN(K1108,TOPE_AFP_UF*AJ1108)*(MUTUAL_BASICA+MUTUAL_ADIC+SANNA),0))</f>
        <v/>
      </c>
      <c r="AE1108" s="71" t="str">
        <f aca="false">IF(AH1108="","",P1108-N(N1108)+AB1108+AC1108+AD1108)</f>
        <v/>
      </c>
      <c r="AF1108" s="65"/>
      <c r="AG1108" s="64"/>
      <c r="AH1108" s="72" t="str">
        <f aca="false">IF(OR(B1108="",C1108=""),"",C1108&amp;"|"&amp;(YEAR(B1108)*100+MONTH(B1108)))</f>
        <v/>
      </c>
      <c r="AI1108" s="70" t="str">
        <f aca="false">IF(AH1108="","",IF(COUNTIF(L_CLAVE,AH1108)&gt;1,"⚠ Duplicado","OK"))</f>
        <v/>
      </c>
      <c r="AJ1108" s="86" t="str">
        <f aca="false">IF(AH1108="","",IF(SUMPRODUCT(MAX((IND_PER&lt;=B1108)*(IND_UF&lt;&gt;"")*IND_PER))=0,UF_HOY,INDEX(IND_UF,MATCH(SUMPRODUCT(MAX((IND_PER&lt;=B1108)*(IND_UF&lt;&gt;"")*IND_PER)),IND_PER,0))))</f>
        <v/>
      </c>
      <c r="AK1108" s="87" t="str">
        <f aca="false">IF(AH1108="","",IF(COUNTIF(TASA_DESDE,"&lt;="&amp;B1108)=0,INDEX(TASA_EMP,1),INDEX(TASA_EMP,COUNTIF(TASA_DESDE,"&lt;="&amp;B1108))))</f>
        <v/>
      </c>
    </row>
    <row r="1109" customFormat="false" ht="15" hidden="false" customHeight="false" outlineLevel="0" collapsed="false">
      <c r="B1109" s="78"/>
      <c r="C1109" s="64"/>
      <c r="D1109" s="72" t="str">
        <f aca="false">IF(C1109="","",IFERROR(INDEX(T_NOMBRE,MATCH(C1109,T_ID,0)),"⚠ ID no existe"))</f>
        <v/>
      </c>
      <c r="E1109" s="69"/>
      <c r="F1109" s="67"/>
      <c r="G1109" s="67"/>
      <c r="H1109" s="67"/>
      <c r="I1109" s="67"/>
      <c r="J1109" s="67"/>
      <c r="K1109" s="85" t="str">
        <f aca="false">IF(AH1109="","",N(F1109)+N(G1109)+N(H1109)-N(I1109)+N(J1109))</f>
        <v/>
      </c>
      <c r="L1109" s="67"/>
      <c r="M1109" s="67"/>
      <c r="N1109" s="67"/>
      <c r="O1109" s="67"/>
      <c r="P1109" s="85" t="str">
        <f aca="false">IF(AH1109="","",K1109+N(L1109)+N(M1109)+N(N1109)+N(O1109))</f>
        <v/>
      </c>
      <c r="Q1109" s="67"/>
      <c r="R1109" s="67"/>
      <c r="S1109" s="67"/>
      <c r="T1109" s="67"/>
      <c r="U1109" s="67"/>
      <c r="V1109" s="67"/>
      <c r="W1109" s="85" t="str">
        <f aca="false">IF(AH1109="","",N(Q1109)+N(R1109)+N(S1109)+N(T1109)+N(U1109)+N(V1109))</f>
        <v/>
      </c>
      <c r="X1109" s="85" t="str">
        <f aca="false">IF(AH1109="","",P1109-W1109)</f>
        <v/>
      </c>
      <c r="Y1109" s="67"/>
      <c r="Z1109" s="70" t="str">
        <f aca="false">IF(OR(AH1109="",Y1109=""),"",IF(ABS(X1109-Y1109)&lt;=1,"✓ Cuadra","⚠ Diferencia $"&amp;FIXED(X1109-Y1109,0)))</f>
        <v/>
      </c>
      <c r="AA1109" s="72" t="str">
        <f aca="false">IF(AH1109="","",IFERROR(INDEX(C_TIPO,MATCH(C1109&amp;"-P"&amp;MAX(1,COUNTIFS(C_ID,C1109,C_DEFINE,"Sí",C_INICIO,"&lt;="&amp;EOMONTH(B1109,0))),C_CLAVE,0))&amp;"","Sin dato"))</f>
        <v/>
      </c>
      <c r="AB1109" s="71" t="str">
        <f aca="false">IF(AH1109="","",ROUND(MIN(K1109,TOPE_AFP_UF*AJ1109)*AK1109,0))</f>
        <v/>
      </c>
      <c r="AC1109" s="71" t="str">
        <f aca="false">IF(AH1109="","",ROUND(MIN(K1109,TOPE_AFC_UF*AJ1109)*IF(AA1109="Indefinido",AFC_EMP_INDEF,AFC_EMP_PF),0))</f>
        <v/>
      </c>
      <c r="AD1109" s="71" t="str">
        <f aca="false">IF(AH1109="","",ROUND(MIN(K1109,TOPE_AFP_UF*AJ1109)*(MUTUAL_BASICA+MUTUAL_ADIC+SANNA),0))</f>
        <v/>
      </c>
      <c r="AE1109" s="71" t="str">
        <f aca="false">IF(AH1109="","",P1109-N(N1109)+AB1109+AC1109+AD1109)</f>
        <v/>
      </c>
      <c r="AF1109" s="65"/>
      <c r="AG1109" s="64"/>
      <c r="AH1109" s="72" t="str">
        <f aca="false">IF(OR(B1109="",C1109=""),"",C1109&amp;"|"&amp;(YEAR(B1109)*100+MONTH(B1109)))</f>
        <v/>
      </c>
      <c r="AI1109" s="70" t="str">
        <f aca="false">IF(AH1109="","",IF(COUNTIF(L_CLAVE,AH1109)&gt;1,"⚠ Duplicado","OK"))</f>
        <v/>
      </c>
      <c r="AJ1109" s="86" t="str">
        <f aca="false">IF(AH1109="","",IF(SUMPRODUCT(MAX((IND_PER&lt;=B1109)*(IND_UF&lt;&gt;"")*IND_PER))=0,UF_HOY,INDEX(IND_UF,MATCH(SUMPRODUCT(MAX((IND_PER&lt;=B1109)*(IND_UF&lt;&gt;"")*IND_PER)),IND_PER,0))))</f>
        <v/>
      </c>
      <c r="AK1109" s="87" t="str">
        <f aca="false">IF(AH1109="","",IF(COUNTIF(TASA_DESDE,"&lt;="&amp;B1109)=0,INDEX(TASA_EMP,1),INDEX(TASA_EMP,COUNTIF(TASA_DESDE,"&lt;="&amp;B1109))))</f>
        <v/>
      </c>
    </row>
    <row r="1110" customFormat="false" ht="15" hidden="false" customHeight="false" outlineLevel="0" collapsed="false">
      <c r="B1110" s="78"/>
      <c r="C1110" s="64"/>
      <c r="D1110" s="72" t="str">
        <f aca="false">IF(C1110="","",IFERROR(INDEX(T_NOMBRE,MATCH(C1110,T_ID,0)),"⚠ ID no existe"))</f>
        <v/>
      </c>
      <c r="E1110" s="69"/>
      <c r="F1110" s="67"/>
      <c r="G1110" s="67"/>
      <c r="H1110" s="67"/>
      <c r="I1110" s="67"/>
      <c r="J1110" s="67"/>
      <c r="K1110" s="85" t="str">
        <f aca="false">IF(AH1110="","",N(F1110)+N(G1110)+N(H1110)-N(I1110)+N(J1110))</f>
        <v/>
      </c>
      <c r="L1110" s="67"/>
      <c r="M1110" s="67"/>
      <c r="N1110" s="67"/>
      <c r="O1110" s="67"/>
      <c r="P1110" s="85" t="str">
        <f aca="false">IF(AH1110="","",K1110+N(L1110)+N(M1110)+N(N1110)+N(O1110))</f>
        <v/>
      </c>
      <c r="Q1110" s="67"/>
      <c r="R1110" s="67"/>
      <c r="S1110" s="67"/>
      <c r="T1110" s="67"/>
      <c r="U1110" s="67"/>
      <c r="V1110" s="67"/>
      <c r="W1110" s="85" t="str">
        <f aca="false">IF(AH1110="","",N(Q1110)+N(R1110)+N(S1110)+N(T1110)+N(U1110)+N(V1110))</f>
        <v/>
      </c>
      <c r="X1110" s="85" t="str">
        <f aca="false">IF(AH1110="","",P1110-W1110)</f>
        <v/>
      </c>
      <c r="Y1110" s="67"/>
      <c r="Z1110" s="70" t="str">
        <f aca="false">IF(OR(AH1110="",Y1110=""),"",IF(ABS(X1110-Y1110)&lt;=1,"✓ Cuadra","⚠ Diferencia $"&amp;FIXED(X1110-Y1110,0)))</f>
        <v/>
      </c>
      <c r="AA1110" s="72" t="str">
        <f aca="false">IF(AH1110="","",IFERROR(INDEX(C_TIPO,MATCH(C1110&amp;"-P"&amp;MAX(1,COUNTIFS(C_ID,C1110,C_DEFINE,"Sí",C_INICIO,"&lt;="&amp;EOMONTH(B1110,0))),C_CLAVE,0))&amp;"","Sin dato"))</f>
        <v/>
      </c>
      <c r="AB1110" s="71" t="str">
        <f aca="false">IF(AH1110="","",ROUND(MIN(K1110,TOPE_AFP_UF*AJ1110)*AK1110,0))</f>
        <v/>
      </c>
      <c r="AC1110" s="71" t="str">
        <f aca="false">IF(AH1110="","",ROUND(MIN(K1110,TOPE_AFC_UF*AJ1110)*IF(AA1110="Indefinido",AFC_EMP_INDEF,AFC_EMP_PF),0))</f>
        <v/>
      </c>
      <c r="AD1110" s="71" t="str">
        <f aca="false">IF(AH1110="","",ROUND(MIN(K1110,TOPE_AFP_UF*AJ1110)*(MUTUAL_BASICA+MUTUAL_ADIC+SANNA),0))</f>
        <v/>
      </c>
      <c r="AE1110" s="71" t="str">
        <f aca="false">IF(AH1110="","",P1110-N(N1110)+AB1110+AC1110+AD1110)</f>
        <v/>
      </c>
      <c r="AF1110" s="65"/>
      <c r="AG1110" s="64"/>
      <c r="AH1110" s="72" t="str">
        <f aca="false">IF(OR(B1110="",C1110=""),"",C1110&amp;"|"&amp;(YEAR(B1110)*100+MONTH(B1110)))</f>
        <v/>
      </c>
      <c r="AI1110" s="70" t="str">
        <f aca="false">IF(AH1110="","",IF(COUNTIF(L_CLAVE,AH1110)&gt;1,"⚠ Duplicado","OK"))</f>
        <v/>
      </c>
      <c r="AJ1110" s="86" t="str">
        <f aca="false">IF(AH1110="","",IF(SUMPRODUCT(MAX((IND_PER&lt;=B1110)*(IND_UF&lt;&gt;"")*IND_PER))=0,UF_HOY,INDEX(IND_UF,MATCH(SUMPRODUCT(MAX((IND_PER&lt;=B1110)*(IND_UF&lt;&gt;"")*IND_PER)),IND_PER,0))))</f>
        <v/>
      </c>
      <c r="AK1110" s="87" t="str">
        <f aca="false">IF(AH1110="","",IF(COUNTIF(TASA_DESDE,"&lt;="&amp;B1110)=0,INDEX(TASA_EMP,1),INDEX(TASA_EMP,COUNTIF(TASA_DESDE,"&lt;="&amp;B1110))))</f>
        <v/>
      </c>
    </row>
    <row r="1111" customFormat="false" ht="15" hidden="false" customHeight="false" outlineLevel="0" collapsed="false">
      <c r="B1111" s="78"/>
      <c r="C1111" s="64"/>
      <c r="D1111" s="72" t="str">
        <f aca="false">IF(C1111="","",IFERROR(INDEX(T_NOMBRE,MATCH(C1111,T_ID,0)),"⚠ ID no existe"))</f>
        <v/>
      </c>
      <c r="E1111" s="69"/>
      <c r="F1111" s="67"/>
      <c r="G1111" s="67"/>
      <c r="H1111" s="67"/>
      <c r="I1111" s="67"/>
      <c r="J1111" s="67"/>
      <c r="K1111" s="85" t="str">
        <f aca="false">IF(AH1111="","",N(F1111)+N(G1111)+N(H1111)-N(I1111)+N(J1111))</f>
        <v/>
      </c>
      <c r="L1111" s="67"/>
      <c r="M1111" s="67"/>
      <c r="N1111" s="67"/>
      <c r="O1111" s="67"/>
      <c r="P1111" s="85" t="str">
        <f aca="false">IF(AH1111="","",K1111+N(L1111)+N(M1111)+N(N1111)+N(O1111))</f>
        <v/>
      </c>
      <c r="Q1111" s="67"/>
      <c r="R1111" s="67"/>
      <c r="S1111" s="67"/>
      <c r="T1111" s="67"/>
      <c r="U1111" s="67"/>
      <c r="V1111" s="67"/>
      <c r="W1111" s="85" t="str">
        <f aca="false">IF(AH1111="","",N(Q1111)+N(R1111)+N(S1111)+N(T1111)+N(U1111)+N(V1111))</f>
        <v/>
      </c>
      <c r="X1111" s="85" t="str">
        <f aca="false">IF(AH1111="","",P1111-W1111)</f>
        <v/>
      </c>
      <c r="Y1111" s="67"/>
      <c r="Z1111" s="70" t="str">
        <f aca="false">IF(OR(AH1111="",Y1111=""),"",IF(ABS(X1111-Y1111)&lt;=1,"✓ Cuadra","⚠ Diferencia $"&amp;FIXED(X1111-Y1111,0)))</f>
        <v/>
      </c>
      <c r="AA1111" s="72" t="str">
        <f aca="false">IF(AH1111="","",IFERROR(INDEX(C_TIPO,MATCH(C1111&amp;"-P"&amp;MAX(1,COUNTIFS(C_ID,C1111,C_DEFINE,"Sí",C_INICIO,"&lt;="&amp;EOMONTH(B1111,0))),C_CLAVE,0))&amp;"","Sin dato"))</f>
        <v/>
      </c>
      <c r="AB1111" s="71" t="str">
        <f aca="false">IF(AH1111="","",ROUND(MIN(K1111,TOPE_AFP_UF*AJ1111)*AK1111,0))</f>
        <v/>
      </c>
      <c r="AC1111" s="71" t="str">
        <f aca="false">IF(AH1111="","",ROUND(MIN(K1111,TOPE_AFC_UF*AJ1111)*IF(AA1111="Indefinido",AFC_EMP_INDEF,AFC_EMP_PF),0))</f>
        <v/>
      </c>
      <c r="AD1111" s="71" t="str">
        <f aca="false">IF(AH1111="","",ROUND(MIN(K1111,TOPE_AFP_UF*AJ1111)*(MUTUAL_BASICA+MUTUAL_ADIC+SANNA),0))</f>
        <v/>
      </c>
      <c r="AE1111" s="71" t="str">
        <f aca="false">IF(AH1111="","",P1111-N(N1111)+AB1111+AC1111+AD1111)</f>
        <v/>
      </c>
      <c r="AF1111" s="65"/>
      <c r="AG1111" s="64"/>
      <c r="AH1111" s="72" t="str">
        <f aca="false">IF(OR(B1111="",C1111=""),"",C1111&amp;"|"&amp;(YEAR(B1111)*100+MONTH(B1111)))</f>
        <v/>
      </c>
      <c r="AI1111" s="70" t="str">
        <f aca="false">IF(AH1111="","",IF(COUNTIF(L_CLAVE,AH1111)&gt;1,"⚠ Duplicado","OK"))</f>
        <v/>
      </c>
      <c r="AJ1111" s="86" t="str">
        <f aca="false">IF(AH1111="","",IF(SUMPRODUCT(MAX((IND_PER&lt;=B1111)*(IND_UF&lt;&gt;"")*IND_PER))=0,UF_HOY,INDEX(IND_UF,MATCH(SUMPRODUCT(MAX((IND_PER&lt;=B1111)*(IND_UF&lt;&gt;"")*IND_PER)),IND_PER,0))))</f>
        <v/>
      </c>
      <c r="AK1111" s="87" t="str">
        <f aca="false">IF(AH1111="","",IF(COUNTIF(TASA_DESDE,"&lt;="&amp;B1111)=0,INDEX(TASA_EMP,1),INDEX(TASA_EMP,COUNTIF(TASA_DESDE,"&lt;="&amp;B1111))))</f>
        <v/>
      </c>
    </row>
    <row r="1112" customFormat="false" ht="15" hidden="false" customHeight="false" outlineLevel="0" collapsed="false">
      <c r="B1112" s="78"/>
      <c r="C1112" s="64"/>
      <c r="D1112" s="72" t="str">
        <f aca="false">IF(C1112="","",IFERROR(INDEX(T_NOMBRE,MATCH(C1112,T_ID,0)),"⚠ ID no existe"))</f>
        <v/>
      </c>
      <c r="E1112" s="69"/>
      <c r="F1112" s="67"/>
      <c r="G1112" s="67"/>
      <c r="H1112" s="67"/>
      <c r="I1112" s="67"/>
      <c r="J1112" s="67"/>
      <c r="K1112" s="85" t="str">
        <f aca="false">IF(AH1112="","",N(F1112)+N(G1112)+N(H1112)-N(I1112)+N(J1112))</f>
        <v/>
      </c>
      <c r="L1112" s="67"/>
      <c r="M1112" s="67"/>
      <c r="N1112" s="67"/>
      <c r="O1112" s="67"/>
      <c r="P1112" s="85" t="str">
        <f aca="false">IF(AH1112="","",K1112+N(L1112)+N(M1112)+N(N1112)+N(O1112))</f>
        <v/>
      </c>
      <c r="Q1112" s="67"/>
      <c r="R1112" s="67"/>
      <c r="S1112" s="67"/>
      <c r="T1112" s="67"/>
      <c r="U1112" s="67"/>
      <c r="V1112" s="67"/>
      <c r="W1112" s="85" t="str">
        <f aca="false">IF(AH1112="","",N(Q1112)+N(R1112)+N(S1112)+N(T1112)+N(U1112)+N(V1112))</f>
        <v/>
      </c>
      <c r="X1112" s="85" t="str">
        <f aca="false">IF(AH1112="","",P1112-W1112)</f>
        <v/>
      </c>
      <c r="Y1112" s="67"/>
      <c r="Z1112" s="70" t="str">
        <f aca="false">IF(OR(AH1112="",Y1112=""),"",IF(ABS(X1112-Y1112)&lt;=1,"✓ Cuadra","⚠ Diferencia $"&amp;FIXED(X1112-Y1112,0)))</f>
        <v/>
      </c>
      <c r="AA1112" s="72" t="str">
        <f aca="false">IF(AH1112="","",IFERROR(INDEX(C_TIPO,MATCH(C1112&amp;"-P"&amp;MAX(1,COUNTIFS(C_ID,C1112,C_DEFINE,"Sí",C_INICIO,"&lt;="&amp;EOMONTH(B1112,0))),C_CLAVE,0))&amp;"","Sin dato"))</f>
        <v/>
      </c>
      <c r="AB1112" s="71" t="str">
        <f aca="false">IF(AH1112="","",ROUND(MIN(K1112,TOPE_AFP_UF*AJ1112)*AK1112,0))</f>
        <v/>
      </c>
      <c r="AC1112" s="71" t="str">
        <f aca="false">IF(AH1112="","",ROUND(MIN(K1112,TOPE_AFC_UF*AJ1112)*IF(AA1112="Indefinido",AFC_EMP_INDEF,AFC_EMP_PF),0))</f>
        <v/>
      </c>
      <c r="AD1112" s="71" t="str">
        <f aca="false">IF(AH1112="","",ROUND(MIN(K1112,TOPE_AFP_UF*AJ1112)*(MUTUAL_BASICA+MUTUAL_ADIC+SANNA),0))</f>
        <v/>
      </c>
      <c r="AE1112" s="71" t="str">
        <f aca="false">IF(AH1112="","",P1112-N(N1112)+AB1112+AC1112+AD1112)</f>
        <v/>
      </c>
      <c r="AF1112" s="65"/>
      <c r="AG1112" s="64"/>
      <c r="AH1112" s="72" t="str">
        <f aca="false">IF(OR(B1112="",C1112=""),"",C1112&amp;"|"&amp;(YEAR(B1112)*100+MONTH(B1112)))</f>
        <v/>
      </c>
      <c r="AI1112" s="70" t="str">
        <f aca="false">IF(AH1112="","",IF(COUNTIF(L_CLAVE,AH1112)&gt;1,"⚠ Duplicado","OK"))</f>
        <v/>
      </c>
      <c r="AJ1112" s="86" t="str">
        <f aca="false">IF(AH1112="","",IF(SUMPRODUCT(MAX((IND_PER&lt;=B1112)*(IND_UF&lt;&gt;"")*IND_PER))=0,UF_HOY,INDEX(IND_UF,MATCH(SUMPRODUCT(MAX((IND_PER&lt;=B1112)*(IND_UF&lt;&gt;"")*IND_PER)),IND_PER,0))))</f>
        <v/>
      </c>
      <c r="AK1112" s="87" t="str">
        <f aca="false">IF(AH1112="","",IF(COUNTIF(TASA_DESDE,"&lt;="&amp;B1112)=0,INDEX(TASA_EMP,1),INDEX(TASA_EMP,COUNTIF(TASA_DESDE,"&lt;="&amp;B1112))))</f>
        <v/>
      </c>
    </row>
    <row r="1113" customFormat="false" ht="15" hidden="false" customHeight="false" outlineLevel="0" collapsed="false">
      <c r="B1113" s="78"/>
      <c r="C1113" s="64"/>
      <c r="D1113" s="72" t="str">
        <f aca="false">IF(C1113="","",IFERROR(INDEX(T_NOMBRE,MATCH(C1113,T_ID,0)),"⚠ ID no existe"))</f>
        <v/>
      </c>
      <c r="E1113" s="69"/>
      <c r="F1113" s="67"/>
      <c r="G1113" s="67"/>
      <c r="H1113" s="67"/>
      <c r="I1113" s="67"/>
      <c r="J1113" s="67"/>
      <c r="K1113" s="85" t="str">
        <f aca="false">IF(AH1113="","",N(F1113)+N(G1113)+N(H1113)-N(I1113)+N(J1113))</f>
        <v/>
      </c>
      <c r="L1113" s="67"/>
      <c r="M1113" s="67"/>
      <c r="N1113" s="67"/>
      <c r="O1113" s="67"/>
      <c r="P1113" s="85" t="str">
        <f aca="false">IF(AH1113="","",K1113+N(L1113)+N(M1113)+N(N1113)+N(O1113))</f>
        <v/>
      </c>
      <c r="Q1113" s="67"/>
      <c r="R1113" s="67"/>
      <c r="S1113" s="67"/>
      <c r="T1113" s="67"/>
      <c r="U1113" s="67"/>
      <c r="V1113" s="67"/>
      <c r="W1113" s="85" t="str">
        <f aca="false">IF(AH1113="","",N(Q1113)+N(R1113)+N(S1113)+N(T1113)+N(U1113)+N(V1113))</f>
        <v/>
      </c>
      <c r="X1113" s="85" t="str">
        <f aca="false">IF(AH1113="","",P1113-W1113)</f>
        <v/>
      </c>
      <c r="Y1113" s="67"/>
      <c r="Z1113" s="70" t="str">
        <f aca="false">IF(OR(AH1113="",Y1113=""),"",IF(ABS(X1113-Y1113)&lt;=1,"✓ Cuadra","⚠ Diferencia $"&amp;FIXED(X1113-Y1113,0)))</f>
        <v/>
      </c>
      <c r="AA1113" s="72" t="str">
        <f aca="false">IF(AH1113="","",IFERROR(INDEX(C_TIPO,MATCH(C1113&amp;"-P"&amp;MAX(1,COUNTIFS(C_ID,C1113,C_DEFINE,"Sí",C_INICIO,"&lt;="&amp;EOMONTH(B1113,0))),C_CLAVE,0))&amp;"","Sin dato"))</f>
        <v/>
      </c>
      <c r="AB1113" s="71" t="str">
        <f aca="false">IF(AH1113="","",ROUND(MIN(K1113,TOPE_AFP_UF*AJ1113)*AK1113,0))</f>
        <v/>
      </c>
      <c r="AC1113" s="71" t="str">
        <f aca="false">IF(AH1113="","",ROUND(MIN(K1113,TOPE_AFC_UF*AJ1113)*IF(AA1113="Indefinido",AFC_EMP_INDEF,AFC_EMP_PF),0))</f>
        <v/>
      </c>
      <c r="AD1113" s="71" t="str">
        <f aca="false">IF(AH1113="","",ROUND(MIN(K1113,TOPE_AFP_UF*AJ1113)*(MUTUAL_BASICA+MUTUAL_ADIC+SANNA),0))</f>
        <v/>
      </c>
      <c r="AE1113" s="71" t="str">
        <f aca="false">IF(AH1113="","",P1113-N(N1113)+AB1113+AC1113+AD1113)</f>
        <v/>
      </c>
      <c r="AF1113" s="65"/>
      <c r="AG1113" s="64"/>
      <c r="AH1113" s="72" t="str">
        <f aca="false">IF(OR(B1113="",C1113=""),"",C1113&amp;"|"&amp;(YEAR(B1113)*100+MONTH(B1113)))</f>
        <v/>
      </c>
      <c r="AI1113" s="70" t="str">
        <f aca="false">IF(AH1113="","",IF(COUNTIF(L_CLAVE,AH1113)&gt;1,"⚠ Duplicado","OK"))</f>
        <v/>
      </c>
      <c r="AJ1113" s="86" t="str">
        <f aca="false">IF(AH1113="","",IF(SUMPRODUCT(MAX((IND_PER&lt;=B1113)*(IND_UF&lt;&gt;"")*IND_PER))=0,UF_HOY,INDEX(IND_UF,MATCH(SUMPRODUCT(MAX((IND_PER&lt;=B1113)*(IND_UF&lt;&gt;"")*IND_PER)),IND_PER,0))))</f>
        <v/>
      </c>
      <c r="AK1113" s="87" t="str">
        <f aca="false">IF(AH1113="","",IF(COUNTIF(TASA_DESDE,"&lt;="&amp;B1113)=0,INDEX(TASA_EMP,1),INDEX(TASA_EMP,COUNTIF(TASA_DESDE,"&lt;="&amp;B1113))))</f>
        <v/>
      </c>
    </row>
    <row r="1114" customFormat="false" ht="15" hidden="false" customHeight="false" outlineLevel="0" collapsed="false">
      <c r="B1114" s="78"/>
      <c r="C1114" s="64"/>
      <c r="D1114" s="72" t="str">
        <f aca="false">IF(C1114="","",IFERROR(INDEX(T_NOMBRE,MATCH(C1114,T_ID,0)),"⚠ ID no existe"))</f>
        <v/>
      </c>
      <c r="E1114" s="69"/>
      <c r="F1114" s="67"/>
      <c r="G1114" s="67"/>
      <c r="H1114" s="67"/>
      <c r="I1114" s="67"/>
      <c r="J1114" s="67"/>
      <c r="K1114" s="85" t="str">
        <f aca="false">IF(AH1114="","",N(F1114)+N(G1114)+N(H1114)-N(I1114)+N(J1114))</f>
        <v/>
      </c>
      <c r="L1114" s="67"/>
      <c r="M1114" s="67"/>
      <c r="N1114" s="67"/>
      <c r="O1114" s="67"/>
      <c r="P1114" s="85" t="str">
        <f aca="false">IF(AH1114="","",K1114+N(L1114)+N(M1114)+N(N1114)+N(O1114))</f>
        <v/>
      </c>
      <c r="Q1114" s="67"/>
      <c r="R1114" s="67"/>
      <c r="S1114" s="67"/>
      <c r="T1114" s="67"/>
      <c r="U1114" s="67"/>
      <c r="V1114" s="67"/>
      <c r="W1114" s="85" t="str">
        <f aca="false">IF(AH1114="","",N(Q1114)+N(R1114)+N(S1114)+N(T1114)+N(U1114)+N(V1114))</f>
        <v/>
      </c>
      <c r="X1114" s="85" t="str">
        <f aca="false">IF(AH1114="","",P1114-W1114)</f>
        <v/>
      </c>
      <c r="Y1114" s="67"/>
      <c r="Z1114" s="70" t="str">
        <f aca="false">IF(OR(AH1114="",Y1114=""),"",IF(ABS(X1114-Y1114)&lt;=1,"✓ Cuadra","⚠ Diferencia $"&amp;FIXED(X1114-Y1114,0)))</f>
        <v/>
      </c>
      <c r="AA1114" s="72" t="str">
        <f aca="false">IF(AH1114="","",IFERROR(INDEX(C_TIPO,MATCH(C1114&amp;"-P"&amp;MAX(1,COUNTIFS(C_ID,C1114,C_DEFINE,"Sí",C_INICIO,"&lt;="&amp;EOMONTH(B1114,0))),C_CLAVE,0))&amp;"","Sin dato"))</f>
        <v/>
      </c>
      <c r="AB1114" s="71" t="str">
        <f aca="false">IF(AH1114="","",ROUND(MIN(K1114,TOPE_AFP_UF*AJ1114)*AK1114,0))</f>
        <v/>
      </c>
      <c r="AC1114" s="71" t="str">
        <f aca="false">IF(AH1114="","",ROUND(MIN(K1114,TOPE_AFC_UF*AJ1114)*IF(AA1114="Indefinido",AFC_EMP_INDEF,AFC_EMP_PF),0))</f>
        <v/>
      </c>
      <c r="AD1114" s="71" t="str">
        <f aca="false">IF(AH1114="","",ROUND(MIN(K1114,TOPE_AFP_UF*AJ1114)*(MUTUAL_BASICA+MUTUAL_ADIC+SANNA),0))</f>
        <v/>
      </c>
      <c r="AE1114" s="71" t="str">
        <f aca="false">IF(AH1114="","",P1114-N(N1114)+AB1114+AC1114+AD1114)</f>
        <v/>
      </c>
      <c r="AF1114" s="65"/>
      <c r="AG1114" s="64"/>
      <c r="AH1114" s="72" t="str">
        <f aca="false">IF(OR(B1114="",C1114=""),"",C1114&amp;"|"&amp;(YEAR(B1114)*100+MONTH(B1114)))</f>
        <v/>
      </c>
      <c r="AI1114" s="70" t="str">
        <f aca="false">IF(AH1114="","",IF(COUNTIF(L_CLAVE,AH1114)&gt;1,"⚠ Duplicado","OK"))</f>
        <v/>
      </c>
      <c r="AJ1114" s="86" t="str">
        <f aca="false">IF(AH1114="","",IF(SUMPRODUCT(MAX((IND_PER&lt;=B1114)*(IND_UF&lt;&gt;"")*IND_PER))=0,UF_HOY,INDEX(IND_UF,MATCH(SUMPRODUCT(MAX((IND_PER&lt;=B1114)*(IND_UF&lt;&gt;"")*IND_PER)),IND_PER,0))))</f>
        <v/>
      </c>
      <c r="AK1114" s="87" t="str">
        <f aca="false">IF(AH1114="","",IF(COUNTIF(TASA_DESDE,"&lt;="&amp;B1114)=0,INDEX(TASA_EMP,1),INDEX(TASA_EMP,COUNTIF(TASA_DESDE,"&lt;="&amp;B1114))))</f>
        <v/>
      </c>
    </row>
    <row r="1115" customFormat="false" ht="15" hidden="false" customHeight="false" outlineLevel="0" collapsed="false">
      <c r="B1115" s="78"/>
      <c r="C1115" s="64"/>
      <c r="D1115" s="72" t="str">
        <f aca="false">IF(C1115="","",IFERROR(INDEX(T_NOMBRE,MATCH(C1115,T_ID,0)),"⚠ ID no existe"))</f>
        <v/>
      </c>
      <c r="E1115" s="69"/>
      <c r="F1115" s="67"/>
      <c r="G1115" s="67"/>
      <c r="H1115" s="67"/>
      <c r="I1115" s="67"/>
      <c r="J1115" s="67"/>
      <c r="K1115" s="85" t="str">
        <f aca="false">IF(AH1115="","",N(F1115)+N(G1115)+N(H1115)-N(I1115)+N(J1115))</f>
        <v/>
      </c>
      <c r="L1115" s="67"/>
      <c r="M1115" s="67"/>
      <c r="N1115" s="67"/>
      <c r="O1115" s="67"/>
      <c r="P1115" s="85" t="str">
        <f aca="false">IF(AH1115="","",K1115+N(L1115)+N(M1115)+N(N1115)+N(O1115))</f>
        <v/>
      </c>
      <c r="Q1115" s="67"/>
      <c r="R1115" s="67"/>
      <c r="S1115" s="67"/>
      <c r="T1115" s="67"/>
      <c r="U1115" s="67"/>
      <c r="V1115" s="67"/>
      <c r="W1115" s="85" t="str">
        <f aca="false">IF(AH1115="","",N(Q1115)+N(R1115)+N(S1115)+N(T1115)+N(U1115)+N(V1115))</f>
        <v/>
      </c>
      <c r="X1115" s="85" t="str">
        <f aca="false">IF(AH1115="","",P1115-W1115)</f>
        <v/>
      </c>
      <c r="Y1115" s="67"/>
      <c r="Z1115" s="70" t="str">
        <f aca="false">IF(OR(AH1115="",Y1115=""),"",IF(ABS(X1115-Y1115)&lt;=1,"✓ Cuadra","⚠ Diferencia $"&amp;FIXED(X1115-Y1115,0)))</f>
        <v/>
      </c>
      <c r="AA1115" s="72" t="str">
        <f aca="false">IF(AH1115="","",IFERROR(INDEX(C_TIPO,MATCH(C1115&amp;"-P"&amp;MAX(1,COUNTIFS(C_ID,C1115,C_DEFINE,"Sí",C_INICIO,"&lt;="&amp;EOMONTH(B1115,0))),C_CLAVE,0))&amp;"","Sin dato"))</f>
        <v/>
      </c>
      <c r="AB1115" s="71" t="str">
        <f aca="false">IF(AH1115="","",ROUND(MIN(K1115,TOPE_AFP_UF*AJ1115)*AK1115,0))</f>
        <v/>
      </c>
      <c r="AC1115" s="71" t="str">
        <f aca="false">IF(AH1115="","",ROUND(MIN(K1115,TOPE_AFC_UF*AJ1115)*IF(AA1115="Indefinido",AFC_EMP_INDEF,AFC_EMP_PF),0))</f>
        <v/>
      </c>
      <c r="AD1115" s="71" t="str">
        <f aca="false">IF(AH1115="","",ROUND(MIN(K1115,TOPE_AFP_UF*AJ1115)*(MUTUAL_BASICA+MUTUAL_ADIC+SANNA),0))</f>
        <v/>
      </c>
      <c r="AE1115" s="71" t="str">
        <f aca="false">IF(AH1115="","",P1115-N(N1115)+AB1115+AC1115+AD1115)</f>
        <v/>
      </c>
      <c r="AF1115" s="65"/>
      <c r="AG1115" s="64"/>
      <c r="AH1115" s="72" t="str">
        <f aca="false">IF(OR(B1115="",C1115=""),"",C1115&amp;"|"&amp;(YEAR(B1115)*100+MONTH(B1115)))</f>
        <v/>
      </c>
      <c r="AI1115" s="70" t="str">
        <f aca="false">IF(AH1115="","",IF(COUNTIF(L_CLAVE,AH1115)&gt;1,"⚠ Duplicado","OK"))</f>
        <v/>
      </c>
      <c r="AJ1115" s="86" t="str">
        <f aca="false">IF(AH1115="","",IF(SUMPRODUCT(MAX((IND_PER&lt;=B1115)*(IND_UF&lt;&gt;"")*IND_PER))=0,UF_HOY,INDEX(IND_UF,MATCH(SUMPRODUCT(MAX((IND_PER&lt;=B1115)*(IND_UF&lt;&gt;"")*IND_PER)),IND_PER,0))))</f>
        <v/>
      </c>
      <c r="AK1115" s="87" t="str">
        <f aca="false">IF(AH1115="","",IF(COUNTIF(TASA_DESDE,"&lt;="&amp;B1115)=0,INDEX(TASA_EMP,1),INDEX(TASA_EMP,COUNTIF(TASA_DESDE,"&lt;="&amp;B1115))))</f>
        <v/>
      </c>
    </row>
    <row r="1116" customFormat="false" ht="15" hidden="false" customHeight="false" outlineLevel="0" collapsed="false">
      <c r="B1116" s="78"/>
      <c r="C1116" s="64"/>
      <c r="D1116" s="72" t="str">
        <f aca="false">IF(C1116="","",IFERROR(INDEX(T_NOMBRE,MATCH(C1116,T_ID,0)),"⚠ ID no existe"))</f>
        <v/>
      </c>
      <c r="E1116" s="69"/>
      <c r="F1116" s="67"/>
      <c r="G1116" s="67"/>
      <c r="H1116" s="67"/>
      <c r="I1116" s="67"/>
      <c r="J1116" s="67"/>
      <c r="K1116" s="85" t="str">
        <f aca="false">IF(AH1116="","",N(F1116)+N(G1116)+N(H1116)-N(I1116)+N(J1116))</f>
        <v/>
      </c>
      <c r="L1116" s="67"/>
      <c r="M1116" s="67"/>
      <c r="N1116" s="67"/>
      <c r="O1116" s="67"/>
      <c r="P1116" s="85" t="str">
        <f aca="false">IF(AH1116="","",K1116+N(L1116)+N(M1116)+N(N1116)+N(O1116))</f>
        <v/>
      </c>
      <c r="Q1116" s="67"/>
      <c r="R1116" s="67"/>
      <c r="S1116" s="67"/>
      <c r="T1116" s="67"/>
      <c r="U1116" s="67"/>
      <c r="V1116" s="67"/>
      <c r="W1116" s="85" t="str">
        <f aca="false">IF(AH1116="","",N(Q1116)+N(R1116)+N(S1116)+N(T1116)+N(U1116)+N(V1116))</f>
        <v/>
      </c>
      <c r="X1116" s="85" t="str">
        <f aca="false">IF(AH1116="","",P1116-W1116)</f>
        <v/>
      </c>
      <c r="Y1116" s="67"/>
      <c r="Z1116" s="70" t="str">
        <f aca="false">IF(OR(AH1116="",Y1116=""),"",IF(ABS(X1116-Y1116)&lt;=1,"✓ Cuadra","⚠ Diferencia $"&amp;FIXED(X1116-Y1116,0)))</f>
        <v/>
      </c>
      <c r="AA1116" s="72" t="str">
        <f aca="false">IF(AH1116="","",IFERROR(INDEX(C_TIPO,MATCH(C1116&amp;"-P"&amp;MAX(1,COUNTIFS(C_ID,C1116,C_DEFINE,"Sí",C_INICIO,"&lt;="&amp;EOMONTH(B1116,0))),C_CLAVE,0))&amp;"","Sin dato"))</f>
        <v/>
      </c>
      <c r="AB1116" s="71" t="str">
        <f aca="false">IF(AH1116="","",ROUND(MIN(K1116,TOPE_AFP_UF*AJ1116)*AK1116,0))</f>
        <v/>
      </c>
      <c r="AC1116" s="71" t="str">
        <f aca="false">IF(AH1116="","",ROUND(MIN(K1116,TOPE_AFC_UF*AJ1116)*IF(AA1116="Indefinido",AFC_EMP_INDEF,AFC_EMP_PF),0))</f>
        <v/>
      </c>
      <c r="AD1116" s="71" t="str">
        <f aca="false">IF(AH1116="","",ROUND(MIN(K1116,TOPE_AFP_UF*AJ1116)*(MUTUAL_BASICA+MUTUAL_ADIC+SANNA),0))</f>
        <v/>
      </c>
      <c r="AE1116" s="71" t="str">
        <f aca="false">IF(AH1116="","",P1116-N(N1116)+AB1116+AC1116+AD1116)</f>
        <v/>
      </c>
      <c r="AF1116" s="65"/>
      <c r="AG1116" s="64"/>
      <c r="AH1116" s="72" t="str">
        <f aca="false">IF(OR(B1116="",C1116=""),"",C1116&amp;"|"&amp;(YEAR(B1116)*100+MONTH(B1116)))</f>
        <v/>
      </c>
      <c r="AI1116" s="70" t="str">
        <f aca="false">IF(AH1116="","",IF(COUNTIF(L_CLAVE,AH1116)&gt;1,"⚠ Duplicado","OK"))</f>
        <v/>
      </c>
      <c r="AJ1116" s="86" t="str">
        <f aca="false">IF(AH1116="","",IF(SUMPRODUCT(MAX((IND_PER&lt;=B1116)*(IND_UF&lt;&gt;"")*IND_PER))=0,UF_HOY,INDEX(IND_UF,MATCH(SUMPRODUCT(MAX((IND_PER&lt;=B1116)*(IND_UF&lt;&gt;"")*IND_PER)),IND_PER,0))))</f>
        <v/>
      </c>
      <c r="AK1116" s="87" t="str">
        <f aca="false">IF(AH1116="","",IF(COUNTIF(TASA_DESDE,"&lt;="&amp;B1116)=0,INDEX(TASA_EMP,1),INDEX(TASA_EMP,COUNTIF(TASA_DESDE,"&lt;="&amp;B1116))))</f>
        <v/>
      </c>
    </row>
    <row r="1117" customFormat="false" ht="15" hidden="false" customHeight="false" outlineLevel="0" collapsed="false">
      <c r="B1117" s="78"/>
      <c r="C1117" s="64"/>
      <c r="D1117" s="72" t="str">
        <f aca="false">IF(C1117="","",IFERROR(INDEX(T_NOMBRE,MATCH(C1117,T_ID,0)),"⚠ ID no existe"))</f>
        <v/>
      </c>
      <c r="E1117" s="69"/>
      <c r="F1117" s="67"/>
      <c r="G1117" s="67"/>
      <c r="H1117" s="67"/>
      <c r="I1117" s="67"/>
      <c r="J1117" s="67"/>
      <c r="K1117" s="85" t="str">
        <f aca="false">IF(AH1117="","",N(F1117)+N(G1117)+N(H1117)-N(I1117)+N(J1117))</f>
        <v/>
      </c>
      <c r="L1117" s="67"/>
      <c r="M1117" s="67"/>
      <c r="N1117" s="67"/>
      <c r="O1117" s="67"/>
      <c r="P1117" s="85" t="str">
        <f aca="false">IF(AH1117="","",K1117+N(L1117)+N(M1117)+N(N1117)+N(O1117))</f>
        <v/>
      </c>
      <c r="Q1117" s="67"/>
      <c r="R1117" s="67"/>
      <c r="S1117" s="67"/>
      <c r="T1117" s="67"/>
      <c r="U1117" s="67"/>
      <c r="V1117" s="67"/>
      <c r="W1117" s="85" t="str">
        <f aca="false">IF(AH1117="","",N(Q1117)+N(R1117)+N(S1117)+N(T1117)+N(U1117)+N(V1117))</f>
        <v/>
      </c>
      <c r="X1117" s="85" t="str">
        <f aca="false">IF(AH1117="","",P1117-W1117)</f>
        <v/>
      </c>
      <c r="Y1117" s="67"/>
      <c r="Z1117" s="70" t="str">
        <f aca="false">IF(OR(AH1117="",Y1117=""),"",IF(ABS(X1117-Y1117)&lt;=1,"✓ Cuadra","⚠ Diferencia $"&amp;FIXED(X1117-Y1117,0)))</f>
        <v/>
      </c>
      <c r="AA1117" s="72" t="str">
        <f aca="false">IF(AH1117="","",IFERROR(INDEX(C_TIPO,MATCH(C1117&amp;"-P"&amp;MAX(1,COUNTIFS(C_ID,C1117,C_DEFINE,"Sí",C_INICIO,"&lt;="&amp;EOMONTH(B1117,0))),C_CLAVE,0))&amp;"","Sin dato"))</f>
        <v/>
      </c>
      <c r="AB1117" s="71" t="str">
        <f aca="false">IF(AH1117="","",ROUND(MIN(K1117,TOPE_AFP_UF*AJ1117)*AK1117,0))</f>
        <v/>
      </c>
      <c r="AC1117" s="71" t="str">
        <f aca="false">IF(AH1117="","",ROUND(MIN(K1117,TOPE_AFC_UF*AJ1117)*IF(AA1117="Indefinido",AFC_EMP_INDEF,AFC_EMP_PF),0))</f>
        <v/>
      </c>
      <c r="AD1117" s="71" t="str">
        <f aca="false">IF(AH1117="","",ROUND(MIN(K1117,TOPE_AFP_UF*AJ1117)*(MUTUAL_BASICA+MUTUAL_ADIC+SANNA),0))</f>
        <v/>
      </c>
      <c r="AE1117" s="71" t="str">
        <f aca="false">IF(AH1117="","",P1117-N(N1117)+AB1117+AC1117+AD1117)</f>
        <v/>
      </c>
      <c r="AF1117" s="65"/>
      <c r="AG1117" s="64"/>
      <c r="AH1117" s="72" t="str">
        <f aca="false">IF(OR(B1117="",C1117=""),"",C1117&amp;"|"&amp;(YEAR(B1117)*100+MONTH(B1117)))</f>
        <v/>
      </c>
      <c r="AI1117" s="70" t="str">
        <f aca="false">IF(AH1117="","",IF(COUNTIF(L_CLAVE,AH1117)&gt;1,"⚠ Duplicado","OK"))</f>
        <v/>
      </c>
      <c r="AJ1117" s="86" t="str">
        <f aca="false">IF(AH1117="","",IF(SUMPRODUCT(MAX((IND_PER&lt;=B1117)*(IND_UF&lt;&gt;"")*IND_PER))=0,UF_HOY,INDEX(IND_UF,MATCH(SUMPRODUCT(MAX((IND_PER&lt;=B1117)*(IND_UF&lt;&gt;"")*IND_PER)),IND_PER,0))))</f>
        <v/>
      </c>
      <c r="AK1117" s="87" t="str">
        <f aca="false">IF(AH1117="","",IF(COUNTIF(TASA_DESDE,"&lt;="&amp;B1117)=0,INDEX(TASA_EMP,1),INDEX(TASA_EMP,COUNTIF(TASA_DESDE,"&lt;="&amp;B1117))))</f>
        <v/>
      </c>
    </row>
    <row r="1118" customFormat="false" ht="15" hidden="false" customHeight="false" outlineLevel="0" collapsed="false">
      <c r="B1118" s="78"/>
      <c r="C1118" s="64"/>
      <c r="D1118" s="72" t="str">
        <f aca="false">IF(C1118="","",IFERROR(INDEX(T_NOMBRE,MATCH(C1118,T_ID,0)),"⚠ ID no existe"))</f>
        <v/>
      </c>
      <c r="E1118" s="69"/>
      <c r="F1118" s="67"/>
      <c r="G1118" s="67"/>
      <c r="H1118" s="67"/>
      <c r="I1118" s="67"/>
      <c r="J1118" s="67"/>
      <c r="K1118" s="85" t="str">
        <f aca="false">IF(AH1118="","",N(F1118)+N(G1118)+N(H1118)-N(I1118)+N(J1118))</f>
        <v/>
      </c>
      <c r="L1118" s="67"/>
      <c r="M1118" s="67"/>
      <c r="N1118" s="67"/>
      <c r="O1118" s="67"/>
      <c r="P1118" s="85" t="str">
        <f aca="false">IF(AH1118="","",K1118+N(L1118)+N(M1118)+N(N1118)+N(O1118))</f>
        <v/>
      </c>
      <c r="Q1118" s="67"/>
      <c r="R1118" s="67"/>
      <c r="S1118" s="67"/>
      <c r="T1118" s="67"/>
      <c r="U1118" s="67"/>
      <c r="V1118" s="67"/>
      <c r="W1118" s="85" t="str">
        <f aca="false">IF(AH1118="","",N(Q1118)+N(R1118)+N(S1118)+N(T1118)+N(U1118)+N(V1118))</f>
        <v/>
      </c>
      <c r="X1118" s="85" t="str">
        <f aca="false">IF(AH1118="","",P1118-W1118)</f>
        <v/>
      </c>
      <c r="Y1118" s="67"/>
      <c r="Z1118" s="70" t="str">
        <f aca="false">IF(OR(AH1118="",Y1118=""),"",IF(ABS(X1118-Y1118)&lt;=1,"✓ Cuadra","⚠ Diferencia $"&amp;FIXED(X1118-Y1118,0)))</f>
        <v/>
      </c>
      <c r="AA1118" s="72" t="str">
        <f aca="false">IF(AH1118="","",IFERROR(INDEX(C_TIPO,MATCH(C1118&amp;"-P"&amp;MAX(1,COUNTIFS(C_ID,C1118,C_DEFINE,"Sí",C_INICIO,"&lt;="&amp;EOMONTH(B1118,0))),C_CLAVE,0))&amp;"","Sin dato"))</f>
        <v/>
      </c>
      <c r="AB1118" s="71" t="str">
        <f aca="false">IF(AH1118="","",ROUND(MIN(K1118,TOPE_AFP_UF*AJ1118)*AK1118,0))</f>
        <v/>
      </c>
      <c r="AC1118" s="71" t="str">
        <f aca="false">IF(AH1118="","",ROUND(MIN(K1118,TOPE_AFC_UF*AJ1118)*IF(AA1118="Indefinido",AFC_EMP_INDEF,AFC_EMP_PF),0))</f>
        <v/>
      </c>
      <c r="AD1118" s="71" t="str">
        <f aca="false">IF(AH1118="","",ROUND(MIN(K1118,TOPE_AFP_UF*AJ1118)*(MUTUAL_BASICA+MUTUAL_ADIC+SANNA),0))</f>
        <v/>
      </c>
      <c r="AE1118" s="71" t="str">
        <f aca="false">IF(AH1118="","",P1118-N(N1118)+AB1118+AC1118+AD1118)</f>
        <v/>
      </c>
      <c r="AF1118" s="65"/>
      <c r="AG1118" s="64"/>
      <c r="AH1118" s="72" t="str">
        <f aca="false">IF(OR(B1118="",C1118=""),"",C1118&amp;"|"&amp;(YEAR(B1118)*100+MONTH(B1118)))</f>
        <v/>
      </c>
      <c r="AI1118" s="70" t="str">
        <f aca="false">IF(AH1118="","",IF(COUNTIF(L_CLAVE,AH1118)&gt;1,"⚠ Duplicado","OK"))</f>
        <v/>
      </c>
      <c r="AJ1118" s="86" t="str">
        <f aca="false">IF(AH1118="","",IF(SUMPRODUCT(MAX((IND_PER&lt;=B1118)*(IND_UF&lt;&gt;"")*IND_PER))=0,UF_HOY,INDEX(IND_UF,MATCH(SUMPRODUCT(MAX((IND_PER&lt;=B1118)*(IND_UF&lt;&gt;"")*IND_PER)),IND_PER,0))))</f>
        <v/>
      </c>
      <c r="AK1118" s="87" t="str">
        <f aca="false">IF(AH1118="","",IF(COUNTIF(TASA_DESDE,"&lt;="&amp;B1118)=0,INDEX(TASA_EMP,1),INDEX(TASA_EMP,COUNTIF(TASA_DESDE,"&lt;="&amp;B1118))))</f>
        <v/>
      </c>
    </row>
    <row r="1119" customFormat="false" ht="15" hidden="false" customHeight="false" outlineLevel="0" collapsed="false">
      <c r="B1119" s="78"/>
      <c r="C1119" s="64"/>
      <c r="D1119" s="72" t="str">
        <f aca="false">IF(C1119="","",IFERROR(INDEX(T_NOMBRE,MATCH(C1119,T_ID,0)),"⚠ ID no existe"))</f>
        <v/>
      </c>
      <c r="E1119" s="69"/>
      <c r="F1119" s="67"/>
      <c r="G1119" s="67"/>
      <c r="H1119" s="67"/>
      <c r="I1119" s="67"/>
      <c r="J1119" s="67"/>
      <c r="K1119" s="85" t="str">
        <f aca="false">IF(AH1119="","",N(F1119)+N(G1119)+N(H1119)-N(I1119)+N(J1119))</f>
        <v/>
      </c>
      <c r="L1119" s="67"/>
      <c r="M1119" s="67"/>
      <c r="N1119" s="67"/>
      <c r="O1119" s="67"/>
      <c r="P1119" s="85" t="str">
        <f aca="false">IF(AH1119="","",K1119+N(L1119)+N(M1119)+N(N1119)+N(O1119))</f>
        <v/>
      </c>
      <c r="Q1119" s="67"/>
      <c r="R1119" s="67"/>
      <c r="S1119" s="67"/>
      <c r="T1119" s="67"/>
      <c r="U1119" s="67"/>
      <c r="V1119" s="67"/>
      <c r="W1119" s="85" t="str">
        <f aca="false">IF(AH1119="","",N(Q1119)+N(R1119)+N(S1119)+N(T1119)+N(U1119)+N(V1119))</f>
        <v/>
      </c>
      <c r="X1119" s="85" t="str">
        <f aca="false">IF(AH1119="","",P1119-W1119)</f>
        <v/>
      </c>
      <c r="Y1119" s="67"/>
      <c r="Z1119" s="70" t="str">
        <f aca="false">IF(OR(AH1119="",Y1119=""),"",IF(ABS(X1119-Y1119)&lt;=1,"✓ Cuadra","⚠ Diferencia $"&amp;FIXED(X1119-Y1119,0)))</f>
        <v/>
      </c>
      <c r="AA1119" s="72" t="str">
        <f aca="false">IF(AH1119="","",IFERROR(INDEX(C_TIPO,MATCH(C1119&amp;"-P"&amp;MAX(1,COUNTIFS(C_ID,C1119,C_DEFINE,"Sí",C_INICIO,"&lt;="&amp;EOMONTH(B1119,0))),C_CLAVE,0))&amp;"","Sin dato"))</f>
        <v/>
      </c>
      <c r="AB1119" s="71" t="str">
        <f aca="false">IF(AH1119="","",ROUND(MIN(K1119,TOPE_AFP_UF*AJ1119)*AK1119,0))</f>
        <v/>
      </c>
      <c r="AC1119" s="71" t="str">
        <f aca="false">IF(AH1119="","",ROUND(MIN(K1119,TOPE_AFC_UF*AJ1119)*IF(AA1119="Indefinido",AFC_EMP_INDEF,AFC_EMP_PF),0))</f>
        <v/>
      </c>
      <c r="AD1119" s="71" t="str">
        <f aca="false">IF(AH1119="","",ROUND(MIN(K1119,TOPE_AFP_UF*AJ1119)*(MUTUAL_BASICA+MUTUAL_ADIC+SANNA),0))</f>
        <v/>
      </c>
      <c r="AE1119" s="71" t="str">
        <f aca="false">IF(AH1119="","",P1119-N(N1119)+AB1119+AC1119+AD1119)</f>
        <v/>
      </c>
      <c r="AF1119" s="65"/>
      <c r="AG1119" s="64"/>
      <c r="AH1119" s="72" t="str">
        <f aca="false">IF(OR(B1119="",C1119=""),"",C1119&amp;"|"&amp;(YEAR(B1119)*100+MONTH(B1119)))</f>
        <v/>
      </c>
      <c r="AI1119" s="70" t="str">
        <f aca="false">IF(AH1119="","",IF(COUNTIF(L_CLAVE,AH1119)&gt;1,"⚠ Duplicado","OK"))</f>
        <v/>
      </c>
      <c r="AJ1119" s="86" t="str">
        <f aca="false">IF(AH1119="","",IF(SUMPRODUCT(MAX((IND_PER&lt;=B1119)*(IND_UF&lt;&gt;"")*IND_PER))=0,UF_HOY,INDEX(IND_UF,MATCH(SUMPRODUCT(MAX((IND_PER&lt;=B1119)*(IND_UF&lt;&gt;"")*IND_PER)),IND_PER,0))))</f>
        <v/>
      </c>
      <c r="AK1119" s="87" t="str">
        <f aca="false">IF(AH1119="","",IF(COUNTIF(TASA_DESDE,"&lt;="&amp;B1119)=0,INDEX(TASA_EMP,1),INDEX(TASA_EMP,COUNTIF(TASA_DESDE,"&lt;="&amp;B1119))))</f>
        <v/>
      </c>
    </row>
    <row r="1120" customFormat="false" ht="15" hidden="false" customHeight="false" outlineLevel="0" collapsed="false">
      <c r="B1120" s="78"/>
      <c r="C1120" s="64"/>
      <c r="D1120" s="72" t="str">
        <f aca="false">IF(C1120="","",IFERROR(INDEX(T_NOMBRE,MATCH(C1120,T_ID,0)),"⚠ ID no existe"))</f>
        <v/>
      </c>
      <c r="E1120" s="69"/>
      <c r="F1120" s="67"/>
      <c r="G1120" s="67"/>
      <c r="H1120" s="67"/>
      <c r="I1120" s="67"/>
      <c r="J1120" s="67"/>
      <c r="K1120" s="85" t="str">
        <f aca="false">IF(AH1120="","",N(F1120)+N(G1120)+N(H1120)-N(I1120)+N(J1120))</f>
        <v/>
      </c>
      <c r="L1120" s="67"/>
      <c r="M1120" s="67"/>
      <c r="N1120" s="67"/>
      <c r="O1120" s="67"/>
      <c r="P1120" s="85" t="str">
        <f aca="false">IF(AH1120="","",K1120+N(L1120)+N(M1120)+N(N1120)+N(O1120))</f>
        <v/>
      </c>
      <c r="Q1120" s="67"/>
      <c r="R1120" s="67"/>
      <c r="S1120" s="67"/>
      <c r="T1120" s="67"/>
      <c r="U1120" s="67"/>
      <c r="V1120" s="67"/>
      <c r="W1120" s="85" t="str">
        <f aca="false">IF(AH1120="","",N(Q1120)+N(R1120)+N(S1120)+N(T1120)+N(U1120)+N(V1120))</f>
        <v/>
      </c>
      <c r="X1120" s="85" t="str">
        <f aca="false">IF(AH1120="","",P1120-W1120)</f>
        <v/>
      </c>
      <c r="Y1120" s="67"/>
      <c r="Z1120" s="70" t="str">
        <f aca="false">IF(OR(AH1120="",Y1120=""),"",IF(ABS(X1120-Y1120)&lt;=1,"✓ Cuadra","⚠ Diferencia $"&amp;FIXED(X1120-Y1120,0)))</f>
        <v/>
      </c>
      <c r="AA1120" s="72" t="str">
        <f aca="false">IF(AH1120="","",IFERROR(INDEX(C_TIPO,MATCH(C1120&amp;"-P"&amp;MAX(1,COUNTIFS(C_ID,C1120,C_DEFINE,"Sí",C_INICIO,"&lt;="&amp;EOMONTH(B1120,0))),C_CLAVE,0))&amp;"","Sin dato"))</f>
        <v/>
      </c>
      <c r="AB1120" s="71" t="str">
        <f aca="false">IF(AH1120="","",ROUND(MIN(K1120,TOPE_AFP_UF*AJ1120)*AK1120,0))</f>
        <v/>
      </c>
      <c r="AC1120" s="71" t="str">
        <f aca="false">IF(AH1120="","",ROUND(MIN(K1120,TOPE_AFC_UF*AJ1120)*IF(AA1120="Indefinido",AFC_EMP_INDEF,AFC_EMP_PF),0))</f>
        <v/>
      </c>
      <c r="AD1120" s="71" t="str">
        <f aca="false">IF(AH1120="","",ROUND(MIN(K1120,TOPE_AFP_UF*AJ1120)*(MUTUAL_BASICA+MUTUAL_ADIC+SANNA),0))</f>
        <v/>
      </c>
      <c r="AE1120" s="71" t="str">
        <f aca="false">IF(AH1120="","",P1120-N(N1120)+AB1120+AC1120+AD1120)</f>
        <v/>
      </c>
      <c r="AF1120" s="65"/>
      <c r="AG1120" s="64"/>
      <c r="AH1120" s="72" t="str">
        <f aca="false">IF(OR(B1120="",C1120=""),"",C1120&amp;"|"&amp;(YEAR(B1120)*100+MONTH(B1120)))</f>
        <v/>
      </c>
      <c r="AI1120" s="70" t="str">
        <f aca="false">IF(AH1120="","",IF(COUNTIF(L_CLAVE,AH1120)&gt;1,"⚠ Duplicado","OK"))</f>
        <v/>
      </c>
      <c r="AJ1120" s="86" t="str">
        <f aca="false">IF(AH1120="","",IF(SUMPRODUCT(MAX((IND_PER&lt;=B1120)*(IND_UF&lt;&gt;"")*IND_PER))=0,UF_HOY,INDEX(IND_UF,MATCH(SUMPRODUCT(MAX((IND_PER&lt;=B1120)*(IND_UF&lt;&gt;"")*IND_PER)),IND_PER,0))))</f>
        <v/>
      </c>
      <c r="AK1120" s="87" t="str">
        <f aca="false">IF(AH1120="","",IF(COUNTIF(TASA_DESDE,"&lt;="&amp;B1120)=0,INDEX(TASA_EMP,1),INDEX(TASA_EMP,COUNTIF(TASA_DESDE,"&lt;="&amp;B1120))))</f>
        <v/>
      </c>
    </row>
    <row r="1121" customFormat="false" ht="15" hidden="false" customHeight="false" outlineLevel="0" collapsed="false">
      <c r="B1121" s="78"/>
      <c r="C1121" s="64"/>
      <c r="D1121" s="72" t="str">
        <f aca="false">IF(C1121="","",IFERROR(INDEX(T_NOMBRE,MATCH(C1121,T_ID,0)),"⚠ ID no existe"))</f>
        <v/>
      </c>
      <c r="E1121" s="69"/>
      <c r="F1121" s="67"/>
      <c r="G1121" s="67"/>
      <c r="H1121" s="67"/>
      <c r="I1121" s="67"/>
      <c r="J1121" s="67"/>
      <c r="K1121" s="85" t="str">
        <f aca="false">IF(AH1121="","",N(F1121)+N(G1121)+N(H1121)-N(I1121)+N(J1121))</f>
        <v/>
      </c>
      <c r="L1121" s="67"/>
      <c r="M1121" s="67"/>
      <c r="N1121" s="67"/>
      <c r="O1121" s="67"/>
      <c r="P1121" s="85" t="str">
        <f aca="false">IF(AH1121="","",K1121+N(L1121)+N(M1121)+N(N1121)+N(O1121))</f>
        <v/>
      </c>
      <c r="Q1121" s="67"/>
      <c r="R1121" s="67"/>
      <c r="S1121" s="67"/>
      <c r="T1121" s="67"/>
      <c r="U1121" s="67"/>
      <c r="V1121" s="67"/>
      <c r="W1121" s="85" t="str">
        <f aca="false">IF(AH1121="","",N(Q1121)+N(R1121)+N(S1121)+N(T1121)+N(U1121)+N(V1121))</f>
        <v/>
      </c>
      <c r="X1121" s="85" t="str">
        <f aca="false">IF(AH1121="","",P1121-W1121)</f>
        <v/>
      </c>
      <c r="Y1121" s="67"/>
      <c r="Z1121" s="70" t="str">
        <f aca="false">IF(OR(AH1121="",Y1121=""),"",IF(ABS(X1121-Y1121)&lt;=1,"✓ Cuadra","⚠ Diferencia $"&amp;FIXED(X1121-Y1121,0)))</f>
        <v/>
      </c>
      <c r="AA1121" s="72" t="str">
        <f aca="false">IF(AH1121="","",IFERROR(INDEX(C_TIPO,MATCH(C1121&amp;"-P"&amp;MAX(1,COUNTIFS(C_ID,C1121,C_DEFINE,"Sí",C_INICIO,"&lt;="&amp;EOMONTH(B1121,0))),C_CLAVE,0))&amp;"","Sin dato"))</f>
        <v/>
      </c>
      <c r="AB1121" s="71" t="str">
        <f aca="false">IF(AH1121="","",ROUND(MIN(K1121,TOPE_AFP_UF*AJ1121)*AK1121,0))</f>
        <v/>
      </c>
      <c r="AC1121" s="71" t="str">
        <f aca="false">IF(AH1121="","",ROUND(MIN(K1121,TOPE_AFC_UF*AJ1121)*IF(AA1121="Indefinido",AFC_EMP_INDEF,AFC_EMP_PF),0))</f>
        <v/>
      </c>
      <c r="AD1121" s="71" t="str">
        <f aca="false">IF(AH1121="","",ROUND(MIN(K1121,TOPE_AFP_UF*AJ1121)*(MUTUAL_BASICA+MUTUAL_ADIC+SANNA),0))</f>
        <v/>
      </c>
      <c r="AE1121" s="71" t="str">
        <f aca="false">IF(AH1121="","",P1121-N(N1121)+AB1121+AC1121+AD1121)</f>
        <v/>
      </c>
      <c r="AF1121" s="65"/>
      <c r="AG1121" s="64"/>
      <c r="AH1121" s="72" t="str">
        <f aca="false">IF(OR(B1121="",C1121=""),"",C1121&amp;"|"&amp;(YEAR(B1121)*100+MONTH(B1121)))</f>
        <v/>
      </c>
      <c r="AI1121" s="70" t="str">
        <f aca="false">IF(AH1121="","",IF(COUNTIF(L_CLAVE,AH1121)&gt;1,"⚠ Duplicado","OK"))</f>
        <v/>
      </c>
      <c r="AJ1121" s="86" t="str">
        <f aca="false">IF(AH1121="","",IF(SUMPRODUCT(MAX((IND_PER&lt;=B1121)*(IND_UF&lt;&gt;"")*IND_PER))=0,UF_HOY,INDEX(IND_UF,MATCH(SUMPRODUCT(MAX((IND_PER&lt;=B1121)*(IND_UF&lt;&gt;"")*IND_PER)),IND_PER,0))))</f>
        <v/>
      </c>
      <c r="AK1121" s="87" t="str">
        <f aca="false">IF(AH1121="","",IF(COUNTIF(TASA_DESDE,"&lt;="&amp;B1121)=0,INDEX(TASA_EMP,1),INDEX(TASA_EMP,COUNTIF(TASA_DESDE,"&lt;="&amp;B1121))))</f>
        <v/>
      </c>
    </row>
    <row r="1122" customFormat="false" ht="15" hidden="false" customHeight="false" outlineLevel="0" collapsed="false">
      <c r="B1122" s="78"/>
      <c r="C1122" s="64"/>
      <c r="D1122" s="72" t="str">
        <f aca="false">IF(C1122="","",IFERROR(INDEX(T_NOMBRE,MATCH(C1122,T_ID,0)),"⚠ ID no existe"))</f>
        <v/>
      </c>
      <c r="E1122" s="69"/>
      <c r="F1122" s="67"/>
      <c r="G1122" s="67"/>
      <c r="H1122" s="67"/>
      <c r="I1122" s="67"/>
      <c r="J1122" s="67"/>
      <c r="K1122" s="85" t="str">
        <f aca="false">IF(AH1122="","",N(F1122)+N(G1122)+N(H1122)-N(I1122)+N(J1122))</f>
        <v/>
      </c>
      <c r="L1122" s="67"/>
      <c r="M1122" s="67"/>
      <c r="N1122" s="67"/>
      <c r="O1122" s="67"/>
      <c r="P1122" s="85" t="str">
        <f aca="false">IF(AH1122="","",K1122+N(L1122)+N(M1122)+N(N1122)+N(O1122))</f>
        <v/>
      </c>
      <c r="Q1122" s="67"/>
      <c r="R1122" s="67"/>
      <c r="S1122" s="67"/>
      <c r="T1122" s="67"/>
      <c r="U1122" s="67"/>
      <c r="V1122" s="67"/>
      <c r="W1122" s="85" t="str">
        <f aca="false">IF(AH1122="","",N(Q1122)+N(R1122)+N(S1122)+N(T1122)+N(U1122)+N(V1122))</f>
        <v/>
      </c>
      <c r="X1122" s="85" t="str">
        <f aca="false">IF(AH1122="","",P1122-W1122)</f>
        <v/>
      </c>
      <c r="Y1122" s="67"/>
      <c r="Z1122" s="70" t="str">
        <f aca="false">IF(OR(AH1122="",Y1122=""),"",IF(ABS(X1122-Y1122)&lt;=1,"✓ Cuadra","⚠ Diferencia $"&amp;FIXED(X1122-Y1122,0)))</f>
        <v/>
      </c>
      <c r="AA1122" s="72" t="str">
        <f aca="false">IF(AH1122="","",IFERROR(INDEX(C_TIPO,MATCH(C1122&amp;"-P"&amp;MAX(1,COUNTIFS(C_ID,C1122,C_DEFINE,"Sí",C_INICIO,"&lt;="&amp;EOMONTH(B1122,0))),C_CLAVE,0))&amp;"","Sin dato"))</f>
        <v/>
      </c>
      <c r="AB1122" s="71" t="str">
        <f aca="false">IF(AH1122="","",ROUND(MIN(K1122,TOPE_AFP_UF*AJ1122)*AK1122,0))</f>
        <v/>
      </c>
      <c r="AC1122" s="71" t="str">
        <f aca="false">IF(AH1122="","",ROUND(MIN(K1122,TOPE_AFC_UF*AJ1122)*IF(AA1122="Indefinido",AFC_EMP_INDEF,AFC_EMP_PF),0))</f>
        <v/>
      </c>
      <c r="AD1122" s="71" t="str">
        <f aca="false">IF(AH1122="","",ROUND(MIN(K1122,TOPE_AFP_UF*AJ1122)*(MUTUAL_BASICA+MUTUAL_ADIC+SANNA),0))</f>
        <v/>
      </c>
      <c r="AE1122" s="71" t="str">
        <f aca="false">IF(AH1122="","",P1122-N(N1122)+AB1122+AC1122+AD1122)</f>
        <v/>
      </c>
      <c r="AF1122" s="65"/>
      <c r="AG1122" s="64"/>
      <c r="AH1122" s="72" t="str">
        <f aca="false">IF(OR(B1122="",C1122=""),"",C1122&amp;"|"&amp;(YEAR(B1122)*100+MONTH(B1122)))</f>
        <v/>
      </c>
      <c r="AI1122" s="70" t="str">
        <f aca="false">IF(AH1122="","",IF(COUNTIF(L_CLAVE,AH1122)&gt;1,"⚠ Duplicado","OK"))</f>
        <v/>
      </c>
      <c r="AJ1122" s="86" t="str">
        <f aca="false">IF(AH1122="","",IF(SUMPRODUCT(MAX((IND_PER&lt;=B1122)*(IND_UF&lt;&gt;"")*IND_PER))=0,UF_HOY,INDEX(IND_UF,MATCH(SUMPRODUCT(MAX((IND_PER&lt;=B1122)*(IND_UF&lt;&gt;"")*IND_PER)),IND_PER,0))))</f>
        <v/>
      </c>
      <c r="AK1122" s="87" t="str">
        <f aca="false">IF(AH1122="","",IF(COUNTIF(TASA_DESDE,"&lt;="&amp;B1122)=0,INDEX(TASA_EMP,1),INDEX(TASA_EMP,COUNTIF(TASA_DESDE,"&lt;="&amp;B1122))))</f>
        <v/>
      </c>
    </row>
    <row r="1123" customFormat="false" ht="15" hidden="false" customHeight="false" outlineLevel="0" collapsed="false">
      <c r="B1123" s="78"/>
      <c r="C1123" s="64"/>
      <c r="D1123" s="72" t="str">
        <f aca="false">IF(C1123="","",IFERROR(INDEX(T_NOMBRE,MATCH(C1123,T_ID,0)),"⚠ ID no existe"))</f>
        <v/>
      </c>
      <c r="E1123" s="69"/>
      <c r="F1123" s="67"/>
      <c r="G1123" s="67"/>
      <c r="H1123" s="67"/>
      <c r="I1123" s="67"/>
      <c r="J1123" s="67"/>
      <c r="K1123" s="85" t="str">
        <f aca="false">IF(AH1123="","",N(F1123)+N(G1123)+N(H1123)-N(I1123)+N(J1123))</f>
        <v/>
      </c>
      <c r="L1123" s="67"/>
      <c r="M1123" s="67"/>
      <c r="N1123" s="67"/>
      <c r="O1123" s="67"/>
      <c r="P1123" s="85" t="str">
        <f aca="false">IF(AH1123="","",K1123+N(L1123)+N(M1123)+N(N1123)+N(O1123))</f>
        <v/>
      </c>
      <c r="Q1123" s="67"/>
      <c r="R1123" s="67"/>
      <c r="S1123" s="67"/>
      <c r="T1123" s="67"/>
      <c r="U1123" s="67"/>
      <c r="V1123" s="67"/>
      <c r="W1123" s="85" t="str">
        <f aca="false">IF(AH1123="","",N(Q1123)+N(R1123)+N(S1123)+N(T1123)+N(U1123)+N(V1123))</f>
        <v/>
      </c>
      <c r="X1123" s="85" t="str">
        <f aca="false">IF(AH1123="","",P1123-W1123)</f>
        <v/>
      </c>
      <c r="Y1123" s="67"/>
      <c r="Z1123" s="70" t="str">
        <f aca="false">IF(OR(AH1123="",Y1123=""),"",IF(ABS(X1123-Y1123)&lt;=1,"✓ Cuadra","⚠ Diferencia $"&amp;FIXED(X1123-Y1123,0)))</f>
        <v/>
      </c>
      <c r="AA1123" s="72" t="str">
        <f aca="false">IF(AH1123="","",IFERROR(INDEX(C_TIPO,MATCH(C1123&amp;"-P"&amp;MAX(1,COUNTIFS(C_ID,C1123,C_DEFINE,"Sí",C_INICIO,"&lt;="&amp;EOMONTH(B1123,0))),C_CLAVE,0))&amp;"","Sin dato"))</f>
        <v/>
      </c>
      <c r="AB1123" s="71" t="str">
        <f aca="false">IF(AH1123="","",ROUND(MIN(K1123,TOPE_AFP_UF*AJ1123)*AK1123,0))</f>
        <v/>
      </c>
      <c r="AC1123" s="71" t="str">
        <f aca="false">IF(AH1123="","",ROUND(MIN(K1123,TOPE_AFC_UF*AJ1123)*IF(AA1123="Indefinido",AFC_EMP_INDEF,AFC_EMP_PF),0))</f>
        <v/>
      </c>
      <c r="AD1123" s="71" t="str">
        <f aca="false">IF(AH1123="","",ROUND(MIN(K1123,TOPE_AFP_UF*AJ1123)*(MUTUAL_BASICA+MUTUAL_ADIC+SANNA),0))</f>
        <v/>
      </c>
      <c r="AE1123" s="71" t="str">
        <f aca="false">IF(AH1123="","",P1123-N(N1123)+AB1123+AC1123+AD1123)</f>
        <v/>
      </c>
      <c r="AF1123" s="65"/>
      <c r="AG1123" s="64"/>
      <c r="AH1123" s="72" t="str">
        <f aca="false">IF(OR(B1123="",C1123=""),"",C1123&amp;"|"&amp;(YEAR(B1123)*100+MONTH(B1123)))</f>
        <v/>
      </c>
      <c r="AI1123" s="70" t="str">
        <f aca="false">IF(AH1123="","",IF(COUNTIF(L_CLAVE,AH1123)&gt;1,"⚠ Duplicado","OK"))</f>
        <v/>
      </c>
      <c r="AJ1123" s="86" t="str">
        <f aca="false">IF(AH1123="","",IF(SUMPRODUCT(MAX((IND_PER&lt;=B1123)*(IND_UF&lt;&gt;"")*IND_PER))=0,UF_HOY,INDEX(IND_UF,MATCH(SUMPRODUCT(MAX((IND_PER&lt;=B1123)*(IND_UF&lt;&gt;"")*IND_PER)),IND_PER,0))))</f>
        <v/>
      </c>
      <c r="AK1123" s="87" t="str">
        <f aca="false">IF(AH1123="","",IF(COUNTIF(TASA_DESDE,"&lt;="&amp;B1123)=0,INDEX(TASA_EMP,1),INDEX(TASA_EMP,COUNTIF(TASA_DESDE,"&lt;="&amp;B1123))))</f>
        <v/>
      </c>
    </row>
    <row r="1124" customFormat="false" ht="15" hidden="false" customHeight="false" outlineLevel="0" collapsed="false">
      <c r="B1124" s="78"/>
      <c r="C1124" s="64"/>
      <c r="D1124" s="72" t="str">
        <f aca="false">IF(C1124="","",IFERROR(INDEX(T_NOMBRE,MATCH(C1124,T_ID,0)),"⚠ ID no existe"))</f>
        <v/>
      </c>
      <c r="E1124" s="69"/>
      <c r="F1124" s="67"/>
      <c r="G1124" s="67"/>
      <c r="H1124" s="67"/>
      <c r="I1124" s="67"/>
      <c r="J1124" s="67"/>
      <c r="K1124" s="85" t="str">
        <f aca="false">IF(AH1124="","",N(F1124)+N(G1124)+N(H1124)-N(I1124)+N(J1124))</f>
        <v/>
      </c>
      <c r="L1124" s="67"/>
      <c r="M1124" s="67"/>
      <c r="N1124" s="67"/>
      <c r="O1124" s="67"/>
      <c r="P1124" s="85" t="str">
        <f aca="false">IF(AH1124="","",K1124+N(L1124)+N(M1124)+N(N1124)+N(O1124))</f>
        <v/>
      </c>
      <c r="Q1124" s="67"/>
      <c r="R1124" s="67"/>
      <c r="S1124" s="67"/>
      <c r="T1124" s="67"/>
      <c r="U1124" s="67"/>
      <c r="V1124" s="67"/>
      <c r="W1124" s="85" t="str">
        <f aca="false">IF(AH1124="","",N(Q1124)+N(R1124)+N(S1124)+N(T1124)+N(U1124)+N(V1124))</f>
        <v/>
      </c>
      <c r="X1124" s="85" t="str">
        <f aca="false">IF(AH1124="","",P1124-W1124)</f>
        <v/>
      </c>
      <c r="Y1124" s="67"/>
      <c r="Z1124" s="70" t="str">
        <f aca="false">IF(OR(AH1124="",Y1124=""),"",IF(ABS(X1124-Y1124)&lt;=1,"✓ Cuadra","⚠ Diferencia $"&amp;FIXED(X1124-Y1124,0)))</f>
        <v/>
      </c>
      <c r="AA1124" s="72" t="str">
        <f aca="false">IF(AH1124="","",IFERROR(INDEX(C_TIPO,MATCH(C1124&amp;"-P"&amp;MAX(1,COUNTIFS(C_ID,C1124,C_DEFINE,"Sí",C_INICIO,"&lt;="&amp;EOMONTH(B1124,0))),C_CLAVE,0))&amp;"","Sin dato"))</f>
        <v/>
      </c>
      <c r="AB1124" s="71" t="str">
        <f aca="false">IF(AH1124="","",ROUND(MIN(K1124,TOPE_AFP_UF*AJ1124)*AK1124,0))</f>
        <v/>
      </c>
      <c r="AC1124" s="71" t="str">
        <f aca="false">IF(AH1124="","",ROUND(MIN(K1124,TOPE_AFC_UF*AJ1124)*IF(AA1124="Indefinido",AFC_EMP_INDEF,AFC_EMP_PF),0))</f>
        <v/>
      </c>
      <c r="AD1124" s="71" t="str">
        <f aca="false">IF(AH1124="","",ROUND(MIN(K1124,TOPE_AFP_UF*AJ1124)*(MUTUAL_BASICA+MUTUAL_ADIC+SANNA),0))</f>
        <v/>
      </c>
      <c r="AE1124" s="71" t="str">
        <f aca="false">IF(AH1124="","",P1124-N(N1124)+AB1124+AC1124+AD1124)</f>
        <v/>
      </c>
      <c r="AF1124" s="65"/>
      <c r="AG1124" s="64"/>
      <c r="AH1124" s="72" t="str">
        <f aca="false">IF(OR(B1124="",C1124=""),"",C1124&amp;"|"&amp;(YEAR(B1124)*100+MONTH(B1124)))</f>
        <v/>
      </c>
      <c r="AI1124" s="70" t="str">
        <f aca="false">IF(AH1124="","",IF(COUNTIF(L_CLAVE,AH1124)&gt;1,"⚠ Duplicado","OK"))</f>
        <v/>
      </c>
      <c r="AJ1124" s="86" t="str">
        <f aca="false">IF(AH1124="","",IF(SUMPRODUCT(MAX((IND_PER&lt;=B1124)*(IND_UF&lt;&gt;"")*IND_PER))=0,UF_HOY,INDEX(IND_UF,MATCH(SUMPRODUCT(MAX((IND_PER&lt;=B1124)*(IND_UF&lt;&gt;"")*IND_PER)),IND_PER,0))))</f>
        <v/>
      </c>
      <c r="AK1124" s="87" t="str">
        <f aca="false">IF(AH1124="","",IF(COUNTIF(TASA_DESDE,"&lt;="&amp;B1124)=0,INDEX(TASA_EMP,1),INDEX(TASA_EMP,COUNTIF(TASA_DESDE,"&lt;="&amp;B1124))))</f>
        <v/>
      </c>
    </row>
    <row r="1125" customFormat="false" ht="15" hidden="false" customHeight="false" outlineLevel="0" collapsed="false">
      <c r="B1125" s="78"/>
      <c r="C1125" s="64"/>
      <c r="D1125" s="72" t="str">
        <f aca="false">IF(C1125="","",IFERROR(INDEX(T_NOMBRE,MATCH(C1125,T_ID,0)),"⚠ ID no existe"))</f>
        <v/>
      </c>
      <c r="E1125" s="69"/>
      <c r="F1125" s="67"/>
      <c r="G1125" s="67"/>
      <c r="H1125" s="67"/>
      <c r="I1125" s="67"/>
      <c r="J1125" s="67"/>
      <c r="K1125" s="85" t="str">
        <f aca="false">IF(AH1125="","",N(F1125)+N(G1125)+N(H1125)-N(I1125)+N(J1125))</f>
        <v/>
      </c>
      <c r="L1125" s="67"/>
      <c r="M1125" s="67"/>
      <c r="N1125" s="67"/>
      <c r="O1125" s="67"/>
      <c r="P1125" s="85" t="str">
        <f aca="false">IF(AH1125="","",K1125+N(L1125)+N(M1125)+N(N1125)+N(O1125))</f>
        <v/>
      </c>
      <c r="Q1125" s="67"/>
      <c r="R1125" s="67"/>
      <c r="S1125" s="67"/>
      <c r="T1125" s="67"/>
      <c r="U1125" s="67"/>
      <c r="V1125" s="67"/>
      <c r="W1125" s="85" t="str">
        <f aca="false">IF(AH1125="","",N(Q1125)+N(R1125)+N(S1125)+N(T1125)+N(U1125)+N(V1125))</f>
        <v/>
      </c>
      <c r="X1125" s="85" t="str">
        <f aca="false">IF(AH1125="","",P1125-W1125)</f>
        <v/>
      </c>
      <c r="Y1125" s="67"/>
      <c r="Z1125" s="70" t="str">
        <f aca="false">IF(OR(AH1125="",Y1125=""),"",IF(ABS(X1125-Y1125)&lt;=1,"✓ Cuadra","⚠ Diferencia $"&amp;FIXED(X1125-Y1125,0)))</f>
        <v/>
      </c>
      <c r="AA1125" s="72" t="str">
        <f aca="false">IF(AH1125="","",IFERROR(INDEX(C_TIPO,MATCH(C1125&amp;"-P"&amp;MAX(1,COUNTIFS(C_ID,C1125,C_DEFINE,"Sí",C_INICIO,"&lt;="&amp;EOMONTH(B1125,0))),C_CLAVE,0))&amp;"","Sin dato"))</f>
        <v/>
      </c>
      <c r="AB1125" s="71" t="str">
        <f aca="false">IF(AH1125="","",ROUND(MIN(K1125,TOPE_AFP_UF*AJ1125)*AK1125,0))</f>
        <v/>
      </c>
      <c r="AC1125" s="71" t="str">
        <f aca="false">IF(AH1125="","",ROUND(MIN(K1125,TOPE_AFC_UF*AJ1125)*IF(AA1125="Indefinido",AFC_EMP_INDEF,AFC_EMP_PF),0))</f>
        <v/>
      </c>
      <c r="AD1125" s="71" t="str">
        <f aca="false">IF(AH1125="","",ROUND(MIN(K1125,TOPE_AFP_UF*AJ1125)*(MUTUAL_BASICA+MUTUAL_ADIC+SANNA),0))</f>
        <v/>
      </c>
      <c r="AE1125" s="71" t="str">
        <f aca="false">IF(AH1125="","",P1125-N(N1125)+AB1125+AC1125+AD1125)</f>
        <v/>
      </c>
      <c r="AF1125" s="65"/>
      <c r="AG1125" s="64"/>
      <c r="AH1125" s="72" t="str">
        <f aca="false">IF(OR(B1125="",C1125=""),"",C1125&amp;"|"&amp;(YEAR(B1125)*100+MONTH(B1125)))</f>
        <v/>
      </c>
      <c r="AI1125" s="70" t="str">
        <f aca="false">IF(AH1125="","",IF(COUNTIF(L_CLAVE,AH1125)&gt;1,"⚠ Duplicado","OK"))</f>
        <v/>
      </c>
      <c r="AJ1125" s="86" t="str">
        <f aca="false">IF(AH1125="","",IF(SUMPRODUCT(MAX((IND_PER&lt;=B1125)*(IND_UF&lt;&gt;"")*IND_PER))=0,UF_HOY,INDEX(IND_UF,MATCH(SUMPRODUCT(MAX((IND_PER&lt;=B1125)*(IND_UF&lt;&gt;"")*IND_PER)),IND_PER,0))))</f>
        <v/>
      </c>
      <c r="AK1125" s="87" t="str">
        <f aca="false">IF(AH1125="","",IF(COUNTIF(TASA_DESDE,"&lt;="&amp;B1125)=0,INDEX(TASA_EMP,1),INDEX(TASA_EMP,COUNTIF(TASA_DESDE,"&lt;="&amp;B1125))))</f>
        <v/>
      </c>
    </row>
    <row r="1126" customFormat="false" ht="15" hidden="false" customHeight="false" outlineLevel="0" collapsed="false">
      <c r="B1126" s="78"/>
      <c r="C1126" s="64"/>
      <c r="D1126" s="72" t="str">
        <f aca="false">IF(C1126="","",IFERROR(INDEX(T_NOMBRE,MATCH(C1126,T_ID,0)),"⚠ ID no existe"))</f>
        <v/>
      </c>
      <c r="E1126" s="69"/>
      <c r="F1126" s="67"/>
      <c r="G1126" s="67"/>
      <c r="H1126" s="67"/>
      <c r="I1126" s="67"/>
      <c r="J1126" s="67"/>
      <c r="K1126" s="85" t="str">
        <f aca="false">IF(AH1126="","",N(F1126)+N(G1126)+N(H1126)-N(I1126)+N(J1126))</f>
        <v/>
      </c>
      <c r="L1126" s="67"/>
      <c r="M1126" s="67"/>
      <c r="N1126" s="67"/>
      <c r="O1126" s="67"/>
      <c r="P1126" s="85" t="str">
        <f aca="false">IF(AH1126="","",K1126+N(L1126)+N(M1126)+N(N1126)+N(O1126))</f>
        <v/>
      </c>
      <c r="Q1126" s="67"/>
      <c r="R1126" s="67"/>
      <c r="S1126" s="67"/>
      <c r="T1126" s="67"/>
      <c r="U1126" s="67"/>
      <c r="V1126" s="67"/>
      <c r="W1126" s="85" t="str">
        <f aca="false">IF(AH1126="","",N(Q1126)+N(R1126)+N(S1126)+N(T1126)+N(U1126)+N(V1126))</f>
        <v/>
      </c>
      <c r="X1126" s="85" t="str">
        <f aca="false">IF(AH1126="","",P1126-W1126)</f>
        <v/>
      </c>
      <c r="Y1126" s="67"/>
      <c r="Z1126" s="70" t="str">
        <f aca="false">IF(OR(AH1126="",Y1126=""),"",IF(ABS(X1126-Y1126)&lt;=1,"✓ Cuadra","⚠ Diferencia $"&amp;FIXED(X1126-Y1126,0)))</f>
        <v/>
      </c>
      <c r="AA1126" s="72" t="str">
        <f aca="false">IF(AH1126="","",IFERROR(INDEX(C_TIPO,MATCH(C1126&amp;"-P"&amp;MAX(1,COUNTIFS(C_ID,C1126,C_DEFINE,"Sí",C_INICIO,"&lt;="&amp;EOMONTH(B1126,0))),C_CLAVE,0))&amp;"","Sin dato"))</f>
        <v/>
      </c>
      <c r="AB1126" s="71" t="str">
        <f aca="false">IF(AH1126="","",ROUND(MIN(K1126,TOPE_AFP_UF*AJ1126)*AK1126,0))</f>
        <v/>
      </c>
      <c r="AC1126" s="71" t="str">
        <f aca="false">IF(AH1126="","",ROUND(MIN(K1126,TOPE_AFC_UF*AJ1126)*IF(AA1126="Indefinido",AFC_EMP_INDEF,AFC_EMP_PF),0))</f>
        <v/>
      </c>
      <c r="AD1126" s="71" t="str">
        <f aca="false">IF(AH1126="","",ROUND(MIN(K1126,TOPE_AFP_UF*AJ1126)*(MUTUAL_BASICA+MUTUAL_ADIC+SANNA),0))</f>
        <v/>
      </c>
      <c r="AE1126" s="71" t="str">
        <f aca="false">IF(AH1126="","",P1126-N(N1126)+AB1126+AC1126+AD1126)</f>
        <v/>
      </c>
      <c r="AF1126" s="65"/>
      <c r="AG1126" s="64"/>
      <c r="AH1126" s="72" t="str">
        <f aca="false">IF(OR(B1126="",C1126=""),"",C1126&amp;"|"&amp;(YEAR(B1126)*100+MONTH(B1126)))</f>
        <v/>
      </c>
      <c r="AI1126" s="70" t="str">
        <f aca="false">IF(AH1126="","",IF(COUNTIF(L_CLAVE,AH1126)&gt;1,"⚠ Duplicado","OK"))</f>
        <v/>
      </c>
      <c r="AJ1126" s="86" t="str">
        <f aca="false">IF(AH1126="","",IF(SUMPRODUCT(MAX((IND_PER&lt;=B1126)*(IND_UF&lt;&gt;"")*IND_PER))=0,UF_HOY,INDEX(IND_UF,MATCH(SUMPRODUCT(MAX((IND_PER&lt;=B1126)*(IND_UF&lt;&gt;"")*IND_PER)),IND_PER,0))))</f>
        <v/>
      </c>
      <c r="AK1126" s="87" t="str">
        <f aca="false">IF(AH1126="","",IF(COUNTIF(TASA_DESDE,"&lt;="&amp;B1126)=0,INDEX(TASA_EMP,1),INDEX(TASA_EMP,COUNTIF(TASA_DESDE,"&lt;="&amp;B1126))))</f>
        <v/>
      </c>
    </row>
    <row r="1127" customFormat="false" ht="15" hidden="false" customHeight="false" outlineLevel="0" collapsed="false">
      <c r="B1127" s="78"/>
      <c r="C1127" s="64"/>
      <c r="D1127" s="72" t="str">
        <f aca="false">IF(C1127="","",IFERROR(INDEX(T_NOMBRE,MATCH(C1127,T_ID,0)),"⚠ ID no existe"))</f>
        <v/>
      </c>
      <c r="E1127" s="69"/>
      <c r="F1127" s="67"/>
      <c r="G1127" s="67"/>
      <c r="H1127" s="67"/>
      <c r="I1127" s="67"/>
      <c r="J1127" s="67"/>
      <c r="K1127" s="85" t="str">
        <f aca="false">IF(AH1127="","",N(F1127)+N(G1127)+N(H1127)-N(I1127)+N(J1127))</f>
        <v/>
      </c>
      <c r="L1127" s="67"/>
      <c r="M1127" s="67"/>
      <c r="N1127" s="67"/>
      <c r="O1127" s="67"/>
      <c r="P1127" s="85" t="str">
        <f aca="false">IF(AH1127="","",K1127+N(L1127)+N(M1127)+N(N1127)+N(O1127))</f>
        <v/>
      </c>
      <c r="Q1127" s="67"/>
      <c r="R1127" s="67"/>
      <c r="S1127" s="67"/>
      <c r="T1127" s="67"/>
      <c r="U1127" s="67"/>
      <c r="V1127" s="67"/>
      <c r="W1127" s="85" t="str">
        <f aca="false">IF(AH1127="","",N(Q1127)+N(R1127)+N(S1127)+N(T1127)+N(U1127)+N(V1127))</f>
        <v/>
      </c>
      <c r="X1127" s="85" t="str">
        <f aca="false">IF(AH1127="","",P1127-W1127)</f>
        <v/>
      </c>
      <c r="Y1127" s="67"/>
      <c r="Z1127" s="70" t="str">
        <f aca="false">IF(OR(AH1127="",Y1127=""),"",IF(ABS(X1127-Y1127)&lt;=1,"✓ Cuadra","⚠ Diferencia $"&amp;FIXED(X1127-Y1127,0)))</f>
        <v/>
      </c>
      <c r="AA1127" s="72" t="str">
        <f aca="false">IF(AH1127="","",IFERROR(INDEX(C_TIPO,MATCH(C1127&amp;"-P"&amp;MAX(1,COUNTIFS(C_ID,C1127,C_DEFINE,"Sí",C_INICIO,"&lt;="&amp;EOMONTH(B1127,0))),C_CLAVE,0))&amp;"","Sin dato"))</f>
        <v/>
      </c>
      <c r="AB1127" s="71" t="str">
        <f aca="false">IF(AH1127="","",ROUND(MIN(K1127,TOPE_AFP_UF*AJ1127)*AK1127,0))</f>
        <v/>
      </c>
      <c r="AC1127" s="71" t="str">
        <f aca="false">IF(AH1127="","",ROUND(MIN(K1127,TOPE_AFC_UF*AJ1127)*IF(AA1127="Indefinido",AFC_EMP_INDEF,AFC_EMP_PF),0))</f>
        <v/>
      </c>
      <c r="AD1127" s="71" t="str">
        <f aca="false">IF(AH1127="","",ROUND(MIN(K1127,TOPE_AFP_UF*AJ1127)*(MUTUAL_BASICA+MUTUAL_ADIC+SANNA),0))</f>
        <v/>
      </c>
      <c r="AE1127" s="71" t="str">
        <f aca="false">IF(AH1127="","",P1127-N(N1127)+AB1127+AC1127+AD1127)</f>
        <v/>
      </c>
      <c r="AF1127" s="65"/>
      <c r="AG1127" s="64"/>
      <c r="AH1127" s="72" t="str">
        <f aca="false">IF(OR(B1127="",C1127=""),"",C1127&amp;"|"&amp;(YEAR(B1127)*100+MONTH(B1127)))</f>
        <v/>
      </c>
      <c r="AI1127" s="70" t="str">
        <f aca="false">IF(AH1127="","",IF(COUNTIF(L_CLAVE,AH1127)&gt;1,"⚠ Duplicado","OK"))</f>
        <v/>
      </c>
      <c r="AJ1127" s="86" t="str">
        <f aca="false">IF(AH1127="","",IF(SUMPRODUCT(MAX((IND_PER&lt;=B1127)*(IND_UF&lt;&gt;"")*IND_PER))=0,UF_HOY,INDEX(IND_UF,MATCH(SUMPRODUCT(MAX((IND_PER&lt;=B1127)*(IND_UF&lt;&gt;"")*IND_PER)),IND_PER,0))))</f>
        <v/>
      </c>
      <c r="AK1127" s="87" t="str">
        <f aca="false">IF(AH1127="","",IF(COUNTIF(TASA_DESDE,"&lt;="&amp;B1127)=0,INDEX(TASA_EMP,1),INDEX(TASA_EMP,COUNTIF(TASA_DESDE,"&lt;="&amp;B1127))))</f>
        <v/>
      </c>
    </row>
    <row r="1128" customFormat="false" ht="15" hidden="false" customHeight="false" outlineLevel="0" collapsed="false">
      <c r="B1128" s="78"/>
      <c r="C1128" s="64"/>
      <c r="D1128" s="72" t="str">
        <f aca="false">IF(C1128="","",IFERROR(INDEX(T_NOMBRE,MATCH(C1128,T_ID,0)),"⚠ ID no existe"))</f>
        <v/>
      </c>
      <c r="E1128" s="69"/>
      <c r="F1128" s="67"/>
      <c r="G1128" s="67"/>
      <c r="H1128" s="67"/>
      <c r="I1128" s="67"/>
      <c r="J1128" s="67"/>
      <c r="K1128" s="85" t="str">
        <f aca="false">IF(AH1128="","",N(F1128)+N(G1128)+N(H1128)-N(I1128)+N(J1128))</f>
        <v/>
      </c>
      <c r="L1128" s="67"/>
      <c r="M1128" s="67"/>
      <c r="N1128" s="67"/>
      <c r="O1128" s="67"/>
      <c r="P1128" s="85" t="str">
        <f aca="false">IF(AH1128="","",K1128+N(L1128)+N(M1128)+N(N1128)+N(O1128))</f>
        <v/>
      </c>
      <c r="Q1128" s="67"/>
      <c r="R1128" s="67"/>
      <c r="S1128" s="67"/>
      <c r="T1128" s="67"/>
      <c r="U1128" s="67"/>
      <c r="V1128" s="67"/>
      <c r="W1128" s="85" t="str">
        <f aca="false">IF(AH1128="","",N(Q1128)+N(R1128)+N(S1128)+N(T1128)+N(U1128)+N(V1128))</f>
        <v/>
      </c>
      <c r="X1128" s="85" t="str">
        <f aca="false">IF(AH1128="","",P1128-W1128)</f>
        <v/>
      </c>
      <c r="Y1128" s="67"/>
      <c r="Z1128" s="70" t="str">
        <f aca="false">IF(OR(AH1128="",Y1128=""),"",IF(ABS(X1128-Y1128)&lt;=1,"✓ Cuadra","⚠ Diferencia $"&amp;FIXED(X1128-Y1128,0)))</f>
        <v/>
      </c>
      <c r="AA1128" s="72" t="str">
        <f aca="false">IF(AH1128="","",IFERROR(INDEX(C_TIPO,MATCH(C1128&amp;"-P"&amp;MAX(1,COUNTIFS(C_ID,C1128,C_DEFINE,"Sí",C_INICIO,"&lt;="&amp;EOMONTH(B1128,0))),C_CLAVE,0))&amp;"","Sin dato"))</f>
        <v/>
      </c>
      <c r="AB1128" s="71" t="str">
        <f aca="false">IF(AH1128="","",ROUND(MIN(K1128,TOPE_AFP_UF*AJ1128)*AK1128,0))</f>
        <v/>
      </c>
      <c r="AC1128" s="71" t="str">
        <f aca="false">IF(AH1128="","",ROUND(MIN(K1128,TOPE_AFC_UF*AJ1128)*IF(AA1128="Indefinido",AFC_EMP_INDEF,AFC_EMP_PF),0))</f>
        <v/>
      </c>
      <c r="AD1128" s="71" t="str">
        <f aca="false">IF(AH1128="","",ROUND(MIN(K1128,TOPE_AFP_UF*AJ1128)*(MUTUAL_BASICA+MUTUAL_ADIC+SANNA),0))</f>
        <v/>
      </c>
      <c r="AE1128" s="71" t="str">
        <f aca="false">IF(AH1128="","",P1128-N(N1128)+AB1128+AC1128+AD1128)</f>
        <v/>
      </c>
      <c r="AF1128" s="65"/>
      <c r="AG1128" s="64"/>
      <c r="AH1128" s="72" t="str">
        <f aca="false">IF(OR(B1128="",C1128=""),"",C1128&amp;"|"&amp;(YEAR(B1128)*100+MONTH(B1128)))</f>
        <v/>
      </c>
      <c r="AI1128" s="70" t="str">
        <f aca="false">IF(AH1128="","",IF(COUNTIF(L_CLAVE,AH1128)&gt;1,"⚠ Duplicado","OK"))</f>
        <v/>
      </c>
      <c r="AJ1128" s="86" t="str">
        <f aca="false">IF(AH1128="","",IF(SUMPRODUCT(MAX((IND_PER&lt;=B1128)*(IND_UF&lt;&gt;"")*IND_PER))=0,UF_HOY,INDEX(IND_UF,MATCH(SUMPRODUCT(MAX((IND_PER&lt;=B1128)*(IND_UF&lt;&gt;"")*IND_PER)),IND_PER,0))))</f>
        <v/>
      </c>
      <c r="AK1128" s="87" t="str">
        <f aca="false">IF(AH1128="","",IF(COUNTIF(TASA_DESDE,"&lt;="&amp;B1128)=0,INDEX(TASA_EMP,1),INDEX(TASA_EMP,COUNTIF(TASA_DESDE,"&lt;="&amp;B1128))))</f>
        <v/>
      </c>
    </row>
    <row r="1129" customFormat="false" ht="15" hidden="false" customHeight="false" outlineLevel="0" collapsed="false">
      <c r="B1129" s="78"/>
      <c r="C1129" s="64"/>
      <c r="D1129" s="72" t="str">
        <f aca="false">IF(C1129="","",IFERROR(INDEX(T_NOMBRE,MATCH(C1129,T_ID,0)),"⚠ ID no existe"))</f>
        <v/>
      </c>
      <c r="E1129" s="69"/>
      <c r="F1129" s="67"/>
      <c r="G1129" s="67"/>
      <c r="H1129" s="67"/>
      <c r="I1129" s="67"/>
      <c r="J1129" s="67"/>
      <c r="K1129" s="85" t="str">
        <f aca="false">IF(AH1129="","",N(F1129)+N(G1129)+N(H1129)-N(I1129)+N(J1129))</f>
        <v/>
      </c>
      <c r="L1129" s="67"/>
      <c r="M1129" s="67"/>
      <c r="N1129" s="67"/>
      <c r="O1129" s="67"/>
      <c r="P1129" s="85" t="str">
        <f aca="false">IF(AH1129="","",K1129+N(L1129)+N(M1129)+N(N1129)+N(O1129))</f>
        <v/>
      </c>
      <c r="Q1129" s="67"/>
      <c r="R1129" s="67"/>
      <c r="S1129" s="67"/>
      <c r="T1129" s="67"/>
      <c r="U1129" s="67"/>
      <c r="V1129" s="67"/>
      <c r="W1129" s="85" t="str">
        <f aca="false">IF(AH1129="","",N(Q1129)+N(R1129)+N(S1129)+N(T1129)+N(U1129)+N(V1129))</f>
        <v/>
      </c>
      <c r="X1129" s="85" t="str">
        <f aca="false">IF(AH1129="","",P1129-W1129)</f>
        <v/>
      </c>
      <c r="Y1129" s="67"/>
      <c r="Z1129" s="70" t="str">
        <f aca="false">IF(OR(AH1129="",Y1129=""),"",IF(ABS(X1129-Y1129)&lt;=1,"✓ Cuadra","⚠ Diferencia $"&amp;FIXED(X1129-Y1129,0)))</f>
        <v/>
      </c>
      <c r="AA1129" s="72" t="str">
        <f aca="false">IF(AH1129="","",IFERROR(INDEX(C_TIPO,MATCH(C1129&amp;"-P"&amp;MAX(1,COUNTIFS(C_ID,C1129,C_DEFINE,"Sí",C_INICIO,"&lt;="&amp;EOMONTH(B1129,0))),C_CLAVE,0))&amp;"","Sin dato"))</f>
        <v/>
      </c>
      <c r="AB1129" s="71" t="str">
        <f aca="false">IF(AH1129="","",ROUND(MIN(K1129,TOPE_AFP_UF*AJ1129)*AK1129,0))</f>
        <v/>
      </c>
      <c r="AC1129" s="71" t="str">
        <f aca="false">IF(AH1129="","",ROUND(MIN(K1129,TOPE_AFC_UF*AJ1129)*IF(AA1129="Indefinido",AFC_EMP_INDEF,AFC_EMP_PF),0))</f>
        <v/>
      </c>
      <c r="AD1129" s="71" t="str">
        <f aca="false">IF(AH1129="","",ROUND(MIN(K1129,TOPE_AFP_UF*AJ1129)*(MUTUAL_BASICA+MUTUAL_ADIC+SANNA),0))</f>
        <v/>
      </c>
      <c r="AE1129" s="71" t="str">
        <f aca="false">IF(AH1129="","",P1129-N(N1129)+AB1129+AC1129+AD1129)</f>
        <v/>
      </c>
      <c r="AF1129" s="65"/>
      <c r="AG1129" s="64"/>
      <c r="AH1129" s="72" t="str">
        <f aca="false">IF(OR(B1129="",C1129=""),"",C1129&amp;"|"&amp;(YEAR(B1129)*100+MONTH(B1129)))</f>
        <v/>
      </c>
      <c r="AI1129" s="70" t="str">
        <f aca="false">IF(AH1129="","",IF(COUNTIF(L_CLAVE,AH1129)&gt;1,"⚠ Duplicado","OK"))</f>
        <v/>
      </c>
      <c r="AJ1129" s="86" t="str">
        <f aca="false">IF(AH1129="","",IF(SUMPRODUCT(MAX((IND_PER&lt;=B1129)*(IND_UF&lt;&gt;"")*IND_PER))=0,UF_HOY,INDEX(IND_UF,MATCH(SUMPRODUCT(MAX((IND_PER&lt;=B1129)*(IND_UF&lt;&gt;"")*IND_PER)),IND_PER,0))))</f>
        <v/>
      </c>
      <c r="AK1129" s="87" t="str">
        <f aca="false">IF(AH1129="","",IF(COUNTIF(TASA_DESDE,"&lt;="&amp;B1129)=0,INDEX(TASA_EMP,1),INDEX(TASA_EMP,COUNTIF(TASA_DESDE,"&lt;="&amp;B1129))))</f>
        <v/>
      </c>
    </row>
    <row r="1130" customFormat="false" ht="15" hidden="false" customHeight="false" outlineLevel="0" collapsed="false">
      <c r="B1130" s="78"/>
      <c r="C1130" s="64"/>
      <c r="D1130" s="72" t="str">
        <f aca="false">IF(C1130="","",IFERROR(INDEX(T_NOMBRE,MATCH(C1130,T_ID,0)),"⚠ ID no existe"))</f>
        <v/>
      </c>
      <c r="E1130" s="69"/>
      <c r="F1130" s="67"/>
      <c r="G1130" s="67"/>
      <c r="H1130" s="67"/>
      <c r="I1130" s="67"/>
      <c r="J1130" s="67"/>
      <c r="K1130" s="85" t="str">
        <f aca="false">IF(AH1130="","",N(F1130)+N(G1130)+N(H1130)-N(I1130)+N(J1130))</f>
        <v/>
      </c>
      <c r="L1130" s="67"/>
      <c r="M1130" s="67"/>
      <c r="N1130" s="67"/>
      <c r="O1130" s="67"/>
      <c r="P1130" s="85" t="str">
        <f aca="false">IF(AH1130="","",K1130+N(L1130)+N(M1130)+N(N1130)+N(O1130))</f>
        <v/>
      </c>
      <c r="Q1130" s="67"/>
      <c r="R1130" s="67"/>
      <c r="S1130" s="67"/>
      <c r="T1130" s="67"/>
      <c r="U1130" s="67"/>
      <c r="V1130" s="67"/>
      <c r="W1130" s="85" t="str">
        <f aca="false">IF(AH1130="","",N(Q1130)+N(R1130)+N(S1130)+N(T1130)+N(U1130)+N(V1130))</f>
        <v/>
      </c>
      <c r="X1130" s="85" t="str">
        <f aca="false">IF(AH1130="","",P1130-W1130)</f>
        <v/>
      </c>
      <c r="Y1130" s="67"/>
      <c r="Z1130" s="70" t="str">
        <f aca="false">IF(OR(AH1130="",Y1130=""),"",IF(ABS(X1130-Y1130)&lt;=1,"✓ Cuadra","⚠ Diferencia $"&amp;FIXED(X1130-Y1130,0)))</f>
        <v/>
      </c>
      <c r="AA1130" s="72" t="str">
        <f aca="false">IF(AH1130="","",IFERROR(INDEX(C_TIPO,MATCH(C1130&amp;"-P"&amp;MAX(1,COUNTIFS(C_ID,C1130,C_DEFINE,"Sí",C_INICIO,"&lt;="&amp;EOMONTH(B1130,0))),C_CLAVE,0))&amp;"","Sin dato"))</f>
        <v/>
      </c>
      <c r="AB1130" s="71" t="str">
        <f aca="false">IF(AH1130="","",ROUND(MIN(K1130,TOPE_AFP_UF*AJ1130)*AK1130,0))</f>
        <v/>
      </c>
      <c r="AC1130" s="71" t="str">
        <f aca="false">IF(AH1130="","",ROUND(MIN(K1130,TOPE_AFC_UF*AJ1130)*IF(AA1130="Indefinido",AFC_EMP_INDEF,AFC_EMP_PF),0))</f>
        <v/>
      </c>
      <c r="AD1130" s="71" t="str">
        <f aca="false">IF(AH1130="","",ROUND(MIN(K1130,TOPE_AFP_UF*AJ1130)*(MUTUAL_BASICA+MUTUAL_ADIC+SANNA),0))</f>
        <v/>
      </c>
      <c r="AE1130" s="71" t="str">
        <f aca="false">IF(AH1130="","",P1130-N(N1130)+AB1130+AC1130+AD1130)</f>
        <v/>
      </c>
      <c r="AF1130" s="65"/>
      <c r="AG1130" s="64"/>
      <c r="AH1130" s="72" t="str">
        <f aca="false">IF(OR(B1130="",C1130=""),"",C1130&amp;"|"&amp;(YEAR(B1130)*100+MONTH(B1130)))</f>
        <v/>
      </c>
      <c r="AI1130" s="70" t="str">
        <f aca="false">IF(AH1130="","",IF(COUNTIF(L_CLAVE,AH1130)&gt;1,"⚠ Duplicado","OK"))</f>
        <v/>
      </c>
      <c r="AJ1130" s="86" t="str">
        <f aca="false">IF(AH1130="","",IF(SUMPRODUCT(MAX((IND_PER&lt;=B1130)*(IND_UF&lt;&gt;"")*IND_PER))=0,UF_HOY,INDEX(IND_UF,MATCH(SUMPRODUCT(MAX((IND_PER&lt;=B1130)*(IND_UF&lt;&gt;"")*IND_PER)),IND_PER,0))))</f>
        <v/>
      </c>
      <c r="AK1130" s="87" t="str">
        <f aca="false">IF(AH1130="","",IF(COUNTIF(TASA_DESDE,"&lt;="&amp;B1130)=0,INDEX(TASA_EMP,1),INDEX(TASA_EMP,COUNTIF(TASA_DESDE,"&lt;="&amp;B1130))))</f>
        <v/>
      </c>
    </row>
    <row r="1131" customFormat="false" ht="15" hidden="false" customHeight="false" outlineLevel="0" collapsed="false">
      <c r="B1131" s="78"/>
      <c r="C1131" s="64"/>
      <c r="D1131" s="72" t="str">
        <f aca="false">IF(C1131="","",IFERROR(INDEX(T_NOMBRE,MATCH(C1131,T_ID,0)),"⚠ ID no existe"))</f>
        <v/>
      </c>
      <c r="E1131" s="69"/>
      <c r="F1131" s="67"/>
      <c r="G1131" s="67"/>
      <c r="H1131" s="67"/>
      <c r="I1131" s="67"/>
      <c r="J1131" s="67"/>
      <c r="K1131" s="85" t="str">
        <f aca="false">IF(AH1131="","",N(F1131)+N(G1131)+N(H1131)-N(I1131)+N(J1131))</f>
        <v/>
      </c>
      <c r="L1131" s="67"/>
      <c r="M1131" s="67"/>
      <c r="N1131" s="67"/>
      <c r="O1131" s="67"/>
      <c r="P1131" s="85" t="str">
        <f aca="false">IF(AH1131="","",K1131+N(L1131)+N(M1131)+N(N1131)+N(O1131))</f>
        <v/>
      </c>
      <c r="Q1131" s="67"/>
      <c r="R1131" s="67"/>
      <c r="S1131" s="67"/>
      <c r="T1131" s="67"/>
      <c r="U1131" s="67"/>
      <c r="V1131" s="67"/>
      <c r="W1131" s="85" t="str">
        <f aca="false">IF(AH1131="","",N(Q1131)+N(R1131)+N(S1131)+N(T1131)+N(U1131)+N(V1131))</f>
        <v/>
      </c>
      <c r="X1131" s="85" t="str">
        <f aca="false">IF(AH1131="","",P1131-W1131)</f>
        <v/>
      </c>
      <c r="Y1131" s="67"/>
      <c r="Z1131" s="70" t="str">
        <f aca="false">IF(OR(AH1131="",Y1131=""),"",IF(ABS(X1131-Y1131)&lt;=1,"✓ Cuadra","⚠ Diferencia $"&amp;FIXED(X1131-Y1131,0)))</f>
        <v/>
      </c>
      <c r="AA1131" s="72" t="str">
        <f aca="false">IF(AH1131="","",IFERROR(INDEX(C_TIPO,MATCH(C1131&amp;"-P"&amp;MAX(1,COUNTIFS(C_ID,C1131,C_DEFINE,"Sí",C_INICIO,"&lt;="&amp;EOMONTH(B1131,0))),C_CLAVE,0))&amp;"","Sin dato"))</f>
        <v/>
      </c>
      <c r="AB1131" s="71" t="str">
        <f aca="false">IF(AH1131="","",ROUND(MIN(K1131,TOPE_AFP_UF*AJ1131)*AK1131,0))</f>
        <v/>
      </c>
      <c r="AC1131" s="71" t="str">
        <f aca="false">IF(AH1131="","",ROUND(MIN(K1131,TOPE_AFC_UF*AJ1131)*IF(AA1131="Indefinido",AFC_EMP_INDEF,AFC_EMP_PF),0))</f>
        <v/>
      </c>
      <c r="AD1131" s="71" t="str">
        <f aca="false">IF(AH1131="","",ROUND(MIN(K1131,TOPE_AFP_UF*AJ1131)*(MUTUAL_BASICA+MUTUAL_ADIC+SANNA),0))</f>
        <v/>
      </c>
      <c r="AE1131" s="71" t="str">
        <f aca="false">IF(AH1131="","",P1131-N(N1131)+AB1131+AC1131+AD1131)</f>
        <v/>
      </c>
      <c r="AF1131" s="65"/>
      <c r="AG1131" s="64"/>
      <c r="AH1131" s="72" t="str">
        <f aca="false">IF(OR(B1131="",C1131=""),"",C1131&amp;"|"&amp;(YEAR(B1131)*100+MONTH(B1131)))</f>
        <v/>
      </c>
      <c r="AI1131" s="70" t="str">
        <f aca="false">IF(AH1131="","",IF(COUNTIF(L_CLAVE,AH1131)&gt;1,"⚠ Duplicado","OK"))</f>
        <v/>
      </c>
      <c r="AJ1131" s="86" t="str">
        <f aca="false">IF(AH1131="","",IF(SUMPRODUCT(MAX((IND_PER&lt;=B1131)*(IND_UF&lt;&gt;"")*IND_PER))=0,UF_HOY,INDEX(IND_UF,MATCH(SUMPRODUCT(MAX((IND_PER&lt;=B1131)*(IND_UF&lt;&gt;"")*IND_PER)),IND_PER,0))))</f>
        <v/>
      </c>
      <c r="AK1131" s="87" t="str">
        <f aca="false">IF(AH1131="","",IF(COUNTIF(TASA_DESDE,"&lt;="&amp;B1131)=0,INDEX(TASA_EMP,1),INDEX(TASA_EMP,COUNTIF(TASA_DESDE,"&lt;="&amp;B1131))))</f>
        <v/>
      </c>
    </row>
    <row r="1132" customFormat="false" ht="15" hidden="false" customHeight="false" outlineLevel="0" collapsed="false">
      <c r="B1132" s="78"/>
      <c r="C1132" s="64"/>
      <c r="D1132" s="72" t="str">
        <f aca="false">IF(C1132="","",IFERROR(INDEX(T_NOMBRE,MATCH(C1132,T_ID,0)),"⚠ ID no existe"))</f>
        <v/>
      </c>
      <c r="E1132" s="69"/>
      <c r="F1132" s="67"/>
      <c r="G1132" s="67"/>
      <c r="H1132" s="67"/>
      <c r="I1132" s="67"/>
      <c r="J1132" s="67"/>
      <c r="K1132" s="85" t="str">
        <f aca="false">IF(AH1132="","",N(F1132)+N(G1132)+N(H1132)-N(I1132)+N(J1132))</f>
        <v/>
      </c>
      <c r="L1132" s="67"/>
      <c r="M1132" s="67"/>
      <c r="N1132" s="67"/>
      <c r="O1132" s="67"/>
      <c r="P1132" s="85" t="str">
        <f aca="false">IF(AH1132="","",K1132+N(L1132)+N(M1132)+N(N1132)+N(O1132))</f>
        <v/>
      </c>
      <c r="Q1132" s="67"/>
      <c r="R1132" s="67"/>
      <c r="S1132" s="67"/>
      <c r="T1132" s="67"/>
      <c r="U1132" s="67"/>
      <c r="V1132" s="67"/>
      <c r="W1132" s="85" t="str">
        <f aca="false">IF(AH1132="","",N(Q1132)+N(R1132)+N(S1132)+N(T1132)+N(U1132)+N(V1132))</f>
        <v/>
      </c>
      <c r="X1132" s="85" t="str">
        <f aca="false">IF(AH1132="","",P1132-W1132)</f>
        <v/>
      </c>
      <c r="Y1132" s="67"/>
      <c r="Z1132" s="70" t="str">
        <f aca="false">IF(OR(AH1132="",Y1132=""),"",IF(ABS(X1132-Y1132)&lt;=1,"✓ Cuadra","⚠ Diferencia $"&amp;FIXED(X1132-Y1132,0)))</f>
        <v/>
      </c>
      <c r="AA1132" s="72" t="str">
        <f aca="false">IF(AH1132="","",IFERROR(INDEX(C_TIPO,MATCH(C1132&amp;"-P"&amp;MAX(1,COUNTIFS(C_ID,C1132,C_DEFINE,"Sí",C_INICIO,"&lt;="&amp;EOMONTH(B1132,0))),C_CLAVE,0))&amp;"","Sin dato"))</f>
        <v/>
      </c>
      <c r="AB1132" s="71" t="str">
        <f aca="false">IF(AH1132="","",ROUND(MIN(K1132,TOPE_AFP_UF*AJ1132)*AK1132,0))</f>
        <v/>
      </c>
      <c r="AC1132" s="71" t="str">
        <f aca="false">IF(AH1132="","",ROUND(MIN(K1132,TOPE_AFC_UF*AJ1132)*IF(AA1132="Indefinido",AFC_EMP_INDEF,AFC_EMP_PF),0))</f>
        <v/>
      </c>
      <c r="AD1132" s="71" t="str">
        <f aca="false">IF(AH1132="","",ROUND(MIN(K1132,TOPE_AFP_UF*AJ1132)*(MUTUAL_BASICA+MUTUAL_ADIC+SANNA),0))</f>
        <v/>
      </c>
      <c r="AE1132" s="71" t="str">
        <f aca="false">IF(AH1132="","",P1132-N(N1132)+AB1132+AC1132+AD1132)</f>
        <v/>
      </c>
      <c r="AF1132" s="65"/>
      <c r="AG1132" s="64"/>
      <c r="AH1132" s="72" t="str">
        <f aca="false">IF(OR(B1132="",C1132=""),"",C1132&amp;"|"&amp;(YEAR(B1132)*100+MONTH(B1132)))</f>
        <v/>
      </c>
      <c r="AI1132" s="70" t="str">
        <f aca="false">IF(AH1132="","",IF(COUNTIF(L_CLAVE,AH1132)&gt;1,"⚠ Duplicado","OK"))</f>
        <v/>
      </c>
      <c r="AJ1132" s="86" t="str">
        <f aca="false">IF(AH1132="","",IF(SUMPRODUCT(MAX((IND_PER&lt;=B1132)*(IND_UF&lt;&gt;"")*IND_PER))=0,UF_HOY,INDEX(IND_UF,MATCH(SUMPRODUCT(MAX((IND_PER&lt;=B1132)*(IND_UF&lt;&gt;"")*IND_PER)),IND_PER,0))))</f>
        <v/>
      </c>
      <c r="AK1132" s="87" t="str">
        <f aca="false">IF(AH1132="","",IF(COUNTIF(TASA_DESDE,"&lt;="&amp;B1132)=0,INDEX(TASA_EMP,1),INDEX(TASA_EMP,COUNTIF(TASA_DESDE,"&lt;="&amp;B1132))))</f>
        <v/>
      </c>
    </row>
    <row r="1133" customFormat="false" ht="15" hidden="false" customHeight="false" outlineLevel="0" collapsed="false">
      <c r="B1133" s="78"/>
      <c r="C1133" s="64"/>
      <c r="D1133" s="72" t="str">
        <f aca="false">IF(C1133="","",IFERROR(INDEX(T_NOMBRE,MATCH(C1133,T_ID,0)),"⚠ ID no existe"))</f>
        <v/>
      </c>
      <c r="E1133" s="69"/>
      <c r="F1133" s="67"/>
      <c r="G1133" s="67"/>
      <c r="H1133" s="67"/>
      <c r="I1133" s="67"/>
      <c r="J1133" s="67"/>
      <c r="K1133" s="85" t="str">
        <f aca="false">IF(AH1133="","",N(F1133)+N(G1133)+N(H1133)-N(I1133)+N(J1133))</f>
        <v/>
      </c>
      <c r="L1133" s="67"/>
      <c r="M1133" s="67"/>
      <c r="N1133" s="67"/>
      <c r="O1133" s="67"/>
      <c r="P1133" s="85" t="str">
        <f aca="false">IF(AH1133="","",K1133+N(L1133)+N(M1133)+N(N1133)+N(O1133))</f>
        <v/>
      </c>
      <c r="Q1133" s="67"/>
      <c r="R1133" s="67"/>
      <c r="S1133" s="67"/>
      <c r="T1133" s="67"/>
      <c r="U1133" s="67"/>
      <c r="V1133" s="67"/>
      <c r="W1133" s="85" t="str">
        <f aca="false">IF(AH1133="","",N(Q1133)+N(R1133)+N(S1133)+N(T1133)+N(U1133)+N(V1133))</f>
        <v/>
      </c>
      <c r="X1133" s="85" t="str">
        <f aca="false">IF(AH1133="","",P1133-W1133)</f>
        <v/>
      </c>
      <c r="Y1133" s="67"/>
      <c r="Z1133" s="70" t="str">
        <f aca="false">IF(OR(AH1133="",Y1133=""),"",IF(ABS(X1133-Y1133)&lt;=1,"✓ Cuadra","⚠ Diferencia $"&amp;FIXED(X1133-Y1133,0)))</f>
        <v/>
      </c>
      <c r="AA1133" s="72" t="str">
        <f aca="false">IF(AH1133="","",IFERROR(INDEX(C_TIPO,MATCH(C1133&amp;"-P"&amp;MAX(1,COUNTIFS(C_ID,C1133,C_DEFINE,"Sí",C_INICIO,"&lt;="&amp;EOMONTH(B1133,0))),C_CLAVE,0))&amp;"","Sin dato"))</f>
        <v/>
      </c>
      <c r="AB1133" s="71" t="str">
        <f aca="false">IF(AH1133="","",ROUND(MIN(K1133,TOPE_AFP_UF*AJ1133)*AK1133,0))</f>
        <v/>
      </c>
      <c r="AC1133" s="71" t="str">
        <f aca="false">IF(AH1133="","",ROUND(MIN(K1133,TOPE_AFC_UF*AJ1133)*IF(AA1133="Indefinido",AFC_EMP_INDEF,AFC_EMP_PF),0))</f>
        <v/>
      </c>
      <c r="AD1133" s="71" t="str">
        <f aca="false">IF(AH1133="","",ROUND(MIN(K1133,TOPE_AFP_UF*AJ1133)*(MUTUAL_BASICA+MUTUAL_ADIC+SANNA),0))</f>
        <v/>
      </c>
      <c r="AE1133" s="71" t="str">
        <f aca="false">IF(AH1133="","",P1133-N(N1133)+AB1133+AC1133+AD1133)</f>
        <v/>
      </c>
      <c r="AF1133" s="65"/>
      <c r="AG1133" s="64"/>
      <c r="AH1133" s="72" t="str">
        <f aca="false">IF(OR(B1133="",C1133=""),"",C1133&amp;"|"&amp;(YEAR(B1133)*100+MONTH(B1133)))</f>
        <v/>
      </c>
      <c r="AI1133" s="70" t="str">
        <f aca="false">IF(AH1133="","",IF(COUNTIF(L_CLAVE,AH1133)&gt;1,"⚠ Duplicado","OK"))</f>
        <v/>
      </c>
      <c r="AJ1133" s="86" t="str">
        <f aca="false">IF(AH1133="","",IF(SUMPRODUCT(MAX((IND_PER&lt;=B1133)*(IND_UF&lt;&gt;"")*IND_PER))=0,UF_HOY,INDEX(IND_UF,MATCH(SUMPRODUCT(MAX((IND_PER&lt;=B1133)*(IND_UF&lt;&gt;"")*IND_PER)),IND_PER,0))))</f>
        <v/>
      </c>
      <c r="AK1133" s="87" t="str">
        <f aca="false">IF(AH1133="","",IF(COUNTIF(TASA_DESDE,"&lt;="&amp;B1133)=0,INDEX(TASA_EMP,1),INDEX(TASA_EMP,COUNTIF(TASA_DESDE,"&lt;="&amp;B1133))))</f>
        <v/>
      </c>
    </row>
    <row r="1134" customFormat="false" ht="15" hidden="false" customHeight="false" outlineLevel="0" collapsed="false">
      <c r="B1134" s="78"/>
      <c r="C1134" s="64"/>
      <c r="D1134" s="72" t="str">
        <f aca="false">IF(C1134="","",IFERROR(INDEX(T_NOMBRE,MATCH(C1134,T_ID,0)),"⚠ ID no existe"))</f>
        <v/>
      </c>
      <c r="E1134" s="69"/>
      <c r="F1134" s="67"/>
      <c r="G1134" s="67"/>
      <c r="H1134" s="67"/>
      <c r="I1134" s="67"/>
      <c r="J1134" s="67"/>
      <c r="K1134" s="85" t="str">
        <f aca="false">IF(AH1134="","",N(F1134)+N(G1134)+N(H1134)-N(I1134)+N(J1134))</f>
        <v/>
      </c>
      <c r="L1134" s="67"/>
      <c r="M1134" s="67"/>
      <c r="N1134" s="67"/>
      <c r="O1134" s="67"/>
      <c r="P1134" s="85" t="str">
        <f aca="false">IF(AH1134="","",K1134+N(L1134)+N(M1134)+N(N1134)+N(O1134))</f>
        <v/>
      </c>
      <c r="Q1134" s="67"/>
      <c r="R1134" s="67"/>
      <c r="S1134" s="67"/>
      <c r="T1134" s="67"/>
      <c r="U1134" s="67"/>
      <c r="V1134" s="67"/>
      <c r="W1134" s="85" t="str">
        <f aca="false">IF(AH1134="","",N(Q1134)+N(R1134)+N(S1134)+N(T1134)+N(U1134)+N(V1134))</f>
        <v/>
      </c>
      <c r="X1134" s="85" t="str">
        <f aca="false">IF(AH1134="","",P1134-W1134)</f>
        <v/>
      </c>
      <c r="Y1134" s="67"/>
      <c r="Z1134" s="70" t="str">
        <f aca="false">IF(OR(AH1134="",Y1134=""),"",IF(ABS(X1134-Y1134)&lt;=1,"✓ Cuadra","⚠ Diferencia $"&amp;FIXED(X1134-Y1134,0)))</f>
        <v/>
      </c>
      <c r="AA1134" s="72" t="str">
        <f aca="false">IF(AH1134="","",IFERROR(INDEX(C_TIPO,MATCH(C1134&amp;"-P"&amp;MAX(1,COUNTIFS(C_ID,C1134,C_DEFINE,"Sí",C_INICIO,"&lt;="&amp;EOMONTH(B1134,0))),C_CLAVE,0))&amp;"","Sin dato"))</f>
        <v/>
      </c>
      <c r="AB1134" s="71" t="str">
        <f aca="false">IF(AH1134="","",ROUND(MIN(K1134,TOPE_AFP_UF*AJ1134)*AK1134,0))</f>
        <v/>
      </c>
      <c r="AC1134" s="71" t="str">
        <f aca="false">IF(AH1134="","",ROUND(MIN(K1134,TOPE_AFC_UF*AJ1134)*IF(AA1134="Indefinido",AFC_EMP_INDEF,AFC_EMP_PF),0))</f>
        <v/>
      </c>
      <c r="AD1134" s="71" t="str">
        <f aca="false">IF(AH1134="","",ROUND(MIN(K1134,TOPE_AFP_UF*AJ1134)*(MUTUAL_BASICA+MUTUAL_ADIC+SANNA),0))</f>
        <v/>
      </c>
      <c r="AE1134" s="71" t="str">
        <f aca="false">IF(AH1134="","",P1134-N(N1134)+AB1134+AC1134+AD1134)</f>
        <v/>
      </c>
      <c r="AF1134" s="65"/>
      <c r="AG1134" s="64"/>
      <c r="AH1134" s="72" t="str">
        <f aca="false">IF(OR(B1134="",C1134=""),"",C1134&amp;"|"&amp;(YEAR(B1134)*100+MONTH(B1134)))</f>
        <v/>
      </c>
      <c r="AI1134" s="70" t="str">
        <f aca="false">IF(AH1134="","",IF(COUNTIF(L_CLAVE,AH1134)&gt;1,"⚠ Duplicado","OK"))</f>
        <v/>
      </c>
      <c r="AJ1134" s="86" t="str">
        <f aca="false">IF(AH1134="","",IF(SUMPRODUCT(MAX((IND_PER&lt;=B1134)*(IND_UF&lt;&gt;"")*IND_PER))=0,UF_HOY,INDEX(IND_UF,MATCH(SUMPRODUCT(MAX((IND_PER&lt;=B1134)*(IND_UF&lt;&gt;"")*IND_PER)),IND_PER,0))))</f>
        <v/>
      </c>
      <c r="AK1134" s="87" t="str">
        <f aca="false">IF(AH1134="","",IF(COUNTIF(TASA_DESDE,"&lt;="&amp;B1134)=0,INDEX(TASA_EMP,1),INDEX(TASA_EMP,COUNTIF(TASA_DESDE,"&lt;="&amp;B1134))))</f>
        <v/>
      </c>
    </row>
    <row r="1135" customFormat="false" ht="15" hidden="false" customHeight="false" outlineLevel="0" collapsed="false">
      <c r="B1135" s="78"/>
      <c r="C1135" s="64"/>
      <c r="D1135" s="72" t="str">
        <f aca="false">IF(C1135="","",IFERROR(INDEX(T_NOMBRE,MATCH(C1135,T_ID,0)),"⚠ ID no existe"))</f>
        <v/>
      </c>
      <c r="E1135" s="69"/>
      <c r="F1135" s="67"/>
      <c r="G1135" s="67"/>
      <c r="H1135" s="67"/>
      <c r="I1135" s="67"/>
      <c r="J1135" s="67"/>
      <c r="K1135" s="85" t="str">
        <f aca="false">IF(AH1135="","",N(F1135)+N(G1135)+N(H1135)-N(I1135)+N(J1135))</f>
        <v/>
      </c>
      <c r="L1135" s="67"/>
      <c r="M1135" s="67"/>
      <c r="N1135" s="67"/>
      <c r="O1135" s="67"/>
      <c r="P1135" s="85" t="str">
        <f aca="false">IF(AH1135="","",K1135+N(L1135)+N(M1135)+N(N1135)+N(O1135))</f>
        <v/>
      </c>
      <c r="Q1135" s="67"/>
      <c r="R1135" s="67"/>
      <c r="S1135" s="67"/>
      <c r="T1135" s="67"/>
      <c r="U1135" s="67"/>
      <c r="V1135" s="67"/>
      <c r="W1135" s="85" t="str">
        <f aca="false">IF(AH1135="","",N(Q1135)+N(R1135)+N(S1135)+N(T1135)+N(U1135)+N(V1135))</f>
        <v/>
      </c>
      <c r="X1135" s="85" t="str">
        <f aca="false">IF(AH1135="","",P1135-W1135)</f>
        <v/>
      </c>
      <c r="Y1135" s="67"/>
      <c r="Z1135" s="70" t="str">
        <f aca="false">IF(OR(AH1135="",Y1135=""),"",IF(ABS(X1135-Y1135)&lt;=1,"✓ Cuadra","⚠ Diferencia $"&amp;FIXED(X1135-Y1135,0)))</f>
        <v/>
      </c>
      <c r="AA1135" s="72" t="str">
        <f aca="false">IF(AH1135="","",IFERROR(INDEX(C_TIPO,MATCH(C1135&amp;"-P"&amp;MAX(1,COUNTIFS(C_ID,C1135,C_DEFINE,"Sí",C_INICIO,"&lt;="&amp;EOMONTH(B1135,0))),C_CLAVE,0))&amp;"","Sin dato"))</f>
        <v/>
      </c>
      <c r="AB1135" s="71" t="str">
        <f aca="false">IF(AH1135="","",ROUND(MIN(K1135,TOPE_AFP_UF*AJ1135)*AK1135,0))</f>
        <v/>
      </c>
      <c r="AC1135" s="71" t="str">
        <f aca="false">IF(AH1135="","",ROUND(MIN(K1135,TOPE_AFC_UF*AJ1135)*IF(AA1135="Indefinido",AFC_EMP_INDEF,AFC_EMP_PF),0))</f>
        <v/>
      </c>
      <c r="AD1135" s="71" t="str">
        <f aca="false">IF(AH1135="","",ROUND(MIN(K1135,TOPE_AFP_UF*AJ1135)*(MUTUAL_BASICA+MUTUAL_ADIC+SANNA),0))</f>
        <v/>
      </c>
      <c r="AE1135" s="71" t="str">
        <f aca="false">IF(AH1135="","",P1135-N(N1135)+AB1135+AC1135+AD1135)</f>
        <v/>
      </c>
      <c r="AF1135" s="65"/>
      <c r="AG1135" s="64"/>
      <c r="AH1135" s="72" t="str">
        <f aca="false">IF(OR(B1135="",C1135=""),"",C1135&amp;"|"&amp;(YEAR(B1135)*100+MONTH(B1135)))</f>
        <v/>
      </c>
      <c r="AI1135" s="70" t="str">
        <f aca="false">IF(AH1135="","",IF(COUNTIF(L_CLAVE,AH1135)&gt;1,"⚠ Duplicado","OK"))</f>
        <v/>
      </c>
      <c r="AJ1135" s="86" t="str">
        <f aca="false">IF(AH1135="","",IF(SUMPRODUCT(MAX((IND_PER&lt;=B1135)*(IND_UF&lt;&gt;"")*IND_PER))=0,UF_HOY,INDEX(IND_UF,MATCH(SUMPRODUCT(MAX((IND_PER&lt;=B1135)*(IND_UF&lt;&gt;"")*IND_PER)),IND_PER,0))))</f>
        <v/>
      </c>
      <c r="AK1135" s="87" t="str">
        <f aca="false">IF(AH1135="","",IF(COUNTIF(TASA_DESDE,"&lt;="&amp;B1135)=0,INDEX(TASA_EMP,1),INDEX(TASA_EMP,COUNTIF(TASA_DESDE,"&lt;="&amp;B1135))))</f>
        <v/>
      </c>
    </row>
    <row r="1136" customFormat="false" ht="15" hidden="false" customHeight="false" outlineLevel="0" collapsed="false">
      <c r="B1136" s="78"/>
      <c r="C1136" s="64"/>
      <c r="D1136" s="72" t="str">
        <f aca="false">IF(C1136="","",IFERROR(INDEX(T_NOMBRE,MATCH(C1136,T_ID,0)),"⚠ ID no existe"))</f>
        <v/>
      </c>
      <c r="E1136" s="69"/>
      <c r="F1136" s="67"/>
      <c r="G1136" s="67"/>
      <c r="H1136" s="67"/>
      <c r="I1136" s="67"/>
      <c r="J1136" s="67"/>
      <c r="K1136" s="85" t="str">
        <f aca="false">IF(AH1136="","",N(F1136)+N(G1136)+N(H1136)-N(I1136)+N(J1136))</f>
        <v/>
      </c>
      <c r="L1136" s="67"/>
      <c r="M1136" s="67"/>
      <c r="N1136" s="67"/>
      <c r="O1136" s="67"/>
      <c r="P1136" s="85" t="str">
        <f aca="false">IF(AH1136="","",K1136+N(L1136)+N(M1136)+N(N1136)+N(O1136))</f>
        <v/>
      </c>
      <c r="Q1136" s="67"/>
      <c r="R1136" s="67"/>
      <c r="S1136" s="67"/>
      <c r="T1136" s="67"/>
      <c r="U1136" s="67"/>
      <c r="V1136" s="67"/>
      <c r="W1136" s="85" t="str">
        <f aca="false">IF(AH1136="","",N(Q1136)+N(R1136)+N(S1136)+N(T1136)+N(U1136)+N(V1136))</f>
        <v/>
      </c>
      <c r="X1136" s="85" t="str">
        <f aca="false">IF(AH1136="","",P1136-W1136)</f>
        <v/>
      </c>
      <c r="Y1136" s="67"/>
      <c r="Z1136" s="70" t="str">
        <f aca="false">IF(OR(AH1136="",Y1136=""),"",IF(ABS(X1136-Y1136)&lt;=1,"✓ Cuadra","⚠ Diferencia $"&amp;FIXED(X1136-Y1136,0)))</f>
        <v/>
      </c>
      <c r="AA1136" s="72" t="str">
        <f aca="false">IF(AH1136="","",IFERROR(INDEX(C_TIPO,MATCH(C1136&amp;"-P"&amp;MAX(1,COUNTIFS(C_ID,C1136,C_DEFINE,"Sí",C_INICIO,"&lt;="&amp;EOMONTH(B1136,0))),C_CLAVE,0))&amp;"","Sin dato"))</f>
        <v/>
      </c>
      <c r="AB1136" s="71" t="str">
        <f aca="false">IF(AH1136="","",ROUND(MIN(K1136,TOPE_AFP_UF*AJ1136)*AK1136,0))</f>
        <v/>
      </c>
      <c r="AC1136" s="71" t="str">
        <f aca="false">IF(AH1136="","",ROUND(MIN(K1136,TOPE_AFC_UF*AJ1136)*IF(AA1136="Indefinido",AFC_EMP_INDEF,AFC_EMP_PF),0))</f>
        <v/>
      </c>
      <c r="AD1136" s="71" t="str">
        <f aca="false">IF(AH1136="","",ROUND(MIN(K1136,TOPE_AFP_UF*AJ1136)*(MUTUAL_BASICA+MUTUAL_ADIC+SANNA),0))</f>
        <v/>
      </c>
      <c r="AE1136" s="71" t="str">
        <f aca="false">IF(AH1136="","",P1136-N(N1136)+AB1136+AC1136+AD1136)</f>
        <v/>
      </c>
      <c r="AF1136" s="65"/>
      <c r="AG1136" s="64"/>
      <c r="AH1136" s="72" t="str">
        <f aca="false">IF(OR(B1136="",C1136=""),"",C1136&amp;"|"&amp;(YEAR(B1136)*100+MONTH(B1136)))</f>
        <v/>
      </c>
      <c r="AI1136" s="70" t="str">
        <f aca="false">IF(AH1136="","",IF(COUNTIF(L_CLAVE,AH1136)&gt;1,"⚠ Duplicado","OK"))</f>
        <v/>
      </c>
      <c r="AJ1136" s="86" t="str">
        <f aca="false">IF(AH1136="","",IF(SUMPRODUCT(MAX((IND_PER&lt;=B1136)*(IND_UF&lt;&gt;"")*IND_PER))=0,UF_HOY,INDEX(IND_UF,MATCH(SUMPRODUCT(MAX((IND_PER&lt;=B1136)*(IND_UF&lt;&gt;"")*IND_PER)),IND_PER,0))))</f>
        <v/>
      </c>
      <c r="AK1136" s="87" t="str">
        <f aca="false">IF(AH1136="","",IF(COUNTIF(TASA_DESDE,"&lt;="&amp;B1136)=0,INDEX(TASA_EMP,1),INDEX(TASA_EMP,COUNTIF(TASA_DESDE,"&lt;="&amp;B1136))))</f>
        <v/>
      </c>
    </row>
    <row r="1137" customFormat="false" ht="15" hidden="false" customHeight="false" outlineLevel="0" collapsed="false">
      <c r="B1137" s="78"/>
      <c r="C1137" s="64"/>
      <c r="D1137" s="72" t="str">
        <f aca="false">IF(C1137="","",IFERROR(INDEX(T_NOMBRE,MATCH(C1137,T_ID,0)),"⚠ ID no existe"))</f>
        <v/>
      </c>
      <c r="E1137" s="69"/>
      <c r="F1137" s="67"/>
      <c r="G1137" s="67"/>
      <c r="H1137" s="67"/>
      <c r="I1137" s="67"/>
      <c r="J1137" s="67"/>
      <c r="K1137" s="85" t="str">
        <f aca="false">IF(AH1137="","",N(F1137)+N(G1137)+N(H1137)-N(I1137)+N(J1137))</f>
        <v/>
      </c>
      <c r="L1137" s="67"/>
      <c r="M1137" s="67"/>
      <c r="N1137" s="67"/>
      <c r="O1137" s="67"/>
      <c r="P1137" s="85" t="str">
        <f aca="false">IF(AH1137="","",K1137+N(L1137)+N(M1137)+N(N1137)+N(O1137))</f>
        <v/>
      </c>
      <c r="Q1137" s="67"/>
      <c r="R1137" s="67"/>
      <c r="S1137" s="67"/>
      <c r="T1137" s="67"/>
      <c r="U1137" s="67"/>
      <c r="V1137" s="67"/>
      <c r="W1137" s="85" t="str">
        <f aca="false">IF(AH1137="","",N(Q1137)+N(R1137)+N(S1137)+N(T1137)+N(U1137)+N(V1137))</f>
        <v/>
      </c>
      <c r="X1137" s="85" t="str">
        <f aca="false">IF(AH1137="","",P1137-W1137)</f>
        <v/>
      </c>
      <c r="Y1137" s="67"/>
      <c r="Z1137" s="70" t="str">
        <f aca="false">IF(OR(AH1137="",Y1137=""),"",IF(ABS(X1137-Y1137)&lt;=1,"✓ Cuadra","⚠ Diferencia $"&amp;FIXED(X1137-Y1137,0)))</f>
        <v/>
      </c>
      <c r="AA1137" s="72" t="str">
        <f aca="false">IF(AH1137="","",IFERROR(INDEX(C_TIPO,MATCH(C1137&amp;"-P"&amp;MAX(1,COUNTIFS(C_ID,C1137,C_DEFINE,"Sí",C_INICIO,"&lt;="&amp;EOMONTH(B1137,0))),C_CLAVE,0))&amp;"","Sin dato"))</f>
        <v/>
      </c>
      <c r="AB1137" s="71" t="str">
        <f aca="false">IF(AH1137="","",ROUND(MIN(K1137,TOPE_AFP_UF*AJ1137)*AK1137,0))</f>
        <v/>
      </c>
      <c r="AC1137" s="71" t="str">
        <f aca="false">IF(AH1137="","",ROUND(MIN(K1137,TOPE_AFC_UF*AJ1137)*IF(AA1137="Indefinido",AFC_EMP_INDEF,AFC_EMP_PF),0))</f>
        <v/>
      </c>
      <c r="AD1137" s="71" t="str">
        <f aca="false">IF(AH1137="","",ROUND(MIN(K1137,TOPE_AFP_UF*AJ1137)*(MUTUAL_BASICA+MUTUAL_ADIC+SANNA),0))</f>
        <v/>
      </c>
      <c r="AE1137" s="71" t="str">
        <f aca="false">IF(AH1137="","",P1137-N(N1137)+AB1137+AC1137+AD1137)</f>
        <v/>
      </c>
      <c r="AF1137" s="65"/>
      <c r="AG1137" s="64"/>
      <c r="AH1137" s="72" t="str">
        <f aca="false">IF(OR(B1137="",C1137=""),"",C1137&amp;"|"&amp;(YEAR(B1137)*100+MONTH(B1137)))</f>
        <v/>
      </c>
      <c r="AI1137" s="70" t="str">
        <f aca="false">IF(AH1137="","",IF(COUNTIF(L_CLAVE,AH1137)&gt;1,"⚠ Duplicado","OK"))</f>
        <v/>
      </c>
      <c r="AJ1137" s="86" t="str">
        <f aca="false">IF(AH1137="","",IF(SUMPRODUCT(MAX((IND_PER&lt;=B1137)*(IND_UF&lt;&gt;"")*IND_PER))=0,UF_HOY,INDEX(IND_UF,MATCH(SUMPRODUCT(MAX((IND_PER&lt;=B1137)*(IND_UF&lt;&gt;"")*IND_PER)),IND_PER,0))))</f>
        <v/>
      </c>
      <c r="AK1137" s="87" t="str">
        <f aca="false">IF(AH1137="","",IF(COUNTIF(TASA_DESDE,"&lt;="&amp;B1137)=0,INDEX(TASA_EMP,1),INDEX(TASA_EMP,COUNTIF(TASA_DESDE,"&lt;="&amp;B1137))))</f>
        <v/>
      </c>
    </row>
    <row r="1138" customFormat="false" ht="15" hidden="false" customHeight="false" outlineLevel="0" collapsed="false">
      <c r="B1138" s="78"/>
      <c r="C1138" s="64"/>
      <c r="D1138" s="72" t="str">
        <f aca="false">IF(C1138="","",IFERROR(INDEX(T_NOMBRE,MATCH(C1138,T_ID,0)),"⚠ ID no existe"))</f>
        <v/>
      </c>
      <c r="E1138" s="69"/>
      <c r="F1138" s="67"/>
      <c r="G1138" s="67"/>
      <c r="H1138" s="67"/>
      <c r="I1138" s="67"/>
      <c r="J1138" s="67"/>
      <c r="K1138" s="85" t="str">
        <f aca="false">IF(AH1138="","",N(F1138)+N(G1138)+N(H1138)-N(I1138)+N(J1138))</f>
        <v/>
      </c>
      <c r="L1138" s="67"/>
      <c r="M1138" s="67"/>
      <c r="N1138" s="67"/>
      <c r="O1138" s="67"/>
      <c r="P1138" s="85" t="str">
        <f aca="false">IF(AH1138="","",K1138+N(L1138)+N(M1138)+N(N1138)+N(O1138))</f>
        <v/>
      </c>
      <c r="Q1138" s="67"/>
      <c r="R1138" s="67"/>
      <c r="S1138" s="67"/>
      <c r="T1138" s="67"/>
      <c r="U1138" s="67"/>
      <c r="V1138" s="67"/>
      <c r="W1138" s="85" t="str">
        <f aca="false">IF(AH1138="","",N(Q1138)+N(R1138)+N(S1138)+N(T1138)+N(U1138)+N(V1138))</f>
        <v/>
      </c>
      <c r="X1138" s="85" t="str">
        <f aca="false">IF(AH1138="","",P1138-W1138)</f>
        <v/>
      </c>
      <c r="Y1138" s="67"/>
      <c r="Z1138" s="70" t="str">
        <f aca="false">IF(OR(AH1138="",Y1138=""),"",IF(ABS(X1138-Y1138)&lt;=1,"✓ Cuadra","⚠ Diferencia $"&amp;FIXED(X1138-Y1138,0)))</f>
        <v/>
      </c>
      <c r="AA1138" s="72" t="str">
        <f aca="false">IF(AH1138="","",IFERROR(INDEX(C_TIPO,MATCH(C1138&amp;"-P"&amp;MAX(1,COUNTIFS(C_ID,C1138,C_DEFINE,"Sí",C_INICIO,"&lt;="&amp;EOMONTH(B1138,0))),C_CLAVE,0))&amp;"","Sin dato"))</f>
        <v/>
      </c>
      <c r="AB1138" s="71" t="str">
        <f aca="false">IF(AH1138="","",ROUND(MIN(K1138,TOPE_AFP_UF*AJ1138)*AK1138,0))</f>
        <v/>
      </c>
      <c r="AC1138" s="71" t="str">
        <f aca="false">IF(AH1138="","",ROUND(MIN(K1138,TOPE_AFC_UF*AJ1138)*IF(AA1138="Indefinido",AFC_EMP_INDEF,AFC_EMP_PF),0))</f>
        <v/>
      </c>
      <c r="AD1138" s="71" t="str">
        <f aca="false">IF(AH1138="","",ROUND(MIN(K1138,TOPE_AFP_UF*AJ1138)*(MUTUAL_BASICA+MUTUAL_ADIC+SANNA),0))</f>
        <v/>
      </c>
      <c r="AE1138" s="71" t="str">
        <f aca="false">IF(AH1138="","",P1138-N(N1138)+AB1138+AC1138+AD1138)</f>
        <v/>
      </c>
      <c r="AF1138" s="65"/>
      <c r="AG1138" s="64"/>
      <c r="AH1138" s="72" t="str">
        <f aca="false">IF(OR(B1138="",C1138=""),"",C1138&amp;"|"&amp;(YEAR(B1138)*100+MONTH(B1138)))</f>
        <v/>
      </c>
      <c r="AI1138" s="70" t="str">
        <f aca="false">IF(AH1138="","",IF(COUNTIF(L_CLAVE,AH1138)&gt;1,"⚠ Duplicado","OK"))</f>
        <v/>
      </c>
      <c r="AJ1138" s="86" t="str">
        <f aca="false">IF(AH1138="","",IF(SUMPRODUCT(MAX((IND_PER&lt;=B1138)*(IND_UF&lt;&gt;"")*IND_PER))=0,UF_HOY,INDEX(IND_UF,MATCH(SUMPRODUCT(MAX((IND_PER&lt;=B1138)*(IND_UF&lt;&gt;"")*IND_PER)),IND_PER,0))))</f>
        <v/>
      </c>
      <c r="AK1138" s="87" t="str">
        <f aca="false">IF(AH1138="","",IF(COUNTIF(TASA_DESDE,"&lt;="&amp;B1138)=0,INDEX(TASA_EMP,1),INDEX(TASA_EMP,COUNTIF(TASA_DESDE,"&lt;="&amp;B1138))))</f>
        <v/>
      </c>
    </row>
    <row r="1139" customFormat="false" ht="15" hidden="false" customHeight="false" outlineLevel="0" collapsed="false">
      <c r="B1139" s="78"/>
      <c r="C1139" s="64"/>
      <c r="D1139" s="72" t="str">
        <f aca="false">IF(C1139="","",IFERROR(INDEX(T_NOMBRE,MATCH(C1139,T_ID,0)),"⚠ ID no existe"))</f>
        <v/>
      </c>
      <c r="E1139" s="69"/>
      <c r="F1139" s="67"/>
      <c r="G1139" s="67"/>
      <c r="H1139" s="67"/>
      <c r="I1139" s="67"/>
      <c r="J1139" s="67"/>
      <c r="K1139" s="85" t="str">
        <f aca="false">IF(AH1139="","",N(F1139)+N(G1139)+N(H1139)-N(I1139)+N(J1139))</f>
        <v/>
      </c>
      <c r="L1139" s="67"/>
      <c r="M1139" s="67"/>
      <c r="N1139" s="67"/>
      <c r="O1139" s="67"/>
      <c r="P1139" s="85" t="str">
        <f aca="false">IF(AH1139="","",K1139+N(L1139)+N(M1139)+N(N1139)+N(O1139))</f>
        <v/>
      </c>
      <c r="Q1139" s="67"/>
      <c r="R1139" s="67"/>
      <c r="S1139" s="67"/>
      <c r="T1139" s="67"/>
      <c r="U1139" s="67"/>
      <c r="V1139" s="67"/>
      <c r="W1139" s="85" t="str">
        <f aca="false">IF(AH1139="","",N(Q1139)+N(R1139)+N(S1139)+N(T1139)+N(U1139)+N(V1139))</f>
        <v/>
      </c>
      <c r="X1139" s="85" t="str">
        <f aca="false">IF(AH1139="","",P1139-W1139)</f>
        <v/>
      </c>
      <c r="Y1139" s="67"/>
      <c r="Z1139" s="70" t="str">
        <f aca="false">IF(OR(AH1139="",Y1139=""),"",IF(ABS(X1139-Y1139)&lt;=1,"✓ Cuadra","⚠ Diferencia $"&amp;FIXED(X1139-Y1139,0)))</f>
        <v/>
      </c>
      <c r="AA1139" s="72" t="str">
        <f aca="false">IF(AH1139="","",IFERROR(INDEX(C_TIPO,MATCH(C1139&amp;"-P"&amp;MAX(1,COUNTIFS(C_ID,C1139,C_DEFINE,"Sí",C_INICIO,"&lt;="&amp;EOMONTH(B1139,0))),C_CLAVE,0))&amp;"","Sin dato"))</f>
        <v/>
      </c>
      <c r="AB1139" s="71" t="str">
        <f aca="false">IF(AH1139="","",ROUND(MIN(K1139,TOPE_AFP_UF*AJ1139)*AK1139,0))</f>
        <v/>
      </c>
      <c r="AC1139" s="71" t="str">
        <f aca="false">IF(AH1139="","",ROUND(MIN(K1139,TOPE_AFC_UF*AJ1139)*IF(AA1139="Indefinido",AFC_EMP_INDEF,AFC_EMP_PF),0))</f>
        <v/>
      </c>
      <c r="AD1139" s="71" t="str">
        <f aca="false">IF(AH1139="","",ROUND(MIN(K1139,TOPE_AFP_UF*AJ1139)*(MUTUAL_BASICA+MUTUAL_ADIC+SANNA),0))</f>
        <v/>
      </c>
      <c r="AE1139" s="71" t="str">
        <f aca="false">IF(AH1139="","",P1139-N(N1139)+AB1139+AC1139+AD1139)</f>
        <v/>
      </c>
      <c r="AF1139" s="65"/>
      <c r="AG1139" s="64"/>
      <c r="AH1139" s="72" t="str">
        <f aca="false">IF(OR(B1139="",C1139=""),"",C1139&amp;"|"&amp;(YEAR(B1139)*100+MONTH(B1139)))</f>
        <v/>
      </c>
      <c r="AI1139" s="70" t="str">
        <f aca="false">IF(AH1139="","",IF(COUNTIF(L_CLAVE,AH1139)&gt;1,"⚠ Duplicado","OK"))</f>
        <v/>
      </c>
      <c r="AJ1139" s="86" t="str">
        <f aca="false">IF(AH1139="","",IF(SUMPRODUCT(MAX((IND_PER&lt;=B1139)*(IND_UF&lt;&gt;"")*IND_PER))=0,UF_HOY,INDEX(IND_UF,MATCH(SUMPRODUCT(MAX((IND_PER&lt;=B1139)*(IND_UF&lt;&gt;"")*IND_PER)),IND_PER,0))))</f>
        <v/>
      </c>
      <c r="AK1139" s="87" t="str">
        <f aca="false">IF(AH1139="","",IF(COUNTIF(TASA_DESDE,"&lt;="&amp;B1139)=0,INDEX(TASA_EMP,1),INDEX(TASA_EMP,COUNTIF(TASA_DESDE,"&lt;="&amp;B1139))))</f>
        <v/>
      </c>
    </row>
    <row r="1140" customFormat="false" ht="15" hidden="false" customHeight="false" outlineLevel="0" collapsed="false">
      <c r="B1140" s="78"/>
      <c r="C1140" s="64"/>
      <c r="D1140" s="72" t="str">
        <f aca="false">IF(C1140="","",IFERROR(INDEX(T_NOMBRE,MATCH(C1140,T_ID,0)),"⚠ ID no existe"))</f>
        <v/>
      </c>
      <c r="E1140" s="69"/>
      <c r="F1140" s="67"/>
      <c r="G1140" s="67"/>
      <c r="H1140" s="67"/>
      <c r="I1140" s="67"/>
      <c r="J1140" s="67"/>
      <c r="K1140" s="85" t="str">
        <f aca="false">IF(AH1140="","",N(F1140)+N(G1140)+N(H1140)-N(I1140)+N(J1140))</f>
        <v/>
      </c>
      <c r="L1140" s="67"/>
      <c r="M1140" s="67"/>
      <c r="N1140" s="67"/>
      <c r="O1140" s="67"/>
      <c r="P1140" s="85" t="str">
        <f aca="false">IF(AH1140="","",K1140+N(L1140)+N(M1140)+N(N1140)+N(O1140))</f>
        <v/>
      </c>
      <c r="Q1140" s="67"/>
      <c r="R1140" s="67"/>
      <c r="S1140" s="67"/>
      <c r="T1140" s="67"/>
      <c r="U1140" s="67"/>
      <c r="V1140" s="67"/>
      <c r="W1140" s="85" t="str">
        <f aca="false">IF(AH1140="","",N(Q1140)+N(R1140)+N(S1140)+N(T1140)+N(U1140)+N(V1140))</f>
        <v/>
      </c>
      <c r="X1140" s="85" t="str">
        <f aca="false">IF(AH1140="","",P1140-W1140)</f>
        <v/>
      </c>
      <c r="Y1140" s="67"/>
      <c r="Z1140" s="70" t="str">
        <f aca="false">IF(OR(AH1140="",Y1140=""),"",IF(ABS(X1140-Y1140)&lt;=1,"✓ Cuadra","⚠ Diferencia $"&amp;FIXED(X1140-Y1140,0)))</f>
        <v/>
      </c>
      <c r="AA1140" s="72" t="str">
        <f aca="false">IF(AH1140="","",IFERROR(INDEX(C_TIPO,MATCH(C1140&amp;"-P"&amp;MAX(1,COUNTIFS(C_ID,C1140,C_DEFINE,"Sí",C_INICIO,"&lt;="&amp;EOMONTH(B1140,0))),C_CLAVE,0))&amp;"","Sin dato"))</f>
        <v/>
      </c>
      <c r="AB1140" s="71" t="str">
        <f aca="false">IF(AH1140="","",ROUND(MIN(K1140,TOPE_AFP_UF*AJ1140)*AK1140,0))</f>
        <v/>
      </c>
      <c r="AC1140" s="71" t="str">
        <f aca="false">IF(AH1140="","",ROUND(MIN(K1140,TOPE_AFC_UF*AJ1140)*IF(AA1140="Indefinido",AFC_EMP_INDEF,AFC_EMP_PF),0))</f>
        <v/>
      </c>
      <c r="AD1140" s="71" t="str">
        <f aca="false">IF(AH1140="","",ROUND(MIN(K1140,TOPE_AFP_UF*AJ1140)*(MUTUAL_BASICA+MUTUAL_ADIC+SANNA),0))</f>
        <v/>
      </c>
      <c r="AE1140" s="71" t="str">
        <f aca="false">IF(AH1140="","",P1140-N(N1140)+AB1140+AC1140+AD1140)</f>
        <v/>
      </c>
      <c r="AF1140" s="65"/>
      <c r="AG1140" s="64"/>
      <c r="AH1140" s="72" t="str">
        <f aca="false">IF(OR(B1140="",C1140=""),"",C1140&amp;"|"&amp;(YEAR(B1140)*100+MONTH(B1140)))</f>
        <v/>
      </c>
      <c r="AI1140" s="70" t="str">
        <f aca="false">IF(AH1140="","",IF(COUNTIF(L_CLAVE,AH1140)&gt;1,"⚠ Duplicado","OK"))</f>
        <v/>
      </c>
      <c r="AJ1140" s="86" t="str">
        <f aca="false">IF(AH1140="","",IF(SUMPRODUCT(MAX((IND_PER&lt;=B1140)*(IND_UF&lt;&gt;"")*IND_PER))=0,UF_HOY,INDEX(IND_UF,MATCH(SUMPRODUCT(MAX((IND_PER&lt;=B1140)*(IND_UF&lt;&gt;"")*IND_PER)),IND_PER,0))))</f>
        <v/>
      </c>
      <c r="AK1140" s="87" t="str">
        <f aca="false">IF(AH1140="","",IF(COUNTIF(TASA_DESDE,"&lt;="&amp;B1140)=0,INDEX(TASA_EMP,1),INDEX(TASA_EMP,COUNTIF(TASA_DESDE,"&lt;="&amp;B1140))))</f>
        <v/>
      </c>
    </row>
    <row r="1141" customFormat="false" ht="15" hidden="false" customHeight="false" outlineLevel="0" collapsed="false">
      <c r="B1141" s="78"/>
      <c r="C1141" s="64"/>
      <c r="D1141" s="72" t="str">
        <f aca="false">IF(C1141="","",IFERROR(INDEX(T_NOMBRE,MATCH(C1141,T_ID,0)),"⚠ ID no existe"))</f>
        <v/>
      </c>
      <c r="E1141" s="69"/>
      <c r="F1141" s="67"/>
      <c r="G1141" s="67"/>
      <c r="H1141" s="67"/>
      <c r="I1141" s="67"/>
      <c r="J1141" s="67"/>
      <c r="K1141" s="85" t="str">
        <f aca="false">IF(AH1141="","",N(F1141)+N(G1141)+N(H1141)-N(I1141)+N(J1141))</f>
        <v/>
      </c>
      <c r="L1141" s="67"/>
      <c r="M1141" s="67"/>
      <c r="N1141" s="67"/>
      <c r="O1141" s="67"/>
      <c r="P1141" s="85" t="str">
        <f aca="false">IF(AH1141="","",K1141+N(L1141)+N(M1141)+N(N1141)+N(O1141))</f>
        <v/>
      </c>
      <c r="Q1141" s="67"/>
      <c r="R1141" s="67"/>
      <c r="S1141" s="67"/>
      <c r="T1141" s="67"/>
      <c r="U1141" s="67"/>
      <c r="V1141" s="67"/>
      <c r="W1141" s="85" t="str">
        <f aca="false">IF(AH1141="","",N(Q1141)+N(R1141)+N(S1141)+N(T1141)+N(U1141)+N(V1141))</f>
        <v/>
      </c>
      <c r="X1141" s="85" t="str">
        <f aca="false">IF(AH1141="","",P1141-W1141)</f>
        <v/>
      </c>
      <c r="Y1141" s="67"/>
      <c r="Z1141" s="70" t="str">
        <f aca="false">IF(OR(AH1141="",Y1141=""),"",IF(ABS(X1141-Y1141)&lt;=1,"✓ Cuadra","⚠ Diferencia $"&amp;FIXED(X1141-Y1141,0)))</f>
        <v/>
      </c>
      <c r="AA1141" s="72" t="str">
        <f aca="false">IF(AH1141="","",IFERROR(INDEX(C_TIPO,MATCH(C1141&amp;"-P"&amp;MAX(1,COUNTIFS(C_ID,C1141,C_DEFINE,"Sí",C_INICIO,"&lt;="&amp;EOMONTH(B1141,0))),C_CLAVE,0))&amp;"","Sin dato"))</f>
        <v/>
      </c>
      <c r="AB1141" s="71" t="str">
        <f aca="false">IF(AH1141="","",ROUND(MIN(K1141,TOPE_AFP_UF*AJ1141)*AK1141,0))</f>
        <v/>
      </c>
      <c r="AC1141" s="71" t="str">
        <f aca="false">IF(AH1141="","",ROUND(MIN(K1141,TOPE_AFC_UF*AJ1141)*IF(AA1141="Indefinido",AFC_EMP_INDEF,AFC_EMP_PF),0))</f>
        <v/>
      </c>
      <c r="AD1141" s="71" t="str">
        <f aca="false">IF(AH1141="","",ROUND(MIN(K1141,TOPE_AFP_UF*AJ1141)*(MUTUAL_BASICA+MUTUAL_ADIC+SANNA),0))</f>
        <v/>
      </c>
      <c r="AE1141" s="71" t="str">
        <f aca="false">IF(AH1141="","",P1141-N(N1141)+AB1141+AC1141+AD1141)</f>
        <v/>
      </c>
      <c r="AF1141" s="65"/>
      <c r="AG1141" s="64"/>
      <c r="AH1141" s="72" t="str">
        <f aca="false">IF(OR(B1141="",C1141=""),"",C1141&amp;"|"&amp;(YEAR(B1141)*100+MONTH(B1141)))</f>
        <v/>
      </c>
      <c r="AI1141" s="70" t="str">
        <f aca="false">IF(AH1141="","",IF(COUNTIF(L_CLAVE,AH1141)&gt;1,"⚠ Duplicado","OK"))</f>
        <v/>
      </c>
      <c r="AJ1141" s="86" t="str">
        <f aca="false">IF(AH1141="","",IF(SUMPRODUCT(MAX((IND_PER&lt;=B1141)*(IND_UF&lt;&gt;"")*IND_PER))=0,UF_HOY,INDEX(IND_UF,MATCH(SUMPRODUCT(MAX((IND_PER&lt;=B1141)*(IND_UF&lt;&gt;"")*IND_PER)),IND_PER,0))))</f>
        <v/>
      </c>
      <c r="AK1141" s="87" t="str">
        <f aca="false">IF(AH1141="","",IF(COUNTIF(TASA_DESDE,"&lt;="&amp;B1141)=0,INDEX(TASA_EMP,1),INDEX(TASA_EMP,COUNTIF(TASA_DESDE,"&lt;="&amp;B1141))))</f>
        <v/>
      </c>
    </row>
    <row r="1142" customFormat="false" ht="15" hidden="false" customHeight="false" outlineLevel="0" collapsed="false">
      <c r="B1142" s="78"/>
      <c r="C1142" s="64"/>
      <c r="D1142" s="72" t="str">
        <f aca="false">IF(C1142="","",IFERROR(INDEX(T_NOMBRE,MATCH(C1142,T_ID,0)),"⚠ ID no existe"))</f>
        <v/>
      </c>
      <c r="E1142" s="69"/>
      <c r="F1142" s="67"/>
      <c r="G1142" s="67"/>
      <c r="H1142" s="67"/>
      <c r="I1142" s="67"/>
      <c r="J1142" s="67"/>
      <c r="K1142" s="85" t="str">
        <f aca="false">IF(AH1142="","",N(F1142)+N(G1142)+N(H1142)-N(I1142)+N(J1142))</f>
        <v/>
      </c>
      <c r="L1142" s="67"/>
      <c r="M1142" s="67"/>
      <c r="N1142" s="67"/>
      <c r="O1142" s="67"/>
      <c r="P1142" s="85" t="str">
        <f aca="false">IF(AH1142="","",K1142+N(L1142)+N(M1142)+N(N1142)+N(O1142))</f>
        <v/>
      </c>
      <c r="Q1142" s="67"/>
      <c r="R1142" s="67"/>
      <c r="S1142" s="67"/>
      <c r="T1142" s="67"/>
      <c r="U1142" s="67"/>
      <c r="V1142" s="67"/>
      <c r="W1142" s="85" t="str">
        <f aca="false">IF(AH1142="","",N(Q1142)+N(R1142)+N(S1142)+N(T1142)+N(U1142)+N(V1142))</f>
        <v/>
      </c>
      <c r="X1142" s="85" t="str">
        <f aca="false">IF(AH1142="","",P1142-W1142)</f>
        <v/>
      </c>
      <c r="Y1142" s="67"/>
      <c r="Z1142" s="70" t="str">
        <f aca="false">IF(OR(AH1142="",Y1142=""),"",IF(ABS(X1142-Y1142)&lt;=1,"✓ Cuadra","⚠ Diferencia $"&amp;FIXED(X1142-Y1142,0)))</f>
        <v/>
      </c>
      <c r="AA1142" s="72" t="str">
        <f aca="false">IF(AH1142="","",IFERROR(INDEX(C_TIPO,MATCH(C1142&amp;"-P"&amp;MAX(1,COUNTIFS(C_ID,C1142,C_DEFINE,"Sí",C_INICIO,"&lt;="&amp;EOMONTH(B1142,0))),C_CLAVE,0))&amp;"","Sin dato"))</f>
        <v/>
      </c>
      <c r="AB1142" s="71" t="str">
        <f aca="false">IF(AH1142="","",ROUND(MIN(K1142,TOPE_AFP_UF*AJ1142)*AK1142,0))</f>
        <v/>
      </c>
      <c r="AC1142" s="71" t="str">
        <f aca="false">IF(AH1142="","",ROUND(MIN(K1142,TOPE_AFC_UF*AJ1142)*IF(AA1142="Indefinido",AFC_EMP_INDEF,AFC_EMP_PF),0))</f>
        <v/>
      </c>
      <c r="AD1142" s="71" t="str">
        <f aca="false">IF(AH1142="","",ROUND(MIN(K1142,TOPE_AFP_UF*AJ1142)*(MUTUAL_BASICA+MUTUAL_ADIC+SANNA),0))</f>
        <v/>
      </c>
      <c r="AE1142" s="71" t="str">
        <f aca="false">IF(AH1142="","",P1142-N(N1142)+AB1142+AC1142+AD1142)</f>
        <v/>
      </c>
      <c r="AF1142" s="65"/>
      <c r="AG1142" s="64"/>
      <c r="AH1142" s="72" t="str">
        <f aca="false">IF(OR(B1142="",C1142=""),"",C1142&amp;"|"&amp;(YEAR(B1142)*100+MONTH(B1142)))</f>
        <v/>
      </c>
      <c r="AI1142" s="70" t="str">
        <f aca="false">IF(AH1142="","",IF(COUNTIF(L_CLAVE,AH1142)&gt;1,"⚠ Duplicado","OK"))</f>
        <v/>
      </c>
      <c r="AJ1142" s="86" t="str">
        <f aca="false">IF(AH1142="","",IF(SUMPRODUCT(MAX((IND_PER&lt;=B1142)*(IND_UF&lt;&gt;"")*IND_PER))=0,UF_HOY,INDEX(IND_UF,MATCH(SUMPRODUCT(MAX((IND_PER&lt;=B1142)*(IND_UF&lt;&gt;"")*IND_PER)),IND_PER,0))))</f>
        <v/>
      </c>
      <c r="AK1142" s="87" t="str">
        <f aca="false">IF(AH1142="","",IF(COUNTIF(TASA_DESDE,"&lt;="&amp;B1142)=0,INDEX(TASA_EMP,1),INDEX(TASA_EMP,COUNTIF(TASA_DESDE,"&lt;="&amp;B1142))))</f>
        <v/>
      </c>
    </row>
    <row r="1143" customFormat="false" ht="15" hidden="false" customHeight="false" outlineLevel="0" collapsed="false">
      <c r="B1143" s="78"/>
      <c r="C1143" s="64"/>
      <c r="D1143" s="72" t="str">
        <f aca="false">IF(C1143="","",IFERROR(INDEX(T_NOMBRE,MATCH(C1143,T_ID,0)),"⚠ ID no existe"))</f>
        <v/>
      </c>
      <c r="E1143" s="69"/>
      <c r="F1143" s="67"/>
      <c r="G1143" s="67"/>
      <c r="H1143" s="67"/>
      <c r="I1143" s="67"/>
      <c r="J1143" s="67"/>
      <c r="K1143" s="85" t="str">
        <f aca="false">IF(AH1143="","",N(F1143)+N(G1143)+N(H1143)-N(I1143)+N(J1143))</f>
        <v/>
      </c>
      <c r="L1143" s="67"/>
      <c r="M1143" s="67"/>
      <c r="N1143" s="67"/>
      <c r="O1143" s="67"/>
      <c r="P1143" s="85" t="str">
        <f aca="false">IF(AH1143="","",K1143+N(L1143)+N(M1143)+N(N1143)+N(O1143))</f>
        <v/>
      </c>
      <c r="Q1143" s="67"/>
      <c r="R1143" s="67"/>
      <c r="S1143" s="67"/>
      <c r="T1143" s="67"/>
      <c r="U1143" s="67"/>
      <c r="V1143" s="67"/>
      <c r="W1143" s="85" t="str">
        <f aca="false">IF(AH1143="","",N(Q1143)+N(R1143)+N(S1143)+N(T1143)+N(U1143)+N(V1143))</f>
        <v/>
      </c>
      <c r="X1143" s="85" t="str">
        <f aca="false">IF(AH1143="","",P1143-W1143)</f>
        <v/>
      </c>
      <c r="Y1143" s="67"/>
      <c r="Z1143" s="70" t="str">
        <f aca="false">IF(OR(AH1143="",Y1143=""),"",IF(ABS(X1143-Y1143)&lt;=1,"✓ Cuadra","⚠ Diferencia $"&amp;FIXED(X1143-Y1143,0)))</f>
        <v/>
      </c>
      <c r="AA1143" s="72" t="str">
        <f aca="false">IF(AH1143="","",IFERROR(INDEX(C_TIPO,MATCH(C1143&amp;"-P"&amp;MAX(1,COUNTIFS(C_ID,C1143,C_DEFINE,"Sí",C_INICIO,"&lt;="&amp;EOMONTH(B1143,0))),C_CLAVE,0))&amp;"","Sin dato"))</f>
        <v/>
      </c>
      <c r="AB1143" s="71" t="str">
        <f aca="false">IF(AH1143="","",ROUND(MIN(K1143,TOPE_AFP_UF*AJ1143)*AK1143,0))</f>
        <v/>
      </c>
      <c r="AC1143" s="71" t="str">
        <f aca="false">IF(AH1143="","",ROUND(MIN(K1143,TOPE_AFC_UF*AJ1143)*IF(AA1143="Indefinido",AFC_EMP_INDEF,AFC_EMP_PF),0))</f>
        <v/>
      </c>
      <c r="AD1143" s="71" t="str">
        <f aca="false">IF(AH1143="","",ROUND(MIN(K1143,TOPE_AFP_UF*AJ1143)*(MUTUAL_BASICA+MUTUAL_ADIC+SANNA),0))</f>
        <v/>
      </c>
      <c r="AE1143" s="71" t="str">
        <f aca="false">IF(AH1143="","",P1143-N(N1143)+AB1143+AC1143+AD1143)</f>
        <v/>
      </c>
      <c r="AF1143" s="65"/>
      <c r="AG1143" s="64"/>
      <c r="AH1143" s="72" t="str">
        <f aca="false">IF(OR(B1143="",C1143=""),"",C1143&amp;"|"&amp;(YEAR(B1143)*100+MONTH(B1143)))</f>
        <v/>
      </c>
      <c r="AI1143" s="70" t="str">
        <f aca="false">IF(AH1143="","",IF(COUNTIF(L_CLAVE,AH1143)&gt;1,"⚠ Duplicado","OK"))</f>
        <v/>
      </c>
      <c r="AJ1143" s="86" t="str">
        <f aca="false">IF(AH1143="","",IF(SUMPRODUCT(MAX((IND_PER&lt;=B1143)*(IND_UF&lt;&gt;"")*IND_PER))=0,UF_HOY,INDEX(IND_UF,MATCH(SUMPRODUCT(MAX((IND_PER&lt;=B1143)*(IND_UF&lt;&gt;"")*IND_PER)),IND_PER,0))))</f>
        <v/>
      </c>
      <c r="AK1143" s="87" t="str">
        <f aca="false">IF(AH1143="","",IF(COUNTIF(TASA_DESDE,"&lt;="&amp;B1143)=0,INDEX(TASA_EMP,1),INDEX(TASA_EMP,COUNTIF(TASA_DESDE,"&lt;="&amp;B1143))))</f>
        <v/>
      </c>
    </row>
    <row r="1144" customFormat="false" ht="15" hidden="false" customHeight="false" outlineLevel="0" collapsed="false">
      <c r="B1144" s="78"/>
      <c r="C1144" s="64"/>
      <c r="D1144" s="72" t="str">
        <f aca="false">IF(C1144="","",IFERROR(INDEX(T_NOMBRE,MATCH(C1144,T_ID,0)),"⚠ ID no existe"))</f>
        <v/>
      </c>
      <c r="E1144" s="69"/>
      <c r="F1144" s="67"/>
      <c r="G1144" s="67"/>
      <c r="H1144" s="67"/>
      <c r="I1144" s="67"/>
      <c r="J1144" s="67"/>
      <c r="K1144" s="85" t="str">
        <f aca="false">IF(AH1144="","",N(F1144)+N(G1144)+N(H1144)-N(I1144)+N(J1144))</f>
        <v/>
      </c>
      <c r="L1144" s="67"/>
      <c r="M1144" s="67"/>
      <c r="N1144" s="67"/>
      <c r="O1144" s="67"/>
      <c r="P1144" s="85" t="str">
        <f aca="false">IF(AH1144="","",K1144+N(L1144)+N(M1144)+N(N1144)+N(O1144))</f>
        <v/>
      </c>
      <c r="Q1144" s="67"/>
      <c r="R1144" s="67"/>
      <c r="S1144" s="67"/>
      <c r="T1144" s="67"/>
      <c r="U1144" s="67"/>
      <c r="V1144" s="67"/>
      <c r="W1144" s="85" t="str">
        <f aca="false">IF(AH1144="","",N(Q1144)+N(R1144)+N(S1144)+N(T1144)+N(U1144)+N(V1144))</f>
        <v/>
      </c>
      <c r="X1144" s="85" t="str">
        <f aca="false">IF(AH1144="","",P1144-W1144)</f>
        <v/>
      </c>
      <c r="Y1144" s="67"/>
      <c r="Z1144" s="70" t="str">
        <f aca="false">IF(OR(AH1144="",Y1144=""),"",IF(ABS(X1144-Y1144)&lt;=1,"✓ Cuadra","⚠ Diferencia $"&amp;FIXED(X1144-Y1144,0)))</f>
        <v/>
      </c>
      <c r="AA1144" s="72" t="str">
        <f aca="false">IF(AH1144="","",IFERROR(INDEX(C_TIPO,MATCH(C1144&amp;"-P"&amp;MAX(1,COUNTIFS(C_ID,C1144,C_DEFINE,"Sí",C_INICIO,"&lt;="&amp;EOMONTH(B1144,0))),C_CLAVE,0))&amp;"","Sin dato"))</f>
        <v/>
      </c>
      <c r="AB1144" s="71" t="str">
        <f aca="false">IF(AH1144="","",ROUND(MIN(K1144,TOPE_AFP_UF*AJ1144)*AK1144,0))</f>
        <v/>
      </c>
      <c r="AC1144" s="71" t="str">
        <f aca="false">IF(AH1144="","",ROUND(MIN(K1144,TOPE_AFC_UF*AJ1144)*IF(AA1144="Indefinido",AFC_EMP_INDEF,AFC_EMP_PF),0))</f>
        <v/>
      </c>
      <c r="AD1144" s="71" t="str">
        <f aca="false">IF(AH1144="","",ROUND(MIN(K1144,TOPE_AFP_UF*AJ1144)*(MUTUAL_BASICA+MUTUAL_ADIC+SANNA),0))</f>
        <v/>
      </c>
      <c r="AE1144" s="71" t="str">
        <f aca="false">IF(AH1144="","",P1144-N(N1144)+AB1144+AC1144+AD1144)</f>
        <v/>
      </c>
      <c r="AF1144" s="65"/>
      <c r="AG1144" s="64"/>
      <c r="AH1144" s="72" t="str">
        <f aca="false">IF(OR(B1144="",C1144=""),"",C1144&amp;"|"&amp;(YEAR(B1144)*100+MONTH(B1144)))</f>
        <v/>
      </c>
      <c r="AI1144" s="70" t="str">
        <f aca="false">IF(AH1144="","",IF(COUNTIF(L_CLAVE,AH1144)&gt;1,"⚠ Duplicado","OK"))</f>
        <v/>
      </c>
      <c r="AJ1144" s="86" t="str">
        <f aca="false">IF(AH1144="","",IF(SUMPRODUCT(MAX((IND_PER&lt;=B1144)*(IND_UF&lt;&gt;"")*IND_PER))=0,UF_HOY,INDEX(IND_UF,MATCH(SUMPRODUCT(MAX((IND_PER&lt;=B1144)*(IND_UF&lt;&gt;"")*IND_PER)),IND_PER,0))))</f>
        <v/>
      </c>
      <c r="AK1144" s="87" t="str">
        <f aca="false">IF(AH1144="","",IF(COUNTIF(TASA_DESDE,"&lt;="&amp;B1144)=0,INDEX(TASA_EMP,1),INDEX(TASA_EMP,COUNTIF(TASA_DESDE,"&lt;="&amp;B1144))))</f>
        <v/>
      </c>
    </row>
    <row r="1145" customFormat="false" ht="15" hidden="false" customHeight="false" outlineLevel="0" collapsed="false">
      <c r="B1145" s="78"/>
      <c r="C1145" s="64"/>
      <c r="D1145" s="72" t="str">
        <f aca="false">IF(C1145="","",IFERROR(INDEX(T_NOMBRE,MATCH(C1145,T_ID,0)),"⚠ ID no existe"))</f>
        <v/>
      </c>
      <c r="E1145" s="69"/>
      <c r="F1145" s="67"/>
      <c r="G1145" s="67"/>
      <c r="H1145" s="67"/>
      <c r="I1145" s="67"/>
      <c r="J1145" s="67"/>
      <c r="K1145" s="85" t="str">
        <f aca="false">IF(AH1145="","",N(F1145)+N(G1145)+N(H1145)-N(I1145)+N(J1145))</f>
        <v/>
      </c>
      <c r="L1145" s="67"/>
      <c r="M1145" s="67"/>
      <c r="N1145" s="67"/>
      <c r="O1145" s="67"/>
      <c r="P1145" s="85" t="str">
        <f aca="false">IF(AH1145="","",K1145+N(L1145)+N(M1145)+N(N1145)+N(O1145))</f>
        <v/>
      </c>
      <c r="Q1145" s="67"/>
      <c r="R1145" s="67"/>
      <c r="S1145" s="67"/>
      <c r="T1145" s="67"/>
      <c r="U1145" s="67"/>
      <c r="V1145" s="67"/>
      <c r="W1145" s="85" t="str">
        <f aca="false">IF(AH1145="","",N(Q1145)+N(R1145)+N(S1145)+N(T1145)+N(U1145)+N(V1145))</f>
        <v/>
      </c>
      <c r="X1145" s="85" t="str">
        <f aca="false">IF(AH1145="","",P1145-W1145)</f>
        <v/>
      </c>
      <c r="Y1145" s="67"/>
      <c r="Z1145" s="70" t="str">
        <f aca="false">IF(OR(AH1145="",Y1145=""),"",IF(ABS(X1145-Y1145)&lt;=1,"✓ Cuadra","⚠ Diferencia $"&amp;FIXED(X1145-Y1145,0)))</f>
        <v/>
      </c>
      <c r="AA1145" s="72" t="str">
        <f aca="false">IF(AH1145="","",IFERROR(INDEX(C_TIPO,MATCH(C1145&amp;"-P"&amp;MAX(1,COUNTIFS(C_ID,C1145,C_DEFINE,"Sí",C_INICIO,"&lt;="&amp;EOMONTH(B1145,0))),C_CLAVE,0))&amp;"","Sin dato"))</f>
        <v/>
      </c>
      <c r="AB1145" s="71" t="str">
        <f aca="false">IF(AH1145="","",ROUND(MIN(K1145,TOPE_AFP_UF*AJ1145)*AK1145,0))</f>
        <v/>
      </c>
      <c r="AC1145" s="71" t="str">
        <f aca="false">IF(AH1145="","",ROUND(MIN(K1145,TOPE_AFC_UF*AJ1145)*IF(AA1145="Indefinido",AFC_EMP_INDEF,AFC_EMP_PF),0))</f>
        <v/>
      </c>
      <c r="AD1145" s="71" t="str">
        <f aca="false">IF(AH1145="","",ROUND(MIN(K1145,TOPE_AFP_UF*AJ1145)*(MUTUAL_BASICA+MUTUAL_ADIC+SANNA),0))</f>
        <v/>
      </c>
      <c r="AE1145" s="71" t="str">
        <f aca="false">IF(AH1145="","",P1145-N(N1145)+AB1145+AC1145+AD1145)</f>
        <v/>
      </c>
      <c r="AF1145" s="65"/>
      <c r="AG1145" s="64"/>
      <c r="AH1145" s="72" t="str">
        <f aca="false">IF(OR(B1145="",C1145=""),"",C1145&amp;"|"&amp;(YEAR(B1145)*100+MONTH(B1145)))</f>
        <v/>
      </c>
      <c r="AI1145" s="70" t="str">
        <f aca="false">IF(AH1145="","",IF(COUNTIF(L_CLAVE,AH1145)&gt;1,"⚠ Duplicado","OK"))</f>
        <v/>
      </c>
      <c r="AJ1145" s="86" t="str">
        <f aca="false">IF(AH1145="","",IF(SUMPRODUCT(MAX((IND_PER&lt;=B1145)*(IND_UF&lt;&gt;"")*IND_PER))=0,UF_HOY,INDEX(IND_UF,MATCH(SUMPRODUCT(MAX((IND_PER&lt;=B1145)*(IND_UF&lt;&gt;"")*IND_PER)),IND_PER,0))))</f>
        <v/>
      </c>
      <c r="AK1145" s="87" t="str">
        <f aca="false">IF(AH1145="","",IF(COUNTIF(TASA_DESDE,"&lt;="&amp;B1145)=0,INDEX(TASA_EMP,1),INDEX(TASA_EMP,COUNTIF(TASA_DESDE,"&lt;="&amp;B1145))))</f>
        <v/>
      </c>
    </row>
    <row r="1146" customFormat="false" ht="15" hidden="false" customHeight="false" outlineLevel="0" collapsed="false">
      <c r="B1146" s="78"/>
      <c r="C1146" s="64"/>
      <c r="D1146" s="72" t="str">
        <f aca="false">IF(C1146="","",IFERROR(INDEX(T_NOMBRE,MATCH(C1146,T_ID,0)),"⚠ ID no existe"))</f>
        <v/>
      </c>
      <c r="E1146" s="69"/>
      <c r="F1146" s="67"/>
      <c r="G1146" s="67"/>
      <c r="H1146" s="67"/>
      <c r="I1146" s="67"/>
      <c r="J1146" s="67"/>
      <c r="K1146" s="85" t="str">
        <f aca="false">IF(AH1146="","",N(F1146)+N(G1146)+N(H1146)-N(I1146)+N(J1146))</f>
        <v/>
      </c>
      <c r="L1146" s="67"/>
      <c r="M1146" s="67"/>
      <c r="N1146" s="67"/>
      <c r="O1146" s="67"/>
      <c r="P1146" s="85" t="str">
        <f aca="false">IF(AH1146="","",K1146+N(L1146)+N(M1146)+N(N1146)+N(O1146))</f>
        <v/>
      </c>
      <c r="Q1146" s="67"/>
      <c r="R1146" s="67"/>
      <c r="S1146" s="67"/>
      <c r="T1146" s="67"/>
      <c r="U1146" s="67"/>
      <c r="V1146" s="67"/>
      <c r="W1146" s="85" t="str">
        <f aca="false">IF(AH1146="","",N(Q1146)+N(R1146)+N(S1146)+N(T1146)+N(U1146)+N(V1146))</f>
        <v/>
      </c>
      <c r="X1146" s="85" t="str">
        <f aca="false">IF(AH1146="","",P1146-W1146)</f>
        <v/>
      </c>
      <c r="Y1146" s="67"/>
      <c r="Z1146" s="70" t="str">
        <f aca="false">IF(OR(AH1146="",Y1146=""),"",IF(ABS(X1146-Y1146)&lt;=1,"✓ Cuadra","⚠ Diferencia $"&amp;FIXED(X1146-Y1146,0)))</f>
        <v/>
      </c>
      <c r="AA1146" s="72" t="str">
        <f aca="false">IF(AH1146="","",IFERROR(INDEX(C_TIPO,MATCH(C1146&amp;"-P"&amp;MAX(1,COUNTIFS(C_ID,C1146,C_DEFINE,"Sí",C_INICIO,"&lt;="&amp;EOMONTH(B1146,0))),C_CLAVE,0))&amp;"","Sin dato"))</f>
        <v/>
      </c>
      <c r="AB1146" s="71" t="str">
        <f aca="false">IF(AH1146="","",ROUND(MIN(K1146,TOPE_AFP_UF*AJ1146)*AK1146,0))</f>
        <v/>
      </c>
      <c r="AC1146" s="71" t="str">
        <f aca="false">IF(AH1146="","",ROUND(MIN(K1146,TOPE_AFC_UF*AJ1146)*IF(AA1146="Indefinido",AFC_EMP_INDEF,AFC_EMP_PF),0))</f>
        <v/>
      </c>
      <c r="AD1146" s="71" t="str">
        <f aca="false">IF(AH1146="","",ROUND(MIN(K1146,TOPE_AFP_UF*AJ1146)*(MUTUAL_BASICA+MUTUAL_ADIC+SANNA),0))</f>
        <v/>
      </c>
      <c r="AE1146" s="71" t="str">
        <f aca="false">IF(AH1146="","",P1146-N(N1146)+AB1146+AC1146+AD1146)</f>
        <v/>
      </c>
      <c r="AF1146" s="65"/>
      <c r="AG1146" s="64"/>
      <c r="AH1146" s="72" t="str">
        <f aca="false">IF(OR(B1146="",C1146=""),"",C1146&amp;"|"&amp;(YEAR(B1146)*100+MONTH(B1146)))</f>
        <v/>
      </c>
      <c r="AI1146" s="70" t="str">
        <f aca="false">IF(AH1146="","",IF(COUNTIF(L_CLAVE,AH1146)&gt;1,"⚠ Duplicado","OK"))</f>
        <v/>
      </c>
      <c r="AJ1146" s="86" t="str">
        <f aca="false">IF(AH1146="","",IF(SUMPRODUCT(MAX((IND_PER&lt;=B1146)*(IND_UF&lt;&gt;"")*IND_PER))=0,UF_HOY,INDEX(IND_UF,MATCH(SUMPRODUCT(MAX((IND_PER&lt;=B1146)*(IND_UF&lt;&gt;"")*IND_PER)),IND_PER,0))))</f>
        <v/>
      </c>
      <c r="AK1146" s="87" t="str">
        <f aca="false">IF(AH1146="","",IF(COUNTIF(TASA_DESDE,"&lt;="&amp;B1146)=0,INDEX(TASA_EMP,1),INDEX(TASA_EMP,COUNTIF(TASA_DESDE,"&lt;="&amp;B1146))))</f>
        <v/>
      </c>
    </row>
    <row r="1147" customFormat="false" ht="15" hidden="false" customHeight="false" outlineLevel="0" collapsed="false">
      <c r="B1147" s="78"/>
      <c r="C1147" s="64"/>
      <c r="D1147" s="72" t="str">
        <f aca="false">IF(C1147="","",IFERROR(INDEX(T_NOMBRE,MATCH(C1147,T_ID,0)),"⚠ ID no existe"))</f>
        <v/>
      </c>
      <c r="E1147" s="69"/>
      <c r="F1147" s="67"/>
      <c r="G1147" s="67"/>
      <c r="H1147" s="67"/>
      <c r="I1147" s="67"/>
      <c r="J1147" s="67"/>
      <c r="K1147" s="85" t="str">
        <f aca="false">IF(AH1147="","",N(F1147)+N(G1147)+N(H1147)-N(I1147)+N(J1147))</f>
        <v/>
      </c>
      <c r="L1147" s="67"/>
      <c r="M1147" s="67"/>
      <c r="N1147" s="67"/>
      <c r="O1147" s="67"/>
      <c r="P1147" s="85" t="str">
        <f aca="false">IF(AH1147="","",K1147+N(L1147)+N(M1147)+N(N1147)+N(O1147))</f>
        <v/>
      </c>
      <c r="Q1147" s="67"/>
      <c r="R1147" s="67"/>
      <c r="S1147" s="67"/>
      <c r="T1147" s="67"/>
      <c r="U1147" s="67"/>
      <c r="V1147" s="67"/>
      <c r="W1147" s="85" t="str">
        <f aca="false">IF(AH1147="","",N(Q1147)+N(R1147)+N(S1147)+N(T1147)+N(U1147)+N(V1147))</f>
        <v/>
      </c>
      <c r="X1147" s="85" t="str">
        <f aca="false">IF(AH1147="","",P1147-W1147)</f>
        <v/>
      </c>
      <c r="Y1147" s="67"/>
      <c r="Z1147" s="70" t="str">
        <f aca="false">IF(OR(AH1147="",Y1147=""),"",IF(ABS(X1147-Y1147)&lt;=1,"✓ Cuadra","⚠ Diferencia $"&amp;FIXED(X1147-Y1147,0)))</f>
        <v/>
      </c>
      <c r="AA1147" s="72" t="str">
        <f aca="false">IF(AH1147="","",IFERROR(INDEX(C_TIPO,MATCH(C1147&amp;"-P"&amp;MAX(1,COUNTIFS(C_ID,C1147,C_DEFINE,"Sí",C_INICIO,"&lt;="&amp;EOMONTH(B1147,0))),C_CLAVE,0))&amp;"","Sin dato"))</f>
        <v/>
      </c>
      <c r="AB1147" s="71" t="str">
        <f aca="false">IF(AH1147="","",ROUND(MIN(K1147,TOPE_AFP_UF*AJ1147)*AK1147,0))</f>
        <v/>
      </c>
      <c r="AC1147" s="71" t="str">
        <f aca="false">IF(AH1147="","",ROUND(MIN(K1147,TOPE_AFC_UF*AJ1147)*IF(AA1147="Indefinido",AFC_EMP_INDEF,AFC_EMP_PF),0))</f>
        <v/>
      </c>
      <c r="AD1147" s="71" t="str">
        <f aca="false">IF(AH1147="","",ROUND(MIN(K1147,TOPE_AFP_UF*AJ1147)*(MUTUAL_BASICA+MUTUAL_ADIC+SANNA),0))</f>
        <v/>
      </c>
      <c r="AE1147" s="71" t="str">
        <f aca="false">IF(AH1147="","",P1147-N(N1147)+AB1147+AC1147+AD1147)</f>
        <v/>
      </c>
      <c r="AF1147" s="65"/>
      <c r="AG1147" s="64"/>
      <c r="AH1147" s="72" t="str">
        <f aca="false">IF(OR(B1147="",C1147=""),"",C1147&amp;"|"&amp;(YEAR(B1147)*100+MONTH(B1147)))</f>
        <v/>
      </c>
      <c r="AI1147" s="70" t="str">
        <f aca="false">IF(AH1147="","",IF(COUNTIF(L_CLAVE,AH1147)&gt;1,"⚠ Duplicado","OK"))</f>
        <v/>
      </c>
      <c r="AJ1147" s="86" t="str">
        <f aca="false">IF(AH1147="","",IF(SUMPRODUCT(MAX((IND_PER&lt;=B1147)*(IND_UF&lt;&gt;"")*IND_PER))=0,UF_HOY,INDEX(IND_UF,MATCH(SUMPRODUCT(MAX((IND_PER&lt;=B1147)*(IND_UF&lt;&gt;"")*IND_PER)),IND_PER,0))))</f>
        <v/>
      </c>
      <c r="AK1147" s="87" t="str">
        <f aca="false">IF(AH1147="","",IF(COUNTIF(TASA_DESDE,"&lt;="&amp;B1147)=0,INDEX(TASA_EMP,1),INDEX(TASA_EMP,COUNTIF(TASA_DESDE,"&lt;="&amp;B1147))))</f>
        <v/>
      </c>
    </row>
    <row r="1148" customFormat="false" ht="15" hidden="false" customHeight="false" outlineLevel="0" collapsed="false">
      <c r="B1148" s="78"/>
      <c r="C1148" s="64"/>
      <c r="D1148" s="72" t="str">
        <f aca="false">IF(C1148="","",IFERROR(INDEX(T_NOMBRE,MATCH(C1148,T_ID,0)),"⚠ ID no existe"))</f>
        <v/>
      </c>
      <c r="E1148" s="69"/>
      <c r="F1148" s="67"/>
      <c r="G1148" s="67"/>
      <c r="H1148" s="67"/>
      <c r="I1148" s="67"/>
      <c r="J1148" s="67"/>
      <c r="K1148" s="85" t="str">
        <f aca="false">IF(AH1148="","",N(F1148)+N(G1148)+N(H1148)-N(I1148)+N(J1148))</f>
        <v/>
      </c>
      <c r="L1148" s="67"/>
      <c r="M1148" s="67"/>
      <c r="N1148" s="67"/>
      <c r="O1148" s="67"/>
      <c r="P1148" s="85" t="str">
        <f aca="false">IF(AH1148="","",K1148+N(L1148)+N(M1148)+N(N1148)+N(O1148))</f>
        <v/>
      </c>
      <c r="Q1148" s="67"/>
      <c r="R1148" s="67"/>
      <c r="S1148" s="67"/>
      <c r="T1148" s="67"/>
      <c r="U1148" s="67"/>
      <c r="V1148" s="67"/>
      <c r="W1148" s="85" t="str">
        <f aca="false">IF(AH1148="","",N(Q1148)+N(R1148)+N(S1148)+N(T1148)+N(U1148)+N(V1148))</f>
        <v/>
      </c>
      <c r="X1148" s="85" t="str">
        <f aca="false">IF(AH1148="","",P1148-W1148)</f>
        <v/>
      </c>
      <c r="Y1148" s="67"/>
      <c r="Z1148" s="70" t="str">
        <f aca="false">IF(OR(AH1148="",Y1148=""),"",IF(ABS(X1148-Y1148)&lt;=1,"✓ Cuadra","⚠ Diferencia $"&amp;FIXED(X1148-Y1148,0)))</f>
        <v/>
      </c>
      <c r="AA1148" s="72" t="str">
        <f aca="false">IF(AH1148="","",IFERROR(INDEX(C_TIPO,MATCH(C1148&amp;"-P"&amp;MAX(1,COUNTIFS(C_ID,C1148,C_DEFINE,"Sí",C_INICIO,"&lt;="&amp;EOMONTH(B1148,0))),C_CLAVE,0))&amp;"","Sin dato"))</f>
        <v/>
      </c>
      <c r="AB1148" s="71" t="str">
        <f aca="false">IF(AH1148="","",ROUND(MIN(K1148,TOPE_AFP_UF*AJ1148)*AK1148,0))</f>
        <v/>
      </c>
      <c r="AC1148" s="71" t="str">
        <f aca="false">IF(AH1148="","",ROUND(MIN(K1148,TOPE_AFC_UF*AJ1148)*IF(AA1148="Indefinido",AFC_EMP_INDEF,AFC_EMP_PF),0))</f>
        <v/>
      </c>
      <c r="AD1148" s="71" t="str">
        <f aca="false">IF(AH1148="","",ROUND(MIN(K1148,TOPE_AFP_UF*AJ1148)*(MUTUAL_BASICA+MUTUAL_ADIC+SANNA),0))</f>
        <v/>
      </c>
      <c r="AE1148" s="71" t="str">
        <f aca="false">IF(AH1148="","",P1148-N(N1148)+AB1148+AC1148+AD1148)</f>
        <v/>
      </c>
      <c r="AF1148" s="65"/>
      <c r="AG1148" s="64"/>
      <c r="AH1148" s="72" t="str">
        <f aca="false">IF(OR(B1148="",C1148=""),"",C1148&amp;"|"&amp;(YEAR(B1148)*100+MONTH(B1148)))</f>
        <v/>
      </c>
      <c r="AI1148" s="70" t="str">
        <f aca="false">IF(AH1148="","",IF(COUNTIF(L_CLAVE,AH1148)&gt;1,"⚠ Duplicado","OK"))</f>
        <v/>
      </c>
      <c r="AJ1148" s="86" t="str">
        <f aca="false">IF(AH1148="","",IF(SUMPRODUCT(MAX((IND_PER&lt;=B1148)*(IND_UF&lt;&gt;"")*IND_PER))=0,UF_HOY,INDEX(IND_UF,MATCH(SUMPRODUCT(MAX((IND_PER&lt;=B1148)*(IND_UF&lt;&gt;"")*IND_PER)),IND_PER,0))))</f>
        <v/>
      </c>
      <c r="AK1148" s="87" t="str">
        <f aca="false">IF(AH1148="","",IF(COUNTIF(TASA_DESDE,"&lt;="&amp;B1148)=0,INDEX(TASA_EMP,1),INDEX(TASA_EMP,COUNTIF(TASA_DESDE,"&lt;="&amp;B1148))))</f>
        <v/>
      </c>
    </row>
    <row r="1149" customFormat="false" ht="15" hidden="false" customHeight="false" outlineLevel="0" collapsed="false">
      <c r="B1149" s="78"/>
      <c r="C1149" s="64"/>
      <c r="D1149" s="72" t="str">
        <f aca="false">IF(C1149="","",IFERROR(INDEX(T_NOMBRE,MATCH(C1149,T_ID,0)),"⚠ ID no existe"))</f>
        <v/>
      </c>
      <c r="E1149" s="69"/>
      <c r="F1149" s="67"/>
      <c r="G1149" s="67"/>
      <c r="H1149" s="67"/>
      <c r="I1149" s="67"/>
      <c r="J1149" s="67"/>
      <c r="K1149" s="85" t="str">
        <f aca="false">IF(AH1149="","",N(F1149)+N(G1149)+N(H1149)-N(I1149)+N(J1149))</f>
        <v/>
      </c>
      <c r="L1149" s="67"/>
      <c r="M1149" s="67"/>
      <c r="N1149" s="67"/>
      <c r="O1149" s="67"/>
      <c r="P1149" s="85" t="str">
        <f aca="false">IF(AH1149="","",K1149+N(L1149)+N(M1149)+N(N1149)+N(O1149))</f>
        <v/>
      </c>
      <c r="Q1149" s="67"/>
      <c r="R1149" s="67"/>
      <c r="S1149" s="67"/>
      <c r="T1149" s="67"/>
      <c r="U1149" s="67"/>
      <c r="V1149" s="67"/>
      <c r="W1149" s="85" t="str">
        <f aca="false">IF(AH1149="","",N(Q1149)+N(R1149)+N(S1149)+N(T1149)+N(U1149)+N(V1149))</f>
        <v/>
      </c>
      <c r="X1149" s="85" t="str">
        <f aca="false">IF(AH1149="","",P1149-W1149)</f>
        <v/>
      </c>
      <c r="Y1149" s="67"/>
      <c r="Z1149" s="70" t="str">
        <f aca="false">IF(OR(AH1149="",Y1149=""),"",IF(ABS(X1149-Y1149)&lt;=1,"✓ Cuadra","⚠ Diferencia $"&amp;FIXED(X1149-Y1149,0)))</f>
        <v/>
      </c>
      <c r="AA1149" s="72" t="str">
        <f aca="false">IF(AH1149="","",IFERROR(INDEX(C_TIPO,MATCH(C1149&amp;"-P"&amp;MAX(1,COUNTIFS(C_ID,C1149,C_DEFINE,"Sí",C_INICIO,"&lt;="&amp;EOMONTH(B1149,0))),C_CLAVE,0))&amp;"","Sin dato"))</f>
        <v/>
      </c>
      <c r="AB1149" s="71" t="str">
        <f aca="false">IF(AH1149="","",ROUND(MIN(K1149,TOPE_AFP_UF*AJ1149)*AK1149,0))</f>
        <v/>
      </c>
      <c r="AC1149" s="71" t="str">
        <f aca="false">IF(AH1149="","",ROUND(MIN(K1149,TOPE_AFC_UF*AJ1149)*IF(AA1149="Indefinido",AFC_EMP_INDEF,AFC_EMP_PF),0))</f>
        <v/>
      </c>
      <c r="AD1149" s="71" t="str">
        <f aca="false">IF(AH1149="","",ROUND(MIN(K1149,TOPE_AFP_UF*AJ1149)*(MUTUAL_BASICA+MUTUAL_ADIC+SANNA),0))</f>
        <v/>
      </c>
      <c r="AE1149" s="71" t="str">
        <f aca="false">IF(AH1149="","",P1149-N(N1149)+AB1149+AC1149+AD1149)</f>
        <v/>
      </c>
      <c r="AF1149" s="65"/>
      <c r="AG1149" s="64"/>
      <c r="AH1149" s="72" t="str">
        <f aca="false">IF(OR(B1149="",C1149=""),"",C1149&amp;"|"&amp;(YEAR(B1149)*100+MONTH(B1149)))</f>
        <v/>
      </c>
      <c r="AI1149" s="70" t="str">
        <f aca="false">IF(AH1149="","",IF(COUNTIF(L_CLAVE,AH1149)&gt;1,"⚠ Duplicado","OK"))</f>
        <v/>
      </c>
      <c r="AJ1149" s="86" t="str">
        <f aca="false">IF(AH1149="","",IF(SUMPRODUCT(MAX((IND_PER&lt;=B1149)*(IND_UF&lt;&gt;"")*IND_PER))=0,UF_HOY,INDEX(IND_UF,MATCH(SUMPRODUCT(MAX((IND_PER&lt;=B1149)*(IND_UF&lt;&gt;"")*IND_PER)),IND_PER,0))))</f>
        <v/>
      </c>
      <c r="AK1149" s="87" t="str">
        <f aca="false">IF(AH1149="","",IF(COUNTIF(TASA_DESDE,"&lt;="&amp;B1149)=0,INDEX(TASA_EMP,1),INDEX(TASA_EMP,COUNTIF(TASA_DESDE,"&lt;="&amp;B1149))))</f>
        <v/>
      </c>
    </row>
    <row r="1150" customFormat="false" ht="15" hidden="false" customHeight="false" outlineLevel="0" collapsed="false">
      <c r="B1150" s="78"/>
      <c r="C1150" s="64"/>
      <c r="D1150" s="72" t="str">
        <f aca="false">IF(C1150="","",IFERROR(INDEX(T_NOMBRE,MATCH(C1150,T_ID,0)),"⚠ ID no existe"))</f>
        <v/>
      </c>
      <c r="E1150" s="69"/>
      <c r="F1150" s="67"/>
      <c r="G1150" s="67"/>
      <c r="H1150" s="67"/>
      <c r="I1150" s="67"/>
      <c r="J1150" s="67"/>
      <c r="K1150" s="85" t="str">
        <f aca="false">IF(AH1150="","",N(F1150)+N(G1150)+N(H1150)-N(I1150)+N(J1150))</f>
        <v/>
      </c>
      <c r="L1150" s="67"/>
      <c r="M1150" s="67"/>
      <c r="N1150" s="67"/>
      <c r="O1150" s="67"/>
      <c r="P1150" s="85" t="str">
        <f aca="false">IF(AH1150="","",K1150+N(L1150)+N(M1150)+N(N1150)+N(O1150))</f>
        <v/>
      </c>
      <c r="Q1150" s="67"/>
      <c r="R1150" s="67"/>
      <c r="S1150" s="67"/>
      <c r="T1150" s="67"/>
      <c r="U1150" s="67"/>
      <c r="V1150" s="67"/>
      <c r="W1150" s="85" t="str">
        <f aca="false">IF(AH1150="","",N(Q1150)+N(R1150)+N(S1150)+N(T1150)+N(U1150)+N(V1150))</f>
        <v/>
      </c>
      <c r="X1150" s="85" t="str">
        <f aca="false">IF(AH1150="","",P1150-W1150)</f>
        <v/>
      </c>
      <c r="Y1150" s="67"/>
      <c r="Z1150" s="70" t="str">
        <f aca="false">IF(OR(AH1150="",Y1150=""),"",IF(ABS(X1150-Y1150)&lt;=1,"✓ Cuadra","⚠ Diferencia $"&amp;FIXED(X1150-Y1150,0)))</f>
        <v/>
      </c>
      <c r="AA1150" s="72" t="str">
        <f aca="false">IF(AH1150="","",IFERROR(INDEX(C_TIPO,MATCH(C1150&amp;"-P"&amp;MAX(1,COUNTIFS(C_ID,C1150,C_DEFINE,"Sí",C_INICIO,"&lt;="&amp;EOMONTH(B1150,0))),C_CLAVE,0))&amp;"","Sin dato"))</f>
        <v/>
      </c>
      <c r="AB1150" s="71" t="str">
        <f aca="false">IF(AH1150="","",ROUND(MIN(K1150,TOPE_AFP_UF*AJ1150)*AK1150,0))</f>
        <v/>
      </c>
      <c r="AC1150" s="71" t="str">
        <f aca="false">IF(AH1150="","",ROUND(MIN(K1150,TOPE_AFC_UF*AJ1150)*IF(AA1150="Indefinido",AFC_EMP_INDEF,AFC_EMP_PF),0))</f>
        <v/>
      </c>
      <c r="AD1150" s="71" t="str">
        <f aca="false">IF(AH1150="","",ROUND(MIN(K1150,TOPE_AFP_UF*AJ1150)*(MUTUAL_BASICA+MUTUAL_ADIC+SANNA),0))</f>
        <v/>
      </c>
      <c r="AE1150" s="71" t="str">
        <f aca="false">IF(AH1150="","",P1150-N(N1150)+AB1150+AC1150+AD1150)</f>
        <v/>
      </c>
      <c r="AF1150" s="65"/>
      <c r="AG1150" s="64"/>
      <c r="AH1150" s="72" t="str">
        <f aca="false">IF(OR(B1150="",C1150=""),"",C1150&amp;"|"&amp;(YEAR(B1150)*100+MONTH(B1150)))</f>
        <v/>
      </c>
      <c r="AI1150" s="70" t="str">
        <f aca="false">IF(AH1150="","",IF(COUNTIF(L_CLAVE,AH1150)&gt;1,"⚠ Duplicado","OK"))</f>
        <v/>
      </c>
      <c r="AJ1150" s="86" t="str">
        <f aca="false">IF(AH1150="","",IF(SUMPRODUCT(MAX((IND_PER&lt;=B1150)*(IND_UF&lt;&gt;"")*IND_PER))=0,UF_HOY,INDEX(IND_UF,MATCH(SUMPRODUCT(MAX((IND_PER&lt;=B1150)*(IND_UF&lt;&gt;"")*IND_PER)),IND_PER,0))))</f>
        <v/>
      </c>
      <c r="AK1150" s="87" t="str">
        <f aca="false">IF(AH1150="","",IF(COUNTIF(TASA_DESDE,"&lt;="&amp;B1150)=0,INDEX(TASA_EMP,1),INDEX(TASA_EMP,COUNTIF(TASA_DESDE,"&lt;="&amp;B1150))))</f>
        <v/>
      </c>
    </row>
    <row r="1151" customFormat="false" ht="15" hidden="false" customHeight="false" outlineLevel="0" collapsed="false">
      <c r="B1151" s="78"/>
      <c r="C1151" s="64"/>
      <c r="D1151" s="72" t="str">
        <f aca="false">IF(C1151="","",IFERROR(INDEX(T_NOMBRE,MATCH(C1151,T_ID,0)),"⚠ ID no existe"))</f>
        <v/>
      </c>
      <c r="E1151" s="69"/>
      <c r="F1151" s="67"/>
      <c r="G1151" s="67"/>
      <c r="H1151" s="67"/>
      <c r="I1151" s="67"/>
      <c r="J1151" s="67"/>
      <c r="K1151" s="85" t="str">
        <f aca="false">IF(AH1151="","",N(F1151)+N(G1151)+N(H1151)-N(I1151)+N(J1151))</f>
        <v/>
      </c>
      <c r="L1151" s="67"/>
      <c r="M1151" s="67"/>
      <c r="N1151" s="67"/>
      <c r="O1151" s="67"/>
      <c r="P1151" s="85" t="str">
        <f aca="false">IF(AH1151="","",K1151+N(L1151)+N(M1151)+N(N1151)+N(O1151))</f>
        <v/>
      </c>
      <c r="Q1151" s="67"/>
      <c r="R1151" s="67"/>
      <c r="S1151" s="67"/>
      <c r="T1151" s="67"/>
      <c r="U1151" s="67"/>
      <c r="V1151" s="67"/>
      <c r="W1151" s="85" t="str">
        <f aca="false">IF(AH1151="","",N(Q1151)+N(R1151)+N(S1151)+N(T1151)+N(U1151)+N(V1151))</f>
        <v/>
      </c>
      <c r="X1151" s="85" t="str">
        <f aca="false">IF(AH1151="","",P1151-W1151)</f>
        <v/>
      </c>
      <c r="Y1151" s="67"/>
      <c r="Z1151" s="70" t="str">
        <f aca="false">IF(OR(AH1151="",Y1151=""),"",IF(ABS(X1151-Y1151)&lt;=1,"✓ Cuadra","⚠ Diferencia $"&amp;FIXED(X1151-Y1151,0)))</f>
        <v/>
      </c>
      <c r="AA1151" s="72" t="str">
        <f aca="false">IF(AH1151="","",IFERROR(INDEX(C_TIPO,MATCH(C1151&amp;"-P"&amp;MAX(1,COUNTIFS(C_ID,C1151,C_DEFINE,"Sí",C_INICIO,"&lt;="&amp;EOMONTH(B1151,0))),C_CLAVE,0))&amp;"","Sin dato"))</f>
        <v/>
      </c>
      <c r="AB1151" s="71" t="str">
        <f aca="false">IF(AH1151="","",ROUND(MIN(K1151,TOPE_AFP_UF*AJ1151)*AK1151,0))</f>
        <v/>
      </c>
      <c r="AC1151" s="71" t="str">
        <f aca="false">IF(AH1151="","",ROUND(MIN(K1151,TOPE_AFC_UF*AJ1151)*IF(AA1151="Indefinido",AFC_EMP_INDEF,AFC_EMP_PF),0))</f>
        <v/>
      </c>
      <c r="AD1151" s="71" t="str">
        <f aca="false">IF(AH1151="","",ROUND(MIN(K1151,TOPE_AFP_UF*AJ1151)*(MUTUAL_BASICA+MUTUAL_ADIC+SANNA),0))</f>
        <v/>
      </c>
      <c r="AE1151" s="71" t="str">
        <f aca="false">IF(AH1151="","",P1151-N(N1151)+AB1151+AC1151+AD1151)</f>
        <v/>
      </c>
      <c r="AF1151" s="65"/>
      <c r="AG1151" s="64"/>
      <c r="AH1151" s="72" t="str">
        <f aca="false">IF(OR(B1151="",C1151=""),"",C1151&amp;"|"&amp;(YEAR(B1151)*100+MONTH(B1151)))</f>
        <v/>
      </c>
      <c r="AI1151" s="70" t="str">
        <f aca="false">IF(AH1151="","",IF(COUNTIF(L_CLAVE,AH1151)&gt;1,"⚠ Duplicado","OK"))</f>
        <v/>
      </c>
      <c r="AJ1151" s="86" t="str">
        <f aca="false">IF(AH1151="","",IF(SUMPRODUCT(MAX((IND_PER&lt;=B1151)*(IND_UF&lt;&gt;"")*IND_PER))=0,UF_HOY,INDEX(IND_UF,MATCH(SUMPRODUCT(MAX((IND_PER&lt;=B1151)*(IND_UF&lt;&gt;"")*IND_PER)),IND_PER,0))))</f>
        <v/>
      </c>
      <c r="AK1151" s="87" t="str">
        <f aca="false">IF(AH1151="","",IF(COUNTIF(TASA_DESDE,"&lt;="&amp;B1151)=0,INDEX(TASA_EMP,1),INDEX(TASA_EMP,COUNTIF(TASA_DESDE,"&lt;="&amp;B1151))))</f>
        <v/>
      </c>
    </row>
    <row r="1152" customFormat="false" ht="15" hidden="false" customHeight="false" outlineLevel="0" collapsed="false">
      <c r="B1152" s="78"/>
      <c r="C1152" s="64"/>
      <c r="D1152" s="72" t="str">
        <f aca="false">IF(C1152="","",IFERROR(INDEX(T_NOMBRE,MATCH(C1152,T_ID,0)),"⚠ ID no existe"))</f>
        <v/>
      </c>
      <c r="E1152" s="69"/>
      <c r="F1152" s="67"/>
      <c r="G1152" s="67"/>
      <c r="H1152" s="67"/>
      <c r="I1152" s="67"/>
      <c r="J1152" s="67"/>
      <c r="K1152" s="85" t="str">
        <f aca="false">IF(AH1152="","",N(F1152)+N(G1152)+N(H1152)-N(I1152)+N(J1152))</f>
        <v/>
      </c>
      <c r="L1152" s="67"/>
      <c r="M1152" s="67"/>
      <c r="N1152" s="67"/>
      <c r="O1152" s="67"/>
      <c r="P1152" s="85" t="str">
        <f aca="false">IF(AH1152="","",K1152+N(L1152)+N(M1152)+N(N1152)+N(O1152))</f>
        <v/>
      </c>
      <c r="Q1152" s="67"/>
      <c r="R1152" s="67"/>
      <c r="S1152" s="67"/>
      <c r="T1152" s="67"/>
      <c r="U1152" s="67"/>
      <c r="V1152" s="67"/>
      <c r="W1152" s="85" t="str">
        <f aca="false">IF(AH1152="","",N(Q1152)+N(R1152)+N(S1152)+N(T1152)+N(U1152)+N(V1152))</f>
        <v/>
      </c>
      <c r="X1152" s="85" t="str">
        <f aca="false">IF(AH1152="","",P1152-W1152)</f>
        <v/>
      </c>
      <c r="Y1152" s="67"/>
      <c r="Z1152" s="70" t="str">
        <f aca="false">IF(OR(AH1152="",Y1152=""),"",IF(ABS(X1152-Y1152)&lt;=1,"✓ Cuadra","⚠ Diferencia $"&amp;FIXED(X1152-Y1152,0)))</f>
        <v/>
      </c>
      <c r="AA1152" s="72" t="str">
        <f aca="false">IF(AH1152="","",IFERROR(INDEX(C_TIPO,MATCH(C1152&amp;"-P"&amp;MAX(1,COUNTIFS(C_ID,C1152,C_DEFINE,"Sí",C_INICIO,"&lt;="&amp;EOMONTH(B1152,0))),C_CLAVE,0))&amp;"","Sin dato"))</f>
        <v/>
      </c>
      <c r="AB1152" s="71" t="str">
        <f aca="false">IF(AH1152="","",ROUND(MIN(K1152,TOPE_AFP_UF*AJ1152)*AK1152,0))</f>
        <v/>
      </c>
      <c r="AC1152" s="71" t="str">
        <f aca="false">IF(AH1152="","",ROUND(MIN(K1152,TOPE_AFC_UF*AJ1152)*IF(AA1152="Indefinido",AFC_EMP_INDEF,AFC_EMP_PF),0))</f>
        <v/>
      </c>
      <c r="AD1152" s="71" t="str">
        <f aca="false">IF(AH1152="","",ROUND(MIN(K1152,TOPE_AFP_UF*AJ1152)*(MUTUAL_BASICA+MUTUAL_ADIC+SANNA),0))</f>
        <v/>
      </c>
      <c r="AE1152" s="71" t="str">
        <f aca="false">IF(AH1152="","",P1152-N(N1152)+AB1152+AC1152+AD1152)</f>
        <v/>
      </c>
      <c r="AF1152" s="65"/>
      <c r="AG1152" s="64"/>
      <c r="AH1152" s="72" t="str">
        <f aca="false">IF(OR(B1152="",C1152=""),"",C1152&amp;"|"&amp;(YEAR(B1152)*100+MONTH(B1152)))</f>
        <v/>
      </c>
      <c r="AI1152" s="70" t="str">
        <f aca="false">IF(AH1152="","",IF(COUNTIF(L_CLAVE,AH1152)&gt;1,"⚠ Duplicado","OK"))</f>
        <v/>
      </c>
      <c r="AJ1152" s="86" t="str">
        <f aca="false">IF(AH1152="","",IF(SUMPRODUCT(MAX((IND_PER&lt;=B1152)*(IND_UF&lt;&gt;"")*IND_PER))=0,UF_HOY,INDEX(IND_UF,MATCH(SUMPRODUCT(MAX((IND_PER&lt;=B1152)*(IND_UF&lt;&gt;"")*IND_PER)),IND_PER,0))))</f>
        <v/>
      </c>
      <c r="AK1152" s="87" t="str">
        <f aca="false">IF(AH1152="","",IF(COUNTIF(TASA_DESDE,"&lt;="&amp;B1152)=0,INDEX(TASA_EMP,1),INDEX(TASA_EMP,COUNTIF(TASA_DESDE,"&lt;="&amp;B1152))))</f>
        <v/>
      </c>
    </row>
    <row r="1153" customFormat="false" ht="15" hidden="false" customHeight="false" outlineLevel="0" collapsed="false">
      <c r="B1153" s="78"/>
      <c r="C1153" s="64"/>
      <c r="D1153" s="72" t="str">
        <f aca="false">IF(C1153="","",IFERROR(INDEX(T_NOMBRE,MATCH(C1153,T_ID,0)),"⚠ ID no existe"))</f>
        <v/>
      </c>
      <c r="E1153" s="69"/>
      <c r="F1153" s="67"/>
      <c r="G1153" s="67"/>
      <c r="H1153" s="67"/>
      <c r="I1153" s="67"/>
      <c r="J1153" s="67"/>
      <c r="K1153" s="85" t="str">
        <f aca="false">IF(AH1153="","",N(F1153)+N(G1153)+N(H1153)-N(I1153)+N(J1153))</f>
        <v/>
      </c>
      <c r="L1153" s="67"/>
      <c r="M1153" s="67"/>
      <c r="N1153" s="67"/>
      <c r="O1153" s="67"/>
      <c r="P1153" s="85" t="str">
        <f aca="false">IF(AH1153="","",K1153+N(L1153)+N(M1153)+N(N1153)+N(O1153))</f>
        <v/>
      </c>
      <c r="Q1153" s="67"/>
      <c r="R1153" s="67"/>
      <c r="S1153" s="67"/>
      <c r="T1153" s="67"/>
      <c r="U1153" s="67"/>
      <c r="V1153" s="67"/>
      <c r="W1153" s="85" t="str">
        <f aca="false">IF(AH1153="","",N(Q1153)+N(R1153)+N(S1153)+N(T1153)+N(U1153)+N(V1153))</f>
        <v/>
      </c>
      <c r="X1153" s="85" t="str">
        <f aca="false">IF(AH1153="","",P1153-W1153)</f>
        <v/>
      </c>
      <c r="Y1153" s="67"/>
      <c r="Z1153" s="70" t="str">
        <f aca="false">IF(OR(AH1153="",Y1153=""),"",IF(ABS(X1153-Y1153)&lt;=1,"✓ Cuadra","⚠ Diferencia $"&amp;FIXED(X1153-Y1153,0)))</f>
        <v/>
      </c>
      <c r="AA1153" s="72" t="str">
        <f aca="false">IF(AH1153="","",IFERROR(INDEX(C_TIPO,MATCH(C1153&amp;"-P"&amp;MAX(1,COUNTIFS(C_ID,C1153,C_DEFINE,"Sí",C_INICIO,"&lt;="&amp;EOMONTH(B1153,0))),C_CLAVE,0))&amp;"","Sin dato"))</f>
        <v/>
      </c>
      <c r="AB1153" s="71" t="str">
        <f aca="false">IF(AH1153="","",ROUND(MIN(K1153,TOPE_AFP_UF*AJ1153)*AK1153,0))</f>
        <v/>
      </c>
      <c r="AC1153" s="71" t="str">
        <f aca="false">IF(AH1153="","",ROUND(MIN(K1153,TOPE_AFC_UF*AJ1153)*IF(AA1153="Indefinido",AFC_EMP_INDEF,AFC_EMP_PF),0))</f>
        <v/>
      </c>
      <c r="AD1153" s="71" t="str">
        <f aca="false">IF(AH1153="","",ROUND(MIN(K1153,TOPE_AFP_UF*AJ1153)*(MUTUAL_BASICA+MUTUAL_ADIC+SANNA),0))</f>
        <v/>
      </c>
      <c r="AE1153" s="71" t="str">
        <f aca="false">IF(AH1153="","",P1153-N(N1153)+AB1153+AC1153+AD1153)</f>
        <v/>
      </c>
      <c r="AF1153" s="65"/>
      <c r="AG1153" s="64"/>
      <c r="AH1153" s="72" t="str">
        <f aca="false">IF(OR(B1153="",C1153=""),"",C1153&amp;"|"&amp;(YEAR(B1153)*100+MONTH(B1153)))</f>
        <v/>
      </c>
      <c r="AI1153" s="70" t="str">
        <f aca="false">IF(AH1153="","",IF(COUNTIF(L_CLAVE,AH1153)&gt;1,"⚠ Duplicado","OK"))</f>
        <v/>
      </c>
      <c r="AJ1153" s="86" t="str">
        <f aca="false">IF(AH1153="","",IF(SUMPRODUCT(MAX((IND_PER&lt;=B1153)*(IND_UF&lt;&gt;"")*IND_PER))=0,UF_HOY,INDEX(IND_UF,MATCH(SUMPRODUCT(MAX((IND_PER&lt;=B1153)*(IND_UF&lt;&gt;"")*IND_PER)),IND_PER,0))))</f>
        <v/>
      </c>
      <c r="AK1153" s="87" t="str">
        <f aca="false">IF(AH1153="","",IF(COUNTIF(TASA_DESDE,"&lt;="&amp;B1153)=0,INDEX(TASA_EMP,1),INDEX(TASA_EMP,COUNTIF(TASA_DESDE,"&lt;="&amp;B1153))))</f>
        <v/>
      </c>
    </row>
    <row r="1154" customFormat="false" ht="15" hidden="false" customHeight="false" outlineLevel="0" collapsed="false">
      <c r="B1154" s="78"/>
      <c r="C1154" s="64"/>
      <c r="D1154" s="72" t="str">
        <f aca="false">IF(C1154="","",IFERROR(INDEX(T_NOMBRE,MATCH(C1154,T_ID,0)),"⚠ ID no existe"))</f>
        <v/>
      </c>
      <c r="E1154" s="69"/>
      <c r="F1154" s="67"/>
      <c r="G1154" s="67"/>
      <c r="H1154" s="67"/>
      <c r="I1154" s="67"/>
      <c r="J1154" s="67"/>
      <c r="K1154" s="85" t="str">
        <f aca="false">IF(AH1154="","",N(F1154)+N(G1154)+N(H1154)-N(I1154)+N(J1154))</f>
        <v/>
      </c>
      <c r="L1154" s="67"/>
      <c r="M1154" s="67"/>
      <c r="N1154" s="67"/>
      <c r="O1154" s="67"/>
      <c r="P1154" s="85" t="str">
        <f aca="false">IF(AH1154="","",K1154+N(L1154)+N(M1154)+N(N1154)+N(O1154))</f>
        <v/>
      </c>
      <c r="Q1154" s="67"/>
      <c r="R1154" s="67"/>
      <c r="S1154" s="67"/>
      <c r="T1154" s="67"/>
      <c r="U1154" s="67"/>
      <c r="V1154" s="67"/>
      <c r="W1154" s="85" t="str">
        <f aca="false">IF(AH1154="","",N(Q1154)+N(R1154)+N(S1154)+N(T1154)+N(U1154)+N(V1154))</f>
        <v/>
      </c>
      <c r="X1154" s="85" t="str">
        <f aca="false">IF(AH1154="","",P1154-W1154)</f>
        <v/>
      </c>
      <c r="Y1154" s="67"/>
      <c r="Z1154" s="70" t="str">
        <f aca="false">IF(OR(AH1154="",Y1154=""),"",IF(ABS(X1154-Y1154)&lt;=1,"✓ Cuadra","⚠ Diferencia $"&amp;FIXED(X1154-Y1154,0)))</f>
        <v/>
      </c>
      <c r="AA1154" s="72" t="str">
        <f aca="false">IF(AH1154="","",IFERROR(INDEX(C_TIPO,MATCH(C1154&amp;"-P"&amp;MAX(1,COUNTIFS(C_ID,C1154,C_DEFINE,"Sí",C_INICIO,"&lt;="&amp;EOMONTH(B1154,0))),C_CLAVE,0))&amp;"","Sin dato"))</f>
        <v/>
      </c>
      <c r="AB1154" s="71" t="str">
        <f aca="false">IF(AH1154="","",ROUND(MIN(K1154,TOPE_AFP_UF*AJ1154)*AK1154,0))</f>
        <v/>
      </c>
      <c r="AC1154" s="71" t="str">
        <f aca="false">IF(AH1154="","",ROUND(MIN(K1154,TOPE_AFC_UF*AJ1154)*IF(AA1154="Indefinido",AFC_EMP_INDEF,AFC_EMP_PF),0))</f>
        <v/>
      </c>
      <c r="AD1154" s="71" t="str">
        <f aca="false">IF(AH1154="","",ROUND(MIN(K1154,TOPE_AFP_UF*AJ1154)*(MUTUAL_BASICA+MUTUAL_ADIC+SANNA),0))</f>
        <v/>
      </c>
      <c r="AE1154" s="71" t="str">
        <f aca="false">IF(AH1154="","",P1154-N(N1154)+AB1154+AC1154+AD1154)</f>
        <v/>
      </c>
      <c r="AF1154" s="65"/>
      <c r="AG1154" s="64"/>
      <c r="AH1154" s="72" t="str">
        <f aca="false">IF(OR(B1154="",C1154=""),"",C1154&amp;"|"&amp;(YEAR(B1154)*100+MONTH(B1154)))</f>
        <v/>
      </c>
      <c r="AI1154" s="70" t="str">
        <f aca="false">IF(AH1154="","",IF(COUNTIF(L_CLAVE,AH1154)&gt;1,"⚠ Duplicado","OK"))</f>
        <v/>
      </c>
      <c r="AJ1154" s="86" t="str">
        <f aca="false">IF(AH1154="","",IF(SUMPRODUCT(MAX((IND_PER&lt;=B1154)*(IND_UF&lt;&gt;"")*IND_PER))=0,UF_HOY,INDEX(IND_UF,MATCH(SUMPRODUCT(MAX((IND_PER&lt;=B1154)*(IND_UF&lt;&gt;"")*IND_PER)),IND_PER,0))))</f>
        <v/>
      </c>
      <c r="AK1154" s="87" t="str">
        <f aca="false">IF(AH1154="","",IF(COUNTIF(TASA_DESDE,"&lt;="&amp;B1154)=0,INDEX(TASA_EMP,1),INDEX(TASA_EMP,COUNTIF(TASA_DESDE,"&lt;="&amp;B1154))))</f>
        <v/>
      </c>
    </row>
    <row r="1155" customFormat="false" ht="15" hidden="false" customHeight="false" outlineLevel="0" collapsed="false">
      <c r="B1155" s="78"/>
      <c r="C1155" s="64"/>
      <c r="D1155" s="72" t="str">
        <f aca="false">IF(C1155="","",IFERROR(INDEX(T_NOMBRE,MATCH(C1155,T_ID,0)),"⚠ ID no existe"))</f>
        <v/>
      </c>
      <c r="E1155" s="69"/>
      <c r="F1155" s="67"/>
      <c r="G1155" s="67"/>
      <c r="H1155" s="67"/>
      <c r="I1155" s="67"/>
      <c r="J1155" s="67"/>
      <c r="K1155" s="85" t="str">
        <f aca="false">IF(AH1155="","",N(F1155)+N(G1155)+N(H1155)-N(I1155)+N(J1155))</f>
        <v/>
      </c>
      <c r="L1155" s="67"/>
      <c r="M1155" s="67"/>
      <c r="N1155" s="67"/>
      <c r="O1155" s="67"/>
      <c r="P1155" s="85" t="str">
        <f aca="false">IF(AH1155="","",K1155+N(L1155)+N(M1155)+N(N1155)+N(O1155))</f>
        <v/>
      </c>
      <c r="Q1155" s="67"/>
      <c r="R1155" s="67"/>
      <c r="S1155" s="67"/>
      <c r="T1155" s="67"/>
      <c r="U1155" s="67"/>
      <c r="V1155" s="67"/>
      <c r="W1155" s="85" t="str">
        <f aca="false">IF(AH1155="","",N(Q1155)+N(R1155)+N(S1155)+N(T1155)+N(U1155)+N(V1155))</f>
        <v/>
      </c>
      <c r="X1155" s="85" t="str">
        <f aca="false">IF(AH1155="","",P1155-W1155)</f>
        <v/>
      </c>
      <c r="Y1155" s="67"/>
      <c r="Z1155" s="70" t="str">
        <f aca="false">IF(OR(AH1155="",Y1155=""),"",IF(ABS(X1155-Y1155)&lt;=1,"✓ Cuadra","⚠ Diferencia $"&amp;FIXED(X1155-Y1155,0)))</f>
        <v/>
      </c>
      <c r="AA1155" s="72" t="str">
        <f aca="false">IF(AH1155="","",IFERROR(INDEX(C_TIPO,MATCH(C1155&amp;"-P"&amp;MAX(1,COUNTIFS(C_ID,C1155,C_DEFINE,"Sí",C_INICIO,"&lt;="&amp;EOMONTH(B1155,0))),C_CLAVE,0))&amp;"","Sin dato"))</f>
        <v/>
      </c>
      <c r="AB1155" s="71" t="str">
        <f aca="false">IF(AH1155="","",ROUND(MIN(K1155,TOPE_AFP_UF*AJ1155)*AK1155,0))</f>
        <v/>
      </c>
      <c r="AC1155" s="71" t="str">
        <f aca="false">IF(AH1155="","",ROUND(MIN(K1155,TOPE_AFC_UF*AJ1155)*IF(AA1155="Indefinido",AFC_EMP_INDEF,AFC_EMP_PF),0))</f>
        <v/>
      </c>
      <c r="AD1155" s="71" t="str">
        <f aca="false">IF(AH1155="","",ROUND(MIN(K1155,TOPE_AFP_UF*AJ1155)*(MUTUAL_BASICA+MUTUAL_ADIC+SANNA),0))</f>
        <v/>
      </c>
      <c r="AE1155" s="71" t="str">
        <f aca="false">IF(AH1155="","",P1155-N(N1155)+AB1155+AC1155+AD1155)</f>
        <v/>
      </c>
      <c r="AF1155" s="65"/>
      <c r="AG1155" s="64"/>
      <c r="AH1155" s="72" t="str">
        <f aca="false">IF(OR(B1155="",C1155=""),"",C1155&amp;"|"&amp;(YEAR(B1155)*100+MONTH(B1155)))</f>
        <v/>
      </c>
      <c r="AI1155" s="70" t="str">
        <f aca="false">IF(AH1155="","",IF(COUNTIF(L_CLAVE,AH1155)&gt;1,"⚠ Duplicado","OK"))</f>
        <v/>
      </c>
      <c r="AJ1155" s="86" t="str">
        <f aca="false">IF(AH1155="","",IF(SUMPRODUCT(MAX((IND_PER&lt;=B1155)*(IND_UF&lt;&gt;"")*IND_PER))=0,UF_HOY,INDEX(IND_UF,MATCH(SUMPRODUCT(MAX((IND_PER&lt;=B1155)*(IND_UF&lt;&gt;"")*IND_PER)),IND_PER,0))))</f>
        <v/>
      </c>
      <c r="AK1155" s="87" t="str">
        <f aca="false">IF(AH1155="","",IF(COUNTIF(TASA_DESDE,"&lt;="&amp;B1155)=0,INDEX(TASA_EMP,1),INDEX(TASA_EMP,COUNTIF(TASA_DESDE,"&lt;="&amp;B1155))))</f>
        <v/>
      </c>
    </row>
    <row r="1156" customFormat="false" ht="15" hidden="false" customHeight="false" outlineLevel="0" collapsed="false">
      <c r="B1156" s="78"/>
      <c r="C1156" s="64"/>
      <c r="D1156" s="72" t="str">
        <f aca="false">IF(C1156="","",IFERROR(INDEX(T_NOMBRE,MATCH(C1156,T_ID,0)),"⚠ ID no existe"))</f>
        <v/>
      </c>
      <c r="E1156" s="69"/>
      <c r="F1156" s="67"/>
      <c r="G1156" s="67"/>
      <c r="H1156" s="67"/>
      <c r="I1156" s="67"/>
      <c r="J1156" s="67"/>
      <c r="K1156" s="85" t="str">
        <f aca="false">IF(AH1156="","",N(F1156)+N(G1156)+N(H1156)-N(I1156)+N(J1156))</f>
        <v/>
      </c>
      <c r="L1156" s="67"/>
      <c r="M1156" s="67"/>
      <c r="N1156" s="67"/>
      <c r="O1156" s="67"/>
      <c r="P1156" s="85" t="str">
        <f aca="false">IF(AH1156="","",K1156+N(L1156)+N(M1156)+N(N1156)+N(O1156))</f>
        <v/>
      </c>
      <c r="Q1156" s="67"/>
      <c r="R1156" s="67"/>
      <c r="S1156" s="67"/>
      <c r="T1156" s="67"/>
      <c r="U1156" s="67"/>
      <c r="V1156" s="67"/>
      <c r="W1156" s="85" t="str">
        <f aca="false">IF(AH1156="","",N(Q1156)+N(R1156)+N(S1156)+N(T1156)+N(U1156)+N(V1156))</f>
        <v/>
      </c>
      <c r="X1156" s="85" t="str">
        <f aca="false">IF(AH1156="","",P1156-W1156)</f>
        <v/>
      </c>
      <c r="Y1156" s="67"/>
      <c r="Z1156" s="70" t="str">
        <f aca="false">IF(OR(AH1156="",Y1156=""),"",IF(ABS(X1156-Y1156)&lt;=1,"✓ Cuadra","⚠ Diferencia $"&amp;FIXED(X1156-Y1156,0)))</f>
        <v/>
      </c>
      <c r="AA1156" s="72" t="str">
        <f aca="false">IF(AH1156="","",IFERROR(INDEX(C_TIPO,MATCH(C1156&amp;"-P"&amp;MAX(1,COUNTIFS(C_ID,C1156,C_DEFINE,"Sí",C_INICIO,"&lt;="&amp;EOMONTH(B1156,0))),C_CLAVE,0))&amp;"","Sin dato"))</f>
        <v/>
      </c>
      <c r="AB1156" s="71" t="str">
        <f aca="false">IF(AH1156="","",ROUND(MIN(K1156,TOPE_AFP_UF*AJ1156)*AK1156,0))</f>
        <v/>
      </c>
      <c r="AC1156" s="71" t="str">
        <f aca="false">IF(AH1156="","",ROUND(MIN(K1156,TOPE_AFC_UF*AJ1156)*IF(AA1156="Indefinido",AFC_EMP_INDEF,AFC_EMP_PF),0))</f>
        <v/>
      </c>
      <c r="AD1156" s="71" t="str">
        <f aca="false">IF(AH1156="","",ROUND(MIN(K1156,TOPE_AFP_UF*AJ1156)*(MUTUAL_BASICA+MUTUAL_ADIC+SANNA),0))</f>
        <v/>
      </c>
      <c r="AE1156" s="71" t="str">
        <f aca="false">IF(AH1156="","",P1156-N(N1156)+AB1156+AC1156+AD1156)</f>
        <v/>
      </c>
      <c r="AF1156" s="65"/>
      <c r="AG1156" s="64"/>
      <c r="AH1156" s="72" t="str">
        <f aca="false">IF(OR(B1156="",C1156=""),"",C1156&amp;"|"&amp;(YEAR(B1156)*100+MONTH(B1156)))</f>
        <v/>
      </c>
      <c r="AI1156" s="70" t="str">
        <f aca="false">IF(AH1156="","",IF(COUNTIF(L_CLAVE,AH1156)&gt;1,"⚠ Duplicado","OK"))</f>
        <v/>
      </c>
      <c r="AJ1156" s="86" t="str">
        <f aca="false">IF(AH1156="","",IF(SUMPRODUCT(MAX((IND_PER&lt;=B1156)*(IND_UF&lt;&gt;"")*IND_PER))=0,UF_HOY,INDEX(IND_UF,MATCH(SUMPRODUCT(MAX((IND_PER&lt;=B1156)*(IND_UF&lt;&gt;"")*IND_PER)),IND_PER,0))))</f>
        <v/>
      </c>
      <c r="AK1156" s="87" t="str">
        <f aca="false">IF(AH1156="","",IF(COUNTIF(TASA_DESDE,"&lt;="&amp;B1156)=0,INDEX(TASA_EMP,1),INDEX(TASA_EMP,COUNTIF(TASA_DESDE,"&lt;="&amp;B1156))))</f>
        <v/>
      </c>
    </row>
    <row r="1157" customFormat="false" ht="15" hidden="false" customHeight="false" outlineLevel="0" collapsed="false">
      <c r="B1157" s="78"/>
      <c r="C1157" s="64"/>
      <c r="D1157" s="72" t="str">
        <f aca="false">IF(C1157="","",IFERROR(INDEX(T_NOMBRE,MATCH(C1157,T_ID,0)),"⚠ ID no existe"))</f>
        <v/>
      </c>
      <c r="E1157" s="69"/>
      <c r="F1157" s="67"/>
      <c r="G1157" s="67"/>
      <c r="H1157" s="67"/>
      <c r="I1157" s="67"/>
      <c r="J1157" s="67"/>
      <c r="K1157" s="85" t="str">
        <f aca="false">IF(AH1157="","",N(F1157)+N(G1157)+N(H1157)-N(I1157)+N(J1157))</f>
        <v/>
      </c>
      <c r="L1157" s="67"/>
      <c r="M1157" s="67"/>
      <c r="N1157" s="67"/>
      <c r="O1157" s="67"/>
      <c r="P1157" s="85" t="str">
        <f aca="false">IF(AH1157="","",K1157+N(L1157)+N(M1157)+N(N1157)+N(O1157))</f>
        <v/>
      </c>
      <c r="Q1157" s="67"/>
      <c r="R1157" s="67"/>
      <c r="S1157" s="67"/>
      <c r="T1157" s="67"/>
      <c r="U1157" s="67"/>
      <c r="V1157" s="67"/>
      <c r="W1157" s="85" t="str">
        <f aca="false">IF(AH1157="","",N(Q1157)+N(R1157)+N(S1157)+N(T1157)+N(U1157)+N(V1157))</f>
        <v/>
      </c>
      <c r="X1157" s="85" t="str">
        <f aca="false">IF(AH1157="","",P1157-W1157)</f>
        <v/>
      </c>
      <c r="Y1157" s="67"/>
      <c r="Z1157" s="70" t="str">
        <f aca="false">IF(OR(AH1157="",Y1157=""),"",IF(ABS(X1157-Y1157)&lt;=1,"✓ Cuadra","⚠ Diferencia $"&amp;FIXED(X1157-Y1157,0)))</f>
        <v/>
      </c>
      <c r="AA1157" s="72" t="str">
        <f aca="false">IF(AH1157="","",IFERROR(INDEX(C_TIPO,MATCH(C1157&amp;"-P"&amp;MAX(1,COUNTIFS(C_ID,C1157,C_DEFINE,"Sí",C_INICIO,"&lt;="&amp;EOMONTH(B1157,0))),C_CLAVE,0))&amp;"","Sin dato"))</f>
        <v/>
      </c>
      <c r="AB1157" s="71" t="str">
        <f aca="false">IF(AH1157="","",ROUND(MIN(K1157,TOPE_AFP_UF*AJ1157)*AK1157,0))</f>
        <v/>
      </c>
      <c r="AC1157" s="71" t="str">
        <f aca="false">IF(AH1157="","",ROUND(MIN(K1157,TOPE_AFC_UF*AJ1157)*IF(AA1157="Indefinido",AFC_EMP_INDEF,AFC_EMP_PF),0))</f>
        <v/>
      </c>
      <c r="AD1157" s="71" t="str">
        <f aca="false">IF(AH1157="","",ROUND(MIN(K1157,TOPE_AFP_UF*AJ1157)*(MUTUAL_BASICA+MUTUAL_ADIC+SANNA),0))</f>
        <v/>
      </c>
      <c r="AE1157" s="71" t="str">
        <f aca="false">IF(AH1157="","",P1157-N(N1157)+AB1157+AC1157+AD1157)</f>
        <v/>
      </c>
      <c r="AF1157" s="65"/>
      <c r="AG1157" s="64"/>
      <c r="AH1157" s="72" t="str">
        <f aca="false">IF(OR(B1157="",C1157=""),"",C1157&amp;"|"&amp;(YEAR(B1157)*100+MONTH(B1157)))</f>
        <v/>
      </c>
      <c r="AI1157" s="70" t="str">
        <f aca="false">IF(AH1157="","",IF(COUNTIF(L_CLAVE,AH1157)&gt;1,"⚠ Duplicado","OK"))</f>
        <v/>
      </c>
      <c r="AJ1157" s="86" t="str">
        <f aca="false">IF(AH1157="","",IF(SUMPRODUCT(MAX((IND_PER&lt;=B1157)*(IND_UF&lt;&gt;"")*IND_PER))=0,UF_HOY,INDEX(IND_UF,MATCH(SUMPRODUCT(MAX((IND_PER&lt;=B1157)*(IND_UF&lt;&gt;"")*IND_PER)),IND_PER,0))))</f>
        <v/>
      </c>
      <c r="AK1157" s="87" t="str">
        <f aca="false">IF(AH1157="","",IF(COUNTIF(TASA_DESDE,"&lt;="&amp;B1157)=0,INDEX(TASA_EMP,1),INDEX(TASA_EMP,COUNTIF(TASA_DESDE,"&lt;="&amp;B1157))))</f>
        <v/>
      </c>
    </row>
    <row r="1158" customFormat="false" ht="15" hidden="false" customHeight="false" outlineLevel="0" collapsed="false">
      <c r="B1158" s="78"/>
      <c r="C1158" s="64"/>
      <c r="D1158" s="72" t="str">
        <f aca="false">IF(C1158="","",IFERROR(INDEX(T_NOMBRE,MATCH(C1158,T_ID,0)),"⚠ ID no existe"))</f>
        <v/>
      </c>
      <c r="E1158" s="69"/>
      <c r="F1158" s="67"/>
      <c r="G1158" s="67"/>
      <c r="H1158" s="67"/>
      <c r="I1158" s="67"/>
      <c r="J1158" s="67"/>
      <c r="K1158" s="85" t="str">
        <f aca="false">IF(AH1158="","",N(F1158)+N(G1158)+N(H1158)-N(I1158)+N(J1158))</f>
        <v/>
      </c>
      <c r="L1158" s="67"/>
      <c r="M1158" s="67"/>
      <c r="N1158" s="67"/>
      <c r="O1158" s="67"/>
      <c r="P1158" s="85" t="str">
        <f aca="false">IF(AH1158="","",K1158+N(L1158)+N(M1158)+N(N1158)+N(O1158))</f>
        <v/>
      </c>
      <c r="Q1158" s="67"/>
      <c r="R1158" s="67"/>
      <c r="S1158" s="67"/>
      <c r="T1158" s="67"/>
      <c r="U1158" s="67"/>
      <c r="V1158" s="67"/>
      <c r="W1158" s="85" t="str">
        <f aca="false">IF(AH1158="","",N(Q1158)+N(R1158)+N(S1158)+N(T1158)+N(U1158)+N(V1158))</f>
        <v/>
      </c>
      <c r="X1158" s="85" t="str">
        <f aca="false">IF(AH1158="","",P1158-W1158)</f>
        <v/>
      </c>
      <c r="Y1158" s="67"/>
      <c r="Z1158" s="70" t="str">
        <f aca="false">IF(OR(AH1158="",Y1158=""),"",IF(ABS(X1158-Y1158)&lt;=1,"✓ Cuadra","⚠ Diferencia $"&amp;FIXED(X1158-Y1158,0)))</f>
        <v/>
      </c>
      <c r="AA1158" s="72" t="str">
        <f aca="false">IF(AH1158="","",IFERROR(INDEX(C_TIPO,MATCH(C1158&amp;"-P"&amp;MAX(1,COUNTIFS(C_ID,C1158,C_DEFINE,"Sí",C_INICIO,"&lt;="&amp;EOMONTH(B1158,0))),C_CLAVE,0))&amp;"","Sin dato"))</f>
        <v/>
      </c>
      <c r="AB1158" s="71" t="str">
        <f aca="false">IF(AH1158="","",ROUND(MIN(K1158,TOPE_AFP_UF*AJ1158)*AK1158,0))</f>
        <v/>
      </c>
      <c r="AC1158" s="71" t="str">
        <f aca="false">IF(AH1158="","",ROUND(MIN(K1158,TOPE_AFC_UF*AJ1158)*IF(AA1158="Indefinido",AFC_EMP_INDEF,AFC_EMP_PF),0))</f>
        <v/>
      </c>
      <c r="AD1158" s="71" t="str">
        <f aca="false">IF(AH1158="","",ROUND(MIN(K1158,TOPE_AFP_UF*AJ1158)*(MUTUAL_BASICA+MUTUAL_ADIC+SANNA),0))</f>
        <v/>
      </c>
      <c r="AE1158" s="71" t="str">
        <f aca="false">IF(AH1158="","",P1158-N(N1158)+AB1158+AC1158+AD1158)</f>
        <v/>
      </c>
      <c r="AF1158" s="65"/>
      <c r="AG1158" s="64"/>
      <c r="AH1158" s="72" t="str">
        <f aca="false">IF(OR(B1158="",C1158=""),"",C1158&amp;"|"&amp;(YEAR(B1158)*100+MONTH(B1158)))</f>
        <v/>
      </c>
      <c r="AI1158" s="70" t="str">
        <f aca="false">IF(AH1158="","",IF(COUNTIF(L_CLAVE,AH1158)&gt;1,"⚠ Duplicado","OK"))</f>
        <v/>
      </c>
      <c r="AJ1158" s="86" t="str">
        <f aca="false">IF(AH1158="","",IF(SUMPRODUCT(MAX((IND_PER&lt;=B1158)*(IND_UF&lt;&gt;"")*IND_PER))=0,UF_HOY,INDEX(IND_UF,MATCH(SUMPRODUCT(MAX((IND_PER&lt;=B1158)*(IND_UF&lt;&gt;"")*IND_PER)),IND_PER,0))))</f>
        <v/>
      </c>
      <c r="AK1158" s="87" t="str">
        <f aca="false">IF(AH1158="","",IF(COUNTIF(TASA_DESDE,"&lt;="&amp;B1158)=0,INDEX(TASA_EMP,1),INDEX(TASA_EMP,COUNTIF(TASA_DESDE,"&lt;="&amp;B1158))))</f>
        <v/>
      </c>
    </row>
    <row r="1159" customFormat="false" ht="15" hidden="false" customHeight="false" outlineLevel="0" collapsed="false">
      <c r="B1159" s="78"/>
      <c r="C1159" s="64"/>
      <c r="D1159" s="72" t="str">
        <f aca="false">IF(C1159="","",IFERROR(INDEX(T_NOMBRE,MATCH(C1159,T_ID,0)),"⚠ ID no existe"))</f>
        <v/>
      </c>
      <c r="E1159" s="69"/>
      <c r="F1159" s="67"/>
      <c r="G1159" s="67"/>
      <c r="H1159" s="67"/>
      <c r="I1159" s="67"/>
      <c r="J1159" s="67"/>
      <c r="K1159" s="85" t="str">
        <f aca="false">IF(AH1159="","",N(F1159)+N(G1159)+N(H1159)-N(I1159)+N(J1159))</f>
        <v/>
      </c>
      <c r="L1159" s="67"/>
      <c r="M1159" s="67"/>
      <c r="N1159" s="67"/>
      <c r="O1159" s="67"/>
      <c r="P1159" s="85" t="str">
        <f aca="false">IF(AH1159="","",K1159+N(L1159)+N(M1159)+N(N1159)+N(O1159))</f>
        <v/>
      </c>
      <c r="Q1159" s="67"/>
      <c r="R1159" s="67"/>
      <c r="S1159" s="67"/>
      <c r="T1159" s="67"/>
      <c r="U1159" s="67"/>
      <c r="V1159" s="67"/>
      <c r="W1159" s="85" t="str">
        <f aca="false">IF(AH1159="","",N(Q1159)+N(R1159)+N(S1159)+N(T1159)+N(U1159)+N(V1159))</f>
        <v/>
      </c>
      <c r="X1159" s="85" t="str">
        <f aca="false">IF(AH1159="","",P1159-W1159)</f>
        <v/>
      </c>
      <c r="Y1159" s="67"/>
      <c r="Z1159" s="70" t="str">
        <f aca="false">IF(OR(AH1159="",Y1159=""),"",IF(ABS(X1159-Y1159)&lt;=1,"✓ Cuadra","⚠ Diferencia $"&amp;FIXED(X1159-Y1159,0)))</f>
        <v/>
      </c>
      <c r="AA1159" s="72" t="str">
        <f aca="false">IF(AH1159="","",IFERROR(INDEX(C_TIPO,MATCH(C1159&amp;"-P"&amp;MAX(1,COUNTIFS(C_ID,C1159,C_DEFINE,"Sí",C_INICIO,"&lt;="&amp;EOMONTH(B1159,0))),C_CLAVE,0))&amp;"","Sin dato"))</f>
        <v/>
      </c>
      <c r="AB1159" s="71" t="str">
        <f aca="false">IF(AH1159="","",ROUND(MIN(K1159,TOPE_AFP_UF*AJ1159)*AK1159,0))</f>
        <v/>
      </c>
      <c r="AC1159" s="71" t="str">
        <f aca="false">IF(AH1159="","",ROUND(MIN(K1159,TOPE_AFC_UF*AJ1159)*IF(AA1159="Indefinido",AFC_EMP_INDEF,AFC_EMP_PF),0))</f>
        <v/>
      </c>
      <c r="AD1159" s="71" t="str">
        <f aca="false">IF(AH1159="","",ROUND(MIN(K1159,TOPE_AFP_UF*AJ1159)*(MUTUAL_BASICA+MUTUAL_ADIC+SANNA),0))</f>
        <v/>
      </c>
      <c r="AE1159" s="71" t="str">
        <f aca="false">IF(AH1159="","",P1159-N(N1159)+AB1159+AC1159+AD1159)</f>
        <v/>
      </c>
      <c r="AF1159" s="65"/>
      <c r="AG1159" s="64"/>
      <c r="AH1159" s="72" t="str">
        <f aca="false">IF(OR(B1159="",C1159=""),"",C1159&amp;"|"&amp;(YEAR(B1159)*100+MONTH(B1159)))</f>
        <v/>
      </c>
      <c r="AI1159" s="70" t="str">
        <f aca="false">IF(AH1159="","",IF(COUNTIF(L_CLAVE,AH1159)&gt;1,"⚠ Duplicado","OK"))</f>
        <v/>
      </c>
      <c r="AJ1159" s="86" t="str">
        <f aca="false">IF(AH1159="","",IF(SUMPRODUCT(MAX((IND_PER&lt;=B1159)*(IND_UF&lt;&gt;"")*IND_PER))=0,UF_HOY,INDEX(IND_UF,MATCH(SUMPRODUCT(MAX((IND_PER&lt;=B1159)*(IND_UF&lt;&gt;"")*IND_PER)),IND_PER,0))))</f>
        <v/>
      </c>
      <c r="AK1159" s="87" t="str">
        <f aca="false">IF(AH1159="","",IF(COUNTIF(TASA_DESDE,"&lt;="&amp;B1159)=0,INDEX(TASA_EMP,1),INDEX(TASA_EMP,COUNTIF(TASA_DESDE,"&lt;="&amp;B1159))))</f>
        <v/>
      </c>
    </row>
    <row r="1160" customFormat="false" ht="15" hidden="false" customHeight="false" outlineLevel="0" collapsed="false">
      <c r="B1160" s="78"/>
      <c r="C1160" s="64"/>
      <c r="D1160" s="72" t="str">
        <f aca="false">IF(C1160="","",IFERROR(INDEX(T_NOMBRE,MATCH(C1160,T_ID,0)),"⚠ ID no existe"))</f>
        <v/>
      </c>
      <c r="E1160" s="69"/>
      <c r="F1160" s="67"/>
      <c r="G1160" s="67"/>
      <c r="H1160" s="67"/>
      <c r="I1160" s="67"/>
      <c r="J1160" s="67"/>
      <c r="K1160" s="85" t="str">
        <f aca="false">IF(AH1160="","",N(F1160)+N(G1160)+N(H1160)-N(I1160)+N(J1160))</f>
        <v/>
      </c>
      <c r="L1160" s="67"/>
      <c r="M1160" s="67"/>
      <c r="N1160" s="67"/>
      <c r="O1160" s="67"/>
      <c r="P1160" s="85" t="str">
        <f aca="false">IF(AH1160="","",K1160+N(L1160)+N(M1160)+N(N1160)+N(O1160))</f>
        <v/>
      </c>
      <c r="Q1160" s="67"/>
      <c r="R1160" s="67"/>
      <c r="S1160" s="67"/>
      <c r="T1160" s="67"/>
      <c r="U1160" s="67"/>
      <c r="V1160" s="67"/>
      <c r="W1160" s="85" t="str">
        <f aca="false">IF(AH1160="","",N(Q1160)+N(R1160)+N(S1160)+N(T1160)+N(U1160)+N(V1160))</f>
        <v/>
      </c>
      <c r="X1160" s="85" t="str">
        <f aca="false">IF(AH1160="","",P1160-W1160)</f>
        <v/>
      </c>
      <c r="Y1160" s="67"/>
      <c r="Z1160" s="70" t="str">
        <f aca="false">IF(OR(AH1160="",Y1160=""),"",IF(ABS(X1160-Y1160)&lt;=1,"✓ Cuadra","⚠ Diferencia $"&amp;FIXED(X1160-Y1160,0)))</f>
        <v/>
      </c>
      <c r="AA1160" s="72" t="str">
        <f aca="false">IF(AH1160="","",IFERROR(INDEX(C_TIPO,MATCH(C1160&amp;"-P"&amp;MAX(1,COUNTIFS(C_ID,C1160,C_DEFINE,"Sí",C_INICIO,"&lt;="&amp;EOMONTH(B1160,0))),C_CLAVE,0))&amp;"","Sin dato"))</f>
        <v/>
      </c>
      <c r="AB1160" s="71" t="str">
        <f aca="false">IF(AH1160="","",ROUND(MIN(K1160,TOPE_AFP_UF*AJ1160)*AK1160,0))</f>
        <v/>
      </c>
      <c r="AC1160" s="71" t="str">
        <f aca="false">IF(AH1160="","",ROUND(MIN(K1160,TOPE_AFC_UF*AJ1160)*IF(AA1160="Indefinido",AFC_EMP_INDEF,AFC_EMP_PF),0))</f>
        <v/>
      </c>
      <c r="AD1160" s="71" t="str">
        <f aca="false">IF(AH1160="","",ROUND(MIN(K1160,TOPE_AFP_UF*AJ1160)*(MUTUAL_BASICA+MUTUAL_ADIC+SANNA),0))</f>
        <v/>
      </c>
      <c r="AE1160" s="71" t="str">
        <f aca="false">IF(AH1160="","",P1160-N(N1160)+AB1160+AC1160+AD1160)</f>
        <v/>
      </c>
      <c r="AF1160" s="65"/>
      <c r="AG1160" s="64"/>
      <c r="AH1160" s="72" t="str">
        <f aca="false">IF(OR(B1160="",C1160=""),"",C1160&amp;"|"&amp;(YEAR(B1160)*100+MONTH(B1160)))</f>
        <v/>
      </c>
      <c r="AI1160" s="70" t="str">
        <f aca="false">IF(AH1160="","",IF(COUNTIF(L_CLAVE,AH1160)&gt;1,"⚠ Duplicado","OK"))</f>
        <v/>
      </c>
      <c r="AJ1160" s="86" t="str">
        <f aca="false">IF(AH1160="","",IF(SUMPRODUCT(MAX((IND_PER&lt;=B1160)*(IND_UF&lt;&gt;"")*IND_PER))=0,UF_HOY,INDEX(IND_UF,MATCH(SUMPRODUCT(MAX((IND_PER&lt;=B1160)*(IND_UF&lt;&gt;"")*IND_PER)),IND_PER,0))))</f>
        <v/>
      </c>
      <c r="AK1160" s="87" t="str">
        <f aca="false">IF(AH1160="","",IF(COUNTIF(TASA_DESDE,"&lt;="&amp;B1160)=0,INDEX(TASA_EMP,1),INDEX(TASA_EMP,COUNTIF(TASA_DESDE,"&lt;="&amp;B1160))))</f>
        <v/>
      </c>
    </row>
    <row r="1161" customFormat="false" ht="15" hidden="false" customHeight="false" outlineLevel="0" collapsed="false">
      <c r="B1161" s="78"/>
      <c r="C1161" s="64"/>
      <c r="D1161" s="72" t="str">
        <f aca="false">IF(C1161="","",IFERROR(INDEX(T_NOMBRE,MATCH(C1161,T_ID,0)),"⚠ ID no existe"))</f>
        <v/>
      </c>
      <c r="E1161" s="69"/>
      <c r="F1161" s="67"/>
      <c r="G1161" s="67"/>
      <c r="H1161" s="67"/>
      <c r="I1161" s="67"/>
      <c r="J1161" s="67"/>
      <c r="K1161" s="85" t="str">
        <f aca="false">IF(AH1161="","",N(F1161)+N(G1161)+N(H1161)-N(I1161)+N(J1161))</f>
        <v/>
      </c>
      <c r="L1161" s="67"/>
      <c r="M1161" s="67"/>
      <c r="N1161" s="67"/>
      <c r="O1161" s="67"/>
      <c r="P1161" s="85" t="str">
        <f aca="false">IF(AH1161="","",K1161+N(L1161)+N(M1161)+N(N1161)+N(O1161))</f>
        <v/>
      </c>
      <c r="Q1161" s="67"/>
      <c r="R1161" s="67"/>
      <c r="S1161" s="67"/>
      <c r="T1161" s="67"/>
      <c r="U1161" s="67"/>
      <c r="V1161" s="67"/>
      <c r="W1161" s="85" t="str">
        <f aca="false">IF(AH1161="","",N(Q1161)+N(R1161)+N(S1161)+N(T1161)+N(U1161)+N(V1161))</f>
        <v/>
      </c>
      <c r="X1161" s="85" t="str">
        <f aca="false">IF(AH1161="","",P1161-W1161)</f>
        <v/>
      </c>
      <c r="Y1161" s="67"/>
      <c r="Z1161" s="70" t="str">
        <f aca="false">IF(OR(AH1161="",Y1161=""),"",IF(ABS(X1161-Y1161)&lt;=1,"✓ Cuadra","⚠ Diferencia $"&amp;FIXED(X1161-Y1161,0)))</f>
        <v/>
      </c>
      <c r="AA1161" s="72" t="str">
        <f aca="false">IF(AH1161="","",IFERROR(INDEX(C_TIPO,MATCH(C1161&amp;"-P"&amp;MAX(1,COUNTIFS(C_ID,C1161,C_DEFINE,"Sí",C_INICIO,"&lt;="&amp;EOMONTH(B1161,0))),C_CLAVE,0))&amp;"","Sin dato"))</f>
        <v/>
      </c>
      <c r="AB1161" s="71" t="str">
        <f aca="false">IF(AH1161="","",ROUND(MIN(K1161,TOPE_AFP_UF*AJ1161)*AK1161,0))</f>
        <v/>
      </c>
      <c r="AC1161" s="71" t="str">
        <f aca="false">IF(AH1161="","",ROUND(MIN(K1161,TOPE_AFC_UF*AJ1161)*IF(AA1161="Indefinido",AFC_EMP_INDEF,AFC_EMP_PF),0))</f>
        <v/>
      </c>
      <c r="AD1161" s="71" t="str">
        <f aca="false">IF(AH1161="","",ROUND(MIN(K1161,TOPE_AFP_UF*AJ1161)*(MUTUAL_BASICA+MUTUAL_ADIC+SANNA),0))</f>
        <v/>
      </c>
      <c r="AE1161" s="71" t="str">
        <f aca="false">IF(AH1161="","",P1161-N(N1161)+AB1161+AC1161+AD1161)</f>
        <v/>
      </c>
      <c r="AF1161" s="65"/>
      <c r="AG1161" s="64"/>
      <c r="AH1161" s="72" t="str">
        <f aca="false">IF(OR(B1161="",C1161=""),"",C1161&amp;"|"&amp;(YEAR(B1161)*100+MONTH(B1161)))</f>
        <v/>
      </c>
      <c r="AI1161" s="70" t="str">
        <f aca="false">IF(AH1161="","",IF(COUNTIF(L_CLAVE,AH1161)&gt;1,"⚠ Duplicado","OK"))</f>
        <v/>
      </c>
      <c r="AJ1161" s="86" t="str">
        <f aca="false">IF(AH1161="","",IF(SUMPRODUCT(MAX((IND_PER&lt;=B1161)*(IND_UF&lt;&gt;"")*IND_PER))=0,UF_HOY,INDEX(IND_UF,MATCH(SUMPRODUCT(MAX((IND_PER&lt;=B1161)*(IND_UF&lt;&gt;"")*IND_PER)),IND_PER,0))))</f>
        <v/>
      </c>
      <c r="AK1161" s="87" t="str">
        <f aca="false">IF(AH1161="","",IF(COUNTIF(TASA_DESDE,"&lt;="&amp;B1161)=0,INDEX(TASA_EMP,1),INDEX(TASA_EMP,COUNTIF(TASA_DESDE,"&lt;="&amp;B1161))))</f>
        <v/>
      </c>
    </row>
    <row r="1162" customFormat="false" ht="15" hidden="false" customHeight="false" outlineLevel="0" collapsed="false">
      <c r="B1162" s="78"/>
      <c r="C1162" s="64"/>
      <c r="D1162" s="72" t="str">
        <f aca="false">IF(C1162="","",IFERROR(INDEX(T_NOMBRE,MATCH(C1162,T_ID,0)),"⚠ ID no existe"))</f>
        <v/>
      </c>
      <c r="E1162" s="69"/>
      <c r="F1162" s="67"/>
      <c r="G1162" s="67"/>
      <c r="H1162" s="67"/>
      <c r="I1162" s="67"/>
      <c r="J1162" s="67"/>
      <c r="K1162" s="85" t="str">
        <f aca="false">IF(AH1162="","",N(F1162)+N(G1162)+N(H1162)-N(I1162)+N(J1162))</f>
        <v/>
      </c>
      <c r="L1162" s="67"/>
      <c r="M1162" s="67"/>
      <c r="N1162" s="67"/>
      <c r="O1162" s="67"/>
      <c r="P1162" s="85" t="str">
        <f aca="false">IF(AH1162="","",K1162+N(L1162)+N(M1162)+N(N1162)+N(O1162))</f>
        <v/>
      </c>
      <c r="Q1162" s="67"/>
      <c r="R1162" s="67"/>
      <c r="S1162" s="67"/>
      <c r="T1162" s="67"/>
      <c r="U1162" s="67"/>
      <c r="V1162" s="67"/>
      <c r="W1162" s="85" t="str">
        <f aca="false">IF(AH1162="","",N(Q1162)+N(R1162)+N(S1162)+N(T1162)+N(U1162)+N(V1162))</f>
        <v/>
      </c>
      <c r="X1162" s="85" t="str">
        <f aca="false">IF(AH1162="","",P1162-W1162)</f>
        <v/>
      </c>
      <c r="Y1162" s="67"/>
      <c r="Z1162" s="70" t="str">
        <f aca="false">IF(OR(AH1162="",Y1162=""),"",IF(ABS(X1162-Y1162)&lt;=1,"✓ Cuadra","⚠ Diferencia $"&amp;FIXED(X1162-Y1162,0)))</f>
        <v/>
      </c>
      <c r="AA1162" s="72" t="str">
        <f aca="false">IF(AH1162="","",IFERROR(INDEX(C_TIPO,MATCH(C1162&amp;"-P"&amp;MAX(1,COUNTIFS(C_ID,C1162,C_DEFINE,"Sí",C_INICIO,"&lt;="&amp;EOMONTH(B1162,0))),C_CLAVE,0))&amp;"","Sin dato"))</f>
        <v/>
      </c>
      <c r="AB1162" s="71" t="str">
        <f aca="false">IF(AH1162="","",ROUND(MIN(K1162,TOPE_AFP_UF*AJ1162)*AK1162,0))</f>
        <v/>
      </c>
      <c r="AC1162" s="71" t="str">
        <f aca="false">IF(AH1162="","",ROUND(MIN(K1162,TOPE_AFC_UF*AJ1162)*IF(AA1162="Indefinido",AFC_EMP_INDEF,AFC_EMP_PF),0))</f>
        <v/>
      </c>
      <c r="AD1162" s="71" t="str">
        <f aca="false">IF(AH1162="","",ROUND(MIN(K1162,TOPE_AFP_UF*AJ1162)*(MUTUAL_BASICA+MUTUAL_ADIC+SANNA),0))</f>
        <v/>
      </c>
      <c r="AE1162" s="71" t="str">
        <f aca="false">IF(AH1162="","",P1162-N(N1162)+AB1162+AC1162+AD1162)</f>
        <v/>
      </c>
      <c r="AF1162" s="65"/>
      <c r="AG1162" s="64"/>
      <c r="AH1162" s="72" t="str">
        <f aca="false">IF(OR(B1162="",C1162=""),"",C1162&amp;"|"&amp;(YEAR(B1162)*100+MONTH(B1162)))</f>
        <v/>
      </c>
      <c r="AI1162" s="70" t="str">
        <f aca="false">IF(AH1162="","",IF(COUNTIF(L_CLAVE,AH1162)&gt;1,"⚠ Duplicado","OK"))</f>
        <v/>
      </c>
      <c r="AJ1162" s="86" t="str">
        <f aca="false">IF(AH1162="","",IF(SUMPRODUCT(MAX((IND_PER&lt;=B1162)*(IND_UF&lt;&gt;"")*IND_PER))=0,UF_HOY,INDEX(IND_UF,MATCH(SUMPRODUCT(MAX((IND_PER&lt;=B1162)*(IND_UF&lt;&gt;"")*IND_PER)),IND_PER,0))))</f>
        <v/>
      </c>
      <c r="AK1162" s="87" t="str">
        <f aca="false">IF(AH1162="","",IF(COUNTIF(TASA_DESDE,"&lt;="&amp;B1162)=0,INDEX(TASA_EMP,1),INDEX(TASA_EMP,COUNTIF(TASA_DESDE,"&lt;="&amp;B1162))))</f>
        <v/>
      </c>
    </row>
    <row r="1163" customFormat="false" ht="15" hidden="false" customHeight="false" outlineLevel="0" collapsed="false">
      <c r="B1163" s="78"/>
      <c r="C1163" s="64"/>
      <c r="D1163" s="72" t="str">
        <f aca="false">IF(C1163="","",IFERROR(INDEX(T_NOMBRE,MATCH(C1163,T_ID,0)),"⚠ ID no existe"))</f>
        <v/>
      </c>
      <c r="E1163" s="69"/>
      <c r="F1163" s="67"/>
      <c r="G1163" s="67"/>
      <c r="H1163" s="67"/>
      <c r="I1163" s="67"/>
      <c r="J1163" s="67"/>
      <c r="K1163" s="85" t="str">
        <f aca="false">IF(AH1163="","",N(F1163)+N(G1163)+N(H1163)-N(I1163)+N(J1163))</f>
        <v/>
      </c>
      <c r="L1163" s="67"/>
      <c r="M1163" s="67"/>
      <c r="N1163" s="67"/>
      <c r="O1163" s="67"/>
      <c r="P1163" s="85" t="str">
        <f aca="false">IF(AH1163="","",K1163+N(L1163)+N(M1163)+N(N1163)+N(O1163))</f>
        <v/>
      </c>
      <c r="Q1163" s="67"/>
      <c r="R1163" s="67"/>
      <c r="S1163" s="67"/>
      <c r="T1163" s="67"/>
      <c r="U1163" s="67"/>
      <c r="V1163" s="67"/>
      <c r="W1163" s="85" t="str">
        <f aca="false">IF(AH1163="","",N(Q1163)+N(R1163)+N(S1163)+N(T1163)+N(U1163)+N(V1163))</f>
        <v/>
      </c>
      <c r="X1163" s="85" t="str">
        <f aca="false">IF(AH1163="","",P1163-W1163)</f>
        <v/>
      </c>
      <c r="Y1163" s="67"/>
      <c r="Z1163" s="70" t="str">
        <f aca="false">IF(OR(AH1163="",Y1163=""),"",IF(ABS(X1163-Y1163)&lt;=1,"✓ Cuadra","⚠ Diferencia $"&amp;FIXED(X1163-Y1163,0)))</f>
        <v/>
      </c>
      <c r="AA1163" s="72" t="str">
        <f aca="false">IF(AH1163="","",IFERROR(INDEX(C_TIPO,MATCH(C1163&amp;"-P"&amp;MAX(1,COUNTIFS(C_ID,C1163,C_DEFINE,"Sí",C_INICIO,"&lt;="&amp;EOMONTH(B1163,0))),C_CLAVE,0))&amp;"","Sin dato"))</f>
        <v/>
      </c>
      <c r="AB1163" s="71" t="str">
        <f aca="false">IF(AH1163="","",ROUND(MIN(K1163,TOPE_AFP_UF*AJ1163)*AK1163,0))</f>
        <v/>
      </c>
      <c r="AC1163" s="71" t="str">
        <f aca="false">IF(AH1163="","",ROUND(MIN(K1163,TOPE_AFC_UF*AJ1163)*IF(AA1163="Indefinido",AFC_EMP_INDEF,AFC_EMP_PF),0))</f>
        <v/>
      </c>
      <c r="AD1163" s="71" t="str">
        <f aca="false">IF(AH1163="","",ROUND(MIN(K1163,TOPE_AFP_UF*AJ1163)*(MUTUAL_BASICA+MUTUAL_ADIC+SANNA),0))</f>
        <v/>
      </c>
      <c r="AE1163" s="71" t="str">
        <f aca="false">IF(AH1163="","",P1163-N(N1163)+AB1163+AC1163+AD1163)</f>
        <v/>
      </c>
      <c r="AF1163" s="65"/>
      <c r="AG1163" s="64"/>
      <c r="AH1163" s="72" t="str">
        <f aca="false">IF(OR(B1163="",C1163=""),"",C1163&amp;"|"&amp;(YEAR(B1163)*100+MONTH(B1163)))</f>
        <v/>
      </c>
      <c r="AI1163" s="70" t="str">
        <f aca="false">IF(AH1163="","",IF(COUNTIF(L_CLAVE,AH1163)&gt;1,"⚠ Duplicado","OK"))</f>
        <v/>
      </c>
      <c r="AJ1163" s="86" t="str">
        <f aca="false">IF(AH1163="","",IF(SUMPRODUCT(MAX((IND_PER&lt;=B1163)*(IND_UF&lt;&gt;"")*IND_PER))=0,UF_HOY,INDEX(IND_UF,MATCH(SUMPRODUCT(MAX((IND_PER&lt;=B1163)*(IND_UF&lt;&gt;"")*IND_PER)),IND_PER,0))))</f>
        <v/>
      </c>
      <c r="AK1163" s="87" t="str">
        <f aca="false">IF(AH1163="","",IF(COUNTIF(TASA_DESDE,"&lt;="&amp;B1163)=0,INDEX(TASA_EMP,1),INDEX(TASA_EMP,COUNTIF(TASA_DESDE,"&lt;="&amp;B1163))))</f>
        <v/>
      </c>
    </row>
    <row r="1164" customFormat="false" ht="15" hidden="false" customHeight="false" outlineLevel="0" collapsed="false">
      <c r="B1164" s="78"/>
      <c r="C1164" s="64"/>
      <c r="D1164" s="72" t="str">
        <f aca="false">IF(C1164="","",IFERROR(INDEX(T_NOMBRE,MATCH(C1164,T_ID,0)),"⚠ ID no existe"))</f>
        <v/>
      </c>
      <c r="E1164" s="69"/>
      <c r="F1164" s="67"/>
      <c r="G1164" s="67"/>
      <c r="H1164" s="67"/>
      <c r="I1164" s="67"/>
      <c r="J1164" s="67"/>
      <c r="K1164" s="85" t="str">
        <f aca="false">IF(AH1164="","",N(F1164)+N(G1164)+N(H1164)-N(I1164)+N(J1164))</f>
        <v/>
      </c>
      <c r="L1164" s="67"/>
      <c r="M1164" s="67"/>
      <c r="N1164" s="67"/>
      <c r="O1164" s="67"/>
      <c r="P1164" s="85" t="str">
        <f aca="false">IF(AH1164="","",K1164+N(L1164)+N(M1164)+N(N1164)+N(O1164))</f>
        <v/>
      </c>
      <c r="Q1164" s="67"/>
      <c r="R1164" s="67"/>
      <c r="S1164" s="67"/>
      <c r="T1164" s="67"/>
      <c r="U1164" s="67"/>
      <c r="V1164" s="67"/>
      <c r="W1164" s="85" t="str">
        <f aca="false">IF(AH1164="","",N(Q1164)+N(R1164)+N(S1164)+N(T1164)+N(U1164)+N(V1164))</f>
        <v/>
      </c>
      <c r="X1164" s="85" t="str">
        <f aca="false">IF(AH1164="","",P1164-W1164)</f>
        <v/>
      </c>
      <c r="Y1164" s="67"/>
      <c r="Z1164" s="70" t="str">
        <f aca="false">IF(OR(AH1164="",Y1164=""),"",IF(ABS(X1164-Y1164)&lt;=1,"✓ Cuadra","⚠ Diferencia $"&amp;FIXED(X1164-Y1164,0)))</f>
        <v/>
      </c>
      <c r="AA1164" s="72" t="str">
        <f aca="false">IF(AH1164="","",IFERROR(INDEX(C_TIPO,MATCH(C1164&amp;"-P"&amp;MAX(1,COUNTIFS(C_ID,C1164,C_DEFINE,"Sí",C_INICIO,"&lt;="&amp;EOMONTH(B1164,0))),C_CLAVE,0))&amp;"","Sin dato"))</f>
        <v/>
      </c>
      <c r="AB1164" s="71" t="str">
        <f aca="false">IF(AH1164="","",ROUND(MIN(K1164,TOPE_AFP_UF*AJ1164)*AK1164,0))</f>
        <v/>
      </c>
      <c r="AC1164" s="71" t="str">
        <f aca="false">IF(AH1164="","",ROUND(MIN(K1164,TOPE_AFC_UF*AJ1164)*IF(AA1164="Indefinido",AFC_EMP_INDEF,AFC_EMP_PF),0))</f>
        <v/>
      </c>
      <c r="AD1164" s="71" t="str">
        <f aca="false">IF(AH1164="","",ROUND(MIN(K1164,TOPE_AFP_UF*AJ1164)*(MUTUAL_BASICA+MUTUAL_ADIC+SANNA),0))</f>
        <v/>
      </c>
      <c r="AE1164" s="71" t="str">
        <f aca="false">IF(AH1164="","",P1164-N(N1164)+AB1164+AC1164+AD1164)</f>
        <v/>
      </c>
      <c r="AF1164" s="65"/>
      <c r="AG1164" s="64"/>
      <c r="AH1164" s="72" t="str">
        <f aca="false">IF(OR(B1164="",C1164=""),"",C1164&amp;"|"&amp;(YEAR(B1164)*100+MONTH(B1164)))</f>
        <v/>
      </c>
      <c r="AI1164" s="70" t="str">
        <f aca="false">IF(AH1164="","",IF(COUNTIF(L_CLAVE,AH1164)&gt;1,"⚠ Duplicado","OK"))</f>
        <v/>
      </c>
      <c r="AJ1164" s="86" t="str">
        <f aca="false">IF(AH1164="","",IF(SUMPRODUCT(MAX((IND_PER&lt;=B1164)*(IND_UF&lt;&gt;"")*IND_PER))=0,UF_HOY,INDEX(IND_UF,MATCH(SUMPRODUCT(MAX((IND_PER&lt;=B1164)*(IND_UF&lt;&gt;"")*IND_PER)),IND_PER,0))))</f>
        <v/>
      </c>
      <c r="AK1164" s="87" t="str">
        <f aca="false">IF(AH1164="","",IF(COUNTIF(TASA_DESDE,"&lt;="&amp;B1164)=0,INDEX(TASA_EMP,1),INDEX(TASA_EMP,COUNTIF(TASA_DESDE,"&lt;="&amp;B1164))))</f>
        <v/>
      </c>
    </row>
    <row r="1165" customFormat="false" ht="15" hidden="false" customHeight="false" outlineLevel="0" collapsed="false">
      <c r="B1165" s="78"/>
      <c r="C1165" s="64"/>
      <c r="D1165" s="72" t="str">
        <f aca="false">IF(C1165="","",IFERROR(INDEX(T_NOMBRE,MATCH(C1165,T_ID,0)),"⚠ ID no existe"))</f>
        <v/>
      </c>
      <c r="E1165" s="69"/>
      <c r="F1165" s="67"/>
      <c r="G1165" s="67"/>
      <c r="H1165" s="67"/>
      <c r="I1165" s="67"/>
      <c r="J1165" s="67"/>
      <c r="K1165" s="85" t="str">
        <f aca="false">IF(AH1165="","",N(F1165)+N(G1165)+N(H1165)-N(I1165)+N(J1165))</f>
        <v/>
      </c>
      <c r="L1165" s="67"/>
      <c r="M1165" s="67"/>
      <c r="N1165" s="67"/>
      <c r="O1165" s="67"/>
      <c r="P1165" s="85" t="str">
        <f aca="false">IF(AH1165="","",K1165+N(L1165)+N(M1165)+N(N1165)+N(O1165))</f>
        <v/>
      </c>
      <c r="Q1165" s="67"/>
      <c r="R1165" s="67"/>
      <c r="S1165" s="67"/>
      <c r="T1165" s="67"/>
      <c r="U1165" s="67"/>
      <c r="V1165" s="67"/>
      <c r="W1165" s="85" t="str">
        <f aca="false">IF(AH1165="","",N(Q1165)+N(R1165)+N(S1165)+N(T1165)+N(U1165)+N(V1165))</f>
        <v/>
      </c>
      <c r="X1165" s="85" t="str">
        <f aca="false">IF(AH1165="","",P1165-W1165)</f>
        <v/>
      </c>
      <c r="Y1165" s="67"/>
      <c r="Z1165" s="70" t="str">
        <f aca="false">IF(OR(AH1165="",Y1165=""),"",IF(ABS(X1165-Y1165)&lt;=1,"✓ Cuadra","⚠ Diferencia $"&amp;FIXED(X1165-Y1165,0)))</f>
        <v/>
      </c>
      <c r="AA1165" s="72" t="str">
        <f aca="false">IF(AH1165="","",IFERROR(INDEX(C_TIPO,MATCH(C1165&amp;"-P"&amp;MAX(1,COUNTIFS(C_ID,C1165,C_DEFINE,"Sí",C_INICIO,"&lt;="&amp;EOMONTH(B1165,0))),C_CLAVE,0))&amp;"","Sin dato"))</f>
        <v/>
      </c>
      <c r="AB1165" s="71" t="str">
        <f aca="false">IF(AH1165="","",ROUND(MIN(K1165,TOPE_AFP_UF*AJ1165)*AK1165,0))</f>
        <v/>
      </c>
      <c r="AC1165" s="71" t="str">
        <f aca="false">IF(AH1165="","",ROUND(MIN(K1165,TOPE_AFC_UF*AJ1165)*IF(AA1165="Indefinido",AFC_EMP_INDEF,AFC_EMP_PF),0))</f>
        <v/>
      </c>
      <c r="AD1165" s="71" t="str">
        <f aca="false">IF(AH1165="","",ROUND(MIN(K1165,TOPE_AFP_UF*AJ1165)*(MUTUAL_BASICA+MUTUAL_ADIC+SANNA),0))</f>
        <v/>
      </c>
      <c r="AE1165" s="71" t="str">
        <f aca="false">IF(AH1165="","",P1165-N(N1165)+AB1165+AC1165+AD1165)</f>
        <v/>
      </c>
      <c r="AF1165" s="65"/>
      <c r="AG1165" s="64"/>
      <c r="AH1165" s="72" t="str">
        <f aca="false">IF(OR(B1165="",C1165=""),"",C1165&amp;"|"&amp;(YEAR(B1165)*100+MONTH(B1165)))</f>
        <v/>
      </c>
      <c r="AI1165" s="70" t="str">
        <f aca="false">IF(AH1165="","",IF(COUNTIF(L_CLAVE,AH1165)&gt;1,"⚠ Duplicado","OK"))</f>
        <v/>
      </c>
      <c r="AJ1165" s="86" t="str">
        <f aca="false">IF(AH1165="","",IF(SUMPRODUCT(MAX((IND_PER&lt;=B1165)*(IND_UF&lt;&gt;"")*IND_PER))=0,UF_HOY,INDEX(IND_UF,MATCH(SUMPRODUCT(MAX((IND_PER&lt;=B1165)*(IND_UF&lt;&gt;"")*IND_PER)),IND_PER,0))))</f>
        <v/>
      </c>
      <c r="AK1165" s="87" t="str">
        <f aca="false">IF(AH1165="","",IF(COUNTIF(TASA_DESDE,"&lt;="&amp;B1165)=0,INDEX(TASA_EMP,1),INDEX(TASA_EMP,COUNTIF(TASA_DESDE,"&lt;="&amp;B1165))))</f>
        <v/>
      </c>
    </row>
    <row r="1166" customFormat="false" ht="15" hidden="false" customHeight="false" outlineLevel="0" collapsed="false">
      <c r="B1166" s="78"/>
      <c r="C1166" s="64"/>
      <c r="D1166" s="72" t="str">
        <f aca="false">IF(C1166="","",IFERROR(INDEX(T_NOMBRE,MATCH(C1166,T_ID,0)),"⚠ ID no existe"))</f>
        <v/>
      </c>
      <c r="E1166" s="69"/>
      <c r="F1166" s="67"/>
      <c r="G1166" s="67"/>
      <c r="H1166" s="67"/>
      <c r="I1166" s="67"/>
      <c r="J1166" s="67"/>
      <c r="K1166" s="85" t="str">
        <f aca="false">IF(AH1166="","",N(F1166)+N(G1166)+N(H1166)-N(I1166)+N(J1166))</f>
        <v/>
      </c>
      <c r="L1166" s="67"/>
      <c r="M1166" s="67"/>
      <c r="N1166" s="67"/>
      <c r="O1166" s="67"/>
      <c r="P1166" s="85" t="str">
        <f aca="false">IF(AH1166="","",K1166+N(L1166)+N(M1166)+N(N1166)+N(O1166))</f>
        <v/>
      </c>
      <c r="Q1166" s="67"/>
      <c r="R1166" s="67"/>
      <c r="S1166" s="67"/>
      <c r="T1166" s="67"/>
      <c r="U1166" s="67"/>
      <c r="V1166" s="67"/>
      <c r="W1166" s="85" t="str">
        <f aca="false">IF(AH1166="","",N(Q1166)+N(R1166)+N(S1166)+N(T1166)+N(U1166)+N(V1166))</f>
        <v/>
      </c>
      <c r="X1166" s="85" t="str">
        <f aca="false">IF(AH1166="","",P1166-W1166)</f>
        <v/>
      </c>
      <c r="Y1166" s="67"/>
      <c r="Z1166" s="70" t="str">
        <f aca="false">IF(OR(AH1166="",Y1166=""),"",IF(ABS(X1166-Y1166)&lt;=1,"✓ Cuadra","⚠ Diferencia $"&amp;FIXED(X1166-Y1166,0)))</f>
        <v/>
      </c>
      <c r="AA1166" s="72" t="str">
        <f aca="false">IF(AH1166="","",IFERROR(INDEX(C_TIPO,MATCH(C1166&amp;"-P"&amp;MAX(1,COUNTIFS(C_ID,C1166,C_DEFINE,"Sí",C_INICIO,"&lt;="&amp;EOMONTH(B1166,0))),C_CLAVE,0))&amp;"","Sin dato"))</f>
        <v/>
      </c>
      <c r="AB1166" s="71" t="str">
        <f aca="false">IF(AH1166="","",ROUND(MIN(K1166,TOPE_AFP_UF*AJ1166)*AK1166,0))</f>
        <v/>
      </c>
      <c r="AC1166" s="71" t="str">
        <f aca="false">IF(AH1166="","",ROUND(MIN(K1166,TOPE_AFC_UF*AJ1166)*IF(AA1166="Indefinido",AFC_EMP_INDEF,AFC_EMP_PF),0))</f>
        <v/>
      </c>
      <c r="AD1166" s="71" t="str">
        <f aca="false">IF(AH1166="","",ROUND(MIN(K1166,TOPE_AFP_UF*AJ1166)*(MUTUAL_BASICA+MUTUAL_ADIC+SANNA),0))</f>
        <v/>
      </c>
      <c r="AE1166" s="71" t="str">
        <f aca="false">IF(AH1166="","",P1166-N(N1166)+AB1166+AC1166+AD1166)</f>
        <v/>
      </c>
      <c r="AF1166" s="65"/>
      <c r="AG1166" s="64"/>
      <c r="AH1166" s="72" t="str">
        <f aca="false">IF(OR(B1166="",C1166=""),"",C1166&amp;"|"&amp;(YEAR(B1166)*100+MONTH(B1166)))</f>
        <v/>
      </c>
      <c r="AI1166" s="70" t="str">
        <f aca="false">IF(AH1166="","",IF(COUNTIF(L_CLAVE,AH1166)&gt;1,"⚠ Duplicado","OK"))</f>
        <v/>
      </c>
      <c r="AJ1166" s="86" t="str">
        <f aca="false">IF(AH1166="","",IF(SUMPRODUCT(MAX((IND_PER&lt;=B1166)*(IND_UF&lt;&gt;"")*IND_PER))=0,UF_HOY,INDEX(IND_UF,MATCH(SUMPRODUCT(MAX((IND_PER&lt;=B1166)*(IND_UF&lt;&gt;"")*IND_PER)),IND_PER,0))))</f>
        <v/>
      </c>
      <c r="AK1166" s="87" t="str">
        <f aca="false">IF(AH1166="","",IF(COUNTIF(TASA_DESDE,"&lt;="&amp;B1166)=0,INDEX(TASA_EMP,1),INDEX(TASA_EMP,COUNTIF(TASA_DESDE,"&lt;="&amp;B1166))))</f>
        <v/>
      </c>
    </row>
    <row r="1167" customFormat="false" ht="15" hidden="false" customHeight="false" outlineLevel="0" collapsed="false">
      <c r="B1167" s="78"/>
      <c r="C1167" s="64"/>
      <c r="D1167" s="72" t="str">
        <f aca="false">IF(C1167="","",IFERROR(INDEX(T_NOMBRE,MATCH(C1167,T_ID,0)),"⚠ ID no existe"))</f>
        <v/>
      </c>
      <c r="E1167" s="69"/>
      <c r="F1167" s="67"/>
      <c r="G1167" s="67"/>
      <c r="H1167" s="67"/>
      <c r="I1167" s="67"/>
      <c r="J1167" s="67"/>
      <c r="K1167" s="85" t="str">
        <f aca="false">IF(AH1167="","",N(F1167)+N(G1167)+N(H1167)-N(I1167)+N(J1167))</f>
        <v/>
      </c>
      <c r="L1167" s="67"/>
      <c r="M1167" s="67"/>
      <c r="N1167" s="67"/>
      <c r="O1167" s="67"/>
      <c r="P1167" s="85" t="str">
        <f aca="false">IF(AH1167="","",K1167+N(L1167)+N(M1167)+N(N1167)+N(O1167))</f>
        <v/>
      </c>
      <c r="Q1167" s="67"/>
      <c r="R1167" s="67"/>
      <c r="S1167" s="67"/>
      <c r="T1167" s="67"/>
      <c r="U1167" s="67"/>
      <c r="V1167" s="67"/>
      <c r="W1167" s="85" t="str">
        <f aca="false">IF(AH1167="","",N(Q1167)+N(R1167)+N(S1167)+N(T1167)+N(U1167)+N(V1167))</f>
        <v/>
      </c>
      <c r="X1167" s="85" t="str">
        <f aca="false">IF(AH1167="","",P1167-W1167)</f>
        <v/>
      </c>
      <c r="Y1167" s="67"/>
      <c r="Z1167" s="70" t="str">
        <f aca="false">IF(OR(AH1167="",Y1167=""),"",IF(ABS(X1167-Y1167)&lt;=1,"✓ Cuadra","⚠ Diferencia $"&amp;FIXED(X1167-Y1167,0)))</f>
        <v/>
      </c>
      <c r="AA1167" s="72" t="str">
        <f aca="false">IF(AH1167="","",IFERROR(INDEX(C_TIPO,MATCH(C1167&amp;"-P"&amp;MAX(1,COUNTIFS(C_ID,C1167,C_DEFINE,"Sí",C_INICIO,"&lt;="&amp;EOMONTH(B1167,0))),C_CLAVE,0))&amp;"","Sin dato"))</f>
        <v/>
      </c>
      <c r="AB1167" s="71" t="str">
        <f aca="false">IF(AH1167="","",ROUND(MIN(K1167,TOPE_AFP_UF*AJ1167)*AK1167,0))</f>
        <v/>
      </c>
      <c r="AC1167" s="71" t="str">
        <f aca="false">IF(AH1167="","",ROUND(MIN(K1167,TOPE_AFC_UF*AJ1167)*IF(AA1167="Indefinido",AFC_EMP_INDEF,AFC_EMP_PF),0))</f>
        <v/>
      </c>
      <c r="AD1167" s="71" t="str">
        <f aca="false">IF(AH1167="","",ROUND(MIN(K1167,TOPE_AFP_UF*AJ1167)*(MUTUAL_BASICA+MUTUAL_ADIC+SANNA),0))</f>
        <v/>
      </c>
      <c r="AE1167" s="71" t="str">
        <f aca="false">IF(AH1167="","",P1167-N(N1167)+AB1167+AC1167+AD1167)</f>
        <v/>
      </c>
      <c r="AF1167" s="65"/>
      <c r="AG1167" s="64"/>
      <c r="AH1167" s="72" t="str">
        <f aca="false">IF(OR(B1167="",C1167=""),"",C1167&amp;"|"&amp;(YEAR(B1167)*100+MONTH(B1167)))</f>
        <v/>
      </c>
      <c r="AI1167" s="70" t="str">
        <f aca="false">IF(AH1167="","",IF(COUNTIF(L_CLAVE,AH1167)&gt;1,"⚠ Duplicado","OK"))</f>
        <v/>
      </c>
      <c r="AJ1167" s="86" t="str">
        <f aca="false">IF(AH1167="","",IF(SUMPRODUCT(MAX((IND_PER&lt;=B1167)*(IND_UF&lt;&gt;"")*IND_PER))=0,UF_HOY,INDEX(IND_UF,MATCH(SUMPRODUCT(MAX((IND_PER&lt;=B1167)*(IND_UF&lt;&gt;"")*IND_PER)),IND_PER,0))))</f>
        <v/>
      </c>
      <c r="AK1167" s="87" t="str">
        <f aca="false">IF(AH1167="","",IF(COUNTIF(TASA_DESDE,"&lt;="&amp;B1167)=0,INDEX(TASA_EMP,1),INDEX(TASA_EMP,COUNTIF(TASA_DESDE,"&lt;="&amp;B1167))))</f>
        <v/>
      </c>
    </row>
    <row r="1168" customFormat="false" ht="15" hidden="false" customHeight="false" outlineLevel="0" collapsed="false">
      <c r="B1168" s="78"/>
      <c r="C1168" s="64"/>
      <c r="D1168" s="72" t="str">
        <f aca="false">IF(C1168="","",IFERROR(INDEX(T_NOMBRE,MATCH(C1168,T_ID,0)),"⚠ ID no existe"))</f>
        <v/>
      </c>
      <c r="E1168" s="69"/>
      <c r="F1168" s="67"/>
      <c r="G1168" s="67"/>
      <c r="H1168" s="67"/>
      <c r="I1168" s="67"/>
      <c r="J1168" s="67"/>
      <c r="K1168" s="85" t="str">
        <f aca="false">IF(AH1168="","",N(F1168)+N(G1168)+N(H1168)-N(I1168)+N(J1168))</f>
        <v/>
      </c>
      <c r="L1168" s="67"/>
      <c r="M1168" s="67"/>
      <c r="N1168" s="67"/>
      <c r="O1168" s="67"/>
      <c r="P1168" s="85" t="str">
        <f aca="false">IF(AH1168="","",K1168+N(L1168)+N(M1168)+N(N1168)+N(O1168))</f>
        <v/>
      </c>
      <c r="Q1168" s="67"/>
      <c r="R1168" s="67"/>
      <c r="S1168" s="67"/>
      <c r="T1168" s="67"/>
      <c r="U1168" s="67"/>
      <c r="V1168" s="67"/>
      <c r="W1168" s="85" t="str">
        <f aca="false">IF(AH1168="","",N(Q1168)+N(R1168)+N(S1168)+N(T1168)+N(U1168)+N(V1168))</f>
        <v/>
      </c>
      <c r="X1168" s="85" t="str">
        <f aca="false">IF(AH1168="","",P1168-W1168)</f>
        <v/>
      </c>
      <c r="Y1168" s="67"/>
      <c r="Z1168" s="70" t="str">
        <f aca="false">IF(OR(AH1168="",Y1168=""),"",IF(ABS(X1168-Y1168)&lt;=1,"✓ Cuadra","⚠ Diferencia $"&amp;FIXED(X1168-Y1168,0)))</f>
        <v/>
      </c>
      <c r="AA1168" s="72" t="str">
        <f aca="false">IF(AH1168="","",IFERROR(INDEX(C_TIPO,MATCH(C1168&amp;"-P"&amp;MAX(1,COUNTIFS(C_ID,C1168,C_DEFINE,"Sí",C_INICIO,"&lt;="&amp;EOMONTH(B1168,0))),C_CLAVE,0))&amp;"","Sin dato"))</f>
        <v/>
      </c>
      <c r="AB1168" s="71" t="str">
        <f aca="false">IF(AH1168="","",ROUND(MIN(K1168,TOPE_AFP_UF*AJ1168)*AK1168,0))</f>
        <v/>
      </c>
      <c r="AC1168" s="71" t="str">
        <f aca="false">IF(AH1168="","",ROUND(MIN(K1168,TOPE_AFC_UF*AJ1168)*IF(AA1168="Indefinido",AFC_EMP_INDEF,AFC_EMP_PF),0))</f>
        <v/>
      </c>
      <c r="AD1168" s="71" t="str">
        <f aca="false">IF(AH1168="","",ROUND(MIN(K1168,TOPE_AFP_UF*AJ1168)*(MUTUAL_BASICA+MUTUAL_ADIC+SANNA),0))</f>
        <v/>
      </c>
      <c r="AE1168" s="71" t="str">
        <f aca="false">IF(AH1168="","",P1168-N(N1168)+AB1168+AC1168+AD1168)</f>
        <v/>
      </c>
      <c r="AF1168" s="65"/>
      <c r="AG1168" s="64"/>
      <c r="AH1168" s="72" t="str">
        <f aca="false">IF(OR(B1168="",C1168=""),"",C1168&amp;"|"&amp;(YEAR(B1168)*100+MONTH(B1168)))</f>
        <v/>
      </c>
      <c r="AI1168" s="70" t="str">
        <f aca="false">IF(AH1168="","",IF(COUNTIF(L_CLAVE,AH1168)&gt;1,"⚠ Duplicado","OK"))</f>
        <v/>
      </c>
      <c r="AJ1168" s="86" t="str">
        <f aca="false">IF(AH1168="","",IF(SUMPRODUCT(MAX((IND_PER&lt;=B1168)*(IND_UF&lt;&gt;"")*IND_PER))=0,UF_HOY,INDEX(IND_UF,MATCH(SUMPRODUCT(MAX((IND_PER&lt;=B1168)*(IND_UF&lt;&gt;"")*IND_PER)),IND_PER,0))))</f>
        <v/>
      </c>
      <c r="AK1168" s="87" t="str">
        <f aca="false">IF(AH1168="","",IF(COUNTIF(TASA_DESDE,"&lt;="&amp;B1168)=0,INDEX(TASA_EMP,1),INDEX(TASA_EMP,COUNTIF(TASA_DESDE,"&lt;="&amp;B1168))))</f>
        <v/>
      </c>
    </row>
    <row r="1169" customFormat="false" ht="15" hidden="false" customHeight="false" outlineLevel="0" collapsed="false">
      <c r="B1169" s="78"/>
      <c r="C1169" s="64"/>
      <c r="D1169" s="72" t="str">
        <f aca="false">IF(C1169="","",IFERROR(INDEX(T_NOMBRE,MATCH(C1169,T_ID,0)),"⚠ ID no existe"))</f>
        <v/>
      </c>
      <c r="E1169" s="69"/>
      <c r="F1169" s="67"/>
      <c r="G1169" s="67"/>
      <c r="H1169" s="67"/>
      <c r="I1169" s="67"/>
      <c r="J1169" s="67"/>
      <c r="K1169" s="85" t="str">
        <f aca="false">IF(AH1169="","",N(F1169)+N(G1169)+N(H1169)-N(I1169)+N(J1169))</f>
        <v/>
      </c>
      <c r="L1169" s="67"/>
      <c r="M1169" s="67"/>
      <c r="N1169" s="67"/>
      <c r="O1169" s="67"/>
      <c r="P1169" s="85" t="str">
        <f aca="false">IF(AH1169="","",K1169+N(L1169)+N(M1169)+N(N1169)+N(O1169))</f>
        <v/>
      </c>
      <c r="Q1169" s="67"/>
      <c r="R1169" s="67"/>
      <c r="S1169" s="67"/>
      <c r="T1169" s="67"/>
      <c r="U1169" s="67"/>
      <c r="V1169" s="67"/>
      <c r="W1169" s="85" t="str">
        <f aca="false">IF(AH1169="","",N(Q1169)+N(R1169)+N(S1169)+N(T1169)+N(U1169)+N(V1169))</f>
        <v/>
      </c>
      <c r="X1169" s="85" t="str">
        <f aca="false">IF(AH1169="","",P1169-W1169)</f>
        <v/>
      </c>
      <c r="Y1169" s="67"/>
      <c r="Z1169" s="70" t="str">
        <f aca="false">IF(OR(AH1169="",Y1169=""),"",IF(ABS(X1169-Y1169)&lt;=1,"✓ Cuadra","⚠ Diferencia $"&amp;FIXED(X1169-Y1169,0)))</f>
        <v/>
      </c>
      <c r="AA1169" s="72" t="str">
        <f aca="false">IF(AH1169="","",IFERROR(INDEX(C_TIPO,MATCH(C1169&amp;"-P"&amp;MAX(1,COUNTIFS(C_ID,C1169,C_DEFINE,"Sí",C_INICIO,"&lt;="&amp;EOMONTH(B1169,0))),C_CLAVE,0))&amp;"","Sin dato"))</f>
        <v/>
      </c>
      <c r="AB1169" s="71" t="str">
        <f aca="false">IF(AH1169="","",ROUND(MIN(K1169,TOPE_AFP_UF*AJ1169)*AK1169,0))</f>
        <v/>
      </c>
      <c r="AC1169" s="71" t="str">
        <f aca="false">IF(AH1169="","",ROUND(MIN(K1169,TOPE_AFC_UF*AJ1169)*IF(AA1169="Indefinido",AFC_EMP_INDEF,AFC_EMP_PF),0))</f>
        <v/>
      </c>
      <c r="AD1169" s="71" t="str">
        <f aca="false">IF(AH1169="","",ROUND(MIN(K1169,TOPE_AFP_UF*AJ1169)*(MUTUAL_BASICA+MUTUAL_ADIC+SANNA),0))</f>
        <v/>
      </c>
      <c r="AE1169" s="71" t="str">
        <f aca="false">IF(AH1169="","",P1169-N(N1169)+AB1169+AC1169+AD1169)</f>
        <v/>
      </c>
      <c r="AF1169" s="65"/>
      <c r="AG1169" s="64"/>
      <c r="AH1169" s="72" t="str">
        <f aca="false">IF(OR(B1169="",C1169=""),"",C1169&amp;"|"&amp;(YEAR(B1169)*100+MONTH(B1169)))</f>
        <v/>
      </c>
      <c r="AI1169" s="70" t="str">
        <f aca="false">IF(AH1169="","",IF(COUNTIF(L_CLAVE,AH1169)&gt;1,"⚠ Duplicado","OK"))</f>
        <v/>
      </c>
      <c r="AJ1169" s="86" t="str">
        <f aca="false">IF(AH1169="","",IF(SUMPRODUCT(MAX((IND_PER&lt;=B1169)*(IND_UF&lt;&gt;"")*IND_PER))=0,UF_HOY,INDEX(IND_UF,MATCH(SUMPRODUCT(MAX((IND_PER&lt;=B1169)*(IND_UF&lt;&gt;"")*IND_PER)),IND_PER,0))))</f>
        <v/>
      </c>
      <c r="AK1169" s="87" t="str">
        <f aca="false">IF(AH1169="","",IF(COUNTIF(TASA_DESDE,"&lt;="&amp;B1169)=0,INDEX(TASA_EMP,1),INDEX(TASA_EMP,COUNTIF(TASA_DESDE,"&lt;="&amp;B1169))))</f>
        <v/>
      </c>
    </row>
    <row r="1170" customFormat="false" ht="15" hidden="false" customHeight="false" outlineLevel="0" collapsed="false">
      <c r="B1170" s="78"/>
      <c r="C1170" s="64"/>
      <c r="D1170" s="72" t="str">
        <f aca="false">IF(C1170="","",IFERROR(INDEX(T_NOMBRE,MATCH(C1170,T_ID,0)),"⚠ ID no existe"))</f>
        <v/>
      </c>
      <c r="E1170" s="69"/>
      <c r="F1170" s="67"/>
      <c r="G1170" s="67"/>
      <c r="H1170" s="67"/>
      <c r="I1170" s="67"/>
      <c r="J1170" s="67"/>
      <c r="K1170" s="85" t="str">
        <f aca="false">IF(AH1170="","",N(F1170)+N(G1170)+N(H1170)-N(I1170)+N(J1170))</f>
        <v/>
      </c>
      <c r="L1170" s="67"/>
      <c r="M1170" s="67"/>
      <c r="N1170" s="67"/>
      <c r="O1170" s="67"/>
      <c r="P1170" s="85" t="str">
        <f aca="false">IF(AH1170="","",K1170+N(L1170)+N(M1170)+N(N1170)+N(O1170))</f>
        <v/>
      </c>
      <c r="Q1170" s="67"/>
      <c r="R1170" s="67"/>
      <c r="S1170" s="67"/>
      <c r="T1170" s="67"/>
      <c r="U1170" s="67"/>
      <c r="V1170" s="67"/>
      <c r="W1170" s="85" t="str">
        <f aca="false">IF(AH1170="","",N(Q1170)+N(R1170)+N(S1170)+N(T1170)+N(U1170)+N(V1170))</f>
        <v/>
      </c>
      <c r="X1170" s="85" t="str">
        <f aca="false">IF(AH1170="","",P1170-W1170)</f>
        <v/>
      </c>
      <c r="Y1170" s="67"/>
      <c r="Z1170" s="70" t="str">
        <f aca="false">IF(OR(AH1170="",Y1170=""),"",IF(ABS(X1170-Y1170)&lt;=1,"✓ Cuadra","⚠ Diferencia $"&amp;FIXED(X1170-Y1170,0)))</f>
        <v/>
      </c>
      <c r="AA1170" s="72" t="str">
        <f aca="false">IF(AH1170="","",IFERROR(INDEX(C_TIPO,MATCH(C1170&amp;"-P"&amp;MAX(1,COUNTIFS(C_ID,C1170,C_DEFINE,"Sí",C_INICIO,"&lt;="&amp;EOMONTH(B1170,0))),C_CLAVE,0))&amp;"","Sin dato"))</f>
        <v/>
      </c>
      <c r="AB1170" s="71" t="str">
        <f aca="false">IF(AH1170="","",ROUND(MIN(K1170,TOPE_AFP_UF*AJ1170)*AK1170,0))</f>
        <v/>
      </c>
      <c r="AC1170" s="71" t="str">
        <f aca="false">IF(AH1170="","",ROUND(MIN(K1170,TOPE_AFC_UF*AJ1170)*IF(AA1170="Indefinido",AFC_EMP_INDEF,AFC_EMP_PF),0))</f>
        <v/>
      </c>
      <c r="AD1170" s="71" t="str">
        <f aca="false">IF(AH1170="","",ROUND(MIN(K1170,TOPE_AFP_UF*AJ1170)*(MUTUAL_BASICA+MUTUAL_ADIC+SANNA),0))</f>
        <v/>
      </c>
      <c r="AE1170" s="71" t="str">
        <f aca="false">IF(AH1170="","",P1170-N(N1170)+AB1170+AC1170+AD1170)</f>
        <v/>
      </c>
      <c r="AF1170" s="65"/>
      <c r="AG1170" s="64"/>
      <c r="AH1170" s="72" t="str">
        <f aca="false">IF(OR(B1170="",C1170=""),"",C1170&amp;"|"&amp;(YEAR(B1170)*100+MONTH(B1170)))</f>
        <v/>
      </c>
      <c r="AI1170" s="70" t="str">
        <f aca="false">IF(AH1170="","",IF(COUNTIF(L_CLAVE,AH1170)&gt;1,"⚠ Duplicado","OK"))</f>
        <v/>
      </c>
      <c r="AJ1170" s="86" t="str">
        <f aca="false">IF(AH1170="","",IF(SUMPRODUCT(MAX((IND_PER&lt;=B1170)*(IND_UF&lt;&gt;"")*IND_PER))=0,UF_HOY,INDEX(IND_UF,MATCH(SUMPRODUCT(MAX((IND_PER&lt;=B1170)*(IND_UF&lt;&gt;"")*IND_PER)),IND_PER,0))))</f>
        <v/>
      </c>
      <c r="AK1170" s="87" t="str">
        <f aca="false">IF(AH1170="","",IF(COUNTIF(TASA_DESDE,"&lt;="&amp;B1170)=0,INDEX(TASA_EMP,1),INDEX(TASA_EMP,COUNTIF(TASA_DESDE,"&lt;="&amp;B1170))))</f>
        <v/>
      </c>
    </row>
    <row r="1171" customFormat="false" ht="15" hidden="false" customHeight="false" outlineLevel="0" collapsed="false">
      <c r="B1171" s="78"/>
      <c r="C1171" s="64"/>
      <c r="D1171" s="72" t="str">
        <f aca="false">IF(C1171="","",IFERROR(INDEX(T_NOMBRE,MATCH(C1171,T_ID,0)),"⚠ ID no existe"))</f>
        <v/>
      </c>
      <c r="E1171" s="69"/>
      <c r="F1171" s="67"/>
      <c r="G1171" s="67"/>
      <c r="H1171" s="67"/>
      <c r="I1171" s="67"/>
      <c r="J1171" s="67"/>
      <c r="K1171" s="85" t="str">
        <f aca="false">IF(AH1171="","",N(F1171)+N(G1171)+N(H1171)-N(I1171)+N(J1171))</f>
        <v/>
      </c>
      <c r="L1171" s="67"/>
      <c r="M1171" s="67"/>
      <c r="N1171" s="67"/>
      <c r="O1171" s="67"/>
      <c r="P1171" s="85" t="str">
        <f aca="false">IF(AH1171="","",K1171+N(L1171)+N(M1171)+N(N1171)+N(O1171))</f>
        <v/>
      </c>
      <c r="Q1171" s="67"/>
      <c r="R1171" s="67"/>
      <c r="S1171" s="67"/>
      <c r="T1171" s="67"/>
      <c r="U1171" s="67"/>
      <c r="V1171" s="67"/>
      <c r="W1171" s="85" t="str">
        <f aca="false">IF(AH1171="","",N(Q1171)+N(R1171)+N(S1171)+N(T1171)+N(U1171)+N(V1171))</f>
        <v/>
      </c>
      <c r="X1171" s="85" t="str">
        <f aca="false">IF(AH1171="","",P1171-W1171)</f>
        <v/>
      </c>
      <c r="Y1171" s="67"/>
      <c r="Z1171" s="70" t="str">
        <f aca="false">IF(OR(AH1171="",Y1171=""),"",IF(ABS(X1171-Y1171)&lt;=1,"✓ Cuadra","⚠ Diferencia $"&amp;FIXED(X1171-Y1171,0)))</f>
        <v/>
      </c>
      <c r="AA1171" s="72" t="str">
        <f aca="false">IF(AH1171="","",IFERROR(INDEX(C_TIPO,MATCH(C1171&amp;"-P"&amp;MAX(1,COUNTIFS(C_ID,C1171,C_DEFINE,"Sí",C_INICIO,"&lt;="&amp;EOMONTH(B1171,0))),C_CLAVE,0))&amp;"","Sin dato"))</f>
        <v/>
      </c>
      <c r="AB1171" s="71" t="str">
        <f aca="false">IF(AH1171="","",ROUND(MIN(K1171,TOPE_AFP_UF*AJ1171)*AK1171,0))</f>
        <v/>
      </c>
      <c r="AC1171" s="71" t="str">
        <f aca="false">IF(AH1171="","",ROUND(MIN(K1171,TOPE_AFC_UF*AJ1171)*IF(AA1171="Indefinido",AFC_EMP_INDEF,AFC_EMP_PF),0))</f>
        <v/>
      </c>
      <c r="AD1171" s="71" t="str">
        <f aca="false">IF(AH1171="","",ROUND(MIN(K1171,TOPE_AFP_UF*AJ1171)*(MUTUAL_BASICA+MUTUAL_ADIC+SANNA),0))</f>
        <v/>
      </c>
      <c r="AE1171" s="71" t="str">
        <f aca="false">IF(AH1171="","",P1171-N(N1171)+AB1171+AC1171+AD1171)</f>
        <v/>
      </c>
      <c r="AF1171" s="65"/>
      <c r="AG1171" s="64"/>
      <c r="AH1171" s="72" t="str">
        <f aca="false">IF(OR(B1171="",C1171=""),"",C1171&amp;"|"&amp;(YEAR(B1171)*100+MONTH(B1171)))</f>
        <v/>
      </c>
      <c r="AI1171" s="70" t="str">
        <f aca="false">IF(AH1171="","",IF(COUNTIF(L_CLAVE,AH1171)&gt;1,"⚠ Duplicado","OK"))</f>
        <v/>
      </c>
      <c r="AJ1171" s="86" t="str">
        <f aca="false">IF(AH1171="","",IF(SUMPRODUCT(MAX((IND_PER&lt;=B1171)*(IND_UF&lt;&gt;"")*IND_PER))=0,UF_HOY,INDEX(IND_UF,MATCH(SUMPRODUCT(MAX((IND_PER&lt;=B1171)*(IND_UF&lt;&gt;"")*IND_PER)),IND_PER,0))))</f>
        <v/>
      </c>
      <c r="AK1171" s="87" t="str">
        <f aca="false">IF(AH1171="","",IF(COUNTIF(TASA_DESDE,"&lt;="&amp;B1171)=0,INDEX(TASA_EMP,1),INDEX(TASA_EMP,COUNTIF(TASA_DESDE,"&lt;="&amp;B1171))))</f>
        <v/>
      </c>
    </row>
    <row r="1172" customFormat="false" ht="15" hidden="false" customHeight="false" outlineLevel="0" collapsed="false">
      <c r="B1172" s="78"/>
      <c r="C1172" s="64"/>
      <c r="D1172" s="72" t="str">
        <f aca="false">IF(C1172="","",IFERROR(INDEX(T_NOMBRE,MATCH(C1172,T_ID,0)),"⚠ ID no existe"))</f>
        <v/>
      </c>
      <c r="E1172" s="69"/>
      <c r="F1172" s="67"/>
      <c r="G1172" s="67"/>
      <c r="H1172" s="67"/>
      <c r="I1172" s="67"/>
      <c r="J1172" s="67"/>
      <c r="K1172" s="85" t="str">
        <f aca="false">IF(AH1172="","",N(F1172)+N(G1172)+N(H1172)-N(I1172)+N(J1172))</f>
        <v/>
      </c>
      <c r="L1172" s="67"/>
      <c r="M1172" s="67"/>
      <c r="N1172" s="67"/>
      <c r="O1172" s="67"/>
      <c r="P1172" s="85" t="str">
        <f aca="false">IF(AH1172="","",K1172+N(L1172)+N(M1172)+N(N1172)+N(O1172))</f>
        <v/>
      </c>
      <c r="Q1172" s="67"/>
      <c r="R1172" s="67"/>
      <c r="S1172" s="67"/>
      <c r="T1172" s="67"/>
      <c r="U1172" s="67"/>
      <c r="V1172" s="67"/>
      <c r="W1172" s="85" t="str">
        <f aca="false">IF(AH1172="","",N(Q1172)+N(R1172)+N(S1172)+N(T1172)+N(U1172)+N(V1172))</f>
        <v/>
      </c>
      <c r="X1172" s="85" t="str">
        <f aca="false">IF(AH1172="","",P1172-W1172)</f>
        <v/>
      </c>
      <c r="Y1172" s="67"/>
      <c r="Z1172" s="70" t="str">
        <f aca="false">IF(OR(AH1172="",Y1172=""),"",IF(ABS(X1172-Y1172)&lt;=1,"✓ Cuadra","⚠ Diferencia $"&amp;FIXED(X1172-Y1172,0)))</f>
        <v/>
      </c>
      <c r="AA1172" s="72" t="str">
        <f aca="false">IF(AH1172="","",IFERROR(INDEX(C_TIPO,MATCH(C1172&amp;"-P"&amp;MAX(1,COUNTIFS(C_ID,C1172,C_DEFINE,"Sí",C_INICIO,"&lt;="&amp;EOMONTH(B1172,0))),C_CLAVE,0))&amp;"","Sin dato"))</f>
        <v/>
      </c>
      <c r="AB1172" s="71" t="str">
        <f aca="false">IF(AH1172="","",ROUND(MIN(K1172,TOPE_AFP_UF*AJ1172)*AK1172,0))</f>
        <v/>
      </c>
      <c r="AC1172" s="71" t="str">
        <f aca="false">IF(AH1172="","",ROUND(MIN(K1172,TOPE_AFC_UF*AJ1172)*IF(AA1172="Indefinido",AFC_EMP_INDEF,AFC_EMP_PF),0))</f>
        <v/>
      </c>
      <c r="AD1172" s="71" t="str">
        <f aca="false">IF(AH1172="","",ROUND(MIN(K1172,TOPE_AFP_UF*AJ1172)*(MUTUAL_BASICA+MUTUAL_ADIC+SANNA),0))</f>
        <v/>
      </c>
      <c r="AE1172" s="71" t="str">
        <f aca="false">IF(AH1172="","",P1172-N(N1172)+AB1172+AC1172+AD1172)</f>
        <v/>
      </c>
      <c r="AF1172" s="65"/>
      <c r="AG1172" s="64"/>
      <c r="AH1172" s="72" t="str">
        <f aca="false">IF(OR(B1172="",C1172=""),"",C1172&amp;"|"&amp;(YEAR(B1172)*100+MONTH(B1172)))</f>
        <v/>
      </c>
      <c r="AI1172" s="70" t="str">
        <f aca="false">IF(AH1172="","",IF(COUNTIF(L_CLAVE,AH1172)&gt;1,"⚠ Duplicado","OK"))</f>
        <v/>
      </c>
      <c r="AJ1172" s="86" t="str">
        <f aca="false">IF(AH1172="","",IF(SUMPRODUCT(MAX((IND_PER&lt;=B1172)*(IND_UF&lt;&gt;"")*IND_PER))=0,UF_HOY,INDEX(IND_UF,MATCH(SUMPRODUCT(MAX((IND_PER&lt;=B1172)*(IND_UF&lt;&gt;"")*IND_PER)),IND_PER,0))))</f>
        <v/>
      </c>
      <c r="AK1172" s="87" t="str">
        <f aca="false">IF(AH1172="","",IF(COUNTIF(TASA_DESDE,"&lt;="&amp;B1172)=0,INDEX(TASA_EMP,1),INDEX(TASA_EMP,COUNTIF(TASA_DESDE,"&lt;="&amp;B1172))))</f>
        <v/>
      </c>
    </row>
    <row r="1173" customFormat="false" ht="15" hidden="false" customHeight="false" outlineLevel="0" collapsed="false">
      <c r="B1173" s="78"/>
      <c r="C1173" s="64"/>
      <c r="D1173" s="72" t="str">
        <f aca="false">IF(C1173="","",IFERROR(INDEX(T_NOMBRE,MATCH(C1173,T_ID,0)),"⚠ ID no existe"))</f>
        <v/>
      </c>
      <c r="E1173" s="69"/>
      <c r="F1173" s="67"/>
      <c r="G1173" s="67"/>
      <c r="H1173" s="67"/>
      <c r="I1173" s="67"/>
      <c r="J1173" s="67"/>
      <c r="K1173" s="85" t="str">
        <f aca="false">IF(AH1173="","",N(F1173)+N(G1173)+N(H1173)-N(I1173)+N(J1173))</f>
        <v/>
      </c>
      <c r="L1173" s="67"/>
      <c r="M1173" s="67"/>
      <c r="N1173" s="67"/>
      <c r="O1173" s="67"/>
      <c r="P1173" s="85" t="str">
        <f aca="false">IF(AH1173="","",K1173+N(L1173)+N(M1173)+N(N1173)+N(O1173))</f>
        <v/>
      </c>
      <c r="Q1173" s="67"/>
      <c r="R1173" s="67"/>
      <c r="S1173" s="67"/>
      <c r="T1173" s="67"/>
      <c r="U1173" s="67"/>
      <c r="V1173" s="67"/>
      <c r="W1173" s="85" t="str">
        <f aca="false">IF(AH1173="","",N(Q1173)+N(R1173)+N(S1173)+N(T1173)+N(U1173)+N(V1173))</f>
        <v/>
      </c>
      <c r="X1173" s="85" t="str">
        <f aca="false">IF(AH1173="","",P1173-W1173)</f>
        <v/>
      </c>
      <c r="Y1173" s="67"/>
      <c r="Z1173" s="70" t="str">
        <f aca="false">IF(OR(AH1173="",Y1173=""),"",IF(ABS(X1173-Y1173)&lt;=1,"✓ Cuadra","⚠ Diferencia $"&amp;FIXED(X1173-Y1173,0)))</f>
        <v/>
      </c>
      <c r="AA1173" s="72" t="str">
        <f aca="false">IF(AH1173="","",IFERROR(INDEX(C_TIPO,MATCH(C1173&amp;"-P"&amp;MAX(1,COUNTIFS(C_ID,C1173,C_DEFINE,"Sí",C_INICIO,"&lt;="&amp;EOMONTH(B1173,0))),C_CLAVE,0))&amp;"","Sin dato"))</f>
        <v/>
      </c>
      <c r="AB1173" s="71" t="str">
        <f aca="false">IF(AH1173="","",ROUND(MIN(K1173,TOPE_AFP_UF*AJ1173)*AK1173,0))</f>
        <v/>
      </c>
      <c r="AC1173" s="71" t="str">
        <f aca="false">IF(AH1173="","",ROUND(MIN(K1173,TOPE_AFC_UF*AJ1173)*IF(AA1173="Indefinido",AFC_EMP_INDEF,AFC_EMP_PF),0))</f>
        <v/>
      </c>
      <c r="AD1173" s="71" t="str">
        <f aca="false">IF(AH1173="","",ROUND(MIN(K1173,TOPE_AFP_UF*AJ1173)*(MUTUAL_BASICA+MUTUAL_ADIC+SANNA),0))</f>
        <v/>
      </c>
      <c r="AE1173" s="71" t="str">
        <f aca="false">IF(AH1173="","",P1173-N(N1173)+AB1173+AC1173+AD1173)</f>
        <v/>
      </c>
      <c r="AF1173" s="65"/>
      <c r="AG1173" s="64"/>
      <c r="AH1173" s="72" t="str">
        <f aca="false">IF(OR(B1173="",C1173=""),"",C1173&amp;"|"&amp;(YEAR(B1173)*100+MONTH(B1173)))</f>
        <v/>
      </c>
      <c r="AI1173" s="70" t="str">
        <f aca="false">IF(AH1173="","",IF(COUNTIF(L_CLAVE,AH1173)&gt;1,"⚠ Duplicado","OK"))</f>
        <v/>
      </c>
      <c r="AJ1173" s="86" t="str">
        <f aca="false">IF(AH1173="","",IF(SUMPRODUCT(MAX((IND_PER&lt;=B1173)*(IND_UF&lt;&gt;"")*IND_PER))=0,UF_HOY,INDEX(IND_UF,MATCH(SUMPRODUCT(MAX((IND_PER&lt;=B1173)*(IND_UF&lt;&gt;"")*IND_PER)),IND_PER,0))))</f>
        <v/>
      </c>
      <c r="AK1173" s="87" t="str">
        <f aca="false">IF(AH1173="","",IF(COUNTIF(TASA_DESDE,"&lt;="&amp;B1173)=0,INDEX(TASA_EMP,1),INDEX(TASA_EMP,COUNTIF(TASA_DESDE,"&lt;="&amp;B1173))))</f>
        <v/>
      </c>
    </row>
    <row r="1174" customFormat="false" ht="15" hidden="false" customHeight="false" outlineLevel="0" collapsed="false">
      <c r="B1174" s="78"/>
      <c r="C1174" s="64"/>
      <c r="D1174" s="72" t="str">
        <f aca="false">IF(C1174="","",IFERROR(INDEX(T_NOMBRE,MATCH(C1174,T_ID,0)),"⚠ ID no existe"))</f>
        <v/>
      </c>
      <c r="E1174" s="69"/>
      <c r="F1174" s="67"/>
      <c r="G1174" s="67"/>
      <c r="H1174" s="67"/>
      <c r="I1174" s="67"/>
      <c r="J1174" s="67"/>
      <c r="K1174" s="85" t="str">
        <f aca="false">IF(AH1174="","",N(F1174)+N(G1174)+N(H1174)-N(I1174)+N(J1174))</f>
        <v/>
      </c>
      <c r="L1174" s="67"/>
      <c r="M1174" s="67"/>
      <c r="N1174" s="67"/>
      <c r="O1174" s="67"/>
      <c r="P1174" s="85" t="str">
        <f aca="false">IF(AH1174="","",K1174+N(L1174)+N(M1174)+N(N1174)+N(O1174))</f>
        <v/>
      </c>
      <c r="Q1174" s="67"/>
      <c r="R1174" s="67"/>
      <c r="S1174" s="67"/>
      <c r="T1174" s="67"/>
      <c r="U1174" s="67"/>
      <c r="V1174" s="67"/>
      <c r="W1174" s="85" t="str">
        <f aca="false">IF(AH1174="","",N(Q1174)+N(R1174)+N(S1174)+N(T1174)+N(U1174)+N(V1174))</f>
        <v/>
      </c>
      <c r="X1174" s="85" t="str">
        <f aca="false">IF(AH1174="","",P1174-W1174)</f>
        <v/>
      </c>
      <c r="Y1174" s="67"/>
      <c r="Z1174" s="70" t="str">
        <f aca="false">IF(OR(AH1174="",Y1174=""),"",IF(ABS(X1174-Y1174)&lt;=1,"✓ Cuadra","⚠ Diferencia $"&amp;FIXED(X1174-Y1174,0)))</f>
        <v/>
      </c>
      <c r="AA1174" s="72" t="str">
        <f aca="false">IF(AH1174="","",IFERROR(INDEX(C_TIPO,MATCH(C1174&amp;"-P"&amp;MAX(1,COUNTIFS(C_ID,C1174,C_DEFINE,"Sí",C_INICIO,"&lt;="&amp;EOMONTH(B1174,0))),C_CLAVE,0))&amp;"","Sin dato"))</f>
        <v/>
      </c>
      <c r="AB1174" s="71" t="str">
        <f aca="false">IF(AH1174="","",ROUND(MIN(K1174,TOPE_AFP_UF*AJ1174)*AK1174,0))</f>
        <v/>
      </c>
      <c r="AC1174" s="71" t="str">
        <f aca="false">IF(AH1174="","",ROUND(MIN(K1174,TOPE_AFC_UF*AJ1174)*IF(AA1174="Indefinido",AFC_EMP_INDEF,AFC_EMP_PF),0))</f>
        <v/>
      </c>
      <c r="AD1174" s="71" t="str">
        <f aca="false">IF(AH1174="","",ROUND(MIN(K1174,TOPE_AFP_UF*AJ1174)*(MUTUAL_BASICA+MUTUAL_ADIC+SANNA),0))</f>
        <v/>
      </c>
      <c r="AE1174" s="71" t="str">
        <f aca="false">IF(AH1174="","",P1174-N(N1174)+AB1174+AC1174+AD1174)</f>
        <v/>
      </c>
      <c r="AF1174" s="65"/>
      <c r="AG1174" s="64"/>
      <c r="AH1174" s="72" t="str">
        <f aca="false">IF(OR(B1174="",C1174=""),"",C1174&amp;"|"&amp;(YEAR(B1174)*100+MONTH(B1174)))</f>
        <v/>
      </c>
      <c r="AI1174" s="70" t="str">
        <f aca="false">IF(AH1174="","",IF(COUNTIF(L_CLAVE,AH1174)&gt;1,"⚠ Duplicado","OK"))</f>
        <v/>
      </c>
      <c r="AJ1174" s="86" t="str">
        <f aca="false">IF(AH1174="","",IF(SUMPRODUCT(MAX((IND_PER&lt;=B1174)*(IND_UF&lt;&gt;"")*IND_PER))=0,UF_HOY,INDEX(IND_UF,MATCH(SUMPRODUCT(MAX((IND_PER&lt;=B1174)*(IND_UF&lt;&gt;"")*IND_PER)),IND_PER,0))))</f>
        <v/>
      </c>
      <c r="AK1174" s="87" t="str">
        <f aca="false">IF(AH1174="","",IF(COUNTIF(TASA_DESDE,"&lt;="&amp;B1174)=0,INDEX(TASA_EMP,1),INDEX(TASA_EMP,COUNTIF(TASA_DESDE,"&lt;="&amp;B1174))))</f>
        <v/>
      </c>
    </row>
    <row r="1175" customFormat="false" ht="15" hidden="false" customHeight="false" outlineLevel="0" collapsed="false">
      <c r="B1175" s="78"/>
      <c r="C1175" s="64"/>
      <c r="D1175" s="72" t="str">
        <f aca="false">IF(C1175="","",IFERROR(INDEX(T_NOMBRE,MATCH(C1175,T_ID,0)),"⚠ ID no existe"))</f>
        <v/>
      </c>
      <c r="E1175" s="69"/>
      <c r="F1175" s="67"/>
      <c r="G1175" s="67"/>
      <c r="H1175" s="67"/>
      <c r="I1175" s="67"/>
      <c r="J1175" s="67"/>
      <c r="K1175" s="85" t="str">
        <f aca="false">IF(AH1175="","",N(F1175)+N(G1175)+N(H1175)-N(I1175)+N(J1175))</f>
        <v/>
      </c>
      <c r="L1175" s="67"/>
      <c r="M1175" s="67"/>
      <c r="N1175" s="67"/>
      <c r="O1175" s="67"/>
      <c r="P1175" s="85" t="str">
        <f aca="false">IF(AH1175="","",K1175+N(L1175)+N(M1175)+N(N1175)+N(O1175))</f>
        <v/>
      </c>
      <c r="Q1175" s="67"/>
      <c r="R1175" s="67"/>
      <c r="S1175" s="67"/>
      <c r="T1175" s="67"/>
      <c r="U1175" s="67"/>
      <c r="V1175" s="67"/>
      <c r="W1175" s="85" t="str">
        <f aca="false">IF(AH1175="","",N(Q1175)+N(R1175)+N(S1175)+N(T1175)+N(U1175)+N(V1175))</f>
        <v/>
      </c>
      <c r="X1175" s="85" t="str">
        <f aca="false">IF(AH1175="","",P1175-W1175)</f>
        <v/>
      </c>
      <c r="Y1175" s="67"/>
      <c r="Z1175" s="70" t="str">
        <f aca="false">IF(OR(AH1175="",Y1175=""),"",IF(ABS(X1175-Y1175)&lt;=1,"✓ Cuadra","⚠ Diferencia $"&amp;FIXED(X1175-Y1175,0)))</f>
        <v/>
      </c>
      <c r="AA1175" s="72" t="str">
        <f aca="false">IF(AH1175="","",IFERROR(INDEX(C_TIPO,MATCH(C1175&amp;"-P"&amp;MAX(1,COUNTIFS(C_ID,C1175,C_DEFINE,"Sí",C_INICIO,"&lt;="&amp;EOMONTH(B1175,0))),C_CLAVE,0))&amp;"","Sin dato"))</f>
        <v/>
      </c>
      <c r="AB1175" s="71" t="str">
        <f aca="false">IF(AH1175="","",ROUND(MIN(K1175,TOPE_AFP_UF*AJ1175)*AK1175,0))</f>
        <v/>
      </c>
      <c r="AC1175" s="71" t="str">
        <f aca="false">IF(AH1175="","",ROUND(MIN(K1175,TOPE_AFC_UF*AJ1175)*IF(AA1175="Indefinido",AFC_EMP_INDEF,AFC_EMP_PF),0))</f>
        <v/>
      </c>
      <c r="AD1175" s="71" t="str">
        <f aca="false">IF(AH1175="","",ROUND(MIN(K1175,TOPE_AFP_UF*AJ1175)*(MUTUAL_BASICA+MUTUAL_ADIC+SANNA),0))</f>
        <v/>
      </c>
      <c r="AE1175" s="71" t="str">
        <f aca="false">IF(AH1175="","",P1175-N(N1175)+AB1175+AC1175+AD1175)</f>
        <v/>
      </c>
      <c r="AF1175" s="65"/>
      <c r="AG1175" s="64"/>
      <c r="AH1175" s="72" t="str">
        <f aca="false">IF(OR(B1175="",C1175=""),"",C1175&amp;"|"&amp;(YEAR(B1175)*100+MONTH(B1175)))</f>
        <v/>
      </c>
      <c r="AI1175" s="70" t="str">
        <f aca="false">IF(AH1175="","",IF(COUNTIF(L_CLAVE,AH1175)&gt;1,"⚠ Duplicado","OK"))</f>
        <v/>
      </c>
      <c r="AJ1175" s="86" t="str">
        <f aca="false">IF(AH1175="","",IF(SUMPRODUCT(MAX((IND_PER&lt;=B1175)*(IND_UF&lt;&gt;"")*IND_PER))=0,UF_HOY,INDEX(IND_UF,MATCH(SUMPRODUCT(MAX((IND_PER&lt;=B1175)*(IND_UF&lt;&gt;"")*IND_PER)),IND_PER,0))))</f>
        <v/>
      </c>
      <c r="AK1175" s="87" t="str">
        <f aca="false">IF(AH1175="","",IF(COUNTIF(TASA_DESDE,"&lt;="&amp;B1175)=0,INDEX(TASA_EMP,1),INDEX(TASA_EMP,COUNTIF(TASA_DESDE,"&lt;="&amp;B1175))))</f>
        <v/>
      </c>
    </row>
    <row r="1176" customFormat="false" ht="15" hidden="false" customHeight="false" outlineLevel="0" collapsed="false">
      <c r="B1176" s="78"/>
      <c r="C1176" s="64"/>
      <c r="D1176" s="72" t="str">
        <f aca="false">IF(C1176="","",IFERROR(INDEX(T_NOMBRE,MATCH(C1176,T_ID,0)),"⚠ ID no existe"))</f>
        <v/>
      </c>
      <c r="E1176" s="69"/>
      <c r="F1176" s="67"/>
      <c r="G1176" s="67"/>
      <c r="H1176" s="67"/>
      <c r="I1176" s="67"/>
      <c r="J1176" s="67"/>
      <c r="K1176" s="85" t="str">
        <f aca="false">IF(AH1176="","",N(F1176)+N(G1176)+N(H1176)-N(I1176)+N(J1176))</f>
        <v/>
      </c>
      <c r="L1176" s="67"/>
      <c r="M1176" s="67"/>
      <c r="N1176" s="67"/>
      <c r="O1176" s="67"/>
      <c r="P1176" s="85" t="str">
        <f aca="false">IF(AH1176="","",K1176+N(L1176)+N(M1176)+N(N1176)+N(O1176))</f>
        <v/>
      </c>
      <c r="Q1176" s="67"/>
      <c r="R1176" s="67"/>
      <c r="S1176" s="67"/>
      <c r="T1176" s="67"/>
      <c r="U1176" s="67"/>
      <c r="V1176" s="67"/>
      <c r="W1176" s="85" t="str">
        <f aca="false">IF(AH1176="","",N(Q1176)+N(R1176)+N(S1176)+N(T1176)+N(U1176)+N(V1176))</f>
        <v/>
      </c>
      <c r="X1176" s="85" t="str">
        <f aca="false">IF(AH1176="","",P1176-W1176)</f>
        <v/>
      </c>
      <c r="Y1176" s="67"/>
      <c r="Z1176" s="70" t="str">
        <f aca="false">IF(OR(AH1176="",Y1176=""),"",IF(ABS(X1176-Y1176)&lt;=1,"✓ Cuadra","⚠ Diferencia $"&amp;FIXED(X1176-Y1176,0)))</f>
        <v/>
      </c>
      <c r="AA1176" s="72" t="str">
        <f aca="false">IF(AH1176="","",IFERROR(INDEX(C_TIPO,MATCH(C1176&amp;"-P"&amp;MAX(1,COUNTIFS(C_ID,C1176,C_DEFINE,"Sí",C_INICIO,"&lt;="&amp;EOMONTH(B1176,0))),C_CLAVE,0))&amp;"","Sin dato"))</f>
        <v/>
      </c>
      <c r="AB1176" s="71" t="str">
        <f aca="false">IF(AH1176="","",ROUND(MIN(K1176,TOPE_AFP_UF*AJ1176)*AK1176,0))</f>
        <v/>
      </c>
      <c r="AC1176" s="71" t="str">
        <f aca="false">IF(AH1176="","",ROUND(MIN(K1176,TOPE_AFC_UF*AJ1176)*IF(AA1176="Indefinido",AFC_EMP_INDEF,AFC_EMP_PF),0))</f>
        <v/>
      </c>
      <c r="AD1176" s="71" t="str">
        <f aca="false">IF(AH1176="","",ROUND(MIN(K1176,TOPE_AFP_UF*AJ1176)*(MUTUAL_BASICA+MUTUAL_ADIC+SANNA),0))</f>
        <v/>
      </c>
      <c r="AE1176" s="71" t="str">
        <f aca="false">IF(AH1176="","",P1176-N(N1176)+AB1176+AC1176+AD1176)</f>
        <v/>
      </c>
      <c r="AF1176" s="65"/>
      <c r="AG1176" s="64"/>
      <c r="AH1176" s="72" t="str">
        <f aca="false">IF(OR(B1176="",C1176=""),"",C1176&amp;"|"&amp;(YEAR(B1176)*100+MONTH(B1176)))</f>
        <v/>
      </c>
      <c r="AI1176" s="70" t="str">
        <f aca="false">IF(AH1176="","",IF(COUNTIF(L_CLAVE,AH1176)&gt;1,"⚠ Duplicado","OK"))</f>
        <v/>
      </c>
      <c r="AJ1176" s="86" t="str">
        <f aca="false">IF(AH1176="","",IF(SUMPRODUCT(MAX((IND_PER&lt;=B1176)*(IND_UF&lt;&gt;"")*IND_PER))=0,UF_HOY,INDEX(IND_UF,MATCH(SUMPRODUCT(MAX((IND_PER&lt;=B1176)*(IND_UF&lt;&gt;"")*IND_PER)),IND_PER,0))))</f>
        <v/>
      </c>
      <c r="AK1176" s="87" t="str">
        <f aca="false">IF(AH1176="","",IF(COUNTIF(TASA_DESDE,"&lt;="&amp;B1176)=0,INDEX(TASA_EMP,1),INDEX(TASA_EMP,COUNTIF(TASA_DESDE,"&lt;="&amp;B1176))))</f>
        <v/>
      </c>
    </row>
    <row r="1177" customFormat="false" ht="15" hidden="false" customHeight="false" outlineLevel="0" collapsed="false">
      <c r="B1177" s="78"/>
      <c r="C1177" s="64"/>
      <c r="D1177" s="72" t="str">
        <f aca="false">IF(C1177="","",IFERROR(INDEX(T_NOMBRE,MATCH(C1177,T_ID,0)),"⚠ ID no existe"))</f>
        <v/>
      </c>
      <c r="E1177" s="69"/>
      <c r="F1177" s="67"/>
      <c r="G1177" s="67"/>
      <c r="H1177" s="67"/>
      <c r="I1177" s="67"/>
      <c r="J1177" s="67"/>
      <c r="K1177" s="85" t="str">
        <f aca="false">IF(AH1177="","",N(F1177)+N(G1177)+N(H1177)-N(I1177)+N(J1177))</f>
        <v/>
      </c>
      <c r="L1177" s="67"/>
      <c r="M1177" s="67"/>
      <c r="N1177" s="67"/>
      <c r="O1177" s="67"/>
      <c r="P1177" s="85" t="str">
        <f aca="false">IF(AH1177="","",K1177+N(L1177)+N(M1177)+N(N1177)+N(O1177))</f>
        <v/>
      </c>
      <c r="Q1177" s="67"/>
      <c r="R1177" s="67"/>
      <c r="S1177" s="67"/>
      <c r="T1177" s="67"/>
      <c r="U1177" s="67"/>
      <c r="V1177" s="67"/>
      <c r="W1177" s="85" t="str">
        <f aca="false">IF(AH1177="","",N(Q1177)+N(R1177)+N(S1177)+N(T1177)+N(U1177)+N(V1177))</f>
        <v/>
      </c>
      <c r="X1177" s="85" t="str">
        <f aca="false">IF(AH1177="","",P1177-W1177)</f>
        <v/>
      </c>
      <c r="Y1177" s="67"/>
      <c r="Z1177" s="70" t="str">
        <f aca="false">IF(OR(AH1177="",Y1177=""),"",IF(ABS(X1177-Y1177)&lt;=1,"✓ Cuadra","⚠ Diferencia $"&amp;FIXED(X1177-Y1177,0)))</f>
        <v/>
      </c>
      <c r="AA1177" s="72" t="str">
        <f aca="false">IF(AH1177="","",IFERROR(INDEX(C_TIPO,MATCH(C1177&amp;"-P"&amp;MAX(1,COUNTIFS(C_ID,C1177,C_DEFINE,"Sí",C_INICIO,"&lt;="&amp;EOMONTH(B1177,0))),C_CLAVE,0))&amp;"","Sin dato"))</f>
        <v/>
      </c>
      <c r="AB1177" s="71" t="str">
        <f aca="false">IF(AH1177="","",ROUND(MIN(K1177,TOPE_AFP_UF*AJ1177)*AK1177,0))</f>
        <v/>
      </c>
      <c r="AC1177" s="71" t="str">
        <f aca="false">IF(AH1177="","",ROUND(MIN(K1177,TOPE_AFC_UF*AJ1177)*IF(AA1177="Indefinido",AFC_EMP_INDEF,AFC_EMP_PF),0))</f>
        <v/>
      </c>
      <c r="AD1177" s="71" t="str">
        <f aca="false">IF(AH1177="","",ROUND(MIN(K1177,TOPE_AFP_UF*AJ1177)*(MUTUAL_BASICA+MUTUAL_ADIC+SANNA),0))</f>
        <v/>
      </c>
      <c r="AE1177" s="71" t="str">
        <f aca="false">IF(AH1177="","",P1177-N(N1177)+AB1177+AC1177+AD1177)</f>
        <v/>
      </c>
      <c r="AF1177" s="65"/>
      <c r="AG1177" s="64"/>
      <c r="AH1177" s="72" t="str">
        <f aca="false">IF(OR(B1177="",C1177=""),"",C1177&amp;"|"&amp;(YEAR(B1177)*100+MONTH(B1177)))</f>
        <v/>
      </c>
      <c r="AI1177" s="70" t="str">
        <f aca="false">IF(AH1177="","",IF(COUNTIF(L_CLAVE,AH1177)&gt;1,"⚠ Duplicado","OK"))</f>
        <v/>
      </c>
      <c r="AJ1177" s="86" t="str">
        <f aca="false">IF(AH1177="","",IF(SUMPRODUCT(MAX((IND_PER&lt;=B1177)*(IND_UF&lt;&gt;"")*IND_PER))=0,UF_HOY,INDEX(IND_UF,MATCH(SUMPRODUCT(MAX((IND_PER&lt;=B1177)*(IND_UF&lt;&gt;"")*IND_PER)),IND_PER,0))))</f>
        <v/>
      </c>
      <c r="AK1177" s="87" t="str">
        <f aca="false">IF(AH1177="","",IF(COUNTIF(TASA_DESDE,"&lt;="&amp;B1177)=0,INDEX(TASA_EMP,1),INDEX(TASA_EMP,COUNTIF(TASA_DESDE,"&lt;="&amp;B1177))))</f>
        <v/>
      </c>
    </row>
    <row r="1178" customFormat="false" ht="15" hidden="false" customHeight="false" outlineLevel="0" collapsed="false">
      <c r="B1178" s="78"/>
      <c r="C1178" s="64"/>
      <c r="D1178" s="72" t="str">
        <f aca="false">IF(C1178="","",IFERROR(INDEX(T_NOMBRE,MATCH(C1178,T_ID,0)),"⚠ ID no existe"))</f>
        <v/>
      </c>
      <c r="E1178" s="69"/>
      <c r="F1178" s="67"/>
      <c r="G1178" s="67"/>
      <c r="H1178" s="67"/>
      <c r="I1178" s="67"/>
      <c r="J1178" s="67"/>
      <c r="K1178" s="85" t="str">
        <f aca="false">IF(AH1178="","",N(F1178)+N(G1178)+N(H1178)-N(I1178)+N(J1178))</f>
        <v/>
      </c>
      <c r="L1178" s="67"/>
      <c r="M1178" s="67"/>
      <c r="N1178" s="67"/>
      <c r="O1178" s="67"/>
      <c r="P1178" s="85" t="str">
        <f aca="false">IF(AH1178="","",K1178+N(L1178)+N(M1178)+N(N1178)+N(O1178))</f>
        <v/>
      </c>
      <c r="Q1178" s="67"/>
      <c r="R1178" s="67"/>
      <c r="S1178" s="67"/>
      <c r="T1178" s="67"/>
      <c r="U1178" s="67"/>
      <c r="V1178" s="67"/>
      <c r="W1178" s="85" t="str">
        <f aca="false">IF(AH1178="","",N(Q1178)+N(R1178)+N(S1178)+N(T1178)+N(U1178)+N(V1178))</f>
        <v/>
      </c>
      <c r="X1178" s="85" t="str">
        <f aca="false">IF(AH1178="","",P1178-W1178)</f>
        <v/>
      </c>
      <c r="Y1178" s="67"/>
      <c r="Z1178" s="70" t="str">
        <f aca="false">IF(OR(AH1178="",Y1178=""),"",IF(ABS(X1178-Y1178)&lt;=1,"✓ Cuadra","⚠ Diferencia $"&amp;FIXED(X1178-Y1178,0)))</f>
        <v/>
      </c>
      <c r="AA1178" s="72" t="str">
        <f aca="false">IF(AH1178="","",IFERROR(INDEX(C_TIPO,MATCH(C1178&amp;"-P"&amp;MAX(1,COUNTIFS(C_ID,C1178,C_DEFINE,"Sí",C_INICIO,"&lt;="&amp;EOMONTH(B1178,0))),C_CLAVE,0))&amp;"","Sin dato"))</f>
        <v/>
      </c>
      <c r="AB1178" s="71" t="str">
        <f aca="false">IF(AH1178="","",ROUND(MIN(K1178,TOPE_AFP_UF*AJ1178)*AK1178,0))</f>
        <v/>
      </c>
      <c r="AC1178" s="71" t="str">
        <f aca="false">IF(AH1178="","",ROUND(MIN(K1178,TOPE_AFC_UF*AJ1178)*IF(AA1178="Indefinido",AFC_EMP_INDEF,AFC_EMP_PF),0))</f>
        <v/>
      </c>
      <c r="AD1178" s="71" t="str">
        <f aca="false">IF(AH1178="","",ROUND(MIN(K1178,TOPE_AFP_UF*AJ1178)*(MUTUAL_BASICA+MUTUAL_ADIC+SANNA),0))</f>
        <v/>
      </c>
      <c r="AE1178" s="71" t="str">
        <f aca="false">IF(AH1178="","",P1178-N(N1178)+AB1178+AC1178+AD1178)</f>
        <v/>
      </c>
      <c r="AF1178" s="65"/>
      <c r="AG1178" s="64"/>
      <c r="AH1178" s="72" t="str">
        <f aca="false">IF(OR(B1178="",C1178=""),"",C1178&amp;"|"&amp;(YEAR(B1178)*100+MONTH(B1178)))</f>
        <v/>
      </c>
      <c r="AI1178" s="70" t="str">
        <f aca="false">IF(AH1178="","",IF(COUNTIF(L_CLAVE,AH1178)&gt;1,"⚠ Duplicado","OK"))</f>
        <v/>
      </c>
      <c r="AJ1178" s="86" t="str">
        <f aca="false">IF(AH1178="","",IF(SUMPRODUCT(MAX((IND_PER&lt;=B1178)*(IND_UF&lt;&gt;"")*IND_PER))=0,UF_HOY,INDEX(IND_UF,MATCH(SUMPRODUCT(MAX((IND_PER&lt;=B1178)*(IND_UF&lt;&gt;"")*IND_PER)),IND_PER,0))))</f>
        <v/>
      </c>
      <c r="AK1178" s="87" t="str">
        <f aca="false">IF(AH1178="","",IF(COUNTIF(TASA_DESDE,"&lt;="&amp;B1178)=0,INDEX(TASA_EMP,1),INDEX(TASA_EMP,COUNTIF(TASA_DESDE,"&lt;="&amp;B1178))))</f>
        <v/>
      </c>
    </row>
    <row r="1179" customFormat="false" ht="15" hidden="false" customHeight="false" outlineLevel="0" collapsed="false">
      <c r="B1179" s="78"/>
      <c r="C1179" s="64"/>
      <c r="D1179" s="72" t="str">
        <f aca="false">IF(C1179="","",IFERROR(INDEX(T_NOMBRE,MATCH(C1179,T_ID,0)),"⚠ ID no existe"))</f>
        <v/>
      </c>
      <c r="E1179" s="69"/>
      <c r="F1179" s="67"/>
      <c r="G1179" s="67"/>
      <c r="H1179" s="67"/>
      <c r="I1179" s="67"/>
      <c r="J1179" s="67"/>
      <c r="K1179" s="85" t="str">
        <f aca="false">IF(AH1179="","",N(F1179)+N(G1179)+N(H1179)-N(I1179)+N(J1179))</f>
        <v/>
      </c>
      <c r="L1179" s="67"/>
      <c r="M1179" s="67"/>
      <c r="N1179" s="67"/>
      <c r="O1179" s="67"/>
      <c r="P1179" s="85" t="str">
        <f aca="false">IF(AH1179="","",K1179+N(L1179)+N(M1179)+N(N1179)+N(O1179))</f>
        <v/>
      </c>
      <c r="Q1179" s="67"/>
      <c r="R1179" s="67"/>
      <c r="S1179" s="67"/>
      <c r="T1179" s="67"/>
      <c r="U1179" s="67"/>
      <c r="V1179" s="67"/>
      <c r="W1179" s="85" t="str">
        <f aca="false">IF(AH1179="","",N(Q1179)+N(R1179)+N(S1179)+N(T1179)+N(U1179)+N(V1179))</f>
        <v/>
      </c>
      <c r="X1179" s="85" t="str">
        <f aca="false">IF(AH1179="","",P1179-W1179)</f>
        <v/>
      </c>
      <c r="Y1179" s="67"/>
      <c r="Z1179" s="70" t="str">
        <f aca="false">IF(OR(AH1179="",Y1179=""),"",IF(ABS(X1179-Y1179)&lt;=1,"✓ Cuadra","⚠ Diferencia $"&amp;FIXED(X1179-Y1179,0)))</f>
        <v/>
      </c>
      <c r="AA1179" s="72" t="str">
        <f aca="false">IF(AH1179="","",IFERROR(INDEX(C_TIPO,MATCH(C1179&amp;"-P"&amp;MAX(1,COUNTIFS(C_ID,C1179,C_DEFINE,"Sí",C_INICIO,"&lt;="&amp;EOMONTH(B1179,0))),C_CLAVE,0))&amp;"","Sin dato"))</f>
        <v/>
      </c>
      <c r="AB1179" s="71" t="str">
        <f aca="false">IF(AH1179="","",ROUND(MIN(K1179,TOPE_AFP_UF*AJ1179)*AK1179,0))</f>
        <v/>
      </c>
      <c r="AC1179" s="71" t="str">
        <f aca="false">IF(AH1179="","",ROUND(MIN(K1179,TOPE_AFC_UF*AJ1179)*IF(AA1179="Indefinido",AFC_EMP_INDEF,AFC_EMP_PF),0))</f>
        <v/>
      </c>
      <c r="AD1179" s="71" t="str">
        <f aca="false">IF(AH1179="","",ROUND(MIN(K1179,TOPE_AFP_UF*AJ1179)*(MUTUAL_BASICA+MUTUAL_ADIC+SANNA),0))</f>
        <v/>
      </c>
      <c r="AE1179" s="71" t="str">
        <f aca="false">IF(AH1179="","",P1179-N(N1179)+AB1179+AC1179+AD1179)</f>
        <v/>
      </c>
      <c r="AF1179" s="65"/>
      <c r="AG1179" s="64"/>
      <c r="AH1179" s="72" t="str">
        <f aca="false">IF(OR(B1179="",C1179=""),"",C1179&amp;"|"&amp;(YEAR(B1179)*100+MONTH(B1179)))</f>
        <v/>
      </c>
      <c r="AI1179" s="70" t="str">
        <f aca="false">IF(AH1179="","",IF(COUNTIF(L_CLAVE,AH1179)&gt;1,"⚠ Duplicado","OK"))</f>
        <v/>
      </c>
      <c r="AJ1179" s="86" t="str">
        <f aca="false">IF(AH1179="","",IF(SUMPRODUCT(MAX((IND_PER&lt;=B1179)*(IND_UF&lt;&gt;"")*IND_PER))=0,UF_HOY,INDEX(IND_UF,MATCH(SUMPRODUCT(MAX((IND_PER&lt;=B1179)*(IND_UF&lt;&gt;"")*IND_PER)),IND_PER,0))))</f>
        <v/>
      </c>
      <c r="AK1179" s="87" t="str">
        <f aca="false">IF(AH1179="","",IF(COUNTIF(TASA_DESDE,"&lt;="&amp;B1179)=0,INDEX(TASA_EMP,1),INDEX(TASA_EMP,COUNTIF(TASA_DESDE,"&lt;="&amp;B1179))))</f>
        <v/>
      </c>
    </row>
    <row r="1180" customFormat="false" ht="15" hidden="false" customHeight="false" outlineLevel="0" collapsed="false">
      <c r="B1180" s="78"/>
      <c r="C1180" s="64"/>
      <c r="D1180" s="72" t="str">
        <f aca="false">IF(C1180="","",IFERROR(INDEX(T_NOMBRE,MATCH(C1180,T_ID,0)),"⚠ ID no existe"))</f>
        <v/>
      </c>
      <c r="E1180" s="69"/>
      <c r="F1180" s="67"/>
      <c r="G1180" s="67"/>
      <c r="H1180" s="67"/>
      <c r="I1180" s="67"/>
      <c r="J1180" s="67"/>
      <c r="K1180" s="85" t="str">
        <f aca="false">IF(AH1180="","",N(F1180)+N(G1180)+N(H1180)-N(I1180)+N(J1180))</f>
        <v/>
      </c>
      <c r="L1180" s="67"/>
      <c r="M1180" s="67"/>
      <c r="N1180" s="67"/>
      <c r="O1180" s="67"/>
      <c r="P1180" s="85" t="str">
        <f aca="false">IF(AH1180="","",K1180+N(L1180)+N(M1180)+N(N1180)+N(O1180))</f>
        <v/>
      </c>
      <c r="Q1180" s="67"/>
      <c r="R1180" s="67"/>
      <c r="S1180" s="67"/>
      <c r="T1180" s="67"/>
      <c r="U1180" s="67"/>
      <c r="V1180" s="67"/>
      <c r="W1180" s="85" t="str">
        <f aca="false">IF(AH1180="","",N(Q1180)+N(R1180)+N(S1180)+N(T1180)+N(U1180)+N(V1180))</f>
        <v/>
      </c>
      <c r="X1180" s="85" t="str">
        <f aca="false">IF(AH1180="","",P1180-W1180)</f>
        <v/>
      </c>
      <c r="Y1180" s="67"/>
      <c r="Z1180" s="70" t="str">
        <f aca="false">IF(OR(AH1180="",Y1180=""),"",IF(ABS(X1180-Y1180)&lt;=1,"✓ Cuadra","⚠ Diferencia $"&amp;FIXED(X1180-Y1180,0)))</f>
        <v/>
      </c>
      <c r="AA1180" s="72" t="str">
        <f aca="false">IF(AH1180="","",IFERROR(INDEX(C_TIPO,MATCH(C1180&amp;"-P"&amp;MAX(1,COUNTIFS(C_ID,C1180,C_DEFINE,"Sí",C_INICIO,"&lt;="&amp;EOMONTH(B1180,0))),C_CLAVE,0))&amp;"","Sin dato"))</f>
        <v/>
      </c>
      <c r="AB1180" s="71" t="str">
        <f aca="false">IF(AH1180="","",ROUND(MIN(K1180,TOPE_AFP_UF*AJ1180)*AK1180,0))</f>
        <v/>
      </c>
      <c r="AC1180" s="71" t="str">
        <f aca="false">IF(AH1180="","",ROUND(MIN(K1180,TOPE_AFC_UF*AJ1180)*IF(AA1180="Indefinido",AFC_EMP_INDEF,AFC_EMP_PF),0))</f>
        <v/>
      </c>
      <c r="AD1180" s="71" t="str">
        <f aca="false">IF(AH1180="","",ROUND(MIN(K1180,TOPE_AFP_UF*AJ1180)*(MUTUAL_BASICA+MUTUAL_ADIC+SANNA),0))</f>
        <v/>
      </c>
      <c r="AE1180" s="71" t="str">
        <f aca="false">IF(AH1180="","",P1180-N(N1180)+AB1180+AC1180+AD1180)</f>
        <v/>
      </c>
      <c r="AF1180" s="65"/>
      <c r="AG1180" s="64"/>
      <c r="AH1180" s="72" t="str">
        <f aca="false">IF(OR(B1180="",C1180=""),"",C1180&amp;"|"&amp;(YEAR(B1180)*100+MONTH(B1180)))</f>
        <v/>
      </c>
      <c r="AI1180" s="70" t="str">
        <f aca="false">IF(AH1180="","",IF(COUNTIF(L_CLAVE,AH1180)&gt;1,"⚠ Duplicado","OK"))</f>
        <v/>
      </c>
      <c r="AJ1180" s="86" t="str">
        <f aca="false">IF(AH1180="","",IF(SUMPRODUCT(MAX((IND_PER&lt;=B1180)*(IND_UF&lt;&gt;"")*IND_PER))=0,UF_HOY,INDEX(IND_UF,MATCH(SUMPRODUCT(MAX((IND_PER&lt;=B1180)*(IND_UF&lt;&gt;"")*IND_PER)),IND_PER,0))))</f>
        <v/>
      </c>
      <c r="AK1180" s="87" t="str">
        <f aca="false">IF(AH1180="","",IF(COUNTIF(TASA_DESDE,"&lt;="&amp;B1180)=0,INDEX(TASA_EMP,1),INDEX(TASA_EMP,COUNTIF(TASA_DESDE,"&lt;="&amp;B1180))))</f>
        <v/>
      </c>
    </row>
    <row r="1181" customFormat="false" ht="15" hidden="false" customHeight="false" outlineLevel="0" collapsed="false">
      <c r="B1181" s="78"/>
      <c r="C1181" s="64"/>
      <c r="D1181" s="72" t="str">
        <f aca="false">IF(C1181="","",IFERROR(INDEX(T_NOMBRE,MATCH(C1181,T_ID,0)),"⚠ ID no existe"))</f>
        <v/>
      </c>
      <c r="E1181" s="69"/>
      <c r="F1181" s="67"/>
      <c r="G1181" s="67"/>
      <c r="H1181" s="67"/>
      <c r="I1181" s="67"/>
      <c r="J1181" s="67"/>
      <c r="K1181" s="85" t="str">
        <f aca="false">IF(AH1181="","",N(F1181)+N(G1181)+N(H1181)-N(I1181)+N(J1181))</f>
        <v/>
      </c>
      <c r="L1181" s="67"/>
      <c r="M1181" s="67"/>
      <c r="N1181" s="67"/>
      <c r="O1181" s="67"/>
      <c r="P1181" s="85" t="str">
        <f aca="false">IF(AH1181="","",K1181+N(L1181)+N(M1181)+N(N1181)+N(O1181))</f>
        <v/>
      </c>
      <c r="Q1181" s="67"/>
      <c r="R1181" s="67"/>
      <c r="S1181" s="67"/>
      <c r="T1181" s="67"/>
      <c r="U1181" s="67"/>
      <c r="V1181" s="67"/>
      <c r="W1181" s="85" t="str">
        <f aca="false">IF(AH1181="","",N(Q1181)+N(R1181)+N(S1181)+N(T1181)+N(U1181)+N(V1181))</f>
        <v/>
      </c>
      <c r="X1181" s="85" t="str">
        <f aca="false">IF(AH1181="","",P1181-W1181)</f>
        <v/>
      </c>
      <c r="Y1181" s="67"/>
      <c r="Z1181" s="70" t="str">
        <f aca="false">IF(OR(AH1181="",Y1181=""),"",IF(ABS(X1181-Y1181)&lt;=1,"✓ Cuadra","⚠ Diferencia $"&amp;FIXED(X1181-Y1181,0)))</f>
        <v/>
      </c>
      <c r="AA1181" s="72" t="str">
        <f aca="false">IF(AH1181="","",IFERROR(INDEX(C_TIPO,MATCH(C1181&amp;"-P"&amp;MAX(1,COUNTIFS(C_ID,C1181,C_DEFINE,"Sí",C_INICIO,"&lt;="&amp;EOMONTH(B1181,0))),C_CLAVE,0))&amp;"","Sin dato"))</f>
        <v/>
      </c>
      <c r="AB1181" s="71" t="str">
        <f aca="false">IF(AH1181="","",ROUND(MIN(K1181,TOPE_AFP_UF*AJ1181)*AK1181,0))</f>
        <v/>
      </c>
      <c r="AC1181" s="71" t="str">
        <f aca="false">IF(AH1181="","",ROUND(MIN(K1181,TOPE_AFC_UF*AJ1181)*IF(AA1181="Indefinido",AFC_EMP_INDEF,AFC_EMP_PF),0))</f>
        <v/>
      </c>
      <c r="AD1181" s="71" t="str">
        <f aca="false">IF(AH1181="","",ROUND(MIN(K1181,TOPE_AFP_UF*AJ1181)*(MUTUAL_BASICA+MUTUAL_ADIC+SANNA),0))</f>
        <v/>
      </c>
      <c r="AE1181" s="71" t="str">
        <f aca="false">IF(AH1181="","",P1181-N(N1181)+AB1181+AC1181+AD1181)</f>
        <v/>
      </c>
      <c r="AF1181" s="65"/>
      <c r="AG1181" s="64"/>
      <c r="AH1181" s="72" t="str">
        <f aca="false">IF(OR(B1181="",C1181=""),"",C1181&amp;"|"&amp;(YEAR(B1181)*100+MONTH(B1181)))</f>
        <v/>
      </c>
      <c r="AI1181" s="70" t="str">
        <f aca="false">IF(AH1181="","",IF(COUNTIF(L_CLAVE,AH1181)&gt;1,"⚠ Duplicado","OK"))</f>
        <v/>
      </c>
      <c r="AJ1181" s="86" t="str">
        <f aca="false">IF(AH1181="","",IF(SUMPRODUCT(MAX((IND_PER&lt;=B1181)*(IND_UF&lt;&gt;"")*IND_PER))=0,UF_HOY,INDEX(IND_UF,MATCH(SUMPRODUCT(MAX((IND_PER&lt;=B1181)*(IND_UF&lt;&gt;"")*IND_PER)),IND_PER,0))))</f>
        <v/>
      </c>
      <c r="AK1181" s="87" t="str">
        <f aca="false">IF(AH1181="","",IF(COUNTIF(TASA_DESDE,"&lt;="&amp;B1181)=0,INDEX(TASA_EMP,1),INDEX(TASA_EMP,COUNTIF(TASA_DESDE,"&lt;="&amp;B1181))))</f>
        <v/>
      </c>
    </row>
    <row r="1182" customFormat="false" ht="15" hidden="false" customHeight="false" outlineLevel="0" collapsed="false">
      <c r="B1182" s="78"/>
      <c r="C1182" s="64"/>
      <c r="D1182" s="72" t="str">
        <f aca="false">IF(C1182="","",IFERROR(INDEX(T_NOMBRE,MATCH(C1182,T_ID,0)),"⚠ ID no existe"))</f>
        <v/>
      </c>
      <c r="E1182" s="69"/>
      <c r="F1182" s="67"/>
      <c r="G1182" s="67"/>
      <c r="H1182" s="67"/>
      <c r="I1182" s="67"/>
      <c r="J1182" s="67"/>
      <c r="K1182" s="85" t="str">
        <f aca="false">IF(AH1182="","",N(F1182)+N(G1182)+N(H1182)-N(I1182)+N(J1182))</f>
        <v/>
      </c>
      <c r="L1182" s="67"/>
      <c r="M1182" s="67"/>
      <c r="N1182" s="67"/>
      <c r="O1182" s="67"/>
      <c r="P1182" s="85" t="str">
        <f aca="false">IF(AH1182="","",K1182+N(L1182)+N(M1182)+N(N1182)+N(O1182))</f>
        <v/>
      </c>
      <c r="Q1182" s="67"/>
      <c r="R1182" s="67"/>
      <c r="S1182" s="67"/>
      <c r="T1182" s="67"/>
      <c r="U1182" s="67"/>
      <c r="V1182" s="67"/>
      <c r="W1182" s="85" t="str">
        <f aca="false">IF(AH1182="","",N(Q1182)+N(R1182)+N(S1182)+N(T1182)+N(U1182)+N(V1182))</f>
        <v/>
      </c>
      <c r="X1182" s="85" t="str">
        <f aca="false">IF(AH1182="","",P1182-W1182)</f>
        <v/>
      </c>
      <c r="Y1182" s="67"/>
      <c r="Z1182" s="70" t="str">
        <f aca="false">IF(OR(AH1182="",Y1182=""),"",IF(ABS(X1182-Y1182)&lt;=1,"✓ Cuadra","⚠ Diferencia $"&amp;FIXED(X1182-Y1182,0)))</f>
        <v/>
      </c>
      <c r="AA1182" s="72" t="str">
        <f aca="false">IF(AH1182="","",IFERROR(INDEX(C_TIPO,MATCH(C1182&amp;"-P"&amp;MAX(1,COUNTIFS(C_ID,C1182,C_DEFINE,"Sí",C_INICIO,"&lt;="&amp;EOMONTH(B1182,0))),C_CLAVE,0))&amp;"","Sin dato"))</f>
        <v/>
      </c>
      <c r="AB1182" s="71" t="str">
        <f aca="false">IF(AH1182="","",ROUND(MIN(K1182,TOPE_AFP_UF*AJ1182)*AK1182,0))</f>
        <v/>
      </c>
      <c r="AC1182" s="71" t="str">
        <f aca="false">IF(AH1182="","",ROUND(MIN(K1182,TOPE_AFC_UF*AJ1182)*IF(AA1182="Indefinido",AFC_EMP_INDEF,AFC_EMP_PF),0))</f>
        <v/>
      </c>
      <c r="AD1182" s="71" t="str">
        <f aca="false">IF(AH1182="","",ROUND(MIN(K1182,TOPE_AFP_UF*AJ1182)*(MUTUAL_BASICA+MUTUAL_ADIC+SANNA),0))</f>
        <v/>
      </c>
      <c r="AE1182" s="71" t="str">
        <f aca="false">IF(AH1182="","",P1182-N(N1182)+AB1182+AC1182+AD1182)</f>
        <v/>
      </c>
      <c r="AF1182" s="65"/>
      <c r="AG1182" s="64"/>
      <c r="AH1182" s="72" t="str">
        <f aca="false">IF(OR(B1182="",C1182=""),"",C1182&amp;"|"&amp;(YEAR(B1182)*100+MONTH(B1182)))</f>
        <v/>
      </c>
      <c r="AI1182" s="70" t="str">
        <f aca="false">IF(AH1182="","",IF(COUNTIF(L_CLAVE,AH1182)&gt;1,"⚠ Duplicado","OK"))</f>
        <v/>
      </c>
      <c r="AJ1182" s="86" t="str">
        <f aca="false">IF(AH1182="","",IF(SUMPRODUCT(MAX((IND_PER&lt;=B1182)*(IND_UF&lt;&gt;"")*IND_PER))=0,UF_HOY,INDEX(IND_UF,MATCH(SUMPRODUCT(MAX((IND_PER&lt;=B1182)*(IND_UF&lt;&gt;"")*IND_PER)),IND_PER,0))))</f>
        <v/>
      </c>
      <c r="AK1182" s="87" t="str">
        <f aca="false">IF(AH1182="","",IF(COUNTIF(TASA_DESDE,"&lt;="&amp;B1182)=0,INDEX(TASA_EMP,1),INDEX(TASA_EMP,COUNTIF(TASA_DESDE,"&lt;="&amp;B1182))))</f>
        <v/>
      </c>
    </row>
    <row r="1183" customFormat="false" ht="15" hidden="false" customHeight="false" outlineLevel="0" collapsed="false">
      <c r="B1183" s="78"/>
      <c r="C1183" s="64"/>
      <c r="D1183" s="72" t="str">
        <f aca="false">IF(C1183="","",IFERROR(INDEX(T_NOMBRE,MATCH(C1183,T_ID,0)),"⚠ ID no existe"))</f>
        <v/>
      </c>
      <c r="E1183" s="69"/>
      <c r="F1183" s="67"/>
      <c r="G1183" s="67"/>
      <c r="H1183" s="67"/>
      <c r="I1183" s="67"/>
      <c r="J1183" s="67"/>
      <c r="K1183" s="85" t="str">
        <f aca="false">IF(AH1183="","",N(F1183)+N(G1183)+N(H1183)-N(I1183)+N(J1183))</f>
        <v/>
      </c>
      <c r="L1183" s="67"/>
      <c r="M1183" s="67"/>
      <c r="N1183" s="67"/>
      <c r="O1183" s="67"/>
      <c r="P1183" s="85" t="str">
        <f aca="false">IF(AH1183="","",K1183+N(L1183)+N(M1183)+N(N1183)+N(O1183))</f>
        <v/>
      </c>
      <c r="Q1183" s="67"/>
      <c r="R1183" s="67"/>
      <c r="S1183" s="67"/>
      <c r="T1183" s="67"/>
      <c r="U1183" s="67"/>
      <c r="V1183" s="67"/>
      <c r="W1183" s="85" t="str">
        <f aca="false">IF(AH1183="","",N(Q1183)+N(R1183)+N(S1183)+N(T1183)+N(U1183)+N(V1183))</f>
        <v/>
      </c>
      <c r="X1183" s="85" t="str">
        <f aca="false">IF(AH1183="","",P1183-W1183)</f>
        <v/>
      </c>
      <c r="Y1183" s="67"/>
      <c r="Z1183" s="70" t="str">
        <f aca="false">IF(OR(AH1183="",Y1183=""),"",IF(ABS(X1183-Y1183)&lt;=1,"✓ Cuadra","⚠ Diferencia $"&amp;FIXED(X1183-Y1183,0)))</f>
        <v/>
      </c>
      <c r="AA1183" s="72" t="str">
        <f aca="false">IF(AH1183="","",IFERROR(INDEX(C_TIPO,MATCH(C1183&amp;"-P"&amp;MAX(1,COUNTIFS(C_ID,C1183,C_DEFINE,"Sí",C_INICIO,"&lt;="&amp;EOMONTH(B1183,0))),C_CLAVE,0))&amp;"","Sin dato"))</f>
        <v/>
      </c>
      <c r="AB1183" s="71" t="str">
        <f aca="false">IF(AH1183="","",ROUND(MIN(K1183,TOPE_AFP_UF*AJ1183)*AK1183,0))</f>
        <v/>
      </c>
      <c r="AC1183" s="71" t="str">
        <f aca="false">IF(AH1183="","",ROUND(MIN(K1183,TOPE_AFC_UF*AJ1183)*IF(AA1183="Indefinido",AFC_EMP_INDEF,AFC_EMP_PF),0))</f>
        <v/>
      </c>
      <c r="AD1183" s="71" t="str">
        <f aca="false">IF(AH1183="","",ROUND(MIN(K1183,TOPE_AFP_UF*AJ1183)*(MUTUAL_BASICA+MUTUAL_ADIC+SANNA),0))</f>
        <v/>
      </c>
      <c r="AE1183" s="71" t="str">
        <f aca="false">IF(AH1183="","",P1183-N(N1183)+AB1183+AC1183+AD1183)</f>
        <v/>
      </c>
      <c r="AF1183" s="65"/>
      <c r="AG1183" s="64"/>
      <c r="AH1183" s="72" t="str">
        <f aca="false">IF(OR(B1183="",C1183=""),"",C1183&amp;"|"&amp;(YEAR(B1183)*100+MONTH(B1183)))</f>
        <v/>
      </c>
      <c r="AI1183" s="70" t="str">
        <f aca="false">IF(AH1183="","",IF(COUNTIF(L_CLAVE,AH1183)&gt;1,"⚠ Duplicado","OK"))</f>
        <v/>
      </c>
      <c r="AJ1183" s="86" t="str">
        <f aca="false">IF(AH1183="","",IF(SUMPRODUCT(MAX((IND_PER&lt;=B1183)*(IND_UF&lt;&gt;"")*IND_PER))=0,UF_HOY,INDEX(IND_UF,MATCH(SUMPRODUCT(MAX((IND_PER&lt;=B1183)*(IND_UF&lt;&gt;"")*IND_PER)),IND_PER,0))))</f>
        <v/>
      </c>
      <c r="AK1183" s="87" t="str">
        <f aca="false">IF(AH1183="","",IF(COUNTIF(TASA_DESDE,"&lt;="&amp;B1183)=0,INDEX(TASA_EMP,1),INDEX(TASA_EMP,COUNTIF(TASA_DESDE,"&lt;="&amp;B1183))))</f>
        <v/>
      </c>
    </row>
    <row r="1184" customFormat="false" ht="15" hidden="false" customHeight="false" outlineLevel="0" collapsed="false">
      <c r="B1184" s="78"/>
      <c r="C1184" s="64"/>
      <c r="D1184" s="72" t="str">
        <f aca="false">IF(C1184="","",IFERROR(INDEX(T_NOMBRE,MATCH(C1184,T_ID,0)),"⚠ ID no existe"))</f>
        <v/>
      </c>
      <c r="E1184" s="69"/>
      <c r="F1184" s="67"/>
      <c r="G1184" s="67"/>
      <c r="H1184" s="67"/>
      <c r="I1184" s="67"/>
      <c r="J1184" s="67"/>
      <c r="K1184" s="85" t="str">
        <f aca="false">IF(AH1184="","",N(F1184)+N(G1184)+N(H1184)-N(I1184)+N(J1184))</f>
        <v/>
      </c>
      <c r="L1184" s="67"/>
      <c r="M1184" s="67"/>
      <c r="N1184" s="67"/>
      <c r="O1184" s="67"/>
      <c r="P1184" s="85" t="str">
        <f aca="false">IF(AH1184="","",K1184+N(L1184)+N(M1184)+N(N1184)+N(O1184))</f>
        <v/>
      </c>
      <c r="Q1184" s="67"/>
      <c r="R1184" s="67"/>
      <c r="S1184" s="67"/>
      <c r="T1184" s="67"/>
      <c r="U1184" s="67"/>
      <c r="V1184" s="67"/>
      <c r="W1184" s="85" t="str">
        <f aca="false">IF(AH1184="","",N(Q1184)+N(R1184)+N(S1184)+N(T1184)+N(U1184)+N(V1184))</f>
        <v/>
      </c>
      <c r="X1184" s="85" t="str">
        <f aca="false">IF(AH1184="","",P1184-W1184)</f>
        <v/>
      </c>
      <c r="Y1184" s="67"/>
      <c r="Z1184" s="70" t="str">
        <f aca="false">IF(OR(AH1184="",Y1184=""),"",IF(ABS(X1184-Y1184)&lt;=1,"✓ Cuadra","⚠ Diferencia $"&amp;FIXED(X1184-Y1184,0)))</f>
        <v/>
      </c>
      <c r="AA1184" s="72" t="str">
        <f aca="false">IF(AH1184="","",IFERROR(INDEX(C_TIPO,MATCH(C1184&amp;"-P"&amp;MAX(1,COUNTIFS(C_ID,C1184,C_DEFINE,"Sí",C_INICIO,"&lt;="&amp;EOMONTH(B1184,0))),C_CLAVE,0))&amp;"","Sin dato"))</f>
        <v/>
      </c>
      <c r="AB1184" s="71" t="str">
        <f aca="false">IF(AH1184="","",ROUND(MIN(K1184,TOPE_AFP_UF*AJ1184)*AK1184,0))</f>
        <v/>
      </c>
      <c r="AC1184" s="71" t="str">
        <f aca="false">IF(AH1184="","",ROUND(MIN(K1184,TOPE_AFC_UF*AJ1184)*IF(AA1184="Indefinido",AFC_EMP_INDEF,AFC_EMP_PF),0))</f>
        <v/>
      </c>
      <c r="AD1184" s="71" t="str">
        <f aca="false">IF(AH1184="","",ROUND(MIN(K1184,TOPE_AFP_UF*AJ1184)*(MUTUAL_BASICA+MUTUAL_ADIC+SANNA),0))</f>
        <v/>
      </c>
      <c r="AE1184" s="71" t="str">
        <f aca="false">IF(AH1184="","",P1184-N(N1184)+AB1184+AC1184+AD1184)</f>
        <v/>
      </c>
      <c r="AF1184" s="65"/>
      <c r="AG1184" s="64"/>
      <c r="AH1184" s="72" t="str">
        <f aca="false">IF(OR(B1184="",C1184=""),"",C1184&amp;"|"&amp;(YEAR(B1184)*100+MONTH(B1184)))</f>
        <v/>
      </c>
      <c r="AI1184" s="70" t="str">
        <f aca="false">IF(AH1184="","",IF(COUNTIF(L_CLAVE,AH1184)&gt;1,"⚠ Duplicado","OK"))</f>
        <v/>
      </c>
      <c r="AJ1184" s="86" t="str">
        <f aca="false">IF(AH1184="","",IF(SUMPRODUCT(MAX((IND_PER&lt;=B1184)*(IND_UF&lt;&gt;"")*IND_PER))=0,UF_HOY,INDEX(IND_UF,MATCH(SUMPRODUCT(MAX((IND_PER&lt;=B1184)*(IND_UF&lt;&gt;"")*IND_PER)),IND_PER,0))))</f>
        <v/>
      </c>
      <c r="AK1184" s="87" t="str">
        <f aca="false">IF(AH1184="","",IF(COUNTIF(TASA_DESDE,"&lt;="&amp;B1184)=0,INDEX(TASA_EMP,1),INDEX(TASA_EMP,COUNTIF(TASA_DESDE,"&lt;="&amp;B1184))))</f>
        <v/>
      </c>
    </row>
    <row r="1185" customFormat="false" ht="15" hidden="false" customHeight="false" outlineLevel="0" collapsed="false">
      <c r="B1185" s="78"/>
      <c r="C1185" s="64"/>
      <c r="D1185" s="72" t="str">
        <f aca="false">IF(C1185="","",IFERROR(INDEX(T_NOMBRE,MATCH(C1185,T_ID,0)),"⚠ ID no existe"))</f>
        <v/>
      </c>
      <c r="E1185" s="69"/>
      <c r="F1185" s="67"/>
      <c r="G1185" s="67"/>
      <c r="H1185" s="67"/>
      <c r="I1185" s="67"/>
      <c r="J1185" s="67"/>
      <c r="K1185" s="85" t="str">
        <f aca="false">IF(AH1185="","",N(F1185)+N(G1185)+N(H1185)-N(I1185)+N(J1185))</f>
        <v/>
      </c>
      <c r="L1185" s="67"/>
      <c r="M1185" s="67"/>
      <c r="N1185" s="67"/>
      <c r="O1185" s="67"/>
      <c r="P1185" s="85" t="str">
        <f aca="false">IF(AH1185="","",K1185+N(L1185)+N(M1185)+N(N1185)+N(O1185))</f>
        <v/>
      </c>
      <c r="Q1185" s="67"/>
      <c r="R1185" s="67"/>
      <c r="S1185" s="67"/>
      <c r="T1185" s="67"/>
      <c r="U1185" s="67"/>
      <c r="V1185" s="67"/>
      <c r="W1185" s="85" t="str">
        <f aca="false">IF(AH1185="","",N(Q1185)+N(R1185)+N(S1185)+N(T1185)+N(U1185)+N(V1185))</f>
        <v/>
      </c>
      <c r="X1185" s="85" t="str">
        <f aca="false">IF(AH1185="","",P1185-W1185)</f>
        <v/>
      </c>
      <c r="Y1185" s="67"/>
      <c r="Z1185" s="70" t="str">
        <f aca="false">IF(OR(AH1185="",Y1185=""),"",IF(ABS(X1185-Y1185)&lt;=1,"✓ Cuadra","⚠ Diferencia $"&amp;FIXED(X1185-Y1185,0)))</f>
        <v/>
      </c>
      <c r="AA1185" s="72" t="str">
        <f aca="false">IF(AH1185="","",IFERROR(INDEX(C_TIPO,MATCH(C1185&amp;"-P"&amp;MAX(1,COUNTIFS(C_ID,C1185,C_DEFINE,"Sí",C_INICIO,"&lt;="&amp;EOMONTH(B1185,0))),C_CLAVE,0))&amp;"","Sin dato"))</f>
        <v/>
      </c>
      <c r="AB1185" s="71" t="str">
        <f aca="false">IF(AH1185="","",ROUND(MIN(K1185,TOPE_AFP_UF*AJ1185)*AK1185,0))</f>
        <v/>
      </c>
      <c r="AC1185" s="71" t="str">
        <f aca="false">IF(AH1185="","",ROUND(MIN(K1185,TOPE_AFC_UF*AJ1185)*IF(AA1185="Indefinido",AFC_EMP_INDEF,AFC_EMP_PF),0))</f>
        <v/>
      </c>
      <c r="AD1185" s="71" t="str">
        <f aca="false">IF(AH1185="","",ROUND(MIN(K1185,TOPE_AFP_UF*AJ1185)*(MUTUAL_BASICA+MUTUAL_ADIC+SANNA),0))</f>
        <v/>
      </c>
      <c r="AE1185" s="71" t="str">
        <f aca="false">IF(AH1185="","",P1185-N(N1185)+AB1185+AC1185+AD1185)</f>
        <v/>
      </c>
      <c r="AF1185" s="65"/>
      <c r="AG1185" s="64"/>
      <c r="AH1185" s="72" t="str">
        <f aca="false">IF(OR(B1185="",C1185=""),"",C1185&amp;"|"&amp;(YEAR(B1185)*100+MONTH(B1185)))</f>
        <v/>
      </c>
      <c r="AI1185" s="70" t="str">
        <f aca="false">IF(AH1185="","",IF(COUNTIF(L_CLAVE,AH1185)&gt;1,"⚠ Duplicado","OK"))</f>
        <v/>
      </c>
      <c r="AJ1185" s="86" t="str">
        <f aca="false">IF(AH1185="","",IF(SUMPRODUCT(MAX((IND_PER&lt;=B1185)*(IND_UF&lt;&gt;"")*IND_PER))=0,UF_HOY,INDEX(IND_UF,MATCH(SUMPRODUCT(MAX((IND_PER&lt;=B1185)*(IND_UF&lt;&gt;"")*IND_PER)),IND_PER,0))))</f>
        <v/>
      </c>
      <c r="AK1185" s="87" t="str">
        <f aca="false">IF(AH1185="","",IF(COUNTIF(TASA_DESDE,"&lt;="&amp;B1185)=0,INDEX(TASA_EMP,1),INDEX(TASA_EMP,COUNTIF(TASA_DESDE,"&lt;="&amp;B1185))))</f>
        <v/>
      </c>
    </row>
    <row r="1186" customFormat="false" ht="15" hidden="false" customHeight="false" outlineLevel="0" collapsed="false">
      <c r="B1186" s="78"/>
      <c r="C1186" s="64"/>
      <c r="D1186" s="72" t="str">
        <f aca="false">IF(C1186="","",IFERROR(INDEX(T_NOMBRE,MATCH(C1186,T_ID,0)),"⚠ ID no existe"))</f>
        <v/>
      </c>
      <c r="E1186" s="69"/>
      <c r="F1186" s="67"/>
      <c r="G1186" s="67"/>
      <c r="H1186" s="67"/>
      <c r="I1186" s="67"/>
      <c r="J1186" s="67"/>
      <c r="K1186" s="85" t="str">
        <f aca="false">IF(AH1186="","",N(F1186)+N(G1186)+N(H1186)-N(I1186)+N(J1186))</f>
        <v/>
      </c>
      <c r="L1186" s="67"/>
      <c r="M1186" s="67"/>
      <c r="N1186" s="67"/>
      <c r="O1186" s="67"/>
      <c r="P1186" s="85" t="str">
        <f aca="false">IF(AH1186="","",K1186+N(L1186)+N(M1186)+N(N1186)+N(O1186))</f>
        <v/>
      </c>
      <c r="Q1186" s="67"/>
      <c r="R1186" s="67"/>
      <c r="S1186" s="67"/>
      <c r="T1186" s="67"/>
      <c r="U1186" s="67"/>
      <c r="V1186" s="67"/>
      <c r="W1186" s="85" t="str">
        <f aca="false">IF(AH1186="","",N(Q1186)+N(R1186)+N(S1186)+N(T1186)+N(U1186)+N(V1186))</f>
        <v/>
      </c>
      <c r="X1186" s="85" t="str">
        <f aca="false">IF(AH1186="","",P1186-W1186)</f>
        <v/>
      </c>
      <c r="Y1186" s="67"/>
      <c r="Z1186" s="70" t="str">
        <f aca="false">IF(OR(AH1186="",Y1186=""),"",IF(ABS(X1186-Y1186)&lt;=1,"✓ Cuadra","⚠ Diferencia $"&amp;FIXED(X1186-Y1186,0)))</f>
        <v/>
      </c>
      <c r="AA1186" s="72" t="str">
        <f aca="false">IF(AH1186="","",IFERROR(INDEX(C_TIPO,MATCH(C1186&amp;"-P"&amp;MAX(1,COUNTIFS(C_ID,C1186,C_DEFINE,"Sí",C_INICIO,"&lt;="&amp;EOMONTH(B1186,0))),C_CLAVE,0))&amp;"","Sin dato"))</f>
        <v/>
      </c>
      <c r="AB1186" s="71" t="str">
        <f aca="false">IF(AH1186="","",ROUND(MIN(K1186,TOPE_AFP_UF*AJ1186)*AK1186,0))</f>
        <v/>
      </c>
      <c r="AC1186" s="71" t="str">
        <f aca="false">IF(AH1186="","",ROUND(MIN(K1186,TOPE_AFC_UF*AJ1186)*IF(AA1186="Indefinido",AFC_EMP_INDEF,AFC_EMP_PF),0))</f>
        <v/>
      </c>
      <c r="AD1186" s="71" t="str">
        <f aca="false">IF(AH1186="","",ROUND(MIN(K1186,TOPE_AFP_UF*AJ1186)*(MUTUAL_BASICA+MUTUAL_ADIC+SANNA),0))</f>
        <v/>
      </c>
      <c r="AE1186" s="71" t="str">
        <f aca="false">IF(AH1186="","",P1186-N(N1186)+AB1186+AC1186+AD1186)</f>
        <v/>
      </c>
      <c r="AF1186" s="65"/>
      <c r="AG1186" s="64"/>
      <c r="AH1186" s="72" t="str">
        <f aca="false">IF(OR(B1186="",C1186=""),"",C1186&amp;"|"&amp;(YEAR(B1186)*100+MONTH(B1186)))</f>
        <v/>
      </c>
      <c r="AI1186" s="70" t="str">
        <f aca="false">IF(AH1186="","",IF(COUNTIF(L_CLAVE,AH1186)&gt;1,"⚠ Duplicado","OK"))</f>
        <v/>
      </c>
      <c r="AJ1186" s="86" t="str">
        <f aca="false">IF(AH1186="","",IF(SUMPRODUCT(MAX((IND_PER&lt;=B1186)*(IND_UF&lt;&gt;"")*IND_PER))=0,UF_HOY,INDEX(IND_UF,MATCH(SUMPRODUCT(MAX((IND_PER&lt;=B1186)*(IND_UF&lt;&gt;"")*IND_PER)),IND_PER,0))))</f>
        <v/>
      </c>
      <c r="AK1186" s="87" t="str">
        <f aca="false">IF(AH1186="","",IF(COUNTIF(TASA_DESDE,"&lt;="&amp;B1186)=0,INDEX(TASA_EMP,1),INDEX(TASA_EMP,COUNTIF(TASA_DESDE,"&lt;="&amp;B1186))))</f>
        <v/>
      </c>
    </row>
    <row r="1187" customFormat="false" ht="15" hidden="false" customHeight="false" outlineLevel="0" collapsed="false">
      <c r="B1187" s="78"/>
      <c r="C1187" s="64"/>
      <c r="D1187" s="72" t="str">
        <f aca="false">IF(C1187="","",IFERROR(INDEX(T_NOMBRE,MATCH(C1187,T_ID,0)),"⚠ ID no existe"))</f>
        <v/>
      </c>
      <c r="E1187" s="69"/>
      <c r="F1187" s="67"/>
      <c r="G1187" s="67"/>
      <c r="H1187" s="67"/>
      <c r="I1187" s="67"/>
      <c r="J1187" s="67"/>
      <c r="K1187" s="85" t="str">
        <f aca="false">IF(AH1187="","",N(F1187)+N(G1187)+N(H1187)-N(I1187)+N(J1187))</f>
        <v/>
      </c>
      <c r="L1187" s="67"/>
      <c r="M1187" s="67"/>
      <c r="N1187" s="67"/>
      <c r="O1187" s="67"/>
      <c r="P1187" s="85" t="str">
        <f aca="false">IF(AH1187="","",K1187+N(L1187)+N(M1187)+N(N1187)+N(O1187))</f>
        <v/>
      </c>
      <c r="Q1187" s="67"/>
      <c r="R1187" s="67"/>
      <c r="S1187" s="67"/>
      <c r="T1187" s="67"/>
      <c r="U1187" s="67"/>
      <c r="V1187" s="67"/>
      <c r="W1187" s="85" t="str">
        <f aca="false">IF(AH1187="","",N(Q1187)+N(R1187)+N(S1187)+N(T1187)+N(U1187)+N(V1187))</f>
        <v/>
      </c>
      <c r="X1187" s="85" t="str">
        <f aca="false">IF(AH1187="","",P1187-W1187)</f>
        <v/>
      </c>
      <c r="Y1187" s="67"/>
      <c r="Z1187" s="70" t="str">
        <f aca="false">IF(OR(AH1187="",Y1187=""),"",IF(ABS(X1187-Y1187)&lt;=1,"✓ Cuadra","⚠ Diferencia $"&amp;FIXED(X1187-Y1187,0)))</f>
        <v/>
      </c>
      <c r="AA1187" s="72" t="str">
        <f aca="false">IF(AH1187="","",IFERROR(INDEX(C_TIPO,MATCH(C1187&amp;"-P"&amp;MAX(1,COUNTIFS(C_ID,C1187,C_DEFINE,"Sí",C_INICIO,"&lt;="&amp;EOMONTH(B1187,0))),C_CLAVE,0))&amp;"","Sin dato"))</f>
        <v/>
      </c>
      <c r="AB1187" s="71" t="str">
        <f aca="false">IF(AH1187="","",ROUND(MIN(K1187,TOPE_AFP_UF*AJ1187)*AK1187,0))</f>
        <v/>
      </c>
      <c r="AC1187" s="71" t="str">
        <f aca="false">IF(AH1187="","",ROUND(MIN(K1187,TOPE_AFC_UF*AJ1187)*IF(AA1187="Indefinido",AFC_EMP_INDEF,AFC_EMP_PF),0))</f>
        <v/>
      </c>
      <c r="AD1187" s="71" t="str">
        <f aca="false">IF(AH1187="","",ROUND(MIN(K1187,TOPE_AFP_UF*AJ1187)*(MUTUAL_BASICA+MUTUAL_ADIC+SANNA),0))</f>
        <v/>
      </c>
      <c r="AE1187" s="71" t="str">
        <f aca="false">IF(AH1187="","",P1187-N(N1187)+AB1187+AC1187+AD1187)</f>
        <v/>
      </c>
      <c r="AF1187" s="65"/>
      <c r="AG1187" s="64"/>
      <c r="AH1187" s="72" t="str">
        <f aca="false">IF(OR(B1187="",C1187=""),"",C1187&amp;"|"&amp;(YEAR(B1187)*100+MONTH(B1187)))</f>
        <v/>
      </c>
      <c r="AI1187" s="70" t="str">
        <f aca="false">IF(AH1187="","",IF(COUNTIF(L_CLAVE,AH1187)&gt;1,"⚠ Duplicado","OK"))</f>
        <v/>
      </c>
      <c r="AJ1187" s="86" t="str">
        <f aca="false">IF(AH1187="","",IF(SUMPRODUCT(MAX((IND_PER&lt;=B1187)*(IND_UF&lt;&gt;"")*IND_PER))=0,UF_HOY,INDEX(IND_UF,MATCH(SUMPRODUCT(MAX((IND_PER&lt;=B1187)*(IND_UF&lt;&gt;"")*IND_PER)),IND_PER,0))))</f>
        <v/>
      </c>
      <c r="AK1187" s="87" t="str">
        <f aca="false">IF(AH1187="","",IF(COUNTIF(TASA_DESDE,"&lt;="&amp;B1187)=0,INDEX(TASA_EMP,1),INDEX(TASA_EMP,COUNTIF(TASA_DESDE,"&lt;="&amp;B1187))))</f>
        <v/>
      </c>
    </row>
    <row r="1188" customFormat="false" ht="15" hidden="false" customHeight="false" outlineLevel="0" collapsed="false">
      <c r="B1188" s="78"/>
      <c r="C1188" s="64"/>
      <c r="D1188" s="72" t="str">
        <f aca="false">IF(C1188="","",IFERROR(INDEX(T_NOMBRE,MATCH(C1188,T_ID,0)),"⚠ ID no existe"))</f>
        <v/>
      </c>
      <c r="E1188" s="69"/>
      <c r="F1188" s="67"/>
      <c r="G1188" s="67"/>
      <c r="H1188" s="67"/>
      <c r="I1188" s="67"/>
      <c r="J1188" s="67"/>
      <c r="K1188" s="85" t="str">
        <f aca="false">IF(AH1188="","",N(F1188)+N(G1188)+N(H1188)-N(I1188)+N(J1188))</f>
        <v/>
      </c>
      <c r="L1188" s="67"/>
      <c r="M1188" s="67"/>
      <c r="N1188" s="67"/>
      <c r="O1188" s="67"/>
      <c r="P1188" s="85" t="str">
        <f aca="false">IF(AH1188="","",K1188+N(L1188)+N(M1188)+N(N1188)+N(O1188))</f>
        <v/>
      </c>
      <c r="Q1188" s="67"/>
      <c r="R1188" s="67"/>
      <c r="S1188" s="67"/>
      <c r="T1188" s="67"/>
      <c r="U1188" s="67"/>
      <c r="V1188" s="67"/>
      <c r="W1188" s="85" t="str">
        <f aca="false">IF(AH1188="","",N(Q1188)+N(R1188)+N(S1188)+N(T1188)+N(U1188)+N(V1188))</f>
        <v/>
      </c>
      <c r="X1188" s="85" t="str">
        <f aca="false">IF(AH1188="","",P1188-W1188)</f>
        <v/>
      </c>
      <c r="Y1188" s="67"/>
      <c r="Z1188" s="70" t="str">
        <f aca="false">IF(OR(AH1188="",Y1188=""),"",IF(ABS(X1188-Y1188)&lt;=1,"✓ Cuadra","⚠ Diferencia $"&amp;FIXED(X1188-Y1188,0)))</f>
        <v/>
      </c>
      <c r="AA1188" s="72" t="str">
        <f aca="false">IF(AH1188="","",IFERROR(INDEX(C_TIPO,MATCH(C1188&amp;"-P"&amp;MAX(1,COUNTIFS(C_ID,C1188,C_DEFINE,"Sí",C_INICIO,"&lt;="&amp;EOMONTH(B1188,0))),C_CLAVE,0))&amp;"","Sin dato"))</f>
        <v/>
      </c>
      <c r="AB1188" s="71" t="str">
        <f aca="false">IF(AH1188="","",ROUND(MIN(K1188,TOPE_AFP_UF*AJ1188)*AK1188,0))</f>
        <v/>
      </c>
      <c r="AC1188" s="71" t="str">
        <f aca="false">IF(AH1188="","",ROUND(MIN(K1188,TOPE_AFC_UF*AJ1188)*IF(AA1188="Indefinido",AFC_EMP_INDEF,AFC_EMP_PF),0))</f>
        <v/>
      </c>
      <c r="AD1188" s="71" t="str">
        <f aca="false">IF(AH1188="","",ROUND(MIN(K1188,TOPE_AFP_UF*AJ1188)*(MUTUAL_BASICA+MUTUAL_ADIC+SANNA),0))</f>
        <v/>
      </c>
      <c r="AE1188" s="71" t="str">
        <f aca="false">IF(AH1188="","",P1188-N(N1188)+AB1188+AC1188+AD1188)</f>
        <v/>
      </c>
      <c r="AF1188" s="65"/>
      <c r="AG1188" s="64"/>
      <c r="AH1188" s="72" t="str">
        <f aca="false">IF(OR(B1188="",C1188=""),"",C1188&amp;"|"&amp;(YEAR(B1188)*100+MONTH(B1188)))</f>
        <v/>
      </c>
      <c r="AI1188" s="70" t="str">
        <f aca="false">IF(AH1188="","",IF(COUNTIF(L_CLAVE,AH1188)&gt;1,"⚠ Duplicado","OK"))</f>
        <v/>
      </c>
      <c r="AJ1188" s="86" t="str">
        <f aca="false">IF(AH1188="","",IF(SUMPRODUCT(MAX((IND_PER&lt;=B1188)*(IND_UF&lt;&gt;"")*IND_PER))=0,UF_HOY,INDEX(IND_UF,MATCH(SUMPRODUCT(MAX((IND_PER&lt;=B1188)*(IND_UF&lt;&gt;"")*IND_PER)),IND_PER,0))))</f>
        <v/>
      </c>
      <c r="AK1188" s="87" t="str">
        <f aca="false">IF(AH1188="","",IF(COUNTIF(TASA_DESDE,"&lt;="&amp;B1188)=0,INDEX(TASA_EMP,1),INDEX(TASA_EMP,COUNTIF(TASA_DESDE,"&lt;="&amp;B1188))))</f>
        <v/>
      </c>
    </row>
    <row r="1189" customFormat="false" ht="15" hidden="false" customHeight="false" outlineLevel="0" collapsed="false">
      <c r="B1189" s="78"/>
      <c r="C1189" s="64"/>
      <c r="D1189" s="72" t="str">
        <f aca="false">IF(C1189="","",IFERROR(INDEX(T_NOMBRE,MATCH(C1189,T_ID,0)),"⚠ ID no existe"))</f>
        <v/>
      </c>
      <c r="E1189" s="69"/>
      <c r="F1189" s="67"/>
      <c r="G1189" s="67"/>
      <c r="H1189" s="67"/>
      <c r="I1189" s="67"/>
      <c r="J1189" s="67"/>
      <c r="K1189" s="85" t="str">
        <f aca="false">IF(AH1189="","",N(F1189)+N(G1189)+N(H1189)-N(I1189)+N(J1189))</f>
        <v/>
      </c>
      <c r="L1189" s="67"/>
      <c r="M1189" s="67"/>
      <c r="N1189" s="67"/>
      <c r="O1189" s="67"/>
      <c r="P1189" s="85" t="str">
        <f aca="false">IF(AH1189="","",K1189+N(L1189)+N(M1189)+N(N1189)+N(O1189))</f>
        <v/>
      </c>
      <c r="Q1189" s="67"/>
      <c r="R1189" s="67"/>
      <c r="S1189" s="67"/>
      <c r="T1189" s="67"/>
      <c r="U1189" s="67"/>
      <c r="V1189" s="67"/>
      <c r="W1189" s="85" t="str">
        <f aca="false">IF(AH1189="","",N(Q1189)+N(R1189)+N(S1189)+N(T1189)+N(U1189)+N(V1189))</f>
        <v/>
      </c>
      <c r="X1189" s="85" t="str">
        <f aca="false">IF(AH1189="","",P1189-W1189)</f>
        <v/>
      </c>
      <c r="Y1189" s="67"/>
      <c r="Z1189" s="70" t="str">
        <f aca="false">IF(OR(AH1189="",Y1189=""),"",IF(ABS(X1189-Y1189)&lt;=1,"✓ Cuadra","⚠ Diferencia $"&amp;FIXED(X1189-Y1189,0)))</f>
        <v/>
      </c>
      <c r="AA1189" s="72" t="str">
        <f aca="false">IF(AH1189="","",IFERROR(INDEX(C_TIPO,MATCH(C1189&amp;"-P"&amp;MAX(1,COUNTIFS(C_ID,C1189,C_DEFINE,"Sí",C_INICIO,"&lt;="&amp;EOMONTH(B1189,0))),C_CLAVE,0))&amp;"","Sin dato"))</f>
        <v/>
      </c>
      <c r="AB1189" s="71" t="str">
        <f aca="false">IF(AH1189="","",ROUND(MIN(K1189,TOPE_AFP_UF*AJ1189)*AK1189,0))</f>
        <v/>
      </c>
      <c r="AC1189" s="71" t="str">
        <f aca="false">IF(AH1189="","",ROUND(MIN(K1189,TOPE_AFC_UF*AJ1189)*IF(AA1189="Indefinido",AFC_EMP_INDEF,AFC_EMP_PF),0))</f>
        <v/>
      </c>
      <c r="AD1189" s="71" t="str">
        <f aca="false">IF(AH1189="","",ROUND(MIN(K1189,TOPE_AFP_UF*AJ1189)*(MUTUAL_BASICA+MUTUAL_ADIC+SANNA),0))</f>
        <v/>
      </c>
      <c r="AE1189" s="71" t="str">
        <f aca="false">IF(AH1189="","",P1189-N(N1189)+AB1189+AC1189+AD1189)</f>
        <v/>
      </c>
      <c r="AF1189" s="65"/>
      <c r="AG1189" s="64"/>
      <c r="AH1189" s="72" t="str">
        <f aca="false">IF(OR(B1189="",C1189=""),"",C1189&amp;"|"&amp;(YEAR(B1189)*100+MONTH(B1189)))</f>
        <v/>
      </c>
      <c r="AI1189" s="70" t="str">
        <f aca="false">IF(AH1189="","",IF(COUNTIF(L_CLAVE,AH1189)&gt;1,"⚠ Duplicado","OK"))</f>
        <v/>
      </c>
      <c r="AJ1189" s="86" t="str">
        <f aca="false">IF(AH1189="","",IF(SUMPRODUCT(MAX((IND_PER&lt;=B1189)*(IND_UF&lt;&gt;"")*IND_PER))=0,UF_HOY,INDEX(IND_UF,MATCH(SUMPRODUCT(MAX((IND_PER&lt;=B1189)*(IND_UF&lt;&gt;"")*IND_PER)),IND_PER,0))))</f>
        <v/>
      </c>
      <c r="AK1189" s="87" t="str">
        <f aca="false">IF(AH1189="","",IF(COUNTIF(TASA_DESDE,"&lt;="&amp;B1189)=0,INDEX(TASA_EMP,1),INDEX(TASA_EMP,COUNTIF(TASA_DESDE,"&lt;="&amp;B1189))))</f>
        <v/>
      </c>
    </row>
    <row r="1190" customFormat="false" ht="15" hidden="false" customHeight="false" outlineLevel="0" collapsed="false">
      <c r="B1190" s="78"/>
      <c r="C1190" s="64"/>
      <c r="D1190" s="72" t="str">
        <f aca="false">IF(C1190="","",IFERROR(INDEX(T_NOMBRE,MATCH(C1190,T_ID,0)),"⚠ ID no existe"))</f>
        <v/>
      </c>
      <c r="E1190" s="69"/>
      <c r="F1190" s="67"/>
      <c r="G1190" s="67"/>
      <c r="H1190" s="67"/>
      <c r="I1190" s="67"/>
      <c r="J1190" s="67"/>
      <c r="K1190" s="85" t="str">
        <f aca="false">IF(AH1190="","",N(F1190)+N(G1190)+N(H1190)-N(I1190)+N(J1190))</f>
        <v/>
      </c>
      <c r="L1190" s="67"/>
      <c r="M1190" s="67"/>
      <c r="N1190" s="67"/>
      <c r="O1190" s="67"/>
      <c r="P1190" s="85" t="str">
        <f aca="false">IF(AH1190="","",K1190+N(L1190)+N(M1190)+N(N1190)+N(O1190))</f>
        <v/>
      </c>
      <c r="Q1190" s="67"/>
      <c r="R1190" s="67"/>
      <c r="S1190" s="67"/>
      <c r="T1190" s="67"/>
      <c r="U1190" s="67"/>
      <c r="V1190" s="67"/>
      <c r="W1190" s="85" t="str">
        <f aca="false">IF(AH1190="","",N(Q1190)+N(R1190)+N(S1190)+N(T1190)+N(U1190)+N(V1190))</f>
        <v/>
      </c>
      <c r="X1190" s="85" t="str">
        <f aca="false">IF(AH1190="","",P1190-W1190)</f>
        <v/>
      </c>
      <c r="Y1190" s="67"/>
      <c r="Z1190" s="70" t="str">
        <f aca="false">IF(OR(AH1190="",Y1190=""),"",IF(ABS(X1190-Y1190)&lt;=1,"✓ Cuadra","⚠ Diferencia $"&amp;FIXED(X1190-Y1190,0)))</f>
        <v/>
      </c>
      <c r="AA1190" s="72" t="str">
        <f aca="false">IF(AH1190="","",IFERROR(INDEX(C_TIPO,MATCH(C1190&amp;"-P"&amp;MAX(1,COUNTIFS(C_ID,C1190,C_DEFINE,"Sí",C_INICIO,"&lt;="&amp;EOMONTH(B1190,0))),C_CLAVE,0))&amp;"","Sin dato"))</f>
        <v/>
      </c>
      <c r="AB1190" s="71" t="str">
        <f aca="false">IF(AH1190="","",ROUND(MIN(K1190,TOPE_AFP_UF*AJ1190)*AK1190,0))</f>
        <v/>
      </c>
      <c r="AC1190" s="71" t="str">
        <f aca="false">IF(AH1190="","",ROUND(MIN(K1190,TOPE_AFC_UF*AJ1190)*IF(AA1190="Indefinido",AFC_EMP_INDEF,AFC_EMP_PF),0))</f>
        <v/>
      </c>
      <c r="AD1190" s="71" t="str">
        <f aca="false">IF(AH1190="","",ROUND(MIN(K1190,TOPE_AFP_UF*AJ1190)*(MUTUAL_BASICA+MUTUAL_ADIC+SANNA),0))</f>
        <v/>
      </c>
      <c r="AE1190" s="71" t="str">
        <f aca="false">IF(AH1190="","",P1190-N(N1190)+AB1190+AC1190+AD1190)</f>
        <v/>
      </c>
      <c r="AF1190" s="65"/>
      <c r="AG1190" s="64"/>
      <c r="AH1190" s="72" t="str">
        <f aca="false">IF(OR(B1190="",C1190=""),"",C1190&amp;"|"&amp;(YEAR(B1190)*100+MONTH(B1190)))</f>
        <v/>
      </c>
      <c r="AI1190" s="70" t="str">
        <f aca="false">IF(AH1190="","",IF(COUNTIF(L_CLAVE,AH1190)&gt;1,"⚠ Duplicado","OK"))</f>
        <v/>
      </c>
      <c r="AJ1190" s="86" t="str">
        <f aca="false">IF(AH1190="","",IF(SUMPRODUCT(MAX((IND_PER&lt;=B1190)*(IND_UF&lt;&gt;"")*IND_PER))=0,UF_HOY,INDEX(IND_UF,MATCH(SUMPRODUCT(MAX((IND_PER&lt;=B1190)*(IND_UF&lt;&gt;"")*IND_PER)),IND_PER,0))))</f>
        <v/>
      </c>
      <c r="AK1190" s="87" t="str">
        <f aca="false">IF(AH1190="","",IF(COUNTIF(TASA_DESDE,"&lt;="&amp;B1190)=0,INDEX(TASA_EMP,1),INDEX(TASA_EMP,COUNTIF(TASA_DESDE,"&lt;="&amp;B1190))))</f>
        <v/>
      </c>
    </row>
    <row r="1191" customFormat="false" ht="15" hidden="false" customHeight="false" outlineLevel="0" collapsed="false">
      <c r="B1191" s="78"/>
      <c r="C1191" s="64"/>
      <c r="D1191" s="72" t="str">
        <f aca="false">IF(C1191="","",IFERROR(INDEX(T_NOMBRE,MATCH(C1191,T_ID,0)),"⚠ ID no existe"))</f>
        <v/>
      </c>
      <c r="E1191" s="69"/>
      <c r="F1191" s="67"/>
      <c r="G1191" s="67"/>
      <c r="H1191" s="67"/>
      <c r="I1191" s="67"/>
      <c r="J1191" s="67"/>
      <c r="K1191" s="85" t="str">
        <f aca="false">IF(AH1191="","",N(F1191)+N(G1191)+N(H1191)-N(I1191)+N(J1191))</f>
        <v/>
      </c>
      <c r="L1191" s="67"/>
      <c r="M1191" s="67"/>
      <c r="N1191" s="67"/>
      <c r="O1191" s="67"/>
      <c r="P1191" s="85" t="str">
        <f aca="false">IF(AH1191="","",K1191+N(L1191)+N(M1191)+N(N1191)+N(O1191))</f>
        <v/>
      </c>
      <c r="Q1191" s="67"/>
      <c r="R1191" s="67"/>
      <c r="S1191" s="67"/>
      <c r="T1191" s="67"/>
      <c r="U1191" s="67"/>
      <c r="V1191" s="67"/>
      <c r="W1191" s="85" t="str">
        <f aca="false">IF(AH1191="","",N(Q1191)+N(R1191)+N(S1191)+N(T1191)+N(U1191)+N(V1191))</f>
        <v/>
      </c>
      <c r="X1191" s="85" t="str">
        <f aca="false">IF(AH1191="","",P1191-W1191)</f>
        <v/>
      </c>
      <c r="Y1191" s="67"/>
      <c r="Z1191" s="70" t="str">
        <f aca="false">IF(OR(AH1191="",Y1191=""),"",IF(ABS(X1191-Y1191)&lt;=1,"✓ Cuadra","⚠ Diferencia $"&amp;FIXED(X1191-Y1191,0)))</f>
        <v/>
      </c>
      <c r="AA1191" s="72" t="str">
        <f aca="false">IF(AH1191="","",IFERROR(INDEX(C_TIPO,MATCH(C1191&amp;"-P"&amp;MAX(1,COUNTIFS(C_ID,C1191,C_DEFINE,"Sí",C_INICIO,"&lt;="&amp;EOMONTH(B1191,0))),C_CLAVE,0))&amp;"","Sin dato"))</f>
        <v/>
      </c>
      <c r="AB1191" s="71" t="str">
        <f aca="false">IF(AH1191="","",ROUND(MIN(K1191,TOPE_AFP_UF*AJ1191)*AK1191,0))</f>
        <v/>
      </c>
      <c r="AC1191" s="71" t="str">
        <f aca="false">IF(AH1191="","",ROUND(MIN(K1191,TOPE_AFC_UF*AJ1191)*IF(AA1191="Indefinido",AFC_EMP_INDEF,AFC_EMP_PF),0))</f>
        <v/>
      </c>
      <c r="AD1191" s="71" t="str">
        <f aca="false">IF(AH1191="","",ROUND(MIN(K1191,TOPE_AFP_UF*AJ1191)*(MUTUAL_BASICA+MUTUAL_ADIC+SANNA),0))</f>
        <v/>
      </c>
      <c r="AE1191" s="71" t="str">
        <f aca="false">IF(AH1191="","",P1191-N(N1191)+AB1191+AC1191+AD1191)</f>
        <v/>
      </c>
      <c r="AF1191" s="65"/>
      <c r="AG1191" s="64"/>
      <c r="AH1191" s="72" t="str">
        <f aca="false">IF(OR(B1191="",C1191=""),"",C1191&amp;"|"&amp;(YEAR(B1191)*100+MONTH(B1191)))</f>
        <v/>
      </c>
      <c r="AI1191" s="70" t="str">
        <f aca="false">IF(AH1191="","",IF(COUNTIF(L_CLAVE,AH1191)&gt;1,"⚠ Duplicado","OK"))</f>
        <v/>
      </c>
      <c r="AJ1191" s="86" t="str">
        <f aca="false">IF(AH1191="","",IF(SUMPRODUCT(MAX((IND_PER&lt;=B1191)*(IND_UF&lt;&gt;"")*IND_PER))=0,UF_HOY,INDEX(IND_UF,MATCH(SUMPRODUCT(MAX((IND_PER&lt;=B1191)*(IND_UF&lt;&gt;"")*IND_PER)),IND_PER,0))))</f>
        <v/>
      </c>
      <c r="AK1191" s="87" t="str">
        <f aca="false">IF(AH1191="","",IF(COUNTIF(TASA_DESDE,"&lt;="&amp;B1191)=0,INDEX(TASA_EMP,1),INDEX(TASA_EMP,COUNTIF(TASA_DESDE,"&lt;="&amp;B1191))))</f>
        <v/>
      </c>
    </row>
    <row r="1192" customFormat="false" ht="15" hidden="false" customHeight="false" outlineLevel="0" collapsed="false">
      <c r="B1192" s="78"/>
      <c r="C1192" s="64"/>
      <c r="D1192" s="72" t="str">
        <f aca="false">IF(C1192="","",IFERROR(INDEX(T_NOMBRE,MATCH(C1192,T_ID,0)),"⚠ ID no existe"))</f>
        <v/>
      </c>
      <c r="E1192" s="69"/>
      <c r="F1192" s="67"/>
      <c r="G1192" s="67"/>
      <c r="H1192" s="67"/>
      <c r="I1192" s="67"/>
      <c r="J1192" s="67"/>
      <c r="K1192" s="85" t="str">
        <f aca="false">IF(AH1192="","",N(F1192)+N(G1192)+N(H1192)-N(I1192)+N(J1192))</f>
        <v/>
      </c>
      <c r="L1192" s="67"/>
      <c r="M1192" s="67"/>
      <c r="N1192" s="67"/>
      <c r="O1192" s="67"/>
      <c r="P1192" s="85" t="str">
        <f aca="false">IF(AH1192="","",K1192+N(L1192)+N(M1192)+N(N1192)+N(O1192))</f>
        <v/>
      </c>
      <c r="Q1192" s="67"/>
      <c r="R1192" s="67"/>
      <c r="S1192" s="67"/>
      <c r="T1192" s="67"/>
      <c r="U1192" s="67"/>
      <c r="V1192" s="67"/>
      <c r="W1192" s="85" t="str">
        <f aca="false">IF(AH1192="","",N(Q1192)+N(R1192)+N(S1192)+N(T1192)+N(U1192)+N(V1192))</f>
        <v/>
      </c>
      <c r="X1192" s="85" t="str">
        <f aca="false">IF(AH1192="","",P1192-W1192)</f>
        <v/>
      </c>
      <c r="Y1192" s="67"/>
      <c r="Z1192" s="70" t="str">
        <f aca="false">IF(OR(AH1192="",Y1192=""),"",IF(ABS(X1192-Y1192)&lt;=1,"✓ Cuadra","⚠ Diferencia $"&amp;FIXED(X1192-Y1192,0)))</f>
        <v/>
      </c>
      <c r="AA1192" s="72" t="str">
        <f aca="false">IF(AH1192="","",IFERROR(INDEX(C_TIPO,MATCH(C1192&amp;"-P"&amp;MAX(1,COUNTIFS(C_ID,C1192,C_DEFINE,"Sí",C_INICIO,"&lt;="&amp;EOMONTH(B1192,0))),C_CLAVE,0))&amp;"","Sin dato"))</f>
        <v/>
      </c>
      <c r="AB1192" s="71" t="str">
        <f aca="false">IF(AH1192="","",ROUND(MIN(K1192,TOPE_AFP_UF*AJ1192)*AK1192,0))</f>
        <v/>
      </c>
      <c r="AC1192" s="71" t="str">
        <f aca="false">IF(AH1192="","",ROUND(MIN(K1192,TOPE_AFC_UF*AJ1192)*IF(AA1192="Indefinido",AFC_EMP_INDEF,AFC_EMP_PF),0))</f>
        <v/>
      </c>
      <c r="AD1192" s="71" t="str">
        <f aca="false">IF(AH1192="","",ROUND(MIN(K1192,TOPE_AFP_UF*AJ1192)*(MUTUAL_BASICA+MUTUAL_ADIC+SANNA),0))</f>
        <v/>
      </c>
      <c r="AE1192" s="71" t="str">
        <f aca="false">IF(AH1192="","",P1192-N(N1192)+AB1192+AC1192+AD1192)</f>
        <v/>
      </c>
      <c r="AF1192" s="65"/>
      <c r="AG1192" s="64"/>
      <c r="AH1192" s="72" t="str">
        <f aca="false">IF(OR(B1192="",C1192=""),"",C1192&amp;"|"&amp;(YEAR(B1192)*100+MONTH(B1192)))</f>
        <v/>
      </c>
      <c r="AI1192" s="70" t="str">
        <f aca="false">IF(AH1192="","",IF(COUNTIF(L_CLAVE,AH1192)&gt;1,"⚠ Duplicado","OK"))</f>
        <v/>
      </c>
      <c r="AJ1192" s="86" t="str">
        <f aca="false">IF(AH1192="","",IF(SUMPRODUCT(MAX((IND_PER&lt;=B1192)*(IND_UF&lt;&gt;"")*IND_PER))=0,UF_HOY,INDEX(IND_UF,MATCH(SUMPRODUCT(MAX((IND_PER&lt;=B1192)*(IND_UF&lt;&gt;"")*IND_PER)),IND_PER,0))))</f>
        <v/>
      </c>
      <c r="AK1192" s="87" t="str">
        <f aca="false">IF(AH1192="","",IF(COUNTIF(TASA_DESDE,"&lt;="&amp;B1192)=0,INDEX(TASA_EMP,1),INDEX(TASA_EMP,COUNTIF(TASA_DESDE,"&lt;="&amp;B1192))))</f>
        <v/>
      </c>
    </row>
    <row r="1193" customFormat="false" ht="15" hidden="false" customHeight="false" outlineLevel="0" collapsed="false">
      <c r="B1193" s="78"/>
      <c r="C1193" s="64"/>
      <c r="D1193" s="72" t="str">
        <f aca="false">IF(C1193="","",IFERROR(INDEX(T_NOMBRE,MATCH(C1193,T_ID,0)),"⚠ ID no existe"))</f>
        <v/>
      </c>
      <c r="E1193" s="69"/>
      <c r="F1193" s="67"/>
      <c r="G1193" s="67"/>
      <c r="H1193" s="67"/>
      <c r="I1193" s="67"/>
      <c r="J1193" s="67"/>
      <c r="K1193" s="85" t="str">
        <f aca="false">IF(AH1193="","",N(F1193)+N(G1193)+N(H1193)-N(I1193)+N(J1193))</f>
        <v/>
      </c>
      <c r="L1193" s="67"/>
      <c r="M1193" s="67"/>
      <c r="N1193" s="67"/>
      <c r="O1193" s="67"/>
      <c r="P1193" s="85" t="str">
        <f aca="false">IF(AH1193="","",K1193+N(L1193)+N(M1193)+N(N1193)+N(O1193))</f>
        <v/>
      </c>
      <c r="Q1193" s="67"/>
      <c r="R1193" s="67"/>
      <c r="S1193" s="67"/>
      <c r="T1193" s="67"/>
      <c r="U1193" s="67"/>
      <c r="V1193" s="67"/>
      <c r="W1193" s="85" t="str">
        <f aca="false">IF(AH1193="","",N(Q1193)+N(R1193)+N(S1193)+N(T1193)+N(U1193)+N(V1193))</f>
        <v/>
      </c>
      <c r="X1193" s="85" t="str">
        <f aca="false">IF(AH1193="","",P1193-W1193)</f>
        <v/>
      </c>
      <c r="Y1193" s="67"/>
      <c r="Z1193" s="70" t="str">
        <f aca="false">IF(OR(AH1193="",Y1193=""),"",IF(ABS(X1193-Y1193)&lt;=1,"✓ Cuadra","⚠ Diferencia $"&amp;FIXED(X1193-Y1193,0)))</f>
        <v/>
      </c>
      <c r="AA1193" s="72" t="str">
        <f aca="false">IF(AH1193="","",IFERROR(INDEX(C_TIPO,MATCH(C1193&amp;"-P"&amp;MAX(1,COUNTIFS(C_ID,C1193,C_DEFINE,"Sí",C_INICIO,"&lt;="&amp;EOMONTH(B1193,0))),C_CLAVE,0))&amp;"","Sin dato"))</f>
        <v/>
      </c>
      <c r="AB1193" s="71" t="str">
        <f aca="false">IF(AH1193="","",ROUND(MIN(K1193,TOPE_AFP_UF*AJ1193)*AK1193,0))</f>
        <v/>
      </c>
      <c r="AC1193" s="71" t="str">
        <f aca="false">IF(AH1193="","",ROUND(MIN(K1193,TOPE_AFC_UF*AJ1193)*IF(AA1193="Indefinido",AFC_EMP_INDEF,AFC_EMP_PF),0))</f>
        <v/>
      </c>
      <c r="AD1193" s="71" t="str">
        <f aca="false">IF(AH1193="","",ROUND(MIN(K1193,TOPE_AFP_UF*AJ1193)*(MUTUAL_BASICA+MUTUAL_ADIC+SANNA),0))</f>
        <v/>
      </c>
      <c r="AE1193" s="71" t="str">
        <f aca="false">IF(AH1193="","",P1193-N(N1193)+AB1193+AC1193+AD1193)</f>
        <v/>
      </c>
      <c r="AF1193" s="65"/>
      <c r="AG1193" s="64"/>
      <c r="AH1193" s="72" t="str">
        <f aca="false">IF(OR(B1193="",C1193=""),"",C1193&amp;"|"&amp;(YEAR(B1193)*100+MONTH(B1193)))</f>
        <v/>
      </c>
      <c r="AI1193" s="70" t="str">
        <f aca="false">IF(AH1193="","",IF(COUNTIF(L_CLAVE,AH1193)&gt;1,"⚠ Duplicado","OK"))</f>
        <v/>
      </c>
      <c r="AJ1193" s="86" t="str">
        <f aca="false">IF(AH1193="","",IF(SUMPRODUCT(MAX((IND_PER&lt;=B1193)*(IND_UF&lt;&gt;"")*IND_PER))=0,UF_HOY,INDEX(IND_UF,MATCH(SUMPRODUCT(MAX((IND_PER&lt;=B1193)*(IND_UF&lt;&gt;"")*IND_PER)),IND_PER,0))))</f>
        <v/>
      </c>
      <c r="AK1193" s="87" t="str">
        <f aca="false">IF(AH1193="","",IF(COUNTIF(TASA_DESDE,"&lt;="&amp;B1193)=0,INDEX(TASA_EMP,1),INDEX(TASA_EMP,COUNTIF(TASA_DESDE,"&lt;="&amp;B1193))))</f>
        <v/>
      </c>
    </row>
    <row r="1194" customFormat="false" ht="15" hidden="false" customHeight="false" outlineLevel="0" collapsed="false">
      <c r="B1194" s="78"/>
      <c r="C1194" s="64"/>
      <c r="D1194" s="72" t="str">
        <f aca="false">IF(C1194="","",IFERROR(INDEX(T_NOMBRE,MATCH(C1194,T_ID,0)),"⚠ ID no existe"))</f>
        <v/>
      </c>
      <c r="E1194" s="69"/>
      <c r="F1194" s="67"/>
      <c r="G1194" s="67"/>
      <c r="H1194" s="67"/>
      <c r="I1194" s="67"/>
      <c r="J1194" s="67"/>
      <c r="K1194" s="85" t="str">
        <f aca="false">IF(AH1194="","",N(F1194)+N(G1194)+N(H1194)-N(I1194)+N(J1194))</f>
        <v/>
      </c>
      <c r="L1194" s="67"/>
      <c r="M1194" s="67"/>
      <c r="N1194" s="67"/>
      <c r="O1194" s="67"/>
      <c r="P1194" s="85" t="str">
        <f aca="false">IF(AH1194="","",K1194+N(L1194)+N(M1194)+N(N1194)+N(O1194))</f>
        <v/>
      </c>
      <c r="Q1194" s="67"/>
      <c r="R1194" s="67"/>
      <c r="S1194" s="67"/>
      <c r="T1194" s="67"/>
      <c r="U1194" s="67"/>
      <c r="V1194" s="67"/>
      <c r="W1194" s="85" t="str">
        <f aca="false">IF(AH1194="","",N(Q1194)+N(R1194)+N(S1194)+N(T1194)+N(U1194)+N(V1194))</f>
        <v/>
      </c>
      <c r="X1194" s="85" t="str">
        <f aca="false">IF(AH1194="","",P1194-W1194)</f>
        <v/>
      </c>
      <c r="Y1194" s="67"/>
      <c r="Z1194" s="70" t="str">
        <f aca="false">IF(OR(AH1194="",Y1194=""),"",IF(ABS(X1194-Y1194)&lt;=1,"✓ Cuadra","⚠ Diferencia $"&amp;FIXED(X1194-Y1194,0)))</f>
        <v/>
      </c>
      <c r="AA1194" s="72" t="str">
        <f aca="false">IF(AH1194="","",IFERROR(INDEX(C_TIPO,MATCH(C1194&amp;"-P"&amp;MAX(1,COUNTIFS(C_ID,C1194,C_DEFINE,"Sí",C_INICIO,"&lt;="&amp;EOMONTH(B1194,0))),C_CLAVE,0))&amp;"","Sin dato"))</f>
        <v/>
      </c>
      <c r="AB1194" s="71" t="str">
        <f aca="false">IF(AH1194="","",ROUND(MIN(K1194,TOPE_AFP_UF*AJ1194)*AK1194,0))</f>
        <v/>
      </c>
      <c r="AC1194" s="71" t="str">
        <f aca="false">IF(AH1194="","",ROUND(MIN(K1194,TOPE_AFC_UF*AJ1194)*IF(AA1194="Indefinido",AFC_EMP_INDEF,AFC_EMP_PF),0))</f>
        <v/>
      </c>
      <c r="AD1194" s="71" t="str">
        <f aca="false">IF(AH1194="","",ROUND(MIN(K1194,TOPE_AFP_UF*AJ1194)*(MUTUAL_BASICA+MUTUAL_ADIC+SANNA),0))</f>
        <v/>
      </c>
      <c r="AE1194" s="71" t="str">
        <f aca="false">IF(AH1194="","",P1194-N(N1194)+AB1194+AC1194+AD1194)</f>
        <v/>
      </c>
      <c r="AF1194" s="65"/>
      <c r="AG1194" s="64"/>
      <c r="AH1194" s="72" t="str">
        <f aca="false">IF(OR(B1194="",C1194=""),"",C1194&amp;"|"&amp;(YEAR(B1194)*100+MONTH(B1194)))</f>
        <v/>
      </c>
      <c r="AI1194" s="70" t="str">
        <f aca="false">IF(AH1194="","",IF(COUNTIF(L_CLAVE,AH1194)&gt;1,"⚠ Duplicado","OK"))</f>
        <v/>
      </c>
      <c r="AJ1194" s="86" t="str">
        <f aca="false">IF(AH1194="","",IF(SUMPRODUCT(MAX((IND_PER&lt;=B1194)*(IND_UF&lt;&gt;"")*IND_PER))=0,UF_HOY,INDEX(IND_UF,MATCH(SUMPRODUCT(MAX((IND_PER&lt;=B1194)*(IND_UF&lt;&gt;"")*IND_PER)),IND_PER,0))))</f>
        <v/>
      </c>
      <c r="AK1194" s="87" t="str">
        <f aca="false">IF(AH1194="","",IF(COUNTIF(TASA_DESDE,"&lt;="&amp;B1194)=0,INDEX(TASA_EMP,1),INDEX(TASA_EMP,COUNTIF(TASA_DESDE,"&lt;="&amp;B1194))))</f>
        <v/>
      </c>
    </row>
    <row r="1195" customFormat="false" ht="15" hidden="false" customHeight="false" outlineLevel="0" collapsed="false">
      <c r="B1195" s="78"/>
      <c r="C1195" s="64"/>
      <c r="D1195" s="72" t="str">
        <f aca="false">IF(C1195="","",IFERROR(INDEX(T_NOMBRE,MATCH(C1195,T_ID,0)),"⚠ ID no existe"))</f>
        <v/>
      </c>
      <c r="E1195" s="69"/>
      <c r="F1195" s="67"/>
      <c r="G1195" s="67"/>
      <c r="H1195" s="67"/>
      <c r="I1195" s="67"/>
      <c r="J1195" s="67"/>
      <c r="K1195" s="85" t="str">
        <f aca="false">IF(AH1195="","",N(F1195)+N(G1195)+N(H1195)-N(I1195)+N(J1195))</f>
        <v/>
      </c>
      <c r="L1195" s="67"/>
      <c r="M1195" s="67"/>
      <c r="N1195" s="67"/>
      <c r="O1195" s="67"/>
      <c r="P1195" s="85" t="str">
        <f aca="false">IF(AH1195="","",K1195+N(L1195)+N(M1195)+N(N1195)+N(O1195))</f>
        <v/>
      </c>
      <c r="Q1195" s="67"/>
      <c r="R1195" s="67"/>
      <c r="S1195" s="67"/>
      <c r="T1195" s="67"/>
      <c r="U1195" s="67"/>
      <c r="V1195" s="67"/>
      <c r="W1195" s="85" t="str">
        <f aca="false">IF(AH1195="","",N(Q1195)+N(R1195)+N(S1195)+N(T1195)+N(U1195)+N(V1195))</f>
        <v/>
      </c>
      <c r="X1195" s="85" t="str">
        <f aca="false">IF(AH1195="","",P1195-W1195)</f>
        <v/>
      </c>
      <c r="Y1195" s="67"/>
      <c r="Z1195" s="70" t="str">
        <f aca="false">IF(OR(AH1195="",Y1195=""),"",IF(ABS(X1195-Y1195)&lt;=1,"✓ Cuadra","⚠ Diferencia $"&amp;FIXED(X1195-Y1195,0)))</f>
        <v/>
      </c>
      <c r="AA1195" s="72" t="str">
        <f aca="false">IF(AH1195="","",IFERROR(INDEX(C_TIPO,MATCH(C1195&amp;"-P"&amp;MAX(1,COUNTIFS(C_ID,C1195,C_DEFINE,"Sí",C_INICIO,"&lt;="&amp;EOMONTH(B1195,0))),C_CLAVE,0))&amp;"","Sin dato"))</f>
        <v/>
      </c>
      <c r="AB1195" s="71" t="str">
        <f aca="false">IF(AH1195="","",ROUND(MIN(K1195,TOPE_AFP_UF*AJ1195)*AK1195,0))</f>
        <v/>
      </c>
      <c r="AC1195" s="71" t="str">
        <f aca="false">IF(AH1195="","",ROUND(MIN(K1195,TOPE_AFC_UF*AJ1195)*IF(AA1195="Indefinido",AFC_EMP_INDEF,AFC_EMP_PF),0))</f>
        <v/>
      </c>
      <c r="AD1195" s="71" t="str">
        <f aca="false">IF(AH1195="","",ROUND(MIN(K1195,TOPE_AFP_UF*AJ1195)*(MUTUAL_BASICA+MUTUAL_ADIC+SANNA),0))</f>
        <v/>
      </c>
      <c r="AE1195" s="71" t="str">
        <f aca="false">IF(AH1195="","",P1195-N(N1195)+AB1195+AC1195+AD1195)</f>
        <v/>
      </c>
      <c r="AF1195" s="65"/>
      <c r="AG1195" s="64"/>
      <c r="AH1195" s="72" t="str">
        <f aca="false">IF(OR(B1195="",C1195=""),"",C1195&amp;"|"&amp;(YEAR(B1195)*100+MONTH(B1195)))</f>
        <v/>
      </c>
      <c r="AI1195" s="70" t="str">
        <f aca="false">IF(AH1195="","",IF(COUNTIF(L_CLAVE,AH1195)&gt;1,"⚠ Duplicado","OK"))</f>
        <v/>
      </c>
      <c r="AJ1195" s="86" t="str">
        <f aca="false">IF(AH1195="","",IF(SUMPRODUCT(MAX((IND_PER&lt;=B1195)*(IND_UF&lt;&gt;"")*IND_PER))=0,UF_HOY,INDEX(IND_UF,MATCH(SUMPRODUCT(MAX((IND_PER&lt;=B1195)*(IND_UF&lt;&gt;"")*IND_PER)),IND_PER,0))))</f>
        <v/>
      </c>
      <c r="AK1195" s="87" t="str">
        <f aca="false">IF(AH1195="","",IF(COUNTIF(TASA_DESDE,"&lt;="&amp;B1195)=0,INDEX(TASA_EMP,1),INDEX(TASA_EMP,COUNTIF(TASA_DESDE,"&lt;="&amp;B1195))))</f>
        <v/>
      </c>
    </row>
    <row r="1196" customFormat="false" ht="15" hidden="false" customHeight="false" outlineLevel="0" collapsed="false">
      <c r="B1196" s="78"/>
      <c r="C1196" s="64"/>
      <c r="D1196" s="72" t="str">
        <f aca="false">IF(C1196="","",IFERROR(INDEX(T_NOMBRE,MATCH(C1196,T_ID,0)),"⚠ ID no existe"))</f>
        <v/>
      </c>
      <c r="E1196" s="69"/>
      <c r="F1196" s="67"/>
      <c r="G1196" s="67"/>
      <c r="H1196" s="67"/>
      <c r="I1196" s="67"/>
      <c r="J1196" s="67"/>
      <c r="K1196" s="85" t="str">
        <f aca="false">IF(AH1196="","",N(F1196)+N(G1196)+N(H1196)-N(I1196)+N(J1196))</f>
        <v/>
      </c>
      <c r="L1196" s="67"/>
      <c r="M1196" s="67"/>
      <c r="N1196" s="67"/>
      <c r="O1196" s="67"/>
      <c r="P1196" s="85" t="str">
        <f aca="false">IF(AH1196="","",K1196+N(L1196)+N(M1196)+N(N1196)+N(O1196))</f>
        <v/>
      </c>
      <c r="Q1196" s="67"/>
      <c r="R1196" s="67"/>
      <c r="S1196" s="67"/>
      <c r="T1196" s="67"/>
      <c r="U1196" s="67"/>
      <c r="V1196" s="67"/>
      <c r="W1196" s="85" t="str">
        <f aca="false">IF(AH1196="","",N(Q1196)+N(R1196)+N(S1196)+N(T1196)+N(U1196)+N(V1196))</f>
        <v/>
      </c>
      <c r="X1196" s="85" t="str">
        <f aca="false">IF(AH1196="","",P1196-W1196)</f>
        <v/>
      </c>
      <c r="Y1196" s="67"/>
      <c r="Z1196" s="70" t="str">
        <f aca="false">IF(OR(AH1196="",Y1196=""),"",IF(ABS(X1196-Y1196)&lt;=1,"✓ Cuadra","⚠ Diferencia $"&amp;FIXED(X1196-Y1196,0)))</f>
        <v/>
      </c>
      <c r="AA1196" s="72" t="str">
        <f aca="false">IF(AH1196="","",IFERROR(INDEX(C_TIPO,MATCH(C1196&amp;"-P"&amp;MAX(1,COUNTIFS(C_ID,C1196,C_DEFINE,"Sí",C_INICIO,"&lt;="&amp;EOMONTH(B1196,0))),C_CLAVE,0))&amp;"","Sin dato"))</f>
        <v/>
      </c>
      <c r="AB1196" s="71" t="str">
        <f aca="false">IF(AH1196="","",ROUND(MIN(K1196,TOPE_AFP_UF*AJ1196)*AK1196,0))</f>
        <v/>
      </c>
      <c r="AC1196" s="71" t="str">
        <f aca="false">IF(AH1196="","",ROUND(MIN(K1196,TOPE_AFC_UF*AJ1196)*IF(AA1196="Indefinido",AFC_EMP_INDEF,AFC_EMP_PF),0))</f>
        <v/>
      </c>
      <c r="AD1196" s="71" t="str">
        <f aca="false">IF(AH1196="","",ROUND(MIN(K1196,TOPE_AFP_UF*AJ1196)*(MUTUAL_BASICA+MUTUAL_ADIC+SANNA),0))</f>
        <v/>
      </c>
      <c r="AE1196" s="71" t="str">
        <f aca="false">IF(AH1196="","",P1196-N(N1196)+AB1196+AC1196+AD1196)</f>
        <v/>
      </c>
      <c r="AF1196" s="65"/>
      <c r="AG1196" s="64"/>
      <c r="AH1196" s="72" t="str">
        <f aca="false">IF(OR(B1196="",C1196=""),"",C1196&amp;"|"&amp;(YEAR(B1196)*100+MONTH(B1196)))</f>
        <v/>
      </c>
      <c r="AI1196" s="70" t="str">
        <f aca="false">IF(AH1196="","",IF(COUNTIF(L_CLAVE,AH1196)&gt;1,"⚠ Duplicado","OK"))</f>
        <v/>
      </c>
      <c r="AJ1196" s="86" t="str">
        <f aca="false">IF(AH1196="","",IF(SUMPRODUCT(MAX((IND_PER&lt;=B1196)*(IND_UF&lt;&gt;"")*IND_PER))=0,UF_HOY,INDEX(IND_UF,MATCH(SUMPRODUCT(MAX((IND_PER&lt;=B1196)*(IND_UF&lt;&gt;"")*IND_PER)),IND_PER,0))))</f>
        <v/>
      </c>
      <c r="AK1196" s="87" t="str">
        <f aca="false">IF(AH1196="","",IF(COUNTIF(TASA_DESDE,"&lt;="&amp;B1196)=0,INDEX(TASA_EMP,1),INDEX(TASA_EMP,COUNTIF(TASA_DESDE,"&lt;="&amp;B1196))))</f>
        <v/>
      </c>
    </row>
    <row r="1197" customFormat="false" ht="15" hidden="false" customHeight="false" outlineLevel="0" collapsed="false">
      <c r="B1197" s="78"/>
      <c r="C1197" s="64"/>
      <c r="D1197" s="72" t="str">
        <f aca="false">IF(C1197="","",IFERROR(INDEX(T_NOMBRE,MATCH(C1197,T_ID,0)),"⚠ ID no existe"))</f>
        <v/>
      </c>
      <c r="E1197" s="69"/>
      <c r="F1197" s="67"/>
      <c r="G1197" s="67"/>
      <c r="H1197" s="67"/>
      <c r="I1197" s="67"/>
      <c r="J1197" s="67"/>
      <c r="K1197" s="85" t="str">
        <f aca="false">IF(AH1197="","",N(F1197)+N(G1197)+N(H1197)-N(I1197)+N(J1197))</f>
        <v/>
      </c>
      <c r="L1197" s="67"/>
      <c r="M1197" s="67"/>
      <c r="N1197" s="67"/>
      <c r="O1197" s="67"/>
      <c r="P1197" s="85" t="str">
        <f aca="false">IF(AH1197="","",K1197+N(L1197)+N(M1197)+N(N1197)+N(O1197))</f>
        <v/>
      </c>
      <c r="Q1197" s="67"/>
      <c r="R1197" s="67"/>
      <c r="S1197" s="67"/>
      <c r="T1197" s="67"/>
      <c r="U1197" s="67"/>
      <c r="V1197" s="67"/>
      <c r="W1197" s="85" t="str">
        <f aca="false">IF(AH1197="","",N(Q1197)+N(R1197)+N(S1197)+N(T1197)+N(U1197)+N(V1197))</f>
        <v/>
      </c>
      <c r="X1197" s="85" t="str">
        <f aca="false">IF(AH1197="","",P1197-W1197)</f>
        <v/>
      </c>
      <c r="Y1197" s="67"/>
      <c r="Z1197" s="70" t="str">
        <f aca="false">IF(OR(AH1197="",Y1197=""),"",IF(ABS(X1197-Y1197)&lt;=1,"✓ Cuadra","⚠ Diferencia $"&amp;FIXED(X1197-Y1197,0)))</f>
        <v/>
      </c>
      <c r="AA1197" s="72" t="str">
        <f aca="false">IF(AH1197="","",IFERROR(INDEX(C_TIPO,MATCH(C1197&amp;"-P"&amp;MAX(1,COUNTIFS(C_ID,C1197,C_DEFINE,"Sí",C_INICIO,"&lt;="&amp;EOMONTH(B1197,0))),C_CLAVE,0))&amp;"","Sin dato"))</f>
        <v/>
      </c>
      <c r="AB1197" s="71" t="str">
        <f aca="false">IF(AH1197="","",ROUND(MIN(K1197,TOPE_AFP_UF*AJ1197)*AK1197,0))</f>
        <v/>
      </c>
      <c r="AC1197" s="71" t="str">
        <f aca="false">IF(AH1197="","",ROUND(MIN(K1197,TOPE_AFC_UF*AJ1197)*IF(AA1197="Indefinido",AFC_EMP_INDEF,AFC_EMP_PF),0))</f>
        <v/>
      </c>
      <c r="AD1197" s="71" t="str">
        <f aca="false">IF(AH1197="","",ROUND(MIN(K1197,TOPE_AFP_UF*AJ1197)*(MUTUAL_BASICA+MUTUAL_ADIC+SANNA),0))</f>
        <v/>
      </c>
      <c r="AE1197" s="71" t="str">
        <f aca="false">IF(AH1197="","",P1197-N(N1197)+AB1197+AC1197+AD1197)</f>
        <v/>
      </c>
      <c r="AF1197" s="65"/>
      <c r="AG1197" s="64"/>
      <c r="AH1197" s="72" t="str">
        <f aca="false">IF(OR(B1197="",C1197=""),"",C1197&amp;"|"&amp;(YEAR(B1197)*100+MONTH(B1197)))</f>
        <v/>
      </c>
      <c r="AI1197" s="70" t="str">
        <f aca="false">IF(AH1197="","",IF(COUNTIF(L_CLAVE,AH1197)&gt;1,"⚠ Duplicado","OK"))</f>
        <v/>
      </c>
      <c r="AJ1197" s="86" t="str">
        <f aca="false">IF(AH1197="","",IF(SUMPRODUCT(MAX((IND_PER&lt;=B1197)*(IND_UF&lt;&gt;"")*IND_PER))=0,UF_HOY,INDEX(IND_UF,MATCH(SUMPRODUCT(MAX((IND_PER&lt;=B1197)*(IND_UF&lt;&gt;"")*IND_PER)),IND_PER,0))))</f>
        <v/>
      </c>
      <c r="AK1197" s="87" t="str">
        <f aca="false">IF(AH1197="","",IF(COUNTIF(TASA_DESDE,"&lt;="&amp;B1197)=0,INDEX(TASA_EMP,1),INDEX(TASA_EMP,COUNTIF(TASA_DESDE,"&lt;="&amp;B1197))))</f>
        <v/>
      </c>
    </row>
    <row r="1198" customFormat="false" ht="15" hidden="false" customHeight="false" outlineLevel="0" collapsed="false">
      <c r="B1198" s="78"/>
      <c r="C1198" s="64"/>
      <c r="D1198" s="72" t="str">
        <f aca="false">IF(C1198="","",IFERROR(INDEX(T_NOMBRE,MATCH(C1198,T_ID,0)),"⚠ ID no existe"))</f>
        <v/>
      </c>
      <c r="E1198" s="69"/>
      <c r="F1198" s="67"/>
      <c r="G1198" s="67"/>
      <c r="H1198" s="67"/>
      <c r="I1198" s="67"/>
      <c r="J1198" s="67"/>
      <c r="K1198" s="85" t="str">
        <f aca="false">IF(AH1198="","",N(F1198)+N(G1198)+N(H1198)-N(I1198)+N(J1198))</f>
        <v/>
      </c>
      <c r="L1198" s="67"/>
      <c r="M1198" s="67"/>
      <c r="N1198" s="67"/>
      <c r="O1198" s="67"/>
      <c r="P1198" s="85" t="str">
        <f aca="false">IF(AH1198="","",K1198+N(L1198)+N(M1198)+N(N1198)+N(O1198))</f>
        <v/>
      </c>
      <c r="Q1198" s="67"/>
      <c r="R1198" s="67"/>
      <c r="S1198" s="67"/>
      <c r="T1198" s="67"/>
      <c r="U1198" s="67"/>
      <c r="V1198" s="67"/>
      <c r="W1198" s="85" t="str">
        <f aca="false">IF(AH1198="","",N(Q1198)+N(R1198)+N(S1198)+N(T1198)+N(U1198)+N(V1198))</f>
        <v/>
      </c>
      <c r="X1198" s="85" t="str">
        <f aca="false">IF(AH1198="","",P1198-W1198)</f>
        <v/>
      </c>
      <c r="Y1198" s="67"/>
      <c r="Z1198" s="70" t="str">
        <f aca="false">IF(OR(AH1198="",Y1198=""),"",IF(ABS(X1198-Y1198)&lt;=1,"✓ Cuadra","⚠ Diferencia $"&amp;FIXED(X1198-Y1198,0)))</f>
        <v/>
      </c>
      <c r="AA1198" s="72" t="str">
        <f aca="false">IF(AH1198="","",IFERROR(INDEX(C_TIPO,MATCH(C1198&amp;"-P"&amp;MAX(1,COUNTIFS(C_ID,C1198,C_DEFINE,"Sí",C_INICIO,"&lt;="&amp;EOMONTH(B1198,0))),C_CLAVE,0))&amp;"","Sin dato"))</f>
        <v/>
      </c>
      <c r="AB1198" s="71" t="str">
        <f aca="false">IF(AH1198="","",ROUND(MIN(K1198,TOPE_AFP_UF*AJ1198)*AK1198,0))</f>
        <v/>
      </c>
      <c r="AC1198" s="71" t="str">
        <f aca="false">IF(AH1198="","",ROUND(MIN(K1198,TOPE_AFC_UF*AJ1198)*IF(AA1198="Indefinido",AFC_EMP_INDEF,AFC_EMP_PF),0))</f>
        <v/>
      </c>
      <c r="AD1198" s="71" t="str">
        <f aca="false">IF(AH1198="","",ROUND(MIN(K1198,TOPE_AFP_UF*AJ1198)*(MUTUAL_BASICA+MUTUAL_ADIC+SANNA),0))</f>
        <v/>
      </c>
      <c r="AE1198" s="71" t="str">
        <f aca="false">IF(AH1198="","",P1198-N(N1198)+AB1198+AC1198+AD1198)</f>
        <v/>
      </c>
      <c r="AF1198" s="65"/>
      <c r="AG1198" s="64"/>
      <c r="AH1198" s="72" t="str">
        <f aca="false">IF(OR(B1198="",C1198=""),"",C1198&amp;"|"&amp;(YEAR(B1198)*100+MONTH(B1198)))</f>
        <v/>
      </c>
      <c r="AI1198" s="70" t="str">
        <f aca="false">IF(AH1198="","",IF(COUNTIF(L_CLAVE,AH1198)&gt;1,"⚠ Duplicado","OK"))</f>
        <v/>
      </c>
      <c r="AJ1198" s="86" t="str">
        <f aca="false">IF(AH1198="","",IF(SUMPRODUCT(MAX((IND_PER&lt;=B1198)*(IND_UF&lt;&gt;"")*IND_PER))=0,UF_HOY,INDEX(IND_UF,MATCH(SUMPRODUCT(MAX((IND_PER&lt;=B1198)*(IND_UF&lt;&gt;"")*IND_PER)),IND_PER,0))))</f>
        <v/>
      </c>
      <c r="AK1198" s="87" t="str">
        <f aca="false">IF(AH1198="","",IF(COUNTIF(TASA_DESDE,"&lt;="&amp;B1198)=0,INDEX(TASA_EMP,1),INDEX(TASA_EMP,COUNTIF(TASA_DESDE,"&lt;="&amp;B1198))))</f>
        <v/>
      </c>
    </row>
    <row r="1199" customFormat="false" ht="15" hidden="false" customHeight="false" outlineLevel="0" collapsed="false">
      <c r="B1199" s="78"/>
      <c r="C1199" s="64"/>
      <c r="D1199" s="72" t="str">
        <f aca="false">IF(C1199="","",IFERROR(INDEX(T_NOMBRE,MATCH(C1199,T_ID,0)),"⚠ ID no existe"))</f>
        <v/>
      </c>
      <c r="E1199" s="69"/>
      <c r="F1199" s="67"/>
      <c r="G1199" s="67"/>
      <c r="H1199" s="67"/>
      <c r="I1199" s="67"/>
      <c r="J1199" s="67"/>
      <c r="K1199" s="85" t="str">
        <f aca="false">IF(AH1199="","",N(F1199)+N(G1199)+N(H1199)-N(I1199)+N(J1199))</f>
        <v/>
      </c>
      <c r="L1199" s="67"/>
      <c r="M1199" s="67"/>
      <c r="N1199" s="67"/>
      <c r="O1199" s="67"/>
      <c r="P1199" s="85" t="str">
        <f aca="false">IF(AH1199="","",K1199+N(L1199)+N(M1199)+N(N1199)+N(O1199))</f>
        <v/>
      </c>
      <c r="Q1199" s="67"/>
      <c r="R1199" s="67"/>
      <c r="S1199" s="67"/>
      <c r="T1199" s="67"/>
      <c r="U1199" s="67"/>
      <c r="V1199" s="67"/>
      <c r="W1199" s="85" t="str">
        <f aca="false">IF(AH1199="","",N(Q1199)+N(R1199)+N(S1199)+N(T1199)+N(U1199)+N(V1199))</f>
        <v/>
      </c>
      <c r="X1199" s="85" t="str">
        <f aca="false">IF(AH1199="","",P1199-W1199)</f>
        <v/>
      </c>
      <c r="Y1199" s="67"/>
      <c r="Z1199" s="70" t="str">
        <f aca="false">IF(OR(AH1199="",Y1199=""),"",IF(ABS(X1199-Y1199)&lt;=1,"✓ Cuadra","⚠ Diferencia $"&amp;FIXED(X1199-Y1199,0)))</f>
        <v/>
      </c>
      <c r="AA1199" s="72" t="str">
        <f aca="false">IF(AH1199="","",IFERROR(INDEX(C_TIPO,MATCH(C1199&amp;"-P"&amp;MAX(1,COUNTIFS(C_ID,C1199,C_DEFINE,"Sí",C_INICIO,"&lt;="&amp;EOMONTH(B1199,0))),C_CLAVE,0))&amp;"","Sin dato"))</f>
        <v/>
      </c>
      <c r="AB1199" s="71" t="str">
        <f aca="false">IF(AH1199="","",ROUND(MIN(K1199,TOPE_AFP_UF*AJ1199)*AK1199,0))</f>
        <v/>
      </c>
      <c r="AC1199" s="71" t="str">
        <f aca="false">IF(AH1199="","",ROUND(MIN(K1199,TOPE_AFC_UF*AJ1199)*IF(AA1199="Indefinido",AFC_EMP_INDEF,AFC_EMP_PF),0))</f>
        <v/>
      </c>
      <c r="AD1199" s="71" t="str">
        <f aca="false">IF(AH1199="","",ROUND(MIN(K1199,TOPE_AFP_UF*AJ1199)*(MUTUAL_BASICA+MUTUAL_ADIC+SANNA),0))</f>
        <v/>
      </c>
      <c r="AE1199" s="71" t="str">
        <f aca="false">IF(AH1199="","",P1199-N(N1199)+AB1199+AC1199+AD1199)</f>
        <v/>
      </c>
      <c r="AF1199" s="65"/>
      <c r="AG1199" s="64"/>
      <c r="AH1199" s="72" t="str">
        <f aca="false">IF(OR(B1199="",C1199=""),"",C1199&amp;"|"&amp;(YEAR(B1199)*100+MONTH(B1199)))</f>
        <v/>
      </c>
      <c r="AI1199" s="70" t="str">
        <f aca="false">IF(AH1199="","",IF(COUNTIF(L_CLAVE,AH1199)&gt;1,"⚠ Duplicado","OK"))</f>
        <v/>
      </c>
      <c r="AJ1199" s="86" t="str">
        <f aca="false">IF(AH1199="","",IF(SUMPRODUCT(MAX((IND_PER&lt;=B1199)*(IND_UF&lt;&gt;"")*IND_PER))=0,UF_HOY,INDEX(IND_UF,MATCH(SUMPRODUCT(MAX((IND_PER&lt;=B1199)*(IND_UF&lt;&gt;"")*IND_PER)),IND_PER,0))))</f>
        <v/>
      </c>
      <c r="AK1199" s="87" t="str">
        <f aca="false">IF(AH1199="","",IF(COUNTIF(TASA_DESDE,"&lt;="&amp;B1199)=0,INDEX(TASA_EMP,1),INDEX(TASA_EMP,COUNTIF(TASA_DESDE,"&lt;="&amp;B1199))))</f>
        <v/>
      </c>
    </row>
    <row r="1200" customFormat="false" ht="15" hidden="false" customHeight="false" outlineLevel="0" collapsed="false">
      <c r="B1200" s="78"/>
      <c r="C1200" s="64"/>
      <c r="D1200" s="72" t="str">
        <f aca="false">IF(C1200="","",IFERROR(INDEX(T_NOMBRE,MATCH(C1200,T_ID,0)),"⚠ ID no existe"))</f>
        <v/>
      </c>
      <c r="E1200" s="69"/>
      <c r="F1200" s="67"/>
      <c r="G1200" s="67"/>
      <c r="H1200" s="67"/>
      <c r="I1200" s="67"/>
      <c r="J1200" s="67"/>
      <c r="K1200" s="85" t="str">
        <f aca="false">IF(AH1200="","",N(F1200)+N(G1200)+N(H1200)-N(I1200)+N(J1200))</f>
        <v/>
      </c>
      <c r="L1200" s="67"/>
      <c r="M1200" s="67"/>
      <c r="N1200" s="67"/>
      <c r="O1200" s="67"/>
      <c r="P1200" s="85" t="str">
        <f aca="false">IF(AH1200="","",K1200+N(L1200)+N(M1200)+N(N1200)+N(O1200))</f>
        <v/>
      </c>
      <c r="Q1200" s="67"/>
      <c r="R1200" s="67"/>
      <c r="S1200" s="67"/>
      <c r="T1200" s="67"/>
      <c r="U1200" s="67"/>
      <c r="V1200" s="67"/>
      <c r="W1200" s="85" t="str">
        <f aca="false">IF(AH1200="","",N(Q1200)+N(R1200)+N(S1200)+N(T1200)+N(U1200)+N(V1200))</f>
        <v/>
      </c>
      <c r="X1200" s="85" t="str">
        <f aca="false">IF(AH1200="","",P1200-W1200)</f>
        <v/>
      </c>
      <c r="Y1200" s="67"/>
      <c r="Z1200" s="70" t="str">
        <f aca="false">IF(OR(AH1200="",Y1200=""),"",IF(ABS(X1200-Y1200)&lt;=1,"✓ Cuadra","⚠ Diferencia $"&amp;FIXED(X1200-Y1200,0)))</f>
        <v/>
      </c>
      <c r="AA1200" s="72" t="str">
        <f aca="false">IF(AH1200="","",IFERROR(INDEX(C_TIPO,MATCH(C1200&amp;"-P"&amp;MAX(1,COUNTIFS(C_ID,C1200,C_DEFINE,"Sí",C_INICIO,"&lt;="&amp;EOMONTH(B1200,0))),C_CLAVE,0))&amp;"","Sin dato"))</f>
        <v/>
      </c>
      <c r="AB1200" s="71" t="str">
        <f aca="false">IF(AH1200="","",ROUND(MIN(K1200,TOPE_AFP_UF*AJ1200)*AK1200,0))</f>
        <v/>
      </c>
      <c r="AC1200" s="71" t="str">
        <f aca="false">IF(AH1200="","",ROUND(MIN(K1200,TOPE_AFC_UF*AJ1200)*IF(AA1200="Indefinido",AFC_EMP_INDEF,AFC_EMP_PF),0))</f>
        <v/>
      </c>
      <c r="AD1200" s="71" t="str">
        <f aca="false">IF(AH1200="","",ROUND(MIN(K1200,TOPE_AFP_UF*AJ1200)*(MUTUAL_BASICA+MUTUAL_ADIC+SANNA),0))</f>
        <v/>
      </c>
      <c r="AE1200" s="71" t="str">
        <f aca="false">IF(AH1200="","",P1200-N(N1200)+AB1200+AC1200+AD1200)</f>
        <v/>
      </c>
      <c r="AF1200" s="65"/>
      <c r="AG1200" s="64"/>
      <c r="AH1200" s="72" t="str">
        <f aca="false">IF(OR(B1200="",C1200=""),"",C1200&amp;"|"&amp;(YEAR(B1200)*100+MONTH(B1200)))</f>
        <v/>
      </c>
      <c r="AI1200" s="70" t="str">
        <f aca="false">IF(AH1200="","",IF(COUNTIF(L_CLAVE,AH1200)&gt;1,"⚠ Duplicado","OK"))</f>
        <v/>
      </c>
      <c r="AJ1200" s="86" t="str">
        <f aca="false">IF(AH1200="","",IF(SUMPRODUCT(MAX((IND_PER&lt;=B1200)*(IND_UF&lt;&gt;"")*IND_PER))=0,UF_HOY,INDEX(IND_UF,MATCH(SUMPRODUCT(MAX((IND_PER&lt;=B1200)*(IND_UF&lt;&gt;"")*IND_PER)),IND_PER,0))))</f>
        <v/>
      </c>
      <c r="AK1200" s="87" t="str">
        <f aca="false">IF(AH1200="","",IF(COUNTIF(TASA_DESDE,"&lt;="&amp;B1200)=0,INDEX(TASA_EMP,1),INDEX(TASA_EMP,COUNTIF(TASA_DESDE,"&lt;="&amp;B1200))))</f>
        <v/>
      </c>
    </row>
    <row r="1201" customFormat="false" ht="15" hidden="false" customHeight="false" outlineLevel="0" collapsed="false">
      <c r="B1201" s="78"/>
      <c r="C1201" s="64"/>
      <c r="D1201" s="72" t="str">
        <f aca="false">IF(C1201="","",IFERROR(INDEX(T_NOMBRE,MATCH(C1201,T_ID,0)),"⚠ ID no existe"))</f>
        <v/>
      </c>
      <c r="E1201" s="69"/>
      <c r="F1201" s="67"/>
      <c r="G1201" s="67"/>
      <c r="H1201" s="67"/>
      <c r="I1201" s="67"/>
      <c r="J1201" s="67"/>
      <c r="K1201" s="85" t="str">
        <f aca="false">IF(AH1201="","",N(F1201)+N(G1201)+N(H1201)-N(I1201)+N(J1201))</f>
        <v/>
      </c>
      <c r="L1201" s="67"/>
      <c r="M1201" s="67"/>
      <c r="N1201" s="67"/>
      <c r="O1201" s="67"/>
      <c r="P1201" s="85" t="str">
        <f aca="false">IF(AH1201="","",K1201+N(L1201)+N(M1201)+N(N1201)+N(O1201))</f>
        <v/>
      </c>
      <c r="Q1201" s="67"/>
      <c r="R1201" s="67"/>
      <c r="S1201" s="67"/>
      <c r="T1201" s="67"/>
      <c r="U1201" s="67"/>
      <c r="V1201" s="67"/>
      <c r="W1201" s="85" t="str">
        <f aca="false">IF(AH1201="","",N(Q1201)+N(R1201)+N(S1201)+N(T1201)+N(U1201)+N(V1201))</f>
        <v/>
      </c>
      <c r="X1201" s="85" t="str">
        <f aca="false">IF(AH1201="","",P1201-W1201)</f>
        <v/>
      </c>
      <c r="Y1201" s="67"/>
      <c r="Z1201" s="70" t="str">
        <f aca="false">IF(OR(AH1201="",Y1201=""),"",IF(ABS(X1201-Y1201)&lt;=1,"✓ Cuadra","⚠ Diferencia $"&amp;FIXED(X1201-Y1201,0)))</f>
        <v/>
      </c>
      <c r="AA1201" s="72" t="str">
        <f aca="false">IF(AH1201="","",IFERROR(INDEX(C_TIPO,MATCH(C1201&amp;"-P"&amp;MAX(1,COUNTIFS(C_ID,C1201,C_DEFINE,"Sí",C_INICIO,"&lt;="&amp;EOMONTH(B1201,0))),C_CLAVE,0))&amp;"","Sin dato"))</f>
        <v/>
      </c>
      <c r="AB1201" s="71" t="str">
        <f aca="false">IF(AH1201="","",ROUND(MIN(K1201,TOPE_AFP_UF*AJ1201)*AK1201,0))</f>
        <v/>
      </c>
      <c r="AC1201" s="71" t="str">
        <f aca="false">IF(AH1201="","",ROUND(MIN(K1201,TOPE_AFC_UF*AJ1201)*IF(AA1201="Indefinido",AFC_EMP_INDEF,AFC_EMP_PF),0))</f>
        <v/>
      </c>
      <c r="AD1201" s="71" t="str">
        <f aca="false">IF(AH1201="","",ROUND(MIN(K1201,TOPE_AFP_UF*AJ1201)*(MUTUAL_BASICA+MUTUAL_ADIC+SANNA),0))</f>
        <v/>
      </c>
      <c r="AE1201" s="71" t="str">
        <f aca="false">IF(AH1201="","",P1201-N(N1201)+AB1201+AC1201+AD1201)</f>
        <v/>
      </c>
      <c r="AF1201" s="65"/>
      <c r="AG1201" s="64"/>
      <c r="AH1201" s="72" t="str">
        <f aca="false">IF(OR(B1201="",C1201=""),"",C1201&amp;"|"&amp;(YEAR(B1201)*100+MONTH(B1201)))</f>
        <v/>
      </c>
      <c r="AI1201" s="70" t="str">
        <f aca="false">IF(AH1201="","",IF(COUNTIF(L_CLAVE,AH1201)&gt;1,"⚠ Duplicado","OK"))</f>
        <v/>
      </c>
      <c r="AJ1201" s="86" t="str">
        <f aca="false">IF(AH1201="","",IF(SUMPRODUCT(MAX((IND_PER&lt;=B1201)*(IND_UF&lt;&gt;"")*IND_PER))=0,UF_HOY,INDEX(IND_UF,MATCH(SUMPRODUCT(MAX((IND_PER&lt;=B1201)*(IND_UF&lt;&gt;"")*IND_PER)),IND_PER,0))))</f>
        <v/>
      </c>
      <c r="AK1201" s="87" t="str">
        <f aca="false">IF(AH1201="","",IF(COUNTIF(TASA_DESDE,"&lt;="&amp;B1201)=0,INDEX(TASA_EMP,1),INDEX(TASA_EMP,COUNTIF(TASA_DESDE,"&lt;="&amp;B1201))))</f>
        <v/>
      </c>
    </row>
    <row r="1202" customFormat="false" ht="15" hidden="false" customHeight="false" outlineLevel="0" collapsed="false">
      <c r="B1202" s="78"/>
      <c r="C1202" s="64"/>
      <c r="D1202" s="72" t="str">
        <f aca="false">IF(C1202="","",IFERROR(INDEX(T_NOMBRE,MATCH(C1202,T_ID,0)),"⚠ ID no existe"))</f>
        <v/>
      </c>
      <c r="E1202" s="69"/>
      <c r="F1202" s="67"/>
      <c r="G1202" s="67"/>
      <c r="H1202" s="67"/>
      <c r="I1202" s="67"/>
      <c r="J1202" s="67"/>
      <c r="K1202" s="85" t="str">
        <f aca="false">IF(AH1202="","",N(F1202)+N(G1202)+N(H1202)-N(I1202)+N(J1202))</f>
        <v/>
      </c>
      <c r="L1202" s="67"/>
      <c r="M1202" s="67"/>
      <c r="N1202" s="67"/>
      <c r="O1202" s="67"/>
      <c r="P1202" s="85" t="str">
        <f aca="false">IF(AH1202="","",K1202+N(L1202)+N(M1202)+N(N1202)+N(O1202))</f>
        <v/>
      </c>
      <c r="Q1202" s="67"/>
      <c r="R1202" s="67"/>
      <c r="S1202" s="67"/>
      <c r="T1202" s="67"/>
      <c r="U1202" s="67"/>
      <c r="V1202" s="67"/>
      <c r="W1202" s="85" t="str">
        <f aca="false">IF(AH1202="","",N(Q1202)+N(R1202)+N(S1202)+N(T1202)+N(U1202)+N(V1202))</f>
        <v/>
      </c>
      <c r="X1202" s="85" t="str">
        <f aca="false">IF(AH1202="","",P1202-W1202)</f>
        <v/>
      </c>
      <c r="Y1202" s="67"/>
      <c r="Z1202" s="70" t="str">
        <f aca="false">IF(OR(AH1202="",Y1202=""),"",IF(ABS(X1202-Y1202)&lt;=1,"✓ Cuadra","⚠ Diferencia $"&amp;FIXED(X1202-Y1202,0)))</f>
        <v/>
      </c>
      <c r="AA1202" s="72" t="str">
        <f aca="false">IF(AH1202="","",IFERROR(INDEX(C_TIPO,MATCH(C1202&amp;"-P"&amp;MAX(1,COUNTIFS(C_ID,C1202,C_DEFINE,"Sí",C_INICIO,"&lt;="&amp;EOMONTH(B1202,0))),C_CLAVE,0))&amp;"","Sin dato"))</f>
        <v/>
      </c>
      <c r="AB1202" s="71" t="str">
        <f aca="false">IF(AH1202="","",ROUND(MIN(K1202,TOPE_AFP_UF*AJ1202)*AK1202,0))</f>
        <v/>
      </c>
      <c r="AC1202" s="71" t="str">
        <f aca="false">IF(AH1202="","",ROUND(MIN(K1202,TOPE_AFC_UF*AJ1202)*IF(AA1202="Indefinido",AFC_EMP_INDEF,AFC_EMP_PF),0))</f>
        <v/>
      </c>
      <c r="AD1202" s="71" t="str">
        <f aca="false">IF(AH1202="","",ROUND(MIN(K1202,TOPE_AFP_UF*AJ1202)*(MUTUAL_BASICA+MUTUAL_ADIC+SANNA),0))</f>
        <v/>
      </c>
      <c r="AE1202" s="71" t="str">
        <f aca="false">IF(AH1202="","",P1202-N(N1202)+AB1202+AC1202+AD1202)</f>
        <v/>
      </c>
      <c r="AF1202" s="65"/>
      <c r="AG1202" s="64"/>
      <c r="AH1202" s="72" t="str">
        <f aca="false">IF(OR(B1202="",C1202=""),"",C1202&amp;"|"&amp;(YEAR(B1202)*100+MONTH(B1202)))</f>
        <v/>
      </c>
      <c r="AI1202" s="70" t="str">
        <f aca="false">IF(AH1202="","",IF(COUNTIF(L_CLAVE,AH1202)&gt;1,"⚠ Duplicado","OK"))</f>
        <v/>
      </c>
      <c r="AJ1202" s="86" t="str">
        <f aca="false">IF(AH1202="","",IF(SUMPRODUCT(MAX((IND_PER&lt;=B1202)*(IND_UF&lt;&gt;"")*IND_PER))=0,UF_HOY,INDEX(IND_UF,MATCH(SUMPRODUCT(MAX((IND_PER&lt;=B1202)*(IND_UF&lt;&gt;"")*IND_PER)),IND_PER,0))))</f>
        <v/>
      </c>
      <c r="AK1202" s="87" t="str">
        <f aca="false">IF(AH1202="","",IF(COUNTIF(TASA_DESDE,"&lt;="&amp;B1202)=0,INDEX(TASA_EMP,1),INDEX(TASA_EMP,COUNTIF(TASA_DESDE,"&lt;="&amp;B1202))))</f>
        <v/>
      </c>
    </row>
    <row r="1203" customFormat="false" ht="15" hidden="false" customHeight="false" outlineLevel="0" collapsed="false">
      <c r="B1203" s="78"/>
      <c r="C1203" s="64"/>
      <c r="D1203" s="72" t="str">
        <f aca="false">IF(C1203="","",IFERROR(INDEX(T_NOMBRE,MATCH(C1203,T_ID,0)),"⚠ ID no existe"))</f>
        <v/>
      </c>
      <c r="E1203" s="69"/>
      <c r="F1203" s="67"/>
      <c r="G1203" s="67"/>
      <c r="H1203" s="67"/>
      <c r="I1203" s="67"/>
      <c r="J1203" s="67"/>
      <c r="K1203" s="85" t="str">
        <f aca="false">IF(AH1203="","",N(F1203)+N(G1203)+N(H1203)-N(I1203)+N(J1203))</f>
        <v/>
      </c>
      <c r="L1203" s="67"/>
      <c r="M1203" s="67"/>
      <c r="N1203" s="67"/>
      <c r="O1203" s="67"/>
      <c r="P1203" s="85" t="str">
        <f aca="false">IF(AH1203="","",K1203+N(L1203)+N(M1203)+N(N1203)+N(O1203))</f>
        <v/>
      </c>
      <c r="Q1203" s="67"/>
      <c r="R1203" s="67"/>
      <c r="S1203" s="67"/>
      <c r="T1203" s="67"/>
      <c r="U1203" s="67"/>
      <c r="V1203" s="67"/>
      <c r="W1203" s="85" t="str">
        <f aca="false">IF(AH1203="","",N(Q1203)+N(R1203)+N(S1203)+N(T1203)+N(U1203)+N(V1203))</f>
        <v/>
      </c>
      <c r="X1203" s="85" t="str">
        <f aca="false">IF(AH1203="","",P1203-W1203)</f>
        <v/>
      </c>
      <c r="Y1203" s="67"/>
      <c r="Z1203" s="70" t="str">
        <f aca="false">IF(OR(AH1203="",Y1203=""),"",IF(ABS(X1203-Y1203)&lt;=1,"✓ Cuadra","⚠ Diferencia $"&amp;FIXED(X1203-Y1203,0)))</f>
        <v/>
      </c>
      <c r="AA1203" s="72" t="str">
        <f aca="false">IF(AH1203="","",IFERROR(INDEX(C_TIPO,MATCH(C1203&amp;"-P"&amp;MAX(1,COUNTIFS(C_ID,C1203,C_DEFINE,"Sí",C_INICIO,"&lt;="&amp;EOMONTH(B1203,0))),C_CLAVE,0))&amp;"","Sin dato"))</f>
        <v/>
      </c>
      <c r="AB1203" s="71" t="str">
        <f aca="false">IF(AH1203="","",ROUND(MIN(K1203,TOPE_AFP_UF*AJ1203)*AK1203,0))</f>
        <v/>
      </c>
      <c r="AC1203" s="71" t="str">
        <f aca="false">IF(AH1203="","",ROUND(MIN(K1203,TOPE_AFC_UF*AJ1203)*IF(AA1203="Indefinido",AFC_EMP_INDEF,AFC_EMP_PF),0))</f>
        <v/>
      </c>
      <c r="AD1203" s="71" t="str">
        <f aca="false">IF(AH1203="","",ROUND(MIN(K1203,TOPE_AFP_UF*AJ1203)*(MUTUAL_BASICA+MUTUAL_ADIC+SANNA),0))</f>
        <v/>
      </c>
      <c r="AE1203" s="71" t="str">
        <f aca="false">IF(AH1203="","",P1203-N(N1203)+AB1203+AC1203+AD1203)</f>
        <v/>
      </c>
      <c r="AF1203" s="65"/>
      <c r="AG1203" s="64"/>
      <c r="AH1203" s="72" t="str">
        <f aca="false">IF(OR(B1203="",C1203=""),"",C1203&amp;"|"&amp;(YEAR(B1203)*100+MONTH(B1203)))</f>
        <v/>
      </c>
      <c r="AI1203" s="70" t="str">
        <f aca="false">IF(AH1203="","",IF(COUNTIF(L_CLAVE,AH1203)&gt;1,"⚠ Duplicado","OK"))</f>
        <v/>
      </c>
      <c r="AJ1203" s="86" t="str">
        <f aca="false">IF(AH1203="","",IF(SUMPRODUCT(MAX((IND_PER&lt;=B1203)*(IND_UF&lt;&gt;"")*IND_PER))=0,UF_HOY,INDEX(IND_UF,MATCH(SUMPRODUCT(MAX((IND_PER&lt;=B1203)*(IND_UF&lt;&gt;"")*IND_PER)),IND_PER,0))))</f>
        <v/>
      </c>
      <c r="AK1203" s="87" t="str">
        <f aca="false">IF(AH1203="","",IF(COUNTIF(TASA_DESDE,"&lt;="&amp;B1203)=0,INDEX(TASA_EMP,1),INDEX(TASA_EMP,COUNTIF(TASA_DESDE,"&lt;="&amp;B1203))))</f>
        <v/>
      </c>
    </row>
    <row r="1204" customFormat="false" ht="15" hidden="false" customHeight="false" outlineLevel="0" collapsed="false">
      <c r="B1204" s="78"/>
      <c r="C1204" s="64"/>
      <c r="D1204" s="72" t="str">
        <f aca="false">IF(C1204="","",IFERROR(INDEX(T_NOMBRE,MATCH(C1204,T_ID,0)),"⚠ ID no existe"))</f>
        <v/>
      </c>
      <c r="E1204" s="69"/>
      <c r="F1204" s="67"/>
      <c r="G1204" s="67"/>
      <c r="H1204" s="67"/>
      <c r="I1204" s="67"/>
      <c r="J1204" s="67"/>
      <c r="K1204" s="85" t="str">
        <f aca="false">IF(AH1204="","",N(F1204)+N(G1204)+N(H1204)-N(I1204)+N(J1204))</f>
        <v/>
      </c>
      <c r="L1204" s="67"/>
      <c r="M1204" s="67"/>
      <c r="N1204" s="67"/>
      <c r="O1204" s="67"/>
      <c r="P1204" s="85" t="str">
        <f aca="false">IF(AH1204="","",K1204+N(L1204)+N(M1204)+N(N1204)+N(O1204))</f>
        <v/>
      </c>
      <c r="Q1204" s="67"/>
      <c r="R1204" s="67"/>
      <c r="S1204" s="67"/>
      <c r="T1204" s="67"/>
      <c r="U1204" s="67"/>
      <c r="V1204" s="67"/>
      <c r="W1204" s="85" t="str">
        <f aca="false">IF(AH1204="","",N(Q1204)+N(R1204)+N(S1204)+N(T1204)+N(U1204)+N(V1204))</f>
        <v/>
      </c>
      <c r="X1204" s="85" t="str">
        <f aca="false">IF(AH1204="","",P1204-W1204)</f>
        <v/>
      </c>
      <c r="Y1204" s="67"/>
      <c r="Z1204" s="70" t="str">
        <f aca="false">IF(OR(AH1204="",Y1204=""),"",IF(ABS(X1204-Y1204)&lt;=1,"✓ Cuadra","⚠ Diferencia $"&amp;FIXED(X1204-Y1204,0)))</f>
        <v/>
      </c>
      <c r="AA1204" s="72" t="str">
        <f aca="false">IF(AH1204="","",IFERROR(INDEX(C_TIPO,MATCH(C1204&amp;"-P"&amp;MAX(1,COUNTIFS(C_ID,C1204,C_DEFINE,"Sí",C_INICIO,"&lt;="&amp;EOMONTH(B1204,0))),C_CLAVE,0))&amp;"","Sin dato"))</f>
        <v/>
      </c>
      <c r="AB1204" s="71" t="str">
        <f aca="false">IF(AH1204="","",ROUND(MIN(K1204,TOPE_AFP_UF*AJ1204)*AK1204,0))</f>
        <v/>
      </c>
      <c r="AC1204" s="71" t="str">
        <f aca="false">IF(AH1204="","",ROUND(MIN(K1204,TOPE_AFC_UF*AJ1204)*IF(AA1204="Indefinido",AFC_EMP_INDEF,AFC_EMP_PF),0))</f>
        <v/>
      </c>
      <c r="AD1204" s="71" t="str">
        <f aca="false">IF(AH1204="","",ROUND(MIN(K1204,TOPE_AFP_UF*AJ1204)*(MUTUAL_BASICA+MUTUAL_ADIC+SANNA),0))</f>
        <v/>
      </c>
      <c r="AE1204" s="71" t="str">
        <f aca="false">IF(AH1204="","",P1204-N(N1204)+AB1204+AC1204+AD1204)</f>
        <v/>
      </c>
      <c r="AF1204" s="65"/>
      <c r="AG1204" s="64"/>
      <c r="AH1204" s="72" t="str">
        <f aca="false">IF(OR(B1204="",C1204=""),"",C1204&amp;"|"&amp;(YEAR(B1204)*100+MONTH(B1204)))</f>
        <v/>
      </c>
      <c r="AI1204" s="70" t="str">
        <f aca="false">IF(AH1204="","",IF(COUNTIF(L_CLAVE,AH1204)&gt;1,"⚠ Duplicado","OK"))</f>
        <v/>
      </c>
      <c r="AJ1204" s="86" t="str">
        <f aca="false">IF(AH1204="","",IF(SUMPRODUCT(MAX((IND_PER&lt;=B1204)*(IND_UF&lt;&gt;"")*IND_PER))=0,UF_HOY,INDEX(IND_UF,MATCH(SUMPRODUCT(MAX((IND_PER&lt;=B1204)*(IND_UF&lt;&gt;"")*IND_PER)),IND_PER,0))))</f>
        <v/>
      </c>
      <c r="AK1204" s="87" t="str">
        <f aca="false">IF(AH1204="","",IF(COUNTIF(TASA_DESDE,"&lt;="&amp;B1204)=0,INDEX(TASA_EMP,1),INDEX(TASA_EMP,COUNTIF(TASA_DESDE,"&lt;="&amp;B1204))))</f>
        <v/>
      </c>
    </row>
    <row r="1205" customFormat="false" ht="15" hidden="false" customHeight="false" outlineLevel="0" collapsed="false">
      <c r="B1205" s="78"/>
      <c r="C1205" s="64"/>
      <c r="D1205" s="72" t="str">
        <f aca="false">IF(C1205="","",IFERROR(INDEX(T_NOMBRE,MATCH(C1205,T_ID,0)),"⚠ ID no existe"))</f>
        <v/>
      </c>
      <c r="E1205" s="69"/>
      <c r="F1205" s="67"/>
      <c r="G1205" s="67"/>
      <c r="H1205" s="67"/>
      <c r="I1205" s="67"/>
      <c r="J1205" s="67"/>
      <c r="K1205" s="85" t="str">
        <f aca="false">IF(AH1205="","",N(F1205)+N(G1205)+N(H1205)-N(I1205)+N(J1205))</f>
        <v/>
      </c>
      <c r="L1205" s="67"/>
      <c r="M1205" s="67"/>
      <c r="N1205" s="67"/>
      <c r="O1205" s="67"/>
      <c r="P1205" s="85" t="str">
        <f aca="false">IF(AH1205="","",K1205+N(L1205)+N(M1205)+N(N1205)+N(O1205))</f>
        <v/>
      </c>
      <c r="Q1205" s="67"/>
      <c r="R1205" s="67"/>
      <c r="S1205" s="67"/>
      <c r="T1205" s="67"/>
      <c r="U1205" s="67"/>
      <c r="V1205" s="67"/>
      <c r="W1205" s="85" t="str">
        <f aca="false">IF(AH1205="","",N(Q1205)+N(R1205)+N(S1205)+N(T1205)+N(U1205)+N(V1205))</f>
        <v/>
      </c>
      <c r="X1205" s="85" t="str">
        <f aca="false">IF(AH1205="","",P1205-W1205)</f>
        <v/>
      </c>
      <c r="Y1205" s="67"/>
      <c r="Z1205" s="70" t="str">
        <f aca="false">IF(OR(AH1205="",Y1205=""),"",IF(ABS(X1205-Y1205)&lt;=1,"✓ Cuadra","⚠ Diferencia $"&amp;FIXED(X1205-Y1205,0)))</f>
        <v/>
      </c>
      <c r="AA1205" s="72" t="str">
        <f aca="false">IF(AH1205="","",IFERROR(INDEX(C_TIPO,MATCH(C1205&amp;"-P"&amp;MAX(1,COUNTIFS(C_ID,C1205,C_DEFINE,"Sí",C_INICIO,"&lt;="&amp;EOMONTH(B1205,0))),C_CLAVE,0))&amp;"","Sin dato"))</f>
        <v/>
      </c>
      <c r="AB1205" s="71" t="str">
        <f aca="false">IF(AH1205="","",ROUND(MIN(K1205,TOPE_AFP_UF*AJ1205)*AK1205,0))</f>
        <v/>
      </c>
      <c r="AC1205" s="71" t="str">
        <f aca="false">IF(AH1205="","",ROUND(MIN(K1205,TOPE_AFC_UF*AJ1205)*IF(AA1205="Indefinido",AFC_EMP_INDEF,AFC_EMP_PF),0))</f>
        <v/>
      </c>
      <c r="AD1205" s="71" t="str">
        <f aca="false">IF(AH1205="","",ROUND(MIN(K1205,TOPE_AFP_UF*AJ1205)*(MUTUAL_BASICA+MUTUAL_ADIC+SANNA),0))</f>
        <v/>
      </c>
      <c r="AE1205" s="71" t="str">
        <f aca="false">IF(AH1205="","",P1205-N(N1205)+AB1205+AC1205+AD1205)</f>
        <v/>
      </c>
      <c r="AF1205" s="65"/>
      <c r="AG1205" s="64"/>
      <c r="AH1205" s="72" t="str">
        <f aca="false">IF(OR(B1205="",C1205=""),"",C1205&amp;"|"&amp;(YEAR(B1205)*100+MONTH(B1205)))</f>
        <v/>
      </c>
      <c r="AI1205" s="70" t="str">
        <f aca="false">IF(AH1205="","",IF(COUNTIF(L_CLAVE,AH1205)&gt;1,"⚠ Duplicado","OK"))</f>
        <v/>
      </c>
      <c r="AJ1205" s="86" t="str">
        <f aca="false">IF(AH1205="","",IF(SUMPRODUCT(MAX((IND_PER&lt;=B1205)*(IND_UF&lt;&gt;"")*IND_PER))=0,UF_HOY,INDEX(IND_UF,MATCH(SUMPRODUCT(MAX((IND_PER&lt;=B1205)*(IND_UF&lt;&gt;"")*IND_PER)),IND_PER,0))))</f>
        <v/>
      </c>
      <c r="AK1205" s="87" t="str">
        <f aca="false">IF(AH1205="","",IF(COUNTIF(TASA_DESDE,"&lt;="&amp;B1205)=0,INDEX(TASA_EMP,1),INDEX(TASA_EMP,COUNTIF(TASA_DESDE,"&lt;="&amp;B1205))))</f>
        <v/>
      </c>
    </row>
    <row r="1206" customFormat="false" ht="15" hidden="false" customHeight="false" outlineLevel="0" collapsed="false">
      <c r="B1206" s="78"/>
      <c r="C1206" s="64"/>
      <c r="D1206" s="72" t="str">
        <f aca="false">IF(C1206="","",IFERROR(INDEX(T_NOMBRE,MATCH(C1206,T_ID,0)),"⚠ ID no existe"))</f>
        <v/>
      </c>
      <c r="E1206" s="69"/>
      <c r="F1206" s="67"/>
      <c r="G1206" s="67"/>
      <c r="H1206" s="67"/>
      <c r="I1206" s="67"/>
      <c r="J1206" s="67"/>
      <c r="K1206" s="85" t="str">
        <f aca="false">IF(AH1206="","",N(F1206)+N(G1206)+N(H1206)-N(I1206)+N(J1206))</f>
        <v/>
      </c>
      <c r="L1206" s="67"/>
      <c r="M1206" s="67"/>
      <c r="N1206" s="67"/>
      <c r="O1206" s="67"/>
      <c r="P1206" s="85" t="str">
        <f aca="false">IF(AH1206="","",K1206+N(L1206)+N(M1206)+N(N1206)+N(O1206))</f>
        <v/>
      </c>
      <c r="Q1206" s="67"/>
      <c r="R1206" s="67"/>
      <c r="S1206" s="67"/>
      <c r="T1206" s="67"/>
      <c r="U1206" s="67"/>
      <c r="V1206" s="67"/>
      <c r="W1206" s="85" t="str">
        <f aca="false">IF(AH1206="","",N(Q1206)+N(R1206)+N(S1206)+N(T1206)+N(U1206)+N(V1206))</f>
        <v/>
      </c>
      <c r="X1206" s="85" t="str">
        <f aca="false">IF(AH1206="","",P1206-W1206)</f>
        <v/>
      </c>
      <c r="Y1206" s="67"/>
      <c r="Z1206" s="70" t="str">
        <f aca="false">IF(OR(AH1206="",Y1206=""),"",IF(ABS(X1206-Y1206)&lt;=1,"✓ Cuadra","⚠ Diferencia $"&amp;FIXED(X1206-Y1206,0)))</f>
        <v/>
      </c>
      <c r="AA1206" s="72" t="str">
        <f aca="false">IF(AH1206="","",IFERROR(INDEX(C_TIPO,MATCH(C1206&amp;"-P"&amp;MAX(1,COUNTIFS(C_ID,C1206,C_DEFINE,"Sí",C_INICIO,"&lt;="&amp;EOMONTH(B1206,0))),C_CLAVE,0))&amp;"","Sin dato"))</f>
        <v/>
      </c>
      <c r="AB1206" s="71" t="str">
        <f aca="false">IF(AH1206="","",ROUND(MIN(K1206,TOPE_AFP_UF*AJ1206)*AK1206,0))</f>
        <v/>
      </c>
      <c r="AC1206" s="71" t="str">
        <f aca="false">IF(AH1206="","",ROUND(MIN(K1206,TOPE_AFC_UF*AJ1206)*IF(AA1206="Indefinido",AFC_EMP_INDEF,AFC_EMP_PF),0))</f>
        <v/>
      </c>
      <c r="AD1206" s="71" t="str">
        <f aca="false">IF(AH1206="","",ROUND(MIN(K1206,TOPE_AFP_UF*AJ1206)*(MUTUAL_BASICA+MUTUAL_ADIC+SANNA),0))</f>
        <v/>
      </c>
      <c r="AE1206" s="71" t="str">
        <f aca="false">IF(AH1206="","",P1206-N(N1206)+AB1206+AC1206+AD1206)</f>
        <v/>
      </c>
      <c r="AF1206" s="65"/>
      <c r="AG1206" s="64"/>
      <c r="AH1206" s="72" t="str">
        <f aca="false">IF(OR(B1206="",C1206=""),"",C1206&amp;"|"&amp;(YEAR(B1206)*100+MONTH(B1206)))</f>
        <v/>
      </c>
      <c r="AI1206" s="70" t="str">
        <f aca="false">IF(AH1206="","",IF(COUNTIF(L_CLAVE,AH1206)&gt;1,"⚠ Duplicado","OK"))</f>
        <v/>
      </c>
      <c r="AJ1206" s="86" t="str">
        <f aca="false">IF(AH1206="","",IF(SUMPRODUCT(MAX((IND_PER&lt;=B1206)*(IND_UF&lt;&gt;"")*IND_PER))=0,UF_HOY,INDEX(IND_UF,MATCH(SUMPRODUCT(MAX((IND_PER&lt;=B1206)*(IND_UF&lt;&gt;"")*IND_PER)),IND_PER,0))))</f>
        <v/>
      </c>
      <c r="AK1206" s="87" t="str">
        <f aca="false">IF(AH1206="","",IF(COUNTIF(TASA_DESDE,"&lt;="&amp;B1206)=0,INDEX(TASA_EMP,1),INDEX(TASA_EMP,COUNTIF(TASA_DESDE,"&lt;="&amp;B1206))))</f>
        <v/>
      </c>
    </row>
    <row r="1207" customFormat="false" ht="15" hidden="false" customHeight="false" outlineLevel="0" collapsed="false">
      <c r="B1207" s="78"/>
      <c r="C1207" s="64"/>
      <c r="D1207" s="72" t="str">
        <f aca="false">IF(C1207="","",IFERROR(INDEX(T_NOMBRE,MATCH(C1207,T_ID,0)),"⚠ ID no existe"))</f>
        <v/>
      </c>
      <c r="E1207" s="69"/>
      <c r="F1207" s="67"/>
      <c r="G1207" s="67"/>
      <c r="H1207" s="67"/>
      <c r="I1207" s="67"/>
      <c r="J1207" s="67"/>
      <c r="K1207" s="85" t="str">
        <f aca="false">IF(AH1207="","",N(F1207)+N(G1207)+N(H1207)-N(I1207)+N(J1207))</f>
        <v/>
      </c>
      <c r="L1207" s="67"/>
      <c r="M1207" s="67"/>
      <c r="N1207" s="67"/>
      <c r="O1207" s="67"/>
      <c r="P1207" s="85" t="str">
        <f aca="false">IF(AH1207="","",K1207+N(L1207)+N(M1207)+N(N1207)+N(O1207))</f>
        <v/>
      </c>
      <c r="Q1207" s="67"/>
      <c r="R1207" s="67"/>
      <c r="S1207" s="67"/>
      <c r="T1207" s="67"/>
      <c r="U1207" s="67"/>
      <c r="V1207" s="67"/>
      <c r="W1207" s="85" t="str">
        <f aca="false">IF(AH1207="","",N(Q1207)+N(R1207)+N(S1207)+N(T1207)+N(U1207)+N(V1207))</f>
        <v/>
      </c>
      <c r="X1207" s="85" t="str">
        <f aca="false">IF(AH1207="","",P1207-W1207)</f>
        <v/>
      </c>
      <c r="Y1207" s="67"/>
      <c r="Z1207" s="70" t="str">
        <f aca="false">IF(OR(AH1207="",Y1207=""),"",IF(ABS(X1207-Y1207)&lt;=1,"✓ Cuadra","⚠ Diferencia $"&amp;FIXED(X1207-Y1207,0)))</f>
        <v/>
      </c>
      <c r="AA1207" s="72" t="str">
        <f aca="false">IF(AH1207="","",IFERROR(INDEX(C_TIPO,MATCH(C1207&amp;"-P"&amp;MAX(1,COUNTIFS(C_ID,C1207,C_DEFINE,"Sí",C_INICIO,"&lt;="&amp;EOMONTH(B1207,0))),C_CLAVE,0))&amp;"","Sin dato"))</f>
        <v/>
      </c>
      <c r="AB1207" s="71" t="str">
        <f aca="false">IF(AH1207="","",ROUND(MIN(K1207,TOPE_AFP_UF*AJ1207)*AK1207,0))</f>
        <v/>
      </c>
      <c r="AC1207" s="71" t="str">
        <f aca="false">IF(AH1207="","",ROUND(MIN(K1207,TOPE_AFC_UF*AJ1207)*IF(AA1207="Indefinido",AFC_EMP_INDEF,AFC_EMP_PF),0))</f>
        <v/>
      </c>
      <c r="AD1207" s="71" t="str">
        <f aca="false">IF(AH1207="","",ROUND(MIN(K1207,TOPE_AFP_UF*AJ1207)*(MUTUAL_BASICA+MUTUAL_ADIC+SANNA),0))</f>
        <v/>
      </c>
      <c r="AE1207" s="71" t="str">
        <f aca="false">IF(AH1207="","",P1207-N(N1207)+AB1207+AC1207+AD1207)</f>
        <v/>
      </c>
      <c r="AF1207" s="65"/>
      <c r="AG1207" s="64"/>
      <c r="AH1207" s="72" t="str">
        <f aca="false">IF(OR(B1207="",C1207=""),"",C1207&amp;"|"&amp;(YEAR(B1207)*100+MONTH(B1207)))</f>
        <v/>
      </c>
      <c r="AI1207" s="70" t="str">
        <f aca="false">IF(AH1207="","",IF(COUNTIF(L_CLAVE,AH1207)&gt;1,"⚠ Duplicado","OK"))</f>
        <v/>
      </c>
      <c r="AJ1207" s="86" t="str">
        <f aca="false">IF(AH1207="","",IF(SUMPRODUCT(MAX((IND_PER&lt;=B1207)*(IND_UF&lt;&gt;"")*IND_PER))=0,UF_HOY,INDEX(IND_UF,MATCH(SUMPRODUCT(MAX((IND_PER&lt;=B1207)*(IND_UF&lt;&gt;"")*IND_PER)),IND_PER,0))))</f>
        <v/>
      </c>
      <c r="AK1207" s="87" t="str">
        <f aca="false">IF(AH1207="","",IF(COUNTIF(TASA_DESDE,"&lt;="&amp;B1207)=0,INDEX(TASA_EMP,1),INDEX(TASA_EMP,COUNTIF(TASA_DESDE,"&lt;="&amp;B1207))))</f>
        <v/>
      </c>
    </row>
    <row r="1208" customFormat="false" ht="15" hidden="false" customHeight="false" outlineLevel="0" collapsed="false">
      <c r="B1208" s="78"/>
      <c r="C1208" s="64"/>
      <c r="D1208" s="72" t="str">
        <f aca="false">IF(C1208="","",IFERROR(INDEX(T_NOMBRE,MATCH(C1208,T_ID,0)),"⚠ ID no existe"))</f>
        <v/>
      </c>
      <c r="E1208" s="69"/>
      <c r="F1208" s="67"/>
      <c r="G1208" s="67"/>
      <c r="H1208" s="67"/>
      <c r="I1208" s="67"/>
      <c r="J1208" s="67"/>
      <c r="K1208" s="85" t="str">
        <f aca="false">IF(AH1208="","",N(F1208)+N(G1208)+N(H1208)-N(I1208)+N(J1208))</f>
        <v/>
      </c>
      <c r="L1208" s="67"/>
      <c r="M1208" s="67"/>
      <c r="N1208" s="67"/>
      <c r="O1208" s="67"/>
      <c r="P1208" s="85" t="str">
        <f aca="false">IF(AH1208="","",K1208+N(L1208)+N(M1208)+N(N1208)+N(O1208))</f>
        <v/>
      </c>
      <c r="Q1208" s="67"/>
      <c r="R1208" s="67"/>
      <c r="S1208" s="67"/>
      <c r="T1208" s="67"/>
      <c r="U1208" s="67"/>
      <c r="V1208" s="67"/>
      <c r="W1208" s="85" t="str">
        <f aca="false">IF(AH1208="","",N(Q1208)+N(R1208)+N(S1208)+N(T1208)+N(U1208)+N(V1208))</f>
        <v/>
      </c>
      <c r="X1208" s="85" t="str">
        <f aca="false">IF(AH1208="","",P1208-W1208)</f>
        <v/>
      </c>
      <c r="Y1208" s="67"/>
      <c r="Z1208" s="70" t="str">
        <f aca="false">IF(OR(AH1208="",Y1208=""),"",IF(ABS(X1208-Y1208)&lt;=1,"✓ Cuadra","⚠ Diferencia $"&amp;FIXED(X1208-Y1208,0)))</f>
        <v/>
      </c>
      <c r="AA1208" s="72" t="str">
        <f aca="false">IF(AH1208="","",IFERROR(INDEX(C_TIPO,MATCH(C1208&amp;"-P"&amp;MAX(1,COUNTIFS(C_ID,C1208,C_DEFINE,"Sí",C_INICIO,"&lt;="&amp;EOMONTH(B1208,0))),C_CLAVE,0))&amp;"","Sin dato"))</f>
        <v/>
      </c>
      <c r="AB1208" s="71" t="str">
        <f aca="false">IF(AH1208="","",ROUND(MIN(K1208,TOPE_AFP_UF*AJ1208)*AK1208,0))</f>
        <v/>
      </c>
      <c r="AC1208" s="71" t="str">
        <f aca="false">IF(AH1208="","",ROUND(MIN(K1208,TOPE_AFC_UF*AJ1208)*IF(AA1208="Indefinido",AFC_EMP_INDEF,AFC_EMP_PF),0))</f>
        <v/>
      </c>
      <c r="AD1208" s="71" t="str">
        <f aca="false">IF(AH1208="","",ROUND(MIN(K1208,TOPE_AFP_UF*AJ1208)*(MUTUAL_BASICA+MUTUAL_ADIC+SANNA),0))</f>
        <v/>
      </c>
      <c r="AE1208" s="71" t="str">
        <f aca="false">IF(AH1208="","",P1208-N(N1208)+AB1208+AC1208+AD1208)</f>
        <v/>
      </c>
      <c r="AF1208" s="65"/>
      <c r="AG1208" s="64"/>
      <c r="AH1208" s="72" t="str">
        <f aca="false">IF(OR(B1208="",C1208=""),"",C1208&amp;"|"&amp;(YEAR(B1208)*100+MONTH(B1208)))</f>
        <v/>
      </c>
      <c r="AI1208" s="70" t="str">
        <f aca="false">IF(AH1208="","",IF(COUNTIF(L_CLAVE,AH1208)&gt;1,"⚠ Duplicado","OK"))</f>
        <v/>
      </c>
      <c r="AJ1208" s="86" t="str">
        <f aca="false">IF(AH1208="","",IF(SUMPRODUCT(MAX((IND_PER&lt;=B1208)*(IND_UF&lt;&gt;"")*IND_PER))=0,UF_HOY,INDEX(IND_UF,MATCH(SUMPRODUCT(MAX((IND_PER&lt;=B1208)*(IND_UF&lt;&gt;"")*IND_PER)),IND_PER,0))))</f>
        <v/>
      </c>
      <c r="AK1208" s="87" t="str">
        <f aca="false">IF(AH1208="","",IF(COUNTIF(TASA_DESDE,"&lt;="&amp;B1208)=0,INDEX(TASA_EMP,1),INDEX(TASA_EMP,COUNTIF(TASA_DESDE,"&lt;="&amp;B1208))))</f>
        <v/>
      </c>
    </row>
    <row r="1209" customFormat="false" ht="15" hidden="false" customHeight="false" outlineLevel="0" collapsed="false">
      <c r="B1209" s="78"/>
      <c r="C1209" s="64"/>
      <c r="D1209" s="72" t="str">
        <f aca="false">IF(C1209="","",IFERROR(INDEX(T_NOMBRE,MATCH(C1209,T_ID,0)),"⚠ ID no existe"))</f>
        <v/>
      </c>
      <c r="E1209" s="69"/>
      <c r="F1209" s="67"/>
      <c r="G1209" s="67"/>
      <c r="H1209" s="67"/>
      <c r="I1209" s="67"/>
      <c r="J1209" s="67"/>
      <c r="K1209" s="85" t="str">
        <f aca="false">IF(AH1209="","",N(F1209)+N(G1209)+N(H1209)-N(I1209)+N(J1209))</f>
        <v/>
      </c>
      <c r="L1209" s="67"/>
      <c r="M1209" s="67"/>
      <c r="N1209" s="67"/>
      <c r="O1209" s="67"/>
      <c r="P1209" s="85" t="str">
        <f aca="false">IF(AH1209="","",K1209+N(L1209)+N(M1209)+N(N1209)+N(O1209))</f>
        <v/>
      </c>
      <c r="Q1209" s="67"/>
      <c r="R1209" s="67"/>
      <c r="S1209" s="67"/>
      <c r="T1209" s="67"/>
      <c r="U1209" s="67"/>
      <c r="V1209" s="67"/>
      <c r="W1209" s="85" t="str">
        <f aca="false">IF(AH1209="","",N(Q1209)+N(R1209)+N(S1209)+N(T1209)+N(U1209)+N(V1209))</f>
        <v/>
      </c>
      <c r="X1209" s="85" t="str">
        <f aca="false">IF(AH1209="","",P1209-W1209)</f>
        <v/>
      </c>
      <c r="Y1209" s="67"/>
      <c r="Z1209" s="70" t="str">
        <f aca="false">IF(OR(AH1209="",Y1209=""),"",IF(ABS(X1209-Y1209)&lt;=1,"✓ Cuadra","⚠ Diferencia $"&amp;FIXED(X1209-Y1209,0)))</f>
        <v/>
      </c>
      <c r="AA1209" s="72" t="str">
        <f aca="false">IF(AH1209="","",IFERROR(INDEX(C_TIPO,MATCH(C1209&amp;"-P"&amp;MAX(1,COUNTIFS(C_ID,C1209,C_DEFINE,"Sí",C_INICIO,"&lt;="&amp;EOMONTH(B1209,0))),C_CLAVE,0))&amp;"","Sin dato"))</f>
        <v/>
      </c>
      <c r="AB1209" s="71" t="str">
        <f aca="false">IF(AH1209="","",ROUND(MIN(K1209,TOPE_AFP_UF*AJ1209)*AK1209,0))</f>
        <v/>
      </c>
      <c r="AC1209" s="71" t="str">
        <f aca="false">IF(AH1209="","",ROUND(MIN(K1209,TOPE_AFC_UF*AJ1209)*IF(AA1209="Indefinido",AFC_EMP_INDEF,AFC_EMP_PF),0))</f>
        <v/>
      </c>
      <c r="AD1209" s="71" t="str">
        <f aca="false">IF(AH1209="","",ROUND(MIN(K1209,TOPE_AFP_UF*AJ1209)*(MUTUAL_BASICA+MUTUAL_ADIC+SANNA),0))</f>
        <v/>
      </c>
      <c r="AE1209" s="71" t="str">
        <f aca="false">IF(AH1209="","",P1209-N(N1209)+AB1209+AC1209+AD1209)</f>
        <v/>
      </c>
      <c r="AF1209" s="65"/>
      <c r="AG1209" s="64"/>
      <c r="AH1209" s="72" t="str">
        <f aca="false">IF(OR(B1209="",C1209=""),"",C1209&amp;"|"&amp;(YEAR(B1209)*100+MONTH(B1209)))</f>
        <v/>
      </c>
      <c r="AI1209" s="70" t="str">
        <f aca="false">IF(AH1209="","",IF(COUNTIF(L_CLAVE,AH1209)&gt;1,"⚠ Duplicado","OK"))</f>
        <v/>
      </c>
      <c r="AJ1209" s="86" t="str">
        <f aca="false">IF(AH1209="","",IF(SUMPRODUCT(MAX((IND_PER&lt;=B1209)*(IND_UF&lt;&gt;"")*IND_PER))=0,UF_HOY,INDEX(IND_UF,MATCH(SUMPRODUCT(MAX((IND_PER&lt;=B1209)*(IND_UF&lt;&gt;"")*IND_PER)),IND_PER,0))))</f>
        <v/>
      </c>
      <c r="AK1209" s="87" t="str">
        <f aca="false">IF(AH1209="","",IF(COUNTIF(TASA_DESDE,"&lt;="&amp;B1209)=0,INDEX(TASA_EMP,1),INDEX(TASA_EMP,COUNTIF(TASA_DESDE,"&lt;="&amp;B1209))))</f>
        <v/>
      </c>
    </row>
    <row r="1210" customFormat="false" ht="15" hidden="false" customHeight="false" outlineLevel="0" collapsed="false">
      <c r="B1210" s="78"/>
      <c r="C1210" s="64"/>
      <c r="D1210" s="72" t="str">
        <f aca="false">IF(C1210="","",IFERROR(INDEX(T_NOMBRE,MATCH(C1210,T_ID,0)),"⚠ ID no existe"))</f>
        <v/>
      </c>
      <c r="E1210" s="69"/>
      <c r="F1210" s="67"/>
      <c r="G1210" s="67"/>
      <c r="H1210" s="67"/>
      <c r="I1210" s="67"/>
      <c r="J1210" s="67"/>
      <c r="K1210" s="85" t="str">
        <f aca="false">IF(AH1210="","",N(F1210)+N(G1210)+N(H1210)-N(I1210)+N(J1210))</f>
        <v/>
      </c>
      <c r="L1210" s="67"/>
      <c r="M1210" s="67"/>
      <c r="N1210" s="67"/>
      <c r="O1210" s="67"/>
      <c r="P1210" s="85" t="str">
        <f aca="false">IF(AH1210="","",K1210+N(L1210)+N(M1210)+N(N1210)+N(O1210))</f>
        <v/>
      </c>
      <c r="Q1210" s="67"/>
      <c r="R1210" s="67"/>
      <c r="S1210" s="67"/>
      <c r="T1210" s="67"/>
      <c r="U1210" s="67"/>
      <c r="V1210" s="67"/>
      <c r="W1210" s="85" t="str">
        <f aca="false">IF(AH1210="","",N(Q1210)+N(R1210)+N(S1210)+N(T1210)+N(U1210)+N(V1210))</f>
        <v/>
      </c>
      <c r="X1210" s="85" t="str">
        <f aca="false">IF(AH1210="","",P1210-W1210)</f>
        <v/>
      </c>
      <c r="Y1210" s="67"/>
      <c r="Z1210" s="70" t="str">
        <f aca="false">IF(OR(AH1210="",Y1210=""),"",IF(ABS(X1210-Y1210)&lt;=1,"✓ Cuadra","⚠ Diferencia $"&amp;FIXED(X1210-Y1210,0)))</f>
        <v/>
      </c>
      <c r="AA1210" s="72" t="str">
        <f aca="false">IF(AH1210="","",IFERROR(INDEX(C_TIPO,MATCH(C1210&amp;"-P"&amp;MAX(1,COUNTIFS(C_ID,C1210,C_DEFINE,"Sí",C_INICIO,"&lt;="&amp;EOMONTH(B1210,0))),C_CLAVE,0))&amp;"","Sin dato"))</f>
        <v/>
      </c>
      <c r="AB1210" s="71" t="str">
        <f aca="false">IF(AH1210="","",ROUND(MIN(K1210,TOPE_AFP_UF*AJ1210)*AK1210,0))</f>
        <v/>
      </c>
      <c r="AC1210" s="71" t="str">
        <f aca="false">IF(AH1210="","",ROUND(MIN(K1210,TOPE_AFC_UF*AJ1210)*IF(AA1210="Indefinido",AFC_EMP_INDEF,AFC_EMP_PF),0))</f>
        <v/>
      </c>
      <c r="AD1210" s="71" t="str">
        <f aca="false">IF(AH1210="","",ROUND(MIN(K1210,TOPE_AFP_UF*AJ1210)*(MUTUAL_BASICA+MUTUAL_ADIC+SANNA),0))</f>
        <v/>
      </c>
      <c r="AE1210" s="71" t="str">
        <f aca="false">IF(AH1210="","",P1210-N(N1210)+AB1210+AC1210+AD1210)</f>
        <v/>
      </c>
      <c r="AF1210" s="65"/>
      <c r="AG1210" s="64"/>
      <c r="AH1210" s="72" t="str">
        <f aca="false">IF(OR(B1210="",C1210=""),"",C1210&amp;"|"&amp;(YEAR(B1210)*100+MONTH(B1210)))</f>
        <v/>
      </c>
      <c r="AI1210" s="70" t="str">
        <f aca="false">IF(AH1210="","",IF(COUNTIF(L_CLAVE,AH1210)&gt;1,"⚠ Duplicado","OK"))</f>
        <v/>
      </c>
      <c r="AJ1210" s="86" t="str">
        <f aca="false">IF(AH1210="","",IF(SUMPRODUCT(MAX((IND_PER&lt;=B1210)*(IND_UF&lt;&gt;"")*IND_PER))=0,UF_HOY,INDEX(IND_UF,MATCH(SUMPRODUCT(MAX((IND_PER&lt;=B1210)*(IND_UF&lt;&gt;"")*IND_PER)),IND_PER,0))))</f>
        <v/>
      </c>
      <c r="AK1210" s="87" t="str">
        <f aca="false">IF(AH1210="","",IF(COUNTIF(TASA_DESDE,"&lt;="&amp;B1210)=0,INDEX(TASA_EMP,1),INDEX(TASA_EMP,COUNTIF(TASA_DESDE,"&lt;="&amp;B1210))))</f>
        <v/>
      </c>
    </row>
    <row r="1211" customFormat="false" ht="15" hidden="false" customHeight="false" outlineLevel="0" collapsed="false">
      <c r="B1211" s="78"/>
      <c r="C1211" s="64"/>
      <c r="D1211" s="72" t="str">
        <f aca="false">IF(C1211="","",IFERROR(INDEX(T_NOMBRE,MATCH(C1211,T_ID,0)),"⚠ ID no existe"))</f>
        <v/>
      </c>
      <c r="E1211" s="69"/>
      <c r="F1211" s="67"/>
      <c r="G1211" s="67"/>
      <c r="H1211" s="67"/>
      <c r="I1211" s="67"/>
      <c r="J1211" s="67"/>
      <c r="K1211" s="85" t="str">
        <f aca="false">IF(AH1211="","",N(F1211)+N(G1211)+N(H1211)-N(I1211)+N(J1211))</f>
        <v/>
      </c>
      <c r="L1211" s="67"/>
      <c r="M1211" s="67"/>
      <c r="N1211" s="67"/>
      <c r="O1211" s="67"/>
      <c r="P1211" s="85" t="str">
        <f aca="false">IF(AH1211="","",K1211+N(L1211)+N(M1211)+N(N1211)+N(O1211))</f>
        <v/>
      </c>
      <c r="Q1211" s="67"/>
      <c r="R1211" s="67"/>
      <c r="S1211" s="67"/>
      <c r="T1211" s="67"/>
      <c r="U1211" s="67"/>
      <c r="V1211" s="67"/>
      <c r="W1211" s="85" t="str">
        <f aca="false">IF(AH1211="","",N(Q1211)+N(R1211)+N(S1211)+N(T1211)+N(U1211)+N(V1211))</f>
        <v/>
      </c>
      <c r="X1211" s="85" t="str">
        <f aca="false">IF(AH1211="","",P1211-W1211)</f>
        <v/>
      </c>
      <c r="Y1211" s="67"/>
      <c r="Z1211" s="70" t="str">
        <f aca="false">IF(OR(AH1211="",Y1211=""),"",IF(ABS(X1211-Y1211)&lt;=1,"✓ Cuadra","⚠ Diferencia $"&amp;FIXED(X1211-Y1211,0)))</f>
        <v/>
      </c>
      <c r="AA1211" s="72" t="str">
        <f aca="false">IF(AH1211="","",IFERROR(INDEX(C_TIPO,MATCH(C1211&amp;"-P"&amp;MAX(1,COUNTIFS(C_ID,C1211,C_DEFINE,"Sí",C_INICIO,"&lt;="&amp;EOMONTH(B1211,0))),C_CLAVE,0))&amp;"","Sin dato"))</f>
        <v/>
      </c>
      <c r="AB1211" s="71" t="str">
        <f aca="false">IF(AH1211="","",ROUND(MIN(K1211,TOPE_AFP_UF*AJ1211)*AK1211,0))</f>
        <v/>
      </c>
      <c r="AC1211" s="71" t="str">
        <f aca="false">IF(AH1211="","",ROUND(MIN(K1211,TOPE_AFC_UF*AJ1211)*IF(AA1211="Indefinido",AFC_EMP_INDEF,AFC_EMP_PF),0))</f>
        <v/>
      </c>
      <c r="AD1211" s="71" t="str">
        <f aca="false">IF(AH1211="","",ROUND(MIN(K1211,TOPE_AFP_UF*AJ1211)*(MUTUAL_BASICA+MUTUAL_ADIC+SANNA),0))</f>
        <v/>
      </c>
      <c r="AE1211" s="71" t="str">
        <f aca="false">IF(AH1211="","",P1211-N(N1211)+AB1211+AC1211+AD1211)</f>
        <v/>
      </c>
      <c r="AF1211" s="65"/>
      <c r="AG1211" s="64"/>
      <c r="AH1211" s="72" t="str">
        <f aca="false">IF(OR(B1211="",C1211=""),"",C1211&amp;"|"&amp;(YEAR(B1211)*100+MONTH(B1211)))</f>
        <v/>
      </c>
      <c r="AI1211" s="70" t="str">
        <f aca="false">IF(AH1211="","",IF(COUNTIF(L_CLAVE,AH1211)&gt;1,"⚠ Duplicado","OK"))</f>
        <v/>
      </c>
      <c r="AJ1211" s="86" t="str">
        <f aca="false">IF(AH1211="","",IF(SUMPRODUCT(MAX((IND_PER&lt;=B1211)*(IND_UF&lt;&gt;"")*IND_PER))=0,UF_HOY,INDEX(IND_UF,MATCH(SUMPRODUCT(MAX((IND_PER&lt;=B1211)*(IND_UF&lt;&gt;"")*IND_PER)),IND_PER,0))))</f>
        <v/>
      </c>
      <c r="AK1211" s="87" t="str">
        <f aca="false">IF(AH1211="","",IF(COUNTIF(TASA_DESDE,"&lt;="&amp;B1211)=0,INDEX(TASA_EMP,1),INDEX(TASA_EMP,COUNTIF(TASA_DESDE,"&lt;="&amp;B1211))))</f>
        <v/>
      </c>
    </row>
    <row r="1212" customFormat="false" ht="15" hidden="false" customHeight="false" outlineLevel="0" collapsed="false">
      <c r="B1212" s="78"/>
      <c r="C1212" s="64"/>
      <c r="D1212" s="72" t="str">
        <f aca="false">IF(C1212="","",IFERROR(INDEX(T_NOMBRE,MATCH(C1212,T_ID,0)),"⚠ ID no existe"))</f>
        <v/>
      </c>
      <c r="E1212" s="69"/>
      <c r="F1212" s="67"/>
      <c r="G1212" s="67"/>
      <c r="H1212" s="67"/>
      <c r="I1212" s="67"/>
      <c r="J1212" s="67"/>
      <c r="K1212" s="85" t="str">
        <f aca="false">IF(AH1212="","",N(F1212)+N(G1212)+N(H1212)-N(I1212)+N(J1212))</f>
        <v/>
      </c>
      <c r="L1212" s="67"/>
      <c r="M1212" s="67"/>
      <c r="N1212" s="67"/>
      <c r="O1212" s="67"/>
      <c r="P1212" s="85" t="str">
        <f aca="false">IF(AH1212="","",K1212+N(L1212)+N(M1212)+N(N1212)+N(O1212))</f>
        <v/>
      </c>
      <c r="Q1212" s="67"/>
      <c r="R1212" s="67"/>
      <c r="S1212" s="67"/>
      <c r="T1212" s="67"/>
      <c r="U1212" s="67"/>
      <c r="V1212" s="67"/>
      <c r="W1212" s="85" t="str">
        <f aca="false">IF(AH1212="","",N(Q1212)+N(R1212)+N(S1212)+N(T1212)+N(U1212)+N(V1212))</f>
        <v/>
      </c>
      <c r="X1212" s="85" t="str">
        <f aca="false">IF(AH1212="","",P1212-W1212)</f>
        <v/>
      </c>
      <c r="Y1212" s="67"/>
      <c r="Z1212" s="70" t="str">
        <f aca="false">IF(OR(AH1212="",Y1212=""),"",IF(ABS(X1212-Y1212)&lt;=1,"✓ Cuadra","⚠ Diferencia $"&amp;FIXED(X1212-Y1212,0)))</f>
        <v/>
      </c>
      <c r="AA1212" s="72" t="str">
        <f aca="false">IF(AH1212="","",IFERROR(INDEX(C_TIPO,MATCH(C1212&amp;"-P"&amp;MAX(1,COUNTIFS(C_ID,C1212,C_DEFINE,"Sí",C_INICIO,"&lt;="&amp;EOMONTH(B1212,0))),C_CLAVE,0))&amp;"","Sin dato"))</f>
        <v/>
      </c>
      <c r="AB1212" s="71" t="str">
        <f aca="false">IF(AH1212="","",ROUND(MIN(K1212,TOPE_AFP_UF*AJ1212)*AK1212,0))</f>
        <v/>
      </c>
      <c r="AC1212" s="71" t="str">
        <f aca="false">IF(AH1212="","",ROUND(MIN(K1212,TOPE_AFC_UF*AJ1212)*IF(AA1212="Indefinido",AFC_EMP_INDEF,AFC_EMP_PF),0))</f>
        <v/>
      </c>
      <c r="AD1212" s="71" t="str">
        <f aca="false">IF(AH1212="","",ROUND(MIN(K1212,TOPE_AFP_UF*AJ1212)*(MUTUAL_BASICA+MUTUAL_ADIC+SANNA),0))</f>
        <v/>
      </c>
      <c r="AE1212" s="71" t="str">
        <f aca="false">IF(AH1212="","",P1212-N(N1212)+AB1212+AC1212+AD1212)</f>
        <v/>
      </c>
      <c r="AF1212" s="65"/>
      <c r="AG1212" s="64"/>
      <c r="AH1212" s="72" t="str">
        <f aca="false">IF(OR(B1212="",C1212=""),"",C1212&amp;"|"&amp;(YEAR(B1212)*100+MONTH(B1212)))</f>
        <v/>
      </c>
      <c r="AI1212" s="70" t="str">
        <f aca="false">IF(AH1212="","",IF(COUNTIF(L_CLAVE,AH1212)&gt;1,"⚠ Duplicado","OK"))</f>
        <v/>
      </c>
      <c r="AJ1212" s="86" t="str">
        <f aca="false">IF(AH1212="","",IF(SUMPRODUCT(MAX((IND_PER&lt;=B1212)*(IND_UF&lt;&gt;"")*IND_PER))=0,UF_HOY,INDEX(IND_UF,MATCH(SUMPRODUCT(MAX((IND_PER&lt;=B1212)*(IND_UF&lt;&gt;"")*IND_PER)),IND_PER,0))))</f>
        <v/>
      </c>
      <c r="AK1212" s="87" t="str">
        <f aca="false">IF(AH1212="","",IF(COUNTIF(TASA_DESDE,"&lt;="&amp;B1212)=0,INDEX(TASA_EMP,1),INDEX(TASA_EMP,COUNTIF(TASA_DESDE,"&lt;="&amp;B1212))))</f>
        <v/>
      </c>
    </row>
    <row r="1213" customFormat="false" ht="15" hidden="false" customHeight="false" outlineLevel="0" collapsed="false">
      <c r="B1213" s="78"/>
      <c r="C1213" s="64"/>
      <c r="D1213" s="72" t="str">
        <f aca="false">IF(C1213="","",IFERROR(INDEX(T_NOMBRE,MATCH(C1213,T_ID,0)),"⚠ ID no existe"))</f>
        <v/>
      </c>
      <c r="E1213" s="69"/>
      <c r="F1213" s="67"/>
      <c r="G1213" s="67"/>
      <c r="H1213" s="67"/>
      <c r="I1213" s="67"/>
      <c r="J1213" s="67"/>
      <c r="K1213" s="85" t="str">
        <f aca="false">IF(AH1213="","",N(F1213)+N(G1213)+N(H1213)-N(I1213)+N(J1213))</f>
        <v/>
      </c>
      <c r="L1213" s="67"/>
      <c r="M1213" s="67"/>
      <c r="N1213" s="67"/>
      <c r="O1213" s="67"/>
      <c r="P1213" s="85" t="str">
        <f aca="false">IF(AH1213="","",K1213+N(L1213)+N(M1213)+N(N1213)+N(O1213))</f>
        <v/>
      </c>
      <c r="Q1213" s="67"/>
      <c r="R1213" s="67"/>
      <c r="S1213" s="67"/>
      <c r="T1213" s="67"/>
      <c r="U1213" s="67"/>
      <c r="V1213" s="67"/>
      <c r="W1213" s="85" t="str">
        <f aca="false">IF(AH1213="","",N(Q1213)+N(R1213)+N(S1213)+N(T1213)+N(U1213)+N(V1213))</f>
        <v/>
      </c>
      <c r="X1213" s="85" t="str">
        <f aca="false">IF(AH1213="","",P1213-W1213)</f>
        <v/>
      </c>
      <c r="Y1213" s="67"/>
      <c r="Z1213" s="70" t="str">
        <f aca="false">IF(OR(AH1213="",Y1213=""),"",IF(ABS(X1213-Y1213)&lt;=1,"✓ Cuadra","⚠ Diferencia $"&amp;FIXED(X1213-Y1213,0)))</f>
        <v/>
      </c>
      <c r="AA1213" s="72" t="str">
        <f aca="false">IF(AH1213="","",IFERROR(INDEX(C_TIPO,MATCH(C1213&amp;"-P"&amp;MAX(1,COUNTIFS(C_ID,C1213,C_DEFINE,"Sí",C_INICIO,"&lt;="&amp;EOMONTH(B1213,0))),C_CLAVE,0))&amp;"","Sin dato"))</f>
        <v/>
      </c>
      <c r="AB1213" s="71" t="str">
        <f aca="false">IF(AH1213="","",ROUND(MIN(K1213,TOPE_AFP_UF*AJ1213)*AK1213,0))</f>
        <v/>
      </c>
      <c r="AC1213" s="71" t="str">
        <f aca="false">IF(AH1213="","",ROUND(MIN(K1213,TOPE_AFC_UF*AJ1213)*IF(AA1213="Indefinido",AFC_EMP_INDEF,AFC_EMP_PF),0))</f>
        <v/>
      </c>
      <c r="AD1213" s="71" t="str">
        <f aca="false">IF(AH1213="","",ROUND(MIN(K1213,TOPE_AFP_UF*AJ1213)*(MUTUAL_BASICA+MUTUAL_ADIC+SANNA),0))</f>
        <v/>
      </c>
      <c r="AE1213" s="71" t="str">
        <f aca="false">IF(AH1213="","",P1213-N(N1213)+AB1213+AC1213+AD1213)</f>
        <v/>
      </c>
      <c r="AF1213" s="65"/>
      <c r="AG1213" s="64"/>
      <c r="AH1213" s="72" t="str">
        <f aca="false">IF(OR(B1213="",C1213=""),"",C1213&amp;"|"&amp;(YEAR(B1213)*100+MONTH(B1213)))</f>
        <v/>
      </c>
      <c r="AI1213" s="70" t="str">
        <f aca="false">IF(AH1213="","",IF(COUNTIF(L_CLAVE,AH1213)&gt;1,"⚠ Duplicado","OK"))</f>
        <v/>
      </c>
      <c r="AJ1213" s="86" t="str">
        <f aca="false">IF(AH1213="","",IF(SUMPRODUCT(MAX((IND_PER&lt;=B1213)*(IND_UF&lt;&gt;"")*IND_PER))=0,UF_HOY,INDEX(IND_UF,MATCH(SUMPRODUCT(MAX((IND_PER&lt;=B1213)*(IND_UF&lt;&gt;"")*IND_PER)),IND_PER,0))))</f>
        <v/>
      </c>
      <c r="AK1213" s="87" t="str">
        <f aca="false">IF(AH1213="","",IF(COUNTIF(TASA_DESDE,"&lt;="&amp;B1213)=0,INDEX(TASA_EMP,1),INDEX(TASA_EMP,COUNTIF(TASA_DESDE,"&lt;="&amp;B1213))))</f>
        <v/>
      </c>
    </row>
    <row r="1214" customFormat="false" ht="15" hidden="false" customHeight="false" outlineLevel="0" collapsed="false">
      <c r="B1214" s="78"/>
      <c r="C1214" s="64"/>
      <c r="D1214" s="72" t="str">
        <f aca="false">IF(C1214="","",IFERROR(INDEX(T_NOMBRE,MATCH(C1214,T_ID,0)),"⚠ ID no existe"))</f>
        <v/>
      </c>
      <c r="E1214" s="69"/>
      <c r="F1214" s="67"/>
      <c r="G1214" s="67"/>
      <c r="H1214" s="67"/>
      <c r="I1214" s="67"/>
      <c r="J1214" s="67"/>
      <c r="K1214" s="85" t="str">
        <f aca="false">IF(AH1214="","",N(F1214)+N(G1214)+N(H1214)-N(I1214)+N(J1214))</f>
        <v/>
      </c>
      <c r="L1214" s="67"/>
      <c r="M1214" s="67"/>
      <c r="N1214" s="67"/>
      <c r="O1214" s="67"/>
      <c r="P1214" s="85" t="str">
        <f aca="false">IF(AH1214="","",K1214+N(L1214)+N(M1214)+N(N1214)+N(O1214))</f>
        <v/>
      </c>
      <c r="Q1214" s="67"/>
      <c r="R1214" s="67"/>
      <c r="S1214" s="67"/>
      <c r="T1214" s="67"/>
      <c r="U1214" s="67"/>
      <c r="V1214" s="67"/>
      <c r="W1214" s="85" t="str">
        <f aca="false">IF(AH1214="","",N(Q1214)+N(R1214)+N(S1214)+N(T1214)+N(U1214)+N(V1214))</f>
        <v/>
      </c>
      <c r="X1214" s="85" t="str">
        <f aca="false">IF(AH1214="","",P1214-W1214)</f>
        <v/>
      </c>
      <c r="Y1214" s="67"/>
      <c r="Z1214" s="70" t="str">
        <f aca="false">IF(OR(AH1214="",Y1214=""),"",IF(ABS(X1214-Y1214)&lt;=1,"✓ Cuadra","⚠ Diferencia $"&amp;FIXED(X1214-Y1214,0)))</f>
        <v/>
      </c>
      <c r="AA1214" s="72" t="str">
        <f aca="false">IF(AH1214="","",IFERROR(INDEX(C_TIPO,MATCH(C1214&amp;"-P"&amp;MAX(1,COUNTIFS(C_ID,C1214,C_DEFINE,"Sí",C_INICIO,"&lt;="&amp;EOMONTH(B1214,0))),C_CLAVE,0))&amp;"","Sin dato"))</f>
        <v/>
      </c>
      <c r="AB1214" s="71" t="str">
        <f aca="false">IF(AH1214="","",ROUND(MIN(K1214,TOPE_AFP_UF*AJ1214)*AK1214,0))</f>
        <v/>
      </c>
      <c r="AC1214" s="71" t="str">
        <f aca="false">IF(AH1214="","",ROUND(MIN(K1214,TOPE_AFC_UF*AJ1214)*IF(AA1214="Indefinido",AFC_EMP_INDEF,AFC_EMP_PF),0))</f>
        <v/>
      </c>
      <c r="AD1214" s="71" t="str">
        <f aca="false">IF(AH1214="","",ROUND(MIN(K1214,TOPE_AFP_UF*AJ1214)*(MUTUAL_BASICA+MUTUAL_ADIC+SANNA),0))</f>
        <v/>
      </c>
      <c r="AE1214" s="71" t="str">
        <f aca="false">IF(AH1214="","",P1214-N(N1214)+AB1214+AC1214+AD1214)</f>
        <v/>
      </c>
      <c r="AF1214" s="65"/>
      <c r="AG1214" s="64"/>
      <c r="AH1214" s="72" t="str">
        <f aca="false">IF(OR(B1214="",C1214=""),"",C1214&amp;"|"&amp;(YEAR(B1214)*100+MONTH(B1214)))</f>
        <v/>
      </c>
      <c r="AI1214" s="70" t="str">
        <f aca="false">IF(AH1214="","",IF(COUNTIF(L_CLAVE,AH1214)&gt;1,"⚠ Duplicado","OK"))</f>
        <v/>
      </c>
      <c r="AJ1214" s="86" t="str">
        <f aca="false">IF(AH1214="","",IF(SUMPRODUCT(MAX((IND_PER&lt;=B1214)*(IND_UF&lt;&gt;"")*IND_PER))=0,UF_HOY,INDEX(IND_UF,MATCH(SUMPRODUCT(MAX((IND_PER&lt;=B1214)*(IND_UF&lt;&gt;"")*IND_PER)),IND_PER,0))))</f>
        <v/>
      </c>
      <c r="AK1214" s="87" t="str">
        <f aca="false">IF(AH1214="","",IF(COUNTIF(TASA_DESDE,"&lt;="&amp;B1214)=0,INDEX(TASA_EMP,1),INDEX(TASA_EMP,COUNTIF(TASA_DESDE,"&lt;="&amp;B1214))))</f>
        <v/>
      </c>
    </row>
    <row r="1215" customFormat="false" ht="15" hidden="false" customHeight="false" outlineLevel="0" collapsed="false">
      <c r="B1215" s="78"/>
      <c r="C1215" s="64"/>
      <c r="D1215" s="72" t="str">
        <f aca="false">IF(C1215="","",IFERROR(INDEX(T_NOMBRE,MATCH(C1215,T_ID,0)),"⚠ ID no existe"))</f>
        <v/>
      </c>
      <c r="E1215" s="69"/>
      <c r="F1215" s="67"/>
      <c r="G1215" s="67"/>
      <c r="H1215" s="67"/>
      <c r="I1215" s="67"/>
      <c r="J1215" s="67"/>
      <c r="K1215" s="85" t="str">
        <f aca="false">IF(AH1215="","",N(F1215)+N(G1215)+N(H1215)-N(I1215)+N(J1215))</f>
        <v/>
      </c>
      <c r="L1215" s="67"/>
      <c r="M1215" s="67"/>
      <c r="N1215" s="67"/>
      <c r="O1215" s="67"/>
      <c r="P1215" s="85" t="str">
        <f aca="false">IF(AH1215="","",K1215+N(L1215)+N(M1215)+N(N1215)+N(O1215))</f>
        <v/>
      </c>
      <c r="Q1215" s="67"/>
      <c r="R1215" s="67"/>
      <c r="S1215" s="67"/>
      <c r="T1215" s="67"/>
      <c r="U1215" s="67"/>
      <c r="V1215" s="67"/>
      <c r="W1215" s="85" t="str">
        <f aca="false">IF(AH1215="","",N(Q1215)+N(R1215)+N(S1215)+N(T1215)+N(U1215)+N(V1215))</f>
        <v/>
      </c>
      <c r="X1215" s="85" t="str">
        <f aca="false">IF(AH1215="","",P1215-W1215)</f>
        <v/>
      </c>
      <c r="Y1215" s="67"/>
      <c r="Z1215" s="70" t="str">
        <f aca="false">IF(OR(AH1215="",Y1215=""),"",IF(ABS(X1215-Y1215)&lt;=1,"✓ Cuadra","⚠ Diferencia $"&amp;FIXED(X1215-Y1215,0)))</f>
        <v/>
      </c>
      <c r="AA1215" s="72" t="str">
        <f aca="false">IF(AH1215="","",IFERROR(INDEX(C_TIPO,MATCH(C1215&amp;"-P"&amp;MAX(1,COUNTIFS(C_ID,C1215,C_DEFINE,"Sí",C_INICIO,"&lt;="&amp;EOMONTH(B1215,0))),C_CLAVE,0))&amp;"","Sin dato"))</f>
        <v/>
      </c>
      <c r="AB1215" s="71" t="str">
        <f aca="false">IF(AH1215="","",ROUND(MIN(K1215,TOPE_AFP_UF*AJ1215)*AK1215,0))</f>
        <v/>
      </c>
      <c r="AC1215" s="71" t="str">
        <f aca="false">IF(AH1215="","",ROUND(MIN(K1215,TOPE_AFC_UF*AJ1215)*IF(AA1215="Indefinido",AFC_EMP_INDEF,AFC_EMP_PF),0))</f>
        <v/>
      </c>
      <c r="AD1215" s="71" t="str">
        <f aca="false">IF(AH1215="","",ROUND(MIN(K1215,TOPE_AFP_UF*AJ1215)*(MUTUAL_BASICA+MUTUAL_ADIC+SANNA),0))</f>
        <v/>
      </c>
      <c r="AE1215" s="71" t="str">
        <f aca="false">IF(AH1215="","",P1215-N(N1215)+AB1215+AC1215+AD1215)</f>
        <v/>
      </c>
      <c r="AF1215" s="65"/>
      <c r="AG1215" s="64"/>
      <c r="AH1215" s="72" t="str">
        <f aca="false">IF(OR(B1215="",C1215=""),"",C1215&amp;"|"&amp;(YEAR(B1215)*100+MONTH(B1215)))</f>
        <v/>
      </c>
      <c r="AI1215" s="70" t="str">
        <f aca="false">IF(AH1215="","",IF(COUNTIF(L_CLAVE,AH1215)&gt;1,"⚠ Duplicado","OK"))</f>
        <v/>
      </c>
      <c r="AJ1215" s="86" t="str">
        <f aca="false">IF(AH1215="","",IF(SUMPRODUCT(MAX((IND_PER&lt;=B1215)*(IND_UF&lt;&gt;"")*IND_PER))=0,UF_HOY,INDEX(IND_UF,MATCH(SUMPRODUCT(MAX((IND_PER&lt;=B1215)*(IND_UF&lt;&gt;"")*IND_PER)),IND_PER,0))))</f>
        <v/>
      </c>
      <c r="AK1215" s="87" t="str">
        <f aca="false">IF(AH1215="","",IF(COUNTIF(TASA_DESDE,"&lt;="&amp;B1215)=0,INDEX(TASA_EMP,1),INDEX(TASA_EMP,COUNTIF(TASA_DESDE,"&lt;="&amp;B1215))))</f>
        <v/>
      </c>
    </row>
    <row r="1216" customFormat="false" ht="15" hidden="false" customHeight="false" outlineLevel="0" collapsed="false">
      <c r="B1216" s="78"/>
      <c r="C1216" s="64"/>
      <c r="D1216" s="72" t="str">
        <f aca="false">IF(C1216="","",IFERROR(INDEX(T_NOMBRE,MATCH(C1216,T_ID,0)),"⚠ ID no existe"))</f>
        <v/>
      </c>
      <c r="E1216" s="69"/>
      <c r="F1216" s="67"/>
      <c r="G1216" s="67"/>
      <c r="H1216" s="67"/>
      <c r="I1216" s="67"/>
      <c r="J1216" s="67"/>
      <c r="K1216" s="85" t="str">
        <f aca="false">IF(AH1216="","",N(F1216)+N(G1216)+N(H1216)-N(I1216)+N(J1216))</f>
        <v/>
      </c>
      <c r="L1216" s="67"/>
      <c r="M1216" s="67"/>
      <c r="N1216" s="67"/>
      <c r="O1216" s="67"/>
      <c r="P1216" s="85" t="str">
        <f aca="false">IF(AH1216="","",K1216+N(L1216)+N(M1216)+N(N1216)+N(O1216))</f>
        <v/>
      </c>
      <c r="Q1216" s="67"/>
      <c r="R1216" s="67"/>
      <c r="S1216" s="67"/>
      <c r="T1216" s="67"/>
      <c r="U1216" s="67"/>
      <c r="V1216" s="67"/>
      <c r="W1216" s="85" t="str">
        <f aca="false">IF(AH1216="","",N(Q1216)+N(R1216)+N(S1216)+N(T1216)+N(U1216)+N(V1216))</f>
        <v/>
      </c>
      <c r="X1216" s="85" t="str">
        <f aca="false">IF(AH1216="","",P1216-W1216)</f>
        <v/>
      </c>
      <c r="Y1216" s="67"/>
      <c r="Z1216" s="70" t="str">
        <f aca="false">IF(OR(AH1216="",Y1216=""),"",IF(ABS(X1216-Y1216)&lt;=1,"✓ Cuadra","⚠ Diferencia $"&amp;FIXED(X1216-Y1216,0)))</f>
        <v/>
      </c>
      <c r="AA1216" s="72" t="str">
        <f aca="false">IF(AH1216="","",IFERROR(INDEX(C_TIPO,MATCH(C1216&amp;"-P"&amp;MAX(1,COUNTIFS(C_ID,C1216,C_DEFINE,"Sí",C_INICIO,"&lt;="&amp;EOMONTH(B1216,0))),C_CLAVE,0))&amp;"","Sin dato"))</f>
        <v/>
      </c>
      <c r="AB1216" s="71" t="str">
        <f aca="false">IF(AH1216="","",ROUND(MIN(K1216,TOPE_AFP_UF*AJ1216)*AK1216,0))</f>
        <v/>
      </c>
      <c r="AC1216" s="71" t="str">
        <f aca="false">IF(AH1216="","",ROUND(MIN(K1216,TOPE_AFC_UF*AJ1216)*IF(AA1216="Indefinido",AFC_EMP_INDEF,AFC_EMP_PF),0))</f>
        <v/>
      </c>
      <c r="AD1216" s="71" t="str">
        <f aca="false">IF(AH1216="","",ROUND(MIN(K1216,TOPE_AFP_UF*AJ1216)*(MUTUAL_BASICA+MUTUAL_ADIC+SANNA),0))</f>
        <v/>
      </c>
      <c r="AE1216" s="71" t="str">
        <f aca="false">IF(AH1216="","",P1216-N(N1216)+AB1216+AC1216+AD1216)</f>
        <v/>
      </c>
      <c r="AF1216" s="65"/>
      <c r="AG1216" s="64"/>
      <c r="AH1216" s="72" t="str">
        <f aca="false">IF(OR(B1216="",C1216=""),"",C1216&amp;"|"&amp;(YEAR(B1216)*100+MONTH(B1216)))</f>
        <v/>
      </c>
      <c r="AI1216" s="70" t="str">
        <f aca="false">IF(AH1216="","",IF(COUNTIF(L_CLAVE,AH1216)&gt;1,"⚠ Duplicado","OK"))</f>
        <v/>
      </c>
      <c r="AJ1216" s="86" t="str">
        <f aca="false">IF(AH1216="","",IF(SUMPRODUCT(MAX((IND_PER&lt;=B1216)*(IND_UF&lt;&gt;"")*IND_PER))=0,UF_HOY,INDEX(IND_UF,MATCH(SUMPRODUCT(MAX((IND_PER&lt;=B1216)*(IND_UF&lt;&gt;"")*IND_PER)),IND_PER,0))))</f>
        <v/>
      </c>
      <c r="AK1216" s="87" t="str">
        <f aca="false">IF(AH1216="","",IF(COUNTIF(TASA_DESDE,"&lt;="&amp;B1216)=0,INDEX(TASA_EMP,1),INDEX(TASA_EMP,COUNTIF(TASA_DESDE,"&lt;="&amp;B1216))))</f>
        <v/>
      </c>
    </row>
    <row r="1217" customFormat="false" ht="15" hidden="false" customHeight="false" outlineLevel="0" collapsed="false">
      <c r="B1217" s="78"/>
      <c r="C1217" s="64"/>
      <c r="D1217" s="72" t="str">
        <f aca="false">IF(C1217="","",IFERROR(INDEX(T_NOMBRE,MATCH(C1217,T_ID,0)),"⚠ ID no existe"))</f>
        <v/>
      </c>
      <c r="E1217" s="69"/>
      <c r="F1217" s="67"/>
      <c r="G1217" s="67"/>
      <c r="H1217" s="67"/>
      <c r="I1217" s="67"/>
      <c r="J1217" s="67"/>
      <c r="K1217" s="85" t="str">
        <f aca="false">IF(AH1217="","",N(F1217)+N(G1217)+N(H1217)-N(I1217)+N(J1217))</f>
        <v/>
      </c>
      <c r="L1217" s="67"/>
      <c r="M1217" s="67"/>
      <c r="N1217" s="67"/>
      <c r="O1217" s="67"/>
      <c r="P1217" s="85" t="str">
        <f aca="false">IF(AH1217="","",K1217+N(L1217)+N(M1217)+N(N1217)+N(O1217))</f>
        <v/>
      </c>
      <c r="Q1217" s="67"/>
      <c r="R1217" s="67"/>
      <c r="S1217" s="67"/>
      <c r="T1217" s="67"/>
      <c r="U1217" s="67"/>
      <c r="V1217" s="67"/>
      <c r="W1217" s="85" t="str">
        <f aca="false">IF(AH1217="","",N(Q1217)+N(R1217)+N(S1217)+N(T1217)+N(U1217)+N(V1217))</f>
        <v/>
      </c>
      <c r="X1217" s="85" t="str">
        <f aca="false">IF(AH1217="","",P1217-W1217)</f>
        <v/>
      </c>
      <c r="Y1217" s="67"/>
      <c r="Z1217" s="70" t="str">
        <f aca="false">IF(OR(AH1217="",Y1217=""),"",IF(ABS(X1217-Y1217)&lt;=1,"✓ Cuadra","⚠ Diferencia $"&amp;FIXED(X1217-Y1217,0)))</f>
        <v/>
      </c>
      <c r="AA1217" s="72" t="str">
        <f aca="false">IF(AH1217="","",IFERROR(INDEX(C_TIPO,MATCH(C1217&amp;"-P"&amp;MAX(1,COUNTIFS(C_ID,C1217,C_DEFINE,"Sí",C_INICIO,"&lt;="&amp;EOMONTH(B1217,0))),C_CLAVE,0))&amp;"","Sin dato"))</f>
        <v/>
      </c>
      <c r="AB1217" s="71" t="str">
        <f aca="false">IF(AH1217="","",ROUND(MIN(K1217,TOPE_AFP_UF*AJ1217)*AK1217,0))</f>
        <v/>
      </c>
      <c r="AC1217" s="71" t="str">
        <f aca="false">IF(AH1217="","",ROUND(MIN(K1217,TOPE_AFC_UF*AJ1217)*IF(AA1217="Indefinido",AFC_EMP_INDEF,AFC_EMP_PF),0))</f>
        <v/>
      </c>
      <c r="AD1217" s="71" t="str">
        <f aca="false">IF(AH1217="","",ROUND(MIN(K1217,TOPE_AFP_UF*AJ1217)*(MUTUAL_BASICA+MUTUAL_ADIC+SANNA),0))</f>
        <v/>
      </c>
      <c r="AE1217" s="71" t="str">
        <f aca="false">IF(AH1217="","",P1217-N(N1217)+AB1217+AC1217+AD1217)</f>
        <v/>
      </c>
      <c r="AF1217" s="65"/>
      <c r="AG1217" s="64"/>
      <c r="AH1217" s="72" t="str">
        <f aca="false">IF(OR(B1217="",C1217=""),"",C1217&amp;"|"&amp;(YEAR(B1217)*100+MONTH(B1217)))</f>
        <v/>
      </c>
      <c r="AI1217" s="70" t="str">
        <f aca="false">IF(AH1217="","",IF(COUNTIF(L_CLAVE,AH1217)&gt;1,"⚠ Duplicado","OK"))</f>
        <v/>
      </c>
      <c r="AJ1217" s="86" t="str">
        <f aca="false">IF(AH1217="","",IF(SUMPRODUCT(MAX((IND_PER&lt;=B1217)*(IND_UF&lt;&gt;"")*IND_PER))=0,UF_HOY,INDEX(IND_UF,MATCH(SUMPRODUCT(MAX((IND_PER&lt;=B1217)*(IND_UF&lt;&gt;"")*IND_PER)),IND_PER,0))))</f>
        <v/>
      </c>
      <c r="AK1217" s="87" t="str">
        <f aca="false">IF(AH1217="","",IF(COUNTIF(TASA_DESDE,"&lt;="&amp;B1217)=0,INDEX(TASA_EMP,1),INDEX(TASA_EMP,COUNTIF(TASA_DESDE,"&lt;="&amp;B1217))))</f>
        <v/>
      </c>
    </row>
    <row r="1218" customFormat="false" ht="15" hidden="false" customHeight="false" outlineLevel="0" collapsed="false">
      <c r="B1218" s="78"/>
      <c r="C1218" s="64"/>
      <c r="D1218" s="72" t="str">
        <f aca="false">IF(C1218="","",IFERROR(INDEX(T_NOMBRE,MATCH(C1218,T_ID,0)),"⚠ ID no existe"))</f>
        <v/>
      </c>
      <c r="E1218" s="69"/>
      <c r="F1218" s="67"/>
      <c r="G1218" s="67"/>
      <c r="H1218" s="67"/>
      <c r="I1218" s="67"/>
      <c r="J1218" s="67"/>
      <c r="K1218" s="85" t="str">
        <f aca="false">IF(AH1218="","",N(F1218)+N(G1218)+N(H1218)-N(I1218)+N(J1218))</f>
        <v/>
      </c>
      <c r="L1218" s="67"/>
      <c r="M1218" s="67"/>
      <c r="N1218" s="67"/>
      <c r="O1218" s="67"/>
      <c r="P1218" s="85" t="str">
        <f aca="false">IF(AH1218="","",K1218+N(L1218)+N(M1218)+N(N1218)+N(O1218))</f>
        <v/>
      </c>
      <c r="Q1218" s="67"/>
      <c r="R1218" s="67"/>
      <c r="S1218" s="67"/>
      <c r="T1218" s="67"/>
      <c r="U1218" s="67"/>
      <c r="V1218" s="67"/>
      <c r="W1218" s="85" t="str">
        <f aca="false">IF(AH1218="","",N(Q1218)+N(R1218)+N(S1218)+N(T1218)+N(U1218)+N(V1218))</f>
        <v/>
      </c>
      <c r="X1218" s="85" t="str">
        <f aca="false">IF(AH1218="","",P1218-W1218)</f>
        <v/>
      </c>
      <c r="Y1218" s="67"/>
      <c r="Z1218" s="70" t="str">
        <f aca="false">IF(OR(AH1218="",Y1218=""),"",IF(ABS(X1218-Y1218)&lt;=1,"✓ Cuadra","⚠ Diferencia $"&amp;FIXED(X1218-Y1218,0)))</f>
        <v/>
      </c>
      <c r="AA1218" s="72" t="str">
        <f aca="false">IF(AH1218="","",IFERROR(INDEX(C_TIPO,MATCH(C1218&amp;"-P"&amp;MAX(1,COUNTIFS(C_ID,C1218,C_DEFINE,"Sí",C_INICIO,"&lt;="&amp;EOMONTH(B1218,0))),C_CLAVE,0))&amp;"","Sin dato"))</f>
        <v/>
      </c>
      <c r="AB1218" s="71" t="str">
        <f aca="false">IF(AH1218="","",ROUND(MIN(K1218,TOPE_AFP_UF*AJ1218)*AK1218,0))</f>
        <v/>
      </c>
      <c r="AC1218" s="71" t="str">
        <f aca="false">IF(AH1218="","",ROUND(MIN(K1218,TOPE_AFC_UF*AJ1218)*IF(AA1218="Indefinido",AFC_EMP_INDEF,AFC_EMP_PF),0))</f>
        <v/>
      </c>
      <c r="AD1218" s="71" t="str">
        <f aca="false">IF(AH1218="","",ROUND(MIN(K1218,TOPE_AFP_UF*AJ1218)*(MUTUAL_BASICA+MUTUAL_ADIC+SANNA),0))</f>
        <v/>
      </c>
      <c r="AE1218" s="71" t="str">
        <f aca="false">IF(AH1218="","",P1218-N(N1218)+AB1218+AC1218+AD1218)</f>
        <v/>
      </c>
      <c r="AF1218" s="65"/>
      <c r="AG1218" s="64"/>
      <c r="AH1218" s="72" t="str">
        <f aca="false">IF(OR(B1218="",C1218=""),"",C1218&amp;"|"&amp;(YEAR(B1218)*100+MONTH(B1218)))</f>
        <v/>
      </c>
      <c r="AI1218" s="70" t="str">
        <f aca="false">IF(AH1218="","",IF(COUNTIF(L_CLAVE,AH1218)&gt;1,"⚠ Duplicado","OK"))</f>
        <v/>
      </c>
      <c r="AJ1218" s="86" t="str">
        <f aca="false">IF(AH1218="","",IF(SUMPRODUCT(MAX((IND_PER&lt;=B1218)*(IND_UF&lt;&gt;"")*IND_PER))=0,UF_HOY,INDEX(IND_UF,MATCH(SUMPRODUCT(MAX((IND_PER&lt;=B1218)*(IND_UF&lt;&gt;"")*IND_PER)),IND_PER,0))))</f>
        <v/>
      </c>
      <c r="AK1218" s="87" t="str">
        <f aca="false">IF(AH1218="","",IF(COUNTIF(TASA_DESDE,"&lt;="&amp;B1218)=0,INDEX(TASA_EMP,1),INDEX(TASA_EMP,COUNTIF(TASA_DESDE,"&lt;="&amp;B1218))))</f>
        <v/>
      </c>
    </row>
    <row r="1219" customFormat="false" ht="15" hidden="false" customHeight="false" outlineLevel="0" collapsed="false">
      <c r="B1219" s="78"/>
      <c r="C1219" s="64"/>
      <c r="D1219" s="72" t="str">
        <f aca="false">IF(C1219="","",IFERROR(INDEX(T_NOMBRE,MATCH(C1219,T_ID,0)),"⚠ ID no existe"))</f>
        <v/>
      </c>
      <c r="E1219" s="69"/>
      <c r="F1219" s="67"/>
      <c r="G1219" s="67"/>
      <c r="H1219" s="67"/>
      <c r="I1219" s="67"/>
      <c r="J1219" s="67"/>
      <c r="K1219" s="85" t="str">
        <f aca="false">IF(AH1219="","",N(F1219)+N(G1219)+N(H1219)-N(I1219)+N(J1219))</f>
        <v/>
      </c>
      <c r="L1219" s="67"/>
      <c r="M1219" s="67"/>
      <c r="N1219" s="67"/>
      <c r="O1219" s="67"/>
      <c r="P1219" s="85" t="str">
        <f aca="false">IF(AH1219="","",K1219+N(L1219)+N(M1219)+N(N1219)+N(O1219))</f>
        <v/>
      </c>
      <c r="Q1219" s="67"/>
      <c r="R1219" s="67"/>
      <c r="S1219" s="67"/>
      <c r="T1219" s="67"/>
      <c r="U1219" s="67"/>
      <c r="V1219" s="67"/>
      <c r="W1219" s="85" t="str">
        <f aca="false">IF(AH1219="","",N(Q1219)+N(R1219)+N(S1219)+N(T1219)+N(U1219)+N(V1219))</f>
        <v/>
      </c>
      <c r="X1219" s="85" t="str">
        <f aca="false">IF(AH1219="","",P1219-W1219)</f>
        <v/>
      </c>
      <c r="Y1219" s="67"/>
      <c r="Z1219" s="70" t="str">
        <f aca="false">IF(OR(AH1219="",Y1219=""),"",IF(ABS(X1219-Y1219)&lt;=1,"✓ Cuadra","⚠ Diferencia $"&amp;FIXED(X1219-Y1219,0)))</f>
        <v/>
      </c>
      <c r="AA1219" s="72" t="str">
        <f aca="false">IF(AH1219="","",IFERROR(INDEX(C_TIPO,MATCH(C1219&amp;"-P"&amp;MAX(1,COUNTIFS(C_ID,C1219,C_DEFINE,"Sí",C_INICIO,"&lt;="&amp;EOMONTH(B1219,0))),C_CLAVE,0))&amp;"","Sin dato"))</f>
        <v/>
      </c>
      <c r="AB1219" s="71" t="str">
        <f aca="false">IF(AH1219="","",ROUND(MIN(K1219,TOPE_AFP_UF*AJ1219)*AK1219,0))</f>
        <v/>
      </c>
      <c r="AC1219" s="71" t="str">
        <f aca="false">IF(AH1219="","",ROUND(MIN(K1219,TOPE_AFC_UF*AJ1219)*IF(AA1219="Indefinido",AFC_EMP_INDEF,AFC_EMP_PF),0))</f>
        <v/>
      </c>
      <c r="AD1219" s="71" t="str">
        <f aca="false">IF(AH1219="","",ROUND(MIN(K1219,TOPE_AFP_UF*AJ1219)*(MUTUAL_BASICA+MUTUAL_ADIC+SANNA),0))</f>
        <v/>
      </c>
      <c r="AE1219" s="71" t="str">
        <f aca="false">IF(AH1219="","",P1219-N(N1219)+AB1219+AC1219+AD1219)</f>
        <v/>
      </c>
      <c r="AF1219" s="65"/>
      <c r="AG1219" s="64"/>
      <c r="AH1219" s="72" t="str">
        <f aca="false">IF(OR(B1219="",C1219=""),"",C1219&amp;"|"&amp;(YEAR(B1219)*100+MONTH(B1219)))</f>
        <v/>
      </c>
      <c r="AI1219" s="70" t="str">
        <f aca="false">IF(AH1219="","",IF(COUNTIF(L_CLAVE,AH1219)&gt;1,"⚠ Duplicado","OK"))</f>
        <v/>
      </c>
      <c r="AJ1219" s="86" t="str">
        <f aca="false">IF(AH1219="","",IF(SUMPRODUCT(MAX((IND_PER&lt;=B1219)*(IND_UF&lt;&gt;"")*IND_PER))=0,UF_HOY,INDEX(IND_UF,MATCH(SUMPRODUCT(MAX((IND_PER&lt;=B1219)*(IND_UF&lt;&gt;"")*IND_PER)),IND_PER,0))))</f>
        <v/>
      </c>
      <c r="AK1219" s="87" t="str">
        <f aca="false">IF(AH1219="","",IF(COUNTIF(TASA_DESDE,"&lt;="&amp;B1219)=0,INDEX(TASA_EMP,1),INDEX(TASA_EMP,COUNTIF(TASA_DESDE,"&lt;="&amp;B1219))))</f>
        <v/>
      </c>
    </row>
    <row r="1220" customFormat="false" ht="15" hidden="false" customHeight="false" outlineLevel="0" collapsed="false">
      <c r="B1220" s="78"/>
      <c r="C1220" s="64"/>
      <c r="D1220" s="72" t="str">
        <f aca="false">IF(C1220="","",IFERROR(INDEX(T_NOMBRE,MATCH(C1220,T_ID,0)),"⚠ ID no existe"))</f>
        <v/>
      </c>
      <c r="E1220" s="69"/>
      <c r="F1220" s="67"/>
      <c r="G1220" s="67"/>
      <c r="H1220" s="67"/>
      <c r="I1220" s="67"/>
      <c r="J1220" s="67"/>
      <c r="K1220" s="85" t="str">
        <f aca="false">IF(AH1220="","",N(F1220)+N(G1220)+N(H1220)-N(I1220)+N(J1220))</f>
        <v/>
      </c>
      <c r="L1220" s="67"/>
      <c r="M1220" s="67"/>
      <c r="N1220" s="67"/>
      <c r="O1220" s="67"/>
      <c r="P1220" s="85" t="str">
        <f aca="false">IF(AH1220="","",K1220+N(L1220)+N(M1220)+N(N1220)+N(O1220))</f>
        <v/>
      </c>
      <c r="Q1220" s="67"/>
      <c r="R1220" s="67"/>
      <c r="S1220" s="67"/>
      <c r="T1220" s="67"/>
      <c r="U1220" s="67"/>
      <c r="V1220" s="67"/>
      <c r="W1220" s="85" t="str">
        <f aca="false">IF(AH1220="","",N(Q1220)+N(R1220)+N(S1220)+N(T1220)+N(U1220)+N(V1220))</f>
        <v/>
      </c>
      <c r="X1220" s="85" t="str">
        <f aca="false">IF(AH1220="","",P1220-W1220)</f>
        <v/>
      </c>
      <c r="Y1220" s="67"/>
      <c r="Z1220" s="70" t="str">
        <f aca="false">IF(OR(AH1220="",Y1220=""),"",IF(ABS(X1220-Y1220)&lt;=1,"✓ Cuadra","⚠ Diferencia $"&amp;FIXED(X1220-Y1220,0)))</f>
        <v/>
      </c>
      <c r="AA1220" s="72" t="str">
        <f aca="false">IF(AH1220="","",IFERROR(INDEX(C_TIPO,MATCH(C1220&amp;"-P"&amp;MAX(1,COUNTIFS(C_ID,C1220,C_DEFINE,"Sí",C_INICIO,"&lt;="&amp;EOMONTH(B1220,0))),C_CLAVE,0))&amp;"","Sin dato"))</f>
        <v/>
      </c>
      <c r="AB1220" s="71" t="str">
        <f aca="false">IF(AH1220="","",ROUND(MIN(K1220,TOPE_AFP_UF*AJ1220)*AK1220,0))</f>
        <v/>
      </c>
      <c r="AC1220" s="71" t="str">
        <f aca="false">IF(AH1220="","",ROUND(MIN(K1220,TOPE_AFC_UF*AJ1220)*IF(AA1220="Indefinido",AFC_EMP_INDEF,AFC_EMP_PF),0))</f>
        <v/>
      </c>
      <c r="AD1220" s="71" t="str">
        <f aca="false">IF(AH1220="","",ROUND(MIN(K1220,TOPE_AFP_UF*AJ1220)*(MUTUAL_BASICA+MUTUAL_ADIC+SANNA),0))</f>
        <v/>
      </c>
      <c r="AE1220" s="71" t="str">
        <f aca="false">IF(AH1220="","",P1220-N(N1220)+AB1220+AC1220+AD1220)</f>
        <v/>
      </c>
      <c r="AF1220" s="65"/>
      <c r="AG1220" s="64"/>
      <c r="AH1220" s="72" t="str">
        <f aca="false">IF(OR(B1220="",C1220=""),"",C1220&amp;"|"&amp;(YEAR(B1220)*100+MONTH(B1220)))</f>
        <v/>
      </c>
      <c r="AI1220" s="70" t="str">
        <f aca="false">IF(AH1220="","",IF(COUNTIF(L_CLAVE,AH1220)&gt;1,"⚠ Duplicado","OK"))</f>
        <v/>
      </c>
      <c r="AJ1220" s="86" t="str">
        <f aca="false">IF(AH1220="","",IF(SUMPRODUCT(MAX((IND_PER&lt;=B1220)*(IND_UF&lt;&gt;"")*IND_PER))=0,UF_HOY,INDEX(IND_UF,MATCH(SUMPRODUCT(MAX((IND_PER&lt;=B1220)*(IND_UF&lt;&gt;"")*IND_PER)),IND_PER,0))))</f>
        <v/>
      </c>
      <c r="AK1220" s="87" t="str">
        <f aca="false">IF(AH1220="","",IF(COUNTIF(TASA_DESDE,"&lt;="&amp;B1220)=0,INDEX(TASA_EMP,1),INDEX(TASA_EMP,COUNTIF(TASA_DESDE,"&lt;="&amp;B1220))))</f>
        <v/>
      </c>
    </row>
    <row r="1221" customFormat="false" ht="15" hidden="false" customHeight="false" outlineLevel="0" collapsed="false">
      <c r="B1221" s="78"/>
      <c r="C1221" s="64"/>
      <c r="D1221" s="72" t="str">
        <f aca="false">IF(C1221="","",IFERROR(INDEX(T_NOMBRE,MATCH(C1221,T_ID,0)),"⚠ ID no existe"))</f>
        <v/>
      </c>
      <c r="E1221" s="69"/>
      <c r="F1221" s="67"/>
      <c r="G1221" s="67"/>
      <c r="H1221" s="67"/>
      <c r="I1221" s="67"/>
      <c r="J1221" s="67"/>
      <c r="K1221" s="85" t="str">
        <f aca="false">IF(AH1221="","",N(F1221)+N(G1221)+N(H1221)-N(I1221)+N(J1221))</f>
        <v/>
      </c>
      <c r="L1221" s="67"/>
      <c r="M1221" s="67"/>
      <c r="N1221" s="67"/>
      <c r="O1221" s="67"/>
      <c r="P1221" s="85" t="str">
        <f aca="false">IF(AH1221="","",K1221+N(L1221)+N(M1221)+N(N1221)+N(O1221))</f>
        <v/>
      </c>
      <c r="Q1221" s="67"/>
      <c r="R1221" s="67"/>
      <c r="S1221" s="67"/>
      <c r="T1221" s="67"/>
      <c r="U1221" s="67"/>
      <c r="V1221" s="67"/>
      <c r="W1221" s="85" t="str">
        <f aca="false">IF(AH1221="","",N(Q1221)+N(R1221)+N(S1221)+N(T1221)+N(U1221)+N(V1221))</f>
        <v/>
      </c>
      <c r="X1221" s="85" t="str">
        <f aca="false">IF(AH1221="","",P1221-W1221)</f>
        <v/>
      </c>
      <c r="Y1221" s="67"/>
      <c r="Z1221" s="70" t="str">
        <f aca="false">IF(OR(AH1221="",Y1221=""),"",IF(ABS(X1221-Y1221)&lt;=1,"✓ Cuadra","⚠ Diferencia $"&amp;FIXED(X1221-Y1221,0)))</f>
        <v/>
      </c>
      <c r="AA1221" s="72" t="str">
        <f aca="false">IF(AH1221="","",IFERROR(INDEX(C_TIPO,MATCH(C1221&amp;"-P"&amp;MAX(1,COUNTIFS(C_ID,C1221,C_DEFINE,"Sí",C_INICIO,"&lt;="&amp;EOMONTH(B1221,0))),C_CLAVE,0))&amp;"","Sin dato"))</f>
        <v/>
      </c>
      <c r="AB1221" s="71" t="str">
        <f aca="false">IF(AH1221="","",ROUND(MIN(K1221,TOPE_AFP_UF*AJ1221)*AK1221,0))</f>
        <v/>
      </c>
      <c r="AC1221" s="71" t="str">
        <f aca="false">IF(AH1221="","",ROUND(MIN(K1221,TOPE_AFC_UF*AJ1221)*IF(AA1221="Indefinido",AFC_EMP_INDEF,AFC_EMP_PF),0))</f>
        <v/>
      </c>
      <c r="AD1221" s="71" t="str">
        <f aca="false">IF(AH1221="","",ROUND(MIN(K1221,TOPE_AFP_UF*AJ1221)*(MUTUAL_BASICA+MUTUAL_ADIC+SANNA),0))</f>
        <v/>
      </c>
      <c r="AE1221" s="71" t="str">
        <f aca="false">IF(AH1221="","",P1221-N(N1221)+AB1221+AC1221+AD1221)</f>
        <v/>
      </c>
      <c r="AF1221" s="65"/>
      <c r="AG1221" s="64"/>
      <c r="AH1221" s="72" t="str">
        <f aca="false">IF(OR(B1221="",C1221=""),"",C1221&amp;"|"&amp;(YEAR(B1221)*100+MONTH(B1221)))</f>
        <v/>
      </c>
      <c r="AI1221" s="70" t="str">
        <f aca="false">IF(AH1221="","",IF(COUNTIF(L_CLAVE,AH1221)&gt;1,"⚠ Duplicado","OK"))</f>
        <v/>
      </c>
      <c r="AJ1221" s="86" t="str">
        <f aca="false">IF(AH1221="","",IF(SUMPRODUCT(MAX((IND_PER&lt;=B1221)*(IND_UF&lt;&gt;"")*IND_PER))=0,UF_HOY,INDEX(IND_UF,MATCH(SUMPRODUCT(MAX((IND_PER&lt;=B1221)*(IND_UF&lt;&gt;"")*IND_PER)),IND_PER,0))))</f>
        <v/>
      </c>
      <c r="AK1221" s="87" t="str">
        <f aca="false">IF(AH1221="","",IF(COUNTIF(TASA_DESDE,"&lt;="&amp;B1221)=0,INDEX(TASA_EMP,1),INDEX(TASA_EMP,COUNTIF(TASA_DESDE,"&lt;="&amp;B1221))))</f>
        <v/>
      </c>
    </row>
    <row r="1222" customFormat="false" ht="15" hidden="false" customHeight="false" outlineLevel="0" collapsed="false">
      <c r="B1222" s="78"/>
      <c r="C1222" s="64"/>
      <c r="D1222" s="72" t="str">
        <f aca="false">IF(C1222="","",IFERROR(INDEX(T_NOMBRE,MATCH(C1222,T_ID,0)),"⚠ ID no existe"))</f>
        <v/>
      </c>
      <c r="E1222" s="69"/>
      <c r="F1222" s="67"/>
      <c r="G1222" s="67"/>
      <c r="H1222" s="67"/>
      <c r="I1222" s="67"/>
      <c r="J1222" s="67"/>
      <c r="K1222" s="85" t="str">
        <f aca="false">IF(AH1222="","",N(F1222)+N(G1222)+N(H1222)-N(I1222)+N(J1222))</f>
        <v/>
      </c>
      <c r="L1222" s="67"/>
      <c r="M1222" s="67"/>
      <c r="N1222" s="67"/>
      <c r="O1222" s="67"/>
      <c r="P1222" s="85" t="str">
        <f aca="false">IF(AH1222="","",K1222+N(L1222)+N(M1222)+N(N1222)+N(O1222))</f>
        <v/>
      </c>
      <c r="Q1222" s="67"/>
      <c r="R1222" s="67"/>
      <c r="S1222" s="67"/>
      <c r="T1222" s="67"/>
      <c r="U1222" s="67"/>
      <c r="V1222" s="67"/>
      <c r="W1222" s="85" t="str">
        <f aca="false">IF(AH1222="","",N(Q1222)+N(R1222)+N(S1222)+N(T1222)+N(U1222)+N(V1222))</f>
        <v/>
      </c>
      <c r="X1222" s="85" t="str">
        <f aca="false">IF(AH1222="","",P1222-W1222)</f>
        <v/>
      </c>
      <c r="Y1222" s="67"/>
      <c r="Z1222" s="70" t="str">
        <f aca="false">IF(OR(AH1222="",Y1222=""),"",IF(ABS(X1222-Y1222)&lt;=1,"✓ Cuadra","⚠ Diferencia $"&amp;FIXED(X1222-Y1222,0)))</f>
        <v/>
      </c>
      <c r="AA1222" s="72" t="str">
        <f aca="false">IF(AH1222="","",IFERROR(INDEX(C_TIPO,MATCH(C1222&amp;"-P"&amp;MAX(1,COUNTIFS(C_ID,C1222,C_DEFINE,"Sí",C_INICIO,"&lt;="&amp;EOMONTH(B1222,0))),C_CLAVE,0))&amp;"","Sin dato"))</f>
        <v/>
      </c>
      <c r="AB1222" s="71" t="str">
        <f aca="false">IF(AH1222="","",ROUND(MIN(K1222,TOPE_AFP_UF*AJ1222)*AK1222,0))</f>
        <v/>
      </c>
      <c r="AC1222" s="71" t="str">
        <f aca="false">IF(AH1222="","",ROUND(MIN(K1222,TOPE_AFC_UF*AJ1222)*IF(AA1222="Indefinido",AFC_EMP_INDEF,AFC_EMP_PF),0))</f>
        <v/>
      </c>
      <c r="AD1222" s="71" t="str">
        <f aca="false">IF(AH1222="","",ROUND(MIN(K1222,TOPE_AFP_UF*AJ1222)*(MUTUAL_BASICA+MUTUAL_ADIC+SANNA),0))</f>
        <v/>
      </c>
      <c r="AE1222" s="71" t="str">
        <f aca="false">IF(AH1222="","",P1222-N(N1222)+AB1222+AC1222+AD1222)</f>
        <v/>
      </c>
      <c r="AF1222" s="65"/>
      <c r="AG1222" s="64"/>
      <c r="AH1222" s="72" t="str">
        <f aca="false">IF(OR(B1222="",C1222=""),"",C1222&amp;"|"&amp;(YEAR(B1222)*100+MONTH(B1222)))</f>
        <v/>
      </c>
      <c r="AI1222" s="70" t="str">
        <f aca="false">IF(AH1222="","",IF(COUNTIF(L_CLAVE,AH1222)&gt;1,"⚠ Duplicado","OK"))</f>
        <v/>
      </c>
      <c r="AJ1222" s="86" t="str">
        <f aca="false">IF(AH1222="","",IF(SUMPRODUCT(MAX((IND_PER&lt;=B1222)*(IND_UF&lt;&gt;"")*IND_PER))=0,UF_HOY,INDEX(IND_UF,MATCH(SUMPRODUCT(MAX((IND_PER&lt;=B1222)*(IND_UF&lt;&gt;"")*IND_PER)),IND_PER,0))))</f>
        <v/>
      </c>
      <c r="AK1222" s="87" t="str">
        <f aca="false">IF(AH1222="","",IF(COUNTIF(TASA_DESDE,"&lt;="&amp;B1222)=0,INDEX(TASA_EMP,1),INDEX(TASA_EMP,COUNTIF(TASA_DESDE,"&lt;="&amp;B1222))))</f>
        <v/>
      </c>
    </row>
    <row r="1223" customFormat="false" ht="15" hidden="false" customHeight="false" outlineLevel="0" collapsed="false">
      <c r="B1223" s="78"/>
      <c r="C1223" s="64"/>
      <c r="D1223" s="72" t="str">
        <f aca="false">IF(C1223="","",IFERROR(INDEX(T_NOMBRE,MATCH(C1223,T_ID,0)),"⚠ ID no existe"))</f>
        <v/>
      </c>
      <c r="E1223" s="69"/>
      <c r="F1223" s="67"/>
      <c r="G1223" s="67"/>
      <c r="H1223" s="67"/>
      <c r="I1223" s="67"/>
      <c r="J1223" s="67"/>
      <c r="K1223" s="85" t="str">
        <f aca="false">IF(AH1223="","",N(F1223)+N(G1223)+N(H1223)-N(I1223)+N(J1223))</f>
        <v/>
      </c>
      <c r="L1223" s="67"/>
      <c r="M1223" s="67"/>
      <c r="N1223" s="67"/>
      <c r="O1223" s="67"/>
      <c r="P1223" s="85" t="str">
        <f aca="false">IF(AH1223="","",K1223+N(L1223)+N(M1223)+N(N1223)+N(O1223))</f>
        <v/>
      </c>
      <c r="Q1223" s="67"/>
      <c r="R1223" s="67"/>
      <c r="S1223" s="67"/>
      <c r="T1223" s="67"/>
      <c r="U1223" s="67"/>
      <c r="V1223" s="67"/>
      <c r="W1223" s="85" t="str">
        <f aca="false">IF(AH1223="","",N(Q1223)+N(R1223)+N(S1223)+N(T1223)+N(U1223)+N(V1223))</f>
        <v/>
      </c>
      <c r="X1223" s="85" t="str">
        <f aca="false">IF(AH1223="","",P1223-W1223)</f>
        <v/>
      </c>
      <c r="Y1223" s="67"/>
      <c r="Z1223" s="70" t="str">
        <f aca="false">IF(OR(AH1223="",Y1223=""),"",IF(ABS(X1223-Y1223)&lt;=1,"✓ Cuadra","⚠ Diferencia $"&amp;FIXED(X1223-Y1223,0)))</f>
        <v/>
      </c>
      <c r="AA1223" s="72" t="str">
        <f aca="false">IF(AH1223="","",IFERROR(INDEX(C_TIPO,MATCH(C1223&amp;"-P"&amp;MAX(1,COUNTIFS(C_ID,C1223,C_DEFINE,"Sí",C_INICIO,"&lt;="&amp;EOMONTH(B1223,0))),C_CLAVE,0))&amp;"","Sin dato"))</f>
        <v/>
      </c>
      <c r="AB1223" s="71" t="str">
        <f aca="false">IF(AH1223="","",ROUND(MIN(K1223,TOPE_AFP_UF*AJ1223)*AK1223,0))</f>
        <v/>
      </c>
      <c r="AC1223" s="71" t="str">
        <f aca="false">IF(AH1223="","",ROUND(MIN(K1223,TOPE_AFC_UF*AJ1223)*IF(AA1223="Indefinido",AFC_EMP_INDEF,AFC_EMP_PF),0))</f>
        <v/>
      </c>
      <c r="AD1223" s="71" t="str">
        <f aca="false">IF(AH1223="","",ROUND(MIN(K1223,TOPE_AFP_UF*AJ1223)*(MUTUAL_BASICA+MUTUAL_ADIC+SANNA),0))</f>
        <v/>
      </c>
      <c r="AE1223" s="71" t="str">
        <f aca="false">IF(AH1223="","",P1223-N(N1223)+AB1223+AC1223+AD1223)</f>
        <v/>
      </c>
      <c r="AF1223" s="65"/>
      <c r="AG1223" s="64"/>
      <c r="AH1223" s="72" t="str">
        <f aca="false">IF(OR(B1223="",C1223=""),"",C1223&amp;"|"&amp;(YEAR(B1223)*100+MONTH(B1223)))</f>
        <v/>
      </c>
      <c r="AI1223" s="70" t="str">
        <f aca="false">IF(AH1223="","",IF(COUNTIF(L_CLAVE,AH1223)&gt;1,"⚠ Duplicado","OK"))</f>
        <v/>
      </c>
      <c r="AJ1223" s="86" t="str">
        <f aca="false">IF(AH1223="","",IF(SUMPRODUCT(MAX((IND_PER&lt;=B1223)*(IND_UF&lt;&gt;"")*IND_PER))=0,UF_HOY,INDEX(IND_UF,MATCH(SUMPRODUCT(MAX((IND_PER&lt;=B1223)*(IND_UF&lt;&gt;"")*IND_PER)),IND_PER,0))))</f>
        <v/>
      </c>
      <c r="AK1223" s="87" t="str">
        <f aca="false">IF(AH1223="","",IF(COUNTIF(TASA_DESDE,"&lt;="&amp;B1223)=0,INDEX(TASA_EMP,1),INDEX(TASA_EMP,COUNTIF(TASA_DESDE,"&lt;="&amp;B1223))))</f>
        <v/>
      </c>
    </row>
    <row r="1224" customFormat="false" ht="15" hidden="false" customHeight="false" outlineLevel="0" collapsed="false">
      <c r="B1224" s="78"/>
      <c r="C1224" s="64"/>
      <c r="D1224" s="72" t="str">
        <f aca="false">IF(C1224="","",IFERROR(INDEX(T_NOMBRE,MATCH(C1224,T_ID,0)),"⚠ ID no existe"))</f>
        <v/>
      </c>
      <c r="E1224" s="69"/>
      <c r="F1224" s="67"/>
      <c r="G1224" s="67"/>
      <c r="H1224" s="67"/>
      <c r="I1224" s="67"/>
      <c r="J1224" s="67"/>
      <c r="K1224" s="85" t="str">
        <f aca="false">IF(AH1224="","",N(F1224)+N(G1224)+N(H1224)-N(I1224)+N(J1224))</f>
        <v/>
      </c>
      <c r="L1224" s="67"/>
      <c r="M1224" s="67"/>
      <c r="N1224" s="67"/>
      <c r="O1224" s="67"/>
      <c r="P1224" s="85" t="str">
        <f aca="false">IF(AH1224="","",K1224+N(L1224)+N(M1224)+N(N1224)+N(O1224))</f>
        <v/>
      </c>
      <c r="Q1224" s="67"/>
      <c r="R1224" s="67"/>
      <c r="S1224" s="67"/>
      <c r="T1224" s="67"/>
      <c r="U1224" s="67"/>
      <c r="V1224" s="67"/>
      <c r="W1224" s="85" t="str">
        <f aca="false">IF(AH1224="","",N(Q1224)+N(R1224)+N(S1224)+N(T1224)+N(U1224)+N(V1224))</f>
        <v/>
      </c>
      <c r="X1224" s="85" t="str">
        <f aca="false">IF(AH1224="","",P1224-W1224)</f>
        <v/>
      </c>
      <c r="Y1224" s="67"/>
      <c r="Z1224" s="70" t="str">
        <f aca="false">IF(OR(AH1224="",Y1224=""),"",IF(ABS(X1224-Y1224)&lt;=1,"✓ Cuadra","⚠ Diferencia $"&amp;FIXED(X1224-Y1224,0)))</f>
        <v/>
      </c>
      <c r="AA1224" s="72" t="str">
        <f aca="false">IF(AH1224="","",IFERROR(INDEX(C_TIPO,MATCH(C1224&amp;"-P"&amp;MAX(1,COUNTIFS(C_ID,C1224,C_DEFINE,"Sí",C_INICIO,"&lt;="&amp;EOMONTH(B1224,0))),C_CLAVE,0))&amp;"","Sin dato"))</f>
        <v/>
      </c>
      <c r="AB1224" s="71" t="str">
        <f aca="false">IF(AH1224="","",ROUND(MIN(K1224,TOPE_AFP_UF*AJ1224)*AK1224,0))</f>
        <v/>
      </c>
      <c r="AC1224" s="71" t="str">
        <f aca="false">IF(AH1224="","",ROUND(MIN(K1224,TOPE_AFC_UF*AJ1224)*IF(AA1224="Indefinido",AFC_EMP_INDEF,AFC_EMP_PF),0))</f>
        <v/>
      </c>
      <c r="AD1224" s="71" t="str">
        <f aca="false">IF(AH1224="","",ROUND(MIN(K1224,TOPE_AFP_UF*AJ1224)*(MUTUAL_BASICA+MUTUAL_ADIC+SANNA),0))</f>
        <v/>
      </c>
      <c r="AE1224" s="71" t="str">
        <f aca="false">IF(AH1224="","",P1224-N(N1224)+AB1224+AC1224+AD1224)</f>
        <v/>
      </c>
      <c r="AF1224" s="65"/>
      <c r="AG1224" s="64"/>
      <c r="AH1224" s="72" t="str">
        <f aca="false">IF(OR(B1224="",C1224=""),"",C1224&amp;"|"&amp;(YEAR(B1224)*100+MONTH(B1224)))</f>
        <v/>
      </c>
      <c r="AI1224" s="70" t="str">
        <f aca="false">IF(AH1224="","",IF(COUNTIF(L_CLAVE,AH1224)&gt;1,"⚠ Duplicado","OK"))</f>
        <v/>
      </c>
      <c r="AJ1224" s="86" t="str">
        <f aca="false">IF(AH1224="","",IF(SUMPRODUCT(MAX((IND_PER&lt;=B1224)*(IND_UF&lt;&gt;"")*IND_PER))=0,UF_HOY,INDEX(IND_UF,MATCH(SUMPRODUCT(MAX((IND_PER&lt;=B1224)*(IND_UF&lt;&gt;"")*IND_PER)),IND_PER,0))))</f>
        <v/>
      </c>
      <c r="AK1224" s="87" t="str">
        <f aca="false">IF(AH1224="","",IF(COUNTIF(TASA_DESDE,"&lt;="&amp;B1224)=0,INDEX(TASA_EMP,1),INDEX(TASA_EMP,COUNTIF(TASA_DESDE,"&lt;="&amp;B1224))))</f>
        <v/>
      </c>
    </row>
    <row r="1225" customFormat="false" ht="15" hidden="false" customHeight="false" outlineLevel="0" collapsed="false">
      <c r="B1225" s="78"/>
      <c r="C1225" s="64"/>
      <c r="D1225" s="72" t="str">
        <f aca="false">IF(C1225="","",IFERROR(INDEX(T_NOMBRE,MATCH(C1225,T_ID,0)),"⚠ ID no existe"))</f>
        <v/>
      </c>
      <c r="E1225" s="69"/>
      <c r="F1225" s="67"/>
      <c r="G1225" s="67"/>
      <c r="H1225" s="67"/>
      <c r="I1225" s="67"/>
      <c r="J1225" s="67"/>
      <c r="K1225" s="85" t="str">
        <f aca="false">IF(AH1225="","",N(F1225)+N(G1225)+N(H1225)-N(I1225)+N(J1225))</f>
        <v/>
      </c>
      <c r="L1225" s="67"/>
      <c r="M1225" s="67"/>
      <c r="N1225" s="67"/>
      <c r="O1225" s="67"/>
      <c r="P1225" s="85" t="str">
        <f aca="false">IF(AH1225="","",K1225+N(L1225)+N(M1225)+N(N1225)+N(O1225))</f>
        <v/>
      </c>
      <c r="Q1225" s="67"/>
      <c r="R1225" s="67"/>
      <c r="S1225" s="67"/>
      <c r="T1225" s="67"/>
      <c r="U1225" s="67"/>
      <c r="V1225" s="67"/>
      <c r="W1225" s="85" t="str">
        <f aca="false">IF(AH1225="","",N(Q1225)+N(R1225)+N(S1225)+N(T1225)+N(U1225)+N(V1225))</f>
        <v/>
      </c>
      <c r="X1225" s="85" t="str">
        <f aca="false">IF(AH1225="","",P1225-W1225)</f>
        <v/>
      </c>
      <c r="Y1225" s="67"/>
      <c r="Z1225" s="70" t="str">
        <f aca="false">IF(OR(AH1225="",Y1225=""),"",IF(ABS(X1225-Y1225)&lt;=1,"✓ Cuadra","⚠ Diferencia $"&amp;FIXED(X1225-Y1225,0)))</f>
        <v/>
      </c>
      <c r="AA1225" s="72" t="str">
        <f aca="false">IF(AH1225="","",IFERROR(INDEX(C_TIPO,MATCH(C1225&amp;"-P"&amp;MAX(1,COUNTIFS(C_ID,C1225,C_DEFINE,"Sí",C_INICIO,"&lt;="&amp;EOMONTH(B1225,0))),C_CLAVE,0))&amp;"","Sin dato"))</f>
        <v/>
      </c>
      <c r="AB1225" s="71" t="str">
        <f aca="false">IF(AH1225="","",ROUND(MIN(K1225,TOPE_AFP_UF*AJ1225)*AK1225,0))</f>
        <v/>
      </c>
      <c r="AC1225" s="71" t="str">
        <f aca="false">IF(AH1225="","",ROUND(MIN(K1225,TOPE_AFC_UF*AJ1225)*IF(AA1225="Indefinido",AFC_EMP_INDEF,AFC_EMP_PF),0))</f>
        <v/>
      </c>
      <c r="AD1225" s="71" t="str">
        <f aca="false">IF(AH1225="","",ROUND(MIN(K1225,TOPE_AFP_UF*AJ1225)*(MUTUAL_BASICA+MUTUAL_ADIC+SANNA),0))</f>
        <v/>
      </c>
      <c r="AE1225" s="71" t="str">
        <f aca="false">IF(AH1225="","",P1225-N(N1225)+AB1225+AC1225+AD1225)</f>
        <v/>
      </c>
      <c r="AF1225" s="65"/>
      <c r="AG1225" s="64"/>
      <c r="AH1225" s="72" t="str">
        <f aca="false">IF(OR(B1225="",C1225=""),"",C1225&amp;"|"&amp;(YEAR(B1225)*100+MONTH(B1225)))</f>
        <v/>
      </c>
      <c r="AI1225" s="70" t="str">
        <f aca="false">IF(AH1225="","",IF(COUNTIF(L_CLAVE,AH1225)&gt;1,"⚠ Duplicado","OK"))</f>
        <v/>
      </c>
      <c r="AJ1225" s="86" t="str">
        <f aca="false">IF(AH1225="","",IF(SUMPRODUCT(MAX((IND_PER&lt;=B1225)*(IND_UF&lt;&gt;"")*IND_PER))=0,UF_HOY,INDEX(IND_UF,MATCH(SUMPRODUCT(MAX((IND_PER&lt;=B1225)*(IND_UF&lt;&gt;"")*IND_PER)),IND_PER,0))))</f>
        <v/>
      </c>
      <c r="AK1225" s="87" t="str">
        <f aca="false">IF(AH1225="","",IF(COUNTIF(TASA_DESDE,"&lt;="&amp;B1225)=0,INDEX(TASA_EMP,1),INDEX(TASA_EMP,COUNTIF(TASA_DESDE,"&lt;="&amp;B1225))))</f>
        <v/>
      </c>
    </row>
    <row r="1226" customFormat="false" ht="15" hidden="false" customHeight="false" outlineLevel="0" collapsed="false">
      <c r="B1226" s="78"/>
      <c r="C1226" s="64"/>
      <c r="D1226" s="72" t="str">
        <f aca="false">IF(C1226="","",IFERROR(INDEX(T_NOMBRE,MATCH(C1226,T_ID,0)),"⚠ ID no existe"))</f>
        <v/>
      </c>
      <c r="E1226" s="69"/>
      <c r="F1226" s="67"/>
      <c r="G1226" s="67"/>
      <c r="H1226" s="67"/>
      <c r="I1226" s="67"/>
      <c r="J1226" s="67"/>
      <c r="K1226" s="85" t="str">
        <f aca="false">IF(AH1226="","",N(F1226)+N(G1226)+N(H1226)-N(I1226)+N(J1226))</f>
        <v/>
      </c>
      <c r="L1226" s="67"/>
      <c r="M1226" s="67"/>
      <c r="N1226" s="67"/>
      <c r="O1226" s="67"/>
      <c r="P1226" s="85" t="str">
        <f aca="false">IF(AH1226="","",K1226+N(L1226)+N(M1226)+N(N1226)+N(O1226))</f>
        <v/>
      </c>
      <c r="Q1226" s="67"/>
      <c r="R1226" s="67"/>
      <c r="S1226" s="67"/>
      <c r="T1226" s="67"/>
      <c r="U1226" s="67"/>
      <c r="V1226" s="67"/>
      <c r="W1226" s="85" t="str">
        <f aca="false">IF(AH1226="","",N(Q1226)+N(R1226)+N(S1226)+N(T1226)+N(U1226)+N(V1226))</f>
        <v/>
      </c>
      <c r="X1226" s="85" t="str">
        <f aca="false">IF(AH1226="","",P1226-W1226)</f>
        <v/>
      </c>
      <c r="Y1226" s="67"/>
      <c r="Z1226" s="70" t="str">
        <f aca="false">IF(OR(AH1226="",Y1226=""),"",IF(ABS(X1226-Y1226)&lt;=1,"✓ Cuadra","⚠ Diferencia $"&amp;FIXED(X1226-Y1226,0)))</f>
        <v/>
      </c>
      <c r="AA1226" s="72" t="str">
        <f aca="false">IF(AH1226="","",IFERROR(INDEX(C_TIPO,MATCH(C1226&amp;"-P"&amp;MAX(1,COUNTIFS(C_ID,C1226,C_DEFINE,"Sí",C_INICIO,"&lt;="&amp;EOMONTH(B1226,0))),C_CLAVE,0))&amp;"","Sin dato"))</f>
        <v/>
      </c>
      <c r="AB1226" s="71" t="str">
        <f aca="false">IF(AH1226="","",ROUND(MIN(K1226,TOPE_AFP_UF*AJ1226)*AK1226,0))</f>
        <v/>
      </c>
      <c r="AC1226" s="71" t="str">
        <f aca="false">IF(AH1226="","",ROUND(MIN(K1226,TOPE_AFC_UF*AJ1226)*IF(AA1226="Indefinido",AFC_EMP_INDEF,AFC_EMP_PF),0))</f>
        <v/>
      </c>
      <c r="AD1226" s="71" t="str">
        <f aca="false">IF(AH1226="","",ROUND(MIN(K1226,TOPE_AFP_UF*AJ1226)*(MUTUAL_BASICA+MUTUAL_ADIC+SANNA),0))</f>
        <v/>
      </c>
      <c r="AE1226" s="71" t="str">
        <f aca="false">IF(AH1226="","",P1226-N(N1226)+AB1226+AC1226+AD1226)</f>
        <v/>
      </c>
      <c r="AF1226" s="65"/>
      <c r="AG1226" s="64"/>
      <c r="AH1226" s="72" t="str">
        <f aca="false">IF(OR(B1226="",C1226=""),"",C1226&amp;"|"&amp;(YEAR(B1226)*100+MONTH(B1226)))</f>
        <v/>
      </c>
      <c r="AI1226" s="70" t="str">
        <f aca="false">IF(AH1226="","",IF(COUNTIF(L_CLAVE,AH1226)&gt;1,"⚠ Duplicado","OK"))</f>
        <v/>
      </c>
      <c r="AJ1226" s="86" t="str">
        <f aca="false">IF(AH1226="","",IF(SUMPRODUCT(MAX((IND_PER&lt;=B1226)*(IND_UF&lt;&gt;"")*IND_PER))=0,UF_HOY,INDEX(IND_UF,MATCH(SUMPRODUCT(MAX((IND_PER&lt;=B1226)*(IND_UF&lt;&gt;"")*IND_PER)),IND_PER,0))))</f>
        <v/>
      </c>
      <c r="AK1226" s="87" t="str">
        <f aca="false">IF(AH1226="","",IF(COUNTIF(TASA_DESDE,"&lt;="&amp;B1226)=0,INDEX(TASA_EMP,1),INDEX(TASA_EMP,COUNTIF(TASA_DESDE,"&lt;="&amp;B1226))))</f>
        <v/>
      </c>
    </row>
    <row r="1227" customFormat="false" ht="15" hidden="false" customHeight="false" outlineLevel="0" collapsed="false">
      <c r="B1227" s="78"/>
      <c r="C1227" s="64"/>
      <c r="D1227" s="72" t="str">
        <f aca="false">IF(C1227="","",IFERROR(INDEX(T_NOMBRE,MATCH(C1227,T_ID,0)),"⚠ ID no existe"))</f>
        <v/>
      </c>
      <c r="E1227" s="69"/>
      <c r="F1227" s="67"/>
      <c r="G1227" s="67"/>
      <c r="H1227" s="67"/>
      <c r="I1227" s="67"/>
      <c r="J1227" s="67"/>
      <c r="K1227" s="85" t="str">
        <f aca="false">IF(AH1227="","",N(F1227)+N(G1227)+N(H1227)-N(I1227)+N(J1227))</f>
        <v/>
      </c>
      <c r="L1227" s="67"/>
      <c r="M1227" s="67"/>
      <c r="N1227" s="67"/>
      <c r="O1227" s="67"/>
      <c r="P1227" s="85" t="str">
        <f aca="false">IF(AH1227="","",K1227+N(L1227)+N(M1227)+N(N1227)+N(O1227))</f>
        <v/>
      </c>
      <c r="Q1227" s="67"/>
      <c r="R1227" s="67"/>
      <c r="S1227" s="67"/>
      <c r="T1227" s="67"/>
      <c r="U1227" s="67"/>
      <c r="V1227" s="67"/>
      <c r="W1227" s="85" t="str">
        <f aca="false">IF(AH1227="","",N(Q1227)+N(R1227)+N(S1227)+N(T1227)+N(U1227)+N(V1227))</f>
        <v/>
      </c>
      <c r="X1227" s="85" t="str">
        <f aca="false">IF(AH1227="","",P1227-W1227)</f>
        <v/>
      </c>
      <c r="Y1227" s="67"/>
      <c r="Z1227" s="70" t="str">
        <f aca="false">IF(OR(AH1227="",Y1227=""),"",IF(ABS(X1227-Y1227)&lt;=1,"✓ Cuadra","⚠ Diferencia $"&amp;FIXED(X1227-Y1227,0)))</f>
        <v/>
      </c>
      <c r="AA1227" s="72" t="str">
        <f aca="false">IF(AH1227="","",IFERROR(INDEX(C_TIPO,MATCH(C1227&amp;"-P"&amp;MAX(1,COUNTIFS(C_ID,C1227,C_DEFINE,"Sí",C_INICIO,"&lt;="&amp;EOMONTH(B1227,0))),C_CLAVE,0))&amp;"","Sin dato"))</f>
        <v/>
      </c>
      <c r="AB1227" s="71" t="str">
        <f aca="false">IF(AH1227="","",ROUND(MIN(K1227,TOPE_AFP_UF*AJ1227)*AK1227,0))</f>
        <v/>
      </c>
      <c r="AC1227" s="71" t="str">
        <f aca="false">IF(AH1227="","",ROUND(MIN(K1227,TOPE_AFC_UF*AJ1227)*IF(AA1227="Indefinido",AFC_EMP_INDEF,AFC_EMP_PF),0))</f>
        <v/>
      </c>
      <c r="AD1227" s="71" t="str">
        <f aca="false">IF(AH1227="","",ROUND(MIN(K1227,TOPE_AFP_UF*AJ1227)*(MUTUAL_BASICA+MUTUAL_ADIC+SANNA),0))</f>
        <v/>
      </c>
      <c r="AE1227" s="71" t="str">
        <f aca="false">IF(AH1227="","",P1227-N(N1227)+AB1227+AC1227+AD1227)</f>
        <v/>
      </c>
      <c r="AF1227" s="65"/>
      <c r="AG1227" s="64"/>
      <c r="AH1227" s="72" t="str">
        <f aca="false">IF(OR(B1227="",C1227=""),"",C1227&amp;"|"&amp;(YEAR(B1227)*100+MONTH(B1227)))</f>
        <v/>
      </c>
      <c r="AI1227" s="70" t="str">
        <f aca="false">IF(AH1227="","",IF(COUNTIF(L_CLAVE,AH1227)&gt;1,"⚠ Duplicado","OK"))</f>
        <v/>
      </c>
      <c r="AJ1227" s="86" t="str">
        <f aca="false">IF(AH1227="","",IF(SUMPRODUCT(MAX((IND_PER&lt;=B1227)*(IND_UF&lt;&gt;"")*IND_PER))=0,UF_HOY,INDEX(IND_UF,MATCH(SUMPRODUCT(MAX((IND_PER&lt;=B1227)*(IND_UF&lt;&gt;"")*IND_PER)),IND_PER,0))))</f>
        <v/>
      </c>
      <c r="AK1227" s="87" t="str">
        <f aca="false">IF(AH1227="","",IF(COUNTIF(TASA_DESDE,"&lt;="&amp;B1227)=0,INDEX(TASA_EMP,1),INDEX(TASA_EMP,COUNTIF(TASA_DESDE,"&lt;="&amp;B1227))))</f>
        <v/>
      </c>
    </row>
    <row r="1228" customFormat="false" ht="15" hidden="false" customHeight="false" outlineLevel="0" collapsed="false">
      <c r="B1228" s="78"/>
      <c r="C1228" s="64"/>
      <c r="D1228" s="72" t="str">
        <f aca="false">IF(C1228="","",IFERROR(INDEX(T_NOMBRE,MATCH(C1228,T_ID,0)),"⚠ ID no existe"))</f>
        <v/>
      </c>
      <c r="E1228" s="69"/>
      <c r="F1228" s="67"/>
      <c r="G1228" s="67"/>
      <c r="H1228" s="67"/>
      <c r="I1228" s="67"/>
      <c r="J1228" s="67"/>
      <c r="K1228" s="85" t="str">
        <f aca="false">IF(AH1228="","",N(F1228)+N(G1228)+N(H1228)-N(I1228)+N(J1228))</f>
        <v/>
      </c>
      <c r="L1228" s="67"/>
      <c r="M1228" s="67"/>
      <c r="N1228" s="67"/>
      <c r="O1228" s="67"/>
      <c r="P1228" s="85" t="str">
        <f aca="false">IF(AH1228="","",K1228+N(L1228)+N(M1228)+N(N1228)+N(O1228))</f>
        <v/>
      </c>
      <c r="Q1228" s="67"/>
      <c r="R1228" s="67"/>
      <c r="S1228" s="67"/>
      <c r="T1228" s="67"/>
      <c r="U1228" s="67"/>
      <c r="V1228" s="67"/>
      <c r="W1228" s="85" t="str">
        <f aca="false">IF(AH1228="","",N(Q1228)+N(R1228)+N(S1228)+N(T1228)+N(U1228)+N(V1228))</f>
        <v/>
      </c>
      <c r="X1228" s="85" t="str">
        <f aca="false">IF(AH1228="","",P1228-W1228)</f>
        <v/>
      </c>
      <c r="Y1228" s="67"/>
      <c r="Z1228" s="70" t="str">
        <f aca="false">IF(OR(AH1228="",Y1228=""),"",IF(ABS(X1228-Y1228)&lt;=1,"✓ Cuadra","⚠ Diferencia $"&amp;FIXED(X1228-Y1228,0)))</f>
        <v/>
      </c>
      <c r="AA1228" s="72" t="str">
        <f aca="false">IF(AH1228="","",IFERROR(INDEX(C_TIPO,MATCH(C1228&amp;"-P"&amp;MAX(1,COUNTIFS(C_ID,C1228,C_DEFINE,"Sí",C_INICIO,"&lt;="&amp;EOMONTH(B1228,0))),C_CLAVE,0))&amp;"","Sin dato"))</f>
        <v/>
      </c>
      <c r="AB1228" s="71" t="str">
        <f aca="false">IF(AH1228="","",ROUND(MIN(K1228,TOPE_AFP_UF*AJ1228)*AK1228,0))</f>
        <v/>
      </c>
      <c r="AC1228" s="71" t="str">
        <f aca="false">IF(AH1228="","",ROUND(MIN(K1228,TOPE_AFC_UF*AJ1228)*IF(AA1228="Indefinido",AFC_EMP_INDEF,AFC_EMP_PF),0))</f>
        <v/>
      </c>
      <c r="AD1228" s="71" t="str">
        <f aca="false">IF(AH1228="","",ROUND(MIN(K1228,TOPE_AFP_UF*AJ1228)*(MUTUAL_BASICA+MUTUAL_ADIC+SANNA),0))</f>
        <v/>
      </c>
      <c r="AE1228" s="71" t="str">
        <f aca="false">IF(AH1228="","",P1228-N(N1228)+AB1228+AC1228+AD1228)</f>
        <v/>
      </c>
      <c r="AF1228" s="65"/>
      <c r="AG1228" s="64"/>
      <c r="AH1228" s="72" t="str">
        <f aca="false">IF(OR(B1228="",C1228=""),"",C1228&amp;"|"&amp;(YEAR(B1228)*100+MONTH(B1228)))</f>
        <v/>
      </c>
      <c r="AI1228" s="70" t="str">
        <f aca="false">IF(AH1228="","",IF(COUNTIF(L_CLAVE,AH1228)&gt;1,"⚠ Duplicado","OK"))</f>
        <v/>
      </c>
      <c r="AJ1228" s="86" t="str">
        <f aca="false">IF(AH1228="","",IF(SUMPRODUCT(MAX((IND_PER&lt;=B1228)*(IND_UF&lt;&gt;"")*IND_PER))=0,UF_HOY,INDEX(IND_UF,MATCH(SUMPRODUCT(MAX((IND_PER&lt;=B1228)*(IND_UF&lt;&gt;"")*IND_PER)),IND_PER,0))))</f>
        <v/>
      </c>
      <c r="AK1228" s="87" t="str">
        <f aca="false">IF(AH1228="","",IF(COUNTIF(TASA_DESDE,"&lt;="&amp;B1228)=0,INDEX(TASA_EMP,1),INDEX(TASA_EMP,COUNTIF(TASA_DESDE,"&lt;="&amp;B1228))))</f>
        <v/>
      </c>
    </row>
    <row r="1229" customFormat="false" ht="15" hidden="false" customHeight="false" outlineLevel="0" collapsed="false">
      <c r="B1229" s="78"/>
      <c r="C1229" s="64"/>
      <c r="D1229" s="72" t="str">
        <f aca="false">IF(C1229="","",IFERROR(INDEX(T_NOMBRE,MATCH(C1229,T_ID,0)),"⚠ ID no existe"))</f>
        <v/>
      </c>
      <c r="E1229" s="69"/>
      <c r="F1229" s="67"/>
      <c r="G1229" s="67"/>
      <c r="H1229" s="67"/>
      <c r="I1229" s="67"/>
      <c r="J1229" s="67"/>
      <c r="K1229" s="85" t="str">
        <f aca="false">IF(AH1229="","",N(F1229)+N(G1229)+N(H1229)-N(I1229)+N(J1229))</f>
        <v/>
      </c>
      <c r="L1229" s="67"/>
      <c r="M1229" s="67"/>
      <c r="N1229" s="67"/>
      <c r="O1229" s="67"/>
      <c r="P1229" s="85" t="str">
        <f aca="false">IF(AH1229="","",K1229+N(L1229)+N(M1229)+N(N1229)+N(O1229))</f>
        <v/>
      </c>
      <c r="Q1229" s="67"/>
      <c r="R1229" s="67"/>
      <c r="S1229" s="67"/>
      <c r="T1229" s="67"/>
      <c r="U1229" s="67"/>
      <c r="V1229" s="67"/>
      <c r="W1229" s="85" t="str">
        <f aca="false">IF(AH1229="","",N(Q1229)+N(R1229)+N(S1229)+N(T1229)+N(U1229)+N(V1229))</f>
        <v/>
      </c>
      <c r="X1229" s="85" t="str">
        <f aca="false">IF(AH1229="","",P1229-W1229)</f>
        <v/>
      </c>
      <c r="Y1229" s="67"/>
      <c r="Z1229" s="70" t="str">
        <f aca="false">IF(OR(AH1229="",Y1229=""),"",IF(ABS(X1229-Y1229)&lt;=1,"✓ Cuadra","⚠ Diferencia $"&amp;FIXED(X1229-Y1229,0)))</f>
        <v/>
      </c>
      <c r="AA1229" s="72" t="str">
        <f aca="false">IF(AH1229="","",IFERROR(INDEX(C_TIPO,MATCH(C1229&amp;"-P"&amp;MAX(1,COUNTIFS(C_ID,C1229,C_DEFINE,"Sí",C_INICIO,"&lt;="&amp;EOMONTH(B1229,0))),C_CLAVE,0))&amp;"","Sin dato"))</f>
        <v/>
      </c>
      <c r="AB1229" s="71" t="str">
        <f aca="false">IF(AH1229="","",ROUND(MIN(K1229,TOPE_AFP_UF*AJ1229)*AK1229,0))</f>
        <v/>
      </c>
      <c r="AC1229" s="71" t="str">
        <f aca="false">IF(AH1229="","",ROUND(MIN(K1229,TOPE_AFC_UF*AJ1229)*IF(AA1229="Indefinido",AFC_EMP_INDEF,AFC_EMP_PF),0))</f>
        <v/>
      </c>
      <c r="AD1229" s="71" t="str">
        <f aca="false">IF(AH1229="","",ROUND(MIN(K1229,TOPE_AFP_UF*AJ1229)*(MUTUAL_BASICA+MUTUAL_ADIC+SANNA),0))</f>
        <v/>
      </c>
      <c r="AE1229" s="71" t="str">
        <f aca="false">IF(AH1229="","",P1229-N(N1229)+AB1229+AC1229+AD1229)</f>
        <v/>
      </c>
      <c r="AF1229" s="65"/>
      <c r="AG1229" s="64"/>
      <c r="AH1229" s="72" t="str">
        <f aca="false">IF(OR(B1229="",C1229=""),"",C1229&amp;"|"&amp;(YEAR(B1229)*100+MONTH(B1229)))</f>
        <v/>
      </c>
      <c r="AI1229" s="70" t="str">
        <f aca="false">IF(AH1229="","",IF(COUNTIF(L_CLAVE,AH1229)&gt;1,"⚠ Duplicado","OK"))</f>
        <v/>
      </c>
      <c r="AJ1229" s="86" t="str">
        <f aca="false">IF(AH1229="","",IF(SUMPRODUCT(MAX((IND_PER&lt;=B1229)*(IND_UF&lt;&gt;"")*IND_PER))=0,UF_HOY,INDEX(IND_UF,MATCH(SUMPRODUCT(MAX((IND_PER&lt;=B1229)*(IND_UF&lt;&gt;"")*IND_PER)),IND_PER,0))))</f>
        <v/>
      </c>
      <c r="AK1229" s="87" t="str">
        <f aca="false">IF(AH1229="","",IF(COUNTIF(TASA_DESDE,"&lt;="&amp;B1229)=0,INDEX(TASA_EMP,1),INDEX(TASA_EMP,COUNTIF(TASA_DESDE,"&lt;="&amp;B1229))))</f>
        <v/>
      </c>
    </row>
    <row r="1230" customFormat="false" ht="15" hidden="false" customHeight="false" outlineLevel="0" collapsed="false">
      <c r="B1230" s="78"/>
      <c r="C1230" s="64"/>
      <c r="D1230" s="72" t="str">
        <f aca="false">IF(C1230="","",IFERROR(INDEX(T_NOMBRE,MATCH(C1230,T_ID,0)),"⚠ ID no existe"))</f>
        <v/>
      </c>
      <c r="E1230" s="69"/>
      <c r="F1230" s="67"/>
      <c r="G1230" s="67"/>
      <c r="H1230" s="67"/>
      <c r="I1230" s="67"/>
      <c r="J1230" s="67"/>
      <c r="K1230" s="85" t="str">
        <f aca="false">IF(AH1230="","",N(F1230)+N(G1230)+N(H1230)-N(I1230)+N(J1230))</f>
        <v/>
      </c>
      <c r="L1230" s="67"/>
      <c r="M1230" s="67"/>
      <c r="N1230" s="67"/>
      <c r="O1230" s="67"/>
      <c r="P1230" s="85" t="str">
        <f aca="false">IF(AH1230="","",K1230+N(L1230)+N(M1230)+N(N1230)+N(O1230))</f>
        <v/>
      </c>
      <c r="Q1230" s="67"/>
      <c r="R1230" s="67"/>
      <c r="S1230" s="67"/>
      <c r="T1230" s="67"/>
      <c r="U1230" s="67"/>
      <c r="V1230" s="67"/>
      <c r="W1230" s="85" t="str">
        <f aca="false">IF(AH1230="","",N(Q1230)+N(R1230)+N(S1230)+N(T1230)+N(U1230)+N(V1230))</f>
        <v/>
      </c>
      <c r="X1230" s="85" t="str">
        <f aca="false">IF(AH1230="","",P1230-W1230)</f>
        <v/>
      </c>
      <c r="Y1230" s="67"/>
      <c r="Z1230" s="70" t="str">
        <f aca="false">IF(OR(AH1230="",Y1230=""),"",IF(ABS(X1230-Y1230)&lt;=1,"✓ Cuadra","⚠ Diferencia $"&amp;FIXED(X1230-Y1230,0)))</f>
        <v/>
      </c>
      <c r="AA1230" s="72" t="str">
        <f aca="false">IF(AH1230="","",IFERROR(INDEX(C_TIPO,MATCH(C1230&amp;"-P"&amp;MAX(1,COUNTIFS(C_ID,C1230,C_DEFINE,"Sí",C_INICIO,"&lt;="&amp;EOMONTH(B1230,0))),C_CLAVE,0))&amp;"","Sin dato"))</f>
        <v/>
      </c>
      <c r="AB1230" s="71" t="str">
        <f aca="false">IF(AH1230="","",ROUND(MIN(K1230,TOPE_AFP_UF*AJ1230)*AK1230,0))</f>
        <v/>
      </c>
      <c r="AC1230" s="71" t="str">
        <f aca="false">IF(AH1230="","",ROUND(MIN(K1230,TOPE_AFC_UF*AJ1230)*IF(AA1230="Indefinido",AFC_EMP_INDEF,AFC_EMP_PF),0))</f>
        <v/>
      </c>
      <c r="AD1230" s="71" t="str">
        <f aca="false">IF(AH1230="","",ROUND(MIN(K1230,TOPE_AFP_UF*AJ1230)*(MUTUAL_BASICA+MUTUAL_ADIC+SANNA),0))</f>
        <v/>
      </c>
      <c r="AE1230" s="71" t="str">
        <f aca="false">IF(AH1230="","",P1230-N(N1230)+AB1230+AC1230+AD1230)</f>
        <v/>
      </c>
      <c r="AF1230" s="65"/>
      <c r="AG1230" s="64"/>
      <c r="AH1230" s="72" t="str">
        <f aca="false">IF(OR(B1230="",C1230=""),"",C1230&amp;"|"&amp;(YEAR(B1230)*100+MONTH(B1230)))</f>
        <v/>
      </c>
      <c r="AI1230" s="70" t="str">
        <f aca="false">IF(AH1230="","",IF(COUNTIF(L_CLAVE,AH1230)&gt;1,"⚠ Duplicado","OK"))</f>
        <v/>
      </c>
      <c r="AJ1230" s="86" t="str">
        <f aca="false">IF(AH1230="","",IF(SUMPRODUCT(MAX((IND_PER&lt;=B1230)*(IND_UF&lt;&gt;"")*IND_PER))=0,UF_HOY,INDEX(IND_UF,MATCH(SUMPRODUCT(MAX((IND_PER&lt;=B1230)*(IND_UF&lt;&gt;"")*IND_PER)),IND_PER,0))))</f>
        <v/>
      </c>
      <c r="AK1230" s="87" t="str">
        <f aca="false">IF(AH1230="","",IF(COUNTIF(TASA_DESDE,"&lt;="&amp;B1230)=0,INDEX(TASA_EMP,1),INDEX(TASA_EMP,COUNTIF(TASA_DESDE,"&lt;="&amp;B1230))))</f>
        <v/>
      </c>
    </row>
    <row r="1231" customFormat="false" ht="15" hidden="false" customHeight="false" outlineLevel="0" collapsed="false">
      <c r="B1231" s="78"/>
      <c r="C1231" s="64"/>
      <c r="D1231" s="72" t="str">
        <f aca="false">IF(C1231="","",IFERROR(INDEX(T_NOMBRE,MATCH(C1231,T_ID,0)),"⚠ ID no existe"))</f>
        <v/>
      </c>
      <c r="E1231" s="69"/>
      <c r="F1231" s="67"/>
      <c r="G1231" s="67"/>
      <c r="H1231" s="67"/>
      <c r="I1231" s="67"/>
      <c r="J1231" s="67"/>
      <c r="K1231" s="85" t="str">
        <f aca="false">IF(AH1231="","",N(F1231)+N(G1231)+N(H1231)-N(I1231)+N(J1231))</f>
        <v/>
      </c>
      <c r="L1231" s="67"/>
      <c r="M1231" s="67"/>
      <c r="N1231" s="67"/>
      <c r="O1231" s="67"/>
      <c r="P1231" s="85" t="str">
        <f aca="false">IF(AH1231="","",K1231+N(L1231)+N(M1231)+N(N1231)+N(O1231))</f>
        <v/>
      </c>
      <c r="Q1231" s="67"/>
      <c r="R1231" s="67"/>
      <c r="S1231" s="67"/>
      <c r="T1231" s="67"/>
      <c r="U1231" s="67"/>
      <c r="V1231" s="67"/>
      <c r="W1231" s="85" t="str">
        <f aca="false">IF(AH1231="","",N(Q1231)+N(R1231)+N(S1231)+N(T1231)+N(U1231)+N(V1231))</f>
        <v/>
      </c>
      <c r="X1231" s="85" t="str">
        <f aca="false">IF(AH1231="","",P1231-W1231)</f>
        <v/>
      </c>
      <c r="Y1231" s="67"/>
      <c r="Z1231" s="70" t="str">
        <f aca="false">IF(OR(AH1231="",Y1231=""),"",IF(ABS(X1231-Y1231)&lt;=1,"✓ Cuadra","⚠ Diferencia $"&amp;FIXED(X1231-Y1231,0)))</f>
        <v/>
      </c>
      <c r="AA1231" s="72" t="str">
        <f aca="false">IF(AH1231="","",IFERROR(INDEX(C_TIPO,MATCH(C1231&amp;"-P"&amp;MAX(1,COUNTIFS(C_ID,C1231,C_DEFINE,"Sí",C_INICIO,"&lt;="&amp;EOMONTH(B1231,0))),C_CLAVE,0))&amp;"","Sin dato"))</f>
        <v/>
      </c>
      <c r="AB1231" s="71" t="str">
        <f aca="false">IF(AH1231="","",ROUND(MIN(K1231,TOPE_AFP_UF*AJ1231)*AK1231,0))</f>
        <v/>
      </c>
      <c r="AC1231" s="71" t="str">
        <f aca="false">IF(AH1231="","",ROUND(MIN(K1231,TOPE_AFC_UF*AJ1231)*IF(AA1231="Indefinido",AFC_EMP_INDEF,AFC_EMP_PF),0))</f>
        <v/>
      </c>
      <c r="AD1231" s="71" t="str">
        <f aca="false">IF(AH1231="","",ROUND(MIN(K1231,TOPE_AFP_UF*AJ1231)*(MUTUAL_BASICA+MUTUAL_ADIC+SANNA),0))</f>
        <v/>
      </c>
      <c r="AE1231" s="71" t="str">
        <f aca="false">IF(AH1231="","",P1231-N(N1231)+AB1231+AC1231+AD1231)</f>
        <v/>
      </c>
      <c r="AF1231" s="65"/>
      <c r="AG1231" s="64"/>
      <c r="AH1231" s="72" t="str">
        <f aca="false">IF(OR(B1231="",C1231=""),"",C1231&amp;"|"&amp;(YEAR(B1231)*100+MONTH(B1231)))</f>
        <v/>
      </c>
      <c r="AI1231" s="70" t="str">
        <f aca="false">IF(AH1231="","",IF(COUNTIF(L_CLAVE,AH1231)&gt;1,"⚠ Duplicado","OK"))</f>
        <v/>
      </c>
      <c r="AJ1231" s="86" t="str">
        <f aca="false">IF(AH1231="","",IF(SUMPRODUCT(MAX((IND_PER&lt;=B1231)*(IND_UF&lt;&gt;"")*IND_PER))=0,UF_HOY,INDEX(IND_UF,MATCH(SUMPRODUCT(MAX((IND_PER&lt;=B1231)*(IND_UF&lt;&gt;"")*IND_PER)),IND_PER,0))))</f>
        <v/>
      </c>
      <c r="AK1231" s="87" t="str">
        <f aca="false">IF(AH1231="","",IF(COUNTIF(TASA_DESDE,"&lt;="&amp;B1231)=0,INDEX(TASA_EMP,1),INDEX(TASA_EMP,COUNTIF(TASA_DESDE,"&lt;="&amp;B1231))))</f>
        <v/>
      </c>
    </row>
    <row r="1232" customFormat="false" ht="15" hidden="false" customHeight="false" outlineLevel="0" collapsed="false">
      <c r="B1232" s="78"/>
      <c r="C1232" s="64"/>
      <c r="D1232" s="72" t="str">
        <f aca="false">IF(C1232="","",IFERROR(INDEX(T_NOMBRE,MATCH(C1232,T_ID,0)),"⚠ ID no existe"))</f>
        <v/>
      </c>
      <c r="E1232" s="69"/>
      <c r="F1232" s="67"/>
      <c r="G1232" s="67"/>
      <c r="H1232" s="67"/>
      <c r="I1232" s="67"/>
      <c r="J1232" s="67"/>
      <c r="K1232" s="85" t="str">
        <f aca="false">IF(AH1232="","",N(F1232)+N(G1232)+N(H1232)-N(I1232)+N(J1232))</f>
        <v/>
      </c>
      <c r="L1232" s="67"/>
      <c r="M1232" s="67"/>
      <c r="N1232" s="67"/>
      <c r="O1232" s="67"/>
      <c r="P1232" s="85" t="str">
        <f aca="false">IF(AH1232="","",K1232+N(L1232)+N(M1232)+N(N1232)+N(O1232))</f>
        <v/>
      </c>
      <c r="Q1232" s="67"/>
      <c r="R1232" s="67"/>
      <c r="S1232" s="67"/>
      <c r="T1232" s="67"/>
      <c r="U1232" s="67"/>
      <c r="V1232" s="67"/>
      <c r="W1232" s="85" t="str">
        <f aca="false">IF(AH1232="","",N(Q1232)+N(R1232)+N(S1232)+N(T1232)+N(U1232)+N(V1232))</f>
        <v/>
      </c>
      <c r="X1232" s="85" t="str">
        <f aca="false">IF(AH1232="","",P1232-W1232)</f>
        <v/>
      </c>
      <c r="Y1232" s="67"/>
      <c r="Z1232" s="70" t="str">
        <f aca="false">IF(OR(AH1232="",Y1232=""),"",IF(ABS(X1232-Y1232)&lt;=1,"✓ Cuadra","⚠ Diferencia $"&amp;FIXED(X1232-Y1232,0)))</f>
        <v/>
      </c>
      <c r="AA1232" s="72" t="str">
        <f aca="false">IF(AH1232="","",IFERROR(INDEX(C_TIPO,MATCH(C1232&amp;"-P"&amp;MAX(1,COUNTIFS(C_ID,C1232,C_DEFINE,"Sí",C_INICIO,"&lt;="&amp;EOMONTH(B1232,0))),C_CLAVE,0))&amp;"","Sin dato"))</f>
        <v/>
      </c>
      <c r="AB1232" s="71" t="str">
        <f aca="false">IF(AH1232="","",ROUND(MIN(K1232,TOPE_AFP_UF*AJ1232)*AK1232,0))</f>
        <v/>
      </c>
      <c r="AC1232" s="71" t="str">
        <f aca="false">IF(AH1232="","",ROUND(MIN(K1232,TOPE_AFC_UF*AJ1232)*IF(AA1232="Indefinido",AFC_EMP_INDEF,AFC_EMP_PF),0))</f>
        <v/>
      </c>
      <c r="AD1232" s="71" t="str">
        <f aca="false">IF(AH1232="","",ROUND(MIN(K1232,TOPE_AFP_UF*AJ1232)*(MUTUAL_BASICA+MUTUAL_ADIC+SANNA),0))</f>
        <v/>
      </c>
      <c r="AE1232" s="71" t="str">
        <f aca="false">IF(AH1232="","",P1232-N(N1232)+AB1232+AC1232+AD1232)</f>
        <v/>
      </c>
      <c r="AF1232" s="65"/>
      <c r="AG1232" s="64"/>
      <c r="AH1232" s="72" t="str">
        <f aca="false">IF(OR(B1232="",C1232=""),"",C1232&amp;"|"&amp;(YEAR(B1232)*100+MONTH(B1232)))</f>
        <v/>
      </c>
      <c r="AI1232" s="70" t="str">
        <f aca="false">IF(AH1232="","",IF(COUNTIF(L_CLAVE,AH1232)&gt;1,"⚠ Duplicado","OK"))</f>
        <v/>
      </c>
      <c r="AJ1232" s="86" t="str">
        <f aca="false">IF(AH1232="","",IF(SUMPRODUCT(MAX((IND_PER&lt;=B1232)*(IND_UF&lt;&gt;"")*IND_PER))=0,UF_HOY,INDEX(IND_UF,MATCH(SUMPRODUCT(MAX((IND_PER&lt;=B1232)*(IND_UF&lt;&gt;"")*IND_PER)),IND_PER,0))))</f>
        <v/>
      </c>
      <c r="AK1232" s="87" t="str">
        <f aca="false">IF(AH1232="","",IF(COUNTIF(TASA_DESDE,"&lt;="&amp;B1232)=0,INDEX(TASA_EMP,1),INDEX(TASA_EMP,COUNTIF(TASA_DESDE,"&lt;="&amp;B1232))))</f>
        <v/>
      </c>
    </row>
    <row r="1233" customFormat="false" ht="15" hidden="false" customHeight="false" outlineLevel="0" collapsed="false">
      <c r="B1233" s="78"/>
      <c r="C1233" s="64"/>
      <c r="D1233" s="72" t="str">
        <f aca="false">IF(C1233="","",IFERROR(INDEX(T_NOMBRE,MATCH(C1233,T_ID,0)),"⚠ ID no existe"))</f>
        <v/>
      </c>
      <c r="E1233" s="69"/>
      <c r="F1233" s="67"/>
      <c r="G1233" s="67"/>
      <c r="H1233" s="67"/>
      <c r="I1233" s="67"/>
      <c r="J1233" s="67"/>
      <c r="K1233" s="85" t="str">
        <f aca="false">IF(AH1233="","",N(F1233)+N(G1233)+N(H1233)-N(I1233)+N(J1233))</f>
        <v/>
      </c>
      <c r="L1233" s="67"/>
      <c r="M1233" s="67"/>
      <c r="N1233" s="67"/>
      <c r="O1233" s="67"/>
      <c r="P1233" s="85" t="str">
        <f aca="false">IF(AH1233="","",K1233+N(L1233)+N(M1233)+N(N1233)+N(O1233))</f>
        <v/>
      </c>
      <c r="Q1233" s="67"/>
      <c r="R1233" s="67"/>
      <c r="S1233" s="67"/>
      <c r="T1233" s="67"/>
      <c r="U1233" s="67"/>
      <c r="V1233" s="67"/>
      <c r="W1233" s="85" t="str">
        <f aca="false">IF(AH1233="","",N(Q1233)+N(R1233)+N(S1233)+N(T1233)+N(U1233)+N(V1233))</f>
        <v/>
      </c>
      <c r="X1233" s="85" t="str">
        <f aca="false">IF(AH1233="","",P1233-W1233)</f>
        <v/>
      </c>
      <c r="Y1233" s="67"/>
      <c r="Z1233" s="70" t="str">
        <f aca="false">IF(OR(AH1233="",Y1233=""),"",IF(ABS(X1233-Y1233)&lt;=1,"✓ Cuadra","⚠ Diferencia $"&amp;FIXED(X1233-Y1233,0)))</f>
        <v/>
      </c>
      <c r="AA1233" s="72" t="str">
        <f aca="false">IF(AH1233="","",IFERROR(INDEX(C_TIPO,MATCH(C1233&amp;"-P"&amp;MAX(1,COUNTIFS(C_ID,C1233,C_DEFINE,"Sí",C_INICIO,"&lt;="&amp;EOMONTH(B1233,0))),C_CLAVE,0))&amp;"","Sin dato"))</f>
        <v/>
      </c>
      <c r="AB1233" s="71" t="str">
        <f aca="false">IF(AH1233="","",ROUND(MIN(K1233,TOPE_AFP_UF*AJ1233)*AK1233,0))</f>
        <v/>
      </c>
      <c r="AC1233" s="71" t="str">
        <f aca="false">IF(AH1233="","",ROUND(MIN(K1233,TOPE_AFC_UF*AJ1233)*IF(AA1233="Indefinido",AFC_EMP_INDEF,AFC_EMP_PF),0))</f>
        <v/>
      </c>
      <c r="AD1233" s="71" t="str">
        <f aca="false">IF(AH1233="","",ROUND(MIN(K1233,TOPE_AFP_UF*AJ1233)*(MUTUAL_BASICA+MUTUAL_ADIC+SANNA),0))</f>
        <v/>
      </c>
      <c r="AE1233" s="71" t="str">
        <f aca="false">IF(AH1233="","",P1233-N(N1233)+AB1233+AC1233+AD1233)</f>
        <v/>
      </c>
      <c r="AF1233" s="65"/>
      <c r="AG1233" s="64"/>
      <c r="AH1233" s="72" t="str">
        <f aca="false">IF(OR(B1233="",C1233=""),"",C1233&amp;"|"&amp;(YEAR(B1233)*100+MONTH(B1233)))</f>
        <v/>
      </c>
      <c r="AI1233" s="70" t="str">
        <f aca="false">IF(AH1233="","",IF(COUNTIF(L_CLAVE,AH1233)&gt;1,"⚠ Duplicado","OK"))</f>
        <v/>
      </c>
      <c r="AJ1233" s="86" t="str">
        <f aca="false">IF(AH1233="","",IF(SUMPRODUCT(MAX((IND_PER&lt;=B1233)*(IND_UF&lt;&gt;"")*IND_PER))=0,UF_HOY,INDEX(IND_UF,MATCH(SUMPRODUCT(MAX((IND_PER&lt;=B1233)*(IND_UF&lt;&gt;"")*IND_PER)),IND_PER,0))))</f>
        <v/>
      </c>
      <c r="AK1233" s="87" t="str">
        <f aca="false">IF(AH1233="","",IF(COUNTIF(TASA_DESDE,"&lt;="&amp;B1233)=0,INDEX(TASA_EMP,1),INDEX(TASA_EMP,COUNTIF(TASA_DESDE,"&lt;="&amp;B1233))))</f>
        <v/>
      </c>
    </row>
    <row r="1234" customFormat="false" ht="15" hidden="false" customHeight="false" outlineLevel="0" collapsed="false">
      <c r="B1234" s="78"/>
      <c r="C1234" s="64"/>
      <c r="D1234" s="72" t="str">
        <f aca="false">IF(C1234="","",IFERROR(INDEX(T_NOMBRE,MATCH(C1234,T_ID,0)),"⚠ ID no existe"))</f>
        <v/>
      </c>
      <c r="E1234" s="69"/>
      <c r="F1234" s="67"/>
      <c r="G1234" s="67"/>
      <c r="H1234" s="67"/>
      <c r="I1234" s="67"/>
      <c r="J1234" s="67"/>
      <c r="K1234" s="85" t="str">
        <f aca="false">IF(AH1234="","",N(F1234)+N(G1234)+N(H1234)-N(I1234)+N(J1234))</f>
        <v/>
      </c>
      <c r="L1234" s="67"/>
      <c r="M1234" s="67"/>
      <c r="N1234" s="67"/>
      <c r="O1234" s="67"/>
      <c r="P1234" s="85" t="str">
        <f aca="false">IF(AH1234="","",K1234+N(L1234)+N(M1234)+N(N1234)+N(O1234))</f>
        <v/>
      </c>
      <c r="Q1234" s="67"/>
      <c r="R1234" s="67"/>
      <c r="S1234" s="67"/>
      <c r="T1234" s="67"/>
      <c r="U1234" s="67"/>
      <c r="V1234" s="67"/>
      <c r="W1234" s="85" t="str">
        <f aca="false">IF(AH1234="","",N(Q1234)+N(R1234)+N(S1234)+N(T1234)+N(U1234)+N(V1234))</f>
        <v/>
      </c>
      <c r="X1234" s="85" t="str">
        <f aca="false">IF(AH1234="","",P1234-W1234)</f>
        <v/>
      </c>
      <c r="Y1234" s="67"/>
      <c r="Z1234" s="70" t="str">
        <f aca="false">IF(OR(AH1234="",Y1234=""),"",IF(ABS(X1234-Y1234)&lt;=1,"✓ Cuadra","⚠ Diferencia $"&amp;FIXED(X1234-Y1234,0)))</f>
        <v/>
      </c>
      <c r="AA1234" s="72" t="str">
        <f aca="false">IF(AH1234="","",IFERROR(INDEX(C_TIPO,MATCH(C1234&amp;"-P"&amp;MAX(1,COUNTIFS(C_ID,C1234,C_DEFINE,"Sí",C_INICIO,"&lt;="&amp;EOMONTH(B1234,0))),C_CLAVE,0))&amp;"","Sin dato"))</f>
        <v/>
      </c>
      <c r="AB1234" s="71" t="str">
        <f aca="false">IF(AH1234="","",ROUND(MIN(K1234,TOPE_AFP_UF*AJ1234)*AK1234,0))</f>
        <v/>
      </c>
      <c r="AC1234" s="71" t="str">
        <f aca="false">IF(AH1234="","",ROUND(MIN(K1234,TOPE_AFC_UF*AJ1234)*IF(AA1234="Indefinido",AFC_EMP_INDEF,AFC_EMP_PF),0))</f>
        <v/>
      </c>
      <c r="AD1234" s="71" t="str">
        <f aca="false">IF(AH1234="","",ROUND(MIN(K1234,TOPE_AFP_UF*AJ1234)*(MUTUAL_BASICA+MUTUAL_ADIC+SANNA),0))</f>
        <v/>
      </c>
      <c r="AE1234" s="71" t="str">
        <f aca="false">IF(AH1234="","",P1234-N(N1234)+AB1234+AC1234+AD1234)</f>
        <v/>
      </c>
      <c r="AF1234" s="65"/>
      <c r="AG1234" s="64"/>
      <c r="AH1234" s="72" t="str">
        <f aca="false">IF(OR(B1234="",C1234=""),"",C1234&amp;"|"&amp;(YEAR(B1234)*100+MONTH(B1234)))</f>
        <v/>
      </c>
      <c r="AI1234" s="70" t="str">
        <f aca="false">IF(AH1234="","",IF(COUNTIF(L_CLAVE,AH1234)&gt;1,"⚠ Duplicado","OK"))</f>
        <v/>
      </c>
      <c r="AJ1234" s="86" t="str">
        <f aca="false">IF(AH1234="","",IF(SUMPRODUCT(MAX((IND_PER&lt;=B1234)*(IND_UF&lt;&gt;"")*IND_PER))=0,UF_HOY,INDEX(IND_UF,MATCH(SUMPRODUCT(MAX((IND_PER&lt;=B1234)*(IND_UF&lt;&gt;"")*IND_PER)),IND_PER,0))))</f>
        <v/>
      </c>
      <c r="AK1234" s="87" t="str">
        <f aca="false">IF(AH1234="","",IF(COUNTIF(TASA_DESDE,"&lt;="&amp;B1234)=0,INDEX(TASA_EMP,1),INDEX(TASA_EMP,COUNTIF(TASA_DESDE,"&lt;="&amp;B1234))))</f>
        <v/>
      </c>
    </row>
    <row r="1235" customFormat="false" ht="15" hidden="false" customHeight="false" outlineLevel="0" collapsed="false">
      <c r="B1235" s="78"/>
      <c r="C1235" s="64"/>
      <c r="D1235" s="72" t="str">
        <f aca="false">IF(C1235="","",IFERROR(INDEX(T_NOMBRE,MATCH(C1235,T_ID,0)),"⚠ ID no existe"))</f>
        <v/>
      </c>
      <c r="E1235" s="69"/>
      <c r="F1235" s="67"/>
      <c r="G1235" s="67"/>
      <c r="H1235" s="67"/>
      <c r="I1235" s="67"/>
      <c r="J1235" s="67"/>
      <c r="K1235" s="85" t="str">
        <f aca="false">IF(AH1235="","",N(F1235)+N(G1235)+N(H1235)-N(I1235)+N(J1235))</f>
        <v/>
      </c>
      <c r="L1235" s="67"/>
      <c r="M1235" s="67"/>
      <c r="N1235" s="67"/>
      <c r="O1235" s="67"/>
      <c r="P1235" s="85" t="str">
        <f aca="false">IF(AH1235="","",K1235+N(L1235)+N(M1235)+N(N1235)+N(O1235))</f>
        <v/>
      </c>
      <c r="Q1235" s="67"/>
      <c r="R1235" s="67"/>
      <c r="S1235" s="67"/>
      <c r="T1235" s="67"/>
      <c r="U1235" s="67"/>
      <c r="V1235" s="67"/>
      <c r="W1235" s="85" t="str">
        <f aca="false">IF(AH1235="","",N(Q1235)+N(R1235)+N(S1235)+N(T1235)+N(U1235)+N(V1235))</f>
        <v/>
      </c>
      <c r="X1235" s="85" t="str">
        <f aca="false">IF(AH1235="","",P1235-W1235)</f>
        <v/>
      </c>
      <c r="Y1235" s="67"/>
      <c r="Z1235" s="70" t="str">
        <f aca="false">IF(OR(AH1235="",Y1235=""),"",IF(ABS(X1235-Y1235)&lt;=1,"✓ Cuadra","⚠ Diferencia $"&amp;FIXED(X1235-Y1235,0)))</f>
        <v/>
      </c>
      <c r="AA1235" s="72" t="str">
        <f aca="false">IF(AH1235="","",IFERROR(INDEX(C_TIPO,MATCH(C1235&amp;"-P"&amp;MAX(1,COUNTIFS(C_ID,C1235,C_DEFINE,"Sí",C_INICIO,"&lt;="&amp;EOMONTH(B1235,0))),C_CLAVE,0))&amp;"","Sin dato"))</f>
        <v/>
      </c>
      <c r="AB1235" s="71" t="str">
        <f aca="false">IF(AH1235="","",ROUND(MIN(K1235,TOPE_AFP_UF*AJ1235)*AK1235,0))</f>
        <v/>
      </c>
      <c r="AC1235" s="71" t="str">
        <f aca="false">IF(AH1235="","",ROUND(MIN(K1235,TOPE_AFC_UF*AJ1235)*IF(AA1235="Indefinido",AFC_EMP_INDEF,AFC_EMP_PF),0))</f>
        <v/>
      </c>
      <c r="AD1235" s="71" t="str">
        <f aca="false">IF(AH1235="","",ROUND(MIN(K1235,TOPE_AFP_UF*AJ1235)*(MUTUAL_BASICA+MUTUAL_ADIC+SANNA),0))</f>
        <v/>
      </c>
      <c r="AE1235" s="71" t="str">
        <f aca="false">IF(AH1235="","",P1235-N(N1235)+AB1235+AC1235+AD1235)</f>
        <v/>
      </c>
      <c r="AF1235" s="65"/>
      <c r="AG1235" s="64"/>
      <c r="AH1235" s="72" t="str">
        <f aca="false">IF(OR(B1235="",C1235=""),"",C1235&amp;"|"&amp;(YEAR(B1235)*100+MONTH(B1235)))</f>
        <v/>
      </c>
      <c r="AI1235" s="70" t="str">
        <f aca="false">IF(AH1235="","",IF(COUNTIF(L_CLAVE,AH1235)&gt;1,"⚠ Duplicado","OK"))</f>
        <v/>
      </c>
      <c r="AJ1235" s="86" t="str">
        <f aca="false">IF(AH1235="","",IF(SUMPRODUCT(MAX((IND_PER&lt;=B1235)*(IND_UF&lt;&gt;"")*IND_PER))=0,UF_HOY,INDEX(IND_UF,MATCH(SUMPRODUCT(MAX((IND_PER&lt;=B1235)*(IND_UF&lt;&gt;"")*IND_PER)),IND_PER,0))))</f>
        <v/>
      </c>
      <c r="AK1235" s="87" t="str">
        <f aca="false">IF(AH1235="","",IF(COUNTIF(TASA_DESDE,"&lt;="&amp;B1235)=0,INDEX(TASA_EMP,1),INDEX(TASA_EMP,COUNTIF(TASA_DESDE,"&lt;="&amp;B1235))))</f>
        <v/>
      </c>
    </row>
    <row r="1236" customFormat="false" ht="15" hidden="false" customHeight="false" outlineLevel="0" collapsed="false">
      <c r="B1236" s="78"/>
      <c r="C1236" s="64"/>
      <c r="D1236" s="72" t="str">
        <f aca="false">IF(C1236="","",IFERROR(INDEX(T_NOMBRE,MATCH(C1236,T_ID,0)),"⚠ ID no existe"))</f>
        <v/>
      </c>
      <c r="E1236" s="69"/>
      <c r="F1236" s="67"/>
      <c r="G1236" s="67"/>
      <c r="H1236" s="67"/>
      <c r="I1236" s="67"/>
      <c r="J1236" s="67"/>
      <c r="K1236" s="85" t="str">
        <f aca="false">IF(AH1236="","",N(F1236)+N(G1236)+N(H1236)-N(I1236)+N(J1236))</f>
        <v/>
      </c>
      <c r="L1236" s="67"/>
      <c r="M1236" s="67"/>
      <c r="N1236" s="67"/>
      <c r="O1236" s="67"/>
      <c r="P1236" s="85" t="str">
        <f aca="false">IF(AH1236="","",K1236+N(L1236)+N(M1236)+N(N1236)+N(O1236))</f>
        <v/>
      </c>
      <c r="Q1236" s="67"/>
      <c r="R1236" s="67"/>
      <c r="S1236" s="67"/>
      <c r="T1236" s="67"/>
      <c r="U1236" s="67"/>
      <c r="V1236" s="67"/>
      <c r="W1236" s="85" t="str">
        <f aca="false">IF(AH1236="","",N(Q1236)+N(R1236)+N(S1236)+N(T1236)+N(U1236)+N(V1236))</f>
        <v/>
      </c>
      <c r="X1236" s="85" t="str">
        <f aca="false">IF(AH1236="","",P1236-W1236)</f>
        <v/>
      </c>
      <c r="Y1236" s="67"/>
      <c r="Z1236" s="70" t="str">
        <f aca="false">IF(OR(AH1236="",Y1236=""),"",IF(ABS(X1236-Y1236)&lt;=1,"✓ Cuadra","⚠ Diferencia $"&amp;FIXED(X1236-Y1236,0)))</f>
        <v/>
      </c>
      <c r="AA1236" s="72" t="str">
        <f aca="false">IF(AH1236="","",IFERROR(INDEX(C_TIPO,MATCH(C1236&amp;"-P"&amp;MAX(1,COUNTIFS(C_ID,C1236,C_DEFINE,"Sí",C_INICIO,"&lt;="&amp;EOMONTH(B1236,0))),C_CLAVE,0))&amp;"","Sin dato"))</f>
        <v/>
      </c>
      <c r="AB1236" s="71" t="str">
        <f aca="false">IF(AH1236="","",ROUND(MIN(K1236,TOPE_AFP_UF*AJ1236)*AK1236,0))</f>
        <v/>
      </c>
      <c r="AC1236" s="71" t="str">
        <f aca="false">IF(AH1236="","",ROUND(MIN(K1236,TOPE_AFC_UF*AJ1236)*IF(AA1236="Indefinido",AFC_EMP_INDEF,AFC_EMP_PF),0))</f>
        <v/>
      </c>
      <c r="AD1236" s="71" t="str">
        <f aca="false">IF(AH1236="","",ROUND(MIN(K1236,TOPE_AFP_UF*AJ1236)*(MUTUAL_BASICA+MUTUAL_ADIC+SANNA),0))</f>
        <v/>
      </c>
      <c r="AE1236" s="71" t="str">
        <f aca="false">IF(AH1236="","",P1236-N(N1236)+AB1236+AC1236+AD1236)</f>
        <v/>
      </c>
      <c r="AF1236" s="65"/>
      <c r="AG1236" s="64"/>
      <c r="AH1236" s="72" t="str">
        <f aca="false">IF(OR(B1236="",C1236=""),"",C1236&amp;"|"&amp;(YEAR(B1236)*100+MONTH(B1236)))</f>
        <v/>
      </c>
      <c r="AI1236" s="70" t="str">
        <f aca="false">IF(AH1236="","",IF(COUNTIF(L_CLAVE,AH1236)&gt;1,"⚠ Duplicado","OK"))</f>
        <v/>
      </c>
      <c r="AJ1236" s="86" t="str">
        <f aca="false">IF(AH1236="","",IF(SUMPRODUCT(MAX((IND_PER&lt;=B1236)*(IND_UF&lt;&gt;"")*IND_PER))=0,UF_HOY,INDEX(IND_UF,MATCH(SUMPRODUCT(MAX((IND_PER&lt;=B1236)*(IND_UF&lt;&gt;"")*IND_PER)),IND_PER,0))))</f>
        <v/>
      </c>
      <c r="AK1236" s="87" t="str">
        <f aca="false">IF(AH1236="","",IF(COUNTIF(TASA_DESDE,"&lt;="&amp;B1236)=0,INDEX(TASA_EMP,1),INDEX(TASA_EMP,COUNTIF(TASA_DESDE,"&lt;="&amp;B1236))))</f>
        <v/>
      </c>
    </row>
    <row r="1237" customFormat="false" ht="15" hidden="false" customHeight="false" outlineLevel="0" collapsed="false">
      <c r="B1237" s="78"/>
      <c r="C1237" s="64"/>
      <c r="D1237" s="72" t="str">
        <f aca="false">IF(C1237="","",IFERROR(INDEX(T_NOMBRE,MATCH(C1237,T_ID,0)),"⚠ ID no existe"))</f>
        <v/>
      </c>
      <c r="E1237" s="69"/>
      <c r="F1237" s="67"/>
      <c r="G1237" s="67"/>
      <c r="H1237" s="67"/>
      <c r="I1237" s="67"/>
      <c r="J1237" s="67"/>
      <c r="K1237" s="85" t="str">
        <f aca="false">IF(AH1237="","",N(F1237)+N(G1237)+N(H1237)-N(I1237)+N(J1237))</f>
        <v/>
      </c>
      <c r="L1237" s="67"/>
      <c r="M1237" s="67"/>
      <c r="N1237" s="67"/>
      <c r="O1237" s="67"/>
      <c r="P1237" s="85" t="str">
        <f aca="false">IF(AH1237="","",K1237+N(L1237)+N(M1237)+N(N1237)+N(O1237))</f>
        <v/>
      </c>
      <c r="Q1237" s="67"/>
      <c r="R1237" s="67"/>
      <c r="S1237" s="67"/>
      <c r="T1237" s="67"/>
      <c r="U1237" s="67"/>
      <c r="V1237" s="67"/>
      <c r="W1237" s="85" t="str">
        <f aca="false">IF(AH1237="","",N(Q1237)+N(R1237)+N(S1237)+N(T1237)+N(U1237)+N(V1237))</f>
        <v/>
      </c>
      <c r="X1237" s="85" t="str">
        <f aca="false">IF(AH1237="","",P1237-W1237)</f>
        <v/>
      </c>
      <c r="Y1237" s="67"/>
      <c r="Z1237" s="70" t="str">
        <f aca="false">IF(OR(AH1237="",Y1237=""),"",IF(ABS(X1237-Y1237)&lt;=1,"✓ Cuadra","⚠ Diferencia $"&amp;FIXED(X1237-Y1237,0)))</f>
        <v/>
      </c>
      <c r="AA1237" s="72" t="str">
        <f aca="false">IF(AH1237="","",IFERROR(INDEX(C_TIPO,MATCH(C1237&amp;"-P"&amp;MAX(1,COUNTIFS(C_ID,C1237,C_DEFINE,"Sí",C_INICIO,"&lt;="&amp;EOMONTH(B1237,0))),C_CLAVE,0))&amp;"","Sin dato"))</f>
        <v/>
      </c>
      <c r="AB1237" s="71" t="str">
        <f aca="false">IF(AH1237="","",ROUND(MIN(K1237,TOPE_AFP_UF*AJ1237)*AK1237,0))</f>
        <v/>
      </c>
      <c r="AC1237" s="71" t="str">
        <f aca="false">IF(AH1237="","",ROUND(MIN(K1237,TOPE_AFC_UF*AJ1237)*IF(AA1237="Indefinido",AFC_EMP_INDEF,AFC_EMP_PF),0))</f>
        <v/>
      </c>
      <c r="AD1237" s="71" t="str">
        <f aca="false">IF(AH1237="","",ROUND(MIN(K1237,TOPE_AFP_UF*AJ1237)*(MUTUAL_BASICA+MUTUAL_ADIC+SANNA),0))</f>
        <v/>
      </c>
      <c r="AE1237" s="71" t="str">
        <f aca="false">IF(AH1237="","",P1237-N(N1237)+AB1237+AC1237+AD1237)</f>
        <v/>
      </c>
      <c r="AF1237" s="65"/>
      <c r="AG1237" s="64"/>
      <c r="AH1237" s="72" t="str">
        <f aca="false">IF(OR(B1237="",C1237=""),"",C1237&amp;"|"&amp;(YEAR(B1237)*100+MONTH(B1237)))</f>
        <v/>
      </c>
      <c r="AI1237" s="70" t="str">
        <f aca="false">IF(AH1237="","",IF(COUNTIF(L_CLAVE,AH1237)&gt;1,"⚠ Duplicado","OK"))</f>
        <v/>
      </c>
      <c r="AJ1237" s="86" t="str">
        <f aca="false">IF(AH1237="","",IF(SUMPRODUCT(MAX((IND_PER&lt;=B1237)*(IND_UF&lt;&gt;"")*IND_PER))=0,UF_HOY,INDEX(IND_UF,MATCH(SUMPRODUCT(MAX((IND_PER&lt;=B1237)*(IND_UF&lt;&gt;"")*IND_PER)),IND_PER,0))))</f>
        <v/>
      </c>
      <c r="AK1237" s="87" t="str">
        <f aca="false">IF(AH1237="","",IF(COUNTIF(TASA_DESDE,"&lt;="&amp;B1237)=0,INDEX(TASA_EMP,1),INDEX(TASA_EMP,COUNTIF(TASA_DESDE,"&lt;="&amp;B1237))))</f>
        <v/>
      </c>
    </row>
    <row r="1238" customFormat="false" ht="15" hidden="false" customHeight="false" outlineLevel="0" collapsed="false">
      <c r="B1238" s="78"/>
      <c r="C1238" s="64"/>
      <c r="D1238" s="72" t="str">
        <f aca="false">IF(C1238="","",IFERROR(INDEX(T_NOMBRE,MATCH(C1238,T_ID,0)),"⚠ ID no existe"))</f>
        <v/>
      </c>
      <c r="E1238" s="69"/>
      <c r="F1238" s="67"/>
      <c r="G1238" s="67"/>
      <c r="H1238" s="67"/>
      <c r="I1238" s="67"/>
      <c r="J1238" s="67"/>
      <c r="K1238" s="85" t="str">
        <f aca="false">IF(AH1238="","",N(F1238)+N(G1238)+N(H1238)-N(I1238)+N(J1238))</f>
        <v/>
      </c>
      <c r="L1238" s="67"/>
      <c r="M1238" s="67"/>
      <c r="N1238" s="67"/>
      <c r="O1238" s="67"/>
      <c r="P1238" s="85" t="str">
        <f aca="false">IF(AH1238="","",K1238+N(L1238)+N(M1238)+N(N1238)+N(O1238))</f>
        <v/>
      </c>
      <c r="Q1238" s="67"/>
      <c r="R1238" s="67"/>
      <c r="S1238" s="67"/>
      <c r="T1238" s="67"/>
      <c r="U1238" s="67"/>
      <c r="V1238" s="67"/>
      <c r="W1238" s="85" t="str">
        <f aca="false">IF(AH1238="","",N(Q1238)+N(R1238)+N(S1238)+N(T1238)+N(U1238)+N(V1238))</f>
        <v/>
      </c>
      <c r="X1238" s="85" t="str">
        <f aca="false">IF(AH1238="","",P1238-W1238)</f>
        <v/>
      </c>
      <c r="Y1238" s="67"/>
      <c r="Z1238" s="70" t="str">
        <f aca="false">IF(OR(AH1238="",Y1238=""),"",IF(ABS(X1238-Y1238)&lt;=1,"✓ Cuadra","⚠ Diferencia $"&amp;FIXED(X1238-Y1238,0)))</f>
        <v/>
      </c>
      <c r="AA1238" s="72" t="str">
        <f aca="false">IF(AH1238="","",IFERROR(INDEX(C_TIPO,MATCH(C1238&amp;"-P"&amp;MAX(1,COUNTIFS(C_ID,C1238,C_DEFINE,"Sí",C_INICIO,"&lt;="&amp;EOMONTH(B1238,0))),C_CLAVE,0))&amp;"","Sin dato"))</f>
        <v/>
      </c>
      <c r="AB1238" s="71" t="str">
        <f aca="false">IF(AH1238="","",ROUND(MIN(K1238,TOPE_AFP_UF*AJ1238)*AK1238,0))</f>
        <v/>
      </c>
      <c r="AC1238" s="71" t="str">
        <f aca="false">IF(AH1238="","",ROUND(MIN(K1238,TOPE_AFC_UF*AJ1238)*IF(AA1238="Indefinido",AFC_EMP_INDEF,AFC_EMP_PF),0))</f>
        <v/>
      </c>
      <c r="AD1238" s="71" t="str">
        <f aca="false">IF(AH1238="","",ROUND(MIN(K1238,TOPE_AFP_UF*AJ1238)*(MUTUAL_BASICA+MUTUAL_ADIC+SANNA),0))</f>
        <v/>
      </c>
      <c r="AE1238" s="71" t="str">
        <f aca="false">IF(AH1238="","",P1238-N(N1238)+AB1238+AC1238+AD1238)</f>
        <v/>
      </c>
      <c r="AF1238" s="65"/>
      <c r="AG1238" s="64"/>
      <c r="AH1238" s="72" t="str">
        <f aca="false">IF(OR(B1238="",C1238=""),"",C1238&amp;"|"&amp;(YEAR(B1238)*100+MONTH(B1238)))</f>
        <v/>
      </c>
      <c r="AI1238" s="70" t="str">
        <f aca="false">IF(AH1238="","",IF(COUNTIF(L_CLAVE,AH1238)&gt;1,"⚠ Duplicado","OK"))</f>
        <v/>
      </c>
      <c r="AJ1238" s="86" t="str">
        <f aca="false">IF(AH1238="","",IF(SUMPRODUCT(MAX((IND_PER&lt;=B1238)*(IND_UF&lt;&gt;"")*IND_PER))=0,UF_HOY,INDEX(IND_UF,MATCH(SUMPRODUCT(MAX((IND_PER&lt;=B1238)*(IND_UF&lt;&gt;"")*IND_PER)),IND_PER,0))))</f>
        <v/>
      </c>
      <c r="AK1238" s="87" t="str">
        <f aca="false">IF(AH1238="","",IF(COUNTIF(TASA_DESDE,"&lt;="&amp;B1238)=0,INDEX(TASA_EMP,1),INDEX(TASA_EMP,COUNTIF(TASA_DESDE,"&lt;="&amp;B1238))))</f>
        <v/>
      </c>
    </row>
    <row r="1239" customFormat="false" ht="15" hidden="false" customHeight="false" outlineLevel="0" collapsed="false">
      <c r="B1239" s="78"/>
      <c r="C1239" s="64"/>
      <c r="D1239" s="72" t="str">
        <f aca="false">IF(C1239="","",IFERROR(INDEX(T_NOMBRE,MATCH(C1239,T_ID,0)),"⚠ ID no existe"))</f>
        <v/>
      </c>
      <c r="E1239" s="69"/>
      <c r="F1239" s="67"/>
      <c r="G1239" s="67"/>
      <c r="H1239" s="67"/>
      <c r="I1239" s="67"/>
      <c r="J1239" s="67"/>
      <c r="K1239" s="85" t="str">
        <f aca="false">IF(AH1239="","",N(F1239)+N(G1239)+N(H1239)-N(I1239)+N(J1239))</f>
        <v/>
      </c>
      <c r="L1239" s="67"/>
      <c r="M1239" s="67"/>
      <c r="N1239" s="67"/>
      <c r="O1239" s="67"/>
      <c r="P1239" s="85" t="str">
        <f aca="false">IF(AH1239="","",K1239+N(L1239)+N(M1239)+N(N1239)+N(O1239))</f>
        <v/>
      </c>
      <c r="Q1239" s="67"/>
      <c r="R1239" s="67"/>
      <c r="S1239" s="67"/>
      <c r="T1239" s="67"/>
      <c r="U1239" s="67"/>
      <c r="V1239" s="67"/>
      <c r="W1239" s="85" t="str">
        <f aca="false">IF(AH1239="","",N(Q1239)+N(R1239)+N(S1239)+N(T1239)+N(U1239)+N(V1239))</f>
        <v/>
      </c>
      <c r="X1239" s="85" t="str">
        <f aca="false">IF(AH1239="","",P1239-W1239)</f>
        <v/>
      </c>
      <c r="Y1239" s="67"/>
      <c r="Z1239" s="70" t="str">
        <f aca="false">IF(OR(AH1239="",Y1239=""),"",IF(ABS(X1239-Y1239)&lt;=1,"✓ Cuadra","⚠ Diferencia $"&amp;FIXED(X1239-Y1239,0)))</f>
        <v/>
      </c>
      <c r="AA1239" s="72" t="str">
        <f aca="false">IF(AH1239="","",IFERROR(INDEX(C_TIPO,MATCH(C1239&amp;"-P"&amp;MAX(1,COUNTIFS(C_ID,C1239,C_DEFINE,"Sí",C_INICIO,"&lt;="&amp;EOMONTH(B1239,0))),C_CLAVE,0))&amp;"","Sin dato"))</f>
        <v/>
      </c>
      <c r="AB1239" s="71" t="str">
        <f aca="false">IF(AH1239="","",ROUND(MIN(K1239,TOPE_AFP_UF*AJ1239)*AK1239,0))</f>
        <v/>
      </c>
      <c r="AC1239" s="71" t="str">
        <f aca="false">IF(AH1239="","",ROUND(MIN(K1239,TOPE_AFC_UF*AJ1239)*IF(AA1239="Indefinido",AFC_EMP_INDEF,AFC_EMP_PF),0))</f>
        <v/>
      </c>
      <c r="AD1239" s="71" t="str">
        <f aca="false">IF(AH1239="","",ROUND(MIN(K1239,TOPE_AFP_UF*AJ1239)*(MUTUAL_BASICA+MUTUAL_ADIC+SANNA),0))</f>
        <v/>
      </c>
      <c r="AE1239" s="71" t="str">
        <f aca="false">IF(AH1239="","",P1239-N(N1239)+AB1239+AC1239+AD1239)</f>
        <v/>
      </c>
      <c r="AF1239" s="65"/>
      <c r="AG1239" s="64"/>
      <c r="AH1239" s="72" t="str">
        <f aca="false">IF(OR(B1239="",C1239=""),"",C1239&amp;"|"&amp;(YEAR(B1239)*100+MONTH(B1239)))</f>
        <v/>
      </c>
      <c r="AI1239" s="70" t="str">
        <f aca="false">IF(AH1239="","",IF(COUNTIF(L_CLAVE,AH1239)&gt;1,"⚠ Duplicado","OK"))</f>
        <v/>
      </c>
      <c r="AJ1239" s="86" t="str">
        <f aca="false">IF(AH1239="","",IF(SUMPRODUCT(MAX((IND_PER&lt;=B1239)*(IND_UF&lt;&gt;"")*IND_PER))=0,UF_HOY,INDEX(IND_UF,MATCH(SUMPRODUCT(MAX((IND_PER&lt;=B1239)*(IND_UF&lt;&gt;"")*IND_PER)),IND_PER,0))))</f>
        <v/>
      </c>
      <c r="AK1239" s="87" t="str">
        <f aca="false">IF(AH1239="","",IF(COUNTIF(TASA_DESDE,"&lt;="&amp;B1239)=0,INDEX(TASA_EMP,1),INDEX(TASA_EMP,COUNTIF(TASA_DESDE,"&lt;="&amp;B1239))))</f>
        <v/>
      </c>
    </row>
    <row r="1240" customFormat="false" ht="15" hidden="false" customHeight="false" outlineLevel="0" collapsed="false">
      <c r="B1240" s="78"/>
      <c r="C1240" s="64"/>
      <c r="D1240" s="72" t="str">
        <f aca="false">IF(C1240="","",IFERROR(INDEX(T_NOMBRE,MATCH(C1240,T_ID,0)),"⚠ ID no existe"))</f>
        <v/>
      </c>
      <c r="E1240" s="69"/>
      <c r="F1240" s="67"/>
      <c r="G1240" s="67"/>
      <c r="H1240" s="67"/>
      <c r="I1240" s="67"/>
      <c r="J1240" s="67"/>
      <c r="K1240" s="85" t="str">
        <f aca="false">IF(AH1240="","",N(F1240)+N(G1240)+N(H1240)-N(I1240)+N(J1240))</f>
        <v/>
      </c>
      <c r="L1240" s="67"/>
      <c r="M1240" s="67"/>
      <c r="N1240" s="67"/>
      <c r="O1240" s="67"/>
      <c r="P1240" s="85" t="str">
        <f aca="false">IF(AH1240="","",K1240+N(L1240)+N(M1240)+N(N1240)+N(O1240))</f>
        <v/>
      </c>
      <c r="Q1240" s="67"/>
      <c r="R1240" s="67"/>
      <c r="S1240" s="67"/>
      <c r="T1240" s="67"/>
      <c r="U1240" s="67"/>
      <c r="V1240" s="67"/>
      <c r="W1240" s="85" t="str">
        <f aca="false">IF(AH1240="","",N(Q1240)+N(R1240)+N(S1240)+N(T1240)+N(U1240)+N(V1240))</f>
        <v/>
      </c>
      <c r="X1240" s="85" t="str">
        <f aca="false">IF(AH1240="","",P1240-W1240)</f>
        <v/>
      </c>
      <c r="Y1240" s="67"/>
      <c r="Z1240" s="70" t="str">
        <f aca="false">IF(OR(AH1240="",Y1240=""),"",IF(ABS(X1240-Y1240)&lt;=1,"✓ Cuadra","⚠ Diferencia $"&amp;FIXED(X1240-Y1240,0)))</f>
        <v/>
      </c>
      <c r="AA1240" s="72" t="str">
        <f aca="false">IF(AH1240="","",IFERROR(INDEX(C_TIPO,MATCH(C1240&amp;"-P"&amp;MAX(1,COUNTIFS(C_ID,C1240,C_DEFINE,"Sí",C_INICIO,"&lt;="&amp;EOMONTH(B1240,0))),C_CLAVE,0))&amp;"","Sin dato"))</f>
        <v/>
      </c>
      <c r="AB1240" s="71" t="str">
        <f aca="false">IF(AH1240="","",ROUND(MIN(K1240,TOPE_AFP_UF*AJ1240)*AK1240,0))</f>
        <v/>
      </c>
      <c r="AC1240" s="71" t="str">
        <f aca="false">IF(AH1240="","",ROUND(MIN(K1240,TOPE_AFC_UF*AJ1240)*IF(AA1240="Indefinido",AFC_EMP_INDEF,AFC_EMP_PF),0))</f>
        <v/>
      </c>
      <c r="AD1240" s="71" t="str">
        <f aca="false">IF(AH1240="","",ROUND(MIN(K1240,TOPE_AFP_UF*AJ1240)*(MUTUAL_BASICA+MUTUAL_ADIC+SANNA),0))</f>
        <v/>
      </c>
      <c r="AE1240" s="71" t="str">
        <f aca="false">IF(AH1240="","",P1240-N(N1240)+AB1240+AC1240+AD1240)</f>
        <v/>
      </c>
      <c r="AF1240" s="65"/>
      <c r="AG1240" s="64"/>
      <c r="AH1240" s="72" t="str">
        <f aca="false">IF(OR(B1240="",C1240=""),"",C1240&amp;"|"&amp;(YEAR(B1240)*100+MONTH(B1240)))</f>
        <v/>
      </c>
      <c r="AI1240" s="70" t="str">
        <f aca="false">IF(AH1240="","",IF(COUNTIF(L_CLAVE,AH1240)&gt;1,"⚠ Duplicado","OK"))</f>
        <v/>
      </c>
      <c r="AJ1240" s="86" t="str">
        <f aca="false">IF(AH1240="","",IF(SUMPRODUCT(MAX((IND_PER&lt;=B1240)*(IND_UF&lt;&gt;"")*IND_PER))=0,UF_HOY,INDEX(IND_UF,MATCH(SUMPRODUCT(MAX((IND_PER&lt;=B1240)*(IND_UF&lt;&gt;"")*IND_PER)),IND_PER,0))))</f>
        <v/>
      </c>
      <c r="AK1240" s="87" t="str">
        <f aca="false">IF(AH1240="","",IF(COUNTIF(TASA_DESDE,"&lt;="&amp;B1240)=0,INDEX(TASA_EMP,1),INDEX(TASA_EMP,COUNTIF(TASA_DESDE,"&lt;="&amp;B1240))))</f>
        <v/>
      </c>
    </row>
    <row r="1241" customFormat="false" ht="15" hidden="false" customHeight="false" outlineLevel="0" collapsed="false">
      <c r="B1241" s="78"/>
      <c r="C1241" s="64"/>
      <c r="D1241" s="72" t="str">
        <f aca="false">IF(C1241="","",IFERROR(INDEX(T_NOMBRE,MATCH(C1241,T_ID,0)),"⚠ ID no existe"))</f>
        <v/>
      </c>
      <c r="E1241" s="69"/>
      <c r="F1241" s="67"/>
      <c r="G1241" s="67"/>
      <c r="H1241" s="67"/>
      <c r="I1241" s="67"/>
      <c r="J1241" s="67"/>
      <c r="K1241" s="85" t="str">
        <f aca="false">IF(AH1241="","",N(F1241)+N(G1241)+N(H1241)-N(I1241)+N(J1241))</f>
        <v/>
      </c>
      <c r="L1241" s="67"/>
      <c r="M1241" s="67"/>
      <c r="N1241" s="67"/>
      <c r="O1241" s="67"/>
      <c r="P1241" s="85" t="str">
        <f aca="false">IF(AH1241="","",K1241+N(L1241)+N(M1241)+N(N1241)+N(O1241))</f>
        <v/>
      </c>
      <c r="Q1241" s="67"/>
      <c r="R1241" s="67"/>
      <c r="S1241" s="67"/>
      <c r="T1241" s="67"/>
      <c r="U1241" s="67"/>
      <c r="V1241" s="67"/>
      <c r="W1241" s="85" t="str">
        <f aca="false">IF(AH1241="","",N(Q1241)+N(R1241)+N(S1241)+N(T1241)+N(U1241)+N(V1241))</f>
        <v/>
      </c>
      <c r="X1241" s="85" t="str">
        <f aca="false">IF(AH1241="","",P1241-W1241)</f>
        <v/>
      </c>
      <c r="Y1241" s="67"/>
      <c r="Z1241" s="70" t="str">
        <f aca="false">IF(OR(AH1241="",Y1241=""),"",IF(ABS(X1241-Y1241)&lt;=1,"✓ Cuadra","⚠ Diferencia $"&amp;FIXED(X1241-Y1241,0)))</f>
        <v/>
      </c>
      <c r="AA1241" s="72" t="str">
        <f aca="false">IF(AH1241="","",IFERROR(INDEX(C_TIPO,MATCH(C1241&amp;"-P"&amp;MAX(1,COUNTIFS(C_ID,C1241,C_DEFINE,"Sí",C_INICIO,"&lt;="&amp;EOMONTH(B1241,0))),C_CLAVE,0))&amp;"","Sin dato"))</f>
        <v/>
      </c>
      <c r="AB1241" s="71" t="str">
        <f aca="false">IF(AH1241="","",ROUND(MIN(K1241,TOPE_AFP_UF*AJ1241)*AK1241,0))</f>
        <v/>
      </c>
      <c r="AC1241" s="71" t="str">
        <f aca="false">IF(AH1241="","",ROUND(MIN(K1241,TOPE_AFC_UF*AJ1241)*IF(AA1241="Indefinido",AFC_EMP_INDEF,AFC_EMP_PF),0))</f>
        <v/>
      </c>
      <c r="AD1241" s="71" t="str">
        <f aca="false">IF(AH1241="","",ROUND(MIN(K1241,TOPE_AFP_UF*AJ1241)*(MUTUAL_BASICA+MUTUAL_ADIC+SANNA),0))</f>
        <v/>
      </c>
      <c r="AE1241" s="71" t="str">
        <f aca="false">IF(AH1241="","",P1241-N(N1241)+AB1241+AC1241+AD1241)</f>
        <v/>
      </c>
      <c r="AF1241" s="65"/>
      <c r="AG1241" s="64"/>
      <c r="AH1241" s="72" t="str">
        <f aca="false">IF(OR(B1241="",C1241=""),"",C1241&amp;"|"&amp;(YEAR(B1241)*100+MONTH(B1241)))</f>
        <v/>
      </c>
      <c r="AI1241" s="70" t="str">
        <f aca="false">IF(AH1241="","",IF(COUNTIF(L_CLAVE,AH1241)&gt;1,"⚠ Duplicado","OK"))</f>
        <v/>
      </c>
      <c r="AJ1241" s="86" t="str">
        <f aca="false">IF(AH1241="","",IF(SUMPRODUCT(MAX((IND_PER&lt;=B1241)*(IND_UF&lt;&gt;"")*IND_PER))=0,UF_HOY,INDEX(IND_UF,MATCH(SUMPRODUCT(MAX((IND_PER&lt;=B1241)*(IND_UF&lt;&gt;"")*IND_PER)),IND_PER,0))))</f>
        <v/>
      </c>
      <c r="AK1241" s="87" t="str">
        <f aca="false">IF(AH1241="","",IF(COUNTIF(TASA_DESDE,"&lt;="&amp;B1241)=0,INDEX(TASA_EMP,1),INDEX(TASA_EMP,COUNTIF(TASA_DESDE,"&lt;="&amp;B1241))))</f>
        <v/>
      </c>
    </row>
    <row r="1242" customFormat="false" ht="15" hidden="false" customHeight="false" outlineLevel="0" collapsed="false">
      <c r="B1242" s="78"/>
      <c r="C1242" s="64"/>
      <c r="D1242" s="72" t="str">
        <f aca="false">IF(C1242="","",IFERROR(INDEX(T_NOMBRE,MATCH(C1242,T_ID,0)),"⚠ ID no existe"))</f>
        <v/>
      </c>
      <c r="E1242" s="69"/>
      <c r="F1242" s="67"/>
      <c r="G1242" s="67"/>
      <c r="H1242" s="67"/>
      <c r="I1242" s="67"/>
      <c r="J1242" s="67"/>
      <c r="K1242" s="85" t="str">
        <f aca="false">IF(AH1242="","",N(F1242)+N(G1242)+N(H1242)-N(I1242)+N(J1242))</f>
        <v/>
      </c>
      <c r="L1242" s="67"/>
      <c r="M1242" s="67"/>
      <c r="N1242" s="67"/>
      <c r="O1242" s="67"/>
      <c r="P1242" s="85" t="str">
        <f aca="false">IF(AH1242="","",K1242+N(L1242)+N(M1242)+N(N1242)+N(O1242))</f>
        <v/>
      </c>
      <c r="Q1242" s="67"/>
      <c r="R1242" s="67"/>
      <c r="S1242" s="67"/>
      <c r="T1242" s="67"/>
      <c r="U1242" s="67"/>
      <c r="V1242" s="67"/>
      <c r="W1242" s="85" t="str">
        <f aca="false">IF(AH1242="","",N(Q1242)+N(R1242)+N(S1242)+N(T1242)+N(U1242)+N(V1242))</f>
        <v/>
      </c>
      <c r="X1242" s="85" t="str">
        <f aca="false">IF(AH1242="","",P1242-W1242)</f>
        <v/>
      </c>
      <c r="Y1242" s="67"/>
      <c r="Z1242" s="70" t="str">
        <f aca="false">IF(OR(AH1242="",Y1242=""),"",IF(ABS(X1242-Y1242)&lt;=1,"✓ Cuadra","⚠ Diferencia $"&amp;FIXED(X1242-Y1242,0)))</f>
        <v/>
      </c>
      <c r="AA1242" s="72" t="str">
        <f aca="false">IF(AH1242="","",IFERROR(INDEX(C_TIPO,MATCH(C1242&amp;"-P"&amp;MAX(1,COUNTIFS(C_ID,C1242,C_DEFINE,"Sí",C_INICIO,"&lt;="&amp;EOMONTH(B1242,0))),C_CLAVE,0))&amp;"","Sin dato"))</f>
        <v/>
      </c>
      <c r="AB1242" s="71" t="str">
        <f aca="false">IF(AH1242="","",ROUND(MIN(K1242,TOPE_AFP_UF*AJ1242)*AK1242,0))</f>
        <v/>
      </c>
      <c r="AC1242" s="71" t="str">
        <f aca="false">IF(AH1242="","",ROUND(MIN(K1242,TOPE_AFC_UF*AJ1242)*IF(AA1242="Indefinido",AFC_EMP_INDEF,AFC_EMP_PF),0))</f>
        <v/>
      </c>
      <c r="AD1242" s="71" t="str">
        <f aca="false">IF(AH1242="","",ROUND(MIN(K1242,TOPE_AFP_UF*AJ1242)*(MUTUAL_BASICA+MUTUAL_ADIC+SANNA),0))</f>
        <v/>
      </c>
      <c r="AE1242" s="71" t="str">
        <f aca="false">IF(AH1242="","",P1242-N(N1242)+AB1242+AC1242+AD1242)</f>
        <v/>
      </c>
      <c r="AF1242" s="65"/>
      <c r="AG1242" s="64"/>
      <c r="AH1242" s="72" t="str">
        <f aca="false">IF(OR(B1242="",C1242=""),"",C1242&amp;"|"&amp;(YEAR(B1242)*100+MONTH(B1242)))</f>
        <v/>
      </c>
      <c r="AI1242" s="70" t="str">
        <f aca="false">IF(AH1242="","",IF(COUNTIF(L_CLAVE,AH1242)&gt;1,"⚠ Duplicado","OK"))</f>
        <v/>
      </c>
      <c r="AJ1242" s="86" t="str">
        <f aca="false">IF(AH1242="","",IF(SUMPRODUCT(MAX((IND_PER&lt;=B1242)*(IND_UF&lt;&gt;"")*IND_PER))=0,UF_HOY,INDEX(IND_UF,MATCH(SUMPRODUCT(MAX((IND_PER&lt;=B1242)*(IND_UF&lt;&gt;"")*IND_PER)),IND_PER,0))))</f>
        <v/>
      </c>
      <c r="AK1242" s="87" t="str">
        <f aca="false">IF(AH1242="","",IF(COUNTIF(TASA_DESDE,"&lt;="&amp;B1242)=0,INDEX(TASA_EMP,1),INDEX(TASA_EMP,COUNTIF(TASA_DESDE,"&lt;="&amp;B1242))))</f>
        <v/>
      </c>
    </row>
    <row r="1243" customFormat="false" ht="15" hidden="false" customHeight="false" outlineLevel="0" collapsed="false">
      <c r="B1243" s="78"/>
      <c r="C1243" s="64"/>
      <c r="D1243" s="72" t="str">
        <f aca="false">IF(C1243="","",IFERROR(INDEX(T_NOMBRE,MATCH(C1243,T_ID,0)),"⚠ ID no existe"))</f>
        <v/>
      </c>
      <c r="E1243" s="69"/>
      <c r="F1243" s="67"/>
      <c r="G1243" s="67"/>
      <c r="H1243" s="67"/>
      <c r="I1243" s="67"/>
      <c r="J1243" s="67"/>
      <c r="K1243" s="85" t="str">
        <f aca="false">IF(AH1243="","",N(F1243)+N(G1243)+N(H1243)-N(I1243)+N(J1243))</f>
        <v/>
      </c>
      <c r="L1243" s="67"/>
      <c r="M1243" s="67"/>
      <c r="N1243" s="67"/>
      <c r="O1243" s="67"/>
      <c r="P1243" s="85" t="str">
        <f aca="false">IF(AH1243="","",K1243+N(L1243)+N(M1243)+N(N1243)+N(O1243))</f>
        <v/>
      </c>
      <c r="Q1243" s="67"/>
      <c r="R1243" s="67"/>
      <c r="S1243" s="67"/>
      <c r="T1243" s="67"/>
      <c r="U1243" s="67"/>
      <c r="V1243" s="67"/>
      <c r="W1243" s="85" t="str">
        <f aca="false">IF(AH1243="","",N(Q1243)+N(R1243)+N(S1243)+N(T1243)+N(U1243)+N(V1243))</f>
        <v/>
      </c>
      <c r="X1243" s="85" t="str">
        <f aca="false">IF(AH1243="","",P1243-W1243)</f>
        <v/>
      </c>
      <c r="Y1243" s="67"/>
      <c r="Z1243" s="70" t="str">
        <f aca="false">IF(OR(AH1243="",Y1243=""),"",IF(ABS(X1243-Y1243)&lt;=1,"✓ Cuadra","⚠ Diferencia $"&amp;FIXED(X1243-Y1243,0)))</f>
        <v/>
      </c>
      <c r="AA1243" s="72" t="str">
        <f aca="false">IF(AH1243="","",IFERROR(INDEX(C_TIPO,MATCH(C1243&amp;"-P"&amp;MAX(1,COUNTIFS(C_ID,C1243,C_DEFINE,"Sí",C_INICIO,"&lt;="&amp;EOMONTH(B1243,0))),C_CLAVE,0))&amp;"","Sin dato"))</f>
        <v/>
      </c>
      <c r="AB1243" s="71" t="str">
        <f aca="false">IF(AH1243="","",ROUND(MIN(K1243,TOPE_AFP_UF*AJ1243)*AK1243,0))</f>
        <v/>
      </c>
      <c r="AC1243" s="71" t="str">
        <f aca="false">IF(AH1243="","",ROUND(MIN(K1243,TOPE_AFC_UF*AJ1243)*IF(AA1243="Indefinido",AFC_EMP_INDEF,AFC_EMP_PF),0))</f>
        <v/>
      </c>
      <c r="AD1243" s="71" t="str">
        <f aca="false">IF(AH1243="","",ROUND(MIN(K1243,TOPE_AFP_UF*AJ1243)*(MUTUAL_BASICA+MUTUAL_ADIC+SANNA),0))</f>
        <v/>
      </c>
      <c r="AE1243" s="71" t="str">
        <f aca="false">IF(AH1243="","",P1243-N(N1243)+AB1243+AC1243+AD1243)</f>
        <v/>
      </c>
      <c r="AF1243" s="65"/>
      <c r="AG1243" s="64"/>
      <c r="AH1243" s="72" t="str">
        <f aca="false">IF(OR(B1243="",C1243=""),"",C1243&amp;"|"&amp;(YEAR(B1243)*100+MONTH(B1243)))</f>
        <v/>
      </c>
      <c r="AI1243" s="70" t="str">
        <f aca="false">IF(AH1243="","",IF(COUNTIF(L_CLAVE,AH1243)&gt;1,"⚠ Duplicado","OK"))</f>
        <v/>
      </c>
      <c r="AJ1243" s="86" t="str">
        <f aca="false">IF(AH1243="","",IF(SUMPRODUCT(MAX((IND_PER&lt;=B1243)*(IND_UF&lt;&gt;"")*IND_PER))=0,UF_HOY,INDEX(IND_UF,MATCH(SUMPRODUCT(MAX((IND_PER&lt;=B1243)*(IND_UF&lt;&gt;"")*IND_PER)),IND_PER,0))))</f>
        <v/>
      </c>
      <c r="AK1243" s="87" t="str">
        <f aca="false">IF(AH1243="","",IF(COUNTIF(TASA_DESDE,"&lt;="&amp;B1243)=0,INDEX(TASA_EMP,1),INDEX(TASA_EMP,COUNTIF(TASA_DESDE,"&lt;="&amp;B1243))))</f>
        <v/>
      </c>
    </row>
    <row r="1244" customFormat="false" ht="15" hidden="false" customHeight="false" outlineLevel="0" collapsed="false">
      <c r="B1244" s="78"/>
      <c r="C1244" s="64"/>
      <c r="D1244" s="72" t="str">
        <f aca="false">IF(C1244="","",IFERROR(INDEX(T_NOMBRE,MATCH(C1244,T_ID,0)),"⚠ ID no existe"))</f>
        <v/>
      </c>
      <c r="E1244" s="69"/>
      <c r="F1244" s="67"/>
      <c r="G1244" s="67"/>
      <c r="H1244" s="67"/>
      <c r="I1244" s="67"/>
      <c r="J1244" s="67"/>
      <c r="K1244" s="85" t="str">
        <f aca="false">IF(AH1244="","",N(F1244)+N(G1244)+N(H1244)-N(I1244)+N(J1244))</f>
        <v/>
      </c>
      <c r="L1244" s="67"/>
      <c r="M1244" s="67"/>
      <c r="N1244" s="67"/>
      <c r="O1244" s="67"/>
      <c r="P1244" s="85" t="str">
        <f aca="false">IF(AH1244="","",K1244+N(L1244)+N(M1244)+N(N1244)+N(O1244))</f>
        <v/>
      </c>
      <c r="Q1244" s="67"/>
      <c r="R1244" s="67"/>
      <c r="S1244" s="67"/>
      <c r="T1244" s="67"/>
      <c r="U1244" s="67"/>
      <c r="V1244" s="67"/>
      <c r="W1244" s="85" t="str">
        <f aca="false">IF(AH1244="","",N(Q1244)+N(R1244)+N(S1244)+N(T1244)+N(U1244)+N(V1244))</f>
        <v/>
      </c>
      <c r="X1244" s="85" t="str">
        <f aca="false">IF(AH1244="","",P1244-W1244)</f>
        <v/>
      </c>
      <c r="Y1244" s="67"/>
      <c r="Z1244" s="70" t="str">
        <f aca="false">IF(OR(AH1244="",Y1244=""),"",IF(ABS(X1244-Y1244)&lt;=1,"✓ Cuadra","⚠ Diferencia $"&amp;FIXED(X1244-Y1244,0)))</f>
        <v/>
      </c>
      <c r="AA1244" s="72" t="str">
        <f aca="false">IF(AH1244="","",IFERROR(INDEX(C_TIPO,MATCH(C1244&amp;"-P"&amp;MAX(1,COUNTIFS(C_ID,C1244,C_DEFINE,"Sí",C_INICIO,"&lt;="&amp;EOMONTH(B1244,0))),C_CLAVE,0))&amp;"","Sin dato"))</f>
        <v/>
      </c>
      <c r="AB1244" s="71" t="str">
        <f aca="false">IF(AH1244="","",ROUND(MIN(K1244,TOPE_AFP_UF*AJ1244)*AK1244,0))</f>
        <v/>
      </c>
      <c r="AC1244" s="71" t="str">
        <f aca="false">IF(AH1244="","",ROUND(MIN(K1244,TOPE_AFC_UF*AJ1244)*IF(AA1244="Indefinido",AFC_EMP_INDEF,AFC_EMP_PF),0))</f>
        <v/>
      </c>
      <c r="AD1244" s="71" t="str">
        <f aca="false">IF(AH1244="","",ROUND(MIN(K1244,TOPE_AFP_UF*AJ1244)*(MUTUAL_BASICA+MUTUAL_ADIC+SANNA),0))</f>
        <v/>
      </c>
      <c r="AE1244" s="71" t="str">
        <f aca="false">IF(AH1244="","",P1244-N(N1244)+AB1244+AC1244+AD1244)</f>
        <v/>
      </c>
      <c r="AF1244" s="65"/>
      <c r="AG1244" s="64"/>
      <c r="AH1244" s="72" t="str">
        <f aca="false">IF(OR(B1244="",C1244=""),"",C1244&amp;"|"&amp;(YEAR(B1244)*100+MONTH(B1244)))</f>
        <v/>
      </c>
      <c r="AI1244" s="70" t="str">
        <f aca="false">IF(AH1244="","",IF(COUNTIF(L_CLAVE,AH1244)&gt;1,"⚠ Duplicado","OK"))</f>
        <v/>
      </c>
      <c r="AJ1244" s="86" t="str">
        <f aca="false">IF(AH1244="","",IF(SUMPRODUCT(MAX((IND_PER&lt;=B1244)*(IND_UF&lt;&gt;"")*IND_PER))=0,UF_HOY,INDEX(IND_UF,MATCH(SUMPRODUCT(MAX((IND_PER&lt;=B1244)*(IND_UF&lt;&gt;"")*IND_PER)),IND_PER,0))))</f>
        <v/>
      </c>
      <c r="AK1244" s="87" t="str">
        <f aca="false">IF(AH1244="","",IF(COUNTIF(TASA_DESDE,"&lt;="&amp;B1244)=0,INDEX(TASA_EMP,1),INDEX(TASA_EMP,COUNTIF(TASA_DESDE,"&lt;="&amp;B1244))))</f>
        <v/>
      </c>
    </row>
    <row r="1245" customFormat="false" ht="15" hidden="false" customHeight="false" outlineLevel="0" collapsed="false">
      <c r="B1245" s="78"/>
      <c r="C1245" s="64"/>
      <c r="D1245" s="72" t="str">
        <f aca="false">IF(C1245="","",IFERROR(INDEX(T_NOMBRE,MATCH(C1245,T_ID,0)),"⚠ ID no existe"))</f>
        <v/>
      </c>
      <c r="E1245" s="69"/>
      <c r="F1245" s="67"/>
      <c r="G1245" s="67"/>
      <c r="H1245" s="67"/>
      <c r="I1245" s="67"/>
      <c r="J1245" s="67"/>
      <c r="K1245" s="85" t="str">
        <f aca="false">IF(AH1245="","",N(F1245)+N(G1245)+N(H1245)-N(I1245)+N(J1245))</f>
        <v/>
      </c>
      <c r="L1245" s="67"/>
      <c r="M1245" s="67"/>
      <c r="N1245" s="67"/>
      <c r="O1245" s="67"/>
      <c r="P1245" s="85" t="str">
        <f aca="false">IF(AH1245="","",K1245+N(L1245)+N(M1245)+N(N1245)+N(O1245))</f>
        <v/>
      </c>
      <c r="Q1245" s="67"/>
      <c r="R1245" s="67"/>
      <c r="S1245" s="67"/>
      <c r="T1245" s="67"/>
      <c r="U1245" s="67"/>
      <c r="V1245" s="67"/>
      <c r="W1245" s="85" t="str">
        <f aca="false">IF(AH1245="","",N(Q1245)+N(R1245)+N(S1245)+N(T1245)+N(U1245)+N(V1245))</f>
        <v/>
      </c>
      <c r="X1245" s="85" t="str">
        <f aca="false">IF(AH1245="","",P1245-W1245)</f>
        <v/>
      </c>
      <c r="Y1245" s="67"/>
      <c r="Z1245" s="70" t="str">
        <f aca="false">IF(OR(AH1245="",Y1245=""),"",IF(ABS(X1245-Y1245)&lt;=1,"✓ Cuadra","⚠ Diferencia $"&amp;FIXED(X1245-Y1245,0)))</f>
        <v/>
      </c>
      <c r="AA1245" s="72" t="str">
        <f aca="false">IF(AH1245="","",IFERROR(INDEX(C_TIPO,MATCH(C1245&amp;"-P"&amp;MAX(1,COUNTIFS(C_ID,C1245,C_DEFINE,"Sí",C_INICIO,"&lt;="&amp;EOMONTH(B1245,0))),C_CLAVE,0))&amp;"","Sin dato"))</f>
        <v/>
      </c>
      <c r="AB1245" s="71" t="str">
        <f aca="false">IF(AH1245="","",ROUND(MIN(K1245,TOPE_AFP_UF*AJ1245)*AK1245,0))</f>
        <v/>
      </c>
      <c r="AC1245" s="71" t="str">
        <f aca="false">IF(AH1245="","",ROUND(MIN(K1245,TOPE_AFC_UF*AJ1245)*IF(AA1245="Indefinido",AFC_EMP_INDEF,AFC_EMP_PF),0))</f>
        <v/>
      </c>
      <c r="AD1245" s="71" t="str">
        <f aca="false">IF(AH1245="","",ROUND(MIN(K1245,TOPE_AFP_UF*AJ1245)*(MUTUAL_BASICA+MUTUAL_ADIC+SANNA),0))</f>
        <v/>
      </c>
      <c r="AE1245" s="71" t="str">
        <f aca="false">IF(AH1245="","",P1245-N(N1245)+AB1245+AC1245+AD1245)</f>
        <v/>
      </c>
      <c r="AF1245" s="65"/>
      <c r="AG1245" s="64"/>
      <c r="AH1245" s="72" t="str">
        <f aca="false">IF(OR(B1245="",C1245=""),"",C1245&amp;"|"&amp;(YEAR(B1245)*100+MONTH(B1245)))</f>
        <v/>
      </c>
      <c r="AI1245" s="70" t="str">
        <f aca="false">IF(AH1245="","",IF(COUNTIF(L_CLAVE,AH1245)&gt;1,"⚠ Duplicado","OK"))</f>
        <v/>
      </c>
      <c r="AJ1245" s="86" t="str">
        <f aca="false">IF(AH1245="","",IF(SUMPRODUCT(MAX((IND_PER&lt;=B1245)*(IND_UF&lt;&gt;"")*IND_PER))=0,UF_HOY,INDEX(IND_UF,MATCH(SUMPRODUCT(MAX((IND_PER&lt;=B1245)*(IND_UF&lt;&gt;"")*IND_PER)),IND_PER,0))))</f>
        <v/>
      </c>
      <c r="AK1245" s="87" t="str">
        <f aca="false">IF(AH1245="","",IF(COUNTIF(TASA_DESDE,"&lt;="&amp;B1245)=0,INDEX(TASA_EMP,1),INDEX(TASA_EMP,COUNTIF(TASA_DESDE,"&lt;="&amp;B1245))))</f>
        <v/>
      </c>
    </row>
    <row r="1246" customFormat="false" ht="15" hidden="false" customHeight="false" outlineLevel="0" collapsed="false">
      <c r="B1246" s="78"/>
      <c r="C1246" s="64"/>
      <c r="D1246" s="72" t="str">
        <f aca="false">IF(C1246="","",IFERROR(INDEX(T_NOMBRE,MATCH(C1246,T_ID,0)),"⚠ ID no existe"))</f>
        <v/>
      </c>
      <c r="E1246" s="69"/>
      <c r="F1246" s="67"/>
      <c r="G1246" s="67"/>
      <c r="H1246" s="67"/>
      <c r="I1246" s="67"/>
      <c r="J1246" s="67"/>
      <c r="K1246" s="85" t="str">
        <f aca="false">IF(AH1246="","",N(F1246)+N(G1246)+N(H1246)-N(I1246)+N(J1246))</f>
        <v/>
      </c>
      <c r="L1246" s="67"/>
      <c r="M1246" s="67"/>
      <c r="N1246" s="67"/>
      <c r="O1246" s="67"/>
      <c r="P1246" s="85" t="str">
        <f aca="false">IF(AH1246="","",K1246+N(L1246)+N(M1246)+N(N1246)+N(O1246))</f>
        <v/>
      </c>
      <c r="Q1246" s="67"/>
      <c r="R1246" s="67"/>
      <c r="S1246" s="67"/>
      <c r="T1246" s="67"/>
      <c r="U1246" s="67"/>
      <c r="V1246" s="67"/>
      <c r="W1246" s="85" t="str">
        <f aca="false">IF(AH1246="","",N(Q1246)+N(R1246)+N(S1246)+N(T1246)+N(U1246)+N(V1246))</f>
        <v/>
      </c>
      <c r="X1246" s="85" t="str">
        <f aca="false">IF(AH1246="","",P1246-W1246)</f>
        <v/>
      </c>
      <c r="Y1246" s="67"/>
      <c r="Z1246" s="70" t="str">
        <f aca="false">IF(OR(AH1246="",Y1246=""),"",IF(ABS(X1246-Y1246)&lt;=1,"✓ Cuadra","⚠ Diferencia $"&amp;FIXED(X1246-Y1246,0)))</f>
        <v/>
      </c>
      <c r="AA1246" s="72" t="str">
        <f aca="false">IF(AH1246="","",IFERROR(INDEX(C_TIPO,MATCH(C1246&amp;"-P"&amp;MAX(1,COUNTIFS(C_ID,C1246,C_DEFINE,"Sí",C_INICIO,"&lt;="&amp;EOMONTH(B1246,0))),C_CLAVE,0))&amp;"","Sin dato"))</f>
        <v/>
      </c>
      <c r="AB1246" s="71" t="str">
        <f aca="false">IF(AH1246="","",ROUND(MIN(K1246,TOPE_AFP_UF*AJ1246)*AK1246,0))</f>
        <v/>
      </c>
      <c r="AC1246" s="71" t="str">
        <f aca="false">IF(AH1246="","",ROUND(MIN(K1246,TOPE_AFC_UF*AJ1246)*IF(AA1246="Indefinido",AFC_EMP_INDEF,AFC_EMP_PF),0))</f>
        <v/>
      </c>
      <c r="AD1246" s="71" t="str">
        <f aca="false">IF(AH1246="","",ROUND(MIN(K1246,TOPE_AFP_UF*AJ1246)*(MUTUAL_BASICA+MUTUAL_ADIC+SANNA),0))</f>
        <v/>
      </c>
      <c r="AE1246" s="71" t="str">
        <f aca="false">IF(AH1246="","",P1246-N(N1246)+AB1246+AC1246+AD1246)</f>
        <v/>
      </c>
      <c r="AF1246" s="65"/>
      <c r="AG1246" s="64"/>
      <c r="AH1246" s="72" t="str">
        <f aca="false">IF(OR(B1246="",C1246=""),"",C1246&amp;"|"&amp;(YEAR(B1246)*100+MONTH(B1246)))</f>
        <v/>
      </c>
      <c r="AI1246" s="70" t="str">
        <f aca="false">IF(AH1246="","",IF(COUNTIF(L_CLAVE,AH1246)&gt;1,"⚠ Duplicado","OK"))</f>
        <v/>
      </c>
      <c r="AJ1246" s="86" t="str">
        <f aca="false">IF(AH1246="","",IF(SUMPRODUCT(MAX((IND_PER&lt;=B1246)*(IND_UF&lt;&gt;"")*IND_PER))=0,UF_HOY,INDEX(IND_UF,MATCH(SUMPRODUCT(MAX((IND_PER&lt;=B1246)*(IND_UF&lt;&gt;"")*IND_PER)),IND_PER,0))))</f>
        <v/>
      </c>
      <c r="AK1246" s="87" t="str">
        <f aca="false">IF(AH1246="","",IF(COUNTIF(TASA_DESDE,"&lt;="&amp;B1246)=0,INDEX(TASA_EMP,1),INDEX(TASA_EMP,COUNTIF(TASA_DESDE,"&lt;="&amp;B1246))))</f>
        <v/>
      </c>
    </row>
    <row r="1247" customFormat="false" ht="15" hidden="false" customHeight="false" outlineLevel="0" collapsed="false">
      <c r="B1247" s="78"/>
      <c r="C1247" s="64"/>
      <c r="D1247" s="72" t="str">
        <f aca="false">IF(C1247="","",IFERROR(INDEX(T_NOMBRE,MATCH(C1247,T_ID,0)),"⚠ ID no existe"))</f>
        <v/>
      </c>
      <c r="E1247" s="69"/>
      <c r="F1247" s="67"/>
      <c r="G1247" s="67"/>
      <c r="H1247" s="67"/>
      <c r="I1247" s="67"/>
      <c r="J1247" s="67"/>
      <c r="K1247" s="85" t="str">
        <f aca="false">IF(AH1247="","",N(F1247)+N(G1247)+N(H1247)-N(I1247)+N(J1247))</f>
        <v/>
      </c>
      <c r="L1247" s="67"/>
      <c r="M1247" s="67"/>
      <c r="N1247" s="67"/>
      <c r="O1247" s="67"/>
      <c r="P1247" s="85" t="str">
        <f aca="false">IF(AH1247="","",K1247+N(L1247)+N(M1247)+N(N1247)+N(O1247))</f>
        <v/>
      </c>
      <c r="Q1247" s="67"/>
      <c r="R1247" s="67"/>
      <c r="S1247" s="67"/>
      <c r="T1247" s="67"/>
      <c r="U1247" s="67"/>
      <c r="V1247" s="67"/>
      <c r="W1247" s="85" t="str">
        <f aca="false">IF(AH1247="","",N(Q1247)+N(R1247)+N(S1247)+N(T1247)+N(U1247)+N(V1247))</f>
        <v/>
      </c>
      <c r="X1247" s="85" t="str">
        <f aca="false">IF(AH1247="","",P1247-W1247)</f>
        <v/>
      </c>
      <c r="Y1247" s="67"/>
      <c r="Z1247" s="70" t="str">
        <f aca="false">IF(OR(AH1247="",Y1247=""),"",IF(ABS(X1247-Y1247)&lt;=1,"✓ Cuadra","⚠ Diferencia $"&amp;FIXED(X1247-Y1247,0)))</f>
        <v/>
      </c>
      <c r="AA1247" s="72" t="str">
        <f aca="false">IF(AH1247="","",IFERROR(INDEX(C_TIPO,MATCH(C1247&amp;"-P"&amp;MAX(1,COUNTIFS(C_ID,C1247,C_DEFINE,"Sí",C_INICIO,"&lt;="&amp;EOMONTH(B1247,0))),C_CLAVE,0))&amp;"","Sin dato"))</f>
        <v/>
      </c>
      <c r="AB1247" s="71" t="str">
        <f aca="false">IF(AH1247="","",ROUND(MIN(K1247,TOPE_AFP_UF*AJ1247)*AK1247,0))</f>
        <v/>
      </c>
      <c r="AC1247" s="71" t="str">
        <f aca="false">IF(AH1247="","",ROUND(MIN(K1247,TOPE_AFC_UF*AJ1247)*IF(AA1247="Indefinido",AFC_EMP_INDEF,AFC_EMP_PF),0))</f>
        <v/>
      </c>
      <c r="AD1247" s="71" t="str">
        <f aca="false">IF(AH1247="","",ROUND(MIN(K1247,TOPE_AFP_UF*AJ1247)*(MUTUAL_BASICA+MUTUAL_ADIC+SANNA),0))</f>
        <v/>
      </c>
      <c r="AE1247" s="71" t="str">
        <f aca="false">IF(AH1247="","",P1247-N(N1247)+AB1247+AC1247+AD1247)</f>
        <v/>
      </c>
      <c r="AF1247" s="65"/>
      <c r="AG1247" s="64"/>
      <c r="AH1247" s="72" t="str">
        <f aca="false">IF(OR(B1247="",C1247=""),"",C1247&amp;"|"&amp;(YEAR(B1247)*100+MONTH(B1247)))</f>
        <v/>
      </c>
      <c r="AI1247" s="70" t="str">
        <f aca="false">IF(AH1247="","",IF(COUNTIF(L_CLAVE,AH1247)&gt;1,"⚠ Duplicado","OK"))</f>
        <v/>
      </c>
      <c r="AJ1247" s="86" t="str">
        <f aca="false">IF(AH1247="","",IF(SUMPRODUCT(MAX((IND_PER&lt;=B1247)*(IND_UF&lt;&gt;"")*IND_PER))=0,UF_HOY,INDEX(IND_UF,MATCH(SUMPRODUCT(MAX((IND_PER&lt;=B1247)*(IND_UF&lt;&gt;"")*IND_PER)),IND_PER,0))))</f>
        <v/>
      </c>
      <c r="AK1247" s="87" t="str">
        <f aca="false">IF(AH1247="","",IF(COUNTIF(TASA_DESDE,"&lt;="&amp;B1247)=0,INDEX(TASA_EMP,1),INDEX(TASA_EMP,COUNTIF(TASA_DESDE,"&lt;="&amp;B1247))))</f>
        <v/>
      </c>
    </row>
    <row r="1248" customFormat="false" ht="15" hidden="false" customHeight="false" outlineLevel="0" collapsed="false">
      <c r="B1248" s="78"/>
      <c r="C1248" s="64"/>
      <c r="D1248" s="72" t="str">
        <f aca="false">IF(C1248="","",IFERROR(INDEX(T_NOMBRE,MATCH(C1248,T_ID,0)),"⚠ ID no existe"))</f>
        <v/>
      </c>
      <c r="E1248" s="69"/>
      <c r="F1248" s="67"/>
      <c r="G1248" s="67"/>
      <c r="H1248" s="67"/>
      <c r="I1248" s="67"/>
      <c r="J1248" s="67"/>
      <c r="K1248" s="85" t="str">
        <f aca="false">IF(AH1248="","",N(F1248)+N(G1248)+N(H1248)-N(I1248)+N(J1248))</f>
        <v/>
      </c>
      <c r="L1248" s="67"/>
      <c r="M1248" s="67"/>
      <c r="N1248" s="67"/>
      <c r="O1248" s="67"/>
      <c r="P1248" s="85" t="str">
        <f aca="false">IF(AH1248="","",K1248+N(L1248)+N(M1248)+N(N1248)+N(O1248))</f>
        <v/>
      </c>
      <c r="Q1248" s="67"/>
      <c r="R1248" s="67"/>
      <c r="S1248" s="67"/>
      <c r="T1248" s="67"/>
      <c r="U1248" s="67"/>
      <c r="V1248" s="67"/>
      <c r="W1248" s="85" t="str">
        <f aca="false">IF(AH1248="","",N(Q1248)+N(R1248)+N(S1248)+N(T1248)+N(U1248)+N(V1248))</f>
        <v/>
      </c>
      <c r="X1248" s="85" t="str">
        <f aca="false">IF(AH1248="","",P1248-W1248)</f>
        <v/>
      </c>
      <c r="Y1248" s="67"/>
      <c r="Z1248" s="70" t="str">
        <f aca="false">IF(OR(AH1248="",Y1248=""),"",IF(ABS(X1248-Y1248)&lt;=1,"✓ Cuadra","⚠ Diferencia $"&amp;FIXED(X1248-Y1248,0)))</f>
        <v/>
      </c>
      <c r="AA1248" s="72" t="str">
        <f aca="false">IF(AH1248="","",IFERROR(INDEX(C_TIPO,MATCH(C1248&amp;"-P"&amp;MAX(1,COUNTIFS(C_ID,C1248,C_DEFINE,"Sí",C_INICIO,"&lt;="&amp;EOMONTH(B1248,0))),C_CLAVE,0))&amp;"","Sin dato"))</f>
        <v/>
      </c>
      <c r="AB1248" s="71" t="str">
        <f aca="false">IF(AH1248="","",ROUND(MIN(K1248,TOPE_AFP_UF*AJ1248)*AK1248,0))</f>
        <v/>
      </c>
      <c r="AC1248" s="71" t="str">
        <f aca="false">IF(AH1248="","",ROUND(MIN(K1248,TOPE_AFC_UF*AJ1248)*IF(AA1248="Indefinido",AFC_EMP_INDEF,AFC_EMP_PF),0))</f>
        <v/>
      </c>
      <c r="AD1248" s="71" t="str">
        <f aca="false">IF(AH1248="","",ROUND(MIN(K1248,TOPE_AFP_UF*AJ1248)*(MUTUAL_BASICA+MUTUAL_ADIC+SANNA),0))</f>
        <v/>
      </c>
      <c r="AE1248" s="71" t="str">
        <f aca="false">IF(AH1248="","",P1248-N(N1248)+AB1248+AC1248+AD1248)</f>
        <v/>
      </c>
      <c r="AF1248" s="65"/>
      <c r="AG1248" s="64"/>
      <c r="AH1248" s="72" t="str">
        <f aca="false">IF(OR(B1248="",C1248=""),"",C1248&amp;"|"&amp;(YEAR(B1248)*100+MONTH(B1248)))</f>
        <v/>
      </c>
      <c r="AI1248" s="70" t="str">
        <f aca="false">IF(AH1248="","",IF(COUNTIF(L_CLAVE,AH1248)&gt;1,"⚠ Duplicado","OK"))</f>
        <v/>
      </c>
      <c r="AJ1248" s="86" t="str">
        <f aca="false">IF(AH1248="","",IF(SUMPRODUCT(MAX((IND_PER&lt;=B1248)*(IND_UF&lt;&gt;"")*IND_PER))=0,UF_HOY,INDEX(IND_UF,MATCH(SUMPRODUCT(MAX((IND_PER&lt;=B1248)*(IND_UF&lt;&gt;"")*IND_PER)),IND_PER,0))))</f>
        <v/>
      </c>
      <c r="AK1248" s="87" t="str">
        <f aca="false">IF(AH1248="","",IF(COUNTIF(TASA_DESDE,"&lt;="&amp;B1248)=0,INDEX(TASA_EMP,1),INDEX(TASA_EMP,COUNTIF(TASA_DESDE,"&lt;="&amp;B1248))))</f>
        <v/>
      </c>
    </row>
    <row r="1249" customFormat="false" ht="15" hidden="false" customHeight="false" outlineLevel="0" collapsed="false">
      <c r="B1249" s="78"/>
      <c r="C1249" s="64"/>
      <c r="D1249" s="72" t="str">
        <f aca="false">IF(C1249="","",IFERROR(INDEX(T_NOMBRE,MATCH(C1249,T_ID,0)),"⚠ ID no existe"))</f>
        <v/>
      </c>
      <c r="E1249" s="69"/>
      <c r="F1249" s="67"/>
      <c r="G1249" s="67"/>
      <c r="H1249" s="67"/>
      <c r="I1249" s="67"/>
      <c r="J1249" s="67"/>
      <c r="K1249" s="85" t="str">
        <f aca="false">IF(AH1249="","",N(F1249)+N(G1249)+N(H1249)-N(I1249)+N(J1249))</f>
        <v/>
      </c>
      <c r="L1249" s="67"/>
      <c r="M1249" s="67"/>
      <c r="N1249" s="67"/>
      <c r="O1249" s="67"/>
      <c r="P1249" s="85" t="str">
        <f aca="false">IF(AH1249="","",K1249+N(L1249)+N(M1249)+N(N1249)+N(O1249))</f>
        <v/>
      </c>
      <c r="Q1249" s="67"/>
      <c r="R1249" s="67"/>
      <c r="S1249" s="67"/>
      <c r="T1249" s="67"/>
      <c r="U1249" s="67"/>
      <c r="V1249" s="67"/>
      <c r="W1249" s="85" t="str">
        <f aca="false">IF(AH1249="","",N(Q1249)+N(R1249)+N(S1249)+N(T1249)+N(U1249)+N(V1249))</f>
        <v/>
      </c>
      <c r="X1249" s="85" t="str">
        <f aca="false">IF(AH1249="","",P1249-W1249)</f>
        <v/>
      </c>
      <c r="Y1249" s="67"/>
      <c r="Z1249" s="70" t="str">
        <f aca="false">IF(OR(AH1249="",Y1249=""),"",IF(ABS(X1249-Y1249)&lt;=1,"✓ Cuadra","⚠ Diferencia $"&amp;FIXED(X1249-Y1249,0)))</f>
        <v/>
      </c>
      <c r="AA1249" s="72" t="str">
        <f aca="false">IF(AH1249="","",IFERROR(INDEX(C_TIPO,MATCH(C1249&amp;"-P"&amp;MAX(1,COUNTIFS(C_ID,C1249,C_DEFINE,"Sí",C_INICIO,"&lt;="&amp;EOMONTH(B1249,0))),C_CLAVE,0))&amp;"","Sin dato"))</f>
        <v/>
      </c>
      <c r="AB1249" s="71" t="str">
        <f aca="false">IF(AH1249="","",ROUND(MIN(K1249,TOPE_AFP_UF*AJ1249)*AK1249,0))</f>
        <v/>
      </c>
      <c r="AC1249" s="71" t="str">
        <f aca="false">IF(AH1249="","",ROUND(MIN(K1249,TOPE_AFC_UF*AJ1249)*IF(AA1249="Indefinido",AFC_EMP_INDEF,AFC_EMP_PF),0))</f>
        <v/>
      </c>
      <c r="AD1249" s="71" t="str">
        <f aca="false">IF(AH1249="","",ROUND(MIN(K1249,TOPE_AFP_UF*AJ1249)*(MUTUAL_BASICA+MUTUAL_ADIC+SANNA),0))</f>
        <v/>
      </c>
      <c r="AE1249" s="71" t="str">
        <f aca="false">IF(AH1249="","",P1249-N(N1249)+AB1249+AC1249+AD1249)</f>
        <v/>
      </c>
      <c r="AF1249" s="65"/>
      <c r="AG1249" s="64"/>
      <c r="AH1249" s="72" t="str">
        <f aca="false">IF(OR(B1249="",C1249=""),"",C1249&amp;"|"&amp;(YEAR(B1249)*100+MONTH(B1249)))</f>
        <v/>
      </c>
      <c r="AI1249" s="70" t="str">
        <f aca="false">IF(AH1249="","",IF(COUNTIF(L_CLAVE,AH1249)&gt;1,"⚠ Duplicado","OK"))</f>
        <v/>
      </c>
      <c r="AJ1249" s="86" t="str">
        <f aca="false">IF(AH1249="","",IF(SUMPRODUCT(MAX((IND_PER&lt;=B1249)*(IND_UF&lt;&gt;"")*IND_PER))=0,UF_HOY,INDEX(IND_UF,MATCH(SUMPRODUCT(MAX((IND_PER&lt;=B1249)*(IND_UF&lt;&gt;"")*IND_PER)),IND_PER,0))))</f>
        <v/>
      </c>
      <c r="AK1249" s="87" t="str">
        <f aca="false">IF(AH1249="","",IF(COUNTIF(TASA_DESDE,"&lt;="&amp;B1249)=0,INDEX(TASA_EMP,1),INDEX(TASA_EMP,COUNTIF(TASA_DESDE,"&lt;="&amp;B1249))))</f>
        <v/>
      </c>
    </row>
    <row r="1250" customFormat="false" ht="15" hidden="false" customHeight="false" outlineLevel="0" collapsed="false">
      <c r="B1250" s="78"/>
      <c r="C1250" s="64"/>
      <c r="D1250" s="72" t="str">
        <f aca="false">IF(C1250="","",IFERROR(INDEX(T_NOMBRE,MATCH(C1250,T_ID,0)),"⚠ ID no existe"))</f>
        <v/>
      </c>
      <c r="E1250" s="69"/>
      <c r="F1250" s="67"/>
      <c r="G1250" s="67"/>
      <c r="H1250" s="67"/>
      <c r="I1250" s="67"/>
      <c r="J1250" s="67"/>
      <c r="K1250" s="85" t="str">
        <f aca="false">IF(AH1250="","",N(F1250)+N(G1250)+N(H1250)-N(I1250)+N(J1250))</f>
        <v/>
      </c>
      <c r="L1250" s="67"/>
      <c r="M1250" s="67"/>
      <c r="N1250" s="67"/>
      <c r="O1250" s="67"/>
      <c r="P1250" s="85" t="str">
        <f aca="false">IF(AH1250="","",K1250+N(L1250)+N(M1250)+N(N1250)+N(O1250))</f>
        <v/>
      </c>
      <c r="Q1250" s="67"/>
      <c r="R1250" s="67"/>
      <c r="S1250" s="67"/>
      <c r="T1250" s="67"/>
      <c r="U1250" s="67"/>
      <c r="V1250" s="67"/>
      <c r="W1250" s="85" t="str">
        <f aca="false">IF(AH1250="","",N(Q1250)+N(R1250)+N(S1250)+N(T1250)+N(U1250)+N(V1250))</f>
        <v/>
      </c>
      <c r="X1250" s="85" t="str">
        <f aca="false">IF(AH1250="","",P1250-W1250)</f>
        <v/>
      </c>
      <c r="Y1250" s="67"/>
      <c r="Z1250" s="70" t="str">
        <f aca="false">IF(OR(AH1250="",Y1250=""),"",IF(ABS(X1250-Y1250)&lt;=1,"✓ Cuadra","⚠ Diferencia $"&amp;FIXED(X1250-Y1250,0)))</f>
        <v/>
      </c>
      <c r="AA1250" s="72" t="str">
        <f aca="false">IF(AH1250="","",IFERROR(INDEX(C_TIPO,MATCH(C1250&amp;"-P"&amp;MAX(1,COUNTIFS(C_ID,C1250,C_DEFINE,"Sí",C_INICIO,"&lt;="&amp;EOMONTH(B1250,0))),C_CLAVE,0))&amp;"","Sin dato"))</f>
        <v/>
      </c>
      <c r="AB1250" s="71" t="str">
        <f aca="false">IF(AH1250="","",ROUND(MIN(K1250,TOPE_AFP_UF*AJ1250)*AK1250,0))</f>
        <v/>
      </c>
      <c r="AC1250" s="71" t="str">
        <f aca="false">IF(AH1250="","",ROUND(MIN(K1250,TOPE_AFC_UF*AJ1250)*IF(AA1250="Indefinido",AFC_EMP_INDEF,AFC_EMP_PF),0))</f>
        <v/>
      </c>
      <c r="AD1250" s="71" t="str">
        <f aca="false">IF(AH1250="","",ROUND(MIN(K1250,TOPE_AFP_UF*AJ1250)*(MUTUAL_BASICA+MUTUAL_ADIC+SANNA),0))</f>
        <v/>
      </c>
      <c r="AE1250" s="71" t="str">
        <f aca="false">IF(AH1250="","",P1250-N(N1250)+AB1250+AC1250+AD1250)</f>
        <v/>
      </c>
      <c r="AF1250" s="65"/>
      <c r="AG1250" s="64"/>
      <c r="AH1250" s="72" t="str">
        <f aca="false">IF(OR(B1250="",C1250=""),"",C1250&amp;"|"&amp;(YEAR(B1250)*100+MONTH(B1250)))</f>
        <v/>
      </c>
      <c r="AI1250" s="70" t="str">
        <f aca="false">IF(AH1250="","",IF(COUNTIF(L_CLAVE,AH1250)&gt;1,"⚠ Duplicado","OK"))</f>
        <v/>
      </c>
      <c r="AJ1250" s="86" t="str">
        <f aca="false">IF(AH1250="","",IF(SUMPRODUCT(MAX((IND_PER&lt;=B1250)*(IND_UF&lt;&gt;"")*IND_PER))=0,UF_HOY,INDEX(IND_UF,MATCH(SUMPRODUCT(MAX((IND_PER&lt;=B1250)*(IND_UF&lt;&gt;"")*IND_PER)),IND_PER,0))))</f>
        <v/>
      </c>
      <c r="AK1250" s="87" t="str">
        <f aca="false">IF(AH1250="","",IF(COUNTIF(TASA_DESDE,"&lt;="&amp;B1250)=0,INDEX(TASA_EMP,1),INDEX(TASA_EMP,COUNTIF(TASA_DESDE,"&lt;="&amp;B1250))))</f>
        <v/>
      </c>
    </row>
    <row r="1251" customFormat="false" ht="15" hidden="false" customHeight="false" outlineLevel="0" collapsed="false">
      <c r="B1251" s="78"/>
      <c r="C1251" s="64"/>
      <c r="D1251" s="72" t="str">
        <f aca="false">IF(C1251="","",IFERROR(INDEX(T_NOMBRE,MATCH(C1251,T_ID,0)),"⚠ ID no existe"))</f>
        <v/>
      </c>
      <c r="E1251" s="69"/>
      <c r="F1251" s="67"/>
      <c r="G1251" s="67"/>
      <c r="H1251" s="67"/>
      <c r="I1251" s="67"/>
      <c r="J1251" s="67"/>
      <c r="K1251" s="85" t="str">
        <f aca="false">IF(AH1251="","",N(F1251)+N(G1251)+N(H1251)-N(I1251)+N(J1251))</f>
        <v/>
      </c>
      <c r="L1251" s="67"/>
      <c r="M1251" s="67"/>
      <c r="N1251" s="67"/>
      <c r="O1251" s="67"/>
      <c r="P1251" s="85" t="str">
        <f aca="false">IF(AH1251="","",K1251+N(L1251)+N(M1251)+N(N1251)+N(O1251))</f>
        <v/>
      </c>
      <c r="Q1251" s="67"/>
      <c r="R1251" s="67"/>
      <c r="S1251" s="67"/>
      <c r="T1251" s="67"/>
      <c r="U1251" s="67"/>
      <c r="V1251" s="67"/>
      <c r="W1251" s="85" t="str">
        <f aca="false">IF(AH1251="","",N(Q1251)+N(R1251)+N(S1251)+N(T1251)+N(U1251)+N(V1251))</f>
        <v/>
      </c>
      <c r="X1251" s="85" t="str">
        <f aca="false">IF(AH1251="","",P1251-W1251)</f>
        <v/>
      </c>
      <c r="Y1251" s="67"/>
      <c r="Z1251" s="70" t="str">
        <f aca="false">IF(OR(AH1251="",Y1251=""),"",IF(ABS(X1251-Y1251)&lt;=1,"✓ Cuadra","⚠ Diferencia $"&amp;FIXED(X1251-Y1251,0)))</f>
        <v/>
      </c>
      <c r="AA1251" s="72" t="str">
        <f aca="false">IF(AH1251="","",IFERROR(INDEX(C_TIPO,MATCH(C1251&amp;"-P"&amp;MAX(1,COUNTIFS(C_ID,C1251,C_DEFINE,"Sí",C_INICIO,"&lt;="&amp;EOMONTH(B1251,0))),C_CLAVE,0))&amp;"","Sin dato"))</f>
        <v/>
      </c>
      <c r="AB1251" s="71" t="str">
        <f aca="false">IF(AH1251="","",ROUND(MIN(K1251,TOPE_AFP_UF*AJ1251)*AK1251,0))</f>
        <v/>
      </c>
      <c r="AC1251" s="71" t="str">
        <f aca="false">IF(AH1251="","",ROUND(MIN(K1251,TOPE_AFC_UF*AJ1251)*IF(AA1251="Indefinido",AFC_EMP_INDEF,AFC_EMP_PF),0))</f>
        <v/>
      </c>
      <c r="AD1251" s="71" t="str">
        <f aca="false">IF(AH1251="","",ROUND(MIN(K1251,TOPE_AFP_UF*AJ1251)*(MUTUAL_BASICA+MUTUAL_ADIC+SANNA),0))</f>
        <v/>
      </c>
      <c r="AE1251" s="71" t="str">
        <f aca="false">IF(AH1251="","",P1251-N(N1251)+AB1251+AC1251+AD1251)</f>
        <v/>
      </c>
      <c r="AF1251" s="65"/>
      <c r="AG1251" s="64"/>
      <c r="AH1251" s="72" t="str">
        <f aca="false">IF(OR(B1251="",C1251=""),"",C1251&amp;"|"&amp;(YEAR(B1251)*100+MONTH(B1251)))</f>
        <v/>
      </c>
      <c r="AI1251" s="70" t="str">
        <f aca="false">IF(AH1251="","",IF(COUNTIF(L_CLAVE,AH1251)&gt;1,"⚠ Duplicado","OK"))</f>
        <v/>
      </c>
      <c r="AJ1251" s="86" t="str">
        <f aca="false">IF(AH1251="","",IF(SUMPRODUCT(MAX((IND_PER&lt;=B1251)*(IND_UF&lt;&gt;"")*IND_PER))=0,UF_HOY,INDEX(IND_UF,MATCH(SUMPRODUCT(MAX((IND_PER&lt;=B1251)*(IND_UF&lt;&gt;"")*IND_PER)),IND_PER,0))))</f>
        <v/>
      </c>
      <c r="AK1251" s="87" t="str">
        <f aca="false">IF(AH1251="","",IF(COUNTIF(TASA_DESDE,"&lt;="&amp;B1251)=0,INDEX(TASA_EMP,1),INDEX(TASA_EMP,COUNTIF(TASA_DESDE,"&lt;="&amp;B1251))))</f>
        <v/>
      </c>
    </row>
    <row r="1252" customFormat="false" ht="15" hidden="false" customHeight="false" outlineLevel="0" collapsed="false">
      <c r="B1252" s="78"/>
      <c r="C1252" s="64"/>
      <c r="D1252" s="72" t="str">
        <f aca="false">IF(C1252="","",IFERROR(INDEX(T_NOMBRE,MATCH(C1252,T_ID,0)),"⚠ ID no existe"))</f>
        <v/>
      </c>
      <c r="E1252" s="69"/>
      <c r="F1252" s="67"/>
      <c r="G1252" s="67"/>
      <c r="H1252" s="67"/>
      <c r="I1252" s="67"/>
      <c r="J1252" s="67"/>
      <c r="K1252" s="85" t="str">
        <f aca="false">IF(AH1252="","",N(F1252)+N(G1252)+N(H1252)-N(I1252)+N(J1252))</f>
        <v/>
      </c>
      <c r="L1252" s="67"/>
      <c r="M1252" s="67"/>
      <c r="N1252" s="67"/>
      <c r="O1252" s="67"/>
      <c r="P1252" s="85" t="str">
        <f aca="false">IF(AH1252="","",K1252+N(L1252)+N(M1252)+N(N1252)+N(O1252))</f>
        <v/>
      </c>
      <c r="Q1252" s="67"/>
      <c r="R1252" s="67"/>
      <c r="S1252" s="67"/>
      <c r="T1252" s="67"/>
      <c r="U1252" s="67"/>
      <c r="V1252" s="67"/>
      <c r="W1252" s="85" t="str">
        <f aca="false">IF(AH1252="","",N(Q1252)+N(R1252)+N(S1252)+N(T1252)+N(U1252)+N(V1252))</f>
        <v/>
      </c>
      <c r="X1252" s="85" t="str">
        <f aca="false">IF(AH1252="","",P1252-W1252)</f>
        <v/>
      </c>
      <c r="Y1252" s="67"/>
      <c r="Z1252" s="70" t="str">
        <f aca="false">IF(OR(AH1252="",Y1252=""),"",IF(ABS(X1252-Y1252)&lt;=1,"✓ Cuadra","⚠ Diferencia $"&amp;FIXED(X1252-Y1252,0)))</f>
        <v/>
      </c>
      <c r="AA1252" s="72" t="str">
        <f aca="false">IF(AH1252="","",IFERROR(INDEX(C_TIPO,MATCH(C1252&amp;"-P"&amp;MAX(1,COUNTIFS(C_ID,C1252,C_DEFINE,"Sí",C_INICIO,"&lt;="&amp;EOMONTH(B1252,0))),C_CLAVE,0))&amp;"","Sin dato"))</f>
        <v/>
      </c>
      <c r="AB1252" s="71" t="str">
        <f aca="false">IF(AH1252="","",ROUND(MIN(K1252,TOPE_AFP_UF*AJ1252)*AK1252,0))</f>
        <v/>
      </c>
      <c r="AC1252" s="71" t="str">
        <f aca="false">IF(AH1252="","",ROUND(MIN(K1252,TOPE_AFC_UF*AJ1252)*IF(AA1252="Indefinido",AFC_EMP_INDEF,AFC_EMP_PF),0))</f>
        <v/>
      </c>
      <c r="AD1252" s="71" t="str">
        <f aca="false">IF(AH1252="","",ROUND(MIN(K1252,TOPE_AFP_UF*AJ1252)*(MUTUAL_BASICA+MUTUAL_ADIC+SANNA),0))</f>
        <v/>
      </c>
      <c r="AE1252" s="71" t="str">
        <f aca="false">IF(AH1252="","",P1252-N(N1252)+AB1252+AC1252+AD1252)</f>
        <v/>
      </c>
      <c r="AF1252" s="65"/>
      <c r="AG1252" s="64"/>
      <c r="AH1252" s="72" t="str">
        <f aca="false">IF(OR(B1252="",C1252=""),"",C1252&amp;"|"&amp;(YEAR(B1252)*100+MONTH(B1252)))</f>
        <v/>
      </c>
      <c r="AI1252" s="70" t="str">
        <f aca="false">IF(AH1252="","",IF(COUNTIF(L_CLAVE,AH1252)&gt;1,"⚠ Duplicado","OK"))</f>
        <v/>
      </c>
      <c r="AJ1252" s="86" t="str">
        <f aca="false">IF(AH1252="","",IF(SUMPRODUCT(MAX((IND_PER&lt;=B1252)*(IND_UF&lt;&gt;"")*IND_PER))=0,UF_HOY,INDEX(IND_UF,MATCH(SUMPRODUCT(MAX((IND_PER&lt;=B1252)*(IND_UF&lt;&gt;"")*IND_PER)),IND_PER,0))))</f>
        <v/>
      </c>
      <c r="AK1252" s="87" t="str">
        <f aca="false">IF(AH1252="","",IF(COUNTIF(TASA_DESDE,"&lt;="&amp;B1252)=0,INDEX(TASA_EMP,1),INDEX(TASA_EMP,COUNTIF(TASA_DESDE,"&lt;="&amp;B1252))))</f>
        <v/>
      </c>
    </row>
    <row r="1253" customFormat="false" ht="15" hidden="false" customHeight="false" outlineLevel="0" collapsed="false">
      <c r="B1253" s="78"/>
      <c r="C1253" s="64"/>
      <c r="D1253" s="72" t="str">
        <f aca="false">IF(C1253="","",IFERROR(INDEX(T_NOMBRE,MATCH(C1253,T_ID,0)),"⚠ ID no existe"))</f>
        <v/>
      </c>
      <c r="E1253" s="69"/>
      <c r="F1253" s="67"/>
      <c r="G1253" s="67"/>
      <c r="H1253" s="67"/>
      <c r="I1253" s="67"/>
      <c r="J1253" s="67"/>
      <c r="K1253" s="85" t="str">
        <f aca="false">IF(AH1253="","",N(F1253)+N(G1253)+N(H1253)-N(I1253)+N(J1253))</f>
        <v/>
      </c>
      <c r="L1253" s="67"/>
      <c r="M1253" s="67"/>
      <c r="N1253" s="67"/>
      <c r="O1253" s="67"/>
      <c r="P1253" s="85" t="str">
        <f aca="false">IF(AH1253="","",K1253+N(L1253)+N(M1253)+N(N1253)+N(O1253))</f>
        <v/>
      </c>
      <c r="Q1253" s="67"/>
      <c r="R1253" s="67"/>
      <c r="S1253" s="67"/>
      <c r="T1253" s="67"/>
      <c r="U1253" s="67"/>
      <c r="V1253" s="67"/>
      <c r="W1253" s="85" t="str">
        <f aca="false">IF(AH1253="","",N(Q1253)+N(R1253)+N(S1253)+N(T1253)+N(U1253)+N(V1253))</f>
        <v/>
      </c>
      <c r="X1253" s="85" t="str">
        <f aca="false">IF(AH1253="","",P1253-W1253)</f>
        <v/>
      </c>
      <c r="Y1253" s="67"/>
      <c r="Z1253" s="70" t="str">
        <f aca="false">IF(OR(AH1253="",Y1253=""),"",IF(ABS(X1253-Y1253)&lt;=1,"✓ Cuadra","⚠ Diferencia $"&amp;FIXED(X1253-Y1253,0)))</f>
        <v/>
      </c>
      <c r="AA1253" s="72" t="str">
        <f aca="false">IF(AH1253="","",IFERROR(INDEX(C_TIPO,MATCH(C1253&amp;"-P"&amp;MAX(1,COUNTIFS(C_ID,C1253,C_DEFINE,"Sí",C_INICIO,"&lt;="&amp;EOMONTH(B1253,0))),C_CLAVE,0))&amp;"","Sin dato"))</f>
        <v/>
      </c>
      <c r="AB1253" s="71" t="str">
        <f aca="false">IF(AH1253="","",ROUND(MIN(K1253,TOPE_AFP_UF*AJ1253)*AK1253,0))</f>
        <v/>
      </c>
      <c r="AC1253" s="71" t="str">
        <f aca="false">IF(AH1253="","",ROUND(MIN(K1253,TOPE_AFC_UF*AJ1253)*IF(AA1253="Indefinido",AFC_EMP_INDEF,AFC_EMP_PF),0))</f>
        <v/>
      </c>
      <c r="AD1253" s="71" t="str">
        <f aca="false">IF(AH1253="","",ROUND(MIN(K1253,TOPE_AFP_UF*AJ1253)*(MUTUAL_BASICA+MUTUAL_ADIC+SANNA),0))</f>
        <v/>
      </c>
      <c r="AE1253" s="71" t="str">
        <f aca="false">IF(AH1253="","",P1253-N(N1253)+AB1253+AC1253+AD1253)</f>
        <v/>
      </c>
      <c r="AF1253" s="65"/>
      <c r="AG1253" s="64"/>
      <c r="AH1253" s="72" t="str">
        <f aca="false">IF(OR(B1253="",C1253=""),"",C1253&amp;"|"&amp;(YEAR(B1253)*100+MONTH(B1253)))</f>
        <v/>
      </c>
      <c r="AI1253" s="70" t="str">
        <f aca="false">IF(AH1253="","",IF(COUNTIF(L_CLAVE,AH1253)&gt;1,"⚠ Duplicado","OK"))</f>
        <v/>
      </c>
      <c r="AJ1253" s="86" t="str">
        <f aca="false">IF(AH1253="","",IF(SUMPRODUCT(MAX((IND_PER&lt;=B1253)*(IND_UF&lt;&gt;"")*IND_PER))=0,UF_HOY,INDEX(IND_UF,MATCH(SUMPRODUCT(MAX((IND_PER&lt;=B1253)*(IND_UF&lt;&gt;"")*IND_PER)),IND_PER,0))))</f>
        <v/>
      </c>
      <c r="AK1253" s="87" t="str">
        <f aca="false">IF(AH1253="","",IF(COUNTIF(TASA_DESDE,"&lt;="&amp;B1253)=0,INDEX(TASA_EMP,1),INDEX(TASA_EMP,COUNTIF(TASA_DESDE,"&lt;="&amp;B1253))))</f>
        <v/>
      </c>
    </row>
    <row r="1254" customFormat="false" ht="15" hidden="false" customHeight="false" outlineLevel="0" collapsed="false">
      <c r="B1254" s="78"/>
      <c r="C1254" s="64"/>
      <c r="D1254" s="72" t="str">
        <f aca="false">IF(C1254="","",IFERROR(INDEX(T_NOMBRE,MATCH(C1254,T_ID,0)),"⚠ ID no existe"))</f>
        <v/>
      </c>
      <c r="E1254" s="69"/>
      <c r="F1254" s="67"/>
      <c r="G1254" s="67"/>
      <c r="H1254" s="67"/>
      <c r="I1254" s="67"/>
      <c r="J1254" s="67"/>
      <c r="K1254" s="85" t="str">
        <f aca="false">IF(AH1254="","",N(F1254)+N(G1254)+N(H1254)-N(I1254)+N(J1254))</f>
        <v/>
      </c>
      <c r="L1254" s="67"/>
      <c r="M1254" s="67"/>
      <c r="N1254" s="67"/>
      <c r="O1254" s="67"/>
      <c r="P1254" s="85" t="str">
        <f aca="false">IF(AH1254="","",K1254+N(L1254)+N(M1254)+N(N1254)+N(O1254))</f>
        <v/>
      </c>
      <c r="Q1254" s="67"/>
      <c r="R1254" s="67"/>
      <c r="S1254" s="67"/>
      <c r="T1254" s="67"/>
      <c r="U1254" s="67"/>
      <c r="V1254" s="67"/>
      <c r="W1254" s="85" t="str">
        <f aca="false">IF(AH1254="","",N(Q1254)+N(R1254)+N(S1254)+N(T1254)+N(U1254)+N(V1254))</f>
        <v/>
      </c>
      <c r="X1254" s="85" t="str">
        <f aca="false">IF(AH1254="","",P1254-W1254)</f>
        <v/>
      </c>
      <c r="Y1254" s="67"/>
      <c r="Z1254" s="70" t="str">
        <f aca="false">IF(OR(AH1254="",Y1254=""),"",IF(ABS(X1254-Y1254)&lt;=1,"✓ Cuadra","⚠ Diferencia $"&amp;FIXED(X1254-Y1254,0)))</f>
        <v/>
      </c>
      <c r="AA1254" s="72" t="str">
        <f aca="false">IF(AH1254="","",IFERROR(INDEX(C_TIPO,MATCH(C1254&amp;"-P"&amp;MAX(1,COUNTIFS(C_ID,C1254,C_DEFINE,"Sí",C_INICIO,"&lt;="&amp;EOMONTH(B1254,0))),C_CLAVE,0))&amp;"","Sin dato"))</f>
        <v/>
      </c>
      <c r="AB1254" s="71" t="str">
        <f aca="false">IF(AH1254="","",ROUND(MIN(K1254,TOPE_AFP_UF*AJ1254)*AK1254,0))</f>
        <v/>
      </c>
      <c r="AC1254" s="71" t="str">
        <f aca="false">IF(AH1254="","",ROUND(MIN(K1254,TOPE_AFC_UF*AJ1254)*IF(AA1254="Indefinido",AFC_EMP_INDEF,AFC_EMP_PF),0))</f>
        <v/>
      </c>
      <c r="AD1254" s="71" t="str">
        <f aca="false">IF(AH1254="","",ROUND(MIN(K1254,TOPE_AFP_UF*AJ1254)*(MUTUAL_BASICA+MUTUAL_ADIC+SANNA),0))</f>
        <v/>
      </c>
      <c r="AE1254" s="71" t="str">
        <f aca="false">IF(AH1254="","",P1254-N(N1254)+AB1254+AC1254+AD1254)</f>
        <v/>
      </c>
      <c r="AF1254" s="65"/>
      <c r="AG1254" s="64"/>
      <c r="AH1254" s="72" t="str">
        <f aca="false">IF(OR(B1254="",C1254=""),"",C1254&amp;"|"&amp;(YEAR(B1254)*100+MONTH(B1254)))</f>
        <v/>
      </c>
      <c r="AI1254" s="70" t="str">
        <f aca="false">IF(AH1254="","",IF(COUNTIF(L_CLAVE,AH1254)&gt;1,"⚠ Duplicado","OK"))</f>
        <v/>
      </c>
      <c r="AJ1254" s="86" t="str">
        <f aca="false">IF(AH1254="","",IF(SUMPRODUCT(MAX((IND_PER&lt;=B1254)*(IND_UF&lt;&gt;"")*IND_PER))=0,UF_HOY,INDEX(IND_UF,MATCH(SUMPRODUCT(MAX((IND_PER&lt;=B1254)*(IND_UF&lt;&gt;"")*IND_PER)),IND_PER,0))))</f>
        <v/>
      </c>
      <c r="AK1254" s="87" t="str">
        <f aca="false">IF(AH1254="","",IF(COUNTIF(TASA_DESDE,"&lt;="&amp;B1254)=0,INDEX(TASA_EMP,1),INDEX(TASA_EMP,COUNTIF(TASA_DESDE,"&lt;="&amp;B1254))))</f>
        <v/>
      </c>
    </row>
    <row r="1255" customFormat="false" ht="15" hidden="false" customHeight="false" outlineLevel="0" collapsed="false">
      <c r="B1255" s="78"/>
      <c r="C1255" s="64"/>
      <c r="D1255" s="72" t="str">
        <f aca="false">IF(C1255="","",IFERROR(INDEX(T_NOMBRE,MATCH(C1255,T_ID,0)),"⚠ ID no existe"))</f>
        <v/>
      </c>
      <c r="E1255" s="69"/>
      <c r="F1255" s="67"/>
      <c r="G1255" s="67"/>
      <c r="H1255" s="67"/>
      <c r="I1255" s="67"/>
      <c r="J1255" s="67"/>
      <c r="K1255" s="85" t="str">
        <f aca="false">IF(AH1255="","",N(F1255)+N(G1255)+N(H1255)-N(I1255)+N(J1255))</f>
        <v/>
      </c>
      <c r="L1255" s="67"/>
      <c r="M1255" s="67"/>
      <c r="N1255" s="67"/>
      <c r="O1255" s="67"/>
      <c r="P1255" s="85" t="str">
        <f aca="false">IF(AH1255="","",K1255+N(L1255)+N(M1255)+N(N1255)+N(O1255))</f>
        <v/>
      </c>
      <c r="Q1255" s="67"/>
      <c r="R1255" s="67"/>
      <c r="S1255" s="67"/>
      <c r="T1255" s="67"/>
      <c r="U1255" s="67"/>
      <c r="V1255" s="67"/>
      <c r="W1255" s="85" t="str">
        <f aca="false">IF(AH1255="","",N(Q1255)+N(R1255)+N(S1255)+N(T1255)+N(U1255)+N(V1255))</f>
        <v/>
      </c>
      <c r="X1255" s="85" t="str">
        <f aca="false">IF(AH1255="","",P1255-W1255)</f>
        <v/>
      </c>
      <c r="Y1255" s="67"/>
      <c r="Z1255" s="70" t="str">
        <f aca="false">IF(OR(AH1255="",Y1255=""),"",IF(ABS(X1255-Y1255)&lt;=1,"✓ Cuadra","⚠ Diferencia $"&amp;FIXED(X1255-Y1255,0)))</f>
        <v/>
      </c>
      <c r="AA1255" s="72" t="str">
        <f aca="false">IF(AH1255="","",IFERROR(INDEX(C_TIPO,MATCH(C1255&amp;"-P"&amp;MAX(1,COUNTIFS(C_ID,C1255,C_DEFINE,"Sí",C_INICIO,"&lt;="&amp;EOMONTH(B1255,0))),C_CLAVE,0))&amp;"","Sin dato"))</f>
        <v/>
      </c>
      <c r="AB1255" s="71" t="str">
        <f aca="false">IF(AH1255="","",ROUND(MIN(K1255,TOPE_AFP_UF*AJ1255)*AK1255,0))</f>
        <v/>
      </c>
      <c r="AC1255" s="71" t="str">
        <f aca="false">IF(AH1255="","",ROUND(MIN(K1255,TOPE_AFC_UF*AJ1255)*IF(AA1255="Indefinido",AFC_EMP_INDEF,AFC_EMP_PF),0))</f>
        <v/>
      </c>
      <c r="AD1255" s="71" t="str">
        <f aca="false">IF(AH1255="","",ROUND(MIN(K1255,TOPE_AFP_UF*AJ1255)*(MUTUAL_BASICA+MUTUAL_ADIC+SANNA),0))</f>
        <v/>
      </c>
      <c r="AE1255" s="71" t="str">
        <f aca="false">IF(AH1255="","",P1255-N(N1255)+AB1255+AC1255+AD1255)</f>
        <v/>
      </c>
      <c r="AF1255" s="65"/>
      <c r="AG1255" s="64"/>
      <c r="AH1255" s="72" t="str">
        <f aca="false">IF(OR(B1255="",C1255=""),"",C1255&amp;"|"&amp;(YEAR(B1255)*100+MONTH(B1255)))</f>
        <v/>
      </c>
      <c r="AI1255" s="70" t="str">
        <f aca="false">IF(AH1255="","",IF(COUNTIF(L_CLAVE,AH1255)&gt;1,"⚠ Duplicado","OK"))</f>
        <v/>
      </c>
      <c r="AJ1255" s="86" t="str">
        <f aca="false">IF(AH1255="","",IF(SUMPRODUCT(MAX((IND_PER&lt;=B1255)*(IND_UF&lt;&gt;"")*IND_PER))=0,UF_HOY,INDEX(IND_UF,MATCH(SUMPRODUCT(MAX((IND_PER&lt;=B1255)*(IND_UF&lt;&gt;"")*IND_PER)),IND_PER,0))))</f>
        <v/>
      </c>
      <c r="AK1255" s="87" t="str">
        <f aca="false">IF(AH1255="","",IF(COUNTIF(TASA_DESDE,"&lt;="&amp;B1255)=0,INDEX(TASA_EMP,1),INDEX(TASA_EMP,COUNTIF(TASA_DESDE,"&lt;="&amp;B1255))))</f>
        <v/>
      </c>
    </row>
    <row r="1256" customFormat="false" ht="15" hidden="false" customHeight="false" outlineLevel="0" collapsed="false">
      <c r="B1256" s="78"/>
      <c r="C1256" s="64"/>
      <c r="D1256" s="72" t="str">
        <f aca="false">IF(C1256="","",IFERROR(INDEX(T_NOMBRE,MATCH(C1256,T_ID,0)),"⚠ ID no existe"))</f>
        <v/>
      </c>
      <c r="E1256" s="69"/>
      <c r="F1256" s="67"/>
      <c r="G1256" s="67"/>
      <c r="H1256" s="67"/>
      <c r="I1256" s="67"/>
      <c r="J1256" s="67"/>
      <c r="K1256" s="85" t="str">
        <f aca="false">IF(AH1256="","",N(F1256)+N(G1256)+N(H1256)-N(I1256)+N(J1256))</f>
        <v/>
      </c>
      <c r="L1256" s="67"/>
      <c r="M1256" s="67"/>
      <c r="N1256" s="67"/>
      <c r="O1256" s="67"/>
      <c r="P1256" s="85" t="str">
        <f aca="false">IF(AH1256="","",K1256+N(L1256)+N(M1256)+N(N1256)+N(O1256))</f>
        <v/>
      </c>
      <c r="Q1256" s="67"/>
      <c r="R1256" s="67"/>
      <c r="S1256" s="67"/>
      <c r="T1256" s="67"/>
      <c r="U1256" s="67"/>
      <c r="V1256" s="67"/>
      <c r="W1256" s="85" t="str">
        <f aca="false">IF(AH1256="","",N(Q1256)+N(R1256)+N(S1256)+N(T1256)+N(U1256)+N(V1256))</f>
        <v/>
      </c>
      <c r="X1256" s="85" t="str">
        <f aca="false">IF(AH1256="","",P1256-W1256)</f>
        <v/>
      </c>
      <c r="Y1256" s="67"/>
      <c r="Z1256" s="70" t="str">
        <f aca="false">IF(OR(AH1256="",Y1256=""),"",IF(ABS(X1256-Y1256)&lt;=1,"✓ Cuadra","⚠ Diferencia $"&amp;FIXED(X1256-Y1256,0)))</f>
        <v/>
      </c>
      <c r="AA1256" s="72" t="str">
        <f aca="false">IF(AH1256="","",IFERROR(INDEX(C_TIPO,MATCH(C1256&amp;"-P"&amp;MAX(1,COUNTIFS(C_ID,C1256,C_DEFINE,"Sí",C_INICIO,"&lt;="&amp;EOMONTH(B1256,0))),C_CLAVE,0))&amp;"","Sin dato"))</f>
        <v/>
      </c>
      <c r="AB1256" s="71" t="str">
        <f aca="false">IF(AH1256="","",ROUND(MIN(K1256,TOPE_AFP_UF*AJ1256)*AK1256,0))</f>
        <v/>
      </c>
      <c r="AC1256" s="71" t="str">
        <f aca="false">IF(AH1256="","",ROUND(MIN(K1256,TOPE_AFC_UF*AJ1256)*IF(AA1256="Indefinido",AFC_EMP_INDEF,AFC_EMP_PF),0))</f>
        <v/>
      </c>
      <c r="AD1256" s="71" t="str">
        <f aca="false">IF(AH1256="","",ROUND(MIN(K1256,TOPE_AFP_UF*AJ1256)*(MUTUAL_BASICA+MUTUAL_ADIC+SANNA),0))</f>
        <v/>
      </c>
      <c r="AE1256" s="71" t="str">
        <f aca="false">IF(AH1256="","",P1256-N(N1256)+AB1256+AC1256+AD1256)</f>
        <v/>
      </c>
      <c r="AF1256" s="65"/>
      <c r="AG1256" s="64"/>
      <c r="AH1256" s="72" t="str">
        <f aca="false">IF(OR(B1256="",C1256=""),"",C1256&amp;"|"&amp;(YEAR(B1256)*100+MONTH(B1256)))</f>
        <v/>
      </c>
      <c r="AI1256" s="70" t="str">
        <f aca="false">IF(AH1256="","",IF(COUNTIF(L_CLAVE,AH1256)&gt;1,"⚠ Duplicado","OK"))</f>
        <v/>
      </c>
      <c r="AJ1256" s="86" t="str">
        <f aca="false">IF(AH1256="","",IF(SUMPRODUCT(MAX((IND_PER&lt;=B1256)*(IND_UF&lt;&gt;"")*IND_PER))=0,UF_HOY,INDEX(IND_UF,MATCH(SUMPRODUCT(MAX((IND_PER&lt;=B1256)*(IND_UF&lt;&gt;"")*IND_PER)),IND_PER,0))))</f>
        <v/>
      </c>
      <c r="AK1256" s="87" t="str">
        <f aca="false">IF(AH1256="","",IF(COUNTIF(TASA_DESDE,"&lt;="&amp;B1256)=0,INDEX(TASA_EMP,1),INDEX(TASA_EMP,COUNTIF(TASA_DESDE,"&lt;="&amp;B1256))))</f>
        <v/>
      </c>
    </row>
    <row r="1257" customFormat="false" ht="15" hidden="false" customHeight="false" outlineLevel="0" collapsed="false">
      <c r="B1257" s="78"/>
      <c r="C1257" s="64"/>
      <c r="D1257" s="72" t="str">
        <f aca="false">IF(C1257="","",IFERROR(INDEX(T_NOMBRE,MATCH(C1257,T_ID,0)),"⚠ ID no existe"))</f>
        <v/>
      </c>
      <c r="E1257" s="69"/>
      <c r="F1257" s="67"/>
      <c r="G1257" s="67"/>
      <c r="H1257" s="67"/>
      <c r="I1257" s="67"/>
      <c r="J1257" s="67"/>
      <c r="K1257" s="85" t="str">
        <f aca="false">IF(AH1257="","",N(F1257)+N(G1257)+N(H1257)-N(I1257)+N(J1257))</f>
        <v/>
      </c>
      <c r="L1257" s="67"/>
      <c r="M1257" s="67"/>
      <c r="N1257" s="67"/>
      <c r="O1257" s="67"/>
      <c r="P1257" s="85" t="str">
        <f aca="false">IF(AH1257="","",K1257+N(L1257)+N(M1257)+N(N1257)+N(O1257))</f>
        <v/>
      </c>
      <c r="Q1257" s="67"/>
      <c r="R1257" s="67"/>
      <c r="S1257" s="67"/>
      <c r="T1257" s="67"/>
      <c r="U1257" s="67"/>
      <c r="V1257" s="67"/>
      <c r="W1257" s="85" t="str">
        <f aca="false">IF(AH1257="","",N(Q1257)+N(R1257)+N(S1257)+N(T1257)+N(U1257)+N(V1257))</f>
        <v/>
      </c>
      <c r="X1257" s="85" t="str">
        <f aca="false">IF(AH1257="","",P1257-W1257)</f>
        <v/>
      </c>
      <c r="Y1257" s="67"/>
      <c r="Z1257" s="70" t="str">
        <f aca="false">IF(OR(AH1257="",Y1257=""),"",IF(ABS(X1257-Y1257)&lt;=1,"✓ Cuadra","⚠ Diferencia $"&amp;FIXED(X1257-Y1257,0)))</f>
        <v/>
      </c>
      <c r="AA1257" s="72" t="str">
        <f aca="false">IF(AH1257="","",IFERROR(INDEX(C_TIPO,MATCH(C1257&amp;"-P"&amp;MAX(1,COUNTIFS(C_ID,C1257,C_DEFINE,"Sí",C_INICIO,"&lt;="&amp;EOMONTH(B1257,0))),C_CLAVE,0))&amp;"","Sin dato"))</f>
        <v/>
      </c>
      <c r="AB1257" s="71" t="str">
        <f aca="false">IF(AH1257="","",ROUND(MIN(K1257,TOPE_AFP_UF*AJ1257)*AK1257,0))</f>
        <v/>
      </c>
      <c r="AC1257" s="71" t="str">
        <f aca="false">IF(AH1257="","",ROUND(MIN(K1257,TOPE_AFC_UF*AJ1257)*IF(AA1257="Indefinido",AFC_EMP_INDEF,AFC_EMP_PF),0))</f>
        <v/>
      </c>
      <c r="AD1257" s="71" t="str">
        <f aca="false">IF(AH1257="","",ROUND(MIN(K1257,TOPE_AFP_UF*AJ1257)*(MUTUAL_BASICA+MUTUAL_ADIC+SANNA),0))</f>
        <v/>
      </c>
      <c r="AE1257" s="71" t="str">
        <f aca="false">IF(AH1257="","",P1257-N(N1257)+AB1257+AC1257+AD1257)</f>
        <v/>
      </c>
      <c r="AF1257" s="65"/>
      <c r="AG1257" s="64"/>
      <c r="AH1257" s="72" t="str">
        <f aca="false">IF(OR(B1257="",C1257=""),"",C1257&amp;"|"&amp;(YEAR(B1257)*100+MONTH(B1257)))</f>
        <v/>
      </c>
      <c r="AI1257" s="70" t="str">
        <f aca="false">IF(AH1257="","",IF(COUNTIF(L_CLAVE,AH1257)&gt;1,"⚠ Duplicado","OK"))</f>
        <v/>
      </c>
      <c r="AJ1257" s="86" t="str">
        <f aca="false">IF(AH1257="","",IF(SUMPRODUCT(MAX((IND_PER&lt;=B1257)*(IND_UF&lt;&gt;"")*IND_PER))=0,UF_HOY,INDEX(IND_UF,MATCH(SUMPRODUCT(MAX((IND_PER&lt;=B1257)*(IND_UF&lt;&gt;"")*IND_PER)),IND_PER,0))))</f>
        <v/>
      </c>
      <c r="AK1257" s="87" t="str">
        <f aca="false">IF(AH1257="","",IF(COUNTIF(TASA_DESDE,"&lt;="&amp;B1257)=0,INDEX(TASA_EMP,1),INDEX(TASA_EMP,COUNTIF(TASA_DESDE,"&lt;="&amp;B1257))))</f>
        <v/>
      </c>
    </row>
    <row r="1258" customFormat="false" ht="15" hidden="false" customHeight="false" outlineLevel="0" collapsed="false">
      <c r="B1258" s="78"/>
      <c r="C1258" s="64"/>
      <c r="D1258" s="72" t="str">
        <f aca="false">IF(C1258="","",IFERROR(INDEX(T_NOMBRE,MATCH(C1258,T_ID,0)),"⚠ ID no existe"))</f>
        <v/>
      </c>
      <c r="E1258" s="69"/>
      <c r="F1258" s="67"/>
      <c r="G1258" s="67"/>
      <c r="H1258" s="67"/>
      <c r="I1258" s="67"/>
      <c r="J1258" s="67"/>
      <c r="K1258" s="85" t="str">
        <f aca="false">IF(AH1258="","",N(F1258)+N(G1258)+N(H1258)-N(I1258)+N(J1258))</f>
        <v/>
      </c>
      <c r="L1258" s="67"/>
      <c r="M1258" s="67"/>
      <c r="N1258" s="67"/>
      <c r="O1258" s="67"/>
      <c r="P1258" s="85" t="str">
        <f aca="false">IF(AH1258="","",K1258+N(L1258)+N(M1258)+N(N1258)+N(O1258))</f>
        <v/>
      </c>
      <c r="Q1258" s="67"/>
      <c r="R1258" s="67"/>
      <c r="S1258" s="67"/>
      <c r="T1258" s="67"/>
      <c r="U1258" s="67"/>
      <c r="V1258" s="67"/>
      <c r="W1258" s="85" t="str">
        <f aca="false">IF(AH1258="","",N(Q1258)+N(R1258)+N(S1258)+N(T1258)+N(U1258)+N(V1258))</f>
        <v/>
      </c>
      <c r="X1258" s="85" t="str">
        <f aca="false">IF(AH1258="","",P1258-W1258)</f>
        <v/>
      </c>
      <c r="Y1258" s="67"/>
      <c r="Z1258" s="70" t="str">
        <f aca="false">IF(OR(AH1258="",Y1258=""),"",IF(ABS(X1258-Y1258)&lt;=1,"✓ Cuadra","⚠ Diferencia $"&amp;FIXED(X1258-Y1258,0)))</f>
        <v/>
      </c>
      <c r="AA1258" s="72" t="str">
        <f aca="false">IF(AH1258="","",IFERROR(INDEX(C_TIPO,MATCH(C1258&amp;"-P"&amp;MAX(1,COUNTIFS(C_ID,C1258,C_DEFINE,"Sí",C_INICIO,"&lt;="&amp;EOMONTH(B1258,0))),C_CLAVE,0))&amp;"","Sin dato"))</f>
        <v/>
      </c>
      <c r="AB1258" s="71" t="str">
        <f aca="false">IF(AH1258="","",ROUND(MIN(K1258,TOPE_AFP_UF*AJ1258)*AK1258,0))</f>
        <v/>
      </c>
      <c r="AC1258" s="71" t="str">
        <f aca="false">IF(AH1258="","",ROUND(MIN(K1258,TOPE_AFC_UF*AJ1258)*IF(AA1258="Indefinido",AFC_EMP_INDEF,AFC_EMP_PF),0))</f>
        <v/>
      </c>
      <c r="AD1258" s="71" t="str">
        <f aca="false">IF(AH1258="","",ROUND(MIN(K1258,TOPE_AFP_UF*AJ1258)*(MUTUAL_BASICA+MUTUAL_ADIC+SANNA),0))</f>
        <v/>
      </c>
      <c r="AE1258" s="71" t="str">
        <f aca="false">IF(AH1258="","",P1258-N(N1258)+AB1258+AC1258+AD1258)</f>
        <v/>
      </c>
      <c r="AF1258" s="65"/>
      <c r="AG1258" s="64"/>
      <c r="AH1258" s="72" t="str">
        <f aca="false">IF(OR(B1258="",C1258=""),"",C1258&amp;"|"&amp;(YEAR(B1258)*100+MONTH(B1258)))</f>
        <v/>
      </c>
      <c r="AI1258" s="70" t="str">
        <f aca="false">IF(AH1258="","",IF(COUNTIF(L_CLAVE,AH1258)&gt;1,"⚠ Duplicado","OK"))</f>
        <v/>
      </c>
      <c r="AJ1258" s="86" t="str">
        <f aca="false">IF(AH1258="","",IF(SUMPRODUCT(MAX((IND_PER&lt;=B1258)*(IND_UF&lt;&gt;"")*IND_PER))=0,UF_HOY,INDEX(IND_UF,MATCH(SUMPRODUCT(MAX((IND_PER&lt;=B1258)*(IND_UF&lt;&gt;"")*IND_PER)),IND_PER,0))))</f>
        <v/>
      </c>
      <c r="AK1258" s="87" t="str">
        <f aca="false">IF(AH1258="","",IF(COUNTIF(TASA_DESDE,"&lt;="&amp;B1258)=0,INDEX(TASA_EMP,1),INDEX(TASA_EMP,COUNTIF(TASA_DESDE,"&lt;="&amp;B1258))))</f>
        <v/>
      </c>
    </row>
    <row r="1259" customFormat="false" ht="15" hidden="false" customHeight="false" outlineLevel="0" collapsed="false">
      <c r="B1259" s="78"/>
      <c r="C1259" s="64"/>
      <c r="D1259" s="72" t="str">
        <f aca="false">IF(C1259="","",IFERROR(INDEX(T_NOMBRE,MATCH(C1259,T_ID,0)),"⚠ ID no existe"))</f>
        <v/>
      </c>
      <c r="E1259" s="69"/>
      <c r="F1259" s="67"/>
      <c r="G1259" s="67"/>
      <c r="H1259" s="67"/>
      <c r="I1259" s="67"/>
      <c r="J1259" s="67"/>
      <c r="K1259" s="85" t="str">
        <f aca="false">IF(AH1259="","",N(F1259)+N(G1259)+N(H1259)-N(I1259)+N(J1259))</f>
        <v/>
      </c>
      <c r="L1259" s="67"/>
      <c r="M1259" s="67"/>
      <c r="N1259" s="67"/>
      <c r="O1259" s="67"/>
      <c r="P1259" s="85" t="str">
        <f aca="false">IF(AH1259="","",K1259+N(L1259)+N(M1259)+N(N1259)+N(O1259))</f>
        <v/>
      </c>
      <c r="Q1259" s="67"/>
      <c r="R1259" s="67"/>
      <c r="S1259" s="67"/>
      <c r="T1259" s="67"/>
      <c r="U1259" s="67"/>
      <c r="V1259" s="67"/>
      <c r="W1259" s="85" t="str">
        <f aca="false">IF(AH1259="","",N(Q1259)+N(R1259)+N(S1259)+N(T1259)+N(U1259)+N(V1259))</f>
        <v/>
      </c>
      <c r="X1259" s="85" t="str">
        <f aca="false">IF(AH1259="","",P1259-W1259)</f>
        <v/>
      </c>
      <c r="Y1259" s="67"/>
      <c r="Z1259" s="70" t="str">
        <f aca="false">IF(OR(AH1259="",Y1259=""),"",IF(ABS(X1259-Y1259)&lt;=1,"✓ Cuadra","⚠ Diferencia $"&amp;FIXED(X1259-Y1259,0)))</f>
        <v/>
      </c>
      <c r="AA1259" s="72" t="str">
        <f aca="false">IF(AH1259="","",IFERROR(INDEX(C_TIPO,MATCH(C1259&amp;"-P"&amp;MAX(1,COUNTIFS(C_ID,C1259,C_DEFINE,"Sí",C_INICIO,"&lt;="&amp;EOMONTH(B1259,0))),C_CLAVE,0))&amp;"","Sin dato"))</f>
        <v/>
      </c>
      <c r="AB1259" s="71" t="str">
        <f aca="false">IF(AH1259="","",ROUND(MIN(K1259,TOPE_AFP_UF*AJ1259)*AK1259,0))</f>
        <v/>
      </c>
      <c r="AC1259" s="71" t="str">
        <f aca="false">IF(AH1259="","",ROUND(MIN(K1259,TOPE_AFC_UF*AJ1259)*IF(AA1259="Indefinido",AFC_EMP_INDEF,AFC_EMP_PF),0))</f>
        <v/>
      </c>
      <c r="AD1259" s="71" t="str">
        <f aca="false">IF(AH1259="","",ROUND(MIN(K1259,TOPE_AFP_UF*AJ1259)*(MUTUAL_BASICA+MUTUAL_ADIC+SANNA),0))</f>
        <v/>
      </c>
      <c r="AE1259" s="71" t="str">
        <f aca="false">IF(AH1259="","",P1259-N(N1259)+AB1259+AC1259+AD1259)</f>
        <v/>
      </c>
      <c r="AF1259" s="65"/>
      <c r="AG1259" s="64"/>
      <c r="AH1259" s="72" t="str">
        <f aca="false">IF(OR(B1259="",C1259=""),"",C1259&amp;"|"&amp;(YEAR(B1259)*100+MONTH(B1259)))</f>
        <v/>
      </c>
      <c r="AI1259" s="70" t="str">
        <f aca="false">IF(AH1259="","",IF(COUNTIF(L_CLAVE,AH1259)&gt;1,"⚠ Duplicado","OK"))</f>
        <v/>
      </c>
      <c r="AJ1259" s="86" t="str">
        <f aca="false">IF(AH1259="","",IF(SUMPRODUCT(MAX((IND_PER&lt;=B1259)*(IND_UF&lt;&gt;"")*IND_PER))=0,UF_HOY,INDEX(IND_UF,MATCH(SUMPRODUCT(MAX((IND_PER&lt;=B1259)*(IND_UF&lt;&gt;"")*IND_PER)),IND_PER,0))))</f>
        <v/>
      </c>
      <c r="AK1259" s="87" t="str">
        <f aca="false">IF(AH1259="","",IF(COUNTIF(TASA_DESDE,"&lt;="&amp;B1259)=0,INDEX(TASA_EMP,1),INDEX(TASA_EMP,COUNTIF(TASA_DESDE,"&lt;="&amp;B1259))))</f>
        <v/>
      </c>
    </row>
    <row r="1260" customFormat="false" ht="15" hidden="false" customHeight="false" outlineLevel="0" collapsed="false">
      <c r="B1260" s="78"/>
      <c r="C1260" s="64"/>
      <c r="D1260" s="72" t="str">
        <f aca="false">IF(C1260="","",IFERROR(INDEX(T_NOMBRE,MATCH(C1260,T_ID,0)),"⚠ ID no existe"))</f>
        <v/>
      </c>
      <c r="E1260" s="69"/>
      <c r="F1260" s="67"/>
      <c r="G1260" s="67"/>
      <c r="H1260" s="67"/>
      <c r="I1260" s="67"/>
      <c r="J1260" s="67"/>
      <c r="K1260" s="85" t="str">
        <f aca="false">IF(AH1260="","",N(F1260)+N(G1260)+N(H1260)-N(I1260)+N(J1260))</f>
        <v/>
      </c>
      <c r="L1260" s="67"/>
      <c r="M1260" s="67"/>
      <c r="N1260" s="67"/>
      <c r="O1260" s="67"/>
      <c r="P1260" s="85" t="str">
        <f aca="false">IF(AH1260="","",K1260+N(L1260)+N(M1260)+N(N1260)+N(O1260))</f>
        <v/>
      </c>
      <c r="Q1260" s="67"/>
      <c r="R1260" s="67"/>
      <c r="S1260" s="67"/>
      <c r="T1260" s="67"/>
      <c r="U1260" s="67"/>
      <c r="V1260" s="67"/>
      <c r="W1260" s="85" t="str">
        <f aca="false">IF(AH1260="","",N(Q1260)+N(R1260)+N(S1260)+N(T1260)+N(U1260)+N(V1260))</f>
        <v/>
      </c>
      <c r="X1260" s="85" t="str">
        <f aca="false">IF(AH1260="","",P1260-W1260)</f>
        <v/>
      </c>
      <c r="Y1260" s="67"/>
      <c r="Z1260" s="70" t="str">
        <f aca="false">IF(OR(AH1260="",Y1260=""),"",IF(ABS(X1260-Y1260)&lt;=1,"✓ Cuadra","⚠ Diferencia $"&amp;FIXED(X1260-Y1260,0)))</f>
        <v/>
      </c>
      <c r="AA1260" s="72" t="str">
        <f aca="false">IF(AH1260="","",IFERROR(INDEX(C_TIPO,MATCH(C1260&amp;"-P"&amp;MAX(1,COUNTIFS(C_ID,C1260,C_DEFINE,"Sí",C_INICIO,"&lt;="&amp;EOMONTH(B1260,0))),C_CLAVE,0))&amp;"","Sin dato"))</f>
        <v/>
      </c>
      <c r="AB1260" s="71" t="str">
        <f aca="false">IF(AH1260="","",ROUND(MIN(K1260,TOPE_AFP_UF*AJ1260)*AK1260,0))</f>
        <v/>
      </c>
      <c r="AC1260" s="71" t="str">
        <f aca="false">IF(AH1260="","",ROUND(MIN(K1260,TOPE_AFC_UF*AJ1260)*IF(AA1260="Indefinido",AFC_EMP_INDEF,AFC_EMP_PF),0))</f>
        <v/>
      </c>
      <c r="AD1260" s="71" t="str">
        <f aca="false">IF(AH1260="","",ROUND(MIN(K1260,TOPE_AFP_UF*AJ1260)*(MUTUAL_BASICA+MUTUAL_ADIC+SANNA),0))</f>
        <v/>
      </c>
      <c r="AE1260" s="71" t="str">
        <f aca="false">IF(AH1260="","",P1260-N(N1260)+AB1260+AC1260+AD1260)</f>
        <v/>
      </c>
      <c r="AF1260" s="65"/>
      <c r="AG1260" s="64"/>
      <c r="AH1260" s="72" t="str">
        <f aca="false">IF(OR(B1260="",C1260=""),"",C1260&amp;"|"&amp;(YEAR(B1260)*100+MONTH(B1260)))</f>
        <v/>
      </c>
      <c r="AI1260" s="70" t="str">
        <f aca="false">IF(AH1260="","",IF(COUNTIF(L_CLAVE,AH1260)&gt;1,"⚠ Duplicado","OK"))</f>
        <v/>
      </c>
      <c r="AJ1260" s="86" t="str">
        <f aca="false">IF(AH1260="","",IF(SUMPRODUCT(MAX((IND_PER&lt;=B1260)*(IND_UF&lt;&gt;"")*IND_PER))=0,UF_HOY,INDEX(IND_UF,MATCH(SUMPRODUCT(MAX((IND_PER&lt;=B1260)*(IND_UF&lt;&gt;"")*IND_PER)),IND_PER,0))))</f>
        <v/>
      </c>
      <c r="AK1260" s="87" t="str">
        <f aca="false">IF(AH1260="","",IF(COUNTIF(TASA_DESDE,"&lt;="&amp;B1260)=0,INDEX(TASA_EMP,1),INDEX(TASA_EMP,COUNTIF(TASA_DESDE,"&lt;="&amp;B1260))))</f>
        <v/>
      </c>
    </row>
    <row r="1261" customFormat="false" ht="15" hidden="false" customHeight="false" outlineLevel="0" collapsed="false">
      <c r="B1261" s="78"/>
      <c r="C1261" s="64"/>
      <c r="D1261" s="72" t="str">
        <f aca="false">IF(C1261="","",IFERROR(INDEX(T_NOMBRE,MATCH(C1261,T_ID,0)),"⚠ ID no existe"))</f>
        <v/>
      </c>
      <c r="E1261" s="69"/>
      <c r="F1261" s="67"/>
      <c r="G1261" s="67"/>
      <c r="H1261" s="67"/>
      <c r="I1261" s="67"/>
      <c r="J1261" s="67"/>
      <c r="K1261" s="85" t="str">
        <f aca="false">IF(AH1261="","",N(F1261)+N(G1261)+N(H1261)-N(I1261)+N(J1261))</f>
        <v/>
      </c>
      <c r="L1261" s="67"/>
      <c r="M1261" s="67"/>
      <c r="N1261" s="67"/>
      <c r="O1261" s="67"/>
      <c r="P1261" s="85" t="str">
        <f aca="false">IF(AH1261="","",K1261+N(L1261)+N(M1261)+N(N1261)+N(O1261))</f>
        <v/>
      </c>
      <c r="Q1261" s="67"/>
      <c r="R1261" s="67"/>
      <c r="S1261" s="67"/>
      <c r="T1261" s="67"/>
      <c r="U1261" s="67"/>
      <c r="V1261" s="67"/>
      <c r="W1261" s="85" t="str">
        <f aca="false">IF(AH1261="","",N(Q1261)+N(R1261)+N(S1261)+N(T1261)+N(U1261)+N(V1261))</f>
        <v/>
      </c>
      <c r="X1261" s="85" t="str">
        <f aca="false">IF(AH1261="","",P1261-W1261)</f>
        <v/>
      </c>
      <c r="Y1261" s="67"/>
      <c r="Z1261" s="70" t="str">
        <f aca="false">IF(OR(AH1261="",Y1261=""),"",IF(ABS(X1261-Y1261)&lt;=1,"✓ Cuadra","⚠ Diferencia $"&amp;FIXED(X1261-Y1261,0)))</f>
        <v/>
      </c>
      <c r="AA1261" s="72" t="str">
        <f aca="false">IF(AH1261="","",IFERROR(INDEX(C_TIPO,MATCH(C1261&amp;"-P"&amp;MAX(1,COUNTIFS(C_ID,C1261,C_DEFINE,"Sí",C_INICIO,"&lt;="&amp;EOMONTH(B1261,0))),C_CLAVE,0))&amp;"","Sin dato"))</f>
        <v/>
      </c>
      <c r="AB1261" s="71" t="str">
        <f aca="false">IF(AH1261="","",ROUND(MIN(K1261,TOPE_AFP_UF*AJ1261)*AK1261,0))</f>
        <v/>
      </c>
      <c r="AC1261" s="71" t="str">
        <f aca="false">IF(AH1261="","",ROUND(MIN(K1261,TOPE_AFC_UF*AJ1261)*IF(AA1261="Indefinido",AFC_EMP_INDEF,AFC_EMP_PF),0))</f>
        <v/>
      </c>
      <c r="AD1261" s="71" t="str">
        <f aca="false">IF(AH1261="","",ROUND(MIN(K1261,TOPE_AFP_UF*AJ1261)*(MUTUAL_BASICA+MUTUAL_ADIC+SANNA),0))</f>
        <v/>
      </c>
      <c r="AE1261" s="71" t="str">
        <f aca="false">IF(AH1261="","",P1261-N(N1261)+AB1261+AC1261+AD1261)</f>
        <v/>
      </c>
      <c r="AF1261" s="65"/>
      <c r="AG1261" s="64"/>
      <c r="AH1261" s="72" t="str">
        <f aca="false">IF(OR(B1261="",C1261=""),"",C1261&amp;"|"&amp;(YEAR(B1261)*100+MONTH(B1261)))</f>
        <v/>
      </c>
      <c r="AI1261" s="70" t="str">
        <f aca="false">IF(AH1261="","",IF(COUNTIF(L_CLAVE,AH1261)&gt;1,"⚠ Duplicado","OK"))</f>
        <v/>
      </c>
      <c r="AJ1261" s="86" t="str">
        <f aca="false">IF(AH1261="","",IF(SUMPRODUCT(MAX((IND_PER&lt;=B1261)*(IND_UF&lt;&gt;"")*IND_PER))=0,UF_HOY,INDEX(IND_UF,MATCH(SUMPRODUCT(MAX((IND_PER&lt;=B1261)*(IND_UF&lt;&gt;"")*IND_PER)),IND_PER,0))))</f>
        <v/>
      </c>
      <c r="AK1261" s="87" t="str">
        <f aca="false">IF(AH1261="","",IF(COUNTIF(TASA_DESDE,"&lt;="&amp;B1261)=0,INDEX(TASA_EMP,1),INDEX(TASA_EMP,COUNTIF(TASA_DESDE,"&lt;="&amp;B1261))))</f>
        <v/>
      </c>
    </row>
    <row r="1262" customFormat="false" ht="15" hidden="false" customHeight="false" outlineLevel="0" collapsed="false">
      <c r="B1262" s="78"/>
      <c r="C1262" s="64"/>
      <c r="D1262" s="72" t="str">
        <f aca="false">IF(C1262="","",IFERROR(INDEX(T_NOMBRE,MATCH(C1262,T_ID,0)),"⚠ ID no existe"))</f>
        <v/>
      </c>
      <c r="E1262" s="69"/>
      <c r="F1262" s="67"/>
      <c r="G1262" s="67"/>
      <c r="H1262" s="67"/>
      <c r="I1262" s="67"/>
      <c r="J1262" s="67"/>
      <c r="K1262" s="85" t="str">
        <f aca="false">IF(AH1262="","",N(F1262)+N(G1262)+N(H1262)-N(I1262)+N(J1262))</f>
        <v/>
      </c>
      <c r="L1262" s="67"/>
      <c r="M1262" s="67"/>
      <c r="N1262" s="67"/>
      <c r="O1262" s="67"/>
      <c r="P1262" s="85" t="str">
        <f aca="false">IF(AH1262="","",K1262+N(L1262)+N(M1262)+N(N1262)+N(O1262))</f>
        <v/>
      </c>
      <c r="Q1262" s="67"/>
      <c r="R1262" s="67"/>
      <c r="S1262" s="67"/>
      <c r="T1262" s="67"/>
      <c r="U1262" s="67"/>
      <c r="V1262" s="67"/>
      <c r="W1262" s="85" t="str">
        <f aca="false">IF(AH1262="","",N(Q1262)+N(R1262)+N(S1262)+N(T1262)+N(U1262)+N(V1262))</f>
        <v/>
      </c>
      <c r="X1262" s="85" t="str">
        <f aca="false">IF(AH1262="","",P1262-W1262)</f>
        <v/>
      </c>
      <c r="Y1262" s="67"/>
      <c r="Z1262" s="70" t="str">
        <f aca="false">IF(OR(AH1262="",Y1262=""),"",IF(ABS(X1262-Y1262)&lt;=1,"✓ Cuadra","⚠ Diferencia $"&amp;FIXED(X1262-Y1262,0)))</f>
        <v/>
      </c>
      <c r="AA1262" s="72" t="str">
        <f aca="false">IF(AH1262="","",IFERROR(INDEX(C_TIPO,MATCH(C1262&amp;"-P"&amp;MAX(1,COUNTIFS(C_ID,C1262,C_DEFINE,"Sí",C_INICIO,"&lt;="&amp;EOMONTH(B1262,0))),C_CLAVE,0))&amp;"","Sin dato"))</f>
        <v/>
      </c>
      <c r="AB1262" s="71" t="str">
        <f aca="false">IF(AH1262="","",ROUND(MIN(K1262,TOPE_AFP_UF*AJ1262)*AK1262,0))</f>
        <v/>
      </c>
      <c r="AC1262" s="71" t="str">
        <f aca="false">IF(AH1262="","",ROUND(MIN(K1262,TOPE_AFC_UF*AJ1262)*IF(AA1262="Indefinido",AFC_EMP_INDEF,AFC_EMP_PF),0))</f>
        <v/>
      </c>
      <c r="AD1262" s="71" t="str">
        <f aca="false">IF(AH1262="","",ROUND(MIN(K1262,TOPE_AFP_UF*AJ1262)*(MUTUAL_BASICA+MUTUAL_ADIC+SANNA),0))</f>
        <v/>
      </c>
      <c r="AE1262" s="71" t="str">
        <f aca="false">IF(AH1262="","",P1262-N(N1262)+AB1262+AC1262+AD1262)</f>
        <v/>
      </c>
      <c r="AF1262" s="65"/>
      <c r="AG1262" s="64"/>
      <c r="AH1262" s="72" t="str">
        <f aca="false">IF(OR(B1262="",C1262=""),"",C1262&amp;"|"&amp;(YEAR(B1262)*100+MONTH(B1262)))</f>
        <v/>
      </c>
      <c r="AI1262" s="70" t="str">
        <f aca="false">IF(AH1262="","",IF(COUNTIF(L_CLAVE,AH1262)&gt;1,"⚠ Duplicado","OK"))</f>
        <v/>
      </c>
      <c r="AJ1262" s="86" t="str">
        <f aca="false">IF(AH1262="","",IF(SUMPRODUCT(MAX((IND_PER&lt;=B1262)*(IND_UF&lt;&gt;"")*IND_PER))=0,UF_HOY,INDEX(IND_UF,MATCH(SUMPRODUCT(MAX((IND_PER&lt;=B1262)*(IND_UF&lt;&gt;"")*IND_PER)),IND_PER,0))))</f>
        <v/>
      </c>
      <c r="AK1262" s="87" t="str">
        <f aca="false">IF(AH1262="","",IF(COUNTIF(TASA_DESDE,"&lt;="&amp;B1262)=0,INDEX(TASA_EMP,1),INDEX(TASA_EMP,COUNTIF(TASA_DESDE,"&lt;="&amp;B1262))))</f>
        <v/>
      </c>
    </row>
    <row r="1263" customFormat="false" ht="15" hidden="false" customHeight="false" outlineLevel="0" collapsed="false">
      <c r="B1263" s="78"/>
      <c r="C1263" s="64"/>
      <c r="D1263" s="72" t="str">
        <f aca="false">IF(C1263="","",IFERROR(INDEX(T_NOMBRE,MATCH(C1263,T_ID,0)),"⚠ ID no existe"))</f>
        <v/>
      </c>
      <c r="E1263" s="69"/>
      <c r="F1263" s="67"/>
      <c r="G1263" s="67"/>
      <c r="H1263" s="67"/>
      <c r="I1263" s="67"/>
      <c r="J1263" s="67"/>
      <c r="K1263" s="85" t="str">
        <f aca="false">IF(AH1263="","",N(F1263)+N(G1263)+N(H1263)-N(I1263)+N(J1263))</f>
        <v/>
      </c>
      <c r="L1263" s="67"/>
      <c r="M1263" s="67"/>
      <c r="N1263" s="67"/>
      <c r="O1263" s="67"/>
      <c r="P1263" s="85" t="str">
        <f aca="false">IF(AH1263="","",K1263+N(L1263)+N(M1263)+N(N1263)+N(O1263))</f>
        <v/>
      </c>
      <c r="Q1263" s="67"/>
      <c r="R1263" s="67"/>
      <c r="S1263" s="67"/>
      <c r="T1263" s="67"/>
      <c r="U1263" s="67"/>
      <c r="V1263" s="67"/>
      <c r="W1263" s="85" t="str">
        <f aca="false">IF(AH1263="","",N(Q1263)+N(R1263)+N(S1263)+N(T1263)+N(U1263)+N(V1263))</f>
        <v/>
      </c>
      <c r="X1263" s="85" t="str">
        <f aca="false">IF(AH1263="","",P1263-W1263)</f>
        <v/>
      </c>
      <c r="Y1263" s="67"/>
      <c r="Z1263" s="70" t="str">
        <f aca="false">IF(OR(AH1263="",Y1263=""),"",IF(ABS(X1263-Y1263)&lt;=1,"✓ Cuadra","⚠ Diferencia $"&amp;FIXED(X1263-Y1263,0)))</f>
        <v/>
      </c>
      <c r="AA1263" s="72" t="str">
        <f aca="false">IF(AH1263="","",IFERROR(INDEX(C_TIPO,MATCH(C1263&amp;"-P"&amp;MAX(1,COUNTIFS(C_ID,C1263,C_DEFINE,"Sí",C_INICIO,"&lt;="&amp;EOMONTH(B1263,0))),C_CLAVE,0))&amp;"","Sin dato"))</f>
        <v/>
      </c>
      <c r="AB1263" s="71" t="str">
        <f aca="false">IF(AH1263="","",ROUND(MIN(K1263,TOPE_AFP_UF*AJ1263)*AK1263,0))</f>
        <v/>
      </c>
      <c r="AC1263" s="71" t="str">
        <f aca="false">IF(AH1263="","",ROUND(MIN(K1263,TOPE_AFC_UF*AJ1263)*IF(AA1263="Indefinido",AFC_EMP_INDEF,AFC_EMP_PF),0))</f>
        <v/>
      </c>
      <c r="AD1263" s="71" t="str">
        <f aca="false">IF(AH1263="","",ROUND(MIN(K1263,TOPE_AFP_UF*AJ1263)*(MUTUAL_BASICA+MUTUAL_ADIC+SANNA),0))</f>
        <v/>
      </c>
      <c r="AE1263" s="71" t="str">
        <f aca="false">IF(AH1263="","",P1263-N(N1263)+AB1263+AC1263+AD1263)</f>
        <v/>
      </c>
      <c r="AF1263" s="65"/>
      <c r="AG1263" s="64"/>
      <c r="AH1263" s="72" t="str">
        <f aca="false">IF(OR(B1263="",C1263=""),"",C1263&amp;"|"&amp;(YEAR(B1263)*100+MONTH(B1263)))</f>
        <v/>
      </c>
      <c r="AI1263" s="70" t="str">
        <f aca="false">IF(AH1263="","",IF(COUNTIF(L_CLAVE,AH1263)&gt;1,"⚠ Duplicado","OK"))</f>
        <v/>
      </c>
      <c r="AJ1263" s="86" t="str">
        <f aca="false">IF(AH1263="","",IF(SUMPRODUCT(MAX((IND_PER&lt;=B1263)*(IND_UF&lt;&gt;"")*IND_PER))=0,UF_HOY,INDEX(IND_UF,MATCH(SUMPRODUCT(MAX((IND_PER&lt;=B1263)*(IND_UF&lt;&gt;"")*IND_PER)),IND_PER,0))))</f>
        <v/>
      </c>
      <c r="AK1263" s="87" t="str">
        <f aca="false">IF(AH1263="","",IF(COUNTIF(TASA_DESDE,"&lt;="&amp;B1263)=0,INDEX(TASA_EMP,1),INDEX(TASA_EMP,COUNTIF(TASA_DESDE,"&lt;="&amp;B1263))))</f>
        <v/>
      </c>
    </row>
    <row r="1264" customFormat="false" ht="15" hidden="false" customHeight="false" outlineLevel="0" collapsed="false">
      <c r="B1264" s="78"/>
      <c r="C1264" s="64"/>
      <c r="D1264" s="72" t="str">
        <f aca="false">IF(C1264="","",IFERROR(INDEX(T_NOMBRE,MATCH(C1264,T_ID,0)),"⚠ ID no existe"))</f>
        <v/>
      </c>
      <c r="E1264" s="69"/>
      <c r="F1264" s="67"/>
      <c r="G1264" s="67"/>
      <c r="H1264" s="67"/>
      <c r="I1264" s="67"/>
      <c r="J1264" s="67"/>
      <c r="K1264" s="85" t="str">
        <f aca="false">IF(AH1264="","",N(F1264)+N(G1264)+N(H1264)-N(I1264)+N(J1264))</f>
        <v/>
      </c>
      <c r="L1264" s="67"/>
      <c r="M1264" s="67"/>
      <c r="N1264" s="67"/>
      <c r="O1264" s="67"/>
      <c r="P1264" s="85" t="str">
        <f aca="false">IF(AH1264="","",K1264+N(L1264)+N(M1264)+N(N1264)+N(O1264))</f>
        <v/>
      </c>
      <c r="Q1264" s="67"/>
      <c r="R1264" s="67"/>
      <c r="S1264" s="67"/>
      <c r="T1264" s="67"/>
      <c r="U1264" s="67"/>
      <c r="V1264" s="67"/>
      <c r="W1264" s="85" t="str">
        <f aca="false">IF(AH1264="","",N(Q1264)+N(R1264)+N(S1264)+N(T1264)+N(U1264)+N(V1264))</f>
        <v/>
      </c>
      <c r="X1264" s="85" t="str">
        <f aca="false">IF(AH1264="","",P1264-W1264)</f>
        <v/>
      </c>
      <c r="Y1264" s="67"/>
      <c r="Z1264" s="70" t="str">
        <f aca="false">IF(OR(AH1264="",Y1264=""),"",IF(ABS(X1264-Y1264)&lt;=1,"✓ Cuadra","⚠ Diferencia $"&amp;FIXED(X1264-Y1264,0)))</f>
        <v/>
      </c>
      <c r="AA1264" s="72" t="str">
        <f aca="false">IF(AH1264="","",IFERROR(INDEX(C_TIPO,MATCH(C1264&amp;"-P"&amp;MAX(1,COUNTIFS(C_ID,C1264,C_DEFINE,"Sí",C_INICIO,"&lt;="&amp;EOMONTH(B1264,0))),C_CLAVE,0))&amp;"","Sin dato"))</f>
        <v/>
      </c>
      <c r="AB1264" s="71" t="str">
        <f aca="false">IF(AH1264="","",ROUND(MIN(K1264,TOPE_AFP_UF*AJ1264)*AK1264,0))</f>
        <v/>
      </c>
      <c r="AC1264" s="71" t="str">
        <f aca="false">IF(AH1264="","",ROUND(MIN(K1264,TOPE_AFC_UF*AJ1264)*IF(AA1264="Indefinido",AFC_EMP_INDEF,AFC_EMP_PF),0))</f>
        <v/>
      </c>
      <c r="AD1264" s="71" t="str">
        <f aca="false">IF(AH1264="","",ROUND(MIN(K1264,TOPE_AFP_UF*AJ1264)*(MUTUAL_BASICA+MUTUAL_ADIC+SANNA),0))</f>
        <v/>
      </c>
      <c r="AE1264" s="71" t="str">
        <f aca="false">IF(AH1264="","",P1264-N(N1264)+AB1264+AC1264+AD1264)</f>
        <v/>
      </c>
      <c r="AF1264" s="65"/>
      <c r="AG1264" s="64"/>
      <c r="AH1264" s="72" t="str">
        <f aca="false">IF(OR(B1264="",C1264=""),"",C1264&amp;"|"&amp;(YEAR(B1264)*100+MONTH(B1264)))</f>
        <v/>
      </c>
      <c r="AI1264" s="70" t="str">
        <f aca="false">IF(AH1264="","",IF(COUNTIF(L_CLAVE,AH1264)&gt;1,"⚠ Duplicado","OK"))</f>
        <v/>
      </c>
      <c r="AJ1264" s="86" t="str">
        <f aca="false">IF(AH1264="","",IF(SUMPRODUCT(MAX((IND_PER&lt;=B1264)*(IND_UF&lt;&gt;"")*IND_PER))=0,UF_HOY,INDEX(IND_UF,MATCH(SUMPRODUCT(MAX((IND_PER&lt;=B1264)*(IND_UF&lt;&gt;"")*IND_PER)),IND_PER,0))))</f>
        <v/>
      </c>
      <c r="AK1264" s="87" t="str">
        <f aca="false">IF(AH1264="","",IF(COUNTIF(TASA_DESDE,"&lt;="&amp;B1264)=0,INDEX(TASA_EMP,1),INDEX(TASA_EMP,COUNTIF(TASA_DESDE,"&lt;="&amp;B1264))))</f>
        <v/>
      </c>
    </row>
    <row r="1265" customFormat="false" ht="15" hidden="false" customHeight="false" outlineLevel="0" collapsed="false">
      <c r="B1265" s="78"/>
      <c r="C1265" s="64"/>
      <c r="D1265" s="72" t="str">
        <f aca="false">IF(C1265="","",IFERROR(INDEX(T_NOMBRE,MATCH(C1265,T_ID,0)),"⚠ ID no existe"))</f>
        <v/>
      </c>
      <c r="E1265" s="69"/>
      <c r="F1265" s="67"/>
      <c r="G1265" s="67"/>
      <c r="H1265" s="67"/>
      <c r="I1265" s="67"/>
      <c r="J1265" s="67"/>
      <c r="K1265" s="85" t="str">
        <f aca="false">IF(AH1265="","",N(F1265)+N(G1265)+N(H1265)-N(I1265)+N(J1265))</f>
        <v/>
      </c>
      <c r="L1265" s="67"/>
      <c r="M1265" s="67"/>
      <c r="N1265" s="67"/>
      <c r="O1265" s="67"/>
      <c r="P1265" s="85" t="str">
        <f aca="false">IF(AH1265="","",K1265+N(L1265)+N(M1265)+N(N1265)+N(O1265))</f>
        <v/>
      </c>
      <c r="Q1265" s="67"/>
      <c r="R1265" s="67"/>
      <c r="S1265" s="67"/>
      <c r="T1265" s="67"/>
      <c r="U1265" s="67"/>
      <c r="V1265" s="67"/>
      <c r="W1265" s="85" t="str">
        <f aca="false">IF(AH1265="","",N(Q1265)+N(R1265)+N(S1265)+N(T1265)+N(U1265)+N(V1265))</f>
        <v/>
      </c>
      <c r="X1265" s="85" t="str">
        <f aca="false">IF(AH1265="","",P1265-W1265)</f>
        <v/>
      </c>
      <c r="Y1265" s="67"/>
      <c r="Z1265" s="70" t="str">
        <f aca="false">IF(OR(AH1265="",Y1265=""),"",IF(ABS(X1265-Y1265)&lt;=1,"✓ Cuadra","⚠ Diferencia $"&amp;FIXED(X1265-Y1265,0)))</f>
        <v/>
      </c>
      <c r="AA1265" s="72" t="str">
        <f aca="false">IF(AH1265="","",IFERROR(INDEX(C_TIPO,MATCH(C1265&amp;"-P"&amp;MAX(1,COUNTIFS(C_ID,C1265,C_DEFINE,"Sí",C_INICIO,"&lt;="&amp;EOMONTH(B1265,0))),C_CLAVE,0))&amp;"","Sin dato"))</f>
        <v/>
      </c>
      <c r="AB1265" s="71" t="str">
        <f aca="false">IF(AH1265="","",ROUND(MIN(K1265,TOPE_AFP_UF*AJ1265)*AK1265,0))</f>
        <v/>
      </c>
      <c r="AC1265" s="71" t="str">
        <f aca="false">IF(AH1265="","",ROUND(MIN(K1265,TOPE_AFC_UF*AJ1265)*IF(AA1265="Indefinido",AFC_EMP_INDEF,AFC_EMP_PF),0))</f>
        <v/>
      </c>
      <c r="AD1265" s="71" t="str">
        <f aca="false">IF(AH1265="","",ROUND(MIN(K1265,TOPE_AFP_UF*AJ1265)*(MUTUAL_BASICA+MUTUAL_ADIC+SANNA),0))</f>
        <v/>
      </c>
      <c r="AE1265" s="71" t="str">
        <f aca="false">IF(AH1265="","",P1265-N(N1265)+AB1265+AC1265+AD1265)</f>
        <v/>
      </c>
      <c r="AF1265" s="65"/>
      <c r="AG1265" s="64"/>
      <c r="AH1265" s="72" t="str">
        <f aca="false">IF(OR(B1265="",C1265=""),"",C1265&amp;"|"&amp;(YEAR(B1265)*100+MONTH(B1265)))</f>
        <v/>
      </c>
      <c r="AI1265" s="70" t="str">
        <f aca="false">IF(AH1265="","",IF(COUNTIF(L_CLAVE,AH1265)&gt;1,"⚠ Duplicado","OK"))</f>
        <v/>
      </c>
      <c r="AJ1265" s="86" t="str">
        <f aca="false">IF(AH1265="","",IF(SUMPRODUCT(MAX((IND_PER&lt;=B1265)*(IND_UF&lt;&gt;"")*IND_PER))=0,UF_HOY,INDEX(IND_UF,MATCH(SUMPRODUCT(MAX((IND_PER&lt;=B1265)*(IND_UF&lt;&gt;"")*IND_PER)),IND_PER,0))))</f>
        <v/>
      </c>
      <c r="AK1265" s="87" t="str">
        <f aca="false">IF(AH1265="","",IF(COUNTIF(TASA_DESDE,"&lt;="&amp;B1265)=0,INDEX(TASA_EMP,1),INDEX(TASA_EMP,COUNTIF(TASA_DESDE,"&lt;="&amp;B1265))))</f>
        <v/>
      </c>
    </row>
    <row r="1266" customFormat="false" ht="15" hidden="false" customHeight="false" outlineLevel="0" collapsed="false">
      <c r="B1266" s="78"/>
      <c r="C1266" s="64"/>
      <c r="D1266" s="72" t="str">
        <f aca="false">IF(C1266="","",IFERROR(INDEX(T_NOMBRE,MATCH(C1266,T_ID,0)),"⚠ ID no existe"))</f>
        <v/>
      </c>
      <c r="E1266" s="69"/>
      <c r="F1266" s="67"/>
      <c r="G1266" s="67"/>
      <c r="H1266" s="67"/>
      <c r="I1266" s="67"/>
      <c r="J1266" s="67"/>
      <c r="K1266" s="85" t="str">
        <f aca="false">IF(AH1266="","",N(F1266)+N(G1266)+N(H1266)-N(I1266)+N(J1266))</f>
        <v/>
      </c>
      <c r="L1266" s="67"/>
      <c r="M1266" s="67"/>
      <c r="N1266" s="67"/>
      <c r="O1266" s="67"/>
      <c r="P1266" s="85" t="str">
        <f aca="false">IF(AH1266="","",K1266+N(L1266)+N(M1266)+N(N1266)+N(O1266))</f>
        <v/>
      </c>
      <c r="Q1266" s="67"/>
      <c r="R1266" s="67"/>
      <c r="S1266" s="67"/>
      <c r="T1266" s="67"/>
      <c r="U1266" s="67"/>
      <c r="V1266" s="67"/>
      <c r="W1266" s="85" t="str">
        <f aca="false">IF(AH1266="","",N(Q1266)+N(R1266)+N(S1266)+N(T1266)+N(U1266)+N(V1266))</f>
        <v/>
      </c>
      <c r="X1266" s="85" t="str">
        <f aca="false">IF(AH1266="","",P1266-W1266)</f>
        <v/>
      </c>
      <c r="Y1266" s="67"/>
      <c r="Z1266" s="70" t="str">
        <f aca="false">IF(OR(AH1266="",Y1266=""),"",IF(ABS(X1266-Y1266)&lt;=1,"✓ Cuadra","⚠ Diferencia $"&amp;FIXED(X1266-Y1266,0)))</f>
        <v/>
      </c>
      <c r="AA1266" s="72" t="str">
        <f aca="false">IF(AH1266="","",IFERROR(INDEX(C_TIPO,MATCH(C1266&amp;"-P"&amp;MAX(1,COUNTIFS(C_ID,C1266,C_DEFINE,"Sí",C_INICIO,"&lt;="&amp;EOMONTH(B1266,0))),C_CLAVE,0))&amp;"","Sin dato"))</f>
        <v/>
      </c>
      <c r="AB1266" s="71" t="str">
        <f aca="false">IF(AH1266="","",ROUND(MIN(K1266,TOPE_AFP_UF*AJ1266)*AK1266,0))</f>
        <v/>
      </c>
      <c r="AC1266" s="71" t="str">
        <f aca="false">IF(AH1266="","",ROUND(MIN(K1266,TOPE_AFC_UF*AJ1266)*IF(AA1266="Indefinido",AFC_EMP_INDEF,AFC_EMP_PF),0))</f>
        <v/>
      </c>
      <c r="AD1266" s="71" t="str">
        <f aca="false">IF(AH1266="","",ROUND(MIN(K1266,TOPE_AFP_UF*AJ1266)*(MUTUAL_BASICA+MUTUAL_ADIC+SANNA),0))</f>
        <v/>
      </c>
      <c r="AE1266" s="71" t="str">
        <f aca="false">IF(AH1266="","",P1266-N(N1266)+AB1266+AC1266+AD1266)</f>
        <v/>
      </c>
      <c r="AF1266" s="65"/>
      <c r="AG1266" s="64"/>
      <c r="AH1266" s="72" t="str">
        <f aca="false">IF(OR(B1266="",C1266=""),"",C1266&amp;"|"&amp;(YEAR(B1266)*100+MONTH(B1266)))</f>
        <v/>
      </c>
      <c r="AI1266" s="70" t="str">
        <f aca="false">IF(AH1266="","",IF(COUNTIF(L_CLAVE,AH1266)&gt;1,"⚠ Duplicado","OK"))</f>
        <v/>
      </c>
      <c r="AJ1266" s="86" t="str">
        <f aca="false">IF(AH1266="","",IF(SUMPRODUCT(MAX((IND_PER&lt;=B1266)*(IND_UF&lt;&gt;"")*IND_PER))=0,UF_HOY,INDEX(IND_UF,MATCH(SUMPRODUCT(MAX((IND_PER&lt;=B1266)*(IND_UF&lt;&gt;"")*IND_PER)),IND_PER,0))))</f>
        <v/>
      </c>
      <c r="AK1266" s="87" t="str">
        <f aca="false">IF(AH1266="","",IF(COUNTIF(TASA_DESDE,"&lt;="&amp;B1266)=0,INDEX(TASA_EMP,1),INDEX(TASA_EMP,COUNTIF(TASA_DESDE,"&lt;="&amp;B1266))))</f>
        <v/>
      </c>
    </row>
    <row r="1267" customFormat="false" ht="15" hidden="false" customHeight="false" outlineLevel="0" collapsed="false">
      <c r="B1267" s="78"/>
      <c r="C1267" s="64"/>
      <c r="D1267" s="72" t="str">
        <f aca="false">IF(C1267="","",IFERROR(INDEX(T_NOMBRE,MATCH(C1267,T_ID,0)),"⚠ ID no existe"))</f>
        <v/>
      </c>
      <c r="E1267" s="69"/>
      <c r="F1267" s="67"/>
      <c r="G1267" s="67"/>
      <c r="H1267" s="67"/>
      <c r="I1267" s="67"/>
      <c r="J1267" s="67"/>
      <c r="K1267" s="85" t="str">
        <f aca="false">IF(AH1267="","",N(F1267)+N(G1267)+N(H1267)-N(I1267)+N(J1267))</f>
        <v/>
      </c>
      <c r="L1267" s="67"/>
      <c r="M1267" s="67"/>
      <c r="N1267" s="67"/>
      <c r="O1267" s="67"/>
      <c r="P1267" s="85" t="str">
        <f aca="false">IF(AH1267="","",K1267+N(L1267)+N(M1267)+N(N1267)+N(O1267))</f>
        <v/>
      </c>
      <c r="Q1267" s="67"/>
      <c r="R1267" s="67"/>
      <c r="S1267" s="67"/>
      <c r="T1267" s="67"/>
      <c r="U1267" s="67"/>
      <c r="V1267" s="67"/>
      <c r="W1267" s="85" t="str">
        <f aca="false">IF(AH1267="","",N(Q1267)+N(R1267)+N(S1267)+N(T1267)+N(U1267)+N(V1267))</f>
        <v/>
      </c>
      <c r="X1267" s="85" t="str">
        <f aca="false">IF(AH1267="","",P1267-W1267)</f>
        <v/>
      </c>
      <c r="Y1267" s="67"/>
      <c r="Z1267" s="70" t="str">
        <f aca="false">IF(OR(AH1267="",Y1267=""),"",IF(ABS(X1267-Y1267)&lt;=1,"✓ Cuadra","⚠ Diferencia $"&amp;FIXED(X1267-Y1267,0)))</f>
        <v/>
      </c>
      <c r="AA1267" s="72" t="str">
        <f aca="false">IF(AH1267="","",IFERROR(INDEX(C_TIPO,MATCH(C1267&amp;"-P"&amp;MAX(1,COUNTIFS(C_ID,C1267,C_DEFINE,"Sí",C_INICIO,"&lt;="&amp;EOMONTH(B1267,0))),C_CLAVE,0))&amp;"","Sin dato"))</f>
        <v/>
      </c>
      <c r="AB1267" s="71" t="str">
        <f aca="false">IF(AH1267="","",ROUND(MIN(K1267,TOPE_AFP_UF*AJ1267)*AK1267,0))</f>
        <v/>
      </c>
      <c r="AC1267" s="71" t="str">
        <f aca="false">IF(AH1267="","",ROUND(MIN(K1267,TOPE_AFC_UF*AJ1267)*IF(AA1267="Indefinido",AFC_EMP_INDEF,AFC_EMP_PF),0))</f>
        <v/>
      </c>
      <c r="AD1267" s="71" t="str">
        <f aca="false">IF(AH1267="","",ROUND(MIN(K1267,TOPE_AFP_UF*AJ1267)*(MUTUAL_BASICA+MUTUAL_ADIC+SANNA),0))</f>
        <v/>
      </c>
      <c r="AE1267" s="71" t="str">
        <f aca="false">IF(AH1267="","",P1267-N(N1267)+AB1267+AC1267+AD1267)</f>
        <v/>
      </c>
      <c r="AF1267" s="65"/>
      <c r="AG1267" s="64"/>
      <c r="AH1267" s="72" t="str">
        <f aca="false">IF(OR(B1267="",C1267=""),"",C1267&amp;"|"&amp;(YEAR(B1267)*100+MONTH(B1267)))</f>
        <v/>
      </c>
      <c r="AI1267" s="70" t="str">
        <f aca="false">IF(AH1267="","",IF(COUNTIF(L_CLAVE,AH1267)&gt;1,"⚠ Duplicado","OK"))</f>
        <v/>
      </c>
      <c r="AJ1267" s="86" t="str">
        <f aca="false">IF(AH1267="","",IF(SUMPRODUCT(MAX((IND_PER&lt;=B1267)*(IND_UF&lt;&gt;"")*IND_PER))=0,UF_HOY,INDEX(IND_UF,MATCH(SUMPRODUCT(MAX((IND_PER&lt;=B1267)*(IND_UF&lt;&gt;"")*IND_PER)),IND_PER,0))))</f>
        <v/>
      </c>
      <c r="AK1267" s="87" t="str">
        <f aca="false">IF(AH1267="","",IF(COUNTIF(TASA_DESDE,"&lt;="&amp;B1267)=0,INDEX(TASA_EMP,1),INDEX(TASA_EMP,COUNTIF(TASA_DESDE,"&lt;="&amp;B1267))))</f>
        <v/>
      </c>
    </row>
    <row r="1268" customFormat="false" ht="15" hidden="false" customHeight="false" outlineLevel="0" collapsed="false">
      <c r="B1268" s="78"/>
      <c r="C1268" s="64"/>
      <c r="D1268" s="72" t="str">
        <f aca="false">IF(C1268="","",IFERROR(INDEX(T_NOMBRE,MATCH(C1268,T_ID,0)),"⚠ ID no existe"))</f>
        <v/>
      </c>
      <c r="E1268" s="69"/>
      <c r="F1268" s="67"/>
      <c r="G1268" s="67"/>
      <c r="H1268" s="67"/>
      <c r="I1268" s="67"/>
      <c r="J1268" s="67"/>
      <c r="K1268" s="85" t="str">
        <f aca="false">IF(AH1268="","",N(F1268)+N(G1268)+N(H1268)-N(I1268)+N(J1268))</f>
        <v/>
      </c>
      <c r="L1268" s="67"/>
      <c r="M1268" s="67"/>
      <c r="N1268" s="67"/>
      <c r="O1268" s="67"/>
      <c r="P1268" s="85" t="str">
        <f aca="false">IF(AH1268="","",K1268+N(L1268)+N(M1268)+N(N1268)+N(O1268))</f>
        <v/>
      </c>
      <c r="Q1268" s="67"/>
      <c r="R1268" s="67"/>
      <c r="S1268" s="67"/>
      <c r="T1268" s="67"/>
      <c r="U1268" s="67"/>
      <c r="V1268" s="67"/>
      <c r="W1268" s="85" t="str">
        <f aca="false">IF(AH1268="","",N(Q1268)+N(R1268)+N(S1268)+N(T1268)+N(U1268)+N(V1268))</f>
        <v/>
      </c>
      <c r="X1268" s="85" t="str">
        <f aca="false">IF(AH1268="","",P1268-W1268)</f>
        <v/>
      </c>
      <c r="Y1268" s="67"/>
      <c r="Z1268" s="70" t="str">
        <f aca="false">IF(OR(AH1268="",Y1268=""),"",IF(ABS(X1268-Y1268)&lt;=1,"✓ Cuadra","⚠ Diferencia $"&amp;FIXED(X1268-Y1268,0)))</f>
        <v/>
      </c>
      <c r="AA1268" s="72" t="str">
        <f aca="false">IF(AH1268="","",IFERROR(INDEX(C_TIPO,MATCH(C1268&amp;"-P"&amp;MAX(1,COUNTIFS(C_ID,C1268,C_DEFINE,"Sí",C_INICIO,"&lt;="&amp;EOMONTH(B1268,0))),C_CLAVE,0))&amp;"","Sin dato"))</f>
        <v/>
      </c>
      <c r="AB1268" s="71" t="str">
        <f aca="false">IF(AH1268="","",ROUND(MIN(K1268,TOPE_AFP_UF*AJ1268)*AK1268,0))</f>
        <v/>
      </c>
      <c r="AC1268" s="71" t="str">
        <f aca="false">IF(AH1268="","",ROUND(MIN(K1268,TOPE_AFC_UF*AJ1268)*IF(AA1268="Indefinido",AFC_EMP_INDEF,AFC_EMP_PF),0))</f>
        <v/>
      </c>
      <c r="AD1268" s="71" t="str">
        <f aca="false">IF(AH1268="","",ROUND(MIN(K1268,TOPE_AFP_UF*AJ1268)*(MUTUAL_BASICA+MUTUAL_ADIC+SANNA),0))</f>
        <v/>
      </c>
      <c r="AE1268" s="71" t="str">
        <f aca="false">IF(AH1268="","",P1268-N(N1268)+AB1268+AC1268+AD1268)</f>
        <v/>
      </c>
      <c r="AF1268" s="65"/>
      <c r="AG1268" s="64"/>
      <c r="AH1268" s="72" t="str">
        <f aca="false">IF(OR(B1268="",C1268=""),"",C1268&amp;"|"&amp;(YEAR(B1268)*100+MONTH(B1268)))</f>
        <v/>
      </c>
      <c r="AI1268" s="70" t="str">
        <f aca="false">IF(AH1268="","",IF(COUNTIF(L_CLAVE,AH1268)&gt;1,"⚠ Duplicado","OK"))</f>
        <v/>
      </c>
      <c r="AJ1268" s="86" t="str">
        <f aca="false">IF(AH1268="","",IF(SUMPRODUCT(MAX((IND_PER&lt;=B1268)*(IND_UF&lt;&gt;"")*IND_PER))=0,UF_HOY,INDEX(IND_UF,MATCH(SUMPRODUCT(MAX((IND_PER&lt;=B1268)*(IND_UF&lt;&gt;"")*IND_PER)),IND_PER,0))))</f>
        <v/>
      </c>
      <c r="AK1268" s="87" t="str">
        <f aca="false">IF(AH1268="","",IF(COUNTIF(TASA_DESDE,"&lt;="&amp;B1268)=0,INDEX(TASA_EMP,1),INDEX(TASA_EMP,COUNTIF(TASA_DESDE,"&lt;="&amp;B1268))))</f>
        <v/>
      </c>
    </row>
    <row r="1269" customFormat="false" ht="15" hidden="false" customHeight="false" outlineLevel="0" collapsed="false">
      <c r="B1269" s="78"/>
      <c r="C1269" s="64"/>
      <c r="D1269" s="72" t="str">
        <f aca="false">IF(C1269="","",IFERROR(INDEX(T_NOMBRE,MATCH(C1269,T_ID,0)),"⚠ ID no existe"))</f>
        <v/>
      </c>
      <c r="E1269" s="69"/>
      <c r="F1269" s="67"/>
      <c r="G1269" s="67"/>
      <c r="H1269" s="67"/>
      <c r="I1269" s="67"/>
      <c r="J1269" s="67"/>
      <c r="K1269" s="85" t="str">
        <f aca="false">IF(AH1269="","",N(F1269)+N(G1269)+N(H1269)-N(I1269)+N(J1269))</f>
        <v/>
      </c>
      <c r="L1269" s="67"/>
      <c r="M1269" s="67"/>
      <c r="N1269" s="67"/>
      <c r="O1269" s="67"/>
      <c r="P1269" s="85" t="str">
        <f aca="false">IF(AH1269="","",K1269+N(L1269)+N(M1269)+N(N1269)+N(O1269))</f>
        <v/>
      </c>
      <c r="Q1269" s="67"/>
      <c r="R1269" s="67"/>
      <c r="S1269" s="67"/>
      <c r="T1269" s="67"/>
      <c r="U1269" s="67"/>
      <c r="V1269" s="67"/>
      <c r="W1269" s="85" t="str">
        <f aca="false">IF(AH1269="","",N(Q1269)+N(R1269)+N(S1269)+N(T1269)+N(U1269)+N(V1269))</f>
        <v/>
      </c>
      <c r="X1269" s="85" t="str">
        <f aca="false">IF(AH1269="","",P1269-W1269)</f>
        <v/>
      </c>
      <c r="Y1269" s="67"/>
      <c r="Z1269" s="70" t="str">
        <f aca="false">IF(OR(AH1269="",Y1269=""),"",IF(ABS(X1269-Y1269)&lt;=1,"✓ Cuadra","⚠ Diferencia $"&amp;FIXED(X1269-Y1269,0)))</f>
        <v/>
      </c>
      <c r="AA1269" s="72" t="str">
        <f aca="false">IF(AH1269="","",IFERROR(INDEX(C_TIPO,MATCH(C1269&amp;"-P"&amp;MAX(1,COUNTIFS(C_ID,C1269,C_DEFINE,"Sí",C_INICIO,"&lt;="&amp;EOMONTH(B1269,0))),C_CLAVE,0))&amp;"","Sin dato"))</f>
        <v/>
      </c>
      <c r="AB1269" s="71" t="str">
        <f aca="false">IF(AH1269="","",ROUND(MIN(K1269,TOPE_AFP_UF*AJ1269)*AK1269,0))</f>
        <v/>
      </c>
      <c r="AC1269" s="71" t="str">
        <f aca="false">IF(AH1269="","",ROUND(MIN(K1269,TOPE_AFC_UF*AJ1269)*IF(AA1269="Indefinido",AFC_EMP_INDEF,AFC_EMP_PF),0))</f>
        <v/>
      </c>
      <c r="AD1269" s="71" t="str">
        <f aca="false">IF(AH1269="","",ROUND(MIN(K1269,TOPE_AFP_UF*AJ1269)*(MUTUAL_BASICA+MUTUAL_ADIC+SANNA),0))</f>
        <v/>
      </c>
      <c r="AE1269" s="71" t="str">
        <f aca="false">IF(AH1269="","",P1269-N(N1269)+AB1269+AC1269+AD1269)</f>
        <v/>
      </c>
      <c r="AF1269" s="65"/>
      <c r="AG1269" s="64"/>
      <c r="AH1269" s="72" t="str">
        <f aca="false">IF(OR(B1269="",C1269=""),"",C1269&amp;"|"&amp;(YEAR(B1269)*100+MONTH(B1269)))</f>
        <v/>
      </c>
      <c r="AI1269" s="70" t="str">
        <f aca="false">IF(AH1269="","",IF(COUNTIF(L_CLAVE,AH1269)&gt;1,"⚠ Duplicado","OK"))</f>
        <v/>
      </c>
      <c r="AJ1269" s="86" t="str">
        <f aca="false">IF(AH1269="","",IF(SUMPRODUCT(MAX((IND_PER&lt;=B1269)*(IND_UF&lt;&gt;"")*IND_PER))=0,UF_HOY,INDEX(IND_UF,MATCH(SUMPRODUCT(MAX((IND_PER&lt;=B1269)*(IND_UF&lt;&gt;"")*IND_PER)),IND_PER,0))))</f>
        <v/>
      </c>
      <c r="AK1269" s="87" t="str">
        <f aca="false">IF(AH1269="","",IF(COUNTIF(TASA_DESDE,"&lt;="&amp;B1269)=0,INDEX(TASA_EMP,1),INDEX(TASA_EMP,COUNTIF(TASA_DESDE,"&lt;="&amp;B1269))))</f>
        <v/>
      </c>
    </row>
    <row r="1270" customFormat="false" ht="15" hidden="false" customHeight="false" outlineLevel="0" collapsed="false">
      <c r="B1270" s="78"/>
      <c r="C1270" s="64"/>
      <c r="D1270" s="72" t="str">
        <f aca="false">IF(C1270="","",IFERROR(INDEX(T_NOMBRE,MATCH(C1270,T_ID,0)),"⚠ ID no existe"))</f>
        <v/>
      </c>
      <c r="E1270" s="69"/>
      <c r="F1270" s="67"/>
      <c r="G1270" s="67"/>
      <c r="H1270" s="67"/>
      <c r="I1270" s="67"/>
      <c r="J1270" s="67"/>
      <c r="K1270" s="85" t="str">
        <f aca="false">IF(AH1270="","",N(F1270)+N(G1270)+N(H1270)-N(I1270)+N(J1270))</f>
        <v/>
      </c>
      <c r="L1270" s="67"/>
      <c r="M1270" s="67"/>
      <c r="N1270" s="67"/>
      <c r="O1270" s="67"/>
      <c r="P1270" s="85" t="str">
        <f aca="false">IF(AH1270="","",K1270+N(L1270)+N(M1270)+N(N1270)+N(O1270))</f>
        <v/>
      </c>
      <c r="Q1270" s="67"/>
      <c r="R1270" s="67"/>
      <c r="S1270" s="67"/>
      <c r="T1270" s="67"/>
      <c r="U1270" s="67"/>
      <c r="V1270" s="67"/>
      <c r="W1270" s="85" t="str">
        <f aca="false">IF(AH1270="","",N(Q1270)+N(R1270)+N(S1270)+N(T1270)+N(U1270)+N(V1270))</f>
        <v/>
      </c>
      <c r="X1270" s="85" t="str">
        <f aca="false">IF(AH1270="","",P1270-W1270)</f>
        <v/>
      </c>
      <c r="Y1270" s="67"/>
      <c r="Z1270" s="70" t="str">
        <f aca="false">IF(OR(AH1270="",Y1270=""),"",IF(ABS(X1270-Y1270)&lt;=1,"✓ Cuadra","⚠ Diferencia $"&amp;FIXED(X1270-Y1270,0)))</f>
        <v/>
      </c>
      <c r="AA1270" s="72" t="str">
        <f aca="false">IF(AH1270="","",IFERROR(INDEX(C_TIPO,MATCH(C1270&amp;"-P"&amp;MAX(1,COUNTIFS(C_ID,C1270,C_DEFINE,"Sí",C_INICIO,"&lt;="&amp;EOMONTH(B1270,0))),C_CLAVE,0))&amp;"","Sin dato"))</f>
        <v/>
      </c>
      <c r="AB1270" s="71" t="str">
        <f aca="false">IF(AH1270="","",ROUND(MIN(K1270,TOPE_AFP_UF*AJ1270)*AK1270,0))</f>
        <v/>
      </c>
      <c r="AC1270" s="71" t="str">
        <f aca="false">IF(AH1270="","",ROUND(MIN(K1270,TOPE_AFC_UF*AJ1270)*IF(AA1270="Indefinido",AFC_EMP_INDEF,AFC_EMP_PF),0))</f>
        <v/>
      </c>
      <c r="AD1270" s="71" t="str">
        <f aca="false">IF(AH1270="","",ROUND(MIN(K1270,TOPE_AFP_UF*AJ1270)*(MUTUAL_BASICA+MUTUAL_ADIC+SANNA),0))</f>
        <v/>
      </c>
      <c r="AE1270" s="71" t="str">
        <f aca="false">IF(AH1270="","",P1270-N(N1270)+AB1270+AC1270+AD1270)</f>
        <v/>
      </c>
      <c r="AF1270" s="65"/>
      <c r="AG1270" s="64"/>
      <c r="AH1270" s="72" t="str">
        <f aca="false">IF(OR(B1270="",C1270=""),"",C1270&amp;"|"&amp;(YEAR(B1270)*100+MONTH(B1270)))</f>
        <v/>
      </c>
      <c r="AI1270" s="70" t="str">
        <f aca="false">IF(AH1270="","",IF(COUNTIF(L_CLAVE,AH1270)&gt;1,"⚠ Duplicado","OK"))</f>
        <v/>
      </c>
      <c r="AJ1270" s="86" t="str">
        <f aca="false">IF(AH1270="","",IF(SUMPRODUCT(MAX((IND_PER&lt;=B1270)*(IND_UF&lt;&gt;"")*IND_PER))=0,UF_HOY,INDEX(IND_UF,MATCH(SUMPRODUCT(MAX((IND_PER&lt;=B1270)*(IND_UF&lt;&gt;"")*IND_PER)),IND_PER,0))))</f>
        <v/>
      </c>
      <c r="AK1270" s="87" t="str">
        <f aca="false">IF(AH1270="","",IF(COUNTIF(TASA_DESDE,"&lt;="&amp;B1270)=0,INDEX(TASA_EMP,1),INDEX(TASA_EMP,COUNTIF(TASA_DESDE,"&lt;="&amp;B1270))))</f>
        <v/>
      </c>
    </row>
    <row r="1271" customFormat="false" ht="15" hidden="false" customHeight="false" outlineLevel="0" collapsed="false">
      <c r="B1271" s="78"/>
      <c r="C1271" s="64"/>
      <c r="D1271" s="72" t="str">
        <f aca="false">IF(C1271="","",IFERROR(INDEX(T_NOMBRE,MATCH(C1271,T_ID,0)),"⚠ ID no existe"))</f>
        <v/>
      </c>
      <c r="E1271" s="69"/>
      <c r="F1271" s="67"/>
      <c r="G1271" s="67"/>
      <c r="H1271" s="67"/>
      <c r="I1271" s="67"/>
      <c r="J1271" s="67"/>
      <c r="K1271" s="85" t="str">
        <f aca="false">IF(AH1271="","",N(F1271)+N(G1271)+N(H1271)-N(I1271)+N(J1271))</f>
        <v/>
      </c>
      <c r="L1271" s="67"/>
      <c r="M1271" s="67"/>
      <c r="N1271" s="67"/>
      <c r="O1271" s="67"/>
      <c r="P1271" s="85" t="str">
        <f aca="false">IF(AH1271="","",K1271+N(L1271)+N(M1271)+N(N1271)+N(O1271))</f>
        <v/>
      </c>
      <c r="Q1271" s="67"/>
      <c r="R1271" s="67"/>
      <c r="S1271" s="67"/>
      <c r="T1271" s="67"/>
      <c r="U1271" s="67"/>
      <c r="V1271" s="67"/>
      <c r="W1271" s="85" t="str">
        <f aca="false">IF(AH1271="","",N(Q1271)+N(R1271)+N(S1271)+N(T1271)+N(U1271)+N(V1271))</f>
        <v/>
      </c>
      <c r="X1271" s="85" t="str">
        <f aca="false">IF(AH1271="","",P1271-W1271)</f>
        <v/>
      </c>
      <c r="Y1271" s="67"/>
      <c r="Z1271" s="70" t="str">
        <f aca="false">IF(OR(AH1271="",Y1271=""),"",IF(ABS(X1271-Y1271)&lt;=1,"✓ Cuadra","⚠ Diferencia $"&amp;FIXED(X1271-Y1271,0)))</f>
        <v/>
      </c>
      <c r="AA1271" s="72" t="str">
        <f aca="false">IF(AH1271="","",IFERROR(INDEX(C_TIPO,MATCH(C1271&amp;"-P"&amp;MAX(1,COUNTIFS(C_ID,C1271,C_DEFINE,"Sí",C_INICIO,"&lt;="&amp;EOMONTH(B1271,0))),C_CLAVE,0))&amp;"","Sin dato"))</f>
        <v/>
      </c>
      <c r="AB1271" s="71" t="str">
        <f aca="false">IF(AH1271="","",ROUND(MIN(K1271,TOPE_AFP_UF*AJ1271)*AK1271,0))</f>
        <v/>
      </c>
      <c r="AC1271" s="71" t="str">
        <f aca="false">IF(AH1271="","",ROUND(MIN(K1271,TOPE_AFC_UF*AJ1271)*IF(AA1271="Indefinido",AFC_EMP_INDEF,AFC_EMP_PF),0))</f>
        <v/>
      </c>
      <c r="AD1271" s="71" t="str">
        <f aca="false">IF(AH1271="","",ROUND(MIN(K1271,TOPE_AFP_UF*AJ1271)*(MUTUAL_BASICA+MUTUAL_ADIC+SANNA),0))</f>
        <v/>
      </c>
      <c r="AE1271" s="71" t="str">
        <f aca="false">IF(AH1271="","",P1271-N(N1271)+AB1271+AC1271+AD1271)</f>
        <v/>
      </c>
      <c r="AF1271" s="65"/>
      <c r="AG1271" s="64"/>
      <c r="AH1271" s="72" t="str">
        <f aca="false">IF(OR(B1271="",C1271=""),"",C1271&amp;"|"&amp;(YEAR(B1271)*100+MONTH(B1271)))</f>
        <v/>
      </c>
      <c r="AI1271" s="70" t="str">
        <f aca="false">IF(AH1271="","",IF(COUNTIF(L_CLAVE,AH1271)&gt;1,"⚠ Duplicado","OK"))</f>
        <v/>
      </c>
      <c r="AJ1271" s="86" t="str">
        <f aca="false">IF(AH1271="","",IF(SUMPRODUCT(MAX((IND_PER&lt;=B1271)*(IND_UF&lt;&gt;"")*IND_PER))=0,UF_HOY,INDEX(IND_UF,MATCH(SUMPRODUCT(MAX((IND_PER&lt;=B1271)*(IND_UF&lt;&gt;"")*IND_PER)),IND_PER,0))))</f>
        <v/>
      </c>
      <c r="AK1271" s="87" t="str">
        <f aca="false">IF(AH1271="","",IF(COUNTIF(TASA_DESDE,"&lt;="&amp;B1271)=0,INDEX(TASA_EMP,1),INDEX(TASA_EMP,COUNTIF(TASA_DESDE,"&lt;="&amp;B1271))))</f>
        <v/>
      </c>
    </row>
    <row r="1272" customFormat="false" ht="15" hidden="false" customHeight="false" outlineLevel="0" collapsed="false">
      <c r="B1272" s="78"/>
      <c r="C1272" s="64"/>
      <c r="D1272" s="72" t="str">
        <f aca="false">IF(C1272="","",IFERROR(INDEX(T_NOMBRE,MATCH(C1272,T_ID,0)),"⚠ ID no existe"))</f>
        <v/>
      </c>
      <c r="E1272" s="69"/>
      <c r="F1272" s="67"/>
      <c r="G1272" s="67"/>
      <c r="H1272" s="67"/>
      <c r="I1272" s="67"/>
      <c r="J1272" s="67"/>
      <c r="K1272" s="85" t="str">
        <f aca="false">IF(AH1272="","",N(F1272)+N(G1272)+N(H1272)-N(I1272)+N(J1272))</f>
        <v/>
      </c>
      <c r="L1272" s="67"/>
      <c r="M1272" s="67"/>
      <c r="N1272" s="67"/>
      <c r="O1272" s="67"/>
      <c r="P1272" s="85" t="str">
        <f aca="false">IF(AH1272="","",K1272+N(L1272)+N(M1272)+N(N1272)+N(O1272))</f>
        <v/>
      </c>
      <c r="Q1272" s="67"/>
      <c r="R1272" s="67"/>
      <c r="S1272" s="67"/>
      <c r="T1272" s="67"/>
      <c r="U1272" s="67"/>
      <c r="V1272" s="67"/>
      <c r="W1272" s="85" t="str">
        <f aca="false">IF(AH1272="","",N(Q1272)+N(R1272)+N(S1272)+N(T1272)+N(U1272)+N(V1272))</f>
        <v/>
      </c>
      <c r="X1272" s="85" t="str">
        <f aca="false">IF(AH1272="","",P1272-W1272)</f>
        <v/>
      </c>
      <c r="Y1272" s="67"/>
      <c r="Z1272" s="70" t="str">
        <f aca="false">IF(OR(AH1272="",Y1272=""),"",IF(ABS(X1272-Y1272)&lt;=1,"✓ Cuadra","⚠ Diferencia $"&amp;FIXED(X1272-Y1272,0)))</f>
        <v/>
      </c>
      <c r="AA1272" s="72" t="str">
        <f aca="false">IF(AH1272="","",IFERROR(INDEX(C_TIPO,MATCH(C1272&amp;"-P"&amp;MAX(1,COUNTIFS(C_ID,C1272,C_DEFINE,"Sí",C_INICIO,"&lt;="&amp;EOMONTH(B1272,0))),C_CLAVE,0))&amp;"","Sin dato"))</f>
        <v/>
      </c>
      <c r="AB1272" s="71" t="str">
        <f aca="false">IF(AH1272="","",ROUND(MIN(K1272,TOPE_AFP_UF*AJ1272)*AK1272,0))</f>
        <v/>
      </c>
      <c r="AC1272" s="71" t="str">
        <f aca="false">IF(AH1272="","",ROUND(MIN(K1272,TOPE_AFC_UF*AJ1272)*IF(AA1272="Indefinido",AFC_EMP_INDEF,AFC_EMP_PF),0))</f>
        <v/>
      </c>
      <c r="AD1272" s="71" t="str">
        <f aca="false">IF(AH1272="","",ROUND(MIN(K1272,TOPE_AFP_UF*AJ1272)*(MUTUAL_BASICA+MUTUAL_ADIC+SANNA),0))</f>
        <v/>
      </c>
      <c r="AE1272" s="71" t="str">
        <f aca="false">IF(AH1272="","",P1272-N(N1272)+AB1272+AC1272+AD1272)</f>
        <v/>
      </c>
      <c r="AF1272" s="65"/>
      <c r="AG1272" s="64"/>
      <c r="AH1272" s="72" t="str">
        <f aca="false">IF(OR(B1272="",C1272=""),"",C1272&amp;"|"&amp;(YEAR(B1272)*100+MONTH(B1272)))</f>
        <v/>
      </c>
      <c r="AI1272" s="70" t="str">
        <f aca="false">IF(AH1272="","",IF(COUNTIF(L_CLAVE,AH1272)&gt;1,"⚠ Duplicado","OK"))</f>
        <v/>
      </c>
      <c r="AJ1272" s="86" t="str">
        <f aca="false">IF(AH1272="","",IF(SUMPRODUCT(MAX((IND_PER&lt;=B1272)*(IND_UF&lt;&gt;"")*IND_PER))=0,UF_HOY,INDEX(IND_UF,MATCH(SUMPRODUCT(MAX((IND_PER&lt;=B1272)*(IND_UF&lt;&gt;"")*IND_PER)),IND_PER,0))))</f>
        <v/>
      </c>
      <c r="AK1272" s="87" t="str">
        <f aca="false">IF(AH1272="","",IF(COUNTIF(TASA_DESDE,"&lt;="&amp;B1272)=0,INDEX(TASA_EMP,1),INDEX(TASA_EMP,COUNTIF(TASA_DESDE,"&lt;="&amp;B1272))))</f>
        <v/>
      </c>
    </row>
    <row r="1273" customFormat="false" ht="15" hidden="false" customHeight="false" outlineLevel="0" collapsed="false">
      <c r="B1273" s="78"/>
      <c r="C1273" s="64"/>
      <c r="D1273" s="72" t="str">
        <f aca="false">IF(C1273="","",IFERROR(INDEX(T_NOMBRE,MATCH(C1273,T_ID,0)),"⚠ ID no existe"))</f>
        <v/>
      </c>
      <c r="E1273" s="69"/>
      <c r="F1273" s="67"/>
      <c r="G1273" s="67"/>
      <c r="H1273" s="67"/>
      <c r="I1273" s="67"/>
      <c r="J1273" s="67"/>
      <c r="K1273" s="85" t="str">
        <f aca="false">IF(AH1273="","",N(F1273)+N(G1273)+N(H1273)-N(I1273)+N(J1273))</f>
        <v/>
      </c>
      <c r="L1273" s="67"/>
      <c r="M1273" s="67"/>
      <c r="N1273" s="67"/>
      <c r="O1273" s="67"/>
      <c r="P1273" s="85" t="str">
        <f aca="false">IF(AH1273="","",K1273+N(L1273)+N(M1273)+N(N1273)+N(O1273))</f>
        <v/>
      </c>
      <c r="Q1273" s="67"/>
      <c r="R1273" s="67"/>
      <c r="S1273" s="67"/>
      <c r="T1273" s="67"/>
      <c r="U1273" s="67"/>
      <c r="V1273" s="67"/>
      <c r="W1273" s="85" t="str">
        <f aca="false">IF(AH1273="","",N(Q1273)+N(R1273)+N(S1273)+N(T1273)+N(U1273)+N(V1273))</f>
        <v/>
      </c>
      <c r="X1273" s="85" t="str">
        <f aca="false">IF(AH1273="","",P1273-W1273)</f>
        <v/>
      </c>
      <c r="Y1273" s="67"/>
      <c r="Z1273" s="70" t="str">
        <f aca="false">IF(OR(AH1273="",Y1273=""),"",IF(ABS(X1273-Y1273)&lt;=1,"✓ Cuadra","⚠ Diferencia $"&amp;FIXED(X1273-Y1273,0)))</f>
        <v/>
      </c>
      <c r="AA1273" s="72" t="str">
        <f aca="false">IF(AH1273="","",IFERROR(INDEX(C_TIPO,MATCH(C1273&amp;"-P"&amp;MAX(1,COUNTIFS(C_ID,C1273,C_DEFINE,"Sí",C_INICIO,"&lt;="&amp;EOMONTH(B1273,0))),C_CLAVE,0))&amp;"","Sin dato"))</f>
        <v/>
      </c>
      <c r="AB1273" s="71" t="str">
        <f aca="false">IF(AH1273="","",ROUND(MIN(K1273,TOPE_AFP_UF*AJ1273)*AK1273,0))</f>
        <v/>
      </c>
      <c r="AC1273" s="71" t="str">
        <f aca="false">IF(AH1273="","",ROUND(MIN(K1273,TOPE_AFC_UF*AJ1273)*IF(AA1273="Indefinido",AFC_EMP_INDEF,AFC_EMP_PF),0))</f>
        <v/>
      </c>
      <c r="AD1273" s="71" t="str">
        <f aca="false">IF(AH1273="","",ROUND(MIN(K1273,TOPE_AFP_UF*AJ1273)*(MUTUAL_BASICA+MUTUAL_ADIC+SANNA),0))</f>
        <v/>
      </c>
      <c r="AE1273" s="71" t="str">
        <f aca="false">IF(AH1273="","",P1273-N(N1273)+AB1273+AC1273+AD1273)</f>
        <v/>
      </c>
      <c r="AF1273" s="65"/>
      <c r="AG1273" s="64"/>
      <c r="AH1273" s="72" t="str">
        <f aca="false">IF(OR(B1273="",C1273=""),"",C1273&amp;"|"&amp;(YEAR(B1273)*100+MONTH(B1273)))</f>
        <v/>
      </c>
      <c r="AI1273" s="70" t="str">
        <f aca="false">IF(AH1273="","",IF(COUNTIF(L_CLAVE,AH1273)&gt;1,"⚠ Duplicado","OK"))</f>
        <v/>
      </c>
      <c r="AJ1273" s="86" t="str">
        <f aca="false">IF(AH1273="","",IF(SUMPRODUCT(MAX((IND_PER&lt;=B1273)*(IND_UF&lt;&gt;"")*IND_PER))=0,UF_HOY,INDEX(IND_UF,MATCH(SUMPRODUCT(MAX((IND_PER&lt;=B1273)*(IND_UF&lt;&gt;"")*IND_PER)),IND_PER,0))))</f>
        <v/>
      </c>
      <c r="AK1273" s="87" t="str">
        <f aca="false">IF(AH1273="","",IF(COUNTIF(TASA_DESDE,"&lt;="&amp;B1273)=0,INDEX(TASA_EMP,1),INDEX(TASA_EMP,COUNTIF(TASA_DESDE,"&lt;="&amp;B1273))))</f>
        <v/>
      </c>
    </row>
    <row r="1274" customFormat="false" ht="15" hidden="false" customHeight="false" outlineLevel="0" collapsed="false">
      <c r="B1274" s="78"/>
      <c r="C1274" s="64"/>
      <c r="D1274" s="72" t="str">
        <f aca="false">IF(C1274="","",IFERROR(INDEX(T_NOMBRE,MATCH(C1274,T_ID,0)),"⚠ ID no existe"))</f>
        <v/>
      </c>
      <c r="E1274" s="69"/>
      <c r="F1274" s="67"/>
      <c r="G1274" s="67"/>
      <c r="H1274" s="67"/>
      <c r="I1274" s="67"/>
      <c r="J1274" s="67"/>
      <c r="K1274" s="85" t="str">
        <f aca="false">IF(AH1274="","",N(F1274)+N(G1274)+N(H1274)-N(I1274)+N(J1274))</f>
        <v/>
      </c>
      <c r="L1274" s="67"/>
      <c r="M1274" s="67"/>
      <c r="N1274" s="67"/>
      <c r="O1274" s="67"/>
      <c r="P1274" s="85" t="str">
        <f aca="false">IF(AH1274="","",K1274+N(L1274)+N(M1274)+N(N1274)+N(O1274))</f>
        <v/>
      </c>
      <c r="Q1274" s="67"/>
      <c r="R1274" s="67"/>
      <c r="S1274" s="67"/>
      <c r="T1274" s="67"/>
      <c r="U1274" s="67"/>
      <c r="V1274" s="67"/>
      <c r="W1274" s="85" t="str">
        <f aca="false">IF(AH1274="","",N(Q1274)+N(R1274)+N(S1274)+N(T1274)+N(U1274)+N(V1274))</f>
        <v/>
      </c>
      <c r="X1274" s="85" t="str">
        <f aca="false">IF(AH1274="","",P1274-W1274)</f>
        <v/>
      </c>
      <c r="Y1274" s="67"/>
      <c r="Z1274" s="70" t="str">
        <f aca="false">IF(OR(AH1274="",Y1274=""),"",IF(ABS(X1274-Y1274)&lt;=1,"✓ Cuadra","⚠ Diferencia $"&amp;FIXED(X1274-Y1274,0)))</f>
        <v/>
      </c>
      <c r="AA1274" s="72" t="str">
        <f aca="false">IF(AH1274="","",IFERROR(INDEX(C_TIPO,MATCH(C1274&amp;"-P"&amp;MAX(1,COUNTIFS(C_ID,C1274,C_DEFINE,"Sí",C_INICIO,"&lt;="&amp;EOMONTH(B1274,0))),C_CLAVE,0))&amp;"","Sin dato"))</f>
        <v/>
      </c>
      <c r="AB1274" s="71" t="str">
        <f aca="false">IF(AH1274="","",ROUND(MIN(K1274,TOPE_AFP_UF*AJ1274)*AK1274,0))</f>
        <v/>
      </c>
      <c r="AC1274" s="71" t="str">
        <f aca="false">IF(AH1274="","",ROUND(MIN(K1274,TOPE_AFC_UF*AJ1274)*IF(AA1274="Indefinido",AFC_EMP_INDEF,AFC_EMP_PF),0))</f>
        <v/>
      </c>
      <c r="AD1274" s="71" t="str">
        <f aca="false">IF(AH1274="","",ROUND(MIN(K1274,TOPE_AFP_UF*AJ1274)*(MUTUAL_BASICA+MUTUAL_ADIC+SANNA),0))</f>
        <v/>
      </c>
      <c r="AE1274" s="71" t="str">
        <f aca="false">IF(AH1274="","",P1274-N(N1274)+AB1274+AC1274+AD1274)</f>
        <v/>
      </c>
      <c r="AF1274" s="65"/>
      <c r="AG1274" s="64"/>
      <c r="AH1274" s="72" t="str">
        <f aca="false">IF(OR(B1274="",C1274=""),"",C1274&amp;"|"&amp;(YEAR(B1274)*100+MONTH(B1274)))</f>
        <v/>
      </c>
      <c r="AI1274" s="70" t="str">
        <f aca="false">IF(AH1274="","",IF(COUNTIF(L_CLAVE,AH1274)&gt;1,"⚠ Duplicado","OK"))</f>
        <v/>
      </c>
      <c r="AJ1274" s="86" t="str">
        <f aca="false">IF(AH1274="","",IF(SUMPRODUCT(MAX((IND_PER&lt;=B1274)*(IND_UF&lt;&gt;"")*IND_PER))=0,UF_HOY,INDEX(IND_UF,MATCH(SUMPRODUCT(MAX((IND_PER&lt;=B1274)*(IND_UF&lt;&gt;"")*IND_PER)),IND_PER,0))))</f>
        <v/>
      </c>
      <c r="AK1274" s="87" t="str">
        <f aca="false">IF(AH1274="","",IF(COUNTIF(TASA_DESDE,"&lt;="&amp;B1274)=0,INDEX(TASA_EMP,1),INDEX(TASA_EMP,COUNTIF(TASA_DESDE,"&lt;="&amp;B1274))))</f>
        <v/>
      </c>
    </row>
    <row r="1275" customFormat="false" ht="15" hidden="false" customHeight="false" outlineLevel="0" collapsed="false">
      <c r="B1275" s="78"/>
      <c r="C1275" s="64"/>
      <c r="D1275" s="72" t="str">
        <f aca="false">IF(C1275="","",IFERROR(INDEX(T_NOMBRE,MATCH(C1275,T_ID,0)),"⚠ ID no existe"))</f>
        <v/>
      </c>
      <c r="E1275" s="69"/>
      <c r="F1275" s="67"/>
      <c r="G1275" s="67"/>
      <c r="H1275" s="67"/>
      <c r="I1275" s="67"/>
      <c r="J1275" s="67"/>
      <c r="K1275" s="85" t="str">
        <f aca="false">IF(AH1275="","",N(F1275)+N(G1275)+N(H1275)-N(I1275)+N(J1275))</f>
        <v/>
      </c>
      <c r="L1275" s="67"/>
      <c r="M1275" s="67"/>
      <c r="N1275" s="67"/>
      <c r="O1275" s="67"/>
      <c r="P1275" s="85" t="str">
        <f aca="false">IF(AH1275="","",K1275+N(L1275)+N(M1275)+N(N1275)+N(O1275))</f>
        <v/>
      </c>
      <c r="Q1275" s="67"/>
      <c r="R1275" s="67"/>
      <c r="S1275" s="67"/>
      <c r="T1275" s="67"/>
      <c r="U1275" s="67"/>
      <c r="V1275" s="67"/>
      <c r="W1275" s="85" t="str">
        <f aca="false">IF(AH1275="","",N(Q1275)+N(R1275)+N(S1275)+N(T1275)+N(U1275)+N(V1275))</f>
        <v/>
      </c>
      <c r="X1275" s="85" t="str">
        <f aca="false">IF(AH1275="","",P1275-W1275)</f>
        <v/>
      </c>
      <c r="Y1275" s="67"/>
      <c r="Z1275" s="70" t="str">
        <f aca="false">IF(OR(AH1275="",Y1275=""),"",IF(ABS(X1275-Y1275)&lt;=1,"✓ Cuadra","⚠ Diferencia $"&amp;FIXED(X1275-Y1275,0)))</f>
        <v/>
      </c>
      <c r="AA1275" s="72" t="str">
        <f aca="false">IF(AH1275="","",IFERROR(INDEX(C_TIPO,MATCH(C1275&amp;"-P"&amp;MAX(1,COUNTIFS(C_ID,C1275,C_DEFINE,"Sí",C_INICIO,"&lt;="&amp;EOMONTH(B1275,0))),C_CLAVE,0))&amp;"","Sin dato"))</f>
        <v/>
      </c>
      <c r="AB1275" s="71" t="str">
        <f aca="false">IF(AH1275="","",ROUND(MIN(K1275,TOPE_AFP_UF*AJ1275)*AK1275,0))</f>
        <v/>
      </c>
      <c r="AC1275" s="71" t="str">
        <f aca="false">IF(AH1275="","",ROUND(MIN(K1275,TOPE_AFC_UF*AJ1275)*IF(AA1275="Indefinido",AFC_EMP_INDEF,AFC_EMP_PF),0))</f>
        <v/>
      </c>
      <c r="AD1275" s="71" t="str">
        <f aca="false">IF(AH1275="","",ROUND(MIN(K1275,TOPE_AFP_UF*AJ1275)*(MUTUAL_BASICA+MUTUAL_ADIC+SANNA),0))</f>
        <v/>
      </c>
      <c r="AE1275" s="71" t="str">
        <f aca="false">IF(AH1275="","",P1275-N(N1275)+AB1275+AC1275+AD1275)</f>
        <v/>
      </c>
      <c r="AF1275" s="65"/>
      <c r="AG1275" s="64"/>
      <c r="AH1275" s="72" t="str">
        <f aca="false">IF(OR(B1275="",C1275=""),"",C1275&amp;"|"&amp;(YEAR(B1275)*100+MONTH(B1275)))</f>
        <v/>
      </c>
      <c r="AI1275" s="70" t="str">
        <f aca="false">IF(AH1275="","",IF(COUNTIF(L_CLAVE,AH1275)&gt;1,"⚠ Duplicado","OK"))</f>
        <v/>
      </c>
      <c r="AJ1275" s="86" t="str">
        <f aca="false">IF(AH1275="","",IF(SUMPRODUCT(MAX((IND_PER&lt;=B1275)*(IND_UF&lt;&gt;"")*IND_PER))=0,UF_HOY,INDEX(IND_UF,MATCH(SUMPRODUCT(MAX((IND_PER&lt;=B1275)*(IND_UF&lt;&gt;"")*IND_PER)),IND_PER,0))))</f>
        <v/>
      </c>
      <c r="AK1275" s="87" t="str">
        <f aca="false">IF(AH1275="","",IF(COUNTIF(TASA_DESDE,"&lt;="&amp;B1275)=0,INDEX(TASA_EMP,1),INDEX(TASA_EMP,COUNTIF(TASA_DESDE,"&lt;="&amp;B1275))))</f>
        <v/>
      </c>
    </row>
    <row r="1276" customFormat="false" ht="15" hidden="false" customHeight="false" outlineLevel="0" collapsed="false">
      <c r="B1276" s="78"/>
      <c r="C1276" s="64"/>
      <c r="D1276" s="72" t="str">
        <f aca="false">IF(C1276="","",IFERROR(INDEX(T_NOMBRE,MATCH(C1276,T_ID,0)),"⚠ ID no existe"))</f>
        <v/>
      </c>
      <c r="E1276" s="69"/>
      <c r="F1276" s="67"/>
      <c r="G1276" s="67"/>
      <c r="H1276" s="67"/>
      <c r="I1276" s="67"/>
      <c r="J1276" s="67"/>
      <c r="K1276" s="85" t="str">
        <f aca="false">IF(AH1276="","",N(F1276)+N(G1276)+N(H1276)-N(I1276)+N(J1276))</f>
        <v/>
      </c>
      <c r="L1276" s="67"/>
      <c r="M1276" s="67"/>
      <c r="N1276" s="67"/>
      <c r="O1276" s="67"/>
      <c r="P1276" s="85" t="str">
        <f aca="false">IF(AH1276="","",K1276+N(L1276)+N(M1276)+N(N1276)+N(O1276))</f>
        <v/>
      </c>
      <c r="Q1276" s="67"/>
      <c r="R1276" s="67"/>
      <c r="S1276" s="67"/>
      <c r="T1276" s="67"/>
      <c r="U1276" s="67"/>
      <c r="V1276" s="67"/>
      <c r="W1276" s="85" t="str">
        <f aca="false">IF(AH1276="","",N(Q1276)+N(R1276)+N(S1276)+N(T1276)+N(U1276)+N(V1276))</f>
        <v/>
      </c>
      <c r="X1276" s="85" t="str">
        <f aca="false">IF(AH1276="","",P1276-W1276)</f>
        <v/>
      </c>
      <c r="Y1276" s="67"/>
      <c r="Z1276" s="70" t="str">
        <f aca="false">IF(OR(AH1276="",Y1276=""),"",IF(ABS(X1276-Y1276)&lt;=1,"✓ Cuadra","⚠ Diferencia $"&amp;FIXED(X1276-Y1276,0)))</f>
        <v/>
      </c>
      <c r="AA1276" s="72" t="str">
        <f aca="false">IF(AH1276="","",IFERROR(INDEX(C_TIPO,MATCH(C1276&amp;"-P"&amp;MAX(1,COUNTIFS(C_ID,C1276,C_DEFINE,"Sí",C_INICIO,"&lt;="&amp;EOMONTH(B1276,0))),C_CLAVE,0))&amp;"","Sin dato"))</f>
        <v/>
      </c>
      <c r="AB1276" s="71" t="str">
        <f aca="false">IF(AH1276="","",ROUND(MIN(K1276,TOPE_AFP_UF*AJ1276)*AK1276,0))</f>
        <v/>
      </c>
      <c r="AC1276" s="71" t="str">
        <f aca="false">IF(AH1276="","",ROUND(MIN(K1276,TOPE_AFC_UF*AJ1276)*IF(AA1276="Indefinido",AFC_EMP_INDEF,AFC_EMP_PF),0))</f>
        <v/>
      </c>
      <c r="AD1276" s="71" t="str">
        <f aca="false">IF(AH1276="","",ROUND(MIN(K1276,TOPE_AFP_UF*AJ1276)*(MUTUAL_BASICA+MUTUAL_ADIC+SANNA),0))</f>
        <v/>
      </c>
      <c r="AE1276" s="71" t="str">
        <f aca="false">IF(AH1276="","",P1276-N(N1276)+AB1276+AC1276+AD1276)</f>
        <v/>
      </c>
      <c r="AF1276" s="65"/>
      <c r="AG1276" s="64"/>
      <c r="AH1276" s="72" t="str">
        <f aca="false">IF(OR(B1276="",C1276=""),"",C1276&amp;"|"&amp;(YEAR(B1276)*100+MONTH(B1276)))</f>
        <v/>
      </c>
      <c r="AI1276" s="70" t="str">
        <f aca="false">IF(AH1276="","",IF(COUNTIF(L_CLAVE,AH1276)&gt;1,"⚠ Duplicado","OK"))</f>
        <v/>
      </c>
      <c r="AJ1276" s="86" t="str">
        <f aca="false">IF(AH1276="","",IF(SUMPRODUCT(MAX((IND_PER&lt;=B1276)*(IND_UF&lt;&gt;"")*IND_PER))=0,UF_HOY,INDEX(IND_UF,MATCH(SUMPRODUCT(MAX((IND_PER&lt;=B1276)*(IND_UF&lt;&gt;"")*IND_PER)),IND_PER,0))))</f>
        <v/>
      </c>
      <c r="AK1276" s="87" t="str">
        <f aca="false">IF(AH1276="","",IF(COUNTIF(TASA_DESDE,"&lt;="&amp;B1276)=0,INDEX(TASA_EMP,1),INDEX(TASA_EMP,COUNTIF(TASA_DESDE,"&lt;="&amp;B1276))))</f>
        <v/>
      </c>
    </row>
    <row r="1277" customFormat="false" ht="15" hidden="false" customHeight="false" outlineLevel="0" collapsed="false">
      <c r="B1277" s="78"/>
      <c r="C1277" s="64"/>
      <c r="D1277" s="72" t="str">
        <f aca="false">IF(C1277="","",IFERROR(INDEX(T_NOMBRE,MATCH(C1277,T_ID,0)),"⚠ ID no existe"))</f>
        <v/>
      </c>
      <c r="E1277" s="69"/>
      <c r="F1277" s="67"/>
      <c r="G1277" s="67"/>
      <c r="H1277" s="67"/>
      <c r="I1277" s="67"/>
      <c r="J1277" s="67"/>
      <c r="K1277" s="85" t="str">
        <f aca="false">IF(AH1277="","",N(F1277)+N(G1277)+N(H1277)-N(I1277)+N(J1277))</f>
        <v/>
      </c>
      <c r="L1277" s="67"/>
      <c r="M1277" s="67"/>
      <c r="N1277" s="67"/>
      <c r="O1277" s="67"/>
      <c r="P1277" s="85" t="str">
        <f aca="false">IF(AH1277="","",K1277+N(L1277)+N(M1277)+N(N1277)+N(O1277))</f>
        <v/>
      </c>
      <c r="Q1277" s="67"/>
      <c r="R1277" s="67"/>
      <c r="S1277" s="67"/>
      <c r="T1277" s="67"/>
      <c r="U1277" s="67"/>
      <c r="V1277" s="67"/>
      <c r="W1277" s="85" t="str">
        <f aca="false">IF(AH1277="","",N(Q1277)+N(R1277)+N(S1277)+N(T1277)+N(U1277)+N(V1277))</f>
        <v/>
      </c>
      <c r="X1277" s="85" t="str">
        <f aca="false">IF(AH1277="","",P1277-W1277)</f>
        <v/>
      </c>
      <c r="Y1277" s="67"/>
      <c r="Z1277" s="70" t="str">
        <f aca="false">IF(OR(AH1277="",Y1277=""),"",IF(ABS(X1277-Y1277)&lt;=1,"✓ Cuadra","⚠ Diferencia $"&amp;FIXED(X1277-Y1277,0)))</f>
        <v/>
      </c>
      <c r="AA1277" s="72" t="str">
        <f aca="false">IF(AH1277="","",IFERROR(INDEX(C_TIPO,MATCH(C1277&amp;"-P"&amp;MAX(1,COUNTIFS(C_ID,C1277,C_DEFINE,"Sí",C_INICIO,"&lt;="&amp;EOMONTH(B1277,0))),C_CLAVE,0))&amp;"","Sin dato"))</f>
        <v/>
      </c>
      <c r="AB1277" s="71" t="str">
        <f aca="false">IF(AH1277="","",ROUND(MIN(K1277,TOPE_AFP_UF*AJ1277)*AK1277,0))</f>
        <v/>
      </c>
      <c r="AC1277" s="71" t="str">
        <f aca="false">IF(AH1277="","",ROUND(MIN(K1277,TOPE_AFC_UF*AJ1277)*IF(AA1277="Indefinido",AFC_EMP_INDEF,AFC_EMP_PF),0))</f>
        <v/>
      </c>
      <c r="AD1277" s="71" t="str">
        <f aca="false">IF(AH1277="","",ROUND(MIN(K1277,TOPE_AFP_UF*AJ1277)*(MUTUAL_BASICA+MUTUAL_ADIC+SANNA),0))</f>
        <v/>
      </c>
      <c r="AE1277" s="71" t="str">
        <f aca="false">IF(AH1277="","",P1277-N(N1277)+AB1277+AC1277+AD1277)</f>
        <v/>
      </c>
      <c r="AF1277" s="65"/>
      <c r="AG1277" s="64"/>
      <c r="AH1277" s="72" t="str">
        <f aca="false">IF(OR(B1277="",C1277=""),"",C1277&amp;"|"&amp;(YEAR(B1277)*100+MONTH(B1277)))</f>
        <v/>
      </c>
      <c r="AI1277" s="70" t="str">
        <f aca="false">IF(AH1277="","",IF(COUNTIF(L_CLAVE,AH1277)&gt;1,"⚠ Duplicado","OK"))</f>
        <v/>
      </c>
      <c r="AJ1277" s="86" t="str">
        <f aca="false">IF(AH1277="","",IF(SUMPRODUCT(MAX((IND_PER&lt;=B1277)*(IND_UF&lt;&gt;"")*IND_PER))=0,UF_HOY,INDEX(IND_UF,MATCH(SUMPRODUCT(MAX((IND_PER&lt;=B1277)*(IND_UF&lt;&gt;"")*IND_PER)),IND_PER,0))))</f>
        <v/>
      </c>
      <c r="AK1277" s="87" t="str">
        <f aca="false">IF(AH1277="","",IF(COUNTIF(TASA_DESDE,"&lt;="&amp;B1277)=0,INDEX(TASA_EMP,1),INDEX(TASA_EMP,COUNTIF(TASA_DESDE,"&lt;="&amp;B1277))))</f>
        <v/>
      </c>
    </row>
    <row r="1278" customFormat="false" ht="15" hidden="false" customHeight="false" outlineLevel="0" collapsed="false">
      <c r="B1278" s="78"/>
      <c r="C1278" s="64"/>
      <c r="D1278" s="72" t="str">
        <f aca="false">IF(C1278="","",IFERROR(INDEX(T_NOMBRE,MATCH(C1278,T_ID,0)),"⚠ ID no existe"))</f>
        <v/>
      </c>
      <c r="E1278" s="69"/>
      <c r="F1278" s="67"/>
      <c r="G1278" s="67"/>
      <c r="H1278" s="67"/>
      <c r="I1278" s="67"/>
      <c r="J1278" s="67"/>
      <c r="K1278" s="85" t="str">
        <f aca="false">IF(AH1278="","",N(F1278)+N(G1278)+N(H1278)-N(I1278)+N(J1278))</f>
        <v/>
      </c>
      <c r="L1278" s="67"/>
      <c r="M1278" s="67"/>
      <c r="N1278" s="67"/>
      <c r="O1278" s="67"/>
      <c r="P1278" s="85" t="str">
        <f aca="false">IF(AH1278="","",K1278+N(L1278)+N(M1278)+N(N1278)+N(O1278))</f>
        <v/>
      </c>
      <c r="Q1278" s="67"/>
      <c r="R1278" s="67"/>
      <c r="S1278" s="67"/>
      <c r="T1278" s="67"/>
      <c r="U1278" s="67"/>
      <c r="V1278" s="67"/>
      <c r="W1278" s="85" t="str">
        <f aca="false">IF(AH1278="","",N(Q1278)+N(R1278)+N(S1278)+N(T1278)+N(U1278)+N(V1278))</f>
        <v/>
      </c>
      <c r="X1278" s="85" t="str">
        <f aca="false">IF(AH1278="","",P1278-W1278)</f>
        <v/>
      </c>
      <c r="Y1278" s="67"/>
      <c r="Z1278" s="70" t="str">
        <f aca="false">IF(OR(AH1278="",Y1278=""),"",IF(ABS(X1278-Y1278)&lt;=1,"✓ Cuadra","⚠ Diferencia $"&amp;FIXED(X1278-Y1278,0)))</f>
        <v/>
      </c>
      <c r="AA1278" s="72" t="str">
        <f aca="false">IF(AH1278="","",IFERROR(INDEX(C_TIPO,MATCH(C1278&amp;"-P"&amp;MAX(1,COUNTIFS(C_ID,C1278,C_DEFINE,"Sí",C_INICIO,"&lt;="&amp;EOMONTH(B1278,0))),C_CLAVE,0))&amp;"","Sin dato"))</f>
        <v/>
      </c>
      <c r="AB1278" s="71" t="str">
        <f aca="false">IF(AH1278="","",ROUND(MIN(K1278,TOPE_AFP_UF*AJ1278)*AK1278,0))</f>
        <v/>
      </c>
      <c r="AC1278" s="71" t="str">
        <f aca="false">IF(AH1278="","",ROUND(MIN(K1278,TOPE_AFC_UF*AJ1278)*IF(AA1278="Indefinido",AFC_EMP_INDEF,AFC_EMP_PF),0))</f>
        <v/>
      </c>
      <c r="AD1278" s="71" t="str">
        <f aca="false">IF(AH1278="","",ROUND(MIN(K1278,TOPE_AFP_UF*AJ1278)*(MUTUAL_BASICA+MUTUAL_ADIC+SANNA),0))</f>
        <v/>
      </c>
      <c r="AE1278" s="71" t="str">
        <f aca="false">IF(AH1278="","",P1278-N(N1278)+AB1278+AC1278+AD1278)</f>
        <v/>
      </c>
      <c r="AF1278" s="65"/>
      <c r="AG1278" s="64"/>
      <c r="AH1278" s="72" t="str">
        <f aca="false">IF(OR(B1278="",C1278=""),"",C1278&amp;"|"&amp;(YEAR(B1278)*100+MONTH(B1278)))</f>
        <v/>
      </c>
      <c r="AI1278" s="70" t="str">
        <f aca="false">IF(AH1278="","",IF(COUNTIF(L_CLAVE,AH1278)&gt;1,"⚠ Duplicado","OK"))</f>
        <v/>
      </c>
      <c r="AJ1278" s="86" t="str">
        <f aca="false">IF(AH1278="","",IF(SUMPRODUCT(MAX((IND_PER&lt;=B1278)*(IND_UF&lt;&gt;"")*IND_PER))=0,UF_HOY,INDEX(IND_UF,MATCH(SUMPRODUCT(MAX((IND_PER&lt;=B1278)*(IND_UF&lt;&gt;"")*IND_PER)),IND_PER,0))))</f>
        <v/>
      </c>
      <c r="AK1278" s="87" t="str">
        <f aca="false">IF(AH1278="","",IF(COUNTIF(TASA_DESDE,"&lt;="&amp;B1278)=0,INDEX(TASA_EMP,1),INDEX(TASA_EMP,COUNTIF(TASA_DESDE,"&lt;="&amp;B1278))))</f>
        <v/>
      </c>
    </row>
    <row r="1279" customFormat="false" ht="15" hidden="false" customHeight="false" outlineLevel="0" collapsed="false">
      <c r="B1279" s="78"/>
      <c r="C1279" s="64"/>
      <c r="D1279" s="72" t="str">
        <f aca="false">IF(C1279="","",IFERROR(INDEX(T_NOMBRE,MATCH(C1279,T_ID,0)),"⚠ ID no existe"))</f>
        <v/>
      </c>
      <c r="E1279" s="69"/>
      <c r="F1279" s="67"/>
      <c r="G1279" s="67"/>
      <c r="H1279" s="67"/>
      <c r="I1279" s="67"/>
      <c r="J1279" s="67"/>
      <c r="K1279" s="85" t="str">
        <f aca="false">IF(AH1279="","",N(F1279)+N(G1279)+N(H1279)-N(I1279)+N(J1279))</f>
        <v/>
      </c>
      <c r="L1279" s="67"/>
      <c r="M1279" s="67"/>
      <c r="N1279" s="67"/>
      <c r="O1279" s="67"/>
      <c r="P1279" s="85" t="str">
        <f aca="false">IF(AH1279="","",K1279+N(L1279)+N(M1279)+N(N1279)+N(O1279))</f>
        <v/>
      </c>
      <c r="Q1279" s="67"/>
      <c r="R1279" s="67"/>
      <c r="S1279" s="67"/>
      <c r="T1279" s="67"/>
      <c r="U1279" s="67"/>
      <c r="V1279" s="67"/>
      <c r="W1279" s="85" t="str">
        <f aca="false">IF(AH1279="","",N(Q1279)+N(R1279)+N(S1279)+N(T1279)+N(U1279)+N(V1279))</f>
        <v/>
      </c>
      <c r="X1279" s="85" t="str">
        <f aca="false">IF(AH1279="","",P1279-W1279)</f>
        <v/>
      </c>
      <c r="Y1279" s="67"/>
      <c r="Z1279" s="70" t="str">
        <f aca="false">IF(OR(AH1279="",Y1279=""),"",IF(ABS(X1279-Y1279)&lt;=1,"✓ Cuadra","⚠ Diferencia $"&amp;FIXED(X1279-Y1279,0)))</f>
        <v/>
      </c>
      <c r="AA1279" s="72" t="str">
        <f aca="false">IF(AH1279="","",IFERROR(INDEX(C_TIPO,MATCH(C1279&amp;"-P"&amp;MAX(1,COUNTIFS(C_ID,C1279,C_DEFINE,"Sí",C_INICIO,"&lt;="&amp;EOMONTH(B1279,0))),C_CLAVE,0))&amp;"","Sin dato"))</f>
        <v/>
      </c>
      <c r="AB1279" s="71" t="str">
        <f aca="false">IF(AH1279="","",ROUND(MIN(K1279,TOPE_AFP_UF*AJ1279)*AK1279,0))</f>
        <v/>
      </c>
      <c r="AC1279" s="71" t="str">
        <f aca="false">IF(AH1279="","",ROUND(MIN(K1279,TOPE_AFC_UF*AJ1279)*IF(AA1279="Indefinido",AFC_EMP_INDEF,AFC_EMP_PF),0))</f>
        <v/>
      </c>
      <c r="AD1279" s="71" t="str">
        <f aca="false">IF(AH1279="","",ROUND(MIN(K1279,TOPE_AFP_UF*AJ1279)*(MUTUAL_BASICA+MUTUAL_ADIC+SANNA),0))</f>
        <v/>
      </c>
      <c r="AE1279" s="71" t="str">
        <f aca="false">IF(AH1279="","",P1279-N(N1279)+AB1279+AC1279+AD1279)</f>
        <v/>
      </c>
      <c r="AF1279" s="65"/>
      <c r="AG1279" s="64"/>
      <c r="AH1279" s="72" t="str">
        <f aca="false">IF(OR(B1279="",C1279=""),"",C1279&amp;"|"&amp;(YEAR(B1279)*100+MONTH(B1279)))</f>
        <v/>
      </c>
      <c r="AI1279" s="70" t="str">
        <f aca="false">IF(AH1279="","",IF(COUNTIF(L_CLAVE,AH1279)&gt;1,"⚠ Duplicado","OK"))</f>
        <v/>
      </c>
      <c r="AJ1279" s="86" t="str">
        <f aca="false">IF(AH1279="","",IF(SUMPRODUCT(MAX((IND_PER&lt;=B1279)*(IND_UF&lt;&gt;"")*IND_PER))=0,UF_HOY,INDEX(IND_UF,MATCH(SUMPRODUCT(MAX((IND_PER&lt;=B1279)*(IND_UF&lt;&gt;"")*IND_PER)),IND_PER,0))))</f>
        <v/>
      </c>
      <c r="AK1279" s="87" t="str">
        <f aca="false">IF(AH1279="","",IF(COUNTIF(TASA_DESDE,"&lt;="&amp;B1279)=0,INDEX(TASA_EMP,1),INDEX(TASA_EMP,COUNTIF(TASA_DESDE,"&lt;="&amp;B1279))))</f>
        <v/>
      </c>
    </row>
    <row r="1280" customFormat="false" ht="15" hidden="false" customHeight="false" outlineLevel="0" collapsed="false">
      <c r="B1280" s="78"/>
      <c r="C1280" s="64"/>
      <c r="D1280" s="72" t="str">
        <f aca="false">IF(C1280="","",IFERROR(INDEX(T_NOMBRE,MATCH(C1280,T_ID,0)),"⚠ ID no existe"))</f>
        <v/>
      </c>
      <c r="E1280" s="69"/>
      <c r="F1280" s="67"/>
      <c r="G1280" s="67"/>
      <c r="H1280" s="67"/>
      <c r="I1280" s="67"/>
      <c r="J1280" s="67"/>
      <c r="K1280" s="85" t="str">
        <f aca="false">IF(AH1280="","",N(F1280)+N(G1280)+N(H1280)-N(I1280)+N(J1280))</f>
        <v/>
      </c>
      <c r="L1280" s="67"/>
      <c r="M1280" s="67"/>
      <c r="N1280" s="67"/>
      <c r="O1280" s="67"/>
      <c r="P1280" s="85" t="str">
        <f aca="false">IF(AH1280="","",K1280+N(L1280)+N(M1280)+N(N1280)+N(O1280))</f>
        <v/>
      </c>
      <c r="Q1280" s="67"/>
      <c r="R1280" s="67"/>
      <c r="S1280" s="67"/>
      <c r="T1280" s="67"/>
      <c r="U1280" s="67"/>
      <c r="V1280" s="67"/>
      <c r="W1280" s="85" t="str">
        <f aca="false">IF(AH1280="","",N(Q1280)+N(R1280)+N(S1280)+N(T1280)+N(U1280)+N(V1280))</f>
        <v/>
      </c>
      <c r="X1280" s="85" t="str">
        <f aca="false">IF(AH1280="","",P1280-W1280)</f>
        <v/>
      </c>
      <c r="Y1280" s="67"/>
      <c r="Z1280" s="70" t="str">
        <f aca="false">IF(OR(AH1280="",Y1280=""),"",IF(ABS(X1280-Y1280)&lt;=1,"✓ Cuadra","⚠ Diferencia $"&amp;FIXED(X1280-Y1280,0)))</f>
        <v/>
      </c>
      <c r="AA1280" s="72" t="str">
        <f aca="false">IF(AH1280="","",IFERROR(INDEX(C_TIPO,MATCH(C1280&amp;"-P"&amp;MAX(1,COUNTIFS(C_ID,C1280,C_DEFINE,"Sí",C_INICIO,"&lt;="&amp;EOMONTH(B1280,0))),C_CLAVE,0))&amp;"","Sin dato"))</f>
        <v/>
      </c>
      <c r="AB1280" s="71" t="str">
        <f aca="false">IF(AH1280="","",ROUND(MIN(K1280,TOPE_AFP_UF*AJ1280)*AK1280,0))</f>
        <v/>
      </c>
      <c r="AC1280" s="71" t="str">
        <f aca="false">IF(AH1280="","",ROUND(MIN(K1280,TOPE_AFC_UF*AJ1280)*IF(AA1280="Indefinido",AFC_EMP_INDEF,AFC_EMP_PF),0))</f>
        <v/>
      </c>
      <c r="AD1280" s="71" t="str">
        <f aca="false">IF(AH1280="","",ROUND(MIN(K1280,TOPE_AFP_UF*AJ1280)*(MUTUAL_BASICA+MUTUAL_ADIC+SANNA),0))</f>
        <v/>
      </c>
      <c r="AE1280" s="71" t="str">
        <f aca="false">IF(AH1280="","",P1280-N(N1280)+AB1280+AC1280+AD1280)</f>
        <v/>
      </c>
      <c r="AF1280" s="65"/>
      <c r="AG1280" s="64"/>
      <c r="AH1280" s="72" t="str">
        <f aca="false">IF(OR(B1280="",C1280=""),"",C1280&amp;"|"&amp;(YEAR(B1280)*100+MONTH(B1280)))</f>
        <v/>
      </c>
      <c r="AI1280" s="70" t="str">
        <f aca="false">IF(AH1280="","",IF(COUNTIF(L_CLAVE,AH1280)&gt;1,"⚠ Duplicado","OK"))</f>
        <v/>
      </c>
      <c r="AJ1280" s="86" t="str">
        <f aca="false">IF(AH1280="","",IF(SUMPRODUCT(MAX((IND_PER&lt;=B1280)*(IND_UF&lt;&gt;"")*IND_PER))=0,UF_HOY,INDEX(IND_UF,MATCH(SUMPRODUCT(MAX((IND_PER&lt;=B1280)*(IND_UF&lt;&gt;"")*IND_PER)),IND_PER,0))))</f>
        <v/>
      </c>
      <c r="AK1280" s="87" t="str">
        <f aca="false">IF(AH1280="","",IF(COUNTIF(TASA_DESDE,"&lt;="&amp;B1280)=0,INDEX(TASA_EMP,1),INDEX(TASA_EMP,COUNTIF(TASA_DESDE,"&lt;="&amp;B1280))))</f>
        <v/>
      </c>
    </row>
    <row r="1281" customFormat="false" ht="15" hidden="false" customHeight="false" outlineLevel="0" collapsed="false">
      <c r="B1281" s="78"/>
      <c r="C1281" s="64"/>
      <c r="D1281" s="72" t="str">
        <f aca="false">IF(C1281="","",IFERROR(INDEX(T_NOMBRE,MATCH(C1281,T_ID,0)),"⚠ ID no existe"))</f>
        <v/>
      </c>
      <c r="E1281" s="69"/>
      <c r="F1281" s="67"/>
      <c r="G1281" s="67"/>
      <c r="H1281" s="67"/>
      <c r="I1281" s="67"/>
      <c r="J1281" s="67"/>
      <c r="K1281" s="85" t="str">
        <f aca="false">IF(AH1281="","",N(F1281)+N(G1281)+N(H1281)-N(I1281)+N(J1281))</f>
        <v/>
      </c>
      <c r="L1281" s="67"/>
      <c r="M1281" s="67"/>
      <c r="N1281" s="67"/>
      <c r="O1281" s="67"/>
      <c r="P1281" s="85" t="str">
        <f aca="false">IF(AH1281="","",K1281+N(L1281)+N(M1281)+N(N1281)+N(O1281))</f>
        <v/>
      </c>
      <c r="Q1281" s="67"/>
      <c r="R1281" s="67"/>
      <c r="S1281" s="67"/>
      <c r="T1281" s="67"/>
      <c r="U1281" s="67"/>
      <c r="V1281" s="67"/>
      <c r="W1281" s="85" t="str">
        <f aca="false">IF(AH1281="","",N(Q1281)+N(R1281)+N(S1281)+N(T1281)+N(U1281)+N(V1281))</f>
        <v/>
      </c>
      <c r="X1281" s="85" t="str">
        <f aca="false">IF(AH1281="","",P1281-W1281)</f>
        <v/>
      </c>
      <c r="Y1281" s="67"/>
      <c r="Z1281" s="70" t="str">
        <f aca="false">IF(OR(AH1281="",Y1281=""),"",IF(ABS(X1281-Y1281)&lt;=1,"✓ Cuadra","⚠ Diferencia $"&amp;FIXED(X1281-Y1281,0)))</f>
        <v/>
      </c>
      <c r="AA1281" s="72" t="str">
        <f aca="false">IF(AH1281="","",IFERROR(INDEX(C_TIPO,MATCH(C1281&amp;"-P"&amp;MAX(1,COUNTIFS(C_ID,C1281,C_DEFINE,"Sí",C_INICIO,"&lt;="&amp;EOMONTH(B1281,0))),C_CLAVE,0))&amp;"","Sin dato"))</f>
        <v/>
      </c>
      <c r="AB1281" s="71" t="str">
        <f aca="false">IF(AH1281="","",ROUND(MIN(K1281,TOPE_AFP_UF*AJ1281)*AK1281,0))</f>
        <v/>
      </c>
      <c r="AC1281" s="71" t="str">
        <f aca="false">IF(AH1281="","",ROUND(MIN(K1281,TOPE_AFC_UF*AJ1281)*IF(AA1281="Indefinido",AFC_EMP_INDEF,AFC_EMP_PF),0))</f>
        <v/>
      </c>
      <c r="AD1281" s="71" t="str">
        <f aca="false">IF(AH1281="","",ROUND(MIN(K1281,TOPE_AFP_UF*AJ1281)*(MUTUAL_BASICA+MUTUAL_ADIC+SANNA),0))</f>
        <v/>
      </c>
      <c r="AE1281" s="71" t="str">
        <f aca="false">IF(AH1281="","",P1281-N(N1281)+AB1281+AC1281+AD1281)</f>
        <v/>
      </c>
      <c r="AF1281" s="65"/>
      <c r="AG1281" s="64"/>
      <c r="AH1281" s="72" t="str">
        <f aca="false">IF(OR(B1281="",C1281=""),"",C1281&amp;"|"&amp;(YEAR(B1281)*100+MONTH(B1281)))</f>
        <v/>
      </c>
      <c r="AI1281" s="70" t="str">
        <f aca="false">IF(AH1281="","",IF(COUNTIF(L_CLAVE,AH1281)&gt;1,"⚠ Duplicado","OK"))</f>
        <v/>
      </c>
      <c r="AJ1281" s="86" t="str">
        <f aca="false">IF(AH1281="","",IF(SUMPRODUCT(MAX((IND_PER&lt;=B1281)*(IND_UF&lt;&gt;"")*IND_PER))=0,UF_HOY,INDEX(IND_UF,MATCH(SUMPRODUCT(MAX((IND_PER&lt;=B1281)*(IND_UF&lt;&gt;"")*IND_PER)),IND_PER,0))))</f>
        <v/>
      </c>
      <c r="AK1281" s="87" t="str">
        <f aca="false">IF(AH1281="","",IF(COUNTIF(TASA_DESDE,"&lt;="&amp;B1281)=0,INDEX(TASA_EMP,1),INDEX(TASA_EMP,COUNTIF(TASA_DESDE,"&lt;="&amp;B1281))))</f>
        <v/>
      </c>
    </row>
    <row r="1282" customFormat="false" ht="15" hidden="false" customHeight="false" outlineLevel="0" collapsed="false">
      <c r="B1282" s="78"/>
      <c r="C1282" s="64"/>
      <c r="D1282" s="72" t="str">
        <f aca="false">IF(C1282="","",IFERROR(INDEX(T_NOMBRE,MATCH(C1282,T_ID,0)),"⚠ ID no existe"))</f>
        <v/>
      </c>
      <c r="E1282" s="69"/>
      <c r="F1282" s="67"/>
      <c r="G1282" s="67"/>
      <c r="H1282" s="67"/>
      <c r="I1282" s="67"/>
      <c r="J1282" s="67"/>
      <c r="K1282" s="85" t="str">
        <f aca="false">IF(AH1282="","",N(F1282)+N(G1282)+N(H1282)-N(I1282)+N(J1282))</f>
        <v/>
      </c>
      <c r="L1282" s="67"/>
      <c r="M1282" s="67"/>
      <c r="N1282" s="67"/>
      <c r="O1282" s="67"/>
      <c r="P1282" s="85" t="str">
        <f aca="false">IF(AH1282="","",K1282+N(L1282)+N(M1282)+N(N1282)+N(O1282))</f>
        <v/>
      </c>
      <c r="Q1282" s="67"/>
      <c r="R1282" s="67"/>
      <c r="S1282" s="67"/>
      <c r="T1282" s="67"/>
      <c r="U1282" s="67"/>
      <c r="V1282" s="67"/>
      <c r="W1282" s="85" t="str">
        <f aca="false">IF(AH1282="","",N(Q1282)+N(R1282)+N(S1282)+N(T1282)+N(U1282)+N(V1282))</f>
        <v/>
      </c>
      <c r="X1282" s="85" t="str">
        <f aca="false">IF(AH1282="","",P1282-W1282)</f>
        <v/>
      </c>
      <c r="Y1282" s="67"/>
      <c r="Z1282" s="70" t="str">
        <f aca="false">IF(OR(AH1282="",Y1282=""),"",IF(ABS(X1282-Y1282)&lt;=1,"✓ Cuadra","⚠ Diferencia $"&amp;FIXED(X1282-Y1282,0)))</f>
        <v/>
      </c>
      <c r="AA1282" s="72" t="str">
        <f aca="false">IF(AH1282="","",IFERROR(INDEX(C_TIPO,MATCH(C1282&amp;"-P"&amp;MAX(1,COUNTIFS(C_ID,C1282,C_DEFINE,"Sí",C_INICIO,"&lt;="&amp;EOMONTH(B1282,0))),C_CLAVE,0))&amp;"","Sin dato"))</f>
        <v/>
      </c>
      <c r="AB1282" s="71" t="str">
        <f aca="false">IF(AH1282="","",ROUND(MIN(K1282,TOPE_AFP_UF*AJ1282)*AK1282,0))</f>
        <v/>
      </c>
      <c r="AC1282" s="71" t="str">
        <f aca="false">IF(AH1282="","",ROUND(MIN(K1282,TOPE_AFC_UF*AJ1282)*IF(AA1282="Indefinido",AFC_EMP_INDEF,AFC_EMP_PF),0))</f>
        <v/>
      </c>
      <c r="AD1282" s="71" t="str">
        <f aca="false">IF(AH1282="","",ROUND(MIN(K1282,TOPE_AFP_UF*AJ1282)*(MUTUAL_BASICA+MUTUAL_ADIC+SANNA),0))</f>
        <v/>
      </c>
      <c r="AE1282" s="71" t="str">
        <f aca="false">IF(AH1282="","",P1282-N(N1282)+AB1282+AC1282+AD1282)</f>
        <v/>
      </c>
      <c r="AF1282" s="65"/>
      <c r="AG1282" s="64"/>
      <c r="AH1282" s="72" t="str">
        <f aca="false">IF(OR(B1282="",C1282=""),"",C1282&amp;"|"&amp;(YEAR(B1282)*100+MONTH(B1282)))</f>
        <v/>
      </c>
      <c r="AI1282" s="70" t="str">
        <f aca="false">IF(AH1282="","",IF(COUNTIF(L_CLAVE,AH1282)&gt;1,"⚠ Duplicado","OK"))</f>
        <v/>
      </c>
      <c r="AJ1282" s="86" t="str">
        <f aca="false">IF(AH1282="","",IF(SUMPRODUCT(MAX((IND_PER&lt;=B1282)*(IND_UF&lt;&gt;"")*IND_PER))=0,UF_HOY,INDEX(IND_UF,MATCH(SUMPRODUCT(MAX((IND_PER&lt;=B1282)*(IND_UF&lt;&gt;"")*IND_PER)),IND_PER,0))))</f>
        <v/>
      </c>
      <c r="AK1282" s="87" t="str">
        <f aca="false">IF(AH1282="","",IF(COUNTIF(TASA_DESDE,"&lt;="&amp;B1282)=0,INDEX(TASA_EMP,1),INDEX(TASA_EMP,COUNTIF(TASA_DESDE,"&lt;="&amp;B1282))))</f>
        <v/>
      </c>
    </row>
    <row r="1283" customFormat="false" ht="15" hidden="false" customHeight="false" outlineLevel="0" collapsed="false">
      <c r="B1283" s="78"/>
      <c r="C1283" s="64"/>
      <c r="D1283" s="72" t="str">
        <f aca="false">IF(C1283="","",IFERROR(INDEX(T_NOMBRE,MATCH(C1283,T_ID,0)),"⚠ ID no existe"))</f>
        <v/>
      </c>
      <c r="E1283" s="69"/>
      <c r="F1283" s="67"/>
      <c r="G1283" s="67"/>
      <c r="H1283" s="67"/>
      <c r="I1283" s="67"/>
      <c r="J1283" s="67"/>
      <c r="K1283" s="85" t="str">
        <f aca="false">IF(AH1283="","",N(F1283)+N(G1283)+N(H1283)-N(I1283)+N(J1283))</f>
        <v/>
      </c>
      <c r="L1283" s="67"/>
      <c r="M1283" s="67"/>
      <c r="N1283" s="67"/>
      <c r="O1283" s="67"/>
      <c r="P1283" s="85" t="str">
        <f aca="false">IF(AH1283="","",K1283+N(L1283)+N(M1283)+N(N1283)+N(O1283))</f>
        <v/>
      </c>
      <c r="Q1283" s="67"/>
      <c r="R1283" s="67"/>
      <c r="S1283" s="67"/>
      <c r="T1283" s="67"/>
      <c r="U1283" s="67"/>
      <c r="V1283" s="67"/>
      <c r="W1283" s="85" t="str">
        <f aca="false">IF(AH1283="","",N(Q1283)+N(R1283)+N(S1283)+N(T1283)+N(U1283)+N(V1283))</f>
        <v/>
      </c>
      <c r="X1283" s="85" t="str">
        <f aca="false">IF(AH1283="","",P1283-W1283)</f>
        <v/>
      </c>
      <c r="Y1283" s="67"/>
      <c r="Z1283" s="70" t="str">
        <f aca="false">IF(OR(AH1283="",Y1283=""),"",IF(ABS(X1283-Y1283)&lt;=1,"✓ Cuadra","⚠ Diferencia $"&amp;FIXED(X1283-Y1283,0)))</f>
        <v/>
      </c>
      <c r="AA1283" s="72" t="str">
        <f aca="false">IF(AH1283="","",IFERROR(INDEX(C_TIPO,MATCH(C1283&amp;"-P"&amp;MAX(1,COUNTIFS(C_ID,C1283,C_DEFINE,"Sí",C_INICIO,"&lt;="&amp;EOMONTH(B1283,0))),C_CLAVE,0))&amp;"","Sin dato"))</f>
        <v/>
      </c>
      <c r="AB1283" s="71" t="str">
        <f aca="false">IF(AH1283="","",ROUND(MIN(K1283,TOPE_AFP_UF*AJ1283)*AK1283,0))</f>
        <v/>
      </c>
      <c r="AC1283" s="71" t="str">
        <f aca="false">IF(AH1283="","",ROUND(MIN(K1283,TOPE_AFC_UF*AJ1283)*IF(AA1283="Indefinido",AFC_EMP_INDEF,AFC_EMP_PF),0))</f>
        <v/>
      </c>
      <c r="AD1283" s="71" t="str">
        <f aca="false">IF(AH1283="","",ROUND(MIN(K1283,TOPE_AFP_UF*AJ1283)*(MUTUAL_BASICA+MUTUAL_ADIC+SANNA),0))</f>
        <v/>
      </c>
      <c r="AE1283" s="71" t="str">
        <f aca="false">IF(AH1283="","",P1283-N(N1283)+AB1283+AC1283+AD1283)</f>
        <v/>
      </c>
      <c r="AF1283" s="65"/>
      <c r="AG1283" s="64"/>
      <c r="AH1283" s="72" t="str">
        <f aca="false">IF(OR(B1283="",C1283=""),"",C1283&amp;"|"&amp;(YEAR(B1283)*100+MONTH(B1283)))</f>
        <v/>
      </c>
      <c r="AI1283" s="70" t="str">
        <f aca="false">IF(AH1283="","",IF(COUNTIF(L_CLAVE,AH1283)&gt;1,"⚠ Duplicado","OK"))</f>
        <v/>
      </c>
      <c r="AJ1283" s="86" t="str">
        <f aca="false">IF(AH1283="","",IF(SUMPRODUCT(MAX((IND_PER&lt;=B1283)*(IND_UF&lt;&gt;"")*IND_PER))=0,UF_HOY,INDEX(IND_UF,MATCH(SUMPRODUCT(MAX((IND_PER&lt;=B1283)*(IND_UF&lt;&gt;"")*IND_PER)),IND_PER,0))))</f>
        <v/>
      </c>
      <c r="AK1283" s="87" t="str">
        <f aca="false">IF(AH1283="","",IF(COUNTIF(TASA_DESDE,"&lt;="&amp;B1283)=0,INDEX(TASA_EMP,1),INDEX(TASA_EMP,COUNTIF(TASA_DESDE,"&lt;="&amp;B1283))))</f>
        <v/>
      </c>
    </row>
    <row r="1284" customFormat="false" ht="15" hidden="false" customHeight="false" outlineLevel="0" collapsed="false">
      <c r="B1284" s="78"/>
      <c r="C1284" s="64"/>
      <c r="D1284" s="72" t="str">
        <f aca="false">IF(C1284="","",IFERROR(INDEX(T_NOMBRE,MATCH(C1284,T_ID,0)),"⚠ ID no existe"))</f>
        <v/>
      </c>
      <c r="E1284" s="69"/>
      <c r="F1284" s="67"/>
      <c r="G1284" s="67"/>
      <c r="H1284" s="67"/>
      <c r="I1284" s="67"/>
      <c r="J1284" s="67"/>
      <c r="K1284" s="85" t="str">
        <f aca="false">IF(AH1284="","",N(F1284)+N(G1284)+N(H1284)-N(I1284)+N(J1284))</f>
        <v/>
      </c>
      <c r="L1284" s="67"/>
      <c r="M1284" s="67"/>
      <c r="N1284" s="67"/>
      <c r="O1284" s="67"/>
      <c r="P1284" s="85" t="str">
        <f aca="false">IF(AH1284="","",K1284+N(L1284)+N(M1284)+N(N1284)+N(O1284))</f>
        <v/>
      </c>
      <c r="Q1284" s="67"/>
      <c r="R1284" s="67"/>
      <c r="S1284" s="67"/>
      <c r="T1284" s="67"/>
      <c r="U1284" s="67"/>
      <c r="V1284" s="67"/>
      <c r="W1284" s="85" t="str">
        <f aca="false">IF(AH1284="","",N(Q1284)+N(R1284)+N(S1284)+N(T1284)+N(U1284)+N(V1284))</f>
        <v/>
      </c>
      <c r="X1284" s="85" t="str">
        <f aca="false">IF(AH1284="","",P1284-W1284)</f>
        <v/>
      </c>
      <c r="Y1284" s="67"/>
      <c r="Z1284" s="70" t="str">
        <f aca="false">IF(OR(AH1284="",Y1284=""),"",IF(ABS(X1284-Y1284)&lt;=1,"✓ Cuadra","⚠ Diferencia $"&amp;FIXED(X1284-Y1284,0)))</f>
        <v/>
      </c>
      <c r="AA1284" s="72" t="str">
        <f aca="false">IF(AH1284="","",IFERROR(INDEX(C_TIPO,MATCH(C1284&amp;"-P"&amp;MAX(1,COUNTIFS(C_ID,C1284,C_DEFINE,"Sí",C_INICIO,"&lt;="&amp;EOMONTH(B1284,0))),C_CLAVE,0))&amp;"","Sin dato"))</f>
        <v/>
      </c>
      <c r="AB1284" s="71" t="str">
        <f aca="false">IF(AH1284="","",ROUND(MIN(K1284,TOPE_AFP_UF*AJ1284)*AK1284,0))</f>
        <v/>
      </c>
      <c r="AC1284" s="71" t="str">
        <f aca="false">IF(AH1284="","",ROUND(MIN(K1284,TOPE_AFC_UF*AJ1284)*IF(AA1284="Indefinido",AFC_EMP_INDEF,AFC_EMP_PF),0))</f>
        <v/>
      </c>
      <c r="AD1284" s="71" t="str">
        <f aca="false">IF(AH1284="","",ROUND(MIN(K1284,TOPE_AFP_UF*AJ1284)*(MUTUAL_BASICA+MUTUAL_ADIC+SANNA),0))</f>
        <v/>
      </c>
      <c r="AE1284" s="71" t="str">
        <f aca="false">IF(AH1284="","",P1284-N(N1284)+AB1284+AC1284+AD1284)</f>
        <v/>
      </c>
      <c r="AF1284" s="65"/>
      <c r="AG1284" s="64"/>
      <c r="AH1284" s="72" t="str">
        <f aca="false">IF(OR(B1284="",C1284=""),"",C1284&amp;"|"&amp;(YEAR(B1284)*100+MONTH(B1284)))</f>
        <v/>
      </c>
      <c r="AI1284" s="70" t="str">
        <f aca="false">IF(AH1284="","",IF(COUNTIF(L_CLAVE,AH1284)&gt;1,"⚠ Duplicado","OK"))</f>
        <v/>
      </c>
      <c r="AJ1284" s="86" t="str">
        <f aca="false">IF(AH1284="","",IF(SUMPRODUCT(MAX((IND_PER&lt;=B1284)*(IND_UF&lt;&gt;"")*IND_PER))=0,UF_HOY,INDEX(IND_UF,MATCH(SUMPRODUCT(MAX((IND_PER&lt;=B1284)*(IND_UF&lt;&gt;"")*IND_PER)),IND_PER,0))))</f>
        <v/>
      </c>
      <c r="AK1284" s="87" t="str">
        <f aca="false">IF(AH1284="","",IF(COUNTIF(TASA_DESDE,"&lt;="&amp;B1284)=0,INDEX(TASA_EMP,1),INDEX(TASA_EMP,COUNTIF(TASA_DESDE,"&lt;="&amp;B1284))))</f>
        <v/>
      </c>
    </row>
    <row r="1285" customFormat="false" ht="15" hidden="false" customHeight="false" outlineLevel="0" collapsed="false">
      <c r="B1285" s="78"/>
      <c r="C1285" s="64"/>
      <c r="D1285" s="72" t="str">
        <f aca="false">IF(C1285="","",IFERROR(INDEX(T_NOMBRE,MATCH(C1285,T_ID,0)),"⚠ ID no existe"))</f>
        <v/>
      </c>
      <c r="E1285" s="69"/>
      <c r="F1285" s="67"/>
      <c r="G1285" s="67"/>
      <c r="H1285" s="67"/>
      <c r="I1285" s="67"/>
      <c r="J1285" s="67"/>
      <c r="K1285" s="85" t="str">
        <f aca="false">IF(AH1285="","",N(F1285)+N(G1285)+N(H1285)-N(I1285)+N(J1285))</f>
        <v/>
      </c>
      <c r="L1285" s="67"/>
      <c r="M1285" s="67"/>
      <c r="N1285" s="67"/>
      <c r="O1285" s="67"/>
      <c r="P1285" s="85" t="str">
        <f aca="false">IF(AH1285="","",K1285+N(L1285)+N(M1285)+N(N1285)+N(O1285))</f>
        <v/>
      </c>
      <c r="Q1285" s="67"/>
      <c r="R1285" s="67"/>
      <c r="S1285" s="67"/>
      <c r="T1285" s="67"/>
      <c r="U1285" s="67"/>
      <c r="V1285" s="67"/>
      <c r="W1285" s="85" t="str">
        <f aca="false">IF(AH1285="","",N(Q1285)+N(R1285)+N(S1285)+N(T1285)+N(U1285)+N(V1285))</f>
        <v/>
      </c>
      <c r="X1285" s="85" t="str">
        <f aca="false">IF(AH1285="","",P1285-W1285)</f>
        <v/>
      </c>
      <c r="Y1285" s="67"/>
      <c r="Z1285" s="70" t="str">
        <f aca="false">IF(OR(AH1285="",Y1285=""),"",IF(ABS(X1285-Y1285)&lt;=1,"✓ Cuadra","⚠ Diferencia $"&amp;FIXED(X1285-Y1285,0)))</f>
        <v/>
      </c>
      <c r="AA1285" s="72" t="str">
        <f aca="false">IF(AH1285="","",IFERROR(INDEX(C_TIPO,MATCH(C1285&amp;"-P"&amp;MAX(1,COUNTIFS(C_ID,C1285,C_DEFINE,"Sí",C_INICIO,"&lt;="&amp;EOMONTH(B1285,0))),C_CLAVE,0))&amp;"","Sin dato"))</f>
        <v/>
      </c>
      <c r="AB1285" s="71" t="str">
        <f aca="false">IF(AH1285="","",ROUND(MIN(K1285,TOPE_AFP_UF*AJ1285)*AK1285,0))</f>
        <v/>
      </c>
      <c r="AC1285" s="71" t="str">
        <f aca="false">IF(AH1285="","",ROUND(MIN(K1285,TOPE_AFC_UF*AJ1285)*IF(AA1285="Indefinido",AFC_EMP_INDEF,AFC_EMP_PF),0))</f>
        <v/>
      </c>
      <c r="AD1285" s="71" t="str">
        <f aca="false">IF(AH1285="","",ROUND(MIN(K1285,TOPE_AFP_UF*AJ1285)*(MUTUAL_BASICA+MUTUAL_ADIC+SANNA),0))</f>
        <v/>
      </c>
      <c r="AE1285" s="71" t="str">
        <f aca="false">IF(AH1285="","",P1285-N(N1285)+AB1285+AC1285+AD1285)</f>
        <v/>
      </c>
      <c r="AF1285" s="65"/>
      <c r="AG1285" s="64"/>
      <c r="AH1285" s="72" t="str">
        <f aca="false">IF(OR(B1285="",C1285=""),"",C1285&amp;"|"&amp;(YEAR(B1285)*100+MONTH(B1285)))</f>
        <v/>
      </c>
      <c r="AI1285" s="70" t="str">
        <f aca="false">IF(AH1285="","",IF(COUNTIF(L_CLAVE,AH1285)&gt;1,"⚠ Duplicado","OK"))</f>
        <v/>
      </c>
      <c r="AJ1285" s="86" t="str">
        <f aca="false">IF(AH1285="","",IF(SUMPRODUCT(MAX((IND_PER&lt;=B1285)*(IND_UF&lt;&gt;"")*IND_PER))=0,UF_HOY,INDEX(IND_UF,MATCH(SUMPRODUCT(MAX((IND_PER&lt;=B1285)*(IND_UF&lt;&gt;"")*IND_PER)),IND_PER,0))))</f>
        <v/>
      </c>
      <c r="AK1285" s="87" t="str">
        <f aca="false">IF(AH1285="","",IF(COUNTIF(TASA_DESDE,"&lt;="&amp;B1285)=0,INDEX(TASA_EMP,1),INDEX(TASA_EMP,COUNTIF(TASA_DESDE,"&lt;="&amp;B1285))))</f>
        <v/>
      </c>
    </row>
    <row r="1286" customFormat="false" ht="15" hidden="false" customHeight="false" outlineLevel="0" collapsed="false">
      <c r="B1286" s="78"/>
      <c r="C1286" s="64"/>
      <c r="D1286" s="72" t="str">
        <f aca="false">IF(C1286="","",IFERROR(INDEX(T_NOMBRE,MATCH(C1286,T_ID,0)),"⚠ ID no existe"))</f>
        <v/>
      </c>
      <c r="E1286" s="69"/>
      <c r="F1286" s="67"/>
      <c r="G1286" s="67"/>
      <c r="H1286" s="67"/>
      <c r="I1286" s="67"/>
      <c r="J1286" s="67"/>
      <c r="K1286" s="85" t="str">
        <f aca="false">IF(AH1286="","",N(F1286)+N(G1286)+N(H1286)-N(I1286)+N(J1286))</f>
        <v/>
      </c>
      <c r="L1286" s="67"/>
      <c r="M1286" s="67"/>
      <c r="N1286" s="67"/>
      <c r="O1286" s="67"/>
      <c r="P1286" s="85" t="str">
        <f aca="false">IF(AH1286="","",K1286+N(L1286)+N(M1286)+N(N1286)+N(O1286))</f>
        <v/>
      </c>
      <c r="Q1286" s="67"/>
      <c r="R1286" s="67"/>
      <c r="S1286" s="67"/>
      <c r="T1286" s="67"/>
      <c r="U1286" s="67"/>
      <c r="V1286" s="67"/>
      <c r="W1286" s="85" t="str">
        <f aca="false">IF(AH1286="","",N(Q1286)+N(R1286)+N(S1286)+N(T1286)+N(U1286)+N(V1286))</f>
        <v/>
      </c>
      <c r="X1286" s="85" t="str">
        <f aca="false">IF(AH1286="","",P1286-W1286)</f>
        <v/>
      </c>
      <c r="Y1286" s="67"/>
      <c r="Z1286" s="70" t="str">
        <f aca="false">IF(OR(AH1286="",Y1286=""),"",IF(ABS(X1286-Y1286)&lt;=1,"✓ Cuadra","⚠ Diferencia $"&amp;FIXED(X1286-Y1286,0)))</f>
        <v/>
      </c>
      <c r="AA1286" s="72" t="str">
        <f aca="false">IF(AH1286="","",IFERROR(INDEX(C_TIPO,MATCH(C1286&amp;"-P"&amp;MAX(1,COUNTIFS(C_ID,C1286,C_DEFINE,"Sí",C_INICIO,"&lt;="&amp;EOMONTH(B1286,0))),C_CLAVE,0))&amp;"","Sin dato"))</f>
        <v/>
      </c>
      <c r="AB1286" s="71" t="str">
        <f aca="false">IF(AH1286="","",ROUND(MIN(K1286,TOPE_AFP_UF*AJ1286)*AK1286,0))</f>
        <v/>
      </c>
      <c r="AC1286" s="71" t="str">
        <f aca="false">IF(AH1286="","",ROUND(MIN(K1286,TOPE_AFC_UF*AJ1286)*IF(AA1286="Indefinido",AFC_EMP_INDEF,AFC_EMP_PF),0))</f>
        <v/>
      </c>
      <c r="AD1286" s="71" t="str">
        <f aca="false">IF(AH1286="","",ROUND(MIN(K1286,TOPE_AFP_UF*AJ1286)*(MUTUAL_BASICA+MUTUAL_ADIC+SANNA),0))</f>
        <v/>
      </c>
      <c r="AE1286" s="71" t="str">
        <f aca="false">IF(AH1286="","",P1286-N(N1286)+AB1286+AC1286+AD1286)</f>
        <v/>
      </c>
      <c r="AF1286" s="65"/>
      <c r="AG1286" s="64"/>
      <c r="AH1286" s="72" t="str">
        <f aca="false">IF(OR(B1286="",C1286=""),"",C1286&amp;"|"&amp;(YEAR(B1286)*100+MONTH(B1286)))</f>
        <v/>
      </c>
      <c r="AI1286" s="70" t="str">
        <f aca="false">IF(AH1286="","",IF(COUNTIF(L_CLAVE,AH1286)&gt;1,"⚠ Duplicado","OK"))</f>
        <v/>
      </c>
      <c r="AJ1286" s="86" t="str">
        <f aca="false">IF(AH1286="","",IF(SUMPRODUCT(MAX((IND_PER&lt;=B1286)*(IND_UF&lt;&gt;"")*IND_PER))=0,UF_HOY,INDEX(IND_UF,MATCH(SUMPRODUCT(MAX((IND_PER&lt;=B1286)*(IND_UF&lt;&gt;"")*IND_PER)),IND_PER,0))))</f>
        <v/>
      </c>
      <c r="AK1286" s="87" t="str">
        <f aca="false">IF(AH1286="","",IF(COUNTIF(TASA_DESDE,"&lt;="&amp;B1286)=0,INDEX(TASA_EMP,1),INDEX(TASA_EMP,COUNTIF(TASA_DESDE,"&lt;="&amp;B1286))))</f>
        <v/>
      </c>
    </row>
    <row r="1287" customFormat="false" ht="15" hidden="false" customHeight="false" outlineLevel="0" collapsed="false">
      <c r="B1287" s="78"/>
      <c r="C1287" s="64"/>
      <c r="D1287" s="72" t="str">
        <f aca="false">IF(C1287="","",IFERROR(INDEX(T_NOMBRE,MATCH(C1287,T_ID,0)),"⚠ ID no existe"))</f>
        <v/>
      </c>
      <c r="E1287" s="69"/>
      <c r="F1287" s="67"/>
      <c r="G1287" s="67"/>
      <c r="H1287" s="67"/>
      <c r="I1287" s="67"/>
      <c r="J1287" s="67"/>
      <c r="K1287" s="85" t="str">
        <f aca="false">IF(AH1287="","",N(F1287)+N(G1287)+N(H1287)-N(I1287)+N(J1287))</f>
        <v/>
      </c>
      <c r="L1287" s="67"/>
      <c r="M1287" s="67"/>
      <c r="N1287" s="67"/>
      <c r="O1287" s="67"/>
      <c r="P1287" s="85" t="str">
        <f aca="false">IF(AH1287="","",K1287+N(L1287)+N(M1287)+N(N1287)+N(O1287))</f>
        <v/>
      </c>
      <c r="Q1287" s="67"/>
      <c r="R1287" s="67"/>
      <c r="S1287" s="67"/>
      <c r="T1287" s="67"/>
      <c r="U1287" s="67"/>
      <c r="V1287" s="67"/>
      <c r="W1287" s="85" t="str">
        <f aca="false">IF(AH1287="","",N(Q1287)+N(R1287)+N(S1287)+N(T1287)+N(U1287)+N(V1287))</f>
        <v/>
      </c>
      <c r="X1287" s="85" t="str">
        <f aca="false">IF(AH1287="","",P1287-W1287)</f>
        <v/>
      </c>
      <c r="Y1287" s="67"/>
      <c r="Z1287" s="70" t="str">
        <f aca="false">IF(OR(AH1287="",Y1287=""),"",IF(ABS(X1287-Y1287)&lt;=1,"✓ Cuadra","⚠ Diferencia $"&amp;FIXED(X1287-Y1287,0)))</f>
        <v/>
      </c>
      <c r="AA1287" s="72" t="str">
        <f aca="false">IF(AH1287="","",IFERROR(INDEX(C_TIPO,MATCH(C1287&amp;"-P"&amp;MAX(1,COUNTIFS(C_ID,C1287,C_DEFINE,"Sí",C_INICIO,"&lt;="&amp;EOMONTH(B1287,0))),C_CLAVE,0))&amp;"","Sin dato"))</f>
        <v/>
      </c>
      <c r="AB1287" s="71" t="str">
        <f aca="false">IF(AH1287="","",ROUND(MIN(K1287,TOPE_AFP_UF*AJ1287)*AK1287,0))</f>
        <v/>
      </c>
      <c r="AC1287" s="71" t="str">
        <f aca="false">IF(AH1287="","",ROUND(MIN(K1287,TOPE_AFC_UF*AJ1287)*IF(AA1287="Indefinido",AFC_EMP_INDEF,AFC_EMP_PF),0))</f>
        <v/>
      </c>
      <c r="AD1287" s="71" t="str">
        <f aca="false">IF(AH1287="","",ROUND(MIN(K1287,TOPE_AFP_UF*AJ1287)*(MUTUAL_BASICA+MUTUAL_ADIC+SANNA),0))</f>
        <v/>
      </c>
      <c r="AE1287" s="71" t="str">
        <f aca="false">IF(AH1287="","",P1287-N(N1287)+AB1287+AC1287+AD1287)</f>
        <v/>
      </c>
      <c r="AF1287" s="65"/>
      <c r="AG1287" s="64"/>
      <c r="AH1287" s="72" t="str">
        <f aca="false">IF(OR(B1287="",C1287=""),"",C1287&amp;"|"&amp;(YEAR(B1287)*100+MONTH(B1287)))</f>
        <v/>
      </c>
      <c r="AI1287" s="70" t="str">
        <f aca="false">IF(AH1287="","",IF(COUNTIF(L_CLAVE,AH1287)&gt;1,"⚠ Duplicado","OK"))</f>
        <v/>
      </c>
      <c r="AJ1287" s="86" t="str">
        <f aca="false">IF(AH1287="","",IF(SUMPRODUCT(MAX((IND_PER&lt;=B1287)*(IND_UF&lt;&gt;"")*IND_PER))=0,UF_HOY,INDEX(IND_UF,MATCH(SUMPRODUCT(MAX((IND_PER&lt;=B1287)*(IND_UF&lt;&gt;"")*IND_PER)),IND_PER,0))))</f>
        <v/>
      </c>
      <c r="AK1287" s="87" t="str">
        <f aca="false">IF(AH1287="","",IF(COUNTIF(TASA_DESDE,"&lt;="&amp;B1287)=0,INDEX(TASA_EMP,1),INDEX(TASA_EMP,COUNTIF(TASA_DESDE,"&lt;="&amp;B1287))))</f>
        <v/>
      </c>
    </row>
    <row r="1288" customFormat="false" ht="15" hidden="false" customHeight="false" outlineLevel="0" collapsed="false">
      <c r="B1288" s="78"/>
      <c r="C1288" s="64"/>
      <c r="D1288" s="72" t="str">
        <f aca="false">IF(C1288="","",IFERROR(INDEX(T_NOMBRE,MATCH(C1288,T_ID,0)),"⚠ ID no existe"))</f>
        <v/>
      </c>
      <c r="E1288" s="69"/>
      <c r="F1288" s="67"/>
      <c r="G1288" s="67"/>
      <c r="H1288" s="67"/>
      <c r="I1288" s="67"/>
      <c r="J1288" s="67"/>
      <c r="K1288" s="85" t="str">
        <f aca="false">IF(AH1288="","",N(F1288)+N(G1288)+N(H1288)-N(I1288)+N(J1288))</f>
        <v/>
      </c>
      <c r="L1288" s="67"/>
      <c r="M1288" s="67"/>
      <c r="N1288" s="67"/>
      <c r="O1288" s="67"/>
      <c r="P1288" s="85" t="str">
        <f aca="false">IF(AH1288="","",K1288+N(L1288)+N(M1288)+N(N1288)+N(O1288))</f>
        <v/>
      </c>
      <c r="Q1288" s="67"/>
      <c r="R1288" s="67"/>
      <c r="S1288" s="67"/>
      <c r="T1288" s="67"/>
      <c r="U1288" s="67"/>
      <c r="V1288" s="67"/>
      <c r="W1288" s="85" t="str">
        <f aca="false">IF(AH1288="","",N(Q1288)+N(R1288)+N(S1288)+N(T1288)+N(U1288)+N(V1288))</f>
        <v/>
      </c>
      <c r="X1288" s="85" t="str">
        <f aca="false">IF(AH1288="","",P1288-W1288)</f>
        <v/>
      </c>
      <c r="Y1288" s="67"/>
      <c r="Z1288" s="70" t="str">
        <f aca="false">IF(OR(AH1288="",Y1288=""),"",IF(ABS(X1288-Y1288)&lt;=1,"✓ Cuadra","⚠ Diferencia $"&amp;FIXED(X1288-Y1288,0)))</f>
        <v/>
      </c>
      <c r="AA1288" s="72" t="str">
        <f aca="false">IF(AH1288="","",IFERROR(INDEX(C_TIPO,MATCH(C1288&amp;"-P"&amp;MAX(1,COUNTIFS(C_ID,C1288,C_DEFINE,"Sí",C_INICIO,"&lt;="&amp;EOMONTH(B1288,0))),C_CLAVE,0))&amp;"","Sin dato"))</f>
        <v/>
      </c>
      <c r="AB1288" s="71" t="str">
        <f aca="false">IF(AH1288="","",ROUND(MIN(K1288,TOPE_AFP_UF*AJ1288)*AK1288,0))</f>
        <v/>
      </c>
      <c r="AC1288" s="71" t="str">
        <f aca="false">IF(AH1288="","",ROUND(MIN(K1288,TOPE_AFC_UF*AJ1288)*IF(AA1288="Indefinido",AFC_EMP_INDEF,AFC_EMP_PF),0))</f>
        <v/>
      </c>
      <c r="AD1288" s="71" t="str">
        <f aca="false">IF(AH1288="","",ROUND(MIN(K1288,TOPE_AFP_UF*AJ1288)*(MUTUAL_BASICA+MUTUAL_ADIC+SANNA),0))</f>
        <v/>
      </c>
      <c r="AE1288" s="71" t="str">
        <f aca="false">IF(AH1288="","",P1288-N(N1288)+AB1288+AC1288+AD1288)</f>
        <v/>
      </c>
      <c r="AF1288" s="65"/>
      <c r="AG1288" s="64"/>
      <c r="AH1288" s="72" t="str">
        <f aca="false">IF(OR(B1288="",C1288=""),"",C1288&amp;"|"&amp;(YEAR(B1288)*100+MONTH(B1288)))</f>
        <v/>
      </c>
      <c r="AI1288" s="70" t="str">
        <f aca="false">IF(AH1288="","",IF(COUNTIF(L_CLAVE,AH1288)&gt;1,"⚠ Duplicado","OK"))</f>
        <v/>
      </c>
      <c r="AJ1288" s="86" t="str">
        <f aca="false">IF(AH1288="","",IF(SUMPRODUCT(MAX((IND_PER&lt;=B1288)*(IND_UF&lt;&gt;"")*IND_PER))=0,UF_HOY,INDEX(IND_UF,MATCH(SUMPRODUCT(MAX((IND_PER&lt;=B1288)*(IND_UF&lt;&gt;"")*IND_PER)),IND_PER,0))))</f>
        <v/>
      </c>
      <c r="AK1288" s="87" t="str">
        <f aca="false">IF(AH1288="","",IF(COUNTIF(TASA_DESDE,"&lt;="&amp;B1288)=0,INDEX(TASA_EMP,1),INDEX(TASA_EMP,COUNTIF(TASA_DESDE,"&lt;="&amp;B1288))))</f>
        <v/>
      </c>
    </row>
    <row r="1289" customFormat="false" ht="15" hidden="false" customHeight="false" outlineLevel="0" collapsed="false">
      <c r="B1289" s="78"/>
      <c r="C1289" s="64"/>
      <c r="D1289" s="72" t="str">
        <f aca="false">IF(C1289="","",IFERROR(INDEX(T_NOMBRE,MATCH(C1289,T_ID,0)),"⚠ ID no existe"))</f>
        <v/>
      </c>
      <c r="E1289" s="69"/>
      <c r="F1289" s="67"/>
      <c r="G1289" s="67"/>
      <c r="H1289" s="67"/>
      <c r="I1289" s="67"/>
      <c r="J1289" s="67"/>
      <c r="K1289" s="85" t="str">
        <f aca="false">IF(AH1289="","",N(F1289)+N(G1289)+N(H1289)-N(I1289)+N(J1289))</f>
        <v/>
      </c>
      <c r="L1289" s="67"/>
      <c r="M1289" s="67"/>
      <c r="N1289" s="67"/>
      <c r="O1289" s="67"/>
      <c r="P1289" s="85" t="str">
        <f aca="false">IF(AH1289="","",K1289+N(L1289)+N(M1289)+N(N1289)+N(O1289))</f>
        <v/>
      </c>
      <c r="Q1289" s="67"/>
      <c r="R1289" s="67"/>
      <c r="S1289" s="67"/>
      <c r="T1289" s="67"/>
      <c r="U1289" s="67"/>
      <c r="V1289" s="67"/>
      <c r="W1289" s="85" t="str">
        <f aca="false">IF(AH1289="","",N(Q1289)+N(R1289)+N(S1289)+N(T1289)+N(U1289)+N(V1289))</f>
        <v/>
      </c>
      <c r="X1289" s="85" t="str">
        <f aca="false">IF(AH1289="","",P1289-W1289)</f>
        <v/>
      </c>
      <c r="Y1289" s="67"/>
      <c r="Z1289" s="70" t="str">
        <f aca="false">IF(OR(AH1289="",Y1289=""),"",IF(ABS(X1289-Y1289)&lt;=1,"✓ Cuadra","⚠ Diferencia $"&amp;FIXED(X1289-Y1289,0)))</f>
        <v/>
      </c>
      <c r="AA1289" s="72" t="str">
        <f aca="false">IF(AH1289="","",IFERROR(INDEX(C_TIPO,MATCH(C1289&amp;"-P"&amp;MAX(1,COUNTIFS(C_ID,C1289,C_DEFINE,"Sí",C_INICIO,"&lt;="&amp;EOMONTH(B1289,0))),C_CLAVE,0))&amp;"","Sin dato"))</f>
        <v/>
      </c>
      <c r="AB1289" s="71" t="str">
        <f aca="false">IF(AH1289="","",ROUND(MIN(K1289,TOPE_AFP_UF*AJ1289)*AK1289,0))</f>
        <v/>
      </c>
      <c r="AC1289" s="71" t="str">
        <f aca="false">IF(AH1289="","",ROUND(MIN(K1289,TOPE_AFC_UF*AJ1289)*IF(AA1289="Indefinido",AFC_EMP_INDEF,AFC_EMP_PF),0))</f>
        <v/>
      </c>
      <c r="AD1289" s="71" t="str">
        <f aca="false">IF(AH1289="","",ROUND(MIN(K1289,TOPE_AFP_UF*AJ1289)*(MUTUAL_BASICA+MUTUAL_ADIC+SANNA),0))</f>
        <v/>
      </c>
      <c r="AE1289" s="71" t="str">
        <f aca="false">IF(AH1289="","",P1289-N(N1289)+AB1289+AC1289+AD1289)</f>
        <v/>
      </c>
      <c r="AF1289" s="65"/>
      <c r="AG1289" s="64"/>
      <c r="AH1289" s="72" t="str">
        <f aca="false">IF(OR(B1289="",C1289=""),"",C1289&amp;"|"&amp;(YEAR(B1289)*100+MONTH(B1289)))</f>
        <v/>
      </c>
      <c r="AI1289" s="70" t="str">
        <f aca="false">IF(AH1289="","",IF(COUNTIF(L_CLAVE,AH1289)&gt;1,"⚠ Duplicado","OK"))</f>
        <v/>
      </c>
      <c r="AJ1289" s="86" t="str">
        <f aca="false">IF(AH1289="","",IF(SUMPRODUCT(MAX((IND_PER&lt;=B1289)*(IND_UF&lt;&gt;"")*IND_PER))=0,UF_HOY,INDEX(IND_UF,MATCH(SUMPRODUCT(MAX((IND_PER&lt;=B1289)*(IND_UF&lt;&gt;"")*IND_PER)),IND_PER,0))))</f>
        <v/>
      </c>
      <c r="AK1289" s="87" t="str">
        <f aca="false">IF(AH1289="","",IF(COUNTIF(TASA_DESDE,"&lt;="&amp;B1289)=0,INDEX(TASA_EMP,1),INDEX(TASA_EMP,COUNTIF(TASA_DESDE,"&lt;="&amp;B1289))))</f>
        <v/>
      </c>
    </row>
    <row r="1290" customFormat="false" ht="15" hidden="false" customHeight="false" outlineLevel="0" collapsed="false">
      <c r="B1290" s="78"/>
      <c r="C1290" s="64"/>
      <c r="D1290" s="72" t="str">
        <f aca="false">IF(C1290="","",IFERROR(INDEX(T_NOMBRE,MATCH(C1290,T_ID,0)),"⚠ ID no existe"))</f>
        <v/>
      </c>
      <c r="E1290" s="69"/>
      <c r="F1290" s="67"/>
      <c r="G1290" s="67"/>
      <c r="H1290" s="67"/>
      <c r="I1290" s="67"/>
      <c r="J1290" s="67"/>
      <c r="K1290" s="85" t="str">
        <f aca="false">IF(AH1290="","",N(F1290)+N(G1290)+N(H1290)-N(I1290)+N(J1290))</f>
        <v/>
      </c>
      <c r="L1290" s="67"/>
      <c r="M1290" s="67"/>
      <c r="N1290" s="67"/>
      <c r="O1290" s="67"/>
      <c r="P1290" s="85" t="str">
        <f aca="false">IF(AH1290="","",K1290+N(L1290)+N(M1290)+N(N1290)+N(O1290))</f>
        <v/>
      </c>
      <c r="Q1290" s="67"/>
      <c r="R1290" s="67"/>
      <c r="S1290" s="67"/>
      <c r="T1290" s="67"/>
      <c r="U1290" s="67"/>
      <c r="V1290" s="67"/>
      <c r="W1290" s="85" t="str">
        <f aca="false">IF(AH1290="","",N(Q1290)+N(R1290)+N(S1290)+N(T1290)+N(U1290)+N(V1290))</f>
        <v/>
      </c>
      <c r="X1290" s="85" t="str">
        <f aca="false">IF(AH1290="","",P1290-W1290)</f>
        <v/>
      </c>
      <c r="Y1290" s="67"/>
      <c r="Z1290" s="70" t="str">
        <f aca="false">IF(OR(AH1290="",Y1290=""),"",IF(ABS(X1290-Y1290)&lt;=1,"✓ Cuadra","⚠ Diferencia $"&amp;FIXED(X1290-Y1290,0)))</f>
        <v/>
      </c>
      <c r="AA1290" s="72" t="str">
        <f aca="false">IF(AH1290="","",IFERROR(INDEX(C_TIPO,MATCH(C1290&amp;"-P"&amp;MAX(1,COUNTIFS(C_ID,C1290,C_DEFINE,"Sí",C_INICIO,"&lt;="&amp;EOMONTH(B1290,0))),C_CLAVE,0))&amp;"","Sin dato"))</f>
        <v/>
      </c>
      <c r="AB1290" s="71" t="str">
        <f aca="false">IF(AH1290="","",ROUND(MIN(K1290,TOPE_AFP_UF*AJ1290)*AK1290,0))</f>
        <v/>
      </c>
      <c r="AC1290" s="71" t="str">
        <f aca="false">IF(AH1290="","",ROUND(MIN(K1290,TOPE_AFC_UF*AJ1290)*IF(AA1290="Indefinido",AFC_EMP_INDEF,AFC_EMP_PF),0))</f>
        <v/>
      </c>
      <c r="AD1290" s="71" t="str">
        <f aca="false">IF(AH1290="","",ROUND(MIN(K1290,TOPE_AFP_UF*AJ1290)*(MUTUAL_BASICA+MUTUAL_ADIC+SANNA),0))</f>
        <v/>
      </c>
      <c r="AE1290" s="71" t="str">
        <f aca="false">IF(AH1290="","",P1290-N(N1290)+AB1290+AC1290+AD1290)</f>
        <v/>
      </c>
      <c r="AF1290" s="65"/>
      <c r="AG1290" s="64"/>
      <c r="AH1290" s="72" t="str">
        <f aca="false">IF(OR(B1290="",C1290=""),"",C1290&amp;"|"&amp;(YEAR(B1290)*100+MONTH(B1290)))</f>
        <v/>
      </c>
      <c r="AI1290" s="70" t="str">
        <f aca="false">IF(AH1290="","",IF(COUNTIF(L_CLAVE,AH1290)&gt;1,"⚠ Duplicado","OK"))</f>
        <v/>
      </c>
      <c r="AJ1290" s="86" t="str">
        <f aca="false">IF(AH1290="","",IF(SUMPRODUCT(MAX((IND_PER&lt;=B1290)*(IND_UF&lt;&gt;"")*IND_PER))=0,UF_HOY,INDEX(IND_UF,MATCH(SUMPRODUCT(MAX((IND_PER&lt;=B1290)*(IND_UF&lt;&gt;"")*IND_PER)),IND_PER,0))))</f>
        <v/>
      </c>
      <c r="AK1290" s="87" t="str">
        <f aca="false">IF(AH1290="","",IF(COUNTIF(TASA_DESDE,"&lt;="&amp;B1290)=0,INDEX(TASA_EMP,1),INDEX(TASA_EMP,COUNTIF(TASA_DESDE,"&lt;="&amp;B1290))))</f>
        <v/>
      </c>
    </row>
    <row r="1291" customFormat="false" ht="15" hidden="false" customHeight="false" outlineLevel="0" collapsed="false">
      <c r="B1291" s="78"/>
      <c r="C1291" s="64"/>
      <c r="D1291" s="72" t="str">
        <f aca="false">IF(C1291="","",IFERROR(INDEX(T_NOMBRE,MATCH(C1291,T_ID,0)),"⚠ ID no existe"))</f>
        <v/>
      </c>
      <c r="E1291" s="69"/>
      <c r="F1291" s="67"/>
      <c r="G1291" s="67"/>
      <c r="H1291" s="67"/>
      <c r="I1291" s="67"/>
      <c r="J1291" s="67"/>
      <c r="K1291" s="85" t="str">
        <f aca="false">IF(AH1291="","",N(F1291)+N(G1291)+N(H1291)-N(I1291)+N(J1291))</f>
        <v/>
      </c>
      <c r="L1291" s="67"/>
      <c r="M1291" s="67"/>
      <c r="N1291" s="67"/>
      <c r="O1291" s="67"/>
      <c r="P1291" s="85" t="str">
        <f aca="false">IF(AH1291="","",K1291+N(L1291)+N(M1291)+N(N1291)+N(O1291))</f>
        <v/>
      </c>
      <c r="Q1291" s="67"/>
      <c r="R1291" s="67"/>
      <c r="S1291" s="67"/>
      <c r="T1291" s="67"/>
      <c r="U1291" s="67"/>
      <c r="V1291" s="67"/>
      <c r="W1291" s="85" t="str">
        <f aca="false">IF(AH1291="","",N(Q1291)+N(R1291)+N(S1291)+N(T1291)+N(U1291)+N(V1291))</f>
        <v/>
      </c>
      <c r="X1291" s="85" t="str">
        <f aca="false">IF(AH1291="","",P1291-W1291)</f>
        <v/>
      </c>
      <c r="Y1291" s="67"/>
      <c r="Z1291" s="70" t="str">
        <f aca="false">IF(OR(AH1291="",Y1291=""),"",IF(ABS(X1291-Y1291)&lt;=1,"✓ Cuadra","⚠ Diferencia $"&amp;FIXED(X1291-Y1291,0)))</f>
        <v/>
      </c>
      <c r="AA1291" s="72" t="str">
        <f aca="false">IF(AH1291="","",IFERROR(INDEX(C_TIPO,MATCH(C1291&amp;"-P"&amp;MAX(1,COUNTIFS(C_ID,C1291,C_DEFINE,"Sí",C_INICIO,"&lt;="&amp;EOMONTH(B1291,0))),C_CLAVE,0))&amp;"","Sin dato"))</f>
        <v/>
      </c>
      <c r="AB1291" s="71" t="str">
        <f aca="false">IF(AH1291="","",ROUND(MIN(K1291,TOPE_AFP_UF*AJ1291)*AK1291,0))</f>
        <v/>
      </c>
      <c r="AC1291" s="71" t="str">
        <f aca="false">IF(AH1291="","",ROUND(MIN(K1291,TOPE_AFC_UF*AJ1291)*IF(AA1291="Indefinido",AFC_EMP_INDEF,AFC_EMP_PF),0))</f>
        <v/>
      </c>
      <c r="AD1291" s="71" t="str">
        <f aca="false">IF(AH1291="","",ROUND(MIN(K1291,TOPE_AFP_UF*AJ1291)*(MUTUAL_BASICA+MUTUAL_ADIC+SANNA),0))</f>
        <v/>
      </c>
      <c r="AE1291" s="71" t="str">
        <f aca="false">IF(AH1291="","",P1291-N(N1291)+AB1291+AC1291+AD1291)</f>
        <v/>
      </c>
      <c r="AF1291" s="65"/>
      <c r="AG1291" s="64"/>
      <c r="AH1291" s="72" t="str">
        <f aca="false">IF(OR(B1291="",C1291=""),"",C1291&amp;"|"&amp;(YEAR(B1291)*100+MONTH(B1291)))</f>
        <v/>
      </c>
      <c r="AI1291" s="70" t="str">
        <f aca="false">IF(AH1291="","",IF(COUNTIF(L_CLAVE,AH1291)&gt;1,"⚠ Duplicado","OK"))</f>
        <v/>
      </c>
      <c r="AJ1291" s="86" t="str">
        <f aca="false">IF(AH1291="","",IF(SUMPRODUCT(MAX((IND_PER&lt;=B1291)*(IND_UF&lt;&gt;"")*IND_PER))=0,UF_HOY,INDEX(IND_UF,MATCH(SUMPRODUCT(MAX((IND_PER&lt;=B1291)*(IND_UF&lt;&gt;"")*IND_PER)),IND_PER,0))))</f>
        <v/>
      </c>
      <c r="AK1291" s="87" t="str">
        <f aca="false">IF(AH1291="","",IF(COUNTIF(TASA_DESDE,"&lt;="&amp;B1291)=0,INDEX(TASA_EMP,1),INDEX(TASA_EMP,COUNTIF(TASA_DESDE,"&lt;="&amp;B1291))))</f>
        <v/>
      </c>
    </row>
    <row r="1292" customFormat="false" ht="15" hidden="false" customHeight="false" outlineLevel="0" collapsed="false">
      <c r="B1292" s="78"/>
      <c r="C1292" s="64"/>
      <c r="D1292" s="72" t="str">
        <f aca="false">IF(C1292="","",IFERROR(INDEX(T_NOMBRE,MATCH(C1292,T_ID,0)),"⚠ ID no existe"))</f>
        <v/>
      </c>
      <c r="E1292" s="69"/>
      <c r="F1292" s="67"/>
      <c r="G1292" s="67"/>
      <c r="H1292" s="67"/>
      <c r="I1292" s="67"/>
      <c r="J1292" s="67"/>
      <c r="K1292" s="85" t="str">
        <f aca="false">IF(AH1292="","",N(F1292)+N(G1292)+N(H1292)-N(I1292)+N(J1292))</f>
        <v/>
      </c>
      <c r="L1292" s="67"/>
      <c r="M1292" s="67"/>
      <c r="N1292" s="67"/>
      <c r="O1292" s="67"/>
      <c r="P1292" s="85" t="str">
        <f aca="false">IF(AH1292="","",K1292+N(L1292)+N(M1292)+N(N1292)+N(O1292))</f>
        <v/>
      </c>
      <c r="Q1292" s="67"/>
      <c r="R1292" s="67"/>
      <c r="S1292" s="67"/>
      <c r="T1292" s="67"/>
      <c r="U1292" s="67"/>
      <c r="V1292" s="67"/>
      <c r="W1292" s="85" t="str">
        <f aca="false">IF(AH1292="","",N(Q1292)+N(R1292)+N(S1292)+N(T1292)+N(U1292)+N(V1292))</f>
        <v/>
      </c>
      <c r="X1292" s="85" t="str">
        <f aca="false">IF(AH1292="","",P1292-W1292)</f>
        <v/>
      </c>
      <c r="Y1292" s="67"/>
      <c r="Z1292" s="70" t="str">
        <f aca="false">IF(OR(AH1292="",Y1292=""),"",IF(ABS(X1292-Y1292)&lt;=1,"✓ Cuadra","⚠ Diferencia $"&amp;FIXED(X1292-Y1292,0)))</f>
        <v/>
      </c>
      <c r="AA1292" s="72" t="str">
        <f aca="false">IF(AH1292="","",IFERROR(INDEX(C_TIPO,MATCH(C1292&amp;"-P"&amp;MAX(1,COUNTIFS(C_ID,C1292,C_DEFINE,"Sí",C_INICIO,"&lt;="&amp;EOMONTH(B1292,0))),C_CLAVE,0))&amp;"","Sin dato"))</f>
        <v/>
      </c>
      <c r="AB1292" s="71" t="str">
        <f aca="false">IF(AH1292="","",ROUND(MIN(K1292,TOPE_AFP_UF*AJ1292)*AK1292,0))</f>
        <v/>
      </c>
      <c r="AC1292" s="71" t="str">
        <f aca="false">IF(AH1292="","",ROUND(MIN(K1292,TOPE_AFC_UF*AJ1292)*IF(AA1292="Indefinido",AFC_EMP_INDEF,AFC_EMP_PF),0))</f>
        <v/>
      </c>
      <c r="AD1292" s="71" t="str">
        <f aca="false">IF(AH1292="","",ROUND(MIN(K1292,TOPE_AFP_UF*AJ1292)*(MUTUAL_BASICA+MUTUAL_ADIC+SANNA),0))</f>
        <v/>
      </c>
      <c r="AE1292" s="71" t="str">
        <f aca="false">IF(AH1292="","",P1292-N(N1292)+AB1292+AC1292+AD1292)</f>
        <v/>
      </c>
      <c r="AF1292" s="65"/>
      <c r="AG1292" s="64"/>
      <c r="AH1292" s="72" t="str">
        <f aca="false">IF(OR(B1292="",C1292=""),"",C1292&amp;"|"&amp;(YEAR(B1292)*100+MONTH(B1292)))</f>
        <v/>
      </c>
      <c r="AI1292" s="70" t="str">
        <f aca="false">IF(AH1292="","",IF(COUNTIF(L_CLAVE,AH1292)&gt;1,"⚠ Duplicado","OK"))</f>
        <v/>
      </c>
      <c r="AJ1292" s="86" t="str">
        <f aca="false">IF(AH1292="","",IF(SUMPRODUCT(MAX((IND_PER&lt;=B1292)*(IND_UF&lt;&gt;"")*IND_PER))=0,UF_HOY,INDEX(IND_UF,MATCH(SUMPRODUCT(MAX((IND_PER&lt;=B1292)*(IND_UF&lt;&gt;"")*IND_PER)),IND_PER,0))))</f>
        <v/>
      </c>
      <c r="AK1292" s="87" t="str">
        <f aca="false">IF(AH1292="","",IF(COUNTIF(TASA_DESDE,"&lt;="&amp;B1292)=0,INDEX(TASA_EMP,1),INDEX(TASA_EMP,COUNTIF(TASA_DESDE,"&lt;="&amp;B1292))))</f>
        <v/>
      </c>
    </row>
    <row r="1293" customFormat="false" ht="15" hidden="false" customHeight="false" outlineLevel="0" collapsed="false">
      <c r="B1293" s="78"/>
      <c r="C1293" s="64"/>
      <c r="D1293" s="72" t="str">
        <f aca="false">IF(C1293="","",IFERROR(INDEX(T_NOMBRE,MATCH(C1293,T_ID,0)),"⚠ ID no existe"))</f>
        <v/>
      </c>
      <c r="E1293" s="69"/>
      <c r="F1293" s="67"/>
      <c r="G1293" s="67"/>
      <c r="H1293" s="67"/>
      <c r="I1293" s="67"/>
      <c r="J1293" s="67"/>
      <c r="K1293" s="85" t="str">
        <f aca="false">IF(AH1293="","",N(F1293)+N(G1293)+N(H1293)-N(I1293)+N(J1293))</f>
        <v/>
      </c>
      <c r="L1293" s="67"/>
      <c r="M1293" s="67"/>
      <c r="N1293" s="67"/>
      <c r="O1293" s="67"/>
      <c r="P1293" s="85" t="str">
        <f aca="false">IF(AH1293="","",K1293+N(L1293)+N(M1293)+N(N1293)+N(O1293))</f>
        <v/>
      </c>
      <c r="Q1293" s="67"/>
      <c r="R1293" s="67"/>
      <c r="S1293" s="67"/>
      <c r="T1293" s="67"/>
      <c r="U1293" s="67"/>
      <c r="V1293" s="67"/>
      <c r="W1293" s="85" t="str">
        <f aca="false">IF(AH1293="","",N(Q1293)+N(R1293)+N(S1293)+N(T1293)+N(U1293)+N(V1293))</f>
        <v/>
      </c>
      <c r="X1293" s="85" t="str">
        <f aca="false">IF(AH1293="","",P1293-W1293)</f>
        <v/>
      </c>
      <c r="Y1293" s="67"/>
      <c r="Z1293" s="70" t="str">
        <f aca="false">IF(OR(AH1293="",Y1293=""),"",IF(ABS(X1293-Y1293)&lt;=1,"✓ Cuadra","⚠ Diferencia $"&amp;FIXED(X1293-Y1293,0)))</f>
        <v/>
      </c>
      <c r="AA1293" s="72" t="str">
        <f aca="false">IF(AH1293="","",IFERROR(INDEX(C_TIPO,MATCH(C1293&amp;"-P"&amp;MAX(1,COUNTIFS(C_ID,C1293,C_DEFINE,"Sí",C_INICIO,"&lt;="&amp;EOMONTH(B1293,0))),C_CLAVE,0))&amp;"","Sin dato"))</f>
        <v/>
      </c>
      <c r="AB1293" s="71" t="str">
        <f aca="false">IF(AH1293="","",ROUND(MIN(K1293,TOPE_AFP_UF*AJ1293)*AK1293,0))</f>
        <v/>
      </c>
      <c r="AC1293" s="71" t="str">
        <f aca="false">IF(AH1293="","",ROUND(MIN(K1293,TOPE_AFC_UF*AJ1293)*IF(AA1293="Indefinido",AFC_EMP_INDEF,AFC_EMP_PF),0))</f>
        <v/>
      </c>
      <c r="AD1293" s="71" t="str">
        <f aca="false">IF(AH1293="","",ROUND(MIN(K1293,TOPE_AFP_UF*AJ1293)*(MUTUAL_BASICA+MUTUAL_ADIC+SANNA),0))</f>
        <v/>
      </c>
      <c r="AE1293" s="71" t="str">
        <f aca="false">IF(AH1293="","",P1293-N(N1293)+AB1293+AC1293+AD1293)</f>
        <v/>
      </c>
      <c r="AF1293" s="65"/>
      <c r="AG1293" s="64"/>
      <c r="AH1293" s="72" t="str">
        <f aca="false">IF(OR(B1293="",C1293=""),"",C1293&amp;"|"&amp;(YEAR(B1293)*100+MONTH(B1293)))</f>
        <v/>
      </c>
      <c r="AI1293" s="70" t="str">
        <f aca="false">IF(AH1293="","",IF(COUNTIF(L_CLAVE,AH1293)&gt;1,"⚠ Duplicado","OK"))</f>
        <v/>
      </c>
      <c r="AJ1293" s="86" t="str">
        <f aca="false">IF(AH1293="","",IF(SUMPRODUCT(MAX((IND_PER&lt;=B1293)*(IND_UF&lt;&gt;"")*IND_PER))=0,UF_HOY,INDEX(IND_UF,MATCH(SUMPRODUCT(MAX((IND_PER&lt;=B1293)*(IND_UF&lt;&gt;"")*IND_PER)),IND_PER,0))))</f>
        <v/>
      </c>
      <c r="AK1293" s="87" t="str">
        <f aca="false">IF(AH1293="","",IF(COUNTIF(TASA_DESDE,"&lt;="&amp;B1293)=0,INDEX(TASA_EMP,1),INDEX(TASA_EMP,COUNTIF(TASA_DESDE,"&lt;="&amp;B1293))))</f>
        <v/>
      </c>
    </row>
    <row r="1294" customFormat="false" ht="15" hidden="false" customHeight="false" outlineLevel="0" collapsed="false">
      <c r="B1294" s="78"/>
      <c r="C1294" s="64"/>
      <c r="D1294" s="72" t="str">
        <f aca="false">IF(C1294="","",IFERROR(INDEX(T_NOMBRE,MATCH(C1294,T_ID,0)),"⚠ ID no existe"))</f>
        <v/>
      </c>
      <c r="E1294" s="69"/>
      <c r="F1294" s="67"/>
      <c r="G1294" s="67"/>
      <c r="H1294" s="67"/>
      <c r="I1294" s="67"/>
      <c r="J1294" s="67"/>
      <c r="K1294" s="85" t="str">
        <f aca="false">IF(AH1294="","",N(F1294)+N(G1294)+N(H1294)-N(I1294)+N(J1294))</f>
        <v/>
      </c>
      <c r="L1294" s="67"/>
      <c r="M1294" s="67"/>
      <c r="N1294" s="67"/>
      <c r="O1294" s="67"/>
      <c r="P1294" s="85" t="str">
        <f aca="false">IF(AH1294="","",K1294+N(L1294)+N(M1294)+N(N1294)+N(O1294))</f>
        <v/>
      </c>
      <c r="Q1294" s="67"/>
      <c r="R1294" s="67"/>
      <c r="S1294" s="67"/>
      <c r="T1294" s="67"/>
      <c r="U1294" s="67"/>
      <c r="V1294" s="67"/>
      <c r="W1294" s="85" t="str">
        <f aca="false">IF(AH1294="","",N(Q1294)+N(R1294)+N(S1294)+N(T1294)+N(U1294)+N(V1294))</f>
        <v/>
      </c>
      <c r="X1294" s="85" t="str">
        <f aca="false">IF(AH1294="","",P1294-W1294)</f>
        <v/>
      </c>
      <c r="Y1294" s="67"/>
      <c r="Z1294" s="70" t="str">
        <f aca="false">IF(OR(AH1294="",Y1294=""),"",IF(ABS(X1294-Y1294)&lt;=1,"✓ Cuadra","⚠ Diferencia $"&amp;FIXED(X1294-Y1294,0)))</f>
        <v/>
      </c>
      <c r="AA1294" s="72" t="str">
        <f aca="false">IF(AH1294="","",IFERROR(INDEX(C_TIPO,MATCH(C1294&amp;"-P"&amp;MAX(1,COUNTIFS(C_ID,C1294,C_DEFINE,"Sí",C_INICIO,"&lt;="&amp;EOMONTH(B1294,0))),C_CLAVE,0))&amp;"","Sin dato"))</f>
        <v/>
      </c>
      <c r="AB1294" s="71" t="str">
        <f aca="false">IF(AH1294="","",ROUND(MIN(K1294,TOPE_AFP_UF*AJ1294)*AK1294,0))</f>
        <v/>
      </c>
      <c r="AC1294" s="71" t="str">
        <f aca="false">IF(AH1294="","",ROUND(MIN(K1294,TOPE_AFC_UF*AJ1294)*IF(AA1294="Indefinido",AFC_EMP_INDEF,AFC_EMP_PF),0))</f>
        <v/>
      </c>
      <c r="AD1294" s="71" t="str">
        <f aca="false">IF(AH1294="","",ROUND(MIN(K1294,TOPE_AFP_UF*AJ1294)*(MUTUAL_BASICA+MUTUAL_ADIC+SANNA),0))</f>
        <v/>
      </c>
      <c r="AE1294" s="71" t="str">
        <f aca="false">IF(AH1294="","",P1294-N(N1294)+AB1294+AC1294+AD1294)</f>
        <v/>
      </c>
      <c r="AF1294" s="65"/>
      <c r="AG1294" s="64"/>
      <c r="AH1294" s="72" t="str">
        <f aca="false">IF(OR(B1294="",C1294=""),"",C1294&amp;"|"&amp;(YEAR(B1294)*100+MONTH(B1294)))</f>
        <v/>
      </c>
      <c r="AI1294" s="70" t="str">
        <f aca="false">IF(AH1294="","",IF(COUNTIF(L_CLAVE,AH1294)&gt;1,"⚠ Duplicado","OK"))</f>
        <v/>
      </c>
      <c r="AJ1294" s="86" t="str">
        <f aca="false">IF(AH1294="","",IF(SUMPRODUCT(MAX((IND_PER&lt;=B1294)*(IND_UF&lt;&gt;"")*IND_PER))=0,UF_HOY,INDEX(IND_UF,MATCH(SUMPRODUCT(MAX((IND_PER&lt;=B1294)*(IND_UF&lt;&gt;"")*IND_PER)),IND_PER,0))))</f>
        <v/>
      </c>
      <c r="AK1294" s="87" t="str">
        <f aca="false">IF(AH1294="","",IF(COUNTIF(TASA_DESDE,"&lt;="&amp;B1294)=0,INDEX(TASA_EMP,1),INDEX(TASA_EMP,COUNTIF(TASA_DESDE,"&lt;="&amp;B1294))))</f>
        <v/>
      </c>
    </row>
    <row r="1295" customFormat="false" ht="15" hidden="false" customHeight="false" outlineLevel="0" collapsed="false">
      <c r="B1295" s="78"/>
      <c r="C1295" s="64"/>
      <c r="D1295" s="72" t="str">
        <f aca="false">IF(C1295="","",IFERROR(INDEX(T_NOMBRE,MATCH(C1295,T_ID,0)),"⚠ ID no existe"))</f>
        <v/>
      </c>
      <c r="E1295" s="69"/>
      <c r="F1295" s="67"/>
      <c r="G1295" s="67"/>
      <c r="H1295" s="67"/>
      <c r="I1295" s="67"/>
      <c r="J1295" s="67"/>
      <c r="K1295" s="85" t="str">
        <f aca="false">IF(AH1295="","",N(F1295)+N(G1295)+N(H1295)-N(I1295)+N(J1295))</f>
        <v/>
      </c>
      <c r="L1295" s="67"/>
      <c r="M1295" s="67"/>
      <c r="N1295" s="67"/>
      <c r="O1295" s="67"/>
      <c r="P1295" s="85" t="str">
        <f aca="false">IF(AH1295="","",K1295+N(L1295)+N(M1295)+N(N1295)+N(O1295))</f>
        <v/>
      </c>
      <c r="Q1295" s="67"/>
      <c r="R1295" s="67"/>
      <c r="S1295" s="67"/>
      <c r="T1295" s="67"/>
      <c r="U1295" s="67"/>
      <c r="V1295" s="67"/>
      <c r="W1295" s="85" t="str">
        <f aca="false">IF(AH1295="","",N(Q1295)+N(R1295)+N(S1295)+N(T1295)+N(U1295)+N(V1295))</f>
        <v/>
      </c>
      <c r="X1295" s="85" t="str">
        <f aca="false">IF(AH1295="","",P1295-W1295)</f>
        <v/>
      </c>
      <c r="Y1295" s="67"/>
      <c r="Z1295" s="70" t="str">
        <f aca="false">IF(OR(AH1295="",Y1295=""),"",IF(ABS(X1295-Y1295)&lt;=1,"✓ Cuadra","⚠ Diferencia $"&amp;FIXED(X1295-Y1295,0)))</f>
        <v/>
      </c>
      <c r="AA1295" s="72" t="str">
        <f aca="false">IF(AH1295="","",IFERROR(INDEX(C_TIPO,MATCH(C1295&amp;"-P"&amp;MAX(1,COUNTIFS(C_ID,C1295,C_DEFINE,"Sí",C_INICIO,"&lt;="&amp;EOMONTH(B1295,0))),C_CLAVE,0))&amp;"","Sin dato"))</f>
        <v/>
      </c>
      <c r="AB1295" s="71" t="str">
        <f aca="false">IF(AH1295="","",ROUND(MIN(K1295,TOPE_AFP_UF*AJ1295)*AK1295,0))</f>
        <v/>
      </c>
      <c r="AC1295" s="71" t="str">
        <f aca="false">IF(AH1295="","",ROUND(MIN(K1295,TOPE_AFC_UF*AJ1295)*IF(AA1295="Indefinido",AFC_EMP_INDEF,AFC_EMP_PF),0))</f>
        <v/>
      </c>
      <c r="AD1295" s="71" t="str">
        <f aca="false">IF(AH1295="","",ROUND(MIN(K1295,TOPE_AFP_UF*AJ1295)*(MUTUAL_BASICA+MUTUAL_ADIC+SANNA),0))</f>
        <v/>
      </c>
      <c r="AE1295" s="71" t="str">
        <f aca="false">IF(AH1295="","",P1295-N(N1295)+AB1295+AC1295+AD1295)</f>
        <v/>
      </c>
      <c r="AF1295" s="65"/>
      <c r="AG1295" s="64"/>
      <c r="AH1295" s="72" t="str">
        <f aca="false">IF(OR(B1295="",C1295=""),"",C1295&amp;"|"&amp;(YEAR(B1295)*100+MONTH(B1295)))</f>
        <v/>
      </c>
      <c r="AI1295" s="70" t="str">
        <f aca="false">IF(AH1295="","",IF(COUNTIF(L_CLAVE,AH1295)&gt;1,"⚠ Duplicado","OK"))</f>
        <v/>
      </c>
      <c r="AJ1295" s="86" t="str">
        <f aca="false">IF(AH1295="","",IF(SUMPRODUCT(MAX((IND_PER&lt;=B1295)*(IND_UF&lt;&gt;"")*IND_PER))=0,UF_HOY,INDEX(IND_UF,MATCH(SUMPRODUCT(MAX((IND_PER&lt;=B1295)*(IND_UF&lt;&gt;"")*IND_PER)),IND_PER,0))))</f>
        <v/>
      </c>
      <c r="AK1295" s="87" t="str">
        <f aca="false">IF(AH1295="","",IF(COUNTIF(TASA_DESDE,"&lt;="&amp;B1295)=0,INDEX(TASA_EMP,1),INDEX(TASA_EMP,COUNTIF(TASA_DESDE,"&lt;="&amp;B1295))))</f>
        <v/>
      </c>
    </row>
    <row r="1296" customFormat="false" ht="15" hidden="false" customHeight="false" outlineLevel="0" collapsed="false">
      <c r="B1296" s="78"/>
      <c r="C1296" s="64"/>
      <c r="D1296" s="72" t="str">
        <f aca="false">IF(C1296="","",IFERROR(INDEX(T_NOMBRE,MATCH(C1296,T_ID,0)),"⚠ ID no existe"))</f>
        <v/>
      </c>
      <c r="E1296" s="69"/>
      <c r="F1296" s="67"/>
      <c r="G1296" s="67"/>
      <c r="H1296" s="67"/>
      <c r="I1296" s="67"/>
      <c r="J1296" s="67"/>
      <c r="K1296" s="85" t="str">
        <f aca="false">IF(AH1296="","",N(F1296)+N(G1296)+N(H1296)-N(I1296)+N(J1296))</f>
        <v/>
      </c>
      <c r="L1296" s="67"/>
      <c r="M1296" s="67"/>
      <c r="N1296" s="67"/>
      <c r="O1296" s="67"/>
      <c r="P1296" s="85" t="str">
        <f aca="false">IF(AH1296="","",K1296+N(L1296)+N(M1296)+N(N1296)+N(O1296))</f>
        <v/>
      </c>
      <c r="Q1296" s="67"/>
      <c r="R1296" s="67"/>
      <c r="S1296" s="67"/>
      <c r="T1296" s="67"/>
      <c r="U1296" s="67"/>
      <c r="V1296" s="67"/>
      <c r="W1296" s="85" t="str">
        <f aca="false">IF(AH1296="","",N(Q1296)+N(R1296)+N(S1296)+N(T1296)+N(U1296)+N(V1296))</f>
        <v/>
      </c>
      <c r="X1296" s="85" t="str">
        <f aca="false">IF(AH1296="","",P1296-W1296)</f>
        <v/>
      </c>
      <c r="Y1296" s="67"/>
      <c r="Z1296" s="70" t="str">
        <f aca="false">IF(OR(AH1296="",Y1296=""),"",IF(ABS(X1296-Y1296)&lt;=1,"✓ Cuadra","⚠ Diferencia $"&amp;FIXED(X1296-Y1296,0)))</f>
        <v/>
      </c>
      <c r="AA1296" s="72" t="str">
        <f aca="false">IF(AH1296="","",IFERROR(INDEX(C_TIPO,MATCH(C1296&amp;"-P"&amp;MAX(1,COUNTIFS(C_ID,C1296,C_DEFINE,"Sí",C_INICIO,"&lt;="&amp;EOMONTH(B1296,0))),C_CLAVE,0))&amp;"","Sin dato"))</f>
        <v/>
      </c>
      <c r="AB1296" s="71" t="str">
        <f aca="false">IF(AH1296="","",ROUND(MIN(K1296,TOPE_AFP_UF*AJ1296)*AK1296,0))</f>
        <v/>
      </c>
      <c r="AC1296" s="71" t="str">
        <f aca="false">IF(AH1296="","",ROUND(MIN(K1296,TOPE_AFC_UF*AJ1296)*IF(AA1296="Indefinido",AFC_EMP_INDEF,AFC_EMP_PF),0))</f>
        <v/>
      </c>
      <c r="AD1296" s="71" t="str">
        <f aca="false">IF(AH1296="","",ROUND(MIN(K1296,TOPE_AFP_UF*AJ1296)*(MUTUAL_BASICA+MUTUAL_ADIC+SANNA),0))</f>
        <v/>
      </c>
      <c r="AE1296" s="71" t="str">
        <f aca="false">IF(AH1296="","",P1296-N(N1296)+AB1296+AC1296+AD1296)</f>
        <v/>
      </c>
      <c r="AF1296" s="65"/>
      <c r="AG1296" s="64"/>
      <c r="AH1296" s="72" t="str">
        <f aca="false">IF(OR(B1296="",C1296=""),"",C1296&amp;"|"&amp;(YEAR(B1296)*100+MONTH(B1296)))</f>
        <v/>
      </c>
      <c r="AI1296" s="70" t="str">
        <f aca="false">IF(AH1296="","",IF(COUNTIF(L_CLAVE,AH1296)&gt;1,"⚠ Duplicado","OK"))</f>
        <v/>
      </c>
      <c r="AJ1296" s="86" t="str">
        <f aca="false">IF(AH1296="","",IF(SUMPRODUCT(MAX((IND_PER&lt;=B1296)*(IND_UF&lt;&gt;"")*IND_PER))=0,UF_HOY,INDEX(IND_UF,MATCH(SUMPRODUCT(MAX((IND_PER&lt;=B1296)*(IND_UF&lt;&gt;"")*IND_PER)),IND_PER,0))))</f>
        <v/>
      </c>
      <c r="AK1296" s="87" t="str">
        <f aca="false">IF(AH1296="","",IF(COUNTIF(TASA_DESDE,"&lt;="&amp;B1296)=0,INDEX(TASA_EMP,1),INDEX(TASA_EMP,COUNTIF(TASA_DESDE,"&lt;="&amp;B1296))))</f>
        <v/>
      </c>
    </row>
    <row r="1297" customFormat="false" ht="15" hidden="false" customHeight="false" outlineLevel="0" collapsed="false">
      <c r="B1297" s="78"/>
      <c r="C1297" s="64"/>
      <c r="D1297" s="72" t="str">
        <f aca="false">IF(C1297="","",IFERROR(INDEX(T_NOMBRE,MATCH(C1297,T_ID,0)),"⚠ ID no existe"))</f>
        <v/>
      </c>
      <c r="E1297" s="69"/>
      <c r="F1297" s="67"/>
      <c r="G1297" s="67"/>
      <c r="H1297" s="67"/>
      <c r="I1297" s="67"/>
      <c r="J1297" s="67"/>
      <c r="K1297" s="85" t="str">
        <f aca="false">IF(AH1297="","",N(F1297)+N(G1297)+N(H1297)-N(I1297)+N(J1297))</f>
        <v/>
      </c>
      <c r="L1297" s="67"/>
      <c r="M1297" s="67"/>
      <c r="N1297" s="67"/>
      <c r="O1297" s="67"/>
      <c r="P1297" s="85" t="str">
        <f aca="false">IF(AH1297="","",K1297+N(L1297)+N(M1297)+N(N1297)+N(O1297))</f>
        <v/>
      </c>
      <c r="Q1297" s="67"/>
      <c r="R1297" s="67"/>
      <c r="S1297" s="67"/>
      <c r="T1297" s="67"/>
      <c r="U1297" s="67"/>
      <c r="V1297" s="67"/>
      <c r="W1297" s="85" t="str">
        <f aca="false">IF(AH1297="","",N(Q1297)+N(R1297)+N(S1297)+N(T1297)+N(U1297)+N(V1297))</f>
        <v/>
      </c>
      <c r="X1297" s="85" t="str">
        <f aca="false">IF(AH1297="","",P1297-W1297)</f>
        <v/>
      </c>
      <c r="Y1297" s="67"/>
      <c r="Z1297" s="70" t="str">
        <f aca="false">IF(OR(AH1297="",Y1297=""),"",IF(ABS(X1297-Y1297)&lt;=1,"✓ Cuadra","⚠ Diferencia $"&amp;FIXED(X1297-Y1297,0)))</f>
        <v/>
      </c>
      <c r="AA1297" s="72" t="str">
        <f aca="false">IF(AH1297="","",IFERROR(INDEX(C_TIPO,MATCH(C1297&amp;"-P"&amp;MAX(1,COUNTIFS(C_ID,C1297,C_DEFINE,"Sí",C_INICIO,"&lt;="&amp;EOMONTH(B1297,0))),C_CLAVE,0))&amp;"","Sin dato"))</f>
        <v/>
      </c>
      <c r="AB1297" s="71" t="str">
        <f aca="false">IF(AH1297="","",ROUND(MIN(K1297,TOPE_AFP_UF*AJ1297)*AK1297,0))</f>
        <v/>
      </c>
      <c r="AC1297" s="71" t="str">
        <f aca="false">IF(AH1297="","",ROUND(MIN(K1297,TOPE_AFC_UF*AJ1297)*IF(AA1297="Indefinido",AFC_EMP_INDEF,AFC_EMP_PF),0))</f>
        <v/>
      </c>
      <c r="AD1297" s="71" t="str">
        <f aca="false">IF(AH1297="","",ROUND(MIN(K1297,TOPE_AFP_UF*AJ1297)*(MUTUAL_BASICA+MUTUAL_ADIC+SANNA),0))</f>
        <v/>
      </c>
      <c r="AE1297" s="71" t="str">
        <f aca="false">IF(AH1297="","",P1297-N(N1297)+AB1297+AC1297+AD1297)</f>
        <v/>
      </c>
      <c r="AF1297" s="65"/>
      <c r="AG1297" s="64"/>
      <c r="AH1297" s="72" t="str">
        <f aca="false">IF(OR(B1297="",C1297=""),"",C1297&amp;"|"&amp;(YEAR(B1297)*100+MONTH(B1297)))</f>
        <v/>
      </c>
      <c r="AI1297" s="70" t="str">
        <f aca="false">IF(AH1297="","",IF(COUNTIF(L_CLAVE,AH1297)&gt;1,"⚠ Duplicado","OK"))</f>
        <v/>
      </c>
      <c r="AJ1297" s="86" t="str">
        <f aca="false">IF(AH1297="","",IF(SUMPRODUCT(MAX((IND_PER&lt;=B1297)*(IND_UF&lt;&gt;"")*IND_PER))=0,UF_HOY,INDEX(IND_UF,MATCH(SUMPRODUCT(MAX((IND_PER&lt;=B1297)*(IND_UF&lt;&gt;"")*IND_PER)),IND_PER,0))))</f>
        <v/>
      </c>
      <c r="AK1297" s="87" t="str">
        <f aca="false">IF(AH1297="","",IF(COUNTIF(TASA_DESDE,"&lt;="&amp;B1297)=0,INDEX(TASA_EMP,1),INDEX(TASA_EMP,COUNTIF(TASA_DESDE,"&lt;="&amp;B1297))))</f>
        <v/>
      </c>
    </row>
    <row r="1298" customFormat="false" ht="15" hidden="false" customHeight="false" outlineLevel="0" collapsed="false">
      <c r="B1298" s="78"/>
      <c r="C1298" s="64"/>
      <c r="D1298" s="72" t="str">
        <f aca="false">IF(C1298="","",IFERROR(INDEX(T_NOMBRE,MATCH(C1298,T_ID,0)),"⚠ ID no existe"))</f>
        <v/>
      </c>
      <c r="E1298" s="69"/>
      <c r="F1298" s="67"/>
      <c r="G1298" s="67"/>
      <c r="H1298" s="67"/>
      <c r="I1298" s="67"/>
      <c r="J1298" s="67"/>
      <c r="K1298" s="85" t="str">
        <f aca="false">IF(AH1298="","",N(F1298)+N(G1298)+N(H1298)-N(I1298)+N(J1298))</f>
        <v/>
      </c>
      <c r="L1298" s="67"/>
      <c r="M1298" s="67"/>
      <c r="N1298" s="67"/>
      <c r="O1298" s="67"/>
      <c r="P1298" s="85" t="str">
        <f aca="false">IF(AH1298="","",K1298+N(L1298)+N(M1298)+N(N1298)+N(O1298))</f>
        <v/>
      </c>
      <c r="Q1298" s="67"/>
      <c r="R1298" s="67"/>
      <c r="S1298" s="67"/>
      <c r="T1298" s="67"/>
      <c r="U1298" s="67"/>
      <c r="V1298" s="67"/>
      <c r="W1298" s="85" t="str">
        <f aca="false">IF(AH1298="","",N(Q1298)+N(R1298)+N(S1298)+N(T1298)+N(U1298)+N(V1298))</f>
        <v/>
      </c>
      <c r="X1298" s="85" t="str">
        <f aca="false">IF(AH1298="","",P1298-W1298)</f>
        <v/>
      </c>
      <c r="Y1298" s="67"/>
      <c r="Z1298" s="70" t="str">
        <f aca="false">IF(OR(AH1298="",Y1298=""),"",IF(ABS(X1298-Y1298)&lt;=1,"✓ Cuadra","⚠ Diferencia $"&amp;FIXED(X1298-Y1298,0)))</f>
        <v/>
      </c>
      <c r="AA1298" s="72" t="str">
        <f aca="false">IF(AH1298="","",IFERROR(INDEX(C_TIPO,MATCH(C1298&amp;"-P"&amp;MAX(1,COUNTIFS(C_ID,C1298,C_DEFINE,"Sí",C_INICIO,"&lt;="&amp;EOMONTH(B1298,0))),C_CLAVE,0))&amp;"","Sin dato"))</f>
        <v/>
      </c>
      <c r="AB1298" s="71" t="str">
        <f aca="false">IF(AH1298="","",ROUND(MIN(K1298,TOPE_AFP_UF*AJ1298)*AK1298,0))</f>
        <v/>
      </c>
      <c r="AC1298" s="71" t="str">
        <f aca="false">IF(AH1298="","",ROUND(MIN(K1298,TOPE_AFC_UF*AJ1298)*IF(AA1298="Indefinido",AFC_EMP_INDEF,AFC_EMP_PF),0))</f>
        <v/>
      </c>
      <c r="AD1298" s="71" t="str">
        <f aca="false">IF(AH1298="","",ROUND(MIN(K1298,TOPE_AFP_UF*AJ1298)*(MUTUAL_BASICA+MUTUAL_ADIC+SANNA),0))</f>
        <v/>
      </c>
      <c r="AE1298" s="71" t="str">
        <f aca="false">IF(AH1298="","",P1298-N(N1298)+AB1298+AC1298+AD1298)</f>
        <v/>
      </c>
      <c r="AF1298" s="65"/>
      <c r="AG1298" s="64"/>
      <c r="AH1298" s="72" t="str">
        <f aca="false">IF(OR(B1298="",C1298=""),"",C1298&amp;"|"&amp;(YEAR(B1298)*100+MONTH(B1298)))</f>
        <v/>
      </c>
      <c r="AI1298" s="70" t="str">
        <f aca="false">IF(AH1298="","",IF(COUNTIF(L_CLAVE,AH1298)&gt;1,"⚠ Duplicado","OK"))</f>
        <v/>
      </c>
      <c r="AJ1298" s="86" t="str">
        <f aca="false">IF(AH1298="","",IF(SUMPRODUCT(MAX((IND_PER&lt;=B1298)*(IND_UF&lt;&gt;"")*IND_PER))=0,UF_HOY,INDEX(IND_UF,MATCH(SUMPRODUCT(MAX((IND_PER&lt;=B1298)*(IND_UF&lt;&gt;"")*IND_PER)),IND_PER,0))))</f>
        <v/>
      </c>
      <c r="AK1298" s="87" t="str">
        <f aca="false">IF(AH1298="","",IF(COUNTIF(TASA_DESDE,"&lt;="&amp;B1298)=0,INDEX(TASA_EMP,1),INDEX(TASA_EMP,COUNTIF(TASA_DESDE,"&lt;="&amp;B1298))))</f>
        <v/>
      </c>
    </row>
    <row r="1299" customFormat="false" ht="15" hidden="false" customHeight="false" outlineLevel="0" collapsed="false">
      <c r="B1299" s="78"/>
      <c r="C1299" s="64"/>
      <c r="D1299" s="72" t="str">
        <f aca="false">IF(C1299="","",IFERROR(INDEX(T_NOMBRE,MATCH(C1299,T_ID,0)),"⚠ ID no existe"))</f>
        <v/>
      </c>
      <c r="E1299" s="69"/>
      <c r="F1299" s="67"/>
      <c r="G1299" s="67"/>
      <c r="H1299" s="67"/>
      <c r="I1299" s="67"/>
      <c r="J1299" s="67"/>
      <c r="K1299" s="85" t="str">
        <f aca="false">IF(AH1299="","",N(F1299)+N(G1299)+N(H1299)-N(I1299)+N(J1299))</f>
        <v/>
      </c>
      <c r="L1299" s="67"/>
      <c r="M1299" s="67"/>
      <c r="N1299" s="67"/>
      <c r="O1299" s="67"/>
      <c r="P1299" s="85" t="str">
        <f aca="false">IF(AH1299="","",K1299+N(L1299)+N(M1299)+N(N1299)+N(O1299))</f>
        <v/>
      </c>
      <c r="Q1299" s="67"/>
      <c r="R1299" s="67"/>
      <c r="S1299" s="67"/>
      <c r="T1299" s="67"/>
      <c r="U1299" s="67"/>
      <c r="V1299" s="67"/>
      <c r="W1299" s="85" t="str">
        <f aca="false">IF(AH1299="","",N(Q1299)+N(R1299)+N(S1299)+N(T1299)+N(U1299)+N(V1299))</f>
        <v/>
      </c>
      <c r="X1299" s="85" t="str">
        <f aca="false">IF(AH1299="","",P1299-W1299)</f>
        <v/>
      </c>
      <c r="Y1299" s="67"/>
      <c r="Z1299" s="70" t="str">
        <f aca="false">IF(OR(AH1299="",Y1299=""),"",IF(ABS(X1299-Y1299)&lt;=1,"✓ Cuadra","⚠ Diferencia $"&amp;FIXED(X1299-Y1299,0)))</f>
        <v/>
      </c>
      <c r="AA1299" s="72" t="str">
        <f aca="false">IF(AH1299="","",IFERROR(INDEX(C_TIPO,MATCH(C1299&amp;"-P"&amp;MAX(1,COUNTIFS(C_ID,C1299,C_DEFINE,"Sí",C_INICIO,"&lt;="&amp;EOMONTH(B1299,0))),C_CLAVE,0))&amp;"","Sin dato"))</f>
        <v/>
      </c>
      <c r="AB1299" s="71" t="str">
        <f aca="false">IF(AH1299="","",ROUND(MIN(K1299,TOPE_AFP_UF*AJ1299)*AK1299,0))</f>
        <v/>
      </c>
      <c r="AC1299" s="71" t="str">
        <f aca="false">IF(AH1299="","",ROUND(MIN(K1299,TOPE_AFC_UF*AJ1299)*IF(AA1299="Indefinido",AFC_EMP_INDEF,AFC_EMP_PF),0))</f>
        <v/>
      </c>
      <c r="AD1299" s="71" t="str">
        <f aca="false">IF(AH1299="","",ROUND(MIN(K1299,TOPE_AFP_UF*AJ1299)*(MUTUAL_BASICA+MUTUAL_ADIC+SANNA),0))</f>
        <v/>
      </c>
      <c r="AE1299" s="71" t="str">
        <f aca="false">IF(AH1299="","",P1299-N(N1299)+AB1299+AC1299+AD1299)</f>
        <v/>
      </c>
      <c r="AF1299" s="65"/>
      <c r="AG1299" s="64"/>
      <c r="AH1299" s="72" t="str">
        <f aca="false">IF(OR(B1299="",C1299=""),"",C1299&amp;"|"&amp;(YEAR(B1299)*100+MONTH(B1299)))</f>
        <v/>
      </c>
      <c r="AI1299" s="70" t="str">
        <f aca="false">IF(AH1299="","",IF(COUNTIF(L_CLAVE,AH1299)&gt;1,"⚠ Duplicado","OK"))</f>
        <v/>
      </c>
      <c r="AJ1299" s="86" t="str">
        <f aca="false">IF(AH1299="","",IF(SUMPRODUCT(MAX((IND_PER&lt;=B1299)*(IND_UF&lt;&gt;"")*IND_PER))=0,UF_HOY,INDEX(IND_UF,MATCH(SUMPRODUCT(MAX((IND_PER&lt;=B1299)*(IND_UF&lt;&gt;"")*IND_PER)),IND_PER,0))))</f>
        <v/>
      </c>
      <c r="AK1299" s="87" t="str">
        <f aca="false">IF(AH1299="","",IF(COUNTIF(TASA_DESDE,"&lt;="&amp;B1299)=0,INDEX(TASA_EMP,1),INDEX(TASA_EMP,COUNTIF(TASA_DESDE,"&lt;="&amp;B1299))))</f>
        <v/>
      </c>
    </row>
    <row r="1300" customFormat="false" ht="15" hidden="false" customHeight="false" outlineLevel="0" collapsed="false">
      <c r="B1300" s="78"/>
      <c r="C1300" s="64"/>
      <c r="D1300" s="72" t="str">
        <f aca="false">IF(C1300="","",IFERROR(INDEX(T_NOMBRE,MATCH(C1300,T_ID,0)),"⚠ ID no existe"))</f>
        <v/>
      </c>
      <c r="E1300" s="69"/>
      <c r="F1300" s="67"/>
      <c r="G1300" s="67"/>
      <c r="H1300" s="67"/>
      <c r="I1300" s="67"/>
      <c r="J1300" s="67"/>
      <c r="K1300" s="85" t="str">
        <f aca="false">IF(AH1300="","",N(F1300)+N(G1300)+N(H1300)-N(I1300)+N(J1300))</f>
        <v/>
      </c>
      <c r="L1300" s="67"/>
      <c r="M1300" s="67"/>
      <c r="N1300" s="67"/>
      <c r="O1300" s="67"/>
      <c r="P1300" s="85" t="str">
        <f aca="false">IF(AH1300="","",K1300+N(L1300)+N(M1300)+N(N1300)+N(O1300))</f>
        <v/>
      </c>
      <c r="Q1300" s="67"/>
      <c r="R1300" s="67"/>
      <c r="S1300" s="67"/>
      <c r="T1300" s="67"/>
      <c r="U1300" s="67"/>
      <c r="V1300" s="67"/>
      <c r="W1300" s="85" t="str">
        <f aca="false">IF(AH1300="","",N(Q1300)+N(R1300)+N(S1300)+N(T1300)+N(U1300)+N(V1300))</f>
        <v/>
      </c>
      <c r="X1300" s="85" t="str">
        <f aca="false">IF(AH1300="","",P1300-W1300)</f>
        <v/>
      </c>
      <c r="Y1300" s="67"/>
      <c r="Z1300" s="70" t="str">
        <f aca="false">IF(OR(AH1300="",Y1300=""),"",IF(ABS(X1300-Y1300)&lt;=1,"✓ Cuadra","⚠ Diferencia $"&amp;FIXED(X1300-Y1300,0)))</f>
        <v/>
      </c>
      <c r="AA1300" s="72" t="str">
        <f aca="false">IF(AH1300="","",IFERROR(INDEX(C_TIPO,MATCH(C1300&amp;"-P"&amp;MAX(1,COUNTIFS(C_ID,C1300,C_DEFINE,"Sí",C_INICIO,"&lt;="&amp;EOMONTH(B1300,0))),C_CLAVE,0))&amp;"","Sin dato"))</f>
        <v/>
      </c>
      <c r="AB1300" s="71" t="str">
        <f aca="false">IF(AH1300="","",ROUND(MIN(K1300,TOPE_AFP_UF*AJ1300)*AK1300,0))</f>
        <v/>
      </c>
      <c r="AC1300" s="71" t="str">
        <f aca="false">IF(AH1300="","",ROUND(MIN(K1300,TOPE_AFC_UF*AJ1300)*IF(AA1300="Indefinido",AFC_EMP_INDEF,AFC_EMP_PF),0))</f>
        <v/>
      </c>
      <c r="AD1300" s="71" t="str">
        <f aca="false">IF(AH1300="","",ROUND(MIN(K1300,TOPE_AFP_UF*AJ1300)*(MUTUAL_BASICA+MUTUAL_ADIC+SANNA),0))</f>
        <v/>
      </c>
      <c r="AE1300" s="71" t="str">
        <f aca="false">IF(AH1300="","",P1300-N(N1300)+AB1300+AC1300+AD1300)</f>
        <v/>
      </c>
      <c r="AF1300" s="65"/>
      <c r="AG1300" s="64"/>
      <c r="AH1300" s="72" t="str">
        <f aca="false">IF(OR(B1300="",C1300=""),"",C1300&amp;"|"&amp;(YEAR(B1300)*100+MONTH(B1300)))</f>
        <v/>
      </c>
      <c r="AI1300" s="70" t="str">
        <f aca="false">IF(AH1300="","",IF(COUNTIF(L_CLAVE,AH1300)&gt;1,"⚠ Duplicado","OK"))</f>
        <v/>
      </c>
      <c r="AJ1300" s="86" t="str">
        <f aca="false">IF(AH1300="","",IF(SUMPRODUCT(MAX((IND_PER&lt;=B1300)*(IND_UF&lt;&gt;"")*IND_PER))=0,UF_HOY,INDEX(IND_UF,MATCH(SUMPRODUCT(MAX((IND_PER&lt;=B1300)*(IND_UF&lt;&gt;"")*IND_PER)),IND_PER,0))))</f>
        <v/>
      </c>
      <c r="AK1300" s="87" t="str">
        <f aca="false">IF(AH1300="","",IF(COUNTIF(TASA_DESDE,"&lt;="&amp;B1300)=0,INDEX(TASA_EMP,1),INDEX(TASA_EMP,COUNTIF(TASA_DESDE,"&lt;="&amp;B1300))))</f>
        <v/>
      </c>
    </row>
    <row r="1301" customFormat="false" ht="15" hidden="false" customHeight="false" outlineLevel="0" collapsed="false">
      <c r="B1301" s="78"/>
      <c r="C1301" s="64"/>
      <c r="D1301" s="72" t="str">
        <f aca="false">IF(C1301="","",IFERROR(INDEX(T_NOMBRE,MATCH(C1301,T_ID,0)),"⚠ ID no existe"))</f>
        <v/>
      </c>
      <c r="E1301" s="69"/>
      <c r="F1301" s="67"/>
      <c r="G1301" s="67"/>
      <c r="H1301" s="67"/>
      <c r="I1301" s="67"/>
      <c r="J1301" s="67"/>
      <c r="K1301" s="85" t="str">
        <f aca="false">IF(AH1301="","",N(F1301)+N(G1301)+N(H1301)-N(I1301)+N(J1301))</f>
        <v/>
      </c>
      <c r="L1301" s="67"/>
      <c r="M1301" s="67"/>
      <c r="N1301" s="67"/>
      <c r="O1301" s="67"/>
      <c r="P1301" s="85" t="str">
        <f aca="false">IF(AH1301="","",K1301+N(L1301)+N(M1301)+N(N1301)+N(O1301))</f>
        <v/>
      </c>
      <c r="Q1301" s="67"/>
      <c r="R1301" s="67"/>
      <c r="S1301" s="67"/>
      <c r="T1301" s="67"/>
      <c r="U1301" s="67"/>
      <c r="V1301" s="67"/>
      <c r="W1301" s="85" t="str">
        <f aca="false">IF(AH1301="","",N(Q1301)+N(R1301)+N(S1301)+N(T1301)+N(U1301)+N(V1301))</f>
        <v/>
      </c>
      <c r="X1301" s="85" t="str">
        <f aca="false">IF(AH1301="","",P1301-W1301)</f>
        <v/>
      </c>
      <c r="Y1301" s="67"/>
      <c r="Z1301" s="70" t="str">
        <f aca="false">IF(OR(AH1301="",Y1301=""),"",IF(ABS(X1301-Y1301)&lt;=1,"✓ Cuadra","⚠ Diferencia $"&amp;FIXED(X1301-Y1301,0)))</f>
        <v/>
      </c>
      <c r="AA1301" s="72" t="str">
        <f aca="false">IF(AH1301="","",IFERROR(INDEX(C_TIPO,MATCH(C1301&amp;"-P"&amp;MAX(1,COUNTIFS(C_ID,C1301,C_DEFINE,"Sí",C_INICIO,"&lt;="&amp;EOMONTH(B1301,0))),C_CLAVE,0))&amp;"","Sin dato"))</f>
        <v/>
      </c>
      <c r="AB1301" s="71" t="str">
        <f aca="false">IF(AH1301="","",ROUND(MIN(K1301,TOPE_AFP_UF*AJ1301)*AK1301,0))</f>
        <v/>
      </c>
      <c r="AC1301" s="71" t="str">
        <f aca="false">IF(AH1301="","",ROUND(MIN(K1301,TOPE_AFC_UF*AJ1301)*IF(AA1301="Indefinido",AFC_EMP_INDEF,AFC_EMP_PF),0))</f>
        <v/>
      </c>
      <c r="AD1301" s="71" t="str">
        <f aca="false">IF(AH1301="","",ROUND(MIN(K1301,TOPE_AFP_UF*AJ1301)*(MUTUAL_BASICA+MUTUAL_ADIC+SANNA),0))</f>
        <v/>
      </c>
      <c r="AE1301" s="71" t="str">
        <f aca="false">IF(AH1301="","",P1301-N(N1301)+AB1301+AC1301+AD1301)</f>
        <v/>
      </c>
      <c r="AF1301" s="65"/>
      <c r="AG1301" s="64"/>
      <c r="AH1301" s="72" t="str">
        <f aca="false">IF(OR(B1301="",C1301=""),"",C1301&amp;"|"&amp;(YEAR(B1301)*100+MONTH(B1301)))</f>
        <v/>
      </c>
      <c r="AI1301" s="70" t="str">
        <f aca="false">IF(AH1301="","",IF(COUNTIF(L_CLAVE,AH1301)&gt;1,"⚠ Duplicado","OK"))</f>
        <v/>
      </c>
      <c r="AJ1301" s="86" t="str">
        <f aca="false">IF(AH1301="","",IF(SUMPRODUCT(MAX((IND_PER&lt;=B1301)*(IND_UF&lt;&gt;"")*IND_PER))=0,UF_HOY,INDEX(IND_UF,MATCH(SUMPRODUCT(MAX((IND_PER&lt;=B1301)*(IND_UF&lt;&gt;"")*IND_PER)),IND_PER,0))))</f>
        <v/>
      </c>
      <c r="AK1301" s="87" t="str">
        <f aca="false">IF(AH1301="","",IF(COUNTIF(TASA_DESDE,"&lt;="&amp;B1301)=0,INDEX(TASA_EMP,1),INDEX(TASA_EMP,COUNTIF(TASA_DESDE,"&lt;="&amp;B1301))))</f>
        <v/>
      </c>
    </row>
    <row r="1302" customFormat="false" ht="15" hidden="false" customHeight="false" outlineLevel="0" collapsed="false">
      <c r="B1302" s="78"/>
      <c r="C1302" s="64"/>
      <c r="D1302" s="72" t="str">
        <f aca="false">IF(C1302="","",IFERROR(INDEX(T_NOMBRE,MATCH(C1302,T_ID,0)),"⚠ ID no existe"))</f>
        <v/>
      </c>
      <c r="E1302" s="69"/>
      <c r="F1302" s="67"/>
      <c r="G1302" s="67"/>
      <c r="H1302" s="67"/>
      <c r="I1302" s="67"/>
      <c r="J1302" s="67"/>
      <c r="K1302" s="85" t="str">
        <f aca="false">IF(AH1302="","",N(F1302)+N(G1302)+N(H1302)-N(I1302)+N(J1302))</f>
        <v/>
      </c>
      <c r="L1302" s="67"/>
      <c r="M1302" s="67"/>
      <c r="N1302" s="67"/>
      <c r="O1302" s="67"/>
      <c r="P1302" s="85" t="str">
        <f aca="false">IF(AH1302="","",K1302+N(L1302)+N(M1302)+N(N1302)+N(O1302))</f>
        <v/>
      </c>
      <c r="Q1302" s="67"/>
      <c r="R1302" s="67"/>
      <c r="S1302" s="67"/>
      <c r="T1302" s="67"/>
      <c r="U1302" s="67"/>
      <c r="V1302" s="67"/>
      <c r="W1302" s="85" t="str">
        <f aca="false">IF(AH1302="","",N(Q1302)+N(R1302)+N(S1302)+N(T1302)+N(U1302)+N(V1302))</f>
        <v/>
      </c>
      <c r="X1302" s="85" t="str">
        <f aca="false">IF(AH1302="","",P1302-W1302)</f>
        <v/>
      </c>
      <c r="Y1302" s="67"/>
      <c r="Z1302" s="70" t="str">
        <f aca="false">IF(OR(AH1302="",Y1302=""),"",IF(ABS(X1302-Y1302)&lt;=1,"✓ Cuadra","⚠ Diferencia $"&amp;FIXED(X1302-Y1302,0)))</f>
        <v/>
      </c>
      <c r="AA1302" s="72" t="str">
        <f aca="false">IF(AH1302="","",IFERROR(INDEX(C_TIPO,MATCH(C1302&amp;"-P"&amp;MAX(1,COUNTIFS(C_ID,C1302,C_DEFINE,"Sí",C_INICIO,"&lt;="&amp;EOMONTH(B1302,0))),C_CLAVE,0))&amp;"","Sin dato"))</f>
        <v/>
      </c>
      <c r="AB1302" s="71" t="str">
        <f aca="false">IF(AH1302="","",ROUND(MIN(K1302,TOPE_AFP_UF*AJ1302)*AK1302,0))</f>
        <v/>
      </c>
      <c r="AC1302" s="71" t="str">
        <f aca="false">IF(AH1302="","",ROUND(MIN(K1302,TOPE_AFC_UF*AJ1302)*IF(AA1302="Indefinido",AFC_EMP_INDEF,AFC_EMP_PF),0))</f>
        <v/>
      </c>
      <c r="AD1302" s="71" t="str">
        <f aca="false">IF(AH1302="","",ROUND(MIN(K1302,TOPE_AFP_UF*AJ1302)*(MUTUAL_BASICA+MUTUAL_ADIC+SANNA),0))</f>
        <v/>
      </c>
      <c r="AE1302" s="71" t="str">
        <f aca="false">IF(AH1302="","",P1302-N(N1302)+AB1302+AC1302+AD1302)</f>
        <v/>
      </c>
      <c r="AF1302" s="65"/>
      <c r="AG1302" s="64"/>
      <c r="AH1302" s="72" t="str">
        <f aca="false">IF(OR(B1302="",C1302=""),"",C1302&amp;"|"&amp;(YEAR(B1302)*100+MONTH(B1302)))</f>
        <v/>
      </c>
      <c r="AI1302" s="70" t="str">
        <f aca="false">IF(AH1302="","",IF(COUNTIF(L_CLAVE,AH1302)&gt;1,"⚠ Duplicado","OK"))</f>
        <v/>
      </c>
      <c r="AJ1302" s="86" t="str">
        <f aca="false">IF(AH1302="","",IF(SUMPRODUCT(MAX((IND_PER&lt;=B1302)*(IND_UF&lt;&gt;"")*IND_PER))=0,UF_HOY,INDEX(IND_UF,MATCH(SUMPRODUCT(MAX((IND_PER&lt;=B1302)*(IND_UF&lt;&gt;"")*IND_PER)),IND_PER,0))))</f>
        <v/>
      </c>
      <c r="AK1302" s="87" t="str">
        <f aca="false">IF(AH1302="","",IF(COUNTIF(TASA_DESDE,"&lt;="&amp;B1302)=0,INDEX(TASA_EMP,1),INDEX(TASA_EMP,COUNTIF(TASA_DESDE,"&lt;="&amp;B1302))))</f>
        <v/>
      </c>
    </row>
    <row r="1303" customFormat="false" ht="15" hidden="false" customHeight="false" outlineLevel="0" collapsed="false">
      <c r="B1303" s="78"/>
      <c r="C1303" s="64"/>
      <c r="D1303" s="72" t="str">
        <f aca="false">IF(C1303="","",IFERROR(INDEX(T_NOMBRE,MATCH(C1303,T_ID,0)),"⚠ ID no existe"))</f>
        <v/>
      </c>
      <c r="E1303" s="69"/>
      <c r="F1303" s="67"/>
      <c r="G1303" s="67"/>
      <c r="H1303" s="67"/>
      <c r="I1303" s="67"/>
      <c r="J1303" s="67"/>
      <c r="K1303" s="85" t="str">
        <f aca="false">IF(AH1303="","",N(F1303)+N(G1303)+N(H1303)-N(I1303)+N(J1303))</f>
        <v/>
      </c>
      <c r="L1303" s="67"/>
      <c r="M1303" s="67"/>
      <c r="N1303" s="67"/>
      <c r="O1303" s="67"/>
      <c r="P1303" s="85" t="str">
        <f aca="false">IF(AH1303="","",K1303+N(L1303)+N(M1303)+N(N1303)+N(O1303))</f>
        <v/>
      </c>
      <c r="Q1303" s="67"/>
      <c r="R1303" s="67"/>
      <c r="S1303" s="67"/>
      <c r="T1303" s="67"/>
      <c r="U1303" s="67"/>
      <c r="V1303" s="67"/>
      <c r="W1303" s="85" t="str">
        <f aca="false">IF(AH1303="","",N(Q1303)+N(R1303)+N(S1303)+N(T1303)+N(U1303)+N(V1303))</f>
        <v/>
      </c>
      <c r="X1303" s="85" t="str">
        <f aca="false">IF(AH1303="","",P1303-W1303)</f>
        <v/>
      </c>
      <c r="Y1303" s="67"/>
      <c r="Z1303" s="70" t="str">
        <f aca="false">IF(OR(AH1303="",Y1303=""),"",IF(ABS(X1303-Y1303)&lt;=1,"✓ Cuadra","⚠ Diferencia $"&amp;FIXED(X1303-Y1303,0)))</f>
        <v/>
      </c>
      <c r="AA1303" s="72" t="str">
        <f aca="false">IF(AH1303="","",IFERROR(INDEX(C_TIPO,MATCH(C1303&amp;"-P"&amp;MAX(1,COUNTIFS(C_ID,C1303,C_DEFINE,"Sí",C_INICIO,"&lt;="&amp;EOMONTH(B1303,0))),C_CLAVE,0))&amp;"","Sin dato"))</f>
        <v/>
      </c>
      <c r="AB1303" s="71" t="str">
        <f aca="false">IF(AH1303="","",ROUND(MIN(K1303,TOPE_AFP_UF*AJ1303)*AK1303,0))</f>
        <v/>
      </c>
      <c r="AC1303" s="71" t="str">
        <f aca="false">IF(AH1303="","",ROUND(MIN(K1303,TOPE_AFC_UF*AJ1303)*IF(AA1303="Indefinido",AFC_EMP_INDEF,AFC_EMP_PF),0))</f>
        <v/>
      </c>
      <c r="AD1303" s="71" t="str">
        <f aca="false">IF(AH1303="","",ROUND(MIN(K1303,TOPE_AFP_UF*AJ1303)*(MUTUAL_BASICA+MUTUAL_ADIC+SANNA),0))</f>
        <v/>
      </c>
      <c r="AE1303" s="71" t="str">
        <f aca="false">IF(AH1303="","",P1303-N(N1303)+AB1303+AC1303+AD1303)</f>
        <v/>
      </c>
      <c r="AF1303" s="65"/>
      <c r="AG1303" s="64"/>
      <c r="AH1303" s="72" t="str">
        <f aca="false">IF(OR(B1303="",C1303=""),"",C1303&amp;"|"&amp;(YEAR(B1303)*100+MONTH(B1303)))</f>
        <v/>
      </c>
      <c r="AI1303" s="70" t="str">
        <f aca="false">IF(AH1303="","",IF(COUNTIF(L_CLAVE,AH1303)&gt;1,"⚠ Duplicado","OK"))</f>
        <v/>
      </c>
      <c r="AJ1303" s="86" t="str">
        <f aca="false">IF(AH1303="","",IF(SUMPRODUCT(MAX((IND_PER&lt;=B1303)*(IND_UF&lt;&gt;"")*IND_PER))=0,UF_HOY,INDEX(IND_UF,MATCH(SUMPRODUCT(MAX((IND_PER&lt;=B1303)*(IND_UF&lt;&gt;"")*IND_PER)),IND_PER,0))))</f>
        <v/>
      </c>
      <c r="AK1303" s="87" t="str">
        <f aca="false">IF(AH1303="","",IF(COUNTIF(TASA_DESDE,"&lt;="&amp;B1303)=0,INDEX(TASA_EMP,1),INDEX(TASA_EMP,COUNTIF(TASA_DESDE,"&lt;="&amp;B1303))))</f>
        <v/>
      </c>
    </row>
    <row r="1304" customFormat="false" ht="15" hidden="false" customHeight="false" outlineLevel="0" collapsed="false">
      <c r="B1304" s="78"/>
      <c r="C1304" s="64"/>
      <c r="D1304" s="72" t="str">
        <f aca="false">IF(C1304="","",IFERROR(INDEX(T_NOMBRE,MATCH(C1304,T_ID,0)),"⚠ ID no existe"))</f>
        <v/>
      </c>
      <c r="E1304" s="69"/>
      <c r="F1304" s="67"/>
      <c r="G1304" s="67"/>
      <c r="H1304" s="67"/>
      <c r="I1304" s="67"/>
      <c r="J1304" s="67"/>
      <c r="K1304" s="85" t="str">
        <f aca="false">IF(AH1304="","",N(F1304)+N(G1304)+N(H1304)-N(I1304)+N(J1304))</f>
        <v/>
      </c>
      <c r="L1304" s="67"/>
      <c r="M1304" s="67"/>
      <c r="N1304" s="67"/>
      <c r="O1304" s="67"/>
      <c r="P1304" s="85" t="str">
        <f aca="false">IF(AH1304="","",K1304+N(L1304)+N(M1304)+N(N1304)+N(O1304))</f>
        <v/>
      </c>
      <c r="Q1304" s="67"/>
      <c r="R1304" s="67"/>
      <c r="S1304" s="67"/>
      <c r="T1304" s="67"/>
      <c r="U1304" s="67"/>
      <c r="V1304" s="67"/>
      <c r="W1304" s="85" t="str">
        <f aca="false">IF(AH1304="","",N(Q1304)+N(R1304)+N(S1304)+N(T1304)+N(U1304)+N(V1304))</f>
        <v/>
      </c>
      <c r="X1304" s="85" t="str">
        <f aca="false">IF(AH1304="","",P1304-W1304)</f>
        <v/>
      </c>
      <c r="Y1304" s="67"/>
      <c r="Z1304" s="70" t="str">
        <f aca="false">IF(OR(AH1304="",Y1304=""),"",IF(ABS(X1304-Y1304)&lt;=1,"✓ Cuadra","⚠ Diferencia $"&amp;FIXED(X1304-Y1304,0)))</f>
        <v/>
      </c>
      <c r="AA1304" s="72" t="str">
        <f aca="false">IF(AH1304="","",IFERROR(INDEX(C_TIPO,MATCH(C1304&amp;"-P"&amp;MAX(1,COUNTIFS(C_ID,C1304,C_DEFINE,"Sí",C_INICIO,"&lt;="&amp;EOMONTH(B1304,0))),C_CLAVE,0))&amp;"","Sin dato"))</f>
        <v/>
      </c>
      <c r="AB1304" s="71" t="str">
        <f aca="false">IF(AH1304="","",ROUND(MIN(K1304,TOPE_AFP_UF*AJ1304)*AK1304,0))</f>
        <v/>
      </c>
      <c r="AC1304" s="71" t="str">
        <f aca="false">IF(AH1304="","",ROUND(MIN(K1304,TOPE_AFC_UF*AJ1304)*IF(AA1304="Indefinido",AFC_EMP_INDEF,AFC_EMP_PF),0))</f>
        <v/>
      </c>
      <c r="AD1304" s="71" t="str">
        <f aca="false">IF(AH1304="","",ROUND(MIN(K1304,TOPE_AFP_UF*AJ1304)*(MUTUAL_BASICA+MUTUAL_ADIC+SANNA),0))</f>
        <v/>
      </c>
      <c r="AE1304" s="71" t="str">
        <f aca="false">IF(AH1304="","",P1304-N(N1304)+AB1304+AC1304+AD1304)</f>
        <v/>
      </c>
      <c r="AF1304" s="65"/>
      <c r="AG1304" s="64"/>
      <c r="AH1304" s="72" t="str">
        <f aca="false">IF(OR(B1304="",C1304=""),"",C1304&amp;"|"&amp;(YEAR(B1304)*100+MONTH(B1304)))</f>
        <v/>
      </c>
      <c r="AI1304" s="70" t="str">
        <f aca="false">IF(AH1304="","",IF(COUNTIF(L_CLAVE,AH1304)&gt;1,"⚠ Duplicado","OK"))</f>
        <v/>
      </c>
      <c r="AJ1304" s="86" t="str">
        <f aca="false">IF(AH1304="","",IF(SUMPRODUCT(MAX((IND_PER&lt;=B1304)*(IND_UF&lt;&gt;"")*IND_PER))=0,UF_HOY,INDEX(IND_UF,MATCH(SUMPRODUCT(MAX((IND_PER&lt;=B1304)*(IND_UF&lt;&gt;"")*IND_PER)),IND_PER,0))))</f>
        <v/>
      </c>
      <c r="AK1304" s="87" t="str">
        <f aca="false">IF(AH1304="","",IF(COUNTIF(TASA_DESDE,"&lt;="&amp;B1304)=0,INDEX(TASA_EMP,1),INDEX(TASA_EMP,COUNTIF(TASA_DESDE,"&lt;="&amp;B1304))))</f>
        <v/>
      </c>
    </row>
    <row r="1305" customFormat="false" ht="15" hidden="false" customHeight="false" outlineLevel="0" collapsed="false">
      <c r="B1305" s="78"/>
      <c r="C1305" s="64"/>
      <c r="D1305" s="72" t="str">
        <f aca="false">IF(C1305="","",IFERROR(INDEX(T_NOMBRE,MATCH(C1305,T_ID,0)),"⚠ ID no existe"))</f>
        <v/>
      </c>
      <c r="E1305" s="69"/>
      <c r="F1305" s="67"/>
      <c r="G1305" s="67"/>
      <c r="H1305" s="67"/>
      <c r="I1305" s="67"/>
      <c r="J1305" s="67"/>
      <c r="K1305" s="85" t="str">
        <f aca="false">IF(AH1305="","",N(F1305)+N(G1305)+N(H1305)-N(I1305)+N(J1305))</f>
        <v/>
      </c>
      <c r="L1305" s="67"/>
      <c r="M1305" s="67"/>
      <c r="N1305" s="67"/>
      <c r="O1305" s="67"/>
      <c r="P1305" s="85" t="str">
        <f aca="false">IF(AH1305="","",K1305+N(L1305)+N(M1305)+N(N1305)+N(O1305))</f>
        <v/>
      </c>
      <c r="Q1305" s="67"/>
      <c r="R1305" s="67"/>
      <c r="S1305" s="67"/>
      <c r="T1305" s="67"/>
      <c r="U1305" s="67"/>
      <c r="V1305" s="67"/>
      <c r="W1305" s="85" t="str">
        <f aca="false">IF(AH1305="","",N(Q1305)+N(R1305)+N(S1305)+N(T1305)+N(U1305)+N(V1305))</f>
        <v/>
      </c>
      <c r="X1305" s="85" t="str">
        <f aca="false">IF(AH1305="","",P1305-W1305)</f>
        <v/>
      </c>
      <c r="Y1305" s="67"/>
      <c r="Z1305" s="70" t="str">
        <f aca="false">IF(OR(AH1305="",Y1305=""),"",IF(ABS(X1305-Y1305)&lt;=1,"✓ Cuadra","⚠ Diferencia $"&amp;FIXED(X1305-Y1305,0)))</f>
        <v/>
      </c>
      <c r="AA1305" s="72" t="str">
        <f aca="false">IF(AH1305="","",IFERROR(INDEX(C_TIPO,MATCH(C1305&amp;"-P"&amp;MAX(1,COUNTIFS(C_ID,C1305,C_DEFINE,"Sí",C_INICIO,"&lt;="&amp;EOMONTH(B1305,0))),C_CLAVE,0))&amp;"","Sin dato"))</f>
        <v/>
      </c>
      <c r="AB1305" s="71" t="str">
        <f aca="false">IF(AH1305="","",ROUND(MIN(K1305,TOPE_AFP_UF*AJ1305)*AK1305,0))</f>
        <v/>
      </c>
      <c r="AC1305" s="71" t="str">
        <f aca="false">IF(AH1305="","",ROUND(MIN(K1305,TOPE_AFC_UF*AJ1305)*IF(AA1305="Indefinido",AFC_EMP_INDEF,AFC_EMP_PF),0))</f>
        <v/>
      </c>
      <c r="AD1305" s="71" t="str">
        <f aca="false">IF(AH1305="","",ROUND(MIN(K1305,TOPE_AFP_UF*AJ1305)*(MUTUAL_BASICA+MUTUAL_ADIC+SANNA),0))</f>
        <v/>
      </c>
      <c r="AE1305" s="71" t="str">
        <f aca="false">IF(AH1305="","",P1305-N(N1305)+AB1305+AC1305+AD1305)</f>
        <v/>
      </c>
      <c r="AF1305" s="65"/>
      <c r="AG1305" s="64"/>
      <c r="AH1305" s="72" t="str">
        <f aca="false">IF(OR(B1305="",C1305=""),"",C1305&amp;"|"&amp;(YEAR(B1305)*100+MONTH(B1305)))</f>
        <v/>
      </c>
      <c r="AI1305" s="70" t="str">
        <f aca="false">IF(AH1305="","",IF(COUNTIF(L_CLAVE,AH1305)&gt;1,"⚠ Duplicado","OK"))</f>
        <v/>
      </c>
      <c r="AJ1305" s="86" t="str">
        <f aca="false">IF(AH1305="","",IF(SUMPRODUCT(MAX((IND_PER&lt;=B1305)*(IND_UF&lt;&gt;"")*IND_PER))=0,UF_HOY,INDEX(IND_UF,MATCH(SUMPRODUCT(MAX((IND_PER&lt;=B1305)*(IND_UF&lt;&gt;"")*IND_PER)),IND_PER,0))))</f>
        <v/>
      </c>
      <c r="AK1305" s="87" t="str">
        <f aca="false">IF(AH1305="","",IF(COUNTIF(TASA_DESDE,"&lt;="&amp;B1305)=0,INDEX(TASA_EMP,1),INDEX(TASA_EMP,COUNTIF(TASA_DESDE,"&lt;="&amp;B1305))))</f>
        <v/>
      </c>
    </row>
    <row r="1306" customFormat="false" ht="15" hidden="false" customHeight="false" outlineLevel="0" collapsed="false">
      <c r="B1306" s="78"/>
      <c r="C1306" s="64"/>
      <c r="D1306" s="72" t="str">
        <f aca="false">IF(C1306="","",IFERROR(INDEX(T_NOMBRE,MATCH(C1306,T_ID,0)),"⚠ ID no existe"))</f>
        <v/>
      </c>
      <c r="E1306" s="69"/>
      <c r="F1306" s="67"/>
      <c r="G1306" s="67"/>
      <c r="H1306" s="67"/>
      <c r="I1306" s="67"/>
      <c r="J1306" s="67"/>
      <c r="K1306" s="85" t="str">
        <f aca="false">IF(AH1306="","",N(F1306)+N(G1306)+N(H1306)-N(I1306)+N(J1306))</f>
        <v/>
      </c>
      <c r="L1306" s="67"/>
      <c r="M1306" s="67"/>
      <c r="N1306" s="67"/>
      <c r="O1306" s="67"/>
      <c r="P1306" s="85" t="str">
        <f aca="false">IF(AH1306="","",K1306+N(L1306)+N(M1306)+N(N1306)+N(O1306))</f>
        <v/>
      </c>
      <c r="Q1306" s="67"/>
      <c r="R1306" s="67"/>
      <c r="S1306" s="67"/>
      <c r="T1306" s="67"/>
      <c r="U1306" s="67"/>
      <c r="V1306" s="67"/>
      <c r="W1306" s="85" t="str">
        <f aca="false">IF(AH1306="","",N(Q1306)+N(R1306)+N(S1306)+N(T1306)+N(U1306)+N(V1306))</f>
        <v/>
      </c>
      <c r="X1306" s="85" t="str">
        <f aca="false">IF(AH1306="","",P1306-W1306)</f>
        <v/>
      </c>
      <c r="Y1306" s="67"/>
      <c r="Z1306" s="70" t="str">
        <f aca="false">IF(OR(AH1306="",Y1306=""),"",IF(ABS(X1306-Y1306)&lt;=1,"✓ Cuadra","⚠ Diferencia $"&amp;FIXED(X1306-Y1306,0)))</f>
        <v/>
      </c>
      <c r="AA1306" s="72" t="str">
        <f aca="false">IF(AH1306="","",IFERROR(INDEX(C_TIPO,MATCH(C1306&amp;"-P"&amp;MAX(1,COUNTIFS(C_ID,C1306,C_DEFINE,"Sí",C_INICIO,"&lt;="&amp;EOMONTH(B1306,0))),C_CLAVE,0))&amp;"","Sin dato"))</f>
        <v/>
      </c>
      <c r="AB1306" s="71" t="str">
        <f aca="false">IF(AH1306="","",ROUND(MIN(K1306,TOPE_AFP_UF*AJ1306)*AK1306,0))</f>
        <v/>
      </c>
      <c r="AC1306" s="71" t="str">
        <f aca="false">IF(AH1306="","",ROUND(MIN(K1306,TOPE_AFC_UF*AJ1306)*IF(AA1306="Indefinido",AFC_EMP_INDEF,AFC_EMP_PF),0))</f>
        <v/>
      </c>
      <c r="AD1306" s="71" t="str">
        <f aca="false">IF(AH1306="","",ROUND(MIN(K1306,TOPE_AFP_UF*AJ1306)*(MUTUAL_BASICA+MUTUAL_ADIC+SANNA),0))</f>
        <v/>
      </c>
      <c r="AE1306" s="71" t="str">
        <f aca="false">IF(AH1306="","",P1306-N(N1306)+AB1306+AC1306+AD1306)</f>
        <v/>
      </c>
      <c r="AF1306" s="65"/>
      <c r="AG1306" s="64"/>
      <c r="AH1306" s="72" t="str">
        <f aca="false">IF(OR(B1306="",C1306=""),"",C1306&amp;"|"&amp;(YEAR(B1306)*100+MONTH(B1306)))</f>
        <v/>
      </c>
      <c r="AI1306" s="70" t="str">
        <f aca="false">IF(AH1306="","",IF(COUNTIF(L_CLAVE,AH1306)&gt;1,"⚠ Duplicado","OK"))</f>
        <v/>
      </c>
      <c r="AJ1306" s="86" t="str">
        <f aca="false">IF(AH1306="","",IF(SUMPRODUCT(MAX((IND_PER&lt;=B1306)*(IND_UF&lt;&gt;"")*IND_PER))=0,UF_HOY,INDEX(IND_UF,MATCH(SUMPRODUCT(MAX((IND_PER&lt;=B1306)*(IND_UF&lt;&gt;"")*IND_PER)),IND_PER,0))))</f>
        <v/>
      </c>
      <c r="AK1306" s="87" t="str">
        <f aca="false">IF(AH1306="","",IF(COUNTIF(TASA_DESDE,"&lt;="&amp;B1306)=0,INDEX(TASA_EMP,1),INDEX(TASA_EMP,COUNTIF(TASA_DESDE,"&lt;="&amp;B1306))))</f>
        <v/>
      </c>
    </row>
    <row r="1307" customFormat="false" ht="15" hidden="false" customHeight="false" outlineLevel="0" collapsed="false">
      <c r="B1307" s="78"/>
      <c r="C1307" s="64"/>
      <c r="D1307" s="72" t="str">
        <f aca="false">IF(C1307="","",IFERROR(INDEX(T_NOMBRE,MATCH(C1307,T_ID,0)),"⚠ ID no existe"))</f>
        <v/>
      </c>
      <c r="E1307" s="69"/>
      <c r="F1307" s="67"/>
      <c r="G1307" s="67"/>
      <c r="H1307" s="67"/>
      <c r="I1307" s="67"/>
      <c r="J1307" s="67"/>
      <c r="K1307" s="85" t="str">
        <f aca="false">IF(AH1307="","",N(F1307)+N(G1307)+N(H1307)-N(I1307)+N(J1307))</f>
        <v/>
      </c>
      <c r="L1307" s="67"/>
      <c r="M1307" s="67"/>
      <c r="N1307" s="67"/>
      <c r="O1307" s="67"/>
      <c r="P1307" s="85" t="str">
        <f aca="false">IF(AH1307="","",K1307+N(L1307)+N(M1307)+N(N1307)+N(O1307))</f>
        <v/>
      </c>
      <c r="Q1307" s="67"/>
      <c r="R1307" s="67"/>
      <c r="S1307" s="67"/>
      <c r="T1307" s="67"/>
      <c r="U1307" s="67"/>
      <c r="V1307" s="67"/>
      <c r="W1307" s="85" t="str">
        <f aca="false">IF(AH1307="","",N(Q1307)+N(R1307)+N(S1307)+N(T1307)+N(U1307)+N(V1307))</f>
        <v/>
      </c>
      <c r="X1307" s="85" t="str">
        <f aca="false">IF(AH1307="","",P1307-W1307)</f>
        <v/>
      </c>
      <c r="Y1307" s="67"/>
      <c r="Z1307" s="70" t="str">
        <f aca="false">IF(OR(AH1307="",Y1307=""),"",IF(ABS(X1307-Y1307)&lt;=1,"✓ Cuadra","⚠ Diferencia $"&amp;FIXED(X1307-Y1307,0)))</f>
        <v/>
      </c>
      <c r="AA1307" s="72" t="str">
        <f aca="false">IF(AH1307="","",IFERROR(INDEX(C_TIPO,MATCH(C1307&amp;"-P"&amp;MAX(1,COUNTIFS(C_ID,C1307,C_DEFINE,"Sí",C_INICIO,"&lt;="&amp;EOMONTH(B1307,0))),C_CLAVE,0))&amp;"","Sin dato"))</f>
        <v/>
      </c>
      <c r="AB1307" s="71" t="str">
        <f aca="false">IF(AH1307="","",ROUND(MIN(K1307,TOPE_AFP_UF*AJ1307)*AK1307,0))</f>
        <v/>
      </c>
      <c r="AC1307" s="71" t="str">
        <f aca="false">IF(AH1307="","",ROUND(MIN(K1307,TOPE_AFC_UF*AJ1307)*IF(AA1307="Indefinido",AFC_EMP_INDEF,AFC_EMP_PF),0))</f>
        <v/>
      </c>
      <c r="AD1307" s="71" t="str">
        <f aca="false">IF(AH1307="","",ROUND(MIN(K1307,TOPE_AFP_UF*AJ1307)*(MUTUAL_BASICA+MUTUAL_ADIC+SANNA),0))</f>
        <v/>
      </c>
      <c r="AE1307" s="71" t="str">
        <f aca="false">IF(AH1307="","",P1307-N(N1307)+AB1307+AC1307+AD1307)</f>
        <v/>
      </c>
      <c r="AF1307" s="65"/>
      <c r="AG1307" s="64"/>
      <c r="AH1307" s="72" t="str">
        <f aca="false">IF(OR(B1307="",C1307=""),"",C1307&amp;"|"&amp;(YEAR(B1307)*100+MONTH(B1307)))</f>
        <v/>
      </c>
      <c r="AI1307" s="70" t="str">
        <f aca="false">IF(AH1307="","",IF(COUNTIF(L_CLAVE,AH1307)&gt;1,"⚠ Duplicado","OK"))</f>
        <v/>
      </c>
      <c r="AJ1307" s="86" t="str">
        <f aca="false">IF(AH1307="","",IF(SUMPRODUCT(MAX((IND_PER&lt;=B1307)*(IND_UF&lt;&gt;"")*IND_PER))=0,UF_HOY,INDEX(IND_UF,MATCH(SUMPRODUCT(MAX((IND_PER&lt;=B1307)*(IND_UF&lt;&gt;"")*IND_PER)),IND_PER,0))))</f>
        <v/>
      </c>
      <c r="AK1307" s="87" t="str">
        <f aca="false">IF(AH1307="","",IF(COUNTIF(TASA_DESDE,"&lt;="&amp;B1307)=0,INDEX(TASA_EMP,1),INDEX(TASA_EMP,COUNTIF(TASA_DESDE,"&lt;="&amp;B1307))))</f>
        <v/>
      </c>
    </row>
    <row r="1308" customFormat="false" ht="15" hidden="false" customHeight="false" outlineLevel="0" collapsed="false">
      <c r="B1308" s="78"/>
      <c r="C1308" s="64"/>
      <c r="D1308" s="72" t="str">
        <f aca="false">IF(C1308="","",IFERROR(INDEX(T_NOMBRE,MATCH(C1308,T_ID,0)),"⚠ ID no existe"))</f>
        <v/>
      </c>
      <c r="E1308" s="69"/>
      <c r="F1308" s="67"/>
      <c r="G1308" s="67"/>
      <c r="H1308" s="67"/>
      <c r="I1308" s="67"/>
      <c r="J1308" s="67"/>
      <c r="K1308" s="85" t="str">
        <f aca="false">IF(AH1308="","",N(F1308)+N(G1308)+N(H1308)-N(I1308)+N(J1308))</f>
        <v/>
      </c>
      <c r="L1308" s="67"/>
      <c r="M1308" s="67"/>
      <c r="N1308" s="67"/>
      <c r="O1308" s="67"/>
      <c r="P1308" s="85" t="str">
        <f aca="false">IF(AH1308="","",K1308+N(L1308)+N(M1308)+N(N1308)+N(O1308))</f>
        <v/>
      </c>
      <c r="Q1308" s="67"/>
      <c r="R1308" s="67"/>
      <c r="S1308" s="67"/>
      <c r="T1308" s="67"/>
      <c r="U1308" s="67"/>
      <c r="V1308" s="67"/>
      <c r="W1308" s="85" t="str">
        <f aca="false">IF(AH1308="","",N(Q1308)+N(R1308)+N(S1308)+N(T1308)+N(U1308)+N(V1308))</f>
        <v/>
      </c>
      <c r="X1308" s="85" t="str">
        <f aca="false">IF(AH1308="","",P1308-W1308)</f>
        <v/>
      </c>
      <c r="Y1308" s="67"/>
      <c r="Z1308" s="70" t="str">
        <f aca="false">IF(OR(AH1308="",Y1308=""),"",IF(ABS(X1308-Y1308)&lt;=1,"✓ Cuadra","⚠ Diferencia $"&amp;FIXED(X1308-Y1308,0)))</f>
        <v/>
      </c>
      <c r="AA1308" s="72" t="str">
        <f aca="false">IF(AH1308="","",IFERROR(INDEX(C_TIPO,MATCH(C1308&amp;"-P"&amp;MAX(1,COUNTIFS(C_ID,C1308,C_DEFINE,"Sí",C_INICIO,"&lt;="&amp;EOMONTH(B1308,0))),C_CLAVE,0))&amp;"","Sin dato"))</f>
        <v/>
      </c>
      <c r="AB1308" s="71" t="str">
        <f aca="false">IF(AH1308="","",ROUND(MIN(K1308,TOPE_AFP_UF*AJ1308)*AK1308,0))</f>
        <v/>
      </c>
      <c r="AC1308" s="71" t="str">
        <f aca="false">IF(AH1308="","",ROUND(MIN(K1308,TOPE_AFC_UF*AJ1308)*IF(AA1308="Indefinido",AFC_EMP_INDEF,AFC_EMP_PF),0))</f>
        <v/>
      </c>
      <c r="AD1308" s="71" t="str">
        <f aca="false">IF(AH1308="","",ROUND(MIN(K1308,TOPE_AFP_UF*AJ1308)*(MUTUAL_BASICA+MUTUAL_ADIC+SANNA),0))</f>
        <v/>
      </c>
      <c r="AE1308" s="71" t="str">
        <f aca="false">IF(AH1308="","",P1308-N(N1308)+AB1308+AC1308+AD1308)</f>
        <v/>
      </c>
      <c r="AF1308" s="65"/>
      <c r="AG1308" s="64"/>
      <c r="AH1308" s="72" t="str">
        <f aca="false">IF(OR(B1308="",C1308=""),"",C1308&amp;"|"&amp;(YEAR(B1308)*100+MONTH(B1308)))</f>
        <v/>
      </c>
      <c r="AI1308" s="70" t="str">
        <f aca="false">IF(AH1308="","",IF(COUNTIF(L_CLAVE,AH1308)&gt;1,"⚠ Duplicado","OK"))</f>
        <v/>
      </c>
      <c r="AJ1308" s="86" t="str">
        <f aca="false">IF(AH1308="","",IF(SUMPRODUCT(MAX((IND_PER&lt;=B1308)*(IND_UF&lt;&gt;"")*IND_PER))=0,UF_HOY,INDEX(IND_UF,MATCH(SUMPRODUCT(MAX((IND_PER&lt;=B1308)*(IND_UF&lt;&gt;"")*IND_PER)),IND_PER,0))))</f>
        <v/>
      </c>
      <c r="AK1308" s="87" t="str">
        <f aca="false">IF(AH1308="","",IF(COUNTIF(TASA_DESDE,"&lt;="&amp;B1308)=0,INDEX(TASA_EMP,1),INDEX(TASA_EMP,COUNTIF(TASA_DESDE,"&lt;="&amp;B1308))))</f>
        <v/>
      </c>
    </row>
    <row r="1309" customFormat="false" ht="15" hidden="false" customHeight="false" outlineLevel="0" collapsed="false">
      <c r="B1309" s="78"/>
      <c r="C1309" s="64"/>
      <c r="D1309" s="72" t="str">
        <f aca="false">IF(C1309="","",IFERROR(INDEX(T_NOMBRE,MATCH(C1309,T_ID,0)),"⚠ ID no existe"))</f>
        <v/>
      </c>
      <c r="E1309" s="69"/>
      <c r="F1309" s="67"/>
      <c r="G1309" s="67"/>
      <c r="H1309" s="67"/>
      <c r="I1309" s="67"/>
      <c r="J1309" s="67"/>
      <c r="K1309" s="85" t="str">
        <f aca="false">IF(AH1309="","",N(F1309)+N(G1309)+N(H1309)-N(I1309)+N(J1309))</f>
        <v/>
      </c>
      <c r="L1309" s="67"/>
      <c r="M1309" s="67"/>
      <c r="N1309" s="67"/>
      <c r="O1309" s="67"/>
      <c r="P1309" s="85" t="str">
        <f aca="false">IF(AH1309="","",K1309+N(L1309)+N(M1309)+N(N1309)+N(O1309))</f>
        <v/>
      </c>
      <c r="Q1309" s="67"/>
      <c r="R1309" s="67"/>
      <c r="S1309" s="67"/>
      <c r="T1309" s="67"/>
      <c r="U1309" s="67"/>
      <c r="V1309" s="67"/>
      <c r="W1309" s="85" t="str">
        <f aca="false">IF(AH1309="","",N(Q1309)+N(R1309)+N(S1309)+N(T1309)+N(U1309)+N(V1309))</f>
        <v/>
      </c>
      <c r="X1309" s="85" t="str">
        <f aca="false">IF(AH1309="","",P1309-W1309)</f>
        <v/>
      </c>
      <c r="Y1309" s="67"/>
      <c r="Z1309" s="70" t="str">
        <f aca="false">IF(OR(AH1309="",Y1309=""),"",IF(ABS(X1309-Y1309)&lt;=1,"✓ Cuadra","⚠ Diferencia $"&amp;FIXED(X1309-Y1309,0)))</f>
        <v/>
      </c>
      <c r="AA1309" s="72" t="str">
        <f aca="false">IF(AH1309="","",IFERROR(INDEX(C_TIPO,MATCH(C1309&amp;"-P"&amp;MAX(1,COUNTIFS(C_ID,C1309,C_DEFINE,"Sí",C_INICIO,"&lt;="&amp;EOMONTH(B1309,0))),C_CLAVE,0))&amp;"","Sin dato"))</f>
        <v/>
      </c>
      <c r="AB1309" s="71" t="str">
        <f aca="false">IF(AH1309="","",ROUND(MIN(K1309,TOPE_AFP_UF*AJ1309)*AK1309,0))</f>
        <v/>
      </c>
      <c r="AC1309" s="71" t="str">
        <f aca="false">IF(AH1309="","",ROUND(MIN(K1309,TOPE_AFC_UF*AJ1309)*IF(AA1309="Indefinido",AFC_EMP_INDEF,AFC_EMP_PF),0))</f>
        <v/>
      </c>
      <c r="AD1309" s="71" t="str">
        <f aca="false">IF(AH1309="","",ROUND(MIN(K1309,TOPE_AFP_UF*AJ1309)*(MUTUAL_BASICA+MUTUAL_ADIC+SANNA),0))</f>
        <v/>
      </c>
      <c r="AE1309" s="71" t="str">
        <f aca="false">IF(AH1309="","",P1309-N(N1309)+AB1309+AC1309+AD1309)</f>
        <v/>
      </c>
      <c r="AF1309" s="65"/>
      <c r="AG1309" s="64"/>
      <c r="AH1309" s="72" t="str">
        <f aca="false">IF(OR(B1309="",C1309=""),"",C1309&amp;"|"&amp;(YEAR(B1309)*100+MONTH(B1309)))</f>
        <v/>
      </c>
      <c r="AI1309" s="70" t="str">
        <f aca="false">IF(AH1309="","",IF(COUNTIF(L_CLAVE,AH1309)&gt;1,"⚠ Duplicado","OK"))</f>
        <v/>
      </c>
      <c r="AJ1309" s="86" t="str">
        <f aca="false">IF(AH1309="","",IF(SUMPRODUCT(MAX((IND_PER&lt;=B1309)*(IND_UF&lt;&gt;"")*IND_PER))=0,UF_HOY,INDEX(IND_UF,MATCH(SUMPRODUCT(MAX((IND_PER&lt;=B1309)*(IND_UF&lt;&gt;"")*IND_PER)),IND_PER,0))))</f>
        <v/>
      </c>
      <c r="AK1309" s="87" t="str">
        <f aca="false">IF(AH1309="","",IF(COUNTIF(TASA_DESDE,"&lt;="&amp;B1309)=0,INDEX(TASA_EMP,1),INDEX(TASA_EMP,COUNTIF(TASA_DESDE,"&lt;="&amp;B1309))))</f>
        <v/>
      </c>
    </row>
    <row r="1310" customFormat="false" ht="15" hidden="false" customHeight="false" outlineLevel="0" collapsed="false">
      <c r="B1310" s="78"/>
      <c r="C1310" s="64"/>
      <c r="D1310" s="72" t="str">
        <f aca="false">IF(C1310="","",IFERROR(INDEX(T_NOMBRE,MATCH(C1310,T_ID,0)),"⚠ ID no existe"))</f>
        <v/>
      </c>
      <c r="E1310" s="69"/>
      <c r="F1310" s="67"/>
      <c r="G1310" s="67"/>
      <c r="H1310" s="67"/>
      <c r="I1310" s="67"/>
      <c r="J1310" s="67"/>
      <c r="K1310" s="85" t="str">
        <f aca="false">IF(AH1310="","",N(F1310)+N(G1310)+N(H1310)-N(I1310)+N(J1310))</f>
        <v/>
      </c>
      <c r="L1310" s="67"/>
      <c r="M1310" s="67"/>
      <c r="N1310" s="67"/>
      <c r="O1310" s="67"/>
      <c r="P1310" s="85" t="str">
        <f aca="false">IF(AH1310="","",K1310+N(L1310)+N(M1310)+N(N1310)+N(O1310))</f>
        <v/>
      </c>
      <c r="Q1310" s="67"/>
      <c r="R1310" s="67"/>
      <c r="S1310" s="67"/>
      <c r="T1310" s="67"/>
      <c r="U1310" s="67"/>
      <c r="V1310" s="67"/>
      <c r="W1310" s="85" t="str">
        <f aca="false">IF(AH1310="","",N(Q1310)+N(R1310)+N(S1310)+N(T1310)+N(U1310)+N(V1310))</f>
        <v/>
      </c>
      <c r="X1310" s="85" t="str">
        <f aca="false">IF(AH1310="","",P1310-W1310)</f>
        <v/>
      </c>
      <c r="Y1310" s="67"/>
      <c r="Z1310" s="70" t="str">
        <f aca="false">IF(OR(AH1310="",Y1310=""),"",IF(ABS(X1310-Y1310)&lt;=1,"✓ Cuadra","⚠ Diferencia $"&amp;FIXED(X1310-Y1310,0)))</f>
        <v/>
      </c>
      <c r="AA1310" s="72" t="str">
        <f aca="false">IF(AH1310="","",IFERROR(INDEX(C_TIPO,MATCH(C1310&amp;"-P"&amp;MAX(1,COUNTIFS(C_ID,C1310,C_DEFINE,"Sí",C_INICIO,"&lt;="&amp;EOMONTH(B1310,0))),C_CLAVE,0))&amp;"","Sin dato"))</f>
        <v/>
      </c>
      <c r="AB1310" s="71" t="str">
        <f aca="false">IF(AH1310="","",ROUND(MIN(K1310,TOPE_AFP_UF*AJ1310)*AK1310,0))</f>
        <v/>
      </c>
      <c r="AC1310" s="71" t="str">
        <f aca="false">IF(AH1310="","",ROUND(MIN(K1310,TOPE_AFC_UF*AJ1310)*IF(AA1310="Indefinido",AFC_EMP_INDEF,AFC_EMP_PF),0))</f>
        <v/>
      </c>
      <c r="AD1310" s="71" t="str">
        <f aca="false">IF(AH1310="","",ROUND(MIN(K1310,TOPE_AFP_UF*AJ1310)*(MUTUAL_BASICA+MUTUAL_ADIC+SANNA),0))</f>
        <v/>
      </c>
      <c r="AE1310" s="71" t="str">
        <f aca="false">IF(AH1310="","",P1310-N(N1310)+AB1310+AC1310+AD1310)</f>
        <v/>
      </c>
      <c r="AF1310" s="65"/>
      <c r="AG1310" s="64"/>
      <c r="AH1310" s="72" t="str">
        <f aca="false">IF(OR(B1310="",C1310=""),"",C1310&amp;"|"&amp;(YEAR(B1310)*100+MONTH(B1310)))</f>
        <v/>
      </c>
      <c r="AI1310" s="70" t="str">
        <f aca="false">IF(AH1310="","",IF(COUNTIF(L_CLAVE,AH1310)&gt;1,"⚠ Duplicado","OK"))</f>
        <v/>
      </c>
      <c r="AJ1310" s="86" t="str">
        <f aca="false">IF(AH1310="","",IF(SUMPRODUCT(MAX((IND_PER&lt;=B1310)*(IND_UF&lt;&gt;"")*IND_PER))=0,UF_HOY,INDEX(IND_UF,MATCH(SUMPRODUCT(MAX((IND_PER&lt;=B1310)*(IND_UF&lt;&gt;"")*IND_PER)),IND_PER,0))))</f>
        <v/>
      </c>
      <c r="AK1310" s="87" t="str">
        <f aca="false">IF(AH1310="","",IF(COUNTIF(TASA_DESDE,"&lt;="&amp;B1310)=0,INDEX(TASA_EMP,1),INDEX(TASA_EMP,COUNTIF(TASA_DESDE,"&lt;="&amp;B1310))))</f>
        <v/>
      </c>
    </row>
    <row r="1311" customFormat="false" ht="15" hidden="false" customHeight="false" outlineLevel="0" collapsed="false">
      <c r="B1311" s="78"/>
      <c r="C1311" s="64"/>
      <c r="D1311" s="72" t="str">
        <f aca="false">IF(C1311="","",IFERROR(INDEX(T_NOMBRE,MATCH(C1311,T_ID,0)),"⚠ ID no existe"))</f>
        <v/>
      </c>
      <c r="E1311" s="69"/>
      <c r="F1311" s="67"/>
      <c r="G1311" s="67"/>
      <c r="H1311" s="67"/>
      <c r="I1311" s="67"/>
      <c r="J1311" s="67"/>
      <c r="K1311" s="85" t="str">
        <f aca="false">IF(AH1311="","",N(F1311)+N(G1311)+N(H1311)-N(I1311)+N(J1311))</f>
        <v/>
      </c>
      <c r="L1311" s="67"/>
      <c r="M1311" s="67"/>
      <c r="N1311" s="67"/>
      <c r="O1311" s="67"/>
      <c r="P1311" s="85" t="str">
        <f aca="false">IF(AH1311="","",K1311+N(L1311)+N(M1311)+N(N1311)+N(O1311))</f>
        <v/>
      </c>
      <c r="Q1311" s="67"/>
      <c r="R1311" s="67"/>
      <c r="S1311" s="67"/>
      <c r="T1311" s="67"/>
      <c r="U1311" s="67"/>
      <c r="V1311" s="67"/>
      <c r="W1311" s="85" t="str">
        <f aca="false">IF(AH1311="","",N(Q1311)+N(R1311)+N(S1311)+N(T1311)+N(U1311)+N(V1311))</f>
        <v/>
      </c>
      <c r="X1311" s="85" t="str">
        <f aca="false">IF(AH1311="","",P1311-W1311)</f>
        <v/>
      </c>
      <c r="Y1311" s="67"/>
      <c r="Z1311" s="70" t="str">
        <f aca="false">IF(OR(AH1311="",Y1311=""),"",IF(ABS(X1311-Y1311)&lt;=1,"✓ Cuadra","⚠ Diferencia $"&amp;FIXED(X1311-Y1311,0)))</f>
        <v/>
      </c>
      <c r="AA1311" s="72" t="str">
        <f aca="false">IF(AH1311="","",IFERROR(INDEX(C_TIPO,MATCH(C1311&amp;"-P"&amp;MAX(1,COUNTIFS(C_ID,C1311,C_DEFINE,"Sí",C_INICIO,"&lt;="&amp;EOMONTH(B1311,0))),C_CLAVE,0))&amp;"","Sin dato"))</f>
        <v/>
      </c>
      <c r="AB1311" s="71" t="str">
        <f aca="false">IF(AH1311="","",ROUND(MIN(K1311,TOPE_AFP_UF*AJ1311)*AK1311,0))</f>
        <v/>
      </c>
      <c r="AC1311" s="71" t="str">
        <f aca="false">IF(AH1311="","",ROUND(MIN(K1311,TOPE_AFC_UF*AJ1311)*IF(AA1311="Indefinido",AFC_EMP_INDEF,AFC_EMP_PF),0))</f>
        <v/>
      </c>
      <c r="AD1311" s="71" t="str">
        <f aca="false">IF(AH1311="","",ROUND(MIN(K1311,TOPE_AFP_UF*AJ1311)*(MUTUAL_BASICA+MUTUAL_ADIC+SANNA),0))</f>
        <v/>
      </c>
      <c r="AE1311" s="71" t="str">
        <f aca="false">IF(AH1311="","",P1311-N(N1311)+AB1311+AC1311+AD1311)</f>
        <v/>
      </c>
      <c r="AF1311" s="65"/>
      <c r="AG1311" s="64"/>
      <c r="AH1311" s="72" t="str">
        <f aca="false">IF(OR(B1311="",C1311=""),"",C1311&amp;"|"&amp;(YEAR(B1311)*100+MONTH(B1311)))</f>
        <v/>
      </c>
      <c r="AI1311" s="70" t="str">
        <f aca="false">IF(AH1311="","",IF(COUNTIF(L_CLAVE,AH1311)&gt;1,"⚠ Duplicado","OK"))</f>
        <v/>
      </c>
      <c r="AJ1311" s="86" t="str">
        <f aca="false">IF(AH1311="","",IF(SUMPRODUCT(MAX((IND_PER&lt;=B1311)*(IND_UF&lt;&gt;"")*IND_PER))=0,UF_HOY,INDEX(IND_UF,MATCH(SUMPRODUCT(MAX((IND_PER&lt;=B1311)*(IND_UF&lt;&gt;"")*IND_PER)),IND_PER,0))))</f>
        <v/>
      </c>
      <c r="AK1311" s="87" t="str">
        <f aca="false">IF(AH1311="","",IF(COUNTIF(TASA_DESDE,"&lt;="&amp;B1311)=0,INDEX(TASA_EMP,1),INDEX(TASA_EMP,COUNTIF(TASA_DESDE,"&lt;="&amp;B1311))))</f>
        <v/>
      </c>
    </row>
    <row r="1312" customFormat="false" ht="15" hidden="false" customHeight="false" outlineLevel="0" collapsed="false">
      <c r="B1312" s="78"/>
      <c r="C1312" s="64"/>
      <c r="D1312" s="72" t="str">
        <f aca="false">IF(C1312="","",IFERROR(INDEX(T_NOMBRE,MATCH(C1312,T_ID,0)),"⚠ ID no existe"))</f>
        <v/>
      </c>
      <c r="E1312" s="69"/>
      <c r="F1312" s="67"/>
      <c r="G1312" s="67"/>
      <c r="H1312" s="67"/>
      <c r="I1312" s="67"/>
      <c r="J1312" s="67"/>
      <c r="K1312" s="85" t="str">
        <f aca="false">IF(AH1312="","",N(F1312)+N(G1312)+N(H1312)-N(I1312)+N(J1312))</f>
        <v/>
      </c>
      <c r="L1312" s="67"/>
      <c r="M1312" s="67"/>
      <c r="N1312" s="67"/>
      <c r="O1312" s="67"/>
      <c r="P1312" s="85" t="str">
        <f aca="false">IF(AH1312="","",K1312+N(L1312)+N(M1312)+N(N1312)+N(O1312))</f>
        <v/>
      </c>
      <c r="Q1312" s="67"/>
      <c r="R1312" s="67"/>
      <c r="S1312" s="67"/>
      <c r="T1312" s="67"/>
      <c r="U1312" s="67"/>
      <c r="V1312" s="67"/>
      <c r="W1312" s="85" t="str">
        <f aca="false">IF(AH1312="","",N(Q1312)+N(R1312)+N(S1312)+N(T1312)+N(U1312)+N(V1312))</f>
        <v/>
      </c>
      <c r="X1312" s="85" t="str">
        <f aca="false">IF(AH1312="","",P1312-W1312)</f>
        <v/>
      </c>
      <c r="Y1312" s="67"/>
      <c r="Z1312" s="70" t="str">
        <f aca="false">IF(OR(AH1312="",Y1312=""),"",IF(ABS(X1312-Y1312)&lt;=1,"✓ Cuadra","⚠ Diferencia $"&amp;FIXED(X1312-Y1312,0)))</f>
        <v/>
      </c>
      <c r="AA1312" s="72" t="str">
        <f aca="false">IF(AH1312="","",IFERROR(INDEX(C_TIPO,MATCH(C1312&amp;"-P"&amp;MAX(1,COUNTIFS(C_ID,C1312,C_DEFINE,"Sí",C_INICIO,"&lt;="&amp;EOMONTH(B1312,0))),C_CLAVE,0))&amp;"","Sin dato"))</f>
        <v/>
      </c>
      <c r="AB1312" s="71" t="str">
        <f aca="false">IF(AH1312="","",ROUND(MIN(K1312,TOPE_AFP_UF*AJ1312)*AK1312,0))</f>
        <v/>
      </c>
      <c r="AC1312" s="71" t="str">
        <f aca="false">IF(AH1312="","",ROUND(MIN(K1312,TOPE_AFC_UF*AJ1312)*IF(AA1312="Indefinido",AFC_EMP_INDEF,AFC_EMP_PF),0))</f>
        <v/>
      </c>
      <c r="AD1312" s="71" t="str">
        <f aca="false">IF(AH1312="","",ROUND(MIN(K1312,TOPE_AFP_UF*AJ1312)*(MUTUAL_BASICA+MUTUAL_ADIC+SANNA),0))</f>
        <v/>
      </c>
      <c r="AE1312" s="71" t="str">
        <f aca="false">IF(AH1312="","",P1312-N(N1312)+AB1312+AC1312+AD1312)</f>
        <v/>
      </c>
      <c r="AF1312" s="65"/>
      <c r="AG1312" s="64"/>
      <c r="AH1312" s="72" t="str">
        <f aca="false">IF(OR(B1312="",C1312=""),"",C1312&amp;"|"&amp;(YEAR(B1312)*100+MONTH(B1312)))</f>
        <v/>
      </c>
      <c r="AI1312" s="70" t="str">
        <f aca="false">IF(AH1312="","",IF(COUNTIF(L_CLAVE,AH1312)&gt;1,"⚠ Duplicado","OK"))</f>
        <v/>
      </c>
      <c r="AJ1312" s="86" t="str">
        <f aca="false">IF(AH1312="","",IF(SUMPRODUCT(MAX((IND_PER&lt;=B1312)*(IND_UF&lt;&gt;"")*IND_PER))=0,UF_HOY,INDEX(IND_UF,MATCH(SUMPRODUCT(MAX((IND_PER&lt;=B1312)*(IND_UF&lt;&gt;"")*IND_PER)),IND_PER,0))))</f>
        <v/>
      </c>
      <c r="AK1312" s="87" t="str">
        <f aca="false">IF(AH1312="","",IF(COUNTIF(TASA_DESDE,"&lt;="&amp;B1312)=0,INDEX(TASA_EMP,1),INDEX(TASA_EMP,COUNTIF(TASA_DESDE,"&lt;="&amp;B1312))))</f>
        <v/>
      </c>
    </row>
    <row r="1313" customFormat="false" ht="15" hidden="false" customHeight="false" outlineLevel="0" collapsed="false">
      <c r="B1313" s="78"/>
      <c r="C1313" s="64"/>
      <c r="D1313" s="72" t="str">
        <f aca="false">IF(C1313="","",IFERROR(INDEX(T_NOMBRE,MATCH(C1313,T_ID,0)),"⚠ ID no existe"))</f>
        <v/>
      </c>
      <c r="E1313" s="69"/>
      <c r="F1313" s="67"/>
      <c r="G1313" s="67"/>
      <c r="H1313" s="67"/>
      <c r="I1313" s="67"/>
      <c r="J1313" s="67"/>
      <c r="K1313" s="85" t="str">
        <f aca="false">IF(AH1313="","",N(F1313)+N(G1313)+N(H1313)-N(I1313)+N(J1313))</f>
        <v/>
      </c>
      <c r="L1313" s="67"/>
      <c r="M1313" s="67"/>
      <c r="N1313" s="67"/>
      <c r="O1313" s="67"/>
      <c r="P1313" s="85" t="str">
        <f aca="false">IF(AH1313="","",K1313+N(L1313)+N(M1313)+N(N1313)+N(O1313))</f>
        <v/>
      </c>
      <c r="Q1313" s="67"/>
      <c r="R1313" s="67"/>
      <c r="S1313" s="67"/>
      <c r="T1313" s="67"/>
      <c r="U1313" s="67"/>
      <c r="V1313" s="67"/>
      <c r="W1313" s="85" t="str">
        <f aca="false">IF(AH1313="","",N(Q1313)+N(R1313)+N(S1313)+N(T1313)+N(U1313)+N(V1313))</f>
        <v/>
      </c>
      <c r="X1313" s="85" t="str">
        <f aca="false">IF(AH1313="","",P1313-W1313)</f>
        <v/>
      </c>
      <c r="Y1313" s="67"/>
      <c r="Z1313" s="70" t="str">
        <f aca="false">IF(OR(AH1313="",Y1313=""),"",IF(ABS(X1313-Y1313)&lt;=1,"✓ Cuadra","⚠ Diferencia $"&amp;FIXED(X1313-Y1313,0)))</f>
        <v/>
      </c>
      <c r="AA1313" s="72" t="str">
        <f aca="false">IF(AH1313="","",IFERROR(INDEX(C_TIPO,MATCH(C1313&amp;"-P"&amp;MAX(1,COUNTIFS(C_ID,C1313,C_DEFINE,"Sí",C_INICIO,"&lt;="&amp;EOMONTH(B1313,0))),C_CLAVE,0))&amp;"","Sin dato"))</f>
        <v/>
      </c>
      <c r="AB1313" s="71" t="str">
        <f aca="false">IF(AH1313="","",ROUND(MIN(K1313,TOPE_AFP_UF*AJ1313)*AK1313,0))</f>
        <v/>
      </c>
      <c r="AC1313" s="71" t="str">
        <f aca="false">IF(AH1313="","",ROUND(MIN(K1313,TOPE_AFC_UF*AJ1313)*IF(AA1313="Indefinido",AFC_EMP_INDEF,AFC_EMP_PF),0))</f>
        <v/>
      </c>
      <c r="AD1313" s="71" t="str">
        <f aca="false">IF(AH1313="","",ROUND(MIN(K1313,TOPE_AFP_UF*AJ1313)*(MUTUAL_BASICA+MUTUAL_ADIC+SANNA),0))</f>
        <v/>
      </c>
      <c r="AE1313" s="71" t="str">
        <f aca="false">IF(AH1313="","",P1313-N(N1313)+AB1313+AC1313+AD1313)</f>
        <v/>
      </c>
      <c r="AF1313" s="65"/>
      <c r="AG1313" s="64"/>
      <c r="AH1313" s="72" t="str">
        <f aca="false">IF(OR(B1313="",C1313=""),"",C1313&amp;"|"&amp;(YEAR(B1313)*100+MONTH(B1313)))</f>
        <v/>
      </c>
      <c r="AI1313" s="70" t="str">
        <f aca="false">IF(AH1313="","",IF(COUNTIF(L_CLAVE,AH1313)&gt;1,"⚠ Duplicado","OK"))</f>
        <v/>
      </c>
      <c r="AJ1313" s="86" t="str">
        <f aca="false">IF(AH1313="","",IF(SUMPRODUCT(MAX((IND_PER&lt;=B1313)*(IND_UF&lt;&gt;"")*IND_PER))=0,UF_HOY,INDEX(IND_UF,MATCH(SUMPRODUCT(MAX((IND_PER&lt;=B1313)*(IND_UF&lt;&gt;"")*IND_PER)),IND_PER,0))))</f>
        <v/>
      </c>
      <c r="AK1313" s="87" t="str">
        <f aca="false">IF(AH1313="","",IF(COUNTIF(TASA_DESDE,"&lt;="&amp;B1313)=0,INDEX(TASA_EMP,1),INDEX(TASA_EMP,COUNTIF(TASA_DESDE,"&lt;="&amp;B1313))))</f>
        <v/>
      </c>
    </row>
    <row r="1314" customFormat="false" ht="15" hidden="false" customHeight="false" outlineLevel="0" collapsed="false">
      <c r="B1314" s="78"/>
      <c r="C1314" s="64"/>
      <c r="D1314" s="72" t="str">
        <f aca="false">IF(C1314="","",IFERROR(INDEX(T_NOMBRE,MATCH(C1314,T_ID,0)),"⚠ ID no existe"))</f>
        <v/>
      </c>
      <c r="E1314" s="69"/>
      <c r="F1314" s="67"/>
      <c r="G1314" s="67"/>
      <c r="H1314" s="67"/>
      <c r="I1314" s="67"/>
      <c r="J1314" s="67"/>
      <c r="K1314" s="85" t="str">
        <f aca="false">IF(AH1314="","",N(F1314)+N(G1314)+N(H1314)-N(I1314)+N(J1314))</f>
        <v/>
      </c>
      <c r="L1314" s="67"/>
      <c r="M1314" s="67"/>
      <c r="N1314" s="67"/>
      <c r="O1314" s="67"/>
      <c r="P1314" s="85" t="str">
        <f aca="false">IF(AH1314="","",K1314+N(L1314)+N(M1314)+N(N1314)+N(O1314))</f>
        <v/>
      </c>
      <c r="Q1314" s="67"/>
      <c r="R1314" s="67"/>
      <c r="S1314" s="67"/>
      <c r="T1314" s="67"/>
      <c r="U1314" s="67"/>
      <c r="V1314" s="67"/>
      <c r="W1314" s="85" t="str">
        <f aca="false">IF(AH1314="","",N(Q1314)+N(R1314)+N(S1314)+N(T1314)+N(U1314)+N(V1314))</f>
        <v/>
      </c>
      <c r="X1314" s="85" t="str">
        <f aca="false">IF(AH1314="","",P1314-W1314)</f>
        <v/>
      </c>
      <c r="Y1314" s="67"/>
      <c r="Z1314" s="70" t="str">
        <f aca="false">IF(OR(AH1314="",Y1314=""),"",IF(ABS(X1314-Y1314)&lt;=1,"✓ Cuadra","⚠ Diferencia $"&amp;FIXED(X1314-Y1314,0)))</f>
        <v/>
      </c>
      <c r="AA1314" s="72" t="str">
        <f aca="false">IF(AH1314="","",IFERROR(INDEX(C_TIPO,MATCH(C1314&amp;"-P"&amp;MAX(1,COUNTIFS(C_ID,C1314,C_DEFINE,"Sí",C_INICIO,"&lt;="&amp;EOMONTH(B1314,0))),C_CLAVE,0))&amp;"","Sin dato"))</f>
        <v/>
      </c>
      <c r="AB1314" s="71" t="str">
        <f aca="false">IF(AH1314="","",ROUND(MIN(K1314,TOPE_AFP_UF*AJ1314)*AK1314,0))</f>
        <v/>
      </c>
      <c r="AC1314" s="71" t="str">
        <f aca="false">IF(AH1314="","",ROUND(MIN(K1314,TOPE_AFC_UF*AJ1314)*IF(AA1314="Indefinido",AFC_EMP_INDEF,AFC_EMP_PF),0))</f>
        <v/>
      </c>
      <c r="AD1314" s="71" t="str">
        <f aca="false">IF(AH1314="","",ROUND(MIN(K1314,TOPE_AFP_UF*AJ1314)*(MUTUAL_BASICA+MUTUAL_ADIC+SANNA),0))</f>
        <v/>
      </c>
      <c r="AE1314" s="71" t="str">
        <f aca="false">IF(AH1314="","",P1314-N(N1314)+AB1314+AC1314+AD1314)</f>
        <v/>
      </c>
      <c r="AF1314" s="65"/>
      <c r="AG1314" s="64"/>
      <c r="AH1314" s="72" t="str">
        <f aca="false">IF(OR(B1314="",C1314=""),"",C1314&amp;"|"&amp;(YEAR(B1314)*100+MONTH(B1314)))</f>
        <v/>
      </c>
      <c r="AI1314" s="70" t="str">
        <f aca="false">IF(AH1314="","",IF(COUNTIF(L_CLAVE,AH1314)&gt;1,"⚠ Duplicado","OK"))</f>
        <v/>
      </c>
      <c r="AJ1314" s="86" t="str">
        <f aca="false">IF(AH1314="","",IF(SUMPRODUCT(MAX((IND_PER&lt;=B1314)*(IND_UF&lt;&gt;"")*IND_PER))=0,UF_HOY,INDEX(IND_UF,MATCH(SUMPRODUCT(MAX((IND_PER&lt;=B1314)*(IND_UF&lt;&gt;"")*IND_PER)),IND_PER,0))))</f>
        <v/>
      </c>
      <c r="AK1314" s="87" t="str">
        <f aca="false">IF(AH1314="","",IF(COUNTIF(TASA_DESDE,"&lt;="&amp;B1314)=0,INDEX(TASA_EMP,1),INDEX(TASA_EMP,COUNTIF(TASA_DESDE,"&lt;="&amp;B1314))))</f>
        <v/>
      </c>
    </row>
    <row r="1315" customFormat="false" ht="15" hidden="false" customHeight="false" outlineLevel="0" collapsed="false">
      <c r="B1315" s="78"/>
      <c r="C1315" s="64"/>
      <c r="D1315" s="72" t="str">
        <f aca="false">IF(C1315="","",IFERROR(INDEX(T_NOMBRE,MATCH(C1315,T_ID,0)),"⚠ ID no existe"))</f>
        <v/>
      </c>
      <c r="E1315" s="69"/>
      <c r="F1315" s="67"/>
      <c r="G1315" s="67"/>
      <c r="H1315" s="67"/>
      <c r="I1315" s="67"/>
      <c r="J1315" s="67"/>
      <c r="K1315" s="85" t="str">
        <f aca="false">IF(AH1315="","",N(F1315)+N(G1315)+N(H1315)-N(I1315)+N(J1315))</f>
        <v/>
      </c>
      <c r="L1315" s="67"/>
      <c r="M1315" s="67"/>
      <c r="N1315" s="67"/>
      <c r="O1315" s="67"/>
      <c r="P1315" s="85" t="str">
        <f aca="false">IF(AH1315="","",K1315+N(L1315)+N(M1315)+N(N1315)+N(O1315))</f>
        <v/>
      </c>
      <c r="Q1315" s="67"/>
      <c r="R1315" s="67"/>
      <c r="S1315" s="67"/>
      <c r="T1315" s="67"/>
      <c r="U1315" s="67"/>
      <c r="V1315" s="67"/>
      <c r="W1315" s="85" t="str">
        <f aca="false">IF(AH1315="","",N(Q1315)+N(R1315)+N(S1315)+N(T1315)+N(U1315)+N(V1315))</f>
        <v/>
      </c>
      <c r="X1315" s="85" t="str">
        <f aca="false">IF(AH1315="","",P1315-W1315)</f>
        <v/>
      </c>
      <c r="Y1315" s="67"/>
      <c r="Z1315" s="70" t="str">
        <f aca="false">IF(OR(AH1315="",Y1315=""),"",IF(ABS(X1315-Y1315)&lt;=1,"✓ Cuadra","⚠ Diferencia $"&amp;FIXED(X1315-Y1315,0)))</f>
        <v/>
      </c>
      <c r="AA1315" s="72" t="str">
        <f aca="false">IF(AH1315="","",IFERROR(INDEX(C_TIPO,MATCH(C1315&amp;"-P"&amp;MAX(1,COUNTIFS(C_ID,C1315,C_DEFINE,"Sí",C_INICIO,"&lt;="&amp;EOMONTH(B1315,0))),C_CLAVE,0))&amp;"","Sin dato"))</f>
        <v/>
      </c>
      <c r="AB1315" s="71" t="str">
        <f aca="false">IF(AH1315="","",ROUND(MIN(K1315,TOPE_AFP_UF*AJ1315)*AK1315,0))</f>
        <v/>
      </c>
      <c r="AC1315" s="71" t="str">
        <f aca="false">IF(AH1315="","",ROUND(MIN(K1315,TOPE_AFC_UF*AJ1315)*IF(AA1315="Indefinido",AFC_EMP_INDEF,AFC_EMP_PF),0))</f>
        <v/>
      </c>
      <c r="AD1315" s="71" t="str">
        <f aca="false">IF(AH1315="","",ROUND(MIN(K1315,TOPE_AFP_UF*AJ1315)*(MUTUAL_BASICA+MUTUAL_ADIC+SANNA),0))</f>
        <v/>
      </c>
      <c r="AE1315" s="71" t="str">
        <f aca="false">IF(AH1315="","",P1315-N(N1315)+AB1315+AC1315+AD1315)</f>
        <v/>
      </c>
      <c r="AF1315" s="65"/>
      <c r="AG1315" s="64"/>
      <c r="AH1315" s="72" t="str">
        <f aca="false">IF(OR(B1315="",C1315=""),"",C1315&amp;"|"&amp;(YEAR(B1315)*100+MONTH(B1315)))</f>
        <v/>
      </c>
      <c r="AI1315" s="70" t="str">
        <f aca="false">IF(AH1315="","",IF(COUNTIF(L_CLAVE,AH1315)&gt;1,"⚠ Duplicado","OK"))</f>
        <v/>
      </c>
      <c r="AJ1315" s="86" t="str">
        <f aca="false">IF(AH1315="","",IF(SUMPRODUCT(MAX((IND_PER&lt;=B1315)*(IND_UF&lt;&gt;"")*IND_PER))=0,UF_HOY,INDEX(IND_UF,MATCH(SUMPRODUCT(MAX((IND_PER&lt;=B1315)*(IND_UF&lt;&gt;"")*IND_PER)),IND_PER,0))))</f>
        <v/>
      </c>
      <c r="AK1315" s="87" t="str">
        <f aca="false">IF(AH1315="","",IF(COUNTIF(TASA_DESDE,"&lt;="&amp;B1315)=0,INDEX(TASA_EMP,1),INDEX(TASA_EMP,COUNTIF(TASA_DESDE,"&lt;="&amp;B1315))))</f>
        <v/>
      </c>
    </row>
    <row r="1316" customFormat="false" ht="15" hidden="false" customHeight="false" outlineLevel="0" collapsed="false">
      <c r="B1316" s="78"/>
      <c r="C1316" s="64"/>
      <c r="D1316" s="72" t="str">
        <f aca="false">IF(C1316="","",IFERROR(INDEX(T_NOMBRE,MATCH(C1316,T_ID,0)),"⚠ ID no existe"))</f>
        <v/>
      </c>
      <c r="E1316" s="69"/>
      <c r="F1316" s="67"/>
      <c r="G1316" s="67"/>
      <c r="H1316" s="67"/>
      <c r="I1316" s="67"/>
      <c r="J1316" s="67"/>
      <c r="K1316" s="85" t="str">
        <f aca="false">IF(AH1316="","",N(F1316)+N(G1316)+N(H1316)-N(I1316)+N(J1316))</f>
        <v/>
      </c>
      <c r="L1316" s="67"/>
      <c r="M1316" s="67"/>
      <c r="N1316" s="67"/>
      <c r="O1316" s="67"/>
      <c r="P1316" s="85" t="str">
        <f aca="false">IF(AH1316="","",K1316+N(L1316)+N(M1316)+N(N1316)+N(O1316))</f>
        <v/>
      </c>
      <c r="Q1316" s="67"/>
      <c r="R1316" s="67"/>
      <c r="S1316" s="67"/>
      <c r="T1316" s="67"/>
      <c r="U1316" s="67"/>
      <c r="V1316" s="67"/>
      <c r="W1316" s="85" t="str">
        <f aca="false">IF(AH1316="","",N(Q1316)+N(R1316)+N(S1316)+N(T1316)+N(U1316)+N(V1316))</f>
        <v/>
      </c>
      <c r="X1316" s="85" t="str">
        <f aca="false">IF(AH1316="","",P1316-W1316)</f>
        <v/>
      </c>
      <c r="Y1316" s="67"/>
      <c r="Z1316" s="70" t="str">
        <f aca="false">IF(OR(AH1316="",Y1316=""),"",IF(ABS(X1316-Y1316)&lt;=1,"✓ Cuadra","⚠ Diferencia $"&amp;FIXED(X1316-Y1316,0)))</f>
        <v/>
      </c>
      <c r="AA1316" s="72" t="str">
        <f aca="false">IF(AH1316="","",IFERROR(INDEX(C_TIPO,MATCH(C1316&amp;"-P"&amp;MAX(1,COUNTIFS(C_ID,C1316,C_DEFINE,"Sí",C_INICIO,"&lt;="&amp;EOMONTH(B1316,0))),C_CLAVE,0))&amp;"","Sin dato"))</f>
        <v/>
      </c>
      <c r="AB1316" s="71" t="str">
        <f aca="false">IF(AH1316="","",ROUND(MIN(K1316,TOPE_AFP_UF*AJ1316)*AK1316,0))</f>
        <v/>
      </c>
      <c r="AC1316" s="71" t="str">
        <f aca="false">IF(AH1316="","",ROUND(MIN(K1316,TOPE_AFC_UF*AJ1316)*IF(AA1316="Indefinido",AFC_EMP_INDEF,AFC_EMP_PF),0))</f>
        <v/>
      </c>
      <c r="AD1316" s="71" t="str">
        <f aca="false">IF(AH1316="","",ROUND(MIN(K1316,TOPE_AFP_UF*AJ1316)*(MUTUAL_BASICA+MUTUAL_ADIC+SANNA),0))</f>
        <v/>
      </c>
      <c r="AE1316" s="71" t="str">
        <f aca="false">IF(AH1316="","",P1316-N(N1316)+AB1316+AC1316+AD1316)</f>
        <v/>
      </c>
      <c r="AF1316" s="65"/>
      <c r="AG1316" s="64"/>
      <c r="AH1316" s="72" t="str">
        <f aca="false">IF(OR(B1316="",C1316=""),"",C1316&amp;"|"&amp;(YEAR(B1316)*100+MONTH(B1316)))</f>
        <v/>
      </c>
      <c r="AI1316" s="70" t="str">
        <f aca="false">IF(AH1316="","",IF(COUNTIF(L_CLAVE,AH1316)&gt;1,"⚠ Duplicado","OK"))</f>
        <v/>
      </c>
      <c r="AJ1316" s="86" t="str">
        <f aca="false">IF(AH1316="","",IF(SUMPRODUCT(MAX((IND_PER&lt;=B1316)*(IND_UF&lt;&gt;"")*IND_PER))=0,UF_HOY,INDEX(IND_UF,MATCH(SUMPRODUCT(MAX((IND_PER&lt;=B1316)*(IND_UF&lt;&gt;"")*IND_PER)),IND_PER,0))))</f>
        <v/>
      </c>
      <c r="AK1316" s="87" t="str">
        <f aca="false">IF(AH1316="","",IF(COUNTIF(TASA_DESDE,"&lt;="&amp;B1316)=0,INDEX(TASA_EMP,1),INDEX(TASA_EMP,COUNTIF(TASA_DESDE,"&lt;="&amp;B1316))))</f>
        <v/>
      </c>
    </row>
    <row r="1317" customFormat="false" ht="15" hidden="false" customHeight="false" outlineLevel="0" collapsed="false">
      <c r="B1317" s="78"/>
      <c r="C1317" s="64"/>
      <c r="D1317" s="72" t="str">
        <f aca="false">IF(C1317="","",IFERROR(INDEX(T_NOMBRE,MATCH(C1317,T_ID,0)),"⚠ ID no existe"))</f>
        <v/>
      </c>
      <c r="E1317" s="69"/>
      <c r="F1317" s="67"/>
      <c r="G1317" s="67"/>
      <c r="H1317" s="67"/>
      <c r="I1317" s="67"/>
      <c r="J1317" s="67"/>
      <c r="K1317" s="85" t="str">
        <f aca="false">IF(AH1317="","",N(F1317)+N(G1317)+N(H1317)-N(I1317)+N(J1317))</f>
        <v/>
      </c>
      <c r="L1317" s="67"/>
      <c r="M1317" s="67"/>
      <c r="N1317" s="67"/>
      <c r="O1317" s="67"/>
      <c r="P1317" s="85" t="str">
        <f aca="false">IF(AH1317="","",K1317+N(L1317)+N(M1317)+N(N1317)+N(O1317))</f>
        <v/>
      </c>
      <c r="Q1317" s="67"/>
      <c r="R1317" s="67"/>
      <c r="S1317" s="67"/>
      <c r="T1317" s="67"/>
      <c r="U1317" s="67"/>
      <c r="V1317" s="67"/>
      <c r="W1317" s="85" t="str">
        <f aca="false">IF(AH1317="","",N(Q1317)+N(R1317)+N(S1317)+N(T1317)+N(U1317)+N(V1317))</f>
        <v/>
      </c>
      <c r="X1317" s="85" t="str">
        <f aca="false">IF(AH1317="","",P1317-W1317)</f>
        <v/>
      </c>
      <c r="Y1317" s="67"/>
      <c r="Z1317" s="70" t="str">
        <f aca="false">IF(OR(AH1317="",Y1317=""),"",IF(ABS(X1317-Y1317)&lt;=1,"✓ Cuadra","⚠ Diferencia $"&amp;FIXED(X1317-Y1317,0)))</f>
        <v/>
      </c>
      <c r="AA1317" s="72" t="str">
        <f aca="false">IF(AH1317="","",IFERROR(INDEX(C_TIPO,MATCH(C1317&amp;"-P"&amp;MAX(1,COUNTIFS(C_ID,C1317,C_DEFINE,"Sí",C_INICIO,"&lt;="&amp;EOMONTH(B1317,0))),C_CLAVE,0))&amp;"","Sin dato"))</f>
        <v/>
      </c>
      <c r="AB1317" s="71" t="str">
        <f aca="false">IF(AH1317="","",ROUND(MIN(K1317,TOPE_AFP_UF*AJ1317)*AK1317,0))</f>
        <v/>
      </c>
      <c r="AC1317" s="71" t="str">
        <f aca="false">IF(AH1317="","",ROUND(MIN(K1317,TOPE_AFC_UF*AJ1317)*IF(AA1317="Indefinido",AFC_EMP_INDEF,AFC_EMP_PF),0))</f>
        <v/>
      </c>
      <c r="AD1317" s="71" t="str">
        <f aca="false">IF(AH1317="","",ROUND(MIN(K1317,TOPE_AFP_UF*AJ1317)*(MUTUAL_BASICA+MUTUAL_ADIC+SANNA),0))</f>
        <v/>
      </c>
      <c r="AE1317" s="71" t="str">
        <f aca="false">IF(AH1317="","",P1317-N(N1317)+AB1317+AC1317+AD1317)</f>
        <v/>
      </c>
      <c r="AF1317" s="65"/>
      <c r="AG1317" s="64"/>
      <c r="AH1317" s="72" t="str">
        <f aca="false">IF(OR(B1317="",C1317=""),"",C1317&amp;"|"&amp;(YEAR(B1317)*100+MONTH(B1317)))</f>
        <v/>
      </c>
      <c r="AI1317" s="70" t="str">
        <f aca="false">IF(AH1317="","",IF(COUNTIF(L_CLAVE,AH1317)&gt;1,"⚠ Duplicado","OK"))</f>
        <v/>
      </c>
      <c r="AJ1317" s="86" t="str">
        <f aca="false">IF(AH1317="","",IF(SUMPRODUCT(MAX((IND_PER&lt;=B1317)*(IND_UF&lt;&gt;"")*IND_PER))=0,UF_HOY,INDEX(IND_UF,MATCH(SUMPRODUCT(MAX((IND_PER&lt;=B1317)*(IND_UF&lt;&gt;"")*IND_PER)),IND_PER,0))))</f>
        <v/>
      </c>
      <c r="AK1317" s="87" t="str">
        <f aca="false">IF(AH1317="","",IF(COUNTIF(TASA_DESDE,"&lt;="&amp;B1317)=0,INDEX(TASA_EMP,1),INDEX(TASA_EMP,COUNTIF(TASA_DESDE,"&lt;="&amp;B1317))))</f>
        <v/>
      </c>
    </row>
    <row r="1318" customFormat="false" ht="15" hidden="false" customHeight="false" outlineLevel="0" collapsed="false">
      <c r="B1318" s="78"/>
      <c r="C1318" s="64"/>
      <c r="D1318" s="72" t="str">
        <f aca="false">IF(C1318="","",IFERROR(INDEX(T_NOMBRE,MATCH(C1318,T_ID,0)),"⚠ ID no existe"))</f>
        <v/>
      </c>
      <c r="E1318" s="69"/>
      <c r="F1318" s="67"/>
      <c r="G1318" s="67"/>
      <c r="H1318" s="67"/>
      <c r="I1318" s="67"/>
      <c r="J1318" s="67"/>
      <c r="K1318" s="85" t="str">
        <f aca="false">IF(AH1318="","",N(F1318)+N(G1318)+N(H1318)-N(I1318)+N(J1318))</f>
        <v/>
      </c>
      <c r="L1318" s="67"/>
      <c r="M1318" s="67"/>
      <c r="N1318" s="67"/>
      <c r="O1318" s="67"/>
      <c r="P1318" s="85" t="str">
        <f aca="false">IF(AH1318="","",K1318+N(L1318)+N(M1318)+N(N1318)+N(O1318))</f>
        <v/>
      </c>
      <c r="Q1318" s="67"/>
      <c r="R1318" s="67"/>
      <c r="S1318" s="67"/>
      <c r="T1318" s="67"/>
      <c r="U1318" s="67"/>
      <c r="V1318" s="67"/>
      <c r="W1318" s="85" t="str">
        <f aca="false">IF(AH1318="","",N(Q1318)+N(R1318)+N(S1318)+N(T1318)+N(U1318)+N(V1318))</f>
        <v/>
      </c>
      <c r="X1318" s="85" t="str">
        <f aca="false">IF(AH1318="","",P1318-W1318)</f>
        <v/>
      </c>
      <c r="Y1318" s="67"/>
      <c r="Z1318" s="70" t="str">
        <f aca="false">IF(OR(AH1318="",Y1318=""),"",IF(ABS(X1318-Y1318)&lt;=1,"✓ Cuadra","⚠ Diferencia $"&amp;FIXED(X1318-Y1318,0)))</f>
        <v/>
      </c>
      <c r="AA1318" s="72" t="str">
        <f aca="false">IF(AH1318="","",IFERROR(INDEX(C_TIPO,MATCH(C1318&amp;"-P"&amp;MAX(1,COUNTIFS(C_ID,C1318,C_DEFINE,"Sí",C_INICIO,"&lt;="&amp;EOMONTH(B1318,0))),C_CLAVE,0))&amp;"","Sin dato"))</f>
        <v/>
      </c>
      <c r="AB1318" s="71" t="str">
        <f aca="false">IF(AH1318="","",ROUND(MIN(K1318,TOPE_AFP_UF*AJ1318)*AK1318,0))</f>
        <v/>
      </c>
      <c r="AC1318" s="71" t="str">
        <f aca="false">IF(AH1318="","",ROUND(MIN(K1318,TOPE_AFC_UF*AJ1318)*IF(AA1318="Indefinido",AFC_EMP_INDEF,AFC_EMP_PF),0))</f>
        <v/>
      </c>
      <c r="AD1318" s="71" t="str">
        <f aca="false">IF(AH1318="","",ROUND(MIN(K1318,TOPE_AFP_UF*AJ1318)*(MUTUAL_BASICA+MUTUAL_ADIC+SANNA),0))</f>
        <v/>
      </c>
      <c r="AE1318" s="71" t="str">
        <f aca="false">IF(AH1318="","",P1318-N(N1318)+AB1318+AC1318+AD1318)</f>
        <v/>
      </c>
      <c r="AF1318" s="65"/>
      <c r="AG1318" s="64"/>
      <c r="AH1318" s="72" t="str">
        <f aca="false">IF(OR(B1318="",C1318=""),"",C1318&amp;"|"&amp;(YEAR(B1318)*100+MONTH(B1318)))</f>
        <v/>
      </c>
      <c r="AI1318" s="70" t="str">
        <f aca="false">IF(AH1318="","",IF(COUNTIF(L_CLAVE,AH1318)&gt;1,"⚠ Duplicado","OK"))</f>
        <v/>
      </c>
      <c r="AJ1318" s="86" t="str">
        <f aca="false">IF(AH1318="","",IF(SUMPRODUCT(MAX((IND_PER&lt;=B1318)*(IND_UF&lt;&gt;"")*IND_PER))=0,UF_HOY,INDEX(IND_UF,MATCH(SUMPRODUCT(MAX((IND_PER&lt;=B1318)*(IND_UF&lt;&gt;"")*IND_PER)),IND_PER,0))))</f>
        <v/>
      </c>
      <c r="AK1318" s="87" t="str">
        <f aca="false">IF(AH1318="","",IF(COUNTIF(TASA_DESDE,"&lt;="&amp;B1318)=0,INDEX(TASA_EMP,1),INDEX(TASA_EMP,COUNTIF(TASA_DESDE,"&lt;="&amp;B1318))))</f>
        <v/>
      </c>
    </row>
    <row r="1319" customFormat="false" ht="15" hidden="false" customHeight="false" outlineLevel="0" collapsed="false">
      <c r="B1319" s="78"/>
      <c r="C1319" s="64"/>
      <c r="D1319" s="72" t="str">
        <f aca="false">IF(C1319="","",IFERROR(INDEX(T_NOMBRE,MATCH(C1319,T_ID,0)),"⚠ ID no existe"))</f>
        <v/>
      </c>
      <c r="E1319" s="69"/>
      <c r="F1319" s="67"/>
      <c r="G1319" s="67"/>
      <c r="H1319" s="67"/>
      <c r="I1319" s="67"/>
      <c r="J1319" s="67"/>
      <c r="K1319" s="85" t="str">
        <f aca="false">IF(AH1319="","",N(F1319)+N(G1319)+N(H1319)-N(I1319)+N(J1319))</f>
        <v/>
      </c>
      <c r="L1319" s="67"/>
      <c r="M1319" s="67"/>
      <c r="N1319" s="67"/>
      <c r="O1319" s="67"/>
      <c r="P1319" s="85" t="str">
        <f aca="false">IF(AH1319="","",K1319+N(L1319)+N(M1319)+N(N1319)+N(O1319))</f>
        <v/>
      </c>
      <c r="Q1319" s="67"/>
      <c r="R1319" s="67"/>
      <c r="S1319" s="67"/>
      <c r="T1319" s="67"/>
      <c r="U1319" s="67"/>
      <c r="V1319" s="67"/>
      <c r="W1319" s="85" t="str">
        <f aca="false">IF(AH1319="","",N(Q1319)+N(R1319)+N(S1319)+N(T1319)+N(U1319)+N(V1319))</f>
        <v/>
      </c>
      <c r="X1319" s="85" t="str">
        <f aca="false">IF(AH1319="","",P1319-W1319)</f>
        <v/>
      </c>
      <c r="Y1319" s="67"/>
      <c r="Z1319" s="70" t="str">
        <f aca="false">IF(OR(AH1319="",Y1319=""),"",IF(ABS(X1319-Y1319)&lt;=1,"✓ Cuadra","⚠ Diferencia $"&amp;FIXED(X1319-Y1319,0)))</f>
        <v/>
      </c>
      <c r="AA1319" s="72" t="str">
        <f aca="false">IF(AH1319="","",IFERROR(INDEX(C_TIPO,MATCH(C1319&amp;"-P"&amp;MAX(1,COUNTIFS(C_ID,C1319,C_DEFINE,"Sí",C_INICIO,"&lt;="&amp;EOMONTH(B1319,0))),C_CLAVE,0))&amp;"","Sin dato"))</f>
        <v/>
      </c>
      <c r="AB1319" s="71" t="str">
        <f aca="false">IF(AH1319="","",ROUND(MIN(K1319,TOPE_AFP_UF*AJ1319)*AK1319,0))</f>
        <v/>
      </c>
      <c r="AC1319" s="71" t="str">
        <f aca="false">IF(AH1319="","",ROUND(MIN(K1319,TOPE_AFC_UF*AJ1319)*IF(AA1319="Indefinido",AFC_EMP_INDEF,AFC_EMP_PF),0))</f>
        <v/>
      </c>
      <c r="AD1319" s="71" t="str">
        <f aca="false">IF(AH1319="","",ROUND(MIN(K1319,TOPE_AFP_UF*AJ1319)*(MUTUAL_BASICA+MUTUAL_ADIC+SANNA),0))</f>
        <v/>
      </c>
      <c r="AE1319" s="71" t="str">
        <f aca="false">IF(AH1319="","",P1319-N(N1319)+AB1319+AC1319+AD1319)</f>
        <v/>
      </c>
      <c r="AF1319" s="65"/>
      <c r="AG1319" s="64"/>
      <c r="AH1319" s="72" t="str">
        <f aca="false">IF(OR(B1319="",C1319=""),"",C1319&amp;"|"&amp;(YEAR(B1319)*100+MONTH(B1319)))</f>
        <v/>
      </c>
      <c r="AI1319" s="70" t="str">
        <f aca="false">IF(AH1319="","",IF(COUNTIF(L_CLAVE,AH1319)&gt;1,"⚠ Duplicado","OK"))</f>
        <v/>
      </c>
      <c r="AJ1319" s="86" t="str">
        <f aca="false">IF(AH1319="","",IF(SUMPRODUCT(MAX((IND_PER&lt;=B1319)*(IND_UF&lt;&gt;"")*IND_PER))=0,UF_HOY,INDEX(IND_UF,MATCH(SUMPRODUCT(MAX((IND_PER&lt;=B1319)*(IND_UF&lt;&gt;"")*IND_PER)),IND_PER,0))))</f>
        <v/>
      </c>
      <c r="AK1319" s="87" t="str">
        <f aca="false">IF(AH1319="","",IF(COUNTIF(TASA_DESDE,"&lt;="&amp;B1319)=0,INDEX(TASA_EMP,1),INDEX(TASA_EMP,COUNTIF(TASA_DESDE,"&lt;="&amp;B1319))))</f>
        <v/>
      </c>
    </row>
    <row r="1320" customFormat="false" ht="15" hidden="false" customHeight="false" outlineLevel="0" collapsed="false">
      <c r="B1320" s="78"/>
      <c r="C1320" s="64"/>
      <c r="D1320" s="72" t="str">
        <f aca="false">IF(C1320="","",IFERROR(INDEX(T_NOMBRE,MATCH(C1320,T_ID,0)),"⚠ ID no existe"))</f>
        <v/>
      </c>
      <c r="E1320" s="69"/>
      <c r="F1320" s="67"/>
      <c r="G1320" s="67"/>
      <c r="H1320" s="67"/>
      <c r="I1320" s="67"/>
      <c r="J1320" s="67"/>
      <c r="K1320" s="85" t="str">
        <f aca="false">IF(AH1320="","",N(F1320)+N(G1320)+N(H1320)-N(I1320)+N(J1320))</f>
        <v/>
      </c>
      <c r="L1320" s="67"/>
      <c r="M1320" s="67"/>
      <c r="N1320" s="67"/>
      <c r="O1320" s="67"/>
      <c r="P1320" s="85" t="str">
        <f aca="false">IF(AH1320="","",K1320+N(L1320)+N(M1320)+N(N1320)+N(O1320))</f>
        <v/>
      </c>
      <c r="Q1320" s="67"/>
      <c r="R1320" s="67"/>
      <c r="S1320" s="67"/>
      <c r="T1320" s="67"/>
      <c r="U1320" s="67"/>
      <c r="V1320" s="67"/>
      <c r="W1320" s="85" t="str">
        <f aca="false">IF(AH1320="","",N(Q1320)+N(R1320)+N(S1320)+N(T1320)+N(U1320)+N(V1320))</f>
        <v/>
      </c>
      <c r="X1320" s="85" t="str">
        <f aca="false">IF(AH1320="","",P1320-W1320)</f>
        <v/>
      </c>
      <c r="Y1320" s="67"/>
      <c r="Z1320" s="70" t="str">
        <f aca="false">IF(OR(AH1320="",Y1320=""),"",IF(ABS(X1320-Y1320)&lt;=1,"✓ Cuadra","⚠ Diferencia $"&amp;FIXED(X1320-Y1320,0)))</f>
        <v/>
      </c>
      <c r="AA1320" s="72" t="str">
        <f aca="false">IF(AH1320="","",IFERROR(INDEX(C_TIPO,MATCH(C1320&amp;"-P"&amp;MAX(1,COUNTIFS(C_ID,C1320,C_DEFINE,"Sí",C_INICIO,"&lt;="&amp;EOMONTH(B1320,0))),C_CLAVE,0))&amp;"","Sin dato"))</f>
        <v/>
      </c>
      <c r="AB1320" s="71" t="str">
        <f aca="false">IF(AH1320="","",ROUND(MIN(K1320,TOPE_AFP_UF*AJ1320)*AK1320,0))</f>
        <v/>
      </c>
      <c r="AC1320" s="71" t="str">
        <f aca="false">IF(AH1320="","",ROUND(MIN(K1320,TOPE_AFC_UF*AJ1320)*IF(AA1320="Indefinido",AFC_EMP_INDEF,AFC_EMP_PF),0))</f>
        <v/>
      </c>
      <c r="AD1320" s="71" t="str">
        <f aca="false">IF(AH1320="","",ROUND(MIN(K1320,TOPE_AFP_UF*AJ1320)*(MUTUAL_BASICA+MUTUAL_ADIC+SANNA),0))</f>
        <v/>
      </c>
      <c r="AE1320" s="71" t="str">
        <f aca="false">IF(AH1320="","",P1320-N(N1320)+AB1320+AC1320+AD1320)</f>
        <v/>
      </c>
      <c r="AF1320" s="65"/>
      <c r="AG1320" s="64"/>
      <c r="AH1320" s="72" t="str">
        <f aca="false">IF(OR(B1320="",C1320=""),"",C1320&amp;"|"&amp;(YEAR(B1320)*100+MONTH(B1320)))</f>
        <v/>
      </c>
      <c r="AI1320" s="70" t="str">
        <f aca="false">IF(AH1320="","",IF(COUNTIF(L_CLAVE,AH1320)&gt;1,"⚠ Duplicado","OK"))</f>
        <v/>
      </c>
      <c r="AJ1320" s="86" t="str">
        <f aca="false">IF(AH1320="","",IF(SUMPRODUCT(MAX((IND_PER&lt;=B1320)*(IND_UF&lt;&gt;"")*IND_PER))=0,UF_HOY,INDEX(IND_UF,MATCH(SUMPRODUCT(MAX((IND_PER&lt;=B1320)*(IND_UF&lt;&gt;"")*IND_PER)),IND_PER,0))))</f>
        <v/>
      </c>
      <c r="AK1320" s="87" t="str">
        <f aca="false">IF(AH1320="","",IF(COUNTIF(TASA_DESDE,"&lt;="&amp;B1320)=0,INDEX(TASA_EMP,1),INDEX(TASA_EMP,COUNTIF(TASA_DESDE,"&lt;="&amp;B1320))))</f>
        <v/>
      </c>
    </row>
    <row r="1321" customFormat="false" ht="15" hidden="false" customHeight="false" outlineLevel="0" collapsed="false">
      <c r="B1321" s="78"/>
      <c r="C1321" s="64"/>
      <c r="D1321" s="72" t="str">
        <f aca="false">IF(C1321="","",IFERROR(INDEX(T_NOMBRE,MATCH(C1321,T_ID,0)),"⚠ ID no existe"))</f>
        <v/>
      </c>
      <c r="E1321" s="69"/>
      <c r="F1321" s="67"/>
      <c r="G1321" s="67"/>
      <c r="H1321" s="67"/>
      <c r="I1321" s="67"/>
      <c r="J1321" s="67"/>
      <c r="K1321" s="85" t="str">
        <f aca="false">IF(AH1321="","",N(F1321)+N(G1321)+N(H1321)-N(I1321)+N(J1321))</f>
        <v/>
      </c>
      <c r="L1321" s="67"/>
      <c r="M1321" s="67"/>
      <c r="N1321" s="67"/>
      <c r="O1321" s="67"/>
      <c r="P1321" s="85" t="str">
        <f aca="false">IF(AH1321="","",K1321+N(L1321)+N(M1321)+N(N1321)+N(O1321))</f>
        <v/>
      </c>
      <c r="Q1321" s="67"/>
      <c r="R1321" s="67"/>
      <c r="S1321" s="67"/>
      <c r="T1321" s="67"/>
      <c r="U1321" s="67"/>
      <c r="V1321" s="67"/>
      <c r="W1321" s="85" t="str">
        <f aca="false">IF(AH1321="","",N(Q1321)+N(R1321)+N(S1321)+N(T1321)+N(U1321)+N(V1321))</f>
        <v/>
      </c>
      <c r="X1321" s="85" t="str">
        <f aca="false">IF(AH1321="","",P1321-W1321)</f>
        <v/>
      </c>
      <c r="Y1321" s="67"/>
      <c r="Z1321" s="70" t="str">
        <f aca="false">IF(OR(AH1321="",Y1321=""),"",IF(ABS(X1321-Y1321)&lt;=1,"✓ Cuadra","⚠ Diferencia $"&amp;FIXED(X1321-Y1321,0)))</f>
        <v/>
      </c>
      <c r="AA1321" s="72" t="str">
        <f aca="false">IF(AH1321="","",IFERROR(INDEX(C_TIPO,MATCH(C1321&amp;"-P"&amp;MAX(1,COUNTIFS(C_ID,C1321,C_DEFINE,"Sí",C_INICIO,"&lt;="&amp;EOMONTH(B1321,0))),C_CLAVE,0))&amp;"","Sin dato"))</f>
        <v/>
      </c>
      <c r="AB1321" s="71" t="str">
        <f aca="false">IF(AH1321="","",ROUND(MIN(K1321,TOPE_AFP_UF*AJ1321)*AK1321,0))</f>
        <v/>
      </c>
      <c r="AC1321" s="71" t="str">
        <f aca="false">IF(AH1321="","",ROUND(MIN(K1321,TOPE_AFC_UF*AJ1321)*IF(AA1321="Indefinido",AFC_EMP_INDEF,AFC_EMP_PF),0))</f>
        <v/>
      </c>
      <c r="AD1321" s="71" t="str">
        <f aca="false">IF(AH1321="","",ROUND(MIN(K1321,TOPE_AFP_UF*AJ1321)*(MUTUAL_BASICA+MUTUAL_ADIC+SANNA),0))</f>
        <v/>
      </c>
      <c r="AE1321" s="71" t="str">
        <f aca="false">IF(AH1321="","",P1321-N(N1321)+AB1321+AC1321+AD1321)</f>
        <v/>
      </c>
      <c r="AF1321" s="65"/>
      <c r="AG1321" s="64"/>
      <c r="AH1321" s="72" t="str">
        <f aca="false">IF(OR(B1321="",C1321=""),"",C1321&amp;"|"&amp;(YEAR(B1321)*100+MONTH(B1321)))</f>
        <v/>
      </c>
      <c r="AI1321" s="70" t="str">
        <f aca="false">IF(AH1321="","",IF(COUNTIF(L_CLAVE,AH1321)&gt;1,"⚠ Duplicado","OK"))</f>
        <v/>
      </c>
      <c r="AJ1321" s="86" t="str">
        <f aca="false">IF(AH1321="","",IF(SUMPRODUCT(MAX((IND_PER&lt;=B1321)*(IND_UF&lt;&gt;"")*IND_PER))=0,UF_HOY,INDEX(IND_UF,MATCH(SUMPRODUCT(MAX((IND_PER&lt;=B1321)*(IND_UF&lt;&gt;"")*IND_PER)),IND_PER,0))))</f>
        <v/>
      </c>
      <c r="AK1321" s="87" t="str">
        <f aca="false">IF(AH1321="","",IF(COUNTIF(TASA_DESDE,"&lt;="&amp;B1321)=0,INDEX(TASA_EMP,1),INDEX(TASA_EMP,COUNTIF(TASA_DESDE,"&lt;="&amp;B1321))))</f>
        <v/>
      </c>
    </row>
    <row r="1322" customFormat="false" ht="15" hidden="false" customHeight="false" outlineLevel="0" collapsed="false">
      <c r="B1322" s="78"/>
      <c r="C1322" s="64"/>
      <c r="D1322" s="72" t="str">
        <f aca="false">IF(C1322="","",IFERROR(INDEX(T_NOMBRE,MATCH(C1322,T_ID,0)),"⚠ ID no existe"))</f>
        <v/>
      </c>
      <c r="E1322" s="69"/>
      <c r="F1322" s="67"/>
      <c r="G1322" s="67"/>
      <c r="H1322" s="67"/>
      <c r="I1322" s="67"/>
      <c r="J1322" s="67"/>
      <c r="K1322" s="85" t="str">
        <f aca="false">IF(AH1322="","",N(F1322)+N(G1322)+N(H1322)-N(I1322)+N(J1322))</f>
        <v/>
      </c>
      <c r="L1322" s="67"/>
      <c r="M1322" s="67"/>
      <c r="N1322" s="67"/>
      <c r="O1322" s="67"/>
      <c r="P1322" s="85" t="str">
        <f aca="false">IF(AH1322="","",K1322+N(L1322)+N(M1322)+N(N1322)+N(O1322))</f>
        <v/>
      </c>
      <c r="Q1322" s="67"/>
      <c r="R1322" s="67"/>
      <c r="S1322" s="67"/>
      <c r="T1322" s="67"/>
      <c r="U1322" s="67"/>
      <c r="V1322" s="67"/>
      <c r="W1322" s="85" t="str">
        <f aca="false">IF(AH1322="","",N(Q1322)+N(R1322)+N(S1322)+N(T1322)+N(U1322)+N(V1322))</f>
        <v/>
      </c>
      <c r="X1322" s="85" t="str">
        <f aca="false">IF(AH1322="","",P1322-W1322)</f>
        <v/>
      </c>
      <c r="Y1322" s="67"/>
      <c r="Z1322" s="70" t="str">
        <f aca="false">IF(OR(AH1322="",Y1322=""),"",IF(ABS(X1322-Y1322)&lt;=1,"✓ Cuadra","⚠ Diferencia $"&amp;FIXED(X1322-Y1322,0)))</f>
        <v/>
      </c>
      <c r="AA1322" s="72" t="str">
        <f aca="false">IF(AH1322="","",IFERROR(INDEX(C_TIPO,MATCH(C1322&amp;"-P"&amp;MAX(1,COUNTIFS(C_ID,C1322,C_DEFINE,"Sí",C_INICIO,"&lt;="&amp;EOMONTH(B1322,0))),C_CLAVE,0))&amp;"","Sin dato"))</f>
        <v/>
      </c>
      <c r="AB1322" s="71" t="str">
        <f aca="false">IF(AH1322="","",ROUND(MIN(K1322,TOPE_AFP_UF*AJ1322)*AK1322,0))</f>
        <v/>
      </c>
      <c r="AC1322" s="71" t="str">
        <f aca="false">IF(AH1322="","",ROUND(MIN(K1322,TOPE_AFC_UF*AJ1322)*IF(AA1322="Indefinido",AFC_EMP_INDEF,AFC_EMP_PF),0))</f>
        <v/>
      </c>
      <c r="AD1322" s="71" t="str">
        <f aca="false">IF(AH1322="","",ROUND(MIN(K1322,TOPE_AFP_UF*AJ1322)*(MUTUAL_BASICA+MUTUAL_ADIC+SANNA),0))</f>
        <v/>
      </c>
      <c r="AE1322" s="71" t="str">
        <f aca="false">IF(AH1322="","",P1322-N(N1322)+AB1322+AC1322+AD1322)</f>
        <v/>
      </c>
      <c r="AF1322" s="65"/>
      <c r="AG1322" s="64"/>
      <c r="AH1322" s="72" t="str">
        <f aca="false">IF(OR(B1322="",C1322=""),"",C1322&amp;"|"&amp;(YEAR(B1322)*100+MONTH(B1322)))</f>
        <v/>
      </c>
      <c r="AI1322" s="70" t="str">
        <f aca="false">IF(AH1322="","",IF(COUNTIF(L_CLAVE,AH1322)&gt;1,"⚠ Duplicado","OK"))</f>
        <v/>
      </c>
      <c r="AJ1322" s="86" t="str">
        <f aca="false">IF(AH1322="","",IF(SUMPRODUCT(MAX((IND_PER&lt;=B1322)*(IND_UF&lt;&gt;"")*IND_PER))=0,UF_HOY,INDEX(IND_UF,MATCH(SUMPRODUCT(MAX((IND_PER&lt;=B1322)*(IND_UF&lt;&gt;"")*IND_PER)),IND_PER,0))))</f>
        <v/>
      </c>
      <c r="AK1322" s="87" t="str">
        <f aca="false">IF(AH1322="","",IF(COUNTIF(TASA_DESDE,"&lt;="&amp;B1322)=0,INDEX(TASA_EMP,1),INDEX(TASA_EMP,COUNTIF(TASA_DESDE,"&lt;="&amp;B1322))))</f>
        <v/>
      </c>
    </row>
    <row r="1323" customFormat="false" ht="15" hidden="false" customHeight="false" outlineLevel="0" collapsed="false">
      <c r="B1323" s="78"/>
      <c r="C1323" s="64"/>
      <c r="D1323" s="72" t="str">
        <f aca="false">IF(C1323="","",IFERROR(INDEX(T_NOMBRE,MATCH(C1323,T_ID,0)),"⚠ ID no existe"))</f>
        <v/>
      </c>
      <c r="E1323" s="69"/>
      <c r="F1323" s="67"/>
      <c r="G1323" s="67"/>
      <c r="H1323" s="67"/>
      <c r="I1323" s="67"/>
      <c r="J1323" s="67"/>
      <c r="K1323" s="85" t="str">
        <f aca="false">IF(AH1323="","",N(F1323)+N(G1323)+N(H1323)-N(I1323)+N(J1323))</f>
        <v/>
      </c>
      <c r="L1323" s="67"/>
      <c r="M1323" s="67"/>
      <c r="N1323" s="67"/>
      <c r="O1323" s="67"/>
      <c r="P1323" s="85" t="str">
        <f aca="false">IF(AH1323="","",K1323+N(L1323)+N(M1323)+N(N1323)+N(O1323))</f>
        <v/>
      </c>
      <c r="Q1323" s="67"/>
      <c r="R1323" s="67"/>
      <c r="S1323" s="67"/>
      <c r="T1323" s="67"/>
      <c r="U1323" s="67"/>
      <c r="V1323" s="67"/>
      <c r="W1323" s="85" t="str">
        <f aca="false">IF(AH1323="","",N(Q1323)+N(R1323)+N(S1323)+N(T1323)+N(U1323)+N(V1323))</f>
        <v/>
      </c>
      <c r="X1323" s="85" t="str">
        <f aca="false">IF(AH1323="","",P1323-W1323)</f>
        <v/>
      </c>
      <c r="Y1323" s="67"/>
      <c r="Z1323" s="70" t="str">
        <f aca="false">IF(OR(AH1323="",Y1323=""),"",IF(ABS(X1323-Y1323)&lt;=1,"✓ Cuadra","⚠ Diferencia $"&amp;FIXED(X1323-Y1323,0)))</f>
        <v/>
      </c>
      <c r="AA1323" s="72" t="str">
        <f aca="false">IF(AH1323="","",IFERROR(INDEX(C_TIPO,MATCH(C1323&amp;"-P"&amp;MAX(1,COUNTIFS(C_ID,C1323,C_DEFINE,"Sí",C_INICIO,"&lt;="&amp;EOMONTH(B1323,0))),C_CLAVE,0))&amp;"","Sin dato"))</f>
        <v/>
      </c>
      <c r="AB1323" s="71" t="str">
        <f aca="false">IF(AH1323="","",ROUND(MIN(K1323,TOPE_AFP_UF*AJ1323)*AK1323,0))</f>
        <v/>
      </c>
      <c r="AC1323" s="71" t="str">
        <f aca="false">IF(AH1323="","",ROUND(MIN(K1323,TOPE_AFC_UF*AJ1323)*IF(AA1323="Indefinido",AFC_EMP_INDEF,AFC_EMP_PF),0))</f>
        <v/>
      </c>
      <c r="AD1323" s="71" t="str">
        <f aca="false">IF(AH1323="","",ROUND(MIN(K1323,TOPE_AFP_UF*AJ1323)*(MUTUAL_BASICA+MUTUAL_ADIC+SANNA),0))</f>
        <v/>
      </c>
      <c r="AE1323" s="71" t="str">
        <f aca="false">IF(AH1323="","",P1323-N(N1323)+AB1323+AC1323+AD1323)</f>
        <v/>
      </c>
      <c r="AF1323" s="65"/>
      <c r="AG1323" s="64"/>
      <c r="AH1323" s="72" t="str">
        <f aca="false">IF(OR(B1323="",C1323=""),"",C1323&amp;"|"&amp;(YEAR(B1323)*100+MONTH(B1323)))</f>
        <v/>
      </c>
      <c r="AI1323" s="70" t="str">
        <f aca="false">IF(AH1323="","",IF(COUNTIF(L_CLAVE,AH1323)&gt;1,"⚠ Duplicado","OK"))</f>
        <v/>
      </c>
      <c r="AJ1323" s="86" t="str">
        <f aca="false">IF(AH1323="","",IF(SUMPRODUCT(MAX((IND_PER&lt;=B1323)*(IND_UF&lt;&gt;"")*IND_PER))=0,UF_HOY,INDEX(IND_UF,MATCH(SUMPRODUCT(MAX((IND_PER&lt;=B1323)*(IND_UF&lt;&gt;"")*IND_PER)),IND_PER,0))))</f>
        <v/>
      </c>
      <c r="AK1323" s="87" t="str">
        <f aca="false">IF(AH1323="","",IF(COUNTIF(TASA_DESDE,"&lt;="&amp;B1323)=0,INDEX(TASA_EMP,1),INDEX(TASA_EMP,COUNTIF(TASA_DESDE,"&lt;="&amp;B1323))))</f>
        <v/>
      </c>
    </row>
    <row r="1324" customFormat="false" ht="15" hidden="false" customHeight="false" outlineLevel="0" collapsed="false">
      <c r="B1324" s="78"/>
      <c r="C1324" s="64"/>
      <c r="D1324" s="72" t="str">
        <f aca="false">IF(C1324="","",IFERROR(INDEX(T_NOMBRE,MATCH(C1324,T_ID,0)),"⚠ ID no existe"))</f>
        <v/>
      </c>
      <c r="E1324" s="69"/>
      <c r="F1324" s="67"/>
      <c r="G1324" s="67"/>
      <c r="H1324" s="67"/>
      <c r="I1324" s="67"/>
      <c r="J1324" s="67"/>
      <c r="K1324" s="85" t="str">
        <f aca="false">IF(AH1324="","",N(F1324)+N(G1324)+N(H1324)-N(I1324)+N(J1324))</f>
        <v/>
      </c>
      <c r="L1324" s="67"/>
      <c r="M1324" s="67"/>
      <c r="N1324" s="67"/>
      <c r="O1324" s="67"/>
      <c r="P1324" s="85" t="str">
        <f aca="false">IF(AH1324="","",K1324+N(L1324)+N(M1324)+N(N1324)+N(O1324))</f>
        <v/>
      </c>
      <c r="Q1324" s="67"/>
      <c r="R1324" s="67"/>
      <c r="S1324" s="67"/>
      <c r="T1324" s="67"/>
      <c r="U1324" s="67"/>
      <c r="V1324" s="67"/>
      <c r="W1324" s="85" t="str">
        <f aca="false">IF(AH1324="","",N(Q1324)+N(R1324)+N(S1324)+N(T1324)+N(U1324)+N(V1324))</f>
        <v/>
      </c>
      <c r="X1324" s="85" t="str">
        <f aca="false">IF(AH1324="","",P1324-W1324)</f>
        <v/>
      </c>
      <c r="Y1324" s="67"/>
      <c r="Z1324" s="70" t="str">
        <f aca="false">IF(OR(AH1324="",Y1324=""),"",IF(ABS(X1324-Y1324)&lt;=1,"✓ Cuadra","⚠ Diferencia $"&amp;FIXED(X1324-Y1324,0)))</f>
        <v/>
      </c>
      <c r="AA1324" s="72" t="str">
        <f aca="false">IF(AH1324="","",IFERROR(INDEX(C_TIPO,MATCH(C1324&amp;"-P"&amp;MAX(1,COUNTIFS(C_ID,C1324,C_DEFINE,"Sí",C_INICIO,"&lt;="&amp;EOMONTH(B1324,0))),C_CLAVE,0))&amp;"","Sin dato"))</f>
        <v/>
      </c>
      <c r="AB1324" s="71" t="str">
        <f aca="false">IF(AH1324="","",ROUND(MIN(K1324,TOPE_AFP_UF*AJ1324)*AK1324,0))</f>
        <v/>
      </c>
      <c r="AC1324" s="71" t="str">
        <f aca="false">IF(AH1324="","",ROUND(MIN(K1324,TOPE_AFC_UF*AJ1324)*IF(AA1324="Indefinido",AFC_EMP_INDEF,AFC_EMP_PF),0))</f>
        <v/>
      </c>
      <c r="AD1324" s="71" t="str">
        <f aca="false">IF(AH1324="","",ROUND(MIN(K1324,TOPE_AFP_UF*AJ1324)*(MUTUAL_BASICA+MUTUAL_ADIC+SANNA),0))</f>
        <v/>
      </c>
      <c r="AE1324" s="71" t="str">
        <f aca="false">IF(AH1324="","",P1324-N(N1324)+AB1324+AC1324+AD1324)</f>
        <v/>
      </c>
      <c r="AF1324" s="65"/>
      <c r="AG1324" s="64"/>
      <c r="AH1324" s="72" t="str">
        <f aca="false">IF(OR(B1324="",C1324=""),"",C1324&amp;"|"&amp;(YEAR(B1324)*100+MONTH(B1324)))</f>
        <v/>
      </c>
      <c r="AI1324" s="70" t="str">
        <f aca="false">IF(AH1324="","",IF(COUNTIF(L_CLAVE,AH1324)&gt;1,"⚠ Duplicado","OK"))</f>
        <v/>
      </c>
      <c r="AJ1324" s="86" t="str">
        <f aca="false">IF(AH1324="","",IF(SUMPRODUCT(MAX((IND_PER&lt;=B1324)*(IND_UF&lt;&gt;"")*IND_PER))=0,UF_HOY,INDEX(IND_UF,MATCH(SUMPRODUCT(MAX((IND_PER&lt;=B1324)*(IND_UF&lt;&gt;"")*IND_PER)),IND_PER,0))))</f>
        <v/>
      </c>
      <c r="AK1324" s="87" t="str">
        <f aca="false">IF(AH1324="","",IF(COUNTIF(TASA_DESDE,"&lt;="&amp;B1324)=0,INDEX(TASA_EMP,1),INDEX(TASA_EMP,COUNTIF(TASA_DESDE,"&lt;="&amp;B1324))))</f>
        <v/>
      </c>
    </row>
    <row r="1325" customFormat="false" ht="15" hidden="false" customHeight="false" outlineLevel="0" collapsed="false">
      <c r="B1325" s="78"/>
      <c r="C1325" s="64"/>
      <c r="D1325" s="72" t="str">
        <f aca="false">IF(C1325="","",IFERROR(INDEX(T_NOMBRE,MATCH(C1325,T_ID,0)),"⚠ ID no existe"))</f>
        <v/>
      </c>
      <c r="E1325" s="69"/>
      <c r="F1325" s="67"/>
      <c r="G1325" s="67"/>
      <c r="H1325" s="67"/>
      <c r="I1325" s="67"/>
      <c r="J1325" s="67"/>
      <c r="K1325" s="85" t="str">
        <f aca="false">IF(AH1325="","",N(F1325)+N(G1325)+N(H1325)-N(I1325)+N(J1325))</f>
        <v/>
      </c>
      <c r="L1325" s="67"/>
      <c r="M1325" s="67"/>
      <c r="N1325" s="67"/>
      <c r="O1325" s="67"/>
      <c r="P1325" s="85" t="str">
        <f aca="false">IF(AH1325="","",K1325+N(L1325)+N(M1325)+N(N1325)+N(O1325))</f>
        <v/>
      </c>
      <c r="Q1325" s="67"/>
      <c r="R1325" s="67"/>
      <c r="S1325" s="67"/>
      <c r="T1325" s="67"/>
      <c r="U1325" s="67"/>
      <c r="V1325" s="67"/>
      <c r="W1325" s="85" t="str">
        <f aca="false">IF(AH1325="","",N(Q1325)+N(R1325)+N(S1325)+N(T1325)+N(U1325)+N(V1325))</f>
        <v/>
      </c>
      <c r="X1325" s="85" t="str">
        <f aca="false">IF(AH1325="","",P1325-W1325)</f>
        <v/>
      </c>
      <c r="Y1325" s="67"/>
      <c r="Z1325" s="70" t="str">
        <f aca="false">IF(OR(AH1325="",Y1325=""),"",IF(ABS(X1325-Y1325)&lt;=1,"✓ Cuadra","⚠ Diferencia $"&amp;FIXED(X1325-Y1325,0)))</f>
        <v/>
      </c>
      <c r="AA1325" s="72" t="str">
        <f aca="false">IF(AH1325="","",IFERROR(INDEX(C_TIPO,MATCH(C1325&amp;"-P"&amp;MAX(1,COUNTIFS(C_ID,C1325,C_DEFINE,"Sí",C_INICIO,"&lt;="&amp;EOMONTH(B1325,0))),C_CLAVE,0))&amp;"","Sin dato"))</f>
        <v/>
      </c>
      <c r="AB1325" s="71" t="str">
        <f aca="false">IF(AH1325="","",ROUND(MIN(K1325,TOPE_AFP_UF*AJ1325)*AK1325,0))</f>
        <v/>
      </c>
      <c r="AC1325" s="71" t="str">
        <f aca="false">IF(AH1325="","",ROUND(MIN(K1325,TOPE_AFC_UF*AJ1325)*IF(AA1325="Indefinido",AFC_EMP_INDEF,AFC_EMP_PF),0))</f>
        <v/>
      </c>
      <c r="AD1325" s="71" t="str">
        <f aca="false">IF(AH1325="","",ROUND(MIN(K1325,TOPE_AFP_UF*AJ1325)*(MUTUAL_BASICA+MUTUAL_ADIC+SANNA),0))</f>
        <v/>
      </c>
      <c r="AE1325" s="71" t="str">
        <f aca="false">IF(AH1325="","",P1325-N(N1325)+AB1325+AC1325+AD1325)</f>
        <v/>
      </c>
      <c r="AF1325" s="65"/>
      <c r="AG1325" s="64"/>
      <c r="AH1325" s="72" t="str">
        <f aca="false">IF(OR(B1325="",C1325=""),"",C1325&amp;"|"&amp;(YEAR(B1325)*100+MONTH(B1325)))</f>
        <v/>
      </c>
      <c r="AI1325" s="70" t="str">
        <f aca="false">IF(AH1325="","",IF(COUNTIF(L_CLAVE,AH1325)&gt;1,"⚠ Duplicado","OK"))</f>
        <v/>
      </c>
      <c r="AJ1325" s="86" t="str">
        <f aca="false">IF(AH1325="","",IF(SUMPRODUCT(MAX((IND_PER&lt;=B1325)*(IND_UF&lt;&gt;"")*IND_PER))=0,UF_HOY,INDEX(IND_UF,MATCH(SUMPRODUCT(MAX((IND_PER&lt;=B1325)*(IND_UF&lt;&gt;"")*IND_PER)),IND_PER,0))))</f>
        <v/>
      </c>
      <c r="AK1325" s="87" t="str">
        <f aca="false">IF(AH1325="","",IF(COUNTIF(TASA_DESDE,"&lt;="&amp;B1325)=0,INDEX(TASA_EMP,1),INDEX(TASA_EMP,COUNTIF(TASA_DESDE,"&lt;="&amp;B1325))))</f>
        <v/>
      </c>
    </row>
    <row r="1326" customFormat="false" ht="15" hidden="false" customHeight="false" outlineLevel="0" collapsed="false">
      <c r="B1326" s="78"/>
      <c r="C1326" s="64"/>
      <c r="D1326" s="72" t="str">
        <f aca="false">IF(C1326="","",IFERROR(INDEX(T_NOMBRE,MATCH(C1326,T_ID,0)),"⚠ ID no existe"))</f>
        <v/>
      </c>
      <c r="E1326" s="69"/>
      <c r="F1326" s="67"/>
      <c r="G1326" s="67"/>
      <c r="H1326" s="67"/>
      <c r="I1326" s="67"/>
      <c r="J1326" s="67"/>
      <c r="K1326" s="85" t="str">
        <f aca="false">IF(AH1326="","",N(F1326)+N(G1326)+N(H1326)-N(I1326)+N(J1326))</f>
        <v/>
      </c>
      <c r="L1326" s="67"/>
      <c r="M1326" s="67"/>
      <c r="N1326" s="67"/>
      <c r="O1326" s="67"/>
      <c r="P1326" s="85" t="str">
        <f aca="false">IF(AH1326="","",K1326+N(L1326)+N(M1326)+N(N1326)+N(O1326))</f>
        <v/>
      </c>
      <c r="Q1326" s="67"/>
      <c r="R1326" s="67"/>
      <c r="S1326" s="67"/>
      <c r="T1326" s="67"/>
      <c r="U1326" s="67"/>
      <c r="V1326" s="67"/>
      <c r="W1326" s="85" t="str">
        <f aca="false">IF(AH1326="","",N(Q1326)+N(R1326)+N(S1326)+N(T1326)+N(U1326)+N(V1326))</f>
        <v/>
      </c>
      <c r="X1326" s="85" t="str">
        <f aca="false">IF(AH1326="","",P1326-W1326)</f>
        <v/>
      </c>
      <c r="Y1326" s="67"/>
      <c r="Z1326" s="70" t="str">
        <f aca="false">IF(OR(AH1326="",Y1326=""),"",IF(ABS(X1326-Y1326)&lt;=1,"✓ Cuadra","⚠ Diferencia $"&amp;FIXED(X1326-Y1326,0)))</f>
        <v/>
      </c>
      <c r="AA1326" s="72" t="str">
        <f aca="false">IF(AH1326="","",IFERROR(INDEX(C_TIPO,MATCH(C1326&amp;"-P"&amp;MAX(1,COUNTIFS(C_ID,C1326,C_DEFINE,"Sí",C_INICIO,"&lt;="&amp;EOMONTH(B1326,0))),C_CLAVE,0))&amp;"","Sin dato"))</f>
        <v/>
      </c>
      <c r="AB1326" s="71" t="str">
        <f aca="false">IF(AH1326="","",ROUND(MIN(K1326,TOPE_AFP_UF*AJ1326)*AK1326,0))</f>
        <v/>
      </c>
      <c r="AC1326" s="71" t="str">
        <f aca="false">IF(AH1326="","",ROUND(MIN(K1326,TOPE_AFC_UF*AJ1326)*IF(AA1326="Indefinido",AFC_EMP_INDEF,AFC_EMP_PF),0))</f>
        <v/>
      </c>
      <c r="AD1326" s="71" t="str">
        <f aca="false">IF(AH1326="","",ROUND(MIN(K1326,TOPE_AFP_UF*AJ1326)*(MUTUAL_BASICA+MUTUAL_ADIC+SANNA),0))</f>
        <v/>
      </c>
      <c r="AE1326" s="71" t="str">
        <f aca="false">IF(AH1326="","",P1326-N(N1326)+AB1326+AC1326+AD1326)</f>
        <v/>
      </c>
      <c r="AF1326" s="65"/>
      <c r="AG1326" s="64"/>
      <c r="AH1326" s="72" t="str">
        <f aca="false">IF(OR(B1326="",C1326=""),"",C1326&amp;"|"&amp;(YEAR(B1326)*100+MONTH(B1326)))</f>
        <v/>
      </c>
      <c r="AI1326" s="70" t="str">
        <f aca="false">IF(AH1326="","",IF(COUNTIF(L_CLAVE,AH1326)&gt;1,"⚠ Duplicado","OK"))</f>
        <v/>
      </c>
      <c r="AJ1326" s="86" t="str">
        <f aca="false">IF(AH1326="","",IF(SUMPRODUCT(MAX((IND_PER&lt;=B1326)*(IND_UF&lt;&gt;"")*IND_PER))=0,UF_HOY,INDEX(IND_UF,MATCH(SUMPRODUCT(MAX((IND_PER&lt;=B1326)*(IND_UF&lt;&gt;"")*IND_PER)),IND_PER,0))))</f>
        <v/>
      </c>
      <c r="AK1326" s="87" t="str">
        <f aca="false">IF(AH1326="","",IF(COUNTIF(TASA_DESDE,"&lt;="&amp;B1326)=0,INDEX(TASA_EMP,1),INDEX(TASA_EMP,COUNTIF(TASA_DESDE,"&lt;="&amp;B1326))))</f>
        <v/>
      </c>
    </row>
    <row r="1327" customFormat="false" ht="15" hidden="false" customHeight="false" outlineLevel="0" collapsed="false">
      <c r="B1327" s="78"/>
      <c r="C1327" s="64"/>
      <c r="D1327" s="72" t="str">
        <f aca="false">IF(C1327="","",IFERROR(INDEX(T_NOMBRE,MATCH(C1327,T_ID,0)),"⚠ ID no existe"))</f>
        <v/>
      </c>
      <c r="E1327" s="69"/>
      <c r="F1327" s="67"/>
      <c r="G1327" s="67"/>
      <c r="H1327" s="67"/>
      <c r="I1327" s="67"/>
      <c r="J1327" s="67"/>
      <c r="K1327" s="85" t="str">
        <f aca="false">IF(AH1327="","",N(F1327)+N(G1327)+N(H1327)-N(I1327)+N(J1327))</f>
        <v/>
      </c>
      <c r="L1327" s="67"/>
      <c r="M1327" s="67"/>
      <c r="N1327" s="67"/>
      <c r="O1327" s="67"/>
      <c r="P1327" s="85" t="str">
        <f aca="false">IF(AH1327="","",K1327+N(L1327)+N(M1327)+N(N1327)+N(O1327))</f>
        <v/>
      </c>
      <c r="Q1327" s="67"/>
      <c r="R1327" s="67"/>
      <c r="S1327" s="67"/>
      <c r="T1327" s="67"/>
      <c r="U1327" s="67"/>
      <c r="V1327" s="67"/>
      <c r="W1327" s="85" t="str">
        <f aca="false">IF(AH1327="","",N(Q1327)+N(R1327)+N(S1327)+N(T1327)+N(U1327)+N(V1327))</f>
        <v/>
      </c>
      <c r="X1327" s="85" t="str">
        <f aca="false">IF(AH1327="","",P1327-W1327)</f>
        <v/>
      </c>
      <c r="Y1327" s="67"/>
      <c r="Z1327" s="70" t="str">
        <f aca="false">IF(OR(AH1327="",Y1327=""),"",IF(ABS(X1327-Y1327)&lt;=1,"✓ Cuadra","⚠ Diferencia $"&amp;FIXED(X1327-Y1327,0)))</f>
        <v/>
      </c>
      <c r="AA1327" s="72" t="str">
        <f aca="false">IF(AH1327="","",IFERROR(INDEX(C_TIPO,MATCH(C1327&amp;"-P"&amp;MAX(1,COUNTIFS(C_ID,C1327,C_DEFINE,"Sí",C_INICIO,"&lt;="&amp;EOMONTH(B1327,0))),C_CLAVE,0))&amp;"","Sin dato"))</f>
        <v/>
      </c>
      <c r="AB1327" s="71" t="str">
        <f aca="false">IF(AH1327="","",ROUND(MIN(K1327,TOPE_AFP_UF*AJ1327)*AK1327,0))</f>
        <v/>
      </c>
      <c r="AC1327" s="71" t="str">
        <f aca="false">IF(AH1327="","",ROUND(MIN(K1327,TOPE_AFC_UF*AJ1327)*IF(AA1327="Indefinido",AFC_EMP_INDEF,AFC_EMP_PF),0))</f>
        <v/>
      </c>
      <c r="AD1327" s="71" t="str">
        <f aca="false">IF(AH1327="","",ROUND(MIN(K1327,TOPE_AFP_UF*AJ1327)*(MUTUAL_BASICA+MUTUAL_ADIC+SANNA),0))</f>
        <v/>
      </c>
      <c r="AE1327" s="71" t="str">
        <f aca="false">IF(AH1327="","",P1327-N(N1327)+AB1327+AC1327+AD1327)</f>
        <v/>
      </c>
      <c r="AF1327" s="65"/>
      <c r="AG1327" s="64"/>
      <c r="AH1327" s="72" t="str">
        <f aca="false">IF(OR(B1327="",C1327=""),"",C1327&amp;"|"&amp;(YEAR(B1327)*100+MONTH(B1327)))</f>
        <v/>
      </c>
      <c r="AI1327" s="70" t="str">
        <f aca="false">IF(AH1327="","",IF(COUNTIF(L_CLAVE,AH1327)&gt;1,"⚠ Duplicado","OK"))</f>
        <v/>
      </c>
      <c r="AJ1327" s="86" t="str">
        <f aca="false">IF(AH1327="","",IF(SUMPRODUCT(MAX((IND_PER&lt;=B1327)*(IND_UF&lt;&gt;"")*IND_PER))=0,UF_HOY,INDEX(IND_UF,MATCH(SUMPRODUCT(MAX((IND_PER&lt;=B1327)*(IND_UF&lt;&gt;"")*IND_PER)),IND_PER,0))))</f>
        <v/>
      </c>
      <c r="AK1327" s="87" t="str">
        <f aca="false">IF(AH1327="","",IF(COUNTIF(TASA_DESDE,"&lt;="&amp;B1327)=0,INDEX(TASA_EMP,1),INDEX(TASA_EMP,COUNTIF(TASA_DESDE,"&lt;="&amp;B1327))))</f>
        <v/>
      </c>
    </row>
    <row r="1328" customFormat="false" ht="15" hidden="false" customHeight="false" outlineLevel="0" collapsed="false">
      <c r="B1328" s="78"/>
      <c r="C1328" s="64"/>
      <c r="D1328" s="72" t="str">
        <f aca="false">IF(C1328="","",IFERROR(INDEX(T_NOMBRE,MATCH(C1328,T_ID,0)),"⚠ ID no existe"))</f>
        <v/>
      </c>
      <c r="E1328" s="69"/>
      <c r="F1328" s="67"/>
      <c r="G1328" s="67"/>
      <c r="H1328" s="67"/>
      <c r="I1328" s="67"/>
      <c r="J1328" s="67"/>
      <c r="K1328" s="85" t="str">
        <f aca="false">IF(AH1328="","",N(F1328)+N(G1328)+N(H1328)-N(I1328)+N(J1328))</f>
        <v/>
      </c>
      <c r="L1328" s="67"/>
      <c r="M1328" s="67"/>
      <c r="N1328" s="67"/>
      <c r="O1328" s="67"/>
      <c r="P1328" s="85" t="str">
        <f aca="false">IF(AH1328="","",K1328+N(L1328)+N(M1328)+N(N1328)+N(O1328))</f>
        <v/>
      </c>
      <c r="Q1328" s="67"/>
      <c r="R1328" s="67"/>
      <c r="S1328" s="67"/>
      <c r="T1328" s="67"/>
      <c r="U1328" s="67"/>
      <c r="V1328" s="67"/>
      <c r="W1328" s="85" t="str">
        <f aca="false">IF(AH1328="","",N(Q1328)+N(R1328)+N(S1328)+N(T1328)+N(U1328)+N(V1328))</f>
        <v/>
      </c>
      <c r="X1328" s="85" t="str">
        <f aca="false">IF(AH1328="","",P1328-W1328)</f>
        <v/>
      </c>
      <c r="Y1328" s="67"/>
      <c r="Z1328" s="70" t="str">
        <f aca="false">IF(OR(AH1328="",Y1328=""),"",IF(ABS(X1328-Y1328)&lt;=1,"✓ Cuadra","⚠ Diferencia $"&amp;FIXED(X1328-Y1328,0)))</f>
        <v/>
      </c>
      <c r="AA1328" s="72" t="str">
        <f aca="false">IF(AH1328="","",IFERROR(INDEX(C_TIPO,MATCH(C1328&amp;"-P"&amp;MAX(1,COUNTIFS(C_ID,C1328,C_DEFINE,"Sí",C_INICIO,"&lt;="&amp;EOMONTH(B1328,0))),C_CLAVE,0))&amp;"","Sin dato"))</f>
        <v/>
      </c>
      <c r="AB1328" s="71" t="str">
        <f aca="false">IF(AH1328="","",ROUND(MIN(K1328,TOPE_AFP_UF*AJ1328)*AK1328,0))</f>
        <v/>
      </c>
      <c r="AC1328" s="71" t="str">
        <f aca="false">IF(AH1328="","",ROUND(MIN(K1328,TOPE_AFC_UF*AJ1328)*IF(AA1328="Indefinido",AFC_EMP_INDEF,AFC_EMP_PF),0))</f>
        <v/>
      </c>
      <c r="AD1328" s="71" t="str">
        <f aca="false">IF(AH1328="","",ROUND(MIN(K1328,TOPE_AFP_UF*AJ1328)*(MUTUAL_BASICA+MUTUAL_ADIC+SANNA),0))</f>
        <v/>
      </c>
      <c r="AE1328" s="71" t="str">
        <f aca="false">IF(AH1328="","",P1328-N(N1328)+AB1328+AC1328+AD1328)</f>
        <v/>
      </c>
      <c r="AF1328" s="65"/>
      <c r="AG1328" s="64"/>
      <c r="AH1328" s="72" t="str">
        <f aca="false">IF(OR(B1328="",C1328=""),"",C1328&amp;"|"&amp;(YEAR(B1328)*100+MONTH(B1328)))</f>
        <v/>
      </c>
      <c r="AI1328" s="70" t="str">
        <f aca="false">IF(AH1328="","",IF(COUNTIF(L_CLAVE,AH1328)&gt;1,"⚠ Duplicado","OK"))</f>
        <v/>
      </c>
      <c r="AJ1328" s="86" t="str">
        <f aca="false">IF(AH1328="","",IF(SUMPRODUCT(MAX((IND_PER&lt;=B1328)*(IND_UF&lt;&gt;"")*IND_PER))=0,UF_HOY,INDEX(IND_UF,MATCH(SUMPRODUCT(MAX((IND_PER&lt;=B1328)*(IND_UF&lt;&gt;"")*IND_PER)),IND_PER,0))))</f>
        <v/>
      </c>
      <c r="AK1328" s="87" t="str">
        <f aca="false">IF(AH1328="","",IF(COUNTIF(TASA_DESDE,"&lt;="&amp;B1328)=0,INDEX(TASA_EMP,1),INDEX(TASA_EMP,COUNTIF(TASA_DESDE,"&lt;="&amp;B1328))))</f>
        <v/>
      </c>
    </row>
    <row r="1329" customFormat="false" ht="15" hidden="false" customHeight="false" outlineLevel="0" collapsed="false">
      <c r="B1329" s="78"/>
      <c r="C1329" s="64"/>
      <c r="D1329" s="72" t="str">
        <f aca="false">IF(C1329="","",IFERROR(INDEX(T_NOMBRE,MATCH(C1329,T_ID,0)),"⚠ ID no existe"))</f>
        <v/>
      </c>
      <c r="E1329" s="69"/>
      <c r="F1329" s="67"/>
      <c r="G1329" s="67"/>
      <c r="H1329" s="67"/>
      <c r="I1329" s="67"/>
      <c r="J1329" s="67"/>
      <c r="K1329" s="85" t="str">
        <f aca="false">IF(AH1329="","",N(F1329)+N(G1329)+N(H1329)-N(I1329)+N(J1329))</f>
        <v/>
      </c>
      <c r="L1329" s="67"/>
      <c r="M1329" s="67"/>
      <c r="N1329" s="67"/>
      <c r="O1329" s="67"/>
      <c r="P1329" s="85" t="str">
        <f aca="false">IF(AH1329="","",K1329+N(L1329)+N(M1329)+N(N1329)+N(O1329))</f>
        <v/>
      </c>
      <c r="Q1329" s="67"/>
      <c r="R1329" s="67"/>
      <c r="S1329" s="67"/>
      <c r="T1329" s="67"/>
      <c r="U1329" s="67"/>
      <c r="V1329" s="67"/>
      <c r="W1329" s="85" t="str">
        <f aca="false">IF(AH1329="","",N(Q1329)+N(R1329)+N(S1329)+N(T1329)+N(U1329)+N(V1329))</f>
        <v/>
      </c>
      <c r="X1329" s="85" t="str">
        <f aca="false">IF(AH1329="","",P1329-W1329)</f>
        <v/>
      </c>
      <c r="Y1329" s="67"/>
      <c r="Z1329" s="70" t="str">
        <f aca="false">IF(OR(AH1329="",Y1329=""),"",IF(ABS(X1329-Y1329)&lt;=1,"✓ Cuadra","⚠ Diferencia $"&amp;FIXED(X1329-Y1329,0)))</f>
        <v/>
      </c>
      <c r="AA1329" s="72" t="str">
        <f aca="false">IF(AH1329="","",IFERROR(INDEX(C_TIPO,MATCH(C1329&amp;"-P"&amp;MAX(1,COUNTIFS(C_ID,C1329,C_DEFINE,"Sí",C_INICIO,"&lt;="&amp;EOMONTH(B1329,0))),C_CLAVE,0))&amp;"","Sin dato"))</f>
        <v/>
      </c>
      <c r="AB1329" s="71" t="str">
        <f aca="false">IF(AH1329="","",ROUND(MIN(K1329,TOPE_AFP_UF*AJ1329)*AK1329,0))</f>
        <v/>
      </c>
      <c r="AC1329" s="71" t="str">
        <f aca="false">IF(AH1329="","",ROUND(MIN(K1329,TOPE_AFC_UF*AJ1329)*IF(AA1329="Indefinido",AFC_EMP_INDEF,AFC_EMP_PF),0))</f>
        <v/>
      </c>
      <c r="AD1329" s="71" t="str">
        <f aca="false">IF(AH1329="","",ROUND(MIN(K1329,TOPE_AFP_UF*AJ1329)*(MUTUAL_BASICA+MUTUAL_ADIC+SANNA),0))</f>
        <v/>
      </c>
      <c r="AE1329" s="71" t="str">
        <f aca="false">IF(AH1329="","",P1329-N(N1329)+AB1329+AC1329+AD1329)</f>
        <v/>
      </c>
      <c r="AF1329" s="65"/>
      <c r="AG1329" s="64"/>
      <c r="AH1329" s="72" t="str">
        <f aca="false">IF(OR(B1329="",C1329=""),"",C1329&amp;"|"&amp;(YEAR(B1329)*100+MONTH(B1329)))</f>
        <v/>
      </c>
      <c r="AI1329" s="70" t="str">
        <f aca="false">IF(AH1329="","",IF(COUNTIF(L_CLAVE,AH1329)&gt;1,"⚠ Duplicado","OK"))</f>
        <v/>
      </c>
      <c r="AJ1329" s="86" t="str">
        <f aca="false">IF(AH1329="","",IF(SUMPRODUCT(MAX((IND_PER&lt;=B1329)*(IND_UF&lt;&gt;"")*IND_PER))=0,UF_HOY,INDEX(IND_UF,MATCH(SUMPRODUCT(MAX((IND_PER&lt;=B1329)*(IND_UF&lt;&gt;"")*IND_PER)),IND_PER,0))))</f>
        <v/>
      </c>
      <c r="AK1329" s="87" t="str">
        <f aca="false">IF(AH1329="","",IF(COUNTIF(TASA_DESDE,"&lt;="&amp;B1329)=0,INDEX(TASA_EMP,1),INDEX(TASA_EMP,COUNTIF(TASA_DESDE,"&lt;="&amp;B1329))))</f>
        <v/>
      </c>
    </row>
    <row r="1330" customFormat="false" ht="15" hidden="false" customHeight="false" outlineLevel="0" collapsed="false">
      <c r="B1330" s="78"/>
      <c r="C1330" s="64"/>
      <c r="D1330" s="72" t="str">
        <f aca="false">IF(C1330="","",IFERROR(INDEX(T_NOMBRE,MATCH(C1330,T_ID,0)),"⚠ ID no existe"))</f>
        <v/>
      </c>
      <c r="E1330" s="69"/>
      <c r="F1330" s="67"/>
      <c r="G1330" s="67"/>
      <c r="H1330" s="67"/>
      <c r="I1330" s="67"/>
      <c r="J1330" s="67"/>
      <c r="K1330" s="85" t="str">
        <f aca="false">IF(AH1330="","",N(F1330)+N(G1330)+N(H1330)-N(I1330)+N(J1330))</f>
        <v/>
      </c>
      <c r="L1330" s="67"/>
      <c r="M1330" s="67"/>
      <c r="N1330" s="67"/>
      <c r="O1330" s="67"/>
      <c r="P1330" s="85" t="str">
        <f aca="false">IF(AH1330="","",K1330+N(L1330)+N(M1330)+N(N1330)+N(O1330))</f>
        <v/>
      </c>
      <c r="Q1330" s="67"/>
      <c r="R1330" s="67"/>
      <c r="S1330" s="67"/>
      <c r="T1330" s="67"/>
      <c r="U1330" s="67"/>
      <c r="V1330" s="67"/>
      <c r="W1330" s="85" t="str">
        <f aca="false">IF(AH1330="","",N(Q1330)+N(R1330)+N(S1330)+N(T1330)+N(U1330)+N(V1330))</f>
        <v/>
      </c>
      <c r="X1330" s="85" t="str">
        <f aca="false">IF(AH1330="","",P1330-W1330)</f>
        <v/>
      </c>
      <c r="Y1330" s="67"/>
      <c r="Z1330" s="70" t="str">
        <f aca="false">IF(OR(AH1330="",Y1330=""),"",IF(ABS(X1330-Y1330)&lt;=1,"✓ Cuadra","⚠ Diferencia $"&amp;FIXED(X1330-Y1330,0)))</f>
        <v/>
      </c>
      <c r="AA1330" s="72" t="str">
        <f aca="false">IF(AH1330="","",IFERROR(INDEX(C_TIPO,MATCH(C1330&amp;"-P"&amp;MAX(1,COUNTIFS(C_ID,C1330,C_DEFINE,"Sí",C_INICIO,"&lt;="&amp;EOMONTH(B1330,0))),C_CLAVE,0))&amp;"","Sin dato"))</f>
        <v/>
      </c>
      <c r="AB1330" s="71" t="str">
        <f aca="false">IF(AH1330="","",ROUND(MIN(K1330,TOPE_AFP_UF*AJ1330)*AK1330,0))</f>
        <v/>
      </c>
      <c r="AC1330" s="71" t="str">
        <f aca="false">IF(AH1330="","",ROUND(MIN(K1330,TOPE_AFC_UF*AJ1330)*IF(AA1330="Indefinido",AFC_EMP_INDEF,AFC_EMP_PF),0))</f>
        <v/>
      </c>
      <c r="AD1330" s="71" t="str">
        <f aca="false">IF(AH1330="","",ROUND(MIN(K1330,TOPE_AFP_UF*AJ1330)*(MUTUAL_BASICA+MUTUAL_ADIC+SANNA),0))</f>
        <v/>
      </c>
      <c r="AE1330" s="71" t="str">
        <f aca="false">IF(AH1330="","",P1330-N(N1330)+AB1330+AC1330+AD1330)</f>
        <v/>
      </c>
      <c r="AF1330" s="65"/>
      <c r="AG1330" s="64"/>
      <c r="AH1330" s="72" t="str">
        <f aca="false">IF(OR(B1330="",C1330=""),"",C1330&amp;"|"&amp;(YEAR(B1330)*100+MONTH(B1330)))</f>
        <v/>
      </c>
      <c r="AI1330" s="70" t="str">
        <f aca="false">IF(AH1330="","",IF(COUNTIF(L_CLAVE,AH1330)&gt;1,"⚠ Duplicado","OK"))</f>
        <v/>
      </c>
      <c r="AJ1330" s="86" t="str">
        <f aca="false">IF(AH1330="","",IF(SUMPRODUCT(MAX((IND_PER&lt;=B1330)*(IND_UF&lt;&gt;"")*IND_PER))=0,UF_HOY,INDEX(IND_UF,MATCH(SUMPRODUCT(MAX((IND_PER&lt;=B1330)*(IND_UF&lt;&gt;"")*IND_PER)),IND_PER,0))))</f>
        <v/>
      </c>
      <c r="AK1330" s="87" t="str">
        <f aca="false">IF(AH1330="","",IF(COUNTIF(TASA_DESDE,"&lt;="&amp;B1330)=0,INDEX(TASA_EMP,1),INDEX(TASA_EMP,COUNTIF(TASA_DESDE,"&lt;="&amp;B1330))))</f>
        <v/>
      </c>
    </row>
    <row r="1331" customFormat="false" ht="15" hidden="false" customHeight="false" outlineLevel="0" collapsed="false">
      <c r="B1331" s="78"/>
      <c r="C1331" s="64"/>
      <c r="D1331" s="72" t="str">
        <f aca="false">IF(C1331="","",IFERROR(INDEX(T_NOMBRE,MATCH(C1331,T_ID,0)),"⚠ ID no existe"))</f>
        <v/>
      </c>
      <c r="E1331" s="69"/>
      <c r="F1331" s="67"/>
      <c r="G1331" s="67"/>
      <c r="H1331" s="67"/>
      <c r="I1331" s="67"/>
      <c r="J1331" s="67"/>
      <c r="K1331" s="85" t="str">
        <f aca="false">IF(AH1331="","",N(F1331)+N(G1331)+N(H1331)-N(I1331)+N(J1331))</f>
        <v/>
      </c>
      <c r="L1331" s="67"/>
      <c r="M1331" s="67"/>
      <c r="N1331" s="67"/>
      <c r="O1331" s="67"/>
      <c r="P1331" s="85" t="str">
        <f aca="false">IF(AH1331="","",K1331+N(L1331)+N(M1331)+N(N1331)+N(O1331))</f>
        <v/>
      </c>
      <c r="Q1331" s="67"/>
      <c r="R1331" s="67"/>
      <c r="S1331" s="67"/>
      <c r="T1331" s="67"/>
      <c r="U1331" s="67"/>
      <c r="V1331" s="67"/>
      <c r="W1331" s="85" t="str">
        <f aca="false">IF(AH1331="","",N(Q1331)+N(R1331)+N(S1331)+N(T1331)+N(U1331)+N(V1331))</f>
        <v/>
      </c>
      <c r="X1331" s="85" t="str">
        <f aca="false">IF(AH1331="","",P1331-W1331)</f>
        <v/>
      </c>
      <c r="Y1331" s="67"/>
      <c r="Z1331" s="70" t="str">
        <f aca="false">IF(OR(AH1331="",Y1331=""),"",IF(ABS(X1331-Y1331)&lt;=1,"✓ Cuadra","⚠ Diferencia $"&amp;FIXED(X1331-Y1331,0)))</f>
        <v/>
      </c>
      <c r="AA1331" s="72" t="str">
        <f aca="false">IF(AH1331="","",IFERROR(INDEX(C_TIPO,MATCH(C1331&amp;"-P"&amp;MAX(1,COUNTIFS(C_ID,C1331,C_DEFINE,"Sí",C_INICIO,"&lt;="&amp;EOMONTH(B1331,0))),C_CLAVE,0))&amp;"","Sin dato"))</f>
        <v/>
      </c>
      <c r="AB1331" s="71" t="str">
        <f aca="false">IF(AH1331="","",ROUND(MIN(K1331,TOPE_AFP_UF*AJ1331)*AK1331,0))</f>
        <v/>
      </c>
      <c r="AC1331" s="71" t="str">
        <f aca="false">IF(AH1331="","",ROUND(MIN(K1331,TOPE_AFC_UF*AJ1331)*IF(AA1331="Indefinido",AFC_EMP_INDEF,AFC_EMP_PF),0))</f>
        <v/>
      </c>
      <c r="AD1331" s="71" t="str">
        <f aca="false">IF(AH1331="","",ROUND(MIN(K1331,TOPE_AFP_UF*AJ1331)*(MUTUAL_BASICA+MUTUAL_ADIC+SANNA),0))</f>
        <v/>
      </c>
      <c r="AE1331" s="71" t="str">
        <f aca="false">IF(AH1331="","",P1331-N(N1331)+AB1331+AC1331+AD1331)</f>
        <v/>
      </c>
      <c r="AF1331" s="65"/>
      <c r="AG1331" s="64"/>
      <c r="AH1331" s="72" t="str">
        <f aca="false">IF(OR(B1331="",C1331=""),"",C1331&amp;"|"&amp;(YEAR(B1331)*100+MONTH(B1331)))</f>
        <v/>
      </c>
      <c r="AI1331" s="70" t="str">
        <f aca="false">IF(AH1331="","",IF(COUNTIF(L_CLAVE,AH1331)&gt;1,"⚠ Duplicado","OK"))</f>
        <v/>
      </c>
      <c r="AJ1331" s="86" t="str">
        <f aca="false">IF(AH1331="","",IF(SUMPRODUCT(MAX((IND_PER&lt;=B1331)*(IND_UF&lt;&gt;"")*IND_PER))=0,UF_HOY,INDEX(IND_UF,MATCH(SUMPRODUCT(MAX((IND_PER&lt;=B1331)*(IND_UF&lt;&gt;"")*IND_PER)),IND_PER,0))))</f>
        <v/>
      </c>
      <c r="AK1331" s="87" t="str">
        <f aca="false">IF(AH1331="","",IF(COUNTIF(TASA_DESDE,"&lt;="&amp;B1331)=0,INDEX(TASA_EMP,1),INDEX(TASA_EMP,COUNTIF(TASA_DESDE,"&lt;="&amp;B1331))))</f>
        <v/>
      </c>
    </row>
    <row r="1332" customFormat="false" ht="15" hidden="false" customHeight="false" outlineLevel="0" collapsed="false">
      <c r="B1332" s="78"/>
      <c r="C1332" s="64"/>
      <c r="D1332" s="72" t="str">
        <f aca="false">IF(C1332="","",IFERROR(INDEX(T_NOMBRE,MATCH(C1332,T_ID,0)),"⚠ ID no existe"))</f>
        <v/>
      </c>
      <c r="E1332" s="69"/>
      <c r="F1332" s="67"/>
      <c r="G1332" s="67"/>
      <c r="H1332" s="67"/>
      <c r="I1332" s="67"/>
      <c r="J1332" s="67"/>
      <c r="K1332" s="85" t="str">
        <f aca="false">IF(AH1332="","",N(F1332)+N(G1332)+N(H1332)-N(I1332)+N(J1332))</f>
        <v/>
      </c>
      <c r="L1332" s="67"/>
      <c r="M1332" s="67"/>
      <c r="N1332" s="67"/>
      <c r="O1332" s="67"/>
      <c r="P1332" s="85" t="str">
        <f aca="false">IF(AH1332="","",K1332+N(L1332)+N(M1332)+N(N1332)+N(O1332))</f>
        <v/>
      </c>
      <c r="Q1332" s="67"/>
      <c r="R1332" s="67"/>
      <c r="S1332" s="67"/>
      <c r="T1332" s="67"/>
      <c r="U1332" s="67"/>
      <c r="V1332" s="67"/>
      <c r="W1332" s="85" t="str">
        <f aca="false">IF(AH1332="","",N(Q1332)+N(R1332)+N(S1332)+N(T1332)+N(U1332)+N(V1332))</f>
        <v/>
      </c>
      <c r="X1332" s="85" t="str">
        <f aca="false">IF(AH1332="","",P1332-W1332)</f>
        <v/>
      </c>
      <c r="Y1332" s="67"/>
      <c r="Z1332" s="70" t="str">
        <f aca="false">IF(OR(AH1332="",Y1332=""),"",IF(ABS(X1332-Y1332)&lt;=1,"✓ Cuadra","⚠ Diferencia $"&amp;FIXED(X1332-Y1332,0)))</f>
        <v/>
      </c>
      <c r="AA1332" s="72" t="str">
        <f aca="false">IF(AH1332="","",IFERROR(INDEX(C_TIPO,MATCH(C1332&amp;"-P"&amp;MAX(1,COUNTIFS(C_ID,C1332,C_DEFINE,"Sí",C_INICIO,"&lt;="&amp;EOMONTH(B1332,0))),C_CLAVE,0))&amp;"","Sin dato"))</f>
        <v/>
      </c>
      <c r="AB1332" s="71" t="str">
        <f aca="false">IF(AH1332="","",ROUND(MIN(K1332,TOPE_AFP_UF*AJ1332)*AK1332,0))</f>
        <v/>
      </c>
      <c r="AC1332" s="71" t="str">
        <f aca="false">IF(AH1332="","",ROUND(MIN(K1332,TOPE_AFC_UF*AJ1332)*IF(AA1332="Indefinido",AFC_EMP_INDEF,AFC_EMP_PF),0))</f>
        <v/>
      </c>
      <c r="AD1332" s="71" t="str">
        <f aca="false">IF(AH1332="","",ROUND(MIN(K1332,TOPE_AFP_UF*AJ1332)*(MUTUAL_BASICA+MUTUAL_ADIC+SANNA),0))</f>
        <v/>
      </c>
      <c r="AE1332" s="71" t="str">
        <f aca="false">IF(AH1332="","",P1332-N(N1332)+AB1332+AC1332+AD1332)</f>
        <v/>
      </c>
      <c r="AF1332" s="65"/>
      <c r="AG1332" s="64"/>
      <c r="AH1332" s="72" t="str">
        <f aca="false">IF(OR(B1332="",C1332=""),"",C1332&amp;"|"&amp;(YEAR(B1332)*100+MONTH(B1332)))</f>
        <v/>
      </c>
      <c r="AI1332" s="70" t="str">
        <f aca="false">IF(AH1332="","",IF(COUNTIF(L_CLAVE,AH1332)&gt;1,"⚠ Duplicado","OK"))</f>
        <v/>
      </c>
      <c r="AJ1332" s="86" t="str">
        <f aca="false">IF(AH1332="","",IF(SUMPRODUCT(MAX((IND_PER&lt;=B1332)*(IND_UF&lt;&gt;"")*IND_PER))=0,UF_HOY,INDEX(IND_UF,MATCH(SUMPRODUCT(MAX((IND_PER&lt;=B1332)*(IND_UF&lt;&gt;"")*IND_PER)),IND_PER,0))))</f>
        <v/>
      </c>
      <c r="AK1332" s="87" t="str">
        <f aca="false">IF(AH1332="","",IF(COUNTIF(TASA_DESDE,"&lt;="&amp;B1332)=0,INDEX(TASA_EMP,1),INDEX(TASA_EMP,COUNTIF(TASA_DESDE,"&lt;="&amp;B1332))))</f>
        <v/>
      </c>
    </row>
    <row r="1333" customFormat="false" ht="15" hidden="false" customHeight="false" outlineLevel="0" collapsed="false">
      <c r="B1333" s="78"/>
      <c r="C1333" s="64"/>
      <c r="D1333" s="72" t="str">
        <f aca="false">IF(C1333="","",IFERROR(INDEX(T_NOMBRE,MATCH(C1333,T_ID,0)),"⚠ ID no existe"))</f>
        <v/>
      </c>
      <c r="E1333" s="69"/>
      <c r="F1333" s="67"/>
      <c r="G1333" s="67"/>
      <c r="H1333" s="67"/>
      <c r="I1333" s="67"/>
      <c r="J1333" s="67"/>
      <c r="K1333" s="85" t="str">
        <f aca="false">IF(AH1333="","",N(F1333)+N(G1333)+N(H1333)-N(I1333)+N(J1333))</f>
        <v/>
      </c>
      <c r="L1333" s="67"/>
      <c r="M1333" s="67"/>
      <c r="N1333" s="67"/>
      <c r="O1333" s="67"/>
      <c r="P1333" s="85" t="str">
        <f aca="false">IF(AH1333="","",K1333+N(L1333)+N(M1333)+N(N1333)+N(O1333))</f>
        <v/>
      </c>
      <c r="Q1333" s="67"/>
      <c r="R1333" s="67"/>
      <c r="S1333" s="67"/>
      <c r="T1333" s="67"/>
      <c r="U1333" s="67"/>
      <c r="V1333" s="67"/>
      <c r="W1333" s="85" t="str">
        <f aca="false">IF(AH1333="","",N(Q1333)+N(R1333)+N(S1333)+N(T1333)+N(U1333)+N(V1333))</f>
        <v/>
      </c>
      <c r="X1333" s="85" t="str">
        <f aca="false">IF(AH1333="","",P1333-W1333)</f>
        <v/>
      </c>
      <c r="Y1333" s="67"/>
      <c r="Z1333" s="70" t="str">
        <f aca="false">IF(OR(AH1333="",Y1333=""),"",IF(ABS(X1333-Y1333)&lt;=1,"✓ Cuadra","⚠ Diferencia $"&amp;FIXED(X1333-Y1333,0)))</f>
        <v/>
      </c>
      <c r="AA1333" s="72" t="str">
        <f aca="false">IF(AH1333="","",IFERROR(INDEX(C_TIPO,MATCH(C1333&amp;"-P"&amp;MAX(1,COUNTIFS(C_ID,C1333,C_DEFINE,"Sí",C_INICIO,"&lt;="&amp;EOMONTH(B1333,0))),C_CLAVE,0))&amp;"","Sin dato"))</f>
        <v/>
      </c>
      <c r="AB1333" s="71" t="str">
        <f aca="false">IF(AH1333="","",ROUND(MIN(K1333,TOPE_AFP_UF*AJ1333)*AK1333,0))</f>
        <v/>
      </c>
      <c r="AC1333" s="71" t="str">
        <f aca="false">IF(AH1333="","",ROUND(MIN(K1333,TOPE_AFC_UF*AJ1333)*IF(AA1333="Indefinido",AFC_EMP_INDEF,AFC_EMP_PF),0))</f>
        <v/>
      </c>
      <c r="AD1333" s="71" t="str">
        <f aca="false">IF(AH1333="","",ROUND(MIN(K1333,TOPE_AFP_UF*AJ1333)*(MUTUAL_BASICA+MUTUAL_ADIC+SANNA),0))</f>
        <v/>
      </c>
      <c r="AE1333" s="71" t="str">
        <f aca="false">IF(AH1333="","",P1333-N(N1333)+AB1333+AC1333+AD1333)</f>
        <v/>
      </c>
      <c r="AF1333" s="65"/>
      <c r="AG1333" s="64"/>
      <c r="AH1333" s="72" t="str">
        <f aca="false">IF(OR(B1333="",C1333=""),"",C1333&amp;"|"&amp;(YEAR(B1333)*100+MONTH(B1333)))</f>
        <v/>
      </c>
      <c r="AI1333" s="70" t="str">
        <f aca="false">IF(AH1333="","",IF(COUNTIF(L_CLAVE,AH1333)&gt;1,"⚠ Duplicado","OK"))</f>
        <v/>
      </c>
      <c r="AJ1333" s="86" t="str">
        <f aca="false">IF(AH1333="","",IF(SUMPRODUCT(MAX((IND_PER&lt;=B1333)*(IND_UF&lt;&gt;"")*IND_PER))=0,UF_HOY,INDEX(IND_UF,MATCH(SUMPRODUCT(MAX((IND_PER&lt;=B1333)*(IND_UF&lt;&gt;"")*IND_PER)),IND_PER,0))))</f>
        <v/>
      </c>
      <c r="AK1333" s="87" t="str">
        <f aca="false">IF(AH1333="","",IF(COUNTIF(TASA_DESDE,"&lt;="&amp;B1333)=0,INDEX(TASA_EMP,1),INDEX(TASA_EMP,COUNTIF(TASA_DESDE,"&lt;="&amp;B1333))))</f>
        <v/>
      </c>
    </row>
    <row r="1334" customFormat="false" ht="15" hidden="false" customHeight="false" outlineLevel="0" collapsed="false">
      <c r="B1334" s="78"/>
      <c r="C1334" s="64"/>
      <c r="D1334" s="72" t="str">
        <f aca="false">IF(C1334="","",IFERROR(INDEX(T_NOMBRE,MATCH(C1334,T_ID,0)),"⚠ ID no existe"))</f>
        <v/>
      </c>
      <c r="E1334" s="69"/>
      <c r="F1334" s="67"/>
      <c r="G1334" s="67"/>
      <c r="H1334" s="67"/>
      <c r="I1334" s="67"/>
      <c r="J1334" s="67"/>
      <c r="K1334" s="85" t="str">
        <f aca="false">IF(AH1334="","",N(F1334)+N(G1334)+N(H1334)-N(I1334)+N(J1334))</f>
        <v/>
      </c>
      <c r="L1334" s="67"/>
      <c r="M1334" s="67"/>
      <c r="N1334" s="67"/>
      <c r="O1334" s="67"/>
      <c r="P1334" s="85" t="str">
        <f aca="false">IF(AH1334="","",K1334+N(L1334)+N(M1334)+N(N1334)+N(O1334))</f>
        <v/>
      </c>
      <c r="Q1334" s="67"/>
      <c r="R1334" s="67"/>
      <c r="S1334" s="67"/>
      <c r="T1334" s="67"/>
      <c r="U1334" s="67"/>
      <c r="V1334" s="67"/>
      <c r="W1334" s="85" t="str">
        <f aca="false">IF(AH1334="","",N(Q1334)+N(R1334)+N(S1334)+N(T1334)+N(U1334)+N(V1334))</f>
        <v/>
      </c>
      <c r="X1334" s="85" t="str">
        <f aca="false">IF(AH1334="","",P1334-W1334)</f>
        <v/>
      </c>
      <c r="Y1334" s="67"/>
      <c r="Z1334" s="70" t="str">
        <f aca="false">IF(OR(AH1334="",Y1334=""),"",IF(ABS(X1334-Y1334)&lt;=1,"✓ Cuadra","⚠ Diferencia $"&amp;FIXED(X1334-Y1334,0)))</f>
        <v/>
      </c>
      <c r="AA1334" s="72" t="str">
        <f aca="false">IF(AH1334="","",IFERROR(INDEX(C_TIPO,MATCH(C1334&amp;"-P"&amp;MAX(1,COUNTIFS(C_ID,C1334,C_DEFINE,"Sí",C_INICIO,"&lt;="&amp;EOMONTH(B1334,0))),C_CLAVE,0))&amp;"","Sin dato"))</f>
        <v/>
      </c>
      <c r="AB1334" s="71" t="str">
        <f aca="false">IF(AH1334="","",ROUND(MIN(K1334,TOPE_AFP_UF*AJ1334)*AK1334,0))</f>
        <v/>
      </c>
      <c r="AC1334" s="71" t="str">
        <f aca="false">IF(AH1334="","",ROUND(MIN(K1334,TOPE_AFC_UF*AJ1334)*IF(AA1334="Indefinido",AFC_EMP_INDEF,AFC_EMP_PF),0))</f>
        <v/>
      </c>
      <c r="AD1334" s="71" t="str">
        <f aca="false">IF(AH1334="","",ROUND(MIN(K1334,TOPE_AFP_UF*AJ1334)*(MUTUAL_BASICA+MUTUAL_ADIC+SANNA),0))</f>
        <v/>
      </c>
      <c r="AE1334" s="71" t="str">
        <f aca="false">IF(AH1334="","",P1334-N(N1334)+AB1334+AC1334+AD1334)</f>
        <v/>
      </c>
      <c r="AF1334" s="65"/>
      <c r="AG1334" s="64"/>
      <c r="AH1334" s="72" t="str">
        <f aca="false">IF(OR(B1334="",C1334=""),"",C1334&amp;"|"&amp;(YEAR(B1334)*100+MONTH(B1334)))</f>
        <v/>
      </c>
      <c r="AI1334" s="70" t="str">
        <f aca="false">IF(AH1334="","",IF(COUNTIF(L_CLAVE,AH1334)&gt;1,"⚠ Duplicado","OK"))</f>
        <v/>
      </c>
      <c r="AJ1334" s="86" t="str">
        <f aca="false">IF(AH1334="","",IF(SUMPRODUCT(MAX((IND_PER&lt;=B1334)*(IND_UF&lt;&gt;"")*IND_PER))=0,UF_HOY,INDEX(IND_UF,MATCH(SUMPRODUCT(MAX((IND_PER&lt;=B1334)*(IND_UF&lt;&gt;"")*IND_PER)),IND_PER,0))))</f>
        <v/>
      </c>
      <c r="AK1334" s="87" t="str">
        <f aca="false">IF(AH1334="","",IF(COUNTIF(TASA_DESDE,"&lt;="&amp;B1334)=0,INDEX(TASA_EMP,1),INDEX(TASA_EMP,COUNTIF(TASA_DESDE,"&lt;="&amp;B1334))))</f>
        <v/>
      </c>
    </row>
    <row r="1335" customFormat="false" ht="15" hidden="false" customHeight="false" outlineLevel="0" collapsed="false">
      <c r="B1335" s="78"/>
      <c r="C1335" s="64"/>
      <c r="D1335" s="72" t="str">
        <f aca="false">IF(C1335="","",IFERROR(INDEX(T_NOMBRE,MATCH(C1335,T_ID,0)),"⚠ ID no existe"))</f>
        <v/>
      </c>
      <c r="E1335" s="69"/>
      <c r="F1335" s="67"/>
      <c r="G1335" s="67"/>
      <c r="H1335" s="67"/>
      <c r="I1335" s="67"/>
      <c r="J1335" s="67"/>
      <c r="K1335" s="85" t="str">
        <f aca="false">IF(AH1335="","",N(F1335)+N(G1335)+N(H1335)-N(I1335)+N(J1335))</f>
        <v/>
      </c>
      <c r="L1335" s="67"/>
      <c r="M1335" s="67"/>
      <c r="N1335" s="67"/>
      <c r="O1335" s="67"/>
      <c r="P1335" s="85" t="str">
        <f aca="false">IF(AH1335="","",K1335+N(L1335)+N(M1335)+N(N1335)+N(O1335))</f>
        <v/>
      </c>
      <c r="Q1335" s="67"/>
      <c r="R1335" s="67"/>
      <c r="S1335" s="67"/>
      <c r="T1335" s="67"/>
      <c r="U1335" s="67"/>
      <c r="V1335" s="67"/>
      <c r="W1335" s="85" t="str">
        <f aca="false">IF(AH1335="","",N(Q1335)+N(R1335)+N(S1335)+N(T1335)+N(U1335)+N(V1335))</f>
        <v/>
      </c>
      <c r="X1335" s="85" t="str">
        <f aca="false">IF(AH1335="","",P1335-W1335)</f>
        <v/>
      </c>
      <c r="Y1335" s="67"/>
      <c r="Z1335" s="70" t="str">
        <f aca="false">IF(OR(AH1335="",Y1335=""),"",IF(ABS(X1335-Y1335)&lt;=1,"✓ Cuadra","⚠ Diferencia $"&amp;FIXED(X1335-Y1335,0)))</f>
        <v/>
      </c>
      <c r="AA1335" s="72" t="str">
        <f aca="false">IF(AH1335="","",IFERROR(INDEX(C_TIPO,MATCH(C1335&amp;"-P"&amp;MAX(1,COUNTIFS(C_ID,C1335,C_DEFINE,"Sí",C_INICIO,"&lt;="&amp;EOMONTH(B1335,0))),C_CLAVE,0))&amp;"","Sin dato"))</f>
        <v/>
      </c>
      <c r="AB1335" s="71" t="str">
        <f aca="false">IF(AH1335="","",ROUND(MIN(K1335,TOPE_AFP_UF*AJ1335)*AK1335,0))</f>
        <v/>
      </c>
      <c r="AC1335" s="71" t="str">
        <f aca="false">IF(AH1335="","",ROUND(MIN(K1335,TOPE_AFC_UF*AJ1335)*IF(AA1335="Indefinido",AFC_EMP_INDEF,AFC_EMP_PF),0))</f>
        <v/>
      </c>
      <c r="AD1335" s="71" t="str">
        <f aca="false">IF(AH1335="","",ROUND(MIN(K1335,TOPE_AFP_UF*AJ1335)*(MUTUAL_BASICA+MUTUAL_ADIC+SANNA),0))</f>
        <v/>
      </c>
      <c r="AE1335" s="71" t="str">
        <f aca="false">IF(AH1335="","",P1335-N(N1335)+AB1335+AC1335+AD1335)</f>
        <v/>
      </c>
      <c r="AF1335" s="65"/>
      <c r="AG1335" s="64"/>
      <c r="AH1335" s="72" t="str">
        <f aca="false">IF(OR(B1335="",C1335=""),"",C1335&amp;"|"&amp;(YEAR(B1335)*100+MONTH(B1335)))</f>
        <v/>
      </c>
      <c r="AI1335" s="70" t="str">
        <f aca="false">IF(AH1335="","",IF(COUNTIF(L_CLAVE,AH1335)&gt;1,"⚠ Duplicado","OK"))</f>
        <v/>
      </c>
      <c r="AJ1335" s="86" t="str">
        <f aca="false">IF(AH1335="","",IF(SUMPRODUCT(MAX((IND_PER&lt;=B1335)*(IND_UF&lt;&gt;"")*IND_PER))=0,UF_HOY,INDEX(IND_UF,MATCH(SUMPRODUCT(MAX((IND_PER&lt;=B1335)*(IND_UF&lt;&gt;"")*IND_PER)),IND_PER,0))))</f>
        <v/>
      </c>
      <c r="AK1335" s="87" t="str">
        <f aca="false">IF(AH1335="","",IF(COUNTIF(TASA_DESDE,"&lt;="&amp;B1335)=0,INDEX(TASA_EMP,1),INDEX(TASA_EMP,COUNTIF(TASA_DESDE,"&lt;="&amp;B1335))))</f>
        <v/>
      </c>
    </row>
    <row r="1336" customFormat="false" ht="15" hidden="false" customHeight="false" outlineLevel="0" collapsed="false">
      <c r="B1336" s="78"/>
      <c r="C1336" s="64"/>
      <c r="D1336" s="72" t="str">
        <f aca="false">IF(C1336="","",IFERROR(INDEX(T_NOMBRE,MATCH(C1336,T_ID,0)),"⚠ ID no existe"))</f>
        <v/>
      </c>
      <c r="E1336" s="69"/>
      <c r="F1336" s="67"/>
      <c r="G1336" s="67"/>
      <c r="H1336" s="67"/>
      <c r="I1336" s="67"/>
      <c r="J1336" s="67"/>
      <c r="K1336" s="85" t="str">
        <f aca="false">IF(AH1336="","",N(F1336)+N(G1336)+N(H1336)-N(I1336)+N(J1336))</f>
        <v/>
      </c>
      <c r="L1336" s="67"/>
      <c r="M1336" s="67"/>
      <c r="N1336" s="67"/>
      <c r="O1336" s="67"/>
      <c r="P1336" s="85" t="str">
        <f aca="false">IF(AH1336="","",K1336+N(L1336)+N(M1336)+N(N1336)+N(O1336))</f>
        <v/>
      </c>
      <c r="Q1336" s="67"/>
      <c r="R1336" s="67"/>
      <c r="S1336" s="67"/>
      <c r="T1336" s="67"/>
      <c r="U1336" s="67"/>
      <c r="V1336" s="67"/>
      <c r="W1336" s="85" t="str">
        <f aca="false">IF(AH1336="","",N(Q1336)+N(R1336)+N(S1336)+N(T1336)+N(U1336)+N(V1336))</f>
        <v/>
      </c>
      <c r="X1336" s="85" t="str">
        <f aca="false">IF(AH1336="","",P1336-W1336)</f>
        <v/>
      </c>
      <c r="Y1336" s="67"/>
      <c r="Z1336" s="70" t="str">
        <f aca="false">IF(OR(AH1336="",Y1336=""),"",IF(ABS(X1336-Y1336)&lt;=1,"✓ Cuadra","⚠ Diferencia $"&amp;FIXED(X1336-Y1336,0)))</f>
        <v/>
      </c>
      <c r="AA1336" s="72" t="str">
        <f aca="false">IF(AH1336="","",IFERROR(INDEX(C_TIPO,MATCH(C1336&amp;"-P"&amp;MAX(1,COUNTIFS(C_ID,C1336,C_DEFINE,"Sí",C_INICIO,"&lt;="&amp;EOMONTH(B1336,0))),C_CLAVE,0))&amp;"","Sin dato"))</f>
        <v/>
      </c>
      <c r="AB1336" s="71" t="str">
        <f aca="false">IF(AH1336="","",ROUND(MIN(K1336,TOPE_AFP_UF*AJ1336)*AK1336,0))</f>
        <v/>
      </c>
      <c r="AC1336" s="71" t="str">
        <f aca="false">IF(AH1336="","",ROUND(MIN(K1336,TOPE_AFC_UF*AJ1336)*IF(AA1336="Indefinido",AFC_EMP_INDEF,AFC_EMP_PF),0))</f>
        <v/>
      </c>
      <c r="AD1336" s="71" t="str">
        <f aca="false">IF(AH1336="","",ROUND(MIN(K1336,TOPE_AFP_UF*AJ1336)*(MUTUAL_BASICA+MUTUAL_ADIC+SANNA),0))</f>
        <v/>
      </c>
      <c r="AE1336" s="71" t="str">
        <f aca="false">IF(AH1336="","",P1336-N(N1336)+AB1336+AC1336+AD1336)</f>
        <v/>
      </c>
      <c r="AF1336" s="65"/>
      <c r="AG1336" s="64"/>
      <c r="AH1336" s="72" t="str">
        <f aca="false">IF(OR(B1336="",C1336=""),"",C1336&amp;"|"&amp;(YEAR(B1336)*100+MONTH(B1336)))</f>
        <v/>
      </c>
      <c r="AI1336" s="70" t="str">
        <f aca="false">IF(AH1336="","",IF(COUNTIF(L_CLAVE,AH1336)&gt;1,"⚠ Duplicado","OK"))</f>
        <v/>
      </c>
      <c r="AJ1336" s="86" t="str">
        <f aca="false">IF(AH1336="","",IF(SUMPRODUCT(MAX((IND_PER&lt;=B1336)*(IND_UF&lt;&gt;"")*IND_PER))=0,UF_HOY,INDEX(IND_UF,MATCH(SUMPRODUCT(MAX((IND_PER&lt;=B1336)*(IND_UF&lt;&gt;"")*IND_PER)),IND_PER,0))))</f>
        <v/>
      </c>
      <c r="AK1336" s="87" t="str">
        <f aca="false">IF(AH1336="","",IF(COUNTIF(TASA_DESDE,"&lt;="&amp;B1336)=0,INDEX(TASA_EMP,1),INDEX(TASA_EMP,COUNTIF(TASA_DESDE,"&lt;="&amp;B1336))))</f>
        <v/>
      </c>
    </row>
    <row r="1337" customFormat="false" ht="15" hidden="false" customHeight="false" outlineLevel="0" collapsed="false">
      <c r="B1337" s="78"/>
      <c r="C1337" s="64"/>
      <c r="D1337" s="72" t="str">
        <f aca="false">IF(C1337="","",IFERROR(INDEX(T_NOMBRE,MATCH(C1337,T_ID,0)),"⚠ ID no existe"))</f>
        <v/>
      </c>
      <c r="E1337" s="69"/>
      <c r="F1337" s="67"/>
      <c r="G1337" s="67"/>
      <c r="H1337" s="67"/>
      <c r="I1337" s="67"/>
      <c r="J1337" s="67"/>
      <c r="K1337" s="85" t="str">
        <f aca="false">IF(AH1337="","",N(F1337)+N(G1337)+N(H1337)-N(I1337)+N(J1337))</f>
        <v/>
      </c>
      <c r="L1337" s="67"/>
      <c r="M1337" s="67"/>
      <c r="N1337" s="67"/>
      <c r="O1337" s="67"/>
      <c r="P1337" s="85" t="str">
        <f aca="false">IF(AH1337="","",K1337+N(L1337)+N(M1337)+N(N1337)+N(O1337))</f>
        <v/>
      </c>
      <c r="Q1337" s="67"/>
      <c r="R1337" s="67"/>
      <c r="S1337" s="67"/>
      <c r="T1337" s="67"/>
      <c r="U1337" s="67"/>
      <c r="V1337" s="67"/>
      <c r="W1337" s="85" t="str">
        <f aca="false">IF(AH1337="","",N(Q1337)+N(R1337)+N(S1337)+N(T1337)+N(U1337)+N(V1337))</f>
        <v/>
      </c>
      <c r="X1337" s="85" t="str">
        <f aca="false">IF(AH1337="","",P1337-W1337)</f>
        <v/>
      </c>
      <c r="Y1337" s="67"/>
      <c r="Z1337" s="70" t="str">
        <f aca="false">IF(OR(AH1337="",Y1337=""),"",IF(ABS(X1337-Y1337)&lt;=1,"✓ Cuadra","⚠ Diferencia $"&amp;FIXED(X1337-Y1337,0)))</f>
        <v/>
      </c>
      <c r="AA1337" s="72" t="str">
        <f aca="false">IF(AH1337="","",IFERROR(INDEX(C_TIPO,MATCH(C1337&amp;"-P"&amp;MAX(1,COUNTIFS(C_ID,C1337,C_DEFINE,"Sí",C_INICIO,"&lt;="&amp;EOMONTH(B1337,0))),C_CLAVE,0))&amp;"","Sin dato"))</f>
        <v/>
      </c>
      <c r="AB1337" s="71" t="str">
        <f aca="false">IF(AH1337="","",ROUND(MIN(K1337,TOPE_AFP_UF*AJ1337)*AK1337,0))</f>
        <v/>
      </c>
      <c r="AC1337" s="71" t="str">
        <f aca="false">IF(AH1337="","",ROUND(MIN(K1337,TOPE_AFC_UF*AJ1337)*IF(AA1337="Indefinido",AFC_EMP_INDEF,AFC_EMP_PF),0))</f>
        <v/>
      </c>
      <c r="AD1337" s="71" t="str">
        <f aca="false">IF(AH1337="","",ROUND(MIN(K1337,TOPE_AFP_UF*AJ1337)*(MUTUAL_BASICA+MUTUAL_ADIC+SANNA),0))</f>
        <v/>
      </c>
      <c r="AE1337" s="71" t="str">
        <f aca="false">IF(AH1337="","",P1337-N(N1337)+AB1337+AC1337+AD1337)</f>
        <v/>
      </c>
      <c r="AF1337" s="65"/>
      <c r="AG1337" s="64"/>
      <c r="AH1337" s="72" t="str">
        <f aca="false">IF(OR(B1337="",C1337=""),"",C1337&amp;"|"&amp;(YEAR(B1337)*100+MONTH(B1337)))</f>
        <v/>
      </c>
      <c r="AI1337" s="70" t="str">
        <f aca="false">IF(AH1337="","",IF(COUNTIF(L_CLAVE,AH1337)&gt;1,"⚠ Duplicado","OK"))</f>
        <v/>
      </c>
      <c r="AJ1337" s="86" t="str">
        <f aca="false">IF(AH1337="","",IF(SUMPRODUCT(MAX((IND_PER&lt;=B1337)*(IND_UF&lt;&gt;"")*IND_PER))=0,UF_HOY,INDEX(IND_UF,MATCH(SUMPRODUCT(MAX((IND_PER&lt;=B1337)*(IND_UF&lt;&gt;"")*IND_PER)),IND_PER,0))))</f>
        <v/>
      </c>
      <c r="AK1337" s="87" t="str">
        <f aca="false">IF(AH1337="","",IF(COUNTIF(TASA_DESDE,"&lt;="&amp;B1337)=0,INDEX(TASA_EMP,1),INDEX(TASA_EMP,COUNTIF(TASA_DESDE,"&lt;="&amp;B1337))))</f>
        <v/>
      </c>
    </row>
    <row r="1338" customFormat="false" ht="15" hidden="false" customHeight="false" outlineLevel="0" collapsed="false">
      <c r="B1338" s="78"/>
      <c r="C1338" s="64"/>
      <c r="D1338" s="72" t="str">
        <f aca="false">IF(C1338="","",IFERROR(INDEX(T_NOMBRE,MATCH(C1338,T_ID,0)),"⚠ ID no existe"))</f>
        <v/>
      </c>
      <c r="E1338" s="69"/>
      <c r="F1338" s="67"/>
      <c r="G1338" s="67"/>
      <c r="H1338" s="67"/>
      <c r="I1338" s="67"/>
      <c r="J1338" s="67"/>
      <c r="K1338" s="85" t="str">
        <f aca="false">IF(AH1338="","",N(F1338)+N(G1338)+N(H1338)-N(I1338)+N(J1338))</f>
        <v/>
      </c>
      <c r="L1338" s="67"/>
      <c r="M1338" s="67"/>
      <c r="N1338" s="67"/>
      <c r="O1338" s="67"/>
      <c r="P1338" s="85" t="str">
        <f aca="false">IF(AH1338="","",K1338+N(L1338)+N(M1338)+N(N1338)+N(O1338))</f>
        <v/>
      </c>
      <c r="Q1338" s="67"/>
      <c r="R1338" s="67"/>
      <c r="S1338" s="67"/>
      <c r="T1338" s="67"/>
      <c r="U1338" s="67"/>
      <c r="V1338" s="67"/>
      <c r="W1338" s="85" t="str">
        <f aca="false">IF(AH1338="","",N(Q1338)+N(R1338)+N(S1338)+N(T1338)+N(U1338)+N(V1338))</f>
        <v/>
      </c>
      <c r="X1338" s="85" t="str">
        <f aca="false">IF(AH1338="","",P1338-W1338)</f>
        <v/>
      </c>
      <c r="Y1338" s="67"/>
      <c r="Z1338" s="70" t="str">
        <f aca="false">IF(OR(AH1338="",Y1338=""),"",IF(ABS(X1338-Y1338)&lt;=1,"✓ Cuadra","⚠ Diferencia $"&amp;FIXED(X1338-Y1338,0)))</f>
        <v/>
      </c>
      <c r="AA1338" s="72" t="str">
        <f aca="false">IF(AH1338="","",IFERROR(INDEX(C_TIPO,MATCH(C1338&amp;"-P"&amp;MAX(1,COUNTIFS(C_ID,C1338,C_DEFINE,"Sí",C_INICIO,"&lt;="&amp;EOMONTH(B1338,0))),C_CLAVE,0))&amp;"","Sin dato"))</f>
        <v/>
      </c>
      <c r="AB1338" s="71" t="str">
        <f aca="false">IF(AH1338="","",ROUND(MIN(K1338,TOPE_AFP_UF*AJ1338)*AK1338,0))</f>
        <v/>
      </c>
      <c r="AC1338" s="71" t="str">
        <f aca="false">IF(AH1338="","",ROUND(MIN(K1338,TOPE_AFC_UF*AJ1338)*IF(AA1338="Indefinido",AFC_EMP_INDEF,AFC_EMP_PF),0))</f>
        <v/>
      </c>
      <c r="AD1338" s="71" t="str">
        <f aca="false">IF(AH1338="","",ROUND(MIN(K1338,TOPE_AFP_UF*AJ1338)*(MUTUAL_BASICA+MUTUAL_ADIC+SANNA),0))</f>
        <v/>
      </c>
      <c r="AE1338" s="71" t="str">
        <f aca="false">IF(AH1338="","",P1338-N(N1338)+AB1338+AC1338+AD1338)</f>
        <v/>
      </c>
      <c r="AF1338" s="65"/>
      <c r="AG1338" s="64"/>
      <c r="AH1338" s="72" t="str">
        <f aca="false">IF(OR(B1338="",C1338=""),"",C1338&amp;"|"&amp;(YEAR(B1338)*100+MONTH(B1338)))</f>
        <v/>
      </c>
      <c r="AI1338" s="70" t="str">
        <f aca="false">IF(AH1338="","",IF(COUNTIF(L_CLAVE,AH1338)&gt;1,"⚠ Duplicado","OK"))</f>
        <v/>
      </c>
      <c r="AJ1338" s="86" t="str">
        <f aca="false">IF(AH1338="","",IF(SUMPRODUCT(MAX((IND_PER&lt;=B1338)*(IND_UF&lt;&gt;"")*IND_PER))=0,UF_HOY,INDEX(IND_UF,MATCH(SUMPRODUCT(MAX((IND_PER&lt;=B1338)*(IND_UF&lt;&gt;"")*IND_PER)),IND_PER,0))))</f>
        <v/>
      </c>
      <c r="AK1338" s="87" t="str">
        <f aca="false">IF(AH1338="","",IF(COUNTIF(TASA_DESDE,"&lt;="&amp;B1338)=0,INDEX(TASA_EMP,1),INDEX(TASA_EMP,COUNTIF(TASA_DESDE,"&lt;="&amp;B1338))))</f>
        <v/>
      </c>
    </row>
    <row r="1339" customFormat="false" ht="15" hidden="false" customHeight="false" outlineLevel="0" collapsed="false">
      <c r="B1339" s="78"/>
      <c r="C1339" s="64"/>
      <c r="D1339" s="72" t="str">
        <f aca="false">IF(C1339="","",IFERROR(INDEX(T_NOMBRE,MATCH(C1339,T_ID,0)),"⚠ ID no existe"))</f>
        <v/>
      </c>
      <c r="E1339" s="69"/>
      <c r="F1339" s="67"/>
      <c r="G1339" s="67"/>
      <c r="H1339" s="67"/>
      <c r="I1339" s="67"/>
      <c r="J1339" s="67"/>
      <c r="K1339" s="85" t="str">
        <f aca="false">IF(AH1339="","",N(F1339)+N(G1339)+N(H1339)-N(I1339)+N(J1339))</f>
        <v/>
      </c>
      <c r="L1339" s="67"/>
      <c r="M1339" s="67"/>
      <c r="N1339" s="67"/>
      <c r="O1339" s="67"/>
      <c r="P1339" s="85" t="str">
        <f aca="false">IF(AH1339="","",K1339+N(L1339)+N(M1339)+N(N1339)+N(O1339))</f>
        <v/>
      </c>
      <c r="Q1339" s="67"/>
      <c r="R1339" s="67"/>
      <c r="S1339" s="67"/>
      <c r="T1339" s="67"/>
      <c r="U1339" s="67"/>
      <c r="V1339" s="67"/>
      <c r="W1339" s="85" t="str">
        <f aca="false">IF(AH1339="","",N(Q1339)+N(R1339)+N(S1339)+N(T1339)+N(U1339)+N(V1339))</f>
        <v/>
      </c>
      <c r="X1339" s="85" t="str">
        <f aca="false">IF(AH1339="","",P1339-W1339)</f>
        <v/>
      </c>
      <c r="Y1339" s="67"/>
      <c r="Z1339" s="70" t="str">
        <f aca="false">IF(OR(AH1339="",Y1339=""),"",IF(ABS(X1339-Y1339)&lt;=1,"✓ Cuadra","⚠ Diferencia $"&amp;FIXED(X1339-Y1339,0)))</f>
        <v/>
      </c>
      <c r="AA1339" s="72" t="str">
        <f aca="false">IF(AH1339="","",IFERROR(INDEX(C_TIPO,MATCH(C1339&amp;"-P"&amp;MAX(1,COUNTIFS(C_ID,C1339,C_DEFINE,"Sí",C_INICIO,"&lt;="&amp;EOMONTH(B1339,0))),C_CLAVE,0))&amp;"","Sin dato"))</f>
        <v/>
      </c>
      <c r="AB1339" s="71" t="str">
        <f aca="false">IF(AH1339="","",ROUND(MIN(K1339,TOPE_AFP_UF*AJ1339)*AK1339,0))</f>
        <v/>
      </c>
      <c r="AC1339" s="71" t="str">
        <f aca="false">IF(AH1339="","",ROUND(MIN(K1339,TOPE_AFC_UF*AJ1339)*IF(AA1339="Indefinido",AFC_EMP_INDEF,AFC_EMP_PF),0))</f>
        <v/>
      </c>
      <c r="AD1339" s="71" t="str">
        <f aca="false">IF(AH1339="","",ROUND(MIN(K1339,TOPE_AFP_UF*AJ1339)*(MUTUAL_BASICA+MUTUAL_ADIC+SANNA),0))</f>
        <v/>
      </c>
      <c r="AE1339" s="71" t="str">
        <f aca="false">IF(AH1339="","",P1339-N(N1339)+AB1339+AC1339+AD1339)</f>
        <v/>
      </c>
      <c r="AF1339" s="65"/>
      <c r="AG1339" s="64"/>
      <c r="AH1339" s="72" t="str">
        <f aca="false">IF(OR(B1339="",C1339=""),"",C1339&amp;"|"&amp;(YEAR(B1339)*100+MONTH(B1339)))</f>
        <v/>
      </c>
      <c r="AI1339" s="70" t="str">
        <f aca="false">IF(AH1339="","",IF(COUNTIF(L_CLAVE,AH1339)&gt;1,"⚠ Duplicado","OK"))</f>
        <v/>
      </c>
      <c r="AJ1339" s="86" t="str">
        <f aca="false">IF(AH1339="","",IF(SUMPRODUCT(MAX((IND_PER&lt;=B1339)*(IND_UF&lt;&gt;"")*IND_PER))=0,UF_HOY,INDEX(IND_UF,MATCH(SUMPRODUCT(MAX((IND_PER&lt;=B1339)*(IND_UF&lt;&gt;"")*IND_PER)),IND_PER,0))))</f>
        <v/>
      </c>
      <c r="AK1339" s="87" t="str">
        <f aca="false">IF(AH1339="","",IF(COUNTIF(TASA_DESDE,"&lt;="&amp;B1339)=0,INDEX(TASA_EMP,1),INDEX(TASA_EMP,COUNTIF(TASA_DESDE,"&lt;="&amp;B1339))))</f>
        <v/>
      </c>
    </row>
    <row r="1340" customFormat="false" ht="15" hidden="false" customHeight="false" outlineLevel="0" collapsed="false">
      <c r="B1340" s="78"/>
      <c r="C1340" s="64"/>
      <c r="D1340" s="72" t="str">
        <f aca="false">IF(C1340="","",IFERROR(INDEX(T_NOMBRE,MATCH(C1340,T_ID,0)),"⚠ ID no existe"))</f>
        <v/>
      </c>
      <c r="E1340" s="69"/>
      <c r="F1340" s="67"/>
      <c r="G1340" s="67"/>
      <c r="H1340" s="67"/>
      <c r="I1340" s="67"/>
      <c r="J1340" s="67"/>
      <c r="K1340" s="85" t="str">
        <f aca="false">IF(AH1340="","",N(F1340)+N(G1340)+N(H1340)-N(I1340)+N(J1340))</f>
        <v/>
      </c>
      <c r="L1340" s="67"/>
      <c r="M1340" s="67"/>
      <c r="N1340" s="67"/>
      <c r="O1340" s="67"/>
      <c r="P1340" s="85" t="str">
        <f aca="false">IF(AH1340="","",K1340+N(L1340)+N(M1340)+N(N1340)+N(O1340))</f>
        <v/>
      </c>
      <c r="Q1340" s="67"/>
      <c r="R1340" s="67"/>
      <c r="S1340" s="67"/>
      <c r="T1340" s="67"/>
      <c r="U1340" s="67"/>
      <c r="V1340" s="67"/>
      <c r="W1340" s="85" t="str">
        <f aca="false">IF(AH1340="","",N(Q1340)+N(R1340)+N(S1340)+N(T1340)+N(U1340)+N(V1340))</f>
        <v/>
      </c>
      <c r="X1340" s="85" t="str">
        <f aca="false">IF(AH1340="","",P1340-W1340)</f>
        <v/>
      </c>
      <c r="Y1340" s="67"/>
      <c r="Z1340" s="70" t="str">
        <f aca="false">IF(OR(AH1340="",Y1340=""),"",IF(ABS(X1340-Y1340)&lt;=1,"✓ Cuadra","⚠ Diferencia $"&amp;FIXED(X1340-Y1340,0)))</f>
        <v/>
      </c>
      <c r="AA1340" s="72" t="str">
        <f aca="false">IF(AH1340="","",IFERROR(INDEX(C_TIPO,MATCH(C1340&amp;"-P"&amp;MAX(1,COUNTIFS(C_ID,C1340,C_DEFINE,"Sí",C_INICIO,"&lt;="&amp;EOMONTH(B1340,0))),C_CLAVE,0))&amp;"","Sin dato"))</f>
        <v/>
      </c>
      <c r="AB1340" s="71" t="str">
        <f aca="false">IF(AH1340="","",ROUND(MIN(K1340,TOPE_AFP_UF*AJ1340)*AK1340,0))</f>
        <v/>
      </c>
      <c r="AC1340" s="71" t="str">
        <f aca="false">IF(AH1340="","",ROUND(MIN(K1340,TOPE_AFC_UF*AJ1340)*IF(AA1340="Indefinido",AFC_EMP_INDEF,AFC_EMP_PF),0))</f>
        <v/>
      </c>
      <c r="AD1340" s="71" t="str">
        <f aca="false">IF(AH1340="","",ROUND(MIN(K1340,TOPE_AFP_UF*AJ1340)*(MUTUAL_BASICA+MUTUAL_ADIC+SANNA),0))</f>
        <v/>
      </c>
      <c r="AE1340" s="71" t="str">
        <f aca="false">IF(AH1340="","",P1340-N(N1340)+AB1340+AC1340+AD1340)</f>
        <v/>
      </c>
      <c r="AF1340" s="65"/>
      <c r="AG1340" s="64"/>
      <c r="AH1340" s="72" t="str">
        <f aca="false">IF(OR(B1340="",C1340=""),"",C1340&amp;"|"&amp;(YEAR(B1340)*100+MONTH(B1340)))</f>
        <v/>
      </c>
      <c r="AI1340" s="70" t="str">
        <f aca="false">IF(AH1340="","",IF(COUNTIF(L_CLAVE,AH1340)&gt;1,"⚠ Duplicado","OK"))</f>
        <v/>
      </c>
      <c r="AJ1340" s="86" t="str">
        <f aca="false">IF(AH1340="","",IF(SUMPRODUCT(MAX((IND_PER&lt;=B1340)*(IND_UF&lt;&gt;"")*IND_PER))=0,UF_HOY,INDEX(IND_UF,MATCH(SUMPRODUCT(MAX((IND_PER&lt;=B1340)*(IND_UF&lt;&gt;"")*IND_PER)),IND_PER,0))))</f>
        <v/>
      </c>
      <c r="AK1340" s="87" t="str">
        <f aca="false">IF(AH1340="","",IF(COUNTIF(TASA_DESDE,"&lt;="&amp;B1340)=0,INDEX(TASA_EMP,1),INDEX(TASA_EMP,COUNTIF(TASA_DESDE,"&lt;="&amp;B1340))))</f>
        <v/>
      </c>
    </row>
    <row r="1341" customFormat="false" ht="15" hidden="false" customHeight="false" outlineLevel="0" collapsed="false">
      <c r="B1341" s="78"/>
      <c r="C1341" s="64"/>
      <c r="D1341" s="72" t="str">
        <f aca="false">IF(C1341="","",IFERROR(INDEX(T_NOMBRE,MATCH(C1341,T_ID,0)),"⚠ ID no existe"))</f>
        <v/>
      </c>
      <c r="E1341" s="69"/>
      <c r="F1341" s="67"/>
      <c r="G1341" s="67"/>
      <c r="H1341" s="67"/>
      <c r="I1341" s="67"/>
      <c r="J1341" s="67"/>
      <c r="K1341" s="85" t="str">
        <f aca="false">IF(AH1341="","",N(F1341)+N(G1341)+N(H1341)-N(I1341)+N(J1341))</f>
        <v/>
      </c>
      <c r="L1341" s="67"/>
      <c r="M1341" s="67"/>
      <c r="N1341" s="67"/>
      <c r="O1341" s="67"/>
      <c r="P1341" s="85" t="str">
        <f aca="false">IF(AH1341="","",K1341+N(L1341)+N(M1341)+N(N1341)+N(O1341))</f>
        <v/>
      </c>
      <c r="Q1341" s="67"/>
      <c r="R1341" s="67"/>
      <c r="S1341" s="67"/>
      <c r="T1341" s="67"/>
      <c r="U1341" s="67"/>
      <c r="V1341" s="67"/>
      <c r="W1341" s="85" t="str">
        <f aca="false">IF(AH1341="","",N(Q1341)+N(R1341)+N(S1341)+N(T1341)+N(U1341)+N(V1341))</f>
        <v/>
      </c>
      <c r="X1341" s="85" t="str">
        <f aca="false">IF(AH1341="","",P1341-W1341)</f>
        <v/>
      </c>
      <c r="Y1341" s="67"/>
      <c r="Z1341" s="70" t="str">
        <f aca="false">IF(OR(AH1341="",Y1341=""),"",IF(ABS(X1341-Y1341)&lt;=1,"✓ Cuadra","⚠ Diferencia $"&amp;FIXED(X1341-Y1341,0)))</f>
        <v/>
      </c>
      <c r="AA1341" s="72" t="str">
        <f aca="false">IF(AH1341="","",IFERROR(INDEX(C_TIPO,MATCH(C1341&amp;"-P"&amp;MAX(1,COUNTIFS(C_ID,C1341,C_DEFINE,"Sí",C_INICIO,"&lt;="&amp;EOMONTH(B1341,0))),C_CLAVE,0))&amp;"","Sin dato"))</f>
        <v/>
      </c>
      <c r="AB1341" s="71" t="str">
        <f aca="false">IF(AH1341="","",ROUND(MIN(K1341,TOPE_AFP_UF*AJ1341)*AK1341,0))</f>
        <v/>
      </c>
      <c r="AC1341" s="71" t="str">
        <f aca="false">IF(AH1341="","",ROUND(MIN(K1341,TOPE_AFC_UF*AJ1341)*IF(AA1341="Indefinido",AFC_EMP_INDEF,AFC_EMP_PF),0))</f>
        <v/>
      </c>
      <c r="AD1341" s="71" t="str">
        <f aca="false">IF(AH1341="","",ROUND(MIN(K1341,TOPE_AFP_UF*AJ1341)*(MUTUAL_BASICA+MUTUAL_ADIC+SANNA),0))</f>
        <v/>
      </c>
      <c r="AE1341" s="71" t="str">
        <f aca="false">IF(AH1341="","",P1341-N(N1341)+AB1341+AC1341+AD1341)</f>
        <v/>
      </c>
      <c r="AF1341" s="65"/>
      <c r="AG1341" s="64"/>
      <c r="AH1341" s="72" t="str">
        <f aca="false">IF(OR(B1341="",C1341=""),"",C1341&amp;"|"&amp;(YEAR(B1341)*100+MONTH(B1341)))</f>
        <v/>
      </c>
      <c r="AI1341" s="70" t="str">
        <f aca="false">IF(AH1341="","",IF(COUNTIF(L_CLAVE,AH1341)&gt;1,"⚠ Duplicado","OK"))</f>
        <v/>
      </c>
      <c r="AJ1341" s="86" t="str">
        <f aca="false">IF(AH1341="","",IF(SUMPRODUCT(MAX((IND_PER&lt;=B1341)*(IND_UF&lt;&gt;"")*IND_PER))=0,UF_HOY,INDEX(IND_UF,MATCH(SUMPRODUCT(MAX((IND_PER&lt;=B1341)*(IND_UF&lt;&gt;"")*IND_PER)),IND_PER,0))))</f>
        <v/>
      </c>
      <c r="AK1341" s="87" t="str">
        <f aca="false">IF(AH1341="","",IF(COUNTIF(TASA_DESDE,"&lt;="&amp;B1341)=0,INDEX(TASA_EMP,1),INDEX(TASA_EMP,COUNTIF(TASA_DESDE,"&lt;="&amp;B1341))))</f>
        <v/>
      </c>
    </row>
    <row r="1342" customFormat="false" ht="15" hidden="false" customHeight="false" outlineLevel="0" collapsed="false">
      <c r="B1342" s="78"/>
      <c r="C1342" s="64"/>
      <c r="D1342" s="72" t="str">
        <f aca="false">IF(C1342="","",IFERROR(INDEX(T_NOMBRE,MATCH(C1342,T_ID,0)),"⚠ ID no existe"))</f>
        <v/>
      </c>
      <c r="E1342" s="69"/>
      <c r="F1342" s="67"/>
      <c r="G1342" s="67"/>
      <c r="H1342" s="67"/>
      <c r="I1342" s="67"/>
      <c r="J1342" s="67"/>
      <c r="K1342" s="85" t="str">
        <f aca="false">IF(AH1342="","",N(F1342)+N(G1342)+N(H1342)-N(I1342)+N(J1342))</f>
        <v/>
      </c>
      <c r="L1342" s="67"/>
      <c r="M1342" s="67"/>
      <c r="N1342" s="67"/>
      <c r="O1342" s="67"/>
      <c r="P1342" s="85" t="str">
        <f aca="false">IF(AH1342="","",K1342+N(L1342)+N(M1342)+N(N1342)+N(O1342))</f>
        <v/>
      </c>
      <c r="Q1342" s="67"/>
      <c r="R1342" s="67"/>
      <c r="S1342" s="67"/>
      <c r="T1342" s="67"/>
      <c r="U1342" s="67"/>
      <c r="V1342" s="67"/>
      <c r="W1342" s="85" t="str">
        <f aca="false">IF(AH1342="","",N(Q1342)+N(R1342)+N(S1342)+N(T1342)+N(U1342)+N(V1342))</f>
        <v/>
      </c>
      <c r="X1342" s="85" t="str">
        <f aca="false">IF(AH1342="","",P1342-W1342)</f>
        <v/>
      </c>
      <c r="Y1342" s="67"/>
      <c r="Z1342" s="70" t="str">
        <f aca="false">IF(OR(AH1342="",Y1342=""),"",IF(ABS(X1342-Y1342)&lt;=1,"✓ Cuadra","⚠ Diferencia $"&amp;FIXED(X1342-Y1342,0)))</f>
        <v/>
      </c>
      <c r="AA1342" s="72" t="str">
        <f aca="false">IF(AH1342="","",IFERROR(INDEX(C_TIPO,MATCH(C1342&amp;"-P"&amp;MAX(1,COUNTIFS(C_ID,C1342,C_DEFINE,"Sí",C_INICIO,"&lt;="&amp;EOMONTH(B1342,0))),C_CLAVE,0))&amp;"","Sin dato"))</f>
        <v/>
      </c>
      <c r="AB1342" s="71" t="str">
        <f aca="false">IF(AH1342="","",ROUND(MIN(K1342,TOPE_AFP_UF*AJ1342)*AK1342,0))</f>
        <v/>
      </c>
      <c r="AC1342" s="71" t="str">
        <f aca="false">IF(AH1342="","",ROUND(MIN(K1342,TOPE_AFC_UF*AJ1342)*IF(AA1342="Indefinido",AFC_EMP_INDEF,AFC_EMP_PF),0))</f>
        <v/>
      </c>
      <c r="AD1342" s="71" t="str">
        <f aca="false">IF(AH1342="","",ROUND(MIN(K1342,TOPE_AFP_UF*AJ1342)*(MUTUAL_BASICA+MUTUAL_ADIC+SANNA),0))</f>
        <v/>
      </c>
      <c r="AE1342" s="71" t="str">
        <f aca="false">IF(AH1342="","",P1342-N(N1342)+AB1342+AC1342+AD1342)</f>
        <v/>
      </c>
      <c r="AF1342" s="65"/>
      <c r="AG1342" s="64"/>
      <c r="AH1342" s="72" t="str">
        <f aca="false">IF(OR(B1342="",C1342=""),"",C1342&amp;"|"&amp;(YEAR(B1342)*100+MONTH(B1342)))</f>
        <v/>
      </c>
      <c r="AI1342" s="70" t="str">
        <f aca="false">IF(AH1342="","",IF(COUNTIF(L_CLAVE,AH1342)&gt;1,"⚠ Duplicado","OK"))</f>
        <v/>
      </c>
      <c r="AJ1342" s="86" t="str">
        <f aca="false">IF(AH1342="","",IF(SUMPRODUCT(MAX((IND_PER&lt;=B1342)*(IND_UF&lt;&gt;"")*IND_PER))=0,UF_HOY,INDEX(IND_UF,MATCH(SUMPRODUCT(MAX((IND_PER&lt;=B1342)*(IND_UF&lt;&gt;"")*IND_PER)),IND_PER,0))))</f>
        <v/>
      </c>
      <c r="AK1342" s="87" t="str">
        <f aca="false">IF(AH1342="","",IF(COUNTIF(TASA_DESDE,"&lt;="&amp;B1342)=0,INDEX(TASA_EMP,1),INDEX(TASA_EMP,COUNTIF(TASA_DESDE,"&lt;="&amp;B1342))))</f>
        <v/>
      </c>
    </row>
    <row r="1343" customFormat="false" ht="15" hidden="false" customHeight="false" outlineLevel="0" collapsed="false">
      <c r="B1343" s="78"/>
      <c r="C1343" s="64"/>
      <c r="D1343" s="72" t="str">
        <f aca="false">IF(C1343="","",IFERROR(INDEX(T_NOMBRE,MATCH(C1343,T_ID,0)),"⚠ ID no existe"))</f>
        <v/>
      </c>
      <c r="E1343" s="69"/>
      <c r="F1343" s="67"/>
      <c r="G1343" s="67"/>
      <c r="H1343" s="67"/>
      <c r="I1343" s="67"/>
      <c r="J1343" s="67"/>
      <c r="K1343" s="85" t="str">
        <f aca="false">IF(AH1343="","",N(F1343)+N(G1343)+N(H1343)-N(I1343)+N(J1343))</f>
        <v/>
      </c>
      <c r="L1343" s="67"/>
      <c r="M1343" s="67"/>
      <c r="N1343" s="67"/>
      <c r="O1343" s="67"/>
      <c r="P1343" s="85" t="str">
        <f aca="false">IF(AH1343="","",K1343+N(L1343)+N(M1343)+N(N1343)+N(O1343))</f>
        <v/>
      </c>
      <c r="Q1343" s="67"/>
      <c r="R1343" s="67"/>
      <c r="S1343" s="67"/>
      <c r="T1343" s="67"/>
      <c r="U1343" s="67"/>
      <c r="V1343" s="67"/>
      <c r="W1343" s="85" t="str">
        <f aca="false">IF(AH1343="","",N(Q1343)+N(R1343)+N(S1343)+N(T1343)+N(U1343)+N(V1343))</f>
        <v/>
      </c>
      <c r="X1343" s="85" t="str">
        <f aca="false">IF(AH1343="","",P1343-W1343)</f>
        <v/>
      </c>
      <c r="Y1343" s="67"/>
      <c r="Z1343" s="70" t="str">
        <f aca="false">IF(OR(AH1343="",Y1343=""),"",IF(ABS(X1343-Y1343)&lt;=1,"✓ Cuadra","⚠ Diferencia $"&amp;FIXED(X1343-Y1343,0)))</f>
        <v/>
      </c>
      <c r="AA1343" s="72" t="str">
        <f aca="false">IF(AH1343="","",IFERROR(INDEX(C_TIPO,MATCH(C1343&amp;"-P"&amp;MAX(1,COUNTIFS(C_ID,C1343,C_DEFINE,"Sí",C_INICIO,"&lt;="&amp;EOMONTH(B1343,0))),C_CLAVE,0))&amp;"","Sin dato"))</f>
        <v/>
      </c>
      <c r="AB1343" s="71" t="str">
        <f aca="false">IF(AH1343="","",ROUND(MIN(K1343,TOPE_AFP_UF*AJ1343)*AK1343,0))</f>
        <v/>
      </c>
      <c r="AC1343" s="71" t="str">
        <f aca="false">IF(AH1343="","",ROUND(MIN(K1343,TOPE_AFC_UF*AJ1343)*IF(AA1343="Indefinido",AFC_EMP_INDEF,AFC_EMP_PF),0))</f>
        <v/>
      </c>
      <c r="AD1343" s="71" t="str">
        <f aca="false">IF(AH1343="","",ROUND(MIN(K1343,TOPE_AFP_UF*AJ1343)*(MUTUAL_BASICA+MUTUAL_ADIC+SANNA),0))</f>
        <v/>
      </c>
      <c r="AE1343" s="71" t="str">
        <f aca="false">IF(AH1343="","",P1343-N(N1343)+AB1343+AC1343+AD1343)</f>
        <v/>
      </c>
      <c r="AF1343" s="65"/>
      <c r="AG1343" s="64"/>
      <c r="AH1343" s="72" t="str">
        <f aca="false">IF(OR(B1343="",C1343=""),"",C1343&amp;"|"&amp;(YEAR(B1343)*100+MONTH(B1343)))</f>
        <v/>
      </c>
      <c r="AI1343" s="70" t="str">
        <f aca="false">IF(AH1343="","",IF(COUNTIF(L_CLAVE,AH1343)&gt;1,"⚠ Duplicado","OK"))</f>
        <v/>
      </c>
      <c r="AJ1343" s="86" t="str">
        <f aca="false">IF(AH1343="","",IF(SUMPRODUCT(MAX((IND_PER&lt;=B1343)*(IND_UF&lt;&gt;"")*IND_PER))=0,UF_HOY,INDEX(IND_UF,MATCH(SUMPRODUCT(MAX((IND_PER&lt;=B1343)*(IND_UF&lt;&gt;"")*IND_PER)),IND_PER,0))))</f>
        <v/>
      </c>
      <c r="AK1343" s="87" t="str">
        <f aca="false">IF(AH1343="","",IF(COUNTIF(TASA_DESDE,"&lt;="&amp;B1343)=0,INDEX(TASA_EMP,1),INDEX(TASA_EMP,COUNTIF(TASA_DESDE,"&lt;="&amp;B1343))))</f>
        <v/>
      </c>
    </row>
    <row r="1344" customFormat="false" ht="15" hidden="false" customHeight="false" outlineLevel="0" collapsed="false">
      <c r="B1344" s="78"/>
      <c r="C1344" s="64"/>
      <c r="D1344" s="72" t="str">
        <f aca="false">IF(C1344="","",IFERROR(INDEX(T_NOMBRE,MATCH(C1344,T_ID,0)),"⚠ ID no existe"))</f>
        <v/>
      </c>
      <c r="E1344" s="69"/>
      <c r="F1344" s="67"/>
      <c r="G1344" s="67"/>
      <c r="H1344" s="67"/>
      <c r="I1344" s="67"/>
      <c r="J1344" s="67"/>
      <c r="K1344" s="85" t="str">
        <f aca="false">IF(AH1344="","",N(F1344)+N(G1344)+N(H1344)-N(I1344)+N(J1344))</f>
        <v/>
      </c>
      <c r="L1344" s="67"/>
      <c r="M1344" s="67"/>
      <c r="N1344" s="67"/>
      <c r="O1344" s="67"/>
      <c r="P1344" s="85" t="str">
        <f aca="false">IF(AH1344="","",K1344+N(L1344)+N(M1344)+N(N1344)+N(O1344))</f>
        <v/>
      </c>
      <c r="Q1344" s="67"/>
      <c r="R1344" s="67"/>
      <c r="S1344" s="67"/>
      <c r="T1344" s="67"/>
      <c r="U1344" s="67"/>
      <c r="V1344" s="67"/>
      <c r="W1344" s="85" t="str">
        <f aca="false">IF(AH1344="","",N(Q1344)+N(R1344)+N(S1344)+N(T1344)+N(U1344)+N(V1344))</f>
        <v/>
      </c>
      <c r="X1344" s="85" t="str">
        <f aca="false">IF(AH1344="","",P1344-W1344)</f>
        <v/>
      </c>
      <c r="Y1344" s="67"/>
      <c r="Z1344" s="70" t="str">
        <f aca="false">IF(OR(AH1344="",Y1344=""),"",IF(ABS(X1344-Y1344)&lt;=1,"✓ Cuadra","⚠ Diferencia $"&amp;FIXED(X1344-Y1344,0)))</f>
        <v/>
      </c>
      <c r="AA1344" s="72" t="str">
        <f aca="false">IF(AH1344="","",IFERROR(INDEX(C_TIPO,MATCH(C1344&amp;"-P"&amp;MAX(1,COUNTIFS(C_ID,C1344,C_DEFINE,"Sí",C_INICIO,"&lt;="&amp;EOMONTH(B1344,0))),C_CLAVE,0))&amp;"","Sin dato"))</f>
        <v/>
      </c>
      <c r="AB1344" s="71" t="str">
        <f aca="false">IF(AH1344="","",ROUND(MIN(K1344,TOPE_AFP_UF*AJ1344)*AK1344,0))</f>
        <v/>
      </c>
      <c r="AC1344" s="71" t="str">
        <f aca="false">IF(AH1344="","",ROUND(MIN(K1344,TOPE_AFC_UF*AJ1344)*IF(AA1344="Indefinido",AFC_EMP_INDEF,AFC_EMP_PF),0))</f>
        <v/>
      </c>
      <c r="AD1344" s="71" t="str">
        <f aca="false">IF(AH1344="","",ROUND(MIN(K1344,TOPE_AFP_UF*AJ1344)*(MUTUAL_BASICA+MUTUAL_ADIC+SANNA),0))</f>
        <v/>
      </c>
      <c r="AE1344" s="71" t="str">
        <f aca="false">IF(AH1344="","",P1344-N(N1344)+AB1344+AC1344+AD1344)</f>
        <v/>
      </c>
      <c r="AF1344" s="65"/>
      <c r="AG1344" s="64"/>
      <c r="AH1344" s="72" t="str">
        <f aca="false">IF(OR(B1344="",C1344=""),"",C1344&amp;"|"&amp;(YEAR(B1344)*100+MONTH(B1344)))</f>
        <v/>
      </c>
      <c r="AI1344" s="70" t="str">
        <f aca="false">IF(AH1344="","",IF(COUNTIF(L_CLAVE,AH1344)&gt;1,"⚠ Duplicado","OK"))</f>
        <v/>
      </c>
      <c r="AJ1344" s="86" t="str">
        <f aca="false">IF(AH1344="","",IF(SUMPRODUCT(MAX((IND_PER&lt;=B1344)*(IND_UF&lt;&gt;"")*IND_PER))=0,UF_HOY,INDEX(IND_UF,MATCH(SUMPRODUCT(MAX((IND_PER&lt;=B1344)*(IND_UF&lt;&gt;"")*IND_PER)),IND_PER,0))))</f>
        <v/>
      </c>
      <c r="AK1344" s="87" t="str">
        <f aca="false">IF(AH1344="","",IF(COUNTIF(TASA_DESDE,"&lt;="&amp;B1344)=0,INDEX(TASA_EMP,1),INDEX(TASA_EMP,COUNTIF(TASA_DESDE,"&lt;="&amp;B1344))))</f>
        <v/>
      </c>
    </row>
    <row r="1345" customFormat="false" ht="15" hidden="false" customHeight="false" outlineLevel="0" collapsed="false">
      <c r="B1345" s="78"/>
      <c r="C1345" s="64"/>
      <c r="D1345" s="72" t="str">
        <f aca="false">IF(C1345="","",IFERROR(INDEX(T_NOMBRE,MATCH(C1345,T_ID,0)),"⚠ ID no existe"))</f>
        <v/>
      </c>
      <c r="E1345" s="69"/>
      <c r="F1345" s="67"/>
      <c r="G1345" s="67"/>
      <c r="H1345" s="67"/>
      <c r="I1345" s="67"/>
      <c r="J1345" s="67"/>
      <c r="K1345" s="85" t="str">
        <f aca="false">IF(AH1345="","",N(F1345)+N(G1345)+N(H1345)-N(I1345)+N(J1345))</f>
        <v/>
      </c>
      <c r="L1345" s="67"/>
      <c r="M1345" s="67"/>
      <c r="N1345" s="67"/>
      <c r="O1345" s="67"/>
      <c r="P1345" s="85" t="str">
        <f aca="false">IF(AH1345="","",K1345+N(L1345)+N(M1345)+N(N1345)+N(O1345))</f>
        <v/>
      </c>
      <c r="Q1345" s="67"/>
      <c r="R1345" s="67"/>
      <c r="S1345" s="67"/>
      <c r="T1345" s="67"/>
      <c r="U1345" s="67"/>
      <c r="V1345" s="67"/>
      <c r="W1345" s="85" t="str">
        <f aca="false">IF(AH1345="","",N(Q1345)+N(R1345)+N(S1345)+N(T1345)+N(U1345)+N(V1345))</f>
        <v/>
      </c>
      <c r="X1345" s="85" t="str">
        <f aca="false">IF(AH1345="","",P1345-W1345)</f>
        <v/>
      </c>
      <c r="Y1345" s="67"/>
      <c r="Z1345" s="70" t="str">
        <f aca="false">IF(OR(AH1345="",Y1345=""),"",IF(ABS(X1345-Y1345)&lt;=1,"✓ Cuadra","⚠ Diferencia $"&amp;FIXED(X1345-Y1345,0)))</f>
        <v/>
      </c>
      <c r="AA1345" s="72" t="str">
        <f aca="false">IF(AH1345="","",IFERROR(INDEX(C_TIPO,MATCH(C1345&amp;"-P"&amp;MAX(1,COUNTIFS(C_ID,C1345,C_DEFINE,"Sí",C_INICIO,"&lt;="&amp;EOMONTH(B1345,0))),C_CLAVE,0))&amp;"","Sin dato"))</f>
        <v/>
      </c>
      <c r="AB1345" s="71" t="str">
        <f aca="false">IF(AH1345="","",ROUND(MIN(K1345,TOPE_AFP_UF*AJ1345)*AK1345,0))</f>
        <v/>
      </c>
      <c r="AC1345" s="71" t="str">
        <f aca="false">IF(AH1345="","",ROUND(MIN(K1345,TOPE_AFC_UF*AJ1345)*IF(AA1345="Indefinido",AFC_EMP_INDEF,AFC_EMP_PF),0))</f>
        <v/>
      </c>
      <c r="AD1345" s="71" t="str">
        <f aca="false">IF(AH1345="","",ROUND(MIN(K1345,TOPE_AFP_UF*AJ1345)*(MUTUAL_BASICA+MUTUAL_ADIC+SANNA),0))</f>
        <v/>
      </c>
      <c r="AE1345" s="71" t="str">
        <f aca="false">IF(AH1345="","",P1345-N(N1345)+AB1345+AC1345+AD1345)</f>
        <v/>
      </c>
      <c r="AF1345" s="65"/>
      <c r="AG1345" s="64"/>
      <c r="AH1345" s="72" t="str">
        <f aca="false">IF(OR(B1345="",C1345=""),"",C1345&amp;"|"&amp;(YEAR(B1345)*100+MONTH(B1345)))</f>
        <v/>
      </c>
      <c r="AI1345" s="70" t="str">
        <f aca="false">IF(AH1345="","",IF(COUNTIF(L_CLAVE,AH1345)&gt;1,"⚠ Duplicado","OK"))</f>
        <v/>
      </c>
      <c r="AJ1345" s="86" t="str">
        <f aca="false">IF(AH1345="","",IF(SUMPRODUCT(MAX((IND_PER&lt;=B1345)*(IND_UF&lt;&gt;"")*IND_PER))=0,UF_HOY,INDEX(IND_UF,MATCH(SUMPRODUCT(MAX((IND_PER&lt;=B1345)*(IND_UF&lt;&gt;"")*IND_PER)),IND_PER,0))))</f>
        <v/>
      </c>
      <c r="AK1345" s="87" t="str">
        <f aca="false">IF(AH1345="","",IF(COUNTIF(TASA_DESDE,"&lt;="&amp;B1345)=0,INDEX(TASA_EMP,1),INDEX(TASA_EMP,COUNTIF(TASA_DESDE,"&lt;="&amp;B1345))))</f>
        <v/>
      </c>
    </row>
    <row r="1346" customFormat="false" ht="15" hidden="false" customHeight="false" outlineLevel="0" collapsed="false">
      <c r="B1346" s="78"/>
      <c r="C1346" s="64"/>
      <c r="D1346" s="72" t="str">
        <f aca="false">IF(C1346="","",IFERROR(INDEX(T_NOMBRE,MATCH(C1346,T_ID,0)),"⚠ ID no existe"))</f>
        <v/>
      </c>
      <c r="E1346" s="69"/>
      <c r="F1346" s="67"/>
      <c r="G1346" s="67"/>
      <c r="H1346" s="67"/>
      <c r="I1346" s="67"/>
      <c r="J1346" s="67"/>
      <c r="K1346" s="85" t="str">
        <f aca="false">IF(AH1346="","",N(F1346)+N(G1346)+N(H1346)-N(I1346)+N(J1346))</f>
        <v/>
      </c>
      <c r="L1346" s="67"/>
      <c r="M1346" s="67"/>
      <c r="N1346" s="67"/>
      <c r="O1346" s="67"/>
      <c r="P1346" s="85" t="str">
        <f aca="false">IF(AH1346="","",K1346+N(L1346)+N(M1346)+N(N1346)+N(O1346))</f>
        <v/>
      </c>
      <c r="Q1346" s="67"/>
      <c r="R1346" s="67"/>
      <c r="S1346" s="67"/>
      <c r="T1346" s="67"/>
      <c r="U1346" s="67"/>
      <c r="V1346" s="67"/>
      <c r="W1346" s="85" t="str">
        <f aca="false">IF(AH1346="","",N(Q1346)+N(R1346)+N(S1346)+N(T1346)+N(U1346)+N(V1346))</f>
        <v/>
      </c>
      <c r="X1346" s="85" t="str">
        <f aca="false">IF(AH1346="","",P1346-W1346)</f>
        <v/>
      </c>
      <c r="Y1346" s="67"/>
      <c r="Z1346" s="70" t="str">
        <f aca="false">IF(OR(AH1346="",Y1346=""),"",IF(ABS(X1346-Y1346)&lt;=1,"✓ Cuadra","⚠ Diferencia $"&amp;FIXED(X1346-Y1346,0)))</f>
        <v/>
      </c>
      <c r="AA1346" s="72" t="str">
        <f aca="false">IF(AH1346="","",IFERROR(INDEX(C_TIPO,MATCH(C1346&amp;"-P"&amp;MAX(1,COUNTIFS(C_ID,C1346,C_DEFINE,"Sí",C_INICIO,"&lt;="&amp;EOMONTH(B1346,0))),C_CLAVE,0))&amp;"","Sin dato"))</f>
        <v/>
      </c>
      <c r="AB1346" s="71" t="str">
        <f aca="false">IF(AH1346="","",ROUND(MIN(K1346,TOPE_AFP_UF*AJ1346)*AK1346,0))</f>
        <v/>
      </c>
      <c r="AC1346" s="71" t="str">
        <f aca="false">IF(AH1346="","",ROUND(MIN(K1346,TOPE_AFC_UF*AJ1346)*IF(AA1346="Indefinido",AFC_EMP_INDEF,AFC_EMP_PF),0))</f>
        <v/>
      </c>
      <c r="AD1346" s="71" t="str">
        <f aca="false">IF(AH1346="","",ROUND(MIN(K1346,TOPE_AFP_UF*AJ1346)*(MUTUAL_BASICA+MUTUAL_ADIC+SANNA),0))</f>
        <v/>
      </c>
      <c r="AE1346" s="71" t="str">
        <f aca="false">IF(AH1346="","",P1346-N(N1346)+AB1346+AC1346+AD1346)</f>
        <v/>
      </c>
      <c r="AF1346" s="65"/>
      <c r="AG1346" s="64"/>
      <c r="AH1346" s="72" t="str">
        <f aca="false">IF(OR(B1346="",C1346=""),"",C1346&amp;"|"&amp;(YEAR(B1346)*100+MONTH(B1346)))</f>
        <v/>
      </c>
      <c r="AI1346" s="70" t="str">
        <f aca="false">IF(AH1346="","",IF(COUNTIF(L_CLAVE,AH1346)&gt;1,"⚠ Duplicado","OK"))</f>
        <v/>
      </c>
      <c r="AJ1346" s="86" t="str">
        <f aca="false">IF(AH1346="","",IF(SUMPRODUCT(MAX((IND_PER&lt;=B1346)*(IND_UF&lt;&gt;"")*IND_PER))=0,UF_HOY,INDEX(IND_UF,MATCH(SUMPRODUCT(MAX((IND_PER&lt;=B1346)*(IND_UF&lt;&gt;"")*IND_PER)),IND_PER,0))))</f>
        <v/>
      </c>
      <c r="AK1346" s="87" t="str">
        <f aca="false">IF(AH1346="","",IF(COUNTIF(TASA_DESDE,"&lt;="&amp;B1346)=0,INDEX(TASA_EMP,1),INDEX(TASA_EMP,COUNTIF(TASA_DESDE,"&lt;="&amp;B1346))))</f>
        <v/>
      </c>
    </row>
    <row r="1347" customFormat="false" ht="15" hidden="false" customHeight="false" outlineLevel="0" collapsed="false">
      <c r="B1347" s="78"/>
      <c r="C1347" s="64"/>
      <c r="D1347" s="72" t="str">
        <f aca="false">IF(C1347="","",IFERROR(INDEX(T_NOMBRE,MATCH(C1347,T_ID,0)),"⚠ ID no existe"))</f>
        <v/>
      </c>
      <c r="E1347" s="69"/>
      <c r="F1347" s="67"/>
      <c r="G1347" s="67"/>
      <c r="H1347" s="67"/>
      <c r="I1347" s="67"/>
      <c r="J1347" s="67"/>
      <c r="K1347" s="85" t="str">
        <f aca="false">IF(AH1347="","",N(F1347)+N(G1347)+N(H1347)-N(I1347)+N(J1347))</f>
        <v/>
      </c>
      <c r="L1347" s="67"/>
      <c r="M1347" s="67"/>
      <c r="N1347" s="67"/>
      <c r="O1347" s="67"/>
      <c r="P1347" s="85" t="str">
        <f aca="false">IF(AH1347="","",K1347+N(L1347)+N(M1347)+N(N1347)+N(O1347))</f>
        <v/>
      </c>
      <c r="Q1347" s="67"/>
      <c r="R1347" s="67"/>
      <c r="S1347" s="67"/>
      <c r="T1347" s="67"/>
      <c r="U1347" s="67"/>
      <c r="V1347" s="67"/>
      <c r="W1347" s="85" t="str">
        <f aca="false">IF(AH1347="","",N(Q1347)+N(R1347)+N(S1347)+N(T1347)+N(U1347)+N(V1347))</f>
        <v/>
      </c>
      <c r="X1347" s="85" t="str">
        <f aca="false">IF(AH1347="","",P1347-W1347)</f>
        <v/>
      </c>
      <c r="Y1347" s="67"/>
      <c r="Z1347" s="70" t="str">
        <f aca="false">IF(OR(AH1347="",Y1347=""),"",IF(ABS(X1347-Y1347)&lt;=1,"✓ Cuadra","⚠ Diferencia $"&amp;FIXED(X1347-Y1347,0)))</f>
        <v/>
      </c>
      <c r="AA1347" s="72" t="str">
        <f aca="false">IF(AH1347="","",IFERROR(INDEX(C_TIPO,MATCH(C1347&amp;"-P"&amp;MAX(1,COUNTIFS(C_ID,C1347,C_DEFINE,"Sí",C_INICIO,"&lt;="&amp;EOMONTH(B1347,0))),C_CLAVE,0))&amp;"","Sin dato"))</f>
        <v/>
      </c>
      <c r="AB1347" s="71" t="str">
        <f aca="false">IF(AH1347="","",ROUND(MIN(K1347,TOPE_AFP_UF*AJ1347)*AK1347,0))</f>
        <v/>
      </c>
      <c r="AC1347" s="71" t="str">
        <f aca="false">IF(AH1347="","",ROUND(MIN(K1347,TOPE_AFC_UF*AJ1347)*IF(AA1347="Indefinido",AFC_EMP_INDEF,AFC_EMP_PF),0))</f>
        <v/>
      </c>
      <c r="AD1347" s="71" t="str">
        <f aca="false">IF(AH1347="","",ROUND(MIN(K1347,TOPE_AFP_UF*AJ1347)*(MUTUAL_BASICA+MUTUAL_ADIC+SANNA),0))</f>
        <v/>
      </c>
      <c r="AE1347" s="71" t="str">
        <f aca="false">IF(AH1347="","",P1347-N(N1347)+AB1347+AC1347+AD1347)</f>
        <v/>
      </c>
      <c r="AF1347" s="65"/>
      <c r="AG1347" s="64"/>
      <c r="AH1347" s="72" t="str">
        <f aca="false">IF(OR(B1347="",C1347=""),"",C1347&amp;"|"&amp;(YEAR(B1347)*100+MONTH(B1347)))</f>
        <v/>
      </c>
      <c r="AI1347" s="70" t="str">
        <f aca="false">IF(AH1347="","",IF(COUNTIF(L_CLAVE,AH1347)&gt;1,"⚠ Duplicado","OK"))</f>
        <v/>
      </c>
      <c r="AJ1347" s="86" t="str">
        <f aca="false">IF(AH1347="","",IF(SUMPRODUCT(MAX((IND_PER&lt;=B1347)*(IND_UF&lt;&gt;"")*IND_PER))=0,UF_HOY,INDEX(IND_UF,MATCH(SUMPRODUCT(MAX((IND_PER&lt;=B1347)*(IND_UF&lt;&gt;"")*IND_PER)),IND_PER,0))))</f>
        <v/>
      </c>
      <c r="AK1347" s="87" t="str">
        <f aca="false">IF(AH1347="","",IF(COUNTIF(TASA_DESDE,"&lt;="&amp;B1347)=0,INDEX(TASA_EMP,1),INDEX(TASA_EMP,COUNTIF(TASA_DESDE,"&lt;="&amp;B1347))))</f>
        <v/>
      </c>
    </row>
    <row r="1348" customFormat="false" ht="15" hidden="false" customHeight="false" outlineLevel="0" collapsed="false">
      <c r="B1348" s="78"/>
      <c r="C1348" s="64"/>
      <c r="D1348" s="72" t="str">
        <f aca="false">IF(C1348="","",IFERROR(INDEX(T_NOMBRE,MATCH(C1348,T_ID,0)),"⚠ ID no existe"))</f>
        <v/>
      </c>
      <c r="E1348" s="69"/>
      <c r="F1348" s="67"/>
      <c r="G1348" s="67"/>
      <c r="H1348" s="67"/>
      <c r="I1348" s="67"/>
      <c r="J1348" s="67"/>
      <c r="K1348" s="85" t="str">
        <f aca="false">IF(AH1348="","",N(F1348)+N(G1348)+N(H1348)-N(I1348)+N(J1348))</f>
        <v/>
      </c>
      <c r="L1348" s="67"/>
      <c r="M1348" s="67"/>
      <c r="N1348" s="67"/>
      <c r="O1348" s="67"/>
      <c r="P1348" s="85" t="str">
        <f aca="false">IF(AH1348="","",K1348+N(L1348)+N(M1348)+N(N1348)+N(O1348))</f>
        <v/>
      </c>
      <c r="Q1348" s="67"/>
      <c r="R1348" s="67"/>
      <c r="S1348" s="67"/>
      <c r="T1348" s="67"/>
      <c r="U1348" s="67"/>
      <c r="V1348" s="67"/>
      <c r="W1348" s="85" t="str">
        <f aca="false">IF(AH1348="","",N(Q1348)+N(R1348)+N(S1348)+N(T1348)+N(U1348)+N(V1348))</f>
        <v/>
      </c>
      <c r="X1348" s="85" t="str">
        <f aca="false">IF(AH1348="","",P1348-W1348)</f>
        <v/>
      </c>
      <c r="Y1348" s="67"/>
      <c r="Z1348" s="70" t="str">
        <f aca="false">IF(OR(AH1348="",Y1348=""),"",IF(ABS(X1348-Y1348)&lt;=1,"✓ Cuadra","⚠ Diferencia $"&amp;FIXED(X1348-Y1348,0)))</f>
        <v/>
      </c>
      <c r="AA1348" s="72" t="str">
        <f aca="false">IF(AH1348="","",IFERROR(INDEX(C_TIPO,MATCH(C1348&amp;"-P"&amp;MAX(1,COUNTIFS(C_ID,C1348,C_DEFINE,"Sí",C_INICIO,"&lt;="&amp;EOMONTH(B1348,0))),C_CLAVE,0))&amp;"","Sin dato"))</f>
        <v/>
      </c>
      <c r="AB1348" s="71" t="str">
        <f aca="false">IF(AH1348="","",ROUND(MIN(K1348,TOPE_AFP_UF*AJ1348)*AK1348,0))</f>
        <v/>
      </c>
      <c r="AC1348" s="71" t="str">
        <f aca="false">IF(AH1348="","",ROUND(MIN(K1348,TOPE_AFC_UF*AJ1348)*IF(AA1348="Indefinido",AFC_EMP_INDEF,AFC_EMP_PF),0))</f>
        <v/>
      </c>
      <c r="AD1348" s="71" t="str">
        <f aca="false">IF(AH1348="","",ROUND(MIN(K1348,TOPE_AFP_UF*AJ1348)*(MUTUAL_BASICA+MUTUAL_ADIC+SANNA),0))</f>
        <v/>
      </c>
      <c r="AE1348" s="71" t="str">
        <f aca="false">IF(AH1348="","",P1348-N(N1348)+AB1348+AC1348+AD1348)</f>
        <v/>
      </c>
      <c r="AF1348" s="65"/>
      <c r="AG1348" s="64"/>
      <c r="AH1348" s="72" t="str">
        <f aca="false">IF(OR(B1348="",C1348=""),"",C1348&amp;"|"&amp;(YEAR(B1348)*100+MONTH(B1348)))</f>
        <v/>
      </c>
      <c r="AI1348" s="70" t="str">
        <f aca="false">IF(AH1348="","",IF(COUNTIF(L_CLAVE,AH1348)&gt;1,"⚠ Duplicado","OK"))</f>
        <v/>
      </c>
      <c r="AJ1348" s="86" t="str">
        <f aca="false">IF(AH1348="","",IF(SUMPRODUCT(MAX((IND_PER&lt;=B1348)*(IND_UF&lt;&gt;"")*IND_PER))=0,UF_HOY,INDEX(IND_UF,MATCH(SUMPRODUCT(MAX((IND_PER&lt;=B1348)*(IND_UF&lt;&gt;"")*IND_PER)),IND_PER,0))))</f>
        <v/>
      </c>
      <c r="AK1348" s="87" t="str">
        <f aca="false">IF(AH1348="","",IF(COUNTIF(TASA_DESDE,"&lt;="&amp;B1348)=0,INDEX(TASA_EMP,1),INDEX(TASA_EMP,COUNTIF(TASA_DESDE,"&lt;="&amp;B1348))))</f>
        <v/>
      </c>
    </row>
    <row r="1349" customFormat="false" ht="15" hidden="false" customHeight="false" outlineLevel="0" collapsed="false">
      <c r="B1349" s="78"/>
      <c r="C1349" s="64"/>
      <c r="D1349" s="72" t="str">
        <f aca="false">IF(C1349="","",IFERROR(INDEX(T_NOMBRE,MATCH(C1349,T_ID,0)),"⚠ ID no existe"))</f>
        <v/>
      </c>
      <c r="E1349" s="69"/>
      <c r="F1349" s="67"/>
      <c r="G1349" s="67"/>
      <c r="H1349" s="67"/>
      <c r="I1349" s="67"/>
      <c r="J1349" s="67"/>
      <c r="K1349" s="85" t="str">
        <f aca="false">IF(AH1349="","",N(F1349)+N(G1349)+N(H1349)-N(I1349)+N(J1349))</f>
        <v/>
      </c>
      <c r="L1349" s="67"/>
      <c r="M1349" s="67"/>
      <c r="N1349" s="67"/>
      <c r="O1349" s="67"/>
      <c r="P1349" s="85" t="str">
        <f aca="false">IF(AH1349="","",K1349+N(L1349)+N(M1349)+N(N1349)+N(O1349))</f>
        <v/>
      </c>
      <c r="Q1349" s="67"/>
      <c r="R1349" s="67"/>
      <c r="S1349" s="67"/>
      <c r="T1349" s="67"/>
      <c r="U1349" s="67"/>
      <c r="V1349" s="67"/>
      <c r="W1349" s="85" t="str">
        <f aca="false">IF(AH1349="","",N(Q1349)+N(R1349)+N(S1349)+N(T1349)+N(U1349)+N(V1349))</f>
        <v/>
      </c>
      <c r="X1349" s="85" t="str">
        <f aca="false">IF(AH1349="","",P1349-W1349)</f>
        <v/>
      </c>
      <c r="Y1349" s="67"/>
      <c r="Z1349" s="70" t="str">
        <f aca="false">IF(OR(AH1349="",Y1349=""),"",IF(ABS(X1349-Y1349)&lt;=1,"✓ Cuadra","⚠ Diferencia $"&amp;FIXED(X1349-Y1349,0)))</f>
        <v/>
      </c>
      <c r="AA1349" s="72" t="str">
        <f aca="false">IF(AH1349="","",IFERROR(INDEX(C_TIPO,MATCH(C1349&amp;"-P"&amp;MAX(1,COUNTIFS(C_ID,C1349,C_DEFINE,"Sí",C_INICIO,"&lt;="&amp;EOMONTH(B1349,0))),C_CLAVE,0))&amp;"","Sin dato"))</f>
        <v/>
      </c>
      <c r="AB1349" s="71" t="str">
        <f aca="false">IF(AH1349="","",ROUND(MIN(K1349,TOPE_AFP_UF*AJ1349)*AK1349,0))</f>
        <v/>
      </c>
      <c r="AC1349" s="71" t="str">
        <f aca="false">IF(AH1349="","",ROUND(MIN(K1349,TOPE_AFC_UF*AJ1349)*IF(AA1349="Indefinido",AFC_EMP_INDEF,AFC_EMP_PF),0))</f>
        <v/>
      </c>
      <c r="AD1349" s="71" t="str">
        <f aca="false">IF(AH1349="","",ROUND(MIN(K1349,TOPE_AFP_UF*AJ1349)*(MUTUAL_BASICA+MUTUAL_ADIC+SANNA),0))</f>
        <v/>
      </c>
      <c r="AE1349" s="71" t="str">
        <f aca="false">IF(AH1349="","",P1349-N(N1349)+AB1349+AC1349+AD1349)</f>
        <v/>
      </c>
      <c r="AF1349" s="65"/>
      <c r="AG1349" s="64"/>
      <c r="AH1349" s="72" t="str">
        <f aca="false">IF(OR(B1349="",C1349=""),"",C1349&amp;"|"&amp;(YEAR(B1349)*100+MONTH(B1349)))</f>
        <v/>
      </c>
      <c r="AI1349" s="70" t="str">
        <f aca="false">IF(AH1349="","",IF(COUNTIF(L_CLAVE,AH1349)&gt;1,"⚠ Duplicado","OK"))</f>
        <v/>
      </c>
      <c r="AJ1349" s="86" t="str">
        <f aca="false">IF(AH1349="","",IF(SUMPRODUCT(MAX((IND_PER&lt;=B1349)*(IND_UF&lt;&gt;"")*IND_PER))=0,UF_HOY,INDEX(IND_UF,MATCH(SUMPRODUCT(MAX((IND_PER&lt;=B1349)*(IND_UF&lt;&gt;"")*IND_PER)),IND_PER,0))))</f>
        <v/>
      </c>
      <c r="AK1349" s="87" t="str">
        <f aca="false">IF(AH1349="","",IF(COUNTIF(TASA_DESDE,"&lt;="&amp;B1349)=0,INDEX(TASA_EMP,1),INDEX(TASA_EMP,COUNTIF(TASA_DESDE,"&lt;="&amp;B1349))))</f>
        <v/>
      </c>
    </row>
    <row r="1350" customFormat="false" ht="15" hidden="false" customHeight="false" outlineLevel="0" collapsed="false">
      <c r="B1350" s="78"/>
      <c r="C1350" s="64"/>
      <c r="D1350" s="72" t="str">
        <f aca="false">IF(C1350="","",IFERROR(INDEX(T_NOMBRE,MATCH(C1350,T_ID,0)),"⚠ ID no existe"))</f>
        <v/>
      </c>
      <c r="E1350" s="69"/>
      <c r="F1350" s="67"/>
      <c r="G1350" s="67"/>
      <c r="H1350" s="67"/>
      <c r="I1350" s="67"/>
      <c r="J1350" s="67"/>
      <c r="K1350" s="85" t="str">
        <f aca="false">IF(AH1350="","",N(F1350)+N(G1350)+N(H1350)-N(I1350)+N(J1350))</f>
        <v/>
      </c>
      <c r="L1350" s="67"/>
      <c r="M1350" s="67"/>
      <c r="N1350" s="67"/>
      <c r="O1350" s="67"/>
      <c r="P1350" s="85" t="str">
        <f aca="false">IF(AH1350="","",K1350+N(L1350)+N(M1350)+N(N1350)+N(O1350))</f>
        <v/>
      </c>
      <c r="Q1350" s="67"/>
      <c r="R1350" s="67"/>
      <c r="S1350" s="67"/>
      <c r="T1350" s="67"/>
      <c r="U1350" s="67"/>
      <c r="V1350" s="67"/>
      <c r="W1350" s="85" t="str">
        <f aca="false">IF(AH1350="","",N(Q1350)+N(R1350)+N(S1350)+N(T1350)+N(U1350)+N(V1350))</f>
        <v/>
      </c>
      <c r="X1350" s="85" t="str">
        <f aca="false">IF(AH1350="","",P1350-W1350)</f>
        <v/>
      </c>
      <c r="Y1350" s="67"/>
      <c r="Z1350" s="70" t="str">
        <f aca="false">IF(OR(AH1350="",Y1350=""),"",IF(ABS(X1350-Y1350)&lt;=1,"✓ Cuadra","⚠ Diferencia $"&amp;FIXED(X1350-Y1350,0)))</f>
        <v/>
      </c>
      <c r="AA1350" s="72" t="str">
        <f aca="false">IF(AH1350="","",IFERROR(INDEX(C_TIPO,MATCH(C1350&amp;"-P"&amp;MAX(1,COUNTIFS(C_ID,C1350,C_DEFINE,"Sí",C_INICIO,"&lt;="&amp;EOMONTH(B1350,0))),C_CLAVE,0))&amp;"","Sin dato"))</f>
        <v/>
      </c>
      <c r="AB1350" s="71" t="str">
        <f aca="false">IF(AH1350="","",ROUND(MIN(K1350,TOPE_AFP_UF*AJ1350)*AK1350,0))</f>
        <v/>
      </c>
      <c r="AC1350" s="71" t="str">
        <f aca="false">IF(AH1350="","",ROUND(MIN(K1350,TOPE_AFC_UF*AJ1350)*IF(AA1350="Indefinido",AFC_EMP_INDEF,AFC_EMP_PF),0))</f>
        <v/>
      </c>
      <c r="AD1350" s="71" t="str">
        <f aca="false">IF(AH1350="","",ROUND(MIN(K1350,TOPE_AFP_UF*AJ1350)*(MUTUAL_BASICA+MUTUAL_ADIC+SANNA),0))</f>
        <v/>
      </c>
      <c r="AE1350" s="71" t="str">
        <f aca="false">IF(AH1350="","",P1350-N(N1350)+AB1350+AC1350+AD1350)</f>
        <v/>
      </c>
      <c r="AF1350" s="65"/>
      <c r="AG1350" s="64"/>
      <c r="AH1350" s="72" t="str">
        <f aca="false">IF(OR(B1350="",C1350=""),"",C1350&amp;"|"&amp;(YEAR(B1350)*100+MONTH(B1350)))</f>
        <v/>
      </c>
      <c r="AI1350" s="70" t="str">
        <f aca="false">IF(AH1350="","",IF(COUNTIF(L_CLAVE,AH1350)&gt;1,"⚠ Duplicado","OK"))</f>
        <v/>
      </c>
      <c r="AJ1350" s="86" t="str">
        <f aca="false">IF(AH1350="","",IF(SUMPRODUCT(MAX((IND_PER&lt;=B1350)*(IND_UF&lt;&gt;"")*IND_PER))=0,UF_HOY,INDEX(IND_UF,MATCH(SUMPRODUCT(MAX((IND_PER&lt;=B1350)*(IND_UF&lt;&gt;"")*IND_PER)),IND_PER,0))))</f>
        <v/>
      </c>
      <c r="AK1350" s="87" t="str">
        <f aca="false">IF(AH1350="","",IF(COUNTIF(TASA_DESDE,"&lt;="&amp;B1350)=0,INDEX(TASA_EMP,1),INDEX(TASA_EMP,COUNTIF(TASA_DESDE,"&lt;="&amp;B1350))))</f>
        <v/>
      </c>
    </row>
    <row r="1351" customFormat="false" ht="15" hidden="false" customHeight="false" outlineLevel="0" collapsed="false">
      <c r="B1351" s="78"/>
      <c r="C1351" s="64"/>
      <c r="D1351" s="72" t="str">
        <f aca="false">IF(C1351="","",IFERROR(INDEX(T_NOMBRE,MATCH(C1351,T_ID,0)),"⚠ ID no existe"))</f>
        <v/>
      </c>
      <c r="E1351" s="69"/>
      <c r="F1351" s="67"/>
      <c r="G1351" s="67"/>
      <c r="H1351" s="67"/>
      <c r="I1351" s="67"/>
      <c r="J1351" s="67"/>
      <c r="K1351" s="85" t="str">
        <f aca="false">IF(AH1351="","",N(F1351)+N(G1351)+N(H1351)-N(I1351)+N(J1351))</f>
        <v/>
      </c>
      <c r="L1351" s="67"/>
      <c r="M1351" s="67"/>
      <c r="N1351" s="67"/>
      <c r="O1351" s="67"/>
      <c r="P1351" s="85" t="str">
        <f aca="false">IF(AH1351="","",K1351+N(L1351)+N(M1351)+N(N1351)+N(O1351))</f>
        <v/>
      </c>
      <c r="Q1351" s="67"/>
      <c r="R1351" s="67"/>
      <c r="S1351" s="67"/>
      <c r="T1351" s="67"/>
      <c r="U1351" s="67"/>
      <c r="V1351" s="67"/>
      <c r="W1351" s="85" t="str">
        <f aca="false">IF(AH1351="","",N(Q1351)+N(R1351)+N(S1351)+N(T1351)+N(U1351)+N(V1351))</f>
        <v/>
      </c>
      <c r="X1351" s="85" t="str">
        <f aca="false">IF(AH1351="","",P1351-W1351)</f>
        <v/>
      </c>
      <c r="Y1351" s="67"/>
      <c r="Z1351" s="70" t="str">
        <f aca="false">IF(OR(AH1351="",Y1351=""),"",IF(ABS(X1351-Y1351)&lt;=1,"✓ Cuadra","⚠ Diferencia $"&amp;FIXED(X1351-Y1351,0)))</f>
        <v/>
      </c>
      <c r="AA1351" s="72" t="str">
        <f aca="false">IF(AH1351="","",IFERROR(INDEX(C_TIPO,MATCH(C1351&amp;"-P"&amp;MAX(1,COUNTIFS(C_ID,C1351,C_DEFINE,"Sí",C_INICIO,"&lt;="&amp;EOMONTH(B1351,0))),C_CLAVE,0))&amp;"","Sin dato"))</f>
        <v/>
      </c>
      <c r="AB1351" s="71" t="str">
        <f aca="false">IF(AH1351="","",ROUND(MIN(K1351,TOPE_AFP_UF*AJ1351)*AK1351,0))</f>
        <v/>
      </c>
      <c r="AC1351" s="71" t="str">
        <f aca="false">IF(AH1351="","",ROUND(MIN(K1351,TOPE_AFC_UF*AJ1351)*IF(AA1351="Indefinido",AFC_EMP_INDEF,AFC_EMP_PF),0))</f>
        <v/>
      </c>
      <c r="AD1351" s="71" t="str">
        <f aca="false">IF(AH1351="","",ROUND(MIN(K1351,TOPE_AFP_UF*AJ1351)*(MUTUAL_BASICA+MUTUAL_ADIC+SANNA),0))</f>
        <v/>
      </c>
      <c r="AE1351" s="71" t="str">
        <f aca="false">IF(AH1351="","",P1351-N(N1351)+AB1351+AC1351+AD1351)</f>
        <v/>
      </c>
      <c r="AF1351" s="65"/>
      <c r="AG1351" s="64"/>
      <c r="AH1351" s="72" t="str">
        <f aca="false">IF(OR(B1351="",C1351=""),"",C1351&amp;"|"&amp;(YEAR(B1351)*100+MONTH(B1351)))</f>
        <v/>
      </c>
      <c r="AI1351" s="70" t="str">
        <f aca="false">IF(AH1351="","",IF(COUNTIF(L_CLAVE,AH1351)&gt;1,"⚠ Duplicado","OK"))</f>
        <v/>
      </c>
      <c r="AJ1351" s="86" t="str">
        <f aca="false">IF(AH1351="","",IF(SUMPRODUCT(MAX((IND_PER&lt;=B1351)*(IND_UF&lt;&gt;"")*IND_PER))=0,UF_HOY,INDEX(IND_UF,MATCH(SUMPRODUCT(MAX((IND_PER&lt;=B1351)*(IND_UF&lt;&gt;"")*IND_PER)),IND_PER,0))))</f>
        <v/>
      </c>
      <c r="AK1351" s="87" t="str">
        <f aca="false">IF(AH1351="","",IF(COUNTIF(TASA_DESDE,"&lt;="&amp;B1351)=0,INDEX(TASA_EMP,1),INDEX(TASA_EMP,COUNTIF(TASA_DESDE,"&lt;="&amp;B1351))))</f>
        <v/>
      </c>
    </row>
    <row r="1352" customFormat="false" ht="15" hidden="false" customHeight="false" outlineLevel="0" collapsed="false">
      <c r="B1352" s="78"/>
      <c r="C1352" s="64"/>
      <c r="D1352" s="72" t="str">
        <f aca="false">IF(C1352="","",IFERROR(INDEX(T_NOMBRE,MATCH(C1352,T_ID,0)),"⚠ ID no existe"))</f>
        <v/>
      </c>
      <c r="E1352" s="69"/>
      <c r="F1352" s="67"/>
      <c r="G1352" s="67"/>
      <c r="H1352" s="67"/>
      <c r="I1352" s="67"/>
      <c r="J1352" s="67"/>
      <c r="K1352" s="85" t="str">
        <f aca="false">IF(AH1352="","",N(F1352)+N(G1352)+N(H1352)-N(I1352)+N(J1352))</f>
        <v/>
      </c>
      <c r="L1352" s="67"/>
      <c r="M1352" s="67"/>
      <c r="N1352" s="67"/>
      <c r="O1352" s="67"/>
      <c r="P1352" s="85" t="str">
        <f aca="false">IF(AH1352="","",K1352+N(L1352)+N(M1352)+N(N1352)+N(O1352))</f>
        <v/>
      </c>
      <c r="Q1352" s="67"/>
      <c r="R1352" s="67"/>
      <c r="S1352" s="67"/>
      <c r="T1352" s="67"/>
      <c r="U1352" s="67"/>
      <c r="V1352" s="67"/>
      <c r="W1352" s="85" t="str">
        <f aca="false">IF(AH1352="","",N(Q1352)+N(R1352)+N(S1352)+N(T1352)+N(U1352)+N(V1352))</f>
        <v/>
      </c>
      <c r="X1352" s="85" t="str">
        <f aca="false">IF(AH1352="","",P1352-W1352)</f>
        <v/>
      </c>
      <c r="Y1352" s="67"/>
      <c r="Z1352" s="70" t="str">
        <f aca="false">IF(OR(AH1352="",Y1352=""),"",IF(ABS(X1352-Y1352)&lt;=1,"✓ Cuadra","⚠ Diferencia $"&amp;FIXED(X1352-Y1352,0)))</f>
        <v/>
      </c>
      <c r="AA1352" s="72" t="str">
        <f aca="false">IF(AH1352="","",IFERROR(INDEX(C_TIPO,MATCH(C1352&amp;"-P"&amp;MAX(1,COUNTIFS(C_ID,C1352,C_DEFINE,"Sí",C_INICIO,"&lt;="&amp;EOMONTH(B1352,0))),C_CLAVE,0))&amp;"","Sin dato"))</f>
        <v/>
      </c>
      <c r="AB1352" s="71" t="str">
        <f aca="false">IF(AH1352="","",ROUND(MIN(K1352,TOPE_AFP_UF*AJ1352)*AK1352,0))</f>
        <v/>
      </c>
      <c r="AC1352" s="71" t="str">
        <f aca="false">IF(AH1352="","",ROUND(MIN(K1352,TOPE_AFC_UF*AJ1352)*IF(AA1352="Indefinido",AFC_EMP_INDEF,AFC_EMP_PF),0))</f>
        <v/>
      </c>
      <c r="AD1352" s="71" t="str">
        <f aca="false">IF(AH1352="","",ROUND(MIN(K1352,TOPE_AFP_UF*AJ1352)*(MUTUAL_BASICA+MUTUAL_ADIC+SANNA),0))</f>
        <v/>
      </c>
      <c r="AE1352" s="71" t="str">
        <f aca="false">IF(AH1352="","",P1352-N(N1352)+AB1352+AC1352+AD1352)</f>
        <v/>
      </c>
      <c r="AF1352" s="65"/>
      <c r="AG1352" s="64"/>
      <c r="AH1352" s="72" t="str">
        <f aca="false">IF(OR(B1352="",C1352=""),"",C1352&amp;"|"&amp;(YEAR(B1352)*100+MONTH(B1352)))</f>
        <v/>
      </c>
      <c r="AI1352" s="70" t="str">
        <f aca="false">IF(AH1352="","",IF(COUNTIF(L_CLAVE,AH1352)&gt;1,"⚠ Duplicado","OK"))</f>
        <v/>
      </c>
      <c r="AJ1352" s="86" t="str">
        <f aca="false">IF(AH1352="","",IF(SUMPRODUCT(MAX((IND_PER&lt;=B1352)*(IND_UF&lt;&gt;"")*IND_PER))=0,UF_HOY,INDEX(IND_UF,MATCH(SUMPRODUCT(MAX((IND_PER&lt;=B1352)*(IND_UF&lt;&gt;"")*IND_PER)),IND_PER,0))))</f>
        <v/>
      </c>
      <c r="AK1352" s="87" t="str">
        <f aca="false">IF(AH1352="","",IF(COUNTIF(TASA_DESDE,"&lt;="&amp;B1352)=0,INDEX(TASA_EMP,1),INDEX(TASA_EMP,COUNTIF(TASA_DESDE,"&lt;="&amp;B1352))))</f>
        <v/>
      </c>
    </row>
    <row r="1353" customFormat="false" ht="15" hidden="false" customHeight="false" outlineLevel="0" collapsed="false">
      <c r="B1353" s="78"/>
      <c r="C1353" s="64"/>
      <c r="D1353" s="72" t="str">
        <f aca="false">IF(C1353="","",IFERROR(INDEX(T_NOMBRE,MATCH(C1353,T_ID,0)),"⚠ ID no existe"))</f>
        <v/>
      </c>
      <c r="E1353" s="69"/>
      <c r="F1353" s="67"/>
      <c r="G1353" s="67"/>
      <c r="H1353" s="67"/>
      <c r="I1353" s="67"/>
      <c r="J1353" s="67"/>
      <c r="K1353" s="85" t="str">
        <f aca="false">IF(AH1353="","",N(F1353)+N(G1353)+N(H1353)-N(I1353)+N(J1353))</f>
        <v/>
      </c>
      <c r="L1353" s="67"/>
      <c r="M1353" s="67"/>
      <c r="N1353" s="67"/>
      <c r="O1353" s="67"/>
      <c r="P1353" s="85" t="str">
        <f aca="false">IF(AH1353="","",K1353+N(L1353)+N(M1353)+N(N1353)+N(O1353))</f>
        <v/>
      </c>
      <c r="Q1353" s="67"/>
      <c r="R1353" s="67"/>
      <c r="S1353" s="67"/>
      <c r="T1353" s="67"/>
      <c r="U1353" s="67"/>
      <c r="V1353" s="67"/>
      <c r="W1353" s="85" t="str">
        <f aca="false">IF(AH1353="","",N(Q1353)+N(R1353)+N(S1353)+N(T1353)+N(U1353)+N(V1353))</f>
        <v/>
      </c>
      <c r="X1353" s="85" t="str">
        <f aca="false">IF(AH1353="","",P1353-W1353)</f>
        <v/>
      </c>
      <c r="Y1353" s="67"/>
      <c r="Z1353" s="70" t="str">
        <f aca="false">IF(OR(AH1353="",Y1353=""),"",IF(ABS(X1353-Y1353)&lt;=1,"✓ Cuadra","⚠ Diferencia $"&amp;FIXED(X1353-Y1353,0)))</f>
        <v/>
      </c>
      <c r="AA1353" s="72" t="str">
        <f aca="false">IF(AH1353="","",IFERROR(INDEX(C_TIPO,MATCH(C1353&amp;"-P"&amp;MAX(1,COUNTIFS(C_ID,C1353,C_DEFINE,"Sí",C_INICIO,"&lt;="&amp;EOMONTH(B1353,0))),C_CLAVE,0))&amp;"","Sin dato"))</f>
        <v/>
      </c>
      <c r="AB1353" s="71" t="str">
        <f aca="false">IF(AH1353="","",ROUND(MIN(K1353,TOPE_AFP_UF*AJ1353)*AK1353,0))</f>
        <v/>
      </c>
      <c r="AC1353" s="71" t="str">
        <f aca="false">IF(AH1353="","",ROUND(MIN(K1353,TOPE_AFC_UF*AJ1353)*IF(AA1353="Indefinido",AFC_EMP_INDEF,AFC_EMP_PF),0))</f>
        <v/>
      </c>
      <c r="AD1353" s="71" t="str">
        <f aca="false">IF(AH1353="","",ROUND(MIN(K1353,TOPE_AFP_UF*AJ1353)*(MUTUAL_BASICA+MUTUAL_ADIC+SANNA),0))</f>
        <v/>
      </c>
      <c r="AE1353" s="71" t="str">
        <f aca="false">IF(AH1353="","",P1353-N(N1353)+AB1353+AC1353+AD1353)</f>
        <v/>
      </c>
      <c r="AF1353" s="65"/>
      <c r="AG1353" s="64"/>
      <c r="AH1353" s="72" t="str">
        <f aca="false">IF(OR(B1353="",C1353=""),"",C1353&amp;"|"&amp;(YEAR(B1353)*100+MONTH(B1353)))</f>
        <v/>
      </c>
      <c r="AI1353" s="70" t="str">
        <f aca="false">IF(AH1353="","",IF(COUNTIF(L_CLAVE,AH1353)&gt;1,"⚠ Duplicado","OK"))</f>
        <v/>
      </c>
      <c r="AJ1353" s="86" t="str">
        <f aca="false">IF(AH1353="","",IF(SUMPRODUCT(MAX((IND_PER&lt;=B1353)*(IND_UF&lt;&gt;"")*IND_PER))=0,UF_HOY,INDEX(IND_UF,MATCH(SUMPRODUCT(MAX((IND_PER&lt;=B1353)*(IND_UF&lt;&gt;"")*IND_PER)),IND_PER,0))))</f>
        <v/>
      </c>
      <c r="AK1353" s="87" t="str">
        <f aca="false">IF(AH1353="","",IF(COUNTIF(TASA_DESDE,"&lt;="&amp;B1353)=0,INDEX(TASA_EMP,1),INDEX(TASA_EMP,COUNTIF(TASA_DESDE,"&lt;="&amp;B1353))))</f>
        <v/>
      </c>
    </row>
    <row r="1354" customFormat="false" ht="15" hidden="false" customHeight="false" outlineLevel="0" collapsed="false">
      <c r="B1354" s="78"/>
      <c r="C1354" s="64"/>
      <c r="D1354" s="72" t="str">
        <f aca="false">IF(C1354="","",IFERROR(INDEX(T_NOMBRE,MATCH(C1354,T_ID,0)),"⚠ ID no existe"))</f>
        <v/>
      </c>
      <c r="E1354" s="69"/>
      <c r="F1354" s="67"/>
      <c r="G1354" s="67"/>
      <c r="H1354" s="67"/>
      <c r="I1354" s="67"/>
      <c r="J1354" s="67"/>
      <c r="K1354" s="85" t="str">
        <f aca="false">IF(AH1354="","",N(F1354)+N(G1354)+N(H1354)-N(I1354)+N(J1354))</f>
        <v/>
      </c>
      <c r="L1354" s="67"/>
      <c r="M1354" s="67"/>
      <c r="N1354" s="67"/>
      <c r="O1354" s="67"/>
      <c r="P1354" s="85" t="str">
        <f aca="false">IF(AH1354="","",K1354+N(L1354)+N(M1354)+N(N1354)+N(O1354))</f>
        <v/>
      </c>
      <c r="Q1354" s="67"/>
      <c r="R1354" s="67"/>
      <c r="S1354" s="67"/>
      <c r="T1354" s="67"/>
      <c r="U1354" s="67"/>
      <c r="V1354" s="67"/>
      <c r="W1354" s="85" t="str">
        <f aca="false">IF(AH1354="","",N(Q1354)+N(R1354)+N(S1354)+N(T1354)+N(U1354)+N(V1354))</f>
        <v/>
      </c>
      <c r="X1354" s="85" t="str">
        <f aca="false">IF(AH1354="","",P1354-W1354)</f>
        <v/>
      </c>
      <c r="Y1354" s="67"/>
      <c r="Z1354" s="70" t="str">
        <f aca="false">IF(OR(AH1354="",Y1354=""),"",IF(ABS(X1354-Y1354)&lt;=1,"✓ Cuadra","⚠ Diferencia $"&amp;FIXED(X1354-Y1354,0)))</f>
        <v/>
      </c>
      <c r="AA1354" s="72" t="str">
        <f aca="false">IF(AH1354="","",IFERROR(INDEX(C_TIPO,MATCH(C1354&amp;"-P"&amp;MAX(1,COUNTIFS(C_ID,C1354,C_DEFINE,"Sí",C_INICIO,"&lt;="&amp;EOMONTH(B1354,0))),C_CLAVE,0))&amp;"","Sin dato"))</f>
        <v/>
      </c>
      <c r="AB1354" s="71" t="str">
        <f aca="false">IF(AH1354="","",ROUND(MIN(K1354,TOPE_AFP_UF*AJ1354)*AK1354,0))</f>
        <v/>
      </c>
      <c r="AC1354" s="71" t="str">
        <f aca="false">IF(AH1354="","",ROUND(MIN(K1354,TOPE_AFC_UF*AJ1354)*IF(AA1354="Indefinido",AFC_EMP_INDEF,AFC_EMP_PF),0))</f>
        <v/>
      </c>
      <c r="AD1354" s="71" t="str">
        <f aca="false">IF(AH1354="","",ROUND(MIN(K1354,TOPE_AFP_UF*AJ1354)*(MUTUAL_BASICA+MUTUAL_ADIC+SANNA),0))</f>
        <v/>
      </c>
      <c r="AE1354" s="71" t="str">
        <f aca="false">IF(AH1354="","",P1354-N(N1354)+AB1354+AC1354+AD1354)</f>
        <v/>
      </c>
      <c r="AF1354" s="65"/>
      <c r="AG1354" s="64"/>
      <c r="AH1354" s="72" t="str">
        <f aca="false">IF(OR(B1354="",C1354=""),"",C1354&amp;"|"&amp;(YEAR(B1354)*100+MONTH(B1354)))</f>
        <v/>
      </c>
      <c r="AI1354" s="70" t="str">
        <f aca="false">IF(AH1354="","",IF(COUNTIF(L_CLAVE,AH1354)&gt;1,"⚠ Duplicado","OK"))</f>
        <v/>
      </c>
      <c r="AJ1354" s="86" t="str">
        <f aca="false">IF(AH1354="","",IF(SUMPRODUCT(MAX((IND_PER&lt;=B1354)*(IND_UF&lt;&gt;"")*IND_PER))=0,UF_HOY,INDEX(IND_UF,MATCH(SUMPRODUCT(MAX((IND_PER&lt;=B1354)*(IND_UF&lt;&gt;"")*IND_PER)),IND_PER,0))))</f>
        <v/>
      </c>
      <c r="AK1354" s="87" t="str">
        <f aca="false">IF(AH1354="","",IF(COUNTIF(TASA_DESDE,"&lt;="&amp;B1354)=0,INDEX(TASA_EMP,1),INDEX(TASA_EMP,COUNTIF(TASA_DESDE,"&lt;="&amp;B1354))))</f>
        <v/>
      </c>
    </row>
    <row r="1355" customFormat="false" ht="15" hidden="false" customHeight="false" outlineLevel="0" collapsed="false">
      <c r="B1355" s="78"/>
      <c r="C1355" s="64"/>
      <c r="D1355" s="72" t="str">
        <f aca="false">IF(C1355="","",IFERROR(INDEX(T_NOMBRE,MATCH(C1355,T_ID,0)),"⚠ ID no existe"))</f>
        <v/>
      </c>
      <c r="E1355" s="69"/>
      <c r="F1355" s="67"/>
      <c r="G1355" s="67"/>
      <c r="H1355" s="67"/>
      <c r="I1355" s="67"/>
      <c r="J1355" s="67"/>
      <c r="K1355" s="85" t="str">
        <f aca="false">IF(AH1355="","",N(F1355)+N(G1355)+N(H1355)-N(I1355)+N(J1355))</f>
        <v/>
      </c>
      <c r="L1355" s="67"/>
      <c r="M1355" s="67"/>
      <c r="N1355" s="67"/>
      <c r="O1355" s="67"/>
      <c r="P1355" s="85" t="str">
        <f aca="false">IF(AH1355="","",K1355+N(L1355)+N(M1355)+N(N1355)+N(O1355))</f>
        <v/>
      </c>
      <c r="Q1355" s="67"/>
      <c r="R1355" s="67"/>
      <c r="S1355" s="67"/>
      <c r="T1355" s="67"/>
      <c r="U1355" s="67"/>
      <c r="V1355" s="67"/>
      <c r="W1355" s="85" t="str">
        <f aca="false">IF(AH1355="","",N(Q1355)+N(R1355)+N(S1355)+N(T1355)+N(U1355)+N(V1355))</f>
        <v/>
      </c>
      <c r="X1355" s="85" t="str">
        <f aca="false">IF(AH1355="","",P1355-W1355)</f>
        <v/>
      </c>
      <c r="Y1355" s="67"/>
      <c r="Z1355" s="70" t="str">
        <f aca="false">IF(OR(AH1355="",Y1355=""),"",IF(ABS(X1355-Y1355)&lt;=1,"✓ Cuadra","⚠ Diferencia $"&amp;FIXED(X1355-Y1355,0)))</f>
        <v/>
      </c>
      <c r="AA1355" s="72" t="str">
        <f aca="false">IF(AH1355="","",IFERROR(INDEX(C_TIPO,MATCH(C1355&amp;"-P"&amp;MAX(1,COUNTIFS(C_ID,C1355,C_DEFINE,"Sí",C_INICIO,"&lt;="&amp;EOMONTH(B1355,0))),C_CLAVE,0))&amp;"","Sin dato"))</f>
        <v/>
      </c>
      <c r="AB1355" s="71" t="str">
        <f aca="false">IF(AH1355="","",ROUND(MIN(K1355,TOPE_AFP_UF*AJ1355)*AK1355,0))</f>
        <v/>
      </c>
      <c r="AC1355" s="71" t="str">
        <f aca="false">IF(AH1355="","",ROUND(MIN(K1355,TOPE_AFC_UF*AJ1355)*IF(AA1355="Indefinido",AFC_EMP_INDEF,AFC_EMP_PF),0))</f>
        <v/>
      </c>
      <c r="AD1355" s="71" t="str">
        <f aca="false">IF(AH1355="","",ROUND(MIN(K1355,TOPE_AFP_UF*AJ1355)*(MUTUAL_BASICA+MUTUAL_ADIC+SANNA),0))</f>
        <v/>
      </c>
      <c r="AE1355" s="71" t="str">
        <f aca="false">IF(AH1355="","",P1355-N(N1355)+AB1355+AC1355+AD1355)</f>
        <v/>
      </c>
      <c r="AF1355" s="65"/>
      <c r="AG1355" s="64"/>
      <c r="AH1355" s="72" t="str">
        <f aca="false">IF(OR(B1355="",C1355=""),"",C1355&amp;"|"&amp;(YEAR(B1355)*100+MONTH(B1355)))</f>
        <v/>
      </c>
      <c r="AI1355" s="70" t="str">
        <f aca="false">IF(AH1355="","",IF(COUNTIF(L_CLAVE,AH1355)&gt;1,"⚠ Duplicado","OK"))</f>
        <v/>
      </c>
      <c r="AJ1355" s="86" t="str">
        <f aca="false">IF(AH1355="","",IF(SUMPRODUCT(MAX((IND_PER&lt;=B1355)*(IND_UF&lt;&gt;"")*IND_PER))=0,UF_HOY,INDEX(IND_UF,MATCH(SUMPRODUCT(MAX((IND_PER&lt;=B1355)*(IND_UF&lt;&gt;"")*IND_PER)),IND_PER,0))))</f>
        <v/>
      </c>
      <c r="AK1355" s="87" t="str">
        <f aca="false">IF(AH1355="","",IF(COUNTIF(TASA_DESDE,"&lt;="&amp;B1355)=0,INDEX(TASA_EMP,1),INDEX(TASA_EMP,COUNTIF(TASA_DESDE,"&lt;="&amp;B1355))))</f>
        <v/>
      </c>
    </row>
    <row r="1356" customFormat="false" ht="15" hidden="false" customHeight="false" outlineLevel="0" collapsed="false">
      <c r="B1356" s="78"/>
      <c r="C1356" s="64"/>
      <c r="D1356" s="72" t="str">
        <f aca="false">IF(C1356="","",IFERROR(INDEX(T_NOMBRE,MATCH(C1356,T_ID,0)),"⚠ ID no existe"))</f>
        <v/>
      </c>
      <c r="E1356" s="69"/>
      <c r="F1356" s="67"/>
      <c r="G1356" s="67"/>
      <c r="H1356" s="67"/>
      <c r="I1356" s="67"/>
      <c r="J1356" s="67"/>
      <c r="K1356" s="85" t="str">
        <f aca="false">IF(AH1356="","",N(F1356)+N(G1356)+N(H1356)-N(I1356)+N(J1356))</f>
        <v/>
      </c>
      <c r="L1356" s="67"/>
      <c r="M1356" s="67"/>
      <c r="N1356" s="67"/>
      <c r="O1356" s="67"/>
      <c r="P1356" s="85" t="str">
        <f aca="false">IF(AH1356="","",K1356+N(L1356)+N(M1356)+N(N1356)+N(O1356))</f>
        <v/>
      </c>
      <c r="Q1356" s="67"/>
      <c r="R1356" s="67"/>
      <c r="S1356" s="67"/>
      <c r="T1356" s="67"/>
      <c r="U1356" s="67"/>
      <c r="V1356" s="67"/>
      <c r="W1356" s="85" t="str">
        <f aca="false">IF(AH1356="","",N(Q1356)+N(R1356)+N(S1356)+N(T1356)+N(U1356)+N(V1356))</f>
        <v/>
      </c>
      <c r="X1356" s="85" t="str">
        <f aca="false">IF(AH1356="","",P1356-W1356)</f>
        <v/>
      </c>
      <c r="Y1356" s="67"/>
      <c r="Z1356" s="70" t="str">
        <f aca="false">IF(OR(AH1356="",Y1356=""),"",IF(ABS(X1356-Y1356)&lt;=1,"✓ Cuadra","⚠ Diferencia $"&amp;FIXED(X1356-Y1356,0)))</f>
        <v/>
      </c>
      <c r="AA1356" s="72" t="str">
        <f aca="false">IF(AH1356="","",IFERROR(INDEX(C_TIPO,MATCH(C1356&amp;"-P"&amp;MAX(1,COUNTIFS(C_ID,C1356,C_DEFINE,"Sí",C_INICIO,"&lt;="&amp;EOMONTH(B1356,0))),C_CLAVE,0))&amp;"","Sin dato"))</f>
        <v/>
      </c>
      <c r="AB1356" s="71" t="str">
        <f aca="false">IF(AH1356="","",ROUND(MIN(K1356,TOPE_AFP_UF*AJ1356)*AK1356,0))</f>
        <v/>
      </c>
      <c r="AC1356" s="71" t="str">
        <f aca="false">IF(AH1356="","",ROUND(MIN(K1356,TOPE_AFC_UF*AJ1356)*IF(AA1356="Indefinido",AFC_EMP_INDEF,AFC_EMP_PF),0))</f>
        <v/>
      </c>
      <c r="AD1356" s="71" t="str">
        <f aca="false">IF(AH1356="","",ROUND(MIN(K1356,TOPE_AFP_UF*AJ1356)*(MUTUAL_BASICA+MUTUAL_ADIC+SANNA),0))</f>
        <v/>
      </c>
      <c r="AE1356" s="71" t="str">
        <f aca="false">IF(AH1356="","",P1356-N(N1356)+AB1356+AC1356+AD1356)</f>
        <v/>
      </c>
      <c r="AF1356" s="65"/>
      <c r="AG1356" s="64"/>
      <c r="AH1356" s="72" t="str">
        <f aca="false">IF(OR(B1356="",C1356=""),"",C1356&amp;"|"&amp;(YEAR(B1356)*100+MONTH(B1356)))</f>
        <v/>
      </c>
      <c r="AI1356" s="70" t="str">
        <f aca="false">IF(AH1356="","",IF(COUNTIF(L_CLAVE,AH1356)&gt;1,"⚠ Duplicado","OK"))</f>
        <v/>
      </c>
      <c r="AJ1356" s="86" t="str">
        <f aca="false">IF(AH1356="","",IF(SUMPRODUCT(MAX((IND_PER&lt;=B1356)*(IND_UF&lt;&gt;"")*IND_PER))=0,UF_HOY,INDEX(IND_UF,MATCH(SUMPRODUCT(MAX((IND_PER&lt;=B1356)*(IND_UF&lt;&gt;"")*IND_PER)),IND_PER,0))))</f>
        <v/>
      </c>
      <c r="AK1356" s="87" t="str">
        <f aca="false">IF(AH1356="","",IF(COUNTIF(TASA_DESDE,"&lt;="&amp;B1356)=0,INDEX(TASA_EMP,1),INDEX(TASA_EMP,COUNTIF(TASA_DESDE,"&lt;="&amp;B1356))))</f>
        <v/>
      </c>
    </row>
    <row r="1357" customFormat="false" ht="15" hidden="false" customHeight="false" outlineLevel="0" collapsed="false">
      <c r="B1357" s="78"/>
      <c r="C1357" s="64"/>
      <c r="D1357" s="72" t="str">
        <f aca="false">IF(C1357="","",IFERROR(INDEX(T_NOMBRE,MATCH(C1357,T_ID,0)),"⚠ ID no existe"))</f>
        <v/>
      </c>
      <c r="E1357" s="69"/>
      <c r="F1357" s="67"/>
      <c r="G1357" s="67"/>
      <c r="H1357" s="67"/>
      <c r="I1357" s="67"/>
      <c r="J1357" s="67"/>
      <c r="K1357" s="85" t="str">
        <f aca="false">IF(AH1357="","",N(F1357)+N(G1357)+N(H1357)-N(I1357)+N(J1357))</f>
        <v/>
      </c>
      <c r="L1357" s="67"/>
      <c r="M1357" s="67"/>
      <c r="N1357" s="67"/>
      <c r="O1357" s="67"/>
      <c r="P1357" s="85" t="str">
        <f aca="false">IF(AH1357="","",K1357+N(L1357)+N(M1357)+N(N1357)+N(O1357))</f>
        <v/>
      </c>
      <c r="Q1357" s="67"/>
      <c r="R1357" s="67"/>
      <c r="S1357" s="67"/>
      <c r="T1357" s="67"/>
      <c r="U1357" s="67"/>
      <c r="V1357" s="67"/>
      <c r="W1357" s="85" t="str">
        <f aca="false">IF(AH1357="","",N(Q1357)+N(R1357)+N(S1357)+N(T1357)+N(U1357)+N(V1357))</f>
        <v/>
      </c>
      <c r="X1357" s="85" t="str">
        <f aca="false">IF(AH1357="","",P1357-W1357)</f>
        <v/>
      </c>
      <c r="Y1357" s="67"/>
      <c r="Z1357" s="70" t="str">
        <f aca="false">IF(OR(AH1357="",Y1357=""),"",IF(ABS(X1357-Y1357)&lt;=1,"✓ Cuadra","⚠ Diferencia $"&amp;FIXED(X1357-Y1357,0)))</f>
        <v/>
      </c>
      <c r="AA1357" s="72" t="str">
        <f aca="false">IF(AH1357="","",IFERROR(INDEX(C_TIPO,MATCH(C1357&amp;"-P"&amp;MAX(1,COUNTIFS(C_ID,C1357,C_DEFINE,"Sí",C_INICIO,"&lt;="&amp;EOMONTH(B1357,0))),C_CLAVE,0))&amp;"","Sin dato"))</f>
        <v/>
      </c>
      <c r="AB1357" s="71" t="str">
        <f aca="false">IF(AH1357="","",ROUND(MIN(K1357,TOPE_AFP_UF*AJ1357)*AK1357,0))</f>
        <v/>
      </c>
      <c r="AC1357" s="71" t="str">
        <f aca="false">IF(AH1357="","",ROUND(MIN(K1357,TOPE_AFC_UF*AJ1357)*IF(AA1357="Indefinido",AFC_EMP_INDEF,AFC_EMP_PF),0))</f>
        <v/>
      </c>
      <c r="AD1357" s="71" t="str">
        <f aca="false">IF(AH1357="","",ROUND(MIN(K1357,TOPE_AFP_UF*AJ1357)*(MUTUAL_BASICA+MUTUAL_ADIC+SANNA),0))</f>
        <v/>
      </c>
      <c r="AE1357" s="71" t="str">
        <f aca="false">IF(AH1357="","",P1357-N(N1357)+AB1357+AC1357+AD1357)</f>
        <v/>
      </c>
      <c r="AF1357" s="65"/>
      <c r="AG1357" s="64"/>
      <c r="AH1357" s="72" t="str">
        <f aca="false">IF(OR(B1357="",C1357=""),"",C1357&amp;"|"&amp;(YEAR(B1357)*100+MONTH(B1357)))</f>
        <v/>
      </c>
      <c r="AI1357" s="70" t="str">
        <f aca="false">IF(AH1357="","",IF(COUNTIF(L_CLAVE,AH1357)&gt;1,"⚠ Duplicado","OK"))</f>
        <v/>
      </c>
      <c r="AJ1357" s="86" t="str">
        <f aca="false">IF(AH1357="","",IF(SUMPRODUCT(MAX((IND_PER&lt;=B1357)*(IND_UF&lt;&gt;"")*IND_PER))=0,UF_HOY,INDEX(IND_UF,MATCH(SUMPRODUCT(MAX((IND_PER&lt;=B1357)*(IND_UF&lt;&gt;"")*IND_PER)),IND_PER,0))))</f>
        <v/>
      </c>
      <c r="AK1357" s="87" t="str">
        <f aca="false">IF(AH1357="","",IF(COUNTIF(TASA_DESDE,"&lt;="&amp;B1357)=0,INDEX(TASA_EMP,1),INDEX(TASA_EMP,COUNTIF(TASA_DESDE,"&lt;="&amp;B1357))))</f>
        <v/>
      </c>
    </row>
    <row r="1358" customFormat="false" ht="15" hidden="false" customHeight="false" outlineLevel="0" collapsed="false">
      <c r="B1358" s="78"/>
      <c r="C1358" s="64"/>
      <c r="D1358" s="72" t="str">
        <f aca="false">IF(C1358="","",IFERROR(INDEX(T_NOMBRE,MATCH(C1358,T_ID,0)),"⚠ ID no existe"))</f>
        <v/>
      </c>
      <c r="E1358" s="69"/>
      <c r="F1358" s="67"/>
      <c r="G1358" s="67"/>
      <c r="H1358" s="67"/>
      <c r="I1358" s="67"/>
      <c r="J1358" s="67"/>
      <c r="K1358" s="85" t="str">
        <f aca="false">IF(AH1358="","",N(F1358)+N(G1358)+N(H1358)-N(I1358)+N(J1358))</f>
        <v/>
      </c>
      <c r="L1358" s="67"/>
      <c r="M1358" s="67"/>
      <c r="N1358" s="67"/>
      <c r="O1358" s="67"/>
      <c r="P1358" s="85" t="str">
        <f aca="false">IF(AH1358="","",K1358+N(L1358)+N(M1358)+N(N1358)+N(O1358))</f>
        <v/>
      </c>
      <c r="Q1358" s="67"/>
      <c r="R1358" s="67"/>
      <c r="S1358" s="67"/>
      <c r="T1358" s="67"/>
      <c r="U1358" s="67"/>
      <c r="V1358" s="67"/>
      <c r="W1358" s="85" t="str">
        <f aca="false">IF(AH1358="","",N(Q1358)+N(R1358)+N(S1358)+N(T1358)+N(U1358)+N(V1358))</f>
        <v/>
      </c>
      <c r="X1358" s="85" t="str">
        <f aca="false">IF(AH1358="","",P1358-W1358)</f>
        <v/>
      </c>
      <c r="Y1358" s="67"/>
      <c r="Z1358" s="70" t="str">
        <f aca="false">IF(OR(AH1358="",Y1358=""),"",IF(ABS(X1358-Y1358)&lt;=1,"✓ Cuadra","⚠ Diferencia $"&amp;FIXED(X1358-Y1358,0)))</f>
        <v/>
      </c>
      <c r="AA1358" s="72" t="str">
        <f aca="false">IF(AH1358="","",IFERROR(INDEX(C_TIPO,MATCH(C1358&amp;"-P"&amp;MAX(1,COUNTIFS(C_ID,C1358,C_DEFINE,"Sí",C_INICIO,"&lt;="&amp;EOMONTH(B1358,0))),C_CLAVE,0))&amp;"","Sin dato"))</f>
        <v/>
      </c>
      <c r="AB1358" s="71" t="str">
        <f aca="false">IF(AH1358="","",ROUND(MIN(K1358,TOPE_AFP_UF*AJ1358)*AK1358,0))</f>
        <v/>
      </c>
      <c r="AC1358" s="71" t="str">
        <f aca="false">IF(AH1358="","",ROUND(MIN(K1358,TOPE_AFC_UF*AJ1358)*IF(AA1358="Indefinido",AFC_EMP_INDEF,AFC_EMP_PF),0))</f>
        <v/>
      </c>
      <c r="AD1358" s="71" t="str">
        <f aca="false">IF(AH1358="","",ROUND(MIN(K1358,TOPE_AFP_UF*AJ1358)*(MUTUAL_BASICA+MUTUAL_ADIC+SANNA),0))</f>
        <v/>
      </c>
      <c r="AE1358" s="71" t="str">
        <f aca="false">IF(AH1358="","",P1358-N(N1358)+AB1358+AC1358+AD1358)</f>
        <v/>
      </c>
      <c r="AF1358" s="65"/>
      <c r="AG1358" s="64"/>
      <c r="AH1358" s="72" t="str">
        <f aca="false">IF(OR(B1358="",C1358=""),"",C1358&amp;"|"&amp;(YEAR(B1358)*100+MONTH(B1358)))</f>
        <v/>
      </c>
      <c r="AI1358" s="70" t="str">
        <f aca="false">IF(AH1358="","",IF(COUNTIF(L_CLAVE,AH1358)&gt;1,"⚠ Duplicado","OK"))</f>
        <v/>
      </c>
      <c r="AJ1358" s="86" t="str">
        <f aca="false">IF(AH1358="","",IF(SUMPRODUCT(MAX((IND_PER&lt;=B1358)*(IND_UF&lt;&gt;"")*IND_PER))=0,UF_HOY,INDEX(IND_UF,MATCH(SUMPRODUCT(MAX((IND_PER&lt;=B1358)*(IND_UF&lt;&gt;"")*IND_PER)),IND_PER,0))))</f>
        <v/>
      </c>
      <c r="AK1358" s="87" t="str">
        <f aca="false">IF(AH1358="","",IF(COUNTIF(TASA_DESDE,"&lt;="&amp;B1358)=0,INDEX(TASA_EMP,1),INDEX(TASA_EMP,COUNTIF(TASA_DESDE,"&lt;="&amp;B1358))))</f>
        <v/>
      </c>
    </row>
    <row r="1359" customFormat="false" ht="15" hidden="false" customHeight="false" outlineLevel="0" collapsed="false">
      <c r="B1359" s="78"/>
      <c r="C1359" s="64"/>
      <c r="D1359" s="72" t="str">
        <f aca="false">IF(C1359="","",IFERROR(INDEX(T_NOMBRE,MATCH(C1359,T_ID,0)),"⚠ ID no existe"))</f>
        <v/>
      </c>
      <c r="E1359" s="69"/>
      <c r="F1359" s="67"/>
      <c r="G1359" s="67"/>
      <c r="H1359" s="67"/>
      <c r="I1359" s="67"/>
      <c r="J1359" s="67"/>
      <c r="K1359" s="85" t="str">
        <f aca="false">IF(AH1359="","",N(F1359)+N(G1359)+N(H1359)-N(I1359)+N(J1359))</f>
        <v/>
      </c>
      <c r="L1359" s="67"/>
      <c r="M1359" s="67"/>
      <c r="N1359" s="67"/>
      <c r="O1359" s="67"/>
      <c r="P1359" s="85" t="str">
        <f aca="false">IF(AH1359="","",K1359+N(L1359)+N(M1359)+N(N1359)+N(O1359))</f>
        <v/>
      </c>
      <c r="Q1359" s="67"/>
      <c r="R1359" s="67"/>
      <c r="S1359" s="67"/>
      <c r="T1359" s="67"/>
      <c r="U1359" s="67"/>
      <c r="V1359" s="67"/>
      <c r="W1359" s="85" t="str">
        <f aca="false">IF(AH1359="","",N(Q1359)+N(R1359)+N(S1359)+N(T1359)+N(U1359)+N(V1359))</f>
        <v/>
      </c>
      <c r="X1359" s="85" t="str">
        <f aca="false">IF(AH1359="","",P1359-W1359)</f>
        <v/>
      </c>
      <c r="Y1359" s="67"/>
      <c r="Z1359" s="70" t="str">
        <f aca="false">IF(OR(AH1359="",Y1359=""),"",IF(ABS(X1359-Y1359)&lt;=1,"✓ Cuadra","⚠ Diferencia $"&amp;FIXED(X1359-Y1359,0)))</f>
        <v/>
      </c>
      <c r="AA1359" s="72" t="str">
        <f aca="false">IF(AH1359="","",IFERROR(INDEX(C_TIPO,MATCH(C1359&amp;"-P"&amp;MAX(1,COUNTIFS(C_ID,C1359,C_DEFINE,"Sí",C_INICIO,"&lt;="&amp;EOMONTH(B1359,0))),C_CLAVE,0))&amp;"","Sin dato"))</f>
        <v/>
      </c>
      <c r="AB1359" s="71" t="str">
        <f aca="false">IF(AH1359="","",ROUND(MIN(K1359,TOPE_AFP_UF*AJ1359)*AK1359,0))</f>
        <v/>
      </c>
      <c r="AC1359" s="71" t="str">
        <f aca="false">IF(AH1359="","",ROUND(MIN(K1359,TOPE_AFC_UF*AJ1359)*IF(AA1359="Indefinido",AFC_EMP_INDEF,AFC_EMP_PF),0))</f>
        <v/>
      </c>
      <c r="AD1359" s="71" t="str">
        <f aca="false">IF(AH1359="","",ROUND(MIN(K1359,TOPE_AFP_UF*AJ1359)*(MUTUAL_BASICA+MUTUAL_ADIC+SANNA),0))</f>
        <v/>
      </c>
      <c r="AE1359" s="71" t="str">
        <f aca="false">IF(AH1359="","",P1359-N(N1359)+AB1359+AC1359+AD1359)</f>
        <v/>
      </c>
      <c r="AF1359" s="65"/>
      <c r="AG1359" s="64"/>
      <c r="AH1359" s="72" t="str">
        <f aca="false">IF(OR(B1359="",C1359=""),"",C1359&amp;"|"&amp;(YEAR(B1359)*100+MONTH(B1359)))</f>
        <v/>
      </c>
      <c r="AI1359" s="70" t="str">
        <f aca="false">IF(AH1359="","",IF(COUNTIF(L_CLAVE,AH1359)&gt;1,"⚠ Duplicado","OK"))</f>
        <v/>
      </c>
      <c r="AJ1359" s="86" t="str">
        <f aca="false">IF(AH1359="","",IF(SUMPRODUCT(MAX((IND_PER&lt;=B1359)*(IND_UF&lt;&gt;"")*IND_PER))=0,UF_HOY,INDEX(IND_UF,MATCH(SUMPRODUCT(MAX((IND_PER&lt;=B1359)*(IND_UF&lt;&gt;"")*IND_PER)),IND_PER,0))))</f>
        <v/>
      </c>
      <c r="AK1359" s="87" t="str">
        <f aca="false">IF(AH1359="","",IF(COUNTIF(TASA_DESDE,"&lt;="&amp;B1359)=0,INDEX(TASA_EMP,1),INDEX(TASA_EMP,COUNTIF(TASA_DESDE,"&lt;="&amp;B1359))))</f>
        <v/>
      </c>
    </row>
    <row r="1360" customFormat="false" ht="15" hidden="false" customHeight="false" outlineLevel="0" collapsed="false">
      <c r="B1360" s="78"/>
      <c r="C1360" s="64"/>
      <c r="D1360" s="72" t="str">
        <f aca="false">IF(C1360="","",IFERROR(INDEX(T_NOMBRE,MATCH(C1360,T_ID,0)),"⚠ ID no existe"))</f>
        <v/>
      </c>
      <c r="E1360" s="69"/>
      <c r="F1360" s="67"/>
      <c r="G1360" s="67"/>
      <c r="H1360" s="67"/>
      <c r="I1360" s="67"/>
      <c r="J1360" s="67"/>
      <c r="K1360" s="85" t="str">
        <f aca="false">IF(AH1360="","",N(F1360)+N(G1360)+N(H1360)-N(I1360)+N(J1360))</f>
        <v/>
      </c>
      <c r="L1360" s="67"/>
      <c r="M1360" s="67"/>
      <c r="N1360" s="67"/>
      <c r="O1360" s="67"/>
      <c r="P1360" s="85" t="str">
        <f aca="false">IF(AH1360="","",K1360+N(L1360)+N(M1360)+N(N1360)+N(O1360))</f>
        <v/>
      </c>
      <c r="Q1360" s="67"/>
      <c r="R1360" s="67"/>
      <c r="S1360" s="67"/>
      <c r="T1360" s="67"/>
      <c r="U1360" s="67"/>
      <c r="V1360" s="67"/>
      <c r="W1360" s="85" t="str">
        <f aca="false">IF(AH1360="","",N(Q1360)+N(R1360)+N(S1360)+N(T1360)+N(U1360)+N(V1360))</f>
        <v/>
      </c>
      <c r="X1360" s="85" t="str">
        <f aca="false">IF(AH1360="","",P1360-W1360)</f>
        <v/>
      </c>
      <c r="Y1360" s="67"/>
      <c r="Z1360" s="70" t="str">
        <f aca="false">IF(OR(AH1360="",Y1360=""),"",IF(ABS(X1360-Y1360)&lt;=1,"✓ Cuadra","⚠ Diferencia $"&amp;FIXED(X1360-Y1360,0)))</f>
        <v/>
      </c>
      <c r="AA1360" s="72" t="str">
        <f aca="false">IF(AH1360="","",IFERROR(INDEX(C_TIPO,MATCH(C1360&amp;"-P"&amp;MAX(1,COUNTIFS(C_ID,C1360,C_DEFINE,"Sí",C_INICIO,"&lt;="&amp;EOMONTH(B1360,0))),C_CLAVE,0))&amp;"","Sin dato"))</f>
        <v/>
      </c>
      <c r="AB1360" s="71" t="str">
        <f aca="false">IF(AH1360="","",ROUND(MIN(K1360,TOPE_AFP_UF*AJ1360)*AK1360,0))</f>
        <v/>
      </c>
      <c r="AC1360" s="71" t="str">
        <f aca="false">IF(AH1360="","",ROUND(MIN(K1360,TOPE_AFC_UF*AJ1360)*IF(AA1360="Indefinido",AFC_EMP_INDEF,AFC_EMP_PF),0))</f>
        <v/>
      </c>
      <c r="AD1360" s="71" t="str">
        <f aca="false">IF(AH1360="","",ROUND(MIN(K1360,TOPE_AFP_UF*AJ1360)*(MUTUAL_BASICA+MUTUAL_ADIC+SANNA),0))</f>
        <v/>
      </c>
      <c r="AE1360" s="71" t="str">
        <f aca="false">IF(AH1360="","",P1360-N(N1360)+AB1360+AC1360+AD1360)</f>
        <v/>
      </c>
      <c r="AF1360" s="65"/>
      <c r="AG1360" s="64"/>
      <c r="AH1360" s="72" t="str">
        <f aca="false">IF(OR(B1360="",C1360=""),"",C1360&amp;"|"&amp;(YEAR(B1360)*100+MONTH(B1360)))</f>
        <v/>
      </c>
      <c r="AI1360" s="70" t="str">
        <f aca="false">IF(AH1360="","",IF(COUNTIF(L_CLAVE,AH1360)&gt;1,"⚠ Duplicado","OK"))</f>
        <v/>
      </c>
      <c r="AJ1360" s="86" t="str">
        <f aca="false">IF(AH1360="","",IF(SUMPRODUCT(MAX((IND_PER&lt;=B1360)*(IND_UF&lt;&gt;"")*IND_PER))=0,UF_HOY,INDEX(IND_UF,MATCH(SUMPRODUCT(MAX((IND_PER&lt;=B1360)*(IND_UF&lt;&gt;"")*IND_PER)),IND_PER,0))))</f>
        <v/>
      </c>
      <c r="AK1360" s="87" t="str">
        <f aca="false">IF(AH1360="","",IF(COUNTIF(TASA_DESDE,"&lt;="&amp;B1360)=0,INDEX(TASA_EMP,1),INDEX(TASA_EMP,COUNTIF(TASA_DESDE,"&lt;="&amp;B1360))))</f>
        <v/>
      </c>
    </row>
    <row r="1361" customFormat="false" ht="15" hidden="false" customHeight="false" outlineLevel="0" collapsed="false">
      <c r="B1361" s="78"/>
      <c r="C1361" s="64"/>
      <c r="D1361" s="72" t="str">
        <f aca="false">IF(C1361="","",IFERROR(INDEX(T_NOMBRE,MATCH(C1361,T_ID,0)),"⚠ ID no existe"))</f>
        <v/>
      </c>
      <c r="E1361" s="69"/>
      <c r="F1361" s="67"/>
      <c r="G1361" s="67"/>
      <c r="H1361" s="67"/>
      <c r="I1361" s="67"/>
      <c r="J1361" s="67"/>
      <c r="K1361" s="85" t="str">
        <f aca="false">IF(AH1361="","",N(F1361)+N(G1361)+N(H1361)-N(I1361)+N(J1361))</f>
        <v/>
      </c>
      <c r="L1361" s="67"/>
      <c r="M1361" s="67"/>
      <c r="N1361" s="67"/>
      <c r="O1361" s="67"/>
      <c r="P1361" s="85" t="str">
        <f aca="false">IF(AH1361="","",K1361+N(L1361)+N(M1361)+N(N1361)+N(O1361))</f>
        <v/>
      </c>
      <c r="Q1361" s="67"/>
      <c r="R1361" s="67"/>
      <c r="S1361" s="67"/>
      <c r="T1361" s="67"/>
      <c r="U1361" s="67"/>
      <c r="V1361" s="67"/>
      <c r="W1361" s="85" t="str">
        <f aca="false">IF(AH1361="","",N(Q1361)+N(R1361)+N(S1361)+N(T1361)+N(U1361)+N(V1361))</f>
        <v/>
      </c>
      <c r="X1361" s="85" t="str">
        <f aca="false">IF(AH1361="","",P1361-W1361)</f>
        <v/>
      </c>
      <c r="Y1361" s="67"/>
      <c r="Z1361" s="70" t="str">
        <f aca="false">IF(OR(AH1361="",Y1361=""),"",IF(ABS(X1361-Y1361)&lt;=1,"✓ Cuadra","⚠ Diferencia $"&amp;FIXED(X1361-Y1361,0)))</f>
        <v/>
      </c>
      <c r="AA1361" s="72" t="str">
        <f aca="false">IF(AH1361="","",IFERROR(INDEX(C_TIPO,MATCH(C1361&amp;"-P"&amp;MAX(1,COUNTIFS(C_ID,C1361,C_DEFINE,"Sí",C_INICIO,"&lt;="&amp;EOMONTH(B1361,0))),C_CLAVE,0))&amp;"","Sin dato"))</f>
        <v/>
      </c>
      <c r="AB1361" s="71" t="str">
        <f aca="false">IF(AH1361="","",ROUND(MIN(K1361,TOPE_AFP_UF*AJ1361)*AK1361,0))</f>
        <v/>
      </c>
      <c r="AC1361" s="71" t="str">
        <f aca="false">IF(AH1361="","",ROUND(MIN(K1361,TOPE_AFC_UF*AJ1361)*IF(AA1361="Indefinido",AFC_EMP_INDEF,AFC_EMP_PF),0))</f>
        <v/>
      </c>
      <c r="AD1361" s="71" t="str">
        <f aca="false">IF(AH1361="","",ROUND(MIN(K1361,TOPE_AFP_UF*AJ1361)*(MUTUAL_BASICA+MUTUAL_ADIC+SANNA),0))</f>
        <v/>
      </c>
      <c r="AE1361" s="71" t="str">
        <f aca="false">IF(AH1361="","",P1361-N(N1361)+AB1361+AC1361+AD1361)</f>
        <v/>
      </c>
      <c r="AF1361" s="65"/>
      <c r="AG1361" s="64"/>
      <c r="AH1361" s="72" t="str">
        <f aca="false">IF(OR(B1361="",C1361=""),"",C1361&amp;"|"&amp;(YEAR(B1361)*100+MONTH(B1361)))</f>
        <v/>
      </c>
      <c r="AI1361" s="70" t="str">
        <f aca="false">IF(AH1361="","",IF(COUNTIF(L_CLAVE,AH1361)&gt;1,"⚠ Duplicado","OK"))</f>
        <v/>
      </c>
      <c r="AJ1361" s="86" t="str">
        <f aca="false">IF(AH1361="","",IF(SUMPRODUCT(MAX((IND_PER&lt;=B1361)*(IND_UF&lt;&gt;"")*IND_PER))=0,UF_HOY,INDEX(IND_UF,MATCH(SUMPRODUCT(MAX((IND_PER&lt;=B1361)*(IND_UF&lt;&gt;"")*IND_PER)),IND_PER,0))))</f>
        <v/>
      </c>
      <c r="AK1361" s="87" t="str">
        <f aca="false">IF(AH1361="","",IF(COUNTIF(TASA_DESDE,"&lt;="&amp;B1361)=0,INDEX(TASA_EMP,1),INDEX(TASA_EMP,COUNTIF(TASA_DESDE,"&lt;="&amp;B1361))))</f>
        <v/>
      </c>
    </row>
    <row r="1362" customFormat="false" ht="15" hidden="false" customHeight="false" outlineLevel="0" collapsed="false">
      <c r="B1362" s="78"/>
      <c r="C1362" s="64"/>
      <c r="D1362" s="72" t="str">
        <f aca="false">IF(C1362="","",IFERROR(INDEX(T_NOMBRE,MATCH(C1362,T_ID,0)),"⚠ ID no existe"))</f>
        <v/>
      </c>
      <c r="E1362" s="69"/>
      <c r="F1362" s="67"/>
      <c r="G1362" s="67"/>
      <c r="H1362" s="67"/>
      <c r="I1362" s="67"/>
      <c r="J1362" s="67"/>
      <c r="K1362" s="85" t="str">
        <f aca="false">IF(AH1362="","",N(F1362)+N(G1362)+N(H1362)-N(I1362)+N(J1362))</f>
        <v/>
      </c>
      <c r="L1362" s="67"/>
      <c r="M1362" s="67"/>
      <c r="N1362" s="67"/>
      <c r="O1362" s="67"/>
      <c r="P1362" s="85" t="str">
        <f aca="false">IF(AH1362="","",K1362+N(L1362)+N(M1362)+N(N1362)+N(O1362))</f>
        <v/>
      </c>
      <c r="Q1362" s="67"/>
      <c r="R1362" s="67"/>
      <c r="S1362" s="67"/>
      <c r="T1362" s="67"/>
      <c r="U1362" s="67"/>
      <c r="V1362" s="67"/>
      <c r="W1362" s="85" t="str">
        <f aca="false">IF(AH1362="","",N(Q1362)+N(R1362)+N(S1362)+N(T1362)+N(U1362)+N(V1362))</f>
        <v/>
      </c>
      <c r="X1362" s="85" t="str">
        <f aca="false">IF(AH1362="","",P1362-W1362)</f>
        <v/>
      </c>
      <c r="Y1362" s="67"/>
      <c r="Z1362" s="70" t="str">
        <f aca="false">IF(OR(AH1362="",Y1362=""),"",IF(ABS(X1362-Y1362)&lt;=1,"✓ Cuadra","⚠ Diferencia $"&amp;FIXED(X1362-Y1362,0)))</f>
        <v/>
      </c>
      <c r="AA1362" s="72" t="str">
        <f aca="false">IF(AH1362="","",IFERROR(INDEX(C_TIPO,MATCH(C1362&amp;"-P"&amp;MAX(1,COUNTIFS(C_ID,C1362,C_DEFINE,"Sí",C_INICIO,"&lt;="&amp;EOMONTH(B1362,0))),C_CLAVE,0))&amp;"","Sin dato"))</f>
        <v/>
      </c>
      <c r="AB1362" s="71" t="str">
        <f aca="false">IF(AH1362="","",ROUND(MIN(K1362,TOPE_AFP_UF*AJ1362)*AK1362,0))</f>
        <v/>
      </c>
      <c r="AC1362" s="71" t="str">
        <f aca="false">IF(AH1362="","",ROUND(MIN(K1362,TOPE_AFC_UF*AJ1362)*IF(AA1362="Indefinido",AFC_EMP_INDEF,AFC_EMP_PF),0))</f>
        <v/>
      </c>
      <c r="AD1362" s="71" t="str">
        <f aca="false">IF(AH1362="","",ROUND(MIN(K1362,TOPE_AFP_UF*AJ1362)*(MUTUAL_BASICA+MUTUAL_ADIC+SANNA),0))</f>
        <v/>
      </c>
      <c r="AE1362" s="71" t="str">
        <f aca="false">IF(AH1362="","",P1362-N(N1362)+AB1362+AC1362+AD1362)</f>
        <v/>
      </c>
      <c r="AF1362" s="65"/>
      <c r="AG1362" s="64"/>
      <c r="AH1362" s="72" t="str">
        <f aca="false">IF(OR(B1362="",C1362=""),"",C1362&amp;"|"&amp;(YEAR(B1362)*100+MONTH(B1362)))</f>
        <v/>
      </c>
      <c r="AI1362" s="70" t="str">
        <f aca="false">IF(AH1362="","",IF(COUNTIF(L_CLAVE,AH1362)&gt;1,"⚠ Duplicado","OK"))</f>
        <v/>
      </c>
      <c r="AJ1362" s="86" t="str">
        <f aca="false">IF(AH1362="","",IF(SUMPRODUCT(MAX((IND_PER&lt;=B1362)*(IND_UF&lt;&gt;"")*IND_PER))=0,UF_HOY,INDEX(IND_UF,MATCH(SUMPRODUCT(MAX((IND_PER&lt;=B1362)*(IND_UF&lt;&gt;"")*IND_PER)),IND_PER,0))))</f>
        <v/>
      </c>
      <c r="AK1362" s="87" t="str">
        <f aca="false">IF(AH1362="","",IF(COUNTIF(TASA_DESDE,"&lt;="&amp;B1362)=0,INDEX(TASA_EMP,1),INDEX(TASA_EMP,COUNTIF(TASA_DESDE,"&lt;="&amp;B1362))))</f>
        <v/>
      </c>
    </row>
    <row r="1363" customFormat="false" ht="15" hidden="false" customHeight="false" outlineLevel="0" collapsed="false">
      <c r="B1363" s="78"/>
      <c r="C1363" s="64"/>
      <c r="D1363" s="72" t="str">
        <f aca="false">IF(C1363="","",IFERROR(INDEX(T_NOMBRE,MATCH(C1363,T_ID,0)),"⚠ ID no existe"))</f>
        <v/>
      </c>
      <c r="E1363" s="69"/>
      <c r="F1363" s="67"/>
      <c r="G1363" s="67"/>
      <c r="H1363" s="67"/>
      <c r="I1363" s="67"/>
      <c r="J1363" s="67"/>
      <c r="K1363" s="85" t="str">
        <f aca="false">IF(AH1363="","",N(F1363)+N(G1363)+N(H1363)-N(I1363)+N(J1363))</f>
        <v/>
      </c>
      <c r="L1363" s="67"/>
      <c r="M1363" s="67"/>
      <c r="N1363" s="67"/>
      <c r="O1363" s="67"/>
      <c r="P1363" s="85" t="str">
        <f aca="false">IF(AH1363="","",K1363+N(L1363)+N(M1363)+N(N1363)+N(O1363))</f>
        <v/>
      </c>
      <c r="Q1363" s="67"/>
      <c r="R1363" s="67"/>
      <c r="S1363" s="67"/>
      <c r="T1363" s="67"/>
      <c r="U1363" s="67"/>
      <c r="V1363" s="67"/>
      <c r="W1363" s="85" t="str">
        <f aca="false">IF(AH1363="","",N(Q1363)+N(R1363)+N(S1363)+N(T1363)+N(U1363)+N(V1363))</f>
        <v/>
      </c>
      <c r="X1363" s="85" t="str">
        <f aca="false">IF(AH1363="","",P1363-W1363)</f>
        <v/>
      </c>
      <c r="Y1363" s="67"/>
      <c r="Z1363" s="70" t="str">
        <f aca="false">IF(OR(AH1363="",Y1363=""),"",IF(ABS(X1363-Y1363)&lt;=1,"✓ Cuadra","⚠ Diferencia $"&amp;FIXED(X1363-Y1363,0)))</f>
        <v/>
      </c>
      <c r="AA1363" s="72" t="str">
        <f aca="false">IF(AH1363="","",IFERROR(INDEX(C_TIPO,MATCH(C1363&amp;"-P"&amp;MAX(1,COUNTIFS(C_ID,C1363,C_DEFINE,"Sí",C_INICIO,"&lt;="&amp;EOMONTH(B1363,0))),C_CLAVE,0))&amp;"","Sin dato"))</f>
        <v/>
      </c>
      <c r="AB1363" s="71" t="str">
        <f aca="false">IF(AH1363="","",ROUND(MIN(K1363,TOPE_AFP_UF*AJ1363)*AK1363,0))</f>
        <v/>
      </c>
      <c r="AC1363" s="71" t="str">
        <f aca="false">IF(AH1363="","",ROUND(MIN(K1363,TOPE_AFC_UF*AJ1363)*IF(AA1363="Indefinido",AFC_EMP_INDEF,AFC_EMP_PF),0))</f>
        <v/>
      </c>
      <c r="AD1363" s="71" t="str">
        <f aca="false">IF(AH1363="","",ROUND(MIN(K1363,TOPE_AFP_UF*AJ1363)*(MUTUAL_BASICA+MUTUAL_ADIC+SANNA),0))</f>
        <v/>
      </c>
      <c r="AE1363" s="71" t="str">
        <f aca="false">IF(AH1363="","",P1363-N(N1363)+AB1363+AC1363+AD1363)</f>
        <v/>
      </c>
      <c r="AF1363" s="65"/>
      <c r="AG1363" s="64"/>
      <c r="AH1363" s="72" t="str">
        <f aca="false">IF(OR(B1363="",C1363=""),"",C1363&amp;"|"&amp;(YEAR(B1363)*100+MONTH(B1363)))</f>
        <v/>
      </c>
      <c r="AI1363" s="70" t="str">
        <f aca="false">IF(AH1363="","",IF(COUNTIF(L_CLAVE,AH1363)&gt;1,"⚠ Duplicado","OK"))</f>
        <v/>
      </c>
      <c r="AJ1363" s="86" t="str">
        <f aca="false">IF(AH1363="","",IF(SUMPRODUCT(MAX((IND_PER&lt;=B1363)*(IND_UF&lt;&gt;"")*IND_PER))=0,UF_HOY,INDEX(IND_UF,MATCH(SUMPRODUCT(MAX((IND_PER&lt;=B1363)*(IND_UF&lt;&gt;"")*IND_PER)),IND_PER,0))))</f>
        <v/>
      </c>
      <c r="AK1363" s="87" t="str">
        <f aca="false">IF(AH1363="","",IF(COUNTIF(TASA_DESDE,"&lt;="&amp;B1363)=0,INDEX(TASA_EMP,1),INDEX(TASA_EMP,COUNTIF(TASA_DESDE,"&lt;="&amp;B1363))))</f>
        <v/>
      </c>
    </row>
    <row r="1364" customFormat="false" ht="15" hidden="false" customHeight="false" outlineLevel="0" collapsed="false">
      <c r="B1364" s="78"/>
      <c r="C1364" s="64"/>
      <c r="D1364" s="72" t="str">
        <f aca="false">IF(C1364="","",IFERROR(INDEX(T_NOMBRE,MATCH(C1364,T_ID,0)),"⚠ ID no existe"))</f>
        <v/>
      </c>
      <c r="E1364" s="69"/>
      <c r="F1364" s="67"/>
      <c r="G1364" s="67"/>
      <c r="H1364" s="67"/>
      <c r="I1364" s="67"/>
      <c r="J1364" s="67"/>
      <c r="K1364" s="85" t="str">
        <f aca="false">IF(AH1364="","",N(F1364)+N(G1364)+N(H1364)-N(I1364)+N(J1364))</f>
        <v/>
      </c>
      <c r="L1364" s="67"/>
      <c r="M1364" s="67"/>
      <c r="N1364" s="67"/>
      <c r="O1364" s="67"/>
      <c r="P1364" s="85" t="str">
        <f aca="false">IF(AH1364="","",K1364+N(L1364)+N(M1364)+N(N1364)+N(O1364))</f>
        <v/>
      </c>
      <c r="Q1364" s="67"/>
      <c r="R1364" s="67"/>
      <c r="S1364" s="67"/>
      <c r="T1364" s="67"/>
      <c r="U1364" s="67"/>
      <c r="V1364" s="67"/>
      <c r="W1364" s="85" t="str">
        <f aca="false">IF(AH1364="","",N(Q1364)+N(R1364)+N(S1364)+N(T1364)+N(U1364)+N(V1364))</f>
        <v/>
      </c>
      <c r="X1364" s="85" t="str">
        <f aca="false">IF(AH1364="","",P1364-W1364)</f>
        <v/>
      </c>
      <c r="Y1364" s="67"/>
      <c r="Z1364" s="70" t="str">
        <f aca="false">IF(OR(AH1364="",Y1364=""),"",IF(ABS(X1364-Y1364)&lt;=1,"✓ Cuadra","⚠ Diferencia $"&amp;FIXED(X1364-Y1364,0)))</f>
        <v/>
      </c>
      <c r="AA1364" s="72" t="str">
        <f aca="false">IF(AH1364="","",IFERROR(INDEX(C_TIPO,MATCH(C1364&amp;"-P"&amp;MAX(1,COUNTIFS(C_ID,C1364,C_DEFINE,"Sí",C_INICIO,"&lt;="&amp;EOMONTH(B1364,0))),C_CLAVE,0))&amp;"","Sin dato"))</f>
        <v/>
      </c>
      <c r="AB1364" s="71" t="str">
        <f aca="false">IF(AH1364="","",ROUND(MIN(K1364,TOPE_AFP_UF*AJ1364)*AK1364,0))</f>
        <v/>
      </c>
      <c r="AC1364" s="71" t="str">
        <f aca="false">IF(AH1364="","",ROUND(MIN(K1364,TOPE_AFC_UF*AJ1364)*IF(AA1364="Indefinido",AFC_EMP_INDEF,AFC_EMP_PF),0))</f>
        <v/>
      </c>
      <c r="AD1364" s="71" t="str">
        <f aca="false">IF(AH1364="","",ROUND(MIN(K1364,TOPE_AFP_UF*AJ1364)*(MUTUAL_BASICA+MUTUAL_ADIC+SANNA),0))</f>
        <v/>
      </c>
      <c r="AE1364" s="71" t="str">
        <f aca="false">IF(AH1364="","",P1364-N(N1364)+AB1364+AC1364+AD1364)</f>
        <v/>
      </c>
      <c r="AF1364" s="65"/>
      <c r="AG1364" s="64"/>
      <c r="AH1364" s="72" t="str">
        <f aca="false">IF(OR(B1364="",C1364=""),"",C1364&amp;"|"&amp;(YEAR(B1364)*100+MONTH(B1364)))</f>
        <v/>
      </c>
      <c r="AI1364" s="70" t="str">
        <f aca="false">IF(AH1364="","",IF(COUNTIF(L_CLAVE,AH1364)&gt;1,"⚠ Duplicado","OK"))</f>
        <v/>
      </c>
      <c r="AJ1364" s="86" t="str">
        <f aca="false">IF(AH1364="","",IF(SUMPRODUCT(MAX((IND_PER&lt;=B1364)*(IND_UF&lt;&gt;"")*IND_PER))=0,UF_HOY,INDEX(IND_UF,MATCH(SUMPRODUCT(MAX((IND_PER&lt;=B1364)*(IND_UF&lt;&gt;"")*IND_PER)),IND_PER,0))))</f>
        <v/>
      </c>
      <c r="AK1364" s="87" t="str">
        <f aca="false">IF(AH1364="","",IF(COUNTIF(TASA_DESDE,"&lt;="&amp;B1364)=0,INDEX(TASA_EMP,1),INDEX(TASA_EMP,COUNTIF(TASA_DESDE,"&lt;="&amp;B1364))))</f>
        <v/>
      </c>
    </row>
    <row r="1365" customFormat="false" ht="15" hidden="false" customHeight="false" outlineLevel="0" collapsed="false">
      <c r="B1365" s="78"/>
      <c r="C1365" s="64"/>
      <c r="D1365" s="72" t="str">
        <f aca="false">IF(C1365="","",IFERROR(INDEX(T_NOMBRE,MATCH(C1365,T_ID,0)),"⚠ ID no existe"))</f>
        <v/>
      </c>
      <c r="E1365" s="69"/>
      <c r="F1365" s="67"/>
      <c r="G1365" s="67"/>
      <c r="H1365" s="67"/>
      <c r="I1365" s="67"/>
      <c r="J1365" s="67"/>
      <c r="K1365" s="85" t="str">
        <f aca="false">IF(AH1365="","",N(F1365)+N(G1365)+N(H1365)-N(I1365)+N(J1365))</f>
        <v/>
      </c>
      <c r="L1365" s="67"/>
      <c r="M1365" s="67"/>
      <c r="N1365" s="67"/>
      <c r="O1365" s="67"/>
      <c r="P1365" s="85" t="str">
        <f aca="false">IF(AH1365="","",K1365+N(L1365)+N(M1365)+N(N1365)+N(O1365))</f>
        <v/>
      </c>
      <c r="Q1365" s="67"/>
      <c r="R1365" s="67"/>
      <c r="S1365" s="67"/>
      <c r="T1365" s="67"/>
      <c r="U1365" s="67"/>
      <c r="V1365" s="67"/>
      <c r="W1365" s="85" t="str">
        <f aca="false">IF(AH1365="","",N(Q1365)+N(R1365)+N(S1365)+N(T1365)+N(U1365)+N(V1365))</f>
        <v/>
      </c>
      <c r="X1365" s="85" t="str">
        <f aca="false">IF(AH1365="","",P1365-W1365)</f>
        <v/>
      </c>
      <c r="Y1365" s="67"/>
      <c r="Z1365" s="70" t="str">
        <f aca="false">IF(OR(AH1365="",Y1365=""),"",IF(ABS(X1365-Y1365)&lt;=1,"✓ Cuadra","⚠ Diferencia $"&amp;FIXED(X1365-Y1365,0)))</f>
        <v/>
      </c>
      <c r="AA1365" s="72" t="str">
        <f aca="false">IF(AH1365="","",IFERROR(INDEX(C_TIPO,MATCH(C1365&amp;"-P"&amp;MAX(1,COUNTIFS(C_ID,C1365,C_DEFINE,"Sí",C_INICIO,"&lt;="&amp;EOMONTH(B1365,0))),C_CLAVE,0))&amp;"","Sin dato"))</f>
        <v/>
      </c>
      <c r="AB1365" s="71" t="str">
        <f aca="false">IF(AH1365="","",ROUND(MIN(K1365,TOPE_AFP_UF*AJ1365)*AK1365,0))</f>
        <v/>
      </c>
      <c r="AC1365" s="71" t="str">
        <f aca="false">IF(AH1365="","",ROUND(MIN(K1365,TOPE_AFC_UF*AJ1365)*IF(AA1365="Indefinido",AFC_EMP_INDEF,AFC_EMP_PF),0))</f>
        <v/>
      </c>
      <c r="AD1365" s="71" t="str">
        <f aca="false">IF(AH1365="","",ROUND(MIN(K1365,TOPE_AFP_UF*AJ1365)*(MUTUAL_BASICA+MUTUAL_ADIC+SANNA),0))</f>
        <v/>
      </c>
      <c r="AE1365" s="71" t="str">
        <f aca="false">IF(AH1365="","",P1365-N(N1365)+AB1365+AC1365+AD1365)</f>
        <v/>
      </c>
      <c r="AF1365" s="65"/>
      <c r="AG1365" s="64"/>
      <c r="AH1365" s="72" t="str">
        <f aca="false">IF(OR(B1365="",C1365=""),"",C1365&amp;"|"&amp;(YEAR(B1365)*100+MONTH(B1365)))</f>
        <v/>
      </c>
      <c r="AI1365" s="70" t="str">
        <f aca="false">IF(AH1365="","",IF(COUNTIF(L_CLAVE,AH1365)&gt;1,"⚠ Duplicado","OK"))</f>
        <v/>
      </c>
      <c r="AJ1365" s="86" t="str">
        <f aca="false">IF(AH1365="","",IF(SUMPRODUCT(MAX((IND_PER&lt;=B1365)*(IND_UF&lt;&gt;"")*IND_PER))=0,UF_HOY,INDEX(IND_UF,MATCH(SUMPRODUCT(MAX((IND_PER&lt;=B1365)*(IND_UF&lt;&gt;"")*IND_PER)),IND_PER,0))))</f>
        <v/>
      </c>
      <c r="AK1365" s="87" t="str">
        <f aca="false">IF(AH1365="","",IF(COUNTIF(TASA_DESDE,"&lt;="&amp;B1365)=0,INDEX(TASA_EMP,1),INDEX(TASA_EMP,COUNTIF(TASA_DESDE,"&lt;="&amp;B1365))))</f>
        <v/>
      </c>
    </row>
    <row r="1366" customFormat="false" ht="15" hidden="false" customHeight="false" outlineLevel="0" collapsed="false">
      <c r="B1366" s="78"/>
      <c r="C1366" s="64"/>
      <c r="D1366" s="72" t="str">
        <f aca="false">IF(C1366="","",IFERROR(INDEX(T_NOMBRE,MATCH(C1366,T_ID,0)),"⚠ ID no existe"))</f>
        <v/>
      </c>
      <c r="E1366" s="69"/>
      <c r="F1366" s="67"/>
      <c r="G1366" s="67"/>
      <c r="H1366" s="67"/>
      <c r="I1366" s="67"/>
      <c r="J1366" s="67"/>
      <c r="K1366" s="85" t="str">
        <f aca="false">IF(AH1366="","",N(F1366)+N(G1366)+N(H1366)-N(I1366)+N(J1366))</f>
        <v/>
      </c>
      <c r="L1366" s="67"/>
      <c r="M1366" s="67"/>
      <c r="N1366" s="67"/>
      <c r="O1366" s="67"/>
      <c r="P1366" s="85" t="str">
        <f aca="false">IF(AH1366="","",K1366+N(L1366)+N(M1366)+N(N1366)+N(O1366))</f>
        <v/>
      </c>
      <c r="Q1366" s="67"/>
      <c r="R1366" s="67"/>
      <c r="S1366" s="67"/>
      <c r="T1366" s="67"/>
      <c r="U1366" s="67"/>
      <c r="V1366" s="67"/>
      <c r="W1366" s="85" t="str">
        <f aca="false">IF(AH1366="","",N(Q1366)+N(R1366)+N(S1366)+N(T1366)+N(U1366)+N(V1366))</f>
        <v/>
      </c>
      <c r="X1366" s="85" t="str">
        <f aca="false">IF(AH1366="","",P1366-W1366)</f>
        <v/>
      </c>
      <c r="Y1366" s="67"/>
      <c r="Z1366" s="70" t="str">
        <f aca="false">IF(OR(AH1366="",Y1366=""),"",IF(ABS(X1366-Y1366)&lt;=1,"✓ Cuadra","⚠ Diferencia $"&amp;FIXED(X1366-Y1366,0)))</f>
        <v/>
      </c>
      <c r="AA1366" s="72" t="str">
        <f aca="false">IF(AH1366="","",IFERROR(INDEX(C_TIPO,MATCH(C1366&amp;"-P"&amp;MAX(1,COUNTIFS(C_ID,C1366,C_DEFINE,"Sí",C_INICIO,"&lt;="&amp;EOMONTH(B1366,0))),C_CLAVE,0))&amp;"","Sin dato"))</f>
        <v/>
      </c>
      <c r="AB1366" s="71" t="str">
        <f aca="false">IF(AH1366="","",ROUND(MIN(K1366,TOPE_AFP_UF*AJ1366)*AK1366,0))</f>
        <v/>
      </c>
      <c r="AC1366" s="71" t="str">
        <f aca="false">IF(AH1366="","",ROUND(MIN(K1366,TOPE_AFC_UF*AJ1366)*IF(AA1366="Indefinido",AFC_EMP_INDEF,AFC_EMP_PF),0))</f>
        <v/>
      </c>
      <c r="AD1366" s="71" t="str">
        <f aca="false">IF(AH1366="","",ROUND(MIN(K1366,TOPE_AFP_UF*AJ1366)*(MUTUAL_BASICA+MUTUAL_ADIC+SANNA),0))</f>
        <v/>
      </c>
      <c r="AE1366" s="71" t="str">
        <f aca="false">IF(AH1366="","",P1366-N(N1366)+AB1366+AC1366+AD1366)</f>
        <v/>
      </c>
      <c r="AF1366" s="65"/>
      <c r="AG1366" s="64"/>
      <c r="AH1366" s="72" t="str">
        <f aca="false">IF(OR(B1366="",C1366=""),"",C1366&amp;"|"&amp;(YEAR(B1366)*100+MONTH(B1366)))</f>
        <v/>
      </c>
      <c r="AI1366" s="70" t="str">
        <f aca="false">IF(AH1366="","",IF(COUNTIF(L_CLAVE,AH1366)&gt;1,"⚠ Duplicado","OK"))</f>
        <v/>
      </c>
      <c r="AJ1366" s="86" t="str">
        <f aca="false">IF(AH1366="","",IF(SUMPRODUCT(MAX((IND_PER&lt;=B1366)*(IND_UF&lt;&gt;"")*IND_PER))=0,UF_HOY,INDEX(IND_UF,MATCH(SUMPRODUCT(MAX((IND_PER&lt;=B1366)*(IND_UF&lt;&gt;"")*IND_PER)),IND_PER,0))))</f>
        <v/>
      </c>
      <c r="AK1366" s="87" t="str">
        <f aca="false">IF(AH1366="","",IF(COUNTIF(TASA_DESDE,"&lt;="&amp;B1366)=0,INDEX(TASA_EMP,1),INDEX(TASA_EMP,COUNTIF(TASA_DESDE,"&lt;="&amp;B1366))))</f>
        <v/>
      </c>
    </row>
    <row r="1367" customFormat="false" ht="15" hidden="false" customHeight="false" outlineLevel="0" collapsed="false">
      <c r="B1367" s="78"/>
      <c r="C1367" s="64"/>
      <c r="D1367" s="72" t="str">
        <f aca="false">IF(C1367="","",IFERROR(INDEX(T_NOMBRE,MATCH(C1367,T_ID,0)),"⚠ ID no existe"))</f>
        <v/>
      </c>
      <c r="E1367" s="69"/>
      <c r="F1367" s="67"/>
      <c r="G1367" s="67"/>
      <c r="H1367" s="67"/>
      <c r="I1367" s="67"/>
      <c r="J1367" s="67"/>
      <c r="K1367" s="85" t="str">
        <f aca="false">IF(AH1367="","",N(F1367)+N(G1367)+N(H1367)-N(I1367)+N(J1367))</f>
        <v/>
      </c>
      <c r="L1367" s="67"/>
      <c r="M1367" s="67"/>
      <c r="N1367" s="67"/>
      <c r="O1367" s="67"/>
      <c r="P1367" s="85" t="str">
        <f aca="false">IF(AH1367="","",K1367+N(L1367)+N(M1367)+N(N1367)+N(O1367))</f>
        <v/>
      </c>
      <c r="Q1367" s="67"/>
      <c r="R1367" s="67"/>
      <c r="S1367" s="67"/>
      <c r="T1367" s="67"/>
      <c r="U1367" s="67"/>
      <c r="V1367" s="67"/>
      <c r="W1367" s="85" t="str">
        <f aca="false">IF(AH1367="","",N(Q1367)+N(R1367)+N(S1367)+N(T1367)+N(U1367)+N(V1367))</f>
        <v/>
      </c>
      <c r="X1367" s="85" t="str">
        <f aca="false">IF(AH1367="","",P1367-W1367)</f>
        <v/>
      </c>
      <c r="Y1367" s="67"/>
      <c r="Z1367" s="70" t="str">
        <f aca="false">IF(OR(AH1367="",Y1367=""),"",IF(ABS(X1367-Y1367)&lt;=1,"✓ Cuadra","⚠ Diferencia $"&amp;FIXED(X1367-Y1367,0)))</f>
        <v/>
      </c>
      <c r="AA1367" s="72" t="str">
        <f aca="false">IF(AH1367="","",IFERROR(INDEX(C_TIPO,MATCH(C1367&amp;"-P"&amp;MAX(1,COUNTIFS(C_ID,C1367,C_DEFINE,"Sí",C_INICIO,"&lt;="&amp;EOMONTH(B1367,0))),C_CLAVE,0))&amp;"","Sin dato"))</f>
        <v/>
      </c>
      <c r="AB1367" s="71" t="str">
        <f aca="false">IF(AH1367="","",ROUND(MIN(K1367,TOPE_AFP_UF*AJ1367)*AK1367,0))</f>
        <v/>
      </c>
      <c r="AC1367" s="71" t="str">
        <f aca="false">IF(AH1367="","",ROUND(MIN(K1367,TOPE_AFC_UF*AJ1367)*IF(AA1367="Indefinido",AFC_EMP_INDEF,AFC_EMP_PF),0))</f>
        <v/>
      </c>
      <c r="AD1367" s="71" t="str">
        <f aca="false">IF(AH1367="","",ROUND(MIN(K1367,TOPE_AFP_UF*AJ1367)*(MUTUAL_BASICA+MUTUAL_ADIC+SANNA),0))</f>
        <v/>
      </c>
      <c r="AE1367" s="71" t="str">
        <f aca="false">IF(AH1367="","",P1367-N(N1367)+AB1367+AC1367+AD1367)</f>
        <v/>
      </c>
      <c r="AF1367" s="65"/>
      <c r="AG1367" s="64"/>
      <c r="AH1367" s="72" t="str">
        <f aca="false">IF(OR(B1367="",C1367=""),"",C1367&amp;"|"&amp;(YEAR(B1367)*100+MONTH(B1367)))</f>
        <v/>
      </c>
      <c r="AI1367" s="70" t="str">
        <f aca="false">IF(AH1367="","",IF(COUNTIF(L_CLAVE,AH1367)&gt;1,"⚠ Duplicado","OK"))</f>
        <v/>
      </c>
      <c r="AJ1367" s="86" t="str">
        <f aca="false">IF(AH1367="","",IF(SUMPRODUCT(MAX((IND_PER&lt;=B1367)*(IND_UF&lt;&gt;"")*IND_PER))=0,UF_HOY,INDEX(IND_UF,MATCH(SUMPRODUCT(MAX((IND_PER&lt;=B1367)*(IND_UF&lt;&gt;"")*IND_PER)),IND_PER,0))))</f>
        <v/>
      </c>
      <c r="AK1367" s="87" t="str">
        <f aca="false">IF(AH1367="","",IF(COUNTIF(TASA_DESDE,"&lt;="&amp;B1367)=0,INDEX(TASA_EMP,1),INDEX(TASA_EMP,COUNTIF(TASA_DESDE,"&lt;="&amp;B1367))))</f>
        <v/>
      </c>
    </row>
    <row r="1368" customFormat="false" ht="15" hidden="false" customHeight="false" outlineLevel="0" collapsed="false">
      <c r="B1368" s="78"/>
      <c r="C1368" s="64"/>
      <c r="D1368" s="72" t="str">
        <f aca="false">IF(C1368="","",IFERROR(INDEX(T_NOMBRE,MATCH(C1368,T_ID,0)),"⚠ ID no existe"))</f>
        <v/>
      </c>
      <c r="E1368" s="69"/>
      <c r="F1368" s="67"/>
      <c r="G1368" s="67"/>
      <c r="H1368" s="67"/>
      <c r="I1368" s="67"/>
      <c r="J1368" s="67"/>
      <c r="K1368" s="85" t="str">
        <f aca="false">IF(AH1368="","",N(F1368)+N(G1368)+N(H1368)-N(I1368)+N(J1368))</f>
        <v/>
      </c>
      <c r="L1368" s="67"/>
      <c r="M1368" s="67"/>
      <c r="N1368" s="67"/>
      <c r="O1368" s="67"/>
      <c r="P1368" s="85" t="str">
        <f aca="false">IF(AH1368="","",K1368+N(L1368)+N(M1368)+N(N1368)+N(O1368))</f>
        <v/>
      </c>
      <c r="Q1368" s="67"/>
      <c r="R1368" s="67"/>
      <c r="S1368" s="67"/>
      <c r="T1368" s="67"/>
      <c r="U1368" s="67"/>
      <c r="V1368" s="67"/>
      <c r="W1368" s="85" t="str">
        <f aca="false">IF(AH1368="","",N(Q1368)+N(R1368)+N(S1368)+N(T1368)+N(U1368)+N(V1368))</f>
        <v/>
      </c>
      <c r="X1368" s="85" t="str">
        <f aca="false">IF(AH1368="","",P1368-W1368)</f>
        <v/>
      </c>
      <c r="Y1368" s="67"/>
      <c r="Z1368" s="70" t="str">
        <f aca="false">IF(OR(AH1368="",Y1368=""),"",IF(ABS(X1368-Y1368)&lt;=1,"✓ Cuadra","⚠ Diferencia $"&amp;FIXED(X1368-Y1368,0)))</f>
        <v/>
      </c>
      <c r="AA1368" s="72" t="str">
        <f aca="false">IF(AH1368="","",IFERROR(INDEX(C_TIPO,MATCH(C1368&amp;"-P"&amp;MAX(1,COUNTIFS(C_ID,C1368,C_DEFINE,"Sí",C_INICIO,"&lt;="&amp;EOMONTH(B1368,0))),C_CLAVE,0))&amp;"","Sin dato"))</f>
        <v/>
      </c>
      <c r="AB1368" s="71" t="str">
        <f aca="false">IF(AH1368="","",ROUND(MIN(K1368,TOPE_AFP_UF*AJ1368)*AK1368,0))</f>
        <v/>
      </c>
      <c r="AC1368" s="71" t="str">
        <f aca="false">IF(AH1368="","",ROUND(MIN(K1368,TOPE_AFC_UF*AJ1368)*IF(AA1368="Indefinido",AFC_EMP_INDEF,AFC_EMP_PF),0))</f>
        <v/>
      </c>
      <c r="AD1368" s="71" t="str">
        <f aca="false">IF(AH1368="","",ROUND(MIN(K1368,TOPE_AFP_UF*AJ1368)*(MUTUAL_BASICA+MUTUAL_ADIC+SANNA),0))</f>
        <v/>
      </c>
      <c r="AE1368" s="71" t="str">
        <f aca="false">IF(AH1368="","",P1368-N(N1368)+AB1368+AC1368+AD1368)</f>
        <v/>
      </c>
      <c r="AF1368" s="65"/>
      <c r="AG1368" s="64"/>
      <c r="AH1368" s="72" t="str">
        <f aca="false">IF(OR(B1368="",C1368=""),"",C1368&amp;"|"&amp;(YEAR(B1368)*100+MONTH(B1368)))</f>
        <v/>
      </c>
      <c r="AI1368" s="70" t="str">
        <f aca="false">IF(AH1368="","",IF(COUNTIF(L_CLAVE,AH1368)&gt;1,"⚠ Duplicado","OK"))</f>
        <v/>
      </c>
      <c r="AJ1368" s="86" t="str">
        <f aca="false">IF(AH1368="","",IF(SUMPRODUCT(MAX((IND_PER&lt;=B1368)*(IND_UF&lt;&gt;"")*IND_PER))=0,UF_HOY,INDEX(IND_UF,MATCH(SUMPRODUCT(MAX((IND_PER&lt;=B1368)*(IND_UF&lt;&gt;"")*IND_PER)),IND_PER,0))))</f>
        <v/>
      </c>
      <c r="AK1368" s="87" t="str">
        <f aca="false">IF(AH1368="","",IF(COUNTIF(TASA_DESDE,"&lt;="&amp;B1368)=0,INDEX(TASA_EMP,1),INDEX(TASA_EMP,COUNTIF(TASA_DESDE,"&lt;="&amp;B1368))))</f>
        <v/>
      </c>
    </row>
    <row r="1369" customFormat="false" ht="15" hidden="false" customHeight="false" outlineLevel="0" collapsed="false">
      <c r="B1369" s="78"/>
      <c r="C1369" s="64"/>
      <c r="D1369" s="72" t="str">
        <f aca="false">IF(C1369="","",IFERROR(INDEX(T_NOMBRE,MATCH(C1369,T_ID,0)),"⚠ ID no existe"))</f>
        <v/>
      </c>
      <c r="E1369" s="69"/>
      <c r="F1369" s="67"/>
      <c r="G1369" s="67"/>
      <c r="H1369" s="67"/>
      <c r="I1369" s="67"/>
      <c r="J1369" s="67"/>
      <c r="K1369" s="85" t="str">
        <f aca="false">IF(AH1369="","",N(F1369)+N(G1369)+N(H1369)-N(I1369)+N(J1369))</f>
        <v/>
      </c>
      <c r="L1369" s="67"/>
      <c r="M1369" s="67"/>
      <c r="N1369" s="67"/>
      <c r="O1369" s="67"/>
      <c r="P1369" s="85" t="str">
        <f aca="false">IF(AH1369="","",K1369+N(L1369)+N(M1369)+N(N1369)+N(O1369))</f>
        <v/>
      </c>
      <c r="Q1369" s="67"/>
      <c r="R1369" s="67"/>
      <c r="S1369" s="67"/>
      <c r="T1369" s="67"/>
      <c r="U1369" s="67"/>
      <c r="V1369" s="67"/>
      <c r="W1369" s="85" t="str">
        <f aca="false">IF(AH1369="","",N(Q1369)+N(R1369)+N(S1369)+N(T1369)+N(U1369)+N(V1369))</f>
        <v/>
      </c>
      <c r="X1369" s="85" t="str">
        <f aca="false">IF(AH1369="","",P1369-W1369)</f>
        <v/>
      </c>
      <c r="Y1369" s="67"/>
      <c r="Z1369" s="70" t="str">
        <f aca="false">IF(OR(AH1369="",Y1369=""),"",IF(ABS(X1369-Y1369)&lt;=1,"✓ Cuadra","⚠ Diferencia $"&amp;FIXED(X1369-Y1369,0)))</f>
        <v/>
      </c>
      <c r="AA1369" s="72" t="str">
        <f aca="false">IF(AH1369="","",IFERROR(INDEX(C_TIPO,MATCH(C1369&amp;"-P"&amp;MAX(1,COUNTIFS(C_ID,C1369,C_DEFINE,"Sí",C_INICIO,"&lt;="&amp;EOMONTH(B1369,0))),C_CLAVE,0))&amp;"","Sin dato"))</f>
        <v/>
      </c>
      <c r="AB1369" s="71" t="str">
        <f aca="false">IF(AH1369="","",ROUND(MIN(K1369,TOPE_AFP_UF*AJ1369)*AK1369,0))</f>
        <v/>
      </c>
      <c r="AC1369" s="71" t="str">
        <f aca="false">IF(AH1369="","",ROUND(MIN(K1369,TOPE_AFC_UF*AJ1369)*IF(AA1369="Indefinido",AFC_EMP_INDEF,AFC_EMP_PF),0))</f>
        <v/>
      </c>
      <c r="AD1369" s="71" t="str">
        <f aca="false">IF(AH1369="","",ROUND(MIN(K1369,TOPE_AFP_UF*AJ1369)*(MUTUAL_BASICA+MUTUAL_ADIC+SANNA),0))</f>
        <v/>
      </c>
      <c r="AE1369" s="71" t="str">
        <f aca="false">IF(AH1369="","",P1369-N(N1369)+AB1369+AC1369+AD1369)</f>
        <v/>
      </c>
      <c r="AF1369" s="65"/>
      <c r="AG1369" s="64"/>
      <c r="AH1369" s="72" t="str">
        <f aca="false">IF(OR(B1369="",C1369=""),"",C1369&amp;"|"&amp;(YEAR(B1369)*100+MONTH(B1369)))</f>
        <v/>
      </c>
      <c r="AI1369" s="70" t="str">
        <f aca="false">IF(AH1369="","",IF(COUNTIF(L_CLAVE,AH1369)&gt;1,"⚠ Duplicado","OK"))</f>
        <v/>
      </c>
      <c r="AJ1369" s="86" t="str">
        <f aca="false">IF(AH1369="","",IF(SUMPRODUCT(MAX((IND_PER&lt;=B1369)*(IND_UF&lt;&gt;"")*IND_PER))=0,UF_HOY,INDEX(IND_UF,MATCH(SUMPRODUCT(MAX((IND_PER&lt;=B1369)*(IND_UF&lt;&gt;"")*IND_PER)),IND_PER,0))))</f>
        <v/>
      </c>
      <c r="AK1369" s="87" t="str">
        <f aca="false">IF(AH1369="","",IF(COUNTIF(TASA_DESDE,"&lt;="&amp;B1369)=0,INDEX(TASA_EMP,1),INDEX(TASA_EMP,COUNTIF(TASA_DESDE,"&lt;="&amp;B1369))))</f>
        <v/>
      </c>
    </row>
    <row r="1370" customFormat="false" ht="15" hidden="false" customHeight="false" outlineLevel="0" collapsed="false">
      <c r="B1370" s="78"/>
      <c r="C1370" s="64"/>
      <c r="D1370" s="72" t="str">
        <f aca="false">IF(C1370="","",IFERROR(INDEX(T_NOMBRE,MATCH(C1370,T_ID,0)),"⚠ ID no existe"))</f>
        <v/>
      </c>
      <c r="E1370" s="69"/>
      <c r="F1370" s="67"/>
      <c r="G1370" s="67"/>
      <c r="H1370" s="67"/>
      <c r="I1370" s="67"/>
      <c r="J1370" s="67"/>
      <c r="K1370" s="85" t="str">
        <f aca="false">IF(AH1370="","",N(F1370)+N(G1370)+N(H1370)-N(I1370)+N(J1370))</f>
        <v/>
      </c>
      <c r="L1370" s="67"/>
      <c r="M1370" s="67"/>
      <c r="N1370" s="67"/>
      <c r="O1370" s="67"/>
      <c r="P1370" s="85" t="str">
        <f aca="false">IF(AH1370="","",K1370+N(L1370)+N(M1370)+N(N1370)+N(O1370))</f>
        <v/>
      </c>
      <c r="Q1370" s="67"/>
      <c r="R1370" s="67"/>
      <c r="S1370" s="67"/>
      <c r="T1370" s="67"/>
      <c r="U1370" s="67"/>
      <c r="V1370" s="67"/>
      <c r="W1370" s="85" t="str">
        <f aca="false">IF(AH1370="","",N(Q1370)+N(R1370)+N(S1370)+N(T1370)+N(U1370)+N(V1370))</f>
        <v/>
      </c>
      <c r="X1370" s="85" t="str">
        <f aca="false">IF(AH1370="","",P1370-W1370)</f>
        <v/>
      </c>
      <c r="Y1370" s="67"/>
      <c r="Z1370" s="70" t="str">
        <f aca="false">IF(OR(AH1370="",Y1370=""),"",IF(ABS(X1370-Y1370)&lt;=1,"✓ Cuadra","⚠ Diferencia $"&amp;FIXED(X1370-Y1370,0)))</f>
        <v/>
      </c>
      <c r="AA1370" s="72" t="str">
        <f aca="false">IF(AH1370="","",IFERROR(INDEX(C_TIPO,MATCH(C1370&amp;"-P"&amp;MAX(1,COUNTIFS(C_ID,C1370,C_DEFINE,"Sí",C_INICIO,"&lt;="&amp;EOMONTH(B1370,0))),C_CLAVE,0))&amp;"","Sin dato"))</f>
        <v/>
      </c>
      <c r="AB1370" s="71" t="str">
        <f aca="false">IF(AH1370="","",ROUND(MIN(K1370,TOPE_AFP_UF*AJ1370)*AK1370,0))</f>
        <v/>
      </c>
      <c r="AC1370" s="71" t="str">
        <f aca="false">IF(AH1370="","",ROUND(MIN(K1370,TOPE_AFC_UF*AJ1370)*IF(AA1370="Indefinido",AFC_EMP_INDEF,AFC_EMP_PF),0))</f>
        <v/>
      </c>
      <c r="AD1370" s="71" t="str">
        <f aca="false">IF(AH1370="","",ROUND(MIN(K1370,TOPE_AFP_UF*AJ1370)*(MUTUAL_BASICA+MUTUAL_ADIC+SANNA),0))</f>
        <v/>
      </c>
      <c r="AE1370" s="71" t="str">
        <f aca="false">IF(AH1370="","",P1370-N(N1370)+AB1370+AC1370+AD1370)</f>
        <v/>
      </c>
      <c r="AF1370" s="65"/>
      <c r="AG1370" s="64"/>
      <c r="AH1370" s="72" t="str">
        <f aca="false">IF(OR(B1370="",C1370=""),"",C1370&amp;"|"&amp;(YEAR(B1370)*100+MONTH(B1370)))</f>
        <v/>
      </c>
      <c r="AI1370" s="70" t="str">
        <f aca="false">IF(AH1370="","",IF(COUNTIF(L_CLAVE,AH1370)&gt;1,"⚠ Duplicado","OK"))</f>
        <v/>
      </c>
      <c r="AJ1370" s="86" t="str">
        <f aca="false">IF(AH1370="","",IF(SUMPRODUCT(MAX((IND_PER&lt;=B1370)*(IND_UF&lt;&gt;"")*IND_PER))=0,UF_HOY,INDEX(IND_UF,MATCH(SUMPRODUCT(MAX((IND_PER&lt;=B1370)*(IND_UF&lt;&gt;"")*IND_PER)),IND_PER,0))))</f>
        <v/>
      </c>
      <c r="AK1370" s="87" t="str">
        <f aca="false">IF(AH1370="","",IF(COUNTIF(TASA_DESDE,"&lt;="&amp;B1370)=0,INDEX(TASA_EMP,1),INDEX(TASA_EMP,COUNTIF(TASA_DESDE,"&lt;="&amp;B1370))))</f>
        <v/>
      </c>
    </row>
    <row r="1371" customFormat="false" ht="15" hidden="false" customHeight="false" outlineLevel="0" collapsed="false">
      <c r="B1371" s="78"/>
      <c r="C1371" s="64"/>
      <c r="D1371" s="72" t="str">
        <f aca="false">IF(C1371="","",IFERROR(INDEX(T_NOMBRE,MATCH(C1371,T_ID,0)),"⚠ ID no existe"))</f>
        <v/>
      </c>
      <c r="E1371" s="69"/>
      <c r="F1371" s="67"/>
      <c r="G1371" s="67"/>
      <c r="H1371" s="67"/>
      <c r="I1371" s="67"/>
      <c r="J1371" s="67"/>
      <c r="K1371" s="85" t="str">
        <f aca="false">IF(AH1371="","",N(F1371)+N(G1371)+N(H1371)-N(I1371)+N(J1371))</f>
        <v/>
      </c>
      <c r="L1371" s="67"/>
      <c r="M1371" s="67"/>
      <c r="N1371" s="67"/>
      <c r="O1371" s="67"/>
      <c r="P1371" s="85" t="str">
        <f aca="false">IF(AH1371="","",K1371+N(L1371)+N(M1371)+N(N1371)+N(O1371))</f>
        <v/>
      </c>
      <c r="Q1371" s="67"/>
      <c r="R1371" s="67"/>
      <c r="S1371" s="67"/>
      <c r="T1371" s="67"/>
      <c r="U1371" s="67"/>
      <c r="V1371" s="67"/>
      <c r="W1371" s="85" t="str">
        <f aca="false">IF(AH1371="","",N(Q1371)+N(R1371)+N(S1371)+N(T1371)+N(U1371)+N(V1371))</f>
        <v/>
      </c>
      <c r="X1371" s="85" t="str">
        <f aca="false">IF(AH1371="","",P1371-W1371)</f>
        <v/>
      </c>
      <c r="Y1371" s="67"/>
      <c r="Z1371" s="70" t="str">
        <f aca="false">IF(OR(AH1371="",Y1371=""),"",IF(ABS(X1371-Y1371)&lt;=1,"✓ Cuadra","⚠ Diferencia $"&amp;FIXED(X1371-Y1371,0)))</f>
        <v/>
      </c>
      <c r="AA1371" s="72" t="str">
        <f aca="false">IF(AH1371="","",IFERROR(INDEX(C_TIPO,MATCH(C1371&amp;"-P"&amp;MAX(1,COUNTIFS(C_ID,C1371,C_DEFINE,"Sí",C_INICIO,"&lt;="&amp;EOMONTH(B1371,0))),C_CLAVE,0))&amp;"","Sin dato"))</f>
        <v/>
      </c>
      <c r="AB1371" s="71" t="str">
        <f aca="false">IF(AH1371="","",ROUND(MIN(K1371,TOPE_AFP_UF*AJ1371)*AK1371,0))</f>
        <v/>
      </c>
      <c r="AC1371" s="71" t="str">
        <f aca="false">IF(AH1371="","",ROUND(MIN(K1371,TOPE_AFC_UF*AJ1371)*IF(AA1371="Indefinido",AFC_EMP_INDEF,AFC_EMP_PF),0))</f>
        <v/>
      </c>
      <c r="AD1371" s="71" t="str">
        <f aca="false">IF(AH1371="","",ROUND(MIN(K1371,TOPE_AFP_UF*AJ1371)*(MUTUAL_BASICA+MUTUAL_ADIC+SANNA),0))</f>
        <v/>
      </c>
      <c r="AE1371" s="71" t="str">
        <f aca="false">IF(AH1371="","",P1371-N(N1371)+AB1371+AC1371+AD1371)</f>
        <v/>
      </c>
      <c r="AF1371" s="65"/>
      <c r="AG1371" s="64"/>
      <c r="AH1371" s="72" t="str">
        <f aca="false">IF(OR(B1371="",C1371=""),"",C1371&amp;"|"&amp;(YEAR(B1371)*100+MONTH(B1371)))</f>
        <v/>
      </c>
      <c r="AI1371" s="70" t="str">
        <f aca="false">IF(AH1371="","",IF(COUNTIF(L_CLAVE,AH1371)&gt;1,"⚠ Duplicado","OK"))</f>
        <v/>
      </c>
      <c r="AJ1371" s="86" t="str">
        <f aca="false">IF(AH1371="","",IF(SUMPRODUCT(MAX((IND_PER&lt;=B1371)*(IND_UF&lt;&gt;"")*IND_PER))=0,UF_HOY,INDEX(IND_UF,MATCH(SUMPRODUCT(MAX((IND_PER&lt;=B1371)*(IND_UF&lt;&gt;"")*IND_PER)),IND_PER,0))))</f>
        <v/>
      </c>
      <c r="AK1371" s="87" t="str">
        <f aca="false">IF(AH1371="","",IF(COUNTIF(TASA_DESDE,"&lt;="&amp;B1371)=0,INDEX(TASA_EMP,1),INDEX(TASA_EMP,COUNTIF(TASA_DESDE,"&lt;="&amp;B1371))))</f>
        <v/>
      </c>
    </row>
    <row r="1372" customFormat="false" ht="15" hidden="false" customHeight="false" outlineLevel="0" collapsed="false">
      <c r="B1372" s="78"/>
      <c r="C1372" s="64"/>
      <c r="D1372" s="72" t="str">
        <f aca="false">IF(C1372="","",IFERROR(INDEX(T_NOMBRE,MATCH(C1372,T_ID,0)),"⚠ ID no existe"))</f>
        <v/>
      </c>
      <c r="E1372" s="69"/>
      <c r="F1372" s="67"/>
      <c r="G1372" s="67"/>
      <c r="H1372" s="67"/>
      <c r="I1372" s="67"/>
      <c r="J1372" s="67"/>
      <c r="K1372" s="85" t="str">
        <f aca="false">IF(AH1372="","",N(F1372)+N(G1372)+N(H1372)-N(I1372)+N(J1372))</f>
        <v/>
      </c>
      <c r="L1372" s="67"/>
      <c r="M1372" s="67"/>
      <c r="N1372" s="67"/>
      <c r="O1372" s="67"/>
      <c r="P1372" s="85" t="str">
        <f aca="false">IF(AH1372="","",K1372+N(L1372)+N(M1372)+N(N1372)+N(O1372))</f>
        <v/>
      </c>
      <c r="Q1372" s="67"/>
      <c r="R1372" s="67"/>
      <c r="S1372" s="67"/>
      <c r="T1372" s="67"/>
      <c r="U1372" s="67"/>
      <c r="V1372" s="67"/>
      <c r="W1372" s="85" t="str">
        <f aca="false">IF(AH1372="","",N(Q1372)+N(R1372)+N(S1372)+N(T1372)+N(U1372)+N(V1372))</f>
        <v/>
      </c>
      <c r="X1372" s="85" t="str">
        <f aca="false">IF(AH1372="","",P1372-W1372)</f>
        <v/>
      </c>
      <c r="Y1372" s="67"/>
      <c r="Z1372" s="70" t="str">
        <f aca="false">IF(OR(AH1372="",Y1372=""),"",IF(ABS(X1372-Y1372)&lt;=1,"✓ Cuadra","⚠ Diferencia $"&amp;FIXED(X1372-Y1372,0)))</f>
        <v/>
      </c>
      <c r="AA1372" s="72" t="str">
        <f aca="false">IF(AH1372="","",IFERROR(INDEX(C_TIPO,MATCH(C1372&amp;"-P"&amp;MAX(1,COUNTIFS(C_ID,C1372,C_DEFINE,"Sí",C_INICIO,"&lt;="&amp;EOMONTH(B1372,0))),C_CLAVE,0))&amp;"","Sin dato"))</f>
        <v/>
      </c>
      <c r="AB1372" s="71" t="str">
        <f aca="false">IF(AH1372="","",ROUND(MIN(K1372,TOPE_AFP_UF*AJ1372)*AK1372,0))</f>
        <v/>
      </c>
      <c r="AC1372" s="71" t="str">
        <f aca="false">IF(AH1372="","",ROUND(MIN(K1372,TOPE_AFC_UF*AJ1372)*IF(AA1372="Indefinido",AFC_EMP_INDEF,AFC_EMP_PF),0))</f>
        <v/>
      </c>
      <c r="AD1372" s="71" t="str">
        <f aca="false">IF(AH1372="","",ROUND(MIN(K1372,TOPE_AFP_UF*AJ1372)*(MUTUAL_BASICA+MUTUAL_ADIC+SANNA),0))</f>
        <v/>
      </c>
      <c r="AE1372" s="71" t="str">
        <f aca="false">IF(AH1372="","",P1372-N(N1372)+AB1372+AC1372+AD1372)</f>
        <v/>
      </c>
      <c r="AF1372" s="65"/>
      <c r="AG1372" s="64"/>
      <c r="AH1372" s="72" t="str">
        <f aca="false">IF(OR(B1372="",C1372=""),"",C1372&amp;"|"&amp;(YEAR(B1372)*100+MONTH(B1372)))</f>
        <v/>
      </c>
      <c r="AI1372" s="70" t="str">
        <f aca="false">IF(AH1372="","",IF(COUNTIF(L_CLAVE,AH1372)&gt;1,"⚠ Duplicado","OK"))</f>
        <v/>
      </c>
      <c r="AJ1372" s="86" t="str">
        <f aca="false">IF(AH1372="","",IF(SUMPRODUCT(MAX((IND_PER&lt;=B1372)*(IND_UF&lt;&gt;"")*IND_PER))=0,UF_HOY,INDEX(IND_UF,MATCH(SUMPRODUCT(MAX((IND_PER&lt;=B1372)*(IND_UF&lt;&gt;"")*IND_PER)),IND_PER,0))))</f>
        <v/>
      </c>
      <c r="AK1372" s="87" t="str">
        <f aca="false">IF(AH1372="","",IF(COUNTIF(TASA_DESDE,"&lt;="&amp;B1372)=0,INDEX(TASA_EMP,1),INDEX(TASA_EMP,COUNTIF(TASA_DESDE,"&lt;="&amp;B1372))))</f>
        <v/>
      </c>
    </row>
    <row r="1373" customFormat="false" ht="15" hidden="false" customHeight="false" outlineLevel="0" collapsed="false">
      <c r="B1373" s="78"/>
      <c r="C1373" s="64"/>
      <c r="D1373" s="72" t="str">
        <f aca="false">IF(C1373="","",IFERROR(INDEX(T_NOMBRE,MATCH(C1373,T_ID,0)),"⚠ ID no existe"))</f>
        <v/>
      </c>
      <c r="E1373" s="69"/>
      <c r="F1373" s="67"/>
      <c r="G1373" s="67"/>
      <c r="H1373" s="67"/>
      <c r="I1373" s="67"/>
      <c r="J1373" s="67"/>
      <c r="K1373" s="85" t="str">
        <f aca="false">IF(AH1373="","",N(F1373)+N(G1373)+N(H1373)-N(I1373)+N(J1373))</f>
        <v/>
      </c>
      <c r="L1373" s="67"/>
      <c r="M1373" s="67"/>
      <c r="N1373" s="67"/>
      <c r="O1373" s="67"/>
      <c r="P1373" s="85" t="str">
        <f aca="false">IF(AH1373="","",K1373+N(L1373)+N(M1373)+N(N1373)+N(O1373))</f>
        <v/>
      </c>
      <c r="Q1373" s="67"/>
      <c r="R1373" s="67"/>
      <c r="S1373" s="67"/>
      <c r="T1373" s="67"/>
      <c r="U1373" s="67"/>
      <c r="V1373" s="67"/>
      <c r="W1373" s="85" t="str">
        <f aca="false">IF(AH1373="","",N(Q1373)+N(R1373)+N(S1373)+N(T1373)+N(U1373)+N(V1373))</f>
        <v/>
      </c>
      <c r="X1373" s="85" t="str">
        <f aca="false">IF(AH1373="","",P1373-W1373)</f>
        <v/>
      </c>
      <c r="Y1373" s="67"/>
      <c r="Z1373" s="70" t="str">
        <f aca="false">IF(OR(AH1373="",Y1373=""),"",IF(ABS(X1373-Y1373)&lt;=1,"✓ Cuadra","⚠ Diferencia $"&amp;FIXED(X1373-Y1373,0)))</f>
        <v/>
      </c>
      <c r="AA1373" s="72" t="str">
        <f aca="false">IF(AH1373="","",IFERROR(INDEX(C_TIPO,MATCH(C1373&amp;"-P"&amp;MAX(1,COUNTIFS(C_ID,C1373,C_DEFINE,"Sí",C_INICIO,"&lt;="&amp;EOMONTH(B1373,0))),C_CLAVE,0))&amp;"","Sin dato"))</f>
        <v/>
      </c>
      <c r="AB1373" s="71" t="str">
        <f aca="false">IF(AH1373="","",ROUND(MIN(K1373,TOPE_AFP_UF*AJ1373)*AK1373,0))</f>
        <v/>
      </c>
      <c r="AC1373" s="71" t="str">
        <f aca="false">IF(AH1373="","",ROUND(MIN(K1373,TOPE_AFC_UF*AJ1373)*IF(AA1373="Indefinido",AFC_EMP_INDEF,AFC_EMP_PF),0))</f>
        <v/>
      </c>
      <c r="AD1373" s="71" t="str">
        <f aca="false">IF(AH1373="","",ROUND(MIN(K1373,TOPE_AFP_UF*AJ1373)*(MUTUAL_BASICA+MUTUAL_ADIC+SANNA),0))</f>
        <v/>
      </c>
      <c r="AE1373" s="71" t="str">
        <f aca="false">IF(AH1373="","",P1373-N(N1373)+AB1373+AC1373+AD1373)</f>
        <v/>
      </c>
      <c r="AF1373" s="65"/>
      <c r="AG1373" s="64"/>
      <c r="AH1373" s="72" t="str">
        <f aca="false">IF(OR(B1373="",C1373=""),"",C1373&amp;"|"&amp;(YEAR(B1373)*100+MONTH(B1373)))</f>
        <v/>
      </c>
      <c r="AI1373" s="70" t="str">
        <f aca="false">IF(AH1373="","",IF(COUNTIF(L_CLAVE,AH1373)&gt;1,"⚠ Duplicado","OK"))</f>
        <v/>
      </c>
      <c r="AJ1373" s="86" t="str">
        <f aca="false">IF(AH1373="","",IF(SUMPRODUCT(MAX((IND_PER&lt;=B1373)*(IND_UF&lt;&gt;"")*IND_PER))=0,UF_HOY,INDEX(IND_UF,MATCH(SUMPRODUCT(MAX((IND_PER&lt;=B1373)*(IND_UF&lt;&gt;"")*IND_PER)),IND_PER,0))))</f>
        <v/>
      </c>
      <c r="AK1373" s="87" t="str">
        <f aca="false">IF(AH1373="","",IF(COUNTIF(TASA_DESDE,"&lt;="&amp;B1373)=0,INDEX(TASA_EMP,1),INDEX(TASA_EMP,COUNTIF(TASA_DESDE,"&lt;="&amp;B1373))))</f>
        <v/>
      </c>
    </row>
    <row r="1374" customFormat="false" ht="15" hidden="false" customHeight="false" outlineLevel="0" collapsed="false">
      <c r="B1374" s="78"/>
      <c r="C1374" s="64"/>
      <c r="D1374" s="72" t="str">
        <f aca="false">IF(C1374="","",IFERROR(INDEX(T_NOMBRE,MATCH(C1374,T_ID,0)),"⚠ ID no existe"))</f>
        <v/>
      </c>
      <c r="E1374" s="69"/>
      <c r="F1374" s="67"/>
      <c r="G1374" s="67"/>
      <c r="H1374" s="67"/>
      <c r="I1374" s="67"/>
      <c r="J1374" s="67"/>
      <c r="K1374" s="85" t="str">
        <f aca="false">IF(AH1374="","",N(F1374)+N(G1374)+N(H1374)-N(I1374)+N(J1374))</f>
        <v/>
      </c>
      <c r="L1374" s="67"/>
      <c r="M1374" s="67"/>
      <c r="N1374" s="67"/>
      <c r="O1374" s="67"/>
      <c r="P1374" s="85" t="str">
        <f aca="false">IF(AH1374="","",K1374+N(L1374)+N(M1374)+N(N1374)+N(O1374))</f>
        <v/>
      </c>
      <c r="Q1374" s="67"/>
      <c r="R1374" s="67"/>
      <c r="S1374" s="67"/>
      <c r="T1374" s="67"/>
      <c r="U1374" s="67"/>
      <c r="V1374" s="67"/>
      <c r="W1374" s="85" t="str">
        <f aca="false">IF(AH1374="","",N(Q1374)+N(R1374)+N(S1374)+N(T1374)+N(U1374)+N(V1374))</f>
        <v/>
      </c>
      <c r="X1374" s="85" t="str">
        <f aca="false">IF(AH1374="","",P1374-W1374)</f>
        <v/>
      </c>
      <c r="Y1374" s="67"/>
      <c r="Z1374" s="70" t="str">
        <f aca="false">IF(OR(AH1374="",Y1374=""),"",IF(ABS(X1374-Y1374)&lt;=1,"✓ Cuadra","⚠ Diferencia $"&amp;FIXED(X1374-Y1374,0)))</f>
        <v/>
      </c>
      <c r="AA1374" s="72" t="str">
        <f aca="false">IF(AH1374="","",IFERROR(INDEX(C_TIPO,MATCH(C1374&amp;"-P"&amp;MAX(1,COUNTIFS(C_ID,C1374,C_DEFINE,"Sí",C_INICIO,"&lt;="&amp;EOMONTH(B1374,0))),C_CLAVE,0))&amp;"","Sin dato"))</f>
        <v/>
      </c>
      <c r="AB1374" s="71" t="str">
        <f aca="false">IF(AH1374="","",ROUND(MIN(K1374,TOPE_AFP_UF*AJ1374)*AK1374,0))</f>
        <v/>
      </c>
      <c r="AC1374" s="71" t="str">
        <f aca="false">IF(AH1374="","",ROUND(MIN(K1374,TOPE_AFC_UF*AJ1374)*IF(AA1374="Indefinido",AFC_EMP_INDEF,AFC_EMP_PF),0))</f>
        <v/>
      </c>
      <c r="AD1374" s="71" t="str">
        <f aca="false">IF(AH1374="","",ROUND(MIN(K1374,TOPE_AFP_UF*AJ1374)*(MUTUAL_BASICA+MUTUAL_ADIC+SANNA),0))</f>
        <v/>
      </c>
      <c r="AE1374" s="71" t="str">
        <f aca="false">IF(AH1374="","",P1374-N(N1374)+AB1374+AC1374+AD1374)</f>
        <v/>
      </c>
      <c r="AF1374" s="65"/>
      <c r="AG1374" s="64"/>
      <c r="AH1374" s="72" t="str">
        <f aca="false">IF(OR(B1374="",C1374=""),"",C1374&amp;"|"&amp;(YEAR(B1374)*100+MONTH(B1374)))</f>
        <v/>
      </c>
      <c r="AI1374" s="70" t="str">
        <f aca="false">IF(AH1374="","",IF(COUNTIF(L_CLAVE,AH1374)&gt;1,"⚠ Duplicado","OK"))</f>
        <v/>
      </c>
      <c r="AJ1374" s="86" t="str">
        <f aca="false">IF(AH1374="","",IF(SUMPRODUCT(MAX((IND_PER&lt;=B1374)*(IND_UF&lt;&gt;"")*IND_PER))=0,UF_HOY,INDEX(IND_UF,MATCH(SUMPRODUCT(MAX((IND_PER&lt;=B1374)*(IND_UF&lt;&gt;"")*IND_PER)),IND_PER,0))))</f>
        <v/>
      </c>
      <c r="AK1374" s="87" t="str">
        <f aca="false">IF(AH1374="","",IF(COUNTIF(TASA_DESDE,"&lt;="&amp;B1374)=0,INDEX(TASA_EMP,1),INDEX(TASA_EMP,COUNTIF(TASA_DESDE,"&lt;="&amp;B1374))))</f>
        <v/>
      </c>
    </row>
    <row r="1375" customFormat="false" ht="15" hidden="false" customHeight="false" outlineLevel="0" collapsed="false">
      <c r="B1375" s="78"/>
      <c r="C1375" s="64"/>
      <c r="D1375" s="72" t="str">
        <f aca="false">IF(C1375="","",IFERROR(INDEX(T_NOMBRE,MATCH(C1375,T_ID,0)),"⚠ ID no existe"))</f>
        <v/>
      </c>
      <c r="E1375" s="69"/>
      <c r="F1375" s="67"/>
      <c r="G1375" s="67"/>
      <c r="H1375" s="67"/>
      <c r="I1375" s="67"/>
      <c r="J1375" s="67"/>
      <c r="K1375" s="85" t="str">
        <f aca="false">IF(AH1375="","",N(F1375)+N(G1375)+N(H1375)-N(I1375)+N(J1375))</f>
        <v/>
      </c>
      <c r="L1375" s="67"/>
      <c r="M1375" s="67"/>
      <c r="N1375" s="67"/>
      <c r="O1375" s="67"/>
      <c r="P1375" s="85" t="str">
        <f aca="false">IF(AH1375="","",K1375+N(L1375)+N(M1375)+N(N1375)+N(O1375))</f>
        <v/>
      </c>
      <c r="Q1375" s="67"/>
      <c r="R1375" s="67"/>
      <c r="S1375" s="67"/>
      <c r="T1375" s="67"/>
      <c r="U1375" s="67"/>
      <c r="V1375" s="67"/>
      <c r="W1375" s="85" t="str">
        <f aca="false">IF(AH1375="","",N(Q1375)+N(R1375)+N(S1375)+N(T1375)+N(U1375)+N(V1375))</f>
        <v/>
      </c>
      <c r="X1375" s="85" t="str">
        <f aca="false">IF(AH1375="","",P1375-W1375)</f>
        <v/>
      </c>
      <c r="Y1375" s="67"/>
      <c r="Z1375" s="70" t="str">
        <f aca="false">IF(OR(AH1375="",Y1375=""),"",IF(ABS(X1375-Y1375)&lt;=1,"✓ Cuadra","⚠ Diferencia $"&amp;FIXED(X1375-Y1375,0)))</f>
        <v/>
      </c>
      <c r="AA1375" s="72" t="str">
        <f aca="false">IF(AH1375="","",IFERROR(INDEX(C_TIPO,MATCH(C1375&amp;"-P"&amp;MAX(1,COUNTIFS(C_ID,C1375,C_DEFINE,"Sí",C_INICIO,"&lt;="&amp;EOMONTH(B1375,0))),C_CLAVE,0))&amp;"","Sin dato"))</f>
        <v/>
      </c>
      <c r="AB1375" s="71" t="str">
        <f aca="false">IF(AH1375="","",ROUND(MIN(K1375,TOPE_AFP_UF*AJ1375)*AK1375,0))</f>
        <v/>
      </c>
      <c r="AC1375" s="71" t="str">
        <f aca="false">IF(AH1375="","",ROUND(MIN(K1375,TOPE_AFC_UF*AJ1375)*IF(AA1375="Indefinido",AFC_EMP_INDEF,AFC_EMP_PF),0))</f>
        <v/>
      </c>
      <c r="AD1375" s="71" t="str">
        <f aca="false">IF(AH1375="","",ROUND(MIN(K1375,TOPE_AFP_UF*AJ1375)*(MUTUAL_BASICA+MUTUAL_ADIC+SANNA),0))</f>
        <v/>
      </c>
      <c r="AE1375" s="71" t="str">
        <f aca="false">IF(AH1375="","",P1375-N(N1375)+AB1375+AC1375+AD1375)</f>
        <v/>
      </c>
      <c r="AF1375" s="65"/>
      <c r="AG1375" s="64"/>
      <c r="AH1375" s="72" t="str">
        <f aca="false">IF(OR(B1375="",C1375=""),"",C1375&amp;"|"&amp;(YEAR(B1375)*100+MONTH(B1375)))</f>
        <v/>
      </c>
      <c r="AI1375" s="70" t="str">
        <f aca="false">IF(AH1375="","",IF(COUNTIF(L_CLAVE,AH1375)&gt;1,"⚠ Duplicado","OK"))</f>
        <v/>
      </c>
      <c r="AJ1375" s="86" t="str">
        <f aca="false">IF(AH1375="","",IF(SUMPRODUCT(MAX((IND_PER&lt;=B1375)*(IND_UF&lt;&gt;"")*IND_PER))=0,UF_HOY,INDEX(IND_UF,MATCH(SUMPRODUCT(MAX((IND_PER&lt;=B1375)*(IND_UF&lt;&gt;"")*IND_PER)),IND_PER,0))))</f>
        <v/>
      </c>
      <c r="AK1375" s="87" t="str">
        <f aca="false">IF(AH1375="","",IF(COUNTIF(TASA_DESDE,"&lt;="&amp;B1375)=0,INDEX(TASA_EMP,1),INDEX(TASA_EMP,COUNTIF(TASA_DESDE,"&lt;="&amp;B1375))))</f>
        <v/>
      </c>
    </row>
    <row r="1376" customFormat="false" ht="15" hidden="false" customHeight="false" outlineLevel="0" collapsed="false">
      <c r="B1376" s="78"/>
      <c r="C1376" s="64"/>
      <c r="D1376" s="72" t="str">
        <f aca="false">IF(C1376="","",IFERROR(INDEX(T_NOMBRE,MATCH(C1376,T_ID,0)),"⚠ ID no existe"))</f>
        <v/>
      </c>
      <c r="E1376" s="69"/>
      <c r="F1376" s="67"/>
      <c r="G1376" s="67"/>
      <c r="H1376" s="67"/>
      <c r="I1376" s="67"/>
      <c r="J1376" s="67"/>
      <c r="K1376" s="85" t="str">
        <f aca="false">IF(AH1376="","",N(F1376)+N(G1376)+N(H1376)-N(I1376)+N(J1376))</f>
        <v/>
      </c>
      <c r="L1376" s="67"/>
      <c r="M1376" s="67"/>
      <c r="N1376" s="67"/>
      <c r="O1376" s="67"/>
      <c r="P1376" s="85" t="str">
        <f aca="false">IF(AH1376="","",K1376+N(L1376)+N(M1376)+N(N1376)+N(O1376))</f>
        <v/>
      </c>
      <c r="Q1376" s="67"/>
      <c r="R1376" s="67"/>
      <c r="S1376" s="67"/>
      <c r="T1376" s="67"/>
      <c r="U1376" s="67"/>
      <c r="V1376" s="67"/>
      <c r="W1376" s="85" t="str">
        <f aca="false">IF(AH1376="","",N(Q1376)+N(R1376)+N(S1376)+N(T1376)+N(U1376)+N(V1376))</f>
        <v/>
      </c>
      <c r="X1376" s="85" t="str">
        <f aca="false">IF(AH1376="","",P1376-W1376)</f>
        <v/>
      </c>
      <c r="Y1376" s="67"/>
      <c r="Z1376" s="70" t="str">
        <f aca="false">IF(OR(AH1376="",Y1376=""),"",IF(ABS(X1376-Y1376)&lt;=1,"✓ Cuadra","⚠ Diferencia $"&amp;FIXED(X1376-Y1376,0)))</f>
        <v/>
      </c>
      <c r="AA1376" s="72" t="str">
        <f aca="false">IF(AH1376="","",IFERROR(INDEX(C_TIPO,MATCH(C1376&amp;"-P"&amp;MAX(1,COUNTIFS(C_ID,C1376,C_DEFINE,"Sí",C_INICIO,"&lt;="&amp;EOMONTH(B1376,0))),C_CLAVE,0))&amp;"","Sin dato"))</f>
        <v/>
      </c>
      <c r="AB1376" s="71" t="str">
        <f aca="false">IF(AH1376="","",ROUND(MIN(K1376,TOPE_AFP_UF*AJ1376)*AK1376,0))</f>
        <v/>
      </c>
      <c r="AC1376" s="71" t="str">
        <f aca="false">IF(AH1376="","",ROUND(MIN(K1376,TOPE_AFC_UF*AJ1376)*IF(AA1376="Indefinido",AFC_EMP_INDEF,AFC_EMP_PF),0))</f>
        <v/>
      </c>
      <c r="AD1376" s="71" t="str">
        <f aca="false">IF(AH1376="","",ROUND(MIN(K1376,TOPE_AFP_UF*AJ1376)*(MUTUAL_BASICA+MUTUAL_ADIC+SANNA),0))</f>
        <v/>
      </c>
      <c r="AE1376" s="71" t="str">
        <f aca="false">IF(AH1376="","",P1376-N(N1376)+AB1376+AC1376+AD1376)</f>
        <v/>
      </c>
      <c r="AF1376" s="65"/>
      <c r="AG1376" s="64"/>
      <c r="AH1376" s="72" t="str">
        <f aca="false">IF(OR(B1376="",C1376=""),"",C1376&amp;"|"&amp;(YEAR(B1376)*100+MONTH(B1376)))</f>
        <v/>
      </c>
      <c r="AI1376" s="70" t="str">
        <f aca="false">IF(AH1376="","",IF(COUNTIF(L_CLAVE,AH1376)&gt;1,"⚠ Duplicado","OK"))</f>
        <v/>
      </c>
      <c r="AJ1376" s="86" t="str">
        <f aca="false">IF(AH1376="","",IF(SUMPRODUCT(MAX((IND_PER&lt;=B1376)*(IND_UF&lt;&gt;"")*IND_PER))=0,UF_HOY,INDEX(IND_UF,MATCH(SUMPRODUCT(MAX((IND_PER&lt;=B1376)*(IND_UF&lt;&gt;"")*IND_PER)),IND_PER,0))))</f>
        <v/>
      </c>
      <c r="AK1376" s="87" t="str">
        <f aca="false">IF(AH1376="","",IF(COUNTIF(TASA_DESDE,"&lt;="&amp;B1376)=0,INDEX(TASA_EMP,1),INDEX(TASA_EMP,COUNTIF(TASA_DESDE,"&lt;="&amp;B1376))))</f>
        <v/>
      </c>
    </row>
    <row r="1377" customFormat="false" ht="15" hidden="false" customHeight="false" outlineLevel="0" collapsed="false">
      <c r="B1377" s="78"/>
      <c r="C1377" s="64"/>
      <c r="D1377" s="72" t="str">
        <f aca="false">IF(C1377="","",IFERROR(INDEX(T_NOMBRE,MATCH(C1377,T_ID,0)),"⚠ ID no existe"))</f>
        <v/>
      </c>
      <c r="E1377" s="69"/>
      <c r="F1377" s="67"/>
      <c r="G1377" s="67"/>
      <c r="H1377" s="67"/>
      <c r="I1377" s="67"/>
      <c r="J1377" s="67"/>
      <c r="K1377" s="85" t="str">
        <f aca="false">IF(AH1377="","",N(F1377)+N(G1377)+N(H1377)-N(I1377)+N(J1377))</f>
        <v/>
      </c>
      <c r="L1377" s="67"/>
      <c r="M1377" s="67"/>
      <c r="N1377" s="67"/>
      <c r="O1377" s="67"/>
      <c r="P1377" s="85" t="str">
        <f aca="false">IF(AH1377="","",K1377+N(L1377)+N(M1377)+N(N1377)+N(O1377))</f>
        <v/>
      </c>
      <c r="Q1377" s="67"/>
      <c r="R1377" s="67"/>
      <c r="S1377" s="67"/>
      <c r="T1377" s="67"/>
      <c r="U1377" s="67"/>
      <c r="V1377" s="67"/>
      <c r="W1377" s="85" t="str">
        <f aca="false">IF(AH1377="","",N(Q1377)+N(R1377)+N(S1377)+N(T1377)+N(U1377)+N(V1377))</f>
        <v/>
      </c>
      <c r="X1377" s="85" t="str">
        <f aca="false">IF(AH1377="","",P1377-W1377)</f>
        <v/>
      </c>
      <c r="Y1377" s="67"/>
      <c r="Z1377" s="70" t="str">
        <f aca="false">IF(OR(AH1377="",Y1377=""),"",IF(ABS(X1377-Y1377)&lt;=1,"✓ Cuadra","⚠ Diferencia $"&amp;FIXED(X1377-Y1377,0)))</f>
        <v/>
      </c>
      <c r="AA1377" s="72" t="str">
        <f aca="false">IF(AH1377="","",IFERROR(INDEX(C_TIPO,MATCH(C1377&amp;"-P"&amp;MAX(1,COUNTIFS(C_ID,C1377,C_DEFINE,"Sí",C_INICIO,"&lt;="&amp;EOMONTH(B1377,0))),C_CLAVE,0))&amp;"","Sin dato"))</f>
        <v/>
      </c>
      <c r="AB1377" s="71" t="str">
        <f aca="false">IF(AH1377="","",ROUND(MIN(K1377,TOPE_AFP_UF*AJ1377)*AK1377,0))</f>
        <v/>
      </c>
      <c r="AC1377" s="71" t="str">
        <f aca="false">IF(AH1377="","",ROUND(MIN(K1377,TOPE_AFC_UF*AJ1377)*IF(AA1377="Indefinido",AFC_EMP_INDEF,AFC_EMP_PF),0))</f>
        <v/>
      </c>
      <c r="AD1377" s="71" t="str">
        <f aca="false">IF(AH1377="","",ROUND(MIN(K1377,TOPE_AFP_UF*AJ1377)*(MUTUAL_BASICA+MUTUAL_ADIC+SANNA),0))</f>
        <v/>
      </c>
      <c r="AE1377" s="71" t="str">
        <f aca="false">IF(AH1377="","",P1377-N(N1377)+AB1377+AC1377+AD1377)</f>
        <v/>
      </c>
      <c r="AF1377" s="65"/>
      <c r="AG1377" s="64"/>
      <c r="AH1377" s="72" t="str">
        <f aca="false">IF(OR(B1377="",C1377=""),"",C1377&amp;"|"&amp;(YEAR(B1377)*100+MONTH(B1377)))</f>
        <v/>
      </c>
      <c r="AI1377" s="70" t="str">
        <f aca="false">IF(AH1377="","",IF(COUNTIF(L_CLAVE,AH1377)&gt;1,"⚠ Duplicado","OK"))</f>
        <v/>
      </c>
      <c r="AJ1377" s="86" t="str">
        <f aca="false">IF(AH1377="","",IF(SUMPRODUCT(MAX((IND_PER&lt;=B1377)*(IND_UF&lt;&gt;"")*IND_PER))=0,UF_HOY,INDEX(IND_UF,MATCH(SUMPRODUCT(MAX((IND_PER&lt;=B1377)*(IND_UF&lt;&gt;"")*IND_PER)),IND_PER,0))))</f>
        <v/>
      </c>
      <c r="AK1377" s="87" t="str">
        <f aca="false">IF(AH1377="","",IF(COUNTIF(TASA_DESDE,"&lt;="&amp;B1377)=0,INDEX(TASA_EMP,1),INDEX(TASA_EMP,COUNTIF(TASA_DESDE,"&lt;="&amp;B1377))))</f>
        <v/>
      </c>
    </row>
    <row r="1378" customFormat="false" ht="15" hidden="false" customHeight="false" outlineLevel="0" collapsed="false">
      <c r="B1378" s="78"/>
      <c r="C1378" s="64"/>
      <c r="D1378" s="72" t="str">
        <f aca="false">IF(C1378="","",IFERROR(INDEX(T_NOMBRE,MATCH(C1378,T_ID,0)),"⚠ ID no existe"))</f>
        <v/>
      </c>
      <c r="E1378" s="69"/>
      <c r="F1378" s="67"/>
      <c r="G1378" s="67"/>
      <c r="H1378" s="67"/>
      <c r="I1378" s="67"/>
      <c r="J1378" s="67"/>
      <c r="K1378" s="85" t="str">
        <f aca="false">IF(AH1378="","",N(F1378)+N(G1378)+N(H1378)-N(I1378)+N(J1378))</f>
        <v/>
      </c>
      <c r="L1378" s="67"/>
      <c r="M1378" s="67"/>
      <c r="N1378" s="67"/>
      <c r="O1378" s="67"/>
      <c r="P1378" s="85" t="str">
        <f aca="false">IF(AH1378="","",K1378+N(L1378)+N(M1378)+N(N1378)+N(O1378))</f>
        <v/>
      </c>
      <c r="Q1378" s="67"/>
      <c r="R1378" s="67"/>
      <c r="S1378" s="67"/>
      <c r="T1378" s="67"/>
      <c r="U1378" s="67"/>
      <c r="V1378" s="67"/>
      <c r="W1378" s="85" t="str">
        <f aca="false">IF(AH1378="","",N(Q1378)+N(R1378)+N(S1378)+N(T1378)+N(U1378)+N(V1378))</f>
        <v/>
      </c>
      <c r="X1378" s="85" t="str">
        <f aca="false">IF(AH1378="","",P1378-W1378)</f>
        <v/>
      </c>
      <c r="Y1378" s="67"/>
      <c r="Z1378" s="70" t="str">
        <f aca="false">IF(OR(AH1378="",Y1378=""),"",IF(ABS(X1378-Y1378)&lt;=1,"✓ Cuadra","⚠ Diferencia $"&amp;FIXED(X1378-Y1378,0)))</f>
        <v/>
      </c>
      <c r="AA1378" s="72" t="str">
        <f aca="false">IF(AH1378="","",IFERROR(INDEX(C_TIPO,MATCH(C1378&amp;"-P"&amp;MAX(1,COUNTIFS(C_ID,C1378,C_DEFINE,"Sí",C_INICIO,"&lt;="&amp;EOMONTH(B1378,0))),C_CLAVE,0))&amp;"","Sin dato"))</f>
        <v/>
      </c>
      <c r="AB1378" s="71" t="str">
        <f aca="false">IF(AH1378="","",ROUND(MIN(K1378,TOPE_AFP_UF*AJ1378)*AK1378,0))</f>
        <v/>
      </c>
      <c r="AC1378" s="71" t="str">
        <f aca="false">IF(AH1378="","",ROUND(MIN(K1378,TOPE_AFC_UF*AJ1378)*IF(AA1378="Indefinido",AFC_EMP_INDEF,AFC_EMP_PF),0))</f>
        <v/>
      </c>
      <c r="AD1378" s="71" t="str">
        <f aca="false">IF(AH1378="","",ROUND(MIN(K1378,TOPE_AFP_UF*AJ1378)*(MUTUAL_BASICA+MUTUAL_ADIC+SANNA),0))</f>
        <v/>
      </c>
      <c r="AE1378" s="71" t="str">
        <f aca="false">IF(AH1378="","",P1378-N(N1378)+AB1378+AC1378+AD1378)</f>
        <v/>
      </c>
      <c r="AF1378" s="65"/>
      <c r="AG1378" s="64"/>
      <c r="AH1378" s="72" t="str">
        <f aca="false">IF(OR(B1378="",C1378=""),"",C1378&amp;"|"&amp;(YEAR(B1378)*100+MONTH(B1378)))</f>
        <v/>
      </c>
      <c r="AI1378" s="70" t="str">
        <f aca="false">IF(AH1378="","",IF(COUNTIF(L_CLAVE,AH1378)&gt;1,"⚠ Duplicado","OK"))</f>
        <v/>
      </c>
      <c r="AJ1378" s="86" t="str">
        <f aca="false">IF(AH1378="","",IF(SUMPRODUCT(MAX((IND_PER&lt;=B1378)*(IND_UF&lt;&gt;"")*IND_PER))=0,UF_HOY,INDEX(IND_UF,MATCH(SUMPRODUCT(MAX((IND_PER&lt;=B1378)*(IND_UF&lt;&gt;"")*IND_PER)),IND_PER,0))))</f>
        <v/>
      </c>
      <c r="AK1378" s="87" t="str">
        <f aca="false">IF(AH1378="","",IF(COUNTIF(TASA_DESDE,"&lt;="&amp;B1378)=0,INDEX(TASA_EMP,1),INDEX(TASA_EMP,COUNTIF(TASA_DESDE,"&lt;="&amp;B1378))))</f>
        <v/>
      </c>
    </row>
    <row r="1379" customFormat="false" ht="15" hidden="false" customHeight="false" outlineLevel="0" collapsed="false">
      <c r="B1379" s="78"/>
      <c r="C1379" s="64"/>
      <c r="D1379" s="72" t="str">
        <f aca="false">IF(C1379="","",IFERROR(INDEX(T_NOMBRE,MATCH(C1379,T_ID,0)),"⚠ ID no existe"))</f>
        <v/>
      </c>
      <c r="E1379" s="69"/>
      <c r="F1379" s="67"/>
      <c r="G1379" s="67"/>
      <c r="H1379" s="67"/>
      <c r="I1379" s="67"/>
      <c r="J1379" s="67"/>
      <c r="K1379" s="85" t="str">
        <f aca="false">IF(AH1379="","",N(F1379)+N(G1379)+N(H1379)-N(I1379)+N(J1379))</f>
        <v/>
      </c>
      <c r="L1379" s="67"/>
      <c r="M1379" s="67"/>
      <c r="N1379" s="67"/>
      <c r="O1379" s="67"/>
      <c r="P1379" s="85" t="str">
        <f aca="false">IF(AH1379="","",K1379+N(L1379)+N(M1379)+N(N1379)+N(O1379))</f>
        <v/>
      </c>
      <c r="Q1379" s="67"/>
      <c r="R1379" s="67"/>
      <c r="S1379" s="67"/>
      <c r="T1379" s="67"/>
      <c r="U1379" s="67"/>
      <c r="V1379" s="67"/>
      <c r="W1379" s="85" t="str">
        <f aca="false">IF(AH1379="","",N(Q1379)+N(R1379)+N(S1379)+N(T1379)+N(U1379)+N(V1379))</f>
        <v/>
      </c>
      <c r="X1379" s="85" t="str">
        <f aca="false">IF(AH1379="","",P1379-W1379)</f>
        <v/>
      </c>
      <c r="Y1379" s="67"/>
      <c r="Z1379" s="70" t="str">
        <f aca="false">IF(OR(AH1379="",Y1379=""),"",IF(ABS(X1379-Y1379)&lt;=1,"✓ Cuadra","⚠ Diferencia $"&amp;FIXED(X1379-Y1379,0)))</f>
        <v/>
      </c>
      <c r="AA1379" s="72" t="str">
        <f aca="false">IF(AH1379="","",IFERROR(INDEX(C_TIPO,MATCH(C1379&amp;"-P"&amp;MAX(1,COUNTIFS(C_ID,C1379,C_DEFINE,"Sí",C_INICIO,"&lt;="&amp;EOMONTH(B1379,0))),C_CLAVE,0))&amp;"","Sin dato"))</f>
        <v/>
      </c>
      <c r="AB1379" s="71" t="str">
        <f aca="false">IF(AH1379="","",ROUND(MIN(K1379,TOPE_AFP_UF*AJ1379)*AK1379,0))</f>
        <v/>
      </c>
      <c r="AC1379" s="71" t="str">
        <f aca="false">IF(AH1379="","",ROUND(MIN(K1379,TOPE_AFC_UF*AJ1379)*IF(AA1379="Indefinido",AFC_EMP_INDEF,AFC_EMP_PF),0))</f>
        <v/>
      </c>
      <c r="AD1379" s="71" t="str">
        <f aca="false">IF(AH1379="","",ROUND(MIN(K1379,TOPE_AFP_UF*AJ1379)*(MUTUAL_BASICA+MUTUAL_ADIC+SANNA),0))</f>
        <v/>
      </c>
      <c r="AE1379" s="71" t="str">
        <f aca="false">IF(AH1379="","",P1379-N(N1379)+AB1379+AC1379+AD1379)</f>
        <v/>
      </c>
      <c r="AF1379" s="65"/>
      <c r="AG1379" s="64"/>
      <c r="AH1379" s="72" t="str">
        <f aca="false">IF(OR(B1379="",C1379=""),"",C1379&amp;"|"&amp;(YEAR(B1379)*100+MONTH(B1379)))</f>
        <v/>
      </c>
      <c r="AI1379" s="70" t="str">
        <f aca="false">IF(AH1379="","",IF(COUNTIF(L_CLAVE,AH1379)&gt;1,"⚠ Duplicado","OK"))</f>
        <v/>
      </c>
      <c r="AJ1379" s="86" t="str">
        <f aca="false">IF(AH1379="","",IF(SUMPRODUCT(MAX((IND_PER&lt;=B1379)*(IND_UF&lt;&gt;"")*IND_PER))=0,UF_HOY,INDEX(IND_UF,MATCH(SUMPRODUCT(MAX((IND_PER&lt;=B1379)*(IND_UF&lt;&gt;"")*IND_PER)),IND_PER,0))))</f>
        <v/>
      </c>
      <c r="AK1379" s="87" t="str">
        <f aca="false">IF(AH1379="","",IF(COUNTIF(TASA_DESDE,"&lt;="&amp;B1379)=0,INDEX(TASA_EMP,1),INDEX(TASA_EMP,COUNTIF(TASA_DESDE,"&lt;="&amp;B1379))))</f>
        <v/>
      </c>
    </row>
    <row r="1380" customFormat="false" ht="15" hidden="false" customHeight="false" outlineLevel="0" collapsed="false">
      <c r="B1380" s="78"/>
      <c r="C1380" s="64"/>
      <c r="D1380" s="72" t="str">
        <f aca="false">IF(C1380="","",IFERROR(INDEX(T_NOMBRE,MATCH(C1380,T_ID,0)),"⚠ ID no existe"))</f>
        <v/>
      </c>
      <c r="E1380" s="69"/>
      <c r="F1380" s="67"/>
      <c r="G1380" s="67"/>
      <c r="H1380" s="67"/>
      <c r="I1380" s="67"/>
      <c r="J1380" s="67"/>
      <c r="K1380" s="85" t="str">
        <f aca="false">IF(AH1380="","",N(F1380)+N(G1380)+N(H1380)-N(I1380)+N(J1380))</f>
        <v/>
      </c>
      <c r="L1380" s="67"/>
      <c r="M1380" s="67"/>
      <c r="N1380" s="67"/>
      <c r="O1380" s="67"/>
      <c r="P1380" s="85" t="str">
        <f aca="false">IF(AH1380="","",K1380+N(L1380)+N(M1380)+N(N1380)+N(O1380))</f>
        <v/>
      </c>
      <c r="Q1380" s="67"/>
      <c r="R1380" s="67"/>
      <c r="S1380" s="67"/>
      <c r="T1380" s="67"/>
      <c r="U1380" s="67"/>
      <c r="V1380" s="67"/>
      <c r="W1380" s="85" t="str">
        <f aca="false">IF(AH1380="","",N(Q1380)+N(R1380)+N(S1380)+N(T1380)+N(U1380)+N(V1380))</f>
        <v/>
      </c>
      <c r="X1380" s="85" t="str">
        <f aca="false">IF(AH1380="","",P1380-W1380)</f>
        <v/>
      </c>
      <c r="Y1380" s="67"/>
      <c r="Z1380" s="70" t="str">
        <f aca="false">IF(OR(AH1380="",Y1380=""),"",IF(ABS(X1380-Y1380)&lt;=1,"✓ Cuadra","⚠ Diferencia $"&amp;FIXED(X1380-Y1380,0)))</f>
        <v/>
      </c>
      <c r="AA1380" s="72" t="str">
        <f aca="false">IF(AH1380="","",IFERROR(INDEX(C_TIPO,MATCH(C1380&amp;"-P"&amp;MAX(1,COUNTIFS(C_ID,C1380,C_DEFINE,"Sí",C_INICIO,"&lt;="&amp;EOMONTH(B1380,0))),C_CLAVE,0))&amp;"","Sin dato"))</f>
        <v/>
      </c>
      <c r="AB1380" s="71" t="str">
        <f aca="false">IF(AH1380="","",ROUND(MIN(K1380,TOPE_AFP_UF*AJ1380)*AK1380,0))</f>
        <v/>
      </c>
      <c r="AC1380" s="71" t="str">
        <f aca="false">IF(AH1380="","",ROUND(MIN(K1380,TOPE_AFC_UF*AJ1380)*IF(AA1380="Indefinido",AFC_EMP_INDEF,AFC_EMP_PF),0))</f>
        <v/>
      </c>
      <c r="AD1380" s="71" t="str">
        <f aca="false">IF(AH1380="","",ROUND(MIN(K1380,TOPE_AFP_UF*AJ1380)*(MUTUAL_BASICA+MUTUAL_ADIC+SANNA),0))</f>
        <v/>
      </c>
      <c r="AE1380" s="71" t="str">
        <f aca="false">IF(AH1380="","",P1380-N(N1380)+AB1380+AC1380+AD1380)</f>
        <v/>
      </c>
      <c r="AF1380" s="65"/>
      <c r="AG1380" s="64"/>
      <c r="AH1380" s="72" t="str">
        <f aca="false">IF(OR(B1380="",C1380=""),"",C1380&amp;"|"&amp;(YEAR(B1380)*100+MONTH(B1380)))</f>
        <v/>
      </c>
      <c r="AI1380" s="70" t="str">
        <f aca="false">IF(AH1380="","",IF(COUNTIF(L_CLAVE,AH1380)&gt;1,"⚠ Duplicado","OK"))</f>
        <v/>
      </c>
      <c r="AJ1380" s="86" t="str">
        <f aca="false">IF(AH1380="","",IF(SUMPRODUCT(MAX((IND_PER&lt;=B1380)*(IND_UF&lt;&gt;"")*IND_PER))=0,UF_HOY,INDEX(IND_UF,MATCH(SUMPRODUCT(MAX((IND_PER&lt;=B1380)*(IND_UF&lt;&gt;"")*IND_PER)),IND_PER,0))))</f>
        <v/>
      </c>
      <c r="AK1380" s="87" t="str">
        <f aca="false">IF(AH1380="","",IF(COUNTIF(TASA_DESDE,"&lt;="&amp;B1380)=0,INDEX(TASA_EMP,1),INDEX(TASA_EMP,COUNTIF(TASA_DESDE,"&lt;="&amp;B1380))))</f>
        <v/>
      </c>
    </row>
    <row r="1381" customFormat="false" ht="15" hidden="false" customHeight="false" outlineLevel="0" collapsed="false">
      <c r="B1381" s="78"/>
      <c r="C1381" s="64"/>
      <c r="D1381" s="72" t="str">
        <f aca="false">IF(C1381="","",IFERROR(INDEX(T_NOMBRE,MATCH(C1381,T_ID,0)),"⚠ ID no existe"))</f>
        <v/>
      </c>
      <c r="E1381" s="69"/>
      <c r="F1381" s="67"/>
      <c r="G1381" s="67"/>
      <c r="H1381" s="67"/>
      <c r="I1381" s="67"/>
      <c r="J1381" s="67"/>
      <c r="K1381" s="85" t="str">
        <f aca="false">IF(AH1381="","",N(F1381)+N(G1381)+N(H1381)-N(I1381)+N(J1381))</f>
        <v/>
      </c>
      <c r="L1381" s="67"/>
      <c r="M1381" s="67"/>
      <c r="N1381" s="67"/>
      <c r="O1381" s="67"/>
      <c r="P1381" s="85" t="str">
        <f aca="false">IF(AH1381="","",K1381+N(L1381)+N(M1381)+N(N1381)+N(O1381))</f>
        <v/>
      </c>
      <c r="Q1381" s="67"/>
      <c r="R1381" s="67"/>
      <c r="S1381" s="67"/>
      <c r="T1381" s="67"/>
      <c r="U1381" s="67"/>
      <c r="V1381" s="67"/>
      <c r="W1381" s="85" t="str">
        <f aca="false">IF(AH1381="","",N(Q1381)+N(R1381)+N(S1381)+N(T1381)+N(U1381)+N(V1381))</f>
        <v/>
      </c>
      <c r="X1381" s="85" t="str">
        <f aca="false">IF(AH1381="","",P1381-W1381)</f>
        <v/>
      </c>
      <c r="Y1381" s="67"/>
      <c r="Z1381" s="70" t="str">
        <f aca="false">IF(OR(AH1381="",Y1381=""),"",IF(ABS(X1381-Y1381)&lt;=1,"✓ Cuadra","⚠ Diferencia $"&amp;FIXED(X1381-Y1381,0)))</f>
        <v/>
      </c>
      <c r="AA1381" s="72" t="str">
        <f aca="false">IF(AH1381="","",IFERROR(INDEX(C_TIPO,MATCH(C1381&amp;"-P"&amp;MAX(1,COUNTIFS(C_ID,C1381,C_DEFINE,"Sí",C_INICIO,"&lt;="&amp;EOMONTH(B1381,0))),C_CLAVE,0))&amp;"","Sin dato"))</f>
        <v/>
      </c>
      <c r="AB1381" s="71" t="str">
        <f aca="false">IF(AH1381="","",ROUND(MIN(K1381,TOPE_AFP_UF*AJ1381)*AK1381,0))</f>
        <v/>
      </c>
      <c r="AC1381" s="71" t="str">
        <f aca="false">IF(AH1381="","",ROUND(MIN(K1381,TOPE_AFC_UF*AJ1381)*IF(AA1381="Indefinido",AFC_EMP_INDEF,AFC_EMP_PF),0))</f>
        <v/>
      </c>
      <c r="AD1381" s="71" t="str">
        <f aca="false">IF(AH1381="","",ROUND(MIN(K1381,TOPE_AFP_UF*AJ1381)*(MUTUAL_BASICA+MUTUAL_ADIC+SANNA),0))</f>
        <v/>
      </c>
      <c r="AE1381" s="71" t="str">
        <f aca="false">IF(AH1381="","",P1381-N(N1381)+AB1381+AC1381+AD1381)</f>
        <v/>
      </c>
      <c r="AF1381" s="65"/>
      <c r="AG1381" s="64"/>
      <c r="AH1381" s="72" t="str">
        <f aca="false">IF(OR(B1381="",C1381=""),"",C1381&amp;"|"&amp;(YEAR(B1381)*100+MONTH(B1381)))</f>
        <v/>
      </c>
      <c r="AI1381" s="70" t="str">
        <f aca="false">IF(AH1381="","",IF(COUNTIF(L_CLAVE,AH1381)&gt;1,"⚠ Duplicado","OK"))</f>
        <v/>
      </c>
      <c r="AJ1381" s="86" t="str">
        <f aca="false">IF(AH1381="","",IF(SUMPRODUCT(MAX((IND_PER&lt;=B1381)*(IND_UF&lt;&gt;"")*IND_PER))=0,UF_HOY,INDEX(IND_UF,MATCH(SUMPRODUCT(MAX((IND_PER&lt;=B1381)*(IND_UF&lt;&gt;"")*IND_PER)),IND_PER,0))))</f>
        <v/>
      </c>
      <c r="AK1381" s="87" t="str">
        <f aca="false">IF(AH1381="","",IF(COUNTIF(TASA_DESDE,"&lt;="&amp;B1381)=0,INDEX(TASA_EMP,1),INDEX(TASA_EMP,COUNTIF(TASA_DESDE,"&lt;="&amp;B1381))))</f>
        <v/>
      </c>
    </row>
    <row r="1382" customFormat="false" ht="15" hidden="false" customHeight="false" outlineLevel="0" collapsed="false">
      <c r="B1382" s="78"/>
      <c r="C1382" s="64"/>
      <c r="D1382" s="72" t="str">
        <f aca="false">IF(C1382="","",IFERROR(INDEX(T_NOMBRE,MATCH(C1382,T_ID,0)),"⚠ ID no existe"))</f>
        <v/>
      </c>
      <c r="E1382" s="69"/>
      <c r="F1382" s="67"/>
      <c r="G1382" s="67"/>
      <c r="H1382" s="67"/>
      <c r="I1382" s="67"/>
      <c r="J1382" s="67"/>
      <c r="K1382" s="85" t="str">
        <f aca="false">IF(AH1382="","",N(F1382)+N(G1382)+N(H1382)-N(I1382)+N(J1382))</f>
        <v/>
      </c>
      <c r="L1382" s="67"/>
      <c r="M1382" s="67"/>
      <c r="N1382" s="67"/>
      <c r="O1382" s="67"/>
      <c r="P1382" s="85" t="str">
        <f aca="false">IF(AH1382="","",K1382+N(L1382)+N(M1382)+N(N1382)+N(O1382))</f>
        <v/>
      </c>
      <c r="Q1382" s="67"/>
      <c r="R1382" s="67"/>
      <c r="S1382" s="67"/>
      <c r="T1382" s="67"/>
      <c r="U1382" s="67"/>
      <c r="V1382" s="67"/>
      <c r="W1382" s="85" t="str">
        <f aca="false">IF(AH1382="","",N(Q1382)+N(R1382)+N(S1382)+N(T1382)+N(U1382)+N(V1382))</f>
        <v/>
      </c>
      <c r="X1382" s="85" t="str">
        <f aca="false">IF(AH1382="","",P1382-W1382)</f>
        <v/>
      </c>
      <c r="Y1382" s="67"/>
      <c r="Z1382" s="70" t="str">
        <f aca="false">IF(OR(AH1382="",Y1382=""),"",IF(ABS(X1382-Y1382)&lt;=1,"✓ Cuadra","⚠ Diferencia $"&amp;FIXED(X1382-Y1382,0)))</f>
        <v/>
      </c>
      <c r="AA1382" s="72" t="str">
        <f aca="false">IF(AH1382="","",IFERROR(INDEX(C_TIPO,MATCH(C1382&amp;"-P"&amp;MAX(1,COUNTIFS(C_ID,C1382,C_DEFINE,"Sí",C_INICIO,"&lt;="&amp;EOMONTH(B1382,0))),C_CLAVE,0))&amp;"","Sin dato"))</f>
        <v/>
      </c>
      <c r="AB1382" s="71" t="str">
        <f aca="false">IF(AH1382="","",ROUND(MIN(K1382,TOPE_AFP_UF*AJ1382)*AK1382,0))</f>
        <v/>
      </c>
      <c r="AC1382" s="71" t="str">
        <f aca="false">IF(AH1382="","",ROUND(MIN(K1382,TOPE_AFC_UF*AJ1382)*IF(AA1382="Indefinido",AFC_EMP_INDEF,AFC_EMP_PF),0))</f>
        <v/>
      </c>
      <c r="AD1382" s="71" t="str">
        <f aca="false">IF(AH1382="","",ROUND(MIN(K1382,TOPE_AFP_UF*AJ1382)*(MUTUAL_BASICA+MUTUAL_ADIC+SANNA),0))</f>
        <v/>
      </c>
      <c r="AE1382" s="71" t="str">
        <f aca="false">IF(AH1382="","",P1382-N(N1382)+AB1382+AC1382+AD1382)</f>
        <v/>
      </c>
      <c r="AF1382" s="65"/>
      <c r="AG1382" s="64"/>
      <c r="AH1382" s="72" t="str">
        <f aca="false">IF(OR(B1382="",C1382=""),"",C1382&amp;"|"&amp;(YEAR(B1382)*100+MONTH(B1382)))</f>
        <v/>
      </c>
      <c r="AI1382" s="70" t="str">
        <f aca="false">IF(AH1382="","",IF(COUNTIF(L_CLAVE,AH1382)&gt;1,"⚠ Duplicado","OK"))</f>
        <v/>
      </c>
      <c r="AJ1382" s="86" t="str">
        <f aca="false">IF(AH1382="","",IF(SUMPRODUCT(MAX((IND_PER&lt;=B1382)*(IND_UF&lt;&gt;"")*IND_PER))=0,UF_HOY,INDEX(IND_UF,MATCH(SUMPRODUCT(MAX((IND_PER&lt;=B1382)*(IND_UF&lt;&gt;"")*IND_PER)),IND_PER,0))))</f>
        <v/>
      </c>
      <c r="AK1382" s="87" t="str">
        <f aca="false">IF(AH1382="","",IF(COUNTIF(TASA_DESDE,"&lt;="&amp;B1382)=0,INDEX(TASA_EMP,1),INDEX(TASA_EMP,COUNTIF(TASA_DESDE,"&lt;="&amp;B1382))))</f>
        <v/>
      </c>
    </row>
    <row r="1383" customFormat="false" ht="15" hidden="false" customHeight="false" outlineLevel="0" collapsed="false">
      <c r="B1383" s="78"/>
      <c r="C1383" s="64"/>
      <c r="D1383" s="72" t="str">
        <f aca="false">IF(C1383="","",IFERROR(INDEX(T_NOMBRE,MATCH(C1383,T_ID,0)),"⚠ ID no existe"))</f>
        <v/>
      </c>
      <c r="E1383" s="69"/>
      <c r="F1383" s="67"/>
      <c r="G1383" s="67"/>
      <c r="H1383" s="67"/>
      <c r="I1383" s="67"/>
      <c r="J1383" s="67"/>
      <c r="K1383" s="85" t="str">
        <f aca="false">IF(AH1383="","",N(F1383)+N(G1383)+N(H1383)-N(I1383)+N(J1383))</f>
        <v/>
      </c>
      <c r="L1383" s="67"/>
      <c r="M1383" s="67"/>
      <c r="N1383" s="67"/>
      <c r="O1383" s="67"/>
      <c r="P1383" s="85" t="str">
        <f aca="false">IF(AH1383="","",K1383+N(L1383)+N(M1383)+N(N1383)+N(O1383))</f>
        <v/>
      </c>
      <c r="Q1383" s="67"/>
      <c r="R1383" s="67"/>
      <c r="S1383" s="67"/>
      <c r="T1383" s="67"/>
      <c r="U1383" s="67"/>
      <c r="V1383" s="67"/>
      <c r="W1383" s="85" t="str">
        <f aca="false">IF(AH1383="","",N(Q1383)+N(R1383)+N(S1383)+N(T1383)+N(U1383)+N(V1383))</f>
        <v/>
      </c>
      <c r="X1383" s="85" t="str">
        <f aca="false">IF(AH1383="","",P1383-W1383)</f>
        <v/>
      </c>
      <c r="Y1383" s="67"/>
      <c r="Z1383" s="70" t="str">
        <f aca="false">IF(OR(AH1383="",Y1383=""),"",IF(ABS(X1383-Y1383)&lt;=1,"✓ Cuadra","⚠ Diferencia $"&amp;FIXED(X1383-Y1383,0)))</f>
        <v/>
      </c>
      <c r="AA1383" s="72" t="str">
        <f aca="false">IF(AH1383="","",IFERROR(INDEX(C_TIPO,MATCH(C1383&amp;"-P"&amp;MAX(1,COUNTIFS(C_ID,C1383,C_DEFINE,"Sí",C_INICIO,"&lt;="&amp;EOMONTH(B1383,0))),C_CLAVE,0))&amp;"","Sin dato"))</f>
        <v/>
      </c>
      <c r="AB1383" s="71" t="str">
        <f aca="false">IF(AH1383="","",ROUND(MIN(K1383,TOPE_AFP_UF*AJ1383)*AK1383,0))</f>
        <v/>
      </c>
      <c r="AC1383" s="71" t="str">
        <f aca="false">IF(AH1383="","",ROUND(MIN(K1383,TOPE_AFC_UF*AJ1383)*IF(AA1383="Indefinido",AFC_EMP_INDEF,AFC_EMP_PF),0))</f>
        <v/>
      </c>
      <c r="AD1383" s="71" t="str">
        <f aca="false">IF(AH1383="","",ROUND(MIN(K1383,TOPE_AFP_UF*AJ1383)*(MUTUAL_BASICA+MUTUAL_ADIC+SANNA),0))</f>
        <v/>
      </c>
      <c r="AE1383" s="71" t="str">
        <f aca="false">IF(AH1383="","",P1383-N(N1383)+AB1383+AC1383+AD1383)</f>
        <v/>
      </c>
      <c r="AF1383" s="65"/>
      <c r="AG1383" s="64"/>
      <c r="AH1383" s="72" t="str">
        <f aca="false">IF(OR(B1383="",C1383=""),"",C1383&amp;"|"&amp;(YEAR(B1383)*100+MONTH(B1383)))</f>
        <v/>
      </c>
      <c r="AI1383" s="70" t="str">
        <f aca="false">IF(AH1383="","",IF(COUNTIF(L_CLAVE,AH1383)&gt;1,"⚠ Duplicado","OK"))</f>
        <v/>
      </c>
      <c r="AJ1383" s="86" t="str">
        <f aca="false">IF(AH1383="","",IF(SUMPRODUCT(MAX((IND_PER&lt;=B1383)*(IND_UF&lt;&gt;"")*IND_PER))=0,UF_HOY,INDEX(IND_UF,MATCH(SUMPRODUCT(MAX((IND_PER&lt;=B1383)*(IND_UF&lt;&gt;"")*IND_PER)),IND_PER,0))))</f>
        <v/>
      </c>
      <c r="AK1383" s="87" t="str">
        <f aca="false">IF(AH1383="","",IF(COUNTIF(TASA_DESDE,"&lt;="&amp;B1383)=0,INDEX(TASA_EMP,1),INDEX(TASA_EMP,COUNTIF(TASA_DESDE,"&lt;="&amp;B1383))))</f>
        <v/>
      </c>
    </row>
    <row r="1384" customFormat="false" ht="15" hidden="false" customHeight="false" outlineLevel="0" collapsed="false">
      <c r="B1384" s="78"/>
      <c r="C1384" s="64"/>
      <c r="D1384" s="72" t="str">
        <f aca="false">IF(C1384="","",IFERROR(INDEX(T_NOMBRE,MATCH(C1384,T_ID,0)),"⚠ ID no existe"))</f>
        <v/>
      </c>
      <c r="E1384" s="69"/>
      <c r="F1384" s="67"/>
      <c r="G1384" s="67"/>
      <c r="H1384" s="67"/>
      <c r="I1384" s="67"/>
      <c r="J1384" s="67"/>
      <c r="K1384" s="85" t="str">
        <f aca="false">IF(AH1384="","",N(F1384)+N(G1384)+N(H1384)-N(I1384)+N(J1384))</f>
        <v/>
      </c>
      <c r="L1384" s="67"/>
      <c r="M1384" s="67"/>
      <c r="N1384" s="67"/>
      <c r="O1384" s="67"/>
      <c r="P1384" s="85" t="str">
        <f aca="false">IF(AH1384="","",K1384+N(L1384)+N(M1384)+N(N1384)+N(O1384))</f>
        <v/>
      </c>
      <c r="Q1384" s="67"/>
      <c r="R1384" s="67"/>
      <c r="S1384" s="67"/>
      <c r="T1384" s="67"/>
      <c r="U1384" s="67"/>
      <c r="V1384" s="67"/>
      <c r="W1384" s="85" t="str">
        <f aca="false">IF(AH1384="","",N(Q1384)+N(R1384)+N(S1384)+N(T1384)+N(U1384)+N(V1384))</f>
        <v/>
      </c>
      <c r="X1384" s="85" t="str">
        <f aca="false">IF(AH1384="","",P1384-W1384)</f>
        <v/>
      </c>
      <c r="Y1384" s="67"/>
      <c r="Z1384" s="70" t="str">
        <f aca="false">IF(OR(AH1384="",Y1384=""),"",IF(ABS(X1384-Y1384)&lt;=1,"✓ Cuadra","⚠ Diferencia $"&amp;FIXED(X1384-Y1384,0)))</f>
        <v/>
      </c>
      <c r="AA1384" s="72" t="str">
        <f aca="false">IF(AH1384="","",IFERROR(INDEX(C_TIPO,MATCH(C1384&amp;"-P"&amp;MAX(1,COUNTIFS(C_ID,C1384,C_DEFINE,"Sí",C_INICIO,"&lt;="&amp;EOMONTH(B1384,0))),C_CLAVE,0))&amp;"","Sin dato"))</f>
        <v/>
      </c>
      <c r="AB1384" s="71" t="str">
        <f aca="false">IF(AH1384="","",ROUND(MIN(K1384,TOPE_AFP_UF*AJ1384)*AK1384,0))</f>
        <v/>
      </c>
      <c r="AC1384" s="71" t="str">
        <f aca="false">IF(AH1384="","",ROUND(MIN(K1384,TOPE_AFC_UF*AJ1384)*IF(AA1384="Indefinido",AFC_EMP_INDEF,AFC_EMP_PF),0))</f>
        <v/>
      </c>
      <c r="AD1384" s="71" t="str">
        <f aca="false">IF(AH1384="","",ROUND(MIN(K1384,TOPE_AFP_UF*AJ1384)*(MUTUAL_BASICA+MUTUAL_ADIC+SANNA),0))</f>
        <v/>
      </c>
      <c r="AE1384" s="71" t="str">
        <f aca="false">IF(AH1384="","",P1384-N(N1384)+AB1384+AC1384+AD1384)</f>
        <v/>
      </c>
      <c r="AF1384" s="65"/>
      <c r="AG1384" s="64"/>
      <c r="AH1384" s="72" t="str">
        <f aca="false">IF(OR(B1384="",C1384=""),"",C1384&amp;"|"&amp;(YEAR(B1384)*100+MONTH(B1384)))</f>
        <v/>
      </c>
      <c r="AI1384" s="70" t="str">
        <f aca="false">IF(AH1384="","",IF(COUNTIF(L_CLAVE,AH1384)&gt;1,"⚠ Duplicado","OK"))</f>
        <v/>
      </c>
      <c r="AJ1384" s="86" t="str">
        <f aca="false">IF(AH1384="","",IF(SUMPRODUCT(MAX((IND_PER&lt;=B1384)*(IND_UF&lt;&gt;"")*IND_PER))=0,UF_HOY,INDEX(IND_UF,MATCH(SUMPRODUCT(MAX((IND_PER&lt;=B1384)*(IND_UF&lt;&gt;"")*IND_PER)),IND_PER,0))))</f>
        <v/>
      </c>
      <c r="AK1384" s="87" t="str">
        <f aca="false">IF(AH1384="","",IF(COUNTIF(TASA_DESDE,"&lt;="&amp;B1384)=0,INDEX(TASA_EMP,1),INDEX(TASA_EMP,COUNTIF(TASA_DESDE,"&lt;="&amp;B1384))))</f>
        <v/>
      </c>
    </row>
    <row r="1385" customFormat="false" ht="15" hidden="false" customHeight="false" outlineLevel="0" collapsed="false">
      <c r="B1385" s="78"/>
      <c r="C1385" s="64"/>
      <c r="D1385" s="72" t="str">
        <f aca="false">IF(C1385="","",IFERROR(INDEX(T_NOMBRE,MATCH(C1385,T_ID,0)),"⚠ ID no existe"))</f>
        <v/>
      </c>
      <c r="E1385" s="69"/>
      <c r="F1385" s="67"/>
      <c r="G1385" s="67"/>
      <c r="H1385" s="67"/>
      <c r="I1385" s="67"/>
      <c r="J1385" s="67"/>
      <c r="K1385" s="85" t="str">
        <f aca="false">IF(AH1385="","",N(F1385)+N(G1385)+N(H1385)-N(I1385)+N(J1385))</f>
        <v/>
      </c>
      <c r="L1385" s="67"/>
      <c r="M1385" s="67"/>
      <c r="N1385" s="67"/>
      <c r="O1385" s="67"/>
      <c r="P1385" s="85" t="str">
        <f aca="false">IF(AH1385="","",K1385+N(L1385)+N(M1385)+N(N1385)+N(O1385))</f>
        <v/>
      </c>
      <c r="Q1385" s="67"/>
      <c r="R1385" s="67"/>
      <c r="S1385" s="67"/>
      <c r="T1385" s="67"/>
      <c r="U1385" s="67"/>
      <c r="V1385" s="67"/>
      <c r="W1385" s="85" t="str">
        <f aca="false">IF(AH1385="","",N(Q1385)+N(R1385)+N(S1385)+N(T1385)+N(U1385)+N(V1385))</f>
        <v/>
      </c>
      <c r="X1385" s="85" t="str">
        <f aca="false">IF(AH1385="","",P1385-W1385)</f>
        <v/>
      </c>
      <c r="Y1385" s="67"/>
      <c r="Z1385" s="70" t="str">
        <f aca="false">IF(OR(AH1385="",Y1385=""),"",IF(ABS(X1385-Y1385)&lt;=1,"✓ Cuadra","⚠ Diferencia $"&amp;FIXED(X1385-Y1385,0)))</f>
        <v/>
      </c>
      <c r="AA1385" s="72" t="str">
        <f aca="false">IF(AH1385="","",IFERROR(INDEX(C_TIPO,MATCH(C1385&amp;"-P"&amp;MAX(1,COUNTIFS(C_ID,C1385,C_DEFINE,"Sí",C_INICIO,"&lt;="&amp;EOMONTH(B1385,0))),C_CLAVE,0))&amp;"","Sin dato"))</f>
        <v/>
      </c>
      <c r="AB1385" s="71" t="str">
        <f aca="false">IF(AH1385="","",ROUND(MIN(K1385,TOPE_AFP_UF*AJ1385)*AK1385,0))</f>
        <v/>
      </c>
      <c r="AC1385" s="71" t="str">
        <f aca="false">IF(AH1385="","",ROUND(MIN(K1385,TOPE_AFC_UF*AJ1385)*IF(AA1385="Indefinido",AFC_EMP_INDEF,AFC_EMP_PF),0))</f>
        <v/>
      </c>
      <c r="AD1385" s="71" t="str">
        <f aca="false">IF(AH1385="","",ROUND(MIN(K1385,TOPE_AFP_UF*AJ1385)*(MUTUAL_BASICA+MUTUAL_ADIC+SANNA),0))</f>
        <v/>
      </c>
      <c r="AE1385" s="71" t="str">
        <f aca="false">IF(AH1385="","",P1385-N(N1385)+AB1385+AC1385+AD1385)</f>
        <v/>
      </c>
      <c r="AF1385" s="65"/>
      <c r="AG1385" s="64"/>
      <c r="AH1385" s="72" t="str">
        <f aca="false">IF(OR(B1385="",C1385=""),"",C1385&amp;"|"&amp;(YEAR(B1385)*100+MONTH(B1385)))</f>
        <v/>
      </c>
      <c r="AI1385" s="70" t="str">
        <f aca="false">IF(AH1385="","",IF(COUNTIF(L_CLAVE,AH1385)&gt;1,"⚠ Duplicado","OK"))</f>
        <v/>
      </c>
      <c r="AJ1385" s="86" t="str">
        <f aca="false">IF(AH1385="","",IF(SUMPRODUCT(MAX((IND_PER&lt;=B1385)*(IND_UF&lt;&gt;"")*IND_PER))=0,UF_HOY,INDEX(IND_UF,MATCH(SUMPRODUCT(MAX((IND_PER&lt;=B1385)*(IND_UF&lt;&gt;"")*IND_PER)),IND_PER,0))))</f>
        <v/>
      </c>
      <c r="AK1385" s="87" t="str">
        <f aca="false">IF(AH1385="","",IF(COUNTIF(TASA_DESDE,"&lt;="&amp;B1385)=0,INDEX(TASA_EMP,1),INDEX(TASA_EMP,COUNTIF(TASA_DESDE,"&lt;="&amp;B1385))))</f>
        <v/>
      </c>
    </row>
    <row r="1386" customFormat="false" ht="15" hidden="false" customHeight="false" outlineLevel="0" collapsed="false">
      <c r="B1386" s="78"/>
      <c r="C1386" s="64"/>
      <c r="D1386" s="72" t="str">
        <f aca="false">IF(C1386="","",IFERROR(INDEX(T_NOMBRE,MATCH(C1386,T_ID,0)),"⚠ ID no existe"))</f>
        <v/>
      </c>
      <c r="E1386" s="69"/>
      <c r="F1386" s="67"/>
      <c r="G1386" s="67"/>
      <c r="H1386" s="67"/>
      <c r="I1386" s="67"/>
      <c r="J1386" s="67"/>
      <c r="K1386" s="85" t="str">
        <f aca="false">IF(AH1386="","",N(F1386)+N(G1386)+N(H1386)-N(I1386)+N(J1386))</f>
        <v/>
      </c>
      <c r="L1386" s="67"/>
      <c r="M1386" s="67"/>
      <c r="N1386" s="67"/>
      <c r="O1386" s="67"/>
      <c r="P1386" s="85" t="str">
        <f aca="false">IF(AH1386="","",K1386+N(L1386)+N(M1386)+N(N1386)+N(O1386))</f>
        <v/>
      </c>
      <c r="Q1386" s="67"/>
      <c r="R1386" s="67"/>
      <c r="S1386" s="67"/>
      <c r="T1386" s="67"/>
      <c r="U1386" s="67"/>
      <c r="V1386" s="67"/>
      <c r="W1386" s="85" t="str">
        <f aca="false">IF(AH1386="","",N(Q1386)+N(R1386)+N(S1386)+N(T1386)+N(U1386)+N(V1386))</f>
        <v/>
      </c>
      <c r="X1386" s="85" t="str">
        <f aca="false">IF(AH1386="","",P1386-W1386)</f>
        <v/>
      </c>
      <c r="Y1386" s="67"/>
      <c r="Z1386" s="70" t="str">
        <f aca="false">IF(OR(AH1386="",Y1386=""),"",IF(ABS(X1386-Y1386)&lt;=1,"✓ Cuadra","⚠ Diferencia $"&amp;FIXED(X1386-Y1386,0)))</f>
        <v/>
      </c>
      <c r="AA1386" s="72" t="str">
        <f aca="false">IF(AH1386="","",IFERROR(INDEX(C_TIPO,MATCH(C1386&amp;"-P"&amp;MAX(1,COUNTIFS(C_ID,C1386,C_DEFINE,"Sí",C_INICIO,"&lt;="&amp;EOMONTH(B1386,0))),C_CLAVE,0))&amp;"","Sin dato"))</f>
        <v/>
      </c>
      <c r="AB1386" s="71" t="str">
        <f aca="false">IF(AH1386="","",ROUND(MIN(K1386,TOPE_AFP_UF*AJ1386)*AK1386,0))</f>
        <v/>
      </c>
      <c r="AC1386" s="71" t="str">
        <f aca="false">IF(AH1386="","",ROUND(MIN(K1386,TOPE_AFC_UF*AJ1386)*IF(AA1386="Indefinido",AFC_EMP_INDEF,AFC_EMP_PF),0))</f>
        <v/>
      </c>
      <c r="AD1386" s="71" t="str">
        <f aca="false">IF(AH1386="","",ROUND(MIN(K1386,TOPE_AFP_UF*AJ1386)*(MUTUAL_BASICA+MUTUAL_ADIC+SANNA),0))</f>
        <v/>
      </c>
      <c r="AE1386" s="71" t="str">
        <f aca="false">IF(AH1386="","",P1386-N(N1386)+AB1386+AC1386+AD1386)</f>
        <v/>
      </c>
      <c r="AF1386" s="65"/>
      <c r="AG1386" s="64"/>
      <c r="AH1386" s="72" t="str">
        <f aca="false">IF(OR(B1386="",C1386=""),"",C1386&amp;"|"&amp;(YEAR(B1386)*100+MONTH(B1386)))</f>
        <v/>
      </c>
      <c r="AI1386" s="70" t="str">
        <f aca="false">IF(AH1386="","",IF(COUNTIF(L_CLAVE,AH1386)&gt;1,"⚠ Duplicado","OK"))</f>
        <v/>
      </c>
      <c r="AJ1386" s="86" t="str">
        <f aca="false">IF(AH1386="","",IF(SUMPRODUCT(MAX((IND_PER&lt;=B1386)*(IND_UF&lt;&gt;"")*IND_PER))=0,UF_HOY,INDEX(IND_UF,MATCH(SUMPRODUCT(MAX((IND_PER&lt;=B1386)*(IND_UF&lt;&gt;"")*IND_PER)),IND_PER,0))))</f>
        <v/>
      </c>
      <c r="AK1386" s="87" t="str">
        <f aca="false">IF(AH1386="","",IF(COUNTIF(TASA_DESDE,"&lt;="&amp;B1386)=0,INDEX(TASA_EMP,1),INDEX(TASA_EMP,COUNTIF(TASA_DESDE,"&lt;="&amp;B1386))))</f>
        <v/>
      </c>
    </row>
    <row r="1387" customFormat="false" ht="15" hidden="false" customHeight="false" outlineLevel="0" collapsed="false">
      <c r="B1387" s="78"/>
      <c r="C1387" s="64"/>
      <c r="D1387" s="72" t="str">
        <f aca="false">IF(C1387="","",IFERROR(INDEX(T_NOMBRE,MATCH(C1387,T_ID,0)),"⚠ ID no existe"))</f>
        <v/>
      </c>
      <c r="E1387" s="69"/>
      <c r="F1387" s="67"/>
      <c r="G1387" s="67"/>
      <c r="H1387" s="67"/>
      <c r="I1387" s="67"/>
      <c r="J1387" s="67"/>
      <c r="K1387" s="85" t="str">
        <f aca="false">IF(AH1387="","",N(F1387)+N(G1387)+N(H1387)-N(I1387)+N(J1387))</f>
        <v/>
      </c>
      <c r="L1387" s="67"/>
      <c r="M1387" s="67"/>
      <c r="N1387" s="67"/>
      <c r="O1387" s="67"/>
      <c r="P1387" s="85" t="str">
        <f aca="false">IF(AH1387="","",K1387+N(L1387)+N(M1387)+N(N1387)+N(O1387))</f>
        <v/>
      </c>
      <c r="Q1387" s="67"/>
      <c r="R1387" s="67"/>
      <c r="S1387" s="67"/>
      <c r="T1387" s="67"/>
      <c r="U1387" s="67"/>
      <c r="V1387" s="67"/>
      <c r="W1387" s="85" t="str">
        <f aca="false">IF(AH1387="","",N(Q1387)+N(R1387)+N(S1387)+N(T1387)+N(U1387)+N(V1387))</f>
        <v/>
      </c>
      <c r="X1387" s="85" t="str">
        <f aca="false">IF(AH1387="","",P1387-W1387)</f>
        <v/>
      </c>
      <c r="Y1387" s="67"/>
      <c r="Z1387" s="70" t="str">
        <f aca="false">IF(OR(AH1387="",Y1387=""),"",IF(ABS(X1387-Y1387)&lt;=1,"✓ Cuadra","⚠ Diferencia $"&amp;FIXED(X1387-Y1387,0)))</f>
        <v/>
      </c>
      <c r="AA1387" s="72" t="str">
        <f aca="false">IF(AH1387="","",IFERROR(INDEX(C_TIPO,MATCH(C1387&amp;"-P"&amp;MAX(1,COUNTIFS(C_ID,C1387,C_DEFINE,"Sí",C_INICIO,"&lt;="&amp;EOMONTH(B1387,0))),C_CLAVE,0))&amp;"","Sin dato"))</f>
        <v/>
      </c>
      <c r="AB1387" s="71" t="str">
        <f aca="false">IF(AH1387="","",ROUND(MIN(K1387,TOPE_AFP_UF*AJ1387)*AK1387,0))</f>
        <v/>
      </c>
      <c r="AC1387" s="71" t="str">
        <f aca="false">IF(AH1387="","",ROUND(MIN(K1387,TOPE_AFC_UF*AJ1387)*IF(AA1387="Indefinido",AFC_EMP_INDEF,AFC_EMP_PF),0))</f>
        <v/>
      </c>
      <c r="AD1387" s="71" t="str">
        <f aca="false">IF(AH1387="","",ROUND(MIN(K1387,TOPE_AFP_UF*AJ1387)*(MUTUAL_BASICA+MUTUAL_ADIC+SANNA),0))</f>
        <v/>
      </c>
      <c r="AE1387" s="71" t="str">
        <f aca="false">IF(AH1387="","",P1387-N(N1387)+AB1387+AC1387+AD1387)</f>
        <v/>
      </c>
      <c r="AF1387" s="65"/>
      <c r="AG1387" s="64"/>
      <c r="AH1387" s="72" t="str">
        <f aca="false">IF(OR(B1387="",C1387=""),"",C1387&amp;"|"&amp;(YEAR(B1387)*100+MONTH(B1387)))</f>
        <v/>
      </c>
      <c r="AI1387" s="70" t="str">
        <f aca="false">IF(AH1387="","",IF(COUNTIF(L_CLAVE,AH1387)&gt;1,"⚠ Duplicado","OK"))</f>
        <v/>
      </c>
      <c r="AJ1387" s="86" t="str">
        <f aca="false">IF(AH1387="","",IF(SUMPRODUCT(MAX((IND_PER&lt;=B1387)*(IND_UF&lt;&gt;"")*IND_PER))=0,UF_HOY,INDEX(IND_UF,MATCH(SUMPRODUCT(MAX((IND_PER&lt;=B1387)*(IND_UF&lt;&gt;"")*IND_PER)),IND_PER,0))))</f>
        <v/>
      </c>
      <c r="AK1387" s="87" t="str">
        <f aca="false">IF(AH1387="","",IF(COUNTIF(TASA_DESDE,"&lt;="&amp;B1387)=0,INDEX(TASA_EMP,1),INDEX(TASA_EMP,COUNTIF(TASA_DESDE,"&lt;="&amp;B1387))))</f>
        <v/>
      </c>
    </row>
    <row r="1388" customFormat="false" ht="15" hidden="false" customHeight="false" outlineLevel="0" collapsed="false">
      <c r="B1388" s="78"/>
      <c r="C1388" s="64"/>
      <c r="D1388" s="72" t="str">
        <f aca="false">IF(C1388="","",IFERROR(INDEX(T_NOMBRE,MATCH(C1388,T_ID,0)),"⚠ ID no existe"))</f>
        <v/>
      </c>
      <c r="E1388" s="69"/>
      <c r="F1388" s="67"/>
      <c r="G1388" s="67"/>
      <c r="H1388" s="67"/>
      <c r="I1388" s="67"/>
      <c r="J1388" s="67"/>
      <c r="K1388" s="85" t="str">
        <f aca="false">IF(AH1388="","",N(F1388)+N(G1388)+N(H1388)-N(I1388)+N(J1388))</f>
        <v/>
      </c>
      <c r="L1388" s="67"/>
      <c r="M1388" s="67"/>
      <c r="N1388" s="67"/>
      <c r="O1388" s="67"/>
      <c r="P1388" s="85" t="str">
        <f aca="false">IF(AH1388="","",K1388+N(L1388)+N(M1388)+N(N1388)+N(O1388))</f>
        <v/>
      </c>
      <c r="Q1388" s="67"/>
      <c r="R1388" s="67"/>
      <c r="S1388" s="67"/>
      <c r="T1388" s="67"/>
      <c r="U1388" s="67"/>
      <c r="V1388" s="67"/>
      <c r="W1388" s="85" t="str">
        <f aca="false">IF(AH1388="","",N(Q1388)+N(R1388)+N(S1388)+N(T1388)+N(U1388)+N(V1388))</f>
        <v/>
      </c>
      <c r="X1388" s="85" t="str">
        <f aca="false">IF(AH1388="","",P1388-W1388)</f>
        <v/>
      </c>
      <c r="Y1388" s="67"/>
      <c r="Z1388" s="70" t="str">
        <f aca="false">IF(OR(AH1388="",Y1388=""),"",IF(ABS(X1388-Y1388)&lt;=1,"✓ Cuadra","⚠ Diferencia $"&amp;FIXED(X1388-Y1388,0)))</f>
        <v/>
      </c>
      <c r="AA1388" s="72" t="str">
        <f aca="false">IF(AH1388="","",IFERROR(INDEX(C_TIPO,MATCH(C1388&amp;"-P"&amp;MAX(1,COUNTIFS(C_ID,C1388,C_DEFINE,"Sí",C_INICIO,"&lt;="&amp;EOMONTH(B1388,0))),C_CLAVE,0))&amp;"","Sin dato"))</f>
        <v/>
      </c>
      <c r="AB1388" s="71" t="str">
        <f aca="false">IF(AH1388="","",ROUND(MIN(K1388,TOPE_AFP_UF*AJ1388)*AK1388,0))</f>
        <v/>
      </c>
      <c r="AC1388" s="71" t="str">
        <f aca="false">IF(AH1388="","",ROUND(MIN(K1388,TOPE_AFC_UF*AJ1388)*IF(AA1388="Indefinido",AFC_EMP_INDEF,AFC_EMP_PF),0))</f>
        <v/>
      </c>
      <c r="AD1388" s="71" t="str">
        <f aca="false">IF(AH1388="","",ROUND(MIN(K1388,TOPE_AFP_UF*AJ1388)*(MUTUAL_BASICA+MUTUAL_ADIC+SANNA),0))</f>
        <v/>
      </c>
      <c r="AE1388" s="71" t="str">
        <f aca="false">IF(AH1388="","",P1388-N(N1388)+AB1388+AC1388+AD1388)</f>
        <v/>
      </c>
      <c r="AF1388" s="65"/>
      <c r="AG1388" s="64"/>
      <c r="AH1388" s="72" t="str">
        <f aca="false">IF(OR(B1388="",C1388=""),"",C1388&amp;"|"&amp;(YEAR(B1388)*100+MONTH(B1388)))</f>
        <v/>
      </c>
      <c r="AI1388" s="70" t="str">
        <f aca="false">IF(AH1388="","",IF(COUNTIF(L_CLAVE,AH1388)&gt;1,"⚠ Duplicado","OK"))</f>
        <v/>
      </c>
      <c r="AJ1388" s="86" t="str">
        <f aca="false">IF(AH1388="","",IF(SUMPRODUCT(MAX((IND_PER&lt;=B1388)*(IND_UF&lt;&gt;"")*IND_PER))=0,UF_HOY,INDEX(IND_UF,MATCH(SUMPRODUCT(MAX((IND_PER&lt;=B1388)*(IND_UF&lt;&gt;"")*IND_PER)),IND_PER,0))))</f>
        <v/>
      </c>
      <c r="AK1388" s="87" t="str">
        <f aca="false">IF(AH1388="","",IF(COUNTIF(TASA_DESDE,"&lt;="&amp;B1388)=0,INDEX(TASA_EMP,1),INDEX(TASA_EMP,COUNTIF(TASA_DESDE,"&lt;="&amp;B1388))))</f>
        <v/>
      </c>
    </row>
    <row r="1389" customFormat="false" ht="15" hidden="false" customHeight="false" outlineLevel="0" collapsed="false">
      <c r="B1389" s="78"/>
      <c r="C1389" s="64"/>
      <c r="D1389" s="72" t="str">
        <f aca="false">IF(C1389="","",IFERROR(INDEX(T_NOMBRE,MATCH(C1389,T_ID,0)),"⚠ ID no existe"))</f>
        <v/>
      </c>
      <c r="E1389" s="69"/>
      <c r="F1389" s="67"/>
      <c r="G1389" s="67"/>
      <c r="H1389" s="67"/>
      <c r="I1389" s="67"/>
      <c r="J1389" s="67"/>
      <c r="K1389" s="85" t="str">
        <f aca="false">IF(AH1389="","",N(F1389)+N(G1389)+N(H1389)-N(I1389)+N(J1389))</f>
        <v/>
      </c>
      <c r="L1389" s="67"/>
      <c r="M1389" s="67"/>
      <c r="N1389" s="67"/>
      <c r="O1389" s="67"/>
      <c r="P1389" s="85" t="str">
        <f aca="false">IF(AH1389="","",K1389+N(L1389)+N(M1389)+N(N1389)+N(O1389))</f>
        <v/>
      </c>
      <c r="Q1389" s="67"/>
      <c r="R1389" s="67"/>
      <c r="S1389" s="67"/>
      <c r="T1389" s="67"/>
      <c r="U1389" s="67"/>
      <c r="V1389" s="67"/>
      <c r="W1389" s="85" t="str">
        <f aca="false">IF(AH1389="","",N(Q1389)+N(R1389)+N(S1389)+N(T1389)+N(U1389)+N(V1389))</f>
        <v/>
      </c>
      <c r="X1389" s="85" t="str">
        <f aca="false">IF(AH1389="","",P1389-W1389)</f>
        <v/>
      </c>
      <c r="Y1389" s="67"/>
      <c r="Z1389" s="70" t="str">
        <f aca="false">IF(OR(AH1389="",Y1389=""),"",IF(ABS(X1389-Y1389)&lt;=1,"✓ Cuadra","⚠ Diferencia $"&amp;FIXED(X1389-Y1389,0)))</f>
        <v/>
      </c>
      <c r="AA1389" s="72" t="str">
        <f aca="false">IF(AH1389="","",IFERROR(INDEX(C_TIPO,MATCH(C1389&amp;"-P"&amp;MAX(1,COUNTIFS(C_ID,C1389,C_DEFINE,"Sí",C_INICIO,"&lt;="&amp;EOMONTH(B1389,0))),C_CLAVE,0))&amp;"","Sin dato"))</f>
        <v/>
      </c>
      <c r="AB1389" s="71" t="str">
        <f aca="false">IF(AH1389="","",ROUND(MIN(K1389,TOPE_AFP_UF*AJ1389)*AK1389,0))</f>
        <v/>
      </c>
      <c r="AC1389" s="71" t="str">
        <f aca="false">IF(AH1389="","",ROUND(MIN(K1389,TOPE_AFC_UF*AJ1389)*IF(AA1389="Indefinido",AFC_EMP_INDEF,AFC_EMP_PF),0))</f>
        <v/>
      </c>
      <c r="AD1389" s="71" t="str">
        <f aca="false">IF(AH1389="","",ROUND(MIN(K1389,TOPE_AFP_UF*AJ1389)*(MUTUAL_BASICA+MUTUAL_ADIC+SANNA),0))</f>
        <v/>
      </c>
      <c r="AE1389" s="71" t="str">
        <f aca="false">IF(AH1389="","",P1389-N(N1389)+AB1389+AC1389+AD1389)</f>
        <v/>
      </c>
      <c r="AF1389" s="65"/>
      <c r="AG1389" s="64"/>
      <c r="AH1389" s="72" t="str">
        <f aca="false">IF(OR(B1389="",C1389=""),"",C1389&amp;"|"&amp;(YEAR(B1389)*100+MONTH(B1389)))</f>
        <v/>
      </c>
      <c r="AI1389" s="70" t="str">
        <f aca="false">IF(AH1389="","",IF(COUNTIF(L_CLAVE,AH1389)&gt;1,"⚠ Duplicado","OK"))</f>
        <v/>
      </c>
      <c r="AJ1389" s="86" t="str">
        <f aca="false">IF(AH1389="","",IF(SUMPRODUCT(MAX((IND_PER&lt;=B1389)*(IND_UF&lt;&gt;"")*IND_PER))=0,UF_HOY,INDEX(IND_UF,MATCH(SUMPRODUCT(MAX((IND_PER&lt;=B1389)*(IND_UF&lt;&gt;"")*IND_PER)),IND_PER,0))))</f>
        <v/>
      </c>
      <c r="AK1389" s="87" t="str">
        <f aca="false">IF(AH1389="","",IF(COUNTIF(TASA_DESDE,"&lt;="&amp;B1389)=0,INDEX(TASA_EMP,1),INDEX(TASA_EMP,COUNTIF(TASA_DESDE,"&lt;="&amp;B1389))))</f>
        <v/>
      </c>
    </row>
    <row r="1390" customFormat="false" ht="15" hidden="false" customHeight="false" outlineLevel="0" collapsed="false">
      <c r="B1390" s="78"/>
      <c r="C1390" s="64"/>
      <c r="D1390" s="72" t="str">
        <f aca="false">IF(C1390="","",IFERROR(INDEX(T_NOMBRE,MATCH(C1390,T_ID,0)),"⚠ ID no existe"))</f>
        <v/>
      </c>
      <c r="E1390" s="69"/>
      <c r="F1390" s="67"/>
      <c r="G1390" s="67"/>
      <c r="H1390" s="67"/>
      <c r="I1390" s="67"/>
      <c r="J1390" s="67"/>
      <c r="K1390" s="85" t="str">
        <f aca="false">IF(AH1390="","",N(F1390)+N(G1390)+N(H1390)-N(I1390)+N(J1390))</f>
        <v/>
      </c>
      <c r="L1390" s="67"/>
      <c r="M1390" s="67"/>
      <c r="N1390" s="67"/>
      <c r="O1390" s="67"/>
      <c r="P1390" s="85" t="str">
        <f aca="false">IF(AH1390="","",K1390+N(L1390)+N(M1390)+N(N1390)+N(O1390))</f>
        <v/>
      </c>
      <c r="Q1390" s="67"/>
      <c r="R1390" s="67"/>
      <c r="S1390" s="67"/>
      <c r="T1390" s="67"/>
      <c r="U1390" s="67"/>
      <c r="V1390" s="67"/>
      <c r="W1390" s="85" t="str">
        <f aca="false">IF(AH1390="","",N(Q1390)+N(R1390)+N(S1390)+N(T1390)+N(U1390)+N(V1390))</f>
        <v/>
      </c>
      <c r="X1390" s="85" t="str">
        <f aca="false">IF(AH1390="","",P1390-W1390)</f>
        <v/>
      </c>
      <c r="Y1390" s="67"/>
      <c r="Z1390" s="70" t="str">
        <f aca="false">IF(OR(AH1390="",Y1390=""),"",IF(ABS(X1390-Y1390)&lt;=1,"✓ Cuadra","⚠ Diferencia $"&amp;FIXED(X1390-Y1390,0)))</f>
        <v/>
      </c>
      <c r="AA1390" s="72" t="str">
        <f aca="false">IF(AH1390="","",IFERROR(INDEX(C_TIPO,MATCH(C1390&amp;"-P"&amp;MAX(1,COUNTIFS(C_ID,C1390,C_DEFINE,"Sí",C_INICIO,"&lt;="&amp;EOMONTH(B1390,0))),C_CLAVE,0))&amp;"","Sin dato"))</f>
        <v/>
      </c>
      <c r="AB1390" s="71" t="str">
        <f aca="false">IF(AH1390="","",ROUND(MIN(K1390,TOPE_AFP_UF*AJ1390)*AK1390,0))</f>
        <v/>
      </c>
      <c r="AC1390" s="71" t="str">
        <f aca="false">IF(AH1390="","",ROUND(MIN(K1390,TOPE_AFC_UF*AJ1390)*IF(AA1390="Indefinido",AFC_EMP_INDEF,AFC_EMP_PF),0))</f>
        <v/>
      </c>
      <c r="AD1390" s="71" t="str">
        <f aca="false">IF(AH1390="","",ROUND(MIN(K1390,TOPE_AFP_UF*AJ1390)*(MUTUAL_BASICA+MUTUAL_ADIC+SANNA),0))</f>
        <v/>
      </c>
      <c r="AE1390" s="71" t="str">
        <f aca="false">IF(AH1390="","",P1390-N(N1390)+AB1390+AC1390+AD1390)</f>
        <v/>
      </c>
      <c r="AF1390" s="65"/>
      <c r="AG1390" s="64"/>
      <c r="AH1390" s="72" t="str">
        <f aca="false">IF(OR(B1390="",C1390=""),"",C1390&amp;"|"&amp;(YEAR(B1390)*100+MONTH(B1390)))</f>
        <v/>
      </c>
      <c r="AI1390" s="70" t="str">
        <f aca="false">IF(AH1390="","",IF(COUNTIF(L_CLAVE,AH1390)&gt;1,"⚠ Duplicado","OK"))</f>
        <v/>
      </c>
      <c r="AJ1390" s="86" t="str">
        <f aca="false">IF(AH1390="","",IF(SUMPRODUCT(MAX((IND_PER&lt;=B1390)*(IND_UF&lt;&gt;"")*IND_PER))=0,UF_HOY,INDEX(IND_UF,MATCH(SUMPRODUCT(MAX((IND_PER&lt;=B1390)*(IND_UF&lt;&gt;"")*IND_PER)),IND_PER,0))))</f>
        <v/>
      </c>
      <c r="AK1390" s="87" t="str">
        <f aca="false">IF(AH1390="","",IF(COUNTIF(TASA_DESDE,"&lt;="&amp;B1390)=0,INDEX(TASA_EMP,1),INDEX(TASA_EMP,COUNTIF(TASA_DESDE,"&lt;="&amp;B1390))))</f>
        <v/>
      </c>
    </row>
    <row r="1391" customFormat="false" ht="15" hidden="false" customHeight="false" outlineLevel="0" collapsed="false">
      <c r="B1391" s="78"/>
      <c r="C1391" s="64"/>
      <c r="D1391" s="72" t="str">
        <f aca="false">IF(C1391="","",IFERROR(INDEX(T_NOMBRE,MATCH(C1391,T_ID,0)),"⚠ ID no existe"))</f>
        <v/>
      </c>
      <c r="E1391" s="69"/>
      <c r="F1391" s="67"/>
      <c r="G1391" s="67"/>
      <c r="H1391" s="67"/>
      <c r="I1391" s="67"/>
      <c r="J1391" s="67"/>
      <c r="K1391" s="85" t="str">
        <f aca="false">IF(AH1391="","",N(F1391)+N(G1391)+N(H1391)-N(I1391)+N(J1391))</f>
        <v/>
      </c>
      <c r="L1391" s="67"/>
      <c r="M1391" s="67"/>
      <c r="N1391" s="67"/>
      <c r="O1391" s="67"/>
      <c r="P1391" s="85" t="str">
        <f aca="false">IF(AH1391="","",K1391+N(L1391)+N(M1391)+N(N1391)+N(O1391))</f>
        <v/>
      </c>
      <c r="Q1391" s="67"/>
      <c r="R1391" s="67"/>
      <c r="S1391" s="67"/>
      <c r="T1391" s="67"/>
      <c r="U1391" s="67"/>
      <c r="V1391" s="67"/>
      <c r="W1391" s="85" t="str">
        <f aca="false">IF(AH1391="","",N(Q1391)+N(R1391)+N(S1391)+N(T1391)+N(U1391)+N(V1391))</f>
        <v/>
      </c>
      <c r="X1391" s="85" t="str">
        <f aca="false">IF(AH1391="","",P1391-W1391)</f>
        <v/>
      </c>
      <c r="Y1391" s="67"/>
      <c r="Z1391" s="70" t="str">
        <f aca="false">IF(OR(AH1391="",Y1391=""),"",IF(ABS(X1391-Y1391)&lt;=1,"✓ Cuadra","⚠ Diferencia $"&amp;FIXED(X1391-Y1391,0)))</f>
        <v/>
      </c>
      <c r="AA1391" s="72" t="str">
        <f aca="false">IF(AH1391="","",IFERROR(INDEX(C_TIPO,MATCH(C1391&amp;"-P"&amp;MAX(1,COUNTIFS(C_ID,C1391,C_DEFINE,"Sí",C_INICIO,"&lt;="&amp;EOMONTH(B1391,0))),C_CLAVE,0))&amp;"","Sin dato"))</f>
        <v/>
      </c>
      <c r="AB1391" s="71" t="str">
        <f aca="false">IF(AH1391="","",ROUND(MIN(K1391,TOPE_AFP_UF*AJ1391)*AK1391,0))</f>
        <v/>
      </c>
      <c r="AC1391" s="71" t="str">
        <f aca="false">IF(AH1391="","",ROUND(MIN(K1391,TOPE_AFC_UF*AJ1391)*IF(AA1391="Indefinido",AFC_EMP_INDEF,AFC_EMP_PF),0))</f>
        <v/>
      </c>
      <c r="AD1391" s="71" t="str">
        <f aca="false">IF(AH1391="","",ROUND(MIN(K1391,TOPE_AFP_UF*AJ1391)*(MUTUAL_BASICA+MUTUAL_ADIC+SANNA),0))</f>
        <v/>
      </c>
      <c r="AE1391" s="71" t="str">
        <f aca="false">IF(AH1391="","",P1391-N(N1391)+AB1391+AC1391+AD1391)</f>
        <v/>
      </c>
      <c r="AF1391" s="65"/>
      <c r="AG1391" s="64"/>
      <c r="AH1391" s="72" t="str">
        <f aca="false">IF(OR(B1391="",C1391=""),"",C1391&amp;"|"&amp;(YEAR(B1391)*100+MONTH(B1391)))</f>
        <v/>
      </c>
      <c r="AI1391" s="70" t="str">
        <f aca="false">IF(AH1391="","",IF(COUNTIF(L_CLAVE,AH1391)&gt;1,"⚠ Duplicado","OK"))</f>
        <v/>
      </c>
      <c r="AJ1391" s="86" t="str">
        <f aca="false">IF(AH1391="","",IF(SUMPRODUCT(MAX((IND_PER&lt;=B1391)*(IND_UF&lt;&gt;"")*IND_PER))=0,UF_HOY,INDEX(IND_UF,MATCH(SUMPRODUCT(MAX((IND_PER&lt;=B1391)*(IND_UF&lt;&gt;"")*IND_PER)),IND_PER,0))))</f>
        <v/>
      </c>
      <c r="AK1391" s="87" t="str">
        <f aca="false">IF(AH1391="","",IF(COUNTIF(TASA_DESDE,"&lt;="&amp;B1391)=0,INDEX(TASA_EMP,1),INDEX(TASA_EMP,COUNTIF(TASA_DESDE,"&lt;="&amp;B1391))))</f>
        <v/>
      </c>
    </row>
    <row r="1392" customFormat="false" ht="15" hidden="false" customHeight="false" outlineLevel="0" collapsed="false">
      <c r="B1392" s="78"/>
      <c r="C1392" s="64"/>
      <c r="D1392" s="72" t="str">
        <f aca="false">IF(C1392="","",IFERROR(INDEX(T_NOMBRE,MATCH(C1392,T_ID,0)),"⚠ ID no existe"))</f>
        <v/>
      </c>
      <c r="E1392" s="69"/>
      <c r="F1392" s="67"/>
      <c r="G1392" s="67"/>
      <c r="H1392" s="67"/>
      <c r="I1392" s="67"/>
      <c r="J1392" s="67"/>
      <c r="K1392" s="85" t="str">
        <f aca="false">IF(AH1392="","",N(F1392)+N(G1392)+N(H1392)-N(I1392)+N(J1392))</f>
        <v/>
      </c>
      <c r="L1392" s="67"/>
      <c r="M1392" s="67"/>
      <c r="N1392" s="67"/>
      <c r="O1392" s="67"/>
      <c r="P1392" s="85" t="str">
        <f aca="false">IF(AH1392="","",K1392+N(L1392)+N(M1392)+N(N1392)+N(O1392))</f>
        <v/>
      </c>
      <c r="Q1392" s="67"/>
      <c r="R1392" s="67"/>
      <c r="S1392" s="67"/>
      <c r="T1392" s="67"/>
      <c r="U1392" s="67"/>
      <c r="V1392" s="67"/>
      <c r="W1392" s="85" t="str">
        <f aca="false">IF(AH1392="","",N(Q1392)+N(R1392)+N(S1392)+N(T1392)+N(U1392)+N(V1392))</f>
        <v/>
      </c>
      <c r="X1392" s="85" t="str">
        <f aca="false">IF(AH1392="","",P1392-W1392)</f>
        <v/>
      </c>
      <c r="Y1392" s="67"/>
      <c r="Z1392" s="70" t="str">
        <f aca="false">IF(OR(AH1392="",Y1392=""),"",IF(ABS(X1392-Y1392)&lt;=1,"✓ Cuadra","⚠ Diferencia $"&amp;FIXED(X1392-Y1392,0)))</f>
        <v/>
      </c>
      <c r="AA1392" s="72" t="str">
        <f aca="false">IF(AH1392="","",IFERROR(INDEX(C_TIPO,MATCH(C1392&amp;"-P"&amp;MAX(1,COUNTIFS(C_ID,C1392,C_DEFINE,"Sí",C_INICIO,"&lt;="&amp;EOMONTH(B1392,0))),C_CLAVE,0))&amp;"","Sin dato"))</f>
        <v/>
      </c>
      <c r="AB1392" s="71" t="str">
        <f aca="false">IF(AH1392="","",ROUND(MIN(K1392,TOPE_AFP_UF*AJ1392)*AK1392,0))</f>
        <v/>
      </c>
      <c r="AC1392" s="71" t="str">
        <f aca="false">IF(AH1392="","",ROUND(MIN(K1392,TOPE_AFC_UF*AJ1392)*IF(AA1392="Indefinido",AFC_EMP_INDEF,AFC_EMP_PF),0))</f>
        <v/>
      </c>
      <c r="AD1392" s="71" t="str">
        <f aca="false">IF(AH1392="","",ROUND(MIN(K1392,TOPE_AFP_UF*AJ1392)*(MUTUAL_BASICA+MUTUAL_ADIC+SANNA),0))</f>
        <v/>
      </c>
      <c r="AE1392" s="71" t="str">
        <f aca="false">IF(AH1392="","",P1392-N(N1392)+AB1392+AC1392+AD1392)</f>
        <v/>
      </c>
      <c r="AF1392" s="65"/>
      <c r="AG1392" s="64"/>
      <c r="AH1392" s="72" t="str">
        <f aca="false">IF(OR(B1392="",C1392=""),"",C1392&amp;"|"&amp;(YEAR(B1392)*100+MONTH(B1392)))</f>
        <v/>
      </c>
      <c r="AI1392" s="70" t="str">
        <f aca="false">IF(AH1392="","",IF(COUNTIF(L_CLAVE,AH1392)&gt;1,"⚠ Duplicado","OK"))</f>
        <v/>
      </c>
      <c r="AJ1392" s="86" t="str">
        <f aca="false">IF(AH1392="","",IF(SUMPRODUCT(MAX((IND_PER&lt;=B1392)*(IND_UF&lt;&gt;"")*IND_PER))=0,UF_HOY,INDEX(IND_UF,MATCH(SUMPRODUCT(MAX((IND_PER&lt;=B1392)*(IND_UF&lt;&gt;"")*IND_PER)),IND_PER,0))))</f>
        <v/>
      </c>
      <c r="AK1392" s="87" t="str">
        <f aca="false">IF(AH1392="","",IF(COUNTIF(TASA_DESDE,"&lt;="&amp;B1392)=0,INDEX(TASA_EMP,1),INDEX(TASA_EMP,COUNTIF(TASA_DESDE,"&lt;="&amp;B1392))))</f>
        <v/>
      </c>
    </row>
    <row r="1393" customFormat="false" ht="15" hidden="false" customHeight="false" outlineLevel="0" collapsed="false">
      <c r="B1393" s="78"/>
      <c r="C1393" s="64"/>
      <c r="D1393" s="72" t="str">
        <f aca="false">IF(C1393="","",IFERROR(INDEX(T_NOMBRE,MATCH(C1393,T_ID,0)),"⚠ ID no existe"))</f>
        <v/>
      </c>
      <c r="E1393" s="69"/>
      <c r="F1393" s="67"/>
      <c r="G1393" s="67"/>
      <c r="H1393" s="67"/>
      <c r="I1393" s="67"/>
      <c r="J1393" s="67"/>
      <c r="K1393" s="85" t="str">
        <f aca="false">IF(AH1393="","",N(F1393)+N(G1393)+N(H1393)-N(I1393)+N(J1393))</f>
        <v/>
      </c>
      <c r="L1393" s="67"/>
      <c r="M1393" s="67"/>
      <c r="N1393" s="67"/>
      <c r="O1393" s="67"/>
      <c r="P1393" s="85" t="str">
        <f aca="false">IF(AH1393="","",K1393+N(L1393)+N(M1393)+N(N1393)+N(O1393))</f>
        <v/>
      </c>
      <c r="Q1393" s="67"/>
      <c r="R1393" s="67"/>
      <c r="S1393" s="67"/>
      <c r="T1393" s="67"/>
      <c r="U1393" s="67"/>
      <c r="V1393" s="67"/>
      <c r="W1393" s="85" t="str">
        <f aca="false">IF(AH1393="","",N(Q1393)+N(R1393)+N(S1393)+N(T1393)+N(U1393)+N(V1393))</f>
        <v/>
      </c>
      <c r="X1393" s="85" t="str">
        <f aca="false">IF(AH1393="","",P1393-W1393)</f>
        <v/>
      </c>
      <c r="Y1393" s="67"/>
      <c r="Z1393" s="70" t="str">
        <f aca="false">IF(OR(AH1393="",Y1393=""),"",IF(ABS(X1393-Y1393)&lt;=1,"✓ Cuadra","⚠ Diferencia $"&amp;FIXED(X1393-Y1393,0)))</f>
        <v/>
      </c>
      <c r="AA1393" s="72" t="str">
        <f aca="false">IF(AH1393="","",IFERROR(INDEX(C_TIPO,MATCH(C1393&amp;"-P"&amp;MAX(1,COUNTIFS(C_ID,C1393,C_DEFINE,"Sí",C_INICIO,"&lt;="&amp;EOMONTH(B1393,0))),C_CLAVE,0))&amp;"","Sin dato"))</f>
        <v/>
      </c>
      <c r="AB1393" s="71" t="str">
        <f aca="false">IF(AH1393="","",ROUND(MIN(K1393,TOPE_AFP_UF*AJ1393)*AK1393,0))</f>
        <v/>
      </c>
      <c r="AC1393" s="71" t="str">
        <f aca="false">IF(AH1393="","",ROUND(MIN(K1393,TOPE_AFC_UF*AJ1393)*IF(AA1393="Indefinido",AFC_EMP_INDEF,AFC_EMP_PF),0))</f>
        <v/>
      </c>
      <c r="AD1393" s="71" t="str">
        <f aca="false">IF(AH1393="","",ROUND(MIN(K1393,TOPE_AFP_UF*AJ1393)*(MUTUAL_BASICA+MUTUAL_ADIC+SANNA),0))</f>
        <v/>
      </c>
      <c r="AE1393" s="71" t="str">
        <f aca="false">IF(AH1393="","",P1393-N(N1393)+AB1393+AC1393+AD1393)</f>
        <v/>
      </c>
      <c r="AF1393" s="65"/>
      <c r="AG1393" s="64"/>
      <c r="AH1393" s="72" t="str">
        <f aca="false">IF(OR(B1393="",C1393=""),"",C1393&amp;"|"&amp;(YEAR(B1393)*100+MONTH(B1393)))</f>
        <v/>
      </c>
      <c r="AI1393" s="70" t="str">
        <f aca="false">IF(AH1393="","",IF(COUNTIF(L_CLAVE,AH1393)&gt;1,"⚠ Duplicado","OK"))</f>
        <v/>
      </c>
      <c r="AJ1393" s="86" t="str">
        <f aca="false">IF(AH1393="","",IF(SUMPRODUCT(MAX((IND_PER&lt;=B1393)*(IND_UF&lt;&gt;"")*IND_PER))=0,UF_HOY,INDEX(IND_UF,MATCH(SUMPRODUCT(MAX((IND_PER&lt;=B1393)*(IND_UF&lt;&gt;"")*IND_PER)),IND_PER,0))))</f>
        <v/>
      </c>
      <c r="AK1393" s="87" t="str">
        <f aca="false">IF(AH1393="","",IF(COUNTIF(TASA_DESDE,"&lt;="&amp;B1393)=0,INDEX(TASA_EMP,1),INDEX(TASA_EMP,COUNTIF(TASA_DESDE,"&lt;="&amp;B1393))))</f>
        <v/>
      </c>
    </row>
    <row r="1394" customFormat="false" ht="15" hidden="false" customHeight="false" outlineLevel="0" collapsed="false">
      <c r="B1394" s="78"/>
      <c r="C1394" s="64"/>
      <c r="D1394" s="72" t="str">
        <f aca="false">IF(C1394="","",IFERROR(INDEX(T_NOMBRE,MATCH(C1394,T_ID,0)),"⚠ ID no existe"))</f>
        <v/>
      </c>
      <c r="E1394" s="69"/>
      <c r="F1394" s="67"/>
      <c r="G1394" s="67"/>
      <c r="H1394" s="67"/>
      <c r="I1394" s="67"/>
      <c r="J1394" s="67"/>
      <c r="K1394" s="85" t="str">
        <f aca="false">IF(AH1394="","",N(F1394)+N(G1394)+N(H1394)-N(I1394)+N(J1394))</f>
        <v/>
      </c>
      <c r="L1394" s="67"/>
      <c r="M1394" s="67"/>
      <c r="N1394" s="67"/>
      <c r="O1394" s="67"/>
      <c r="P1394" s="85" t="str">
        <f aca="false">IF(AH1394="","",K1394+N(L1394)+N(M1394)+N(N1394)+N(O1394))</f>
        <v/>
      </c>
      <c r="Q1394" s="67"/>
      <c r="R1394" s="67"/>
      <c r="S1394" s="67"/>
      <c r="T1394" s="67"/>
      <c r="U1394" s="67"/>
      <c r="V1394" s="67"/>
      <c r="W1394" s="85" t="str">
        <f aca="false">IF(AH1394="","",N(Q1394)+N(R1394)+N(S1394)+N(T1394)+N(U1394)+N(V1394))</f>
        <v/>
      </c>
      <c r="X1394" s="85" t="str">
        <f aca="false">IF(AH1394="","",P1394-W1394)</f>
        <v/>
      </c>
      <c r="Y1394" s="67"/>
      <c r="Z1394" s="70" t="str">
        <f aca="false">IF(OR(AH1394="",Y1394=""),"",IF(ABS(X1394-Y1394)&lt;=1,"✓ Cuadra","⚠ Diferencia $"&amp;FIXED(X1394-Y1394,0)))</f>
        <v/>
      </c>
      <c r="AA1394" s="72" t="str">
        <f aca="false">IF(AH1394="","",IFERROR(INDEX(C_TIPO,MATCH(C1394&amp;"-P"&amp;MAX(1,COUNTIFS(C_ID,C1394,C_DEFINE,"Sí",C_INICIO,"&lt;="&amp;EOMONTH(B1394,0))),C_CLAVE,0))&amp;"","Sin dato"))</f>
        <v/>
      </c>
      <c r="AB1394" s="71" t="str">
        <f aca="false">IF(AH1394="","",ROUND(MIN(K1394,TOPE_AFP_UF*AJ1394)*AK1394,0))</f>
        <v/>
      </c>
      <c r="AC1394" s="71" t="str">
        <f aca="false">IF(AH1394="","",ROUND(MIN(K1394,TOPE_AFC_UF*AJ1394)*IF(AA1394="Indefinido",AFC_EMP_INDEF,AFC_EMP_PF),0))</f>
        <v/>
      </c>
      <c r="AD1394" s="71" t="str">
        <f aca="false">IF(AH1394="","",ROUND(MIN(K1394,TOPE_AFP_UF*AJ1394)*(MUTUAL_BASICA+MUTUAL_ADIC+SANNA),0))</f>
        <v/>
      </c>
      <c r="AE1394" s="71" t="str">
        <f aca="false">IF(AH1394="","",P1394-N(N1394)+AB1394+AC1394+AD1394)</f>
        <v/>
      </c>
      <c r="AF1394" s="65"/>
      <c r="AG1394" s="64"/>
      <c r="AH1394" s="72" t="str">
        <f aca="false">IF(OR(B1394="",C1394=""),"",C1394&amp;"|"&amp;(YEAR(B1394)*100+MONTH(B1394)))</f>
        <v/>
      </c>
      <c r="AI1394" s="70" t="str">
        <f aca="false">IF(AH1394="","",IF(COUNTIF(L_CLAVE,AH1394)&gt;1,"⚠ Duplicado","OK"))</f>
        <v/>
      </c>
      <c r="AJ1394" s="86" t="str">
        <f aca="false">IF(AH1394="","",IF(SUMPRODUCT(MAX((IND_PER&lt;=B1394)*(IND_UF&lt;&gt;"")*IND_PER))=0,UF_HOY,INDEX(IND_UF,MATCH(SUMPRODUCT(MAX((IND_PER&lt;=B1394)*(IND_UF&lt;&gt;"")*IND_PER)),IND_PER,0))))</f>
        <v/>
      </c>
      <c r="AK1394" s="87" t="str">
        <f aca="false">IF(AH1394="","",IF(COUNTIF(TASA_DESDE,"&lt;="&amp;B1394)=0,INDEX(TASA_EMP,1),INDEX(TASA_EMP,COUNTIF(TASA_DESDE,"&lt;="&amp;B1394))))</f>
        <v/>
      </c>
    </row>
    <row r="1395" customFormat="false" ht="15" hidden="false" customHeight="false" outlineLevel="0" collapsed="false">
      <c r="B1395" s="78"/>
      <c r="C1395" s="64"/>
      <c r="D1395" s="72" t="str">
        <f aca="false">IF(C1395="","",IFERROR(INDEX(T_NOMBRE,MATCH(C1395,T_ID,0)),"⚠ ID no existe"))</f>
        <v/>
      </c>
      <c r="E1395" s="69"/>
      <c r="F1395" s="67"/>
      <c r="G1395" s="67"/>
      <c r="H1395" s="67"/>
      <c r="I1395" s="67"/>
      <c r="J1395" s="67"/>
      <c r="K1395" s="85" t="str">
        <f aca="false">IF(AH1395="","",N(F1395)+N(G1395)+N(H1395)-N(I1395)+N(J1395))</f>
        <v/>
      </c>
      <c r="L1395" s="67"/>
      <c r="M1395" s="67"/>
      <c r="N1395" s="67"/>
      <c r="O1395" s="67"/>
      <c r="P1395" s="85" t="str">
        <f aca="false">IF(AH1395="","",K1395+N(L1395)+N(M1395)+N(N1395)+N(O1395))</f>
        <v/>
      </c>
      <c r="Q1395" s="67"/>
      <c r="R1395" s="67"/>
      <c r="S1395" s="67"/>
      <c r="T1395" s="67"/>
      <c r="U1395" s="67"/>
      <c r="V1395" s="67"/>
      <c r="W1395" s="85" t="str">
        <f aca="false">IF(AH1395="","",N(Q1395)+N(R1395)+N(S1395)+N(T1395)+N(U1395)+N(V1395))</f>
        <v/>
      </c>
      <c r="X1395" s="85" t="str">
        <f aca="false">IF(AH1395="","",P1395-W1395)</f>
        <v/>
      </c>
      <c r="Y1395" s="67"/>
      <c r="Z1395" s="70" t="str">
        <f aca="false">IF(OR(AH1395="",Y1395=""),"",IF(ABS(X1395-Y1395)&lt;=1,"✓ Cuadra","⚠ Diferencia $"&amp;FIXED(X1395-Y1395,0)))</f>
        <v/>
      </c>
      <c r="AA1395" s="72" t="str">
        <f aca="false">IF(AH1395="","",IFERROR(INDEX(C_TIPO,MATCH(C1395&amp;"-P"&amp;MAX(1,COUNTIFS(C_ID,C1395,C_DEFINE,"Sí",C_INICIO,"&lt;="&amp;EOMONTH(B1395,0))),C_CLAVE,0))&amp;"","Sin dato"))</f>
        <v/>
      </c>
      <c r="AB1395" s="71" t="str">
        <f aca="false">IF(AH1395="","",ROUND(MIN(K1395,TOPE_AFP_UF*AJ1395)*AK1395,0))</f>
        <v/>
      </c>
      <c r="AC1395" s="71" t="str">
        <f aca="false">IF(AH1395="","",ROUND(MIN(K1395,TOPE_AFC_UF*AJ1395)*IF(AA1395="Indefinido",AFC_EMP_INDEF,AFC_EMP_PF),0))</f>
        <v/>
      </c>
      <c r="AD1395" s="71" t="str">
        <f aca="false">IF(AH1395="","",ROUND(MIN(K1395,TOPE_AFP_UF*AJ1395)*(MUTUAL_BASICA+MUTUAL_ADIC+SANNA),0))</f>
        <v/>
      </c>
      <c r="AE1395" s="71" t="str">
        <f aca="false">IF(AH1395="","",P1395-N(N1395)+AB1395+AC1395+AD1395)</f>
        <v/>
      </c>
      <c r="AF1395" s="65"/>
      <c r="AG1395" s="64"/>
      <c r="AH1395" s="72" t="str">
        <f aca="false">IF(OR(B1395="",C1395=""),"",C1395&amp;"|"&amp;(YEAR(B1395)*100+MONTH(B1395)))</f>
        <v/>
      </c>
      <c r="AI1395" s="70" t="str">
        <f aca="false">IF(AH1395="","",IF(COUNTIF(L_CLAVE,AH1395)&gt;1,"⚠ Duplicado","OK"))</f>
        <v/>
      </c>
      <c r="AJ1395" s="86" t="str">
        <f aca="false">IF(AH1395="","",IF(SUMPRODUCT(MAX((IND_PER&lt;=B1395)*(IND_UF&lt;&gt;"")*IND_PER))=0,UF_HOY,INDEX(IND_UF,MATCH(SUMPRODUCT(MAX((IND_PER&lt;=B1395)*(IND_UF&lt;&gt;"")*IND_PER)),IND_PER,0))))</f>
        <v/>
      </c>
      <c r="AK1395" s="87" t="str">
        <f aca="false">IF(AH1395="","",IF(COUNTIF(TASA_DESDE,"&lt;="&amp;B1395)=0,INDEX(TASA_EMP,1),INDEX(TASA_EMP,COUNTIF(TASA_DESDE,"&lt;="&amp;B1395))))</f>
        <v/>
      </c>
    </row>
    <row r="1396" customFormat="false" ht="15" hidden="false" customHeight="false" outlineLevel="0" collapsed="false">
      <c r="B1396" s="78"/>
      <c r="C1396" s="64"/>
      <c r="D1396" s="72" t="str">
        <f aca="false">IF(C1396="","",IFERROR(INDEX(T_NOMBRE,MATCH(C1396,T_ID,0)),"⚠ ID no existe"))</f>
        <v/>
      </c>
      <c r="E1396" s="69"/>
      <c r="F1396" s="67"/>
      <c r="G1396" s="67"/>
      <c r="H1396" s="67"/>
      <c r="I1396" s="67"/>
      <c r="J1396" s="67"/>
      <c r="K1396" s="85" t="str">
        <f aca="false">IF(AH1396="","",N(F1396)+N(G1396)+N(H1396)-N(I1396)+N(J1396))</f>
        <v/>
      </c>
      <c r="L1396" s="67"/>
      <c r="M1396" s="67"/>
      <c r="N1396" s="67"/>
      <c r="O1396" s="67"/>
      <c r="P1396" s="85" t="str">
        <f aca="false">IF(AH1396="","",K1396+N(L1396)+N(M1396)+N(N1396)+N(O1396))</f>
        <v/>
      </c>
      <c r="Q1396" s="67"/>
      <c r="R1396" s="67"/>
      <c r="S1396" s="67"/>
      <c r="T1396" s="67"/>
      <c r="U1396" s="67"/>
      <c r="V1396" s="67"/>
      <c r="W1396" s="85" t="str">
        <f aca="false">IF(AH1396="","",N(Q1396)+N(R1396)+N(S1396)+N(T1396)+N(U1396)+N(V1396))</f>
        <v/>
      </c>
      <c r="X1396" s="85" t="str">
        <f aca="false">IF(AH1396="","",P1396-W1396)</f>
        <v/>
      </c>
      <c r="Y1396" s="67"/>
      <c r="Z1396" s="70" t="str">
        <f aca="false">IF(OR(AH1396="",Y1396=""),"",IF(ABS(X1396-Y1396)&lt;=1,"✓ Cuadra","⚠ Diferencia $"&amp;FIXED(X1396-Y1396,0)))</f>
        <v/>
      </c>
      <c r="AA1396" s="72" t="str">
        <f aca="false">IF(AH1396="","",IFERROR(INDEX(C_TIPO,MATCH(C1396&amp;"-P"&amp;MAX(1,COUNTIFS(C_ID,C1396,C_DEFINE,"Sí",C_INICIO,"&lt;="&amp;EOMONTH(B1396,0))),C_CLAVE,0))&amp;"","Sin dato"))</f>
        <v/>
      </c>
      <c r="AB1396" s="71" t="str">
        <f aca="false">IF(AH1396="","",ROUND(MIN(K1396,TOPE_AFP_UF*AJ1396)*AK1396,0))</f>
        <v/>
      </c>
      <c r="AC1396" s="71" t="str">
        <f aca="false">IF(AH1396="","",ROUND(MIN(K1396,TOPE_AFC_UF*AJ1396)*IF(AA1396="Indefinido",AFC_EMP_INDEF,AFC_EMP_PF),0))</f>
        <v/>
      </c>
      <c r="AD1396" s="71" t="str">
        <f aca="false">IF(AH1396="","",ROUND(MIN(K1396,TOPE_AFP_UF*AJ1396)*(MUTUAL_BASICA+MUTUAL_ADIC+SANNA),0))</f>
        <v/>
      </c>
      <c r="AE1396" s="71" t="str">
        <f aca="false">IF(AH1396="","",P1396-N(N1396)+AB1396+AC1396+AD1396)</f>
        <v/>
      </c>
      <c r="AF1396" s="65"/>
      <c r="AG1396" s="64"/>
      <c r="AH1396" s="72" t="str">
        <f aca="false">IF(OR(B1396="",C1396=""),"",C1396&amp;"|"&amp;(YEAR(B1396)*100+MONTH(B1396)))</f>
        <v/>
      </c>
      <c r="AI1396" s="70" t="str">
        <f aca="false">IF(AH1396="","",IF(COUNTIF(L_CLAVE,AH1396)&gt;1,"⚠ Duplicado","OK"))</f>
        <v/>
      </c>
      <c r="AJ1396" s="86" t="str">
        <f aca="false">IF(AH1396="","",IF(SUMPRODUCT(MAX((IND_PER&lt;=B1396)*(IND_UF&lt;&gt;"")*IND_PER))=0,UF_HOY,INDEX(IND_UF,MATCH(SUMPRODUCT(MAX((IND_PER&lt;=B1396)*(IND_UF&lt;&gt;"")*IND_PER)),IND_PER,0))))</f>
        <v/>
      </c>
      <c r="AK1396" s="87" t="str">
        <f aca="false">IF(AH1396="","",IF(COUNTIF(TASA_DESDE,"&lt;="&amp;B1396)=0,INDEX(TASA_EMP,1),INDEX(TASA_EMP,COUNTIF(TASA_DESDE,"&lt;="&amp;B1396))))</f>
        <v/>
      </c>
    </row>
    <row r="1397" customFormat="false" ht="15" hidden="false" customHeight="false" outlineLevel="0" collapsed="false">
      <c r="B1397" s="78"/>
      <c r="C1397" s="64"/>
      <c r="D1397" s="72" t="str">
        <f aca="false">IF(C1397="","",IFERROR(INDEX(T_NOMBRE,MATCH(C1397,T_ID,0)),"⚠ ID no existe"))</f>
        <v/>
      </c>
      <c r="E1397" s="69"/>
      <c r="F1397" s="67"/>
      <c r="G1397" s="67"/>
      <c r="H1397" s="67"/>
      <c r="I1397" s="67"/>
      <c r="J1397" s="67"/>
      <c r="K1397" s="85" t="str">
        <f aca="false">IF(AH1397="","",N(F1397)+N(G1397)+N(H1397)-N(I1397)+N(J1397))</f>
        <v/>
      </c>
      <c r="L1397" s="67"/>
      <c r="M1397" s="67"/>
      <c r="N1397" s="67"/>
      <c r="O1397" s="67"/>
      <c r="P1397" s="85" t="str">
        <f aca="false">IF(AH1397="","",K1397+N(L1397)+N(M1397)+N(N1397)+N(O1397))</f>
        <v/>
      </c>
      <c r="Q1397" s="67"/>
      <c r="R1397" s="67"/>
      <c r="S1397" s="67"/>
      <c r="T1397" s="67"/>
      <c r="U1397" s="67"/>
      <c r="V1397" s="67"/>
      <c r="W1397" s="85" t="str">
        <f aca="false">IF(AH1397="","",N(Q1397)+N(R1397)+N(S1397)+N(T1397)+N(U1397)+N(V1397))</f>
        <v/>
      </c>
      <c r="X1397" s="85" t="str">
        <f aca="false">IF(AH1397="","",P1397-W1397)</f>
        <v/>
      </c>
      <c r="Y1397" s="67"/>
      <c r="Z1397" s="70" t="str">
        <f aca="false">IF(OR(AH1397="",Y1397=""),"",IF(ABS(X1397-Y1397)&lt;=1,"✓ Cuadra","⚠ Diferencia $"&amp;FIXED(X1397-Y1397,0)))</f>
        <v/>
      </c>
      <c r="AA1397" s="72" t="str">
        <f aca="false">IF(AH1397="","",IFERROR(INDEX(C_TIPO,MATCH(C1397&amp;"-P"&amp;MAX(1,COUNTIFS(C_ID,C1397,C_DEFINE,"Sí",C_INICIO,"&lt;="&amp;EOMONTH(B1397,0))),C_CLAVE,0))&amp;"","Sin dato"))</f>
        <v/>
      </c>
      <c r="AB1397" s="71" t="str">
        <f aca="false">IF(AH1397="","",ROUND(MIN(K1397,TOPE_AFP_UF*AJ1397)*AK1397,0))</f>
        <v/>
      </c>
      <c r="AC1397" s="71" t="str">
        <f aca="false">IF(AH1397="","",ROUND(MIN(K1397,TOPE_AFC_UF*AJ1397)*IF(AA1397="Indefinido",AFC_EMP_INDEF,AFC_EMP_PF),0))</f>
        <v/>
      </c>
      <c r="AD1397" s="71" t="str">
        <f aca="false">IF(AH1397="","",ROUND(MIN(K1397,TOPE_AFP_UF*AJ1397)*(MUTUAL_BASICA+MUTUAL_ADIC+SANNA),0))</f>
        <v/>
      </c>
      <c r="AE1397" s="71" t="str">
        <f aca="false">IF(AH1397="","",P1397-N(N1397)+AB1397+AC1397+AD1397)</f>
        <v/>
      </c>
      <c r="AF1397" s="65"/>
      <c r="AG1397" s="64"/>
      <c r="AH1397" s="72" t="str">
        <f aca="false">IF(OR(B1397="",C1397=""),"",C1397&amp;"|"&amp;(YEAR(B1397)*100+MONTH(B1397)))</f>
        <v/>
      </c>
      <c r="AI1397" s="70" t="str">
        <f aca="false">IF(AH1397="","",IF(COUNTIF(L_CLAVE,AH1397)&gt;1,"⚠ Duplicado","OK"))</f>
        <v/>
      </c>
      <c r="AJ1397" s="86" t="str">
        <f aca="false">IF(AH1397="","",IF(SUMPRODUCT(MAX((IND_PER&lt;=B1397)*(IND_UF&lt;&gt;"")*IND_PER))=0,UF_HOY,INDEX(IND_UF,MATCH(SUMPRODUCT(MAX((IND_PER&lt;=B1397)*(IND_UF&lt;&gt;"")*IND_PER)),IND_PER,0))))</f>
        <v/>
      </c>
      <c r="AK1397" s="87" t="str">
        <f aca="false">IF(AH1397="","",IF(COUNTIF(TASA_DESDE,"&lt;="&amp;B1397)=0,INDEX(TASA_EMP,1),INDEX(TASA_EMP,COUNTIF(TASA_DESDE,"&lt;="&amp;B1397))))</f>
        <v/>
      </c>
    </row>
    <row r="1398" customFormat="false" ht="15" hidden="false" customHeight="false" outlineLevel="0" collapsed="false">
      <c r="B1398" s="78"/>
      <c r="C1398" s="64"/>
      <c r="D1398" s="72" t="str">
        <f aca="false">IF(C1398="","",IFERROR(INDEX(T_NOMBRE,MATCH(C1398,T_ID,0)),"⚠ ID no existe"))</f>
        <v/>
      </c>
      <c r="E1398" s="69"/>
      <c r="F1398" s="67"/>
      <c r="G1398" s="67"/>
      <c r="H1398" s="67"/>
      <c r="I1398" s="67"/>
      <c r="J1398" s="67"/>
      <c r="K1398" s="85" t="str">
        <f aca="false">IF(AH1398="","",N(F1398)+N(G1398)+N(H1398)-N(I1398)+N(J1398))</f>
        <v/>
      </c>
      <c r="L1398" s="67"/>
      <c r="M1398" s="67"/>
      <c r="N1398" s="67"/>
      <c r="O1398" s="67"/>
      <c r="P1398" s="85" t="str">
        <f aca="false">IF(AH1398="","",K1398+N(L1398)+N(M1398)+N(N1398)+N(O1398))</f>
        <v/>
      </c>
      <c r="Q1398" s="67"/>
      <c r="R1398" s="67"/>
      <c r="S1398" s="67"/>
      <c r="T1398" s="67"/>
      <c r="U1398" s="67"/>
      <c r="V1398" s="67"/>
      <c r="W1398" s="85" t="str">
        <f aca="false">IF(AH1398="","",N(Q1398)+N(R1398)+N(S1398)+N(T1398)+N(U1398)+N(V1398))</f>
        <v/>
      </c>
      <c r="X1398" s="85" t="str">
        <f aca="false">IF(AH1398="","",P1398-W1398)</f>
        <v/>
      </c>
      <c r="Y1398" s="67"/>
      <c r="Z1398" s="70" t="str">
        <f aca="false">IF(OR(AH1398="",Y1398=""),"",IF(ABS(X1398-Y1398)&lt;=1,"✓ Cuadra","⚠ Diferencia $"&amp;FIXED(X1398-Y1398,0)))</f>
        <v/>
      </c>
      <c r="AA1398" s="72" t="str">
        <f aca="false">IF(AH1398="","",IFERROR(INDEX(C_TIPO,MATCH(C1398&amp;"-P"&amp;MAX(1,COUNTIFS(C_ID,C1398,C_DEFINE,"Sí",C_INICIO,"&lt;="&amp;EOMONTH(B1398,0))),C_CLAVE,0))&amp;"","Sin dato"))</f>
        <v/>
      </c>
      <c r="AB1398" s="71" t="str">
        <f aca="false">IF(AH1398="","",ROUND(MIN(K1398,TOPE_AFP_UF*AJ1398)*AK1398,0))</f>
        <v/>
      </c>
      <c r="AC1398" s="71" t="str">
        <f aca="false">IF(AH1398="","",ROUND(MIN(K1398,TOPE_AFC_UF*AJ1398)*IF(AA1398="Indefinido",AFC_EMP_INDEF,AFC_EMP_PF),0))</f>
        <v/>
      </c>
      <c r="AD1398" s="71" t="str">
        <f aca="false">IF(AH1398="","",ROUND(MIN(K1398,TOPE_AFP_UF*AJ1398)*(MUTUAL_BASICA+MUTUAL_ADIC+SANNA),0))</f>
        <v/>
      </c>
      <c r="AE1398" s="71" t="str">
        <f aca="false">IF(AH1398="","",P1398-N(N1398)+AB1398+AC1398+AD1398)</f>
        <v/>
      </c>
      <c r="AF1398" s="65"/>
      <c r="AG1398" s="64"/>
      <c r="AH1398" s="72" t="str">
        <f aca="false">IF(OR(B1398="",C1398=""),"",C1398&amp;"|"&amp;(YEAR(B1398)*100+MONTH(B1398)))</f>
        <v/>
      </c>
      <c r="AI1398" s="70" t="str">
        <f aca="false">IF(AH1398="","",IF(COUNTIF(L_CLAVE,AH1398)&gt;1,"⚠ Duplicado","OK"))</f>
        <v/>
      </c>
      <c r="AJ1398" s="86" t="str">
        <f aca="false">IF(AH1398="","",IF(SUMPRODUCT(MAX((IND_PER&lt;=B1398)*(IND_UF&lt;&gt;"")*IND_PER))=0,UF_HOY,INDEX(IND_UF,MATCH(SUMPRODUCT(MAX((IND_PER&lt;=B1398)*(IND_UF&lt;&gt;"")*IND_PER)),IND_PER,0))))</f>
        <v/>
      </c>
      <c r="AK1398" s="87" t="str">
        <f aca="false">IF(AH1398="","",IF(COUNTIF(TASA_DESDE,"&lt;="&amp;B1398)=0,INDEX(TASA_EMP,1),INDEX(TASA_EMP,COUNTIF(TASA_DESDE,"&lt;="&amp;B1398))))</f>
        <v/>
      </c>
    </row>
    <row r="1399" customFormat="false" ht="15" hidden="false" customHeight="false" outlineLevel="0" collapsed="false">
      <c r="B1399" s="78"/>
      <c r="C1399" s="64"/>
      <c r="D1399" s="72" t="str">
        <f aca="false">IF(C1399="","",IFERROR(INDEX(T_NOMBRE,MATCH(C1399,T_ID,0)),"⚠ ID no existe"))</f>
        <v/>
      </c>
      <c r="E1399" s="69"/>
      <c r="F1399" s="67"/>
      <c r="G1399" s="67"/>
      <c r="H1399" s="67"/>
      <c r="I1399" s="67"/>
      <c r="J1399" s="67"/>
      <c r="K1399" s="85" t="str">
        <f aca="false">IF(AH1399="","",N(F1399)+N(G1399)+N(H1399)-N(I1399)+N(J1399))</f>
        <v/>
      </c>
      <c r="L1399" s="67"/>
      <c r="M1399" s="67"/>
      <c r="N1399" s="67"/>
      <c r="O1399" s="67"/>
      <c r="P1399" s="85" t="str">
        <f aca="false">IF(AH1399="","",K1399+N(L1399)+N(M1399)+N(N1399)+N(O1399))</f>
        <v/>
      </c>
      <c r="Q1399" s="67"/>
      <c r="R1399" s="67"/>
      <c r="S1399" s="67"/>
      <c r="T1399" s="67"/>
      <c r="U1399" s="67"/>
      <c r="V1399" s="67"/>
      <c r="W1399" s="85" t="str">
        <f aca="false">IF(AH1399="","",N(Q1399)+N(R1399)+N(S1399)+N(T1399)+N(U1399)+N(V1399))</f>
        <v/>
      </c>
      <c r="X1399" s="85" t="str">
        <f aca="false">IF(AH1399="","",P1399-W1399)</f>
        <v/>
      </c>
      <c r="Y1399" s="67"/>
      <c r="Z1399" s="70" t="str">
        <f aca="false">IF(OR(AH1399="",Y1399=""),"",IF(ABS(X1399-Y1399)&lt;=1,"✓ Cuadra","⚠ Diferencia $"&amp;FIXED(X1399-Y1399,0)))</f>
        <v/>
      </c>
      <c r="AA1399" s="72" t="str">
        <f aca="false">IF(AH1399="","",IFERROR(INDEX(C_TIPO,MATCH(C1399&amp;"-P"&amp;MAX(1,COUNTIFS(C_ID,C1399,C_DEFINE,"Sí",C_INICIO,"&lt;="&amp;EOMONTH(B1399,0))),C_CLAVE,0))&amp;"","Sin dato"))</f>
        <v/>
      </c>
      <c r="AB1399" s="71" t="str">
        <f aca="false">IF(AH1399="","",ROUND(MIN(K1399,TOPE_AFP_UF*AJ1399)*AK1399,0))</f>
        <v/>
      </c>
      <c r="AC1399" s="71" t="str">
        <f aca="false">IF(AH1399="","",ROUND(MIN(K1399,TOPE_AFC_UF*AJ1399)*IF(AA1399="Indefinido",AFC_EMP_INDEF,AFC_EMP_PF),0))</f>
        <v/>
      </c>
      <c r="AD1399" s="71" t="str">
        <f aca="false">IF(AH1399="","",ROUND(MIN(K1399,TOPE_AFP_UF*AJ1399)*(MUTUAL_BASICA+MUTUAL_ADIC+SANNA),0))</f>
        <v/>
      </c>
      <c r="AE1399" s="71" t="str">
        <f aca="false">IF(AH1399="","",P1399-N(N1399)+AB1399+AC1399+AD1399)</f>
        <v/>
      </c>
      <c r="AF1399" s="65"/>
      <c r="AG1399" s="64"/>
      <c r="AH1399" s="72" t="str">
        <f aca="false">IF(OR(B1399="",C1399=""),"",C1399&amp;"|"&amp;(YEAR(B1399)*100+MONTH(B1399)))</f>
        <v/>
      </c>
      <c r="AI1399" s="70" t="str">
        <f aca="false">IF(AH1399="","",IF(COUNTIF(L_CLAVE,AH1399)&gt;1,"⚠ Duplicado","OK"))</f>
        <v/>
      </c>
      <c r="AJ1399" s="86" t="str">
        <f aca="false">IF(AH1399="","",IF(SUMPRODUCT(MAX((IND_PER&lt;=B1399)*(IND_UF&lt;&gt;"")*IND_PER))=0,UF_HOY,INDEX(IND_UF,MATCH(SUMPRODUCT(MAX((IND_PER&lt;=B1399)*(IND_UF&lt;&gt;"")*IND_PER)),IND_PER,0))))</f>
        <v/>
      </c>
      <c r="AK1399" s="87" t="str">
        <f aca="false">IF(AH1399="","",IF(COUNTIF(TASA_DESDE,"&lt;="&amp;B1399)=0,INDEX(TASA_EMP,1),INDEX(TASA_EMP,COUNTIF(TASA_DESDE,"&lt;="&amp;B1399))))</f>
        <v/>
      </c>
    </row>
    <row r="1400" customFormat="false" ht="15" hidden="false" customHeight="false" outlineLevel="0" collapsed="false">
      <c r="B1400" s="78"/>
      <c r="C1400" s="64"/>
      <c r="D1400" s="72" t="str">
        <f aca="false">IF(C1400="","",IFERROR(INDEX(T_NOMBRE,MATCH(C1400,T_ID,0)),"⚠ ID no existe"))</f>
        <v/>
      </c>
      <c r="E1400" s="69"/>
      <c r="F1400" s="67"/>
      <c r="G1400" s="67"/>
      <c r="H1400" s="67"/>
      <c r="I1400" s="67"/>
      <c r="J1400" s="67"/>
      <c r="K1400" s="85" t="str">
        <f aca="false">IF(AH1400="","",N(F1400)+N(G1400)+N(H1400)-N(I1400)+N(J1400))</f>
        <v/>
      </c>
      <c r="L1400" s="67"/>
      <c r="M1400" s="67"/>
      <c r="N1400" s="67"/>
      <c r="O1400" s="67"/>
      <c r="P1400" s="85" t="str">
        <f aca="false">IF(AH1400="","",K1400+N(L1400)+N(M1400)+N(N1400)+N(O1400))</f>
        <v/>
      </c>
      <c r="Q1400" s="67"/>
      <c r="R1400" s="67"/>
      <c r="S1400" s="67"/>
      <c r="T1400" s="67"/>
      <c r="U1400" s="67"/>
      <c r="V1400" s="67"/>
      <c r="W1400" s="85" t="str">
        <f aca="false">IF(AH1400="","",N(Q1400)+N(R1400)+N(S1400)+N(T1400)+N(U1400)+N(V1400))</f>
        <v/>
      </c>
      <c r="X1400" s="85" t="str">
        <f aca="false">IF(AH1400="","",P1400-W1400)</f>
        <v/>
      </c>
      <c r="Y1400" s="67"/>
      <c r="Z1400" s="70" t="str">
        <f aca="false">IF(OR(AH1400="",Y1400=""),"",IF(ABS(X1400-Y1400)&lt;=1,"✓ Cuadra","⚠ Diferencia $"&amp;FIXED(X1400-Y1400,0)))</f>
        <v/>
      </c>
      <c r="AA1400" s="72" t="str">
        <f aca="false">IF(AH1400="","",IFERROR(INDEX(C_TIPO,MATCH(C1400&amp;"-P"&amp;MAX(1,COUNTIFS(C_ID,C1400,C_DEFINE,"Sí",C_INICIO,"&lt;="&amp;EOMONTH(B1400,0))),C_CLAVE,0))&amp;"","Sin dato"))</f>
        <v/>
      </c>
      <c r="AB1400" s="71" t="str">
        <f aca="false">IF(AH1400="","",ROUND(MIN(K1400,TOPE_AFP_UF*AJ1400)*AK1400,0))</f>
        <v/>
      </c>
      <c r="AC1400" s="71" t="str">
        <f aca="false">IF(AH1400="","",ROUND(MIN(K1400,TOPE_AFC_UF*AJ1400)*IF(AA1400="Indefinido",AFC_EMP_INDEF,AFC_EMP_PF),0))</f>
        <v/>
      </c>
      <c r="AD1400" s="71" t="str">
        <f aca="false">IF(AH1400="","",ROUND(MIN(K1400,TOPE_AFP_UF*AJ1400)*(MUTUAL_BASICA+MUTUAL_ADIC+SANNA),0))</f>
        <v/>
      </c>
      <c r="AE1400" s="71" t="str">
        <f aca="false">IF(AH1400="","",P1400-N(N1400)+AB1400+AC1400+AD1400)</f>
        <v/>
      </c>
      <c r="AF1400" s="65"/>
      <c r="AG1400" s="64"/>
      <c r="AH1400" s="72" t="str">
        <f aca="false">IF(OR(B1400="",C1400=""),"",C1400&amp;"|"&amp;(YEAR(B1400)*100+MONTH(B1400)))</f>
        <v/>
      </c>
      <c r="AI1400" s="70" t="str">
        <f aca="false">IF(AH1400="","",IF(COUNTIF(L_CLAVE,AH1400)&gt;1,"⚠ Duplicado","OK"))</f>
        <v/>
      </c>
      <c r="AJ1400" s="86" t="str">
        <f aca="false">IF(AH1400="","",IF(SUMPRODUCT(MAX((IND_PER&lt;=B1400)*(IND_UF&lt;&gt;"")*IND_PER))=0,UF_HOY,INDEX(IND_UF,MATCH(SUMPRODUCT(MAX((IND_PER&lt;=B1400)*(IND_UF&lt;&gt;"")*IND_PER)),IND_PER,0))))</f>
        <v/>
      </c>
      <c r="AK1400" s="87" t="str">
        <f aca="false">IF(AH1400="","",IF(COUNTIF(TASA_DESDE,"&lt;="&amp;B1400)=0,INDEX(TASA_EMP,1),INDEX(TASA_EMP,COUNTIF(TASA_DESDE,"&lt;="&amp;B1400))))</f>
        <v/>
      </c>
    </row>
    <row r="1401" customFormat="false" ht="15" hidden="false" customHeight="false" outlineLevel="0" collapsed="false">
      <c r="B1401" s="78"/>
      <c r="C1401" s="64"/>
      <c r="D1401" s="72" t="str">
        <f aca="false">IF(C1401="","",IFERROR(INDEX(T_NOMBRE,MATCH(C1401,T_ID,0)),"⚠ ID no existe"))</f>
        <v/>
      </c>
      <c r="E1401" s="69"/>
      <c r="F1401" s="67"/>
      <c r="G1401" s="67"/>
      <c r="H1401" s="67"/>
      <c r="I1401" s="67"/>
      <c r="J1401" s="67"/>
      <c r="K1401" s="85" t="str">
        <f aca="false">IF(AH1401="","",N(F1401)+N(G1401)+N(H1401)-N(I1401)+N(J1401))</f>
        <v/>
      </c>
      <c r="L1401" s="67"/>
      <c r="M1401" s="67"/>
      <c r="N1401" s="67"/>
      <c r="O1401" s="67"/>
      <c r="P1401" s="85" t="str">
        <f aca="false">IF(AH1401="","",K1401+N(L1401)+N(M1401)+N(N1401)+N(O1401))</f>
        <v/>
      </c>
      <c r="Q1401" s="67"/>
      <c r="R1401" s="67"/>
      <c r="S1401" s="67"/>
      <c r="T1401" s="67"/>
      <c r="U1401" s="67"/>
      <c r="V1401" s="67"/>
      <c r="W1401" s="85" t="str">
        <f aca="false">IF(AH1401="","",N(Q1401)+N(R1401)+N(S1401)+N(T1401)+N(U1401)+N(V1401))</f>
        <v/>
      </c>
      <c r="X1401" s="85" t="str">
        <f aca="false">IF(AH1401="","",P1401-W1401)</f>
        <v/>
      </c>
      <c r="Y1401" s="67"/>
      <c r="Z1401" s="70" t="str">
        <f aca="false">IF(OR(AH1401="",Y1401=""),"",IF(ABS(X1401-Y1401)&lt;=1,"✓ Cuadra","⚠ Diferencia $"&amp;FIXED(X1401-Y1401,0)))</f>
        <v/>
      </c>
      <c r="AA1401" s="72" t="str">
        <f aca="false">IF(AH1401="","",IFERROR(INDEX(C_TIPO,MATCH(C1401&amp;"-P"&amp;MAX(1,COUNTIFS(C_ID,C1401,C_DEFINE,"Sí",C_INICIO,"&lt;="&amp;EOMONTH(B1401,0))),C_CLAVE,0))&amp;"","Sin dato"))</f>
        <v/>
      </c>
      <c r="AB1401" s="71" t="str">
        <f aca="false">IF(AH1401="","",ROUND(MIN(K1401,TOPE_AFP_UF*AJ1401)*AK1401,0))</f>
        <v/>
      </c>
      <c r="AC1401" s="71" t="str">
        <f aca="false">IF(AH1401="","",ROUND(MIN(K1401,TOPE_AFC_UF*AJ1401)*IF(AA1401="Indefinido",AFC_EMP_INDEF,AFC_EMP_PF),0))</f>
        <v/>
      </c>
      <c r="AD1401" s="71" t="str">
        <f aca="false">IF(AH1401="","",ROUND(MIN(K1401,TOPE_AFP_UF*AJ1401)*(MUTUAL_BASICA+MUTUAL_ADIC+SANNA),0))</f>
        <v/>
      </c>
      <c r="AE1401" s="71" t="str">
        <f aca="false">IF(AH1401="","",P1401-N(N1401)+AB1401+AC1401+AD1401)</f>
        <v/>
      </c>
      <c r="AF1401" s="65"/>
      <c r="AG1401" s="64"/>
      <c r="AH1401" s="72" t="str">
        <f aca="false">IF(OR(B1401="",C1401=""),"",C1401&amp;"|"&amp;(YEAR(B1401)*100+MONTH(B1401)))</f>
        <v/>
      </c>
      <c r="AI1401" s="70" t="str">
        <f aca="false">IF(AH1401="","",IF(COUNTIF(L_CLAVE,AH1401)&gt;1,"⚠ Duplicado","OK"))</f>
        <v/>
      </c>
      <c r="AJ1401" s="86" t="str">
        <f aca="false">IF(AH1401="","",IF(SUMPRODUCT(MAX((IND_PER&lt;=B1401)*(IND_UF&lt;&gt;"")*IND_PER))=0,UF_HOY,INDEX(IND_UF,MATCH(SUMPRODUCT(MAX((IND_PER&lt;=B1401)*(IND_UF&lt;&gt;"")*IND_PER)),IND_PER,0))))</f>
        <v/>
      </c>
      <c r="AK1401" s="87" t="str">
        <f aca="false">IF(AH1401="","",IF(COUNTIF(TASA_DESDE,"&lt;="&amp;B1401)=0,INDEX(TASA_EMP,1),INDEX(TASA_EMP,COUNTIF(TASA_DESDE,"&lt;="&amp;B1401))))</f>
        <v/>
      </c>
    </row>
    <row r="1402" customFormat="false" ht="15" hidden="false" customHeight="false" outlineLevel="0" collapsed="false">
      <c r="B1402" s="78"/>
      <c r="C1402" s="64"/>
      <c r="D1402" s="72" t="str">
        <f aca="false">IF(C1402="","",IFERROR(INDEX(T_NOMBRE,MATCH(C1402,T_ID,0)),"⚠ ID no existe"))</f>
        <v/>
      </c>
      <c r="E1402" s="69"/>
      <c r="F1402" s="67"/>
      <c r="G1402" s="67"/>
      <c r="H1402" s="67"/>
      <c r="I1402" s="67"/>
      <c r="J1402" s="67"/>
      <c r="K1402" s="85" t="str">
        <f aca="false">IF(AH1402="","",N(F1402)+N(G1402)+N(H1402)-N(I1402)+N(J1402))</f>
        <v/>
      </c>
      <c r="L1402" s="67"/>
      <c r="M1402" s="67"/>
      <c r="N1402" s="67"/>
      <c r="O1402" s="67"/>
      <c r="P1402" s="85" t="str">
        <f aca="false">IF(AH1402="","",K1402+N(L1402)+N(M1402)+N(N1402)+N(O1402))</f>
        <v/>
      </c>
      <c r="Q1402" s="67"/>
      <c r="R1402" s="67"/>
      <c r="S1402" s="67"/>
      <c r="T1402" s="67"/>
      <c r="U1402" s="67"/>
      <c r="V1402" s="67"/>
      <c r="W1402" s="85" t="str">
        <f aca="false">IF(AH1402="","",N(Q1402)+N(R1402)+N(S1402)+N(T1402)+N(U1402)+N(V1402))</f>
        <v/>
      </c>
      <c r="X1402" s="85" t="str">
        <f aca="false">IF(AH1402="","",P1402-W1402)</f>
        <v/>
      </c>
      <c r="Y1402" s="67"/>
      <c r="Z1402" s="70" t="str">
        <f aca="false">IF(OR(AH1402="",Y1402=""),"",IF(ABS(X1402-Y1402)&lt;=1,"✓ Cuadra","⚠ Diferencia $"&amp;FIXED(X1402-Y1402,0)))</f>
        <v/>
      </c>
      <c r="AA1402" s="72" t="str">
        <f aca="false">IF(AH1402="","",IFERROR(INDEX(C_TIPO,MATCH(C1402&amp;"-P"&amp;MAX(1,COUNTIFS(C_ID,C1402,C_DEFINE,"Sí",C_INICIO,"&lt;="&amp;EOMONTH(B1402,0))),C_CLAVE,0))&amp;"","Sin dato"))</f>
        <v/>
      </c>
      <c r="AB1402" s="71" t="str">
        <f aca="false">IF(AH1402="","",ROUND(MIN(K1402,TOPE_AFP_UF*AJ1402)*AK1402,0))</f>
        <v/>
      </c>
      <c r="AC1402" s="71" t="str">
        <f aca="false">IF(AH1402="","",ROUND(MIN(K1402,TOPE_AFC_UF*AJ1402)*IF(AA1402="Indefinido",AFC_EMP_INDEF,AFC_EMP_PF),0))</f>
        <v/>
      </c>
      <c r="AD1402" s="71" t="str">
        <f aca="false">IF(AH1402="","",ROUND(MIN(K1402,TOPE_AFP_UF*AJ1402)*(MUTUAL_BASICA+MUTUAL_ADIC+SANNA),0))</f>
        <v/>
      </c>
      <c r="AE1402" s="71" t="str">
        <f aca="false">IF(AH1402="","",P1402-N(N1402)+AB1402+AC1402+AD1402)</f>
        <v/>
      </c>
      <c r="AF1402" s="65"/>
      <c r="AG1402" s="64"/>
      <c r="AH1402" s="72" t="str">
        <f aca="false">IF(OR(B1402="",C1402=""),"",C1402&amp;"|"&amp;(YEAR(B1402)*100+MONTH(B1402)))</f>
        <v/>
      </c>
      <c r="AI1402" s="70" t="str">
        <f aca="false">IF(AH1402="","",IF(COUNTIF(L_CLAVE,AH1402)&gt;1,"⚠ Duplicado","OK"))</f>
        <v/>
      </c>
      <c r="AJ1402" s="86" t="str">
        <f aca="false">IF(AH1402="","",IF(SUMPRODUCT(MAX((IND_PER&lt;=B1402)*(IND_UF&lt;&gt;"")*IND_PER))=0,UF_HOY,INDEX(IND_UF,MATCH(SUMPRODUCT(MAX((IND_PER&lt;=B1402)*(IND_UF&lt;&gt;"")*IND_PER)),IND_PER,0))))</f>
        <v/>
      </c>
      <c r="AK1402" s="87" t="str">
        <f aca="false">IF(AH1402="","",IF(COUNTIF(TASA_DESDE,"&lt;="&amp;B1402)=0,INDEX(TASA_EMP,1),INDEX(TASA_EMP,COUNTIF(TASA_DESDE,"&lt;="&amp;B1402))))</f>
        <v/>
      </c>
    </row>
    <row r="1403" customFormat="false" ht="15" hidden="false" customHeight="false" outlineLevel="0" collapsed="false">
      <c r="B1403" s="78"/>
      <c r="C1403" s="64"/>
      <c r="D1403" s="72" t="str">
        <f aca="false">IF(C1403="","",IFERROR(INDEX(T_NOMBRE,MATCH(C1403,T_ID,0)),"⚠ ID no existe"))</f>
        <v/>
      </c>
      <c r="E1403" s="69"/>
      <c r="F1403" s="67"/>
      <c r="G1403" s="67"/>
      <c r="H1403" s="67"/>
      <c r="I1403" s="67"/>
      <c r="J1403" s="67"/>
      <c r="K1403" s="85" t="str">
        <f aca="false">IF(AH1403="","",N(F1403)+N(G1403)+N(H1403)-N(I1403)+N(J1403))</f>
        <v/>
      </c>
      <c r="L1403" s="67"/>
      <c r="M1403" s="67"/>
      <c r="N1403" s="67"/>
      <c r="O1403" s="67"/>
      <c r="P1403" s="85" t="str">
        <f aca="false">IF(AH1403="","",K1403+N(L1403)+N(M1403)+N(N1403)+N(O1403))</f>
        <v/>
      </c>
      <c r="Q1403" s="67"/>
      <c r="R1403" s="67"/>
      <c r="S1403" s="67"/>
      <c r="T1403" s="67"/>
      <c r="U1403" s="67"/>
      <c r="V1403" s="67"/>
      <c r="W1403" s="85" t="str">
        <f aca="false">IF(AH1403="","",N(Q1403)+N(R1403)+N(S1403)+N(T1403)+N(U1403)+N(V1403))</f>
        <v/>
      </c>
      <c r="X1403" s="85" t="str">
        <f aca="false">IF(AH1403="","",P1403-W1403)</f>
        <v/>
      </c>
      <c r="Y1403" s="67"/>
      <c r="Z1403" s="70" t="str">
        <f aca="false">IF(OR(AH1403="",Y1403=""),"",IF(ABS(X1403-Y1403)&lt;=1,"✓ Cuadra","⚠ Diferencia $"&amp;FIXED(X1403-Y1403,0)))</f>
        <v/>
      </c>
      <c r="AA1403" s="72" t="str">
        <f aca="false">IF(AH1403="","",IFERROR(INDEX(C_TIPO,MATCH(C1403&amp;"-P"&amp;MAX(1,COUNTIFS(C_ID,C1403,C_DEFINE,"Sí",C_INICIO,"&lt;="&amp;EOMONTH(B1403,0))),C_CLAVE,0))&amp;"","Sin dato"))</f>
        <v/>
      </c>
      <c r="AB1403" s="71" t="str">
        <f aca="false">IF(AH1403="","",ROUND(MIN(K1403,TOPE_AFP_UF*AJ1403)*AK1403,0))</f>
        <v/>
      </c>
      <c r="AC1403" s="71" t="str">
        <f aca="false">IF(AH1403="","",ROUND(MIN(K1403,TOPE_AFC_UF*AJ1403)*IF(AA1403="Indefinido",AFC_EMP_INDEF,AFC_EMP_PF),0))</f>
        <v/>
      </c>
      <c r="AD1403" s="71" t="str">
        <f aca="false">IF(AH1403="","",ROUND(MIN(K1403,TOPE_AFP_UF*AJ1403)*(MUTUAL_BASICA+MUTUAL_ADIC+SANNA),0))</f>
        <v/>
      </c>
      <c r="AE1403" s="71" t="str">
        <f aca="false">IF(AH1403="","",P1403-N(N1403)+AB1403+AC1403+AD1403)</f>
        <v/>
      </c>
      <c r="AF1403" s="65"/>
      <c r="AG1403" s="64"/>
      <c r="AH1403" s="72" t="str">
        <f aca="false">IF(OR(B1403="",C1403=""),"",C1403&amp;"|"&amp;(YEAR(B1403)*100+MONTH(B1403)))</f>
        <v/>
      </c>
      <c r="AI1403" s="70" t="str">
        <f aca="false">IF(AH1403="","",IF(COUNTIF(L_CLAVE,AH1403)&gt;1,"⚠ Duplicado","OK"))</f>
        <v/>
      </c>
      <c r="AJ1403" s="86" t="str">
        <f aca="false">IF(AH1403="","",IF(SUMPRODUCT(MAX((IND_PER&lt;=B1403)*(IND_UF&lt;&gt;"")*IND_PER))=0,UF_HOY,INDEX(IND_UF,MATCH(SUMPRODUCT(MAX((IND_PER&lt;=B1403)*(IND_UF&lt;&gt;"")*IND_PER)),IND_PER,0))))</f>
        <v/>
      </c>
      <c r="AK1403" s="87" t="str">
        <f aca="false">IF(AH1403="","",IF(COUNTIF(TASA_DESDE,"&lt;="&amp;B1403)=0,INDEX(TASA_EMP,1),INDEX(TASA_EMP,COUNTIF(TASA_DESDE,"&lt;="&amp;B1403))))</f>
        <v/>
      </c>
    </row>
    <row r="1404" customFormat="false" ht="15" hidden="false" customHeight="false" outlineLevel="0" collapsed="false">
      <c r="B1404" s="78"/>
      <c r="C1404" s="64"/>
      <c r="D1404" s="72" t="str">
        <f aca="false">IF(C1404="","",IFERROR(INDEX(T_NOMBRE,MATCH(C1404,T_ID,0)),"⚠ ID no existe"))</f>
        <v/>
      </c>
      <c r="E1404" s="69"/>
      <c r="F1404" s="67"/>
      <c r="G1404" s="67"/>
      <c r="H1404" s="67"/>
      <c r="I1404" s="67"/>
      <c r="J1404" s="67"/>
      <c r="K1404" s="85" t="str">
        <f aca="false">IF(AH1404="","",N(F1404)+N(G1404)+N(H1404)-N(I1404)+N(J1404))</f>
        <v/>
      </c>
      <c r="L1404" s="67"/>
      <c r="M1404" s="67"/>
      <c r="N1404" s="67"/>
      <c r="O1404" s="67"/>
      <c r="P1404" s="85" t="str">
        <f aca="false">IF(AH1404="","",K1404+N(L1404)+N(M1404)+N(N1404)+N(O1404))</f>
        <v/>
      </c>
      <c r="Q1404" s="67"/>
      <c r="R1404" s="67"/>
      <c r="S1404" s="67"/>
      <c r="T1404" s="67"/>
      <c r="U1404" s="67"/>
      <c r="V1404" s="67"/>
      <c r="W1404" s="85" t="str">
        <f aca="false">IF(AH1404="","",N(Q1404)+N(R1404)+N(S1404)+N(T1404)+N(U1404)+N(V1404))</f>
        <v/>
      </c>
      <c r="X1404" s="85" t="str">
        <f aca="false">IF(AH1404="","",P1404-W1404)</f>
        <v/>
      </c>
      <c r="Y1404" s="67"/>
      <c r="Z1404" s="70" t="str">
        <f aca="false">IF(OR(AH1404="",Y1404=""),"",IF(ABS(X1404-Y1404)&lt;=1,"✓ Cuadra","⚠ Diferencia $"&amp;FIXED(X1404-Y1404,0)))</f>
        <v/>
      </c>
      <c r="AA1404" s="72" t="str">
        <f aca="false">IF(AH1404="","",IFERROR(INDEX(C_TIPO,MATCH(C1404&amp;"-P"&amp;MAX(1,COUNTIFS(C_ID,C1404,C_DEFINE,"Sí",C_INICIO,"&lt;="&amp;EOMONTH(B1404,0))),C_CLAVE,0))&amp;"","Sin dato"))</f>
        <v/>
      </c>
      <c r="AB1404" s="71" t="str">
        <f aca="false">IF(AH1404="","",ROUND(MIN(K1404,TOPE_AFP_UF*AJ1404)*AK1404,0))</f>
        <v/>
      </c>
      <c r="AC1404" s="71" t="str">
        <f aca="false">IF(AH1404="","",ROUND(MIN(K1404,TOPE_AFC_UF*AJ1404)*IF(AA1404="Indefinido",AFC_EMP_INDEF,AFC_EMP_PF),0))</f>
        <v/>
      </c>
      <c r="AD1404" s="71" t="str">
        <f aca="false">IF(AH1404="","",ROUND(MIN(K1404,TOPE_AFP_UF*AJ1404)*(MUTUAL_BASICA+MUTUAL_ADIC+SANNA),0))</f>
        <v/>
      </c>
      <c r="AE1404" s="71" t="str">
        <f aca="false">IF(AH1404="","",P1404-N(N1404)+AB1404+AC1404+AD1404)</f>
        <v/>
      </c>
      <c r="AF1404" s="65"/>
      <c r="AG1404" s="64"/>
      <c r="AH1404" s="72" t="str">
        <f aca="false">IF(OR(B1404="",C1404=""),"",C1404&amp;"|"&amp;(YEAR(B1404)*100+MONTH(B1404)))</f>
        <v/>
      </c>
      <c r="AI1404" s="70" t="str">
        <f aca="false">IF(AH1404="","",IF(COUNTIF(L_CLAVE,AH1404)&gt;1,"⚠ Duplicado","OK"))</f>
        <v/>
      </c>
      <c r="AJ1404" s="86" t="str">
        <f aca="false">IF(AH1404="","",IF(SUMPRODUCT(MAX((IND_PER&lt;=B1404)*(IND_UF&lt;&gt;"")*IND_PER))=0,UF_HOY,INDEX(IND_UF,MATCH(SUMPRODUCT(MAX((IND_PER&lt;=B1404)*(IND_UF&lt;&gt;"")*IND_PER)),IND_PER,0))))</f>
        <v/>
      </c>
      <c r="AK1404" s="87" t="str">
        <f aca="false">IF(AH1404="","",IF(COUNTIF(TASA_DESDE,"&lt;="&amp;B1404)=0,INDEX(TASA_EMP,1),INDEX(TASA_EMP,COUNTIF(TASA_DESDE,"&lt;="&amp;B1404))))</f>
        <v/>
      </c>
    </row>
    <row r="1405" customFormat="false" ht="15" hidden="false" customHeight="false" outlineLevel="0" collapsed="false">
      <c r="B1405" s="78"/>
      <c r="C1405" s="64"/>
      <c r="D1405" s="72" t="str">
        <f aca="false">IF(C1405="","",IFERROR(INDEX(T_NOMBRE,MATCH(C1405,T_ID,0)),"⚠ ID no existe"))</f>
        <v/>
      </c>
      <c r="E1405" s="69"/>
      <c r="F1405" s="67"/>
      <c r="G1405" s="67"/>
      <c r="H1405" s="67"/>
      <c r="I1405" s="67"/>
      <c r="J1405" s="67"/>
      <c r="K1405" s="85" t="str">
        <f aca="false">IF(AH1405="","",N(F1405)+N(G1405)+N(H1405)-N(I1405)+N(J1405))</f>
        <v/>
      </c>
      <c r="L1405" s="67"/>
      <c r="M1405" s="67"/>
      <c r="N1405" s="67"/>
      <c r="O1405" s="67"/>
      <c r="P1405" s="85" t="str">
        <f aca="false">IF(AH1405="","",K1405+N(L1405)+N(M1405)+N(N1405)+N(O1405))</f>
        <v/>
      </c>
      <c r="Q1405" s="67"/>
      <c r="R1405" s="67"/>
      <c r="S1405" s="67"/>
      <c r="T1405" s="67"/>
      <c r="U1405" s="67"/>
      <c r="V1405" s="67"/>
      <c r="W1405" s="85" t="str">
        <f aca="false">IF(AH1405="","",N(Q1405)+N(R1405)+N(S1405)+N(T1405)+N(U1405)+N(V1405))</f>
        <v/>
      </c>
      <c r="X1405" s="85" t="str">
        <f aca="false">IF(AH1405="","",P1405-W1405)</f>
        <v/>
      </c>
      <c r="Y1405" s="67"/>
      <c r="Z1405" s="70" t="str">
        <f aca="false">IF(OR(AH1405="",Y1405=""),"",IF(ABS(X1405-Y1405)&lt;=1,"✓ Cuadra","⚠ Diferencia $"&amp;FIXED(X1405-Y1405,0)))</f>
        <v/>
      </c>
      <c r="AA1405" s="72" t="str">
        <f aca="false">IF(AH1405="","",IFERROR(INDEX(C_TIPO,MATCH(C1405&amp;"-P"&amp;MAX(1,COUNTIFS(C_ID,C1405,C_DEFINE,"Sí",C_INICIO,"&lt;="&amp;EOMONTH(B1405,0))),C_CLAVE,0))&amp;"","Sin dato"))</f>
        <v/>
      </c>
      <c r="AB1405" s="71" t="str">
        <f aca="false">IF(AH1405="","",ROUND(MIN(K1405,TOPE_AFP_UF*AJ1405)*AK1405,0))</f>
        <v/>
      </c>
      <c r="AC1405" s="71" t="str">
        <f aca="false">IF(AH1405="","",ROUND(MIN(K1405,TOPE_AFC_UF*AJ1405)*IF(AA1405="Indefinido",AFC_EMP_INDEF,AFC_EMP_PF),0))</f>
        <v/>
      </c>
      <c r="AD1405" s="71" t="str">
        <f aca="false">IF(AH1405="","",ROUND(MIN(K1405,TOPE_AFP_UF*AJ1405)*(MUTUAL_BASICA+MUTUAL_ADIC+SANNA),0))</f>
        <v/>
      </c>
      <c r="AE1405" s="71" t="str">
        <f aca="false">IF(AH1405="","",P1405-N(N1405)+AB1405+AC1405+AD1405)</f>
        <v/>
      </c>
      <c r="AF1405" s="65"/>
      <c r="AG1405" s="64"/>
      <c r="AH1405" s="72" t="str">
        <f aca="false">IF(OR(B1405="",C1405=""),"",C1405&amp;"|"&amp;(YEAR(B1405)*100+MONTH(B1405)))</f>
        <v/>
      </c>
      <c r="AI1405" s="70" t="str">
        <f aca="false">IF(AH1405="","",IF(COUNTIF(L_CLAVE,AH1405)&gt;1,"⚠ Duplicado","OK"))</f>
        <v/>
      </c>
      <c r="AJ1405" s="86" t="str">
        <f aca="false">IF(AH1405="","",IF(SUMPRODUCT(MAX((IND_PER&lt;=B1405)*(IND_UF&lt;&gt;"")*IND_PER))=0,UF_HOY,INDEX(IND_UF,MATCH(SUMPRODUCT(MAX((IND_PER&lt;=B1405)*(IND_UF&lt;&gt;"")*IND_PER)),IND_PER,0))))</f>
        <v/>
      </c>
      <c r="AK1405" s="87" t="str">
        <f aca="false">IF(AH1405="","",IF(COUNTIF(TASA_DESDE,"&lt;="&amp;B1405)=0,INDEX(TASA_EMP,1),INDEX(TASA_EMP,COUNTIF(TASA_DESDE,"&lt;="&amp;B1405))))</f>
        <v/>
      </c>
    </row>
    <row r="1406" customFormat="false" ht="15" hidden="false" customHeight="false" outlineLevel="0" collapsed="false">
      <c r="B1406" s="78"/>
      <c r="C1406" s="64"/>
      <c r="D1406" s="72" t="str">
        <f aca="false">IF(C1406="","",IFERROR(INDEX(T_NOMBRE,MATCH(C1406,T_ID,0)),"⚠ ID no existe"))</f>
        <v/>
      </c>
      <c r="E1406" s="69"/>
      <c r="F1406" s="67"/>
      <c r="G1406" s="67"/>
      <c r="H1406" s="67"/>
      <c r="I1406" s="67"/>
      <c r="J1406" s="67"/>
      <c r="K1406" s="85" t="str">
        <f aca="false">IF(AH1406="","",N(F1406)+N(G1406)+N(H1406)-N(I1406)+N(J1406))</f>
        <v/>
      </c>
      <c r="L1406" s="67"/>
      <c r="M1406" s="67"/>
      <c r="N1406" s="67"/>
      <c r="O1406" s="67"/>
      <c r="P1406" s="85" t="str">
        <f aca="false">IF(AH1406="","",K1406+N(L1406)+N(M1406)+N(N1406)+N(O1406))</f>
        <v/>
      </c>
      <c r="Q1406" s="67"/>
      <c r="R1406" s="67"/>
      <c r="S1406" s="67"/>
      <c r="T1406" s="67"/>
      <c r="U1406" s="67"/>
      <c r="V1406" s="67"/>
      <c r="W1406" s="85" t="str">
        <f aca="false">IF(AH1406="","",N(Q1406)+N(R1406)+N(S1406)+N(T1406)+N(U1406)+N(V1406))</f>
        <v/>
      </c>
      <c r="X1406" s="85" t="str">
        <f aca="false">IF(AH1406="","",P1406-W1406)</f>
        <v/>
      </c>
      <c r="Y1406" s="67"/>
      <c r="Z1406" s="70" t="str">
        <f aca="false">IF(OR(AH1406="",Y1406=""),"",IF(ABS(X1406-Y1406)&lt;=1,"✓ Cuadra","⚠ Diferencia $"&amp;FIXED(X1406-Y1406,0)))</f>
        <v/>
      </c>
      <c r="AA1406" s="72" t="str">
        <f aca="false">IF(AH1406="","",IFERROR(INDEX(C_TIPO,MATCH(C1406&amp;"-P"&amp;MAX(1,COUNTIFS(C_ID,C1406,C_DEFINE,"Sí",C_INICIO,"&lt;="&amp;EOMONTH(B1406,0))),C_CLAVE,0))&amp;"","Sin dato"))</f>
        <v/>
      </c>
      <c r="AB1406" s="71" t="str">
        <f aca="false">IF(AH1406="","",ROUND(MIN(K1406,TOPE_AFP_UF*AJ1406)*AK1406,0))</f>
        <v/>
      </c>
      <c r="AC1406" s="71" t="str">
        <f aca="false">IF(AH1406="","",ROUND(MIN(K1406,TOPE_AFC_UF*AJ1406)*IF(AA1406="Indefinido",AFC_EMP_INDEF,AFC_EMP_PF),0))</f>
        <v/>
      </c>
      <c r="AD1406" s="71" t="str">
        <f aca="false">IF(AH1406="","",ROUND(MIN(K1406,TOPE_AFP_UF*AJ1406)*(MUTUAL_BASICA+MUTUAL_ADIC+SANNA),0))</f>
        <v/>
      </c>
      <c r="AE1406" s="71" t="str">
        <f aca="false">IF(AH1406="","",P1406-N(N1406)+AB1406+AC1406+AD1406)</f>
        <v/>
      </c>
      <c r="AF1406" s="65"/>
      <c r="AG1406" s="64"/>
      <c r="AH1406" s="72" t="str">
        <f aca="false">IF(OR(B1406="",C1406=""),"",C1406&amp;"|"&amp;(YEAR(B1406)*100+MONTH(B1406)))</f>
        <v/>
      </c>
      <c r="AI1406" s="70" t="str">
        <f aca="false">IF(AH1406="","",IF(COUNTIF(L_CLAVE,AH1406)&gt;1,"⚠ Duplicado","OK"))</f>
        <v/>
      </c>
      <c r="AJ1406" s="86" t="str">
        <f aca="false">IF(AH1406="","",IF(SUMPRODUCT(MAX((IND_PER&lt;=B1406)*(IND_UF&lt;&gt;"")*IND_PER))=0,UF_HOY,INDEX(IND_UF,MATCH(SUMPRODUCT(MAX((IND_PER&lt;=B1406)*(IND_UF&lt;&gt;"")*IND_PER)),IND_PER,0))))</f>
        <v/>
      </c>
      <c r="AK1406" s="87" t="str">
        <f aca="false">IF(AH1406="","",IF(COUNTIF(TASA_DESDE,"&lt;="&amp;B1406)=0,INDEX(TASA_EMP,1),INDEX(TASA_EMP,COUNTIF(TASA_DESDE,"&lt;="&amp;B1406))))</f>
        <v/>
      </c>
    </row>
    <row r="1407" customFormat="false" ht="15" hidden="false" customHeight="false" outlineLevel="0" collapsed="false">
      <c r="B1407" s="78"/>
      <c r="C1407" s="64"/>
      <c r="D1407" s="72" t="str">
        <f aca="false">IF(C1407="","",IFERROR(INDEX(T_NOMBRE,MATCH(C1407,T_ID,0)),"⚠ ID no existe"))</f>
        <v/>
      </c>
      <c r="E1407" s="69"/>
      <c r="F1407" s="67"/>
      <c r="G1407" s="67"/>
      <c r="H1407" s="67"/>
      <c r="I1407" s="67"/>
      <c r="J1407" s="67"/>
      <c r="K1407" s="85" t="str">
        <f aca="false">IF(AH1407="","",N(F1407)+N(G1407)+N(H1407)-N(I1407)+N(J1407))</f>
        <v/>
      </c>
      <c r="L1407" s="67"/>
      <c r="M1407" s="67"/>
      <c r="N1407" s="67"/>
      <c r="O1407" s="67"/>
      <c r="P1407" s="85" t="str">
        <f aca="false">IF(AH1407="","",K1407+N(L1407)+N(M1407)+N(N1407)+N(O1407))</f>
        <v/>
      </c>
      <c r="Q1407" s="67"/>
      <c r="R1407" s="67"/>
      <c r="S1407" s="67"/>
      <c r="T1407" s="67"/>
      <c r="U1407" s="67"/>
      <c r="V1407" s="67"/>
      <c r="W1407" s="85" t="str">
        <f aca="false">IF(AH1407="","",N(Q1407)+N(R1407)+N(S1407)+N(T1407)+N(U1407)+N(V1407))</f>
        <v/>
      </c>
      <c r="X1407" s="85" t="str">
        <f aca="false">IF(AH1407="","",P1407-W1407)</f>
        <v/>
      </c>
      <c r="Y1407" s="67"/>
      <c r="Z1407" s="70" t="str">
        <f aca="false">IF(OR(AH1407="",Y1407=""),"",IF(ABS(X1407-Y1407)&lt;=1,"✓ Cuadra","⚠ Diferencia $"&amp;FIXED(X1407-Y1407,0)))</f>
        <v/>
      </c>
      <c r="AA1407" s="72" t="str">
        <f aca="false">IF(AH1407="","",IFERROR(INDEX(C_TIPO,MATCH(C1407&amp;"-P"&amp;MAX(1,COUNTIFS(C_ID,C1407,C_DEFINE,"Sí",C_INICIO,"&lt;="&amp;EOMONTH(B1407,0))),C_CLAVE,0))&amp;"","Sin dato"))</f>
        <v/>
      </c>
      <c r="AB1407" s="71" t="str">
        <f aca="false">IF(AH1407="","",ROUND(MIN(K1407,TOPE_AFP_UF*AJ1407)*AK1407,0))</f>
        <v/>
      </c>
      <c r="AC1407" s="71" t="str">
        <f aca="false">IF(AH1407="","",ROUND(MIN(K1407,TOPE_AFC_UF*AJ1407)*IF(AA1407="Indefinido",AFC_EMP_INDEF,AFC_EMP_PF),0))</f>
        <v/>
      </c>
      <c r="AD1407" s="71" t="str">
        <f aca="false">IF(AH1407="","",ROUND(MIN(K1407,TOPE_AFP_UF*AJ1407)*(MUTUAL_BASICA+MUTUAL_ADIC+SANNA),0))</f>
        <v/>
      </c>
      <c r="AE1407" s="71" t="str">
        <f aca="false">IF(AH1407="","",P1407-N(N1407)+AB1407+AC1407+AD1407)</f>
        <v/>
      </c>
      <c r="AF1407" s="65"/>
      <c r="AG1407" s="64"/>
      <c r="AH1407" s="72" t="str">
        <f aca="false">IF(OR(B1407="",C1407=""),"",C1407&amp;"|"&amp;(YEAR(B1407)*100+MONTH(B1407)))</f>
        <v/>
      </c>
      <c r="AI1407" s="70" t="str">
        <f aca="false">IF(AH1407="","",IF(COUNTIF(L_CLAVE,AH1407)&gt;1,"⚠ Duplicado","OK"))</f>
        <v/>
      </c>
      <c r="AJ1407" s="86" t="str">
        <f aca="false">IF(AH1407="","",IF(SUMPRODUCT(MAX((IND_PER&lt;=B1407)*(IND_UF&lt;&gt;"")*IND_PER))=0,UF_HOY,INDEX(IND_UF,MATCH(SUMPRODUCT(MAX((IND_PER&lt;=B1407)*(IND_UF&lt;&gt;"")*IND_PER)),IND_PER,0))))</f>
        <v/>
      </c>
      <c r="AK1407" s="87" t="str">
        <f aca="false">IF(AH1407="","",IF(COUNTIF(TASA_DESDE,"&lt;="&amp;B1407)=0,INDEX(TASA_EMP,1),INDEX(TASA_EMP,COUNTIF(TASA_DESDE,"&lt;="&amp;B1407))))</f>
        <v/>
      </c>
    </row>
    <row r="1408" customFormat="false" ht="15" hidden="false" customHeight="false" outlineLevel="0" collapsed="false">
      <c r="B1408" s="78"/>
      <c r="C1408" s="64"/>
      <c r="D1408" s="72" t="str">
        <f aca="false">IF(C1408="","",IFERROR(INDEX(T_NOMBRE,MATCH(C1408,T_ID,0)),"⚠ ID no existe"))</f>
        <v/>
      </c>
      <c r="E1408" s="69"/>
      <c r="F1408" s="67"/>
      <c r="G1408" s="67"/>
      <c r="H1408" s="67"/>
      <c r="I1408" s="67"/>
      <c r="J1408" s="67"/>
      <c r="K1408" s="85" t="str">
        <f aca="false">IF(AH1408="","",N(F1408)+N(G1408)+N(H1408)-N(I1408)+N(J1408))</f>
        <v/>
      </c>
      <c r="L1408" s="67"/>
      <c r="M1408" s="67"/>
      <c r="N1408" s="67"/>
      <c r="O1408" s="67"/>
      <c r="P1408" s="85" t="str">
        <f aca="false">IF(AH1408="","",K1408+N(L1408)+N(M1408)+N(N1408)+N(O1408))</f>
        <v/>
      </c>
      <c r="Q1408" s="67"/>
      <c r="R1408" s="67"/>
      <c r="S1408" s="67"/>
      <c r="T1408" s="67"/>
      <c r="U1408" s="67"/>
      <c r="V1408" s="67"/>
      <c r="W1408" s="85" t="str">
        <f aca="false">IF(AH1408="","",N(Q1408)+N(R1408)+N(S1408)+N(T1408)+N(U1408)+N(V1408))</f>
        <v/>
      </c>
      <c r="X1408" s="85" t="str">
        <f aca="false">IF(AH1408="","",P1408-W1408)</f>
        <v/>
      </c>
      <c r="Y1408" s="67"/>
      <c r="Z1408" s="70" t="str">
        <f aca="false">IF(OR(AH1408="",Y1408=""),"",IF(ABS(X1408-Y1408)&lt;=1,"✓ Cuadra","⚠ Diferencia $"&amp;FIXED(X1408-Y1408,0)))</f>
        <v/>
      </c>
      <c r="AA1408" s="72" t="str">
        <f aca="false">IF(AH1408="","",IFERROR(INDEX(C_TIPO,MATCH(C1408&amp;"-P"&amp;MAX(1,COUNTIFS(C_ID,C1408,C_DEFINE,"Sí",C_INICIO,"&lt;="&amp;EOMONTH(B1408,0))),C_CLAVE,0))&amp;"","Sin dato"))</f>
        <v/>
      </c>
      <c r="AB1408" s="71" t="str">
        <f aca="false">IF(AH1408="","",ROUND(MIN(K1408,TOPE_AFP_UF*AJ1408)*AK1408,0))</f>
        <v/>
      </c>
      <c r="AC1408" s="71" t="str">
        <f aca="false">IF(AH1408="","",ROUND(MIN(K1408,TOPE_AFC_UF*AJ1408)*IF(AA1408="Indefinido",AFC_EMP_INDEF,AFC_EMP_PF),0))</f>
        <v/>
      </c>
      <c r="AD1408" s="71" t="str">
        <f aca="false">IF(AH1408="","",ROUND(MIN(K1408,TOPE_AFP_UF*AJ1408)*(MUTUAL_BASICA+MUTUAL_ADIC+SANNA),0))</f>
        <v/>
      </c>
      <c r="AE1408" s="71" t="str">
        <f aca="false">IF(AH1408="","",P1408-N(N1408)+AB1408+AC1408+AD1408)</f>
        <v/>
      </c>
      <c r="AF1408" s="65"/>
      <c r="AG1408" s="64"/>
      <c r="AH1408" s="72" t="str">
        <f aca="false">IF(OR(B1408="",C1408=""),"",C1408&amp;"|"&amp;(YEAR(B1408)*100+MONTH(B1408)))</f>
        <v/>
      </c>
      <c r="AI1408" s="70" t="str">
        <f aca="false">IF(AH1408="","",IF(COUNTIF(L_CLAVE,AH1408)&gt;1,"⚠ Duplicado","OK"))</f>
        <v/>
      </c>
      <c r="AJ1408" s="86" t="str">
        <f aca="false">IF(AH1408="","",IF(SUMPRODUCT(MAX((IND_PER&lt;=B1408)*(IND_UF&lt;&gt;"")*IND_PER))=0,UF_HOY,INDEX(IND_UF,MATCH(SUMPRODUCT(MAX((IND_PER&lt;=B1408)*(IND_UF&lt;&gt;"")*IND_PER)),IND_PER,0))))</f>
        <v/>
      </c>
      <c r="AK1408" s="87" t="str">
        <f aca="false">IF(AH1408="","",IF(COUNTIF(TASA_DESDE,"&lt;="&amp;B1408)=0,INDEX(TASA_EMP,1),INDEX(TASA_EMP,COUNTIF(TASA_DESDE,"&lt;="&amp;B1408))))</f>
        <v/>
      </c>
    </row>
    <row r="1409" customFormat="false" ht="15" hidden="false" customHeight="false" outlineLevel="0" collapsed="false">
      <c r="B1409" s="78"/>
      <c r="C1409" s="64"/>
      <c r="D1409" s="72" t="str">
        <f aca="false">IF(C1409="","",IFERROR(INDEX(T_NOMBRE,MATCH(C1409,T_ID,0)),"⚠ ID no existe"))</f>
        <v/>
      </c>
      <c r="E1409" s="69"/>
      <c r="F1409" s="67"/>
      <c r="G1409" s="67"/>
      <c r="H1409" s="67"/>
      <c r="I1409" s="67"/>
      <c r="J1409" s="67"/>
      <c r="K1409" s="85" t="str">
        <f aca="false">IF(AH1409="","",N(F1409)+N(G1409)+N(H1409)-N(I1409)+N(J1409))</f>
        <v/>
      </c>
      <c r="L1409" s="67"/>
      <c r="M1409" s="67"/>
      <c r="N1409" s="67"/>
      <c r="O1409" s="67"/>
      <c r="P1409" s="85" t="str">
        <f aca="false">IF(AH1409="","",K1409+N(L1409)+N(M1409)+N(N1409)+N(O1409))</f>
        <v/>
      </c>
      <c r="Q1409" s="67"/>
      <c r="R1409" s="67"/>
      <c r="S1409" s="67"/>
      <c r="T1409" s="67"/>
      <c r="U1409" s="67"/>
      <c r="V1409" s="67"/>
      <c r="W1409" s="85" t="str">
        <f aca="false">IF(AH1409="","",N(Q1409)+N(R1409)+N(S1409)+N(T1409)+N(U1409)+N(V1409))</f>
        <v/>
      </c>
      <c r="X1409" s="85" t="str">
        <f aca="false">IF(AH1409="","",P1409-W1409)</f>
        <v/>
      </c>
      <c r="Y1409" s="67"/>
      <c r="Z1409" s="70" t="str">
        <f aca="false">IF(OR(AH1409="",Y1409=""),"",IF(ABS(X1409-Y1409)&lt;=1,"✓ Cuadra","⚠ Diferencia $"&amp;FIXED(X1409-Y1409,0)))</f>
        <v/>
      </c>
      <c r="AA1409" s="72" t="str">
        <f aca="false">IF(AH1409="","",IFERROR(INDEX(C_TIPO,MATCH(C1409&amp;"-P"&amp;MAX(1,COUNTIFS(C_ID,C1409,C_DEFINE,"Sí",C_INICIO,"&lt;="&amp;EOMONTH(B1409,0))),C_CLAVE,0))&amp;"","Sin dato"))</f>
        <v/>
      </c>
      <c r="AB1409" s="71" t="str">
        <f aca="false">IF(AH1409="","",ROUND(MIN(K1409,TOPE_AFP_UF*AJ1409)*AK1409,0))</f>
        <v/>
      </c>
      <c r="AC1409" s="71" t="str">
        <f aca="false">IF(AH1409="","",ROUND(MIN(K1409,TOPE_AFC_UF*AJ1409)*IF(AA1409="Indefinido",AFC_EMP_INDEF,AFC_EMP_PF),0))</f>
        <v/>
      </c>
      <c r="AD1409" s="71" t="str">
        <f aca="false">IF(AH1409="","",ROUND(MIN(K1409,TOPE_AFP_UF*AJ1409)*(MUTUAL_BASICA+MUTUAL_ADIC+SANNA),0))</f>
        <v/>
      </c>
      <c r="AE1409" s="71" t="str">
        <f aca="false">IF(AH1409="","",P1409-N(N1409)+AB1409+AC1409+AD1409)</f>
        <v/>
      </c>
      <c r="AF1409" s="65"/>
      <c r="AG1409" s="64"/>
      <c r="AH1409" s="72" t="str">
        <f aca="false">IF(OR(B1409="",C1409=""),"",C1409&amp;"|"&amp;(YEAR(B1409)*100+MONTH(B1409)))</f>
        <v/>
      </c>
      <c r="AI1409" s="70" t="str">
        <f aca="false">IF(AH1409="","",IF(COUNTIF(L_CLAVE,AH1409)&gt;1,"⚠ Duplicado","OK"))</f>
        <v/>
      </c>
      <c r="AJ1409" s="86" t="str">
        <f aca="false">IF(AH1409="","",IF(SUMPRODUCT(MAX((IND_PER&lt;=B1409)*(IND_UF&lt;&gt;"")*IND_PER))=0,UF_HOY,INDEX(IND_UF,MATCH(SUMPRODUCT(MAX((IND_PER&lt;=B1409)*(IND_UF&lt;&gt;"")*IND_PER)),IND_PER,0))))</f>
        <v/>
      </c>
      <c r="AK1409" s="87" t="str">
        <f aca="false">IF(AH1409="","",IF(COUNTIF(TASA_DESDE,"&lt;="&amp;B1409)=0,INDEX(TASA_EMP,1),INDEX(TASA_EMP,COUNTIF(TASA_DESDE,"&lt;="&amp;B1409))))</f>
        <v/>
      </c>
    </row>
    <row r="1410" customFormat="false" ht="15" hidden="false" customHeight="false" outlineLevel="0" collapsed="false">
      <c r="B1410" s="78"/>
      <c r="C1410" s="64"/>
      <c r="D1410" s="72" t="str">
        <f aca="false">IF(C1410="","",IFERROR(INDEX(T_NOMBRE,MATCH(C1410,T_ID,0)),"⚠ ID no existe"))</f>
        <v/>
      </c>
      <c r="E1410" s="69"/>
      <c r="F1410" s="67"/>
      <c r="G1410" s="67"/>
      <c r="H1410" s="67"/>
      <c r="I1410" s="67"/>
      <c r="J1410" s="67"/>
      <c r="K1410" s="85" t="str">
        <f aca="false">IF(AH1410="","",N(F1410)+N(G1410)+N(H1410)-N(I1410)+N(J1410))</f>
        <v/>
      </c>
      <c r="L1410" s="67"/>
      <c r="M1410" s="67"/>
      <c r="N1410" s="67"/>
      <c r="O1410" s="67"/>
      <c r="P1410" s="85" t="str">
        <f aca="false">IF(AH1410="","",K1410+N(L1410)+N(M1410)+N(N1410)+N(O1410))</f>
        <v/>
      </c>
      <c r="Q1410" s="67"/>
      <c r="R1410" s="67"/>
      <c r="S1410" s="67"/>
      <c r="T1410" s="67"/>
      <c r="U1410" s="67"/>
      <c r="V1410" s="67"/>
      <c r="W1410" s="85" t="str">
        <f aca="false">IF(AH1410="","",N(Q1410)+N(R1410)+N(S1410)+N(T1410)+N(U1410)+N(V1410))</f>
        <v/>
      </c>
      <c r="X1410" s="85" t="str">
        <f aca="false">IF(AH1410="","",P1410-W1410)</f>
        <v/>
      </c>
      <c r="Y1410" s="67"/>
      <c r="Z1410" s="70" t="str">
        <f aca="false">IF(OR(AH1410="",Y1410=""),"",IF(ABS(X1410-Y1410)&lt;=1,"✓ Cuadra","⚠ Diferencia $"&amp;FIXED(X1410-Y1410,0)))</f>
        <v/>
      </c>
      <c r="AA1410" s="72" t="str">
        <f aca="false">IF(AH1410="","",IFERROR(INDEX(C_TIPO,MATCH(C1410&amp;"-P"&amp;MAX(1,COUNTIFS(C_ID,C1410,C_DEFINE,"Sí",C_INICIO,"&lt;="&amp;EOMONTH(B1410,0))),C_CLAVE,0))&amp;"","Sin dato"))</f>
        <v/>
      </c>
      <c r="AB1410" s="71" t="str">
        <f aca="false">IF(AH1410="","",ROUND(MIN(K1410,TOPE_AFP_UF*AJ1410)*AK1410,0))</f>
        <v/>
      </c>
      <c r="AC1410" s="71" t="str">
        <f aca="false">IF(AH1410="","",ROUND(MIN(K1410,TOPE_AFC_UF*AJ1410)*IF(AA1410="Indefinido",AFC_EMP_INDEF,AFC_EMP_PF),0))</f>
        <v/>
      </c>
      <c r="AD1410" s="71" t="str">
        <f aca="false">IF(AH1410="","",ROUND(MIN(K1410,TOPE_AFP_UF*AJ1410)*(MUTUAL_BASICA+MUTUAL_ADIC+SANNA),0))</f>
        <v/>
      </c>
      <c r="AE1410" s="71" t="str">
        <f aca="false">IF(AH1410="","",P1410-N(N1410)+AB1410+AC1410+AD1410)</f>
        <v/>
      </c>
      <c r="AF1410" s="65"/>
      <c r="AG1410" s="64"/>
      <c r="AH1410" s="72" t="str">
        <f aca="false">IF(OR(B1410="",C1410=""),"",C1410&amp;"|"&amp;(YEAR(B1410)*100+MONTH(B1410)))</f>
        <v/>
      </c>
      <c r="AI1410" s="70" t="str">
        <f aca="false">IF(AH1410="","",IF(COUNTIF(L_CLAVE,AH1410)&gt;1,"⚠ Duplicado","OK"))</f>
        <v/>
      </c>
      <c r="AJ1410" s="86" t="str">
        <f aca="false">IF(AH1410="","",IF(SUMPRODUCT(MAX((IND_PER&lt;=B1410)*(IND_UF&lt;&gt;"")*IND_PER))=0,UF_HOY,INDEX(IND_UF,MATCH(SUMPRODUCT(MAX((IND_PER&lt;=B1410)*(IND_UF&lt;&gt;"")*IND_PER)),IND_PER,0))))</f>
        <v/>
      </c>
      <c r="AK1410" s="87" t="str">
        <f aca="false">IF(AH1410="","",IF(COUNTIF(TASA_DESDE,"&lt;="&amp;B1410)=0,INDEX(TASA_EMP,1),INDEX(TASA_EMP,COUNTIF(TASA_DESDE,"&lt;="&amp;B1410))))</f>
        <v/>
      </c>
    </row>
    <row r="1411" customFormat="false" ht="15" hidden="false" customHeight="false" outlineLevel="0" collapsed="false">
      <c r="B1411" s="78"/>
      <c r="C1411" s="64"/>
      <c r="D1411" s="72" t="str">
        <f aca="false">IF(C1411="","",IFERROR(INDEX(T_NOMBRE,MATCH(C1411,T_ID,0)),"⚠ ID no existe"))</f>
        <v/>
      </c>
      <c r="E1411" s="69"/>
      <c r="F1411" s="67"/>
      <c r="G1411" s="67"/>
      <c r="H1411" s="67"/>
      <c r="I1411" s="67"/>
      <c r="J1411" s="67"/>
      <c r="K1411" s="85" t="str">
        <f aca="false">IF(AH1411="","",N(F1411)+N(G1411)+N(H1411)-N(I1411)+N(J1411))</f>
        <v/>
      </c>
      <c r="L1411" s="67"/>
      <c r="M1411" s="67"/>
      <c r="N1411" s="67"/>
      <c r="O1411" s="67"/>
      <c r="P1411" s="85" t="str">
        <f aca="false">IF(AH1411="","",K1411+N(L1411)+N(M1411)+N(N1411)+N(O1411))</f>
        <v/>
      </c>
      <c r="Q1411" s="67"/>
      <c r="R1411" s="67"/>
      <c r="S1411" s="67"/>
      <c r="T1411" s="67"/>
      <c r="U1411" s="67"/>
      <c r="V1411" s="67"/>
      <c r="W1411" s="85" t="str">
        <f aca="false">IF(AH1411="","",N(Q1411)+N(R1411)+N(S1411)+N(T1411)+N(U1411)+N(V1411))</f>
        <v/>
      </c>
      <c r="X1411" s="85" t="str">
        <f aca="false">IF(AH1411="","",P1411-W1411)</f>
        <v/>
      </c>
      <c r="Y1411" s="67"/>
      <c r="Z1411" s="70" t="str">
        <f aca="false">IF(OR(AH1411="",Y1411=""),"",IF(ABS(X1411-Y1411)&lt;=1,"✓ Cuadra","⚠ Diferencia $"&amp;FIXED(X1411-Y1411,0)))</f>
        <v/>
      </c>
      <c r="AA1411" s="72" t="str">
        <f aca="false">IF(AH1411="","",IFERROR(INDEX(C_TIPO,MATCH(C1411&amp;"-P"&amp;MAX(1,COUNTIFS(C_ID,C1411,C_DEFINE,"Sí",C_INICIO,"&lt;="&amp;EOMONTH(B1411,0))),C_CLAVE,0))&amp;"","Sin dato"))</f>
        <v/>
      </c>
      <c r="AB1411" s="71" t="str">
        <f aca="false">IF(AH1411="","",ROUND(MIN(K1411,TOPE_AFP_UF*AJ1411)*AK1411,0))</f>
        <v/>
      </c>
      <c r="AC1411" s="71" t="str">
        <f aca="false">IF(AH1411="","",ROUND(MIN(K1411,TOPE_AFC_UF*AJ1411)*IF(AA1411="Indefinido",AFC_EMP_INDEF,AFC_EMP_PF),0))</f>
        <v/>
      </c>
      <c r="AD1411" s="71" t="str">
        <f aca="false">IF(AH1411="","",ROUND(MIN(K1411,TOPE_AFP_UF*AJ1411)*(MUTUAL_BASICA+MUTUAL_ADIC+SANNA),0))</f>
        <v/>
      </c>
      <c r="AE1411" s="71" t="str">
        <f aca="false">IF(AH1411="","",P1411-N(N1411)+AB1411+AC1411+AD1411)</f>
        <v/>
      </c>
      <c r="AF1411" s="65"/>
      <c r="AG1411" s="64"/>
      <c r="AH1411" s="72" t="str">
        <f aca="false">IF(OR(B1411="",C1411=""),"",C1411&amp;"|"&amp;(YEAR(B1411)*100+MONTH(B1411)))</f>
        <v/>
      </c>
      <c r="AI1411" s="70" t="str">
        <f aca="false">IF(AH1411="","",IF(COUNTIF(L_CLAVE,AH1411)&gt;1,"⚠ Duplicado","OK"))</f>
        <v/>
      </c>
      <c r="AJ1411" s="86" t="str">
        <f aca="false">IF(AH1411="","",IF(SUMPRODUCT(MAX((IND_PER&lt;=B1411)*(IND_UF&lt;&gt;"")*IND_PER))=0,UF_HOY,INDEX(IND_UF,MATCH(SUMPRODUCT(MAX((IND_PER&lt;=B1411)*(IND_UF&lt;&gt;"")*IND_PER)),IND_PER,0))))</f>
        <v/>
      </c>
      <c r="AK1411" s="87" t="str">
        <f aca="false">IF(AH1411="","",IF(COUNTIF(TASA_DESDE,"&lt;="&amp;B1411)=0,INDEX(TASA_EMP,1),INDEX(TASA_EMP,COUNTIF(TASA_DESDE,"&lt;="&amp;B1411))))</f>
        <v/>
      </c>
    </row>
    <row r="1412" customFormat="false" ht="15" hidden="false" customHeight="false" outlineLevel="0" collapsed="false">
      <c r="B1412" s="78"/>
      <c r="C1412" s="64"/>
      <c r="D1412" s="72" t="str">
        <f aca="false">IF(C1412="","",IFERROR(INDEX(T_NOMBRE,MATCH(C1412,T_ID,0)),"⚠ ID no existe"))</f>
        <v/>
      </c>
      <c r="E1412" s="69"/>
      <c r="F1412" s="67"/>
      <c r="G1412" s="67"/>
      <c r="H1412" s="67"/>
      <c r="I1412" s="67"/>
      <c r="J1412" s="67"/>
      <c r="K1412" s="85" t="str">
        <f aca="false">IF(AH1412="","",N(F1412)+N(G1412)+N(H1412)-N(I1412)+N(J1412))</f>
        <v/>
      </c>
      <c r="L1412" s="67"/>
      <c r="M1412" s="67"/>
      <c r="N1412" s="67"/>
      <c r="O1412" s="67"/>
      <c r="P1412" s="85" t="str">
        <f aca="false">IF(AH1412="","",K1412+N(L1412)+N(M1412)+N(N1412)+N(O1412))</f>
        <v/>
      </c>
      <c r="Q1412" s="67"/>
      <c r="R1412" s="67"/>
      <c r="S1412" s="67"/>
      <c r="T1412" s="67"/>
      <c r="U1412" s="67"/>
      <c r="V1412" s="67"/>
      <c r="W1412" s="85" t="str">
        <f aca="false">IF(AH1412="","",N(Q1412)+N(R1412)+N(S1412)+N(T1412)+N(U1412)+N(V1412))</f>
        <v/>
      </c>
      <c r="X1412" s="85" t="str">
        <f aca="false">IF(AH1412="","",P1412-W1412)</f>
        <v/>
      </c>
      <c r="Y1412" s="67"/>
      <c r="Z1412" s="70" t="str">
        <f aca="false">IF(OR(AH1412="",Y1412=""),"",IF(ABS(X1412-Y1412)&lt;=1,"✓ Cuadra","⚠ Diferencia $"&amp;FIXED(X1412-Y1412,0)))</f>
        <v/>
      </c>
      <c r="AA1412" s="72" t="str">
        <f aca="false">IF(AH1412="","",IFERROR(INDEX(C_TIPO,MATCH(C1412&amp;"-P"&amp;MAX(1,COUNTIFS(C_ID,C1412,C_DEFINE,"Sí",C_INICIO,"&lt;="&amp;EOMONTH(B1412,0))),C_CLAVE,0))&amp;"","Sin dato"))</f>
        <v/>
      </c>
      <c r="AB1412" s="71" t="str">
        <f aca="false">IF(AH1412="","",ROUND(MIN(K1412,TOPE_AFP_UF*AJ1412)*AK1412,0))</f>
        <v/>
      </c>
      <c r="AC1412" s="71" t="str">
        <f aca="false">IF(AH1412="","",ROUND(MIN(K1412,TOPE_AFC_UF*AJ1412)*IF(AA1412="Indefinido",AFC_EMP_INDEF,AFC_EMP_PF),0))</f>
        <v/>
      </c>
      <c r="AD1412" s="71" t="str">
        <f aca="false">IF(AH1412="","",ROUND(MIN(K1412,TOPE_AFP_UF*AJ1412)*(MUTUAL_BASICA+MUTUAL_ADIC+SANNA),0))</f>
        <v/>
      </c>
      <c r="AE1412" s="71" t="str">
        <f aca="false">IF(AH1412="","",P1412-N(N1412)+AB1412+AC1412+AD1412)</f>
        <v/>
      </c>
      <c r="AF1412" s="65"/>
      <c r="AG1412" s="64"/>
      <c r="AH1412" s="72" t="str">
        <f aca="false">IF(OR(B1412="",C1412=""),"",C1412&amp;"|"&amp;(YEAR(B1412)*100+MONTH(B1412)))</f>
        <v/>
      </c>
      <c r="AI1412" s="70" t="str">
        <f aca="false">IF(AH1412="","",IF(COUNTIF(L_CLAVE,AH1412)&gt;1,"⚠ Duplicado","OK"))</f>
        <v/>
      </c>
      <c r="AJ1412" s="86" t="str">
        <f aca="false">IF(AH1412="","",IF(SUMPRODUCT(MAX((IND_PER&lt;=B1412)*(IND_UF&lt;&gt;"")*IND_PER))=0,UF_HOY,INDEX(IND_UF,MATCH(SUMPRODUCT(MAX((IND_PER&lt;=B1412)*(IND_UF&lt;&gt;"")*IND_PER)),IND_PER,0))))</f>
        <v/>
      </c>
      <c r="AK1412" s="87" t="str">
        <f aca="false">IF(AH1412="","",IF(COUNTIF(TASA_DESDE,"&lt;="&amp;B1412)=0,INDEX(TASA_EMP,1),INDEX(TASA_EMP,COUNTIF(TASA_DESDE,"&lt;="&amp;B1412))))</f>
        <v/>
      </c>
    </row>
    <row r="1413" customFormat="false" ht="15" hidden="false" customHeight="false" outlineLevel="0" collapsed="false">
      <c r="B1413" s="78"/>
      <c r="C1413" s="64"/>
      <c r="D1413" s="72" t="str">
        <f aca="false">IF(C1413="","",IFERROR(INDEX(T_NOMBRE,MATCH(C1413,T_ID,0)),"⚠ ID no existe"))</f>
        <v/>
      </c>
      <c r="E1413" s="69"/>
      <c r="F1413" s="67"/>
      <c r="G1413" s="67"/>
      <c r="H1413" s="67"/>
      <c r="I1413" s="67"/>
      <c r="J1413" s="67"/>
      <c r="K1413" s="85" t="str">
        <f aca="false">IF(AH1413="","",N(F1413)+N(G1413)+N(H1413)-N(I1413)+N(J1413))</f>
        <v/>
      </c>
      <c r="L1413" s="67"/>
      <c r="M1413" s="67"/>
      <c r="N1413" s="67"/>
      <c r="O1413" s="67"/>
      <c r="P1413" s="85" t="str">
        <f aca="false">IF(AH1413="","",K1413+N(L1413)+N(M1413)+N(N1413)+N(O1413))</f>
        <v/>
      </c>
      <c r="Q1413" s="67"/>
      <c r="R1413" s="67"/>
      <c r="S1413" s="67"/>
      <c r="T1413" s="67"/>
      <c r="U1413" s="67"/>
      <c r="V1413" s="67"/>
      <c r="W1413" s="85" t="str">
        <f aca="false">IF(AH1413="","",N(Q1413)+N(R1413)+N(S1413)+N(T1413)+N(U1413)+N(V1413))</f>
        <v/>
      </c>
      <c r="X1413" s="85" t="str">
        <f aca="false">IF(AH1413="","",P1413-W1413)</f>
        <v/>
      </c>
      <c r="Y1413" s="67"/>
      <c r="Z1413" s="70" t="str">
        <f aca="false">IF(OR(AH1413="",Y1413=""),"",IF(ABS(X1413-Y1413)&lt;=1,"✓ Cuadra","⚠ Diferencia $"&amp;FIXED(X1413-Y1413,0)))</f>
        <v/>
      </c>
      <c r="AA1413" s="72" t="str">
        <f aca="false">IF(AH1413="","",IFERROR(INDEX(C_TIPO,MATCH(C1413&amp;"-P"&amp;MAX(1,COUNTIFS(C_ID,C1413,C_DEFINE,"Sí",C_INICIO,"&lt;="&amp;EOMONTH(B1413,0))),C_CLAVE,0))&amp;"","Sin dato"))</f>
        <v/>
      </c>
      <c r="AB1413" s="71" t="str">
        <f aca="false">IF(AH1413="","",ROUND(MIN(K1413,TOPE_AFP_UF*AJ1413)*AK1413,0))</f>
        <v/>
      </c>
      <c r="AC1413" s="71" t="str">
        <f aca="false">IF(AH1413="","",ROUND(MIN(K1413,TOPE_AFC_UF*AJ1413)*IF(AA1413="Indefinido",AFC_EMP_INDEF,AFC_EMP_PF),0))</f>
        <v/>
      </c>
      <c r="AD1413" s="71" t="str">
        <f aca="false">IF(AH1413="","",ROUND(MIN(K1413,TOPE_AFP_UF*AJ1413)*(MUTUAL_BASICA+MUTUAL_ADIC+SANNA),0))</f>
        <v/>
      </c>
      <c r="AE1413" s="71" t="str">
        <f aca="false">IF(AH1413="","",P1413-N(N1413)+AB1413+AC1413+AD1413)</f>
        <v/>
      </c>
      <c r="AF1413" s="65"/>
      <c r="AG1413" s="64"/>
      <c r="AH1413" s="72" t="str">
        <f aca="false">IF(OR(B1413="",C1413=""),"",C1413&amp;"|"&amp;(YEAR(B1413)*100+MONTH(B1413)))</f>
        <v/>
      </c>
      <c r="AI1413" s="70" t="str">
        <f aca="false">IF(AH1413="","",IF(COUNTIF(L_CLAVE,AH1413)&gt;1,"⚠ Duplicado","OK"))</f>
        <v/>
      </c>
      <c r="AJ1413" s="86" t="str">
        <f aca="false">IF(AH1413="","",IF(SUMPRODUCT(MAX((IND_PER&lt;=B1413)*(IND_UF&lt;&gt;"")*IND_PER))=0,UF_HOY,INDEX(IND_UF,MATCH(SUMPRODUCT(MAX((IND_PER&lt;=B1413)*(IND_UF&lt;&gt;"")*IND_PER)),IND_PER,0))))</f>
        <v/>
      </c>
      <c r="AK1413" s="87" t="str">
        <f aca="false">IF(AH1413="","",IF(COUNTIF(TASA_DESDE,"&lt;="&amp;B1413)=0,INDEX(TASA_EMP,1),INDEX(TASA_EMP,COUNTIF(TASA_DESDE,"&lt;="&amp;B1413))))</f>
        <v/>
      </c>
    </row>
    <row r="1414" customFormat="false" ht="15" hidden="false" customHeight="false" outlineLevel="0" collapsed="false">
      <c r="B1414" s="78"/>
      <c r="C1414" s="64"/>
      <c r="D1414" s="72" t="str">
        <f aca="false">IF(C1414="","",IFERROR(INDEX(T_NOMBRE,MATCH(C1414,T_ID,0)),"⚠ ID no existe"))</f>
        <v/>
      </c>
      <c r="E1414" s="69"/>
      <c r="F1414" s="67"/>
      <c r="G1414" s="67"/>
      <c r="H1414" s="67"/>
      <c r="I1414" s="67"/>
      <c r="J1414" s="67"/>
      <c r="K1414" s="85" t="str">
        <f aca="false">IF(AH1414="","",N(F1414)+N(G1414)+N(H1414)-N(I1414)+N(J1414))</f>
        <v/>
      </c>
      <c r="L1414" s="67"/>
      <c r="M1414" s="67"/>
      <c r="N1414" s="67"/>
      <c r="O1414" s="67"/>
      <c r="P1414" s="85" t="str">
        <f aca="false">IF(AH1414="","",K1414+N(L1414)+N(M1414)+N(N1414)+N(O1414))</f>
        <v/>
      </c>
      <c r="Q1414" s="67"/>
      <c r="R1414" s="67"/>
      <c r="S1414" s="67"/>
      <c r="T1414" s="67"/>
      <c r="U1414" s="67"/>
      <c r="V1414" s="67"/>
      <c r="W1414" s="85" t="str">
        <f aca="false">IF(AH1414="","",N(Q1414)+N(R1414)+N(S1414)+N(T1414)+N(U1414)+N(V1414))</f>
        <v/>
      </c>
      <c r="X1414" s="85" t="str">
        <f aca="false">IF(AH1414="","",P1414-W1414)</f>
        <v/>
      </c>
      <c r="Y1414" s="67"/>
      <c r="Z1414" s="70" t="str">
        <f aca="false">IF(OR(AH1414="",Y1414=""),"",IF(ABS(X1414-Y1414)&lt;=1,"✓ Cuadra","⚠ Diferencia $"&amp;FIXED(X1414-Y1414,0)))</f>
        <v/>
      </c>
      <c r="AA1414" s="72" t="str">
        <f aca="false">IF(AH1414="","",IFERROR(INDEX(C_TIPO,MATCH(C1414&amp;"-P"&amp;MAX(1,COUNTIFS(C_ID,C1414,C_DEFINE,"Sí",C_INICIO,"&lt;="&amp;EOMONTH(B1414,0))),C_CLAVE,0))&amp;"","Sin dato"))</f>
        <v/>
      </c>
      <c r="AB1414" s="71" t="str">
        <f aca="false">IF(AH1414="","",ROUND(MIN(K1414,TOPE_AFP_UF*AJ1414)*AK1414,0))</f>
        <v/>
      </c>
      <c r="AC1414" s="71" t="str">
        <f aca="false">IF(AH1414="","",ROUND(MIN(K1414,TOPE_AFC_UF*AJ1414)*IF(AA1414="Indefinido",AFC_EMP_INDEF,AFC_EMP_PF),0))</f>
        <v/>
      </c>
      <c r="AD1414" s="71" t="str">
        <f aca="false">IF(AH1414="","",ROUND(MIN(K1414,TOPE_AFP_UF*AJ1414)*(MUTUAL_BASICA+MUTUAL_ADIC+SANNA),0))</f>
        <v/>
      </c>
      <c r="AE1414" s="71" t="str">
        <f aca="false">IF(AH1414="","",P1414-N(N1414)+AB1414+AC1414+AD1414)</f>
        <v/>
      </c>
      <c r="AF1414" s="65"/>
      <c r="AG1414" s="64"/>
      <c r="AH1414" s="72" t="str">
        <f aca="false">IF(OR(B1414="",C1414=""),"",C1414&amp;"|"&amp;(YEAR(B1414)*100+MONTH(B1414)))</f>
        <v/>
      </c>
      <c r="AI1414" s="70" t="str">
        <f aca="false">IF(AH1414="","",IF(COUNTIF(L_CLAVE,AH1414)&gt;1,"⚠ Duplicado","OK"))</f>
        <v/>
      </c>
      <c r="AJ1414" s="86" t="str">
        <f aca="false">IF(AH1414="","",IF(SUMPRODUCT(MAX((IND_PER&lt;=B1414)*(IND_UF&lt;&gt;"")*IND_PER))=0,UF_HOY,INDEX(IND_UF,MATCH(SUMPRODUCT(MAX((IND_PER&lt;=B1414)*(IND_UF&lt;&gt;"")*IND_PER)),IND_PER,0))))</f>
        <v/>
      </c>
      <c r="AK1414" s="87" t="str">
        <f aca="false">IF(AH1414="","",IF(COUNTIF(TASA_DESDE,"&lt;="&amp;B1414)=0,INDEX(TASA_EMP,1),INDEX(TASA_EMP,COUNTIF(TASA_DESDE,"&lt;="&amp;B1414))))</f>
        <v/>
      </c>
    </row>
    <row r="1415" customFormat="false" ht="15" hidden="false" customHeight="false" outlineLevel="0" collapsed="false">
      <c r="B1415" s="78"/>
      <c r="C1415" s="64"/>
      <c r="D1415" s="72" t="str">
        <f aca="false">IF(C1415="","",IFERROR(INDEX(T_NOMBRE,MATCH(C1415,T_ID,0)),"⚠ ID no existe"))</f>
        <v/>
      </c>
      <c r="E1415" s="69"/>
      <c r="F1415" s="67"/>
      <c r="G1415" s="67"/>
      <c r="H1415" s="67"/>
      <c r="I1415" s="67"/>
      <c r="J1415" s="67"/>
      <c r="K1415" s="85" t="str">
        <f aca="false">IF(AH1415="","",N(F1415)+N(G1415)+N(H1415)-N(I1415)+N(J1415))</f>
        <v/>
      </c>
      <c r="L1415" s="67"/>
      <c r="M1415" s="67"/>
      <c r="N1415" s="67"/>
      <c r="O1415" s="67"/>
      <c r="P1415" s="85" t="str">
        <f aca="false">IF(AH1415="","",K1415+N(L1415)+N(M1415)+N(N1415)+N(O1415))</f>
        <v/>
      </c>
      <c r="Q1415" s="67"/>
      <c r="R1415" s="67"/>
      <c r="S1415" s="67"/>
      <c r="T1415" s="67"/>
      <c r="U1415" s="67"/>
      <c r="V1415" s="67"/>
      <c r="W1415" s="85" t="str">
        <f aca="false">IF(AH1415="","",N(Q1415)+N(R1415)+N(S1415)+N(T1415)+N(U1415)+N(V1415))</f>
        <v/>
      </c>
      <c r="X1415" s="85" t="str">
        <f aca="false">IF(AH1415="","",P1415-W1415)</f>
        <v/>
      </c>
      <c r="Y1415" s="67"/>
      <c r="Z1415" s="70" t="str">
        <f aca="false">IF(OR(AH1415="",Y1415=""),"",IF(ABS(X1415-Y1415)&lt;=1,"✓ Cuadra","⚠ Diferencia $"&amp;FIXED(X1415-Y1415,0)))</f>
        <v/>
      </c>
      <c r="AA1415" s="72" t="str">
        <f aca="false">IF(AH1415="","",IFERROR(INDEX(C_TIPO,MATCH(C1415&amp;"-P"&amp;MAX(1,COUNTIFS(C_ID,C1415,C_DEFINE,"Sí",C_INICIO,"&lt;="&amp;EOMONTH(B1415,0))),C_CLAVE,0))&amp;"","Sin dato"))</f>
        <v/>
      </c>
      <c r="AB1415" s="71" t="str">
        <f aca="false">IF(AH1415="","",ROUND(MIN(K1415,TOPE_AFP_UF*AJ1415)*AK1415,0))</f>
        <v/>
      </c>
      <c r="AC1415" s="71" t="str">
        <f aca="false">IF(AH1415="","",ROUND(MIN(K1415,TOPE_AFC_UF*AJ1415)*IF(AA1415="Indefinido",AFC_EMP_INDEF,AFC_EMP_PF),0))</f>
        <v/>
      </c>
      <c r="AD1415" s="71" t="str">
        <f aca="false">IF(AH1415="","",ROUND(MIN(K1415,TOPE_AFP_UF*AJ1415)*(MUTUAL_BASICA+MUTUAL_ADIC+SANNA),0))</f>
        <v/>
      </c>
      <c r="AE1415" s="71" t="str">
        <f aca="false">IF(AH1415="","",P1415-N(N1415)+AB1415+AC1415+AD1415)</f>
        <v/>
      </c>
      <c r="AF1415" s="65"/>
      <c r="AG1415" s="64"/>
      <c r="AH1415" s="72" t="str">
        <f aca="false">IF(OR(B1415="",C1415=""),"",C1415&amp;"|"&amp;(YEAR(B1415)*100+MONTH(B1415)))</f>
        <v/>
      </c>
      <c r="AI1415" s="70" t="str">
        <f aca="false">IF(AH1415="","",IF(COUNTIF(L_CLAVE,AH1415)&gt;1,"⚠ Duplicado","OK"))</f>
        <v/>
      </c>
      <c r="AJ1415" s="86" t="str">
        <f aca="false">IF(AH1415="","",IF(SUMPRODUCT(MAX((IND_PER&lt;=B1415)*(IND_UF&lt;&gt;"")*IND_PER))=0,UF_HOY,INDEX(IND_UF,MATCH(SUMPRODUCT(MAX((IND_PER&lt;=B1415)*(IND_UF&lt;&gt;"")*IND_PER)),IND_PER,0))))</f>
        <v/>
      </c>
      <c r="AK1415" s="87" t="str">
        <f aca="false">IF(AH1415="","",IF(COUNTIF(TASA_DESDE,"&lt;="&amp;B1415)=0,INDEX(TASA_EMP,1),INDEX(TASA_EMP,COUNTIF(TASA_DESDE,"&lt;="&amp;B1415))))</f>
        <v/>
      </c>
    </row>
    <row r="1416" customFormat="false" ht="15" hidden="false" customHeight="false" outlineLevel="0" collapsed="false">
      <c r="B1416" s="78"/>
      <c r="C1416" s="64"/>
      <c r="D1416" s="72" t="str">
        <f aca="false">IF(C1416="","",IFERROR(INDEX(T_NOMBRE,MATCH(C1416,T_ID,0)),"⚠ ID no existe"))</f>
        <v/>
      </c>
      <c r="E1416" s="69"/>
      <c r="F1416" s="67"/>
      <c r="G1416" s="67"/>
      <c r="H1416" s="67"/>
      <c r="I1416" s="67"/>
      <c r="J1416" s="67"/>
      <c r="K1416" s="85" t="str">
        <f aca="false">IF(AH1416="","",N(F1416)+N(G1416)+N(H1416)-N(I1416)+N(J1416))</f>
        <v/>
      </c>
      <c r="L1416" s="67"/>
      <c r="M1416" s="67"/>
      <c r="N1416" s="67"/>
      <c r="O1416" s="67"/>
      <c r="P1416" s="85" t="str">
        <f aca="false">IF(AH1416="","",K1416+N(L1416)+N(M1416)+N(N1416)+N(O1416))</f>
        <v/>
      </c>
      <c r="Q1416" s="67"/>
      <c r="R1416" s="67"/>
      <c r="S1416" s="67"/>
      <c r="T1416" s="67"/>
      <c r="U1416" s="67"/>
      <c r="V1416" s="67"/>
      <c r="W1416" s="85" t="str">
        <f aca="false">IF(AH1416="","",N(Q1416)+N(R1416)+N(S1416)+N(T1416)+N(U1416)+N(V1416))</f>
        <v/>
      </c>
      <c r="X1416" s="85" t="str">
        <f aca="false">IF(AH1416="","",P1416-W1416)</f>
        <v/>
      </c>
      <c r="Y1416" s="67"/>
      <c r="Z1416" s="70" t="str">
        <f aca="false">IF(OR(AH1416="",Y1416=""),"",IF(ABS(X1416-Y1416)&lt;=1,"✓ Cuadra","⚠ Diferencia $"&amp;FIXED(X1416-Y1416,0)))</f>
        <v/>
      </c>
      <c r="AA1416" s="72" t="str">
        <f aca="false">IF(AH1416="","",IFERROR(INDEX(C_TIPO,MATCH(C1416&amp;"-P"&amp;MAX(1,COUNTIFS(C_ID,C1416,C_DEFINE,"Sí",C_INICIO,"&lt;="&amp;EOMONTH(B1416,0))),C_CLAVE,0))&amp;"","Sin dato"))</f>
        <v/>
      </c>
      <c r="AB1416" s="71" t="str">
        <f aca="false">IF(AH1416="","",ROUND(MIN(K1416,TOPE_AFP_UF*AJ1416)*AK1416,0))</f>
        <v/>
      </c>
      <c r="AC1416" s="71" t="str">
        <f aca="false">IF(AH1416="","",ROUND(MIN(K1416,TOPE_AFC_UF*AJ1416)*IF(AA1416="Indefinido",AFC_EMP_INDEF,AFC_EMP_PF),0))</f>
        <v/>
      </c>
      <c r="AD1416" s="71" t="str">
        <f aca="false">IF(AH1416="","",ROUND(MIN(K1416,TOPE_AFP_UF*AJ1416)*(MUTUAL_BASICA+MUTUAL_ADIC+SANNA),0))</f>
        <v/>
      </c>
      <c r="AE1416" s="71" t="str">
        <f aca="false">IF(AH1416="","",P1416-N(N1416)+AB1416+AC1416+AD1416)</f>
        <v/>
      </c>
      <c r="AF1416" s="65"/>
      <c r="AG1416" s="64"/>
      <c r="AH1416" s="72" t="str">
        <f aca="false">IF(OR(B1416="",C1416=""),"",C1416&amp;"|"&amp;(YEAR(B1416)*100+MONTH(B1416)))</f>
        <v/>
      </c>
      <c r="AI1416" s="70" t="str">
        <f aca="false">IF(AH1416="","",IF(COUNTIF(L_CLAVE,AH1416)&gt;1,"⚠ Duplicado","OK"))</f>
        <v/>
      </c>
      <c r="AJ1416" s="86" t="str">
        <f aca="false">IF(AH1416="","",IF(SUMPRODUCT(MAX((IND_PER&lt;=B1416)*(IND_UF&lt;&gt;"")*IND_PER))=0,UF_HOY,INDEX(IND_UF,MATCH(SUMPRODUCT(MAX((IND_PER&lt;=B1416)*(IND_UF&lt;&gt;"")*IND_PER)),IND_PER,0))))</f>
        <v/>
      </c>
      <c r="AK1416" s="87" t="str">
        <f aca="false">IF(AH1416="","",IF(COUNTIF(TASA_DESDE,"&lt;="&amp;B1416)=0,INDEX(TASA_EMP,1),INDEX(TASA_EMP,COUNTIF(TASA_DESDE,"&lt;="&amp;B1416))))</f>
        <v/>
      </c>
    </row>
    <row r="1417" customFormat="false" ht="15" hidden="false" customHeight="false" outlineLevel="0" collapsed="false">
      <c r="B1417" s="78"/>
      <c r="C1417" s="64"/>
      <c r="D1417" s="72" t="str">
        <f aca="false">IF(C1417="","",IFERROR(INDEX(T_NOMBRE,MATCH(C1417,T_ID,0)),"⚠ ID no existe"))</f>
        <v/>
      </c>
      <c r="E1417" s="69"/>
      <c r="F1417" s="67"/>
      <c r="G1417" s="67"/>
      <c r="H1417" s="67"/>
      <c r="I1417" s="67"/>
      <c r="J1417" s="67"/>
      <c r="K1417" s="85" t="str">
        <f aca="false">IF(AH1417="","",N(F1417)+N(G1417)+N(H1417)-N(I1417)+N(J1417))</f>
        <v/>
      </c>
      <c r="L1417" s="67"/>
      <c r="M1417" s="67"/>
      <c r="N1417" s="67"/>
      <c r="O1417" s="67"/>
      <c r="P1417" s="85" t="str">
        <f aca="false">IF(AH1417="","",K1417+N(L1417)+N(M1417)+N(N1417)+N(O1417))</f>
        <v/>
      </c>
      <c r="Q1417" s="67"/>
      <c r="R1417" s="67"/>
      <c r="S1417" s="67"/>
      <c r="T1417" s="67"/>
      <c r="U1417" s="67"/>
      <c r="V1417" s="67"/>
      <c r="W1417" s="85" t="str">
        <f aca="false">IF(AH1417="","",N(Q1417)+N(R1417)+N(S1417)+N(T1417)+N(U1417)+N(V1417))</f>
        <v/>
      </c>
      <c r="X1417" s="85" t="str">
        <f aca="false">IF(AH1417="","",P1417-W1417)</f>
        <v/>
      </c>
      <c r="Y1417" s="67"/>
      <c r="Z1417" s="70" t="str">
        <f aca="false">IF(OR(AH1417="",Y1417=""),"",IF(ABS(X1417-Y1417)&lt;=1,"✓ Cuadra","⚠ Diferencia $"&amp;FIXED(X1417-Y1417,0)))</f>
        <v/>
      </c>
      <c r="AA1417" s="72" t="str">
        <f aca="false">IF(AH1417="","",IFERROR(INDEX(C_TIPO,MATCH(C1417&amp;"-P"&amp;MAX(1,COUNTIFS(C_ID,C1417,C_DEFINE,"Sí",C_INICIO,"&lt;="&amp;EOMONTH(B1417,0))),C_CLAVE,0))&amp;"","Sin dato"))</f>
        <v/>
      </c>
      <c r="AB1417" s="71" t="str">
        <f aca="false">IF(AH1417="","",ROUND(MIN(K1417,TOPE_AFP_UF*AJ1417)*AK1417,0))</f>
        <v/>
      </c>
      <c r="AC1417" s="71" t="str">
        <f aca="false">IF(AH1417="","",ROUND(MIN(K1417,TOPE_AFC_UF*AJ1417)*IF(AA1417="Indefinido",AFC_EMP_INDEF,AFC_EMP_PF),0))</f>
        <v/>
      </c>
      <c r="AD1417" s="71" t="str">
        <f aca="false">IF(AH1417="","",ROUND(MIN(K1417,TOPE_AFP_UF*AJ1417)*(MUTUAL_BASICA+MUTUAL_ADIC+SANNA),0))</f>
        <v/>
      </c>
      <c r="AE1417" s="71" t="str">
        <f aca="false">IF(AH1417="","",P1417-N(N1417)+AB1417+AC1417+AD1417)</f>
        <v/>
      </c>
      <c r="AF1417" s="65"/>
      <c r="AG1417" s="64"/>
      <c r="AH1417" s="72" t="str">
        <f aca="false">IF(OR(B1417="",C1417=""),"",C1417&amp;"|"&amp;(YEAR(B1417)*100+MONTH(B1417)))</f>
        <v/>
      </c>
      <c r="AI1417" s="70" t="str">
        <f aca="false">IF(AH1417="","",IF(COUNTIF(L_CLAVE,AH1417)&gt;1,"⚠ Duplicado","OK"))</f>
        <v/>
      </c>
      <c r="AJ1417" s="86" t="str">
        <f aca="false">IF(AH1417="","",IF(SUMPRODUCT(MAX((IND_PER&lt;=B1417)*(IND_UF&lt;&gt;"")*IND_PER))=0,UF_HOY,INDEX(IND_UF,MATCH(SUMPRODUCT(MAX((IND_PER&lt;=B1417)*(IND_UF&lt;&gt;"")*IND_PER)),IND_PER,0))))</f>
        <v/>
      </c>
      <c r="AK1417" s="87" t="str">
        <f aca="false">IF(AH1417="","",IF(COUNTIF(TASA_DESDE,"&lt;="&amp;B1417)=0,INDEX(TASA_EMP,1),INDEX(TASA_EMP,COUNTIF(TASA_DESDE,"&lt;="&amp;B1417))))</f>
        <v/>
      </c>
    </row>
    <row r="1418" customFormat="false" ht="15" hidden="false" customHeight="false" outlineLevel="0" collapsed="false">
      <c r="B1418" s="78"/>
      <c r="C1418" s="64"/>
      <c r="D1418" s="72" t="str">
        <f aca="false">IF(C1418="","",IFERROR(INDEX(T_NOMBRE,MATCH(C1418,T_ID,0)),"⚠ ID no existe"))</f>
        <v/>
      </c>
      <c r="E1418" s="69"/>
      <c r="F1418" s="67"/>
      <c r="G1418" s="67"/>
      <c r="H1418" s="67"/>
      <c r="I1418" s="67"/>
      <c r="J1418" s="67"/>
      <c r="K1418" s="85" t="str">
        <f aca="false">IF(AH1418="","",N(F1418)+N(G1418)+N(H1418)-N(I1418)+N(J1418))</f>
        <v/>
      </c>
      <c r="L1418" s="67"/>
      <c r="M1418" s="67"/>
      <c r="N1418" s="67"/>
      <c r="O1418" s="67"/>
      <c r="P1418" s="85" t="str">
        <f aca="false">IF(AH1418="","",K1418+N(L1418)+N(M1418)+N(N1418)+N(O1418))</f>
        <v/>
      </c>
      <c r="Q1418" s="67"/>
      <c r="R1418" s="67"/>
      <c r="S1418" s="67"/>
      <c r="T1418" s="67"/>
      <c r="U1418" s="67"/>
      <c r="V1418" s="67"/>
      <c r="W1418" s="85" t="str">
        <f aca="false">IF(AH1418="","",N(Q1418)+N(R1418)+N(S1418)+N(T1418)+N(U1418)+N(V1418))</f>
        <v/>
      </c>
      <c r="X1418" s="85" t="str">
        <f aca="false">IF(AH1418="","",P1418-W1418)</f>
        <v/>
      </c>
      <c r="Y1418" s="67"/>
      <c r="Z1418" s="70" t="str">
        <f aca="false">IF(OR(AH1418="",Y1418=""),"",IF(ABS(X1418-Y1418)&lt;=1,"✓ Cuadra","⚠ Diferencia $"&amp;FIXED(X1418-Y1418,0)))</f>
        <v/>
      </c>
      <c r="AA1418" s="72" t="str">
        <f aca="false">IF(AH1418="","",IFERROR(INDEX(C_TIPO,MATCH(C1418&amp;"-P"&amp;MAX(1,COUNTIFS(C_ID,C1418,C_DEFINE,"Sí",C_INICIO,"&lt;="&amp;EOMONTH(B1418,0))),C_CLAVE,0))&amp;"","Sin dato"))</f>
        <v/>
      </c>
      <c r="AB1418" s="71" t="str">
        <f aca="false">IF(AH1418="","",ROUND(MIN(K1418,TOPE_AFP_UF*AJ1418)*AK1418,0))</f>
        <v/>
      </c>
      <c r="AC1418" s="71" t="str">
        <f aca="false">IF(AH1418="","",ROUND(MIN(K1418,TOPE_AFC_UF*AJ1418)*IF(AA1418="Indefinido",AFC_EMP_INDEF,AFC_EMP_PF),0))</f>
        <v/>
      </c>
      <c r="AD1418" s="71" t="str">
        <f aca="false">IF(AH1418="","",ROUND(MIN(K1418,TOPE_AFP_UF*AJ1418)*(MUTUAL_BASICA+MUTUAL_ADIC+SANNA),0))</f>
        <v/>
      </c>
      <c r="AE1418" s="71" t="str">
        <f aca="false">IF(AH1418="","",P1418-N(N1418)+AB1418+AC1418+AD1418)</f>
        <v/>
      </c>
      <c r="AF1418" s="65"/>
      <c r="AG1418" s="64"/>
      <c r="AH1418" s="72" t="str">
        <f aca="false">IF(OR(B1418="",C1418=""),"",C1418&amp;"|"&amp;(YEAR(B1418)*100+MONTH(B1418)))</f>
        <v/>
      </c>
      <c r="AI1418" s="70" t="str">
        <f aca="false">IF(AH1418="","",IF(COUNTIF(L_CLAVE,AH1418)&gt;1,"⚠ Duplicado","OK"))</f>
        <v/>
      </c>
      <c r="AJ1418" s="86" t="str">
        <f aca="false">IF(AH1418="","",IF(SUMPRODUCT(MAX((IND_PER&lt;=B1418)*(IND_UF&lt;&gt;"")*IND_PER))=0,UF_HOY,INDEX(IND_UF,MATCH(SUMPRODUCT(MAX((IND_PER&lt;=B1418)*(IND_UF&lt;&gt;"")*IND_PER)),IND_PER,0))))</f>
        <v/>
      </c>
      <c r="AK1418" s="87" t="str">
        <f aca="false">IF(AH1418="","",IF(COUNTIF(TASA_DESDE,"&lt;="&amp;B1418)=0,INDEX(TASA_EMP,1),INDEX(TASA_EMP,COUNTIF(TASA_DESDE,"&lt;="&amp;B1418))))</f>
        <v/>
      </c>
    </row>
    <row r="1419" customFormat="false" ht="15" hidden="false" customHeight="false" outlineLevel="0" collapsed="false">
      <c r="B1419" s="78"/>
      <c r="C1419" s="64"/>
      <c r="D1419" s="72" t="str">
        <f aca="false">IF(C1419="","",IFERROR(INDEX(T_NOMBRE,MATCH(C1419,T_ID,0)),"⚠ ID no existe"))</f>
        <v/>
      </c>
      <c r="E1419" s="69"/>
      <c r="F1419" s="67"/>
      <c r="G1419" s="67"/>
      <c r="H1419" s="67"/>
      <c r="I1419" s="67"/>
      <c r="J1419" s="67"/>
      <c r="K1419" s="85" t="str">
        <f aca="false">IF(AH1419="","",N(F1419)+N(G1419)+N(H1419)-N(I1419)+N(J1419))</f>
        <v/>
      </c>
      <c r="L1419" s="67"/>
      <c r="M1419" s="67"/>
      <c r="N1419" s="67"/>
      <c r="O1419" s="67"/>
      <c r="P1419" s="85" t="str">
        <f aca="false">IF(AH1419="","",K1419+N(L1419)+N(M1419)+N(N1419)+N(O1419))</f>
        <v/>
      </c>
      <c r="Q1419" s="67"/>
      <c r="R1419" s="67"/>
      <c r="S1419" s="67"/>
      <c r="T1419" s="67"/>
      <c r="U1419" s="67"/>
      <c r="V1419" s="67"/>
      <c r="W1419" s="85" t="str">
        <f aca="false">IF(AH1419="","",N(Q1419)+N(R1419)+N(S1419)+N(T1419)+N(U1419)+N(V1419))</f>
        <v/>
      </c>
      <c r="X1419" s="85" t="str">
        <f aca="false">IF(AH1419="","",P1419-W1419)</f>
        <v/>
      </c>
      <c r="Y1419" s="67"/>
      <c r="Z1419" s="70" t="str">
        <f aca="false">IF(OR(AH1419="",Y1419=""),"",IF(ABS(X1419-Y1419)&lt;=1,"✓ Cuadra","⚠ Diferencia $"&amp;FIXED(X1419-Y1419,0)))</f>
        <v/>
      </c>
      <c r="AA1419" s="72" t="str">
        <f aca="false">IF(AH1419="","",IFERROR(INDEX(C_TIPO,MATCH(C1419&amp;"-P"&amp;MAX(1,COUNTIFS(C_ID,C1419,C_DEFINE,"Sí",C_INICIO,"&lt;="&amp;EOMONTH(B1419,0))),C_CLAVE,0))&amp;"","Sin dato"))</f>
        <v/>
      </c>
      <c r="AB1419" s="71" t="str">
        <f aca="false">IF(AH1419="","",ROUND(MIN(K1419,TOPE_AFP_UF*AJ1419)*AK1419,0))</f>
        <v/>
      </c>
      <c r="AC1419" s="71" t="str">
        <f aca="false">IF(AH1419="","",ROUND(MIN(K1419,TOPE_AFC_UF*AJ1419)*IF(AA1419="Indefinido",AFC_EMP_INDEF,AFC_EMP_PF),0))</f>
        <v/>
      </c>
      <c r="AD1419" s="71" t="str">
        <f aca="false">IF(AH1419="","",ROUND(MIN(K1419,TOPE_AFP_UF*AJ1419)*(MUTUAL_BASICA+MUTUAL_ADIC+SANNA),0))</f>
        <v/>
      </c>
      <c r="AE1419" s="71" t="str">
        <f aca="false">IF(AH1419="","",P1419-N(N1419)+AB1419+AC1419+AD1419)</f>
        <v/>
      </c>
      <c r="AF1419" s="65"/>
      <c r="AG1419" s="64"/>
      <c r="AH1419" s="72" t="str">
        <f aca="false">IF(OR(B1419="",C1419=""),"",C1419&amp;"|"&amp;(YEAR(B1419)*100+MONTH(B1419)))</f>
        <v/>
      </c>
      <c r="AI1419" s="70" t="str">
        <f aca="false">IF(AH1419="","",IF(COUNTIF(L_CLAVE,AH1419)&gt;1,"⚠ Duplicado","OK"))</f>
        <v/>
      </c>
      <c r="AJ1419" s="86" t="str">
        <f aca="false">IF(AH1419="","",IF(SUMPRODUCT(MAX((IND_PER&lt;=B1419)*(IND_UF&lt;&gt;"")*IND_PER))=0,UF_HOY,INDEX(IND_UF,MATCH(SUMPRODUCT(MAX((IND_PER&lt;=B1419)*(IND_UF&lt;&gt;"")*IND_PER)),IND_PER,0))))</f>
        <v/>
      </c>
      <c r="AK1419" s="87" t="str">
        <f aca="false">IF(AH1419="","",IF(COUNTIF(TASA_DESDE,"&lt;="&amp;B1419)=0,INDEX(TASA_EMP,1),INDEX(TASA_EMP,COUNTIF(TASA_DESDE,"&lt;="&amp;B1419))))</f>
        <v/>
      </c>
    </row>
    <row r="1420" customFormat="false" ht="15" hidden="false" customHeight="false" outlineLevel="0" collapsed="false">
      <c r="B1420" s="78"/>
      <c r="C1420" s="64"/>
      <c r="D1420" s="72" t="str">
        <f aca="false">IF(C1420="","",IFERROR(INDEX(T_NOMBRE,MATCH(C1420,T_ID,0)),"⚠ ID no existe"))</f>
        <v/>
      </c>
      <c r="E1420" s="69"/>
      <c r="F1420" s="67"/>
      <c r="G1420" s="67"/>
      <c r="H1420" s="67"/>
      <c r="I1420" s="67"/>
      <c r="J1420" s="67"/>
      <c r="K1420" s="85" t="str">
        <f aca="false">IF(AH1420="","",N(F1420)+N(G1420)+N(H1420)-N(I1420)+N(J1420))</f>
        <v/>
      </c>
      <c r="L1420" s="67"/>
      <c r="M1420" s="67"/>
      <c r="N1420" s="67"/>
      <c r="O1420" s="67"/>
      <c r="P1420" s="85" t="str">
        <f aca="false">IF(AH1420="","",K1420+N(L1420)+N(M1420)+N(N1420)+N(O1420))</f>
        <v/>
      </c>
      <c r="Q1420" s="67"/>
      <c r="R1420" s="67"/>
      <c r="S1420" s="67"/>
      <c r="T1420" s="67"/>
      <c r="U1420" s="67"/>
      <c r="V1420" s="67"/>
      <c r="W1420" s="85" t="str">
        <f aca="false">IF(AH1420="","",N(Q1420)+N(R1420)+N(S1420)+N(T1420)+N(U1420)+N(V1420))</f>
        <v/>
      </c>
      <c r="X1420" s="85" t="str">
        <f aca="false">IF(AH1420="","",P1420-W1420)</f>
        <v/>
      </c>
      <c r="Y1420" s="67"/>
      <c r="Z1420" s="70" t="str">
        <f aca="false">IF(OR(AH1420="",Y1420=""),"",IF(ABS(X1420-Y1420)&lt;=1,"✓ Cuadra","⚠ Diferencia $"&amp;FIXED(X1420-Y1420,0)))</f>
        <v/>
      </c>
      <c r="AA1420" s="72" t="str">
        <f aca="false">IF(AH1420="","",IFERROR(INDEX(C_TIPO,MATCH(C1420&amp;"-P"&amp;MAX(1,COUNTIFS(C_ID,C1420,C_DEFINE,"Sí",C_INICIO,"&lt;="&amp;EOMONTH(B1420,0))),C_CLAVE,0))&amp;"","Sin dato"))</f>
        <v/>
      </c>
      <c r="AB1420" s="71" t="str">
        <f aca="false">IF(AH1420="","",ROUND(MIN(K1420,TOPE_AFP_UF*AJ1420)*AK1420,0))</f>
        <v/>
      </c>
      <c r="AC1420" s="71" t="str">
        <f aca="false">IF(AH1420="","",ROUND(MIN(K1420,TOPE_AFC_UF*AJ1420)*IF(AA1420="Indefinido",AFC_EMP_INDEF,AFC_EMP_PF),0))</f>
        <v/>
      </c>
      <c r="AD1420" s="71" t="str">
        <f aca="false">IF(AH1420="","",ROUND(MIN(K1420,TOPE_AFP_UF*AJ1420)*(MUTUAL_BASICA+MUTUAL_ADIC+SANNA),0))</f>
        <v/>
      </c>
      <c r="AE1420" s="71" t="str">
        <f aca="false">IF(AH1420="","",P1420-N(N1420)+AB1420+AC1420+AD1420)</f>
        <v/>
      </c>
      <c r="AF1420" s="65"/>
      <c r="AG1420" s="64"/>
      <c r="AH1420" s="72" t="str">
        <f aca="false">IF(OR(B1420="",C1420=""),"",C1420&amp;"|"&amp;(YEAR(B1420)*100+MONTH(B1420)))</f>
        <v/>
      </c>
      <c r="AI1420" s="70" t="str">
        <f aca="false">IF(AH1420="","",IF(COUNTIF(L_CLAVE,AH1420)&gt;1,"⚠ Duplicado","OK"))</f>
        <v/>
      </c>
      <c r="AJ1420" s="86" t="str">
        <f aca="false">IF(AH1420="","",IF(SUMPRODUCT(MAX((IND_PER&lt;=B1420)*(IND_UF&lt;&gt;"")*IND_PER))=0,UF_HOY,INDEX(IND_UF,MATCH(SUMPRODUCT(MAX((IND_PER&lt;=B1420)*(IND_UF&lt;&gt;"")*IND_PER)),IND_PER,0))))</f>
        <v/>
      </c>
      <c r="AK1420" s="87" t="str">
        <f aca="false">IF(AH1420="","",IF(COUNTIF(TASA_DESDE,"&lt;="&amp;B1420)=0,INDEX(TASA_EMP,1),INDEX(TASA_EMP,COUNTIF(TASA_DESDE,"&lt;="&amp;B1420))))</f>
        <v/>
      </c>
    </row>
    <row r="1421" customFormat="false" ht="15" hidden="false" customHeight="false" outlineLevel="0" collapsed="false">
      <c r="B1421" s="78"/>
      <c r="C1421" s="64"/>
      <c r="D1421" s="72" t="str">
        <f aca="false">IF(C1421="","",IFERROR(INDEX(T_NOMBRE,MATCH(C1421,T_ID,0)),"⚠ ID no existe"))</f>
        <v/>
      </c>
      <c r="E1421" s="69"/>
      <c r="F1421" s="67"/>
      <c r="G1421" s="67"/>
      <c r="H1421" s="67"/>
      <c r="I1421" s="67"/>
      <c r="J1421" s="67"/>
      <c r="K1421" s="85" t="str">
        <f aca="false">IF(AH1421="","",N(F1421)+N(G1421)+N(H1421)-N(I1421)+N(J1421))</f>
        <v/>
      </c>
      <c r="L1421" s="67"/>
      <c r="M1421" s="67"/>
      <c r="N1421" s="67"/>
      <c r="O1421" s="67"/>
      <c r="P1421" s="85" t="str">
        <f aca="false">IF(AH1421="","",K1421+N(L1421)+N(M1421)+N(N1421)+N(O1421))</f>
        <v/>
      </c>
      <c r="Q1421" s="67"/>
      <c r="R1421" s="67"/>
      <c r="S1421" s="67"/>
      <c r="T1421" s="67"/>
      <c r="U1421" s="67"/>
      <c r="V1421" s="67"/>
      <c r="W1421" s="85" t="str">
        <f aca="false">IF(AH1421="","",N(Q1421)+N(R1421)+N(S1421)+N(T1421)+N(U1421)+N(V1421))</f>
        <v/>
      </c>
      <c r="X1421" s="85" t="str">
        <f aca="false">IF(AH1421="","",P1421-W1421)</f>
        <v/>
      </c>
      <c r="Y1421" s="67"/>
      <c r="Z1421" s="70" t="str">
        <f aca="false">IF(OR(AH1421="",Y1421=""),"",IF(ABS(X1421-Y1421)&lt;=1,"✓ Cuadra","⚠ Diferencia $"&amp;FIXED(X1421-Y1421,0)))</f>
        <v/>
      </c>
      <c r="AA1421" s="72" t="str">
        <f aca="false">IF(AH1421="","",IFERROR(INDEX(C_TIPO,MATCH(C1421&amp;"-P"&amp;MAX(1,COUNTIFS(C_ID,C1421,C_DEFINE,"Sí",C_INICIO,"&lt;="&amp;EOMONTH(B1421,0))),C_CLAVE,0))&amp;"","Sin dato"))</f>
        <v/>
      </c>
      <c r="AB1421" s="71" t="str">
        <f aca="false">IF(AH1421="","",ROUND(MIN(K1421,TOPE_AFP_UF*AJ1421)*AK1421,0))</f>
        <v/>
      </c>
      <c r="AC1421" s="71" t="str">
        <f aca="false">IF(AH1421="","",ROUND(MIN(K1421,TOPE_AFC_UF*AJ1421)*IF(AA1421="Indefinido",AFC_EMP_INDEF,AFC_EMP_PF),0))</f>
        <v/>
      </c>
      <c r="AD1421" s="71" t="str">
        <f aca="false">IF(AH1421="","",ROUND(MIN(K1421,TOPE_AFP_UF*AJ1421)*(MUTUAL_BASICA+MUTUAL_ADIC+SANNA),0))</f>
        <v/>
      </c>
      <c r="AE1421" s="71" t="str">
        <f aca="false">IF(AH1421="","",P1421-N(N1421)+AB1421+AC1421+AD1421)</f>
        <v/>
      </c>
      <c r="AF1421" s="65"/>
      <c r="AG1421" s="64"/>
      <c r="AH1421" s="72" t="str">
        <f aca="false">IF(OR(B1421="",C1421=""),"",C1421&amp;"|"&amp;(YEAR(B1421)*100+MONTH(B1421)))</f>
        <v/>
      </c>
      <c r="AI1421" s="70" t="str">
        <f aca="false">IF(AH1421="","",IF(COUNTIF(L_CLAVE,AH1421)&gt;1,"⚠ Duplicado","OK"))</f>
        <v/>
      </c>
      <c r="AJ1421" s="86" t="str">
        <f aca="false">IF(AH1421="","",IF(SUMPRODUCT(MAX((IND_PER&lt;=B1421)*(IND_UF&lt;&gt;"")*IND_PER))=0,UF_HOY,INDEX(IND_UF,MATCH(SUMPRODUCT(MAX((IND_PER&lt;=B1421)*(IND_UF&lt;&gt;"")*IND_PER)),IND_PER,0))))</f>
        <v/>
      </c>
      <c r="AK1421" s="87" t="str">
        <f aca="false">IF(AH1421="","",IF(COUNTIF(TASA_DESDE,"&lt;="&amp;B1421)=0,INDEX(TASA_EMP,1),INDEX(TASA_EMP,COUNTIF(TASA_DESDE,"&lt;="&amp;B1421))))</f>
        <v/>
      </c>
    </row>
    <row r="1422" customFormat="false" ht="15" hidden="false" customHeight="false" outlineLevel="0" collapsed="false">
      <c r="B1422" s="78"/>
      <c r="C1422" s="64"/>
      <c r="D1422" s="72" t="str">
        <f aca="false">IF(C1422="","",IFERROR(INDEX(T_NOMBRE,MATCH(C1422,T_ID,0)),"⚠ ID no existe"))</f>
        <v/>
      </c>
      <c r="E1422" s="69"/>
      <c r="F1422" s="67"/>
      <c r="G1422" s="67"/>
      <c r="H1422" s="67"/>
      <c r="I1422" s="67"/>
      <c r="J1422" s="67"/>
      <c r="K1422" s="85" t="str">
        <f aca="false">IF(AH1422="","",N(F1422)+N(G1422)+N(H1422)-N(I1422)+N(J1422))</f>
        <v/>
      </c>
      <c r="L1422" s="67"/>
      <c r="M1422" s="67"/>
      <c r="N1422" s="67"/>
      <c r="O1422" s="67"/>
      <c r="P1422" s="85" t="str">
        <f aca="false">IF(AH1422="","",K1422+N(L1422)+N(M1422)+N(N1422)+N(O1422))</f>
        <v/>
      </c>
      <c r="Q1422" s="67"/>
      <c r="R1422" s="67"/>
      <c r="S1422" s="67"/>
      <c r="T1422" s="67"/>
      <c r="U1422" s="67"/>
      <c r="V1422" s="67"/>
      <c r="W1422" s="85" t="str">
        <f aca="false">IF(AH1422="","",N(Q1422)+N(R1422)+N(S1422)+N(T1422)+N(U1422)+N(V1422))</f>
        <v/>
      </c>
      <c r="X1422" s="85" t="str">
        <f aca="false">IF(AH1422="","",P1422-W1422)</f>
        <v/>
      </c>
      <c r="Y1422" s="67"/>
      <c r="Z1422" s="70" t="str">
        <f aca="false">IF(OR(AH1422="",Y1422=""),"",IF(ABS(X1422-Y1422)&lt;=1,"✓ Cuadra","⚠ Diferencia $"&amp;FIXED(X1422-Y1422,0)))</f>
        <v/>
      </c>
      <c r="AA1422" s="72" t="str">
        <f aca="false">IF(AH1422="","",IFERROR(INDEX(C_TIPO,MATCH(C1422&amp;"-P"&amp;MAX(1,COUNTIFS(C_ID,C1422,C_DEFINE,"Sí",C_INICIO,"&lt;="&amp;EOMONTH(B1422,0))),C_CLAVE,0))&amp;"","Sin dato"))</f>
        <v/>
      </c>
      <c r="AB1422" s="71" t="str">
        <f aca="false">IF(AH1422="","",ROUND(MIN(K1422,TOPE_AFP_UF*AJ1422)*AK1422,0))</f>
        <v/>
      </c>
      <c r="AC1422" s="71" t="str">
        <f aca="false">IF(AH1422="","",ROUND(MIN(K1422,TOPE_AFC_UF*AJ1422)*IF(AA1422="Indefinido",AFC_EMP_INDEF,AFC_EMP_PF),0))</f>
        <v/>
      </c>
      <c r="AD1422" s="71" t="str">
        <f aca="false">IF(AH1422="","",ROUND(MIN(K1422,TOPE_AFP_UF*AJ1422)*(MUTUAL_BASICA+MUTUAL_ADIC+SANNA),0))</f>
        <v/>
      </c>
      <c r="AE1422" s="71" t="str">
        <f aca="false">IF(AH1422="","",P1422-N(N1422)+AB1422+AC1422+AD1422)</f>
        <v/>
      </c>
      <c r="AF1422" s="65"/>
      <c r="AG1422" s="64"/>
      <c r="AH1422" s="72" t="str">
        <f aca="false">IF(OR(B1422="",C1422=""),"",C1422&amp;"|"&amp;(YEAR(B1422)*100+MONTH(B1422)))</f>
        <v/>
      </c>
      <c r="AI1422" s="70" t="str">
        <f aca="false">IF(AH1422="","",IF(COUNTIF(L_CLAVE,AH1422)&gt;1,"⚠ Duplicado","OK"))</f>
        <v/>
      </c>
      <c r="AJ1422" s="86" t="str">
        <f aca="false">IF(AH1422="","",IF(SUMPRODUCT(MAX((IND_PER&lt;=B1422)*(IND_UF&lt;&gt;"")*IND_PER))=0,UF_HOY,INDEX(IND_UF,MATCH(SUMPRODUCT(MAX((IND_PER&lt;=B1422)*(IND_UF&lt;&gt;"")*IND_PER)),IND_PER,0))))</f>
        <v/>
      </c>
      <c r="AK1422" s="87" t="str">
        <f aca="false">IF(AH1422="","",IF(COUNTIF(TASA_DESDE,"&lt;="&amp;B1422)=0,INDEX(TASA_EMP,1),INDEX(TASA_EMP,COUNTIF(TASA_DESDE,"&lt;="&amp;B1422))))</f>
        <v/>
      </c>
    </row>
    <row r="1423" customFormat="false" ht="15" hidden="false" customHeight="false" outlineLevel="0" collapsed="false">
      <c r="B1423" s="78"/>
      <c r="C1423" s="64"/>
      <c r="D1423" s="72" t="str">
        <f aca="false">IF(C1423="","",IFERROR(INDEX(T_NOMBRE,MATCH(C1423,T_ID,0)),"⚠ ID no existe"))</f>
        <v/>
      </c>
      <c r="E1423" s="69"/>
      <c r="F1423" s="67"/>
      <c r="G1423" s="67"/>
      <c r="H1423" s="67"/>
      <c r="I1423" s="67"/>
      <c r="J1423" s="67"/>
      <c r="K1423" s="85" t="str">
        <f aca="false">IF(AH1423="","",N(F1423)+N(G1423)+N(H1423)-N(I1423)+N(J1423))</f>
        <v/>
      </c>
      <c r="L1423" s="67"/>
      <c r="M1423" s="67"/>
      <c r="N1423" s="67"/>
      <c r="O1423" s="67"/>
      <c r="P1423" s="85" t="str">
        <f aca="false">IF(AH1423="","",K1423+N(L1423)+N(M1423)+N(N1423)+N(O1423))</f>
        <v/>
      </c>
      <c r="Q1423" s="67"/>
      <c r="R1423" s="67"/>
      <c r="S1423" s="67"/>
      <c r="T1423" s="67"/>
      <c r="U1423" s="67"/>
      <c r="V1423" s="67"/>
      <c r="W1423" s="85" t="str">
        <f aca="false">IF(AH1423="","",N(Q1423)+N(R1423)+N(S1423)+N(T1423)+N(U1423)+N(V1423))</f>
        <v/>
      </c>
      <c r="X1423" s="85" t="str">
        <f aca="false">IF(AH1423="","",P1423-W1423)</f>
        <v/>
      </c>
      <c r="Y1423" s="67"/>
      <c r="Z1423" s="70" t="str">
        <f aca="false">IF(OR(AH1423="",Y1423=""),"",IF(ABS(X1423-Y1423)&lt;=1,"✓ Cuadra","⚠ Diferencia $"&amp;FIXED(X1423-Y1423,0)))</f>
        <v/>
      </c>
      <c r="AA1423" s="72" t="str">
        <f aca="false">IF(AH1423="","",IFERROR(INDEX(C_TIPO,MATCH(C1423&amp;"-P"&amp;MAX(1,COUNTIFS(C_ID,C1423,C_DEFINE,"Sí",C_INICIO,"&lt;="&amp;EOMONTH(B1423,0))),C_CLAVE,0))&amp;"","Sin dato"))</f>
        <v/>
      </c>
      <c r="AB1423" s="71" t="str">
        <f aca="false">IF(AH1423="","",ROUND(MIN(K1423,TOPE_AFP_UF*AJ1423)*AK1423,0))</f>
        <v/>
      </c>
      <c r="AC1423" s="71" t="str">
        <f aca="false">IF(AH1423="","",ROUND(MIN(K1423,TOPE_AFC_UF*AJ1423)*IF(AA1423="Indefinido",AFC_EMP_INDEF,AFC_EMP_PF),0))</f>
        <v/>
      </c>
      <c r="AD1423" s="71" t="str">
        <f aca="false">IF(AH1423="","",ROUND(MIN(K1423,TOPE_AFP_UF*AJ1423)*(MUTUAL_BASICA+MUTUAL_ADIC+SANNA),0))</f>
        <v/>
      </c>
      <c r="AE1423" s="71" t="str">
        <f aca="false">IF(AH1423="","",P1423-N(N1423)+AB1423+AC1423+AD1423)</f>
        <v/>
      </c>
      <c r="AF1423" s="65"/>
      <c r="AG1423" s="64"/>
      <c r="AH1423" s="72" t="str">
        <f aca="false">IF(OR(B1423="",C1423=""),"",C1423&amp;"|"&amp;(YEAR(B1423)*100+MONTH(B1423)))</f>
        <v/>
      </c>
      <c r="AI1423" s="70" t="str">
        <f aca="false">IF(AH1423="","",IF(COUNTIF(L_CLAVE,AH1423)&gt;1,"⚠ Duplicado","OK"))</f>
        <v/>
      </c>
      <c r="AJ1423" s="86" t="str">
        <f aca="false">IF(AH1423="","",IF(SUMPRODUCT(MAX((IND_PER&lt;=B1423)*(IND_UF&lt;&gt;"")*IND_PER))=0,UF_HOY,INDEX(IND_UF,MATCH(SUMPRODUCT(MAX((IND_PER&lt;=B1423)*(IND_UF&lt;&gt;"")*IND_PER)),IND_PER,0))))</f>
        <v/>
      </c>
      <c r="AK1423" s="87" t="str">
        <f aca="false">IF(AH1423="","",IF(COUNTIF(TASA_DESDE,"&lt;="&amp;B1423)=0,INDEX(TASA_EMP,1),INDEX(TASA_EMP,COUNTIF(TASA_DESDE,"&lt;="&amp;B1423))))</f>
        <v/>
      </c>
    </row>
    <row r="1424" customFormat="false" ht="15" hidden="false" customHeight="false" outlineLevel="0" collapsed="false">
      <c r="B1424" s="78"/>
      <c r="C1424" s="64"/>
      <c r="D1424" s="72" t="str">
        <f aca="false">IF(C1424="","",IFERROR(INDEX(T_NOMBRE,MATCH(C1424,T_ID,0)),"⚠ ID no existe"))</f>
        <v/>
      </c>
      <c r="E1424" s="69"/>
      <c r="F1424" s="67"/>
      <c r="G1424" s="67"/>
      <c r="H1424" s="67"/>
      <c r="I1424" s="67"/>
      <c r="J1424" s="67"/>
      <c r="K1424" s="85" t="str">
        <f aca="false">IF(AH1424="","",N(F1424)+N(G1424)+N(H1424)-N(I1424)+N(J1424))</f>
        <v/>
      </c>
      <c r="L1424" s="67"/>
      <c r="M1424" s="67"/>
      <c r="N1424" s="67"/>
      <c r="O1424" s="67"/>
      <c r="P1424" s="85" t="str">
        <f aca="false">IF(AH1424="","",K1424+N(L1424)+N(M1424)+N(N1424)+N(O1424))</f>
        <v/>
      </c>
      <c r="Q1424" s="67"/>
      <c r="R1424" s="67"/>
      <c r="S1424" s="67"/>
      <c r="T1424" s="67"/>
      <c r="U1424" s="67"/>
      <c r="V1424" s="67"/>
      <c r="W1424" s="85" t="str">
        <f aca="false">IF(AH1424="","",N(Q1424)+N(R1424)+N(S1424)+N(T1424)+N(U1424)+N(V1424))</f>
        <v/>
      </c>
      <c r="X1424" s="85" t="str">
        <f aca="false">IF(AH1424="","",P1424-W1424)</f>
        <v/>
      </c>
      <c r="Y1424" s="67"/>
      <c r="Z1424" s="70" t="str">
        <f aca="false">IF(OR(AH1424="",Y1424=""),"",IF(ABS(X1424-Y1424)&lt;=1,"✓ Cuadra","⚠ Diferencia $"&amp;FIXED(X1424-Y1424,0)))</f>
        <v/>
      </c>
      <c r="AA1424" s="72" t="str">
        <f aca="false">IF(AH1424="","",IFERROR(INDEX(C_TIPO,MATCH(C1424&amp;"-P"&amp;MAX(1,COUNTIFS(C_ID,C1424,C_DEFINE,"Sí",C_INICIO,"&lt;="&amp;EOMONTH(B1424,0))),C_CLAVE,0))&amp;"","Sin dato"))</f>
        <v/>
      </c>
      <c r="AB1424" s="71" t="str">
        <f aca="false">IF(AH1424="","",ROUND(MIN(K1424,TOPE_AFP_UF*AJ1424)*AK1424,0))</f>
        <v/>
      </c>
      <c r="AC1424" s="71" t="str">
        <f aca="false">IF(AH1424="","",ROUND(MIN(K1424,TOPE_AFC_UF*AJ1424)*IF(AA1424="Indefinido",AFC_EMP_INDEF,AFC_EMP_PF),0))</f>
        <v/>
      </c>
      <c r="AD1424" s="71" t="str">
        <f aca="false">IF(AH1424="","",ROUND(MIN(K1424,TOPE_AFP_UF*AJ1424)*(MUTUAL_BASICA+MUTUAL_ADIC+SANNA),0))</f>
        <v/>
      </c>
      <c r="AE1424" s="71" t="str">
        <f aca="false">IF(AH1424="","",P1424-N(N1424)+AB1424+AC1424+AD1424)</f>
        <v/>
      </c>
      <c r="AF1424" s="65"/>
      <c r="AG1424" s="64"/>
      <c r="AH1424" s="72" t="str">
        <f aca="false">IF(OR(B1424="",C1424=""),"",C1424&amp;"|"&amp;(YEAR(B1424)*100+MONTH(B1424)))</f>
        <v/>
      </c>
      <c r="AI1424" s="70" t="str">
        <f aca="false">IF(AH1424="","",IF(COUNTIF(L_CLAVE,AH1424)&gt;1,"⚠ Duplicado","OK"))</f>
        <v/>
      </c>
      <c r="AJ1424" s="86" t="str">
        <f aca="false">IF(AH1424="","",IF(SUMPRODUCT(MAX((IND_PER&lt;=B1424)*(IND_UF&lt;&gt;"")*IND_PER))=0,UF_HOY,INDEX(IND_UF,MATCH(SUMPRODUCT(MAX((IND_PER&lt;=B1424)*(IND_UF&lt;&gt;"")*IND_PER)),IND_PER,0))))</f>
        <v/>
      </c>
      <c r="AK1424" s="87" t="str">
        <f aca="false">IF(AH1424="","",IF(COUNTIF(TASA_DESDE,"&lt;="&amp;B1424)=0,INDEX(TASA_EMP,1),INDEX(TASA_EMP,COUNTIF(TASA_DESDE,"&lt;="&amp;B1424))))</f>
        <v/>
      </c>
    </row>
    <row r="1425" customFormat="false" ht="15" hidden="false" customHeight="false" outlineLevel="0" collapsed="false">
      <c r="B1425" s="78"/>
      <c r="C1425" s="64"/>
      <c r="D1425" s="72" t="str">
        <f aca="false">IF(C1425="","",IFERROR(INDEX(T_NOMBRE,MATCH(C1425,T_ID,0)),"⚠ ID no existe"))</f>
        <v/>
      </c>
      <c r="E1425" s="69"/>
      <c r="F1425" s="67"/>
      <c r="G1425" s="67"/>
      <c r="H1425" s="67"/>
      <c r="I1425" s="67"/>
      <c r="J1425" s="67"/>
      <c r="K1425" s="85" t="str">
        <f aca="false">IF(AH1425="","",N(F1425)+N(G1425)+N(H1425)-N(I1425)+N(J1425))</f>
        <v/>
      </c>
      <c r="L1425" s="67"/>
      <c r="M1425" s="67"/>
      <c r="N1425" s="67"/>
      <c r="O1425" s="67"/>
      <c r="P1425" s="85" t="str">
        <f aca="false">IF(AH1425="","",K1425+N(L1425)+N(M1425)+N(N1425)+N(O1425))</f>
        <v/>
      </c>
      <c r="Q1425" s="67"/>
      <c r="R1425" s="67"/>
      <c r="S1425" s="67"/>
      <c r="T1425" s="67"/>
      <c r="U1425" s="67"/>
      <c r="V1425" s="67"/>
      <c r="W1425" s="85" t="str">
        <f aca="false">IF(AH1425="","",N(Q1425)+N(R1425)+N(S1425)+N(T1425)+N(U1425)+N(V1425))</f>
        <v/>
      </c>
      <c r="X1425" s="85" t="str">
        <f aca="false">IF(AH1425="","",P1425-W1425)</f>
        <v/>
      </c>
      <c r="Y1425" s="67"/>
      <c r="Z1425" s="70" t="str">
        <f aca="false">IF(OR(AH1425="",Y1425=""),"",IF(ABS(X1425-Y1425)&lt;=1,"✓ Cuadra","⚠ Diferencia $"&amp;FIXED(X1425-Y1425,0)))</f>
        <v/>
      </c>
      <c r="AA1425" s="72" t="str">
        <f aca="false">IF(AH1425="","",IFERROR(INDEX(C_TIPO,MATCH(C1425&amp;"-P"&amp;MAX(1,COUNTIFS(C_ID,C1425,C_DEFINE,"Sí",C_INICIO,"&lt;="&amp;EOMONTH(B1425,0))),C_CLAVE,0))&amp;"","Sin dato"))</f>
        <v/>
      </c>
      <c r="AB1425" s="71" t="str">
        <f aca="false">IF(AH1425="","",ROUND(MIN(K1425,TOPE_AFP_UF*AJ1425)*AK1425,0))</f>
        <v/>
      </c>
      <c r="AC1425" s="71" t="str">
        <f aca="false">IF(AH1425="","",ROUND(MIN(K1425,TOPE_AFC_UF*AJ1425)*IF(AA1425="Indefinido",AFC_EMP_INDEF,AFC_EMP_PF),0))</f>
        <v/>
      </c>
      <c r="AD1425" s="71" t="str">
        <f aca="false">IF(AH1425="","",ROUND(MIN(K1425,TOPE_AFP_UF*AJ1425)*(MUTUAL_BASICA+MUTUAL_ADIC+SANNA),0))</f>
        <v/>
      </c>
      <c r="AE1425" s="71" t="str">
        <f aca="false">IF(AH1425="","",P1425-N(N1425)+AB1425+AC1425+AD1425)</f>
        <v/>
      </c>
      <c r="AF1425" s="65"/>
      <c r="AG1425" s="64"/>
      <c r="AH1425" s="72" t="str">
        <f aca="false">IF(OR(B1425="",C1425=""),"",C1425&amp;"|"&amp;(YEAR(B1425)*100+MONTH(B1425)))</f>
        <v/>
      </c>
      <c r="AI1425" s="70" t="str">
        <f aca="false">IF(AH1425="","",IF(COUNTIF(L_CLAVE,AH1425)&gt;1,"⚠ Duplicado","OK"))</f>
        <v/>
      </c>
      <c r="AJ1425" s="86" t="str">
        <f aca="false">IF(AH1425="","",IF(SUMPRODUCT(MAX((IND_PER&lt;=B1425)*(IND_UF&lt;&gt;"")*IND_PER))=0,UF_HOY,INDEX(IND_UF,MATCH(SUMPRODUCT(MAX((IND_PER&lt;=B1425)*(IND_UF&lt;&gt;"")*IND_PER)),IND_PER,0))))</f>
        <v/>
      </c>
      <c r="AK1425" s="87" t="str">
        <f aca="false">IF(AH1425="","",IF(COUNTIF(TASA_DESDE,"&lt;="&amp;B1425)=0,INDEX(TASA_EMP,1),INDEX(TASA_EMP,COUNTIF(TASA_DESDE,"&lt;="&amp;B1425))))</f>
        <v/>
      </c>
    </row>
    <row r="1426" customFormat="false" ht="15" hidden="false" customHeight="false" outlineLevel="0" collapsed="false">
      <c r="B1426" s="78"/>
      <c r="C1426" s="64"/>
      <c r="D1426" s="72" t="str">
        <f aca="false">IF(C1426="","",IFERROR(INDEX(T_NOMBRE,MATCH(C1426,T_ID,0)),"⚠ ID no existe"))</f>
        <v/>
      </c>
      <c r="E1426" s="69"/>
      <c r="F1426" s="67"/>
      <c r="G1426" s="67"/>
      <c r="H1426" s="67"/>
      <c r="I1426" s="67"/>
      <c r="J1426" s="67"/>
      <c r="K1426" s="85" t="str">
        <f aca="false">IF(AH1426="","",N(F1426)+N(G1426)+N(H1426)-N(I1426)+N(J1426))</f>
        <v/>
      </c>
      <c r="L1426" s="67"/>
      <c r="M1426" s="67"/>
      <c r="N1426" s="67"/>
      <c r="O1426" s="67"/>
      <c r="P1426" s="85" t="str">
        <f aca="false">IF(AH1426="","",K1426+N(L1426)+N(M1426)+N(N1426)+N(O1426))</f>
        <v/>
      </c>
      <c r="Q1426" s="67"/>
      <c r="R1426" s="67"/>
      <c r="S1426" s="67"/>
      <c r="T1426" s="67"/>
      <c r="U1426" s="67"/>
      <c r="V1426" s="67"/>
      <c r="W1426" s="85" t="str">
        <f aca="false">IF(AH1426="","",N(Q1426)+N(R1426)+N(S1426)+N(T1426)+N(U1426)+N(V1426))</f>
        <v/>
      </c>
      <c r="X1426" s="85" t="str">
        <f aca="false">IF(AH1426="","",P1426-W1426)</f>
        <v/>
      </c>
      <c r="Y1426" s="67"/>
      <c r="Z1426" s="70" t="str">
        <f aca="false">IF(OR(AH1426="",Y1426=""),"",IF(ABS(X1426-Y1426)&lt;=1,"✓ Cuadra","⚠ Diferencia $"&amp;FIXED(X1426-Y1426,0)))</f>
        <v/>
      </c>
      <c r="AA1426" s="72" t="str">
        <f aca="false">IF(AH1426="","",IFERROR(INDEX(C_TIPO,MATCH(C1426&amp;"-P"&amp;MAX(1,COUNTIFS(C_ID,C1426,C_DEFINE,"Sí",C_INICIO,"&lt;="&amp;EOMONTH(B1426,0))),C_CLAVE,0))&amp;"","Sin dato"))</f>
        <v/>
      </c>
      <c r="AB1426" s="71" t="str">
        <f aca="false">IF(AH1426="","",ROUND(MIN(K1426,TOPE_AFP_UF*AJ1426)*AK1426,0))</f>
        <v/>
      </c>
      <c r="AC1426" s="71" t="str">
        <f aca="false">IF(AH1426="","",ROUND(MIN(K1426,TOPE_AFC_UF*AJ1426)*IF(AA1426="Indefinido",AFC_EMP_INDEF,AFC_EMP_PF),0))</f>
        <v/>
      </c>
      <c r="AD1426" s="71" t="str">
        <f aca="false">IF(AH1426="","",ROUND(MIN(K1426,TOPE_AFP_UF*AJ1426)*(MUTUAL_BASICA+MUTUAL_ADIC+SANNA),0))</f>
        <v/>
      </c>
      <c r="AE1426" s="71" t="str">
        <f aca="false">IF(AH1426="","",P1426-N(N1426)+AB1426+AC1426+AD1426)</f>
        <v/>
      </c>
      <c r="AF1426" s="65"/>
      <c r="AG1426" s="64"/>
      <c r="AH1426" s="72" t="str">
        <f aca="false">IF(OR(B1426="",C1426=""),"",C1426&amp;"|"&amp;(YEAR(B1426)*100+MONTH(B1426)))</f>
        <v/>
      </c>
      <c r="AI1426" s="70" t="str">
        <f aca="false">IF(AH1426="","",IF(COUNTIF(L_CLAVE,AH1426)&gt;1,"⚠ Duplicado","OK"))</f>
        <v/>
      </c>
      <c r="AJ1426" s="86" t="str">
        <f aca="false">IF(AH1426="","",IF(SUMPRODUCT(MAX((IND_PER&lt;=B1426)*(IND_UF&lt;&gt;"")*IND_PER))=0,UF_HOY,INDEX(IND_UF,MATCH(SUMPRODUCT(MAX((IND_PER&lt;=B1426)*(IND_UF&lt;&gt;"")*IND_PER)),IND_PER,0))))</f>
        <v/>
      </c>
      <c r="AK1426" s="87" t="str">
        <f aca="false">IF(AH1426="","",IF(COUNTIF(TASA_DESDE,"&lt;="&amp;B1426)=0,INDEX(TASA_EMP,1),INDEX(TASA_EMP,COUNTIF(TASA_DESDE,"&lt;="&amp;B1426))))</f>
        <v/>
      </c>
    </row>
    <row r="1427" customFormat="false" ht="15" hidden="false" customHeight="false" outlineLevel="0" collapsed="false">
      <c r="B1427" s="78"/>
      <c r="C1427" s="64"/>
      <c r="D1427" s="72" t="str">
        <f aca="false">IF(C1427="","",IFERROR(INDEX(T_NOMBRE,MATCH(C1427,T_ID,0)),"⚠ ID no existe"))</f>
        <v/>
      </c>
      <c r="E1427" s="69"/>
      <c r="F1427" s="67"/>
      <c r="G1427" s="67"/>
      <c r="H1427" s="67"/>
      <c r="I1427" s="67"/>
      <c r="J1427" s="67"/>
      <c r="K1427" s="85" t="str">
        <f aca="false">IF(AH1427="","",N(F1427)+N(G1427)+N(H1427)-N(I1427)+N(J1427))</f>
        <v/>
      </c>
      <c r="L1427" s="67"/>
      <c r="M1427" s="67"/>
      <c r="N1427" s="67"/>
      <c r="O1427" s="67"/>
      <c r="P1427" s="85" t="str">
        <f aca="false">IF(AH1427="","",K1427+N(L1427)+N(M1427)+N(N1427)+N(O1427))</f>
        <v/>
      </c>
      <c r="Q1427" s="67"/>
      <c r="R1427" s="67"/>
      <c r="S1427" s="67"/>
      <c r="T1427" s="67"/>
      <c r="U1427" s="67"/>
      <c r="V1427" s="67"/>
      <c r="W1427" s="85" t="str">
        <f aca="false">IF(AH1427="","",N(Q1427)+N(R1427)+N(S1427)+N(T1427)+N(U1427)+N(V1427))</f>
        <v/>
      </c>
      <c r="X1427" s="85" t="str">
        <f aca="false">IF(AH1427="","",P1427-W1427)</f>
        <v/>
      </c>
      <c r="Y1427" s="67"/>
      <c r="Z1427" s="70" t="str">
        <f aca="false">IF(OR(AH1427="",Y1427=""),"",IF(ABS(X1427-Y1427)&lt;=1,"✓ Cuadra","⚠ Diferencia $"&amp;FIXED(X1427-Y1427,0)))</f>
        <v/>
      </c>
      <c r="AA1427" s="72" t="str">
        <f aca="false">IF(AH1427="","",IFERROR(INDEX(C_TIPO,MATCH(C1427&amp;"-P"&amp;MAX(1,COUNTIFS(C_ID,C1427,C_DEFINE,"Sí",C_INICIO,"&lt;="&amp;EOMONTH(B1427,0))),C_CLAVE,0))&amp;"","Sin dato"))</f>
        <v/>
      </c>
      <c r="AB1427" s="71" t="str">
        <f aca="false">IF(AH1427="","",ROUND(MIN(K1427,TOPE_AFP_UF*AJ1427)*AK1427,0))</f>
        <v/>
      </c>
      <c r="AC1427" s="71" t="str">
        <f aca="false">IF(AH1427="","",ROUND(MIN(K1427,TOPE_AFC_UF*AJ1427)*IF(AA1427="Indefinido",AFC_EMP_INDEF,AFC_EMP_PF),0))</f>
        <v/>
      </c>
      <c r="AD1427" s="71" t="str">
        <f aca="false">IF(AH1427="","",ROUND(MIN(K1427,TOPE_AFP_UF*AJ1427)*(MUTUAL_BASICA+MUTUAL_ADIC+SANNA),0))</f>
        <v/>
      </c>
      <c r="AE1427" s="71" t="str">
        <f aca="false">IF(AH1427="","",P1427-N(N1427)+AB1427+AC1427+AD1427)</f>
        <v/>
      </c>
      <c r="AF1427" s="65"/>
      <c r="AG1427" s="64"/>
      <c r="AH1427" s="72" t="str">
        <f aca="false">IF(OR(B1427="",C1427=""),"",C1427&amp;"|"&amp;(YEAR(B1427)*100+MONTH(B1427)))</f>
        <v/>
      </c>
      <c r="AI1427" s="70" t="str">
        <f aca="false">IF(AH1427="","",IF(COUNTIF(L_CLAVE,AH1427)&gt;1,"⚠ Duplicado","OK"))</f>
        <v/>
      </c>
      <c r="AJ1427" s="86" t="str">
        <f aca="false">IF(AH1427="","",IF(SUMPRODUCT(MAX((IND_PER&lt;=B1427)*(IND_UF&lt;&gt;"")*IND_PER))=0,UF_HOY,INDEX(IND_UF,MATCH(SUMPRODUCT(MAX((IND_PER&lt;=B1427)*(IND_UF&lt;&gt;"")*IND_PER)),IND_PER,0))))</f>
        <v/>
      </c>
      <c r="AK1427" s="87" t="str">
        <f aca="false">IF(AH1427="","",IF(COUNTIF(TASA_DESDE,"&lt;="&amp;B1427)=0,INDEX(TASA_EMP,1),INDEX(TASA_EMP,COUNTIF(TASA_DESDE,"&lt;="&amp;B1427))))</f>
        <v/>
      </c>
    </row>
    <row r="1428" customFormat="false" ht="15" hidden="false" customHeight="false" outlineLevel="0" collapsed="false">
      <c r="B1428" s="78"/>
      <c r="C1428" s="64"/>
      <c r="D1428" s="72" t="str">
        <f aca="false">IF(C1428="","",IFERROR(INDEX(T_NOMBRE,MATCH(C1428,T_ID,0)),"⚠ ID no existe"))</f>
        <v/>
      </c>
      <c r="E1428" s="69"/>
      <c r="F1428" s="67"/>
      <c r="G1428" s="67"/>
      <c r="H1428" s="67"/>
      <c r="I1428" s="67"/>
      <c r="J1428" s="67"/>
      <c r="K1428" s="85" t="str">
        <f aca="false">IF(AH1428="","",N(F1428)+N(G1428)+N(H1428)-N(I1428)+N(J1428))</f>
        <v/>
      </c>
      <c r="L1428" s="67"/>
      <c r="M1428" s="67"/>
      <c r="N1428" s="67"/>
      <c r="O1428" s="67"/>
      <c r="P1428" s="85" t="str">
        <f aca="false">IF(AH1428="","",K1428+N(L1428)+N(M1428)+N(N1428)+N(O1428))</f>
        <v/>
      </c>
      <c r="Q1428" s="67"/>
      <c r="R1428" s="67"/>
      <c r="S1428" s="67"/>
      <c r="T1428" s="67"/>
      <c r="U1428" s="67"/>
      <c r="V1428" s="67"/>
      <c r="W1428" s="85" t="str">
        <f aca="false">IF(AH1428="","",N(Q1428)+N(R1428)+N(S1428)+N(T1428)+N(U1428)+N(V1428))</f>
        <v/>
      </c>
      <c r="X1428" s="85" t="str">
        <f aca="false">IF(AH1428="","",P1428-W1428)</f>
        <v/>
      </c>
      <c r="Y1428" s="67"/>
      <c r="Z1428" s="70" t="str">
        <f aca="false">IF(OR(AH1428="",Y1428=""),"",IF(ABS(X1428-Y1428)&lt;=1,"✓ Cuadra","⚠ Diferencia $"&amp;FIXED(X1428-Y1428,0)))</f>
        <v/>
      </c>
      <c r="AA1428" s="72" t="str">
        <f aca="false">IF(AH1428="","",IFERROR(INDEX(C_TIPO,MATCH(C1428&amp;"-P"&amp;MAX(1,COUNTIFS(C_ID,C1428,C_DEFINE,"Sí",C_INICIO,"&lt;="&amp;EOMONTH(B1428,0))),C_CLAVE,0))&amp;"","Sin dato"))</f>
        <v/>
      </c>
      <c r="AB1428" s="71" t="str">
        <f aca="false">IF(AH1428="","",ROUND(MIN(K1428,TOPE_AFP_UF*AJ1428)*AK1428,0))</f>
        <v/>
      </c>
      <c r="AC1428" s="71" t="str">
        <f aca="false">IF(AH1428="","",ROUND(MIN(K1428,TOPE_AFC_UF*AJ1428)*IF(AA1428="Indefinido",AFC_EMP_INDEF,AFC_EMP_PF),0))</f>
        <v/>
      </c>
      <c r="AD1428" s="71" t="str">
        <f aca="false">IF(AH1428="","",ROUND(MIN(K1428,TOPE_AFP_UF*AJ1428)*(MUTUAL_BASICA+MUTUAL_ADIC+SANNA),0))</f>
        <v/>
      </c>
      <c r="AE1428" s="71" t="str">
        <f aca="false">IF(AH1428="","",P1428-N(N1428)+AB1428+AC1428+AD1428)</f>
        <v/>
      </c>
      <c r="AF1428" s="65"/>
      <c r="AG1428" s="64"/>
      <c r="AH1428" s="72" t="str">
        <f aca="false">IF(OR(B1428="",C1428=""),"",C1428&amp;"|"&amp;(YEAR(B1428)*100+MONTH(B1428)))</f>
        <v/>
      </c>
      <c r="AI1428" s="70" t="str">
        <f aca="false">IF(AH1428="","",IF(COUNTIF(L_CLAVE,AH1428)&gt;1,"⚠ Duplicado","OK"))</f>
        <v/>
      </c>
      <c r="AJ1428" s="86" t="str">
        <f aca="false">IF(AH1428="","",IF(SUMPRODUCT(MAX((IND_PER&lt;=B1428)*(IND_UF&lt;&gt;"")*IND_PER))=0,UF_HOY,INDEX(IND_UF,MATCH(SUMPRODUCT(MAX((IND_PER&lt;=B1428)*(IND_UF&lt;&gt;"")*IND_PER)),IND_PER,0))))</f>
        <v/>
      </c>
      <c r="AK1428" s="87" t="str">
        <f aca="false">IF(AH1428="","",IF(COUNTIF(TASA_DESDE,"&lt;="&amp;B1428)=0,INDEX(TASA_EMP,1),INDEX(TASA_EMP,COUNTIF(TASA_DESDE,"&lt;="&amp;B1428))))</f>
        <v/>
      </c>
    </row>
    <row r="1429" customFormat="false" ht="15" hidden="false" customHeight="false" outlineLevel="0" collapsed="false">
      <c r="B1429" s="78"/>
      <c r="C1429" s="64"/>
      <c r="D1429" s="72" t="str">
        <f aca="false">IF(C1429="","",IFERROR(INDEX(T_NOMBRE,MATCH(C1429,T_ID,0)),"⚠ ID no existe"))</f>
        <v/>
      </c>
      <c r="E1429" s="69"/>
      <c r="F1429" s="67"/>
      <c r="G1429" s="67"/>
      <c r="H1429" s="67"/>
      <c r="I1429" s="67"/>
      <c r="J1429" s="67"/>
      <c r="K1429" s="85" t="str">
        <f aca="false">IF(AH1429="","",N(F1429)+N(G1429)+N(H1429)-N(I1429)+N(J1429))</f>
        <v/>
      </c>
      <c r="L1429" s="67"/>
      <c r="M1429" s="67"/>
      <c r="N1429" s="67"/>
      <c r="O1429" s="67"/>
      <c r="P1429" s="85" t="str">
        <f aca="false">IF(AH1429="","",K1429+N(L1429)+N(M1429)+N(N1429)+N(O1429))</f>
        <v/>
      </c>
      <c r="Q1429" s="67"/>
      <c r="R1429" s="67"/>
      <c r="S1429" s="67"/>
      <c r="T1429" s="67"/>
      <c r="U1429" s="67"/>
      <c r="V1429" s="67"/>
      <c r="W1429" s="85" t="str">
        <f aca="false">IF(AH1429="","",N(Q1429)+N(R1429)+N(S1429)+N(T1429)+N(U1429)+N(V1429))</f>
        <v/>
      </c>
      <c r="X1429" s="85" t="str">
        <f aca="false">IF(AH1429="","",P1429-W1429)</f>
        <v/>
      </c>
      <c r="Y1429" s="67"/>
      <c r="Z1429" s="70" t="str">
        <f aca="false">IF(OR(AH1429="",Y1429=""),"",IF(ABS(X1429-Y1429)&lt;=1,"✓ Cuadra","⚠ Diferencia $"&amp;FIXED(X1429-Y1429,0)))</f>
        <v/>
      </c>
      <c r="AA1429" s="72" t="str">
        <f aca="false">IF(AH1429="","",IFERROR(INDEX(C_TIPO,MATCH(C1429&amp;"-P"&amp;MAX(1,COUNTIFS(C_ID,C1429,C_DEFINE,"Sí",C_INICIO,"&lt;="&amp;EOMONTH(B1429,0))),C_CLAVE,0))&amp;"","Sin dato"))</f>
        <v/>
      </c>
      <c r="AB1429" s="71" t="str">
        <f aca="false">IF(AH1429="","",ROUND(MIN(K1429,TOPE_AFP_UF*AJ1429)*AK1429,0))</f>
        <v/>
      </c>
      <c r="AC1429" s="71" t="str">
        <f aca="false">IF(AH1429="","",ROUND(MIN(K1429,TOPE_AFC_UF*AJ1429)*IF(AA1429="Indefinido",AFC_EMP_INDEF,AFC_EMP_PF),0))</f>
        <v/>
      </c>
      <c r="AD1429" s="71" t="str">
        <f aca="false">IF(AH1429="","",ROUND(MIN(K1429,TOPE_AFP_UF*AJ1429)*(MUTUAL_BASICA+MUTUAL_ADIC+SANNA),0))</f>
        <v/>
      </c>
      <c r="AE1429" s="71" t="str">
        <f aca="false">IF(AH1429="","",P1429-N(N1429)+AB1429+AC1429+AD1429)</f>
        <v/>
      </c>
      <c r="AF1429" s="65"/>
      <c r="AG1429" s="64"/>
      <c r="AH1429" s="72" t="str">
        <f aca="false">IF(OR(B1429="",C1429=""),"",C1429&amp;"|"&amp;(YEAR(B1429)*100+MONTH(B1429)))</f>
        <v/>
      </c>
      <c r="AI1429" s="70" t="str">
        <f aca="false">IF(AH1429="","",IF(COUNTIF(L_CLAVE,AH1429)&gt;1,"⚠ Duplicado","OK"))</f>
        <v/>
      </c>
      <c r="AJ1429" s="86" t="str">
        <f aca="false">IF(AH1429="","",IF(SUMPRODUCT(MAX((IND_PER&lt;=B1429)*(IND_UF&lt;&gt;"")*IND_PER))=0,UF_HOY,INDEX(IND_UF,MATCH(SUMPRODUCT(MAX((IND_PER&lt;=B1429)*(IND_UF&lt;&gt;"")*IND_PER)),IND_PER,0))))</f>
        <v/>
      </c>
      <c r="AK1429" s="87" t="str">
        <f aca="false">IF(AH1429="","",IF(COUNTIF(TASA_DESDE,"&lt;="&amp;B1429)=0,INDEX(TASA_EMP,1),INDEX(TASA_EMP,COUNTIF(TASA_DESDE,"&lt;="&amp;B1429))))</f>
        <v/>
      </c>
    </row>
    <row r="1430" customFormat="false" ht="15" hidden="false" customHeight="false" outlineLevel="0" collapsed="false">
      <c r="B1430" s="78"/>
      <c r="C1430" s="64"/>
      <c r="D1430" s="72" t="str">
        <f aca="false">IF(C1430="","",IFERROR(INDEX(T_NOMBRE,MATCH(C1430,T_ID,0)),"⚠ ID no existe"))</f>
        <v/>
      </c>
      <c r="E1430" s="69"/>
      <c r="F1430" s="67"/>
      <c r="G1430" s="67"/>
      <c r="H1430" s="67"/>
      <c r="I1430" s="67"/>
      <c r="J1430" s="67"/>
      <c r="K1430" s="85" t="str">
        <f aca="false">IF(AH1430="","",N(F1430)+N(G1430)+N(H1430)-N(I1430)+N(J1430))</f>
        <v/>
      </c>
      <c r="L1430" s="67"/>
      <c r="M1430" s="67"/>
      <c r="N1430" s="67"/>
      <c r="O1430" s="67"/>
      <c r="P1430" s="85" t="str">
        <f aca="false">IF(AH1430="","",K1430+N(L1430)+N(M1430)+N(N1430)+N(O1430))</f>
        <v/>
      </c>
      <c r="Q1430" s="67"/>
      <c r="R1430" s="67"/>
      <c r="S1430" s="67"/>
      <c r="T1430" s="67"/>
      <c r="U1430" s="67"/>
      <c r="V1430" s="67"/>
      <c r="W1430" s="85" t="str">
        <f aca="false">IF(AH1430="","",N(Q1430)+N(R1430)+N(S1430)+N(T1430)+N(U1430)+N(V1430))</f>
        <v/>
      </c>
      <c r="X1430" s="85" t="str">
        <f aca="false">IF(AH1430="","",P1430-W1430)</f>
        <v/>
      </c>
      <c r="Y1430" s="67"/>
      <c r="Z1430" s="70" t="str">
        <f aca="false">IF(OR(AH1430="",Y1430=""),"",IF(ABS(X1430-Y1430)&lt;=1,"✓ Cuadra","⚠ Diferencia $"&amp;FIXED(X1430-Y1430,0)))</f>
        <v/>
      </c>
      <c r="AA1430" s="72" t="str">
        <f aca="false">IF(AH1430="","",IFERROR(INDEX(C_TIPO,MATCH(C1430&amp;"-P"&amp;MAX(1,COUNTIFS(C_ID,C1430,C_DEFINE,"Sí",C_INICIO,"&lt;="&amp;EOMONTH(B1430,0))),C_CLAVE,0))&amp;"","Sin dato"))</f>
        <v/>
      </c>
      <c r="AB1430" s="71" t="str">
        <f aca="false">IF(AH1430="","",ROUND(MIN(K1430,TOPE_AFP_UF*AJ1430)*AK1430,0))</f>
        <v/>
      </c>
      <c r="AC1430" s="71" t="str">
        <f aca="false">IF(AH1430="","",ROUND(MIN(K1430,TOPE_AFC_UF*AJ1430)*IF(AA1430="Indefinido",AFC_EMP_INDEF,AFC_EMP_PF),0))</f>
        <v/>
      </c>
      <c r="AD1430" s="71" t="str">
        <f aca="false">IF(AH1430="","",ROUND(MIN(K1430,TOPE_AFP_UF*AJ1430)*(MUTUAL_BASICA+MUTUAL_ADIC+SANNA),0))</f>
        <v/>
      </c>
      <c r="AE1430" s="71" t="str">
        <f aca="false">IF(AH1430="","",P1430-N(N1430)+AB1430+AC1430+AD1430)</f>
        <v/>
      </c>
      <c r="AF1430" s="65"/>
      <c r="AG1430" s="64"/>
      <c r="AH1430" s="72" t="str">
        <f aca="false">IF(OR(B1430="",C1430=""),"",C1430&amp;"|"&amp;(YEAR(B1430)*100+MONTH(B1430)))</f>
        <v/>
      </c>
      <c r="AI1430" s="70" t="str">
        <f aca="false">IF(AH1430="","",IF(COUNTIF(L_CLAVE,AH1430)&gt;1,"⚠ Duplicado","OK"))</f>
        <v/>
      </c>
      <c r="AJ1430" s="86" t="str">
        <f aca="false">IF(AH1430="","",IF(SUMPRODUCT(MAX((IND_PER&lt;=B1430)*(IND_UF&lt;&gt;"")*IND_PER))=0,UF_HOY,INDEX(IND_UF,MATCH(SUMPRODUCT(MAX((IND_PER&lt;=B1430)*(IND_UF&lt;&gt;"")*IND_PER)),IND_PER,0))))</f>
        <v/>
      </c>
      <c r="AK1430" s="87" t="str">
        <f aca="false">IF(AH1430="","",IF(COUNTIF(TASA_DESDE,"&lt;="&amp;B1430)=0,INDEX(TASA_EMP,1),INDEX(TASA_EMP,COUNTIF(TASA_DESDE,"&lt;="&amp;B1430))))</f>
        <v/>
      </c>
    </row>
    <row r="1431" customFormat="false" ht="15" hidden="false" customHeight="false" outlineLevel="0" collapsed="false">
      <c r="B1431" s="78"/>
      <c r="C1431" s="64"/>
      <c r="D1431" s="72" t="str">
        <f aca="false">IF(C1431="","",IFERROR(INDEX(T_NOMBRE,MATCH(C1431,T_ID,0)),"⚠ ID no existe"))</f>
        <v/>
      </c>
      <c r="E1431" s="69"/>
      <c r="F1431" s="67"/>
      <c r="G1431" s="67"/>
      <c r="H1431" s="67"/>
      <c r="I1431" s="67"/>
      <c r="J1431" s="67"/>
      <c r="K1431" s="85" t="str">
        <f aca="false">IF(AH1431="","",N(F1431)+N(G1431)+N(H1431)-N(I1431)+N(J1431))</f>
        <v/>
      </c>
      <c r="L1431" s="67"/>
      <c r="M1431" s="67"/>
      <c r="N1431" s="67"/>
      <c r="O1431" s="67"/>
      <c r="P1431" s="85" t="str">
        <f aca="false">IF(AH1431="","",K1431+N(L1431)+N(M1431)+N(N1431)+N(O1431))</f>
        <v/>
      </c>
      <c r="Q1431" s="67"/>
      <c r="R1431" s="67"/>
      <c r="S1431" s="67"/>
      <c r="T1431" s="67"/>
      <c r="U1431" s="67"/>
      <c r="V1431" s="67"/>
      <c r="W1431" s="85" t="str">
        <f aca="false">IF(AH1431="","",N(Q1431)+N(R1431)+N(S1431)+N(T1431)+N(U1431)+N(V1431))</f>
        <v/>
      </c>
      <c r="X1431" s="85" t="str">
        <f aca="false">IF(AH1431="","",P1431-W1431)</f>
        <v/>
      </c>
      <c r="Y1431" s="67"/>
      <c r="Z1431" s="70" t="str">
        <f aca="false">IF(OR(AH1431="",Y1431=""),"",IF(ABS(X1431-Y1431)&lt;=1,"✓ Cuadra","⚠ Diferencia $"&amp;FIXED(X1431-Y1431,0)))</f>
        <v/>
      </c>
      <c r="AA1431" s="72" t="str">
        <f aca="false">IF(AH1431="","",IFERROR(INDEX(C_TIPO,MATCH(C1431&amp;"-P"&amp;MAX(1,COUNTIFS(C_ID,C1431,C_DEFINE,"Sí",C_INICIO,"&lt;="&amp;EOMONTH(B1431,0))),C_CLAVE,0))&amp;"","Sin dato"))</f>
        <v/>
      </c>
      <c r="AB1431" s="71" t="str">
        <f aca="false">IF(AH1431="","",ROUND(MIN(K1431,TOPE_AFP_UF*AJ1431)*AK1431,0))</f>
        <v/>
      </c>
      <c r="AC1431" s="71" t="str">
        <f aca="false">IF(AH1431="","",ROUND(MIN(K1431,TOPE_AFC_UF*AJ1431)*IF(AA1431="Indefinido",AFC_EMP_INDEF,AFC_EMP_PF),0))</f>
        <v/>
      </c>
      <c r="AD1431" s="71" t="str">
        <f aca="false">IF(AH1431="","",ROUND(MIN(K1431,TOPE_AFP_UF*AJ1431)*(MUTUAL_BASICA+MUTUAL_ADIC+SANNA),0))</f>
        <v/>
      </c>
      <c r="AE1431" s="71" t="str">
        <f aca="false">IF(AH1431="","",P1431-N(N1431)+AB1431+AC1431+AD1431)</f>
        <v/>
      </c>
      <c r="AF1431" s="65"/>
      <c r="AG1431" s="64"/>
      <c r="AH1431" s="72" t="str">
        <f aca="false">IF(OR(B1431="",C1431=""),"",C1431&amp;"|"&amp;(YEAR(B1431)*100+MONTH(B1431)))</f>
        <v/>
      </c>
      <c r="AI1431" s="70" t="str">
        <f aca="false">IF(AH1431="","",IF(COUNTIF(L_CLAVE,AH1431)&gt;1,"⚠ Duplicado","OK"))</f>
        <v/>
      </c>
      <c r="AJ1431" s="86" t="str">
        <f aca="false">IF(AH1431="","",IF(SUMPRODUCT(MAX((IND_PER&lt;=B1431)*(IND_UF&lt;&gt;"")*IND_PER))=0,UF_HOY,INDEX(IND_UF,MATCH(SUMPRODUCT(MAX((IND_PER&lt;=B1431)*(IND_UF&lt;&gt;"")*IND_PER)),IND_PER,0))))</f>
        <v/>
      </c>
      <c r="AK1431" s="87" t="str">
        <f aca="false">IF(AH1431="","",IF(COUNTIF(TASA_DESDE,"&lt;="&amp;B1431)=0,INDEX(TASA_EMP,1),INDEX(TASA_EMP,COUNTIF(TASA_DESDE,"&lt;="&amp;B1431))))</f>
        <v/>
      </c>
    </row>
    <row r="1432" customFormat="false" ht="15" hidden="false" customHeight="false" outlineLevel="0" collapsed="false">
      <c r="B1432" s="78"/>
      <c r="C1432" s="64"/>
      <c r="D1432" s="72" t="str">
        <f aca="false">IF(C1432="","",IFERROR(INDEX(T_NOMBRE,MATCH(C1432,T_ID,0)),"⚠ ID no existe"))</f>
        <v/>
      </c>
      <c r="E1432" s="69"/>
      <c r="F1432" s="67"/>
      <c r="G1432" s="67"/>
      <c r="H1432" s="67"/>
      <c r="I1432" s="67"/>
      <c r="J1432" s="67"/>
      <c r="K1432" s="85" t="str">
        <f aca="false">IF(AH1432="","",N(F1432)+N(G1432)+N(H1432)-N(I1432)+N(J1432))</f>
        <v/>
      </c>
      <c r="L1432" s="67"/>
      <c r="M1432" s="67"/>
      <c r="N1432" s="67"/>
      <c r="O1432" s="67"/>
      <c r="P1432" s="85" t="str">
        <f aca="false">IF(AH1432="","",K1432+N(L1432)+N(M1432)+N(N1432)+N(O1432))</f>
        <v/>
      </c>
      <c r="Q1432" s="67"/>
      <c r="R1432" s="67"/>
      <c r="S1432" s="67"/>
      <c r="T1432" s="67"/>
      <c r="U1432" s="67"/>
      <c r="V1432" s="67"/>
      <c r="W1432" s="85" t="str">
        <f aca="false">IF(AH1432="","",N(Q1432)+N(R1432)+N(S1432)+N(T1432)+N(U1432)+N(V1432))</f>
        <v/>
      </c>
      <c r="X1432" s="85" t="str">
        <f aca="false">IF(AH1432="","",P1432-W1432)</f>
        <v/>
      </c>
      <c r="Y1432" s="67"/>
      <c r="Z1432" s="70" t="str">
        <f aca="false">IF(OR(AH1432="",Y1432=""),"",IF(ABS(X1432-Y1432)&lt;=1,"✓ Cuadra","⚠ Diferencia $"&amp;FIXED(X1432-Y1432,0)))</f>
        <v/>
      </c>
      <c r="AA1432" s="72" t="str">
        <f aca="false">IF(AH1432="","",IFERROR(INDEX(C_TIPO,MATCH(C1432&amp;"-P"&amp;MAX(1,COUNTIFS(C_ID,C1432,C_DEFINE,"Sí",C_INICIO,"&lt;="&amp;EOMONTH(B1432,0))),C_CLAVE,0))&amp;"","Sin dato"))</f>
        <v/>
      </c>
      <c r="AB1432" s="71" t="str">
        <f aca="false">IF(AH1432="","",ROUND(MIN(K1432,TOPE_AFP_UF*AJ1432)*AK1432,0))</f>
        <v/>
      </c>
      <c r="AC1432" s="71" t="str">
        <f aca="false">IF(AH1432="","",ROUND(MIN(K1432,TOPE_AFC_UF*AJ1432)*IF(AA1432="Indefinido",AFC_EMP_INDEF,AFC_EMP_PF),0))</f>
        <v/>
      </c>
      <c r="AD1432" s="71" t="str">
        <f aca="false">IF(AH1432="","",ROUND(MIN(K1432,TOPE_AFP_UF*AJ1432)*(MUTUAL_BASICA+MUTUAL_ADIC+SANNA),0))</f>
        <v/>
      </c>
      <c r="AE1432" s="71" t="str">
        <f aca="false">IF(AH1432="","",P1432-N(N1432)+AB1432+AC1432+AD1432)</f>
        <v/>
      </c>
      <c r="AF1432" s="65"/>
      <c r="AG1432" s="64"/>
      <c r="AH1432" s="72" t="str">
        <f aca="false">IF(OR(B1432="",C1432=""),"",C1432&amp;"|"&amp;(YEAR(B1432)*100+MONTH(B1432)))</f>
        <v/>
      </c>
      <c r="AI1432" s="70" t="str">
        <f aca="false">IF(AH1432="","",IF(COUNTIF(L_CLAVE,AH1432)&gt;1,"⚠ Duplicado","OK"))</f>
        <v/>
      </c>
      <c r="AJ1432" s="86" t="str">
        <f aca="false">IF(AH1432="","",IF(SUMPRODUCT(MAX((IND_PER&lt;=B1432)*(IND_UF&lt;&gt;"")*IND_PER))=0,UF_HOY,INDEX(IND_UF,MATCH(SUMPRODUCT(MAX((IND_PER&lt;=B1432)*(IND_UF&lt;&gt;"")*IND_PER)),IND_PER,0))))</f>
        <v/>
      </c>
      <c r="AK1432" s="87" t="str">
        <f aca="false">IF(AH1432="","",IF(COUNTIF(TASA_DESDE,"&lt;="&amp;B1432)=0,INDEX(TASA_EMP,1),INDEX(TASA_EMP,COUNTIF(TASA_DESDE,"&lt;="&amp;B1432))))</f>
        <v/>
      </c>
    </row>
    <row r="1433" customFormat="false" ht="15" hidden="false" customHeight="false" outlineLevel="0" collapsed="false">
      <c r="B1433" s="78"/>
      <c r="C1433" s="64"/>
      <c r="D1433" s="72" t="str">
        <f aca="false">IF(C1433="","",IFERROR(INDEX(T_NOMBRE,MATCH(C1433,T_ID,0)),"⚠ ID no existe"))</f>
        <v/>
      </c>
      <c r="E1433" s="69"/>
      <c r="F1433" s="67"/>
      <c r="G1433" s="67"/>
      <c r="H1433" s="67"/>
      <c r="I1433" s="67"/>
      <c r="J1433" s="67"/>
      <c r="K1433" s="85" t="str">
        <f aca="false">IF(AH1433="","",N(F1433)+N(G1433)+N(H1433)-N(I1433)+N(J1433))</f>
        <v/>
      </c>
      <c r="L1433" s="67"/>
      <c r="M1433" s="67"/>
      <c r="N1433" s="67"/>
      <c r="O1433" s="67"/>
      <c r="P1433" s="85" t="str">
        <f aca="false">IF(AH1433="","",K1433+N(L1433)+N(M1433)+N(N1433)+N(O1433))</f>
        <v/>
      </c>
      <c r="Q1433" s="67"/>
      <c r="R1433" s="67"/>
      <c r="S1433" s="67"/>
      <c r="T1433" s="67"/>
      <c r="U1433" s="67"/>
      <c r="V1433" s="67"/>
      <c r="W1433" s="85" t="str">
        <f aca="false">IF(AH1433="","",N(Q1433)+N(R1433)+N(S1433)+N(T1433)+N(U1433)+N(V1433))</f>
        <v/>
      </c>
      <c r="X1433" s="85" t="str">
        <f aca="false">IF(AH1433="","",P1433-W1433)</f>
        <v/>
      </c>
      <c r="Y1433" s="67"/>
      <c r="Z1433" s="70" t="str">
        <f aca="false">IF(OR(AH1433="",Y1433=""),"",IF(ABS(X1433-Y1433)&lt;=1,"✓ Cuadra","⚠ Diferencia $"&amp;FIXED(X1433-Y1433,0)))</f>
        <v/>
      </c>
      <c r="AA1433" s="72" t="str">
        <f aca="false">IF(AH1433="","",IFERROR(INDEX(C_TIPO,MATCH(C1433&amp;"-P"&amp;MAX(1,COUNTIFS(C_ID,C1433,C_DEFINE,"Sí",C_INICIO,"&lt;="&amp;EOMONTH(B1433,0))),C_CLAVE,0))&amp;"","Sin dato"))</f>
        <v/>
      </c>
      <c r="AB1433" s="71" t="str">
        <f aca="false">IF(AH1433="","",ROUND(MIN(K1433,TOPE_AFP_UF*AJ1433)*AK1433,0))</f>
        <v/>
      </c>
      <c r="AC1433" s="71" t="str">
        <f aca="false">IF(AH1433="","",ROUND(MIN(K1433,TOPE_AFC_UF*AJ1433)*IF(AA1433="Indefinido",AFC_EMP_INDEF,AFC_EMP_PF),0))</f>
        <v/>
      </c>
      <c r="AD1433" s="71" t="str">
        <f aca="false">IF(AH1433="","",ROUND(MIN(K1433,TOPE_AFP_UF*AJ1433)*(MUTUAL_BASICA+MUTUAL_ADIC+SANNA),0))</f>
        <v/>
      </c>
      <c r="AE1433" s="71" t="str">
        <f aca="false">IF(AH1433="","",P1433-N(N1433)+AB1433+AC1433+AD1433)</f>
        <v/>
      </c>
      <c r="AF1433" s="65"/>
      <c r="AG1433" s="64"/>
      <c r="AH1433" s="72" t="str">
        <f aca="false">IF(OR(B1433="",C1433=""),"",C1433&amp;"|"&amp;(YEAR(B1433)*100+MONTH(B1433)))</f>
        <v/>
      </c>
      <c r="AI1433" s="70" t="str">
        <f aca="false">IF(AH1433="","",IF(COUNTIF(L_CLAVE,AH1433)&gt;1,"⚠ Duplicado","OK"))</f>
        <v/>
      </c>
      <c r="AJ1433" s="86" t="str">
        <f aca="false">IF(AH1433="","",IF(SUMPRODUCT(MAX((IND_PER&lt;=B1433)*(IND_UF&lt;&gt;"")*IND_PER))=0,UF_HOY,INDEX(IND_UF,MATCH(SUMPRODUCT(MAX((IND_PER&lt;=B1433)*(IND_UF&lt;&gt;"")*IND_PER)),IND_PER,0))))</f>
        <v/>
      </c>
      <c r="AK1433" s="87" t="str">
        <f aca="false">IF(AH1433="","",IF(COUNTIF(TASA_DESDE,"&lt;="&amp;B1433)=0,INDEX(TASA_EMP,1),INDEX(TASA_EMP,COUNTIF(TASA_DESDE,"&lt;="&amp;B1433))))</f>
        <v/>
      </c>
    </row>
    <row r="1434" customFormat="false" ht="15" hidden="false" customHeight="false" outlineLevel="0" collapsed="false">
      <c r="B1434" s="78"/>
      <c r="C1434" s="64"/>
      <c r="D1434" s="72" t="str">
        <f aca="false">IF(C1434="","",IFERROR(INDEX(T_NOMBRE,MATCH(C1434,T_ID,0)),"⚠ ID no existe"))</f>
        <v/>
      </c>
      <c r="E1434" s="69"/>
      <c r="F1434" s="67"/>
      <c r="G1434" s="67"/>
      <c r="H1434" s="67"/>
      <c r="I1434" s="67"/>
      <c r="J1434" s="67"/>
      <c r="K1434" s="85" t="str">
        <f aca="false">IF(AH1434="","",N(F1434)+N(G1434)+N(H1434)-N(I1434)+N(J1434))</f>
        <v/>
      </c>
      <c r="L1434" s="67"/>
      <c r="M1434" s="67"/>
      <c r="N1434" s="67"/>
      <c r="O1434" s="67"/>
      <c r="P1434" s="85" t="str">
        <f aca="false">IF(AH1434="","",K1434+N(L1434)+N(M1434)+N(N1434)+N(O1434))</f>
        <v/>
      </c>
      <c r="Q1434" s="67"/>
      <c r="R1434" s="67"/>
      <c r="S1434" s="67"/>
      <c r="T1434" s="67"/>
      <c r="U1434" s="67"/>
      <c r="V1434" s="67"/>
      <c r="W1434" s="85" t="str">
        <f aca="false">IF(AH1434="","",N(Q1434)+N(R1434)+N(S1434)+N(T1434)+N(U1434)+N(V1434))</f>
        <v/>
      </c>
      <c r="X1434" s="85" t="str">
        <f aca="false">IF(AH1434="","",P1434-W1434)</f>
        <v/>
      </c>
      <c r="Y1434" s="67"/>
      <c r="Z1434" s="70" t="str">
        <f aca="false">IF(OR(AH1434="",Y1434=""),"",IF(ABS(X1434-Y1434)&lt;=1,"✓ Cuadra","⚠ Diferencia $"&amp;FIXED(X1434-Y1434,0)))</f>
        <v/>
      </c>
      <c r="AA1434" s="72" t="str">
        <f aca="false">IF(AH1434="","",IFERROR(INDEX(C_TIPO,MATCH(C1434&amp;"-P"&amp;MAX(1,COUNTIFS(C_ID,C1434,C_DEFINE,"Sí",C_INICIO,"&lt;="&amp;EOMONTH(B1434,0))),C_CLAVE,0))&amp;"","Sin dato"))</f>
        <v/>
      </c>
      <c r="AB1434" s="71" t="str">
        <f aca="false">IF(AH1434="","",ROUND(MIN(K1434,TOPE_AFP_UF*AJ1434)*AK1434,0))</f>
        <v/>
      </c>
      <c r="AC1434" s="71" t="str">
        <f aca="false">IF(AH1434="","",ROUND(MIN(K1434,TOPE_AFC_UF*AJ1434)*IF(AA1434="Indefinido",AFC_EMP_INDEF,AFC_EMP_PF),0))</f>
        <v/>
      </c>
      <c r="AD1434" s="71" t="str">
        <f aca="false">IF(AH1434="","",ROUND(MIN(K1434,TOPE_AFP_UF*AJ1434)*(MUTUAL_BASICA+MUTUAL_ADIC+SANNA),0))</f>
        <v/>
      </c>
      <c r="AE1434" s="71" t="str">
        <f aca="false">IF(AH1434="","",P1434-N(N1434)+AB1434+AC1434+AD1434)</f>
        <v/>
      </c>
      <c r="AF1434" s="65"/>
      <c r="AG1434" s="64"/>
      <c r="AH1434" s="72" t="str">
        <f aca="false">IF(OR(B1434="",C1434=""),"",C1434&amp;"|"&amp;(YEAR(B1434)*100+MONTH(B1434)))</f>
        <v/>
      </c>
      <c r="AI1434" s="70" t="str">
        <f aca="false">IF(AH1434="","",IF(COUNTIF(L_CLAVE,AH1434)&gt;1,"⚠ Duplicado","OK"))</f>
        <v/>
      </c>
      <c r="AJ1434" s="86" t="str">
        <f aca="false">IF(AH1434="","",IF(SUMPRODUCT(MAX((IND_PER&lt;=B1434)*(IND_UF&lt;&gt;"")*IND_PER))=0,UF_HOY,INDEX(IND_UF,MATCH(SUMPRODUCT(MAX((IND_PER&lt;=B1434)*(IND_UF&lt;&gt;"")*IND_PER)),IND_PER,0))))</f>
        <v/>
      </c>
      <c r="AK1434" s="87" t="str">
        <f aca="false">IF(AH1434="","",IF(COUNTIF(TASA_DESDE,"&lt;="&amp;B1434)=0,INDEX(TASA_EMP,1),INDEX(TASA_EMP,COUNTIF(TASA_DESDE,"&lt;="&amp;B1434))))</f>
        <v/>
      </c>
    </row>
    <row r="1435" customFormat="false" ht="15" hidden="false" customHeight="false" outlineLevel="0" collapsed="false">
      <c r="B1435" s="78"/>
      <c r="C1435" s="64"/>
      <c r="D1435" s="72" t="str">
        <f aca="false">IF(C1435="","",IFERROR(INDEX(T_NOMBRE,MATCH(C1435,T_ID,0)),"⚠ ID no existe"))</f>
        <v/>
      </c>
      <c r="E1435" s="69"/>
      <c r="F1435" s="67"/>
      <c r="G1435" s="67"/>
      <c r="H1435" s="67"/>
      <c r="I1435" s="67"/>
      <c r="J1435" s="67"/>
      <c r="K1435" s="85" t="str">
        <f aca="false">IF(AH1435="","",N(F1435)+N(G1435)+N(H1435)-N(I1435)+N(J1435))</f>
        <v/>
      </c>
      <c r="L1435" s="67"/>
      <c r="M1435" s="67"/>
      <c r="N1435" s="67"/>
      <c r="O1435" s="67"/>
      <c r="P1435" s="85" t="str">
        <f aca="false">IF(AH1435="","",K1435+N(L1435)+N(M1435)+N(N1435)+N(O1435))</f>
        <v/>
      </c>
      <c r="Q1435" s="67"/>
      <c r="R1435" s="67"/>
      <c r="S1435" s="67"/>
      <c r="T1435" s="67"/>
      <c r="U1435" s="67"/>
      <c r="V1435" s="67"/>
      <c r="W1435" s="85" t="str">
        <f aca="false">IF(AH1435="","",N(Q1435)+N(R1435)+N(S1435)+N(T1435)+N(U1435)+N(V1435))</f>
        <v/>
      </c>
      <c r="X1435" s="85" t="str">
        <f aca="false">IF(AH1435="","",P1435-W1435)</f>
        <v/>
      </c>
      <c r="Y1435" s="67"/>
      <c r="Z1435" s="70" t="str">
        <f aca="false">IF(OR(AH1435="",Y1435=""),"",IF(ABS(X1435-Y1435)&lt;=1,"✓ Cuadra","⚠ Diferencia $"&amp;FIXED(X1435-Y1435,0)))</f>
        <v/>
      </c>
      <c r="AA1435" s="72" t="str">
        <f aca="false">IF(AH1435="","",IFERROR(INDEX(C_TIPO,MATCH(C1435&amp;"-P"&amp;MAX(1,COUNTIFS(C_ID,C1435,C_DEFINE,"Sí",C_INICIO,"&lt;="&amp;EOMONTH(B1435,0))),C_CLAVE,0))&amp;"","Sin dato"))</f>
        <v/>
      </c>
      <c r="AB1435" s="71" t="str">
        <f aca="false">IF(AH1435="","",ROUND(MIN(K1435,TOPE_AFP_UF*AJ1435)*AK1435,0))</f>
        <v/>
      </c>
      <c r="AC1435" s="71" t="str">
        <f aca="false">IF(AH1435="","",ROUND(MIN(K1435,TOPE_AFC_UF*AJ1435)*IF(AA1435="Indefinido",AFC_EMP_INDEF,AFC_EMP_PF),0))</f>
        <v/>
      </c>
      <c r="AD1435" s="71" t="str">
        <f aca="false">IF(AH1435="","",ROUND(MIN(K1435,TOPE_AFP_UF*AJ1435)*(MUTUAL_BASICA+MUTUAL_ADIC+SANNA),0))</f>
        <v/>
      </c>
      <c r="AE1435" s="71" t="str">
        <f aca="false">IF(AH1435="","",P1435-N(N1435)+AB1435+AC1435+AD1435)</f>
        <v/>
      </c>
      <c r="AF1435" s="65"/>
      <c r="AG1435" s="64"/>
      <c r="AH1435" s="72" t="str">
        <f aca="false">IF(OR(B1435="",C1435=""),"",C1435&amp;"|"&amp;(YEAR(B1435)*100+MONTH(B1435)))</f>
        <v/>
      </c>
      <c r="AI1435" s="70" t="str">
        <f aca="false">IF(AH1435="","",IF(COUNTIF(L_CLAVE,AH1435)&gt;1,"⚠ Duplicado","OK"))</f>
        <v/>
      </c>
      <c r="AJ1435" s="86" t="str">
        <f aca="false">IF(AH1435="","",IF(SUMPRODUCT(MAX((IND_PER&lt;=B1435)*(IND_UF&lt;&gt;"")*IND_PER))=0,UF_HOY,INDEX(IND_UF,MATCH(SUMPRODUCT(MAX((IND_PER&lt;=B1435)*(IND_UF&lt;&gt;"")*IND_PER)),IND_PER,0))))</f>
        <v/>
      </c>
      <c r="AK1435" s="87" t="str">
        <f aca="false">IF(AH1435="","",IF(COUNTIF(TASA_DESDE,"&lt;="&amp;B1435)=0,INDEX(TASA_EMP,1),INDEX(TASA_EMP,COUNTIF(TASA_DESDE,"&lt;="&amp;B1435))))</f>
        <v/>
      </c>
    </row>
    <row r="1436" customFormat="false" ht="15" hidden="false" customHeight="false" outlineLevel="0" collapsed="false">
      <c r="B1436" s="78"/>
      <c r="C1436" s="64"/>
      <c r="D1436" s="72" t="str">
        <f aca="false">IF(C1436="","",IFERROR(INDEX(T_NOMBRE,MATCH(C1436,T_ID,0)),"⚠ ID no existe"))</f>
        <v/>
      </c>
      <c r="E1436" s="69"/>
      <c r="F1436" s="67"/>
      <c r="G1436" s="67"/>
      <c r="H1436" s="67"/>
      <c r="I1436" s="67"/>
      <c r="J1436" s="67"/>
      <c r="K1436" s="85" t="str">
        <f aca="false">IF(AH1436="","",N(F1436)+N(G1436)+N(H1436)-N(I1436)+N(J1436))</f>
        <v/>
      </c>
      <c r="L1436" s="67"/>
      <c r="M1436" s="67"/>
      <c r="N1436" s="67"/>
      <c r="O1436" s="67"/>
      <c r="P1436" s="85" t="str">
        <f aca="false">IF(AH1436="","",K1436+N(L1436)+N(M1436)+N(N1436)+N(O1436))</f>
        <v/>
      </c>
      <c r="Q1436" s="67"/>
      <c r="R1436" s="67"/>
      <c r="S1436" s="67"/>
      <c r="T1436" s="67"/>
      <c r="U1436" s="67"/>
      <c r="V1436" s="67"/>
      <c r="W1436" s="85" t="str">
        <f aca="false">IF(AH1436="","",N(Q1436)+N(R1436)+N(S1436)+N(T1436)+N(U1436)+N(V1436))</f>
        <v/>
      </c>
      <c r="X1436" s="85" t="str">
        <f aca="false">IF(AH1436="","",P1436-W1436)</f>
        <v/>
      </c>
      <c r="Y1436" s="67"/>
      <c r="Z1436" s="70" t="str">
        <f aca="false">IF(OR(AH1436="",Y1436=""),"",IF(ABS(X1436-Y1436)&lt;=1,"✓ Cuadra","⚠ Diferencia $"&amp;FIXED(X1436-Y1436,0)))</f>
        <v/>
      </c>
      <c r="AA1436" s="72" t="str">
        <f aca="false">IF(AH1436="","",IFERROR(INDEX(C_TIPO,MATCH(C1436&amp;"-P"&amp;MAX(1,COUNTIFS(C_ID,C1436,C_DEFINE,"Sí",C_INICIO,"&lt;="&amp;EOMONTH(B1436,0))),C_CLAVE,0))&amp;"","Sin dato"))</f>
        <v/>
      </c>
      <c r="AB1436" s="71" t="str">
        <f aca="false">IF(AH1436="","",ROUND(MIN(K1436,TOPE_AFP_UF*AJ1436)*AK1436,0))</f>
        <v/>
      </c>
      <c r="AC1436" s="71" t="str">
        <f aca="false">IF(AH1436="","",ROUND(MIN(K1436,TOPE_AFC_UF*AJ1436)*IF(AA1436="Indefinido",AFC_EMP_INDEF,AFC_EMP_PF),0))</f>
        <v/>
      </c>
      <c r="AD1436" s="71" t="str">
        <f aca="false">IF(AH1436="","",ROUND(MIN(K1436,TOPE_AFP_UF*AJ1436)*(MUTUAL_BASICA+MUTUAL_ADIC+SANNA),0))</f>
        <v/>
      </c>
      <c r="AE1436" s="71" t="str">
        <f aca="false">IF(AH1436="","",P1436-N(N1436)+AB1436+AC1436+AD1436)</f>
        <v/>
      </c>
      <c r="AF1436" s="65"/>
      <c r="AG1436" s="64"/>
      <c r="AH1436" s="72" t="str">
        <f aca="false">IF(OR(B1436="",C1436=""),"",C1436&amp;"|"&amp;(YEAR(B1436)*100+MONTH(B1436)))</f>
        <v/>
      </c>
      <c r="AI1436" s="70" t="str">
        <f aca="false">IF(AH1436="","",IF(COUNTIF(L_CLAVE,AH1436)&gt;1,"⚠ Duplicado","OK"))</f>
        <v/>
      </c>
      <c r="AJ1436" s="86" t="str">
        <f aca="false">IF(AH1436="","",IF(SUMPRODUCT(MAX((IND_PER&lt;=B1436)*(IND_UF&lt;&gt;"")*IND_PER))=0,UF_HOY,INDEX(IND_UF,MATCH(SUMPRODUCT(MAX((IND_PER&lt;=B1436)*(IND_UF&lt;&gt;"")*IND_PER)),IND_PER,0))))</f>
        <v/>
      </c>
      <c r="AK1436" s="87" t="str">
        <f aca="false">IF(AH1436="","",IF(COUNTIF(TASA_DESDE,"&lt;="&amp;B1436)=0,INDEX(TASA_EMP,1),INDEX(TASA_EMP,COUNTIF(TASA_DESDE,"&lt;="&amp;B1436))))</f>
        <v/>
      </c>
    </row>
    <row r="1437" customFormat="false" ht="15" hidden="false" customHeight="false" outlineLevel="0" collapsed="false">
      <c r="B1437" s="78"/>
      <c r="C1437" s="64"/>
      <c r="D1437" s="72" t="str">
        <f aca="false">IF(C1437="","",IFERROR(INDEX(T_NOMBRE,MATCH(C1437,T_ID,0)),"⚠ ID no existe"))</f>
        <v/>
      </c>
      <c r="E1437" s="69"/>
      <c r="F1437" s="67"/>
      <c r="G1437" s="67"/>
      <c r="H1437" s="67"/>
      <c r="I1437" s="67"/>
      <c r="J1437" s="67"/>
      <c r="K1437" s="85" t="str">
        <f aca="false">IF(AH1437="","",N(F1437)+N(G1437)+N(H1437)-N(I1437)+N(J1437))</f>
        <v/>
      </c>
      <c r="L1437" s="67"/>
      <c r="M1437" s="67"/>
      <c r="N1437" s="67"/>
      <c r="O1437" s="67"/>
      <c r="P1437" s="85" t="str">
        <f aca="false">IF(AH1437="","",K1437+N(L1437)+N(M1437)+N(N1437)+N(O1437))</f>
        <v/>
      </c>
      <c r="Q1437" s="67"/>
      <c r="R1437" s="67"/>
      <c r="S1437" s="67"/>
      <c r="T1437" s="67"/>
      <c r="U1437" s="67"/>
      <c r="V1437" s="67"/>
      <c r="W1437" s="85" t="str">
        <f aca="false">IF(AH1437="","",N(Q1437)+N(R1437)+N(S1437)+N(T1437)+N(U1437)+N(V1437))</f>
        <v/>
      </c>
      <c r="X1437" s="85" t="str">
        <f aca="false">IF(AH1437="","",P1437-W1437)</f>
        <v/>
      </c>
      <c r="Y1437" s="67"/>
      <c r="Z1437" s="70" t="str">
        <f aca="false">IF(OR(AH1437="",Y1437=""),"",IF(ABS(X1437-Y1437)&lt;=1,"✓ Cuadra","⚠ Diferencia $"&amp;FIXED(X1437-Y1437,0)))</f>
        <v/>
      </c>
      <c r="AA1437" s="72" t="str">
        <f aca="false">IF(AH1437="","",IFERROR(INDEX(C_TIPO,MATCH(C1437&amp;"-P"&amp;MAX(1,COUNTIFS(C_ID,C1437,C_DEFINE,"Sí",C_INICIO,"&lt;="&amp;EOMONTH(B1437,0))),C_CLAVE,0))&amp;"","Sin dato"))</f>
        <v/>
      </c>
      <c r="AB1437" s="71" t="str">
        <f aca="false">IF(AH1437="","",ROUND(MIN(K1437,TOPE_AFP_UF*AJ1437)*AK1437,0))</f>
        <v/>
      </c>
      <c r="AC1437" s="71" t="str">
        <f aca="false">IF(AH1437="","",ROUND(MIN(K1437,TOPE_AFC_UF*AJ1437)*IF(AA1437="Indefinido",AFC_EMP_INDEF,AFC_EMP_PF),0))</f>
        <v/>
      </c>
      <c r="AD1437" s="71" t="str">
        <f aca="false">IF(AH1437="","",ROUND(MIN(K1437,TOPE_AFP_UF*AJ1437)*(MUTUAL_BASICA+MUTUAL_ADIC+SANNA),0))</f>
        <v/>
      </c>
      <c r="AE1437" s="71" t="str">
        <f aca="false">IF(AH1437="","",P1437-N(N1437)+AB1437+AC1437+AD1437)</f>
        <v/>
      </c>
      <c r="AF1437" s="65"/>
      <c r="AG1437" s="64"/>
      <c r="AH1437" s="72" t="str">
        <f aca="false">IF(OR(B1437="",C1437=""),"",C1437&amp;"|"&amp;(YEAR(B1437)*100+MONTH(B1437)))</f>
        <v/>
      </c>
      <c r="AI1437" s="70" t="str">
        <f aca="false">IF(AH1437="","",IF(COUNTIF(L_CLAVE,AH1437)&gt;1,"⚠ Duplicado","OK"))</f>
        <v/>
      </c>
      <c r="AJ1437" s="86" t="str">
        <f aca="false">IF(AH1437="","",IF(SUMPRODUCT(MAX((IND_PER&lt;=B1437)*(IND_UF&lt;&gt;"")*IND_PER))=0,UF_HOY,INDEX(IND_UF,MATCH(SUMPRODUCT(MAX((IND_PER&lt;=B1437)*(IND_UF&lt;&gt;"")*IND_PER)),IND_PER,0))))</f>
        <v/>
      </c>
      <c r="AK1437" s="87" t="str">
        <f aca="false">IF(AH1437="","",IF(COUNTIF(TASA_DESDE,"&lt;="&amp;B1437)=0,INDEX(TASA_EMP,1),INDEX(TASA_EMP,COUNTIF(TASA_DESDE,"&lt;="&amp;B1437))))</f>
        <v/>
      </c>
    </row>
    <row r="1438" customFormat="false" ht="15" hidden="false" customHeight="false" outlineLevel="0" collapsed="false">
      <c r="B1438" s="78"/>
      <c r="C1438" s="64"/>
      <c r="D1438" s="72" t="str">
        <f aca="false">IF(C1438="","",IFERROR(INDEX(T_NOMBRE,MATCH(C1438,T_ID,0)),"⚠ ID no existe"))</f>
        <v/>
      </c>
      <c r="E1438" s="69"/>
      <c r="F1438" s="67"/>
      <c r="G1438" s="67"/>
      <c r="H1438" s="67"/>
      <c r="I1438" s="67"/>
      <c r="J1438" s="67"/>
      <c r="K1438" s="85" t="str">
        <f aca="false">IF(AH1438="","",N(F1438)+N(G1438)+N(H1438)-N(I1438)+N(J1438))</f>
        <v/>
      </c>
      <c r="L1438" s="67"/>
      <c r="M1438" s="67"/>
      <c r="N1438" s="67"/>
      <c r="O1438" s="67"/>
      <c r="P1438" s="85" t="str">
        <f aca="false">IF(AH1438="","",K1438+N(L1438)+N(M1438)+N(N1438)+N(O1438))</f>
        <v/>
      </c>
      <c r="Q1438" s="67"/>
      <c r="R1438" s="67"/>
      <c r="S1438" s="67"/>
      <c r="T1438" s="67"/>
      <c r="U1438" s="67"/>
      <c r="V1438" s="67"/>
      <c r="W1438" s="85" t="str">
        <f aca="false">IF(AH1438="","",N(Q1438)+N(R1438)+N(S1438)+N(T1438)+N(U1438)+N(V1438))</f>
        <v/>
      </c>
      <c r="X1438" s="85" t="str">
        <f aca="false">IF(AH1438="","",P1438-W1438)</f>
        <v/>
      </c>
      <c r="Y1438" s="67"/>
      <c r="Z1438" s="70" t="str">
        <f aca="false">IF(OR(AH1438="",Y1438=""),"",IF(ABS(X1438-Y1438)&lt;=1,"✓ Cuadra","⚠ Diferencia $"&amp;FIXED(X1438-Y1438,0)))</f>
        <v/>
      </c>
      <c r="AA1438" s="72" t="str">
        <f aca="false">IF(AH1438="","",IFERROR(INDEX(C_TIPO,MATCH(C1438&amp;"-P"&amp;MAX(1,COUNTIFS(C_ID,C1438,C_DEFINE,"Sí",C_INICIO,"&lt;="&amp;EOMONTH(B1438,0))),C_CLAVE,0))&amp;"","Sin dato"))</f>
        <v/>
      </c>
      <c r="AB1438" s="71" t="str">
        <f aca="false">IF(AH1438="","",ROUND(MIN(K1438,TOPE_AFP_UF*AJ1438)*AK1438,0))</f>
        <v/>
      </c>
      <c r="AC1438" s="71" t="str">
        <f aca="false">IF(AH1438="","",ROUND(MIN(K1438,TOPE_AFC_UF*AJ1438)*IF(AA1438="Indefinido",AFC_EMP_INDEF,AFC_EMP_PF),0))</f>
        <v/>
      </c>
      <c r="AD1438" s="71" t="str">
        <f aca="false">IF(AH1438="","",ROUND(MIN(K1438,TOPE_AFP_UF*AJ1438)*(MUTUAL_BASICA+MUTUAL_ADIC+SANNA),0))</f>
        <v/>
      </c>
      <c r="AE1438" s="71" t="str">
        <f aca="false">IF(AH1438="","",P1438-N(N1438)+AB1438+AC1438+AD1438)</f>
        <v/>
      </c>
      <c r="AF1438" s="65"/>
      <c r="AG1438" s="64"/>
      <c r="AH1438" s="72" t="str">
        <f aca="false">IF(OR(B1438="",C1438=""),"",C1438&amp;"|"&amp;(YEAR(B1438)*100+MONTH(B1438)))</f>
        <v/>
      </c>
      <c r="AI1438" s="70" t="str">
        <f aca="false">IF(AH1438="","",IF(COUNTIF(L_CLAVE,AH1438)&gt;1,"⚠ Duplicado","OK"))</f>
        <v/>
      </c>
      <c r="AJ1438" s="86" t="str">
        <f aca="false">IF(AH1438="","",IF(SUMPRODUCT(MAX((IND_PER&lt;=B1438)*(IND_UF&lt;&gt;"")*IND_PER))=0,UF_HOY,INDEX(IND_UF,MATCH(SUMPRODUCT(MAX((IND_PER&lt;=B1438)*(IND_UF&lt;&gt;"")*IND_PER)),IND_PER,0))))</f>
        <v/>
      </c>
      <c r="AK1438" s="87" t="str">
        <f aca="false">IF(AH1438="","",IF(COUNTIF(TASA_DESDE,"&lt;="&amp;B1438)=0,INDEX(TASA_EMP,1),INDEX(TASA_EMP,COUNTIF(TASA_DESDE,"&lt;="&amp;B1438))))</f>
        <v/>
      </c>
    </row>
    <row r="1439" customFormat="false" ht="15" hidden="false" customHeight="false" outlineLevel="0" collapsed="false">
      <c r="B1439" s="78"/>
      <c r="C1439" s="64"/>
      <c r="D1439" s="72" t="str">
        <f aca="false">IF(C1439="","",IFERROR(INDEX(T_NOMBRE,MATCH(C1439,T_ID,0)),"⚠ ID no existe"))</f>
        <v/>
      </c>
      <c r="E1439" s="69"/>
      <c r="F1439" s="67"/>
      <c r="G1439" s="67"/>
      <c r="H1439" s="67"/>
      <c r="I1439" s="67"/>
      <c r="J1439" s="67"/>
      <c r="K1439" s="85" t="str">
        <f aca="false">IF(AH1439="","",N(F1439)+N(G1439)+N(H1439)-N(I1439)+N(J1439))</f>
        <v/>
      </c>
      <c r="L1439" s="67"/>
      <c r="M1439" s="67"/>
      <c r="N1439" s="67"/>
      <c r="O1439" s="67"/>
      <c r="P1439" s="85" t="str">
        <f aca="false">IF(AH1439="","",K1439+N(L1439)+N(M1439)+N(N1439)+N(O1439))</f>
        <v/>
      </c>
      <c r="Q1439" s="67"/>
      <c r="R1439" s="67"/>
      <c r="S1439" s="67"/>
      <c r="T1439" s="67"/>
      <c r="U1439" s="67"/>
      <c r="V1439" s="67"/>
      <c r="W1439" s="85" t="str">
        <f aca="false">IF(AH1439="","",N(Q1439)+N(R1439)+N(S1439)+N(T1439)+N(U1439)+N(V1439))</f>
        <v/>
      </c>
      <c r="X1439" s="85" t="str">
        <f aca="false">IF(AH1439="","",P1439-W1439)</f>
        <v/>
      </c>
      <c r="Y1439" s="67"/>
      <c r="Z1439" s="70" t="str">
        <f aca="false">IF(OR(AH1439="",Y1439=""),"",IF(ABS(X1439-Y1439)&lt;=1,"✓ Cuadra","⚠ Diferencia $"&amp;FIXED(X1439-Y1439,0)))</f>
        <v/>
      </c>
      <c r="AA1439" s="72" t="str">
        <f aca="false">IF(AH1439="","",IFERROR(INDEX(C_TIPO,MATCH(C1439&amp;"-P"&amp;MAX(1,COUNTIFS(C_ID,C1439,C_DEFINE,"Sí",C_INICIO,"&lt;="&amp;EOMONTH(B1439,0))),C_CLAVE,0))&amp;"","Sin dato"))</f>
        <v/>
      </c>
      <c r="AB1439" s="71" t="str">
        <f aca="false">IF(AH1439="","",ROUND(MIN(K1439,TOPE_AFP_UF*AJ1439)*AK1439,0))</f>
        <v/>
      </c>
      <c r="AC1439" s="71" t="str">
        <f aca="false">IF(AH1439="","",ROUND(MIN(K1439,TOPE_AFC_UF*AJ1439)*IF(AA1439="Indefinido",AFC_EMP_INDEF,AFC_EMP_PF),0))</f>
        <v/>
      </c>
      <c r="AD1439" s="71" t="str">
        <f aca="false">IF(AH1439="","",ROUND(MIN(K1439,TOPE_AFP_UF*AJ1439)*(MUTUAL_BASICA+MUTUAL_ADIC+SANNA),0))</f>
        <v/>
      </c>
      <c r="AE1439" s="71" t="str">
        <f aca="false">IF(AH1439="","",P1439-N(N1439)+AB1439+AC1439+AD1439)</f>
        <v/>
      </c>
      <c r="AF1439" s="65"/>
      <c r="AG1439" s="64"/>
      <c r="AH1439" s="72" t="str">
        <f aca="false">IF(OR(B1439="",C1439=""),"",C1439&amp;"|"&amp;(YEAR(B1439)*100+MONTH(B1439)))</f>
        <v/>
      </c>
      <c r="AI1439" s="70" t="str">
        <f aca="false">IF(AH1439="","",IF(COUNTIF(L_CLAVE,AH1439)&gt;1,"⚠ Duplicado","OK"))</f>
        <v/>
      </c>
      <c r="AJ1439" s="86" t="str">
        <f aca="false">IF(AH1439="","",IF(SUMPRODUCT(MAX((IND_PER&lt;=B1439)*(IND_UF&lt;&gt;"")*IND_PER))=0,UF_HOY,INDEX(IND_UF,MATCH(SUMPRODUCT(MAX((IND_PER&lt;=B1439)*(IND_UF&lt;&gt;"")*IND_PER)),IND_PER,0))))</f>
        <v/>
      </c>
      <c r="AK1439" s="87" t="str">
        <f aca="false">IF(AH1439="","",IF(COUNTIF(TASA_DESDE,"&lt;="&amp;B1439)=0,INDEX(TASA_EMP,1),INDEX(TASA_EMP,COUNTIF(TASA_DESDE,"&lt;="&amp;B1439))))</f>
        <v/>
      </c>
    </row>
    <row r="1440" customFormat="false" ht="15" hidden="false" customHeight="false" outlineLevel="0" collapsed="false">
      <c r="B1440" s="78"/>
      <c r="C1440" s="64"/>
      <c r="D1440" s="72" t="str">
        <f aca="false">IF(C1440="","",IFERROR(INDEX(T_NOMBRE,MATCH(C1440,T_ID,0)),"⚠ ID no existe"))</f>
        <v/>
      </c>
      <c r="E1440" s="69"/>
      <c r="F1440" s="67"/>
      <c r="G1440" s="67"/>
      <c r="H1440" s="67"/>
      <c r="I1440" s="67"/>
      <c r="J1440" s="67"/>
      <c r="K1440" s="85" t="str">
        <f aca="false">IF(AH1440="","",N(F1440)+N(G1440)+N(H1440)-N(I1440)+N(J1440))</f>
        <v/>
      </c>
      <c r="L1440" s="67"/>
      <c r="M1440" s="67"/>
      <c r="N1440" s="67"/>
      <c r="O1440" s="67"/>
      <c r="P1440" s="85" t="str">
        <f aca="false">IF(AH1440="","",K1440+N(L1440)+N(M1440)+N(N1440)+N(O1440))</f>
        <v/>
      </c>
      <c r="Q1440" s="67"/>
      <c r="R1440" s="67"/>
      <c r="S1440" s="67"/>
      <c r="T1440" s="67"/>
      <c r="U1440" s="67"/>
      <c r="V1440" s="67"/>
      <c r="W1440" s="85" t="str">
        <f aca="false">IF(AH1440="","",N(Q1440)+N(R1440)+N(S1440)+N(T1440)+N(U1440)+N(V1440))</f>
        <v/>
      </c>
      <c r="X1440" s="85" t="str">
        <f aca="false">IF(AH1440="","",P1440-W1440)</f>
        <v/>
      </c>
      <c r="Y1440" s="67"/>
      <c r="Z1440" s="70" t="str">
        <f aca="false">IF(OR(AH1440="",Y1440=""),"",IF(ABS(X1440-Y1440)&lt;=1,"✓ Cuadra","⚠ Diferencia $"&amp;FIXED(X1440-Y1440,0)))</f>
        <v/>
      </c>
      <c r="AA1440" s="72" t="str">
        <f aca="false">IF(AH1440="","",IFERROR(INDEX(C_TIPO,MATCH(C1440&amp;"-P"&amp;MAX(1,COUNTIFS(C_ID,C1440,C_DEFINE,"Sí",C_INICIO,"&lt;="&amp;EOMONTH(B1440,0))),C_CLAVE,0))&amp;"","Sin dato"))</f>
        <v/>
      </c>
      <c r="AB1440" s="71" t="str">
        <f aca="false">IF(AH1440="","",ROUND(MIN(K1440,TOPE_AFP_UF*AJ1440)*AK1440,0))</f>
        <v/>
      </c>
      <c r="AC1440" s="71" t="str">
        <f aca="false">IF(AH1440="","",ROUND(MIN(K1440,TOPE_AFC_UF*AJ1440)*IF(AA1440="Indefinido",AFC_EMP_INDEF,AFC_EMP_PF),0))</f>
        <v/>
      </c>
      <c r="AD1440" s="71" t="str">
        <f aca="false">IF(AH1440="","",ROUND(MIN(K1440,TOPE_AFP_UF*AJ1440)*(MUTUAL_BASICA+MUTUAL_ADIC+SANNA),0))</f>
        <v/>
      </c>
      <c r="AE1440" s="71" t="str">
        <f aca="false">IF(AH1440="","",P1440-N(N1440)+AB1440+AC1440+AD1440)</f>
        <v/>
      </c>
      <c r="AF1440" s="65"/>
      <c r="AG1440" s="64"/>
      <c r="AH1440" s="72" t="str">
        <f aca="false">IF(OR(B1440="",C1440=""),"",C1440&amp;"|"&amp;(YEAR(B1440)*100+MONTH(B1440)))</f>
        <v/>
      </c>
      <c r="AI1440" s="70" t="str">
        <f aca="false">IF(AH1440="","",IF(COUNTIF(L_CLAVE,AH1440)&gt;1,"⚠ Duplicado","OK"))</f>
        <v/>
      </c>
      <c r="AJ1440" s="86" t="str">
        <f aca="false">IF(AH1440="","",IF(SUMPRODUCT(MAX((IND_PER&lt;=B1440)*(IND_UF&lt;&gt;"")*IND_PER))=0,UF_HOY,INDEX(IND_UF,MATCH(SUMPRODUCT(MAX((IND_PER&lt;=B1440)*(IND_UF&lt;&gt;"")*IND_PER)),IND_PER,0))))</f>
        <v/>
      </c>
      <c r="AK1440" s="87" t="str">
        <f aca="false">IF(AH1440="","",IF(COUNTIF(TASA_DESDE,"&lt;="&amp;B1440)=0,INDEX(TASA_EMP,1),INDEX(TASA_EMP,COUNTIF(TASA_DESDE,"&lt;="&amp;B1440))))</f>
        <v/>
      </c>
    </row>
    <row r="1441" customFormat="false" ht="15" hidden="false" customHeight="false" outlineLevel="0" collapsed="false">
      <c r="B1441" s="78"/>
      <c r="C1441" s="64"/>
      <c r="D1441" s="72" t="str">
        <f aca="false">IF(C1441="","",IFERROR(INDEX(T_NOMBRE,MATCH(C1441,T_ID,0)),"⚠ ID no existe"))</f>
        <v/>
      </c>
      <c r="E1441" s="69"/>
      <c r="F1441" s="67"/>
      <c r="G1441" s="67"/>
      <c r="H1441" s="67"/>
      <c r="I1441" s="67"/>
      <c r="J1441" s="67"/>
      <c r="K1441" s="85" t="str">
        <f aca="false">IF(AH1441="","",N(F1441)+N(G1441)+N(H1441)-N(I1441)+N(J1441))</f>
        <v/>
      </c>
      <c r="L1441" s="67"/>
      <c r="M1441" s="67"/>
      <c r="N1441" s="67"/>
      <c r="O1441" s="67"/>
      <c r="P1441" s="85" t="str">
        <f aca="false">IF(AH1441="","",K1441+N(L1441)+N(M1441)+N(N1441)+N(O1441))</f>
        <v/>
      </c>
      <c r="Q1441" s="67"/>
      <c r="R1441" s="67"/>
      <c r="S1441" s="67"/>
      <c r="T1441" s="67"/>
      <c r="U1441" s="67"/>
      <c r="V1441" s="67"/>
      <c r="W1441" s="85" t="str">
        <f aca="false">IF(AH1441="","",N(Q1441)+N(R1441)+N(S1441)+N(T1441)+N(U1441)+N(V1441))</f>
        <v/>
      </c>
      <c r="X1441" s="85" t="str">
        <f aca="false">IF(AH1441="","",P1441-W1441)</f>
        <v/>
      </c>
      <c r="Y1441" s="67"/>
      <c r="Z1441" s="70" t="str">
        <f aca="false">IF(OR(AH1441="",Y1441=""),"",IF(ABS(X1441-Y1441)&lt;=1,"✓ Cuadra","⚠ Diferencia $"&amp;FIXED(X1441-Y1441,0)))</f>
        <v/>
      </c>
      <c r="AA1441" s="72" t="str">
        <f aca="false">IF(AH1441="","",IFERROR(INDEX(C_TIPO,MATCH(C1441&amp;"-P"&amp;MAX(1,COUNTIFS(C_ID,C1441,C_DEFINE,"Sí",C_INICIO,"&lt;="&amp;EOMONTH(B1441,0))),C_CLAVE,0))&amp;"","Sin dato"))</f>
        <v/>
      </c>
      <c r="AB1441" s="71" t="str">
        <f aca="false">IF(AH1441="","",ROUND(MIN(K1441,TOPE_AFP_UF*AJ1441)*AK1441,0))</f>
        <v/>
      </c>
      <c r="AC1441" s="71" t="str">
        <f aca="false">IF(AH1441="","",ROUND(MIN(K1441,TOPE_AFC_UF*AJ1441)*IF(AA1441="Indefinido",AFC_EMP_INDEF,AFC_EMP_PF),0))</f>
        <v/>
      </c>
      <c r="AD1441" s="71" t="str">
        <f aca="false">IF(AH1441="","",ROUND(MIN(K1441,TOPE_AFP_UF*AJ1441)*(MUTUAL_BASICA+MUTUAL_ADIC+SANNA),0))</f>
        <v/>
      </c>
      <c r="AE1441" s="71" t="str">
        <f aca="false">IF(AH1441="","",P1441-N(N1441)+AB1441+AC1441+AD1441)</f>
        <v/>
      </c>
      <c r="AF1441" s="65"/>
      <c r="AG1441" s="64"/>
      <c r="AH1441" s="72" t="str">
        <f aca="false">IF(OR(B1441="",C1441=""),"",C1441&amp;"|"&amp;(YEAR(B1441)*100+MONTH(B1441)))</f>
        <v/>
      </c>
      <c r="AI1441" s="70" t="str">
        <f aca="false">IF(AH1441="","",IF(COUNTIF(L_CLAVE,AH1441)&gt;1,"⚠ Duplicado","OK"))</f>
        <v/>
      </c>
      <c r="AJ1441" s="86" t="str">
        <f aca="false">IF(AH1441="","",IF(SUMPRODUCT(MAX((IND_PER&lt;=B1441)*(IND_UF&lt;&gt;"")*IND_PER))=0,UF_HOY,INDEX(IND_UF,MATCH(SUMPRODUCT(MAX((IND_PER&lt;=B1441)*(IND_UF&lt;&gt;"")*IND_PER)),IND_PER,0))))</f>
        <v/>
      </c>
      <c r="AK1441" s="87" t="str">
        <f aca="false">IF(AH1441="","",IF(COUNTIF(TASA_DESDE,"&lt;="&amp;B1441)=0,INDEX(TASA_EMP,1),INDEX(TASA_EMP,COUNTIF(TASA_DESDE,"&lt;="&amp;B1441))))</f>
        <v/>
      </c>
    </row>
    <row r="1442" customFormat="false" ht="15" hidden="false" customHeight="false" outlineLevel="0" collapsed="false">
      <c r="B1442" s="78"/>
      <c r="C1442" s="64"/>
      <c r="D1442" s="72" t="str">
        <f aca="false">IF(C1442="","",IFERROR(INDEX(T_NOMBRE,MATCH(C1442,T_ID,0)),"⚠ ID no existe"))</f>
        <v/>
      </c>
      <c r="E1442" s="69"/>
      <c r="F1442" s="67"/>
      <c r="G1442" s="67"/>
      <c r="H1442" s="67"/>
      <c r="I1442" s="67"/>
      <c r="J1442" s="67"/>
      <c r="K1442" s="85" t="str">
        <f aca="false">IF(AH1442="","",N(F1442)+N(G1442)+N(H1442)-N(I1442)+N(J1442))</f>
        <v/>
      </c>
      <c r="L1442" s="67"/>
      <c r="M1442" s="67"/>
      <c r="N1442" s="67"/>
      <c r="O1442" s="67"/>
      <c r="P1442" s="85" t="str">
        <f aca="false">IF(AH1442="","",K1442+N(L1442)+N(M1442)+N(N1442)+N(O1442))</f>
        <v/>
      </c>
      <c r="Q1442" s="67"/>
      <c r="R1442" s="67"/>
      <c r="S1442" s="67"/>
      <c r="T1442" s="67"/>
      <c r="U1442" s="67"/>
      <c r="V1442" s="67"/>
      <c r="W1442" s="85" t="str">
        <f aca="false">IF(AH1442="","",N(Q1442)+N(R1442)+N(S1442)+N(T1442)+N(U1442)+N(V1442))</f>
        <v/>
      </c>
      <c r="X1442" s="85" t="str">
        <f aca="false">IF(AH1442="","",P1442-W1442)</f>
        <v/>
      </c>
      <c r="Y1442" s="67"/>
      <c r="Z1442" s="70" t="str">
        <f aca="false">IF(OR(AH1442="",Y1442=""),"",IF(ABS(X1442-Y1442)&lt;=1,"✓ Cuadra","⚠ Diferencia $"&amp;FIXED(X1442-Y1442,0)))</f>
        <v/>
      </c>
      <c r="AA1442" s="72" t="str">
        <f aca="false">IF(AH1442="","",IFERROR(INDEX(C_TIPO,MATCH(C1442&amp;"-P"&amp;MAX(1,COUNTIFS(C_ID,C1442,C_DEFINE,"Sí",C_INICIO,"&lt;="&amp;EOMONTH(B1442,0))),C_CLAVE,0))&amp;"","Sin dato"))</f>
        <v/>
      </c>
      <c r="AB1442" s="71" t="str">
        <f aca="false">IF(AH1442="","",ROUND(MIN(K1442,TOPE_AFP_UF*AJ1442)*AK1442,0))</f>
        <v/>
      </c>
      <c r="AC1442" s="71" t="str">
        <f aca="false">IF(AH1442="","",ROUND(MIN(K1442,TOPE_AFC_UF*AJ1442)*IF(AA1442="Indefinido",AFC_EMP_INDEF,AFC_EMP_PF),0))</f>
        <v/>
      </c>
      <c r="AD1442" s="71" t="str">
        <f aca="false">IF(AH1442="","",ROUND(MIN(K1442,TOPE_AFP_UF*AJ1442)*(MUTUAL_BASICA+MUTUAL_ADIC+SANNA),0))</f>
        <v/>
      </c>
      <c r="AE1442" s="71" t="str">
        <f aca="false">IF(AH1442="","",P1442-N(N1442)+AB1442+AC1442+AD1442)</f>
        <v/>
      </c>
      <c r="AF1442" s="65"/>
      <c r="AG1442" s="64"/>
      <c r="AH1442" s="72" t="str">
        <f aca="false">IF(OR(B1442="",C1442=""),"",C1442&amp;"|"&amp;(YEAR(B1442)*100+MONTH(B1442)))</f>
        <v/>
      </c>
      <c r="AI1442" s="70" t="str">
        <f aca="false">IF(AH1442="","",IF(COUNTIF(L_CLAVE,AH1442)&gt;1,"⚠ Duplicado","OK"))</f>
        <v/>
      </c>
      <c r="AJ1442" s="86" t="str">
        <f aca="false">IF(AH1442="","",IF(SUMPRODUCT(MAX((IND_PER&lt;=B1442)*(IND_UF&lt;&gt;"")*IND_PER))=0,UF_HOY,INDEX(IND_UF,MATCH(SUMPRODUCT(MAX((IND_PER&lt;=B1442)*(IND_UF&lt;&gt;"")*IND_PER)),IND_PER,0))))</f>
        <v/>
      </c>
      <c r="AK1442" s="87" t="str">
        <f aca="false">IF(AH1442="","",IF(COUNTIF(TASA_DESDE,"&lt;="&amp;B1442)=0,INDEX(TASA_EMP,1),INDEX(TASA_EMP,COUNTIF(TASA_DESDE,"&lt;="&amp;B1442))))</f>
        <v/>
      </c>
    </row>
    <row r="1443" customFormat="false" ht="15" hidden="false" customHeight="false" outlineLevel="0" collapsed="false">
      <c r="B1443" s="78"/>
      <c r="C1443" s="64"/>
      <c r="D1443" s="72" t="str">
        <f aca="false">IF(C1443="","",IFERROR(INDEX(T_NOMBRE,MATCH(C1443,T_ID,0)),"⚠ ID no existe"))</f>
        <v/>
      </c>
      <c r="E1443" s="69"/>
      <c r="F1443" s="67"/>
      <c r="G1443" s="67"/>
      <c r="H1443" s="67"/>
      <c r="I1443" s="67"/>
      <c r="J1443" s="67"/>
      <c r="K1443" s="85" t="str">
        <f aca="false">IF(AH1443="","",N(F1443)+N(G1443)+N(H1443)-N(I1443)+N(J1443))</f>
        <v/>
      </c>
      <c r="L1443" s="67"/>
      <c r="M1443" s="67"/>
      <c r="N1443" s="67"/>
      <c r="O1443" s="67"/>
      <c r="P1443" s="85" t="str">
        <f aca="false">IF(AH1443="","",K1443+N(L1443)+N(M1443)+N(N1443)+N(O1443))</f>
        <v/>
      </c>
      <c r="Q1443" s="67"/>
      <c r="R1443" s="67"/>
      <c r="S1443" s="67"/>
      <c r="T1443" s="67"/>
      <c r="U1443" s="67"/>
      <c r="V1443" s="67"/>
      <c r="W1443" s="85" t="str">
        <f aca="false">IF(AH1443="","",N(Q1443)+N(R1443)+N(S1443)+N(T1443)+N(U1443)+N(V1443))</f>
        <v/>
      </c>
      <c r="X1443" s="85" t="str">
        <f aca="false">IF(AH1443="","",P1443-W1443)</f>
        <v/>
      </c>
      <c r="Y1443" s="67"/>
      <c r="Z1443" s="70" t="str">
        <f aca="false">IF(OR(AH1443="",Y1443=""),"",IF(ABS(X1443-Y1443)&lt;=1,"✓ Cuadra","⚠ Diferencia $"&amp;FIXED(X1443-Y1443,0)))</f>
        <v/>
      </c>
      <c r="AA1443" s="72" t="str">
        <f aca="false">IF(AH1443="","",IFERROR(INDEX(C_TIPO,MATCH(C1443&amp;"-P"&amp;MAX(1,COUNTIFS(C_ID,C1443,C_DEFINE,"Sí",C_INICIO,"&lt;="&amp;EOMONTH(B1443,0))),C_CLAVE,0))&amp;"","Sin dato"))</f>
        <v/>
      </c>
      <c r="AB1443" s="71" t="str">
        <f aca="false">IF(AH1443="","",ROUND(MIN(K1443,TOPE_AFP_UF*AJ1443)*AK1443,0))</f>
        <v/>
      </c>
      <c r="AC1443" s="71" t="str">
        <f aca="false">IF(AH1443="","",ROUND(MIN(K1443,TOPE_AFC_UF*AJ1443)*IF(AA1443="Indefinido",AFC_EMP_INDEF,AFC_EMP_PF),0))</f>
        <v/>
      </c>
      <c r="AD1443" s="71" t="str">
        <f aca="false">IF(AH1443="","",ROUND(MIN(K1443,TOPE_AFP_UF*AJ1443)*(MUTUAL_BASICA+MUTUAL_ADIC+SANNA),0))</f>
        <v/>
      </c>
      <c r="AE1443" s="71" t="str">
        <f aca="false">IF(AH1443="","",P1443-N(N1443)+AB1443+AC1443+AD1443)</f>
        <v/>
      </c>
      <c r="AF1443" s="65"/>
      <c r="AG1443" s="64"/>
      <c r="AH1443" s="72" t="str">
        <f aca="false">IF(OR(B1443="",C1443=""),"",C1443&amp;"|"&amp;(YEAR(B1443)*100+MONTH(B1443)))</f>
        <v/>
      </c>
      <c r="AI1443" s="70" t="str">
        <f aca="false">IF(AH1443="","",IF(COUNTIF(L_CLAVE,AH1443)&gt;1,"⚠ Duplicado","OK"))</f>
        <v/>
      </c>
      <c r="AJ1443" s="86" t="str">
        <f aca="false">IF(AH1443="","",IF(SUMPRODUCT(MAX((IND_PER&lt;=B1443)*(IND_UF&lt;&gt;"")*IND_PER))=0,UF_HOY,INDEX(IND_UF,MATCH(SUMPRODUCT(MAX((IND_PER&lt;=B1443)*(IND_UF&lt;&gt;"")*IND_PER)),IND_PER,0))))</f>
        <v/>
      </c>
      <c r="AK1443" s="87" t="str">
        <f aca="false">IF(AH1443="","",IF(COUNTIF(TASA_DESDE,"&lt;="&amp;B1443)=0,INDEX(TASA_EMP,1),INDEX(TASA_EMP,COUNTIF(TASA_DESDE,"&lt;="&amp;B1443))))</f>
        <v/>
      </c>
    </row>
    <row r="1444" customFormat="false" ht="15" hidden="false" customHeight="false" outlineLevel="0" collapsed="false">
      <c r="B1444" s="78"/>
      <c r="C1444" s="64"/>
      <c r="D1444" s="72" t="str">
        <f aca="false">IF(C1444="","",IFERROR(INDEX(T_NOMBRE,MATCH(C1444,T_ID,0)),"⚠ ID no existe"))</f>
        <v/>
      </c>
      <c r="E1444" s="69"/>
      <c r="F1444" s="67"/>
      <c r="G1444" s="67"/>
      <c r="H1444" s="67"/>
      <c r="I1444" s="67"/>
      <c r="J1444" s="67"/>
      <c r="K1444" s="85" t="str">
        <f aca="false">IF(AH1444="","",N(F1444)+N(G1444)+N(H1444)-N(I1444)+N(J1444))</f>
        <v/>
      </c>
      <c r="L1444" s="67"/>
      <c r="M1444" s="67"/>
      <c r="N1444" s="67"/>
      <c r="O1444" s="67"/>
      <c r="P1444" s="85" t="str">
        <f aca="false">IF(AH1444="","",K1444+N(L1444)+N(M1444)+N(N1444)+N(O1444))</f>
        <v/>
      </c>
      <c r="Q1444" s="67"/>
      <c r="R1444" s="67"/>
      <c r="S1444" s="67"/>
      <c r="T1444" s="67"/>
      <c r="U1444" s="67"/>
      <c r="V1444" s="67"/>
      <c r="W1444" s="85" t="str">
        <f aca="false">IF(AH1444="","",N(Q1444)+N(R1444)+N(S1444)+N(T1444)+N(U1444)+N(V1444))</f>
        <v/>
      </c>
      <c r="X1444" s="85" t="str">
        <f aca="false">IF(AH1444="","",P1444-W1444)</f>
        <v/>
      </c>
      <c r="Y1444" s="67"/>
      <c r="Z1444" s="70" t="str">
        <f aca="false">IF(OR(AH1444="",Y1444=""),"",IF(ABS(X1444-Y1444)&lt;=1,"✓ Cuadra","⚠ Diferencia $"&amp;FIXED(X1444-Y1444,0)))</f>
        <v/>
      </c>
      <c r="AA1444" s="72" t="str">
        <f aca="false">IF(AH1444="","",IFERROR(INDEX(C_TIPO,MATCH(C1444&amp;"-P"&amp;MAX(1,COUNTIFS(C_ID,C1444,C_DEFINE,"Sí",C_INICIO,"&lt;="&amp;EOMONTH(B1444,0))),C_CLAVE,0))&amp;"","Sin dato"))</f>
        <v/>
      </c>
      <c r="AB1444" s="71" t="str">
        <f aca="false">IF(AH1444="","",ROUND(MIN(K1444,TOPE_AFP_UF*AJ1444)*AK1444,0))</f>
        <v/>
      </c>
      <c r="AC1444" s="71" t="str">
        <f aca="false">IF(AH1444="","",ROUND(MIN(K1444,TOPE_AFC_UF*AJ1444)*IF(AA1444="Indefinido",AFC_EMP_INDEF,AFC_EMP_PF),0))</f>
        <v/>
      </c>
      <c r="AD1444" s="71" t="str">
        <f aca="false">IF(AH1444="","",ROUND(MIN(K1444,TOPE_AFP_UF*AJ1444)*(MUTUAL_BASICA+MUTUAL_ADIC+SANNA),0))</f>
        <v/>
      </c>
      <c r="AE1444" s="71" t="str">
        <f aca="false">IF(AH1444="","",P1444-N(N1444)+AB1444+AC1444+AD1444)</f>
        <v/>
      </c>
      <c r="AF1444" s="65"/>
      <c r="AG1444" s="64"/>
      <c r="AH1444" s="72" t="str">
        <f aca="false">IF(OR(B1444="",C1444=""),"",C1444&amp;"|"&amp;(YEAR(B1444)*100+MONTH(B1444)))</f>
        <v/>
      </c>
      <c r="AI1444" s="70" t="str">
        <f aca="false">IF(AH1444="","",IF(COUNTIF(L_CLAVE,AH1444)&gt;1,"⚠ Duplicado","OK"))</f>
        <v/>
      </c>
      <c r="AJ1444" s="86" t="str">
        <f aca="false">IF(AH1444="","",IF(SUMPRODUCT(MAX((IND_PER&lt;=B1444)*(IND_UF&lt;&gt;"")*IND_PER))=0,UF_HOY,INDEX(IND_UF,MATCH(SUMPRODUCT(MAX((IND_PER&lt;=B1444)*(IND_UF&lt;&gt;"")*IND_PER)),IND_PER,0))))</f>
        <v/>
      </c>
      <c r="AK1444" s="87" t="str">
        <f aca="false">IF(AH1444="","",IF(COUNTIF(TASA_DESDE,"&lt;="&amp;B1444)=0,INDEX(TASA_EMP,1),INDEX(TASA_EMP,COUNTIF(TASA_DESDE,"&lt;="&amp;B1444))))</f>
        <v/>
      </c>
    </row>
    <row r="1445" customFormat="false" ht="15" hidden="false" customHeight="false" outlineLevel="0" collapsed="false">
      <c r="B1445" s="78"/>
      <c r="C1445" s="64"/>
      <c r="D1445" s="72" t="str">
        <f aca="false">IF(C1445="","",IFERROR(INDEX(T_NOMBRE,MATCH(C1445,T_ID,0)),"⚠ ID no existe"))</f>
        <v/>
      </c>
      <c r="E1445" s="69"/>
      <c r="F1445" s="67"/>
      <c r="G1445" s="67"/>
      <c r="H1445" s="67"/>
      <c r="I1445" s="67"/>
      <c r="J1445" s="67"/>
      <c r="K1445" s="85" t="str">
        <f aca="false">IF(AH1445="","",N(F1445)+N(G1445)+N(H1445)-N(I1445)+N(J1445))</f>
        <v/>
      </c>
      <c r="L1445" s="67"/>
      <c r="M1445" s="67"/>
      <c r="N1445" s="67"/>
      <c r="O1445" s="67"/>
      <c r="P1445" s="85" t="str">
        <f aca="false">IF(AH1445="","",K1445+N(L1445)+N(M1445)+N(N1445)+N(O1445))</f>
        <v/>
      </c>
      <c r="Q1445" s="67"/>
      <c r="R1445" s="67"/>
      <c r="S1445" s="67"/>
      <c r="T1445" s="67"/>
      <c r="U1445" s="67"/>
      <c r="V1445" s="67"/>
      <c r="W1445" s="85" t="str">
        <f aca="false">IF(AH1445="","",N(Q1445)+N(R1445)+N(S1445)+N(T1445)+N(U1445)+N(V1445))</f>
        <v/>
      </c>
      <c r="X1445" s="85" t="str">
        <f aca="false">IF(AH1445="","",P1445-W1445)</f>
        <v/>
      </c>
      <c r="Y1445" s="67"/>
      <c r="Z1445" s="70" t="str">
        <f aca="false">IF(OR(AH1445="",Y1445=""),"",IF(ABS(X1445-Y1445)&lt;=1,"✓ Cuadra","⚠ Diferencia $"&amp;FIXED(X1445-Y1445,0)))</f>
        <v/>
      </c>
      <c r="AA1445" s="72" t="str">
        <f aca="false">IF(AH1445="","",IFERROR(INDEX(C_TIPO,MATCH(C1445&amp;"-P"&amp;MAX(1,COUNTIFS(C_ID,C1445,C_DEFINE,"Sí",C_INICIO,"&lt;="&amp;EOMONTH(B1445,0))),C_CLAVE,0))&amp;"","Sin dato"))</f>
        <v/>
      </c>
      <c r="AB1445" s="71" t="str">
        <f aca="false">IF(AH1445="","",ROUND(MIN(K1445,TOPE_AFP_UF*AJ1445)*AK1445,0))</f>
        <v/>
      </c>
      <c r="AC1445" s="71" t="str">
        <f aca="false">IF(AH1445="","",ROUND(MIN(K1445,TOPE_AFC_UF*AJ1445)*IF(AA1445="Indefinido",AFC_EMP_INDEF,AFC_EMP_PF),0))</f>
        <v/>
      </c>
      <c r="AD1445" s="71" t="str">
        <f aca="false">IF(AH1445="","",ROUND(MIN(K1445,TOPE_AFP_UF*AJ1445)*(MUTUAL_BASICA+MUTUAL_ADIC+SANNA),0))</f>
        <v/>
      </c>
      <c r="AE1445" s="71" t="str">
        <f aca="false">IF(AH1445="","",P1445-N(N1445)+AB1445+AC1445+AD1445)</f>
        <v/>
      </c>
      <c r="AF1445" s="65"/>
      <c r="AG1445" s="64"/>
      <c r="AH1445" s="72" t="str">
        <f aca="false">IF(OR(B1445="",C1445=""),"",C1445&amp;"|"&amp;(YEAR(B1445)*100+MONTH(B1445)))</f>
        <v/>
      </c>
      <c r="AI1445" s="70" t="str">
        <f aca="false">IF(AH1445="","",IF(COUNTIF(L_CLAVE,AH1445)&gt;1,"⚠ Duplicado","OK"))</f>
        <v/>
      </c>
      <c r="AJ1445" s="86" t="str">
        <f aca="false">IF(AH1445="","",IF(SUMPRODUCT(MAX((IND_PER&lt;=B1445)*(IND_UF&lt;&gt;"")*IND_PER))=0,UF_HOY,INDEX(IND_UF,MATCH(SUMPRODUCT(MAX((IND_PER&lt;=B1445)*(IND_UF&lt;&gt;"")*IND_PER)),IND_PER,0))))</f>
        <v/>
      </c>
      <c r="AK1445" s="87" t="str">
        <f aca="false">IF(AH1445="","",IF(COUNTIF(TASA_DESDE,"&lt;="&amp;B1445)=0,INDEX(TASA_EMP,1),INDEX(TASA_EMP,COUNTIF(TASA_DESDE,"&lt;="&amp;B1445))))</f>
        <v/>
      </c>
    </row>
    <row r="1446" customFormat="false" ht="15" hidden="false" customHeight="false" outlineLevel="0" collapsed="false">
      <c r="B1446" s="78"/>
      <c r="C1446" s="64"/>
      <c r="D1446" s="72" t="str">
        <f aca="false">IF(C1446="","",IFERROR(INDEX(T_NOMBRE,MATCH(C1446,T_ID,0)),"⚠ ID no existe"))</f>
        <v/>
      </c>
      <c r="E1446" s="69"/>
      <c r="F1446" s="67"/>
      <c r="G1446" s="67"/>
      <c r="H1446" s="67"/>
      <c r="I1446" s="67"/>
      <c r="J1446" s="67"/>
      <c r="K1446" s="85" t="str">
        <f aca="false">IF(AH1446="","",N(F1446)+N(G1446)+N(H1446)-N(I1446)+N(J1446))</f>
        <v/>
      </c>
      <c r="L1446" s="67"/>
      <c r="M1446" s="67"/>
      <c r="N1446" s="67"/>
      <c r="O1446" s="67"/>
      <c r="P1446" s="85" t="str">
        <f aca="false">IF(AH1446="","",K1446+N(L1446)+N(M1446)+N(N1446)+N(O1446))</f>
        <v/>
      </c>
      <c r="Q1446" s="67"/>
      <c r="R1446" s="67"/>
      <c r="S1446" s="67"/>
      <c r="T1446" s="67"/>
      <c r="U1446" s="67"/>
      <c r="V1446" s="67"/>
      <c r="W1446" s="85" t="str">
        <f aca="false">IF(AH1446="","",N(Q1446)+N(R1446)+N(S1446)+N(T1446)+N(U1446)+N(V1446))</f>
        <v/>
      </c>
      <c r="X1446" s="85" t="str">
        <f aca="false">IF(AH1446="","",P1446-W1446)</f>
        <v/>
      </c>
      <c r="Y1446" s="67"/>
      <c r="Z1446" s="70" t="str">
        <f aca="false">IF(OR(AH1446="",Y1446=""),"",IF(ABS(X1446-Y1446)&lt;=1,"✓ Cuadra","⚠ Diferencia $"&amp;FIXED(X1446-Y1446,0)))</f>
        <v/>
      </c>
      <c r="AA1446" s="72" t="str">
        <f aca="false">IF(AH1446="","",IFERROR(INDEX(C_TIPO,MATCH(C1446&amp;"-P"&amp;MAX(1,COUNTIFS(C_ID,C1446,C_DEFINE,"Sí",C_INICIO,"&lt;="&amp;EOMONTH(B1446,0))),C_CLAVE,0))&amp;"","Sin dato"))</f>
        <v/>
      </c>
      <c r="AB1446" s="71" t="str">
        <f aca="false">IF(AH1446="","",ROUND(MIN(K1446,TOPE_AFP_UF*AJ1446)*AK1446,0))</f>
        <v/>
      </c>
      <c r="AC1446" s="71" t="str">
        <f aca="false">IF(AH1446="","",ROUND(MIN(K1446,TOPE_AFC_UF*AJ1446)*IF(AA1446="Indefinido",AFC_EMP_INDEF,AFC_EMP_PF),0))</f>
        <v/>
      </c>
      <c r="AD1446" s="71" t="str">
        <f aca="false">IF(AH1446="","",ROUND(MIN(K1446,TOPE_AFP_UF*AJ1446)*(MUTUAL_BASICA+MUTUAL_ADIC+SANNA),0))</f>
        <v/>
      </c>
      <c r="AE1446" s="71" t="str">
        <f aca="false">IF(AH1446="","",P1446-N(N1446)+AB1446+AC1446+AD1446)</f>
        <v/>
      </c>
      <c r="AF1446" s="65"/>
      <c r="AG1446" s="64"/>
      <c r="AH1446" s="72" t="str">
        <f aca="false">IF(OR(B1446="",C1446=""),"",C1446&amp;"|"&amp;(YEAR(B1446)*100+MONTH(B1446)))</f>
        <v/>
      </c>
      <c r="AI1446" s="70" t="str">
        <f aca="false">IF(AH1446="","",IF(COUNTIF(L_CLAVE,AH1446)&gt;1,"⚠ Duplicado","OK"))</f>
        <v/>
      </c>
      <c r="AJ1446" s="86" t="str">
        <f aca="false">IF(AH1446="","",IF(SUMPRODUCT(MAX((IND_PER&lt;=B1446)*(IND_UF&lt;&gt;"")*IND_PER))=0,UF_HOY,INDEX(IND_UF,MATCH(SUMPRODUCT(MAX((IND_PER&lt;=B1446)*(IND_UF&lt;&gt;"")*IND_PER)),IND_PER,0))))</f>
        <v/>
      </c>
      <c r="AK1446" s="87" t="str">
        <f aca="false">IF(AH1446="","",IF(COUNTIF(TASA_DESDE,"&lt;="&amp;B1446)=0,INDEX(TASA_EMP,1),INDEX(TASA_EMP,COUNTIF(TASA_DESDE,"&lt;="&amp;B1446))))</f>
        <v/>
      </c>
    </row>
    <row r="1447" customFormat="false" ht="15" hidden="false" customHeight="false" outlineLevel="0" collapsed="false">
      <c r="B1447" s="78"/>
      <c r="C1447" s="64"/>
      <c r="D1447" s="72" t="str">
        <f aca="false">IF(C1447="","",IFERROR(INDEX(T_NOMBRE,MATCH(C1447,T_ID,0)),"⚠ ID no existe"))</f>
        <v/>
      </c>
      <c r="E1447" s="69"/>
      <c r="F1447" s="67"/>
      <c r="G1447" s="67"/>
      <c r="H1447" s="67"/>
      <c r="I1447" s="67"/>
      <c r="J1447" s="67"/>
      <c r="K1447" s="85" t="str">
        <f aca="false">IF(AH1447="","",N(F1447)+N(G1447)+N(H1447)-N(I1447)+N(J1447))</f>
        <v/>
      </c>
      <c r="L1447" s="67"/>
      <c r="M1447" s="67"/>
      <c r="N1447" s="67"/>
      <c r="O1447" s="67"/>
      <c r="P1447" s="85" t="str">
        <f aca="false">IF(AH1447="","",K1447+N(L1447)+N(M1447)+N(N1447)+N(O1447))</f>
        <v/>
      </c>
      <c r="Q1447" s="67"/>
      <c r="R1447" s="67"/>
      <c r="S1447" s="67"/>
      <c r="T1447" s="67"/>
      <c r="U1447" s="67"/>
      <c r="V1447" s="67"/>
      <c r="W1447" s="85" t="str">
        <f aca="false">IF(AH1447="","",N(Q1447)+N(R1447)+N(S1447)+N(T1447)+N(U1447)+N(V1447))</f>
        <v/>
      </c>
      <c r="X1447" s="85" t="str">
        <f aca="false">IF(AH1447="","",P1447-W1447)</f>
        <v/>
      </c>
      <c r="Y1447" s="67"/>
      <c r="Z1447" s="70" t="str">
        <f aca="false">IF(OR(AH1447="",Y1447=""),"",IF(ABS(X1447-Y1447)&lt;=1,"✓ Cuadra","⚠ Diferencia $"&amp;FIXED(X1447-Y1447,0)))</f>
        <v/>
      </c>
      <c r="AA1447" s="72" t="str">
        <f aca="false">IF(AH1447="","",IFERROR(INDEX(C_TIPO,MATCH(C1447&amp;"-P"&amp;MAX(1,COUNTIFS(C_ID,C1447,C_DEFINE,"Sí",C_INICIO,"&lt;="&amp;EOMONTH(B1447,0))),C_CLAVE,0))&amp;"","Sin dato"))</f>
        <v/>
      </c>
      <c r="AB1447" s="71" t="str">
        <f aca="false">IF(AH1447="","",ROUND(MIN(K1447,TOPE_AFP_UF*AJ1447)*AK1447,0))</f>
        <v/>
      </c>
      <c r="AC1447" s="71" t="str">
        <f aca="false">IF(AH1447="","",ROUND(MIN(K1447,TOPE_AFC_UF*AJ1447)*IF(AA1447="Indefinido",AFC_EMP_INDEF,AFC_EMP_PF),0))</f>
        <v/>
      </c>
      <c r="AD1447" s="71" t="str">
        <f aca="false">IF(AH1447="","",ROUND(MIN(K1447,TOPE_AFP_UF*AJ1447)*(MUTUAL_BASICA+MUTUAL_ADIC+SANNA),0))</f>
        <v/>
      </c>
      <c r="AE1447" s="71" t="str">
        <f aca="false">IF(AH1447="","",P1447-N(N1447)+AB1447+AC1447+AD1447)</f>
        <v/>
      </c>
      <c r="AF1447" s="65"/>
      <c r="AG1447" s="64"/>
      <c r="AH1447" s="72" t="str">
        <f aca="false">IF(OR(B1447="",C1447=""),"",C1447&amp;"|"&amp;(YEAR(B1447)*100+MONTH(B1447)))</f>
        <v/>
      </c>
      <c r="AI1447" s="70" t="str">
        <f aca="false">IF(AH1447="","",IF(COUNTIF(L_CLAVE,AH1447)&gt;1,"⚠ Duplicado","OK"))</f>
        <v/>
      </c>
      <c r="AJ1447" s="86" t="str">
        <f aca="false">IF(AH1447="","",IF(SUMPRODUCT(MAX((IND_PER&lt;=B1447)*(IND_UF&lt;&gt;"")*IND_PER))=0,UF_HOY,INDEX(IND_UF,MATCH(SUMPRODUCT(MAX((IND_PER&lt;=B1447)*(IND_UF&lt;&gt;"")*IND_PER)),IND_PER,0))))</f>
        <v/>
      </c>
      <c r="AK1447" s="87" t="str">
        <f aca="false">IF(AH1447="","",IF(COUNTIF(TASA_DESDE,"&lt;="&amp;B1447)=0,INDEX(TASA_EMP,1),INDEX(TASA_EMP,COUNTIF(TASA_DESDE,"&lt;="&amp;B1447))))</f>
        <v/>
      </c>
    </row>
    <row r="1448" customFormat="false" ht="15" hidden="false" customHeight="false" outlineLevel="0" collapsed="false">
      <c r="B1448" s="78"/>
      <c r="C1448" s="64"/>
      <c r="D1448" s="72" t="str">
        <f aca="false">IF(C1448="","",IFERROR(INDEX(T_NOMBRE,MATCH(C1448,T_ID,0)),"⚠ ID no existe"))</f>
        <v/>
      </c>
      <c r="E1448" s="69"/>
      <c r="F1448" s="67"/>
      <c r="G1448" s="67"/>
      <c r="H1448" s="67"/>
      <c r="I1448" s="67"/>
      <c r="J1448" s="67"/>
      <c r="K1448" s="85" t="str">
        <f aca="false">IF(AH1448="","",N(F1448)+N(G1448)+N(H1448)-N(I1448)+N(J1448))</f>
        <v/>
      </c>
      <c r="L1448" s="67"/>
      <c r="M1448" s="67"/>
      <c r="N1448" s="67"/>
      <c r="O1448" s="67"/>
      <c r="P1448" s="85" t="str">
        <f aca="false">IF(AH1448="","",K1448+N(L1448)+N(M1448)+N(N1448)+N(O1448))</f>
        <v/>
      </c>
      <c r="Q1448" s="67"/>
      <c r="R1448" s="67"/>
      <c r="S1448" s="67"/>
      <c r="T1448" s="67"/>
      <c r="U1448" s="67"/>
      <c r="V1448" s="67"/>
      <c r="W1448" s="85" t="str">
        <f aca="false">IF(AH1448="","",N(Q1448)+N(R1448)+N(S1448)+N(T1448)+N(U1448)+N(V1448))</f>
        <v/>
      </c>
      <c r="X1448" s="85" t="str">
        <f aca="false">IF(AH1448="","",P1448-W1448)</f>
        <v/>
      </c>
      <c r="Y1448" s="67"/>
      <c r="Z1448" s="70" t="str">
        <f aca="false">IF(OR(AH1448="",Y1448=""),"",IF(ABS(X1448-Y1448)&lt;=1,"✓ Cuadra","⚠ Diferencia $"&amp;FIXED(X1448-Y1448,0)))</f>
        <v/>
      </c>
      <c r="AA1448" s="72" t="str">
        <f aca="false">IF(AH1448="","",IFERROR(INDEX(C_TIPO,MATCH(C1448&amp;"-P"&amp;MAX(1,COUNTIFS(C_ID,C1448,C_DEFINE,"Sí",C_INICIO,"&lt;="&amp;EOMONTH(B1448,0))),C_CLAVE,0))&amp;"","Sin dato"))</f>
        <v/>
      </c>
      <c r="AB1448" s="71" t="str">
        <f aca="false">IF(AH1448="","",ROUND(MIN(K1448,TOPE_AFP_UF*AJ1448)*AK1448,0))</f>
        <v/>
      </c>
      <c r="AC1448" s="71" t="str">
        <f aca="false">IF(AH1448="","",ROUND(MIN(K1448,TOPE_AFC_UF*AJ1448)*IF(AA1448="Indefinido",AFC_EMP_INDEF,AFC_EMP_PF),0))</f>
        <v/>
      </c>
      <c r="AD1448" s="71" t="str">
        <f aca="false">IF(AH1448="","",ROUND(MIN(K1448,TOPE_AFP_UF*AJ1448)*(MUTUAL_BASICA+MUTUAL_ADIC+SANNA),0))</f>
        <v/>
      </c>
      <c r="AE1448" s="71" t="str">
        <f aca="false">IF(AH1448="","",P1448-N(N1448)+AB1448+AC1448+AD1448)</f>
        <v/>
      </c>
      <c r="AF1448" s="65"/>
      <c r="AG1448" s="64"/>
      <c r="AH1448" s="72" t="str">
        <f aca="false">IF(OR(B1448="",C1448=""),"",C1448&amp;"|"&amp;(YEAR(B1448)*100+MONTH(B1448)))</f>
        <v/>
      </c>
      <c r="AI1448" s="70" t="str">
        <f aca="false">IF(AH1448="","",IF(COUNTIF(L_CLAVE,AH1448)&gt;1,"⚠ Duplicado","OK"))</f>
        <v/>
      </c>
      <c r="AJ1448" s="86" t="str">
        <f aca="false">IF(AH1448="","",IF(SUMPRODUCT(MAX((IND_PER&lt;=B1448)*(IND_UF&lt;&gt;"")*IND_PER))=0,UF_HOY,INDEX(IND_UF,MATCH(SUMPRODUCT(MAX((IND_PER&lt;=B1448)*(IND_UF&lt;&gt;"")*IND_PER)),IND_PER,0))))</f>
        <v/>
      </c>
      <c r="AK1448" s="87" t="str">
        <f aca="false">IF(AH1448="","",IF(COUNTIF(TASA_DESDE,"&lt;="&amp;B1448)=0,INDEX(TASA_EMP,1),INDEX(TASA_EMP,COUNTIF(TASA_DESDE,"&lt;="&amp;B1448))))</f>
        <v/>
      </c>
    </row>
    <row r="1449" customFormat="false" ht="15" hidden="false" customHeight="false" outlineLevel="0" collapsed="false">
      <c r="B1449" s="78"/>
      <c r="C1449" s="64"/>
      <c r="D1449" s="72" t="str">
        <f aca="false">IF(C1449="","",IFERROR(INDEX(T_NOMBRE,MATCH(C1449,T_ID,0)),"⚠ ID no existe"))</f>
        <v/>
      </c>
      <c r="E1449" s="69"/>
      <c r="F1449" s="67"/>
      <c r="G1449" s="67"/>
      <c r="H1449" s="67"/>
      <c r="I1449" s="67"/>
      <c r="J1449" s="67"/>
      <c r="K1449" s="85" t="str">
        <f aca="false">IF(AH1449="","",N(F1449)+N(G1449)+N(H1449)-N(I1449)+N(J1449))</f>
        <v/>
      </c>
      <c r="L1449" s="67"/>
      <c r="M1449" s="67"/>
      <c r="N1449" s="67"/>
      <c r="O1449" s="67"/>
      <c r="P1449" s="85" t="str">
        <f aca="false">IF(AH1449="","",K1449+N(L1449)+N(M1449)+N(N1449)+N(O1449))</f>
        <v/>
      </c>
      <c r="Q1449" s="67"/>
      <c r="R1449" s="67"/>
      <c r="S1449" s="67"/>
      <c r="T1449" s="67"/>
      <c r="U1449" s="67"/>
      <c r="V1449" s="67"/>
      <c r="W1449" s="85" t="str">
        <f aca="false">IF(AH1449="","",N(Q1449)+N(R1449)+N(S1449)+N(T1449)+N(U1449)+N(V1449))</f>
        <v/>
      </c>
      <c r="X1449" s="85" t="str">
        <f aca="false">IF(AH1449="","",P1449-W1449)</f>
        <v/>
      </c>
      <c r="Y1449" s="67"/>
      <c r="Z1449" s="70" t="str">
        <f aca="false">IF(OR(AH1449="",Y1449=""),"",IF(ABS(X1449-Y1449)&lt;=1,"✓ Cuadra","⚠ Diferencia $"&amp;FIXED(X1449-Y1449,0)))</f>
        <v/>
      </c>
      <c r="AA1449" s="72" t="str">
        <f aca="false">IF(AH1449="","",IFERROR(INDEX(C_TIPO,MATCH(C1449&amp;"-P"&amp;MAX(1,COUNTIFS(C_ID,C1449,C_DEFINE,"Sí",C_INICIO,"&lt;="&amp;EOMONTH(B1449,0))),C_CLAVE,0))&amp;"","Sin dato"))</f>
        <v/>
      </c>
      <c r="AB1449" s="71" t="str">
        <f aca="false">IF(AH1449="","",ROUND(MIN(K1449,TOPE_AFP_UF*AJ1449)*AK1449,0))</f>
        <v/>
      </c>
      <c r="AC1449" s="71" t="str">
        <f aca="false">IF(AH1449="","",ROUND(MIN(K1449,TOPE_AFC_UF*AJ1449)*IF(AA1449="Indefinido",AFC_EMP_INDEF,AFC_EMP_PF),0))</f>
        <v/>
      </c>
      <c r="AD1449" s="71" t="str">
        <f aca="false">IF(AH1449="","",ROUND(MIN(K1449,TOPE_AFP_UF*AJ1449)*(MUTUAL_BASICA+MUTUAL_ADIC+SANNA),0))</f>
        <v/>
      </c>
      <c r="AE1449" s="71" t="str">
        <f aca="false">IF(AH1449="","",P1449-N(N1449)+AB1449+AC1449+AD1449)</f>
        <v/>
      </c>
      <c r="AF1449" s="65"/>
      <c r="AG1449" s="64"/>
      <c r="AH1449" s="72" t="str">
        <f aca="false">IF(OR(B1449="",C1449=""),"",C1449&amp;"|"&amp;(YEAR(B1449)*100+MONTH(B1449)))</f>
        <v/>
      </c>
      <c r="AI1449" s="70" t="str">
        <f aca="false">IF(AH1449="","",IF(COUNTIF(L_CLAVE,AH1449)&gt;1,"⚠ Duplicado","OK"))</f>
        <v/>
      </c>
      <c r="AJ1449" s="86" t="str">
        <f aca="false">IF(AH1449="","",IF(SUMPRODUCT(MAX((IND_PER&lt;=B1449)*(IND_UF&lt;&gt;"")*IND_PER))=0,UF_HOY,INDEX(IND_UF,MATCH(SUMPRODUCT(MAX((IND_PER&lt;=B1449)*(IND_UF&lt;&gt;"")*IND_PER)),IND_PER,0))))</f>
        <v/>
      </c>
      <c r="AK1449" s="87" t="str">
        <f aca="false">IF(AH1449="","",IF(COUNTIF(TASA_DESDE,"&lt;="&amp;B1449)=0,INDEX(TASA_EMP,1),INDEX(TASA_EMP,COUNTIF(TASA_DESDE,"&lt;="&amp;B1449))))</f>
        <v/>
      </c>
    </row>
    <row r="1450" customFormat="false" ht="15" hidden="false" customHeight="false" outlineLevel="0" collapsed="false">
      <c r="B1450" s="78"/>
      <c r="C1450" s="64"/>
      <c r="D1450" s="72" t="str">
        <f aca="false">IF(C1450="","",IFERROR(INDEX(T_NOMBRE,MATCH(C1450,T_ID,0)),"⚠ ID no existe"))</f>
        <v/>
      </c>
      <c r="E1450" s="69"/>
      <c r="F1450" s="67"/>
      <c r="G1450" s="67"/>
      <c r="H1450" s="67"/>
      <c r="I1450" s="67"/>
      <c r="J1450" s="67"/>
      <c r="K1450" s="85" t="str">
        <f aca="false">IF(AH1450="","",N(F1450)+N(G1450)+N(H1450)-N(I1450)+N(J1450))</f>
        <v/>
      </c>
      <c r="L1450" s="67"/>
      <c r="M1450" s="67"/>
      <c r="N1450" s="67"/>
      <c r="O1450" s="67"/>
      <c r="P1450" s="85" t="str">
        <f aca="false">IF(AH1450="","",K1450+N(L1450)+N(M1450)+N(N1450)+N(O1450))</f>
        <v/>
      </c>
      <c r="Q1450" s="67"/>
      <c r="R1450" s="67"/>
      <c r="S1450" s="67"/>
      <c r="T1450" s="67"/>
      <c r="U1450" s="67"/>
      <c r="V1450" s="67"/>
      <c r="W1450" s="85" t="str">
        <f aca="false">IF(AH1450="","",N(Q1450)+N(R1450)+N(S1450)+N(T1450)+N(U1450)+N(V1450))</f>
        <v/>
      </c>
      <c r="X1450" s="85" t="str">
        <f aca="false">IF(AH1450="","",P1450-W1450)</f>
        <v/>
      </c>
      <c r="Y1450" s="67"/>
      <c r="Z1450" s="70" t="str">
        <f aca="false">IF(OR(AH1450="",Y1450=""),"",IF(ABS(X1450-Y1450)&lt;=1,"✓ Cuadra","⚠ Diferencia $"&amp;FIXED(X1450-Y1450,0)))</f>
        <v/>
      </c>
      <c r="AA1450" s="72" t="str">
        <f aca="false">IF(AH1450="","",IFERROR(INDEX(C_TIPO,MATCH(C1450&amp;"-P"&amp;MAX(1,COUNTIFS(C_ID,C1450,C_DEFINE,"Sí",C_INICIO,"&lt;="&amp;EOMONTH(B1450,0))),C_CLAVE,0))&amp;"","Sin dato"))</f>
        <v/>
      </c>
      <c r="AB1450" s="71" t="str">
        <f aca="false">IF(AH1450="","",ROUND(MIN(K1450,TOPE_AFP_UF*AJ1450)*AK1450,0))</f>
        <v/>
      </c>
      <c r="AC1450" s="71" t="str">
        <f aca="false">IF(AH1450="","",ROUND(MIN(K1450,TOPE_AFC_UF*AJ1450)*IF(AA1450="Indefinido",AFC_EMP_INDEF,AFC_EMP_PF),0))</f>
        <v/>
      </c>
      <c r="AD1450" s="71" t="str">
        <f aca="false">IF(AH1450="","",ROUND(MIN(K1450,TOPE_AFP_UF*AJ1450)*(MUTUAL_BASICA+MUTUAL_ADIC+SANNA),0))</f>
        <v/>
      </c>
      <c r="AE1450" s="71" t="str">
        <f aca="false">IF(AH1450="","",P1450-N(N1450)+AB1450+AC1450+AD1450)</f>
        <v/>
      </c>
      <c r="AF1450" s="65"/>
      <c r="AG1450" s="64"/>
      <c r="AH1450" s="72" t="str">
        <f aca="false">IF(OR(B1450="",C1450=""),"",C1450&amp;"|"&amp;(YEAR(B1450)*100+MONTH(B1450)))</f>
        <v/>
      </c>
      <c r="AI1450" s="70" t="str">
        <f aca="false">IF(AH1450="","",IF(COUNTIF(L_CLAVE,AH1450)&gt;1,"⚠ Duplicado","OK"))</f>
        <v/>
      </c>
      <c r="AJ1450" s="86" t="str">
        <f aca="false">IF(AH1450="","",IF(SUMPRODUCT(MAX((IND_PER&lt;=B1450)*(IND_UF&lt;&gt;"")*IND_PER))=0,UF_HOY,INDEX(IND_UF,MATCH(SUMPRODUCT(MAX((IND_PER&lt;=B1450)*(IND_UF&lt;&gt;"")*IND_PER)),IND_PER,0))))</f>
        <v/>
      </c>
      <c r="AK1450" s="87" t="str">
        <f aca="false">IF(AH1450="","",IF(COUNTIF(TASA_DESDE,"&lt;="&amp;B1450)=0,INDEX(TASA_EMP,1),INDEX(TASA_EMP,COUNTIF(TASA_DESDE,"&lt;="&amp;B1450))))</f>
        <v/>
      </c>
    </row>
    <row r="1451" customFormat="false" ht="15" hidden="false" customHeight="false" outlineLevel="0" collapsed="false">
      <c r="B1451" s="78"/>
      <c r="C1451" s="64"/>
      <c r="D1451" s="72" t="str">
        <f aca="false">IF(C1451="","",IFERROR(INDEX(T_NOMBRE,MATCH(C1451,T_ID,0)),"⚠ ID no existe"))</f>
        <v/>
      </c>
      <c r="E1451" s="69"/>
      <c r="F1451" s="67"/>
      <c r="G1451" s="67"/>
      <c r="H1451" s="67"/>
      <c r="I1451" s="67"/>
      <c r="J1451" s="67"/>
      <c r="K1451" s="85" t="str">
        <f aca="false">IF(AH1451="","",N(F1451)+N(G1451)+N(H1451)-N(I1451)+N(J1451))</f>
        <v/>
      </c>
      <c r="L1451" s="67"/>
      <c r="M1451" s="67"/>
      <c r="N1451" s="67"/>
      <c r="O1451" s="67"/>
      <c r="P1451" s="85" t="str">
        <f aca="false">IF(AH1451="","",K1451+N(L1451)+N(M1451)+N(N1451)+N(O1451))</f>
        <v/>
      </c>
      <c r="Q1451" s="67"/>
      <c r="R1451" s="67"/>
      <c r="S1451" s="67"/>
      <c r="T1451" s="67"/>
      <c r="U1451" s="67"/>
      <c r="V1451" s="67"/>
      <c r="W1451" s="85" t="str">
        <f aca="false">IF(AH1451="","",N(Q1451)+N(R1451)+N(S1451)+N(T1451)+N(U1451)+N(V1451))</f>
        <v/>
      </c>
      <c r="X1451" s="85" t="str">
        <f aca="false">IF(AH1451="","",P1451-W1451)</f>
        <v/>
      </c>
      <c r="Y1451" s="67"/>
      <c r="Z1451" s="70" t="str">
        <f aca="false">IF(OR(AH1451="",Y1451=""),"",IF(ABS(X1451-Y1451)&lt;=1,"✓ Cuadra","⚠ Diferencia $"&amp;FIXED(X1451-Y1451,0)))</f>
        <v/>
      </c>
      <c r="AA1451" s="72" t="str">
        <f aca="false">IF(AH1451="","",IFERROR(INDEX(C_TIPO,MATCH(C1451&amp;"-P"&amp;MAX(1,COUNTIFS(C_ID,C1451,C_DEFINE,"Sí",C_INICIO,"&lt;="&amp;EOMONTH(B1451,0))),C_CLAVE,0))&amp;"","Sin dato"))</f>
        <v/>
      </c>
      <c r="AB1451" s="71" t="str">
        <f aca="false">IF(AH1451="","",ROUND(MIN(K1451,TOPE_AFP_UF*AJ1451)*AK1451,0))</f>
        <v/>
      </c>
      <c r="AC1451" s="71" t="str">
        <f aca="false">IF(AH1451="","",ROUND(MIN(K1451,TOPE_AFC_UF*AJ1451)*IF(AA1451="Indefinido",AFC_EMP_INDEF,AFC_EMP_PF),0))</f>
        <v/>
      </c>
      <c r="AD1451" s="71" t="str">
        <f aca="false">IF(AH1451="","",ROUND(MIN(K1451,TOPE_AFP_UF*AJ1451)*(MUTUAL_BASICA+MUTUAL_ADIC+SANNA),0))</f>
        <v/>
      </c>
      <c r="AE1451" s="71" t="str">
        <f aca="false">IF(AH1451="","",P1451-N(N1451)+AB1451+AC1451+AD1451)</f>
        <v/>
      </c>
      <c r="AF1451" s="65"/>
      <c r="AG1451" s="64"/>
      <c r="AH1451" s="72" t="str">
        <f aca="false">IF(OR(B1451="",C1451=""),"",C1451&amp;"|"&amp;(YEAR(B1451)*100+MONTH(B1451)))</f>
        <v/>
      </c>
      <c r="AI1451" s="70" t="str">
        <f aca="false">IF(AH1451="","",IF(COUNTIF(L_CLAVE,AH1451)&gt;1,"⚠ Duplicado","OK"))</f>
        <v/>
      </c>
      <c r="AJ1451" s="86" t="str">
        <f aca="false">IF(AH1451="","",IF(SUMPRODUCT(MAX((IND_PER&lt;=B1451)*(IND_UF&lt;&gt;"")*IND_PER))=0,UF_HOY,INDEX(IND_UF,MATCH(SUMPRODUCT(MAX((IND_PER&lt;=B1451)*(IND_UF&lt;&gt;"")*IND_PER)),IND_PER,0))))</f>
        <v/>
      </c>
      <c r="AK1451" s="87" t="str">
        <f aca="false">IF(AH1451="","",IF(COUNTIF(TASA_DESDE,"&lt;="&amp;B1451)=0,INDEX(TASA_EMP,1),INDEX(TASA_EMP,COUNTIF(TASA_DESDE,"&lt;="&amp;B1451))))</f>
        <v/>
      </c>
    </row>
    <row r="1452" customFormat="false" ht="15" hidden="false" customHeight="false" outlineLevel="0" collapsed="false">
      <c r="B1452" s="78"/>
      <c r="C1452" s="64"/>
      <c r="D1452" s="72" t="str">
        <f aca="false">IF(C1452="","",IFERROR(INDEX(T_NOMBRE,MATCH(C1452,T_ID,0)),"⚠ ID no existe"))</f>
        <v/>
      </c>
      <c r="E1452" s="69"/>
      <c r="F1452" s="67"/>
      <c r="G1452" s="67"/>
      <c r="H1452" s="67"/>
      <c r="I1452" s="67"/>
      <c r="J1452" s="67"/>
      <c r="K1452" s="85" t="str">
        <f aca="false">IF(AH1452="","",N(F1452)+N(G1452)+N(H1452)-N(I1452)+N(J1452))</f>
        <v/>
      </c>
      <c r="L1452" s="67"/>
      <c r="M1452" s="67"/>
      <c r="N1452" s="67"/>
      <c r="O1452" s="67"/>
      <c r="P1452" s="85" t="str">
        <f aca="false">IF(AH1452="","",K1452+N(L1452)+N(M1452)+N(N1452)+N(O1452))</f>
        <v/>
      </c>
      <c r="Q1452" s="67"/>
      <c r="R1452" s="67"/>
      <c r="S1452" s="67"/>
      <c r="T1452" s="67"/>
      <c r="U1452" s="67"/>
      <c r="V1452" s="67"/>
      <c r="W1452" s="85" t="str">
        <f aca="false">IF(AH1452="","",N(Q1452)+N(R1452)+N(S1452)+N(T1452)+N(U1452)+N(V1452))</f>
        <v/>
      </c>
      <c r="X1452" s="85" t="str">
        <f aca="false">IF(AH1452="","",P1452-W1452)</f>
        <v/>
      </c>
      <c r="Y1452" s="67"/>
      <c r="Z1452" s="70" t="str">
        <f aca="false">IF(OR(AH1452="",Y1452=""),"",IF(ABS(X1452-Y1452)&lt;=1,"✓ Cuadra","⚠ Diferencia $"&amp;FIXED(X1452-Y1452,0)))</f>
        <v/>
      </c>
      <c r="AA1452" s="72" t="str">
        <f aca="false">IF(AH1452="","",IFERROR(INDEX(C_TIPO,MATCH(C1452&amp;"-P"&amp;MAX(1,COUNTIFS(C_ID,C1452,C_DEFINE,"Sí",C_INICIO,"&lt;="&amp;EOMONTH(B1452,0))),C_CLAVE,0))&amp;"","Sin dato"))</f>
        <v/>
      </c>
      <c r="AB1452" s="71" t="str">
        <f aca="false">IF(AH1452="","",ROUND(MIN(K1452,TOPE_AFP_UF*AJ1452)*AK1452,0))</f>
        <v/>
      </c>
      <c r="AC1452" s="71" t="str">
        <f aca="false">IF(AH1452="","",ROUND(MIN(K1452,TOPE_AFC_UF*AJ1452)*IF(AA1452="Indefinido",AFC_EMP_INDEF,AFC_EMP_PF),0))</f>
        <v/>
      </c>
      <c r="AD1452" s="71" t="str">
        <f aca="false">IF(AH1452="","",ROUND(MIN(K1452,TOPE_AFP_UF*AJ1452)*(MUTUAL_BASICA+MUTUAL_ADIC+SANNA),0))</f>
        <v/>
      </c>
      <c r="AE1452" s="71" t="str">
        <f aca="false">IF(AH1452="","",P1452-N(N1452)+AB1452+AC1452+AD1452)</f>
        <v/>
      </c>
      <c r="AF1452" s="65"/>
      <c r="AG1452" s="64"/>
      <c r="AH1452" s="72" t="str">
        <f aca="false">IF(OR(B1452="",C1452=""),"",C1452&amp;"|"&amp;(YEAR(B1452)*100+MONTH(B1452)))</f>
        <v/>
      </c>
      <c r="AI1452" s="70" t="str">
        <f aca="false">IF(AH1452="","",IF(COUNTIF(L_CLAVE,AH1452)&gt;1,"⚠ Duplicado","OK"))</f>
        <v/>
      </c>
      <c r="AJ1452" s="86" t="str">
        <f aca="false">IF(AH1452="","",IF(SUMPRODUCT(MAX((IND_PER&lt;=B1452)*(IND_UF&lt;&gt;"")*IND_PER))=0,UF_HOY,INDEX(IND_UF,MATCH(SUMPRODUCT(MAX((IND_PER&lt;=B1452)*(IND_UF&lt;&gt;"")*IND_PER)),IND_PER,0))))</f>
        <v/>
      </c>
      <c r="AK1452" s="87" t="str">
        <f aca="false">IF(AH1452="","",IF(COUNTIF(TASA_DESDE,"&lt;="&amp;B1452)=0,INDEX(TASA_EMP,1),INDEX(TASA_EMP,COUNTIF(TASA_DESDE,"&lt;="&amp;B1452))))</f>
        <v/>
      </c>
    </row>
    <row r="1453" customFormat="false" ht="15" hidden="false" customHeight="false" outlineLevel="0" collapsed="false">
      <c r="B1453" s="78"/>
      <c r="C1453" s="64"/>
      <c r="D1453" s="72" t="str">
        <f aca="false">IF(C1453="","",IFERROR(INDEX(T_NOMBRE,MATCH(C1453,T_ID,0)),"⚠ ID no existe"))</f>
        <v/>
      </c>
      <c r="E1453" s="69"/>
      <c r="F1453" s="67"/>
      <c r="G1453" s="67"/>
      <c r="H1453" s="67"/>
      <c r="I1453" s="67"/>
      <c r="J1453" s="67"/>
      <c r="K1453" s="85" t="str">
        <f aca="false">IF(AH1453="","",N(F1453)+N(G1453)+N(H1453)-N(I1453)+N(J1453))</f>
        <v/>
      </c>
      <c r="L1453" s="67"/>
      <c r="M1453" s="67"/>
      <c r="N1453" s="67"/>
      <c r="O1453" s="67"/>
      <c r="P1453" s="85" t="str">
        <f aca="false">IF(AH1453="","",K1453+N(L1453)+N(M1453)+N(N1453)+N(O1453))</f>
        <v/>
      </c>
      <c r="Q1453" s="67"/>
      <c r="R1453" s="67"/>
      <c r="S1453" s="67"/>
      <c r="T1453" s="67"/>
      <c r="U1453" s="67"/>
      <c r="V1453" s="67"/>
      <c r="W1453" s="85" t="str">
        <f aca="false">IF(AH1453="","",N(Q1453)+N(R1453)+N(S1453)+N(T1453)+N(U1453)+N(V1453))</f>
        <v/>
      </c>
      <c r="X1453" s="85" t="str">
        <f aca="false">IF(AH1453="","",P1453-W1453)</f>
        <v/>
      </c>
      <c r="Y1453" s="67"/>
      <c r="Z1453" s="70" t="str">
        <f aca="false">IF(OR(AH1453="",Y1453=""),"",IF(ABS(X1453-Y1453)&lt;=1,"✓ Cuadra","⚠ Diferencia $"&amp;FIXED(X1453-Y1453,0)))</f>
        <v/>
      </c>
      <c r="AA1453" s="72" t="str">
        <f aca="false">IF(AH1453="","",IFERROR(INDEX(C_TIPO,MATCH(C1453&amp;"-P"&amp;MAX(1,COUNTIFS(C_ID,C1453,C_DEFINE,"Sí",C_INICIO,"&lt;="&amp;EOMONTH(B1453,0))),C_CLAVE,0))&amp;"","Sin dato"))</f>
        <v/>
      </c>
      <c r="AB1453" s="71" t="str">
        <f aca="false">IF(AH1453="","",ROUND(MIN(K1453,TOPE_AFP_UF*AJ1453)*AK1453,0))</f>
        <v/>
      </c>
      <c r="AC1453" s="71" t="str">
        <f aca="false">IF(AH1453="","",ROUND(MIN(K1453,TOPE_AFC_UF*AJ1453)*IF(AA1453="Indefinido",AFC_EMP_INDEF,AFC_EMP_PF),0))</f>
        <v/>
      </c>
      <c r="AD1453" s="71" t="str">
        <f aca="false">IF(AH1453="","",ROUND(MIN(K1453,TOPE_AFP_UF*AJ1453)*(MUTUAL_BASICA+MUTUAL_ADIC+SANNA),0))</f>
        <v/>
      </c>
      <c r="AE1453" s="71" t="str">
        <f aca="false">IF(AH1453="","",P1453-N(N1453)+AB1453+AC1453+AD1453)</f>
        <v/>
      </c>
      <c r="AF1453" s="65"/>
      <c r="AG1453" s="64"/>
      <c r="AH1453" s="72" t="str">
        <f aca="false">IF(OR(B1453="",C1453=""),"",C1453&amp;"|"&amp;(YEAR(B1453)*100+MONTH(B1453)))</f>
        <v/>
      </c>
      <c r="AI1453" s="70" t="str">
        <f aca="false">IF(AH1453="","",IF(COUNTIF(L_CLAVE,AH1453)&gt;1,"⚠ Duplicado","OK"))</f>
        <v/>
      </c>
      <c r="AJ1453" s="86" t="str">
        <f aca="false">IF(AH1453="","",IF(SUMPRODUCT(MAX((IND_PER&lt;=B1453)*(IND_UF&lt;&gt;"")*IND_PER))=0,UF_HOY,INDEX(IND_UF,MATCH(SUMPRODUCT(MAX((IND_PER&lt;=B1453)*(IND_UF&lt;&gt;"")*IND_PER)),IND_PER,0))))</f>
        <v/>
      </c>
      <c r="AK1453" s="87" t="str">
        <f aca="false">IF(AH1453="","",IF(COUNTIF(TASA_DESDE,"&lt;="&amp;B1453)=0,INDEX(TASA_EMP,1),INDEX(TASA_EMP,COUNTIF(TASA_DESDE,"&lt;="&amp;B1453))))</f>
        <v/>
      </c>
    </row>
    <row r="1454" customFormat="false" ht="15" hidden="false" customHeight="false" outlineLevel="0" collapsed="false">
      <c r="B1454" s="78"/>
      <c r="C1454" s="64"/>
      <c r="D1454" s="72" t="str">
        <f aca="false">IF(C1454="","",IFERROR(INDEX(T_NOMBRE,MATCH(C1454,T_ID,0)),"⚠ ID no existe"))</f>
        <v/>
      </c>
      <c r="E1454" s="69"/>
      <c r="F1454" s="67"/>
      <c r="G1454" s="67"/>
      <c r="H1454" s="67"/>
      <c r="I1454" s="67"/>
      <c r="J1454" s="67"/>
      <c r="K1454" s="85" t="str">
        <f aca="false">IF(AH1454="","",N(F1454)+N(G1454)+N(H1454)-N(I1454)+N(J1454))</f>
        <v/>
      </c>
      <c r="L1454" s="67"/>
      <c r="M1454" s="67"/>
      <c r="N1454" s="67"/>
      <c r="O1454" s="67"/>
      <c r="P1454" s="85" t="str">
        <f aca="false">IF(AH1454="","",K1454+N(L1454)+N(M1454)+N(N1454)+N(O1454))</f>
        <v/>
      </c>
      <c r="Q1454" s="67"/>
      <c r="R1454" s="67"/>
      <c r="S1454" s="67"/>
      <c r="T1454" s="67"/>
      <c r="U1454" s="67"/>
      <c r="V1454" s="67"/>
      <c r="W1454" s="85" t="str">
        <f aca="false">IF(AH1454="","",N(Q1454)+N(R1454)+N(S1454)+N(T1454)+N(U1454)+N(V1454))</f>
        <v/>
      </c>
      <c r="X1454" s="85" t="str">
        <f aca="false">IF(AH1454="","",P1454-W1454)</f>
        <v/>
      </c>
      <c r="Y1454" s="67"/>
      <c r="Z1454" s="70" t="str">
        <f aca="false">IF(OR(AH1454="",Y1454=""),"",IF(ABS(X1454-Y1454)&lt;=1,"✓ Cuadra","⚠ Diferencia $"&amp;FIXED(X1454-Y1454,0)))</f>
        <v/>
      </c>
      <c r="AA1454" s="72" t="str">
        <f aca="false">IF(AH1454="","",IFERROR(INDEX(C_TIPO,MATCH(C1454&amp;"-P"&amp;MAX(1,COUNTIFS(C_ID,C1454,C_DEFINE,"Sí",C_INICIO,"&lt;="&amp;EOMONTH(B1454,0))),C_CLAVE,0))&amp;"","Sin dato"))</f>
        <v/>
      </c>
      <c r="AB1454" s="71" t="str">
        <f aca="false">IF(AH1454="","",ROUND(MIN(K1454,TOPE_AFP_UF*AJ1454)*AK1454,0))</f>
        <v/>
      </c>
      <c r="AC1454" s="71" t="str">
        <f aca="false">IF(AH1454="","",ROUND(MIN(K1454,TOPE_AFC_UF*AJ1454)*IF(AA1454="Indefinido",AFC_EMP_INDEF,AFC_EMP_PF),0))</f>
        <v/>
      </c>
      <c r="AD1454" s="71" t="str">
        <f aca="false">IF(AH1454="","",ROUND(MIN(K1454,TOPE_AFP_UF*AJ1454)*(MUTUAL_BASICA+MUTUAL_ADIC+SANNA),0))</f>
        <v/>
      </c>
      <c r="AE1454" s="71" t="str">
        <f aca="false">IF(AH1454="","",P1454-N(N1454)+AB1454+AC1454+AD1454)</f>
        <v/>
      </c>
      <c r="AF1454" s="65"/>
      <c r="AG1454" s="64"/>
      <c r="AH1454" s="72" t="str">
        <f aca="false">IF(OR(B1454="",C1454=""),"",C1454&amp;"|"&amp;(YEAR(B1454)*100+MONTH(B1454)))</f>
        <v/>
      </c>
      <c r="AI1454" s="70" t="str">
        <f aca="false">IF(AH1454="","",IF(COUNTIF(L_CLAVE,AH1454)&gt;1,"⚠ Duplicado","OK"))</f>
        <v/>
      </c>
      <c r="AJ1454" s="86" t="str">
        <f aca="false">IF(AH1454="","",IF(SUMPRODUCT(MAX((IND_PER&lt;=B1454)*(IND_UF&lt;&gt;"")*IND_PER))=0,UF_HOY,INDEX(IND_UF,MATCH(SUMPRODUCT(MAX((IND_PER&lt;=B1454)*(IND_UF&lt;&gt;"")*IND_PER)),IND_PER,0))))</f>
        <v/>
      </c>
      <c r="AK1454" s="87" t="str">
        <f aca="false">IF(AH1454="","",IF(COUNTIF(TASA_DESDE,"&lt;="&amp;B1454)=0,INDEX(TASA_EMP,1),INDEX(TASA_EMP,COUNTIF(TASA_DESDE,"&lt;="&amp;B1454))))</f>
        <v/>
      </c>
    </row>
    <row r="1455" customFormat="false" ht="15" hidden="false" customHeight="false" outlineLevel="0" collapsed="false">
      <c r="B1455" s="78"/>
      <c r="C1455" s="64"/>
      <c r="D1455" s="72" t="str">
        <f aca="false">IF(C1455="","",IFERROR(INDEX(T_NOMBRE,MATCH(C1455,T_ID,0)),"⚠ ID no existe"))</f>
        <v/>
      </c>
      <c r="E1455" s="69"/>
      <c r="F1455" s="67"/>
      <c r="G1455" s="67"/>
      <c r="H1455" s="67"/>
      <c r="I1455" s="67"/>
      <c r="J1455" s="67"/>
      <c r="K1455" s="85" t="str">
        <f aca="false">IF(AH1455="","",N(F1455)+N(G1455)+N(H1455)-N(I1455)+N(J1455))</f>
        <v/>
      </c>
      <c r="L1455" s="67"/>
      <c r="M1455" s="67"/>
      <c r="N1455" s="67"/>
      <c r="O1455" s="67"/>
      <c r="P1455" s="85" t="str">
        <f aca="false">IF(AH1455="","",K1455+N(L1455)+N(M1455)+N(N1455)+N(O1455))</f>
        <v/>
      </c>
      <c r="Q1455" s="67"/>
      <c r="R1455" s="67"/>
      <c r="S1455" s="67"/>
      <c r="T1455" s="67"/>
      <c r="U1455" s="67"/>
      <c r="V1455" s="67"/>
      <c r="W1455" s="85" t="str">
        <f aca="false">IF(AH1455="","",N(Q1455)+N(R1455)+N(S1455)+N(T1455)+N(U1455)+N(V1455))</f>
        <v/>
      </c>
      <c r="X1455" s="85" t="str">
        <f aca="false">IF(AH1455="","",P1455-W1455)</f>
        <v/>
      </c>
      <c r="Y1455" s="67"/>
      <c r="Z1455" s="70" t="str">
        <f aca="false">IF(OR(AH1455="",Y1455=""),"",IF(ABS(X1455-Y1455)&lt;=1,"✓ Cuadra","⚠ Diferencia $"&amp;FIXED(X1455-Y1455,0)))</f>
        <v/>
      </c>
      <c r="AA1455" s="72" t="str">
        <f aca="false">IF(AH1455="","",IFERROR(INDEX(C_TIPO,MATCH(C1455&amp;"-P"&amp;MAX(1,COUNTIFS(C_ID,C1455,C_DEFINE,"Sí",C_INICIO,"&lt;="&amp;EOMONTH(B1455,0))),C_CLAVE,0))&amp;"","Sin dato"))</f>
        <v/>
      </c>
      <c r="AB1455" s="71" t="str">
        <f aca="false">IF(AH1455="","",ROUND(MIN(K1455,TOPE_AFP_UF*AJ1455)*AK1455,0))</f>
        <v/>
      </c>
      <c r="AC1455" s="71" t="str">
        <f aca="false">IF(AH1455="","",ROUND(MIN(K1455,TOPE_AFC_UF*AJ1455)*IF(AA1455="Indefinido",AFC_EMP_INDEF,AFC_EMP_PF),0))</f>
        <v/>
      </c>
      <c r="AD1455" s="71" t="str">
        <f aca="false">IF(AH1455="","",ROUND(MIN(K1455,TOPE_AFP_UF*AJ1455)*(MUTUAL_BASICA+MUTUAL_ADIC+SANNA),0))</f>
        <v/>
      </c>
      <c r="AE1455" s="71" t="str">
        <f aca="false">IF(AH1455="","",P1455-N(N1455)+AB1455+AC1455+AD1455)</f>
        <v/>
      </c>
      <c r="AF1455" s="65"/>
      <c r="AG1455" s="64"/>
      <c r="AH1455" s="72" t="str">
        <f aca="false">IF(OR(B1455="",C1455=""),"",C1455&amp;"|"&amp;(YEAR(B1455)*100+MONTH(B1455)))</f>
        <v/>
      </c>
      <c r="AI1455" s="70" t="str">
        <f aca="false">IF(AH1455="","",IF(COUNTIF(L_CLAVE,AH1455)&gt;1,"⚠ Duplicado","OK"))</f>
        <v/>
      </c>
      <c r="AJ1455" s="86" t="str">
        <f aca="false">IF(AH1455="","",IF(SUMPRODUCT(MAX((IND_PER&lt;=B1455)*(IND_UF&lt;&gt;"")*IND_PER))=0,UF_HOY,INDEX(IND_UF,MATCH(SUMPRODUCT(MAX((IND_PER&lt;=B1455)*(IND_UF&lt;&gt;"")*IND_PER)),IND_PER,0))))</f>
        <v/>
      </c>
      <c r="AK1455" s="87" t="str">
        <f aca="false">IF(AH1455="","",IF(COUNTIF(TASA_DESDE,"&lt;="&amp;B1455)=0,INDEX(TASA_EMP,1),INDEX(TASA_EMP,COUNTIF(TASA_DESDE,"&lt;="&amp;B1455))))</f>
        <v/>
      </c>
    </row>
    <row r="1456" customFormat="false" ht="15" hidden="false" customHeight="false" outlineLevel="0" collapsed="false">
      <c r="B1456" s="78"/>
      <c r="C1456" s="64"/>
      <c r="D1456" s="72" t="str">
        <f aca="false">IF(C1456="","",IFERROR(INDEX(T_NOMBRE,MATCH(C1456,T_ID,0)),"⚠ ID no existe"))</f>
        <v/>
      </c>
      <c r="E1456" s="69"/>
      <c r="F1456" s="67"/>
      <c r="G1456" s="67"/>
      <c r="H1456" s="67"/>
      <c r="I1456" s="67"/>
      <c r="J1456" s="67"/>
      <c r="K1456" s="85" t="str">
        <f aca="false">IF(AH1456="","",N(F1456)+N(G1456)+N(H1456)-N(I1456)+N(J1456))</f>
        <v/>
      </c>
      <c r="L1456" s="67"/>
      <c r="M1456" s="67"/>
      <c r="N1456" s="67"/>
      <c r="O1456" s="67"/>
      <c r="P1456" s="85" t="str">
        <f aca="false">IF(AH1456="","",K1456+N(L1456)+N(M1456)+N(N1456)+N(O1456))</f>
        <v/>
      </c>
      <c r="Q1456" s="67"/>
      <c r="R1456" s="67"/>
      <c r="S1456" s="67"/>
      <c r="T1456" s="67"/>
      <c r="U1456" s="67"/>
      <c r="V1456" s="67"/>
      <c r="W1456" s="85" t="str">
        <f aca="false">IF(AH1456="","",N(Q1456)+N(R1456)+N(S1456)+N(T1456)+N(U1456)+N(V1456))</f>
        <v/>
      </c>
      <c r="X1456" s="85" t="str">
        <f aca="false">IF(AH1456="","",P1456-W1456)</f>
        <v/>
      </c>
      <c r="Y1456" s="67"/>
      <c r="Z1456" s="70" t="str">
        <f aca="false">IF(OR(AH1456="",Y1456=""),"",IF(ABS(X1456-Y1456)&lt;=1,"✓ Cuadra","⚠ Diferencia $"&amp;FIXED(X1456-Y1456,0)))</f>
        <v/>
      </c>
      <c r="AA1456" s="72" t="str">
        <f aca="false">IF(AH1456="","",IFERROR(INDEX(C_TIPO,MATCH(C1456&amp;"-P"&amp;MAX(1,COUNTIFS(C_ID,C1456,C_DEFINE,"Sí",C_INICIO,"&lt;="&amp;EOMONTH(B1456,0))),C_CLAVE,0))&amp;"","Sin dato"))</f>
        <v/>
      </c>
      <c r="AB1456" s="71" t="str">
        <f aca="false">IF(AH1456="","",ROUND(MIN(K1456,TOPE_AFP_UF*AJ1456)*AK1456,0))</f>
        <v/>
      </c>
      <c r="AC1456" s="71" t="str">
        <f aca="false">IF(AH1456="","",ROUND(MIN(K1456,TOPE_AFC_UF*AJ1456)*IF(AA1456="Indefinido",AFC_EMP_INDEF,AFC_EMP_PF),0))</f>
        <v/>
      </c>
      <c r="AD1456" s="71" t="str">
        <f aca="false">IF(AH1456="","",ROUND(MIN(K1456,TOPE_AFP_UF*AJ1456)*(MUTUAL_BASICA+MUTUAL_ADIC+SANNA),0))</f>
        <v/>
      </c>
      <c r="AE1456" s="71" t="str">
        <f aca="false">IF(AH1456="","",P1456-N(N1456)+AB1456+AC1456+AD1456)</f>
        <v/>
      </c>
      <c r="AF1456" s="65"/>
      <c r="AG1456" s="64"/>
      <c r="AH1456" s="72" t="str">
        <f aca="false">IF(OR(B1456="",C1456=""),"",C1456&amp;"|"&amp;(YEAR(B1456)*100+MONTH(B1456)))</f>
        <v/>
      </c>
      <c r="AI1456" s="70" t="str">
        <f aca="false">IF(AH1456="","",IF(COUNTIF(L_CLAVE,AH1456)&gt;1,"⚠ Duplicado","OK"))</f>
        <v/>
      </c>
      <c r="AJ1456" s="86" t="str">
        <f aca="false">IF(AH1456="","",IF(SUMPRODUCT(MAX((IND_PER&lt;=B1456)*(IND_UF&lt;&gt;"")*IND_PER))=0,UF_HOY,INDEX(IND_UF,MATCH(SUMPRODUCT(MAX((IND_PER&lt;=B1456)*(IND_UF&lt;&gt;"")*IND_PER)),IND_PER,0))))</f>
        <v/>
      </c>
      <c r="AK1456" s="87" t="str">
        <f aca="false">IF(AH1456="","",IF(COUNTIF(TASA_DESDE,"&lt;="&amp;B1456)=0,INDEX(TASA_EMP,1),INDEX(TASA_EMP,COUNTIF(TASA_DESDE,"&lt;="&amp;B1456))))</f>
        <v/>
      </c>
    </row>
    <row r="1457" customFormat="false" ht="15" hidden="false" customHeight="false" outlineLevel="0" collapsed="false">
      <c r="B1457" s="78"/>
      <c r="C1457" s="64"/>
      <c r="D1457" s="72" t="str">
        <f aca="false">IF(C1457="","",IFERROR(INDEX(T_NOMBRE,MATCH(C1457,T_ID,0)),"⚠ ID no existe"))</f>
        <v/>
      </c>
      <c r="E1457" s="69"/>
      <c r="F1457" s="67"/>
      <c r="G1457" s="67"/>
      <c r="H1457" s="67"/>
      <c r="I1457" s="67"/>
      <c r="J1457" s="67"/>
      <c r="K1457" s="85" t="str">
        <f aca="false">IF(AH1457="","",N(F1457)+N(G1457)+N(H1457)-N(I1457)+N(J1457))</f>
        <v/>
      </c>
      <c r="L1457" s="67"/>
      <c r="M1457" s="67"/>
      <c r="N1457" s="67"/>
      <c r="O1457" s="67"/>
      <c r="P1457" s="85" t="str">
        <f aca="false">IF(AH1457="","",K1457+N(L1457)+N(M1457)+N(N1457)+N(O1457))</f>
        <v/>
      </c>
      <c r="Q1457" s="67"/>
      <c r="R1457" s="67"/>
      <c r="S1457" s="67"/>
      <c r="T1457" s="67"/>
      <c r="U1457" s="67"/>
      <c r="V1457" s="67"/>
      <c r="W1457" s="85" t="str">
        <f aca="false">IF(AH1457="","",N(Q1457)+N(R1457)+N(S1457)+N(T1457)+N(U1457)+N(V1457))</f>
        <v/>
      </c>
      <c r="X1457" s="85" t="str">
        <f aca="false">IF(AH1457="","",P1457-W1457)</f>
        <v/>
      </c>
      <c r="Y1457" s="67"/>
      <c r="Z1457" s="70" t="str">
        <f aca="false">IF(OR(AH1457="",Y1457=""),"",IF(ABS(X1457-Y1457)&lt;=1,"✓ Cuadra","⚠ Diferencia $"&amp;FIXED(X1457-Y1457,0)))</f>
        <v/>
      </c>
      <c r="AA1457" s="72" t="str">
        <f aca="false">IF(AH1457="","",IFERROR(INDEX(C_TIPO,MATCH(C1457&amp;"-P"&amp;MAX(1,COUNTIFS(C_ID,C1457,C_DEFINE,"Sí",C_INICIO,"&lt;="&amp;EOMONTH(B1457,0))),C_CLAVE,0))&amp;"","Sin dato"))</f>
        <v/>
      </c>
      <c r="AB1457" s="71" t="str">
        <f aca="false">IF(AH1457="","",ROUND(MIN(K1457,TOPE_AFP_UF*AJ1457)*AK1457,0))</f>
        <v/>
      </c>
      <c r="AC1457" s="71" t="str">
        <f aca="false">IF(AH1457="","",ROUND(MIN(K1457,TOPE_AFC_UF*AJ1457)*IF(AA1457="Indefinido",AFC_EMP_INDEF,AFC_EMP_PF),0))</f>
        <v/>
      </c>
      <c r="AD1457" s="71" t="str">
        <f aca="false">IF(AH1457="","",ROUND(MIN(K1457,TOPE_AFP_UF*AJ1457)*(MUTUAL_BASICA+MUTUAL_ADIC+SANNA),0))</f>
        <v/>
      </c>
      <c r="AE1457" s="71" t="str">
        <f aca="false">IF(AH1457="","",P1457-N(N1457)+AB1457+AC1457+AD1457)</f>
        <v/>
      </c>
      <c r="AF1457" s="65"/>
      <c r="AG1457" s="64"/>
      <c r="AH1457" s="72" t="str">
        <f aca="false">IF(OR(B1457="",C1457=""),"",C1457&amp;"|"&amp;(YEAR(B1457)*100+MONTH(B1457)))</f>
        <v/>
      </c>
      <c r="AI1457" s="70" t="str">
        <f aca="false">IF(AH1457="","",IF(COUNTIF(L_CLAVE,AH1457)&gt;1,"⚠ Duplicado","OK"))</f>
        <v/>
      </c>
      <c r="AJ1457" s="86" t="str">
        <f aca="false">IF(AH1457="","",IF(SUMPRODUCT(MAX((IND_PER&lt;=B1457)*(IND_UF&lt;&gt;"")*IND_PER))=0,UF_HOY,INDEX(IND_UF,MATCH(SUMPRODUCT(MAX((IND_PER&lt;=B1457)*(IND_UF&lt;&gt;"")*IND_PER)),IND_PER,0))))</f>
        <v/>
      </c>
      <c r="AK1457" s="87" t="str">
        <f aca="false">IF(AH1457="","",IF(COUNTIF(TASA_DESDE,"&lt;="&amp;B1457)=0,INDEX(TASA_EMP,1),INDEX(TASA_EMP,COUNTIF(TASA_DESDE,"&lt;="&amp;B1457))))</f>
        <v/>
      </c>
    </row>
    <row r="1458" customFormat="false" ht="15" hidden="false" customHeight="false" outlineLevel="0" collapsed="false">
      <c r="B1458" s="78"/>
      <c r="C1458" s="64"/>
      <c r="D1458" s="72" t="str">
        <f aca="false">IF(C1458="","",IFERROR(INDEX(T_NOMBRE,MATCH(C1458,T_ID,0)),"⚠ ID no existe"))</f>
        <v/>
      </c>
      <c r="E1458" s="69"/>
      <c r="F1458" s="67"/>
      <c r="G1458" s="67"/>
      <c r="H1458" s="67"/>
      <c r="I1458" s="67"/>
      <c r="J1458" s="67"/>
      <c r="K1458" s="85" t="str">
        <f aca="false">IF(AH1458="","",N(F1458)+N(G1458)+N(H1458)-N(I1458)+N(J1458))</f>
        <v/>
      </c>
      <c r="L1458" s="67"/>
      <c r="M1458" s="67"/>
      <c r="N1458" s="67"/>
      <c r="O1458" s="67"/>
      <c r="P1458" s="85" t="str">
        <f aca="false">IF(AH1458="","",K1458+N(L1458)+N(M1458)+N(N1458)+N(O1458))</f>
        <v/>
      </c>
      <c r="Q1458" s="67"/>
      <c r="R1458" s="67"/>
      <c r="S1458" s="67"/>
      <c r="T1458" s="67"/>
      <c r="U1458" s="67"/>
      <c r="V1458" s="67"/>
      <c r="W1458" s="85" t="str">
        <f aca="false">IF(AH1458="","",N(Q1458)+N(R1458)+N(S1458)+N(T1458)+N(U1458)+N(V1458))</f>
        <v/>
      </c>
      <c r="X1458" s="85" t="str">
        <f aca="false">IF(AH1458="","",P1458-W1458)</f>
        <v/>
      </c>
      <c r="Y1458" s="67"/>
      <c r="Z1458" s="70" t="str">
        <f aca="false">IF(OR(AH1458="",Y1458=""),"",IF(ABS(X1458-Y1458)&lt;=1,"✓ Cuadra","⚠ Diferencia $"&amp;FIXED(X1458-Y1458,0)))</f>
        <v/>
      </c>
      <c r="AA1458" s="72" t="str">
        <f aca="false">IF(AH1458="","",IFERROR(INDEX(C_TIPO,MATCH(C1458&amp;"-P"&amp;MAX(1,COUNTIFS(C_ID,C1458,C_DEFINE,"Sí",C_INICIO,"&lt;="&amp;EOMONTH(B1458,0))),C_CLAVE,0))&amp;"","Sin dato"))</f>
        <v/>
      </c>
      <c r="AB1458" s="71" t="str">
        <f aca="false">IF(AH1458="","",ROUND(MIN(K1458,TOPE_AFP_UF*AJ1458)*AK1458,0))</f>
        <v/>
      </c>
      <c r="AC1458" s="71" t="str">
        <f aca="false">IF(AH1458="","",ROUND(MIN(K1458,TOPE_AFC_UF*AJ1458)*IF(AA1458="Indefinido",AFC_EMP_INDEF,AFC_EMP_PF),0))</f>
        <v/>
      </c>
      <c r="AD1458" s="71" t="str">
        <f aca="false">IF(AH1458="","",ROUND(MIN(K1458,TOPE_AFP_UF*AJ1458)*(MUTUAL_BASICA+MUTUAL_ADIC+SANNA),0))</f>
        <v/>
      </c>
      <c r="AE1458" s="71" t="str">
        <f aca="false">IF(AH1458="","",P1458-N(N1458)+AB1458+AC1458+AD1458)</f>
        <v/>
      </c>
      <c r="AF1458" s="65"/>
      <c r="AG1458" s="64"/>
      <c r="AH1458" s="72" t="str">
        <f aca="false">IF(OR(B1458="",C1458=""),"",C1458&amp;"|"&amp;(YEAR(B1458)*100+MONTH(B1458)))</f>
        <v/>
      </c>
      <c r="AI1458" s="70" t="str">
        <f aca="false">IF(AH1458="","",IF(COUNTIF(L_CLAVE,AH1458)&gt;1,"⚠ Duplicado","OK"))</f>
        <v/>
      </c>
      <c r="AJ1458" s="86" t="str">
        <f aca="false">IF(AH1458="","",IF(SUMPRODUCT(MAX((IND_PER&lt;=B1458)*(IND_UF&lt;&gt;"")*IND_PER))=0,UF_HOY,INDEX(IND_UF,MATCH(SUMPRODUCT(MAX((IND_PER&lt;=B1458)*(IND_UF&lt;&gt;"")*IND_PER)),IND_PER,0))))</f>
        <v/>
      </c>
      <c r="AK1458" s="87" t="str">
        <f aca="false">IF(AH1458="","",IF(COUNTIF(TASA_DESDE,"&lt;="&amp;B1458)=0,INDEX(TASA_EMP,1),INDEX(TASA_EMP,COUNTIF(TASA_DESDE,"&lt;="&amp;B1458))))</f>
        <v/>
      </c>
    </row>
    <row r="1459" customFormat="false" ht="15" hidden="false" customHeight="false" outlineLevel="0" collapsed="false">
      <c r="B1459" s="78"/>
      <c r="C1459" s="64"/>
      <c r="D1459" s="72" t="str">
        <f aca="false">IF(C1459="","",IFERROR(INDEX(T_NOMBRE,MATCH(C1459,T_ID,0)),"⚠ ID no existe"))</f>
        <v/>
      </c>
      <c r="E1459" s="69"/>
      <c r="F1459" s="67"/>
      <c r="G1459" s="67"/>
      <c r="H1459" s="67"/>
      <c r="I1459" s="67"/>
      <c r="J1459" s="67"/>
      <c r="K1459" s="85" t="str">
        <f aca="false">IF(AH1459="","",N(F1459)+N(G1459)+N(H1459)-N(I1459)+N(J1459))</f>
        <v/>
      </c>
      <c r="L1459" s="67"/>
      <c r="M1459" s="67"/>
      <c r="N1459" s="67"/>
      <c r="O1459" s="67"/>
      <c r="P1459" s="85" t="str">
        <f aca="false">IF(AH1459="","",K1459+N(L1459)+N(M1459)+N(N1459)+N(O1459))</f>
        <v/>
      </c>
      <c r="Q1459" s="67"/>
      <c r="R1459" s="67"/>
      <c r="S1459" s="67"/>
      <c r="T1459" s="67"/>
      <c r="U1459" s="67"/>
      <c r="V1459" s="67"/>
      <c r="W1459" s="85" t="str">
        <f aca="false">IF(AH1459="","",N(Q1459)+N(R1459)+N(S1459)+N(T1459)+N(U1459)+N(V1459))</f>
        <v/>
      </c>
      <c r="X1459" s="85" t="str">
        <f aca="false">IF(AH1459="","",P1459-W1459)</f>
        <v/>
      </c>
      <c r="Y1459" s="67"/>
      <c r="Z1459" s="70" t="str">
        <f aca="false">IF(OR(AH1459="",Y1459=""),"",IF(ABS(X1459-Y1459)&lt;=1,"✓ Cuadra","⚠ Diferencia $"&amp;FIXED(X1459-Y1459,0)))</f>
        <v/>
      </c>
      <c r="AA1459" s="72" t="str">
        <f aca="false">IF(AH1459="","",IFERROR(INDEX(C_TIPO,MATCH(C1459&amp;"-P"&amp;MAX(1,COUNTIFS(C_ID,C1459,C_DEFINE,"Sí",C_INICIO,"&lt;="&amp;EOMONTH(B1459,0))),C_CLAVE,0))&amp;"","Sin dato"))</f>
        <v/>
      </c>
      <c r="AB1459" s="71" t="str">
        <f aca="false">IF(AH1459="","",ROUND(MIN(K1459,TOPE_AFP_UF*AJ1459)*AK1459,0))</f>
        <v/>
      </c>
      <c r="AC1459" s="71" t="str">
        <f aca="false">IF(AH1459="","",ROUND(MIN(K1459,TOPE_AFC_UF*AJ1459)*IF(AA1459="Indefinido",AFC_EMP_INDEF,AFC_EMP_PF),0))</f>
        <v/>
      </c>
      <c r="AD1459" s="71" t="str">
        <f aca="false">IF(AH1459="","",ROUND(MIN(K1459,TOPE_AFP_UF*AJ1459)*(MUTUAL_BASICA+MUTUAL_ADIC+SANNA),0))</f>
        <v/>
      </c>
      <c r="AE1459" s="71" t="str">
        <f aca="false">IF(AH1459="","",P1459-N(N1459)+AB1459+AC1459+AD1459)</f>
        <v/>
      </c>
      <c r="AF1459" s="65"/>
      <c r="AG1459" s="64"/>
      <c r="AH1459" s="72" t="str">
        <f aca="false">IF(OR(B1459="",C1459=""),"",C1459&amp;"|"&amp;(YEAR(B1459)*100+MONTH(B1459)))</f>
        <v/>
      </c>
      <c r="AI1459" s="70" t="str">
        <f aca="false">IF(AH1459="","",IF(COUNTIF(L_CLAVE,AH1459)&gt;1,"⚠ Duplicado","OK"))</f>
        <v/>
      </c>
      <c r="AJ1459" s="86" t="str">
        <f aca="false">IF(AH1459="","",IF(SUMPRODUCT(MAX((IND_PER&lt;=B1459)*(IND_UF&lt;&gt;"")*IND_PER))=0,UF_HOY,INDEX(IND_UF,MATCH(SUMPRODUCT(MAX((IND_PER&lt;=B1459)*(IND_UF&lt;&gt;"")*IND_PER)),IND_PER,0))))</f>
        <v/>
      </c>
      <c r="AK1459" s="87" t="str">
        <f aca="false">IF(AH1459="","",IF(COUNTIF(TASA_DESDE,"&lt;="&amp;B1459)=0,INDEX(TASA_EMP,1),INDEX(TASA_EMP,COUNTIF(TASA_DESDE,"&lt;="&amp;B1459))))</f>
        <v/>
      </c>
    </row>
    <row r="1460" customFormat="false" ht="15" hidden="false" customHeight="false" outlineLevel="0" collapsed="false">
      <c r="B1460" s="78"/>
      <c r="C1460" s="64"/>
      <c r="D1460" s="72" t="str">
        <f aca="false">IF(C1460="","",IFERROR(INDEX(T_NOMBRE,MATCH(C1460,T_ID,0)),"⚠ ID no existe"))</f>
        <v/>
      </c>
      <c r="E1460" s="69"/>
      <c r="F1460" s="67"/>
      <c r="G1460" s="67"/>
      <c r="H1460" s="67"/>
      <c r="I1460" s="67"/>
      <c r="J1460" s="67"/>
      <c r="K1460" s="85" t="str">
        <f aca="false">IF(AH1460="","",N(F1460)+N(G1460)+N(H1460)-N(I1460)+N(J1460))</f>
        <v/>
      </c>
      <c r="L1460" s="67"/>
      <c r="M1460" s="67"/>
      <c r="N1460" s="67"/>
      <c r="O1460" s="67"/>
      <c r="P1460" s="85" t="str">
        <f aca="false">IF(AH1460="","",K1460+N(L1460)+N(M1460)+N(N1460)+N(O1460))</f>
        <v/>
      </c>
      <c r="Q1460" s="67"/>
      <c r="R1460" s="67"/>
      <c r="S1460" s="67"/>
      <c r="T1460" s="67"/>
      <c r="U1460" s="67"/>
      <c r="V1460" s="67"/>
      <c r="W1460" s="85" t="str">
        <f aca="false">IF(AH1460="","",N(Q1460)+N(R1460)+N(S1460)+N(T1460)+N(U1460)+N(V1460))</f>
        <v/>
      </c>
      <c r="X1460" s="85" t="str">
        <f aca="false">IF(AH1460="","",P1460-W1460)</f>
        <v/>
      </c>
      <c r="Y1460" s="67"/>
      <c r="Z1460" s="70" t="str">
        <f aca="false">IF(OR(AH1460="",Y1460=""),"",IF(ABS(X1460-Y1460)&lt;=1,"✓ Cuadra","⚠ Diferencia $"&amp;FIXED(X1460-Y1460,0)))</f>
        <v/>
      </c>
      <c r="AA1460" s="72" t="str">
        <f aca="false">IF(AH1460="","",IFERROR(INDEX(C_TIPO,MATCH(C1460&amp;"-P"&amp;MAX(1,COUNTIFS(C_ID,C1460,C_DEFINE,"Sí",C_INICIO,"&lt;="&amp;EOMONTH(B1460,0))),C_CLAVE,0))&amp;"","Sin dato"))</f>
        <v/>
      </c>
      <c r="AB1460" s="71" t="str">
        <f aca="false">IF(AH1460="","",ROUND(MIN(K1460,TOPE_AFP_UF*AJ1460)*AK1460,0))</f>
        <v/>
      </c>
      <c r="AC1460" s="71" t="str">
        <f aca="false">IF(AH1460="","",ROUND(MIN(K1460,TOPE_AFC_UF*AJ1460)*IF(AA1460="Indefinido",AFC_EMP_INDEF,AFC_EMP_PF),0))</f>
        <v/>
      </c>
      <c r="AD1460" s="71" t="str">
        <f aca="false">IF(AH1460="","",ROUND(MIN(K1460,TOPE_AFP_UF*AJ1460)*(MUTUAL_BASICA+MUTUAL_ADIC+SANNA),0))</f>
        <v/>
      </c>
      <c r="AE1460" s="71" t="str">
        <f aca="false">IF(AH1460="","",P1460-N(N1460)+AB1460+AC1460+AD1460)</f>
        <v/>
      </c>
      <c r="AF1460" s="65"/>
      <c r="AG1460" s="64"/>
      <c r="AH1460" s="72" t="str">
        <f aca="false">IF(OR(B1460="",C1460=""),"",C1460&amp;"|"&amp;(YEAR(B1460)*100+MONTH(B1460)))</f>
        <v/>
      </c>
      <c r="AI1460" s="70" t="str">
        <f aca="false">IF(AH1460="","",IF(COUNTIF(L_CLAVE,AH1460)&gt;1,"⚠ Duplicado","OK"))</f>
        <v/>
      </c>
      <c r="AJ1460" s="86" t="str">
        <f aca="false">IF(AH1460="","",IF(SUMPRODUCT(MAX((IND_PER&lt;=B1460)*(IND_UF&lt;&gt;"")*IND_PER))=0,UF_HOY,INDEX(IND_UF,MATCH(SUMPRODUCT(MAX((IND_PER&lt;=B1460)*(IND_UF&lt;&gt;"")*IND_PER)),IND_PER,0))))</f>
        <v/>
      </c>
      <c r="AK1460" s="87" t="str">
        <f aca="false">IF(AH1460="","",IF(COUNTIF(TASA_DESDE,"&lt;="&amp;B1460)=0,INDEX(TASA_EMP,1),INDEX(TASA_EMP,COUNTIF(TASA_DESDE,"&lt;="&amp;B1460))))</f>
        <v/>
      </c>
    </row>
    <row r="1461" customFormat="false" ht="15" hidden="false" customHeight="false" outlineLevel="0" collapsed="false">
      <c r="B1461" s="78"/>
      <c r="C1461" s="64"/>
      <c r="D1461" s="72" t="str">
        <f aca="false">IF(C1461="","",IFERROR(INDEX(T_NOMBRE,MATCH(C1461,T_ID,0)),"⚠ ID no existe"))</f>
        <v/>
      </c>
      <c r="E1461" s="69"/>
      <c r="F1461" s="67"/>
      <c r="G1461" s="67"/>
      <c r="H1461" s="67"/>
      <c r="I1461" s="67"/>
      <c r="J1461" s="67"/>
      <c r="K1461" s="85" t="str">
        <f aca="false">IF(AH1461="","",N(F1461)+N(G1461)+N(H1461)-N(I1461)+N(J1461))</f>
        <v/>
      </c>
      <c r="L1461" s="67"/>
      <c r="M1461" s="67"/>
      <c r="N1461" s="67"/>
      <c r="O1461" s="67"/>
      <c r="P1461" s="85" t="str">
        <f aca="false">IF(AH1461="","",K1461+N(L1461)+N(M1461)+N(N1461)+N(O1461))</f>
        <v/>
      </c>
      <c r="Q1461" s="67"/>
      <c r="R1461" s="67"/>
      <c r="S1461" s="67"/>
      <c r="T1461" s="67"/>
      <c r="U1461" s="67"/>
      <c r="V1461" s="67"/>
      <c r="W1461" s="85" t="str">
        <f aca="false">IF(AH1461="","",N(Q1461)+N(R1461)+N(S1461)+N(T1461)+N(U1461)+N(V1461))</f>
        <v/>
      </c>
      <c r="X1461" s="85" t="str">
        <f aca="false">IF(AH1461="","",P1461-W1461)</f>
        <v/>
      </c>
      <c r="Y1461" s="67"/>
      <c r="Z1461" s="70" t="str">
        <f aca="false">IF(OR(AH1461="",Y1461=""),"",IF(ABS(X1461-Y1461)&lt;=1,"✓ Cuadra","⚠ Diferencia $"&amp;FIXED(X1461-Y1461,0)))</f>
        <v/>
      </c>
      <c r="AA1461" s="72" t="str">
        <f aca="false">IF(AH1461="","",IFERROR(INDEX(C_TIPO,MATCH(C1461&amp;"-P"&amp;MAX(1,COUNTIFS(C_ID,C1461,C_DEFINE,"Sí",C_INICIO,"&lt;="&amp;EOMONTH(B1461,0))),C_CLAVE,0))&amp;"","Sin dato"))</f>
        <v/>
      </c>
      <c r="AB1461" s="71" t="str">
        <f aca="false">IF(AH1461="","",ROUND(MIN(K1461,TOPE_AFP_UF*AJ1461)*AK1461,0))</f>
        <v/>
      </c>
      <c r="AC1461" s="71" t="str">
        <f aca="false">IF(AH1461="","",ROUND(MIN(K1461,TOPE_AFC_UF*AJ1461)*IF(AA1461="Indefinido",AFC_EMP_INDEF,AFC_EMP_PF),0))</f>
        <v/>
      </c>
      <c r="AD1461" s="71" t="str">
        <f aca="false">IF(AH1461="","",ROUND(MIN(K1461,TOPE_AFP_UF*AJ1461)*(MUTUAL_BASICA+MUTUAL_ADIC+SANNA),0))</f>
        <v/>
      </c>
      <c r="AE1461" s="71" t="str">
        <f aca="false">IF(AH1461="","",P1461-N(N1461)+AB1461+AC1461+AD1461)</f>
        <v/>
      </c>
      <c r="AF1461" s="65"/>
      <c r="AG1461" s="64"/>
      <c r="AH1461" s="72" t="str">
        <f aca="false">IF(OR(B1461="",C1461=""),"",C1461&amp;"|"&amp;(YEAR(B1461)*100+MONTH(B1461)))</f>
        <v/>
      </c>
      <c r="AI1461" s="70" t="str">
        <f aca="false">IF(AH1461="","",IF(COUNTIF(L_CLAVE,AH1461)&gt;1,"⚠ Duplicado","OK"))</f>
        <v/>
      </c>
      <c r="AJ1461" s="86" t="str">
        <f aca="false">IF(AH1461="","",IF(SUMPRODUCT(MAX((IND_PER&lt;=B1461)*(IND_UF&lt;&gt;"")*IND_PER))=0,UF_HOY,INDEX(IND_UF,MATCH(SUMPRODUCT(MAX((IND_PER&lt;=B1461)*(IND_UF&lt;&gt;"")*IND_PER)),IND_PER,0))))</f>
        <v/>
      </c>
      <c r="AK1461" s="87" t="str">
        <f aca="false">IF(AH1461="","",IF(COUNTIF(TASA_DESDE,"&lt;="&amp;B1461)=0,INDEX(TASA_EMP,1),INDEX(TASA_EMP,COUNTIF(TASA_DESDE,"&lt;="&amp;B1461))))</f>
        <v/>
      </c>
    </row>
    <row r="1462" customFormat="false" ht="15" hidden="false" customHeight="false" outlineLevel="0" collapsed="false">
      <c r="B1462" s="78"/>
      <c r="C1462" s="64"/>
      <c r="D1462" s="72" t="str">
        <f aca="false">IF(C1462="","",IFERROR(INDEX(T_NOMBRE,MATCH(C1462,T_ID,0)),"⚠ ID no existe"))</f>
        <v/>
      </c>
      <c r="E1462" s="69"/>
      <c r="F1462" s="67"/>
      <c r="G1462" s="67"/>
      <c r="H1462" s="67"/>
      <c r="I1462" s="67"/>
      <c r="J1462" s="67"/>
      <c r="K1462" s="85" t="str">
        <f aca="false">IF(AH1462="","",N(F1462)+N(G1462)+N(H1462)-N(I1462)+N(J1462))</f>
        <v/>
      </c>
      <c r="L1462" s="67"/>
      <c r="M1462" s="67"/>
      <c r="N1462" s="67"/>
      <c r="O1462" s="67"/>
      <c r="P1462" s="85" t="str">
        <f aca="false">IF(AH1462="","",K1462+N(L1462)+N(M1462)+N(N1462)+N(O1462))</f>
        <v/>
      </c>
      <c r="Q1462" s="67"/>
      <c r="R1462" s="67"/>
      <c r="S1462" s="67"/>
      <c r="T1462" s="67"/>
      <c r="U1462" s="67"/>
      <c r="V1462" s="67"/>
      <c r="W1462" s="85" t="str">
        <f aca="false">IF(AH1462="","",N(Q1462)+N(R1462)+N(S1462)+N(T1462)+N(U1462)+N(V1462))</f>
        <v/>
      </c>
      <c r="X1462" s="85" t="str">
        <f aca="false">IF(AH1462="","",P1462-W1462)</f>
        <v/>
      </c>
      <c r="Y1462" s="67"/>
      <c r="Z1462" s="70" t="str">
        <f aca="false">IF(OR(AH1462="",Y1462=""),"",IF(ABS(X1462-Y1462)&lt;=1,"✓ Cuadra","⚠ Diferencia $"&amp;FIXED(X1462-Y1462,0)))</f>
        <v/>
      </c>
      <c r="AA1462" s="72" t="str">
        <f aca="false">IF(AH1462="","",IFERROR(INDEX(C_TIPO,MATCH(C1462&amp;"-P"&amp;MAX(1,COUNTIFS(C_ID,C1462,C_DEFINE,"Sí",C_INICIO,"&lt;="&amp;EOMONTH(B1462,0))),C_CLAVE,0))&amp;"","Sin dato"))</f>
        <v/>
      </c>
      <c r="AB1462" s="71" t="str">
        <f aca="false">IF(AH1462="","",ROUND(MIN(K1462,TOPE_AFP_UF*AJ1462)*AK1462,0))</f>
        <v/>
      </c>
      <c r="AC1462" s="71" t="str">
        <f aca="false">IF(AH1462="","",ROUND(MIN(K1462,TOPE_AFC_UF*AJ1462)*IF(AA1462="Indefinido",AFC_EMP_INDEF,AFC_EMP_PF),0))</f>
        <v/>
      </c>
      <c r="AD1462" s="71" t="str">
        <f aca="false">IF(AH1462="","",ROUND(MIN(K1462,TOPE_AFP_UF*AJ1462)*(MUTUAL_BASICA+MUTUAL_ADIC+SANNA),0))</f>
        <v/>
      </c>
      <c r="AE1462" s="71" t="str">
        <f aca="false">IF(AH1462="","",P1462-N(N1462)+AB1462+AC1462+AD1462)</f>
        <v/>
      </c>
      <c r="AF1462" s="65"/>
      <c r="AG1462" s="64"/>
      <c r="AH1462" s="72" t="str">
        <f aca="false">IF(OR(B1462="",C1462=""),"",C1462&amp;"|"&amp;(YEAR(B1462)*100+MONTH(B1462)))</f>
        <v/>
      </c>
      <c r="AI1462" s="70" t="str">
        <f aca="false">IF(AH1462="","",IF(COUNTIF(L_CLAVE,AH1462)&gt;1,"⚠ Duplicado","OK"))</f>
        <v/>
      </c>
      <c r="AJ1462" s="86" t="str">
        <f aca="false">IF(AH1462="","",IF(SUMPRODUCT(MAX((IND_PER&lt;=B1462)*(IND_UF&lt;&gt;"")*IND_PER))=0,UF_HOY,INDEX(IND_UF,MATCH(SUMPRODUCT(MAX((IND_PER&lt;=B1462)*(IND_UF&lt;&gt;"")*IND_PER)),IND_PER,0))))</f>
        <v/>
      </c>
      <c r="AK1462" s="87" t="str">
        <f aca="false">IF(AH1462="","",IF(COUNTIF(TASA_DESDE,"&lt;="&amp;B1462)=0,INDEX(TASA_EMP,1),INDEX(TASA_EMP,COUNTIF(TASA_DESDE,"&lt;="&amp;B1462))))</f>
        <v/>
      </c>
    </row>
    <row r="1463" customFormat="false" ht="15" hidden="false" customHeight="false" outlineLevel="0" collapsed="false">
      <c r="B1463" s="78"/>
      <c r="C1463" s="64"/>
      <c r="D1463" s="72" t="str">
        <f aca="false">IF(C1463="","",IFERROR(INDEX(T_NOMBRE,MATCH(C1463,T_ID,0)),"⚠ ID no existe"))</f>
        <v/>
      </c>
      <c r="E1463" s="69"/>
      <c r="F1463" s="67"/>
      <c r="G1463" s="67"/>
      <c r="H1463" s="67"/>
      <c r="I1463" s="67"/>
      <c r="J1463" s="67"/>
      <c r="K1463" s="85" t="str">
        <f aca="false">IF(AH1463="","",N(F1463)+N(G1463)+N(H1463)-N(I1463)+N(J1463))</f>
        <v/>
      </c>
      <c r="L1463" s="67"/>
      <c r="M1463" s="67"/>
      <c r="N1463" s="67"/>
      <c r="O1463" s="67"/>
      <c r="P1463" s="85" t="str">
        <f aca="false">IF(AH1463="","",K1463+N(L1463)+N(M1463)+N(N1463)+N(O1463))</f>
        <v/>
      </c>
      <c r="Q1463" s="67"/>
      <c r="R1463" s="67"/>
      <c r="S1463" s="67"/>
      <c r="T1463" s="67"/>
      <c r="U1463" s="67"/>
      <c r="V1463" s="67"/>
      <c r="W1463" s="85" t="str">
        <f aca="false">IF(AH1463="","",N(Q1463)+N(R1463)+N(S1463)+N(T1463)+N(U1463)+N(V1463))</f>
        <v/>
      </c>
      <c r="X1463" s="85" t="str">
        <f aca="false">IF(AH1463="","",P1463-W1463)</f>
        <v/>
      </c>
      <c r="Y1463" s="67"/>
      <c r="Z1463" s="70" t="str">
        <f aca="false">IF(OR(AH1463="",Y1463=""),"",IF(ABS(X1463-Y1463)&lt;=1,"✓ Cuadra","⚠ Diferencia $"&amp;FIXED(X1463-Y1463,0)))</f>
        <v/>
      </c>
      <c r="AA1463" s="72" t="str">
        <f aca="false">IF(AH1463="","",IFERROR(INDEX(C_TIPO,MATCH(C1463&amp;"-P"&amp;MAX(1,COUNTIFS(C_ID,C1463,C_DEFINE,"Sí",C_INICIO,"&lt;="&amp;EOMONTH(B1463,0))),C_CLAVE,0))&amp;"","Sin dato"))</f>
        <v/>
      </c>
      <c r="AB1463" s="71" t="str">
        <f aca="false">IF(AH1463="","",ROUND(MIN(K1463,TOPE_AFP_UF*AJ1463)*AK1463,0))</f>
        <v/>
      </c>
      <c r="AC1463" s="71" t="str">
        <f aca="false">IF(AH1463="","",ROUND(MIN(K1463,TOPE_AFC_UF*AJ1463)*IF(AA1463="Indefinido",AFC_EMP_INDEF,AFC_EMP_PF),0))</f>
        <v/>
      </c>
      <c r="AD1463" s="71" t="str">
        <f aca="false">IF(AH1463="","",ROUND(MIN(K1463,TOPE_AFP_UF*AJ1463)*(MUTUAL_BASICA+MUTUAL_ADIC+SANNA),0))</f>
        <v/>
      </c>
      <c r="AE1463" s="71" t="str">
        <f aca="false">IF(AH1463="","",P1463-N(N1463)+AB1463+AC1463+AD1463)</f>
        <v/>
      </c>
      <c r="AF1463" s="65"/>
      <c r="AG1463" s="64"/>
      <c r="AH1463" s="72" t="str">
        <f aca="false">IF(OR(B1463="",C1463=""),"",C1463&amp;"|"&amp;(YEAR(B1463)*100+MONTH(B1463)))</f>
        <v/>
      </c>
      <c r="AI1463" s="70" t="str">
        <f aca="false">IF(AH1463="","",IF(COUNTIF(L_CLAVE,AH1463)&gt;1,"⚠ Duplicado","OK"))</f>
        <v/>
      </c>
      <c r="AJ1463" s="86" t="str">
        <f aca="false">IF(AH1463="","",IF(SUMPRODUCT(MAX((IND_PER&lt;=B1463)*(IND_UF&lt;&gt;"")*IND_PER))=0,UF_HOY,INDEX(IND_UF,MATCH(SUMPRODUCT(MAX((IND_PER&lt;=B1463)*(IND_UF&lt;&gt;"")*IND_PER)),IND_PER,0))))</f>
        <v/>
      </c>
      <c r="AK1463" s="87" t="str">
        <f aca="false">IF(AH1463="","",IF(COUNTIF(TASA_DESDE,"&lt;="&amp;B1463)=0,INDEX(TASA_EMP,1),INDEX(TASA_EMP,COUNTIF(TASA_DESDE,"&lt;="&amp;B1463))))</f>
        <v/>
      </c>
    </row>
    <row r="1464" customFormat="false" ht="15" hidden="false" customHeight="false" outlineLevel="0" collapsed="false">
      <c r="B1464" s="78"/>
      <c r="C1464" s="64"/>
      <c r="D1464" s="72" t="str">
        <f aca="false">IF(C1464="","",IFERROR(INDEX(T_NOMBRE,MATCH(C1464,T_ID,0)),"⚠ ID no existe"))</f>
        <v/>
      </c>
      <c r="E1464" s="69"/>
      <c r="F1464" s="67"/>
      <c r="G1464" s="67"/>
      <c r="H1464" s="67"/>
      <c r="I1464" s="67"/>
      <c r="J1464" s="67"/>
      <c r="K1464" s="85" t="str">
        <f aca="false">IF(AH1464="","",N(F1464)+N(G1464)+N(H1464)-N(I1464)+N(J1464))</f>
        <v/>
      </c>
      <c r="L1464" s="67"/>
      <c r="M1464" s="67"/>
      <c r="N1464" s="67"/>
      <c r="O1464" s="67"/>
      <c r="P1464" s="85" t="str">
        <f aca="false">IF(AH1464="","",K1464+N(L1464)+N(M1464)+N(N1464)+N(O1464))</f>
        <v/>
      </c>
      <c r="Q1464" s="67"/>
      <c r="R1464" s="67"/>
      <c r="S1464" s="67"/>
      <c r="T1464" s="67"/>
      <c r="U1464" s="67"/>
      <c r="V1464" s="67"/>
      <c r="W1464" s="85" t="str">
        <f aca="false">IF(AH1464="","",N(Q1464)+N(R1464)+N(S1464)+N(T1464)+N(U1464)+N(V1464))</f>
        <v/>
      </c>
      <c r="X1464" s="85" t="str">
        <f aca="false">IF(AH1464="","",P1464-W1464)</f>
        <v/>
      </c>
      <c r="Y1464" s="67"/>
      <c r="Z1464" s="70" t="str">
        <f aca="false">IF(OR(AH1464="",Y1464=""),"",IF(ABS(X1464-Y1464)&lt;=1,"✓ Cuadra","⚠ Diferencia $"&amp;FIXED(X1464-Y1464,0)))</f>
        <v/>
      </c>
      <c r="AA1464" s="72" t="str">
        <f aca="false">IF(AH1464="","",IFERROR(INDEX(C_TIPO,MATCH(C1464&amp;"-P"&amp;MAX(1,COUNTIFS(C_ID,C1464,C_DEFINE,"Sí",C_INICIO,"&lt;="&amp;EOMONTH(B1464,0))),C_CLAVE,0))&amp;"","Sin dato"))</f>
        <v/>
      </c>
      <c r="AB1464" s="71" t="str">
        <f aca="false">IF(AH1464="","",ROUND(MIN(K1464,TOPE_AFP_UF*AJ1464)*AK1464,0))</f>
        <v/>
      </c>
      <c r="AC1464" s="71" t="str">
        <f aca="false">IF(AH1464="","",ROUND(MIN(K1464,TOPE_AFC_UF*AJ1464)*IF(AA1464="Indefinido",AFC_EMP_INDEF,AFC_EMP_PF),0))</f>
        <v/>
      </c>
      <c r="AD1464" s="71" t="str">
        <f aca="false">IF(AH1464="","",ROUND(MIN(K1464,TOPE_AFP_UF*AJ1464)*(MUTUAL_BASICA+MUTUAL_ADIC+SANNA),0))</f>
        <v/>
      </c>
      <c r="AE1464" s="71" t="str">
        <f aca="false">IF(AH1464="","",P1464-N(N1464)+AB1464+AC1464+AD1464)</f>
        <v/>
      </c>
      <c r="AF1464" s="65"/>
      <c r="AG1464" s="64"/>
      <c r="AH1464" s="72" t="str">
        <f aca="false">IF(OR(B1464="",C1464=""),"",C1464&amp;"|"&amp;(YEAR(B1464)*100+MONTH(B1464)))</f>
        <v/>
      </c>
      <c r="AI1464" s="70" t="str">
        <f aca="false">IF(AH1464="","",IF(COUNTIF(L_CLAVE,AH1464)&gt;1,"⚠ Duplicado","OK"))</f>
        <v/>
      </c>
      <c r="AJ1464" s="86" t="str">
        <f aca="false">IF(AH1464="","",IF(SUMPRODUCT(MAX((IND_PER&lt;=B1464)*(IND_UF&lt;&gt;"")*IND_PER))=0,UF_HOY,INDEX(IND_UF,MATCH(SUMPRODUCT(MAX((IND_PER&lt;=B1464)*(IND_UF&lt;&gt;"")*IND_PER)),IND_PER,0))))</f>
        <v/>
      </c>
      <c r="AK1464" s="87" t="str">
        <f aca="false">IF(AH1464="","",IF(COUNTIF(TASA_DESDE,"&lt;="&amp;B1464)=0,INDEX(TASA_EMP,1),INDEX(TASA_EMP,COUNTIF(TASA_DESDE,"&lt;="&amp;B1464))))</f>
        <v/>
      </c>
    </row>
    <row r="1465" customFormat="false" ht="15" hidden="false" customHeight="false" outlineLevel="0" collapsed="false">
      <c r="B1465" s="78"/>
      <c r="C1465" s="64"/>
      <c r="D1465" s="72" t="str">
        <f aca="false">IF(C1465="","",IFERROR(INDEX(T_NOMBRE,MATCH(C1465,T_ID,0)),"⚠ ID no existe"))</f>
        <v/>
      </c>
      <c r="E1465" s="69"/>
      <c r="F1465" s="67"/>
      <c r="G1465" s="67"/>
      <c r="H1465" s="67"/>
      <c r="I1465" s="67"/>
      <c r="J1465" s="67"/>
      <c r="K1465" s="85" t="str">
        <f aca="false">IF(AH1465="","",N(F1465)+N(G1465)+N(H1465)-N(I1465)+N(J1465))</f>
        <v/>
      </c>
      <c r="L1465" s="67"/>
      <c r="M1465" s="67"/>
      <c r="N1465" s="67"/>
      <c r="O1465" s="67"/>
      <c r="P1465" s="85" t="str">
        <f aca="false">IF(AH1465="","",K1465+N(L1465)+N(M1465)+N(N1465)+N(O1465))</f>
        <v/>
      </c>
      <c r="Q1465" s="67"/>
      <c r="R1465" s="67"/>
      <c r="S1465" s="67"/>
      <c r="T1465" s="67"/>
      <c r="U1465" s="67"/>
      <c r="V1465" s="67"/>
      <c r="W1465" s="85" t="str">
        <f aca="false">IF(AH1465="","",N(Q1465)+N(R1465)+N(S1465)+N(T1465)+N(U1465)+N(V1465))</f>
        <v/>
      </c>
      <c r="X1465" s="85" t="str">
        <f aca="false">IF(AH1465="","",P1465-W1465)</f>
        <v/>
      </c>
      <c r="Y1465" s="67"/>
      <c r="Z1465" s="70" t="str">
        <f aca="false">IF(OR(AH1465="",Y1465=""),"",IF(ABS(X1465-Y1465)&lt;=1,"✓ Cuadra","⚠ Diferencia $"&amp;FIXED(X1465-Y1465,0)))</f>
        <v/>
      </c>
      <c r="AA1465" s="72" t="str">
        <f aca="false">IF(AH1465="","",IFERROR(INDEX(C_TIPO,MATCH(C1465&amp;"-P"&amp;MAX(1,COUNTIFS(C_ID,C1465,C_DEFINE,"Sí",C_INICIO,"&lt;="&amp;EOMONTH(B1465,0))),C_CLAVE,0))&amp;"","Sin dato"))</f>
        <v/>
      </c>
      <c r="AB1465" s="71" t="str">
        <f aca="false">IF(AH1465="","",ROUND(MIN(K1465,TOPE_AFP_UF*AJ1465)*AK1465,0))</f>
        <v/>
      </c>
      <c r="AC1465" s="71" t="str">
        <f aca="false">IF(AH1465="","",ROUND(MIN(K1465,TOPE_AFC_UF*AJ1465)*IF(AA1465="Indefinido",AFC_EMP_INDEF,AFC_EMP_PF),0))</f>
        <v/>
      </c>
      <c r="AD1465" s="71" t="str">
        <f aca="false">IF(AH1465="","",ROUND(MIN(K1465,TOPE_AFP_UF*AJ1465)*(MUTUAL_BASICA+MUTUAL_ADIC+SANNA),0))</f>
        <v/>
      </c>
      <c r="AE1465" s="71" t="str">
        <f aca="false">IF(AH1465="","",P1465-N(N1465)+AB1465+AC1465+AD1465)</f>
        <v/>
      </c>
      <c r="AF1465" s="65"/>
      <c r="AG1465" s="64"/>
      <c r="AH1465" s="72" t="str">
        <f aca="false">IF(OR(B1465="",C1465=""),"",C1465&amp;"|"&amp;(YEAR(B1465)*100+MONTH(B1465)))</f>
        <v/>
      </c>
      <c r="AI1465" s="70" t="str">
        <f aca="false">IF(AH1465="","",IF(COUNTIF(L_CLAVE,AH1465)&gt;1,"⚠ Duplicado","OK"))</f>
        <v/>
      </c>
      <c r="AJ1465" s="86" t="str">
        <f aca="false">IF(AH1465="","",IF(SUMPRODUCT(MAX((IND_PER&lt;=B1465)*(IND_UF&lt;&gt;"")*IND_PER))=0,UF_HOY,INDEX(IND_UF,MATCH(SUMPRODUCT(MAX((IND_PER&lt;=B1465)*(IND_UF&lt;&gt;"")*IND_PER)),IND_PER,0))))</f>
        <v/>
      </c>
      <c r="AK1465" s="87" t="str">
        <f aca="false">IF(AH1465="","",IF(COUNTIF(TASA_DESDE,"&lt;="&amp;B1465)=0,INDEX(TASA_EMP,1),INDEX(TASA_EMP,COUNTIF(TASA_DESDE,"&lt;="&amp;B1465))))</f>
        <v/>
      </c>
    </row>
    <row r="1466" customFormat="false" ht="15" hidden="false" customHeight="false" outlineLevel="0" collapsed="false">
      <c r="B1466" s="78"/>
      <c r="C1466" s="64"/>
      <c r="D1466" s="72" t="str">
        <f aca="false">IF(C1466="","",IFERROR(INDEX(T_NOMBRE,MATCH(C1466,T_ID,0)),"⚠ ID no existe"))</f>
        <v/>
      </c>
      <c r="E1466" s="69"/>
      <c r="F1466" s="67"/>
      <c r="G1466" s="67"/>
      <c r="H1466" s="67"/>
      <c r="I1466" s="67"/>
      <c r="J1466" s="67"/>
      <c r="K1466" s="85" t="str">
        <f aca="false">IF(AH1466="","",N(F1466)+N(G1466)+N(H1466)-N(I1466)+N(J1466))</f>
        <v/>
      </c>
      <c r="L1466" s="67"/>
      <c r="M1466" s="67"/>
      <c r="N1466" s="67"/>
      <c r="O1466" s="67"/>
      <c r="P1466" s="85" t="str">
        <f aca="false">IF(AH1466="","",K1466+N(L1466)+N(M1466)+N(N1466)+N(O1466))</f>
        <v/>
      </c>
      <c r="Q1466" s="67"/>
      <c r="R1466" s="67"/>
      <c r="S1466" s="67"/>
      <c r="T1466" s="67"/>
      <c r="U1466" s="67"/>
      <c r="V1466" s="67"/>
      <c r="W1466" s="85" t="str">
        <f aca="false">IF(AH1466="","",N(Q1466)+N(R1466)+N(S1466)+N(T1466)+N(U1466)+N(V1466))</f>
        <v/>
      </c>
      <c r="X1466" s="85" t="str">
        <f aca="false">IF(AH1466="","",P1466-W1466)</f>
        <v/>
      </c>
      <c r="Y1466" s="67"/>
      <c r="Z1466" s="70" t="str">
        <f aca="false">IF(OR(AH1466="",Y1466=""),"",IF(ABS(X1466-Y1466)&lt;=1,"✓ Cuadra","⚠ Diferencia $"&amp;FIXED(X1466-Y1466,0)))</f>
        <v/>
      </c>
      <c r="AA1466" s="72" t="str">
        <f aca="false">IF(AH1466="","",IFERROR(INDEX(C_TIPO,MATCH(C1466&amp;"-P"&amp;MAX(1,COUNTIFS(C_ID,C1466,C_DEFINE,"Sí",C_INICIO,"&lt;="&amp;EOMONTH(B1466,0))),C_CLAVE,0))&amp;"","Sin dato"))</f>
        <v/>
      </c>
      <c r="AB1466" s="71" t="str">
        <f aca="false">IF(AH1466="","",ROUND(MIN(K1466,TOPE_AFP_UF*AJ1466)*AK1466,0))</f>
        <v/>
      </c>
      <c r="AC1466" s="71" t="str">
        <f aca="false">IF(AH1466="","",ROUND(MIN(K1466,TOPE_AFC_UF*AJ1466)*IF(AA1466="Indefinido",AFC_EMP_INDEF,AFC_EMP_PF),0))</f>
        <v/>
      </c>
      <c r="AD1466" s="71" t="str">
        <f aca="false">IF(AH1466="","",ROUND(MIN(K1466,TOPE_AFP_UF*AJ1466)*(MUTUAL_BASICA+MUTUAL_ADIC+SANNA),0))</f>
        <v/>
      </c>
      <c r="AE1466" s="71" t="str">
        <f aca="false">IF(AH1466="","",P1466-N(N1466)+AB1466+AC1466+AD1466)</f>
        <v/>
      </c>
      <c r="AF1466" s="65"/>
      <c r="AG1466" s="64"/>
      <c r="AH1466" s="72" t="str">
        <f aca="false">IF(OR(B1466="",C1466=""),"",C1466&amp;"|"&amp;(YEAR(B1466)*100+MONTH(B1466)))</f>
        <v/>
      </c>
      <c r="AI1466" s="70" t="str">
        <f aca="false">IF(AH1466="","",IF(COUNTIF(L_CLAVE,AH1466)&gt;1,"⚠ Duplicado","OK"))</f>
        <v/>
      </c>
      <c r="AJ1466" s="86" t="str">
        <f aca="false">IF(AH1466="","",IF(SUMPRODUCT(MAX((IND_PER&lt;=B1466)*(IND_UF&lt;&gt;"")*IND_PER))=0,UF_HOY,INDEX(IND_UF,MATCH(SUMPRODUCT(MAX((IND_PER&lt;=B1466)*(IND_UF&lt;&gt;"")*IND_PER)),IND_PER,0))))</f>
        <v/>
      </c>
      <c r="AK1466" s="87" t="str">
        <f aca="false">IF(AH1466="","",IF(COUNTIF(TASA_DESDE,"&lt;="&amp;B1466)=0,INDEX(TASA_EMP,1),INDEX(TASA_EMP,COUNTIF(TASA_DESDE,"&lt;="&amp;B1466))))</f>
        <v/>
      </c>
    </row>
    <row r="1467" customFormat="false" ht="15" hidden="false" customHeight="false" outlineLevel="0" collapsed="false">
      <c r="B1467" s="78"/>
      <c r="C1467" s="64"/>
      <c r="D1467" s="72" t="str">
        <f aca="false">IF(C1467="","",IFERROR(INDEX(T_NOMBRE,MATCH(C1467,T_ID,0)),"⚠ ID no existe"))</f>
        <v/>
      </c>
      <c r="E1467" s="69"/>
      <c r="F1467" s="67"/>
      <c r="G1467" s="67"/>
      <c r="H1467" s="67"/>
      <c r="I1467" s="67"/>
      <c r="J1467" s="67"/>
      <c r="K1467" s="85" t="str">
        <f aca="false">IF(AH1467="","",N(F1467)+N(G1467)+N(H1467)-N(I1467)+N(J1467))</f>
        <v/>
      </c>
      <c r="L1467" s="67"/>
      <c r="M1467" s="67"/>
      <c r="N1467" s="67"/>
      <c r="O1467" s="67"/>
      <c r="P1467" s="85" t="str">
        <f aca="false">IF(AH1467="","",K1467+N(L1467)+N(M1467)+N(N1467)+N(O1467))</f>
        <v/>
      </c>
      <c r="Q1467" s="67"/>
      <c r="R1467" s="67"/>
      <c r="S1467" s="67"/>
      <c r="T1467" s="67"/>
      <c r="U1467" s="67"/>
      <c r="V1467" s="67"/>
      <c r="W1467" s="85" t="str">
        <f aca="false">IF(AH1467="","",N(Q1467)+N(R1467)+N(S1467)+N(T1467)+N(U1467)+N(V1467))</f>
        <v/>
      </c>
      <c r="X1467" s="85" t="str">
        <f aca="false">IF(AH1467="","",P1467-W1467)</f>
        <v/>
      </c>
      <c r="Y1467" s="67"/>
      <c r="Z1467" s="70" t="str">
        <f aca="false">IF(OR(AH1467="",Y1467=""),"",IF(ABS(X1467-Y1467)&lt;=1,"✓ Cuadra","⚠ Diferencia $"&amp;FIXED(X1467-Y1467,0)))</f>
        <v/>
      </c>
      <c r="AA1467" s="72" t="str">
        <f aca="false">IF(AH1467="","",IFERROR(INDEX(C_TIPO,MATCH(C1467&amp;"-P"&amp;MAX(1,COUNTIFS(C_ID,C1467,C_DEFINE,"Sí",C_INICIO,"&lt;="&amp;EOMONTH(B1467,0))),C_CLAVE,0))&amp;"","Sin dato"))</f>
        <v/>
      </c>
      <c r="AB1467" s="71" t="str">
        <f aca="false">IF(AH1467="","",ROUND(MIN(K1467,TOPE_AFP_UF*AJ1467)*AK1467,0))</f>
        <v/>
      </c>
      <c r="AC1467" s="71" t="str">
        <f aca="false">IF(AH1467="","",ROUND(MIN(K1467,TOPE_AFC_UF*AJ1467)*IF(AA1467="Indefinido",AFC_EMP_INDEF,AFC_EMP_PF),0))</f>
        <v/>
      </c>
      <c r="AD1467" s="71" t="str">
        <f aca="false">IF(AH1467="","",ROUND(MIN(K1467,TOPE_AFP_UF*AJ1467)*(MUTUAL_BASICA+MUTUAL_ADIC+SANNA),0))</f>
        <v/>
      </c>
      <c r="AE1467" s="71" t="str">
        <f aca="false">IF(AH1467="","",P1467-N(N1467)+AB1467+AC1467+AD1467)</f>
        <v/>
      </c>
      <c r="AF1467" s="65"/>
      <c r="AG1467" s="64"/>
      <c r="AH1467" s="72" t="str">
        <f aca="false">IF(OR(B1467="",C1467=""),"",C1467&amp;"|"&amp;(YEAR(B1467)*100+MONTH(B1467)))</f>
        <v/>
      </c>
      <c r="AI1467" s="70" t="str">
        <f aca="false">IF(AH1467="","",IF(COUNTIF(L_CLAVE,AH1467)&gt;1,"⚠ Duplicado","OK"))</f>
        <v/>
      </c>
      <c r="AJ1467" s="86" t="str">
        <f aca="false">IF(AH1467="","",IF(SUMPRODUCT(MAX((IND_PER&lt;=B1467)*(IND_UF&lt;&gt;"")*IND_PER))=0,UF_HOY,INDEX(IND_UF,MATCH(SUMPRODUCT(MAX((IND_PER&lt;=B1467)*(IND_UF&lt;&gt;"")*IND_PER)),IND_PER,0))))</f>
        <v/>
      </c>
      <c r="AK1467" s="87" t="str">
        <f aca="false">IF(AH1467="","",IF(COUNTIF(TASA_DESDE,"&lt;="&amp;B1467)=0,INDEX(TASA_EMP,1),INDEX(TASA_EMP,COUNTIF(TASA_DESDE,"&lt;="&amp;B1467))))</f>
        <v/>
      </c>
    </row>
    <row r="1468" customFormat="false" ht="15" hidden="false" customHeight="false" outlineLevel="0" collapsed="false">
      <c r="B1468" s="78"/>
      <c r="C1468" s="64"/>
      <c r="D1468" s="72" t="str">
        <f aca="false">IF(C1468="","",IFERROR(INDEX(T_NOMBRE,MATCH(C1468,T_ID,0)),"⚠ ID no existe"))</f>
        <v/>
      </c>
      <c r="E1468" s="69"/>
      <c r="F1468" s="67"/>
      <c r="G1468" s="67"/>
      <c r="H1468" s="67"/>
      <c r="I1468" s="67"/>
      <c r="J1468" s="67"/>
      <c r="K1468" s="85" t="str">
        <f aca="false">IF(AH1468="","",N(F1468)+N(G1468)+N(H1468)-N(I1468)+N(J1468))</f>
        <v/>
      </c>
      <c r="L1468" s="67"/>
      <c r="M1468" s="67"/>
      <c r="N1468" s="67"/>
      <c r="O1468" s="67"/>
      <c r="P1468" s="85" t="str">
        <f aca="false">IF(AH1468="","",K1468+N(L1468)+N(M1468)+N(N1468)+N(O1468))</f>
        <v/>
      </c>
      <c r="Q1468" s="67"/>
      <c r="R1468" s="67"/>
      <c r="S1468" s="67"/>
      <c r="T1468" s="67"/>
      <c r="U1468" s="67"/>
      <c r="V1468" s="67"/>
      <c r="W1468" s="85" t="str">
        <f aca="false">IF(AH1468="","",N(Q1468)+N(R1468)+N(S1468)+N(T1468)+N(U1468)+N(V1468))</f>
        <v/>
      </c>
      <c r="X1468" s="85" t="str">
        <f aca="false">IF(AH1468="","",P1468-W1468)</f>
        <v/>
      </c>
      <c r="Y1468" s="67"/>
      <c r="Z1468" s="70" t="str">
        <f aca="false">IF(OR(AH1468="",Y1468=""),"",IF(ABS(X1468-Y1468)&lt;=1,"✓ Cuadra","⚠ Diferencia $"&amp;FIXED(X1468-Y1468,0)))</f>
        <v/>
      </c>
      <c r="AA1468" s="72" t="str">
        <f aca="false">IF(AH1468="","",IFERROR(INDEX(C_TIPO,MATCH(C1468&amp;"-P"&amp;MAX(1,COUNTIFS(C_ID,C1468,C_DEFINE,"Sí",C_INICIO,"&lt;="&amp;EOMONTH(B1468,0))),C_CLAVE,0))&amp;"","Sin dato"))</f>
        <v/>
      </c>
      <c r="AB1468" s="71" t="str">
        <f aca="false">IF(AH1468="","",ROUND(MIN(K1468,TOPE_AFP_UF*AJ1468)*AK1468,0))</f>
        <v/>
      </c>
      <c r="AC1468" s="71" t="str">
        <f aca="false">IF(AH1468="","",ROUND(MIN(K1468,TOPE_AFC_UF*AJ1468)*IF(AA1468="Indefinido",AFC_EMP_INDEF,AFC_EMP_PF),0))</f>
        <v/>
      </c>
      <c r="AD1468" s="71" t="str">
        <f aca="false">IF(AH1468="","",ROUND(MIN(K1468,TOPE_AFP_UF*AJ1468)*(MUTUAL_BASICA+MUTUAL_ADIC+SANNA),0))</f>
        <v/>
      </c>
      <c r="AE1468" s="71" t="str">
        <f aca="false">IF(AH1468="","",P1468-N(N1468)+AB1468+AC1468+AD1468)</f>
        <v/>
      </c>
      <c r="AF1468" s="65"/>
      <c r="AG1468" s="64"/>
      <c r="AH1468" s="72" t="str">
        <f aca="false">IF(OR(B1468="",C1468=""),"",C1468&amp;"|"&amp;(YEAR(B1468)*100+MONTH(B1468)))</f>
        <v/>
      </c>
      <c r="AI1468" s="70" t="str">
        <f aca="false">IF(AH1468="","",IF(COUNTIF(L_CLAVE,AH1468)&gt;1,"⚠ Duplicado","OK"))</f>
        <v/>
      </c>
      <c r="AJ1468" s="86" t="str">
        <f aca="false">IF(AH1468="","",IF(SUMPRODUCT(MAX((IND_PER&lt;=B1468)*(IND_UF&lt;&gt;"")*IND_PER))=0,UF_HOY,INDEX(IND_UF,MATCH(SUMPRODUCT(MAX((IND_PER&lt;=B1468)*(IND_UF&lt;&gt;"")*IND_PER)),IND_PER,0))))</f>
        <v/>
      </c>
      <c r="AK1468" s="87" t="str">
        <f aca="false">IF(AH1468="","",IF(COUNTIF(TASA_DESDE,"&lt;="&amp;B1468)=0,INDEX(TASA_EMP,1),INDEX(TASA_EMP,COUNTIF(TASA_DESDE,"&lt;="&amp;B1468))))</f>
        <v/>
      </c>
    </row>
    <row r="1469" customFormat="false" ht="15" hidden="false" customHeight="false" outlineLevel="0" collapsed="false">
      <c r="B1469" s="78"/>
      <c r="C1469" s="64"/>
      <c r="D1469" s="72" t="str">
        <f aca="false">IF(C1469="","",IFERROR(INDEX(T_NOMBRE,MATCH(C1469,T_ID,0)),"⚠ ID no existe"))</f>
        <v/>
      </c>
      <c r="E1469" s="69"/>
      <c r="F1469" s="67"/>
      <c r="G1469" s="67"/>
      <c r="H1469" s="67"/>
      <c r="I1469" s="67"/>
      <c r="J1469" s="67"/>
      <c r="K1469" s="85" t="str">
        <f aca="false">IF(AH1469="","",N(F1469)+N(G1469)+N(H1469)-N(I1469)+N(J1469))</f>
        <v/>
      </c>
      <c r="L1469" s="67"/>
      <c r="M1469" s="67"/>
      <c r="N1469" s="67"/>
      <c r="O1469" s="67"/>
      <c r="P1469" s="85" t="str">
        <f aca="false">IF(AH1469="","",K1469+N(L1469)+N(M1469)+N(N1469)+N(O1469))</f>
        <v/>
      </c>
      <c r="Q1469" s="67"/>
      <c r="R1469" s="67"/>
      <c r="S1469" s="67"/>
      <c r="T1469" s="67"/>
      <c r="U1469" s="67"/>
      <c r="V1469" s="67"/>
      <c r="W1469" s="85" t="str">
        <f aca="false">IF(AH1469="","",N(Q1469)+N(R1469)+N(S1469)+N(T1469)+N(U1469)+N(V1469))</f>
        <v/>
      </c>
      <c r="X1469" s="85" t="str">
        <f aca="false">IF(AH1469="","",P1469-W1469)</f>
        <v/>
      </c>
      <c r="Y1469" s="67"/>
      <c r="Z1469" s="70" t="str">
        <f aca="false">IF(OR(AH1469="",Y1469=""),"",IF(ABS(X1469-Y1469)&lt;=1,"✓ Cuadra","⚠ Diferencia $"&amp;FIXED(X1469-Y1469,0)))</f>
        <v/>
      </c>
      <c r="AA1469" s="72" t="str">
        <f aca="false">IF(AH1469="","",IFERROR(INDEX(C_TIPO,MATCH(C1469&amp;"-P"&amp;MAX(1,COUNTIFS(C_ID,C1469,C_DEFINE,"Sí",C_INICIO,"&lt;="&amp;EOMONTH(B1469,0))),C_CLAVE,0))&amp;"","Sin dato"))</f>
        <v/>
      </c>
      <c r="AB1469" s="71" t="str">
        <f aca="false">IF(AH1469="","",ROUND(MIN(K1469,TOPE_AFP_UF*AJ1469)*AK1469,0))</f>
        <v/>
      </c>
      <c r="AC1469" s="71" t="str">
        <f aca="false">IF(AH1469="","",ROUND(MIN(K1469,TOPE_AFC_UF*AJ1469)*IF(AA1469="Indefinido",AFC_EMP_INDEF,AFC_EMP_PF),0))</f>
        <v/>
      </c>
      <c r="AD1469" s="71" t="str">
        <f aca="false">IF(AH1469="","",ROUND(MIN(K1469,TOPE_AFP_UF*AJ1469)*(MUTUAL_BASICA+MUTUAL_ADIC+SANNA),0))</f>
        <v/>
      </c>
      <c r="AE1469" s="71" t="str">
        <f aca="false">IF(AH1469="","",P1469-N(N1469)+AB1469+AC1469+AD1469)</f>
        <v/>
      </c>
      <c r="AF1469" s="65"/>
      <c r="AG1469" s="64"/>
      <c r="AH1469" s="72" t="str">
        <f aca="false">IF(OR(B1469="",C1469=""),"",C1469&amp;"|"&amp;(YEAR(B1469)*100+MONTH(B1469)))</f>
        <v/>
      </c>
      <c r="AI1469" s="70" t="str">
        <f aca="false">IF(AH1469="","",IF(COUNTIF(L_CLAVE,AH1469)&gt;1,"⚠ Duplicado","OK"))</f>
        <v/>
      </c>
      <c r="AJ1469" s="86" t="str">
        <f aca="false">IF(AH1469="","",IF(SUMPRODUCT(MAX((IND_PER&lt;=B1469)*(IND_UF&lt;&gt;"")*IND_PER))=0,UF_HOY,INDEX(IND_UF,MATCH(SUMPRODUCT(MAX((IND_PER&lt;=B1469)*(IND_UF&lt;&gt;"")*IND_PER)),IND_PER,0))))</f>
        <v/>
      </c>
      <c r="AK1469" s="87" t="str">
        <f aca="false">IF(AH1469="","",IF(COUNTIF(TASA_DESDE,"&lt;="&amp;B1469)=0,INDEX(TASA_EMP,1),INDEX(TASA_EMP,COUNTIF(TASA_DESDE,"&lt;="&amp;B1469))))</f>
        <v/>
      </c>
    </row>
    <row r="1470" customFormat="false" ht="15" hidden="false" customHeight="false" outlineLevel="0" collapsed="false">
      <c r="B1470" s="78"/>
      <c r="C1470" s="64"/>
      <c r="D1470" s="72" t="str">
        <f aca="false">IF(C1470="","",IFERROR(INDEX(T_NOMBRE,MATCH(C1470,T_ID,0)),"⚠ ID no existe"))</f>
        <v/>
      </c>
      <c r="E1470" s="69"/>
      <c r="F1470" s="67"/>
      <c r="G1470" s="67"/>
      <c r="H1470" s="67"/>
      <c r="I1470" s="67"/>
      <c r="J1470" s="67"/>
      <c r="K1470" s="85" t="str">
        <f aca="false">IF(AH1470="","",N(F1470)+N(G1470)+N(H1470)-N(I1470)+N(J1470))</f>
        <v/>
      </c>
      <c r="L1470" s="67"/>
      <c r="M1470" s="67"/>
      <c r="N1470" s="67"/>
      <c r="O1470" s="67"/>
      <c r="P1470" s="85" t="str">
        <f aca="false">IF(AH1470="","",K1470+N(L1470)+N(M1470)+N(N1470)+N(O1470))</f>
        <v/>
      </c>
      <c r="Q1470" s="67"/>
      <c r="R1470" s="67"/>
      <c r="S1470" s="67"/>
      <c r="T1470" s="67"/>
      <c r="U1470" s="67"/>
      <c r="V1470" s="67"/>
      <c r="W1470" s="85" t="str">
        <f aca="false">IF(AH1470="","",N(Q1470)+N(R1470)+N(S1470)+N(T1470)+N(U1470)+N(V1470))</f>
        <v/>
      </c>
      <c r="X1470" s="85" t="str">
        <f aca="false">IF(AH1470="","",P1470-W1470)</f>
        <v/>
      </c>
      <c r="Y1470" s="67"/>
      <c r="Z1470" s="70" t="str">
        <f aca="false">IF(OR(AH1470="",Y1470=""),"",IF(ABS(X1470-Y1470)&lt;=1,"✓ Cuadra","⚠ Diferencia $"&amp;FIXED(X1470-Y1470,0)))</f>
        <v/>
      </c>
      <c r="AA1470" s="72" t="str">
        <f aca="false">IF(AH1470="","",IFERROR(INDEX(C_TIPO,MATCH(C1470&amp;"-P"&amp;MAX(1,COUNTIFS(C_ID,C1470,C_DEFINE,"Sí",C_INICIO,"&lt;="&amp;EOMONTH(B1470,0))),C_CLAVE,0))&amp;"","Sin dato"))</f>
        <v/>
      </c>
      <c r="AB1470" s="71" t="str">
        <f aca="false">IF(AH1470="","",ROUND(MIN(K1470,TOPE_AFP_UF*AJ1470)*AK1470,0))</f>
        <v/>
      </c>
      <c r="AC1470" s="71" t="str">
        <f aca="false">IF(AH1470="","",ROUND(MIN(K1470,TOPE_AFC_UF*AJ1470)*IF(AA1470="Indefinido",AFC_EMP_INDEF,AFC_EMP_PF),0))</f>
        <v/>
      </c>
      <c r="AD1470" s="71" t="str">
        <f aca="false">IF(AH1470="","",ROUND(MIN(K1470,TOPE_AFP_UF*AJ1470)*(MUTUAL_BASICA+MUTUAL_ADIC+SANNA),0))</f>
        <v/>
      </c>
      <c r="AE1470" s="71" t="str">
        <f aca="false">IF(AH1470="","",P1470-N(N1470)+AB1470+AC1470+AD1470)</f>
        <v/>
      </c>
      <c r="AF1470" s="65"/>
      <c r="AG1470" s="64"/>
      <c r="AH1470" s="72" t="str">
        <f aca="false">IF(OR(B1470="",C1470=""),"",C1470&amp;"|"&amp;(YEAR(B1470)*100+MONTH(B1470)))</f>
        <v/>
      </c>
      <c r="AI1470" s="70" t="str">
        <f aca="false">IF(AH1470="","",IF(COUNTIF(L_CLAVE,AH1470)&gt;1,"⚠ Duplicado","OK"))</f>
        <v/>
      </c>
      <c r="AJ1470" s="86" t="str">
        <f aca="false">IF(AH1470="","",IF(SUMPRODUCT(MAX((IND_PER&lt;=B1470)*(IND_UF&lt;&gt;"")*IND_PER))=0,UF_HOY,INDEX(IND_UF,MATCH(SUMPRODUCT(MAX((IND_PER&lt;=B1470)*(IND_UF&lt;&gt;"")*IND_PER)),IND_PER,0))))</f>
        <v/>
      </c>
      <c r="AK1470" s="87" t="str">
        <f aca="false">IF(AH1470="","",IF(COUNTIF(TASA_DESDE,"&lt;="&amp;B1470)=0,INDEX(TASA_EMP,1),INDEX(TASA_EMP,COUNTIF(TASA_DESDE,"&lt;="&amp;B1470))))</f>
        <v/>
      </c>
    </row>
    <row r="1471" customFormat="false" ht="15" hidden="false" customHeight="false" outlineLevel="0" collapsed="false">
      <c r="B1471" s="78"/>
      <c r="C1471" s="64"/>
      <c r="D1471" s="72" t="str">
        <f aca="false">IF(C1471="","",IFERROR(INDEX(T_NOMBRE,MATCH(C1471,T_ID,0)),"⚠ ID no existe"))</f>
        <v/>
      </c>
      <c r="E1471" s="69"/>
      <c r="F1471" s="67"/>
      <c r="G1471" s="67"/>
      <c r="H1471" s="67"/>
      <c r="I1471" s="67"/>
      <c r="J1471" s="67"/>
      <c r="K1471" s="85" t="str">
        <f aca="false">IF(AH1471="","",N(F1471)+N(G1471)+N(H1471)-N(I1471)+N(J1471))</f>
        <v/>
      </c>
      <c r="L1471" s="67"/>
      <c r="M1471" s="67"/>
      <c r="N1471" s="67"/>
      <c r="O1471" s="67"/>
      <c r="P1471" s="85" t="str">
        <f aca="false">IF(AH1471="","",K1471+N(L1471)+N(M1471)+N(N1471)+N(O1471))</f>
        <v/>
      </c>
      <c r="Q1471" s="67"/>
      <c r="R1471" s="67"/>
      <c r="S1471" s="67"/>
      <c r="T1471" s="67"/>
      <c r="U1471" s="67"/>
      <c r="V1471" s="67"/>
      <c r="W1471" s="85" t="str">
        <f aca="false">IF(AH1471="","",N(Q1471)+N(R1471)+N(S1471)+N(T1471)+N(U1471)+N(V1471))</f>
        <v/>
      </c>
      <c r="X1471" s="85" t="str">
        <f aca="false">IF(AH1471="","",P1471-W1471)</f>
        <v/>
      </c>
      <c r="Y1471" s="67"/>
      <c r="Z1471" s="70" t="str">
        <f aca="false">IF(OR(AH1471="",Y1471=""),"",IF(ABS(X1471-Y1471)&lt;=1,"✓ Cuadra","⚠ Diferencia $"&amp;FIXED(X1471-Y1471,0)))</f>
        <v/>
      </c>
      <c r="AA1471" s="72" t="str">
        <f aca="false">IF(AH1471="","",IFERROR(INDEX(C_TIPO,MATCH(C1471&amp;"-P"&amp;MAX(1,COUNTIFS(C_ID,C1471,C_DEFINE,"Sí",C_INICIO,"&lt;="&amp;EOMONTH(B1471,0))),C_CLAVE,0))&amp;"","Sin dato"))</f>
        <v/>
      </c>
      <c r="AB1471" s="71" t="str">
        <f aca="false">IF(AH1471="","",ROUND(MIN(K1471,TOPE_AFP_UF*AJ1471)*AK1471,0))</f>
        <v/>
      </c>
      <c r="AC1471" s="71" t="str">
        <f aca="false">IF(AH1471="","",ROUND(MIN(K1471,TOPE_AFC_UF*AJ1471)*IF(AA1471="Indefinido",AFC_EMP_INDEF,AFC_EMP_PF),0))</f>
        <v/>
      </c>
      <c r="AD1471" s="71" t="str">
        <f aca="false">IF(AH1471="","",ROUND(MIN(K1471,TOPE_AFP_UF*AJ1471)*(MUTUAL_BASICA+MUTUAL_ADIC+SANNA),0))</f>
        <v/>
      </c>
      <c r="AE1471" s="71" t="str">
        <f aca="false">IF(AH1471="","",P1471-N(N1471)+AB1471+AC1471+AD1471)</f>
        <v/>
      </c>
      <c r="AF1471" s="65"/>
      <c r="AG1471" s="64"/>
      <c r="AH1471" s="72" t="str">
        <f aca="false">IF(OR(B1471="",C1471=""),"",C1471&amp;"|"&amp;(YEAR(B1471)*100+MONTH(B1471)))</f>
        <v/>
      </c>
      <c r="AI1471" s="70" t="str">
        <f aca="false">IF(AH1471="","",IF(COUNTIF(L_CLAVE,AH1471)&gt;1,"⚠ Duplicado","OK"))</f>
        <v/>
      </c>
      <c r="AJ1471" s="86" t="str">
        <f aca="false">IF(AH1471="","",IF(SUMPRODUCT(MAX((IND_PER&lt;=B1471)*(IND_UF&lt;&gt;"")*IND_PER))=0,UF_HOY,INDEX(IND_UF,MATCH(SUMPRODUCT(MAX((IND_PER&lt;=B1471)*(IND_UF&lt;&gt;"")*IND_PER)),IND_PER,0))))</f>
        <v/>
      </c>
      <c r="AK1471" s="87" t="str">
        <f aca="false">IF(AH1471="","",IF(COUNTIF(TASA_DESDE,"&lt;="&amp;B1471)=0,INDEX(TASA_EMP,1),INDEX(TASA_EMP,COUNTIF(TASA_DESDE,"&lt;="&amp;B1471))))</f>
        <v/>
      </c>
    </row>
    <row r="1472" customFormat="false" ht="15" hidden="false" customHeight="false" outlineLevel="0" collapsed="false">
      <c r="B1472" s="78"/>
      <c r="C1472" s="64"/>
      <c r="D1472" s="72" t="str">
        <f aca="false">IF(C1472="","",IFERROR(INDEX(T_NOMBRE,MATCH(C1472,T_ID,0)),"⚠ ID no existe"))</f>
        <v/>
      </c>
      <c r="E1472" s="69"/>
      <c r="F1472" s="67"/>
      <c r="G1472" s="67"/>
      <c r="H1472" s="67"/>
      <c r="I1472" s="67"/>
      <c r="J1472" s="67"/>
      <c r="K1472" s="85" t="str">
        <f aca="false">IF(AH1472="","",N(F1472)+N(G1472)+N(H1472)-N(I1472)+N(J1472))</f>
        <v/>
      </c>
      <c r="L1472" s="67"/>
      <c r="M1472" s="67"/>
      <c r="N1472" s="67"/>
      <c r="O1472" s="67"/>
      <c r="P1472" s="85" t="str">
        <f aca="false">IF(AH1472="","",K1472+N(L1472)+N(M1472)+N(N1472)+N(O1472))</f>
        <v/>
      </c>
      <c r="Q1472" s="67"/>
      <c r="R1472" s="67"/>
      <c r="S1472" s="67"/>
      <c r="T1472" s="67"/>
      <c r="U1472" s="67"/>
      <c r="V1472" s="67"/>
      <c r="W1472" s="85" t="str">
        <f aca="false">IF(AH1472="","",N(Q1472)+N(R1472)+N(S1472)+N(T1472)+N(U1472)+N(V1472))</f>
        <v/>
      </c>
      <c r="X1472" s="85" t="str">
        <f aca="false">IF(AH1472="","",P1472-W1472)</f>
        <v/>
      </c>
      <c r="Y1472" s="67"/>
      <c r="Z1472" s="70" t="str">
        <f aca="false">IF(OR(AH1472="",Y1472=""),"",IF(ABS(X1472-Y1472)&lt;=1,"✓ Cuadra","⚠ Diferencia $"&amp;FIXED(X1472-Y1472,0)))</f>
        <v/>
      </c>
      <c r="AA1472" s="72" t="str">
        <f aca="false">IF(AH1472="","",IFERROR(INDEX(C_TIPO,MATCH(C1472&amp;"-P"&amp;MAX(1,COUNTIFS(C_ID,C1472,C_DEFINE,"Sí",C_INICIO,"&lt;="&amp;EOMONTH(B1472,0))),C_CLAVE,0))&amp;"","Sin dato"))</f>
        <v/>
      </c>
      <c r="AB1472" s="71" t="str">
        <f aca="false">IF(AH1472="","",ROUND(MIN(K1472,TOPE_AFP_UF*AJ1472)*AK1472,0))</f>
        <v/>
      </c>
      <c r="AC1472" s="71" t="str">
        <f aca="false">IF(AH1472="","",ROUND(MIN(K1472,TOPE_AFC_UF*AJ1472)*IF(AA1472="Indefinido",AFC_EMP_INDEF,AFC_EMP_PF),0))</f>
        <v/>
      </c>
      <c r="AD1472" s="71" t="str">
        <f aca="false">IF(AH1472="","",ROUND(MIN(K1472,TOPE_AFP_UF*AJ1472)*(MUTUAL_BASICA+MUTUAL_ADIC+SANNA),0))</f>
        <v/>
      </c>
      <c r="AE1472" s="71" t="str">
        <f aca="false">IF(AH1472="","",P1472-N(N1472)+AB1472+AC1472+AD1472)</f>
        <v/>
      </c>
      <c r="AF1472" s="65"/>
      <c r="AG1472" s="64"/>
      <c r="AH1472" s="72" t="str">
        <f aca="false">IF(OR(B1472="",C1472=""),"",C1472&amp;"|"&amp;(YEAR(B1472)*100+MONTH(B1472)))</f>
        <v/>
      </c>
      <c r="AI1472" s="70" t="str">
        <f aca="false">IF(AH1472="","",IF(COUNTIF(L_CLAVE,AH1472)&gt;1,"⚠ Duplicado","OK"))</f>
        <v/>
      </c>
      <c r="AJ1472" s="86" t="str">
        <f aca="false">IF(AH1472="","",IF(SUMPRODUCT(MAX((IND_PER&lt;=B1472)*(IND_UF&lt;&gt;"")*IND_PER))=0,UF_HOY,INDEX(IND_UF,MATCH(SUMPRODUCT(MAX((IND_PER&lt;=B1472)*(IND_UF&lt;&gt;"")*IND_PER)),IND_PER,0))))</f>
        <v/>
      </c>
      <c r="AK1472" s="87" t="str">
        <f aca="false">IF(AH1472="","",IF(COUNTIF(TASA_DESDE,"&lt;="&amp;B1472)=0,INDEX(TASA_EMP,1),INDEX(TASA_EMP,COUNTIF(TASA_DESDE,"&lt;="&amp;B1472))))</f>
        <v/>
      </c>
    </row>
    <row r="1473" customFormat="false" ht="15" hidden="false" customHeight="false" outlineLevel="0" collapsed="false">
      <c r="B1473" s="78"/>
      <c r="C1473" s="64"/>
      <c r="D1473" s="72" t="str">
        <f aca="false">IF(C1473="","",IFERROR(INDEX(T_NOMBRE,MATCH(C1473,T_ID,0)),"⚠ ID no existe"))</f>
        <v/>
      </c>
      <c r="E1473" s="69"/>
      <c r="F1473" s="67"/>
      <c r="G1473" s="67"/>
      <c r="H1473" s="67"/>
      <c r="I1473" s="67"/>
      <c r="J1473" s="67"/>
      <c r="K1473" s="85" t="str">
        <f aca="false">IF(AH1473="","",N(F1473)+N(G1473)+N(H1473)-N(I1473)+N(J1473))</f>
        <v/>
      </c>
      <c r="L1473" s="67"/>
      <c r="M1473" s="67"/>
      <c r="N1473" s="67"/>
      <c r="O1473" s="67"/>
      <c r="P1473" s="85" t="str">
        <f aca="false">IF(AH1473="","",K1473+N(L1473)+N(M1473)+N(N1473)+N(O1473))</f>
        <v/>
      </c>
      <c r="Q1473" s="67"/>
      <c r="R1473" s="67"/>
      <c r="S1473" s="67"/>
      <c r="T1473" s="67"/>
      <c r="U1473" s="67"/>
      <c r="V1473" s="67"/>
      <c r="W1473" s="85" t="str">
        <f aca="false">IF(AH1473="","",N(Q1473)+N(R1473)+N(S1473)+N(T1473)+N(U1473)+N(V1473))</f>
        <v/>
      </c>
      <c r="X1473" s="85" t="str">
        <f aca="false">IF(AH1473="","",P1473-W1473)</f>
        <v/>
      </c>
      <c r="Y1473" s="67"/>
      <c r="Z1473" s="70" t="str">
        <f aca="false">IF(OR(AH1473="",Y1473=""),"",IF(ABS(X1473-Y1473)&lt;=1,"✓ Cuadra","⚠ Diferencia $"&amp;FIXED(X1473-Y1473,0)))</f>
        <v/>
      </c>
      <c r="AA1473" s="72" t="str">
        <f aca="false">IF(AH1473="","",IFERROR(INDEX(C_TIPO,MATCH(C1473&amp;"-P"&amp;MAX(1,COUNTIFS(C_ID,C1473,C_DEFINE,"Sí",C_INICIO,"&lt;="&amp;EOMONTH(B1473,0))),C_CLAVE,0))&amp;"","Sin dato"))</f>
        <v/>
      </c>
      <c r="AB1473" s="71" t="str">
        <f aca="false">IF(AH1473="","",ROUND(MIN(K1473,TOPE_AFP_UF*AJ1473)*AK1473,0))</f>
        <v/>
      </c>
      <c r="AC1473" s="71" t="str">
        <f aca="false">IF(AH1473="","",ROUND(MIN(K1473,TOPE_AFC_UF*AJ1473)*IF(AA1473="Indefinido",AFC_EMP_INDEF,AFC_EMP_PF),0))</f>
        <v/>
      </c>
      <c r="AD1473" s="71" t="str">
        <f aca="false">IF(AH1473="","",ROUND(MIN(K1473,TOPE_AFP_UF*AJ1473)*(MUTUAL_BASICA+MUTUAL_ADIC+SANNA),0))</f>
        <v/>
      </c>
      <c r="AE1473" s="71" t="str">
        <f aca="false">IF(AH1473="","",P1473-N(N1473)+AB1473+AC1473+AD1473)</f>
        <v/>
      </c>
      <c r="AF1473" s="65"/>
      <c r="AG1473" s="64"/>
      <c r="AH1473" s="72" t="str">
        <f aca="false">IF(OR(B1473="",C1473=""),"",C1473&amp;"|"&amp;(YEAR(B1473)*100+MONTH(B1473)))</f>
        <v/>
      </c>
      <c r="AI1473" s="70" t="str">
        <f aca="false">IF(AH1473="","",IF(COUNTIF(L_CLAVE,AH1473)&gt;1,"⚠ Duplicado","OK"))</f>
        <v/>
      </c>
      <c r="AJ1473" s="86" t="str">
        <f aca="false">IF(AH1473="","",IF(SUMPRODUCT(MAX((IND_PER&lt;=B1473)*(IND_UF&lt;&gt;"")*IND_PER))=0,UF_HOY,INDEX(IND_UF,MATCH(SUMPRODUCT(MAX((IND_PER&lt;=B1473)*(IND_UF&lt;&gt;"")*IND_PER)),IND_PER,0))))</f>
        <v/>
      </c>
      <c r="AK1473" s="87" t="str">
        <f aca="false">IF(AH1473="","",IF(COUNTIF(TASA_DESDE,"&lt;="&amp;B1473)=0,INDEX(TASA_EMP,1),INDEX(TASA_EMP,COUNTIF(TASA_DESDE,"&lt;="&amp;B1473))))</f>
        <v/>
      </c>
    </row>
    <row r="1474" customFormat="false" ht="15" hidden="false" customHeight="false" outlineLevel="0" collapsed="false">
      <c r="B1474" s="78"/>
      <c r="C1474" s="64"/>
      <c r="D1474" s="72" t="str">
        <f aca="false">IF(C1474="","",IFERROR(INDEX(T_NOMBRE,MATCH(C1474,T_ID,0)),"⚠ ID no existe"))</f>
        <v/>
      </c>
      <c r="E1474" s="69"/>
      <c r="F1474" s="67"/>
      <c r="G1474" s="67"/>
      <c r="H1474" s="67"/>
      <c r="I1474" s="67"/>
      <c r="J1474" s="67"/>
      <c r="K1474" s="85" t="str">
        <f aca="false">IF(AH1474="","",N(F1474)+N(G1474)+N(H1474)-N(I1474)+N(J1474))</f>
        <v/>
      </c>
      <c r="L1474" s="67"/>
      <c r="M1474" s="67"/>
      <c r="N1474" s="67"/>
      <c r="O1474" s="67"/>
      <c r="P1474" s="85" t="str">
        <f aca="false">IF(AH1474="","",K1474+N(L1474)+N(M1474)+N(N1474)+N(O1474))</f>
        <v/>
      </c>
      <c r="Q1474" s="67"/>
      <c r="R1474" s="67"/>
      <c r="S1474" s="67"/>
      <c r="T1474" s="67"/>
      <c r="U1474" s="67"/>
      <c r="V1474" s="67"/>
      <c r="W1474" s="85" t="str">
        <f aca="false">IF(AH1474="","",N(Q1474)+N(R1474)+N(S1474)+N(T1474)+N(U1474)+N(V1474))</f>
        <v/>
      </c>
      <c r="X1474" s="85" t="str">
        <f aca="false">IF(AH1474="","",P1474-W1474)</f>
        <v/>
      </c>
      <c r="Y1474" s="67"/>
      <c r="Z1474" s="70" t="str">
        <f aca="false">IF(OR(AH1474="",Y1474=""),"",IF(ABS(X1474-Y1474)&lt;=1,"✓ Cuadra","⚠ Diferencia $"&amp;FIXED(X1474-Y1474,0)))</f>
        <v/>
      </c>
      <c r="AA1474" s="72" t="str">
        <f aca="false">IF(AH1474="","",IFERROR(INDEX(C_TIPO,MATCH(C1474&amp;"-P"&amp;MAX(1,COUNTIFS(C_ID,C1474,C_DEFINE,"Sí",C_INICIO,"&lt;="&amp;EOMONTH(B1474,0))),C_CLAVE,0))&amp;"","Sin dato"))</f>
        <v/>
      </c>
      <c r="AB1474" s="71" t="str">
        <f aca="false">IF(AH1474="","",ROUND(MIN(K1474,TOPE_AFP_UF*AJ1474)*AK1474,0))</f>
        <v/>
      </c>
      <c r="AC1474" s="71" t="str">
        <f aca="false">IF(AH1474="","",ROUND(MIN(K1474,TOPE_AFC_UF*AJ1474)*IF(AA1474="Indefinido",AFC_EMP_INDEF,AFC_EMP_PF),0))</f>
        <v/>
      </c>
      <c r="AD1474" s="71" t="str">
        <f aca="false">IF(AH1474="","",ROUND(MIN(K1474,TOPE_AFP_UF*AJ1474)*(MUTUAL_BASICA+MUTUAL_ADIC+SANNA),0))</f>
        <v/>
      </c>
      <c r="AE1474" s="71" t="str">
        <f aca="false">IF(AH1474="","",P1474-N(N1474)+AB1474+AC1474+AD1474)</f>
        <v/>
      </c>
      <c r="AF1474" s="65"/>
      <c r="AG1474" s="64"/>
      <c r="AH1474" s="72" t="str">
        <f aca="false">IF(OR(B1474="",C1474=""),"",C1474&amp;"|"&amp;(YEAR(B1474)*100+MONTH(B1474)))</f>
        <v/>
      </c>
      <c r="AI1474" s="70" t="str">
        <f aca="false">IF(AH1474="","",IF(COUNTIF(L_CLAVE,AH1474)&gt;1,"⚠ Duplicado","OK"))</f>
        <v/>
      </c>
      <c r="AJ1474" s="86" t="str">
        <f aca="false">IF(AH1474="","",IF(SUMPRODUCT(MAX((IND_PER&lt;=B1474)*(IND_UF&lt;&gt;"")*IND_PER))=0,UF_HOY,INDEX(IND_UF,MATCH(SUMPRODUCT(MAX((IND_PER&lt;=B1474)*(IND_UF&lt;&gt;"")*IND_PER)),IND_PER,0))))</f>
        <v/>
      </c>
      <c r="AK1474" s="87" t="str">
        <f aca="false">IF(AH1474="","",IF(COUNTIF(TASA_DESDE,"&lt;="&amp;B1474)=0,INDEX(TASA_EMP,1),INDEX(TASA_EMP,COUNTIF(TASA_DESDE,"&lt;="&amp;B1474))))</f>
        <v/>
      </c>
    </row>
    <row r="1475" customFormat="false" ht="15" hidden="false" customHeight="false" outlineLevel="0" collapsed="false">
      <c r="B1475" s="78"/>
      <c r="C1475" s="64"/>
      <c r="D1475" s="72" t="str">
        <f aca="false">IF(C1475="","",IFERROR(INDEX(T_NOMBRE,MATCH(C1475,T_ID,0)),"⚠ ID no existe"))</f>
        <v/>
      </c>
      <c r="E1475" s="69"/>
      <c r="F1475" s="67"/>
      <c r="G1475" s="67"/>
      <c r="H1475" s="67"/>
      <c r="I1475" s="67"/>
      <c r="J1475" s="67"/>
      <c r="K1475" s="85" t="str">
        <f aca="false">IF(AH1475="","",N(F1475)+N(G1475)+N(H1475)-N(I1475)+N(J1475))</f>
        <v/>
      </c>
      <c r="L1475" s="67"/>
      <c r="M1475" s="67"/>
      <c r="N1475" s="67"/>
      <c r="O1475" s="67"/>
      <c r="P1475" s="85" t="str">
        <f aca="false">IF(AH1475="","",K1475+N(L1475)+N(M1475)+N(N1475)+N(O1475))</f>
        <v/>
      </c>
      <c r="Q1475" s="67"/>
      <c r="R1475" s="67"/>
      <c r="S1475" s="67"/>
      <c r="T1475" s="67"/>
      <c r="U1475" s="67"/>
      <c r="V1475" s="67"/>
      <c r="W1475" s="85" t="str">
        <f aca="false">IF(AH1475="","",N(Q1475)+N(R1475)+N(S1475)+N(T1475)+N(U1475)+N(V1475))</f>
        <v/>
      </c>
      <c r="X1475" s="85" t="str">
        <f aca="false">IF(AH1475="","",P1475-W1475)</f>
        <v/>
      </c>
      <c r="Y1475" s="67"/>
      <c r="Z1475" s="70" t="str">
        <f aca="false">IF(OR(AH1475="",Y1475=""),"",IF(ABS(X1475-Y1475)&lt;=1,"✓ Cuadra","⚠ Diferencia $"&amp;FIXED(X1475-Y1475,0)))</f>
        <v/>
      </c>
      <c r="AA1475" s="72" t="str">
        <f aca="false">IF(AH1475="","",IFERROR(INDEX(C_TIPO,MATCH(C1475&amp;"-P"&amp;MAX(1,COUNTIFS(C_ID,C1475,C_DEFINE,"Sí",C_INICIO,"&lt;="&amp;EOMONTH(B1475,0))),C_CLAVE,0))&amp;"","Sin dato"))</f>
        <v/>
      </c>
      <c r="AB1475" s="71" t="str">
        <f aca="false">IF(AH1475="","",ROUND(MIN(K1475,TOPE_AFP_UF*AJ1475)*AK1475,0))</f>
        <v/>
      </c>
      <c r="AC1475" s="71" t="str">
        <f aca="false">IF(AH1475="","",ROUND(MIN(K1475,TOPE_AFC_UF*AJ1475)*IF(AA1475="Indefinido",AFC_EMP_INDEF,AFC_EMP_PF),0))</f>
        <v/>
      </c>
      <c r="AD1475" s="71" t="str">
        <f aca="false">IF(AH1475="","",ROUND(MIN(K1475,TOPE_AFP_UF*AJ1475)*(MUTUAL_BASICA+MUTUAL_ADIC+SANNA),0))</f>
        <v/>
      </c>
      <c r="AE1475" s="71" t="str">
        <f aca="false">IF(AH1475="","",P1475-N(N1475)+AB1475+AC1475+AD1475)</f>
        <v/>
      </c>
      <c r="AF1475" s="65"/>
      <c r="AG1475" s="64"/>
      <c r="AH1475" s="72" t="str">
        <f aca="false">IF(OR(B1475="",C1475=""),"",C1475&amp;"|"&amp;(YEAR(B1475)*100+MONTH(B1475)))</f>
        <v/>
      </c>
      <c r="AI1475" s="70" t="str">
        <f aca="false">IF(AH1475="","",IF(COUNTIF(L_CLAVE,AH1475)&gt;1,"⚠ Duplicado","OK"))</f>
        <v/>
      </c>
      <c r="AJ1475" s="86" t="str">
        <f aca="false">IF(AH1475="","",IF(SUMPRODUCT(MAX((IND_PER&lt;=B1475)*(IND_UF&lt;&gt;"")*IND_PER))=0,UF_HOY,INDEX(IND_UF,MATCH(SUMPRODUCT(MAX((IND_PER&lt;=B1475)*(IND_UF&lt;&gt;"")*IND_PER)),IND_PER,0))))</f>
        <v/>
      </c>
      <c r="AK1475" s="87" t="str">
        <f aca="false">IF(AH1475="","",IF(COUNTIF(TASA_DESDE,"&lt;="&amp;B1475)=0,INDEX(TASA_EMP,1),INDEX(TASA_EMP,COUNTIF(TASA_DESDE,"&lt;="&amp;B1475))))</f>
        <v/>
      </c>
    </row>
    <row r="1476" customFormat="false" ht="15" hidden="false" customHeight="false" outlineLevel="0" collapsed="false">
      <c r="B1476" s="78"/>
      <c r="C1476" s="64"/>
      <c r="D1476" s="72" t="str">
        <f aca="false">IF(C1476="","",IFERROR(INDEX(T_NOMBRE,MATCH(C1476,T_ID,0)),"⚠ ID no existe"))</f>
        <v/>
      </c>
      <c r="E1476" s="69"/>
      <c r="F1476" s="67"/>
      <c r="G1476" s="67"/>
      <c r="H1476" s="67"/>
      <c r="I1476" s="67"/>
      <c r="J1476" s="67"/>
      <c r="K1476" s="85" t="str">
        <f aca="false">IF(AH1476="","",N(F1476)+N(G1476)+N(H1476)-N(I1476)+N(J1476))</f>
        <v/>
      </c>
      <c r="L1476" s="67"/>
      <c r="M1476" s="67"/>
      <c r="N1476" s="67"/>
      <c r="O1476" s="67"/>
      <c r="P1476" s="85" t="str">
        <f aca="false">IF(AH1476="","",K1476+N(L1476)+N(M1476)+N(N1476)+N(O1476))</f>
        <v/>
      </c>
      <c r="Q1476" s="67"/>
      <c r="R1476" s="67"/>
      <c r="S1476" s="67"/>
      <c r="T1476" s="67"/>
      <c r="U1476" s="67"/>
      <c r="V1476" s="67"/>
      <c r="W1476" s="85" t="str">
        <f aca="false">IF(AH1476="","",N(Q1476)+N(R1476)+N(S1476)+N(T1476)+N(U1476)+N(V1476))</f>
        <v/>
      </c>
      <c r="X1476" s="85" t="str">
        <f aca="false">IF(AH1476="","",P1476-W1476)</f>
        <v/>
      </c>
      <c r="Y1476" s="67"/>
      <c r="Z1476" s="70" t="str">
        <f aca="false">IF(OR(AH1476="",Y1476=""),"",IF(ABS(X1476-Y1476)&lt;=1,"✓ Cuadra","⚠ Diferencia $"&amp;FIXED(X1476-Y1476,0)))</f>
        <v/>
      </c>
      <c r="AA1476" s="72" t="str">
        <f aca="false">IF(AH1476="","",IFERROR(INDEX(C_TIPO,MATCH(C1476&amp;"-P"&amp;MAX(1,COUNTIFS(C_ID,C1476,C_DEFINE,"Sí",C_INICIO,"&lt;="&amp;EOMONTH(B1476,0))),C_CLAVE,0))&amp;"","Sin dato"))</f>
        <v/>
      </c>
      <c r="AB1476" s="71" t="str">
        <f aca="false">IF(AH1476="","",ROUND(MIN(K1476,TOPE_AFP_UF*AJ1476)*AK1476,0))</f>
        <v/>
      </c>
      <c r="AC1476" s="71" t="str">
        <f aca="false">IF(AH1476="","",ROUND(MIN(K1476,TOPE_AFC_UF*AJ1476)*IF(AA1476="Indefinido",AFC_EMP_INDEF,AFC_EMP_PF),0))</f>
        <v/>
      </c>
      <c r="AD1476" s="71" t="str">
        <f aca="false">IF(AH1476="","",ROUND(MIN(K1476,TOPE_AFP_UF*AJ1476)*(MUTUAL_BASICA+MUTUAL_ADIC+SANNA),0))</f>
        <v/>
      </c>
      <c r="AE1476" s="71" t="str">
        <f aca="false">IF(AH1476="","",P1476-N(N1476)+AB1476+AC1476+AD1476)</f>
        <v/>
      </c>
      <c r="AF1476" s="65"/>
      <c r="AG1476" s="64"/>
      <c r="AH1476" s="72" t="str">
        <f aca="false">IF(OR(B1476="",C1476=""),"",C1476&amp;"|"&amp;(YEAR(B1476)*100+MONTH(B1476)))</f>
        <v/>
      </c>
      <c r="AI1476" s="70" t="str">
        <f aca="false">IF(AH1476="","",IF(COUNTIF(L_CLAVE,AH1476)&gt;1,"⚠ Duplicado","OK"))</f>
        <v/>
      </c>
      <c r="AJ1476" s="86" t="str">
        <f aca="false">IF(AH1476="","",IF(SUMPRODUCT(MAX((IND_PER&lt;=B1476)*(IND_UF&lt;&gt;"")*IND_PER))=0,UF_HOY,INDEX(IND_UF,MATCH(SUMPRODUCT(MAX((IND_PER&lt;=B1476)*(IND_UF&lt;&gt;"")*IND_PER)),IND_PER,0))))</f>
        <v/>
      </c>
      <c r="AK1476" s="87" t="str">
        <f aca="false">IF(AH1476="","",IF(COUNTIF(TASA_DESDE,"&lt;="&amp;B1476)=0,INDEX(TASA_EMP,1),INDEX(TASA_EMP,COUNTIF(TASA_DESDE,"&lt;="&amp;B1476))))</f>
        <v/>
      </c>
    </row>
    <row r="1477" customFormat="false" ht="15" hidden="false" customHeight="false" outlineLevel="0" collapsed="false">
      <c r="B1477" s="78"/>
      <c r="C1477" s="64"/>
      <c r="D1477" s="72" t="str">
        <f aca="false">IF(C1477="","",IFERROR(INDEX(T_NOMBRE,MATCH(C1477,T_ID,0)),"⚠ ID no existe"))</f>
        <v/>
      </c>
      <c r="E1477" s="69"/>
      <c r="F1477" s="67"/>
      <c r="G1477" s="67"/>
      <c r="H1477" s="67"/>
      <c r="I1477" s="67"/>
      <c r="J1477" s="67"/>
      <c r="K1477" s="85" t="str">
        <f aca="false">IF(AH1477="","",N(F1477)+N(G1477)+N(H1477)-N(I1477)+N(J1477))</f>
        <v/>
      </c>
      <c r="L1477" s="67"/>
      <c r="M1477" s="67"/>
      <c r="N1477" s="67"/>
      <c r="O1477" s="67"/>
      <c r="P1477" s="85" t="str">
        <f aca="false">IF(AH1477="","",K1477+N(L1477)+N(M1477)+N(N1477)+N(O1477))</f>
        <v/>
      </c>
      <c r="Q1477" s="67"/>
      <c r="R1477" s="67"/>
      <c r="S1477" s="67"/>
      <c r="T1477" s="67"/>
      <c r="U1477" s="67"/>
      <c r="V1477" s="67"/>
      <c r="W1477" s="85" t="str">
        <f aca="false">IF(AH1477="","",N(Q1477)+N(R1477)+N(S1477)+N(T1477)+N(U1477)+N(V1477))</f>
        <v/>
      </c>
      <c r="X1477" s="85" t="str">
        <f aca="false">IF(AH1477="","",P1477-W1477)</f>
        <v/>
      </c>
      <c r="Y1477" s="67"/>
      <c r="Z1477" s="70" t="str">
        <f aca="false">IF(OR(AH1477="",Y1477=""),"",IF(ABS(X1477-Y1477)&lt;=1,"✓ Cuadra","⚠ Diferencia $"&amp;FIXED(X1477-Y1477,0)))</f>
        <v/>
      </c>
      <c r="AA1477" s="72" t="str">
        <f aca="false">IF(AH1477="","",IFERROR(INDEX(C_TIPO,MATCH(C1477&amp;"-P"&amp;MAX(1,COUNTIFS(C_ID,C1477,C_DEFINE,"Sí",C_INICIO,"&lt;="&amp;EOMONTH(B1477,0))),C_CLAVE,0))&amp;"","Sin dato"))</f>
        <v/>
      </c>
      <c r="AB1477" s="71" t="str">
        <f aca="false">IF(AH1477="","",ROUND(MIN(K1477,TOPE_AFP_UF*AJ1477)*AK1477,0))</f>
        <v/>
      </c>
      <c r="AC1477" s="71" t="str">
        <f aca="false">IF(AH1477="","",ROUND(MIN(K1477,TOPE_AFC_UF*AJ1477)*IF(AA1477="Indefinido",AFC_EMP_INDEF,AFC_EMP_PF),0))</f>
        <v/>
      </c>
      <c r="AD1477" s="71" t="str">
        <f aca="false">IF(AH1477="","",ROUND(MIN(K1477,TOPE_AFP_UF*AJ1477)*(MUTUAL_BASICA+MUTUAL_ADIC+SANNA),0))</f>
        <v/>
      </c>
      <c r="AE1477" s="71" t="str">
        <f aca="false">IF(AH1477="","",P1477-N(N1477)+AB1477+AC1477+AD1477)</f>
        <v/>
      </c>
      <c r="AF1477" s="65"/>
      <c r="AG1477" s="64"/>
      <c r="AH1477" s="72" t="str">
        <f aca="false">IF(OR(B1477="",C1477=""),"",C1477&amp;"|"&amp;(YEAR(B1477)*100+MONTH(B1477)))</f>
        <v/>
      </c>
      <c r="AI1477" s="70" t="str">
        <f aca="false">IF(AH1477="","",IF(COUNTIF(L_CLAVE,AH1477)&gt;1,"⚠ Duplicado","OK"))</f>
        <v/>
      </c>
      <c r="AJ1477" s="86" t="str">
        <f aca="false">IF(AH1477="","",IF(SUMPRODUCT(MAX((IND_PER&lt;=B1477)*(IND_UF&lt;&gt;"")*IND_PER))=0,UF_HOY,INDEX(IND_UF,MATCH(SUMPRODUCT(MAX((IND_PER&lt;=B1477)*(IND_UF&lt;&gt;"")*IND_PER)),IND_PER,0))))</f>
        <v/>
      </c>
      <c r="AK1477" s="87" t="str">
        <f aca="false">IF(AH1477="","",IF(COUNTIF(TASA_DESDE,"&lt;="&amp;B1477)=0,INDEX(TASA_EMP,1),INDEX(TASA_EMP,COUNTIF(TASA_DESDE,"&lt;="&amp;B1477))))</f>
        <v/>
      </c>
    </row>
    <row r="1478" customFormat="false" ht="15" hidden="false" customHeight="false" outlineLevel="0" collapsed="false">
      <c r="B1478" s="78"/>
      <c r="C1478" s="64"/>
      <c r="D1478" s="72" t="str">
        <f aca="false">IF(C1478="","",IFERROR(INDEX(T_NOMBRE,MATCH(C1478,T_ID,0)),"⚠ ID no existe"))</f>
        <v/>
      </c>
      <c r="E1478" s="69"/>
      <c r="F1478" s="67"/>
      <c r="G1478" s="67"/>
      <c r="H1478" s="67"/>
      <c r="I1478" s="67"/>
      <c r="J1478" s="67"/>
      <c r="K1478" s="85" t="str">
        <f aca="false">IF(AH1478="","",N(F1478)+N(G1478)+N(H1478)-N(I1478)+N(J1478))</f>
        <v/>
      </c>
      <c r="L1478" s="67"/>
      <c r="M1478" s="67"/>
      <c r="N1478" s="67"/>
      <c r="O1478" s="67"/>
      <c r="P1478" s="85" t="str">
        <f aca="false">IF(AH1478="","",K1478+N(L1478)+N(M1478)+N(N1478)+N(O1478))</f>
        <v/>
      </c>
      <c r="Q1478" s="67"/>
      <c r="R1478" s="67"/>
      <c r="S1478" s="67"/>
      <c r="T1478" s="67"/>
      <c r="U1478" s="67"/>
      <c r="V1478" s="67"/>
      <c r="W1478" s="85" t="str">
        <f aca="false">IF(AH1478="","",N(Q1478)+N(R1478)+N(S1478)+N(T1478)+N(U1478)+N(V1478))</f>
        <v/>
      </c>
      <c r="X1478" s="85" t="str">
        <f aca="false">IF(AH1478="","",P1478-W1478)</f>
        <v/>
      </c>
      <c r="Y1478" s="67"/>
      <c r="Z1478" s="70" t="str">
        <f aca="false">IF(OR(AH1478="",Y1478=""),"",IF(ABS(X1478-Y1478)&lt;=1,"✓ Cuadra","⚠ Diferencia $"&amp;FIXED(X1478-Y1478,0)))</f>
        <v/>
      </c>
      <c r="AA1478" s="72" t="str">
        <f aca="false">IF(AH1478="","",IFERROR(INDEX(C_TIPO,MATCH(C1478&amp;"-P"&amp;MAX(1,COUNTIFS(C_ID,C1478,C_DEFINE,"Sí",C_INICIO,"&lt;="&amp;EOMONTH(B1478,0))),C_CLAVE,0))&amp;"","Sin dato"))</f>
        <v/>
      </c>
      <c r="AB1478" s="71" t="str">
        <f aca="false">IF(AH1478="","",ROUND(MIN(K1478,TOPE_AFP_UF*AJ1478)*AK1478,0))</f>
        <v/>
      </c>
      <c r="AC1478" s="71" t="str">
        <f aca="false">IF(AH1478="","",ROUND(MIN(K1478,TOPE_AFC_UF*AJ1478)*IF(AA1478="Indefinido",AFC_EMP_INDEF,AFC_EMP_PF),0))</f>
        <v/>
      </c>
      <c r="AD1478" s="71" t="str">
        <f aca="false">IF(AH1478="","",ROUND(MIN(K1478,TOPE_AFP_UF*AJ1478)*(MUTUAL_BASICA+MUTUAL_ADIC+SANNA),0))</f>
        <v/>
      </c>
      <c r="AE1478" s="71" t="str">
        <f aca="false">IF(AH1478="","",P1478-N(N1478)+AB1478+AC1478+AD1478)</f>
        <v/>
      </c>
      <c r="AF1478" s="65"/>
      <c r="AG1478" s="64"/>
      <c r="AH1478" s="72" t="str">
        <f aca="false">IF(OR(B1478="",C1478=""),"",C1478&amp;"|"&amp;(YEAR(B1478)*100+MONTH(B1478)))</f>
        <v/>
      </c>
      <c r="AI1478" s="70" t="str">
        <f aca="false">IF(AH1478="","",IF(COUNTIF(L_CLAVE,AH1478)&gt;1,"⚠ Duplicado","OK"))</f>
        <v/>
      </c>
      <c r="AJ1478" s="86" t="str">
        <f aca="false">IF(AH1478="","",IF(SUMPRODUCT(MAX((IND_PER&lt;=B1478)*(IND_UF&lt;&gt;"")*IND_PER))=0,UF_HOY,INDEX(IND_UF,MATCH(SUMPRODUCT(MAX((IND_PER&lt;=B1478)*(IND_UF&lt;&gt;"")*IND_PER)),IND_PER,0))))</f>
        <v/>
      </c>
      <c r="AK1478" s="87" t="str">
        <f aca="false">IF(AH1478="","",IF(COUNTIF(TASA_DESDE,"&lt;="&amp;B1478)=0,INDEX(TASA_EMP,1),INDEX(TASA_EMP,COUNTIF(TASA_DESDE,"&lt;="&amp;B1478))))</f>
        <v/>
      </c>
    </row>
    <row r="1479" customFormat="false" ht="15" hidden="false" customHeight="false" outlineLevel="0" collapsed="false">
      <c r="B1479" s="78"/>
      <c r="C1479" s="64"/>
      <c r="D1479" s="72" t="str">
        <f aca="false">IF(C1479="","",IFERROR(INDEX(T_NOMBRE,MATCH(C1479,T_ID,0)),"⚠ ID no existe"))</f>
        <v/>
      </c>
      <c r="E1479" s="69"/>
      <c r="F1479" s="67"/>
      <c r="G1479" s="67"/>
      <c r="H1479" s="67"/>
      <c r="I1479" s="67"/>
      <c r="J1479" s="67"/>
      <c r="K1479" s="85" t="str">
        <f aca="false">IF(AH1479="","",N(F1479)+N(G1479)+N(H1479)-N(I1479)+N(J1479))</f>
        <v/>
      </c>
      <c r="L1479" s="67"/>
      <c r="M1479" s="67"/>
      <c r="N1479" s="67"/>
      <c r="O1479" s="67"/>
      <c r="P1479" s="85" t="str">
        <f aca="false">IF(AH1479="","",K1479+N(L1479)+N(M1479)+N(N1479)+N(O1479))</f>
        <v/>
      </c>
      <c r="Q1479" s="67"/>
      <c r="R1479" s="67"/>
      <c r="S1479" s="67"/>
      <c r="T1479" s="67"/>
      <c r="U1479" s="67"/>
      <c r="V1479" s="67"/>
      <c r="W1479" s="85" t="str">
        <f aca="false">IF(AH1479="","",N(Q1479)+N(R1479)+N(S1479)+N(T1479)+N(U1479)+N(V1479))</f>
        <v/>
      </c>
      <c r="X1479" s="85" t="str">
        <f aca="false">IF(AH1479="","",P1479-W1479)</f>
        <v/>
      </c>
      <c r="Y1479" s="67"/>
      <c r="Z1479" s="70" t="str">
        <f aca="false">IF(OR(AH1479="",Y1479=""),"",IF(ABS(X1479-Y1479)&lt;=1,"✓ Cuadra","⚠ Diferencia $"&amp;FIXED(X1479-Y1479,0)))</f>
        <v/>
      </c>
      <c r="AA1479" s="72" t="str">
        <f aca="false">IF(AH1479="","",IFERROR(INDEX(C_TIPO,MATCH(C1479&amp;"-P"&amp;MAX(1,COUNTIFS(C_ID,C1479,C_DEFINE,"Sí",C_INICIO,"&lt;="&amp;EOMONTH(B1479,0))),C_CLAVE,0))&amp;"","Sin dato"))</f>
        <v/>
      </c>
      <c r="AB1479" s="71" t="str">
        <f aca="false">IF(AH1479="","",ROUND(MIN(K1479,TOPE_AFP_UF*AJ1479)*AK1479,0))</f>
        <v/>
      </c>
      <c r="AC1479" s="71" t="str">
        <f aca="false">IF(AH1479="","",ROUND(MIN(K1479,TOPE_AFC_UF*AJ1479)*IF(AA1479="Indefinido",AFC_EMP_INDEF,AFC_EMP_PF),0))</f>
        <v/>
      </c>
      <c r="AD1479" s="71" t="str">
        <f aca="false">IF(AH1479="","",ROUND(MIN(K1479,TOPE_AFP_UF*AJ1479)*(MUTUAL_BASICA+MUTUAL_ADIC+SANNA),0))</f>
        <v/>
      </c>
      <c r="AE1479" s="71" t="str">
        <f aca="false">IF(AH1479="","",P1479-N(N1479)+AB1479+AC1479+AD1479)</f>
        <v/>
      </c>
      <c r="AF1479" s="65"/>
      <c r="AG1479" s="64"/>
      <c r="AH1479" s="72" t="str">
        <f aca="false">IF(OR(B1479="",C1479=""),"",C1479&amp;"|"&amp;(YEAR(B1479)*100+MONTH(B1479)))</f>
        <v/>
      </c>
      <c r="AI1479" s="70" t="str">
        <f aca="false">IF(AH1479="","",IF(COUNTIF(L_CLAVE,AH1479)&gt;1,"⚠ Duplicado","OK"))</f>
        <v/>
      </c>
      <c r="AJ1479" s="86" t="str">
        <f aca="false">IF(AH1479="","",IF(SUMPRODUCT(MAX((IND_PER&lt;=B1479)*(IND_UF&lt;&gt;"")*IND_PER))=0,UF_HOY,INDEX(IND_UF,MATCH(SUMPRODUCT(MAX((IND_PER&lt;=B1479)*(IND_UF&lt;&gt;"")*IND_PER)),IND_PER,0))))</f>
        <v/>
      </c>
      <c r="AK1479" s="87" t="str">
        <f aca="false">IF(AH1479="","",IF(COUNTIF(TASA_DESDE,"&lt;="&amp;B1479)=0,INDEX(TASA_EMP,1),INDEX(TASA_EMP,COUNTIF(TASA_DESDE,"&lt;="&amp;B1479))))</f>
        <v/>
      </c>
    </row>
    <row r="1480" customFormat="false" ht="15" hidden="false" customHeight="false" outlineLevel="0" collapsed="false">
      <c r="B1480" s="78"/>
      <c r="C1480" s="64"/>
      <c r="D1480" s="72" t="str">
        <f aca="false">IF(C1480="","",IFERROR(INDEX(T_NOMBRE,MATCH(C1480,T_ID,0)),"⚠ ID no existe"))</f>
        <v/>
      </c>
      <c r="E1480" s="69"/>
      <c r="F1480" s="67"/>
      <c r="G1480" s="67"/>
      <c r="H1480" s="67"/>
      <c r="I1480" s="67"/>
      <c r="J1480" s="67"/>
      <c r="K1480" s="85" t="str">
        <f aca="false">IF(AH1480="","",N(F1480)+N(G1480)+N(H1480)-N(I1480)+N(J1480))</f>
        <v/>
      </c>
      <c r="L1480" s="67"/>
      <c r="M1480" s="67"/>
      <c r="N1480" s="67"/>
      <c r="O1480" s="67"/>
      <c r="P1480" s="85" t="str">
        <f aca="false">IF(AH1480="","",K1480+N(L1480)+N(M1480)+N(N1480)+N(O1480))</f>
        <v/>
      </c>
      <c r="Q1480" s="67"/>
      <c r="R1480" s="67"/>
      <c r="S1480" s="67"/>
      <c r="T1480" s="67"/>
      <c r="U1480" s="67"/>
      <c r="V1480" s="67"/>
      <c r="W1480" s="85" t="str">
        <f aca="false">IF(AH1480="","",N(Q1480)+N(R1480)+N(S1480)+N(T1480)+N(U1480)+N(V1480))</f>
        <v/>
      </c>
      <c r="X1480" s="85" t="str">
        <f aca="false">IF(AH1480="","",P1480-W1480)</f>
        <v/>
      </c>
      <c r="Y1480" s="67"/>
      <c r="Z1480" s="70" t="str">
        <f aca="false">IF(OR(AH1480="",Y1480=""),"",IF(ABS(X1480-Y1480)&lt;=1,"✓ Cuadra","⚠ Diferencia $"&amp;FIXED(X1480-Y1480,0)))</f>
        <v/>
      </c>
      <c r="AA1480" s="72" t="str">
        <f aca="false">IF(AH1480="","",IFERROR(INDEX(C_TIPO,MATCH(C1480&amp;"-P"&amp;MAX(1,COUNTIFS(C_ID,C1480,C_DEFINE,"Sí",C_INICIO,"&lt;="&amp;EOMONTH(B1480,0))),C_CLAVE,0))&amp;"","Sin dato"))</f>
        <v/>
      </c>
      <c r="AB1480" s="71" t="str">
        <f aca="false">IF(AH1480="","",ROUND(MIN(K1480,TOPE_AFP_UF*AJ1480)*AK1480,0))</f>
        <v/>
      </c>
      <c r="AC1480" s="71" t="str">
        <f aca="false">IF(AH1480="","",ROUND(MIN(K1480,TOPE_AFC_UF*AJ1480)*IF(AA1480="Indefinido",AFC_EMP_INDEF,AFC_EMP_PF),0))</f>
        <v/>
      </c>
      <c r="AD1480" s="71" t="str">
        <f aca="false">IF(AH1480="","",ROUND(MIN(K1480,TOPE_AFP_UF*AJ1480)*(MUTUAL_BASICA+MUTUAL_ADIC+SANNA),0))</f>
        <v/>
      </c>
      <c r="AE1480" s="71" t="str">
        <f aca="false">IF(AH1480="","",P1480-N(N1480)+AB1480+AC1480+AD1480)</f>
        <v/>
      </c>
      <c r="AF1480" s="65"/>
      <c r="AG1480" s="64"/>
      <c r="AH1480" s="72" t="str">
        <f aca="false">IF(OR(B1480="",C1480=""),"",C1480&amp;"|"&amp;(YEAR(B1480)*100+MONTH(B1480)))</f>
        <v/>
      </c>
      <c r="AI1480" s="70" t="str">
        <f aca="false">IF(AH1480="","",IF(COUNTIF(L_CLAVE,AH1480)&gt;1,"⚠ Duplicado","OK"))</f>
        <v/>
      </c>
      <c r="AJ1480" s="86" t="str">
        <f aca="false">IF(AH1480="","",IF(SUMPRODUCT(MAX((IND_PER&lt;=B1480)*(IND_UF&lt;&gt;"")*IND_PER))=0,UF_HOY,INDEX(IND_UF,MATCH(SUMPRODUCT(MAX((IND_PER&lt;=B1480)*(IND_UF&lt;&gt;"")*IND_PER)),IND_PER,0))))</f>
        <v/>
      </c>
      <c r="AK1480" s="87" t="str">
        <f aca="false">IF(AH1480="","",IF(COUNTIF(TASA_DESDE,"&lt;="&amp;B1480)=0,INDEX(TASA_EMP,1),INDEX(TASA_EMP,COUNTIF(TASA_DESDE,"&lt;="&amp;B1480))))</f>
        <v/>
      </c>
    </row>
    <row r="1481" customFormat="false" ht="15" hidden="false" customHeight="false" outlineLevel="0" collapsed="false">
      <c r="B1481" s="78"/>
      <c r="C1481" s="64"/>
      <c r="D1481" s="72" t="str">
        <f aca="false">IF(C1481="","",IFERROR(INDEX(T_NOMBRE,MATCH(C1481,T_ID,0)),"⚠ ID no existe"))</f>
        <v/>
      </c>
      <c r="E1481" s="69"/>
      <c r="F1481" s="67"/>
      <c r="G1481" s="67"/>
      <c r="H1481" s="67"/>
      <c r="I1481" s="67"/>
      <c r="J1481" s="67"/>
      <c r="K1481" s="85" t="str">
        <f aca="false">IF(AH1481="","",N(F1481)+N(G1481)+N(H1481)-N(I1481)+N(J1481))</f>
        <v/>
      </c>
      <c r="L1481" s="67"/>
      <c r="M1481" s="67"/>
      <c r="N1481" s="67"/>
      <c r="O1481" s="67"/>
      <c r="P1481" s="85" t="str">
        <f aca="false">IF(AH1481="","",K1481+N(L1481)+N(M1481)+N(N1481)+N(O1481))</f>
        <v/>
      </c>
      <c r="Q1481" s="67"/>
      <c r="R1481" s="67"/>
      <c r="S1481" s="67"/>
      <c r="T1481" s="67"/>
      <c r="U1481" s="67"/>
      <c r="V1481" s="67"/>
      <c r="W1481" s="85" t="str">
        <f aca="false">IF(AH1481="","",N(Q1481)+N(R1481)+N(S1481)+N(T1481)+N(U1481)+N(V1481))</f>
        <v/>
      </c>
      <c r="X1481" s="85" t="str">
        <f aca="false">IF(AH1481="","",P1481-W1481)</f>
        <v/>
      </c>
      <c r="Y1481" s="67"/>
      <c r="Z1481" s="70" t="str">
        <f aca="false">IF(OR(AH1481="",Y1481=""),"",IF(ABS(X1481-Y1481)&lt;=1,"✓ Cuadra","⚠ Diferencia $"&amp;FIXED(X1481-Y1481,0)))</f>
        <v/>
      </c>
      <c r="AA1481" s="72" t="str">
        <f aca="false">IF(AH1481="","",IFERROR(INDEX(C_TIPO,MATCH(C1481&amp;"-P"&amp;MAX(1,COUNTIFS(C_ID,C1481,C_DEFINE,"Sí",C_INICIO,"&lt;="&amp;EOMONTH(B1481,0))),C_CLAVE,0))&amp;"","Sin dato"))</f>
        <v/>
      </c>
      <c r="AB1481" s="71" t="str">
        <f aca="false">IF(AH1481="","",ROUND(MIN(K1481,TOPE_AFP_UF*AJ1481)*AK1481,0))</f>
        <v/>
      </c>
      <c r="AC1481" s="71" t="str">
        <f aca="false">IF(AH1481="","",ROUND(MIN(K1481,TOPE_AFC_UF*AJ1481)*IF(AA1481="Indefinido",AFC_EMP_INDEF,AFC_EMP_PF),0))</f>
        <v/>
      </c>
      <c r="AD1481" s="71" t="str">
        <f aca="false">IF(AH1481="","",ROUND(MIN(K1481,TOPE_AFP_UF*AJ1481)*(MUTUAL_BASICA+MUTUAL_ADIC+SANNA),0))</f>
        <v/>
      </c>
      <c r="AE1481" s="71" t="str">
        <f aca="false">IF(AH1481="","",P1481-N(N1481)+AB1481+AC1481+AD1481)</f>
        <v/>
      </c>
      <c r="AF1481" s="65"/>
      <c r="AG1481" s="64"/>
      <c r="AH1481" s="72" t="str">
        <f aca="false">IF(OR(B1481="",C1481=""),"",C1481&amp;"|"&amp;(YEAR(B1481)*100+MONTH(B1481)))</f>
        <v/>
      </c>
      <c r="AI1481" s="70" t="str">
        <f aca="false">IF(AH1481="","",IF(COUNTIF(L_CLAVE,AH1481)&gt;1,"⚠ Duplicado","OK"))</f>
        <v/>
      </c>
      <c r="AJ1481" s="86" t="str">
        <f aca="false">IF(AH1481="","",IF(SUMPRODUCT(MAX((IND_PER&lt;=B1481)*(IND_UF&lt;&gt;"")*IND_PER))=0,UF_HOY,INDEX(IND_UF,MATCH(SUMPRODUCT(MAX((IND_PER&lt;=B1481)*(IND_UF&lt;&gt;"")*IND_PER)),IND_PER,0))))</f>
        <v/>
      </c>
      <c r="AK1481" s="87" t="str">
        <f aca="false">IF(AH1481="","",IF(COUNTIF(TASA_DESDE,"&lt;="&amp;B1481)=0,INDEX(TASA_EMP,1),INDEX(TASA_EMP,COUNTIF(TASA_DESDE,"&lt;="&amp;B1481))))</f>
        <v/>
      </c>
    </row>
    <row r="1482" customFormat="false" ht="15" hidden="false" customHeight="false" outlineLevel="0" collapsed="false">
      <c r="B1482" s="78"/>
      <c r="C1482" s="64"/>
      <c r="D1482" s="72" t="str">
        <f aca="false">IF(C1482="","",IFERROR(INDEX(T_NOMBRE,MATCH(C1482,T_ID,0)),"⚠ ID no existe"))</f>
        <v/>
      </c>
      <c r="E1482" s="69"/>
      <c r="F1482" s="67"/>
      <c r="G1482" s="67"/>
      <c r="H1482" s="67"/>
      <c r="I1482" s="67"/>
      <c r="J1482" s="67"/>
      <c r="K1482" s="85" t="str">
        <f aca="false">IF(AH1482="","",N(F1482)+N(G1482)+N(H1482)-N(I1482)+N(J1482))</f>
        <v/>
      </c>
      <c r="L1482" s="67"/>
      <c r="M1482" s="67"/>
      <c r="N1482" s="67"/>
      <c r="O1482" s="67"/>
      <c r="P1482" s="85" t="str">
        <f aca="false">IF(AH1482="","",K1482+N(L1482)+N(M1482)+N(N1482)+N(O1482))</f>
        <v/>
      </c>
      <c r="Q1482" s="67"/>
      <c r="R1482" s="67"/>
      <c r="S1482" s="67"/>
      <c r="T1482" s="67"/>
      <c r="U1482" s="67"/>
      <c r="V1482" s="67"/>
      <c r="W1482" s="85" t="str">
        <f aca="false">IF(AH1482="","",N(Q1482)+N(R1482)+N(S1482)+N(T1482)+N(U1482)+N(V1482))</f>
        <v/>
      </c>
      <c r="X1482" s="85" t="str">
        <f aca="false">IF(AH1482="","",P1482-W1482)</f>
        <v/>
      </c>
      <c r="Y1482" s="67"/>
      <c r="Z1482" s="70" t="str">
        <f aca="false">IF(OR(AH1482="",Y1482=""),"",IF(ABS(X1482-Y1482)&lt;=1,"✓ Cuadra","⚠ Diferencia $"&amp;FIXED(X1482-Y1482,0)))</f>
        <v/>
      </c>
      <c r="AA1482" s="72" t="str">
        <f aca="false">IF(AH1482="","",IFERROR(INDEX(C_TIPO,MATCH(C1482&amp;"-P"&amp;MAX(1,COUNTIFS(C_ID,C1482,C_DEFINE,"Sí",C_INICIO,"&lt;="&amp;EOMONTH(B1482,0))),C_CLAVE,0))&amp;"","Sin dato"))</f>
        <v/>
      </c>
      <c r="AB1482" s="71" t="str">
        <f aca="false">IF(AH1482="","",ROUND(MIN(K1482,TOPE_AFP_UF*AJ1482)*AK1482,0))</f>
        <v/>
      </c>
      <c r="AC1482" s="71" t="str">
        <f aca="false">IF(AH1482="","",ROUND(MIN(K1482,TOPE_AFC_UF*AJ1482)*IF(AA1482="Indefinido",AFC_EMP_INDEF,AFC_EMP_PF),0))</f>
        <v/>
      </c>
      <c r="AD1482" s="71" t="str">
        <f aca="false">IF(AH1482="","",ROUND(MIN(K1482,TOPE_AFP_UF*AJ1482)*(MUTUAL_BASICA+MUTUAL_ADIC+SANNA),0))</f>
        <v/>
      </c>
      <c r="AE1482" s="71" t="str">
        <f aca="false">IF(AH1482="","",P1482-N(N1482)+AB1482+AC1482+AD1482)</f>
        <v/>
      </c>
      <c r="AF1482" s="65"/>
      <c r="AG1482" s="64"/>
      <c r="AH1482" s="72" t="str">
        <f aca="false">IF(OR(B1482="",C1482=""),"",C1482&amp;"|"&amp;(YEAR(B1482)*100+MONTH(B1482)))</f>
        <v/>
      </c>
      <c r="AI1482" s="70" t="str">
        <f aca="false">IF(AH1482="","",IF(COUNTIF(L_CLAVE,AH1482)&gt;1,"⚠ Duplicado","OK"))</f>
        <v/>
      </c>
      <c r="AJ1482" s="86" t="str">
        <f aca="false">IF(AH1482="","",IF(SUMPRODUCT(MAX((IND_PER&lt;=B1482)*(IND_UF&lt;&gt;"")*IND_PER))=0,UF_HOY,INDEX(IND_UF,MATCH(SUMPRODUCT(MAX((IND_PER&lt;=B1482)*(IND_UF&lt;&gt;"")*IND_PER)),IND_PER,0))))</f>
        <v/>
      </c>
      <c r="AK1482" s="87" t="str">
        <f aca="false">IF(AH1482="","",IF(COUNTIF(TASA_DESDE,"&lt;="&amp;B1482)=0,INDEX(TASA_EMP,1),INDEX(TASA_EMP,COUNTIF(TASA_DESDE,"&lt;="&amp;B1482))))</f>
        <v/>
      </c>
    </row>
    <row r="1483" customFormat="false" ht="15" hidden="false" customHeight="false" outlineLevel="0" collapsed="false">
      <c r="B1483" s="78"/>
      <c r="C1483" s="64"/>
      <c r="D1483" s="72" t="str">
        <f aca="false">IF(C1483="","",IFERROR(INDEX(T_NOMBRE,MATCH(C1483,T_ID,0)),"⚠ ID no existe"))</f>
        <v/>
      </c>
      <c r="E1483" s="69"/>
      <c r="F1483" s="67"/>
      <c r="G1483" s="67"/>
      <c r="H1483" s="67"/>
      <c r="I1483" s="67"/>
      <c r="J1483" s="67"/>
      <c r="K1483" s="85" t="str">
        <f aca="false">IF(AH1483="","",N(F1483)+N(G1483)+N(H1483)-N(I1483)+N(J1483))</f>
        <v/>
      </c>
      <c r="L1483" s="67"/>
      <c r="M1483" s="67"/>
      <c r="N1483" s="67"/>
      <c r="O1483" s="67"/>
      <c r="P1483" s="85" t="str">
        <f aca="false">IF(AH1483="","",K1483+N(L1483)+N(M1483)+N(N1483)+N(O1483))</f>
        <v/>
      </c>
      <c r="Q1483" s="67"/>
      <c r="R1483" s="67"/>
      <c r="S1483" s="67"/>
      <c r="T1483" s="67"/>
      <c r="U1483" s="67"/>
      <c r="V1483" s="67"/>
      <c r="W1483" s="85" t="str">
        <f aca="false">IF(AH1483="","",N(Q1483)+N(R1483)+N(S1483)+N(T1483)+N(U1483)+N(V1483))</f>
        <v/>
      </c>
      <c r="X1483" s="85" t="str">
        <f aca="false">IF(AH1483="","",P1483-W1483)</f>
        <v/>
      </c>
      <c r="Y1483" s="67"/>
      <c r="Z1483" s="70" t="str">
        <f aca="false">IF(OR(AH1483="",Y1483=""),"",IF(ABS(X1483-Y1483)&lt;=1,"✓ Cuadra","⚠ Diferencia $"&amp;FIXED(X1483-Y1483,0)))</f>
        <v/>
      </c>
      <c r="AA1483" s="72" t="str">
        <f aca="false">IF(AH1483="","",IFERROR(INDEX(C_TIPO,MATCH(C1483&amp;"-P"&amp;MAX(1,COUNTIFS(C_ID,C1483,C_DEFINE,"Sí",C_INICIO,"&lt;="&amp;EOMONTH(B1483,0))),C_CLAVE,0))&amp;"","Sin dato"))</f>
        <v/>
      </c>
      <c r="AB1483" s="71" t="str">
        <f aca="false">IF(AH1483="","",ROUND(MIN(K1483,TOPE_AFP_UF*AJ1483)*AK1483,0))</f>
        <v/>
      </c>
      <c r="AC1483" s="71" t="str">
        <f aca="false">IF(AH1483="","",ROUND(MIN(K1483,TOPE_AFC_UF*AJ1483)*IF(AA1483="Indefinido",AFC_EMP_INDEF,AFC_EMP_PF),0))</f>
        <v/>
      </c>
      <c r="AD1483" s="71" t="str">
        <f aca="false">IF(AH1483="","",ROUND(MIN(K1483,TOPE_AFP_UF*AJ1483)*(MUTUAL_BASICA+MUTUAL_ADIC+SANNA),0))</f>
        <v/>
      </c>
      <c r="AE1483" s="71" t="str">
        <f aca="false">IF(AH1483="","",P1483-N(N1483)+AB1483+AC1483+AD1483)</f>
        <v/>
      </c>
      <c r="AF1483" s="65"/>
      <c r="AG1483" s="64"/>
      <c r="AH1483" s="72" t="str">
        <f aca="false">IF(OR(B1483="",C1483=""),"",C1483&amp;"|"&amp;(YEAR(B1483)*100+MONTH(B1483)))</f>
        <v/>
      </c>
      <c r="AI1483" s="70" t="str">
        <f aca="false">IF(AH1483="","",IF(COUNTIF(L_CLAVE,AH1483)&gt;1,"⚠ Duplicado","OK"))</f>
        <v/>
      </c>
      <c r="AJ1483" s="86" t="str">
        <f aca="false">IF(AH1483="","",IF(SUMPRODUCT(MAX((IND_PER&lt;=B1483)*(IND_UF&lt;&gt;"")*IND_PER))=0,UF_HOY,INDEX(IND_UF,MATCH(SUMPRODUCT(MAX((IND_PER&lt;=B1483)*(IND_UF&lt;&gt;"")*IND_PER)),IND_PER,0))))</f>
        <v/>
      </c>
      <c r="AK1483" s="87" t="str">
        <f aca="false">IF(AH1483="","",IF(COUNTIF(TASA_DESDE,"&lt;="&amp;B1483)=0,INDEX(TASA_EMP,1),INDEX(TASA_EMP,COUNTIF(TASA_DESDE,"&lt;="&amp;B1483))))</f>
        <v/>
      </c>
    </row>
    <row r="1484" customFormat="false" ht="15" hidden="false" customHeight="false" outlineLevel="0" collapsed="false">
      <c r="B1484" s="78"/>
      <c r="C1484" s="64"/>
      <c r="D1484" s="72" t="str">
        <f aca="false">IF(C1484="","",IFERROR(INDEX(T_NOMBRE,MATCH(C1484,T_ID,0)),"⚠ ID no existe"))</f>
        <v/>
      </c>
      <c r="E1484" s="69"/>
      <c r="F1484" s="67"/>
      <c r="G1484" s="67"/>
      <c r="H1484" s="67"/>
      <c r="I1484" s="67"/>
      <c r="J1484" s="67"/>
      <c r="K1484" s="85" t="str">
        <f aca="false">IF(AH1484="","",N(F1484)+N(G1484)+N(H1484)-N(I1484)+N(J1484))</f>
        <v/>
      </c>
      <c r="L1484" s="67"/>
      <c r="M1484" s="67"/>
      <c r="N1484" s="67"/>
      <c r="O1484" s="67"/>
      <c r="P1484" s="85" t="str">
        <f aca="false">IF(AH1484="","",K1484+N(L1484)+N(M1484)+N(N1484)+N(O1484))</f>
        <v/>
      </c>
      <c r="Q1484" s="67"/>
      <c r="R1484" s="67"/>
      <c r="S1484" s="67"/>
      <c r="T1484" s="67"/>
      <c r="U1484" s="67"/>
      <c r="V1484" s="67"/>
      <c r="W1484" s="85" t="str">
        <f aca="false">IF(AH1484="","",N(Q1484)+N(R1484)+N(S1484)+N(T1484)+N(U1484)+N(V1484))</f>
        <v/>
      </c>
      <c r="X1484" s="85" t="str">
        <f aca="false">IF(AH1484="","",P1484-W1484)</f>
        <v/>
      </c>
      <c r="Y1484" s="67"/>
      <c r="Z1484" s="70" t="str">
        <f aca="false">IF(OR(AH1484="",Y1484=""),"",IF(ABS(X1484-Y1484)&lt;=1,"✓ Cuadra","⚠ Diferencia $"&amp;FIXED(X1484-Y1484,0)))</f>
        <v/>
      </c>
      <c r="AA1484" s="72" t="str">
        <f aca="false">IF(AH1484="","",IFERROR(INDEX(C_TIPO,MATCH(C1484&amp;"-P"&amp;MAX(1,COUNTIFS(C_ID,C1484,C_DEFINE,"Sí",C_INICIO,"&lt;="&amp;EOMONTH(B1484,0))),C_CLAVE,0))&amp;"","Sin dato"))</f>
        <v/>
      </c>
      <c r="AB1484" s="71" t="str">
        <f aca="false">IF(AH1484="","",ROUND(MIN(K1484,TOPE_AFP_UF*AJ1484)*AK1484,0))</f>
        <v/>
      </c>
      <c r="AC1484" s="71" t="str">
        <f aca="false">IF(AH1484="","",ROUND(MIN(K1484,TOPE_AFC_UF*AJ1484)*IF(AA1484="Indefinido",AFC_EMP_INDEF,AFC_EMP_PF),0))</f>
        <v/>
      </c>
      <c r="AD1484" s="71" t="str">
        <f aca="false">IF(AH1484="","",ROUND(MIN(K1484,TOPE_AFP_UF*AJ1484)*(MUTUAL_BASICA+MUTUAL_ADIC+SANNA),0))</f>
        <v/>
      </c>
      <c r="AE1484" s="71" t="str">
        <f aca="false">IF(AH1484="","",P1484-N(N1484)+AB1484+AC1484+AD1484)</f>
        <v/>
      </c>
      <c r="AF1484" s="65"/>
      <c r="AG1484" s="64"/>
      <c r="AH1484" s="72" t="str">
        <f aca="false">IF(OR(B1484="",C1484=""),"",C1484&amp;"|"&amp;(YEAR(B1484)*100+MONTH(B1484)))</f>
        <v/>
      </c>
      <c r="AI1484" s="70" t="str">
        <f aca="false">IF(AH1484="","",IF(COUNTIF(L_CLAVE,AH1484)&gt;1,"⚠ Duplicado","OK"))</f>
        <v/>
      </c>
      <c r="AJ1484" s="86" t="str">
        <f aca="false">IF(AH1484="","",IF(SUMPRODUCT(MAX((IND_PER&lt;=B1484)*(IND_UF&lt;&gt;"")*IND_PER))=0,UF_HOY,INDEX(IND_UF,MATCH(SUMPRODUCT(MAX((IND_PER&lt;=B1484)*(IND_UF&lt;&gt;"")*IND_PER)),IND_PER,0))))</f>
        <v/>
      </c>
      <c r="AK1484" s="87" t="str">
        <f aca="false">IF(AH1484="","",IF(COUNTIF(TASA_DESDE,"&lt;="&amp;B1484)=0,INDEX(TASA_EMP,1),INDEX(TASA_EMP,COUNTIF(TASA_DESDE,"&lt;="&amp;B1484))))</f>
        <v/>
      </c>
    </row>
    <row r="1485" customFormat="false" ht="15" hidden="false" customHeight="false" outlineLevel="0" collapsed="false">
      <c r="B1485" s="78"/>
      <c r="C1485" s="64"/>
      <c r="D1485" s="72" t="str">
        <f aca="false">IF(C1485="","",IFERROR(INDEX(T_NOMBRE,MATCH(C1485,T_ID,0)),"⚠ ID no existe"))</f>
        <v/>
      </c>
      <c r="E1485" s="69"/>
      <c r="F1485" s="67"/>
      <c r="G1485" s="67"/>
      <c r="H1485" s="67"/>
      <c r="I1485" s="67"/>
      <c r="J1485" s="67"/>
      <c r="K1485" s="85" t="str">
        <f aca="false">IF(AH1485="","",N(F1485)+N(G1485)+N(H1485)-N(I1485)+N(J1485))</f>
        <v/>
      </c>
      <c r="L1485" s="67"/>
      <c r="M1485" s="67"/>
      <c r="N1485" s="67"/>
      <c r="O1485" s="67"/>
      <c r="P1485" s="85" t="str">
        <f aca="false">IF(AH1485="","",K1485+N(L1485)+N(M1485)+N(N1485)+N(O1485))</f>
        <v/>
      </c>
      <c r="Q1485" s="67"/>
      <c r="R1485" s="67"/>
      <c r="S1485" s="67"/>
      <c r="T1485" s="67"/>
      <c r="U1485" s="67"/>
      <c r="V1485" s="67"/>
      <c r="W1485" s="85" t="str">
        <f aca="false">IF(AH1485="","",N(Q1485)+N(R1485)+N(S1485)+N(T1485)+N(U1485)+N(V1485))</f>
        <v/>
      </c>
      <c r="X1485" s="85" t="str">
        <f aca="false">IF(AH1485="","",P1485-W1485)</f>
        <v/>
      </c>
      <c r="Y1485" s="67"/>
      <c r="Z1485" s="70" t="str">
        <f aca="false">IF(OR(AH1485="",Y1485=""),"",IF(ABS(X1485-Y1485)&lt;=1,"✓ Cuadra","⚠ Diferencia $"&amp;FIXED(X1485-Y1485,0)))</f>
        <v/>
      </c>
      <c r="AA1485" s="72" t="str">
        <f aca="false">IF(AH1485="","",IFERROR(INDEX(C_TIPO,MATCH(C1485&amp;"-P"&amp;MAX(1,COUNTIFS(C_ID,C1485,C_DEFINE,"Sí",C_INICIO,"&lt;="&amp;EOMONTH(B1485,0))),C_CLAVE,0))&amp;"","Sin dato"))</f>
        <v/>
      </c>
      <c r="AB1485" s="71" t="str">
        <f aca="false">IF(AH1485="","",ROUND(MIN(K1485,TOPE_AFP_UF*AJ1485)*AK1485,0))</f>
        <v/>
      </c>
      <c r="AC1485" s="71" t="str">
        <f aca="false">IF(AH1485="","",ROUND(MIN(K1485,TOPE_AFC_UF*AJ1485)*IF(AA1485="Indefinido",AFC_EMP_INDEF,AFC_EMP_PF),0))</f>
        <v/>
      </c>
      <c r="AD1485" s="71" t="str">
        <f aca="false">IF(AH1485="","",ROUND(MIN(K1485,TOPE_AFP_UF*AJ1485)*(MUTUAL_BASICA+MUTUAL_ADIC+SANNA),0))</f>
        <v/>
      </c>
      <c r="AE1485" s="71" t="str">
        <f aca="false">IF(AH1485="","",P1485-N(N1485)+AB1485+AC1485+AD1485)</f>
        <v/>
      </c>
      <c r="AF1485" s="65"/>
      <c r="AG1485" s="64"/>
      <c r="AH1485" s="72" t="str">
        <f aca="false">IF(OR(B1485="",C1485=""),"",C1485&amp;"|"&amp;(YEAR(B1485)*100+MONTH(B1485)))</f>
        <v/>
      </c>
      <c r="AI1485" s="70" t="str">
        <f aca="false">IF(AH1485="","",IF(COUNTIF(L_CLAVE,AH1485)&gt;1,"⚠ Duplicado","OK"))</f>
        <v/>
      </c>
      <c r="AJ1485" s="86" t="str">
        <f aca="false">IF(AH1485="","",IF(SUMPRODUCT(MAX((IND_PER&lt;=B1485)*(IND_UF&lt;&gt;"")*IND_PER))=0,UF_HOY,INDEX(IND_UF,MATCH(SUMPRODUCT(MAX((IND_PER&lt;=B1485)*(IND_UF&lt;&gt;"")*IND_PER)),IND_PER,0))))</f>
        <v/>
      </c>
      <c r="AK1485" s="87" t="str">
        <f aca="false">IF(AH1485="","",IF(COUNTIF(TASA_DESDE,"&lt;="&amp;B1485)=0,INDEX(TASA_EMP,1),INDEX(TASA_EMP,COUNTIF(TASA_DESDE,"&lt;="&amp;B1485))))</f>
        <v/>
      </c>
    </row>
    <row r="1486" customFormat="false" ht="15" hidden="false" customHeight="false" outlineLevel="0" collapsed="false">
      <c r="B1486" s="78"/>
      <c r="C1486" s="64"/>
      <c r="D1486" s="72" t="str">
        <f aca="false">IF(C1486="","",IFERROR(INDEX(T_NOMBRE,MATCH(C1486,T_ID,0)),"⚠ ID no existe"))</f>
        <v/>
      </c>
      <c r="E1486" s="69"/>
      <c r="F1486" s="67"/>
      <c r="G1486" s="67"/>
      <c r="H1486" s="67"/>
      <c r="I1486" s="67"/>
      <c r="J1486" s="67"/>
      <c r="K1486" s="85" t="str">
        <f aca="false">IF(AH1486="","",N(F1486)+N(G1486)+N(H1486)-N(I1486)+N(J1486))</f>
        <v/>
      </c>
      <c r="L1486" s="67"/>
      <c r="M1486" s="67"/>
      <c r="N1486" s="67"/>
      <c r="O1486" s="67"/>
      <c r="P1486" s="85" t="str">
        <f aca="false">IF(AH1486="","",K1486+N(L1486)+N(M1486)+N(N1486)+N(O1486))</f>
        <v/>
      </c>
      <c r="Q1486" s="67"/>
      <c r="R1486" s="67"/>
      <c r="S1486" s="67"/>
      <c r="T1486" s="67"/>
      <c r="U1486" s="67"/>
      <c r="V1486" s="67"/>
      <c r="W1486" s="85" t="str">
        <f aca="false">IF(AH1486="","",N(Q1486)+N(R1486)+N(S1486)+N(T1486)+N(U1486)+N(V1486))</f>
        <v/>
      </c>
      <c r="X1486" s="85" t="str">
        <f aca="false">IF(AH1486="","",P1486-W1486)</f>
        <v/>
      </c>
      <c r="Y1486" s="67"/>
      <c r="Z1486" s="70" t="str">
        <f aca="false">IF(OR(AH1486="",Y1486=""),"",IF(ABS(X1486-Y1486)&lt;=1,"✓ Cuadra","⚠ Diferencia $"&amp;FIXED(X1486-Y1486,0)))</f>
        <v/>
      </c>
      <c r="AA1486" s="72" t="str">
        <f aca="false">IF(AH1486="","",IFERROR(INDEX(C_TIPO,MATCH(C1486&amp;"-P"&amp;MAX(1,COUNTIFS(C_ID,C1486,C_DEFINE,"Sí",C_INICIO,"&lt;="&amp;EOMONTH(B1486,0))),C_CLAVE,0))&amp;"","Sin dato"))</f>
        <v/>
      </c>
      <c r="AB1486" s="71" t="str">
        <f aca="false">IF(AH1486="","",ROUND(MIN(K1486,TOPE_AFP_UF*AJ1486)*AK1486,0))</f>
        <v/>
      </c>
      <c r="AC1486" s="71" t="str">
        <f aca="false">IF(AH1486="","",ROUND(MIN(K1486,TOPE_AFC_UF*AJ1486)*IF(AA1486="Indefinido",AFC_EMP_INDEF,AFC_EMP_PF),0))</f>
        <v/>
      </c>
      <c r="AD1486" s="71" t="str">
        <f aca="false">IF(AH1486="","",ROUND(MIN(K1486,TOPE_AFP_UF*AJ1486)*(MUTUAL_BASICA+MUTUAL_ADIC+SANNA),0))</f>
        <v/>
      </c>
      <c r="AE1486" s="71" t="str">
        <f aca="false">IF(AH1486="","",P1486-N(N1486)+AB1486+AC1486+AD1486)</f>
        <v/>
      </c>
      <c r="AF1486" s="65"/>
      <c r="AG1486" s="64"/>
      <c r="AH1486" s="72" t="str">
        <f aca="false">IF(OR(B1486="",C1486=""),"",C1486&amp;"|"&amp;(YEAR(B1486)*100+MONTH(B1486)))</f>
        <v/>
      </c>
      <c r="AI1486" s="70" t="str">
        <f aca="false">IF(AH1486="","",IF(COUNTIF(L_CLAVE,AH1486)&gt;1,"⚠ Duplicado","OK"))</f>
        <v/>
      </c>
      <c r="AJ1486" s="86" t="str">
        <f aca="false">IF(AH1486="","",IF(SUMPRODUCT(MAX((IND_PER&lt;=B1486)*(IND_UF&lt;&gt;"")*IND_PER))=0,UF_HOY,INDEX(IND_UF,MATCH(SUMPRODUCT(MAX((IND_PER&lt;=B1486)*(IND_UF&lt;&gt;"")*IND_PER)),IND_PER,0))))</f>
        <v/>
      </c>
      <c r="AK1486" s="87" t="str">
        <f aca="false">IF(AH1486="","",IF(COUNTIF(TASA_DESDE,"&lt;="&amp;B1486)=0,INDEX(TASA_EMP,1),INDEX(TASA_EMP,COUNTIF(TASA_DESDE,"&lt;="&amp;B1486))))</f>
        <v/>
      </c>
    </row>
    <row r="1487" customFormat="false" ht="15" hidden="false" customHeight="false" outlineLevel="0" collapsed="false">
      <c r="B1487" s="78"/>
      <c r="C1487" s="64"/>
      <c r="D1487" s="72" t="str">
        <f aca="false">IF(C1487="","",IFERROR(INDEX(T_NOMBRE,MATCH(C1487,T_ID,0)),"⚠ ID no existe"))</f>
        <v/>
      </c>
      <c r="E1487" s="69"/>
      <c r="F1487" s="67"/>
      <c r="G1487" s="67"/>
      <c r="H1487" s="67"/>
      <c r="I1487" s="67"/>
      <c r="J1487" s="67"/>
      <c r="K1487" s="85" t="str">
        <f aca="false">IF(AH1487="","",N(F1487)+N(G1487)+N(H1487)-N(I1487)+N(J1487))</f>
        <v/>
      </c>
      <c r="L1487" s="67"/>
      <c r="M1487" s="67"/>
      <c r="N1487" s="67"/>
      <c r="O1487" s="67"/>
      <c r="P1487" s="85" t="str">
        <f aca="false">IF(AH1487="","",K1487+N(L1487)+N(M1487)+N(N1487)+N(O1487))</f>
        <v/>
      </c>
      <c r="Q1487" s="67"/>
      <c r="R1487" s="67"/>
      <c r="S1487" s="67"/>
      <c r="T1487" s="67"/>
      <c r="U1487" s="67"/>
      <c r="V1487" s="67"/>
      <c r="W1487" s="85" t="str">
        <f aca="false">IF(AH1487="","",N(Q1487)+N(R1487)+N(S1487)+N(T1487)+N(U1487)+N(V1487))</f>
        <v/>
      </c>
      <c r="X1487" s="85" t="str">
        <f aca="false">IF(AH1487="","",P1487-W1487)</f>
        <v/>
      </c>
      <c r="Y1487" s="67"/>
      <c r="Z1487" s="70" t="str">
        <f aca="false">IF(OR(AH1487="",Y1487=""),"",IF(ABS(X1487-Y1487)&lt;=1,"✓ Cuadra","⚠ Diferencia $"&amp;FIXED(X1487-Y1487,0)))</f>
        <v/>
      </c>
      <c r="AA1487" s="72" t="str">
        <f aca="false">IF(AH1487="","",IFERROR(INDEX(C_TIPO,MATCH(C1487&amp;"-P"&amp;MAX(1,COUNTIFS(C_ID,C1487,C_DEFINE,"Sí",C_INICIO,"&lt;="&amp;EOMONTH(B1487,0))),C_CLAVE,0))&amp;"","Sin dato"))</f>
        <v/>
      </c>
      <c r="AB1487" s="71" t="str">
        <f aca="false">IF(AH1487="","",ROUND(MIN(K1487,TOPE_AFP_UF*AJ1487)*AK1487,0))</f>
        <v/>
      </c>
      <c r="AC1487" s="71" t="str">
        <f aca="false">IF(AH1487="","",ROUND(MIN(K1487,TOPE_AFC_UF*AJ1487)*IF(AA1487="Indefinido",AFC_EMP_INDEF,AFC_EMP_PF),0))</f>
        <v/>
      </c>
      <c r="AD1487" s="71" t="str">
        <f aca="false">IF(AH1487="","",ROUND(MIN(K1487,TOPE_AFP_UF*AJ1487)*(MUTUAL_BASICA+MUTUAL_ADIC+SANNA),0))</f>
        <v/>
      </c>
      <c r="AE1487" s="71" t="str">
        <f aca="false">IF(AH1487="","",P1487-N(N1487)+AB1487+AC1487+AD1487)</f>
        <v/>
      </c>
      <c r="AF1487" s="65"/>
      <c r="AG1487" s="64"/>
      <c r="AH1487" s="72" t="str">
        <f aca="false">IF(OR(B1487="",C1487=""),"",C1487&amp;"|"&amp;(YEAR(B1487)*100+MONTH(B1487)))</f>
        <v/>
      </c>
      <c r="AI1487" s="70" t="str">
        <f aca="false">IF(AH1487="","",IF(COUNTIF(L_CLAVE,AH1487)&gt;1,"⚠ Duplicado","OK"))</f>
        <v/>
      </c>
      <c r="AJ1487" s="86" t="str">
        <f aca="false">IF(AH1487="","",IF(SUMPRODUCT(MAX((IND_PER&lt;=B1487)*(IND_UF&lt;&gt;"")*IND_PER))=0,UF_HOY,INDEX(IND_UF,MATCH(SUMPRODUCT(MAX((IND_PER&lt;=B1487)*(IND_UF&lt;&gt;"")*IND_PER)),IND_PER,0))))</f>
        <v/>
      </c>
      <c r="AK1487" s="87" t="str">
        <f aca="false">IF(AH1487="","",IF(COUNTIF(TASA_DESDE,"&lt;="&amp;B1487)=0,INDEX(TASA_EMP,1),INDEX(TASA_EMP,COUNTIF(TASA_DESDE,"&lt;="&amp;B1487))))</f>
        <v/>
      </c>
    </row>
    <row r="1488" customFormat="false" ht="15" hidden="false" customHeight="false" outlineLevel="0" collapsed="false">
      <c r="B1488" s="78"/>
      <c r="C1488" s="64"/>
      <c r="D1488" s="72" t="str">
        <f aca="false">IF(C1488="","",IFERROR(INDEX(T_NOMBRE,MATCH(C1488,T_ID,0)),"⚠ ID no existe"))</f>
        <v/>
      </c>
      <c r="E1488" s="69"/>
      <c r="F1488" s="67"/>
      <c r="G1488" s="67"/>
      <c r="H1488" s="67"/>
      <c r="I1488" s="67"/>
      <c r="J1488" s="67"/>
      <c r="K1488" s="85" t="str">
        <f aca="false">IF(AH1488="","",N(F1488)+N(G1488)+N(H1488)-N(I1488)+N(J1488))</f>
        <v/>
      </c>
      <c r="L1488" s="67"/>
      <c r="M1488" s="67"/>
      <c r="N1488" s="67"/>
      <c r="O1488" s="67"/>
      <c r="P1488" s="85" t="str">
        <f aca="false">IF(AH1488="","",K1488+N(L1488)+N(M1488)+N(N1488)+N(O1488))</f>
        <v/>
      </c>
      <c r="Q1488" s="67"/>
      <c r="R1488" s="67"/>
      <c r="S1488" s="67"/>
      <c r="T1488" s="67"/>
      <c r="U1488" s="67"/>
      <c r="V1488" s="67"/>
      <c r="W1488" s="85" t="str">
        <f aca="false">IF(AH1488="","",N(Q1488)+N(R1488)+N(S1488)+N(T1488)+N(U1488)+N(V1488))</f>
        <v/>
      </c>
      <c r="X1488" s="85" t="str">
        <f aca="false">IF(AH1488="","",P1488-W1488)</f>
        <v/>
      </c>
      <c r="Y1488" s="67"/>
      <c r="Z1488" s="70" t="str">
        <f aca="false">IF(OR(AH1488="",Y1488=""),"",IF(ABS(X1488-Y1488)&lt;=1,"✓ Cuadra","⚠ Diferencia $"&amp;FIXED(X1488-Y1488,0)))</f>
        <v/>
      </c>
      <c r="AA1488" s="72" t="str">
        <f aca="false">IF(AH1488="","",IFERROR(INDEX(C_TIPO,MATCH(C1488&amp;"-P"&amp;MAX(1,COUNTIFS(C_ID,C1488,C_DEFINE,"Sí",C_INICIO,"&lt;="&amp;EOMONTH(B1488,0))),C_CLAVE,0))&amp;"","Sin dato"))</f>
        <v/>
      </c>
      <c r="AB1488" s="71" t="str">
        <f aca="false">IF(AH1488="","",ROUND(MIN(K1488,TOPE_AFP_UF*AJ1488)*AK1488,0))</f>
        <v/>
      </c>
      <c r="AC1488" s="71" t="str">
        <f aca="false">IF(AH1488="","",ROUND(MIN(K1488,TOPE_AFC_UF*AJ1488)*IF(AA1488="Indefinido",AFC_EMP_INDEF,AFC_EMP_PF),0))</f>
        <v/>
      </c>
      <c r="AD1488" s="71" t="str">
        <f aca="false">IF(AH1488="","",ROUND(MIN(K1488,TOPE_AFP_UF*AJ1488)*(MUTUAL_BASICA+MUTUAL_ADIC+SANNA),0))</f>
        <v/>
      </c>
      <c r="AE1488" s="71" t="str">
        <f aca="false">IF(AH1488="","",P1488-N(N1488)+AB1488+AC1488+AD1488)</f>
        <v/>
      </c>
      <c r="AF1488" s="65"/>
      <c r="AG1488" s="64"/>
      <c r="AH1488" s="72" t="str">
        <f aca="false">IF(OR(B1488="",C1488=""),"",C1488&amp;"|"&amp;(YEAR(B1488)*100+MONTH(B1488)))</f>
        <v/>
      </c>
      <c r="AI1488" s="70" t="str">
        <f aca="false">IF(AH1488="","",IF(COUNTIF(L_CLAVE,AH1488)&gt;1,"⚠ Duplicado","OK"))</f>
        <v/>
      </c>
      <c r="AJ1488" s="86" t="str">
        <f aca="false">IF(AH1488="","",IF(SUMPRODUCT(MAX((IND_PER&lt;=B1488)*(IND_UF&lt;&gt;"")*IND_PER))=0,UF_HOY,INDEX(IND_UF,MATCH(SUMPRODUCT(MAX((IND_PER&lt;=B1488)*(IND_UF&lt;&gt;"")*IND_PER)),IND_PER,0))))</f>
        <v/>
      </c>
      <c r="AK1488" s="87" t="str">
        <f aca="false">IF(AH1488="","",IF(COUNTIF(TASA_DESDE,"&lt;="&amp;B1488)=0,INDEX(TASA_EMP,1),INDEX(TASA_EMP,COUNTIF(TASA_DESDE,"&lt;="&amp;B1488))))</f>
        <v/>
      </c>
    </row>
    <row r="1489" customFormat="false" ht="15" hidden="false" customHeight="false" outlineLevel="0" collapsed="false">
      <c r="B1489" s="78"/>
      <c r="C1489" s="64"/>
      <c r="D1489" s="72" t="str">
        <f aca="false">IF(C1489="","",IFERROR(INDEX(T_NOMBRE,MATCH(C1489,T_ID,0)),"⚠ ID no existe"))</f>
        <v/>
      </c>
      <c r="E1489" s="69"/>
      <c r="F1489" s="67"/>
      <c r="G1489" s="67"/>
      <c r="H1489" s="67"/>
      <c r="I1489" s="67"/>
      <c r="J1489" s="67"/>
      <c r="K1489" s="85" t="str">
        <f aca="false">IF(AH1489="","",N(F1489)+N(G1489)+N(H1489)-N(I1489)+N(J1489))</f>
        <v/>
      </c>
      <c r="L1489" s="67"/>
      <c r="M1489" s="67"/>
      <c r="N1489" s="67"/>
      <c r="O1489" s="67"/>
      <c r="P1489" s="85" t="str">
        <f aca="false">IF(AH1489="","",K1489+N(L1489)+N(M1489)+N(N1489)+N(O1489))</f>
        <v/>
      </c>
      <c r="Q1489" s="67"/>
      <c r="R1489" s="67"/>
      <c r="S1489" s="67"/>
      <c r="T1489" s="67"/>
      <c r="U1489" s="67"/>
      <c r="V1489" s="67"/>
      <c r="W1489" s="85" t="str">
        <f aca="false">IF(AH1489="","",N(Q1489)+N(R1489)+N(S1489)+N(T1489)+N(U1489)+N(V1489))</f>
        <v/>
      </c>
      <c r="X1489" s="85" t="str">
        <f aca="false">IF(AH1489="","",P1489-W1489)</f>
        <v/>
      </c>
      <c r="Y1489" s="67"/>
      <c r="Z1489" s="70" t="str">
        <f aca="false">IF(OR(AH1489="",Y1489=""),"",IF(ABS(X1489-Y1489)&lt;=1,"✓ Cuadra","⚠ Diferencia $"&amp;FIXED(X1489-Y1489,0)))</f>
        <v/>
      </c>
      <c r="AA1489" s="72" t="str">
        <f aca="false">IF(AH1489="","",IFERROR(INDEX(C_TIPO,MATCH(C1489&amp;"-P"&amp;MAX(1,COUNTIFS(C_ID,C1489,C_DEFINE,"Sí",C_INICIO,"&lt;="&amp;EOMONTH(B1489,0))),C_CLAVE,0))&amp;"","Sin dato"))</f>
        <v/>
      </c>
      <c r="AB1489" s="71" t="str">
        <f aca="false">IF(AH1489="","",ROUND(MIN(K1489,TOPE_AFP_UF*AJ1489)*AK1489,0))</f>
        <v/>
      </c>
      <c r="AC1489" s="71" t="str">
        <f aca="false">IF(AH1489="","",ROUND(MIN(K1489,TOPE_AFC_UF*AJ1489)*IF(AA1489="Indefinido",AFC_EMP_INDEF,AFC_EMP_PF),0))</f>
        <v/>
      </c>
      <c r="AD1489" s="71" t="str">
        <f aca="false">IF(AH1489="","",ROUND(MIN(K1489,TOPE_AFP_UF*AJ1489)*(MUTUAL_BASICA+MUTUAL_ADIC+SANNA),0))</f>
        <v/>
      </c>
      <c r="AE1489" s="71" t="str">
        <f aca="false">IF(AH1489="","",P1489-N(N1489)+AB1489+AC1489+AD1489)</f>
        <v/>
      </c>
      <c r="AF1489" s="65"/>
      <c r="AG1489" s="64"/>
      <c r="AH1489" s="72" t="str">
        <f aca="false">IF(OR(B1489="",C1489=""),"",C1489&amp;"|"&amp;(YEAR(B1489)*100+MONTH(B1489)))</f>
        <v/>
      </c>
      <c r="AI1489" s="70" t="str">
        <f aca="false">IF(AH1489="","",IF(COUNTIF(L_CLAVE,AH1489)&gt;1,"⚠ Duplicado","OK"))</f>
        <v/>
      </c>
      <c r="AJ1489" s="86" t="str">
        <f aca="false">IF(AH1489="","",IF(SUMPRODUCT(MAX((IND_PER&lt;=B1489)*(IND_UF&lt;&gt;"")*IND_PER))=0,UF_HOY,INDEX(IND_UF,MATCH(SUMPRODUCT(MAX((IND_PER&lt;=B1489)*(IND_UF&lt;&gt;"")*IND_PER)),IND_PER,0))))</f>
        <v/>
      </c>
      <c r="AK1489" s="87" t="str">
        <f aca="false">IF(AH1489="","",IF(COUNTIF(TASA_DESDE,"&lt;="&amp;B1489)=0,INDEX(TASA_EMP,1),INDEX(TASA_EMP,COUNTIF(TASA_DESDE,"&lt;="&amp;B1489))))</f>
        <v/>
      </c>
    </row>
    <row r="1490" customFormat="false" ht="15" hidden="false" customHeight="false" outlineLevel="0" collapsed="false">
      <c r="B1490" s="78"/>
      <c r="C1490" s="64"/>
      <c r="D1490" s="72" t="str">
        <f aca="false">IF(C1490="","",IFERROR(INDEX(T_NOMBRE,MATCH(C1490,T_ID,0)),"⚠ ID no existe"))</f>
        <v/>
      </c>
      <c r="E1490" s="69"/>
      <c r="F1490" s="67"/>
      <c r="G1490" s="67"/>
      <c r="H1490" s="67"/>
      <c r="I1490" s="67"/>
      <c r="J1490" s="67"/>
      <c r="K1490" s="85" t="str">
        <f aca="false">IF(AH1490="","",N(F1490)+N(G1490)+N(H1490)-N(I1490)+N(J1490))</f>
        <v/>
      </c>
      <c r="L1490" s="67"/>
      <c r="M1490" s="67"/>
      <c r="N1490" s="67"/>
      <c r="O1490" s="67"/>
      <c r="P1490" s="85" t="str">
        <f aca="false">IF(AH1490="","",K1490+N(L1490)+N(M1490)+N(N1490)+N(O1490))</f>
        <v/>
      </c>
      <c r="Q1490" s="67"/>
      <c r="R1490" s="67"/>
      <c r="S1490" s="67"/>
      <c r="T1490" s="67"/>
      <c r="U1490" s="67"/>
      <c r="V1490" s="67"/>
      <c r="W1490" s="85" t="str">
        <f aca="false">IF(AH1490="","",N(Q1490)+N(R1490)+N(S1490)+N(T1490)+N(U1490)+N(V1490))</f>
        <v/>
      </c>
      <c r="X1490" s="85" t="str">
        <f aca="false">IF(AH1490="","",P1490-W1490)</f>
        <v/>
      </c>
      <c r="Y1490" s="67"/>
      <c r="Z1490" s="70" t="str">
        <f aca="false">IF(OR(AH1490="",Y1490=""),"",IF(ABS(X1490-Y1490)&lt;=1,"✓ Cuadra","⚠ Diferencia $"&amp;FIXED(X1490-Y1490,0)))</f>
        <v/>
      </c>
      <c r="AA1490" s="72" t="str">
        <f aca="false">IF(AH1490="","",IFERROR(INDEX(C_TIPO,MATCH(C1490&amp;"-P"&amp;MAX(1,COUNTIFS(C_ID,C1490,C_DEFINE,"Sí",C_INICIO,"&lt;="&amp;EOMONTH(B1490,0))),C_CLAVE,0))&amp;"","Sin dato"))</f>
        <v/>
      </c>
      <c r="AB1490" s="71" t="str">
        <f aca="false">IF(AH1490="","",ROUND(MIN(K1490,TOPE_AFP_UF*AJ1490)*AK1490,0))</f>
        <v/>
      </c>
      <c r="AC1490" s="71" t="str">
        <f aca="false">IF(AH1490="","",ROUND(MIN(K1490,TOPE_AFC_UF*AJ1490)*IF(AA1490="Indefinido",AFC_EMP_INDEF,AFC_EMP_PF),0))</f>
        <v/>
      </c>
      <c r="AD1490" s="71" t="str">
        <f aca="false">IF(AH1490="","",ROUND(MIN(K1490,TOPE_AFP_UF*AJ1490)*(MUTUAL_BASICA+MUTUAL_ADIC+SANNA),0))</f>
        <v/>
      </c>
      <c r="AE1490" s="71" t="str">
        <f aca="false">IF(AH1490="","",P1490-N(N1490)+AB1490+AC1490+AD1490)</f>
        <v/>
      </c>
      <c r="AF1490" s="65"/>
      <c r="AG1490" s="64"/>
      <c r="AH1490" s="72" t="str">
        <f aca="false">IF(OR(B1490="",C1490=""),"",C1490&amp;"|"&amp;(YEAR(B1490)*100+MONTH(B1490)))</f>
        <v/>
      </c>
      <c r="AI1490" s="70" t="str">
        <f aca="false">IF(AH1490="","",IF(COUNTIF(L_CLAVE,AH1490)&gt;1,"⚠ Duplicado","OK"))</f>
        <v/>
      </c>
      <c r="AJ1490" s="86" t="str">
        <f aca="false">IF(AH1490="","",IF(SUMPRODUCT(MAX((IND_PER&lt;=B1490)*(IND_UF&lt;&gt;"")*IND_PER))=0,UF_HOY,INDEX(IND_UF,MATCH(SUMPRODUCT(MAX((IND_PER&lt;=B1490)*(IND_UF&lt;&gt;"")*IND_PER)),IND_PER,0))))</f>
        <v/>
      </c>
      <c r="AK1490" s="87" t="str">
        <f aca="false">IF(AH1490="","",IF(COUNTIF(TASA_DESDE,"&lt;="&amp;B1490)=0,INDEX(TASA_EMP,1),INDEX(TASA_EMP,COUNTIF(TASA_DESDE,"&lt;="&amp;B1490))))</f>
        <v/>
      </c>
    </row>
    <row r="1491" customFormat="false" ht="15" hidden="false" customHeight="false" outlineLevel="0" collapsed="false">
      <c r="B1491" s="78"/>
      <c r="C1491" s="64"/>
      <c r="D1491" s="72" t="str">
        <f aca="false">IF(C1491="","",IFERROR(INDEX(T_NOMBRE,MATCH(C1491,T_ID,0)),"⚠ ID no existe"))</f>
        <v/>
      </c>
      <c r="E1491" s="69"/>
      <c r="F1491" s="67"/>
      <c r="G1491" s="67"/>
      <c r="H1491" s="67"/>
      <c r="I1491" s="67"/>
      <c r="J1491" s="67"/>
      <c r="K1491" s="85" t="str">
        <f aca="false">IF(AH1491="","",N(F1491)+N(G1491)+N(H1491)-N(I1491)+N(J1491))</f>
        <v/>
      </c>
      <c r="L1491" s="67"/>
      <c r="M1491" s="67"/>
      <c r="N1491" s="67"/>
      <c r="O1491" s="67"/>
      <c r="P1491" s="85" t="str">
        <f aca="false">IF(AH1491="","",K1491+N(L1491)+N(M1491)+N(N1491)+N(O1491))</f>
        <v/>
      </c>
      <c r="Q1491" s="67"/>
      <c r="R1491" s="67"/>
      <c r="S1491" s="67"/>
      <c r="T1491" s="67"/>
      <c r="U1491" s="67"/>
      <c r="V1491" s="67"/>
      <c r="W1491" s="85" t="str">
        <f aca="false">IF(AH1491="","",N(Q1491)+N(R1491)+N(S1491)+N(T1491)+N(U1491)+N(V1491))</f>
        <v/>
      </c>
      <c r="X1491" s="85" t="str">
        <f aca="false">IF(AH1491="","",P1491-W1491)</f>
        <v/>
      </c>
      <c r="Y1491" s="67"/>
      <c r="Z1491" s="70" t="str">
        <f aca="false">IF(OR(AH1491="",Y1491=""),"",IF(ABS(X1491-Y1491)&lt;=1,"✓ Cuadra","⚠ Diferencia $"&amp;FIXED(X1491-Y1491,0)))</f>
        <v/>
      </c>
      <c r="AA1491" s="72" t="str">
        <f aca="false">IF(AH1491="","",IFERROR(INDEX(C_TIPO,MATCH(C1491&amp;"-P"&amp;MAX(1,COUNTIFS(C_ID,C1491,C_DEFINE,"Sí",C_INICIO,"&lt;="&amp;EOMONTH(B1491,0))),C_CLAVE,0))&amp;"","Sin dato"))</f>
        <v/>
      </c>
      <c r="AB1491" s="71" t="str">
        <f aca="false">IF(AH1491="","",ROUND(MIN(K1491,TOPE_AFP_UF*AJ1491)*AK1491,0))</f>
        <v/>
      </c>
      <c r="AC1491" s="71" t="str">
        <f aca="false">IF(AH1491="","",ROUND(MIN(K1491,TOPE_AFC_UF*AJ1491)*IF(AA1491="Indefinido",AFC_EMP_INDEF,AFC_EMP_PF),0))</f>
        <v/>
      </c>
      <c r="AD1491" s="71" t="str">
        <f aca="false">IF(AH1491="","",ROUND(MIN(K1491,TOPE_AFP_UF*AJ1491)*(MUTUAL_BASICA+MUTUAL_ADIC+SANNA),0))</f>
        <v/>
      </c>
      <c r="AE1491" s="71" t="str">
        <f aca="false">IF(AH1491="","",P1491-N(N1491)+AB1491+AC1491+AD1491)</f>
        <v/>
      </c>
      <c r="AF1491" s="65"/>
      <c r="AG1491" s="64"/>
      <c r="AH1491" s="72" t="str">
        <f aca="false">IF(OR(B1491="",C1491=""),"",C1491&amp;"|"&amp;(YEAR(B1491)*100+MONTH(B1491)))</f>
        <v/>
      </c>
      <c r="AI1491" s="70" t="str">
        <f aca="false">IF(AH1491="","",IF(COUNTIF(L_CLAVE,AH1491)&gt;1,"⚠ Duplicado","OK"))</f>
        <v/>
      </c>
      <c r="AJ1491" s="86" t="str">
        <f aca="false">IF(AH1491="","",IF(SUMPRODUCT(MAX((IND_PER&lt;=B1491)*(IND_UF&lt;&gt;"")*IND_PER))=0,UF_HOY,INDEX(IND_UF,MATCH(SUMPRODUCT(MAX((IND_PER&lt;=B1491)*(IND_UF&lt;&gt;"")*IND_PER)),IND_PER,0))))</f>
        <v/>
      </c>
      <c r="AK1491" s="87" t="str">
        <f aca="false">IF(AH1491="","",IF(COUNTIF(TASA_DESDE,"&lt;="&amp;B1491)=0,INDEX(TASA_EMP,1),INDEX(TASA_EMP,COUNTIF(TASA_DESDE,"&lt;="&amp;B1491))))</f>
        <v/>
      </c>
    </row>
    <row r="1492" customFormat="false" ht="15" hidden="false" customHeight="false" outlineLevel="0" collapsed="false">
      <c r="B1492" s="78"/>
      <c r="C1492" s="64"/>
      <c r="D1492" s="72" t="str">
        <f aca="false">IF(C1492="","",IFERROR(INDEX(T_NOMBRE,MATCH(C1492,T_ID,0)),"⚠ ID no existe"))</f>
        <v/>
      </c>
      <c r="E1492" s="69"/>
      <c r="F1492" s="67"/>
      <c r="G1492" s="67"/>
      <c r="H1492" s="67"/>
      <c r="I1492" s="67"/>
      <c r="J1492" s="67"/>
      <c r="K1492" s="85" t="str">
        <f aca="false">IF(AH1492="","",N(F1492)+N(G1492)+N(H1492)-N(I1492)+N(J1492))</f>
        <v/>
      </c>
      <c r="L1492" s="67"/>
      <c r="M1492" s="67"/>
      <c r="N1492" s="67"/>
      <c r="O1492" s="67"/>
      <c r="P1492" s="85" t="str">
        <f aca="false">IF(AH1492="","",K1492+N(L1492)+N(M1492)+N(N1492)+N(O1492))</f>
        <v/>
      </c>
      <c r="Q1492" s="67"/>
      <c r="R1492" s="67"/>
      <c r="S1492" s="67"/>
      <c r="T1492" s="67"/>
      <c r="U1492" s="67"/>
      <c r="V1492" s="67"/>
      <c r="W1492" s="85" t="str">
        <f aca="false">IF(AH1492="","",N(Q1492)+N(R1492)+N(S1492)+N(T1492)+N(U1492)+N(V1492))</f>
        <v/>
      </c>
      <c r="X1492" s="85" t="str">
        <f aca="false">IF(AH1492="","",P1492-W1492)</f>
        <v/>
      </c>
      <c r="Y1492" s="67"/>
      <c r="Z1492" s="70" t="str">
        <f aca="false">IF(OR(AH1492="",Y1492=""),"",IF(ABS(X1492-Y1492)&lt;=1,"✓ Cuadra","⚠ Diferencia $"&amp;FIXED(X1492-Y1492,0)))</f>
        <v/>
      </c>
      <c r="AA1492" s="72" t="str">
        <f aca="false">IF(AH1492="","",IFERROR(INDEX(C_TIPO,MATCH(C1492&amp;"-P"&amp;MAX(1,COUNTIFS(C_ID,C1492,C_DEFINE,"Sí",C_INICIO,"&lt;="&amp;EOMONTH(B1492,0))),C_CLAVE,0))&amp;"","Sin dato"))</f>
        <v/>
      </c>
      <c r="AB1492" s="71" t="str">
        <f aca="false">IF(AH1492="","",ROUND(MIN(K1492,TOPE_AFP_UF*AJ1492)*AK1492,0))</f>
        <v/>
      </c>
      <c r="AC1492" s="71" t="str">
        <f aca="false">IF(AH1492="","",ROUND(MIN(K1492,TOPE_AFC_UF*AJ1492)*IF(AA1492="Indefinido",AFC_EMP_INDEF,AFC_EMP_PF),0))</f>
        <v/>
      </c>
      <c r="AD1492" s="71" t="str">
        <f aca="false">IF(AH1492="","",ROUND(MIN(K1492,TOPE_AFP_UF*AJ1492)*(MUTUAL_BASICA+MUTUAL_ADIC+SANNA),0))</f>
        <v/>
      </c>
      <c r="AE1492" s="71" t="str">
        <f aca="false">IF(AH1492="","",P1492-N(N1492)+AB1492+AC1492+AD1492)</f>
        <v/>
      </c>
      <c r="AF1492" s="65"/>
      <c r="AG1492" s="64"/>
      <c r="AH1492" s="72" t="str">
        <f aca="false">IF(OR(B1492="",C1492=""),"",C1492&amp;"|"&amp;(YEAR(B1492)*100+MONTH(B1492)))</f>
        <v/>
      </c>
      <c r="AI1492" s="70" t="str">
        <f aca="false">IF(AH1492="","",IF(COUNTIF(L_CLAVE,AH1492)&gt;1,"⚠ Duplicado","OK"))</f>
        <v/>
      </c>
      <c r="AJ1492" s="86" t="str">
        <f aca="false">IF(AH1492="","",IF(SUMPRODUCT(MAX((IND_PER&lt;=B1492)*(IND_UF&lt;&gt;"")*IND_PER))=0,UF_HOY,INDEX(IND_UF,MATCH(SUMPRODUCT(MAX((IND_PER&lt;=B1492)*(IND_UF&lt;&gt;"")*IND_PER)),IND_PER,0))))</f>
        <v/>
      </c>
      <c r="AK1492" s="87" t="str">
        <f aca="false">IF(AH1492="","",IF(COUNTIF(TASA_DESDE,"&lt;="&amp;B1492)=0,INDEX(TASA_EMP,1),INDEX(TASA_EMP,COUNTIF(TASA_DESDE,"&lt;="&amp;B1492))))</f>
        <v/>
      </c>
    </row>
    <row r="1493" customFormat="false" ht="15" hidden="false" customHeight="false" outlineLevel="0" collapsed="false">
      <c r="B1493" s="78"/>
      <c r="C1493" s="64"/>
      <c r="D1493" s="72" t="str">
        <f aca="false">IF(C1493="","",IFERROR(INDEX(T_NOMBRE,MATCH(C1493,T_ID,0)),"⚠ ID no existe"))</f>
        <v/>
      </c>
      <c r="E1493" s="69"/>
      <c r="F1493" s="67"/>
      <c r="G1493" s="67"/>
      <c r="H1493" s="67"/>
      <c r="I1493" s="67"/>
      <c r="J1493" s="67"/>
      <c r="K1493" s="85" t="str">
        <f aca="false">IF(AH1493="","",N(F1493)+N(G1493)+N(H1493)-N(I1493)+N(J1493))</f>
        <v/>
      </c>
      <c r="L1493" s="67"/>
      <c r="M1493" s="67"/>
      <c r="N1493" s="67"/>
      <c r="O1493" s="67"/>
      <c r="P1493" s="85" t="str">
        <f aca="false">IF(AH1493="","",K1493+N(L1493)+N(M1493)+N(N1493)+N(O1493))</f>
        <v/>
      </c>
      <c r="Q1493" s="67"/>
      <c r="R1493" s="67"/>
      <c r="S1493" s="67"/>
      <c r="T1493" s="67"/>
      <c r="U1493" s="67"/>
      <c r="V1493" s="67"/>
      <c r="W1493" s="85" t="str">
        <f aca="false">IF(AH1493="","",N(Q1493)+N(R1493)+N(S1493)+N(T1493)+N(U1493)+N(V1493))</f>
        <v/>
      </c>
      <c r="X1493" s="85" t="str">
        <f aca="false">IF(AH1493="","",P1493-W1493)</f>
        <v/>
      </c>
      <c r="Y1493" s="67"/>
      <c r="Z1493" s="70" t="str">
        <f aca="false">IF(OR(AH1493="",Y1493=""),"",IF(ABS(X1493-Y1493)&lt;=1,"✓ Cuadra","⚠ Diferencia $"&amp;FIXED(X1493-Y1493,0)))</f>
        <v/>
      </c>
      <c r="AA1493" s="72" t="str">
        <f aca="false">IF(AH1493="","",IFERROR(INDEX(C_TIPO,MATCH(C1493&amp;"-P"&amp;MAX(1,COUNTIFS(C_ID,C1493,C_DEFINE,"Sí",C_INICIO,"&lt;="&amp;EOMONTH(B1493,0))),C_CLAVE,0))&amp;"","Sin dato"))</f>
        <v/>
      </c>
      <c r="AB1493" s="71" t="str">
        <f aca="false">IF(AH1493="","",ROUND(MIN(K1493,TOPE_AFP_UF*AJ1493)*AK1493,0))</f>
        <v/>
      </c>
      <c r="AC1493" s="71" t="str">
        <f aca="false">IF(AH1493="","",ROUND(MIN(K1493,TOPE_AFC_UF*AJ1493)*IF(AA1493="Indefinido",AFC_EMP_INDEF,AFC_EMP_PF),0))</f>
        <v/>
      </c>
      <c r="AD1493" s="71" t="str">
        <f aca="false">IF(AH1493="","",ROUND(MIN(K1493,TOPE_AFP_UF*AJ1493)*(MUTUAL_BASICA+MUTUAL_ADIC+SANNA),0))</f>
        <v/>
      </c>
      <c r="AE1493" s="71" t="str">
        <f aca="false">IF(AH1493="","",P1493-N(N1493)+AB1493+AC1493+AD1493)</f>
        <v/>
      </c>
      <c r="AF1493" s="65"/>
      <c r="AG1493" s="64"/>
      <c r="AH1493" s="72" t="str">
        <f aca="false">IF(OR(B1493="",C1493=""),"",C1493&amp;"|"&amp;(YEAR(B1493)*100+MONTH(B1493)))</f>
        <v/>
      </c>
      <c r="AI1493" s="70" t="str">
        <f aca="false">IF(AH1493="","",IF(COUNTIF(L_CLAVE,AH1493)&gt;1,"⚠ Duplicado","OK"))</f>
        <v/>
      </c>
      <c r="AJ1493" s="86" t="str">
        <f aca="false">IF(AH1493="","",IF(SUMPRODUCT(MAX((IND_PER&lt;=B1493)*(IND_UF&lt;&gt;"")*IND_PER))=0,UF_HOY,INDEX(IND_UF,MATCH(SUMPRODUCT(MAX((IND_PER&lt;=B1493)*(IND_UF&lt;&gt;"")*IND_PER)),IND_PER,0))))</f>
        <v/>
      </c>
      <c r="AK1493" s="87" t="str">
        <f aca="false">IF(AH1493="","",IF(COUNTIF(TASA_DESDE,"&lt;="&amp;B1493)=0,INDEX(TASA_EMP,1),INDEX(TASA_EMP,COUNTIF(TASA_DESDE,"&lt;="&amp;B1493))))</f>
        <v/>
      </c>
    </row>
    <row r="1494" customFormat="false" ht="15" hidden="false" customHeight="false" outlineLevel="0" collapsed="false">
      <c r="B1494" s="78"/>
      <c r="C1494" s="64"/>
      <c r="D1494" s="72" t="str">
        <f aca="false">IF(C1494="","",IFERROR(INDEX(T_NOMBRE,MATCH(C1494,T_ID,0)),"⚠ ID no existe"))</f>
        <v/>
      </c>
      <c r="E1494" s="69"/>
      <c r="F1494" s="67"/>
      <c r="G1494" s="67"/>
      <c r="H1494" s="67"/>
      <c r="I1494" s="67"/>
      <c r="J1494" s="67"/>
      <c r="K1494" s="85" t="str">
        <f aca="false">IF(AH1494="","",N(F1494)+N(G1494)+N(H1494)-N(I1494)+N(J1494))</f>
        <v/>
      </c>
      <c r="L1494" s="67"/>
      <c r="M1494" s="67"/>
      <c r="N1494" s="67"/>
      <c r="O1494" s="67"/>
      <c r="P1494" s="85" t="str">
        <f aca="false">IF(AH1494="","",K1494+N(L1494)+N(M1494)+N(N1494)+N(O1494))</f>
        <v/>
      </c>
      <c r="Q1494" s="67"/>
      <c r="R1494" s="67"/>
      <c r="S1494" s="67"/>
      <c r="T1494" s="67"/>
      <c r="U1494" s="67"/>
      <c r="V1494" s="67"/>
      <c r="W1494" s="85" t="str">
        <f aca="false">IF(AH1494="","",N(Q1494)+N(R1494)+N(S1494)+N(T1494)+N(U1494)+N(V1494))</f>
        <v/>
      </c>
      <c r="X1494" s="85" t="str">
        <f aca="false">IF(AH1494="","",P1494-W1494)</f>
        <v/>
      </c>
      <c r="Y1494" s="67"/>
      <c r="Z1494" s="70" t="str">
        <f aca="false">IF(OR(AH1494="",Y1494=""),"",IF(ABS(X1494-Y1494)&lt;=1,"✓ Cuadra","⚠ Diferencia $"&amp;FIXED(X1494-Y1494,0)))</f>
        <v/>
      </c>
      <c r="AA1494" s="72" t="str">
        <f aca="false">IF(AH1494="","",IFERROR(INDEX(C_TIPO,MATCH(C1494&amp;"-P"&amp;MAX(1,COUNTIFS(C_ID,C1494,C_DEFINE,"Sí",C_INICIO,"&lt;="&amp;EOMONTH(B1494,0))),C_CLAVE,0))&amp;"","Sin dato"))</f>
        <v/>
      </c>
      <c r="AB1494" s="71" t="str">
        <f aca="false">IF(AH1494="","",ROUND(MIN(K1494,TOPE_AFP_UF*AJ1494)*AK1494,0))</f>
        <v/>
      </c>
      <c r="AC1494" s="71" t="str">
        <f aca="false">IF(AH1494="","",ROUND(MIN(K1494,TOPE_AFC_UF*AJ1494)*IF(AA1494="Indefinido",AFC_EMP_INDEF,AFC_EMP_PF),0))</f>
        <v/>
      </c>
      <c r="AD1494" s="71" t="str">
        <f aca="false">IF(AH1494="","",ROUND(MIN(K1494,TOPE_AFP_UF*AJ1494)*(MUTUAL_BASICA+MUTUAL_ADIC+SANNA),0))</f>
        <v/>
      </c>
      <c r="AE1494" s="71" t="str">
        <f aca="false">IF(AH1494="","",P1494-N(N1494)+AB1494+AC1494+AD1494)</f>
        <v/>
      </c>
      <c r="AF1494" s="65"/>
      <c r="AG1494" s="64"/>
      <c r="AH1494" s="72" t="str">
        <f aca="false">IF(OR(B1494="",C1494=""),"",C1494&amp;"|"&amp;(YEAR(B1494)*100+MONTH(B1494)))</f>
        <v/>
      </c>
      <c r="AI1494" s="70" t="str">
        <f aca="false">IF(AH1494="","",IF(COUNTIF(L_CLAVE,AH1494)&gt;1,"⚠ Duplicado","OK"))</f>
        <v/>
      </c>
      <c r="AJ1494" s="86" t="str">
        <f aca="false">IF(AH1494="","",IF(SUMPRODUCT(MAX((IND_PER&lt;=B1494)*(IND_UF&lt;&gt;"")*IND_PER))=0,UF_HOY,INDEX(IND_UF,MATCH(SUMPRODUCT(MAX((IND_PER&lt;=B1494)*(IND_UF&lt;&gt;"")*IND_PER)),IND_PER,0))))</f>
        <v/>
      </c>
      <c r="AK1494" s="87" t="str">
        <f aca="false">IF(AH1494="","",IF(COUNTIF(TASA_DESDE,"&lt;="&amp;B1494)=0,INDEX(TASA_EMP,1),INDEX(TASA_EMP,COUNTIF(TASA_DESDE,"&lt;="&amp;B1494))))</f>
        <v/>
      </c>
    </row>
    <row r="1495" customFormat="false" ht="15" hidden="false" customHeight="false" outlineLevel="0" collapsed="false">
      <c r="B1495" s="78"/>
      <c r="C1495" s="64"/>
      <c r="D1495" s="72" t="str">
        <f aca="false">IF(C1495="","",IFERROR(INDEX(T_NOMBRE,MATCH(C1495,T_ID,0)),"⚠ ID no existe"))</f>
        <v/>
      </c>
      <c r="E1495" s="69"/>
      <c r="F1495" s="67"/>
      <c r="G1495" s="67"/>
      <c r="H1495" s="67"/>
      <c r="I1495" s="67"/>
      <c r="J1495" s="67"/>
      <c r="K1495" s="85" t="str">
        <f aca="false">IF(AH1495="","",N(F1495)+N(G1495)+N(H1495)-N(I1495)+N(J1495))</f>
        <v/>
      </c>
      <c r="L1495" s="67"/>
      <c r="M1495" s="67"/>
      <c r="N1495" s="67"/>
      <c r="O1495" s="67"/>
      <c r="P1495" s="85" t="str">
        <f aca="false">IF(AH1495="","",K1495+N(L1495)+N(M1495)+N(N1495)+N(O1495))</f>
        <v/>
      </c>
      <c r="Q1495" s="67"/>
      <c r="R1495" s="67"/>
      <c r="S1495" s="67"/>
      <c r="T1495" s="67"/>
      <c r="U1495" s="67"/>
      <c r="V1495" s="67"/>
      <c r="W1495" s="85" t="str">
        <f aca="false">IF(AH1495="","",N(Q1495)+N(R1495)+N(S1495)+N(T1495)+N(U1495)+N(V1495))</f>
        <v/>
      </c>
      <c r="X1495" s="85" t="str">
        <f aca="false">IF(AH1495="","",P1495-W1495)</f>
        <v/>
      </c>
      <c r="Y1495" s="67"/>
      <c r="Z1495" s="70" t="str">
        <f aca="false">IF(OR(AH1495="",Y1495=""),"",IF(ABS(X1495-Y1495)&lt;=1,"✓ Cuadra","⚠ Diferencia $"&amp;FIXED(X1495-Y1495,0)))</f>
        <v/>
      </c>
      <c r="AA1495" s="72" t="str">
        <f aca="false">IF(AH1495="","",IFERROR(INDEX(C_TIPO,MATCH(C1495&amp;"-P"&amp;MAX(1,COUNTIFS(C_ID,C1495,C_DEFINE,"Sí",C_INICIO,"&lt;="&amp;EOMONTH(B1495,0))),C_CLAVE,0))&amp;"","Sin dato"))</f>
        <v/>
      </c>
      <c r="AB1495" s="71" t="str">
        <f aca="false">IF(AH1495="","",ROUND(MIN(K1495,TOPE_AFP_UF*AJ1495)*AK1495,0))</f>
        <v/>
      </c>
      <c r="AC1495" s="71" t="str">
        <f aca="false">IF(AH1495="","",ROUND(MIN(K1495,TOPE_AFC_UF*AJ1495)*IF(AA1495="Indefinido",AFC_EMP_INDEF,AFC_EMP_PF),0))</f>
        <v/>
      </c>
      <c r="AD1495" s="71" t="str">
        <f aca="false">IF(AH1495="","",ROUND(MIN(K1495,TOPE_AFP_UF*AJ1495)*(MUTUAL_BASICA+MUTUAL_ADIC+SANNA),0))</f>
        <v/>
      </c>
      <c r="AE1495" s="71" t="str">
        <f aca="false">IF(AH1495="","",P1495-N(N1495)+AB1495+AC1495+AD1495)</f>
        <v/>
      </c>
      <c r="AF1495" s="65"/>
      <c r="AG1495" s="64"/>
      <c r="AH1495" s="72" t="str">
        <f aca="false">IF(OR(B1495="",C1495=""),"",C1495&amp;"|"&amp;(YEAR(B1495)*100+MONTH(B1495)))</f>
        <v/>
      </c>
      <c r="AI1495" s="70" t="str">
        <f aca="false">IF(AH1495="","",IF(COUNTIF(L_CLAVE,AH1495)&gt;1,"⚠ Duplicado","OK"))</f>
        <v/>
      </c>
      <c r="AJ1495" s="86" t="str">
        <f aca="false">IF(AH1495="","",IF(SUMPRODUCT(MAX((IND_PER&lt;=B1495)*(IND_UF&lt;&gt;"")*IND_PER))=0,UF_HOY,INDEX(IND_UF,MATCH(SUMPRODUCT(MAX((IND_PER&lt;=B1495)*(IND_UF&lt;&gt;"")*IND_PER)),IND_PER,0))))</f>
        <v/>
      </c>
      <c r="AK1495" s="87" t="str">
        <f aca="false">IF(AH1495="","",IF(COUNTIF(TASA_DESDE,"&lt;="&amp;B1495)=0,INDEX(TASA_EMP,1),INDEX(TASA_EMP,COUNTIF(TASA_DESDE,"&lt;="&amp;B1495))))</f>
        <v/>
      </c>
    </row>
    <row r="1496" customFormat="false" ht="15" hidden="false" customHeight="false" outlineLevel="0" collapsed="false">
      <c r="B1496" s="78"/>
      <c r="C1496" s="64"/>
      <c r="D1496" s="72" t="str">
        <f aca="false">IF(C1496="","",IFERROR(INDEX(T_NOMBRE,MATCH(C1496,T_ID,0)),"⚠ ID no existe"))</f>
        <v/>
      </c>
      <c r="E1496" s="69"/>
      <c r="F1496" s="67"/>
      <c r="G1496" s="67"/>
      <c r="H1496" s="67"/>
      <c r="I1496" s="67"/>
      <c r="J1496" s="67"/>
      <c r="K1496" s="85" t="str">
        <f aca="false">IF(AH1496="","",N(F1496)+N(G1496)+N(H1496)-N(I1496)+N(J1496))</f>
        <v/>
      </c>
      <c r="L1496" s="67"/>
      <c r="M1496" s="67"/>
      <c r="N1496" s="67"/>
      <c r="O1496" s="67"/>
      <c r="P1496" s="85" t="str">
        <f aca="false">IF(AH1496="","",K1496+N(L1496)+N(M1496)+N(N1496)+N(O1496))</f>
        <v/>
      </c>
      <c r="Q1496" s="67"/>
      <c r="R1496" s="67"/>
      <c r="S1496" s="67"/>
      <c r="T1496" s="67"/>
      <c r="U1496" s="67"/>
      <c r="V1496" s="67"/>
      <c r="W1496" s="85" t="str">
        <f aca="false">IF(AH1496="","",N(Q1496)+N(R1496)+N(S1496)+N(T1496)+N(U1496)+N(V1496))</f>
        <v/>
      </c>
      <c r="X1496" s="85" t="str">
        <f aca="false">IF(AH1496="","",P1496-W1496)</f>
        <v/>
      </c>
      <c r="Y1496" s="67"/>
      <c r="Z1496" s="70" t="str">
        <f aca="false">IF(OR(AH1496="",Y1496=""),"",IF(ABS(X1496-Y1496)&lt;=1,"✓ Cuadra","⚠ Diferencia $"&amp;FIXED(X1496-Y1496,0)))</f>
        <v/>
      </c>
      <c r="AA1496" s="72" t="str">
        <f aca="false">IF(AH1496="","",IFERROR(INDEX(C_TIPO,MATCH(C1496&amp;"-P"&amp;MAX(1,COUNTIFS(C_ID,C1496,C_DEFINE,"Sí",C_INICIO,"&lt;="&amp;EOMONTH(B1496,0))),C_CLAVE,0))&amp;"","Sin dato"))</f>
        <v/>
      </c>
      <c r="AB1496" s="71" t="str">
        <f aca="false">IF(AH1496="","",ROUND(MIN(K1496,TOPE_AFP_UF*AJ1496)*AK1496,0))</f>
        <v/>
      </c>
      <c r="AC1496" s="71" t="str">
        <f aca="false">IF(AH1496="","",ROUND(MIN(K1496,TOPE_AFC_UF*AJ1496)*IF(AA1496="Indefinido",AFC_EMP_INDEF,AFC_EMP_PF),0))</f>
        <v/>
      </c>
      <c r="AD1496" s="71" t="str">
        <f aca="false">IF(AH1496="","",ROUND(MIN(K1496,TOPE_AFP_UF*AJ1496)*(MUTUAL_BASICA+MUTUAL_ADIC+SANNA),0))</f>
        <v/>
      </c>
      <c r="AE1496" s="71" t="str">
        <f aca="false">IF(AH1496="","",P1496-N(N1496)+AB1496+AC1496+AD1496)</f>
        <v/>
      </c>
      <c r="AF1496" s="65"/>
      <c r="AG1496" s="64"/>
      <c r="AH1496" s="72" t="str">
        <f aca="false">IF(OR(B1496="",C1496=""),"",C1496&amp;"|"&amp;(YEAR(B1496)*100+MONTH(B1496)))</f>
        <v/>
      </c>
      <c r="AI1496" s="70" t="str">
        <f aca="false">IF(AH1496="","",IF(COUNTIF(L_CLAVE,AH1496)&gt;1,"⚠ Duplicado","OK"))</f>
        <v/>
      </c>
      <c r="AJ1496" s="86" t="str">
        <f aca="false">IF(AH1496="","",IF(SUMPRODUCT(MAX((IND_PER&lt;=B1496)*(IND_UF&lt;&gt;"")*IND_PER))=0,UF_HOY,INDEX(IND_UF,MATCH(SUMPRODUCT(MAX((IND_PER&lt;=B1496)*(IND_UF&lt;&gt;"")*IND_PER)),IND_PER,0))))</f>
        <v/>
      </c>
      <c r="AK1496" s="87" t="str">
        <f aca="false">IF(AH1496="","",IF(COUNTIF(TASA_DESDE,"&lt;="&amp;B1496)=0,INDEX(TASA_EMP,1),INDEX(TASA_EMP,COUNTIF(TASA_DESDE,"&lt;="&amp;B1496))))</f>
        <v/>
      </c>
    </row>
    <row r="1497" customFormat="false" ht="15" hidden="false" customHeight="false" outlineLevel="0" collapsed="false">
      <c r="B1497" s="78"/>
      <c r="C1497" s="64"/>
      <c r="D1497" s="72" t="str">
        <f aca="false">IF(C1497="","",IFERROR(INDEX(T_NOMBRE,MATCH(C1497,T_ID,0)),"⚠ ID no existe"))</f>
        <v/>
      </c>
      <c r="E1497" s="69"/>
      <c r="F1497" s="67"/>
      <c r="G1497" s="67"/>
      <c r="H1497" s="67"/>
      <c r="I1497" s="67"/>
      <c r="J1497" s="67"/>
      <c r="K1497" s="85" t="str">
        <f aca="false">IF(AH1497="","",N(F1497)+N(G1497)+N(H1497)-N(I1497)+N(J1497))</f>
        <v/>
      </c>
      <c r="L1497" s="67"/>
      <c r="M1497" s="67"/>
      <c r="N1497" s="67"/>
      <c r="O1497" s="67"/>
      <c r="P1497" s="85" t="str">
        <f aca="false">IF(AH1497="","",K1497+N(L1497)+N(M1497)+N(N1497)+N(O1497))</f>
        <v/>
      </c>
      <c r="Q1497" s="67"/>
      <c r="R1497" s="67"/>
      <c r="S1497" s="67"/>
      <c r="T1497" s="67"/>
      <c r="U1497" s="67"/>
      <c r="V1497" s="67"/>
      <c r="W1497" s="85" t="str">
        <f aca="false">IF(AH1497="","",N(Q1497)+N(R1497)+N(S1497)+N(T1497)+N(U1497)+N(V1497))</f>
        <v/>
      </c>
      <c r="X1497" s="85" t="str">
        <f aca="false">IF(AH1497="","",P1497-W1497)</f>
        <v/>
      </c>
      <c r="Y1497" s="67"/>
      <c r="Z1497" s="70" t="str">
        <f aca="false">IF(OR(AH1497="",Y1497=""),"",IF(ABS(X1497-Y1497)&lt;=1,"✓ Cuadra","⚠ Diferencia $"&amp;FIXED(X1497-Y1497,0)))</f>
        <v/>
      </c>
      <c r="AA1497" s="72" t="str">
        <f aca="false">IF(AH1497="","",IFERROR(INDEX(C_TIPO,MATCH(C1497&amp;"-P"&amp;MAX(1,COUNTIFS(C_ID,C1497,C_DEFINE,"Sí",C_INICIO,"&lt;="&amp;EOMONTH(B1497,0))),C_CLAVE,0))&amp;"","Sin dato"))</f>
        <v/>
      </c>
      <c r="AB1497" s="71" t="str">
        <f aca="false">IF(AH1497="","",ROUND(MIN(K1497,TOPE_AFP_UF*AJ1497)*AK1497,0))</f>
        <v/>
      </c>
      <c r="AC1497" s="71" t="str">
        <f aca="false">IF(AH1497="","",ROUND(MIN(K1497,TOPE_AFC_UF*AJ1497)*IF(AA1497="Indefinido",AFC_EMP_INDEF,AFC_EMP_PF),0))</f>
        <v/>
      </c>
      <c r="AD1497" s="71" t="str">
        <f aca="false">IF(AH1497="","",ROUND(MIN(K1497,TOPE_AFP_UF*AJ1497)*(MUTUAL_BASICA+MUTUAL_ADIC+SANNA),0))</f>
        <v/>
      </c>
      <c r="AE1497" s="71" t="str">
        <f aca="false">IF(AH1497="","",P1497-N(N1497)+AB1497+AC1497+AD1497)</f>
        <v/>
      </c>
      <c r="AF1497" s="65"/>
      <c r="AG1497" s="64"/>
      <c r="AH1497" s="72" t="str">
        <f aca="false">IF(OR(B1497="",C1497=""),"",C1497&amp;"|"&amp;(YEAR(B1497)*100+MONTH(B1497)))</f>
        <v/>
      </c>
      <c r="AI1497" s="70" t="str">
        <f aca="false">IF(AH1497="","",IF(COUNTIF(L_CLAVE,AH1497)&gt;1,"⚠ Duplicado","OK"))</f>
        <v/>
      </c>
      <c r="AJ1497" s="86" t="str">
        <f aca="false">IF(AH1497="","",IF(SUMPRODUCT(MAX((IND_PER&lt;=B1497)*(IND_UF&lt;&gt;"")*IND_PER))=0,UF_HOY,INDEX(IND_UF,MATCH(SUMPRODUCT(MAX((IND_PER&lt;=B1497)*(IND_UF&lt;&gt;"")*IND_PER)),IND_PER,0))))</f>
        <v/>
      </c>
      <c r="AK1497" s="87" t="str">
        <f aca="false">IF(AH1497="","",IF(COUNTIF(TASA_DESDE,"&lt;="&amp;B1497)=0,INDEX(TASA_EMP,1),INDEX(TASA_EMP,COUNTIF(TASA_DESDE,"&lt;="&amp;B1497))))</f>
        <v/>
      </c>
    </row>
    <row r="1498" customFormat="false" ht="15" hidden="false" customHeight="false" outlineLevel="0" collapsed="false">
      <c r="B1498" s="78"/>
      <c r="C1498" s="64"/>
      <c r="D1498" s="72" t="str">
        <f aca="false">IF(C1498="","",IFERROR(INDEX(T_NOMBRE,MATCH(C1498,T_ID,0)),"⚠ ID no existe"))</f>
        <v/>
      </c>
      <c r="E1498" s="69"/>
      <c r="F1498" s="67"/>
      <c r="G1498" s="67"/>
      <c r="H1498" s="67"/>
      <c r="I1498" s="67"/>
      <c r="J1498" s="67"/>
      <c r="K1498" s="85" t="str">
        <f aca="false">IF(AH1498="","",N(F1498)+N(G1498)+N(H1498)-N(I1498)+N(J1498))</f>
        <v/>
      </c>
      <c r="L1498" s="67"/>
      <c r="M1498" s="67"/>
      <c r="N1498" s="67"/>
      <c r="O1498" s="67"/>
      <c r="P1498" s="85" t="str">
        <f aca="false">IF(AH1498="","",K1498+N(L1498)+N(M1498)+N(N1498)+N(O1498))</f>
        <v/>
      </c>
      <c r="Q1498" s="67"/>
      <c r="R1498" s="67"/>
      <c r="S1498" s="67"/>
      <c r="T1498" s="67"/>
      <c r="U1498" s="67"/>
      <c r="V1498" s="67"/>
      <c r="W1498" s="85" t="str">
        <f aca="false">IF(AH1498="","",N(Q1498)+N(R1498)+N(S1498)+N(T1498)+N(U1498)+N(V1498))</f>
        <v/>
      </c>
      <c r="X1498" s="85" t="str">
        <f aca="false">IF(AH1498="","",P1498-W1498)</f>
        <v/>
      </c>
      <c r="Y1498" s="67"/>
      <c r="Z1498" s="70" t="str">
        <f aca="false">IF(OR(AH1498="",Y1498=""),"",IF(ABS(X1498-Y1498)&lt;=1,"✓ Cuadra","⚠ Diferencia $"&amp;FIXED(X1498-Y1498,0)))</f>
        <v/>
      </c>
      <c r="AA1498" s="72" t="str">
        <f aca="false">IF(AH1498="","",IFERROR(INDEX(C_TIPO,MATCH(C1498&amp;"-P"&amp;MAX(1,COUNTIFS(C_ID,C1498,C_DEFINE,"Sí",C_INICIO,"&lt;="&amp;EOMONTH(B1498,0))),C_CLAVE,0))&amp;"","Sin dato"))</f>
        <v/>
      </c>
      <c r="AB1498" s="71" t="str">
        <f aca="false">IF(AH1498="","",ROUND(MIN(K1498,TOPE_AFP_UF*AJ1498)*AK1498,0))</f>
        <v/>
      </c>
      <c r="AC1498" s="71" t="str">
        <f aca="false">IF(AH1498="","",ROUND(MIN(K1498,TOPE_AFC_UF*AJ1498)*IF(AA1498="Indefinido",AFC_EMP_INDEF,AFC_EMP_PF),0))</f>
        <v/>
      </c>
      <c r="AD1498" s="71" t="str">
        <f aca="false">IF(AH1498="","",ROUND(MIN(K1498,TOPE_AFP_UF*AJ1498)*(MUTUAL_BASICA+MUTUAL_ADIC+SANNA),0))</f>
        <v/>
      </c>
      <c r="AE1498" s="71" t="str">
        <f aca="false">IF(AH1498="","",P1498-N(N1498)+AB1498+AC1498+AD1498)</f>
        <v/>
      </c>
      <c r="AF1498" s="65"/>
      <c r="AG1498" s="64"/>
      <c r="AH1498" s="72" t="str">
        <f aca="false">IF(OR(B1498="",C1498=""),"",C1498&amp;"|"&amp;(YEAR(B1498)*100+MONTH(B1498)))</f>
        <v/>
      </c>
      <c r="AI1498" s="70" t="str">
        <f aca="false">IF(AH1498="","",IF(COUNTIF(L_CLAVE,AH1498)&gt;1,"⚠ Duplicado","OK"))</f>
        <v/>
      </c>
      <c r="AJ1498" s="86" t="str">
        <f aca="false">IF(AH1498="","",IF(SUMPRODUCT(MAX((IND_PER&lt;=B1498)*(IND_UF&lt;&gt;"")*IND_PER))=0,UF_HOY,INDEX(IND_UF,MATCH(SUMPRODUCT(MAX((IND_PER&lt;=B1498)*(IND_UF&lt;&gt;"")*IND_PER)),IND_PER,0))))</f>
        <v/>
      </c>
      <c r="AK1498" s="87" t="str">
        <f aca="false">IF(AH1498="","",IF(COUNTIF(TASA_DESDE,"&lt;="&amp;B1498)=0,INDEX(TASA_EMP,1),INDEX(TASA_EMP,COUNTIF(TASA_DESDE,"&lt;="&amp;B1498))))</f>
        <v/>
      </c>
    </row>
    <row r="1499" customFormat="false" ht="15" hidden="false" customHeight="false" outlineLevel="0" collapsed="false">
      <c r="B1499" s="78"/>
      <c r="C1499" s="64"/>
      <c r="D1499" s="72" t="str">
        <f aca="false">IF(C1499="","",IFERROR(INDEX(T_NOMBRE,MATCH(C1499,T_ID,0)),"⚠ ID no existe"))</f>
        <v/>
      </c>
      <c r="E1499" s="69"/>
      <c r="F1499" s="67"/>
      <c r="G1499" s="67"/>
      <c r="H1499" s="67"/>
      <c r="I1499" s="67"/>
      <c r="J1499" s="67"/>
      <c r="K1499" s="85" t="str">
        <f aca="false">IF(AH1499="","",N(F1499)+N(G1499)+N(H1499)-N(I1499)+N(J1499))</f>
        <v/>
      </c>
      <c r="L1499" s="67"/>
      <c r="M1499" s="67"/>
      <c r="N1499" s="67"/>
      <c r="O1499" s="67"/>
      <c r="P1499" s="85" t="str">
        <f aca="false">IF(AH1499="","",K1499+N(L1499)+N(M1499)+N(N1499)+N(O1499))</f>
        <v/>
      </c>
      <c r="Q1499" s="67"/>
      <c r="R1499" s="67"/>
      <c r="S1499" s="67"/>
      <c r="T1499" s="67"/>
      <c r="U1499" s="67"/>
      <c r="V1499" s="67"/>
      <c r="W1499" s="85" t="str">
        <f aca="false">IF(AH1499="","",N(Q1499)+N(R1499)+N(S1499)+N(T1499)+N(U1499)+N(V1499))</f>
        <v/>
      </c>
      <c r="X1499" s="85" t="str">
        <f aca="false">IF(AH1499="","",P1499-W1499)</f>
        <v/>
      </c>
      <c r="Y1499" s="67"/>
      <c r="Z1499" s="70" t="str">
        <f aca="false">IF(OR(AH1499="",Y1499=""),"",IF(ABS(X1499-Y1499)&lt;=1,"✓ Cuadra","⚠ Diferencia $"&amp;FIXED(X1499-Y1499,0)))</f>
        <v/>
      </c>
      <c r="AA1499" s="72" t="str">
        <f aca="false">IF(AH1499="","",IFERROR(INDEX(C_TIPO,MATCH(C1499&amp;"-P"&amp;MAX(1,COUNTIFS(C_ID,C1499,C_DEFINE,"Sí",C_INICIO,"&lt;="&amp;EOMONTH(B1499,0))),C_CLAVE,0))&amp;"","Sin dato"))</f>
        <v/>
      </c>
      <c r="AB1499" s="71" t="str">
        <f aca="false">IF(AH1499="","",ROUND(MIN(K1499,TOPE_AFP_UF*AJ1499)*AK1499,0))</f>
        <v/>
      </c>
      <c r="AC1499" s="71" t="str">
        <f aca="false">IF(AH1499="","",ROUND(MIN(K1499,TOPE_AFC_UF*AJ1499)*IF(AA1499="Indefinido",AFC_EMP_INDEF,AFC_EMP_PF),0))</f>
        <v/>
      </c>
      <c r="AD1499" s="71" t="str">
        <f aca="false">IF(AH1499="","",ROUND(MIN(K1499,TOPE_AFP_UF*AJ1499)*(MUTUAL_BASICA+MUTUAL_ADIC+SANNA),0))</f>
        <v/>
      </c>
      <c r="AE1499" s="71" t="str">
        <f aca="false">IF(AH1499="","",P1499-N(N1499)+AB1499+AC1499+AD1499)</f>
        <v/>
      </c>
      <c r="AF1499" s="65"/>
      <c r="AG1499" s="64"/>
      <c r="AH1499" s="72" t="str">
        <f aca="false">IF(OR(B1499="",C1499=""),"",C1499&amp;"|"&amp;(YEAR(B1499)*100+MONTH(B1499)))</f>
        <v/>
      </c>
      <c r="AI1499" s="70" t="str">
        <f aca="false">IF(AH1499="","",IF(COUNTIF(L_CLAVE,AH1499)&gt;1,"⚠ Duplicado","OK"))</f>
        <v/>
      </c>
      <c r="AJ1499" s="86" t="str">
        <f aca="false">IF(AH1499="","",IF(SUMPRODUCT(MAX((IND_PER&lt;=B1499)*(IND_UF&lt;&gt;"")*IND_PER))=0,UF_HOY,INDEX(IND_UF,MATCH(SUMPRODUCT(MAX((IND_PER&lt;=B1499)*(IND_UF&lt;&gt;"")*IND_PER)),IND_PER,0))))</f>
        <v/>
      </c>
      <c r="AK1499" s="87" t="str">
        <f aca="false">IF(AH1499="","",IF(COUNTIF(TASA_DESDE,"&lt;="&amp;B1499)=0,INDEX(TASA_EMP,1),INDEX(TASA_EMP,COUNTIF(TASA_DESDE,"&lt;="&amp;B1499))))</f>
        <v/>
      </c>
    </row>
    <row r="1500" customFormat="false" ht="15" hidden="false" customHeight="false" outlineLevel="0" collapsed="false">
      <c r="B1500" s="78"/>
      <c r="C1500" s="64"/>
      <c r="D1500" s="72" t="str">
        <f aca="false">IF(C1500="","",IFERROR(INDEX(T_NOMBRE,MATCH(C1500,T_ID,0)),"⚠ ID no existe"))</f>
        <v/>
      </c>
      <c r="E1500" s="69"/>
      <c r="F1500" s="67"/>
      <c r="G1500" s="67"/>
      <c r="H1500" s="67"/>
      <c r="I1500" s="67"/>
      <c r="J1500" s="67"/>
      <c r="K1500" s="85" t="str">
        <f aca="false">IF(AH1500="","",N(F1500)+N(G1500)+N(H1500)-N(I1500)+N(J1500))</f>
        <v/>
      </c>
      <c r="L1500" s="67"/>
      <c r="M1500" s="67"/>
      <c r="N1500" s="67"/>
      <c r="O1500" s="67"/>
      <c r="P1500" s="85" t="str">
        <f aca="false">IF(AH1500="","",K1500+N(L1500)+N(M1500)+N(N1500)+N(O1500))</f>
        <v/>
      </c>
      <c r="Q1500" s="67"/>
      <c r="R1500" s="67"/>
      <c r="S1500" s="67"/>
      <c r="T1500" s="67"/>
      <c r="U1500" s="67"/>
      <c r="V1500" s="67"/>
      <c r="W1500" s="85" t="str">
        <f aca="false">IF(AH1500="","",N(Q1500)+N(R1500)+N(S1500)+N(T1500)+N(U1500)+N(V1500))</f>
        <v/>
      </c>
      <c r="X1500" s="85" t="str">
        <f aca="false">IF(AH1500="","",P1500-W1500)</f>
        <v/>
      </c>
      <c r="Y1500" s="67"/>
      <c r="Z1500" s="70" t="str">
        <f aca="false">IF(OR(AH1500="",Y1500=""),"",IF(ABS(X1500-Y1500)&lt;=1,"✓ Cuadra","⚠ Diferencia $"&amp;FIXED(X1500-Y1500,0)))</f>
        <v/>
      </c>
      <c r="AA1500" s="72" t="str">
        <f aca="false">IF(AH1500="","",IFERROR(INDEX(C_TIPO,MATCH(C1500&amp;"-P"&amp;MAX(1,COUNTIFS(C_ID,C1500,C_DEFINE,"Sí",C_INICIO,"&lt;="&amp;EOMONTH(B1500,0))),C_CLAVE,0))&amp;"","Sin dato"))</f>
        <v/>
      </c>
      <c r="AB1500" s="71" t="str">
        <f aca="false">IF(AH1500="","",ROUND(MIN(K1500,TOPE_AFP_UF*AJ1500)*AK1500,0))</f>
        <v/>
      </c>
      <c r="AC1500" s="71" t="str">
        <f aca="false">IF(AH1500="","",ROUND(MIN(K1500,TOPE_AFC_UF*AJ1500)*IF(AA1500="Indefinido",AFC_EMP_INDEF,AFC_EMP_PF),0))</f>
        <v/>
      </c>
      <c r="AD1500" s="71" t="str">
        <f aca="false">IF(AH1500="","",ROUND(MIN(K1500,TOPE_AFP_UF*AJ1500)*(MUTUAL_BASICA+MUTUAL_ADIC+SANNA),0))</f>
        <v/>
      </c>
      <c r="AE1500" s="71" t="str">
        <f aca="false">IF(AH1500="","",P1500-N(N1500)+AB1500+AC1500+AD1500)</f>
        <v/>
      </c>
      <c r="AF1500" s="65"/>
      <c r="AG1500" s="64"/>
      <c r="AH1500" s="72" t="str">
        <f aca="false">IF(OR(B1500="",C1500=""),"",C1500&amp;"|"&amp;(YEAR(B1500)*100+MONTH(B1500)))</f>
        <v/>
      </c>
      <c r="AI1500" s="70" t="str">
        <f aca="false">IF(AH1500="","",IF(COUNTIF(L_CLAVE,AH1500)&gt;1,"⚠ Duplicado","OK"))</f>
        <v/>
      </c>
      <c r="AJ1500" s="86" t="str">
        <f aca="false">IF(AH1500="","",IF(SUMPRODUCT(MAX((IND_PER&lt;=B1500)*(IND_UF&lt;&gt;"")*IND_PER))=0,UF_HOY,INDEX(IND_UF,MATCH(SUMPRODUCT(MAX((IND_PER&lt;=B1500)*(IND_UF&lt;&gt;"")*IND_PER)),IND_PER,0))))</f>
        <v/>
      </c>
      <c r="AK1500" s="87" t="str">
        <f aca="false">IF(AH1500="","",IF(COUNTIF(TASA_DESDE,"&lt;="&amp;B1500)=0,INDEX(TASA_EMP,1),INDEX(TASA_EMP,COUNTIF(TASA_DESDE,"&lt;="&amp;B1500))))</f>
        <v/>
      </c>
    </row>
    <row r="1501" customFormat="false" ht="15" hidden="false" customHeight="false" outlineLevel="0" collapsed="false">
      <c r="B1501" s="78"/>
      <c r="C1501" s="64"/>
      <c r="D1501" s="72" t="str">
        <f aca="false">IF(C1501="","",IFERROR(INDEX(T_NOMBRE,MATCH(C1501,T_ID,0)),"⚠ ID no existe"))</f>
        <v/>
      </c>
      <c r="E1501" s="69"/>
      <c r="F1501" s="67"/>
      <c r="G1501" s="67"/>
      <c r="H1501" s="67"/>
      <c r="I1501" s="67"/>
      <c r="J1501" s="67"/>
      <c r="K1501" s="85" t="str">
        <f aca="false">IF(AH1501="","",N(F1501)+N(G1501)+N(H1501)-N(I1501)+N(J1501))</f>
        <v/>
      </c>
      <c r="L1501" s="67"/>
      <c r="M1501" s="67"/>
      <c r="N1501" s="67"/>
      <c r="O1501" s="67"/>
      <c r="P1501" s="85" t="str">
        <f aca="false">IF(AH1501="","",K1501+N(L1501)+N(M1501)+N(N1501)+N(O1501))</f>
        <v/>
      </c>
      <c r="Q1501" s="67"/>
      <c r="R1501" s="67"/>
      <c r="S1501" s="67"/>
      <c r="T1501" s="67"/>
      <c r="U1501" s="67"/>
      <c r="V1501" s="67"/>
      <c r="W1501" s="85" t="str">
        <f aca="false">IF(AH1501="","",N(Q1501)+N(R1501)+N(S1501)+N(T1501)+N(U1501)+N(V1501))</f>
        <v/>
      </c>
      <c r="X1501" s="85" t="str">
        <f aca="false">IF(AH1501="","",P1501-W1501)</f>
        <v/>
      </c>
      <c r="Y1501" s="67"/>
      <c r="Z1501" s="70" t="str">
        <f aca="false">IF(OR(AH1501="",Y1501=""),"",IF(ABS(X1501-Y1501)&lt;=1,"✓ Cuadra","⚠ Diferencia $"&amp;FIXED(X1501-Y1501,0)))</f>
        <v/>
      </c>
      <c r="AA1501" s="72" t="str">
        <f aca="false">IF(AH1501="","",IFERROR(INDEX(C_TIPO,MATCH(C1501&amp;"-P"&amp;MAX(1,COUNTIFS(C_ID,C1501,C_DEFINE,"Sí",C_INICIO,"&lt;="&amp;EOMONTH(B1501,0))),C_CLAVE,0))&amp;"","Sin dato"))</f>
        <v/>
      </c>
      <c r="AB1501" s="71" t="str">
        <f aca="false">IF(AH1501="","",ROUND(MIN(K1501,TOPE_AFP_UF*AJ1501)*AK1501,0))</f>
        <v/>
      </c>
      <c r="AC1501" s="71" t="str">
        <f aca="false">IF(AH1501="","",ROUND(MIN(K1501,TOPE_AFC_UF*AJ1501)*IF(AA1501="Indefinido",AFC_EMP_INDEF,AFC_EMP_PF),0))</f>
        <v/>
      </c>
      <c r="AD1501" s="71" t="str">
        <f aca="false">IF(AH1501="","",ROUND(MIN(K1501,TOPE_AFP_UF*AJ1501)*(MUTUAL_BASICA+MUTUAL_ADIC+SANNA),0))</f>
        <v/>
      </c>
      <c r="AE1501" s="71" t="str">
        <f aca="false">IF(AH1501="","",P1501-N(N1501)+AB1501+AC1501+AD1501)</f>
        <v/>
      </c>
      <c r="AF1501" s="65"/>
      <c r="AG1501" s="64"/>
      <c r="AH1501" s="72" t="str">
        <f aca="false">IF(OR(B1501="",C1501=""),"",C1501&amp;"|"&amp;(YEAR(B1501)*100+MONTH(B1501)))</f>
        <v/>
      </c>
      <c r="AI1501" s="70" t="str">
        <f aca="false">IF(AH1501="","",IF(COUNTIF(L_CLAVE,AH1501)&gt;1,"⚠ Duplicado","OK"))</f>
        <v/>
      </c>
      <c r="AJ1501" s="86" t="str">
        <f aca="false">IF(AH1501="","",IF(SUMPRODUCT(MAX((IND_PER&lt;=B1501)*(IND_UF&lt;&gt;"")*IND_PER))=0,UF_HOY,INDEX(IND_UF,MATCH(SUMPRODUCT(MAX((IND_PER&lt;=B1501)*(IND_UF&lt;&gt;"")*IND_PER)),IND_PER,0))))</f>
        <v/>
      </c>
      <c r="AK1501" s="87" t="str">
        <f aca="false">IF(AH1501="","",IF(COUNTIF(TASA_DESDE,"&lt;="&amp;B1501)=0,INDEX(TASA_EMP,1),INDEX(TASA_EMP,COUNTIF(TASA_DESDE,"&lt;="&amp;B1501))))</f>
        <v/>
      </c>
    </row>
    <row r="1502" customFormat="false" ht="15" hidden="false" customHeight="false" outlineLevel="0" collapsed="false">
      <c r="B1502" s="78"/>
      <c r="C1502" s="64"/>
      <c r="D1502" s="72" t="str">
        <f aca="false">IF(C1502="","",IFERROR(INDEX(T_NOMBRE,MATCH(C1502,T_ID,0)),"⚠ ID no existe"))</f>
        <v/>
      </c>
      <c r="E1502" s="69"/>
      <c r="F1502" s="67"/>
      <c r="G1502" s="67"/>
      <c r="H1502" s="67"/>
      <c r="I1502" s="67"/>
      <c r="J1502" s="67"/>
      <c r="K1502" s="85" t="str">
        <f aca="false">IF(AH1502="","",N(F1502)+N(G1502)+N(H1502)-N(I1502)+N(J1502))</f>
        <v/>
      </c>
      <c r="L1502" s="67"/>
      <c r="M1502" s="67"/>
      <c r="N1502" s="67"/>
      <c r="O1502" s="67"/>
      <c r="P1502" s="85" t="str">
        <f aca="false">IF(AH1502="","",K1502+N(L1502)+N(M1502)+N(N1502)+N(O1502))</f>
        <v/>
      </c>
      <c r="Q1502" s="67"/>
      <c r="R1502" s="67"/>
      <c r="S1502" s="67"/>
      <c r="T1502" s="67"/>
      <c r="U1502" s="67"/>
      <c r="V1502" s="67"/>
      <c r="W1502" s="85" t="str">
        <f aca="false">IF(AH1502="","",N(Q1502)+N(R1502)+N(S1502)+N(T1502)+N(U1502)+N(V1502))</f>
        <v/>
      </c>
      <c r="X1502" s="85" t="str">
        <f aca="false">IF(AH1502="","",P1502-W1502)</f>
        <v/>
      </c>
      <c r="Y1502" s="67"/>
      <c r="Z1502" s="70" t="str">
        <f aca="false">IF(OR(AH1502="",Y1502=""),"",IF(ABS(X1502-Y1502)&lt;=1,"✓ Cuadra","⚠ Diferencia $"&amp;FIXED(X1502-Y1502,0)))</f>
        <v/>
      </c>
      <c r="AA1502" s="72" t="str">
        <f aca="false">IF(AH1502="","",IFERROR(INDEX(C_TIPO,MATCH(C1502&amp;"-P"&amp;MAX(1,COUNTIFS(C_ID,C1502,C_DEFINE,"Sí",C_INICIO,"&lt;="&amp;EOMONTH(B1502,0))),C_CLAVE,0))&amp;"","Sin dato"))</f>
        <v/>
      </c>
      <c r="AB1502" s="71" t="str">
        <f aca="false">IF(AH1502="","",ROUND(MIN(K1502,TOPE_AFP_UF*AJ1502)*AK1502,0))</f>
        <v/>
      </c>
      <c r="AC1502" s="71" t="str">
        <f aca="false">IF(AH1502="","",ROUND(MIN(K1502,TOPE_AFC_UF*AJ1502)*IF(AA1502="Indefinido",AFC_EMP_INDEF,AFC_EMP_PF),0))</f>
        <v/>
      </c>
      <c r="AD1502" s="71" t="str">
        <f aca="false">IF(AH1502="","",ROUND(MIN(K1502,TOPE_AFP_UF*AJ1502)*(MUTUAL_BASICA+MUTUAL_ADIC+SANNA),0))</f>
        <v/>
      </c>
      <c r="AE1502" s="71" t="str">
        <f aca="false">IF(AH1502="","",P1502-N(N1502)+AB1502+AC1502+AD1502)</f>
        <v/>
      </c>
      <c r="AF1502" s="65"/>
      <c r="AG1502" s="64"/>
      <c r="AH1502" s="72" t="str">
        <f aca="false">IF(OR(B1502="",C1502=""),"",C1502&amp;"|"&amp;(YEAR(B1502)*100+MONTH(B1502)))</f>
        <v/>
      </c>
      <c r="AI1502" s="70" t="str">
        <f aca="false">IF(AH1502="","",IF(COUNTIF(L_CLAVE,AH1502)&gt;1,"⚠ Duplicado","OK"))</f>
        <v/>
      </c>
      <c r="AJ1502" s="86" t="str">
        <f aca="false">IF(AH1502="","",IF(SUMPRODUCT(MAX((IND_PER&lt;=B1502)*(IND_UF&lt;&gt;"")*IND_PER))=0,UF_HOY,INDEX(IND_UF,MATCH(SUMPRODUCT(MAX((IND_PER&lt;=B1502)*(IND_UF&lt;&gt;"")*IND_PER)),IND_PER,0))))</f>
        <v/>
      </c>
      <c r="AK1502" s="87" t="str">
        <f aca="false">IF(AH1502="","",IF(COUNTIF(TASA_DESDE,"&lt;="&amp;B1502)=0,INDEX(TASA_EMP,1),INDEX(TASA_EMP,COUNTIF(TASA_DESDE,"&lt;="&amp;B1502))))</f>
        <v/>
      </c>
    </row>
    <row r="1503" customFormat="false" ht="15" hidden="false" customHeight="false" outlineLevel="0" collapsed="false">
      <c r="B1503" s="78"/>
      <c r="C1503" s="64"/>
      <c r="D1503" s="72" t="str">
        <f aca="false">IF(C1503="","",IFERROR(INDEX(T_NOMBRE,MATCH(C1503,T_ID,0)),"⚠ ID no existe"))</f>
        <v/>
      </c>
      <c r="E1503" s="69"/>
      <c r="F1503" s="67"/>
      <c r="G1503" s="67"/>
      <c r="H1503" s="67"/>
      <c r="I1503" s="67"/>
      <c r="J1503" s="67"/>
      <c r="K1503" s="85" t="str">
        <f aca="false">IF(AH1503="","",N(F1503)+N(G1503)+N(H1503)-N(I1503)+N(J1503))</f>
        <v/>
      </c>
      <c r="L1503" s="67"/>
      <c r="M1503" s="67"/>
      <c r="N1503" s="67"/>
      <c r="O1503" s="67"/>
      <c r="P1503" s="85" t="str">
        <f aca="false">IF(AH1503="","",K1503+N(L1503)+N(M1503)+N(N1503)+N(O1503))</f>
        <v/>
      </c>
      <c r="Q1503" s="67"/>
      <c r="R1503" s="67"/>
      <c r="S1503" s="67"/>
      <c r="T1503" s="67"/>
      <c r="U1503" s="67"/>
      <c r="V1503" s="67"/>
      <c r="W1503" s="85" t="str">
        <f aca="false">IF(AH1503="","",N(Q1503)+N(R1503)+N(S1503)+N(T1503)+N(U1503)+N(V1503))</f>
        <v/>
      </c>
      <c r="X1503" s="85" t="str">
        <f aca="false">IF(AH1503="","",P1503-W1503)</f>
        <v/>
      </c>
      <c r="Y1503" s="67"/>
      <c r="Z1503" s="70" t="str">
        <f aca="false">IF(OR(AH1503="",Y1503=""),"",IF(ABS(X1503-Y1503)&lt;=1,"✓ Cuadra","⚠ Diferencia $"&amp;FIXED(X1503-Y1503,0)))</f>
        <v/>
      </c>
      <c r="AA1503" s="72" t="str">
        <f aca="false">IF(AH1503="","",IFERROR(INDEX(C_TIPO,MATCH(C1503&amp;"-P"&amp;MAX(1,COUNTIFS(C_ID,C1503,C_DEFINE,"Sí",C_INICIO,"&lt;="&amp;EOMONTH(B1503,0))),C_CLAVE,0))&amp;"","Sin dato"))</f>
        <v/>
      </c>
      <c r="AB1503" s="71" t="str">
        <f aca="false">IF(AH1503="","",ROUND(MIN(K1503,TOPE_AFP_UF*AJ1503)*AK1503,0))</f>
        <v/>
      </c>
      <c r="AC1503" s="71" t="str">
        <f aca="false">IF(AH1503="","",ROUND(MIN(K1503,TOPE_AFC_UF*AJ1503)*IF(AA1503="Indefinido",AFC_EMP_INDEF,AFC_EMP_PF),0))</f>
        <v/>
      </c>
      <c r="AD1503" s="71" t="str">
        <f aca="false">IF(AH1503="","",ROUND(MIN(K1503,TOPE_AFP_UF*AJ1503)*(MUTUAL_BASICA+MUTUAL_ADIC+SANNA),0))</f>
        <v/>
      </c>
      <c r="AE1503" s="71" t="str">
        <f aca="false">IF(AH1503="","",P1503-N(N1503)+AB1503+AC1503+AD1503)</f>
        <v/>
      </c>
      <c r="AF1503" s="65"/>
      <c r="AG1503" s="64"/>
      <c r="AH1503" s="72" t="str">
        <f aca="false">IF(OR(B1503="",C1503=""),"",C1503&amp;"|"&amp;(YEAR(B1503)*100+MONTH(B1503)))</f>
        <v/>
      </c>
      <c r="AI1503" s="70" t="str">
        <f aca="false">IF(AH1503="","",IF(COUNTIF(L_CLAVE,AH1503)&gt;1,"⚠ Duplicado","OK"))</f>
        <v/>
      </c>
      <c r="AJ1503" s="86" t="str">
        <f aca="false">IF(AH1503="","",IF(SUMPRODUCT(MAX((IND_PER&lt;=B1503)*(IND_UF&lt;&gt;"")*IND_PER))=0,UF_HOY,INDEX(IND_UF,MATCH(SUMPRODUCT(MAX((IND_PER&lt;=B1503)*(IND_UF&lt;&gt;"")*IND_PER)),IND_PER,0))))</f>
        <v/>
      </c>
      <c r="AK1503" s="87" t="str">
        <f aca="false">IF(AH1503="","",IF(COUNTIF(TASA_DESDE,"&lt;="&amp;B1503)=0,INDEX(TASA_EMP,1),INDEX(TASA_EMP,COUNTIF(TASA_DESDE,"&lt;="&amp;B1503))))</f>
        <v/>
      </c>
    </row>
    <row r="1504" customFormat="false" ht="15" hidden="false" customHeight="false" outlineLevel="0" collapsed="false">
      <c r="B1504" s="78"/>
      <c r="C1504" s="64"/>
      <c r="D1504" s="72" t="str">
        <f aca="false">IF(C1504="","",IFERROR(INDEX(T_NOMBRE,MATCH(C1504,T_ID,0)),"⚠ ID no existe"))</f>
        <v/>
      </c>
      <c r="E1504" s="69"/>
      <c r="F1504" s="67"/>
      <c r="G1504" s="67"/>
      <c r="H1504" s="67"/>
      <c r="I1504" s="67"/>
      <c r="J1504" s="67"/>
      <c r="K1504" s="85" t="str">
        <f aca="false">IF(AH1504="","",N(F1504)+N(G1504)+N(H1504)-N(I1504)+N(J1504))</f>
        <v/>
      </c>
      <c r="L1504" s="67"/>
      <c r="M1504" s="67"/>
      <c r="N1504" s="67"/>
      <c r="O1504" s="67"/>
      <c r="P1504" s="85" t="str">
        <f aca="false">IF(AH1504="","",K1504+N(L1504)+N(M1504)+N(N1504)+N(O1504))</f>
        <v/>
      </c>
      <c r="Q1504" s="67"/>
      <c r="R1504" s="67"/>
      <c r="S1504" s="67"/>
      <c r="T1504" s="67"/>
      <c r="U1504" s="67"/>
      <c r="V1504" s="67"/>
      <c r="W1504" s="85" t="str">
        <f aca="false">IF(AH1504="","",N(Q1504)+N(R1504)+N(S1504)+N(T1504)+N(U1504)+N(V1504))</f>
        <v/>
      </c>
      <c r="X1504" s="85" t="str">
        <f aca="false">IF(AH1504="","",P1504-W1504)</f>
        <v/>
      </c>
      <c r="Y1504" s="67"/>
      <c r="Z1504" s="70" t="str">
        <f aca="false">IF(OR(AH1504="",Y1504=""),"",IF(ABS(X1504-Y1504)&lt;=1,"✓ Cuadra","⚠ Diferencia $"&amp;FIXED(X1504-Y1504,0)))</f>
        <v/>
      </c>
      <c r="AA1504" s="72" t="str">
        <f aca="false">IF(AH1504="","",IFERROR(INDEX(C_TIPO,MATCH(C1504&amp;"-P"&amp;MAX(1,COUNTIFS(C_ID,C1504,C_DEFINE,"Sí",C_INICIO,"&lt;="&amp;EOMONTH(B1504,0))),C_CLAVE,0))&amp;"","Sin dato"))</f>
        <v/>
      </c>
      <c r="AB1504" s="71" t="str">
        <f aca="false">IF(AH1504="","",ROUND(MIN(K1504,TOPE_AFP_UF*AJ1504)*AK1504,0))</f>
        <v/>
      </c>
      <c r="AC1504" s="71" t="str">
        <f aca="false">IF(AH1504="","",ROUND(MIN(K1504,TOPE_AFC_UF*AJ1504)*IF(AA1504="Indefinido",AFC_EMP_INDEF,AFC_EMP_PF),0))</f>
        <v/>
      </c>
      <c r="AD1504" s="71" t="str">
        <f aca="false">IF(AH1504="","",ROUND(MIN(K1504,TOPE_AFP_UF*AJ1504)*(MUTUAL_BASICA+MUTUAL_ADIC+SANNA),0))</f>
        <v/>
      </c>
      <c r="AE1504" s="71" t="str">
        <f aca="false">IF(AH1504="","",P1504-N(N1504)+AB1504+AC1504+AD1504)</f>
        <v/>
      </c>
      <c r="AF1504" s="65"/>
      <c r="AG1504" s="64"/>
      <c r="AH1504" s="72" t="str">
        <f aca="false">IF(OR(B1504="",C1504=""),"",C1504&amp;"|"&amp;(YEAR(B1504)*100+MONTH(B1504)))</f>
        <v/>
      </c>
      <c r="AI1504" s="70" t="str">
        <f aca="false">IF(AH1504="","",IF(COUNTIF(L_CLAVE,AH1504)&gt;1,"⚠ Duplicado","OK"))</f>
        <v/>
      </c>
      <c r="AJ1504" s="86" t="str">
        <f aca="false">IF(AH1504="","",IF(SUMPRODUCT(MAX((IND_PER&lt;=B1504)*(IND_UF&lt;&gt;"")*IND_PER))=0,UF_HOY,INDEX(IND_UF,MATCH(SUMPRODUCT(MAX((IND_PER&lt;=B1504)*(IND_UF&lt;&gt;"")*IND_PER)),IND_PER,0))))</f>
        <v/>
      </c>
      <c r="AK1504" s="87" t="str">
        <f aca="false">IF(AH1504="","",IF(COUNTIF(TASA_DESDE,"&lt;="&amp;B1504)=0,INDEX(TASA_EMP,1),INDEX(TASA_EMP,COUNTIF(TASA_DESDE,"&lt;="&amp;B1504))))</f>
        <v/>
      </c>
    </row>
    <row r="1505" customFormat="false" ht="15" hidden="false" customHeight="false" outlineLevel="0" collapsed="false">
      <c r="B1505" s="78"/>
      <c r="C1505" s="64"/>
      <c r="D1505" s="72" t="str">
        <f aca="false">IF(C1505="","",IFERROR(INDEX(T_NOMBRE,MATCH(C1505,T_ID,0)),"⚠ ID no existe"))</f>
        <v/>
      </c>
      <c r="E1505" s="69"/>
      <c r="F1505" s="67"/>
      <c r="G1505" s="67"/>
      <c r="H1505" s="67"/>
      <c r="I1505" s="67"/>
      <c r="J1505" s="67"/>
      <c r="K1505" s="85" t="str">
        <f aca="false">IF(AH1505="","",N(F1505)+N(G1505)+N(H1505)-N(I1505)+N(J1505))</f>
        <v/>
      </c>
      <c r="L1505" s="67"/>
      <c r="M1505" s="67"/>
      <c r="N1505" s="67"/>
      <c r="O1505" s="67"/>
      <c r="P1505" s="85" t="str">
        <f aca="false">IF(AH1505="","",K1505+N(L1505)+N(M1505)+N(N1505)+N(O1505))</f>
        <v/>
      </c>
      <c r="Q1505" s="67"/>
      <c r="R1505" s="67"/>
      <c r="S1505" s="67"/>
      <c r="T1505" s="67"/>
      <c r="U1505" s="67"/>
      <c r="V1505" s="67"/>
      <c r="W1505" s="85" t="str">
        <f aca="false">IF(AH1505="","",N(Q1505)+N(R1505)+N(S1505)+N(T1505)+N(U1505)+N(V1505))</f>
        <v/>
      </c>
      <c r="X1505" s="85" t="str">
        <f aca="false">IF(AH1505="","",P1505-W1505)</f>
        <v/>
      </c>
      <c r="Y1505" s="67"/>
      <c r="Z1505" s="70" t="str">
        <f aca="false">IF(OR(AH1505="",Y1505=""),"",IF(ABS(X1505-Y1505)&lt;=1,"✓ Cuadra","⚠ Diferencia $"&amp;FIXED(X1505-Y1505,0)))</f>
        <v/>
      </c>
      <c r="AA1505" s="72" t="str">
        <f aca="false">IF(AH1505="","",IFERROR(INDEX(C_TIPO,MATCH(C1505&amp;"-P"&amp;MAX(1,COUNTIFS(C_ID,C1505,C_DEFINE,"Sí",C_INICIO,"&lt;="&amp;EOMONTH(B1505,0))),C_CLAVE,0))&amp;"","Sin dato"))</f>
        <v/>
      </c>
      <c r="AB1505" s="71" t="str">
        <f aca="false">IF(AH1505="","",ROUND(MIN(K1505,TOPE_AFP_UF*AJ1505)*AK1505,0))</f>
        <v/>
      </c>
      <c r="AC1505" s="71" t="str">
        <f aca="false">IF(AH1505="","",ROUND(MIN(K1505,TOPE_AFC_UF*AJ1505)*IF(AA1505="Indefinido",AFC_EMP_INDEF,AFC_EMP_PF),0))</f>
        <v/>
      </c>
      <c r="AD1505" s="71" t="str">
        <f aca="false">IF(AH1505="","",ROUND(MIN(K1505,TOPE_AFP_UF*AJ1505)*(MUTUAL_BASICA+MUTUAL_ADIC+SANNA),0))</f>
        <v/>
      </c>
      <c r="AE1505" s="71" t="str">
        <f aca="false">IF(AH1505="","",P1505-N(N1505)+AB1505+AC1505+AD1505)</f>
        <v/>
      </c>
      <c r="AF1505" s="65"/>
      <c r="AG1505" s="64"/>
      <c r="AH1505" s="72" t="str">
        <f aca="false">IF(OR(B1505="",C1505=""),"",C1505&amp;"|"&amp;(YEAR(B1505)*100+MONTH(B1505)))</f>
        <v/>
      </c>
      <c r="AI1505" s="70" t="str">
        <f aca="false">IF(AH1505="","",IF(COUNTIF(L_CLAVE,AH1505)&gt;1,"⚠ Duplicado","OK"))</f>
        <v/>
      </c>
      <c r="AJ1505" s="86" t="str">
        <f aca="false">IF(AH1505="","",IF(SUMPRODUCT(MAX((IND_PER&lt;=B1505)*(IND_UF&lt;&gt;"")*IND_PER))=0,UF_HOY,INDEX(IND_UF,MATCH(SUMPRODUCT(MAX((IND_PER&lt;=B1505)*(IND_UF&lt;&gt;"")*IND_PER)),IND_PER,0))))</f>
        <v/>
      </c>
      <c r="AK1505" s="87" t="str">
        <f aca="false">IF(AH1505="","",IF(COUNTIF(TASA_DESDE,"&lt;="&amp;B1505)=0,INDEX(TASA_EMP,1),INDEX(TASA_EMP,COUNTIF(TASA_DESDE,"&lt;="&amp;B1505))))</f>
        <v/>
      </c>
    </row>
    <row r="1506" customFormat="false" ht="15" hidden="false" customHeight="false" outlineLevel="0" collapsed="false">
      <c r="B1506" s="78"/>
      <c r="C1506" s="64"/>
      <c r="D1506" s="72" t="str">
        <f aca="false">IF(C1506="","",IFERROR(INDEX(T_NOMBRE,MATCH(C1506,T_ID,0)),"⚠ ID no existe"))</f>
        <v/>
      </c>
      <c r="E1506" s="69"/>
      <c r="F1506" s="67"/>
      <c r="G1506" s="67"/>
      <c r="H1506" s="67"/>
      <c r="I1506" s="67"/>
      <c r="J1506" s="67"/>
      <c r="K1506" s="85" t="str">
        <f aca="false">IF(AH1506="","",N(F1506)+N(G1506)+N(H1506)-N(I1506)+N(J1506))</f>
        <v/>
      </c>
      <c r="L1506" s="67"/>
      <c r="M1506" s="67"/>
      <c r="N1506" s="67"/>
      <c r="O1506" s="67"/>
      <c r="P1506" s="85" t="str">
        <f aca="false">IF(AH1506="","",K1506+N(L1506)+N(M1506)+N(N1506)+N(O1506))</f>
        <v/>
      </c>
      <c r="Q1506" s="67"/>
      <c r="R1506" s="67"/>
      <c r="S1506" s="67"/>
      <c r="T1506" s="67"/>
      <c r="U1506" s="67"/>
      <c r="V1506" s="67"/>
      <c r="W1506" s="85" t="str">
        <f aca="false">IF(AH1506="","",N(Q1506)+N(R1506)+N(S1506)+N(T1506)+N(U1506)+N(V1506))</f>
        <v/>
      </c>
      <c r="X1506" s="85" t="str">
        <f aca="false">IF(AH1506="","",P1506-W1506)</f>
        <v/>
      </c>
      <c r="Y1506" s="67"/>
      <c r="Z1506" s="70" t="str">
        <f aca="false">IF(OR(AH1506="",Y1506=""),"",IF(ABS(X1506-Y1506)&lt;=1,"✓ Cuadra","⚠ Diferencia $"&amp;FIXED(X1506-Y1506,0)))</f>
        <v/>
      </c>
      <c r="AA1506" s="72" t="str">
        <f aca="false">IF(AH1506="","",IFERROR(INDEX(C_TIPO,MATCH(C1506&amp;"-P"&amp;MAX(1,COUNTIFS(C_ID,C1506,C_DEFINE,"Sí",C_INICIO,"&lt;="&amp;EOMONTH(B1506,0))),C_CLAVE,0))&amp;"","Sin dato"))</f>
        <v/>
      </c>
      <c r="AB1506" s="71" t="str">
        <f aca="false">IF(AH1506="","",ROUND(MIN(K1506,TOPE_AFP_UF*AJ1506)*AK1506,0))</f>
        <v/>
      </c>
      <c r="AC1506" s="71" t="str">
        <f aca="false">IF(AH1506="","",ROUND(MIN(K1506,TOPE_AFC_UF*AJ1506)*IF(AA1506="Indefinido",AFC_EMP_INDEF,AFC_EMP_PF),0))</f>
        <v/>
      </c>
      <c r="AD1506" s="71" t="str">
        <f aca="false">IF(AH1506="","",ROUND(MIN(K1506,TOPE_AFP_UF*AJ1506)*(MUTUAL_BASICA+MUTUAL_ADIC+SANNA),0))</f>
        <v/>
      </c>
      <c r="AE1506" s="71" t="str">
        <f aca="false">IF(AH1506="","",P1506-N(N1506)+AB1506+AC1506+AD1506)</f>
        <v/>
      </c>
      <c r="AF1506" s="65"/>
      <c r="AG1506" s="64"/>
      <c r="AH1506" s="72" t="str">
        <f aca="false">IF(OR(B1506="",C1506=""),"",C1506&amp;"|"&amp;(YEAR(B1506)*100+MONTH(B1506)))</f>
        <v/>
      </c>
      <c r="AI1506" s="70" t="str">
        <f aca="false">IF(AH1506="","",IF(COUNTIF(L_CLAVE,AH1506)&gt;1,"⚠ Duplicado","OK"))</f>
        <v/>
      </c>
      <c r="AJ1506" s="86" t="str">
        <f aca="false">IF(AH1506="","",IF(SUMPRODUCT(MAX((IND_PER&lt;=B1506)*(IND_UF&lt;&gt;"")*IND_PER))=0,UF_HOY,INDEX(IND_UF,MATCH(SUMPRODUCT(MAX((IND_PER&lt;=B1506)*(IND_UF&lt;&gt;"")*IND_PER)),IND_PER,0))))</f>
        <v/>
      </c>
      <c r="AK1506" s="87" t="str">
        <f aca="false">IF(AH1506="","",IF(COUNTIF(TASA_DESDE,"&lt;="&amp;B1506)=0,INDEX(TASA_EMP,1),INDEX(TASA_EMP,COUNTIF(TASA_DESDE,"&lt;="&amp;B1506))))</f>
        <v/>
      </c>
    </row>
    <row r="1507" customFormat="false" ht="15" hidden="false" customHeight="false" outlineLevel="0" collapsed="false">
      <c r="B1507" s="78"/>
      <c r="C1507" s="64"/>
      <c r="D1507" s="72" t="str">
        <f aca="false">IF(C1507="","",IFERROR(INDEX(T_NOMBRE,MATCH(C1507,T_ID,0)),"⚠ ID no existe"))</f>
        <v/>
      </c>
      <c r="E1507" s="69"/>
      <c r="F1507" s="67"/>
      <c r="G1507" s="67"/>
      <c r="H1507" s="67"/>
      <c r="I1507" s="67"/>
      <c r="J1507" s="67"/>
      <c r="K1507" s="85" t="str">
        <f aca="false">IF(AH1507="","",N(F1507)+N(G1507)+N(H1507)-N(I1507)+N(J1507))</f>
        <v/>
      </c>
      <c r="L1507" s="67"/>
      <c r="M1507" s="67"/>
      <c r="N1507" s="67"/>
      <c r="O1507" s="67"/>
      <c r="P1507" s="85" t="str">
        <f aca="false">IF(AH1507="","",K1507+N(L1507)+N(M1507)+N(N1507)+N(O1507))</f>
        <v/>
      </c>
      <c r="Q1507" s="67"/>
      <c r="R1507" s="67"/>
      <c r="S1507" s="67"/>
      <c r="T1507" s="67"/>
      <c r="U1507" s="67"/>
      <c r="V1507" s="67"/>
      <c r="W1507" s="85" t="str">
        <f aca="false">IF(AH1507="","",N(Q1507)+N(R1507)+N(S1507)+N(T1507)+N(U1507)+N(V1507))</f>
        <v/>
      </c>
      <c r="X1507" s="85" t="str">
        <f aca="false">IF(AH1507="","",P1507-W1507)</f>
        <v/>
      </c>
      <c r="Y1507" s="67"/>
      <c r="Z1507" s="70" t="str">
        <f aca="false">IF(OR(AH1507="",Y1507=""),"",IF(ABS(X1507-Y1507)&lt;=1,"✓ Cuadra","⚠ Diferencia $"&amp;FIXED(X1507-Y1507,0)))</f>
        <v/>
      </c>
      <c r="AA1507" s="72" t="str">
        <f aca="false">IF(AH1507="","",IFERROR(INDEX(C_TIPO,MATCH(C1507&amp;"-P"&amp;MAX(1,COUNTIFS(C_ID,C1507,C_DEFINE,"Sí",C_INICIO,"&lt;="&amp;EOMONTH(B1507,0))),C_CLAVE,0))&amp;"","Sin dato"))</f>
        <v/>
      </c>
      <c r="AB1507" s="71" t="str">
        <f aca="false">IF(AH1507="","",ROUND(MIN(K1507,TOPE_AFP_UF*AJ1507)*AK1507,0))</f>
        <v/>
      </c>
      <c r="AC1507" s="71" t="str">
        <f aca="false">IF(AH1507="","",ROUND(MIN(K1507,TOPE_AFC_UF*AJ1507)*IF(AA1507="Indefinido",AFC_EMP_INDEF,AFC_EMP_PF),0))</f>
        <v/>
      </c>
      <c r="AD1507" s="71" t="str">
        <f aca="false">IF(AH1507="","",ROUND(MIN(K1507,TOPE_AFP_UF*AJ1507)*(MUTUAL_BASICA+MUTUAL_ADIC+SANNA),0))</f>
        <v/>
      </c>
      <c r="AE1507" s="71" t="str">
        <f aca="false">IF(AH1507="","",P1507-N(N1507)+AB1507+AC1507+AD1507)</f>
        <v/>
      </c>
      <c r="AF1507" s="65"/>
      <c r="AG1507" s="64"/>
      <c r="AH1507" s="72" t="str">
        <f aca="false">IF(OR(B1507="",C1507=""),"",C1507&amp;"|"&amp;(YEAR(B1507)*100+MONTH(B1507)))</f>
        <v/>
      </c>
      <c r="AI1507" s="70" t="str">
        <f aca="false">IF(AH1507="","",IF(COUNTIF(L_CLAVE,AH1507)&gt;1,"⚠ Duplicado","OK"))</f>
        <v/>
      </c>
      <c r="AJ1507" s="86" t="str">
        <f aca="false">IF(AH1507="","",IF(SUMPRODUCT(MAX((IND_PER&lt;=B1507)*(IND_UF&lt;&gt;"")*IND_PER))=0,UF_HOY,INDEX(IND_UF,MATCH(SUMPRODUCT(MAX((IND_PER&lt;=B1507)*(IND_UF&lt;&gt;"")*IND_PER)),IND_PER,0))))</f>
        <v/>
      </c>
      <c r="AK1507" s="87" t="str">
        <f aca="false">IF(AH1507="","",IF(COUNTIF(TASA_DESDE,"&lt;="&amp;B1507)=0,INDEX(TASA_EMP,1),INDEX(TASA_EMP,COUNTIF(TASA_DESDE,"&lt;="&amp;B1507))))</f>
        <v/>
      </c>
    </row>
    <row r="1508" customFormat="false" ht="15" hidden="false" customHeight="false" outlineLevel="0" collapsed="false">
      <c r="B1508" s="78"/>
      <c r="C1508" s="64"/>
      <c r="D1508" s="72" t="str">
        <f aca="false">IF(C1508="","",IFERROR(INDEX(T_NOMBRE,MATCH(C1508,T_ID,0)),"⚠ ID no existe"))</f>
        <v/>
      </c>
      <c r="E1508" s="69"/>
      <c r="F1508" s="67"/>
      <c r="G1508" s="67"/>
      <c r="H1508" s="67"/>
      <c r="I1508" s="67"/>
      <c r="J1508" s="67"/>
      <c r="K1508" s="85" t="str">
        <f aca="false">IF(AH1508="","",N(F1508)+N(G1508)+N(H1508)-N(I1508)+N(J1508))</f>
        <v/>
      </c>
      <c r="L1508" s="67"/>
      <c r="M1508" s="67"/>
      <c r="N1508" s="67"/>
      <c r="O1508" s="67"/>
      <c r="P1508" s="85" t="str">
        <f aca="false">IF(AH1508="","",K1508+N(L1508)+N(M1508)+N(N1508)+N(O1508))</f>
        <v/>
      </c>
      <c r="Q1508" s="67"/>
      <c r="R1508" s="67"/>
      <c r="S1508" s="67"/>
      <c r="T1508" s="67"/>
      <c r="U1508" s="67"/>
      <c r="V1508" s="67"/>
      <c r="W1508" s="85" t="str">
        <f aca="false">IF(AH1508="","",N(Q1508)+N(R1508)+N(S1508)+N(T1508)+N(U1508)+N(V1508))</f>
        <v/>
      </c>
      <c r="X1508" s="85" t="str">
        <f aca="false">IF(AH1508="","",P1508-W1508)</f>
        <v/>
      </c>
      <c r="Y1508" s="67"/>
      <c r="Z1508" s="70" t="str">
        <f aca="false">IF(OR(AH1508="",Y1508=""),"",IF(ABS(X1508-Y1508)&lt;=1,"✓ Cuadra","⚠ Diferencia $"&amp;FIXED(X1508-Y1508,0)))</f>
        <v/>
      </c>
      <c r="AA1508" s="72" t="str">
        <f aca="false">IF(AH1508="","",IFERROR(INDEX(C_TIPO,MATCH(C1508&amp;"-P"&amp;MAX(1,COUNTIFS(C_ID,C1508,C_DEFINE,"Sí",C_INICIO,"&lt;="&amp;EOMONTH(B1508,0))),C_CLAVE,0))&amp;"","Sin dato"))</f>
        <v/>
      </c>
      <c r="AB1508" s="71" t="str">
        <f aca="false">IF(AH1508="","",ROUND(MIN(K1508,TOPE_AFP_UF*AJ1508)*AK1508,0))</f>
        <v/>
      </c>
      <c r="AC1508" s="71" t="str">
        <f aca="false">IF(AH1508="","",ROUND(MIN(K1508,TOPE_AFC_UF*AJ1508)*IF(AA1508="Indefinido",AFC_EMP_INDEF,AFC_EMP_PF),0))</f>
        <v/>
      </c>
      <c r="AD1508" s="71" t="str">
        <f aca="false">IF(AH1508="","",ROUND(MIN(K1508,TOPE_AFP_UF*AJ1508)*(MUTUAL_BASICA+MUTUAL_ADIC+SANNA),0))</f>
        <v/>
      </c>
      <c r="AE1508" s="71" t="str">
        <f aca="false">IF(AH1508="","",P1508-N(N1508)+AB1508+AC1508+AD1508)</f>
        <v/>
      </c>
      <c r="AF1508" s="65"/>
      <c r="AG1508" s="64"/>
      <c r="AH1508" s="72" t="str">
        <f aca="false">IF(OR(B1508="",C1508=""),"",C1508&amp;"|"&amp;(YEAR(B1508)*100+MONTH(B1508)))</f>
        <v/>
      </c>
      <c r="AI1508" s="70" t="str">
        <f aca="false">IF(AH1508="","",IF(COUNTIF(L_CLAVE,AH1508)&gt;1,"⚠ Duplicado","OK"))</f>
        <v/>
      </c>
      <c r="AJ1508" s="86" t="str">
        <f aca="false">IF(AH1508="","",IF(SUMPRODUCT(MAX((IND_PER&lt;=B1508)*(IND_UF&lt;&gt;"")*IND_PER))=0,UF_HOY,INDEX(IND_UF,MATCH(SUMPRODUCT(MAX((IND_PER&lt;=B1508)*(IND_UF&lt;&gt;"")*IND_PER)),IND_PER,0))))</f>
        <v/>
      </c>
      <c r="AK1508" s="87" t="str">
        <f aca="false">IF(AH1508="","",IF(COUNTIF(TASA_DESDE,"&lt;="&amp;B1508)=0,INDEX(TASA_EMP,1),INDEX(TASA_EMP,COUNTIF(TASA_DESDE,"&lt;="&amp;B1508))))</f>
        <v/>
      </c>
    </row>
    <row r="1509" customFormat="false" ht="15" hidden="false" customHeight="false" outlineLevel="0" collapsed="false">
      <c r="B1509" s="78"/>
      <c r="C1509" s="64"/>
      <c r="D1509" s="72" t="str">
        <f aca="false">IF(C1509="","",IFERROR(INDEX(T_NOMBRE,MATCH(C1509,T_ID,0)),"⚠ ID no existe"))</f>
        <v/>
      </c>
      <c r="E1509" s="69"/>
      <c r="F1509" s="67"/>
      <c r="G1509" s="67"/>
      <c r="H1509" s="67"/>
      <c r="I1509" s="67"/>
      <c r="J1509" s="67"/>
      <c r="K1509" s="85" t="str">
        <f aca="false">IF(AH1509="","",N(F1509)+N(G1509)+N(H1509)-N(I1509)+N(J1509))</f>
        <v/>
      </c>
      <c r="L1509" s="67"/>
      <c r="M1509" s="67"/>
      <c r="N1509" s="67"/>
      <c r="O1509" s="67"/>
      <c r="P1509" s="85" t="str">
        <f aca="false">IF(AH1509="","",K1509+N(L1509)+N(M1509)+N(N1509)+N(O1509))</f>
        <v/>
      </c>
      <c r="Q1509" s="67"/>
      <c r="R1509" s="67"/>
      <c r="S1509" s="67"/>
      <c r="T1509" s="67"/>
      <c r="U1509" s="67"/>
      <c r="V1509" s="67"/>
      <c r="W1509" s="85" t="str">
        <f aca="false">IF(AH1509="","",N(Q1509)+N(R1509)+N(S1509)+N(T1509)+N(U1509)+N(V1509))</f>
        <v/>
      </c>
      <c r="X1509" s="85" t="str">
        <f aca="false">IF(AH1509="","",P1509-W1509)</f>
        <v/>
      </c>
      <c r="Y1509" s="67"/>
      <c r="Z1509" s="70" t="str">
        <f aca="false">IF(OR(AH1509="",Y1509=""),"",IF(ABS(X1509-Y1509)&lt;=1,"✓ Cuadra","⚠ Diferencia $"&amp;FIXED(X1509-Y1509,0)))</f>
        <v/>
      </c>
      <c r="AA1509" s="72" t="str">
        <f aca="false">IF(AH1509="","",IFERROR(INDEX(C_TIPO,MATCH(C1509&amp;"-P"&amp;MAX(1,COUNTIFS(C_ID,C1509,C_DEFINE,"Sí",C_INICIO,"&lt;="&amp;EOMONTH(B1509,0))),C_CLAVE,0))&amp;"","Sin dato"))</f>
        <v/>
      </c>
      <c r="AB1509" s="71" t="str">
        <f aca="false">IF(AH1509="","",ROUND(MIN(K1509,TOPE_AFP_UF*AJ1509)*AK1509,0))</f>
        <v/>
      </c>
      <c r="AC1509" s="71" t="str">
        <f aca="false">IF(AH1509="","",ROUND(MIN(K1509,TOPE_AFC_UF*AJ1509)*IF(AA1509="Indefinido",AFC_EMP_INDEF,AFC_EMP_PF),0))</f>
        <v/>
      </c>
      <c r="AD1509" s="71" t="str">
        <f aca="false">IF(AH1509="","",ROUND(MIN(K1509,TOPE_AFP_UF*AJ1509)*(MUTUAL_BASICA+MUTUAL_ADIC+SANNA),0))</f>
        <v/>
      </c>
      <c r="AE1509" s="71" t="str">
        <f aca="false">IF(AH1509="","",P1509-N(N1509)+AB1509+AC1509+AD1509)</f>
        <v/>
      </c>
      <c r="AF1509" s="65"/>
      <c r="AG1509" s="64"/>
      <c r="AH1509" s="72" t="str">
        <f aca="false">IF(OR(B1509="",C1509=""),"",C1509&amp;"|"&amp;(YEAR(B1509)*100+MONTH(B1509)))</f>
        <v/>
      </c>
      <c r="AI1509" s="70" t="str">
        <f aca="false">IF(AH1509="","",IF(COUNTIF(L_CLAVE,AH1509)&gt;1,"⚠ Duplicado","OK"))</f>
        <v/>
      </c>
      <c r="AJ1509" s="86" t="str">
        <f aca="false">IF(AH1509="","",IF(SUMPRODUCT(MAX((IND_PER&lt;=B1509)*(IND_UF&lt;&gt;"")*IND_PER))=0,UF_HOY,INDEX(IND_UF,MATCH(SUMPRODUCT(MAX((IND_PER&lt;=B1509)*(IND_UF&lt;&gt;"")*IND_PER)),IND_PER,0))))</f>
        <v/>
      </c>
      <c r="AK1509" s="87" t="str">
        <f aca="false">IF(AH1509="","",IF(COUNTIF(TASA_DESDE,"&lt;="&amp;B1509)=0,INDEX(TASA_EMP,1),INDEX(TASA_EMP,COUNTIF(TASA_DESDE,"&lt;="&amp;B1509))))</f>
        <v/>
      </c>
    </row>
    <row r="1510" customFormat="false" ht="15" hidden="false" customHeight="false" outlineLevel="0" collapsed="false">
      <c r="B1510" s="78"/>
      <c r="C1510" s="64"/>
      <c r="D1510" s="72" t="str">
        <f aca="false">IF(C1510="","",IFERROR(INDEX(T_NOMBRE,MATCH(C1510,T_ID,0)),"⚠ ID no existe"))</f>
        <v/>
      </c>
      <c r="E1510" s="69"/>
      <c r="F1510" s="67"/>
      <c r="G1510" s="67"/>
      <c r="H1510" s="67"/>
      <c r="I1510" s="67"/>
      <c r="J1510" s="67"/>
      <c r="K1510" s="85" t="str">
        <f aca="false">IF(AH1510="","",N(F1510)+N(G1510)+N(H1510)-N(I1510)+N(J1510))</f>
        <v/>
      </c>
      <c r="L1510" s="67"/>
      <c r="M1510" s="67"/>
      <c r="N1510" s="67"/>
      <c r="O1510" s="67"/>
      <c r="P1510" s="85" t="str">
        <f aca="false">IF(AH1510="","",K1510+N(L1510)+N(M1510)+N(N1510)+N(O1510))</f>
        <v/>
      </c>
      <c r="Q1510" s="67"/>
      <c r="R1510" s="67"/>
      <c r="S1510" s="67"/>
      <c r="T1510" s="67"/>
      <c r="U1510" s="67"/>
      <c r="V1510" s="67"/>
      <c r="W1510" s="85" t="str">
        <f aca="false">IF(AH1510="","",N(Q1510)+N(R1510)+N(S1510)+N(T1510)+N(U1510)+N(V1510))</f>
        <v/>
      </c>
      <c r="X1510" s="85" t="str">
        <f aca="false">IF(AH1510="","",P1510-W1510)</f>
        <v/>
      </c>
      <c r="Y1510" s="67"/>
      <c r="Z1510" s="70" t="str">
        <f aca="false">IF(OR(AH1510="",Y1510=""),"",IF(ABS(X1510-Y1510)&lt;=1,"✓ Cuadra","⚠ Diferencia $"&amp;FIXED(X1510-Y1510,0)))</f>
        <v/>
      </c>
      <c r="AA1510" s="72" t="str">
        <f aca="false">IF(AH1510="","",IFERROR(INDEX(C_TIPO,MATCH(C1510&amp;"-P"&amp;MAX(1,COUNTIFS(C_ID,C1510,C_DEFINE,"Sí",C_INICIO,"&lt;="&amp;EOMONTH(B1510,0))),C_CLAVE,0))&amp;"","Sin dato"))</f>
        <v/>
      </c>
      <c r="AB1510" s="71" t="str">
        <f aca="false">IF(AH1510="","",ROUND(MIN(K1510,TOPE_AFP_UF*AJ1510)*AK1510,0))</f>
        <v/>
      </c>
      <c r="AC1510" s="71" t="str">
        <f aca="false">IF(AH1510="","",ROUND(MIN(K1510,TOPE_AFC_UF*AJ1510)*IF(AA1510="Indefinido",AFC_EMP_INDEF,AFC_EMP_PF),0))</f>
        <v/>
      </c>
      <c r="AD1510" s="71" t="str">
        <f aca="false">IF(AH1510="","",ROUND(MIN(K1510,TOPE_AFP_UF*AJ1510)*(MUTUAL_BASICA+MUTUAL_ADIC+SANNA),0))</f>
        <v/>
      </c>
      <c r="AE1510" s="71" t="str">
        <f aca="false">IF(AH1510="","",P1510-N(N1510)+AB1510+AC1510+AD1510)</f>
        <v/>
      </c>
      <c r="AF1510" s="65"/>
      <c r="AG1510" s="64"/>
      <c r="AH1510" s="72" t="str">
        <f aca="false">IF(OR(B1510="",C1510=""),"",C1510&amp;"|"&amp;(YEAR(B1510)*100+MONTH(B1510)))</f>
        <v/>
      </c>
      <c r="AI1510" s="70" t="str">
        <f aca="false">IF(AH1510="","",IF(COUNTIF(L_CLAVE,AH1510)&gt;1,"⚠ Duplicado","OK"))</f>
        <v/>
      </c>
      <c r="AJ1510" s="86" t="str">
        <f aca="false">IF(AH1510="","",IF(SUMPRODUCT(MAX((IND_PER&lt;=B1510)*(IND_UF&lt;&gt;"")*IND_PER))=0,UF_HOY,INDEX(IND_UF,MATCH(SUMPRODUCT(MAX((IND_PER&lt;=B1510)*(IND_UF&lt;&gt;"")*IND_PER)),IND_PER,0))))</f>
        <v/>
      </c>
      <c r="AK1510" s="87" t="str">
        <f aca="false">IF(AH1510="","",IF(COUNTIF(TASA_DESDE,"&lt;="&amp;B1510)=0,INDEX(TASA_EMP,1),INDEX(TASA_EMP,COUNTIF(TASA_DESDE,"&lt;="&amp;B1510))))</f>
        <v/>
      </c>
    </row>
    <row r="1511" customFormat="false" ht="15" hidden="false" customHeight="false" outlineLevel="0" collapsed="false">
      <c r="B1511" s="78"/>
      <c r="C1511" s="64"/>
      <c r="D1511" s="72" t="str">
        <f aca="false">IF(C1511="","",IFERROR(INDEX(T_NOMBRE,MATCH(C1511,T_ID,0)),"⚠ ID no existe"))</f>
        <v/>
      </c>
      <c r="E1511" s="69"/>
      <c r="F1511" s="67"/>
      <c r="G1511" s="67"/>
      <c r="H1511" s="67"/>
      <c r="I1511" s="67"/>
      <c r="J1511" s="67"/>
      <c r="K1511" s="85" t="str">
        <f aca="false">IF(AH1511="","",N(F1511)+N(G1511)+N(H1511)-N(I1511)+N(J1511))</f>
        <v/>
      </c>
      <c r="L1511" s="67"/>
      <c r="M1511" s="67"/>
      <c r="N1511" s="67"/>
      <c r="O1511" s="67"/>
      <c r="P1511" s="85" t="str">
        <f aca="false">IF(AH1511="","",K1511+N(L1511)+N(M1511)+N(N1511)+N(O1511))</f>
        <v/>
      </c>
      <c r="Q1511" s="67"/>
      <c r="R1511" s="67"/>
      <c r="S1511" s="67"/>
      <c r="T1511" s="67"/>
      <c r="U1511" s="67"/>
      <c r="V1511" s="67"/>
      <c r="W1511" s="85" t="str">
        <f aca="false">IF(AH1511="","",N(Q1511)+N(R1511)+N(S1511)+N(T1511)+N(U1511)+N(V1511))</f>
        <v/>
      </c>
      <c r="X1511" s="85" t="str">
        <f aca="false">IF(AH1511="","",P1511-W1511)</f>
        <v/>
      </c>
      <c r="Y1511" s="67"/>
      <c r="Z1511" s="70" t="str">
        <f aca="false">IF(OR(AH1511="",Y1511=""),"",IF(ABS(X1511-Y1511)&lt;=1,"✓ Cuadra","⚠ Diferencia $"&amp;FIXED(X1511-Y1511,0)))</f>
        <v/>
      </c>
      <c r="AA1511" s="72" t="str">
        <f aca="false">IF(AH1511="","",IFERROR(INDEX(C_TIPO,MATCH(C1511&amp;"-P"&amp;MAX(1,COUNTIFS(C_ID,C1511,C_DEFINE,"Sí",C_INICIO,"&lt;="&amp;EOMONTH(B1511,0))),C_CLAVE,0))&amp;"","Sin dato"))</f>
        <v/>
      </c>
      <c r="AB1511" s="71" t="str">
        <f aca="false">IF(AH1511="","",ROUND(MIN(K1511,TOPE_AFP_UF*AJ1511)*AK1511,0))</f>
        <v/>
      </c>
      <c r="AC1511" s="71" t="str">
        <f aca="false">IF(AH1511="","",ROUND(MIN(K1511,TOPE_AFC_UF*AJ1511)*IF(AA1511="Indefinido",AFC_EMP_INDEF,AFC_EMP_PF),0))</f>
        <v/>
      </c>
      <c r="AD1511" s="71" t="str">
        <f aca="false">IF(AH1511="","",ROUND(MIN(K1511,TOPE_AFP_UF*AJ1511)*(MUTUAL_BASICA+MUTUAL_ADIC+SANNA),0))</f>
        <v/>
      </c>
      <c r="AE1511" s="71" t="str">
        <f aca="false">IF(AH1511="","",P1511-N(N1511)+AB1511+AC1511+AD1511)</f>
        <v/>
      </c>
      <c r="AF1511" s="65"/>
      <c r="AG1511" s="64"/>
      <c r="AH1511" s="72" t="str">
        <f aca="false">IF(OR(B1511="",C1511=""),"",C1511&amp;"|"&amp;(YEAR(B1511)*100+MONTH(B1511)))</f>
        <v/>
      </c>
      <c r="AI1511" s="70" t="str">
        <f aca="false">IF(AH1511="","",IF(COUNTIF(L_CLAVE,AH1511)&gt;1,"⚠ Duplicado","OK"))</f>
        <v/>
      </c>
      <c r="AJ1511" s="86" t="str">
        <f aca="false">IF(AH1511="","",IF(SUMPRODUCT(MAX((IND_PER&lt;=B1511)*(IND_UF&lt;&gt;"")*IND_PER))=0,UF_HOY,INDEX(IND_UF,MATCH(SUMPRODUCT(MAX((IND_PER&lt;=B1511)*(IND_UF&lt;&gt;"")*IND_PER)),IND_PER,0))))</f>
        <v/>
      </c>
      <c r="AK1511" s="87" t="str">
        <f aca="false">IF(AH1511="","",IF(COUNTIF(TASA_DESDE,"&lt;="&amp;B1511)=0,INDEX(TASA_EMP,1),INDEX(TASA_EMP,COUNTIF(TASA_DESDE,"&lt;="&amp;B1511))))</f>
        <v/>
      </c>
    </row>
    <row r="1512" customFormat="false" ht="15" hidden="false" customHeight="false" outlineLevel="0" collapsed="false">
      <c r="B1512" s="78"/>
      <c r="C1512" s="64"/>
      <c r="D1512" s="72" t="str">
        <f aca="false">IF(C1512="","",IFERROR(INDEX(T_NOMBRE,MATCH(C1512,T_ID,0)),"⚠ ID no existe"))</f>
        <v/>
      </c>
      <c r="E1512" s="69"/>
      <c r="F1512" s="67"/>
      <c r="G1512" s="67"/>
      <c r="H1512" s="67"/>
      <c r="I1512" s="67"/>
      <c r="J1512" s="67"/>
      <c r="K1512" s="85" t="str">
        <f aca="false">IF(AH1512="","",N(F1512)+N(G1512)+N(H1512)-N(I1512)+N(J1512))</f>
        <v/>
      </c>
      <c r="L1512" s="67"/>
      <c r="M1512" s="67"/>
      <c r="N1512" s="67"/>
      <c r="O1512" s="67"/>
      <c r="P1512" s="85" t="str">
        <f aca="false">IF(AH1512="","",K1512+N(L1512)+N(M1512)+N(N1512)+N(O1512))</f>
        <v/>
      </c>
      <c r="Q1512" s="67"/>
      <c r="R1512" s="67"/>
      <c r="S1512" s="67"/>
      <c r="T1512" s="67"/>
      <c r="U1512" s="67"/>
      <c r="V1512" s="67"/>
      <c r="W1512" s="85" t="str">
        <f aca="false">IF(AH1512="","",N(Q1512)+N(R1512)+N(S1512)+N(T1512)+N(U1512)+N(V1512))</f>
        <v/>
      </c>
      <c r="X1512" s="85" t="str">
        <f aca="false">IF(AH1512="","",P1512-W1512)</f>
        <v/>
      </c>
      <c r="Y1512" s="67"/>
      <c r="Z1512" s="70" t="str">
        <f aca="false">IF(OR(AH1512="",Y1512=""),"",IF(ABS(X1512-Y1512)&lt;=1,"✓ Cuadra","⚠ Diferencia $"&amp;FIXED(X1512-Y1512,0)))</f>
        <v/>
      </c>
      <c r="AA1512" s="72" t="str">
        <f aca="false">IF(AH1512="","",IFERROR(INDEX(C_TIPO,MATCH(C1512&amp;"-P"&amp;MAX(1,COUNTIFS(C_ID,C1512,C_DEFINE,"Sí",C_INICIO,"&lt;="&amp;EOMONTH(B1512,0))),C_CLAVE,0))&amp;"","Sin dato"))</f>
        <v/>
      </c>
      <c r="AB1512" s="71" t="str">
        <f aca="false">IF(AH1512="","",ROUND(MIN(K1512,TOPE_AFP_UF*AJ1512)*AK1512,0))</f>
        <v/>
      </c>
      <c r="AC1512" s="71" t="str">
        <f aca="false">IF(AH1512="","",ROUND(MIN(K1512,TOPE_AFC_UF*AJ1512)*IF(AA1512="Indefinido",AFC_EMP_INDEF,AFC_EMP_PF),0))</f>
        <v/>
      </c>
      <c r="AD1512" s="71" t="str">
        <f aca="false">IF(AH1512="","",ROUND(MIN(K1512,TOPE_AFP_UF*AJ1512)*(MUTUAL_BASICA+MUTUAL_ADIC+SANNA),0))</f>
        <v/>
      </c>
      <c r="AE1512" s="71" t="str">
        <f aca="false">IF(AH1512="","",P1512-N(N1512)+AB1512+AC1512+AD1512)</f>
        <v/>
      </c>
      <c r="AF1512" s="65"/>
      <c r="AG1512" s="64"/>
      <c r="AH1512" s="72" t="str">
        <f aca="false">IF(OR(B1512="",C1512=""),"",C1512&amp;"|"&amp;(YEAR(B1512)*100+MONTH(B1512)))</f>
        <v/>
      </c>
      <c r="AI1512" s="70" t="str">
        <f aca="false">IF(AH1512="","",IF(COUNTIF(L_CLAVE,AH1512)&gt;1,"⚠ Duplicado","OK"))</f>
        <v/>
      </c>
      <c r="AJ1512" s="86" t="str">
        <f aca="false">IF(AH1512="","",IF(SUMPRODUCT(MAX((IND_PER&lt;=B1512)*(IND_UF&lt;&gt;"")*IND_PER))=0,UF_HOY,INDEX(IND_UF,MATCH(SUMPRODUCT(MAX((IND_PER&lt;=B1512)*(IND_UF&lt;&gt;"")*IND_PER)),IND_PER,0))))</f>
        <v/>
      </c>
      <c r="AK1512" s="87" t="str">
        <f aca="false">IF(AH1512="","",IF(COUNTIF(TASA_DESDE,"&lt;="&amp;B1512)=0,INDEX(TASA_EMP,1),INDEX(TASA_EMP,COUNTIF(TASA_DESDE,"&lt;="&amp;B1512))))</f>
        <v/>
      </c>
    </row>
    <row r="1513" customFormat="false" ht="15" hidden="false" customHeight="false" outlineLevel="0" collapsed="false">
      <c r="B1513" s="78"/>
      <c r="C1513" s="64"/>
      <c r="D1513" s="72" t="str">
        <f aca="false">IF(C1513="","",IFERROR(INDEX(T_NOMBRE,MATCH(C1513,T_ID,0)),"⚠ ID no existe"))</f>
        <v/>
      </c>
      <c r="E1513" s="69"/>
      <c r="F1513" s="67"/>
      <c r="G1513" s="67"/>
      <c r="H1513" s="67"/>
      <c r="I1513" s="67"/>
      <c r="J1513" s="67"/>
      <c r="K1513" s="85" t="str">
        <f aca="false">IF(AH1513="","",N(F1513)+N(G1513)+N(H1513)-N(I1513)+N(J1513))</f>
        <v/>
      </c>
      <c r="L1513" s="67"/>
      <c r="M1513" s="67"/>
      <c r="N1513" s="67"/>
      <c r="O1513" s="67"/>
      <c r="P1513" s="85" t="str">
        <f aca="false">IF(AH1513="","",K1513+N(L1513)+N(M1513)+N(N1513)+N(O1513))</f>
        <v/>
      </c>
      <c r="Q1513" s="67"/>
      <c r="R1513" s="67"/>
      <c r="S1513" s="67"/>
      <c r="T1513" s="67"/>
      <c r="U1513" s="67"/>
      <c r="V1513" s="67"/>
      <c r="W1513" s="85" t="str">
        <f aca="false">IF(AH1513="","",N(Q1513)+N(R1513)+N(S1513)+N(T1513)+N(U1513)+N(V1513))</f>
        <v/>
      </c>
      <c r="X1513" s="85" t="str">
        <f aca="false">IF(AH1513="","",P1513-W1513)</f>
        <v/>
      </c>
      <c r="Y1513" s="67"/>
      <c r="Z1513" s="70" t="str">
        <f aca="false">IF(OR(AH1513="",Y1513=""),"",IF(ABS(X1513-Y1513)&lt;=1,"✓ Cuadra","⚠ Diferencia $"&amp;FIXED(X1513-Y1513,0)))</f>
        <v/>
      </c>
      <c r="AA1513" s="72" t="str">
        <f aca="false">IF(AH1513="","",IFERROR(INDEX(C_TIPO,MATCH(C1513&amp;"-P"&amp;MAX(1,COUNTIFS(C_ID,C1513,C_DEFINE,"Sí",C_INICIO,"&lt;="&amp;EOMONTH(B1513,0))),C_CLAVE,0))&amp;"","Sin dato"))</f>
        <v/>
      </c>
      <c r="AB1513" s="71" t="str">
        <f aca="false">IF(AH1513="","",ROUND(MIN(K1513,TOPE_AFP_UF*AJ1513)*AK1513,0))</f>
        <v/>
      </c>
      <c r="AC1513" s="71" t="str">
        <f aca="false">IF(AH1513="","",ROUND(MIN(K1513,TOPE_AFC_UF*AJ1513)*IF(AA1513="Indefinido",AFC_EMP_INDEF,AFC_EMP_PF),0))</f>
        <v/>
      </c>
      <c r="AD1513" s="71" t="str">
        <f aca="false">IF(AH1513="","",ROUND(MIN(K1513,TOPE_AFP_UF*AJ1513)*(MUTUAL_BASICA+MUTUAL_ADIC+SANNA),0))</f>
        <v/>
      </c>
      <c r="AE1513" s="71" t="str">
        <f aca="false">IF(AH1513="","",P1513-N(N1513)+AB1513+AC1513+AD1513)</f>
        <v/>
      </c>
      <c r="AF1513" s="65"/>
      <c r="AG1513" s="64"/>
      <c r="AH1513" s="72" t="str">
        <f aca="false">IF(OR(B1513="",C1513=""),"",C1513&amp;"|"&amp;(YEAR(B1513)*100+MONTH(B1513)))</f>
        <v/>
      </c>
      <c r="AI1513" s="70" t="str">
        <f aca="false">IF(AH1513="","",IF(COUNTIF(L_CLAVE,AH1513)&gt;1,"⚠ Duplicado","OK"))</f>
        <v/>
      </c>
      <c r="AJ1513" s="86" t="str">
        <f aca="false">IF(AH1513="","",IF(SUMPRODUCT(MAX((IND_PER&lt;=B1513)*(IND_UF&lt;&gt;"")*IND_PER))=0,UF_HOY,INDEX(IND_UF,MATCH(SUMPRODUCT(MAX((IND_PER&lt;=B1513)*(IND_UF&lt;&gt;"")*IND_PER)),IND_PER,0))))</f>
        <v/>
      </c>
      <c r="AK1513" s="87" t="str">
        <f aca="false">IF(AH1513="","",IF(COUNTIF(TASA_DESDE,"&lt;="&amp;B1513)=0,INDEX(TASA_EMP,1),INDEX(TASA_EMP,COUNTIF(TASA_DESDE,"&lt;="&amp;B1513))))</f>
        <v/>
      </c>
    </row>
    <row r="1514" customFormat="false" ht="15" hidden="false" customHeight="false" outlineLevel="0" collapsed="false">
      <c r="B1514" s="78"/>
      <c r="C1514" s="64"/>
      <c r="D1514" s="72" t="str">
        <f aca="false">IF(C1514="","",IFERROR(INDEX(T_NOMBRE,MATCH(C1514,T_ID,0)),"⚠ ID no existe"))</f>
        <v/>
      </c>
      <c r="E1514" s="69"/>
      <c r="F1514" s="67"/>
      <c r="G1514" s="67"/>
      <c r="H1514" s="67"/>
      <c r="I1514" s="67"/>
      <c r="J1514" s="67"/>
      <c r="K1514" s="85" t="str">
        <f aca="false">IF(AH1514="","",N(F1514)+N(G1514)+N(H1514)-N(I1514)+N(J1514))</f>
        <v/>
      </c>
      <c r="L1514" s="67"/>
      <c r="M1514" s="67"/>
      <c r="N1514" s="67"/>
      <c r="O1514" s="67"/>
      <c r="P1514" s="85" t="str">
        <f aca="false">IF(AH1514="","",K1514+N(L1514)+N(M1514)+N(N1514)+N(O1514))</f>
        <v/>
      </c>
      <c r="Q1514" s="67"/>
      <c r="R1514" s="67"/>
      <c r="S1514" s="67"/>
      <c r="T1514" s="67"/>
      <c r="U1514" s="67"/>
      <c r="V1514" s="67"/>
      <c r="W1514" s="85" t="str">
        <f aca="false">IF(AH1514="","",N(Q1514)+N(R1514)+N(S1514)+N(T1514)+N(U1514)+N(V1514))</f>
        <v/>
      </c>
      <c r="X1514" s="85" t="str">
        <f aca="false">IF(AH1514="","",P1514-W1514)</f>
        <v/>
      </c>
      <c r="Y1514" s="67"/>
      <c r="Z1514" s="70" t="str">
        <f aca="false">IF(OR(AH1514="",Y1514=""),"",IF(ABS(X1514-Y1514)&lt;=1,"✓ Cuadra","⚠ Diferencia $"&amp;FIXED(X1514-Y1514,0)))</f>
        <v/>
      </c>
      <c r="AA1514" s="72" t="str">
        <f aca="false">IF(AH1514="","",IFERROR(INDEX(C_TIPO,MATCH(C1514&amp;"-P"&amp;MAX(1,COUNTIFS(C_ID,C1514,C_DEFINE,"Sí",C_INICIO,"&lt;="&amp;EOMONTH(B1514,0))),C_CLAVE,0))&amp;"","Sin dato"))</f>
        <v/>
      </c>
      <c r="AB1514" s="71" t="str">
        <f aca="false">IF(AH1514="","",ROUND(MIN(K1514,TOPE_AFP_UF*AJ1514)*AK1514,0))</f>
        <v/>
      </c>
      <c r="AC1514" s="71" t="str">
        <f aca="false">IF(AH1514="","",ROUND(MIN(K1514,TOPE_AFC_UF*AJ1514)*IF(AA1514="Indefinido",AFC_EMP_INDEF,AFC_EMP_PF),0))</f>
        <v/>
      </c>
      <c r="AD1514" s="71" t="str">
        <f aca="false">IF(AH1514="","",ROUND(MIN(K1514,TOPE_AFP_UF*AJ1514)*(MUTUAL_BASICA+MUTUAL_ADIC+SANNA),0))</f>
        <v/>
      </c>
      <c r="AE1514" s="71" t="str">
        <f aca="false">IF(AH1514="","",P1514-N(N1514)+AB1514+AC1514+AD1514)</f>
        <v/>
      </c>
      <c r="AF1514" s="65"/>
      <c r="AG1514" s="64"/>
      <c r="AH1514" s="72" t="str">
        <f aca="false">IF(OR(B1514="",C1514=""),"",C1514&amp;"|"&amp;(YEAR(B1514)*100+MONTH(B1514)))</f>
        <v/>
      </c>
      <c r="AI1514" s="70" t="str">
        <f aca="false">IF(AH1514="","",IF(COUNTIF(L_CLAVE,AH1514)&gt;1,"⚠ Duplicado","OK"))</f>
        <v/>
      </c>
      <c r="AJ1514" s="86" t="str">
        <f aca="false">IF(AH1514="","",IF(SUMPRODUCT(MAX((IND_PER&lt;=B1514)*(IND_UF&lt;&gt;"")*IND_PER))=0,UF_HOY,INDEX(IND_UF,MATCH(SUMPRODUCT(MAX((IND_PER&lt;=B1514)*(IND_UF&lt;&gt;"")*IND_PER)),IND_PER,0))))</f>
        <v/>
      </c>
      <c r="AK1514" s="87" t="str">
        <f aca="false">IF(AH1514="","",IF(COUNTIF(TASA_DESDE,"&lt;="&amp;B1514)=0,INDEX(TASA_EMP,1),INDEX(TASA_EMP,COUNTIF(TASA_DESDE,"&lt;="&amp;B1514))))</f>
        <v/>
      </c>
    </row>
    <row r="1515" customFormat="false" ht="15" hidden="false" customHeight="false" outlineLevel="0" collapsed="false">
      <c r="B1515" s="78"/>
      <c r="C1515" s="64"/>
      <c r="D1515" s="72" t="str">
        <f aca="false">IF(C1515="","",IFERROR(INDEX(T_NOMBRE,MATCH(C1515,T_ID,0)),"⚠ ID no existe"))</f>
        <v/>
      </c>
      <c r="E1515" s="69"/>
      <c r="F1515" s="67"/>
      <c r="G1515" s="67"/>
      <c r="H1515" s="67"/>
      <c r="I1515" s="67"/>
      <c r="J1515" s="67"/>
      <c r="K1515" s="85" t="str">
        <f aca="false">IF(AH1515="","",N(F1515)+N(G1515)+N(H1515)-N(I1515)+N(J1515))</f>
        <v/>
      </c>
      <c r="L1515" s="67"/>
      <c r="M1515" s="67"/>
      <c r="N1515" s="67"/>
      <c r="O1515" s="67"/>
      <c r="P1515" s="85" t="str">
        <f aca="false">IF(AH1515="","",K1515+N(L1515)+N(M1515)+N(N1515)+N(O1515))</f>
        <v/>
      </c>
      <c r="Q1515" s="67"/>
      <c r="R1515" s="67"/>
      <c r="S1515" s="67"/>
      <c r="T1515" s="67"/>
      <c r="U1515" s="67"/>
      <c r="V1515" s="67"/>
      <c r="W1515" s="85" t="str">
        <f aca="false">IF(AH1515="","",N(Q1515)+N(R1515)+N(S1515)+N(T1515)+N(U1515)+N(V1515))</f>
        <v/>
      </c>
      <c r="X1515" s="85" t="str">
        <f aca="false">IF(AH1515="","",P1515-W1515)</f>
        <v/>
      </c>
      <c r="Y1515" s="67"/>
      <c r="Z1515" s="70" t="str">
        <f aca="false">IF(OR(AH1515="",Y1515=""),"",IF(ABS(X1515-Y1515)&lt;=1,"✓ Cuadra","⚠ Diferencia $"&amp;FIXED(X1515-Y1515,0)))</f>
        <v/>
      </c>
      <c r="AA1515" s="72" t="str">
        <f aca="false">IF(AH1515="","",IFERROR(INDEX(C_TIPO,MATCH(C1515&amp;"-P"&amp;MAX(1,COUNTIFS(C_ID,C1515,C_DEFINE,"Sí",C_INICIO,"&lt;="&amp;EOMONTH(B1515,0))),C_CLAVE,0))&amp;"","Sin dato"))</f>
        <v/>
      </c>
      <c r="AB1515" s="71" t="str">
        <f aca="false">IF(AH1515="","",ROUND(MIN(K1515,TOPE_AFP_UF*AJ1515)*AK1515,0))</f>
        <v/>
      </c>
      <c r="AC1515" s="71" t="str">
        <f aca="false">IF(AH1515="","",ROUND(MIN(K1515,TOPE_AFC_UF*AJ1515)*IF(AA1515="Indefinido",AFC_EMP_INDEF,AFC_EMP_PF),0))</f>
        <v/>
      </c>
      <c r="AD1515" s="71" t="str">
        <f aca="false">IF(AH1515="","",ROUND(MIN(K1515,TOPE_AFP_UF*AJ1515)*(MUTUAL_BASICA+MUTUAL_ADIC+SANNA),0))</f>
        <v/>
      </c>
      <c r="AE1515" s="71" t="str">
        <f aca="false">IF(AH1515="","",P1515-N(N1515)+AB1515+AC1515+AD1515)</f>
        <v/>
      </c>
      <c r="AF1515" s="65"/>
      <c r="AG1515" s="64"/>
      <c r="AH1515" s="72" t="str">
        <f aca="false">IF(OR(B1515="",C1515=""),"",C1515&amp;"|"&amp;(YEAR(B1515)*100+MONTH(B1515)))</f>
        <v/>
      </c>
      <c r="AI1515" s="70" t="str">
        <f aca="false">IF(AH1515="","",IF(COUNTIF(L_CLAVE,AH1515)&gt;1,"⚠ Duplicado","OK"))</f>
        <v/>
      </c>
      <c r="AJ1515" s="86" t="str">
        <f aca="false">IF(AH1515="","",IF(SUMPRODUCT(MAX((IND_PER&lt;=B1515)*(IND_UF&lt;&gt;"")*IND_PER))=0,UF_HOY,INDEX(IND_UF,MATCH(SUMPRODUCT(MAX((IND_PER&lt;=B1515)*(IND_UF&lt;&gt;"")*IND_PER)),IND_PER,0))))</f>
        <v/>
      </c>
      <c r="AK1515" s="87" t="str">
        <f aca="false">IF(AH1515="","",IF(COUNTIF(TASA_DESDE,"&lt;="&amp;B1515)=0,INDEX(TASA_EMP,1),INDEX(TASA_EMP,COUNTIF(TASA_DESDE,"&lt;="&amp;B1515))))</f>
        <v/>
      </c>
    </row>
    <row r="1516" customFormat="false" ht="15" hidden="false" customHeight="false" outlineLevel="0" collapsed="false">
      <c r="B1516" s="78"/>
      <c r="C1516" s="64"/>
      <c r="D1516" s="72" t="str">
        <f aca="false">IF(C1516="","",IFERROR(INDEX(T_NOMBRE,MATCH(C1516,T_ID,0)),"⚠ ID no existe"))</f>
        <v/>
      </c>
      <c r="E1516" s="69"/>
      <c r="F1516" s="67"/>
      <c r="G1516" s="67"/>
      <c r="H1516" s="67"/>
      <c r="I1516" s="67"/>
      <c r="J1516" s="67"/>
      <c r="K1516" s="85" t="str">
        <f aca="false">IF(AH1516="","",N(F1516)+N(G1516)+N(H1516)-N(I1516)+N(J1516))</f>
        <v/>
      </c>
      <c r="L1516" s="67"/>
      <c r="M1516" s="67"/>
      <c r="N1516" s="67"/>
      <c r="O1516" s="67"/>
      <c r="P1516" s="85" t="str">
        <f aca="false">IF(AH1516="","",K1516+N(L1516)+N(M1516)+N(N1516)+N(O1516))</f>
        <v/>
      </c>
      <c r="Q1516" s="67"/>
      <c r="R1516" s="67"/>
      <c r="S1516" s="67"/>
      <c r="T1516" s="67"/>
      <c r="U1516" s="67"/>
      <c r="V1516" s="67"/>
      <c r="W1516" s="85" t="str">
        <f aca="false">IF(AH1516="","",N(Q1516)+N(R1516)+N(S1516)+N(T1516)+N(U1516)+N(V1516))</f>
        <v/>
      </c>
      <c r="X1516" s="85" t="str">
        <f aca="false">IF(AH1516="","",P1516-W1516)</f>
        <v/>
      </c>
      <c r="Y1516" s="67"/>
      <c r="Z1516" s="70" t="str">
        <f aca="false">IF(OR(AH1516="",Y1516=""),"",IF(ABS(X1516-Y1516)&lt;=1,"✓ Cuadra","⚠ Diferencia $"&amp;FIXED(X1516-Y1516,0)))</f>
        <v/>
      </c>
      <c r="AA1516" s="72" t="str">
        <f aca="false">IF(AH1516="","",IFERROR(INDEX(C_TIPO,MATCH(C1516&amp;"-P"&amp;MAX(1,COUNTIFS(C_ID,C1516,C_DEFINE,"Sí",C_INICIO,"&lt;="&amp;EOMONTH(B1516,0))),C_CLAVE,0))&amp;"","Sin dato"))</f>
        <v/>
      </c>
      <c r="AB1516" s="71" t="str">
        <f aca="false">IF(AH1516="","",ROUND(MIN(K1516,TOPE_AFP_UF*AJ1516)*AK1516,0))</f>
        <v/>
      </c>
      <c r="AC1516" s="71" t="str">
        <f aca="false">IF(AH1516="","",ROUND(MIN(K1516,TOPE_AFC_UF*AJ1516)*IF(AA1516="Indefinido",AFC_EMP_INDEF,AFC_EMP_PF),0))</f>
        <v/>
      </c>
      <c r="AD1516" s="71" t="str">
        <f aca="false">IF(AH1516="","",ROUND(MIN(K1516,TOPE_AFP_UF*AJ1516)*(MUTUAL_BASICA+MUTUAL_ADIC+SANNA),0))</f>
        <v/>
      </c>
      <c r="AE1516" s="71" t="str">
        <f aca="false">IF(AH1516="","",P1516-N(N1516)+AB1516+AC1516+AD1516)</f>
        <v/>
      </c>
      <c r="AF1516" s="65"/>
      <c r="AG1516" s="64"/>
      <c r="AH1516" s="72" t="str">
        <f aca="false">IF(OR(B1516="",C1516=""),"",C1516&amp;"|"&amp;(YEAR(B1516)*100+MONTH(B1516)))</f>
        <v/>
      </c>
      <c r="AI1516" s="70" t="str">
        <f aca="false">IF(AH1516="","",IF(COUNTIF(L_CLAVE,AH1516)&gt;1,"⚠ Duplicado","OK"))</f>
        <v/>
      </c>
      <c r="AJ1516" s="86" t="str">
        <f aca="false">IF(AH1516="","",IF(SUMPRODUCT(MAX((IND_PER&lt;=B1516)*(IND_UF&lt;&gt;"")*IND_PER))=0,UF_HOY,INDEX(IND_UF,MATCH(SUMPRODUCT(MAX((IND_PER&lt;=B1516)*(IND_UF&lt;&gt;"")*IND_PER)),IND_PER,0))))</f>
        <v/>
      </c>
      <c r="AK1516" s="87" t="str">
        <f aca="false">IF(AH1516="","",IF(COUNTIF(TASA_DESDE,"&lt;="&amp;B1516)=0,INDEX(TASA_EMP,1),INDEX(TASA_EMP,COUNTIF(TASA_DESDE,"&lt;="&amp;B1516))))</f>
        <v/>
      </c>
    </row>
    <row r="1517" customFormat="false" ht="15" hidden="false" customHeight="false" outlineLevel="0" collapsed="false">
      <c r="B1517" s="78"/>
      <c r="C1517" s="64"/>
      <c r="D1517" s="72" t="str">
        <f aca="false">IF(C1517="","",IFERROR(INDEX(T_NOMBRE,MATCH(C1517,T_ID,0)),"⚠ ID no existe"))</f>
        <v/>
      </c>
      <c r="E1517" s="69"/>
      <c r="F1517" s="67"/>
      <c r="G1517" s="67"/>
      <c r="H1517" s="67"/>
      <c r="I1517" s="67"/>
      <c r="J1517" s="67"/>
      <c r="K1517" s="85" t="str">
        <f aca="false">IF(AH1517="","",N(F1517)+N(G1517)+N(H1517)-N(I1517)+N(J1517))</f>
        <v/>
      </c>
      <c r="L1517" s="67"/>
      <c r="M1517" s="67"/>
      <c r="N1517" s="67"/>
      <c r="O1517" s="67"/>
      <c r="P1517" s="85" t="str">
        <f aca="false">IF(AH1517="","",K1517+N(L1517)+N(M1517)+N(N1517)+N(O1517))</f>
        <v/>
      </c>
      <c r="Q1517" s="67"/>
      <c r="R1517" s="67"/>
      <c r="S1517" s="67"/>
      <c r="T1517" s="67"/>
      <c r="U1517" s="67"/>
      <c r="V1517" s="67"/>
      <c r="W1517" s="85" t="str">
        <f aca="false">IF(AH1517="","",N(Q1517)+N(R1517)+N(S1517)+N(T1517)+N(U1517)+N(V1517))</f>
        <v/>
      </c>
      <c r="X1517" s="85" t="str">
        <f aca="false">IF(AH1517="","",P1517-W1517)</f>
        <v/>
      </c>
      <c r="Y1517" s="67"/>
      <c r="Z1517" s="70" t="str">
        <f aca="false">IF(OR(AH1517="",Y1517=""),"",IF(ABS(X1517-Y1517)&lt;=1,"✓ Cuadra","⚠ Diferencia $"&amp;FIXED(X1517-Y1517,0)))</f>
        <v/>
      </c>
      <c r="AA1517" s="72" t="str">
        <f aca="false">IF(AH1517="","",IFERROR(INDEX(C_TIPO,MATCH(C1517&amp;"-P"&amp;MAX(1,COUNTIFS(C_ID,C1517,C_DEFINE,"Sí",C_INICIO,"&lt;="&amp;EOMONTH(B1517,0))),C_CLAVE,0))&amp;"","Sin dato"))</f>
        <v/>
      </c>
      <c r="AB1517" s="71" t="str">
        <f aca="false">IF(AH1517="","",ROUND(MIN(K1517,TOPE_AFP_UF*AJ1517)*AK1517,0))</f>
        <v/>
      </c>
      <c r="AC1517" s="71" t="str">
        <f aca="false">IF(AH1517="","",ROUND(MIN(K1517,TOPE_AFC_UF*AJ1517)*IF(AA1517="Indefinido",AFC_EMP_INDEF,AFC_EMP_PF),0))</f>
        <v/>
      </c>
      <c r="AD1517" s="71" t="str">
        <f aca="false">IF(AH1517="","",ROUND(MIN(K1517,TOPE_AFP_UF*AJ1517)*(MUTUAL_BASICA+MUTUAL_ADIC+SANNA),0))</f>
        <v/>
      </c>
      <c r="AE1517" s="71" t="str">
        <f aca="false">IF(AH1517="","",P1517-N(N1517)+AB1517+AC1517+AD1517)</f>
        <v/>
      </c>
      <c r="AF1517" s="65"/>
      <c r="AG1517" s="64"/>
      <c r="AH1517" s="72" t="str">
        <f aca="false">IF(OR(B1517="",C1517=""),"",C1517&amp;"|"&amp;(YEAR(B1517)*100+MONTH(B1517)))</f>
        <v/>
      </c>
      <c r="AI1517" s="70" t="str">
        <f aca="false">IF(AH1517="","",IF(COUNTIF(L_CLAVE,AH1517)&gt;1,"⚠ Duplicado","OK"))</f>
        <v/>
      </c>
      <c r="AJ1517" s="86" t="str">
        <f aca="false">IF(AH1517="","",IF(SUMPRODUCT(MAX((IND_PER&lt;=B1517)*(IND_UF&lt;&gt;"")*IND_PER))=0,UF_HOY,INDEX(IND_UF,MATCH(SUMPRODUCT(MAX((IND_PER&lt;=B1517)*(IND_UF&lt;&gt;"")*IND_PER)),IND_PER,0))))</f>
        <v/>
      </c>
      <c r="AK1517" s="87" t="str">
        <f aca="false">IF(AH1517="","",IF(COUNTIF(TASA_DESDE,"&lt;="&amp;B1517)=0,INDEX(TASA_EMP,1),INDEX(TASA_EMP,COUNTIF(TASA_DESDE,"&lt;="&amp;B1517))))</f>
        <v/>
      </c>
    </row>
    <row r="1518" customFormat="false" ht="15" hidden="false" customHeight="false" outlineLevel="0" collapsed="false">
      <c r="B1518" s="78"/>
      <c r="C1518" s="64"/>
      <c r="D1518" s="72" t="str">
        <f aca="false">IF(C1518="","",IFERROR(INDEX(T_NOMBRE,MATCH(C1518,T_ID,0)),"⚠ ID no existe"))</f>
        <v/>
      </c>
      <c r="E1518" s="69"/>
      <c r="F1518" s="67"/>
      <c r="G1518" s="67"/>
      <c r="H1518" s="67"/>
      <c r="I1518" s="67"/>
      <c r="J1518" s="67"/>
      <c r="K1518" s="85" t="str">
        <f aca="false">IF(AH1518="","",N(F1518)+N(G1518)+N(H1518)-N(I1518)+N(J1518))</f>
        <v/>
      </c>
      <c r="L1518" s="67"/>
      <c r="M1518" s="67"/>
      <c r="N1518" s="67"/>
      <c r="O1518" s="67"/>
      <c r="P1518" s="85" t="str">
        <f aca="false">IF(AH1518="","",K1518+N(L1518)+N(M1518)+N(N1518)+N(O1518))</f>
        <v/>
      </c>
      <c r="Q1518" s="67"/>
      <c r="R1518" s="67"/>
      <c r="S1518" s="67"/>
      <c r="T1518" s="67"/>
      <c r="U1518" s="67"/>
      <c r="V1518" s="67"/>
      <c r="W1518" s="85" t="str">
        <f aca="false">IF(AH1518="","",N(Q1518)+N(R1518)+N(S1518)+N(T1518)+N(U1518)+N(V1518))</f>
        <v/>
      </c>
      <c r="X1518" s="85" t="str">
        <f aca="false">IF(AH1518="","",P1518-W1518)</f>
        <v/>
      </c>
      <c r="Y1518" s="67"/>
      <c r="Z1518" s="70" t="str">
        <f aca="false">IF(OR(AH1518="",Y1518=""),"",IF(ABS(X1518-Y1518)&lt;=1,"✓ Cuadra","⚠ Diferencia $"&amp;FIXED(X1518-Y1518,0)))</f>
        <v/>
      </c>
      <c r="AA1518" s="72" t="str">
        <f aca="false">IF(AH1518="","",IFERROR(INDEX(C_TIPO,MATCH(C1518&amp;"-P"&amp;MAX(1,COUNTIFS(C_ID,C1518,C_DEFINE,"Sí",C_INICIO,"&lt;="&amp;EOMONTH(B1518,0))),C_CLAVE,0))&amp;"","Sin dato"))</f>
        <v/>
      </c>
      <c r="AB1518" s="71" t="str">
        <f aca="false">IF(AH1518="","",ROUND(MIN(K1518,TOPE_AFP_UF*AJ1518)*AK1518,0))</f>
        <v/>
      </c>
      <c r="AC1518" s="71" t="str">
        <f aca="false">IF(AH1518="","",ROUND(MIN(K1518,TOPE_AFC_UF*AJ1518)*IF(AA1518="Indefinido",AFC_EMP_INDEF,AFC_EMP_PF),0))</f>
        <v/>
      </c>
      <c r="AD1518" s="71" t="str">
        <f aca="false">IF(AH1518="","",ROUND(MIN(K1518,TOPE_AFP_UF*AJ1518)*(MUTUAL_BASICA+MUTUAL_ADIC+SANNA),0))</f>
        <v/>
      </c>
      <c r="AE1518" s="71" t="str">
        <f aca="false">IF(AH1518="","",P1518-N(N1518)+AB1518+AC1518+AD1518)</f>
        <v/>
      </c>
      <c r="AF1518" s="65"/>
      <c r="AG1518" s="64"/>
      <c r="AH1518" s="72" t="str">
        <f aca="false">IF(OR(B1518="",C1518=""),"",C1518&amp;"|"&amp;(YEAR(B1518)*100+MONTH(B1518)))</f>
        <v/>
      </c>
      <c r="AI1518" s="70" t="str">
        <f aca="false">IF(AH1518="","",IF(COUNTIF(L_CLAVE,AH1518)&gt;1,"⚠ Duplicado","OK"))</f>
        <v/>
      </c>
      <c r="AJ1518" s="86" t="str">
        <f aca="false">IF(AH1518="","",IF(SUMPRODUCT(MAX((IND_PER&lt;=B1518)*(IND_UF&lt;&gt;"")*IND_PER))=0,UF_HOY,INDEX(IND_UF,MATCH(SUMPRODUCT(MAX((IND_PER&lt;=B1518)*(IND_UF&lt;&gt;"")*IND_PER)),IND_PER,0))))</f>
        <v/>
      </c>
      <c r="AK1518" s="87" t="str">
        <f aca="false">IF(AH1518="","",IF(COUNTIF(TASA_DESDE,"&lt;="&amp;B1518)=0,INDEX(TASA_EMP,1),INDEX(TASA_EMP,COUNTIF(TASA_DESDE,"&lt;="&amp;B1518))))</f>
        <v/>
      </c>
    </row>
    <row r="1519" customFormat="false" ht="15" hidden="false" customHeight="false" outlineLevel="0" collapsed="false">
      <c r="B1519" s="78"/>
      <c r="C1519" s="64"/>
      <c r="D1519" s="72" t="str">
        <f aca="false">IF(C1519="","",IFERROR(INDEX(T_NOMBRE,MATCH(C1519,T_ID,0)),"⚠ ID no existe"))</f>
        <v/>
      </c>
      <c r="E1519" s="69"/>
      <c r="F1519" s="67"/>
      <c r="G1519" s="67"/>
      <c r="H1519" s="67"/>
      <c r="I1519" s="67"/>
      <c r="J1519" s="67"/>
      <c r="K1519" s="85" t="str">
        <f aca="false">IF(AH1519="","",N(F1519)+N(G1519)+N(H1519)-N(I1519)+N(J1519))</f>
        <v/>
      </c>
      <c r="L1519" s="67"/>
      <c r="M1519" s="67"/>
      <c r="N1519" s="67"/>
      <c r="O1519" s="67"/>
      <c r="P1519" s="85" t="str">
        <f aca="false">IF(AH1519="","",K1519+N(L1519)+N(M1519)+N(N1519)+N(O1519))</f>
        <v/>
      </c>
      <c r="Q1519" s="67"/>
      <c r="R1519" s="67"/>
      <c r="S1519" s="67"/>
      <c r="T1519" s="67"/>
      <c r="U1519" s="67"/>
      <c r="V1519" s="67"/>
      <c r="W1519" s="85" t="str">
        <f aca="false">IF(AH1519="","",N(Q1519)+N(R1519)+N(S1519)+N(T1519)+N(U1519)+N(V1519))</f>
        <v/>
      </c>
      <c r="X1519" s="85" t="str">
        <f aca="false">IF(AH1519="","",P1519-W1519)</f>
        <v/>
      </c>
      <c r="Y1519" s="67"/>
      <c r="Z1519" s="70" t="str">
        <f aca="false">IF(OR(AH1519="",Y1519=""),"",IF(ABS(X1519-Y1519)&lt;=1,"✓ Cuadra","⚠ Diferencia $"&amp;FIXED(X1519-Y1519,0)))</f>
        <v/>
      </c>
      <c r="AA1519" s="72" t="str">
        <f aca="false">IF(AH1519="","",IFERROR(INDEX(C_TIPO,MATCH(C1519&amp;"-P"&amp;MAX(1,COUNTIFS(C_ID,C1519,C_DEFINE,"Sí",C_INICIO,"&lt;="&amp;EOMONTH(B1519,0))),C_CLAVE,0))&amp;"","Sin dato"))</f>
        <v/>
      </c>
      <c r="AB1519" s="71" t="str">
        <f aca="false">IF(AH1519="","",ROUND(MIN(K1519,TOPE_AFP_UF*AJ1519)*AK1519,0))</f>
        <v/>
      </c>
      <c r="AC1519" s="71" t="str">
        <f aca="false">IF(AH1519="","",ROUND(MIN(K1519,TOPE_AFC_UF*AJ1519)*IF(AA1519="Indefinido",AFC_EMP_INDEF,AFC_EMP_PF),0))</f>
        <v/>
      </c>
      <c r="AD1519" s="71" t="str">
        <f aca="false">IF(AH1519="","",ROUND(MIN(K1519,TOPE_AFP_UF*AJ1519)*(MUTUAL_BASICA+MUTUAL_ADIC+SANNA),0))</f>
        <v/>
      </c>
      <c r="AE1519" s="71" t="str">
        <f aca="false">IF(AH1519="","",P1519-N(N1519)+AB1519+AC1519+AD1519)</f>
        <v/>
      </c>
      <c r="AF1519" s="65"/>
      <c r="AG1519" s="64"/>
      <c r="AH1519" s="72" t="str">
        <f aca="false">IF(OR(B1519="",C1519=""),"",C1519&amp;"|"&amp;(YEAR(B1519)*100+MONTH(B1519)))</f>
        <v/>
      </c>
      <c r="AI1519" s="70" t="str">
        <f aca="false">IF(AH1519="","",IF(COUNTIF(L_CLAVE,AH1519)&gt;1,"⚠ Duplicado","OK"))</f>
        <v/>
      </c>
      <c r="AJ1519" s="86" t="str">
        <f aca="false">IF(AH1519="","",IF(SUMPRODUCT(MAX((IND_PER&lt;=B1519)*(IND_UF&lt;&gt;"")*IND_PER))=0,UF_HOY,INDEX(IND_UF,MATCH(SUMPRODUCT(MAX((IND_PER&lt;=B1519)*(IND_UF&lt;&gt;"")*IND_PER)),IND_PER,0))))</f>
        <v/>
      </c>
      <c r="AK1519" s="87" t="str">
        <f aca="false">IF(AH1519="","",IF(COUNTIF(TASA_DESDE,"&lt;="&amp;B1519)=0,INDEX(TASA_EMP,1),INDEX(TASA_EMP,COUNTIF(TASA_DESDE,"&lt;="&amp;B1519))))</f>
        <v/>
      </c>
    </row>
    <row r="1520" customFormat="false" ht="15" hidden="false" customHeight="false" outlineLevel="0" collapsed="false">
      <c r="B1520" s="78"/>
      <c r="C1520" s="64"/>
      <c r="D1520" s="72" t="str">
        <f aca="false">IF(C1520="","",IFERROR(INDEX(T_NOMBRE,MATCH(C1520,T_ID,0)),"⚠ ID no existe"))</f>
        <v/>
      </c>
      <c r="E1520" s="69"/>
      <c r="F1520" s="67"/>
      <c r="G1520" s="67"/>
      <c r="H1520" s="67"/>
      <c r="I1520" s="67"/>
      <c r="J1520" s="67"/>
      <c r="K1520" s="85" t="str">
        <f aca="false">IF(AH1520="","",N(F1520)+N(G1520)+N(H1520)-N(I1520)+N(J1520))</f>
        <v/>
      </c>
      <c r="L1520" s="67"/>
      <c r="M1520" s="67"/>
      <c r="N1520" s="67"/>
      <c r="O1520" s="67"/>
      <c r="P1520" s="85" t="str">
        <f aca="false">IF(AH1520="","",K1520+N(L1520)+N(M1520)+N(N1520)+N(O1520))</f>
        <v/>
      </c>
      <c r="Q1520" s="67"/>
      <c r="R1520" s="67"/>
      <c r="S1520" s="67"/>
      <c r="T1520" s="67"/>
      <c r="U1520" s="67"/>
      <c r="V1520" s="67"/>
      <c r="W1520" s="85" t="str">
        <f aca="false">IF(AH1520="","",N(Q1520)+N(R1520)+N(S1520)+N(T1520)+N(U1520)+N(V1520))</f>
        <v/>
      </c>
      <c r="X1520" s="85" t="str">
        <f aca="false">IF(AH1520="","",P1520-W1520)</f>
        <v/>
      </c>
      <c r="Y1520" s="67"/>
      <c r="Z1520" s="70" t="str">
        <f aca="false">IF(OR(AH1520="",Y1520=""),"",IF(ABS(X1520-Y1520)&lt;=1,"✓ Cuadra","⚠ Diferencia $"&amp;FIXED(X1520-Y1520,0)))</f>
        <v/>
      </c>
      <c r="AA1520" s="72" t="str">
        <f aca="false">IF(AH1520="","",IFERROR(INDEX(C_TIPO,MATCH(C1520&amp;"-P"&amp;MAX(1,COUNTIFS(C_ID,C1520,C_DEFINE,"Sí",C_INICIO,"&lt;="&amp;EOMONTH(B1520,0))),C_CLAVE,0))&amp;"","Sin dato"))</f>
        <v/>
      </c>
      <c r="AB1520" s="71" t="str">
        <f aca="false">IF(AH1520="","",ROUND(MIN(K1520,TOPE_AFP_UF*AJ1520)*AK1520,0))</f>
        <v/>
      </c>
      <c r="AC1520" s="71" t="str">
        <f aca="false">IF(AH1520="","",ROUND(MIN(K1520,TOPE_AFC_UF*AJ1520)*IF(AA1520="Indefinido",AFC_EMP_INDEF,AFC_EMP_PF),0))</f>
        <v/>
      </c>
      <c r="AD1520" s="71" t="str">
        <f aca="false">IF(AH1520="","",ROUND(MIN(K1520,TOPE_AFP_UF*AJ1520)*(MUTUAL_BASICA+MUTUAL_ADIC+SANNA),0))</f>
        <v/>
      </c>
      <c r="AE1520" s="71" t="str">
        <f aca="false">IF(AH1520="","",P1520-N(N1520)+AB1520+AC1520+AD1520)</f>
        <v/>
      </c>
      <c r="AF1520" s="65"/>
      <c r="AG1520" s="64"/>
      <c r="AH1520" s="72" t="str">
        <f aca="false">IF(OR(B1520="",C1520=""),"",C1520&amp;"|"&amp;(YEAR(B1520)*100+MONTH(B1520)))</f>
        <v/>
      </c>
      <c r="AI1520" s="70" t="str">
        <f aca="false">IF(AH1520="","",IF(COUNTIF(L_CLAVE,AH1520)&gt;1,"⚠ Duplicado","OK"))</f>
        <v/>
      </c>
      <c r="AJ1520" s="86" t="str">
        <f aca="false">IF(AH1520="","",IF(SUMPRODUCT(MAX((IND_PER&lt;=B1520)*(IND_UF&lt;&gt;"")*IND_PER))=0,UF_HOY,INDEX(IND_UF,MATCH(SUMPRODUCT(MAX((IND_PER&lt;=B1520)*(IND_UF&lt;&gt;"")*IND_PER)),IND_PER,0))))</f>
        <v/>
      </c>
      <c r="AK1520" s="87" t="str">
        <f aca="false">IF(AH1520="","",IF(COUNTIF(TASA_DESDE,"&lt;="&amp;B1520)=0,INDEX(TASA_EMP,1),INDEX(TASA_EMP,COUNTIF(TASA_DESDE,"&lt;="&amp;B1520))))</f>
        <v/>
      </c>
    </row>
    <row r="1521" customFormat="false" ht="15" hidden="false" customHeight="false" outlineLevel="0" collapsed="false">
      <c r="B1521" s="78"/>
      <c r="C1521" s="64"/>
      <c r="D1521" s="72" t="str">
        <f aca="false">IF(C1521="","",IFERROR(INDEX(T_NOMBRE,MATCH(C1521,T_ID,0)),"⚠ ID no existe"))</f>
        <v/>
      </c>
      <c r="E1521" s="69"/>
      <c r="F1521" s="67"/>
      <c r="G1521" s="67"/>
      <c r="H1521" s="67"/>
      <c r="I1521" s="67"/>
      <c r="J1521" s="67"/>
      <c r="K1521" s="85" t="str">
        <f aca="false">IF(AH1521="","",N(F1521)+N(G1521)+N(H1521)-N(I1521)+N(J1521))</f>
        <v/>
      </c>
      <c r="L1521" s="67"/>
      <c r="M1521" s="67"/>
      <c r="N1521" s="67"/>
      <c r="O1521" s="67"/>
      <c r="P1521" s="85" t="str">
        <f aca="false">IF(AH1521="","",K1521+N(L1521)+N(M1521)+N(N1521)+N(O1521))</f>
        <v/>
      </c>
      <c r="Q1521" s="67"/>
      <c r="R1521" s="67"/>
      <c r="S1521" s="67"/>
      <c r="T1521" s="67"/>
      <c r="U1521" s="67"/>
      <c r="V1521" s="67"/>
      <c r="W1521" s="85" t="str">
        <f aca="false">IF(AH1521="","",N(Q1521)+N(R1521)+N(S1521)+N(T1521)+N(U1521)+N(V1521))</f>
        <v/>
      </c>
      <c r="X1521" s="85" t="str">
        <f aca="false">IF(AH1521="","",P1521-W1521)</f>
        <v/>
      </c>
      <c r="Y1521" s="67"/>
      <c r="Z1521" s="70" t="str">
        <f aca="false">IF(OR(AH1521="",Y1521=""),"",IF(ABS(X1521-Y1521)&lt;=1,"✓ Cuadra","⚠ Diferencia $"&amp;FIXED(X1521-Y1521,0)))</f>
        <v/>
      </c>
      <c r="AA1521" s="72" t="str">
        <f aca="false">IF(AH1521="","",IFERROR(INDEX(C_TIPO,MATCH(C1521&amp;"-P"&amp;MAX(1,COUNTIFS(C_ID,C1521,C_DEFINE,"Sí",C_INICIO,"&lt;="&amp;EOMONTH(B1521,0))),C_CLAVE,0))&amp;"","Sin dato"))</f>
        <v/>
      </c>
      <c r="AB1521" s="71" t="str">
        <f aca="false">IF(AH1521="","",ROUND(MIN(K1521,TOPE_AFP_UF*AJ1521)*AK1521,0))</f>
        <v/>
      </c>
      <c r="AC1521" s="71" t="str">
        <f aca="false">IF(AH1521="","",ROUND(MIN(K1521,TOPE_AFC_UF*AJ1521)*IF(AA1521="Indefinido",AFC_EMP_INDEF,AFC_EMP_PF),0))</f>
        <v/>
      </c>
      <c r="AD1521" s="71" t="str">
        <f aca="false">IF(AH1521="","",ROUND(MIN(K1521,TOPE_AFP_UF*AJ1521)*(MUTUAL_BASICA+MUTUAL_ADIC+SANNA),0))</f>
        <v/>
      </c>
      <c r="AE1521" s="71" t="str">
        <f aca="false">IF(AH1521="","",P1521-N(N1521)+AB1521+AC1521+AD1521)</f>
        <v/>
      </c>
      <c r="AF1521" s="65"/>
      <c r="AG1521" s="64"/>
      <c r="AH1521" s="72" t="str">
        <f aca="false">IF(OR(B1521="",C1521=""),"",C1521&amp;"|"&amp;(YEAR(B1521)*100+MONTH(B1521)))</f>
        <v/>
      </c>
      <c r="AI1521" s="70" t="str">
        <f aca="false">IF(AH1521="","",IF(COUNTIF(L_CLAVE,AH1521)&gt;1,"⚠ Duplicado","OK"))</f>
        <v/>
      </c>
      <c r="AJ1521" s="86" t="str">
        <f aca="false">IF(AH1521="","",IF(SUMPRODUCT(MAX((IND_PER&lt;=B1521)*(IND_UF&lt;&gt;"")*IND_PER))=0,UF_HOY,INDEX(IND_UF,MATCH(SUMPRODUCT(MAX((IND_PER&lt;=B1521)*(IND_UF&lt;&gt;"")*IND_PER)),IND_PER,0))))</f>
        <v/>
      </c>
      <c r="AK1521" s="87" t="str">
        <f aca="false">IF(AH1521="","",IF(COUNTIF(TASA_DESDE,"&lt;="&amp;B1521)=0,INDEX(TASA_EMP,1),INDEX(TASA_EMP,COUNTIF(TASA_DESDE,"&lt;="&amp;B1521))))</f>
        <v/>
      </c>
    </row>
    <row r="1522" customFormat="false" ht="15" hidden="false" customHeight="false" outlineLevel="0" collapsed="false">
      <c r="B1522" s="78"/>
      <c r="C1522" s="64"/>
      <c r="D1522" s="72" t="str">
        <f aca="false">IF(C1522="","",IFERROR(INDEX(T_NOMBRE,MATCH(C1522,T_ID,0)),"⚠ ID no existe"))</f>
        <v/>
      </c>
      <c r="E1522" s="69"/>
      <c r="F1522" s="67"/>
      <c r="G1522" s="67"/>
      <c r="H1522" s="67"/>
      <c r="I1522" s="67"/>
      <c r="J1522" s="67"/>
      <c r="K1522" s="85" t="str">
        <f aca="false">IF(AH1522="","",N(F1522)+N(G1522)+N(H1522)-N(I1522)+N(J1522))</f>
        <v/>
      </c>
      <c r="L1522" s="67"/>
      <c r="M1522" s="67"/>
      <c r="N1522" s="67"/>
      <c r="O1522" s="67"/>
      <c r="P1522" s="85" t="str">
        <f aca="false">IF(AH1522="","",K1522+N(L1522)+N(M1522)+N(N1522)+N(O1522))</f>
        <v/>
      </c>
      <c r="Q1522" s="67"/>
      <c r="R1522" s="67"/>
      <c r="S1522" s="67"/>
      <c r="T1522" s="67"/>
      <c r="U1522" s="67"/>
      <c r="V1522" s="67"/>
      <c r="W1522" s="85" t="str">
        <f aca="false">IF(AH1522="","",N(Q1522)+N(R1522)+N(S1522)+N(T1522)+N(U1522)+N(V1522))</f>
        <v/>
      </c>
      <c r="X1522" s="85" t="str">
        <f aca="false">IF(AH1522="","",P1522-W1522)</f>
        <v/>
      </c>
      <c r="Y1522" s="67"/>
      <c r="Z1522" s="70" t="str">
        <f aca="false">IF(OR(AH1522="",Y1522=""),"",IF(ABS(X1522-Y1522)&lt;=1,"✓ Cuadra","⚠ Diferencia $"&amp;FIXED(X1522-Y1522,0)))</f>
        <v/>
      </c>
      <c r="AA1522" s="72" t="str">
        <f aca="false">IF(AH1522="","",IFERROR(INDEX(C_TIPO,MATCH(C1522&amp;"-P"&amp;MAX(1,COUNTIFS(C_ID,C1522,C_DEFINE,"Sí",C_INICIO,"&lt;="&amp;EOMONTH(B1522,0))),C_CLAVE,0))&amp;"","Sin dato"))</f>
        <v/>
      </c>
      <c r="AB1522" s="71" t="str">
        <f aca="false">IF(AH1522="","",ROUND(MIN(K1522,TOPE_AFP_UF*AJ1522)*AK1522,0))</f>
        <v/>
      </c>
      <c r="AC1522" s="71" t="str">
        <f aca="false">IF(AH1522="","",ROUND(MIN(K1522,TOPE_AFC_UF*AJ1522)*IF(AA1522="Indefinido",AFC_EMP_INDEF,AFC_EMP_PF),0))</f>
        <v/>
      </c>
      <c r="AD1522" s="71" t="str">
        <f aca="false">IF(AH1522="","",ROUND(MIN(K1522,TOPE_AFP_UF*AJ1522)*(MUTUAL_BASICA+MUTUAL_ADIC+SANNA),0))</f>
        <v/>
      </c>
      <c r="AE1522" s="71" t="str">
        <f aca="false">IF(AH1522="","",P1522-N(N1522)+AB1522+AC1522+AD1522)</f>
        <v/>
      </c>
      <c r="AF1522" s="65"/>
      <c r="AG1522" s="64"/>
      <c r="AH1522" s="72" t="str">
        <f aca="false">IF(OR(B1522="",C1522=""),"",C1522&amp;"|"&amp;(YEAR(B1522)*100+MONTH(B1522)))</f>
        <v/>
      </c>
      <c r="AI1522" s="70" t="str">
        <f aca="false">IF(AH1522="","",IF(COUNTIF(L_CLAVE,AH1522)&gt;1,"⚠ Duplicado","OK"))</f>
        <v/>
      </c>
      <c r="AJ1522" s="86" t="str">
        <f aca="false">IF(AH1522="","",IF(SUMPRODUCT(MAX((IND_PER&lt;=B1522)*(IND_UF&lt;&gt;"")*IND_PER))=0,UF_HOY,INDEX(IND_UF,MATCH(SUMPRODUCT(MAX((IND_PER&lt;=B1522)*(IND_UF&lt;&gt;"")*IND_PER)),IND_PER,0))))</f>
        <v/>
      </c>
      <c r="AK1522" s="87" t="str">
        <f aca="false">IF(AH1522="","",IF(COUNTIF(TASA_DESDE,"&lt;="&amp;B1522)=0,INDEX(TASA_EMP,1),INDEX(TASA_EMP,COUNTIF(TASA_DESDE,"&lt;="&amp;B1522))))</f>
        <v/>
      </c>
    </row>
    <row r="1523" customFormat="false" ht="15" hidden="false" customHeight="false" outlineLevel="0" collapsed="false">
      <c r="B1523" s="78"/>
      <c r="C1523" s="64"/>
      <c r="D1523" s="72" t="str">
        <f aca="false">IF(C1523="","",IFERROR(INDEX(T_NOMBRE,MATCH(C1523,T_ID,0)),"⚠ ID no existe"))</f>
        <v/>
      </c>
      <c r="E1523" s="69"/>
      <c r="F1523" s="67"/>
      <c r="G1523" s="67"/>
      <c r="H1523" s="67"/>
      <c r="I1523" s="67"/>
      <c r="J1523" s="67"/>
      <c r="K1523" s="85" t="str">
        <f aca="false">IF(AH1523="","",N(F1523)+N(G1523)+N(H1523)-N(I1523)+N(J1523))</f>
        <v/>
      </c>
      <c r="L1523" s="67"/>
      <c r="M1523" s="67"/>
      <c r="N1523" s="67"/>
      <c r="O1523" s="67"/>
      <c r="P1523" s="85" t="str">
        <f aca="false">IF(AH1523="","",K1523+N(L1523)+N(M1523)+N(N1523)+N(O1523))</f>
        <v/>
      </c>
      <c r="Q1523" s="67"/>
      <c r="R1523" s="67"/>
      <c r="S1523" s="67"/>
      <c r="T1523" s="67"/>
      <c r="U1523" s="67"/>
      <c r="V1523" s="67"/>
      <c r="W1523" s="85" t="str">
        <f aca="false">IF(AH1523="","",N(Q1523)+N(R1523)+N(S1523)+N(T1523)+N(U1523)+N(V1523))</f>
        <v/>
      </c>
      <c r="X1523" s="85" t="str">
        <f aca="false">IF(AH1523="","",P1523-W1523)</f>
        <v/>
      </c>
      <c r="Y1523" s="67"/>
      <c r="Z1523" s="70" t="str">
        <f aca="false">IF(OR(AH1523="",Y1523=""),"",IF(ABS(X1523-Y1523)&lt;=1,"✓ Cuadra","⚠ Diferencia $"&amp;FIXED(X1523-Y1523,0)))</f>
        <v/>
      </c>
      <c r="AA1523" s="72" t="str">
        <f aca="false">IF(AH1523="","",IFERROR(INDEX(C_TIPO,MATCH(C1523&amp;"-P"&amp;MAX(1,COUNTIFS(C_ID,C1523,C_DEFINE,"Sí",C_INICIO,"&lt;="&amp;EOMONTH(B1523,0))),C_CLAVE,0))&amp;"","Sin dato"))</f>
        <v/>
      </c>
      <c r="AB1523" s="71" t="str">
        <f aca="false">IF(AH1523="","",ROUND(MIN(K1523,TOPE_AFP_UF*AJ1523)*AK1523,0))</f>
        <v/>
      </c>
      <c r="AC1523" s="71" t="str">
        <f aca="false">IF(AH1523="","",ROUND(MIN(K1523,TOPE_AFC_UF*AJ1523)*IF(AA1523="Indefinido",AFC_EMP_INDEF,AFC_EMP_PF),0))</f>
        <v/>
      </c>
      <c r="AD1523" s="71" t="str">
        <f aca="false">IF(AH1523="","",ROUND(MIN(K1523,TOPE_AFP_UF*AJ1523)*(MUTUAL_BASICA+MUTUAL_ADIC+SANNA),0))</f>
        <v/>
      </c>
      <c r="AE1523" s="71" t="str">
        <f aca="false">IF(AH1523="","",P1523-N(N1523)+AB1523+AC1523+AD1523)</f>
        <v/>
      </c>
      <c r="AF1523" s="65"/>
      <c r="AG1523" s="64"/>
      <c r="AH1523" s="72" t="str">
        <f aca="false">IF(OR(B1523="",C1523=""),"",C1523&amp;"|"&amp;(YEAR(B1523)*100+MONTH(B1523)))</f>
        <v/>
      </c>
      <c r="AI1523" s="70" t="str">
        <f aca="false">IF(AH1523="","",IF(COUNTIF(L_CLAVE,AH1523)&gt;1,"⚠ Duplicado","OK"))</f>
        <v/>
      </c>
      <c r="AJ1523" s="86" t="str">
        <f aca="false">IF(AH1523="","",IF(SUMPRODUCT(MAX((IND_PER&lt;=B1523)*(IND_UF&lt;&gt;"")*IND_PER))=0,UF_HOY,INDEX(IND_UF,MATCH(SUMPRODUCT(MAX((IND_PER&lt;=B1523)*(IND_UF&lt;&gt;"")*IND_PER)),IND_PER,0))))</f>
        <v/>
      </c>
      <c r="AK1523" s="87" t="str">
        <f aca="false">IF(AH1523="","",IF(COUNTIF(TASA_DESDE,"&lt;="&amp;B1523)=0,INDEX(TASA_EMP,1),INDEX(TASA_EMP,COUNTIF(TASA_DESDE,"&lt;="&amp;B1523))))</f>
        <v/>
      </c>
    </row>
    <row r="1524" customFormat="false" ht="15" hidden="false" customHeight="false" outlineLevel="0" collapsed="false">
      <c r="B1524" s="78"/>
      <c r="C1524" s="64"/>
      <c r="D1524" s="72" t="str">
        <f aca="false">IF(C1524="","",IFERROR(INDEX(T_NOMBRE,MATCH(C1524,T_ID,0)),"⚠ ID no existe"))</f>
        <v/>
      </c>
      <c r="E1524" s="69"/>
      <c r="F1524" s="67"/>
      <c r="G1524" s="67"/>
      <c r="H1524" s="67"/>
      <c r="I1524" s="67"/>
      <c r="J1524" s="67"/>
      <c r="K1524" s="85" t="str">
        <f aca="false">IF(AH1524="","",N(F1524)+N(G1524)+N(H1524)-N(I1524)+N(J1524))</f>
        <v/>
      </c>
      <c r="L1524" s="67"/>
      <c r="M1524" s="67"/>
      <c r="N1524" s="67"/>
      <c r="O1524" s="67"/>
      <c r="P1524" s="85" t="str">
        <f aca="false">IF(AH1524="","",K1524+N(L1524)+N(M1524)+N(N1524)+N(O1524))</f>
        <v/>
      </c>
      <c r="Q1524" s="67"/>
      <c r="R1524" s="67"/>
      <c r="S1524" s="67"/>
      <c r="T1524" s="67"/>
      <c r="U1524" s="67"/>
      <c r="V1524" s="67"/>
      <c r="W1524" s="85" t="str">
        <f aca="false">IF(AH1524="","",N(Q1524)+N(R1524)+N(S1524)+N(T1524)+N(U1524)+N(V1524))</f>
        <v/>
      </c>
      <c r="X1524" s="85" t="str">
        <f aca="false">IF(AH1524="","",P1524-W1524)</f>
        <v/>
      </c>
      <c r="Y1524" s="67"/>
      <c r="Z1524" s="70" t="str">
        <f aca="false">IF(OR(AH1524="",Y1524=""),"",IF(ABS(X1524-Y1524)&lt;=1,"✓ Cuadra","⚠ Diferencia $"&amp;FIXED(X1524-Y1524,0)))</f>
        <v/>
      </c>
      <c r="AA1524" s="72" t="str">
        <f aca="false">IF(AH1524="","",IFERROR(INDEX(C_TIPO,MATCH(C1524&amp;"-P"&amp;MAX(1,COUNTIFS(C_ID,C1524,C_DEFINE,"Sí",C_INICIO,"&lt;="&amp;EOMONTH(B1524,0))),C_CLAVE,0))&amp;"","Sin dato"))</f>
        <v/>
      </c>
      <c r="AB1524" s="71" t="str">
        <f aca="false">IF(AH1524="","",ROUND(MIN(K1524,TOPE_AFP_UF*AJ1524)*AK1524,0))</f>
        <v/>
      </c>
      <c r="AC1524" s="71" t="str">
        <f aca="false">IF(AH1524="","",ROUND(MIN(K1524,TOPE_AFC_UF*AJ1524)*IF(AA1524="Indefinido",AFC_EMP_INDEF,AFC_EMP_PF),0))</f>
        <v/>
      </c>
      <c r="AD1524" s="71" t="str">
        <f aca="false">IF(AH1524="","",ROUND(MIN(K1524,TOPE_AFP_UF*AJ1524)*(MUTUAL_BASICA+MUTUAL_ADIC+SANNA),0))</f>
        <v/>
      </c>
      <c r="AE1524" s="71" t="str">
        <f aca="false">IF(AH1524="","",P1524-N(N1524)+AB1524+AC1524+AD1524)</f>
        <v/>
      </c>
      <c r="AF1524" s="65"/>
      <c r="AG1524" s="64"/>
      <c r="AH1524" s="72" t="str">
        <f aca="false">IF(OR(B1524="",C1524=""),"",C1524&amp;"|"&amp;(YEAR(B1524)*100+MONTH(B1524)))</f>
        <v/>
      </c>
      <c r="AI1524" s="70" t="str">
        <f aca="false">IF(AH1524="","",IF(COUNTIF(L_CLAVE,AH1524)&gt;1,"⚠ Duplicado","OK"))</f>
        <v/>
      </c>
      <c r="AJ1524" s="86" t="str">
        <f aca="false">IF(AH1524="","",IF(SUMPRODUCT(MAX((IND_PER&lt;=B1524)*(IND_UF&lt;&gt;"")*IND_PER))=0,UF_HOY,INDEX(IND_UF,MATCH(SUMPRODUCT(MAX((IND_PER&lt;=B1524)*(IND_UF&lt;&gt;"")*IND_PER)),IND_PER,0))))</f>
        <v/>
      </c>
      <c r="AK1524" s="87" t="str">
        <f aca="false">IF(AH1524="","",IF(COUNTIF(TASA_DESDE,"&lt;="&amp;B1524)=0,INDEX(TASA_EMP,1),INDEX(TASA_EMP,COUNTIF(TASA_DESDE,"&lt;="&amp;B1524))))</f>
        <v/>
      </c>
    </row>
    <row r="1525" customFormat="false" ht="15" hidden="false" customHeight="false" outlineLevel="0" collapsed="false">
      <c r="B1525" s="78"/>
      <c r="C1525" s="64"/>
      <c r="D1525" s="72" t="str">
        <f aca="false">IF(C1525="","",IFERROR(INDEX(T_NOMBRE,MATCH(C1525,T_ID,0)),"⚠ ID no existe"))</f>
        <v/>
      </c>
      <c r="E1525" s="69"/>
      <c r="F1525" s="67"/>
      <c r="G1525" s="67"/>
      <c r="H1525" s="67"/>
      <c r="I1525" s="67"/>
      <c r="J1525" s="67"/>
      <c r="K1525" s="85" t="str">
        <f aca="false">IF(AH1525="","",N(F1525)+N(G1525)+N(H1525)-N(I1525)+N(J1525))</f>
        <v/>
      </c>
      <c r="L1525" s="67"/>
      <c r="M1525" s="67"/>
      <c r="N1525" s="67"/>
      <c r="O1525" s="67"/>
      <c r="P1525" s="85" t="str">
        <f aca="false">IF(AH1525="","",K1525+N(L1525)+N(M1525)+N(N1525)+N(O1525))</f>
        <v/>
      </c>
      <c r="Q1525" s="67"/>
      <c r="R1525" s="67"/>
      <c r="S1525" s="67"/>
      <c r="T1525" s="67"/>
      <c r="U1525" s="67"/>
      <c r="V1525" s="67"/>
      <c r="W1525" s="85" t="str">
        <f aca="false">IF(AH1525="","",N(Q1525)+N(R1525)+N(S1525)+N(T1525)+N(U1525)+N(V1525))</f>
        <v/>
      </c>
      <c r="X1525" s="85" t="str">
        <f aca="false">IF(AH1525="","",P1525-W1525)</f>
        <v/>
      </c>
      <c r="Y1525" s="67"/>
      <c r="Z1525" s="70" t="str">
        <f aca="false">IF(OR(AH1525="",Y1525=""),"",IF(ABS(X1525-Y1525)&lt;=1,"✓ Cuadra","⚠ Diferencia $"&amp;FIXED(X1525-Y1525,0)))</f>
        <v/>
      </c>
      <c r="AA1525" s="72" t="str">
        <f aca="false">IF(AH1525="","",IFERROR(INDEX(C_TIPO,MATCH(C1525&amp;"-P"&amp;MAX(1,COUNTIFS(C_ID,C1525,C_DEFINE,"Sí",C_INICIO,"&lt;="&amp;EOMONTH(B1525,0))),C_CLAVE,0))&amp;"","Sin dato"))</f>
        <v/>
      </c>
      <c r="AB1525" s="71" t="str">
        <f aca="false">IF(AH1525="","",ROUND(MIN(K1525,TOPE_AFP_UF*AJ1525)*AK1525,0))</f>
        <v/>
      </c>
      <c r="AC1525" s="71" t="str">
        <f aca="false">IF(AH1525="","",ROUND(MIN(K1525,TOPE_AFC_UF*AJ1525)*IF(AA1525="Indefinido",AFC_EMP_INDEF,AFC_EMP_PF),0))</f>
        <v/>
      </c>
      <c r="AD1525" s="71" t="str">
        <f aca="false">IF(AH1525="","",ROUND(MIN(K1525,TOPE_AFP_UF*AJ1525)*(MUTUAL_BASICA+MUTUAL_ADIC+SANNA),0))</f>
        <v/>
      </c>
      <c r="AE1525" s="71" t="str">
        <f aca="false">IF(AH1525="","",P1525-N(N1525)+AB1525+AC1525+AD1525)</f>
        <v/>
      </c>
      <c r="AF1525" s="65"/>
      <c r="AG1525" s="64"/>
      <c r="AH1525" s="72" t="str">
        <f aca="false">IF(OR(B1525="",C1525=""),"",C1525&amp;"|"&amp;(YEAR(B1525)*100+MONTH(B1525)))</f>
        <v/>
      </c>
      <c r="AI1525" s="70" t="str">
        <f aca="false">IF(AH1525="","",IF(COUNTIF(L_CLAVE,AH1525)&gt;1,"⚠ Duplicado","OK"))</f>
        <v/>
      </c>
      <c r="AJ1525" s="86" t="str">
        <f aca="false">IF(AH1525="","",IF(SUMPRODUCT(MAX((IND_PER&lt;=B1525)*(IND_UF&lt;&gt;"")*IND_PER))=0,UF_HOY,INDEX(IND_UF,MATCH(SUMPRODUCT(MAX((IND_PER&lt;=B1525)*(IND_UF&lt;&gt;"")*IND_PER)),IND_PER,0))))</f>
        <v/>
      </c>
      <c r="AK1525" s="87" t="str">
        <f aca="false">IF(AH1525="","",IF(COUNTIF(TASA_DESDE,"&lt;="&amp;B1525)=0,INDEX(TASA_EMP,1),INDEX(TASA_EMP,COUNTIF(TASA_DESDE,"&lt;="&amp;B1525))))</f>
        <v/>
      </c>
    </row>
    <row r="1526" customFormat="false" ht="15" hidden="false" customHeight="false" outlineLevel="0" collapsed="false">
      <c r="B1526" s="78"/>
      <c r="C1526" s="64"/>
      <c r="D1526" s="72" t="str">
        <f aca="false">IF(C1526="","",IFERROR(INDEX(T_NOMBRE,MATCH(C1526,T_ID,0)),"⚠ ID no existe"))</f>
        <v/>
      </c>
      <c r="E1526" s="69"/>
      <c r="F1526" s="67"/>
      <c r="G1526" s="67"/>
      <c r="H1526" s="67"/>
      <c r="I1526" s="67"/>
      <c r="J1526" s="67"/>
      <c r="K1526" s="85" t="str">
        <f aca="false">IF(AH1526="","",N(F1526)+N(G1526)+N(H1526)-N(I1526)+N(J1526))</f>
        <v/>
      </c>
      <c r="L1526" s="67"/>
      <c r="M1526" s="67"/>
      <c r="N1526" s="67"/>
      <c r="O1526" s="67"/>
      <c r="P1526" s="85" t="str">
        <f aca="false">IF(AH1526="","",K1526+N(L1526)+N(M1526)+N(N1526)+N(O1526))</f>
        <v/>
      </c>
      <c r="Q1526" s="67"/>
      <c r="R1526" s="67"/>
      <c r="S1526" s="67"/>
      <c r="T1526" s="67"/>
      <c r="U1526" s="67"/>
      <c r="V1526" s="67"/>
      <c r="W1526" s="85" t="str">
        <f aca="false">IF(AH1526="","",N(Q1526)+N(R1526)+N(S1526)+N(T1526)+N(U1526)+N(V1526))</f>
        <v/>
      </c>
      <c r="X1526" s="85" t="str">
        <f aca="false">IF(AH1526="","",P1526-W1526)</f>
        <v/>
      </c>
      <c r="Y1526" s="67"/>
      <c r="Z1526" s="70" t="str">
        <f aca="false">IF(OR(AH1526="",Y1526=""),"",IF(ABS(X1526-Y1526)&lt;=1,"✓ Cuadra","⚠ Diferencia $"&amp;FIXED(X1526-Y1526,0)))</f>
        <v/>
      </c>
      <c r="AA1526" s="72" t="str">
        <f aca="false">IF(AH1526="","",IFERROR(INDEX(C_TIPO,MATCH(C1526&amp;"-P"&amp;MAX(1,COUNTIFS(C_ID,C1526,C_DEFINE,"Sí",C_INICIO,"&lt;="&amp;EOMONTH(B1526,0))),C_CLAVE,0))&amp;"","Sin dato"))</f>
        <v/>
      </c>
      <c r="AB1526" s="71" t="str">
        <f aca="false">IF(AH1526="","",ROUND(MIN(K1526,TOPE_AFP_UF*AJ1526)*AK1526,0))</f>
        <v/>
      </c>
      <c r="AC1526" s="71" t="str">
        <f aca="false">IF(AH1526="","",ROUND(MIN(K1526,TOPE_AFC_UF*AJ1526)*IF(AA1526="Indefinido",AFC_EMP_INDEF,AFC_EMP_PF),0))</f>
        <v/>
      </c>
      <c r="AD1526" s="71" t="str">
        <f aca="false">IF(AH1526="","",ROUND(MIN(K1526,TOPE_AFP_UF*AJ1526)*(MUTUAL_BASICA+MUTUAL_ADIC+SANNA),0))</f>
        <v/>
      </c>
      <c r="AE1526" s="71" t="str">
        <f aca="false">IF(AH1526="","",P1526-N(N1526)+AB1526+AC1526+AD1526)</f>
        <v/>
      </c>
      <c r="AF1526" s="65"/>
      <c r="AG1526" s="64"/>
      <c r="AH1526" s="72" t="str">
        <f aca="false">IF(OR(B1526="",C1526=""),"",C1526&amp;"|"&amp;(YEAR(B1526)*100+MONTH(B1526)))</f>
        <v/>
      </c>
      <c r="AI1526" s="70" t="str">
        <f aca="false">IF(AH1526="","",IF(COUNTIF(L_CLAVE,AH1526)&gt;1,"⚠ Duplicado","OK"))</f>
        <v/>
      </c>
      <c r="AJ1526" s="86" t="str">
        <f aca="false">IF(AH1526="","",IF(SUMPRODUCT(MAX((IND_PER&lt;=B1526)*(IND_UF&lt;&gt;"")*IND_PER))=0,UF_HOY,INDEX(IND_UF,MATCH(SUMPRODUCT(MAX((IND_PER&lt;=B1526)*(IND_UF&lt;&gt;"")*IND_PER)),IND_PER,0))))</f>
        <v/>
      </c>
      <c r="AK1526" s="87" t="str">
        <f aca="false">IF(AH1526="","",IF(COUNTIF(TASA_DESDE,"&lt;="&amp;B1526)=0,INDEX(TASA_EMP,1),INDEX(TASA_EMP,COUNTIF(TASA_DESDE,"&lt;="&amp;B1526))))</f>
        <v/>
      </c>
    </row>
    <row r="1527" customFormat="false" ht="15" hidden="false" customHeight="false" outlineLevel="0" collapsed="false">
      <c r="B1527" s="78"/>
      <c r="C1527" s="64"/>
      <c r="D1527" s="72" t="str">
        <f aca="false">IF(C1527="","",IFERROR(INDEX(T_NOMBRE,MATCH(C1527,T_ID,0)),"⚠ ID no existe"))</f>
        <v/>
      </c>
      <c r="E1527" s="69"/>
      <c r="F1527" s="67"/>
      <c r="G1527" s="67"/>
      <c r="H1527" s="67"/>
      <c r="I1527" s="67"/>
      <c r="J1527" s="67"/>
      <c r="K1527" s="85" t="str">
        <f aca="false">IF(AH1527="","",N(F1527)+N(G1527)+N(H1527)-N(I1527)+N(J1527))</f>
        <v/>
      </c>
      <c r="L1527" s="67"/>
      <c r="M1527" s="67"/>
      <c r="N1527" s="67"/>
      <c r="O1527" s="67"/>
      <c r="P1527" s="85" t="str">
        <f aca="false">IF(AH1527="","",K1527+N(L1527)+N(M1527)+N(N1527)+N(O1527))</f>
        <v/>
      </c>
      <c r="Q1527" s="67"/>
      <c r="R1527" s="67"/>
      <c r="S1527" s="67"/>
      <c r="T1527" s="67"/>
      <c r="U1527" s="67"/>
      <c r="V1527" s="67"/>
      <c r="W1527" s="85" t="str">
        <f aca="false">IF(AH1527="","",N(Q1527)+N(R1527)+N(S1527)+N(T1527)+N(U1527)+N(V1527))</f>
        <v/>
      </c>
      <c r="X1527" s="85" t="str">
        <f aca="false">IF(AH1527="","",P1527-W1527)</f>
        <v/>
      </c>
      <c r="Y1527" s="67"/>
      <c r="Z1527" s="70" t="str">
        <f aca="false">IF(OR(AH1527="",Y1527=""),"",IF(ABS(X1527-Y1527)&lt;=1,"✓ Cuadra","⚠ Diferencia $"&amp;FIXED(X1527-Y1527,0)))</f>
        <v/>
      </c>
      <c r="AA1527" s="72" t="str">
        <f aca="false">IF(AH1527="","",IFERROR(INDEX(C_TIPO,MATCH(C1527&amp;"-P"&amp;MAX(1,COUNTIFS(C_ID,C1527,C_DEFINE,"Sí",C_INICIO,"&lt;="&amp;EOMONTH(B1527,0))),C_CLAVE,0))&amp;"","Sin dato"))</f>
        <v/>
      </c>
      <c r="AB1527" s="71" t="str">
        <f aca="false">IF(AH1527="","",ROUND(MIN(K1527,TOPE_AFP_UF*AJ1527)*AK1527,0))</f>
        <v/>
      </c>
      <c r="AC1527" s="71" t="str">
        <f aca="false">IF(AH1527="","",ROUND(MIN(K1527,TOPE_AFC_UF*AJ1527)*IF(AA1527="Indefinido",AFC_EMP_INDEF,AFC_EMP_PF),0))</f>
        <v/>
      </c>
      <c r="AD1527" s="71" t="str">
        <f aca="false">IF(AH1527="","",ROUND(MIN(K1527,TOPE_AFP_UF*AJ1527)*(MUTUAL_BASICA+MUTUAL_ADIC+SANNA),0))</f>
        <v/>
      </c>
      <c r="AE1527" s="71" t="str">
        <f aca="false">IF(AH1527="","",P1527-N(N1527)+AB1527+AC1527+AD1527)</f>
        <v/>
      </c>
      <c r="AF1527" s="65"/>
      <c r="AG1527" s="64"/>
      <c r="AH1527" s="72" t="str">
        <f aca="false">IF(OR(B1527="",C1527=""),"",C1527&amp;"|"&amp;(YEAR(B1527)*100+MONTH(B1527)))</f>
        <v/>
      </c>
      <c r="AI1527" s="70" t="str">
        <f aca="false">IF(AH1527="","",IF(COUNTIF(L_CLAVE,AH1527)&gt;1,"⚠ Duplicado","OK"))</f>
        <v/>
      </c>
      <c r="AJ1527" s="86" t="str">
        <f aca="false">IF(AH1527="","",IF(SUMPRODUCT(MAX((IND_PER&lt;=B1527)*(IND_UF&lt;&gt;"")*IND_PER))=0,UF_HOY,INDEX(IND_UF,MATCH(SUMPRODUCT(MAX((IND_PER&lt;=B1527)*(IND_UF&lt;&gt;"")*IND_PER)),IND_PER,0))))</f>
        <v/>
      </c>
      <c r="AK1527" s="87" t="str">
        <f aca="false">IF(AH1527="","",IF(COUNTIF(TASA_DESDE,"&lt;="&amp;B1527)=0,INDEX(TASA_EMP,1),INDEX(TASA_EMP,COUNTIF(TASA_DESDE,"&lt;="&amp;B1527))))</f>
        <v/>
      </c>
    </row>
    <row r="1528" customFormat="false" ht="15" hidden="false" customHeight="false" outlineLevel="0" collapsed="false">
      <c r="B1528" s="78"/>
      <c r="C1528" s="64"/>
      <c r="D1528" s="72" t="str">
        <f aca="false">IF(C1528="","",IFERROR(INDEX(T_NOMBRE,MATCH(C1528,T_ID,0)),"⚠ ID no existe"))</f>
        <v/>
      </c>
      <c r="E1528" s="69"/>
      <c r="F1528" s="67"/>
      <c r="G1528" s="67"/>
      <c r="H1528" s="67"/>
      <c r="I1528" s="67"/>
      <c r="J1528" s="67"/>
      <c r="K1528" s="85" t="str">
        <f aca="false">IF(AH1528="","",N(F1528)+N(G1528)+N(H1528)-N(I1528)+N(J1528))</f>
        <v/>
      </c>
      <c r="L1528" s="67"/>
      <c r="M1528" s="67"/>
      <c r="N1528" s="67"/>
      <c r="O1528" s="67"/>
      <c r="P1528" s="85" t="str">
        <f aca="false">IF(AH1528="","",K1528+N(L1528)+N(M1528)+N(N1528)+N(O1528))</f>
        <v/>
      </c>
      <c r="Q1528" s="67"/>
      <c r="R1528" s="67"/>
      <c r="S1528" s="67"/>
      <c r="T1528" s="67"/>
      <c r="U1528" s="67"/>
      <c r="V1528" s="67"/>
      <c r="W1528" s="85" t="str">
        <f aca="false">IF(AH1528="","",N(Q1528)+N(R1528)+N(S1528)+N(T1528)+N(U1528)+N(V1528))</f>
        <v/>
      </c>
      <c r="X1528" s="85" t="str">
        <f aca="false">IF(AH1528="","",P1528-W1528)</f>
        <v/>
      </c>
      <c r="Y1528" s="67"/>
      <c r="Z1528" s="70" t="str">
        <f aca="false">IF(OR(AH1528="",Y1528=""),"",IF(ABS(X1528-Y1528)&lt;=1,"✓ Cuadra","⚠ Diferencia $"&amp;FIXED(X1528-Y1528,0)))</f>
        <v/>
      </c>
      <c r="AA1528" s="72" t="str">
        <f aca="false">IF(AH1528="","",IFERROR(INDEX(C_TIPO,MATCH(C1528&amp;"-P"&amp;MAX(1,COUNTIFS(C_ID,C1528,C_DEFINE,"Sí",C_INICIO,"&lt;="&amp;EOMONTH(B1528,0))),C_CLAVE,0))&amp;"","Sin dato"))</f>
        <v/>
      </c>
      <c r="AB1528" s="71" t="str">
        <f aca="false">IF(AH1528="","",ROUND(MIN(K1528,TOPE_AFP_UF*AJ1528)*AK1528,0))</f>
        <v/>
      </c>
      <c r="AC1528" s="71" t="str">
        <f aca="false">IF(AH1528="","",ROUND(MIN(K1528,TOPE_AFC_UF*AJ1528)*IF(AA1528="Indefinido",AFC_EMP_INDEF,AFC_EMP_PF),0))</f>
        <v/>
      </c>
      <c r="AD1528" s="71" t="str">
        <f aca="false">IF(AH1528="","",ROUND(MIN(K1528,TOPE_AFP_UF*AJ1528)*(MUTUAL_BASICA+MUTUAL_ADIC+SANNA),0))</f>
        <v/>
      </c>
      <c r="AE1528" s="71" t="str">
        <f aca="false">IF(AH1528="","",P1528-N(N1528)+AB1528+AC1528+AD1528)</f>
        <v/>
      </c>
      <c r="AF1528" s="65"/>
      <c r="AG1528" s="64"/>
      <c r="AH1528" s="72" t="str">
        <f aca="false">IF(OR(B1528="",C1528=""),"",C1528&amp;"|"&amp;(YEAR(B1528)*100+MONTH(B1528)))</f>
        <v/>
      </c>
      <c r="AI1528" s="70" t="str">
        <f aca="false">IF(AH1528="","",IF(COUNTIF(L_CLAVE,AH1528)&gt;1,"⚠ Duplicado","OK"))</f>
        <v/>
      </c>
      <c r="AJ1528" s="86" t="str">
        <f aca="false">IF(AH1528="","",IF(SUMPRODUCT(MAX((IND_PER&lt;=B1528)*(IND_UF&lt;&gt;"")*IND_PER))=0,UF_HOY,INDEX(IND_UF,MATCH(SUMPRODUCT(MAX((IND_PER&lt;=B1528)*(IND_UF&lt;&gt;"")*IND_PER)),IND_PER,0))))</f>
        <v/>
      </c>
      <c r="AK1528" s="87" t="str">
        <f aca="false">IF(AH1528="","",IF(COUNTIF(TASA_DESDE,"&lt;="&amp;B1528)=0,INDEX(TASA_EMP,1),INDEX(TASA_EMP,COUNTIF(TASA_DESDE,"&lt;="&amp;B1528))))</f>
        <v/>
      </c>
    </row>
    <row r="1529" customFormat="false" ht="15" hidden="false" customHeight="false" outlineLevel="0" collapsed="false">
      <c r="B1529" s="78"/>
      <c r="C1529" s="64"/>
      <c r="D1529" s="72" t="str">
        <f aca="false">IF(C1529="","",IFERROR(INDEX(T_NOMBRE,MATCH(C1529,T_ID,0)),"⚠ ID no existe"))</f>
        <v/>
      </c>
      <c r="E1529" s="69"/>
      <c r="F1529" s="67"/>
      <c r="G1529" s="67"/>
      <c r="H1529" s="67"/>
      <c r="I1529" s="67"/>
      <c r="J1529" s="67"/>
      <c r="K1529" s="85" t="str">
        <f aca="false">IF(AH1529="","",N(F1529)+N(G1529)+N(H1529)-N(I1529)+N(J1529))</f>
        <v/>
      </c>
      <c r="L1529" s="67"/>
      <c r="M1529" s="67"/>
      <c r="N1529" s="67"/>
      <c r="O1529" s="67"/>
      <c r="P1529" s="85" t="str">
        <f aca="false">IF(AH1529="","",K1529+N(L1529)+N(M1529)+N(N1529)+N(O1529))</f>
        <v/>
      </c>
      <c r="Q1529" s="67"/>
      <c r="R1529" s="67"/>
      <c r="S1529" s="67"/>
      <c r="T1529" s="67"/>
      <c r="U1529" s="67"/>
      <c r="V1529" s="67"/>
      <c r="W1529" s="85" t="str">
        <f aca="false">IF(AH1529="","",N(Q1529)+N(R1529)+N(S1529)+N(T1529)+N(U1529)+N(V1529))</f>
        <v/>
      </c>
      <c r="X1529" s="85" t="str">
        <f aca="false">IF(AH1529="","",P1529-W1529)</f>
        <v/>
      </c>
      <c r="Y1529" s="67"/>
      <c r="Z1529" s="70" t="str">
        <f aca="false">IF(OR(AH1529="",Y1529=""),"",IF(ABS(X1529-Y1529)&lt;=1,"✓ Cuadra","⚠ Diferencia $"&amp;FIXED(X1529-Y1529,0)))</f>
        <v/>
      </c>
      <c r="AA1529" s="72" t="str">
        <f aca="false">IF(AH1529="","",IFERROR(INDEX(C_TIPO,MATCH(C1529&amp;"-P"&amp;MAX(1,COUNTIFS(C_ID,C1529,C_DEFINE,"Sí",C_INICIO,"&lt;="&amp;EOMONTH(B1529,0))),C_CLAVE,0))&amp;"","Sin dato"))</f>
        <v/>
      </c>
      <c r="AB1529" s="71" t="str">
        <f aca="false">IF(AH1529="","",ROUND(MIN(K1529,TOPE_AFP_UF*AJ1529)*AK1529,0))</f>
        <v/>
      </c>
      <c r="AC1529" s="71" t="str">
        <f aca="false">IF(AH1529="","",ROUND(MIN(K1529,TOPE_AFC_UF*AJ1529)*IF(AA1529="Indefinido",AFC_EMP_INDEF,AFC_EMP_PF),0))</f>
        <v/>
      </c>
      <c r="AD1529" s="71" t="str">
        <f aca="false">IF(AH1529="","",ROUND(MIN(K1529,TOPE_AFP_UF*AJ1529)*(MUTUAL_BASICA+MUTUAL_ADIC+SANNA),0))</f>
        <v/>
      </c>
      <c r="AE1529" s="71" t="str">
        <f aca="false">IF(AH1529="","",P1529-N(N1529)+AB1529+AC1529+AD1529)</f>
        <v/>
      </c>
      <c r="AF1529" s="65"/>
      <c r="AG1529" s="64"/>
      <c r="AH1529" s="72" t="str">
        <f aca="false">IF(OR(B1529="",C1529=""),"",C1529&amp;"|"&amp;(YEAR(B1529)*100+MONTH(B1529)))</f>
        <v/>
      </c>
      <c r="AI1529" s="70" t="str">
        <f aca="false">IF(AH1529="","",IF(COUNTIF(L_CLAVE,AH1529)&gt;1,"⚠ Duplicado","OK"))</f>
        <v/>
      </c>
      <c r="AJ1529" s="86" t="str">
        <f aca="false">IF(AH1529="","",IF(SUMPRODUCT(MAX((IND_PER&lt;=B1529)*(IND_UF&lt;&gt;"")*IND_PER))=0,UF_HOY,INDEX(IND_UF,MATCH(SUMPRODUCT(MAX((IND_PER&lt;=B1529)*(IND_UF&lt;&gt;"")*IND_PER)),IND_PER,0))))</f>
        <v/>
      </c>
      <c r="AK1529" s="87" t="str">
        <f aca="false">IF(AH1529="","",IF(COUNTIF(TASA_DESDE,"&lt;="&amp;B1529)=0,INDEX(TASA_EMP,1),INDEX(TASA_EMP,COUNTIF(TASA_DESDE,"&lt;="&amp;B1529))))</f>
        <v/>
      </c>
    </row>
    <row r="1530" customFormat="false" ht="15" hidden="false" customHeight="false" outlineLevel="0" collapsed="false">
      <c r="B1530" s="78"/>
      <c r="C1530" s="64"/>
      <c r="D1530" s="72" t="str">
        <f aca="false">IF(C1530="","",IFERROR(INDEX(T_NOMBRE,MATCH(C1530,T_ID,0)),"⚠ ID no existe"))</f>
        <v/>
      </c>
      <c r="E1530" s="69"/>
      <c r="F1530" s="67"/>
      <c r="G1530" s="67"/>
      <c r="H1530" s="67"/>
      <c r="I1530" s="67"/>
      <c r="J1530" s="67"/>
      <c r="K1530" s="85" t="str">
        <f aca="false">IF(AH1530="","",N(F1530)+N(G1530)+N(H1530)-N(I1530)+N(J1530))</f>
        <v/>
      </c>
      <c r="L1530" s="67"/>
      <c r="M1530" s="67"/>
      <c r="N1530" s="67"/>
      <c r="O1530" s="67"/>
      <c r="P1530" s="85" t="str">
        <f aca="false">IF(AH1530="","",K1530+N(L1530)+N(M1530)+N(N1530)+N(O1530))</f>
        <v/>
      </c>
      <c r="Q1530" s="67"/>
      <c r="R1530" s="67"/>
      <c r="S1530" s="67"/>
      <c r="T1530" s="67"/>
      <c r="U1530" s="67"/>
      <c r="V1530" s="67"/>
      <c r="W1530" s="85" t="str">
        <f aca="false">IF(AH1530="","",N(Q1530)+N(R1530)+N(S1530)+N(T1530)+N(U1530)+N(V1530))</f>
        <v/>
      </c>
      <c r="X1530" s="85" t="str">
        <f aca="false">IF(AH1530="","",P1530-W1530)</f>
        <v/>
      </c>
      <c r="Y1530" s="67"/>
      <c r="Z1530" s="70" t="str">
        <f aca="false">IF(OR(AH1530="",Y1530=""),"",IF(ABS(X1530-Y1530)&lt;=1,"✓ Cuadra","⚠ Diferencia $"&amp;FIXED(X1530-Y1530,0)))</f>
        <v/>
      </c>
      <c r="AA1530" s="72" t="str">
        <f aca="false">IF(AH1530="","",IFERROR(INDEX(C_TIPO,MATCH(C1530&amp;"-P"&amp;MAX(1,COUNTIFS(C_ID,C1530,C_DEFINE,"Sí",C_INICIO,"&lt;="&amp;EOMONTH(B1530,0))),C_CLAVE,0))&amp;"","Sin dato"))</f>
        <v/>
      </c>
      <c r="AB1530" s="71" t="str">
        <f aca="false">IF(AH1530="","",ROUND(MIN(K1530,TOPE_AFP_UF*AJ1530)*AK1530,0))</f>
        <v/>
      </c>
      <c r="AC1530" s="71" t="str">
        <f aca="false">IF(AH1530="","",ROUND(MIN(K1530,TOPE_AFC_UF*AJ1530)*IF(AA1530="Indefinido",AFC_EMP_INDEF,AFC_EMP_PF),0))</f>
        <v/>
      </c>
      <c r="AD1530" s="71" t="str">
        <f aca="false">IF(AH1530="","",ROUND(MIN(K1530,TOPE_AFP_UF*AJ1530)*(MUTUAL_BASICA+MUTUAL_ADIC+SANNA),0))</f>
        <v/>
      </c>
      <c r="AE1530" s="71" t="str">
        <f aca="false">IF(AH1530="","",P1530-N(N1530)+AB1530+AC1530+AD1530)</f>
        <v/>
      </c>
      <c r="AF1530" s="65"/>
      <c r="AG1530" s="64"/>
      <c r="AH1530" s="72" t="str">
        <f aca="false">IF(OR(B1530="",C1530=""),"",C1530&amp;"|"&amp;(YEAR(B1530)*100+MONTH(B1530)))</f>
        <v/>
      </c>
      <c r="AI1530" s="70" t="str">
        <f aca="false">IF(AH1530="","",IF(COUNTIF(L_CLAVE,AH1530)&gt;1,"⚠ Duplicado","OK"))</f>
        <v/>
      </c>
      <c r="AJ1530" s="86" t="str">
        <f aca="false">IF(AH1530="","",IF(SUMPRODUCT(MAX((IND_PER&lt;=B1530)*(IND_UF&lt;&gt;"")*IND_PER))=0,UF_HOY,INDEX(IND_UF,MATCH(SUMPRODUCT(MAX((IND_PER&lt;=B1530)*(IND_UF&lt;&gt;"")*IND_PER)),IND_PER,0))))</f>
        <v/>
      </c>
      <c r="AK1530" s="87" t="str">
        <f aca="false">IF(AH1530="","",IF(COUNTIF(TASA_DESDE,"&lt;="&amp;B1530)=0,INDEX(TASA_EMP,1),INDEX(TASA_EMP,COUNTIF(TASA_DESDE,"&lt;="&amp;B1530))))</f>
        <v/>
      </c>
    </row>
    <row r="1531" customFormat="false" ht="15" hidden="false" customHeight="false" outlineLevel="0" collapsed="false">
      <c r="B1531" s="78"/>
      <c r="C1531" s="64"/>
      <c r="D1531" s="72" t="str">
        <f aca="false">IF(C1531="","",IFERROR(INDEX(T_NOMBRE,MATCH(C1531,T_ID,0)),"⚠ ID no existe"))</f>
        <v/>
      </c>
      <c r="E1531" s="69"/>
      <c r="F1531" s="67"/>
      <c r="G1531" s="67"/>
      <c r="H1531" s="67"/>
      <c r="I1531" s="67"/>
      <c r="J1531" s="67"/>
      <c r="K1531" s="85" t="str">
        <f aca="false">IF(AH1531="","",N(F1531)+N(G1531)+N(H1531)-N(I1531)+N(J1531))</f>
        <v/>
      </c>
      <c r="L1531" s="67"/>
      <c r="M1531" s="67"/>
      <c r="N1531" s="67"/>
      <c r="O1531" s="67"/>
      <c r="P1531" s="85" t="str">
        <f aca="false">IF(AH1531="","",K1531+N(L1531)+N(M1531)+N(N1531)+N(O1531))</f>
        <v/>
      </c>
      <c r="Q1531" s="67"/>
      <c r="R1531" s="67"/>
      <c r="S1531" s="67"/>
      <c r="T1531" s="67"/>
      <c r="U1531" s="67"/>
      <c r="V1531" s="67"/>
      <c r="W1531" s="85" t="str">
        <f aca="false">IF(AH1531="","",N(Q1531)+N(R1531)+N(S1531)+N(T1531)+N(U1531)+N(V1531))</f>
        <v/>
      </c>
      <c r="X1531" s="85" t="str">
        <f aca="false">IF(AH1531="","",P1531-W1531)</f>
        <v/>
      </c>
      <c r="Y1531" s="67"/>
      <c r="Z1531" s="70" t="str">
        <f aca="false">IF(OR(AH1531="",Y1531=""),"",IF(ABS(X1531-Y1531)&lt;=1,"✓ Cuadra","⚠ Diferencia $"&amp;FIXED(X1531-Y1531,0)))</f>
        <v/>
      </c>
      <c r="AA1531" s="72" t="str">
        <f aca="false">IF(AH1531="","",IFERROR(INDEX(C_TIPO,MATCH(C1531&amp;"-P"&amp;MAX(1,COUNTIFS(C_ID,C1531,C_DEFINE,"Sí",C_INICIO,"&lt;="&amp;EOMONTH(B1531,0))),C_CLAVE,0))&amp;"","Sin dato"))</f>
        <v/>
      </c>
      <c r="AB1531" s="71" t="str">
        <f aca="false">IF(AH1531="","",ROUND(MIN(K1531,TOPE_AFP_UF*AJ1531)*AK1531,0))</f>
        <v/>
      </c>
      <c r="AC1531" s="71" t="str">
        <f aca="false">IF(AH1531="","",ROUND(MIN(K1531,TOPE_AFC_UF*AJ1531)*IF(AA1531="Indefinido",AFC_EMP_INDEF,AFC_EMP_PF),0))</f>
        <v/>
      </c>
      <c r="AD1531" s="71" t="str">
        <f aca="false">IF(AH1531="","",ROUND(MIN(K1531,TOPE_AFP_UF*AJ1531)*(MUTUAL_BASICA+MUTUAL_ADIC+SANNA),0))</f>
        <v/>
      </c>
      <c r="AE1531" s="71" t="str">
        <f aca="false">IF(AH1531="","",P1531-N(N1531)+AB1531+AC1531+AD1531)</f>
        <v/>
      </c>
      <c r="AF1531" s="65"/>
      <c r="AG1531" s="64"/>
      <c r="AH1531" s="72" t="str">
        <f aca="false">IF(OR(B1531="",C1531=""),"",C1531&amp;"|"&amp;(YEAR(B1531)*100+MONTH(B1531)))</f>
        <v/>
      </c>
      <c r="AI1531" s="70" t="str">
        <f aca="false">IF(AH1531="","",IF(COUNTIF(L_CLAVE,AH1531)&gt;1,"⚠ Duplicado","OK"))</f>
        <v/>
      </c>
      <c r="AJ1531" s="86" t="str">
        <f aca="false">IF(AH1531="","",IF(SUMPRODUCT(MAX((IND_PER&lt;=B1531)*(IND_UF&lt;&gt;"")*IND_PER))=0,UF_HOY,INDEX(IND_UF,MATCH(SUMPRODUCT(MAX((IND_PER&lt;=B1531)*(IND_UF&lt;&gt;"")*IND_PER)),IND_PER,0))))</f>
        <v/>
      </c>
      <c r="AK1531" s="87" t="str">
        <f aca="false">IF(AH1531="","",IF(COUNTIF(TASA_DESDE,"&lt;="&amp;B1531)=0,INDEX(TASA_EMP,1),INDEX(TASA_EMP,COUNTIF(TASA_DESDE,"&lt;="&amp;B1531))))</f>
        <v/>
      </c>
    </row>
    <row r="1532" customFormat="false" ht="15" hidden="false" customHeight="false" outlineLevel="0" collapsed="false">
      <c r="B1532" s="78"/>
      <c r="C1532" s="64"/>
      <c r="D1532" s="72" t="str">
        <f aca="false">IF(C1532="","",IFERROR(INDEX(T_NOMBRE,MATCH(C1532,T_ID,0)),"⚠ ID no existe"))</f>
        <v/>
      </c>
      <c r="E1532" s="69"/>
      <c r="F1532" s="67"/>
      <c r="G1532" s="67"/>
      <c r="H1532" s="67"/>
      <c r="I1532" s="67"/>
      <c r="J1532" s="67"/>
      <c r="K1532" s="85" t="str">
        <f aca="false">IF(AH1532="","",N(F1532)+N(G1532)+N(H1532)-N(I1532)+N(J1532))</f>
        <v/>
      </c>
      <c r="L1532" s="67"/>
      <c r="M1532" s="67"/>
      <c r="N1532" s="67"/>
      <c r="O1532" s="67"/>
      <c r="P1532" s="85" t="str">
        <f aca="false">IF(AH1532="","",K1532+N(L1532)+N(M1532)+N(N1532)+N(O1532))</f>
        <v/>
      </c>
      <c r="Q1532" s="67"/>
      <c r="R1532" s="67"/>
      <c r="S1532" s="67"/>
      <c r="T1532" s="67"/>
      <c r="U1532" s="67"/>
      <c r="V1532" s="67"/>
      <c r="W1532" s="85" t="str">
        <f aca="false">IF(AH1532="","",N(Q1532)+N(R1532)+N(S1532)+N(T1532)+N(U1532)+N(V1532))</f>
        <v/>
      </c>
      <c r="X1532" s="85" t="str">
        <f aca="false">IF(AH1532="","",P1532-W1532)</f>
        <v/>
      </c>
      <c r="Y1532" s="67"/>
      <c r="Z1532" s="70" t="str">
        <f aca="false">IF(OR(AH1532="",Y1532=""),"",IF(ABS(X1532-Y1532)&lt;=1,"✓ Cuadra","⚠ Diferencia $"&amp;FIXED(X1532-Y1532,0)))</f>
        <v/>
      </c>
      <c r="AA1532" s="72" t="str">
        <f aca="false">IF(AH1532="","",IFERROR(INDEX(C_TIPO,MATCH(C1532&amp;"-P"&amp;MAX(1,COUNTIFS(C_ID,C1532,C_DEFINE,"Sí",C_INICIO,"&lt;="&amp;EOMONTH(B1532,0))),C_CLAVE,0))&amp;"","Sin dato"))</f>
        <v/>
      </c>
      <c r="AB1532" s="71" t="str">
        <f aca="false">IF(AH1532="","",ROUND(MIN(K1532,TOPE_AFP_UF*AJ1532)*AK1532,0))</f>
        <v/>
      </c>
      <c r="AC1532" s="71" t="str">
        <f aca="false">IF(AH1532="","",ROUND(MIN(K1532,TOPE_AFC_UF*AJ1532)*IF(AA1532="Indefinido",AFC_EMP_INDEF,AFC_EMP_PF),0))</f>
        <v/>
      </c>
      <c r="AD1532" s="71" t="str">
        <f aca="false">IF(AH1532="","",ROUND(MIN(K1532,TOPE_AFP_UF*AJ1532)*(MUTUAL_BASICA+MUTUAL_ADIC+SANNA),0))</f>
        <v/>
      </c>
      <c r="AE1532" s="71" t="str">
        <f aca="false">IF(AH1532="","",P1532-N(N1532)+AB1532+AC1532+AD1532)</f>
        <v/>
      </c>
      <c r="AF1532" s="65"/>
      <c r="AG1532" s="64"/>
      <c r="AH1532" s="72" t="str">
        <f aca="false">IF(OR(B1532="",C1532=""),"",C1532&amp;"|"&amp;(YEAR(B1532)*100+MONTH(B1532)))</f>
        <v/>
      </c>
      <c r="AI1532" s="70" t="str">
        <f aca="false">IF(AH1532="","",IF(COUNTIF(L_CLAVE,AH1532)&gt;1,"⚠ Duplicado","OK"))</f>
        <v/>
      </c>
      <c r="AJ1532" s="86" t="str">
        <f aca="false">IF(AH1532="","",IF(SUMPRODUCT(MAX((IND_PER&lt;=B1532)*(IND_UF&lt;&gt;"")*IND_PER))=0,UF_HOY,INDEX(IND_UF,MATCH(SUMPRODUCT(MAX((IND_PER&lt;=B1532)*(IND_UF&lt;&gt;"")*IND_PER)),IND_PER,0))))</f>
        <v/>
      </c>
      <c r="AK1532" s="87" t="str">
        <f aca="false">IF(AH1532="","",IF(COUNTIF(TASA_DESDE,"&lt;="&amp;B1532)=0,INDEX(TASA_EMP,1),INDEX(TASA_EMP,COUNTIF(TASA_DESDE,"&lt;="&amp;B1532))))</f>
        <v/>
      </c>
    </row>
    <row r="1533" customFormat="false" ht="15" hidden="false" customHeight="false" outlineLevel="0" collapsed="false">
      <c r="B1533" s="78"/>
      <c r="C1533" s="64"/>
      <c r="D1533" s="72" t="str">
        <f aca="false">IF(C1533="","",IFERROR(INDEX(T_NOMBRE,MATCH(C1533,T_ID,0)),"⚠ ID no existe"))</f>
        <v/>
      </c>
      <c r="E1533" s="69"/>
      <c r="F1533" s="67"/>
      <c r="G1533" s="67"/>
      <c r="H1533" s="67"/>
      <c r="I1533" s="67"/>
      <c r="J1533" s="67"/>
      <c r="K1533" s="85" t="str">
        <f aca="false">IF(AH1533="","",N(F1533)+N(G1533)+N(H1533)-N(I1533)+N(J1533))</f>
        <v/>
      </c>
      <c r="L1533" s="67"/>
      <c r="M1533" s="67"/>
      <c r="N1533" s="67"/>
      <c r="O1533" s="67"/>
      <c r="P1533" s="85" t="str">
        <f aca="false">IF(AH1533="","",K1533+N(L1533)+N(M1533)+N(N1533)+N(O1533))</f>
        <v/>
      </c>
      <c r="Q1533" s="67"/>
      <c r="R1533" s="67"/>
      <c r="S1533" s="67"/>
      <c r="T1533" s="67"/>
      <c r="U1533" s="67"/>
      <c r="V1533" s="67"/>
      <c r="W1533" s="85" t="str">
        <f aca="false">IF(AH1533="","",N(Q1533)+N(R1533)+N(S1533)+N(T1533)+N(U1533)+N(V1533))</f>
        <v/>
      </c>
      <c r="X1533" s="85" t="str">
        <f aca="false">IF(AH1533="","",P1533-W1533)</f>
        <v/>
      </c>
      <c r="Y1533" s="67"/>
      <c r="Z1533" s="70" t="str">
        <f aca="false">IF(OR(AH1533="",Y1533=""),"",IF(ABS(X1533-Y1533)&lt;=1,"✓ Cuadra","⚠ Diferencia $"&amp;FIXED(X1533-Y1533,0)))</f>
        <v/>
      </c>
      <c r="AA1533" s="72" t="str">
        <f aca="false">IF(AH1533="","",IFERROR(INDEX(C_TIPO,MATCH(C1533&amp;"-P"&amp;MAX(1,COUNTIFS(C_ID,C1533,C_DEFINE,"Sí",C_INICIO,"&lt;="&amp;EOMONTH(B1533,0))),C_CLAVE,0))&amp;"","Sin dato"))</f>
        <v/>
      </c>
      <c r="AB1533" s="71" t="str">
        <f aca="false">IF(AH1533="","",ROUND(MIN(K1533,TOPE_AFP_UF*AJ1533)*AK1533,0))</f>
        <v/>
      </c>
      <c r="AC1533" s="71" t="str">
        <f aca="false">IF(AH1533="","",ROUND(MIN(K1533,TOPE_AFC_UF*AJ1533)*IF(AA1533="Indefinido",AFC_EMP_INDEF,AFC_EMP_PF),0))</f>
        <v/>
      </c>
      <c r="AD1533" s="71" t="str">
        <f aca="false">IF(AH1533="","",ROUND(MIN(K1533,TOPE_AFP_UF*AJ1533)*(MUTUAL_BASICA+MUTUAL_ADIC+SANNA),0))</f>
        <v/>
      </c>
      <c r="AE1533" s="71" t="str">
        <f aca="false">IF(AH1533="","",P1533-N(N1533)+AB1533+AC1533+AD1533)</f>
        <v/>
      </c>
      <c r="AF1533" s="65"/>
      <c r="AG1533" s="64"/>
      <c r="AH1533" s="72" t="str">
        <f aca="false">IF(OR(B1533="",C1533=""),"",C1533&amp;"|"&amp;(YEAR(B1533)*100+MONTH(B1533)))</f>
        <v/>
      </c>
      <c r="AI1533" s="70" t="str">
        <f aca="false">IF(AH1533="","",IF(COUNTIF(L_CLAVE,AH1533)&gt;1,"⚠ Duplicado","OK"))</f>
        <v/>
      </c>
      <c r="AJ1533" s="86" t="str">
        <f aca="false">IF(AH1533="","",IF(SUMPRODUCT(MAX((IND_PER&lt;=B1533)*(IND_UF&lt;&gt;"")*IND_PER))=0,UF_HOY,INDEX(IND_UF,MATCH(SUMPRODUCT(MAX((IND_PER&lt;=B1533)*(IND_UF&lt;&gt;"")*IND_PER)),IND_PER,0))))</f>
        <v/>
      </c>
      <c r="AK1533" s="87" t="str">
        <f aca="false">IF(AH1533="","",IF(COUNTIF(TASA_DESDE,"&lt;="&amp;B1533)=0,INDEX(TASA_EMP,1),INDEX(TASA_EMP,COUNTIF(TASA_DESDE,"&lt;="&amp;B1533))))</f>
        <v/>
      </c>
    </row>
    <row r="1534" customFormat="false" ht="15" hidden="false" customHeight="false" outlineLevel="0" collapsed="false">
      <c r="B1534" s="78"/>
      <c r="C1534" s="64"/>
      <c r="D1534" s="72" t="str">
        <f aca="false">IF(C1534="","",IFERROR(INDEX(T_NOMBRE,MATCH(C1534,T_ID,0)),"⚠ ID no existe"))</f>
        <v/>
      </c>
      <c r="E1534" s="69"/>
      <c r="F1534" s="67"/>
      <c r="G1534" s="67"/>
      <c r="H1534" s="67"/>
      <c r="I1534" s="67"/>
      <c r="J1534" s="67"/>
      <c r="K1534" s="85" t="str">
        <f aca="false">IF(AH1534="","",N(F1534)+N(G1534)+N(H1534)-N(I1534)+N(J1534))</f>
        <v/>
      </c>
      <c r="L1534" s="67"/>
      <c r="M1534" s="67"/>
      <c r="N1534" s="67"/>
      <c r="O1534" s="67"/>
      <c r="P1534" s="85" t="str">
        <f aca="false">IF(AH1534="","",K1534+N(L1534)+N(M1534)+N(N1534)+N(O1534))</f>
        <v/>
      </c>
      <c r="Q1534" s="67"/>
      <c r="R1534" s="67"/>
      <c r="S1534" s="67"/>
      <c r="T1534" s="67"/>
      <c r="U1534" s="67"/>
      <c r="V1534" s="67"/>
      <c r="W1534" s="85" t="str">
        <f aca="false">IF(AH1534="","",N(Q1534)+N(R1534)+N(S1534)+N(T1534)+N(U1534)+N(V1534))</f>
        <v/>
      </c>
      <c r="X1534" s="85" t="str">
        <f aca="false">IF(AH1534="","",P1534-W1534)</f>
        <v/>
      </c>
      <c r="Y1534" s="67"/>
      <c r="Z1534" s="70" t="str">
        <f aca="false">IF(OR(AH1534="",Y1534=""),"",IF(ABS(X1534-Y1534)&lt;=1,"✓ Cuadra","⚠ Diferencia $"&amp;FIXED(X1534-Y1534,0)))</f>
        <v/>
      </c>
      <c r="AA1534" s="72" t="str">
        <f aca="false">IF(AH1534="","",IFERROR(INDEX(C_TIPO,MATCH(C1534&amp;"-P"&amp;MAX(1,COUNTIFS(C_ID,C1534,C_DEFINE,"Sí",C_INICIO,"&lt;="&amp;EOMONTH(B1534,0))),C_CLAVE,0))&amp;"","Sin dato"))</f>
        <v/>
      </c>
      <c r="AB1534" s="71" t="str">
        <f aca="false">IF(AH1534="","",ROUND(MIN(K1534,TOPE_AFP_UF*AJ1534)*AK1534,0))</f>
        <v/>
      </c>
      <c r="AC1534" s="71" t="str">
        <f aca="false">IF(AH1534="","",ROUND(MIN(K1534,TOPE_AFC_UF*AJ1534)*IF(AA1534="Indefinido",AFC_EMP_INDEF,AFC_EMP_PF),0))</f>
        <v/>
      </c>
      <c r="AD1534" s="71" t="str">
        <f aca="false">IF(AH1534="","",ROUND(MIN(K1534,TOPE_AFP_UF*AJ1534)*(MUTUAL_BASICA+MUTUAL_ADIC+SANNA),0))</f>
        <v/>
      </c>
      <c r="AE1534" s="71" t="str">
        <f aca="false">IF(AH1534="","",P1534-N(N1534)+AB1534+AC1534+AD1534)</f>
        <v/>
      </c>
      <c r="AF1534" s="65"/>
      <c r="AG1534" s="64"/>
      <c r="AH1534" s="72" t="str">
        <f aca="false">IF(OR(B1534="",C1534=""),"",C1534&amp;"|"&amp;(YEAR(B1534)*100+MONTH(B1534)))</f>
        <v/>
      </c>
      <c r="AI1534" s="70" t="str">
        <f aca="false">IF(AH1534="","",IF(COUNTIF(L_CLAVE,AH1534)&gt;1,"⚠ Duplicado","OK"))</f>
        <v/>
      </c>
      <c r="AJ1534" s="86" t="str">
        <f aca="false">IF(AH1534="","",IF(SUMPRODUCT(MAX((IND_PER&lt;=B1534)*(IND_UF&lt;&gt;"")*IND_PER))=0,UF_HOY,INDEX(IND_UF,MATCH(SUMPRODUCT(MAX((IND_PER&lt;=B1534)*(IND_UF&lt;&gt;"")*IND_PER)),IND_PER,0))))</f>
        <v/>
      </c>
      <c r="AK1534" s="87" t="str">
        <f aca="false">IF(AH1534="","",IF(COUNTIF(TASA_DESDE,"&lt;="&amp;B1534)=0,INDEX(TASA_EMP,1),INDEX(TASA_EMP,COUNTIF(TASA_DESDE,"&lt;="&amp;B1534))))</f>
        <v/>
      </c>
    </row>
    <row r="1535" customFormat="false" ht="15" hidden="false" customHeight="false" outlineLevel="0" collapsed="false">
      <c r="B1535" s="78"/>
      <c r="C1535" s="64"/>
      <c r="D1535" s="72" t="str">
        <f aca="false">IF(C1535="","",IFERROR(INDEX(T_NOMBRE,MATCH(C1535,T_ID,0)),"⚠ ID no existe"))</f>
        <v/>
      </c>
      <c r="E1535" s="69"/>
      <c r="F1535" s="67"/>
      <c r="G1535" s="67"/>
      <c r="H1535" s="67"/>
      <c r="I1535" s="67"/>
      <c r="J1535" s="67"/>
      <c r="K1535" s="85" t="str">
        <f aca="false">IF(AH1535="","",N(F1535)+N(G1535)+N(H1535)-N(I1535)+N(J1535))</f>
        <v/>
      </c>
      <c r="L1535" s="67"/>
      <c r="M1535" s="67"/>
      <c r="N1535" s="67"/>
      <c r="O1535" s="67"/>
      <c r="P1535" s="85" t="str">
        <f aca="false">IF(AH1535="","",K1535+N(L1535)+N(M1535)+N(N1535)+N(O1535))</f>
        <v/>
      </c>
      <c r="Q1535" s="67"/>
      <c r="R1535" s="67"/>
      <c r="S1535" s="67"/>
      <c r="T1535" s="67"/>
      <c r="U1535" s="67"/>
      <c r="V1535" s="67"/>
      <c r="W1535" s="85" t="str">
        <f aca="false">IF(AH1535="","",N(Q1535)+N(R1535)+N(S1535)+N(T1535)+N(U1535)+N(V1535))</f>
        <v/>
      </c>
      <c r="X1535" s="85" t="str">
        <f aca="false">IF(AH1535="","",P1535-W1535)</f>
        <v/>
      </c>
      <c r="Y1535" s="67"/>
      <c r="Z1535" s="70" t="str">
        <f aca="false">IF(OR(AH1535="",Y1535=""),"",IF(ABS(X1535-Y1535)&lt;=1,"✓ Cuadra","⚠ Diferencia $"&amp;FIXED(X1535-Y1535,0)))</f>
        <v/>
      </c>
      <c r="AA1535" s="72" t="str">
        <f aca="false">IF(AH1535="","",IFERROR(INDEX(C_TIPO,MATCH(C1535&amp;"-P"&amp;MAX(1,COUNTIFS(C_ID,C1535,C_DEFINE,"Sí",C_INICIO,"&lt;="&amp;EOMONTH(B1535,0))),C_CLAVE,0))&amp;"","Sin dato"))</f>
        <v/>
      </c>
      <c r="AB1535" s="71" t="str">
        <f aca="false">IF(AH1535="","",ROUND(MIN(K1535,TOPE_AFP_UF*AJ1535)*AK1535,0))</f>
        <v/>
      </c>
      <c r="AC1535" s="71" t="str">
        <f aca="false">IF(AH1535="","",ROUND(MIN(K1535,TOPE_AFC_UF*AJ1535)*IF(AA1535="Indefinido",AFC_EMP_INDEF,AFC_EMP_PF),0))</f>
        <v/>
      </c>
      <c r="AD1535" s="71" t="str">
        <f aca="false">IF(AH1535="","",ROUND(MIN(K1535,TOPE_AFP_UF*AJ1535)*(MUTUAL_BASICA+MUTUAL_ADIC+SANNA),0))</f>
        <v/>
      </c>
      <c r="AE1535" s="71" t="str">
        <f aca="false">IF(AH1535="","",P1535-N(N1535)+AB1535+AC1535+AD1535)</f>
        <v/>
      </c>
      <c r="AF1535" s="65"/>
      <c r="AG1535" s="64"/>
      <c r="AH1535" s="72" t="str">
        <f aca="false">IF(OR(B1535="",C1535=""),"",C1535&amp;"|"&amp;(YEAR(B1535)*100+MONTH(B1535)))</f>
        <v/>
      </c>
      <c r="AI1535" s="70" t="str">
        <f aca="false">IF(AH1535="","",IF(COUNTIF(L_CLAVE,AH1535)&gt;1,"⚠ Duplicado","OK"))</f>
        <v/>
      </c>
      <c r="AJ1535" s="86" t="str">
        <f aca="false">IF(AH1535="","",IF(SUMPRODUCT(MAX((IND_PER&lt;=B1535)*(IND_UF&lt;&gt;"")*IND_PER))=0,UF_HOY,INDEX(IND_UF,MATCH(SUMPRODUCT(MAX((IND_PER&lt;=B1535)*(IND_UF&lt;&gt;"")*IND_PER)),IND_PER,0))))</f>
        <v/>
      </c>
      <c r="AK1535" s="87" t="str">
        <f aca="false">IF(AH1535="","",IF(COUNTIF(TASA_DESDE,"&lt;="&amp;B1535)=0,INDEX(TASA_EMP,1),INDEX(TASA_EMP,COUNTIF(TASA_DESDE,"&lt;="&amp;B1535))))</f>
        <v/>
      </c>
    </row>
    <row r="1536" customFormat="false" ht="15" hidden="false" customHeight="false" outlineLevel="0" collapsed="false">
      <c r="B1536" s="78"/>
      <c r="C1536" s="64"/>
      <c r="D1536" s="72" t="str">
        <f aca="false">IF(C1536="","",IFERROR(INDEX(T_NOMBRE,MATCH(C1536,T_ID,0)),"⚠ ID no existe"))</f>
        <v/>
      </c>
      <c r="E1536" s="69"/>
      <c r="F1536" s="67"/>
      <c r="G1536" s="67"/>
      <c r="H1536" s="67"/>
      <c r="I1536" s="67"/>
      <c r="J1536" s="67"/>
      <c r="K1536" s="85" t="str">
        <f aca="false">IF(AH1536="","",N(F1536)+N(G1536)+N(H1536)-N(I1536)+N(J1536))</f>
        <v/>
      </c>
      <c r="L1536" s="67"/>
      <c r="M1536" s="67"/>
      <c r="N1536" s="67"/>
      <c r="O1536" s="67"/>
      <c r="P1536" s="85" t="str">
        <f aca="false">IF(AH1536="","",K1536+N(L1536)+N(M1536)+N(N1536)+N(O1536))</f>
        <v/>
      </c>
      <c r="Q1536" s="67"/>
      <c r="R1536" s="67"/>
      <c r="S1536" s="67"/>
      <c r="T1536" s="67"/>
      <c r="U1536" s="67"/>
      <c r="V1536" s="67"/>
      <c r="W1536" s="85" t="str">
        <f aca="false">IF(AH1536="","",N(Q1536)+N(R1536)+N(S1536)+N(T1536)+N(U1536)+N(V1536))</f>
        <v/>
      </c>
      <c r="X1536" s="85" t="str">
        <f aca="false">IF(AH1536="","",P1536-W1536)</f>
        <v/>
      </c>
      <c r="Y1536" s="67"/>
      <c r="Z1536" s="70" t="str">
        <f aca="false">IF(OR(AH1536="",Y1536=""),"",IF(ABS(X1536-Y1536)&lt;=1,"✓ Cuadra","⚠ Diferencia $"&amp;FIXED(X1536-Y1536,0)))</f>
        <v/>
      </c>
      <c r="AA1536" s="72" t="str">
        <f aca="false">IF(AH1536="","",IFERROR(INDEX(C_TIPO,MATCH(C1536&amp;"-P"&amp;MAX(1,COUNTIFS(C_ID,C1536,C_DEFINE,"Sí",C_INICIO,"&lt;="&amp;EOMONTH(B1536,0))),C_CLAVE,0))&amp;"","Sin dato"))</f>
        <v/>
      </c>
      <c r="AB1536" s="71" t="str">
        <f aca="false">IF(AH1536="","",ROUND(MIN(K1536,TOPE_AFP_UF*AJ1536)*AK1536,0))</f>
        <v/>
      </c>
      <c r="AC1536" s="71" t="str">
        <f aca="false">IF(AH1536="","",ROUND(MIN(K1536,TOPE_AFC_UF*AJ1536)*IF(AA1536="Indefinido",AFC_EMP_INDEF,AFC_EMP_PF),0))</f>
        <v/>
      </c>
      <c r="AD1536" s="71" t="str">
        <f aca="false">IF(AH1536="","",ROUND(MIN(K1536,TOPE_AFP_UF*AJ1536)*(MUTUAL_BASICA+MUTUAL_ADIC+SANNA),0))</f>
        <v/>
      </c>
      <c r="AE1536" s="71" t="str">
        <f aca="false">IF(AH1536="","",P1536-N(N1536)+AB1536+AC1536+AD1536)</f>
        <v/>
      </c>
      <c r="AF1536" s="65"/>
      <c r="AG1536" s="64"/>
      <c r="AH1536" s="72" t="str">
        <f aca="false">IF(OR(B1536="",C1536=""),"",C1536&amp;"|"&amp;(YEAR(B1536)*100+MONTH(B1536)))</f>
        <v/>
      </c>
      <c r="AI1536" s="70" t="str">
        <f aca="false">IF(AH1536="","",IF(COUNTIF(L_CLAVE,AH1536)&gt;1,"⚠ Duplicado","OK"))</f>
        <v/>
      </c>
      <c r="AJ1536" s="86" t="str">
        <f aca="false">IF(AH1536="","",IF(SUMPRODUCT(MAX((IND_PER&lt;=B1536)*(IND_UF&lt;&gt;"")*IND_PER))=0,UF_HOY,INDEX(IND_UF,MATCH(SUMPRODUCT(MAX((IND_PER&lt;=B1536)*(IND_UF&lt;&gt;"")*IND_PER)),IND_PER,0))))</f>
        <v/>
      </c>
      <c r="AK1536" s="87" t="str">
        <f aca="false">IF(AH1536="","",IF(COUNTIF(TASA_DESDE,"&lt;="&amp;B1536)=0,INDEX(TASA_EMP,1),INDEX(TASA_EMP,COUNTIF(TASA_DESDE,"&lt;="&amp;B1536))))</f>
        <v/>
      </c>
    </row>
    <row r="1537" customFormat="false" ht="15" hidden="false" customHeight="false" outlineLevel="0" collapsed="false">
      <c r="B1537" s="78"/>
      <c r="C1537" s="64"/>
      <c r="D1537" s="72" t="str">
        <f aca="false">IF(C1537="","",IFERROR(INDEX(T_NOMBRE,MATCH(C1537,T_ID,0)),"⚠ ID no existe"))</f>
        <v/>
      </c>
      <c r="E1537" s="69"/>
      <c r="F1537" s="67"/>
      <c r="G1537" s="67"/>
      <c r="H1537" s="67"/>
      <c r="I1537" s="67"/>
      <c r="J1537" s="67"/>
      <c r="K1537" s="85" t="str">
        <f aca="false">IF(AH1537="","",N(F1537)+N(G1537)+N(H1537)-N(I1537)+N(J1537))</f>
        <v/>
      </c>
      <c r="L1537" s="67"/>
      <c r="M1537" s="67"/>
      <c r="N1537" s="67"/>
      <c r="O1537" s="67"/>
      <c r="P1537" s="85" t="str">
        <f aca="false">IF(AH1537="","",K1537+N(L1537)+N(M1537)+N(N1537)+N(O1537))</f>
        <v/>
      </c>
      <c r="Q1537" s="67"/>
      <c r="R1537" s="67"/>
      <c r="S1537" s="67"/>
      <c r="T1537" s="67"/>
      <c r="U1537" s="67"/>
      <c r="V1537" s="67"/>
      <c r="W1537" s="85" t="str">
        <f aca="false">IF(AH1537="","",N(Q1537)+N(R1537)+N(S1537)+N(T1537)+N(U1537)+N(V1537))</f>
        <v/>
      </c>
      <c r="X1537" s="85" t="str">
        <f aca="false">IF(AH1537="","",P1537-W1537)</f>
        <v/>
      </c>
      <c r="Y1537" s="67"/>
      <c r="Z1537" s="70" t="str">
        <f aca="false">IF(OR(AH1537="",Y1537=""),"",IF(ABS(X1537-Y1537)&lt;=1,"✓ Cuadra","⚠ Diferencia $"&amp;FIXED(X1537-Y1537,0)))</f>
        <v/>
      </c>
      <c r="AA1537" s="72" t="str">
        <f aca="false">IF(AH1537="","",IFERROR(INDEX(C_TIPO,MATCH(C1537&amp;"-P"&amp;MAX(1,COUNTIFS(C_ID,C1537,C_DEFINE,"Sí",C_INICIO,"&lt;="&amp;EOMONTH(B1537,0))),C_CLAVE,0))&amp;"","Sin dato"))</f>
        <v/>
      </c>
      <c r="AB1537" s="71" t="str">
        <f aca="false">IF(AH1537="","",ROUND(MIN(K1537,TOPE_AFP_UF*AJ1537)*AK1537,0))</f>
        <v/>
      </c>
      <c r="AC1537" s="71" t="str">
        <f aca="false">IF(AH1537="","",ROUND(MIN(K1537,TOPE_AFC_UF*AJ1537)*IF(AA1537="Indefinido",AFC_EMP_INDEF,AFC_EMP_PF),0))</f>
        <v/>
      </c>
      <c r="AD1537" s="71" t="str">
        <f aca="false">IF(AH1537="","",ROUND(MIN(K1537,TOPE_AFP_UF*AJ1537)*(MUTUAL_BASICA+MUTUAL_ADIC+SANNA),0))</f>
        <v/>
      </c>
      <c r="AE1537" s="71" t="str">
        <f aca="false">IF(AH1537="","",P1537-N(N1537)+AB1537+AC1537+AD1537)</f>
        <v/>
      </c>
      <c r="AF1537" s="65"/>
      <c r="AG1537" s="64"/>
      <c r="AH1537" s="72" t="str">
        <f aca="false">IF(OR(B1537="",C1537=""),"",C1537&amp;"|"&amp;(YEAR(B1537)*100+MONTH(B1537)))</f>
        <v/>
      </c>
      <c r="AI1537" s="70" t="str">
        <f aca="false">IF(AH1537="","",IF(COUNTIF(L_CLAVE,AH1537)&gt;1,"⚠ Duplicado","OK"))</f>
        <v/>
      </c>
      <c r="AJ1537" s="86" t="str">
        <f aca="false">IF(AH1537="","",IF(SUMPRODUCT(MAX((IND_PER&lt;=B1537)*(IND_UF&lt;&gt;"")*IND_PER))=0,UF_HOY,INDEX(IND_UF,MATCH(SUMPRODUCT(MAX((IND_PER&lt;=B1537)*(IND_UF&lt;&gt;"")*IND_PER)),IND_PER,0))))</f>
        <v/>
      </c>
      <c r="AK1537" s="87" t="str">
        <f aca="false">IF(AH1537="","",IF(COUNTIF(TASA_DESDE,"&lt;="&amp;B1537)=0,INDEX(TASA_EMP,1),INDEX(TASA_EMP,COUNTIF(TASA_DESDE,"&lt;="&amp;B1537))))</f>
        <v/>
      </c>
    </row>
    <row r="1538" customFormat="false" ht="15" hidden="false" customHeight="false" outlineLevel="0" collapsed="false">
      <c r="B1538" s="78"/>
      <c r="C1538" s="64"/>
      <c r="D1538" s="72" t="str">
        <f aca="false">IF(C1538="","",IFERROR(INDEX(T_NOMBRE,MATCH(C1538,T_ID,0)),"⚠ ID no existe"))</f>
        <v/>
      </c>
      <c r="E1538" s="69"/>
      <c r="F1538" s="67"/>
      <c r="G1538" s="67"/>
      <c r="H1538" s="67"/>
      <c r="I1538" s="67"/>
      <c r="J1538" s="67"/>
      <c r="K1538" s="85" t="str">
        <f aca="false">IF(AH1538="","",N(F1538)+N(G1538)+N(H1538)-N(I1538)+N(J1538))</f>
        <v/>
      </c>
      <c r="L1538" s="67"/>
      <c r="M1538" s="67"/>
      <c r="N1538" s="67"/>
      <c r="O1538" s="67"/>
      <c r="P1538" s="85" t="str">
        <f aca="false">IF(AH1538="","",K1538+N(L1538)+N(M1538)+N(N1538)+N(O1538))</f>
        <v/>
      </c>
      <c r="Q1538" s="67"/>
      <c r="R1538" s="67"/>
      <c r="S1538" s="67"/>
      <c r="T1538" s="67"/>
      <c r="U1538" s="67"/>
      <c r="V1538" s="67"/>
      <c r="W1538" s="85" t="str">
        <f aca="false">IF(AH1538="","",N(Q1538)+N(R1538)+N(S1538)+N(T1538)+N(U1538)+N(V1538))</f>
        <v/>
      </c>
      <c r="X1538" s="85" t="str">
        <f aca="false">IF(AH1538="","",P1538-W1538)</f>
        <v/>
      </c>
      <c r="Y1538" s="67"/>
      <c r="Z1538" s="70" t="str">
        <f aca="false">IF(OR(AH1538="",Y1538=""),"",IF(ABS(X1538-Y1538)&lt;=1,"✓ Cuadra","⚠ Diferencia $"&amp;FIXED(X1538-Y1538,0)))</f>
        <v/>
      </c>
      <c r="AA1538" s="72" t="str">
        <f aca="false">IF(AH1538="","",IFERROR(INDEX(C_TIPO,MATCH(C1538&amp;"-P"&amp;MAX(1,COUNTIFS(C_ID,C1538,C_DEFINE,"Sí",C_INICIO,"&lt;="&amp;EOMONTH(B1538,0))),C_CLAVE,0))&amp;"","Sin dato"))</f>
        <v/>
      </c>
      <c r="AB1538" s="71" t="str">
        <f aca="false">IF(AH1538="","",ROUND(MIN(K1538,TOPE_AFP_UF*AJ1538)*AK1538,0))</f>
        <v/>
      </c>
      <c r="AC1538" s="71" t="str">
        <f aca="false">IF(AH1538="","",ROUND(MIN(K1538,TOPE_AFC_UF*AJ1538)*IF(AA1538="Indefinido",AFC_EMP_INDEF,AFC_EMP_PF),0))</f>
        <v/>
      </c>
      <c r="AD1538" s="71" t="str">
        <f aca="false">IF(AH1538="","",ROUND(MIN(K1538,TOPE_AFP_UF*AJ1538)*(MUTUAL_BASICA+MUTUAL_ADIC+SANNA),0))</f>
        <v/>
      </c>
      <c r="AE1538" s="71" t="str">
        <f aca="false">IF(AH1538="","",P1538-N(N1538)+AB1538+AC1538+AD1538)</f>
        <v/>
      </c>
      <c r="AF1538" s="65"/>
      <c r="AG1538" s="64"/>
      <c r="AH1538" s="72" t="str">
        <f aca="false">IF(OR(B1538="",C1538=""),"",C1538&amp;"|"&amp;(YEAR(B1538)*100+MONTH(B1538)))</f>
        <v/>
      </c>
      <c r="AI1538" s="70" t="str">
        <f aca="false">IF(AH1538="","",IF(COUNTIF(L_CLAVE,AH1538)&gt;1,"⚠ Duplicado","OK"))</f>
        <v/>
      </c>
      <c r="AJ1538" s="86" t="str">
        <f aca="false">IF(AH1538="","",IF(SUMPRODUCT(MAX((IND_PER&lt;=B1538)*(IND_UF&lt;&gt;"")*IND_PER))=0,UF_HOY,INDEX(IND_UF,MATCH(SUMPRODUCT(MAX((IND_PER&lt;=B1538)*(IND_UF&lt;&gt;"")*IND_PER)),IND_PER,0))))</f>
        <v/>
      </c>
      <c r="AK1538" s="87" t="str">
        <f aca="false">IF(AH1538="","",IF(COUNTIF(TASA_DESDE,"&lt;="&amp;B1538)=0,INDEX(TASA_EMP,1),INDEX(TASA_EMP,COUNTIF(TASA_DESDE,"&lt;="&amp;B1538))))</f>
        <v/>
      </c>
    </row>
    <row r="1539" customFormat="false" ht="15" hidden="false" customHeight="false" outlineLevel="0" collapsed="false">
      <c r="B1539" s="78"/>
      <c r="C1539" s="64"/>
      <c r="D1539" s="72" t="str">
        <f aca="false">IF(C1539="","",IFERROR(INDEX(T_NOMBRE,MATCH(C1539,T_ID,0)),"⚠ ID no existe"))</f>
        <v/>
      </c>
      <c r="E1539" s="69"/>
      <c r="F1539" s="67"/>
      <c r="G1539" s="67"/>
      <c r="H1539" s="67"/>
      <c r="I1539" s="67"/>
      <c r="J1539" s="67"/>
      <c r="K1539" s="85" t="str">
        <f aca="false">IF(AH1539="","",N(F1539)+N(G1539)+N(H1539)-N(I1539)+N(J1539))</f>
        <v/>
      </c>
      <c r="L1539" s="67"/>
      <c r="M1539" s="67"/>
      <c r="N1539" s="67"/>
      <c r="O1539" s="67"/>
      <c r="P1539" s="85" t="str">
        <f aca="false">IF(AH1539="","",K1539+N(L1539)+N(M1539)+N(N1539)+N(O1539))</f>
        <v/>
      </c>
      <c r="Q1539" s="67"/>
      <c r="R1539" s="67"/>
      <c r="S1539" s="67"/>
      <c r="T1539" s="67"/>
      <c r="U1539" s="67"/>
      <c r="V1539" s="67"/>
      <c r="W1539" s="85" t="str">
        <f aca="false">IF(AH1539="","",N(Q1539)+N(R1539)+N(S1539)+N(T1539)+N(U1539)+N(V1539))</f>
        <v/>
      </c>
      <c r="X1539" s="85" t="str">
        <f aca="false">IF(AH1539="","",P1539-W1539)</f>
        <v/>
      </c>
      <c r="Y1539" s="67"/>
      <c r="Z1539" s="70" t="str">
        <f aca="false">IF(OR(AH1539="",Y1539=""),"",IF(ABS(X1539-Y1539)&lt;=1,"✓ Cuadra","⚠ Diferencia $"&amp;FIXED(X1539-Y1539,0)))</f>
        <v/>
      </c>
      <c r="AA1539" s="72" t="str">
        <f aca="false">IF(AH1539="","",IFERROR(INDEX(C_TIPO,MATCH(C1539&amp;"-P"&amp;MAX(1,COUNTIFS(C_ID,C1539,C_DEFINE,"Sí",C_INICIO,"&lt;="&amp;EOMONTH(B1539,0))),C_CLAVE,0))&amp;"","Sin dato"))</f>
        <v/>
      </c>
      <c r="AB1539" s="71" t="str">
        <f aca="false">IF(AH1539="","",ROUND(MIN(K1539,TOPE_AFP_UF*AJ1539)*AK1539,0))</f>
        <v/>
      </c>
      <c r="AC1539" s="71" t="str">
        <f aca="false">IF(AH1539="","",ROUND(MIN(K1539,TOPE_AFC_UF*AJ1539)*IF(AA1539="Indefinido",AFC_EMP_INDEF,AFC_EMP_PF),0))</f>
        <v/>
      </c>
      <c r="AD1539" s="71" t="str">
        <f aca="false">IF(AH1539="","",ROUND(MIN(K1539,TOPE_AFP_UF*AJ1539)*(MUTUAL_BASICA+MUTUAL_ADIC+SANNA),0))</f>
        <v/>
      </c>
      <c r="AE1539" s="71" t="str">
        <f aca="false">IF(AH1539="","",P1539-N(N1539)+AB1539+AC1539+AD1539)</f>
        <v/>
      </c>
      <c r="AF1539" s="65"/>
      <c r="AG1539" s="64"/>
      <c r="AH1539" s="72" t="str">
        <f aca="false">IF(OR(B1539="",C1539=""),"",C1539&amp;"|"&amp;(YEAR(B1539)*100+MONTH(B1539)))</f>
        <v/>
      </c>
      <c r="AI1539" s="70" t="str">
        <f aca="false">IF(AH1539="","",IF(COUNTIF(L_CLAVE,AH1539)&gt;1,"⚠ Duplicado","OK"))</f>
        <v/>
      </c>
      <c r="AJ1539" s="86" t="str">
        <f aca="false">IF(AH1539="","",IF(SUMPRODUCT(MAX((IND_PER&lt;=B1539)*(IND_UF&lt;&gt;"")*IND_PER))=0,UF_HOY,INDEX(IND_UF,MATCH(SUMPRODUCT(MAX((IND_PER&lt;=B1539)*(IND_UF&lt;&gt;"")*IND_PER)),IND_PER,0))))</f>
        <v/>
      </c>
      <c r="AK1539" s="87" t="str">
        <f aca="false">IF(AH1539="","",IF(COUNTIF(TASA_DESDE,"&lt;="&amp;B1539)=0,INDEX(TASA_EMP,1),INDEX(TASA_EMP,COUNTIF(TASA_DESDE,"&lt;="&amp;B1539))))</f>
        <v/>
      </c>
    </row>
    <row r="1540" customFormat="false" ht="15" hidden="false" customHeight="false" outlineLevel="0" collapsed="false">
      <c r="B1540" s="78"/>
      <c r="C1540" s="64"/>
      <c r="D1540" s="72" t="str">
        <f aca="false">IF(C1540="","",IFERROR(INDEX(T_NOMBRE,MATCH(C1540,T_ID,0)),"⚠ ID no existe"))</f>
        <v/>
      </c>
      <c r="E1540" s="69"/>
      <c r="F1540" s="67"/>
      <c r="G1540" s="67"/>
      <c r="H1540" s="67"/>
      <c r="I1540" s="67"/>
      <c r="J1540" s="67"/>
      <c r="K1540" s="85" t="str">
        <f aca="false">IF(AH1540="","",N(F1540)+N(G1540)+N(H1540)-N(I1540)+N(J1540))</f>
        <v/>
      </c>
      <c r="L1540" s="67"/>
      <c r="M1540" s="67"/>
      <c r="N1540" s="67"/>
      <c r="O1540" s="67"/>
      <c r="P1540" s="85" t="str">
        <f aca="false">IF(AH1540="","",K1540+N(L1540)+N(M1540)+N(N1540)+N(O1540))</f>
        <v/>
      </c>
      <c r="Q1540" s="67"/>
      <c r="R1540" s="67"/>
      <c r="S1540" s="67"/>
      <c r="T1540" s="67"/>
      <c r="U1540" s="67"/>
      <c r="V1540" s="67"/>
      <c r="W1540" s="85" t="str">
        <f aca="false">IF(AH1540="","",N(Q1540)+N(R1540)+N(S1540)+N(T1540)+N(U1540)+N(V1540))</f>
        <v/>
      </c>
      <c r="X1540" s="85" t="str">
        <f aca="false">IF(AH1540="","",P1540-W1540)</f>
        <v/>
      </c>
      <c r="Y1540" s="67"/>
      <c r="Z1540" s="70" t="str">
        <f aca="false">IF(OR(AH1540="",Y1540=""),"",IF(ABS(X1540-Y1540)&lt;=1,"✓ Cuadra","⚠ Diferencia $"&amp;FIXED(X1540-Y1540,0)))</f>
        <v/>
      </c>
      <c r="AA1540" s="72" t="str">
        <f aca="false">IF(AH1540="","",IFERROR(INDEX(C_TIPO,MATCH(C1540&amp;"-P"&amp;MAX(1,COUNTIFS(C_ID,C1540,C_DEFINE,"Sí",C_INICIO,"&lt;="&amp;EOMONTH(B1540,0))),C_CLAVE,0))&amp;"","Sin dato"))</f>
        <v/>
      </c>
      <c r="AB1540" s="71" t="str">
        <f aca="false">IF(AH1540="","",ROUND(MIN(K1540,TOPE_AFP_UF*AJ1540)*AK1540,0))</f>
        <v/>
      </c>
      <c r="AC1540" s="71" t="str">
        <f aca="false">IF(AH1540="","",ROUND(MIN(K1540,TOPE_AFC_UF*AJ1540)*IF(AA1540="Indefinido",AFC_EMP_INDEF,AFC_EMP_PF),0))</f>
        <v/>
      </c>
      <c r="AD1540" s="71" t="str">
        <f aca="false">IF(AH1540="","",ROUND(MIN(K1540,TOPE_AFP_UF*AJ1540)*(MUTUAL_BASICA+MUTUAL_ADIC+SANNA),0))</f>
        <v/>
      </c>
      <c r="AE1540" s="71" t="str">
        <f aca="false">IF(AH1540="","",P1540-N(N1540)+AB1540+AC1540+AD1540)</f>
        <v/>
      </c>
      <c r="AF1540" s="65"/>
      <c r="AG1540" s="64"/>
      <c r="AH1540" s="72" t="str">
        <f aca="false">IF(OR(B1540="",C1540=""),"",C1540&amp;"|"&amp;(YEAR(B1540)*100+MONTH(B1540)))</f>
        <v/>
      </c>
      <c r="AI1540" s="70" t="str">
        <f aca="false">IF(AH1540="","",IF(COUNTIF(L_CLAVE,AH1540)&gt;1,"⚠ Duplicado","OK"))</f>
        <v/>
      </c>
      <c r="AJ1540" s="86" t="str">
        <f aca="false">IF(AH1540="","",IF(SUMPRODUCT(MAX((IND_PER&lt;=B1540)*(IND_UF&lt;&gt;"")*IND_PER))=0,UF_HOY,INDEX(IND_UF,MATCH(SUMPRODUCT(MAX((IND_PER&lt;=B1540)*(IND_UF&lt;&gt;"")*IND_PER)),IND_PER,0))))</f>
        <v/>
      </c>
      <c r="AK1540" s="87" t="str">
        <f aca="false">IF(AH1540="","",IF(COUNTIF(TASA_DESDE,"&lt;="&amp;B1540)=0,INDEX(TASA_EMP,1),INDEX(TASA_EMP,COUNTIF(TASA_DESDE,"&lt;="&amp;B1540))))</f>
        <v/>
      </c>
    </row>
    <row r="1541" customFormat="false" ht="15" hidden="false" customHeight="false" outlineLevel="0" collapsed="false">
      <c r="B1541" s="78"/>
      <c r="C1541" s="64"/>
      <c r="D1541" s="72" t="str">
        <f aca="false">IF(C1541="","",IFERROR(INDEX(T_NOMBRE,MATCH(C1541,T_ID,0)),"⚠ ID no existe"))</f>
        <v/>
      </c>
      <c r="E1541" s="69"/>
      <c r="F1541" s="67"/>
      <c r="G1541" s="67"/>
      <c r="H1541" s="67"/>
      <c r="I1541" s="67"/>
      <c r="J1541" s="67"/>
      <c r="K1541" s="85" t="str">
        <f aca="false">IF(AH1541="","",N(F1541)+N(G1541)+N(H1541)-N(I1541)+N(J1541))</f>
        <v/>
      </c>
      <c r="L1541" s="67"/>
      <c r="M1541" s="67"/>
      <c r="N1541" s="67"/>
      <c r="O1541" s="67"/>
      <c r="P1541" s="85" t="str">
        <f aca="false">IF(AH1541="","",K1541+N(L1541)+N(M1541)+N(N1541)+N(O1541))</f>
        <v/>
      </c>
      <c r="Q1541" s="67"/>
      <c r="R1541" s="67"/>
      <c r="S1541" s="67"/>
      <c r="T1541" s="67"/>
      <c r="U1541" s="67"/>
      <c r="V1541" s="67"/>
      <c r="W1541" s="85" t="str">
        <f aca="false">IF(AH1541="","",N(Q1541)+N(R1541)+N(S1541)+N(T1541)+N(U1541)+N(V1541))</f>
        <v/>
      </c>
      <c r="X1541" s="85" t="str">
        <f aca="false">IF(AH1541="","",P1541-W1541)</f>
        <v/>
      </c>
      <c r="Y1541" s="67"/>
      <c r="Z1541" s="70" t="str">
        <f aca="false">IF(OR(AH1541="",Y1541=""),"",IF(ABS(X1541-Y1541)&lt;=1,"✓ Cuadra","⚠ Diferencia $"&amp;FIXED(X1541-Y1541,0)))</f>
        <v/>
      </c>
      <c r="AA1541" s="72" t="str">
        <f aca="false">IF(AH1541="","",IFERROR(INDEX(C_TIPO,MATCH(C1541&amp;"-P"&amp;MAX(1,COUNTIFS(C_ID,C1541,C_DEFINE,"Sí",C_INICIO,"&lt;="&amp;EOMONTH(B1541,0))),C_CLAVE,0))&amp;"","Sin dato"))</f>
        <v/>
      </c>
      <c r="AB1541" s="71" t="str">
        <f aca="false">IF(AH1541="","",ROUND(MIN(K1541,TOPE_AFP_UF*AJ1541)*AK1541,0))</f>
        <v/>
      </c>
      <c r="AC1541" s="71" t="str">
        <f aca="false">IF(AH1541="","",ROUND(MIN(K1541,TOPE_AFC_UF*AJ1541)*IF(AA1541="Indefinido",AFC_EMP_INDEF,AFC_EMP_PF),0))</f>
        <v/>
      </c>
      <c r="AD1541" s="71" t="str">
        <f aca="false">IF(AH1541="","",ROUND(MIN(K1541,TOPE_AFP_UF*AJ1541)*(MUTUAL_BASICA+MUTUAL_ADIC+SANNA),0))</f>
        <v/>
      </c>
      <c r="AE1541" s="71" t="str">
        <f aca="false">IF(AH1541="","",P1541-N(N1541)+AB1541+AC1541+AD1541)</f>
        <v/>
      </c>
      <c r="AF1541" s="65"/>
      <c r="AG1541" s="64"/>
      <c r="AH1541" s="72" t="str">
        <f aca="false">IF(OR(B1541="",C1541=""),"",C1541&amp;"|"&amp;(YEAR(B1541)*100+MONTH(B1541)))</f>
        <v/>
      </c>
      <c r="AI1541" s="70" t="str">
        <f aca="false">IF(AH1541="","",IF(COUNTIF(L_CLAVE,AH1541)&gt;1,"⚠ Duplicado","OK"))</f>
        <v/>
      </c>
      <c r="AJ1541" s="86" t="str">
        <f aca="false">IF(AH1541="","",IF(SUMPRODUCT(MAX((IND_PER&lt;=B1541)*(IND_UF&lt;&gt;"")*IND_PER))=0,UF_HOY,INDEX(IND_UF,MATCH(SUMPRODUCT(MAX((IND_PER&lt;=B1541)*(IND_UF&lt;&gt;"")*IND_PER)),IND_PER,0))))</f>
        <v/>
      </c>
      <c r="AK1541" s="87" t="str">
        <f aca="false">IF(AH1541="","",IF(COUNTIF(TASA_DESDE,"&lt;="&amp;B1541)=0,INDEX(TASA_EMP,1),INDEX(TASA_EMP,COUNTIF(TASA_DESDE,"&lt;="&amp;B1541))))</f>
        <v/>
      </c>
    </row>
    <row r="1542" customFormat="false" ht="15" hidden="false" customHeight="false" outlineLevel="0" collapsed="false">
      <c r="B1542" s="78"/>
      <c r="C1542" s="64"/>
      <c r="D1542" s="72" t="str">
        <f aca="false">IF(C1542="","",IFERROR(INDEX(T_NOMBRE,MATCH(C1542,T_ID,0)),"⚠ ID no existe"))</f>
        <v/>
      </c>
      <c r="E1542" s="69"/>
      <c r="F1542" s="67"/>
      <c r="G1542" s="67"/>
      <c r="H1542" s="67"/>
      <c r="I1542" s="67"/>
      <c r="J1542" s="67"/>
      <c r="K1542" s="85" t="str">
        <f aca="false">IF(AH1542="","",N(F1542)+N(G1542)+N(H1542)-N(I1542)+N(J1542))</f>
        <v/>
      </c>
      <c r="L1542" s="67"/>
      <c r="M1542" s="67"/>
      <c r="N1542" s="67"/>
      <c r="O1542" s="67"/>
      <c r="P1542" s="85" t="str">
        <f aca="false">IF(AH1542="","",K1542+N(L1542)+N(M1542)+N(N1542)+N(O1542))</f>
        <v/>
      </c>
      <c r="Q1542" s="67"/>
      <c r="R1542" s="67"/>
      <c r="S1542" s="67"/>
      <c r="T1542" s="67"/>
      <c r="U1542" s="67"/>
      <c r="V1542" s="67"/>
      <c r="W1542" s="85" t="str">
        <f aca="false">IF(AH1542="","",N(Q1542)+N(R1542)+N(S1542)+N(T1542)+N(U1542)+N(V1542))</f>
        <v/>
      </c>
      <c r="X1542" s="85" t="str">
        <f aca="false">IF(AH1542="","",P1542-W1542)</f>
        <v/>
      </c>
      <c r="Y1542" s="67"/>
      <c r="Z1542" s="70" t="str">
        <f aca="false">IF(OR(AH1542="",Y1542=""),"",IF(ABS(X1542-Y1542)&lt;=1,"✓ Cuadra","⚠ Diferencia $"&amp;FIXED(X1542-Y1542,0)))</f>
        <v/>
      </c>
      <c r="AA1542" s="72" t="str">
        <f aca="false">IF(AH1542="","",IFERROR(INDEX(C_TIPO,MATCH(C1542&amp;"-P"&amp;MAX(1,COUNTIFS(C_ID,C1542,C_DEFINE,"Sí",C_INICIO,"&lt;="&amp;EOMONTH(B1542,0))),C_CLAVE,0))&amp;"","Sin dato"))</f>
        <v/>
      </c>
      <c r="AB1542" s="71" t="str">
        <f aca="false">IF(AH1542="","",ROUND(MIN(K1542,TOPE_AFP_UF*AJ1542)*AK1542,0))</f>
        <v/>
      </c>
      <c r="AC1542" s="71" t="str">
        <f aca="false">IF(AH1542="","",ROUND(MIN(K1542,TOPE_AFC_UF*AJ1542)*IF(AA1542="Indefinido",AFC_EMP_INDEF,AFC_EMP_PF),0))</f>
        <v/>
      </c>
      <c r="AD1542" s="71" t="str">
        <f aca="false">IF(AH1542="","",ROUND(MIN(K1542,TOPE_AFP_UF*AJ1542)*(MUTUAL_BASICA+MUTUAL_ADIC+SANNA),0))</f>
        <v/>
      </c>
      <c r="AE1542" s="71" t="str">
        <f aca="false">IF(AH1542="","",P1542-N(N1542)+AB1542+AC1542+AD1542)</f>
        <v/>
      </c>
      <c r="AF1542" s="65"/>
      <c r="AG1542" s="64"/>
      <c r="AH1542" s="72" t="str">
        <f aca="false">IF(OR(B1542="",C1542=""),"",C1542&amp;"|"&amp;(YEAR(B1542)*100+MONTH(B1542)))</f>
        <v/>
      </c>
      <c r="AI1542" s="70" t="str">
        <f aca="false">IF(AH1542="","",IF(COUNTIF(L_CLAVE,AH1542)&gt;1,"⚠ Duplicado","OK"))</f>
        <v/>
      </c>
      <c r="AJ1542" s="86" t="str">
        <f aca="false">IF(AH1542="","",IF(SUMPRODUCT(MAX((IND_PER&lt;=B1542)*(IND_UF&lt;&gt;"")*IND_PER))=0,UF_HOY,INDEX(IND_UF,MATCH(SUMPRODUCT(MAX((IND_PER&lt;=B1542)*(IND_UF&lt;&gt;"")*IND_PER)),IND_PER,0))))</f>
        <v/>
      </c>
      <c r="AK1542" s="87" t="str">
        <f aca="false">IF(AH1542="","",IF(COUNTIF(TASA_DESDE,"&lt;="&amp;B1542)=0,INDEX(TASA_EMP,1),INDEX(TASA_EMP,COUNTIF(TASA_DESDE,"&lt;="&amp;B1542))))</f>
        <v/>
      </c>
    </row>
    <row r="1543" customFormat="false" ht="15" hidden="false" customHeight="false" outlineLevel="0" collapsed="false">
      <c r="B1543" s="78"/>
      <c r="C1543" s="64"/>
      <c r="D1543" s="72" t="str">
        <f aca="false">IF(C1543="","",IFERROR(INDEX(T_NOMBRE,MATCH(C1543,T_ID,0)),"⚠ ID no existe"))</f>
        <v/>
      </c>
      <c r="E1543" s="69"/>
      <c r="F1543" s="67"/>
      <c r="G1543" s="67"/>
      <c r="H1543" s="67"/>
      <c r="I1543" s="67"/>
      <c r="J1543" s="67"/>
      <c r="K1543" s="85" t="str">
        <f aca="false">IF(AH1543="","",N(F1543)+N(G1543)+N(H1543)-N(I1543)+N(J1543))</f>
        <v/>
      </c>
      <c r="L1543" s="67"/>
      <c r="M1543" s="67"/>
      <c r="N1543" s="67"/>
      <c r="O1543" s="67"/>
      <c r="P1543" s="85" t="str">
        <f aca="false">IF(AH1543="","",K1543+N(L1543)+N(M1543)+N(N1543)+N(O1543))</f>
        <v/>
      </c>
      <c r="Q1543" s="67"/>
      <c r="R1543" s="67"/>
      <c r="S1543" s="67"/>
      <c r="T1543" s="67"/>
      <c r="U1543" s="67"/>
      <c r="V1543" s="67"/>
      <c r="W1543" s="85" t="str">
        <f aca="false">IF(AH1543="","",N(Q1543)+N(R1543)+N(S1543)+N(T1543)+N(U1543)+N(V1543))</f>
        <v/>
      </c>
      <c r="X1543" s="85" t="str">
        <f aca="false">IF(AH1543="","",P1543-W1543)</f>
        <v/>
      </c>
      <c r="Y1543" s="67"/>
      <c r="Z1543" s="70" t="str">
        <f aca="false">IF(OR(AH1543="",Y1543=""),"",IF(ABS(X1543-Y1543)&lt;=1,"✓ Cuadra","⚠ Diferencia $"&amp;FIXED(X1543-Y1543,0)))</f>
        <v/>
      </c>
      <c r="AA1543" s="72" t="str">
        <f aca="false">IF(AH1543="","",IFERROR(INDEX(C_TIPO,MATCH(C1543&amp;"-P"&amp;MAX(1,COUNTIFS(C_ID,C1543,C_DEFINE,"Sí",C_INICIO,"&lt;="&amp;EOMONTH(B1543,0))),C_CLAVE,0))&amp;"","Sin dato"))</f>
        <v/>
      </c>
      <c r="AB1543" s="71" t="str">
        <f aca="false">IF(AH1543="","",ROUND(MIN(K1543,TOPE_AFP_UF*AJ1543)*AK1543,0))</f>
        <v/>
      </c>
      <c r="AC1543" s="71" t="str">
        <f aca="false">IF(AH1543="","",ROUND(MIN(K1543,TOPE_AFC_UF*AJ1543)*IF(AA1543="Indefinido",AFC_EMP_INDEF,AFC_EMP_PF),0))</f>
        <v/>
      </c>
      <c r="AD1543" s="71" t="str">
        <f aca="false">IF(AH1543="","",ROUND(MIN(K1543,TOPE_AFP_UF*AJ1543)*(MUTUAL_BASICA+MUTUAL_ADIC+SANNA),0))</f>
        <v/>
      </c>
      <c r="AE1543" s="71" t="str">
        <f aca="false">IF(AH1543="","",P1543-N(N1543)+AB1543+AC1543+AD1543)</f>
        <v/>
      </c>
      <c r="AF1543" s="65"/>
      <c r="AG1543" s="64"/>
      <c r="AH1543" s="72" t="str">
        <f aca="false">IF(OR(B1543="",C1543=""),"",C1543&amp;"|"&amp;(YEAR(B1543)*100+MONTH(B1543)))</f>
        <v/>
      </c>
      <c r="AI1543" s="70" t="str">
        <f aca="false">IF(AH1543="","",IF(COUNTIF(L_CLAVE,AH1543)&gt;1,"⚠ Duplicado","OK"))</f>
        <v/>
      </c>
      <c r="AJ1543" s="86" t="str">
        <f aca="false">IF(AH1543="","",IF(SUMPRODUCT(MAX((IND_PER&lt;=B1543)*(IND_UF&lt;&gt;"")*IND_PER))=0,UF_HOY,INDEX(IND_UF,MATCH(SUMPRODUCT(MAX((IND_PER&lt;=B1543)*(IND_UF&lt;&gt;"")*IND_PER)),IND_PER,0))))</f>
        <v/>
      </c>
      <c r="AK1543" s="87" t="str">
        <f aca="false">IF(AH1543="","",IF(COUNTIF(TASA_DESDE,"&lt;="&amp;B1543)=0,INDEX(TASA_EMP,1),INDEX(TASA_EMP,COUNTIF(TASA_DESDE,"&lt;="&amp;B1543))))</f>
        <v/>
      </c>
    </row>
    <row r="1544" customFormat="false" ht="15" hidden="false" customHeight="false" outlineLevel="0" collapsed="false">
      <c r="B1544" s="78"/>
      <c r="C1544" s="64"/>
      <c r="D1544" s="72" t="str">
        <f aca="false">IF(C1544="","",IFERROR(INDEX(T_NOMBRE,MATCH(C1544,T_ID,0)),"⚠ ID no existe"))</f>
        <v/>
      </c>
      <c r="E1544" s="69"/>
      <c r="F1544" s="67"/>
      <c r="G1544" s="67"/>
      <c r="H1544" s="67"/>
      <c r="I1544" s="67"/>
      <c r="J1544" s="67"/>
      <c r="K1544" s="85" t="str">
        <f aca="false">IF(AH1544="","",N(F1544)+N(G1544)+N(H1544)-N(I1544)+N(J1544))</f>
        <v/>
      </c>
      <c r="L1544" s="67"/>
      <c r="M1544" s="67"/>
      <c r="N1544" s="67"/>
      <c r="O1544" s="67"/>
      <c r="P1544" s="85" t="str">
        <f aca="false">IF(AH1544="","",K1544+N(L1544)+N(M1544)+N(N1544)+N(O1544))</f>
        <v/>
      </c>
      <c r="Q1544" s="67"/>
      <c r="R1544" s="67"/>
      <c r="S1544" s="67"/>
      <c r="T1544" s="67"/>
      <c r="U1544" s="67"/>
      <c r="V1544" s="67"/>
      <c r="W1544" s="85" t="str">
        <f aca="false">IF(AH1544="","",N(Q1544)+N(R1544)+N(S1544)+N(T1544)+N(U1544)+N(V1544))</f>
        <v/>
      </c>
      <c r="X1544" s="85" t="str">
        <f aca="false">IF(AH1544="","",P1544-W1544)</f>
        <v/>
      </c>
      <c r="Y1544" s="67"/>
      <c r="Z1544" s="70" t="str">
        <f aca="false">IF(OR(AH1544="",Y1544=""),"",IF(ABS(X1544-Y1544)&lt;=1,"✓ Cuadra","⚠ Diferencia $"&amp;FIXED(X1544-Y1544,0)))</f>
        <v/>
      </c>
      <c r="AA1544" s="72" t="str">
        <f aca="false">IF(AH1544="","",IFERROR(INDEX(C_TIPO,MATCH(C1544&amp;"-P"&amp;MAX(1,COUNTIFS(C_ID,C1544,C_DEFINE,"Sí",C_INICIO,"&lt;="&amp;EOMONTH(B1544,0))),C_CLAVE,0))&amp;"","Sin dato"))</f>
        <v/>
      </c>
      <c r="AB1544" s="71" t="str">
        <f aca="false">IF(AH1544="","",ROUND(MIN(K1544,TOPE_AFP_UF*AJ1544)*AK1544,0))</f>
        <v/>
      </c>
      <c r="AC1544" s="71" t="str">
        <f aca="false">IF(AH1544="","",ROUND(MIN(K1544,TOPE_AFC_UF*AJ1544)*IF(AA1544="Indefinido",AFC_EMP_INDEF,AFC_EMP_PF),0))</f>
        <v/>
      </c>
      <c r="AD1544" s="71" t="str">
        <f aca="false">IF(AH1544="","",ROUND(MIN(K1544,TOPE_AFP_UF*AJ1544)*(MUTUAL_BASICA+MUTUAL_ADIC+SANNA),0))</f>
        <v/>
      </c>
      <c r="AE1544" s="71" t="str">
        <f aca="false">IF(AH1544="","",P1544-N(N1544)+AB1544+AC1544+AD1544)</f>
        <v/>
      </c>
      <c r="AF1544" s="65"/>
      <c r="AG1544" s="64"/>
      <c r="AH1544" s="72" t="str">
        <f aca="false">IF(OR(B1544="",C1544=""),"",C1544&amp;"|"&amp;(YEAR(B1544)*100+MONTH(B1544)))</f>
        <v/>
      </c>
      <c r="AI1544" s="70" t="str">
        <f aca="false">IF(AH1544="","",IF(COUNTIF(L_CLAVE,AH1544)&gt;1,"⚠ Duplicado","OK"))</f>
        <v/>
      </c>
      <c r="AJ1544" s="86" t="str">
        <f aca="false">IF(AH1544="","",IF(SUMPRODUCT(MAX((IND_PER&lt;=B1544)*(IND_UF&lt;&gt;"")*IND_PER))=0,UF_HOY,INDEX(IND_UF,MATCH(SUMPRODUCT(MAX((IND_PER&lt;=B1544)*(IND_UF&lt;&gt;"")*IND_PER)),IND_PER,0))))</f>
        <v/>
      </c>
      <c r="AK1544" s="87" t="str">
        <f aca="false">IF(AH1544="","",IF(COUNTIF(TASA_DESDE,"&lt;="&amp;B1544)=0,INDEX(TASA_EMP,1),INDEX(TASA_EMP,COUNTIF(TASA_DESDE,"&lt;="&amp;B1544))))</f>
        <v/>
      </c>
    </row>
    <row r="1545" customFormat="false" ht="15" hidden="false" customHeight="false" outlineLevel="0" collapsed="false">
      <c r="B1545" s="78"/>
      <c r="C1545" s="64"/>
      <c r="D1545" s="72" t="str">
        <f aca="false">IF(C1545="","",IFERROR(INDEX(T_NOMBRE,MATCH(C1545,T_ID,0)),"⚠ ID no existe"))</f>
        <v/>
      </c>
      <c r="E1545" s="69"/>
      <c r="F1545" s="67"/>
      <c r="G1545" s="67"/>
      <c r="H1545" s="67"/>
      <c r="I1545" s="67"/>
      <c r="J1545" s="67"/>
      <c r="K1545" s="85" t="str">
        <f aca="false">IF(AH1545="","",N(F1545)+N(G1545)+N(H1545)-N(I1545)+N(J1545))</f>
        <v/>
      </c>
      <c r="L1545" s="67"/>
      <c r="M1545" s="67"/>
      <c r="N1545" s="67"/>
      <c r="O1545" s="67"/>
      <c r="P1545" s="85" t="str">
        <f aca="false">IF(AH1545="","",K1545+N(L1545)+N(M1545)+N(N1545)+N(O1545))</f>
        <v/>
      </c>
      <c r="Q1545" s="67"/>
      <c r="R1545" s="67"/>
      <c r="S1545" s="67"/>
      <c r="T1545" s="67"/>
      <c r="U1545" s="67"/>
      <c r="V1545" s="67"/>
      <c r="W1545" s="85" t="str">
        <f aca="false">IF(AH1545="","",N(Q1545)+N(R1545)+N(S1545)+N(T1545)+N(U1545)+N(V1545))</f>
        <v/>
      </c>
      <c r="X1545" s="85" t="str">
        <f aca="false">IF(AH1545="","",P1545-W1545)</f>
        <v/>
      </c>
      <c r="Y1545" s="67"/>
      <c r="Z1545" s="70" t="str">
        <f aca="false">IF(OR(AH1545="",Y1545=""),"",IF(ABS(X1545-Y1545)&lt;=1,"✓ Cuadra","⚠ Diferencia $"&amp;FIXED(X1545-Y1545,0)))</f>
        <v/>
      </c>
      <c r="AA1545" s="72" t="str">
        <f aca="false">IF(AH1545="","",IFERROR(INDEX(C_TIPO,MATCH(C1545&amp;"-P"&amp;MAX(1,COUNTIFS(C_ID,C1545,C_DEFINE,"Sí",C_INICIO,"&lt;="&amp;EOMONTH(B1545,0))),C_CLAVE,0))&amp;"","Sin dato"))</f>
        <v/>
      </c>
      <c r="AB1545" s="71" t="str">
        <f aca="false">IF(AH1545="","",ROUND(MIN(K1545,TOPE_AFP_UF*AJ1545)*AK1545,0))</f>
        <v/>
      </c>
      <c r="AC1545" s="71" t="str">
        <f aca="false">IF(AH1545="","",ROUND(MIN(K1545,TOPE_AFC_UF*AJ1545)*IF(AA1545="Indefinido",AFC_EMP_INDEF,AFC_EMP_PF),0))</f>
        <v/>
      </c>
      <c r="AD1545" s="71" t="str">
        <f aca="false">IF(AH1545="","",ROUND(MIN(K1545,TOPE_AFP_UF*AJ1545)*(MUTUAL_BASICA+MUTUAL_ADIC+SANNA),0))</f>
        <v/>
      </c>
      <c r="AE1545" s="71" t="str">
        <f aca="false">IF(AH1545="","",P1545-N(N1545)+AB1545+AC1545+AD1545)</f>
        <v/>
      </c>
      <c r="AF1545" s="65"/>
      <c r="AG1545" s="64"/>
      <c r="AH1545" s="72" t="str">
        <f aca="false">IF(OR(B1545="",C1545=""),"",C1545&amp;"|"&amp;(YEAR(B1545)*100+MONTH(B1545)))</f>
        <v/>
      </c>
      <c r="AI1545" s="70" t="str">
        <f aca="false">IF(AH1545="","",IF(COUNTIF(L_CLAVE,AH1545)&gt;1,"⚠ Duplicado","OK"))</f>
        <v/>
      </c>
      <c r="AJ1545" s="86" t="str">
        <f aca="false">IF(AH1545="","",IF(SUMPRODUCT(MAX((IND_PER&lt;=B1545)*(IND_UF&lt;&gt;"")*IND_PER))=0,UF_HOY,INDEX(IND_UF,MATCH(SUMPRODUCT(MAX((IND_PER&lt;=B1545)*(IND_UF&lt;&gt;"")*IND_PER)),IND_PER,0))))</f>
        <v/>
      </c>
      <c r="AK1545" s="87" t="str">
        <f aca="false">IF(AH1545="","",IF(COUNTIF(TASA_DESDE,"&lt;="&amp;B1545)=0,INDEX(TASA_EMP,1),INDEX(TASA_EMP,COUNTIF(TASA_DESDE,"&lt;="&amp;B1545))))</f>
        <v/>
      </c>
    </row>
    <row r="1546" customFormat="false" ht="15" hidden="false" customHeight="false" outlineLevel="0" collapsed="false">
      <c r="B1546" s="78"/>
      <c r="C1546" s="64"/>
      <c r="D1546" s="72" t="str">
        <f aca="false">IF(C1546="","",IFERROR(INDEX(T_NOMBRE,MATCH(C1546,T_ID,0)),"⚠ ID no existe"))</f>
        <v/>
      </c>
      <c r="E1546" s="69"/>
      <c r="F1546" s="67"/>
      <c r="G1546" s="67"/>
      <c r="H1546" s="67"/>
      <c r="I1546" s="67"/>
      <c r="J1546" s="67"/>
      <c r="K1546" s="85" t="str">
        <f aca="false">IF(AH1546="","",N(F1546)+N(G1546)+N(H1546)-N(I1546)+N(J1546))</f>
        <v/>
      </c>
      <c r="L1546" s="67"/>
      <c r="M1546" s="67"/>
      <c r="N1546" s="67"/>
      <c r="O1546" s="67"/>
      <c r="P1546" s="85" t="str">
        <f aca="false">IF(AH1546="","",K1546+N(L1546)+N(M1546)+N(N1546)+N(O1546))</f>
        <v/>
      </c>
      <c r="Q1546" s="67"/>
      <c r="R1546" s="67"/>
      <c r="S1546" s="67"/>
      <c r="T1546" s="67"/>
      <c r="U1546" s="67"/>
      <c r="V1546" s="67"/>
      <c r="W1546" s="85" t="str">
        <f aca="false">IF(AH1546="","",N(Q1546)+N(R1546)+N(S1546)+N(T1546)+N(U1546)+N(V1546))</f>
        <v/>
      </c>
      <c r="X1546" s="85" t="str">
        <f aca="false">IF(AH1546="","",P1546-W1546)</f>
        <v/>
      </c>
      <c r="Y1546" s="67"/>
      <c r="Z1546" s="70" t="str">
        <f aca="false">IF(OR(AH1546="",Y1546=""),"",IF(ABS(X1546-Y1546)&lt;=1,"✓ Cuadra","⚠ Diferencia $"&amp;FIXED(X1546-Y1546,0)))</f>
        <v/>
      </c>
      <c r="AA1546" s="72" t="str">
        <f aca="false">IF(AH1546="","",IFERROR(INDEX(C_TIPO,MATCH(C1546&amp;"-P"&amp;MAX(1,COUNTIFS(C_ID,C1546,C_DEFINE,"Sí",C_INICIO,"&lt;="&amp;EOMONTH(B1546,0))),C_CLAVE,0))&amp;"","Sin dato"))</f>
        <v/>
      </c>
      <c r="AB1546" s="71" t="str">
        <f aca="false">IF(AH1546="","",ROUND(MIN(K1546,TOPE_AFP_UF*AJ1546)*AK1546,0))</f>
        <v/>
      </c>
      <c r="AC1546" s="71" t="str">
        <f aca="false">IF(AH1546="","",ROUND(MIN(K1546,TOPE_AFC_UF*AJ1546)*IF(AA1546="Indefinido",AFC_EMP_INDEF,AFC_EMP_PF),0))</f>
        <v/>
      </c>
      <c r="AD1546" s="71" t="str">
        <f aca="false">IF(AH1546="","",ROUND(MIN(K1546,TOPE_AFP_UF*AJ1546)*(MUTUAL_BASICA+MUTUAL_ADIC+SANNA),0))</f>
        <v/>
      </c>
      <c r="AE1546" s="71" t="str">
        <f aca="false">IF(AH1546="","",P1546-N(N1546)+AB1546+AC1546+AD1546)</f>
        <v/>
      </c>
      <c r="AF1546" s="65"/>
      <c r="AG1546" s="64"/>
      <c r="AH1546" s="72" t="str">
        <f aca="false">IF(OR(B1546="",C1546=""),"",C1546&amp;"|"&amp;(YEAR(B1546)*100+MONTH(B1546)))</f>
        <v/>
      </c>
      <c r="AI1546" s="70" t="str">
        <f aca="false">IF(AH1546="","",IF(COUNTIF(L_CLAVE,AH1546)&gt;1,"⚠ Duplicado","OK"))</f>
        <v/>
      </c>
      <c r="AJ1546" s="86" t="str">
        <f aca="false">IF(AH1546="","",IF(SUMPRODUCT(MAX((IND_PER&lt;=B1546)*(IND_UF&lt;&gt;"")*IND_PER))=0,UF_HOY,INDEX(IND_UF,MATCH(SUMPRODUCT(MAX((IND_PER&lt;=B1546)*(IND_UF&lt;&gt;"")*IND_PER)),IND_PER,0))))</f>
        <v/>
      </c>
      <c r="AK1546" s="87" t="str">
        <f aca="false">IF(AH1546="","",IF(COUNTIF(TASA_DESDE,"&lt;="&amp;B1546)=0,INDEX(TASA_EMP,1),INDEX(TASA_EMP,COUNTIF(TASA_DESDE,"&lt;="&amp;B1546))))</f>
        <v/>
      </c>
    </row>
    <row r="1547" customFormat="false" ht="15" hidden="false" customHeight="false" outlineLevel="0" collapsed="false">
      <c r="B1547" s="78"/>
      <c r="C1547" s="64"/>
      <c r="D1547" s="72" t="str">
        <f aca="false">IF(C1547="","",IFERROR(INDEX(T_NOMBRE,MATCH(C1547,T_ID,0)),"⚠ ID no existe"))</f>
        <v/>
      </c>
      <c r="E1547" s="69"/>
      <c r="F1547" s="67"/>
      <c r="G1547" s="67"/>
      <c r="H1547" s="67"/>
      <c r="I1547" s="67"/>
      <c r="J1547" s="67"/>
      <c r="K1547" s="85" t="str">
        <f aca="false">IF(AH1547="","",N(F1547)+N(G1547)+N(H1547)-N(I1547)+N(J1547))</f>
        <v/>
      </c>
      <c r="L1547" s="67"/>
      <c r="M1547" s="67"/>
      <c r="N1547" s="67"/>
      <c r="O1547" s="67"/>
      <c r="P1547" s="85" t="str">
        <f aca="false">IF(AH1547="","",K1547+N(L1547)+N(M1547)+N(N1547)+N(O1547))</f>
        <v/>
      </c>
      <c r="Q1547" s="67"/>
      <c r="R1547" s="67"/>
      <c r="S1547" s="67"/>
      <c r="T1547" s="67"/>
      <c r="U1547" s="67"/>
      <c r="V1547" s="67"/>
      <c r="W1547" s="85" t="str">
        <f aca="false">IF(AH1547="","",N(Q1547)+N(R1547)+N(S1547)+N(T1547)+N(U1547)+N(V1547))</f>
        <v/>
      </c>
      <c r="X1547" s="85" t="str">
        <f aca="false">IF(AH1547="","",P1547-W1547)</f>
        <v/>
      </c>
      <c r="Y1547" s="67"/>
      <c r="Z1547" s="70" t="str">
        <f aca="false">IF(OR(AH1547="",Y1547=""),"",IF(ABS(X1547-Y1547)&lt;=1,"✓ Cuadra","⚠ Diferencia $"&amp;FIXED(X1547-Y1547,0)))</f>
        <v/>
      </c>
      <c r="AA1547" s="72" t="str">
        <f aca="false">IF(AH1547="","",IFERROR(INDEX(C_TIPO,MATCH(C1547&amp;"-P"&amp;MAX(1,COUNTIFS(C_ID,C1547,C_DEFINE,"Sí",C_INICIO,"&lt;="&amp;EOMONTH(B1547,0))),C_CLAVE,0))&amp;"","Sin dato"))</f>
        <v/>
      </c>
      <c r="AB1547" s="71" t="str">
        <f aca="false">IF(AH1547="","",ROUND(MIN(K1547,TOPE_AFP_UF*AJ1547)*AK1547,0))</f>
        <v/>
      </c>
      <c r="AC1547" s="71" t="str">
        <f aca="false">IF(AH1547="","",ROUND(MIN(K1547,TOPE_AFC_UF*AJ1547)*IF(AA1547="Indefinido",AFC_EMP_INDEF,AFC_EMP_PF),0))</f>
        <v/>
      </c>
      <c r="AD1547" s="71" t="str">
        <f aca="false">IF(AH1547="","",ROUND(MIN(K1547,TOPE_AFP_UF*AJ1547)*(MUTUAL_BASICA+MUTUAL_ADIC+SANNA),0))</f>
        <v/>
      </c>
      <c r="AE1547" s="71" t="str">
        <f aca="false">IF(AH1547="","",P1547-N(N1547)+AB1547+AC1547+AD1547)</f>
        <v/>
      </c>
      <c r="AF1547" s="65"/>
      <c r="AG1547" s="64"/>
      <c r="AH1547" s="72" t="str">
        <f aca="false">IF(OR(B1547="",C1547=""),"",C1547&amp;"|"&amp;(YEAR(B1547)*100+MONTH(B1547)))</f>
        <v/>
      </c>
      <c r="AI1547" s="70" t="str">
        <f aca="false">IF(AH1547="","",IF(COUNTIF(L_CLAVE,AH1547)&gt;1,"⚠ Duplicado","OK"))</f>
        <v/>
      </c>
      <c r="AJ1547" s="86" t="str">
        <f aca="false">IF(AH1547="","",IF(SUMPRODUCT(MAX((IND_PER&lt;=B1547)*(IND_UF&lt;&gt;"")*IND_PER))=0,UF_HOY,INDEX(IND_UF,MATCH(SUMPRODUCT(MAX((IND_PER&lt;=B1547)*(IND_UF&lt;&gt;"")*IND_PER)),IND_PER,0))))</f>
        <v/>
      </c>
      <c r="AK1547" s="87" t="str">
        <f aca="false">IF(AH1547="","",IF(COUNTIF(TASA_DESDE,"&lt;="&amp;B1547)=0,INDEX(TASA_EMP,1),INDEX(TASA_EMP,COUNTIF(TASA_DESDE,"&lt;="&amp;B1547))))</f>
        <v/>
      </c>
    </row>
    <row r="1548" customFormat="false" ht="15" hidden="false" customHeight="false" outlineLevel="0" collapsed="false">
      <c r="B1548" s="78"/>
      <c r="C1548" s="64"/>
      <c r="D1548" s="72" t="str">
        <f aca="false">IF(C1548="","",IFERROR(INDEX(T_NOMBRE,MATCH(C1548,T_ID,0)),"⚠ ID no existe"))</f>
        <v/>
      </c>
      <c r="E1548" s="69"/>
      <c r="F1548" s="67"/>
      <c r="G1548" s="67"/>
      <c r="H1548" s="67"/>
      <c r="I1548" s="67"/>
      <c r="J1548" s="67"/>
      <c r="K1548" s="85" t="str">
        <f aca="false">IF(AH1548="","",N(F1548)+N(G1548)+N(H1548)-N(I1548)+N(J1548))</f>
        <v/>
      </c>
      <c r="L1548" s="67"/>
      <c r="M1548" s="67"/>
      <c r="N1548" s="67"/>
      <c r="O1548" s="67"/>
      <c r="P1548" s="85" t="str">
        <f aca="false">IF(AH1548="","",K1548+N(L1548)+N(M1548)+N(N1548)+N(O1548))</f>
        <v/>
      </c>
      <c r="Q1548" s="67"/>
      <c r="R1548" s="67"/>
      <c r="S1548" s="67"/>
      <c r="T1548" s="67"/>
      <c r="U1548" s="67"/>
      <c r="V1548" s="67"/>
      <c r="W1548" s="85" t="str">
        <f aca="false">IF(AH1548="","",N(Q1548)+N(R1548)+N(S1548)+N(T1548)+N(U1548)+N(V1548))</f>
        <v/>
      </c>
      <c r="X1548" s="85" t="str">
        <f aca="false">IF(AH1548="","",P1548-W1548)</f>
        <v/>
      </c>
      <c r="Y1548" s="67"/>
      <c r="Z1548" s="70" t="str">
        <f aca="false">IF(OR(AH1548="",Y1548=""),"",IF(ABS(X1548-Y1548)&lt;=1,"✓ Cuadra","⚠ Diferencia $"&amp;FIXED(X1548-Y1548,0)))</f>
        <v/>
      </c>
      <c r="AA1548" s="72" t="str">
        <f aca="false">IF(AH1548="","",IFERROR(INDEX(C_TIPO,MATCH(C1548&amp;"-P"&amp;MAX(1,COUNTIFS(C_ID,C1548,C_DEFINE,"Sí",C_INICIO,"&lt;="&amp;EOMONTH(B1548,0))),C_CLAVE,0))&amp;"","Sin dato"))</f>
        <v/>
      </c>
      <c r="AB1548" s="71" t="str">
        <f aca="false">IF(AH1548="","",ROUND(MIN(K1548,TOPE_AFP_UF*AJ1548)*AK1548,0))</f>
        <v/>
      </c>
      <c r="AC1548" s="71" t="str">
        <f aca="false">IF(AH1548="","",ROUND(MIN(K1548,TOPE_AFC_UF*AJ1548)*IF(AA1548="Indefinido",AFC_EMP_INDEF,AFC_EMP_PF),0))</f>
        <v/>
      </c>
      <c r="AD1548" s="71" t="str">
        <f aca="false">IF(AH1548="","",ROUND(MIN(K1548,TOPE_AFP_UF*AJ1548)*(MUTUAL_BASICA+MUTUAL_ADIC+SANNA),0))</f>
        <v/>
      </c>
      <c r="AE1548" s="71" t="str">
        <f aca="false">IF(AH1548="","",P1548-N(N1548)+AB1548+AC1548+AD1548)</f>
        <v/>
      </c>
      <c r="AF1548" s="65"/>
      <c r="AG1548" s="64"/>
      <c r="AH1548" s="72" t="str">
        <f aca="false">IF(OR(B1548="",C1548=""),"",C1548&amp;"|"&amp;(YEAR(B1548)*100+MONTH(B1548)))</f>
        <v/>
      </c>
      <c r="AI1548" s="70" t="str">
        <f aca="false">IF(AH1548="","",IF(COUNTIF(L_CLAVE,AH1548)&gt;1,"⚠ Duplicado","OK"))</f>
        <v/>
      </c>
      <c r="AJ1548" s="86" t="str">
        <f aca="false">IF(AH1548="","",IF(SUMPRODUCT(MAX((IND_PER&lt;=B1548)*(IND_UF&lt;&gt;"")*IND_PER))=0,UF_HOY,INDEX(IND_UF,MATCH(SUMPRODUCT(MAX((IND_PER&lt;=B1548)*(IND_UF&lt;&gt;"")*IND_PER)),IND_PER,0))))</f>
        <v/>
      </c>
      <c r="AK1548" s="87" t="str">
        <f aca="false">IF(AH1548="","",IF(COUNTIF(TASA_DESDE,"&lt;="&amp;B1548)=0,INDEX(TASA_EMP,1),INDEX(TASA_EMP,COUNTIF(TASA_DESDE,"&lt;="&amp;B1548))))</f>
        <v/>
      </c>
    </row>
    <row r="1549" customFormat="false" ht="15" hidden="false" customHeight="false" outlineLevel="0" collapsed="false">
      <c r="B1549" s="78"/>
      <c r="C1549" s="64"/>
      <c r="D1549" s="72" t="str">
        <f aca="false">IF(C1549="","",IFERROR(INDEX(T_NOMBRE,MATCH(C1549,T_ID,0)),"⚠ ID no existe"))</f>
        <v/>
      </c>
      <c r="E1549" s="69"/>
      <c r="F1549" s="67"/>
      <c r="G1549" s="67"/>
      <c r="H1549" s="67"/>
      <c r="I1549" s="67"/>
      <c r="J1549" s="67"/>
      <c r="K1549" s="85" t="str">
        <f aca="false">IF(AH1549="","",N(F1549)+N(G1549)+N(H1549)-N(I1549)+N(J1549))</f>
        <v/>
      </c>
      <c r="L1549" s="67"/>
      <c r="M1549" s="67"/>
      <c r="N1549" s="67"/>
      <c r="O1549" s="67"/>
      <c r="P1549" s="85" t="str">
        <f aca="false">IF(AH1549="","",K1549+N(L1549)+N(M1549)+N(N1549)+N(O1549))</f>
        <v/>
      </c>
      <c r="Q1549" s="67"/>
      <c r="R1549" s="67"/>
      <c r="S1549" s="67"/>
      <c r="T1549" s="67"/>
      <c r="U1549" s="67"/>
      <c r="V1549" s="67"/>
      <c r="W1549" s="85" t="str">
        <f aca="false">IF(AH1549="","",N(Q1549)+N(R1549)+N(S1549)+N(T1549)+N(U1549)+N(V1549))</f>
        <v/>
      </c>
      <c r="X1549" s="85" t="str">
        <f aca="false">IF(AH1549="","",P1549-W1549)</f>
        <v/>
      </c>
      <c r="Y1549" s="67"/>
      <c r="Z1549" s="70" t="str">
        <f aca="false">IF(OR(AH1549="",Y1549=""),"",IF(ABS(X1549-Y1549)&lt;=1,"✓ Cuadra","⚠ Diferencia $"&amp;FIXED(X1549-Y1549,0)))</f>
        <v/>
      </c>
      <c r="AA1549" s="72" t="str">
        <f aca="false">IF(AH1549="","",IFERROR(INDEX(C_TIPO,MATCH(C1549&amp;"-P"&amp;MAX(1,COUNTIFS(C_ID,C1549,C_DEFINE,"Sí",C_INICIO,"&lt;="&amp;EOMONTH(B1549,0))),C_CLAVE,0))&amp;"","Sin dato"))</f>
        <v/>
      </c>
      <c r="AB1549" s="71" t="str">
        <f aca="false">IF(AH1549="","",ROUND(MIN(K1549,TOPE_AFP_UF*AJ1549)*AK1549,0))</f>
        <v/>
      </c>
      <c r="AC1549" s="71" t="str">
        <f aca="false">IF(AH1549="","",ROUND(MIN(K1549,TOPE_AFC_UF*AJ1549)*IF(AA1549="Indefinido",AFC_EMP_INDEF,AFC_EMP_PF),0))</f>
        <v/>
      </c>
      <c r="AD1549" s="71" t="str">
        <f aca="false">IF(AH1549="","",ROUND(MIN(K1549,TOPE_AFP_UF*AJ1549)*(MUTUAL_BASICA+MUTUAL_ADIC+SANNA),0))</f>
        <v/>
      </c>
      <c r="AE1549" s="71" t="str">
        <f aca="false">IF(AH1549="","",P1549-N(N1549)+AB1549+AC1549+AD1549)</f>
        <v/>
      </c>
      <c r="AF1549" s="65"/>
      <c r="AG1549" s="64"/>
      <c r="AH1549" s="72" t="str">
        <f aca="false">IF(OR(B1549="",C1549=""),"",C1549&amp;"|"&amp;(YEAR(B1549)*100+MONTH(B1549)))</f>
        <v/>
      </c>
      <c r="AI1549" s="70" t="str">
        <f aca="false">IF(AH1549="","",IF(COUNTIF(L_CLAVE,AH1549)&gt;1,"⚠ Duplicado","OK"))</f>
        <v/>
      </c>
      <c r="AJ1549" s="86" t="str">
        <f aca="false">IF(AH1549="","",IF(SUMPRODUCT(MAX((IND_PER&lt;=B1549)*(IND_UF&lt;&gt;"")*IND_PER))=0,UF_HOY,INDEX(IND_UF,MATCH(SUMPRODUCT(MAX((IND_PER&lt;=B1549)*(IND_UF&lt;&gt;"")*IND_PER)),IND_PER,0))))</f>
        <v/>
      </c>
      <c r="AK1549" s="87" t="str">
        <f aca="false">IF(AH1549="","",IF(COUNTIF(TASA_DESDE,"&lt;="&amp;B1549)=0,INDEX(TASA_EMP,1),INDEX(TASA_EMP,COUNTIF(TASA_DESDE,"&lt;="&amp;B1549))))</f>
        <v/>
      </c>
    </row>
    <row r="1550" customFormat="false" ht="15" hidden="false" customHeight="false" outlineLevel="0" collapsed="false">
      <c r="B1550" s="78"/>
      <c r="C1550" s="64"/>
      <c r="D1550" s="72" t="str">
        <f aca="false">IF(C1550="","",IFERROR(INDEX(T_NOMBRE,MATCH(C1550,T_ID,0)),"⚠ ID no existe"))</f>
        <v/>
      </c>
      <c r="E1550" s="69"/>
      <c r="F1550" s="67"/>
      <c r="G1550" s="67"/>
      <c r="H1550" s="67"/>
      <c r="I1550" s="67"/>
      <c r="J1550" s="67"/>
      <c r="K1550" s="85" t="str">
        <f aca="false">IF(AH1550="","",N(F1550)+N(G1550)+N(H1550)-N(I1550)+N(J1550))</f>
        <v/>
      </c>
      <c r="L1550" s="67"/>
      <c r="M1550" s="67"/>
      <c r="N1550" s="67"/>
      <c r="O1550" s="67"/>
      <c r="P1550" s="85" t="str">
        <f aca="false">IF(AH1550="","",K1550+N(L1550)+N(M1550)+N(N1550)+N(O1550))</f>
        <v/>
      </c>
      <c r="Q1550" s="67"/>
      <c r="R1550" s="67"/>
      <c r="S1550" s="67"/>
      <c r="T1550" s="67"/>
      <c r="U1550" s="67"/>
      <c r="V1550" s="67"/>
      <c r="W1550" s="85" t="str">
        <f aca="false">IF(AH1550="","",N(Q1550)+N(R1550)+N(S1550)+N(T1550)+N(U1550)+N(V1550))</f>
        <v/>
      </c>
      <c r="X1550" s="85" t="str">
        <f aca="false">IF(AH1550="","",P1550-W1550)</f>
        <v/>
      </c>
      <c r="Y1550" s="67"/>
      <c r="Z1550" s="70" t="str">
        <f aca="false">IF(OR(AH1550="",Y1550=""),"",IF(ABS(X1550-Y1550)&lt;=1,"✓ Cuadra","⚠ Diferencia $"&amp;FIXED(X1550-Y1550,0)))</f>
        <v/>
      </c>
      <c r="AA1550" s="72" t="str">
        <f aca="false">IF(AH1550="","",IFERROR(INDEX(C_TIPO,MATCH(C1550&amp;"-P"&amp;MAX(1,COUNTIFS(C_ID,C1550,C_DEFINE,"Sí",C_INICIO,"&lt;="&amp;EOMONTH(B1550,0))),C_CLAVE,0))&amp;"","Sin dato"))</f>
        <v/>
      </c>
      <c r="AB1550" s="71" t="str">
        <f aca="false">IF(AH1550="","",ROUND(MIN(K1550,TOPE_AFP_UF*AJ1550)*AK1550,0))</f>
        <v/>
      </c>
      <c r="AC1550" s="71" t="str">
        <f aca="false">IF(AH1550="","",ROUND(MIN(K1550,TOPE_AFC_UF*AJ1550)*IF(AA1550="Indefinido",AFC_EMP_INDEF,AFC_EMP_PF),0))</f>
        <v/>
      </c>
      <c r="AD1550" s="71" t="str">
        <f aca="false">IF(AH1550="","",ROUND(MIN(K1550,TOPE_AFP_UF*AJ1550)*(MUTUAL_BASICA+MUTUAL_ADIC+SANNA),0))</f>
        <v/>
      </c>
      <c r="AE1550" s="71" t="str">
        <f aca="false">IF(AH1550="","",P1550-N(N1550)+AB1550+AC1550+AD1550)</f>
        <v/>
      </c>
      <c r="AF1550" s="65"/>
      <c r="AG1550" s="64"/>
      <c r="AH1550" s="72" t="str">
        <f aca="false">IF(OR(B1550="",C1550=""),"",C1550&amp;"|"&amp;(YEAR(B1550)*100+MONTH(B1550)))</f>
        <v/>
      </c>
      <c r="AI1550" s="70" t="str">
        <f aca="false">IF(AH1550="","",IF(COUNTIF(L_CLAVE,AH1550)&gt;1,"⚠ Duplicado","OK"))</f>
        <v/>
      </c>
      <c r="AJ1550" s="86" t="str">
        <f aca="false">IF(AH1550="","",IF(SUMPRODUCT(MAX((IND_PER&lt;=B1550)*(IND_UF&lt;&gt;"")*IND_PER))=0,UF_HOY,INDEX(IND_UF,MATCH(SUMPRODUCT(MAX((IND_PER&lt;=B1550)*(IND_UF&lt;&gt;"")*IND_PER)),IND_PER,0))))</f>
        <v/>
      </c>
      <c r="AK1550" s="87" t="str">
        <f aca="false">IF(AH1550="","",IF(COUNTIF(TASA_DESDE,"&lt;="&amp;B1550)=0,INDEX(TASA_EMP,1),INDEX(TASA_EMP,COUNTIF(TASA_DESDE,"&lt;="&amp;B1550))))</f>
        <v/>
      </c>
    </row>
    <row r="1551" customFormat="false" ht="15" hidden="false" customHeight="false" outlineLevel="0" collapsed="false">
      <c r="B1551" s="78"/>
      <c r="C1551" s="64"/>
      <c r="D1551" s="72" t="str">
        <f aca="false">IF(C1551="","",IFERROR(INDEX(T_NOMBRE,MATCH(C1551,T_ID,0)),"⚠ ID no existe"))</f>
        <v/>
      </c>
      <c r="E1551" s="69"/>
      <c r="F1551" s="67"/>
      <c r="G1551" s="67"/>
      <c r="H1551" s="67"/>
      <c r="I1551" s="67"/>
      <c r="J1551" s="67"/>
      <c r="K1551" s="85" t="str">
        <f aca="false">IF(AH1551="","",N(F1551)+N(G1551)+N(H1551)-N(I1551)+N(J1551))</f>
        <v/>
      </c>
      <c r="L1551" s="67"/>
      <c r="M1551" s="67"/>
      <c r="N1551" s="67"/>
      <c r="O1551" s="67"/>
      <c r="P1551" s="85" t="str">
        <f aca="false">IF(AH1551="","",K1551+N(L1551)+N(M1551)+N(N1551)+N(O1551))</f>
        <v/>
      </c>
      <c r="Q1551" s="67"/>
      <c r="R1551" s="67"/>
      <c r="S1551" s="67"/>
      <c r="T1551" s="67"/>
      <c r="U1551" s="67"/>
      <c r="V1551" s="67"/>
      <c r="W1551" s="85" t="str">
        <f aca="false">IF(AH1551="","",N(Q1551)+N(R1551)+N(S1551)+N(T1551)+N(U1551)+N(V1551))</f>
        <v/>
      </c>
      <c r="X1551" s="85" t="str">
        <f aca="false">IF(AH1551="","",P1551-W1551)</f>
        <v/>
      </c>
      <c r="Y1551" s="67"/>
      <c r="Z1551" s="70" t="str">
        <f aca="false">IF(OR(AH1551="",Y1551=""),"",IF(ABS(X1551-Y1551)&lt;=1,"✓ Cuadra","⚠ Diferencia $"&amp;FIXED(X1551-Y1551,0)))</f>
        <v/>
      </c>
      <c r="AA1551" s="72" t="str">
        <f aca="false">IF(AH1551="","",IFERROR(INDEX(C_TIPO,MATCH(C1551&amp;"-P"&amp;MAX(1,COUNTIFS(C_ID,C1551,C_DEFINE,"Sí",C_INICIO,"&lt;="&amp;EOMONTH(B1551,0))),C_CLAVE,0))&amp;"","Sin dato"))</f>
        <v/>
      </c>
      <c r="AB1551" s="71" t="str">
        <f aca="false">IF(AH1551="","",ROUND(MIN(K1551,TOPE_AFP_UF*AJ1551)*AK1551,0))</f>
        <v/>
      </c>
      <c r="AC1551" s="71" t="str">
        <f aca="false">IF(AH1551="","",ROUND(MIN(K1551,TOPE_AFC_UF*AJ1551)*IF(AA1551="Indefinido",AFC_EMP_INDEF,AFC_EMP_PF),0))</f>
        <v/>
      </c>
      <c r="AD1551" s="71" t="str">
        <f aca="false">IF(AH1551="","",ROUND(MIN(K1551,TOPE_AFP_UF*AJ1551)*(MUTUAL_BASICA+MUTUAL_ADIC+SANNA),0))</f>
        <v/>
      </c>
      <c r="AE1551" s="71" t="str">
        <f aca="false">IF(AH1551="","",P1551-N(N1551)+AB1551+AC1551+AD1551)</f>
        <v/>
      </c>
      <c r="AF1551" s="65"/>
      <c r="AG1551" s="64"/>
      <c r="AH1551" s="72" t="str">
        <f aca="false">IF(OR(B1551="",C1551=""),"",C1551&amp;"|"&amp;(YEAR(B1551)*100+MONTH(B1551)))</f>
        <v/>
      </c>
      <c r="AI1551" s="70" t="str">
        <f aca="false">IF(AH1551="","",IF(COUNTIF(L_CLAVE,AH1551)&gt;1,"⚠ Duplicado","OK"))</f>
        <v/>
      </c>
      <c r="AJ1551" s="86" t="str">
        <f aca="false">IF(AH1551="","",IF(SUMPRODUCT(MAX((IND_PER&lt;=B1551)*(IND_UF&lt;&gt;"")*IND_PER))=0,UF_HOY,INDEX(IND_UF,MATCH(SUMPRODUCT(MAX((IND_PER&lt;=B1551)*(IND_UF&lt;&gt;"")*IND_PER)),IND_PER,0))))</f>
        <v/>
      </c>
      <c r="AK1551" s="87" t="str">
        <f aca="false">IF(AH1551="","",IF(COUNTIF(TASA_DESDE,"&lt;="&amp;B1551)=0,INDEX(TASA_EMP,1),INDEX(TASA_EMP,COUNTIF(TASA_DESDE,"&lt;="&amp;B1551))))</f>
        <v/>
      </c>
    </row>
    <row r="1552" customFormat="false" ht="15" hidden="false" customHeight="false" outlineLevel="0" collapsed="false">
      <c r="B1552" s="78"/>
      <c r="C1552" s="64"/>
      <c r="D1552" s="72" t="str">
        <f aca="false">IF(C1552="","",IFERROR(INDEX(T_NOMBRE,MATCH(C1552,T_ID,0)),"⚠ ID no existe"))</f>
        <v/>
      </c>
      <c r="E1552" s="69"/>
      <c r="F1552" s="67"/>
      <c r="G1552" s="67"/>
      <c r="H1552" s="67"/>
      <c r="I1552" s="67"/>
      <c r="J1552" s="67"/>
      <c r="K1552" s="85" t="str">
        <f aca="false">IF(AH1552="","",N(F1552)+N(G1552)+N(H1552)-N(I1552)+N(J1552))</f>
        <v/>
      </c>
      <c r="L1552" s="67"/>
      <c r="M1552" s="67"/>
      <c r="N1552" s="67"/>
      <c r="O1552" s="67"/>
      <c r="P1552" s="85" t="str">
        <f aca="false">IF(AH1552="","",K1552+N(L1552)+N(M1552)+N(N1552)+N(O1552))</f>
        <v/>
      </c>
      <c r="Q1552" s="67"/>
      <c r="R1552" s="67"/>
      <c r="S1552" s="67"/>
      <c r="T1552" s="67"/>
      <c r="U1552" s="67"/>
      <c r="V1552" s="67"/>
      <c r="W1552" s="85" t="str">
        <f aca="false">IF(AH1552="","",N(Q1552)+N(R1552)+N(S1552)+N(T1552)+N(U1552)+N(V1552))</f>
        <v/>
      </c>
      <c r="X1552" s="85" t="str">
        <f aca="false">IF(AH1552="","",P1552-W1552)</f>
        <v/>
      </c>
      <c r="Y1552" s="67"/>
      <c r="Z1552" s="70" t="str">
        <f aca="false">IF(OR(AH1552="",Y1552=""),"",IF(ABS(X1552-Y1552)&lt;=1,"✓ Cuadra","⚠ Diferencia $"&amp;FIXED(X1552-Y1552,0)))</f>
        <v/>
      </c>
      <c r="AA1552" s="72" t="str">
        <f aca="false">IF(AH1552="","",IFERROR(INDEX(C_TIPO,MATCH(C1552&amp;"-P"&amp;MAX(1,COUNTIFS(C_ID,C1552,C_DEFINE,"Sí",C_INICIO,"&lt;="&amp;EOMONTH(B1552,0))),C_CLAVE,0))&amp;"","Sin dato"))</f>
        <v/>
      </c>
      <c r="AB1552" s="71" t="str">
        <f aca="false">IF(AH1552="","",ROUND(MIN(K1552,TOPE_AFP_UF*AJ1552)*AK1552,0))</f>
        <v/>
      </c>
      <c r="AC1552" s="71" t="str">
        <f aca="false">IF(AH1552="","",ROUND(MIN(K1552,TOPE_AFC_UF*AJ1552)*IF(AA1552="Indefinido",AFC_EMP_INDEF,AFC_EMP_PF),0))</f>
        <v/>
      </c>
      <c r="AD1552" s="71" t="str">
        <f aca="false">IF(AH1552="","",ROUND(MIN(K1552,TOPE_AFP_UF*AJ1552)*(MUTUAL_BASICA+MUTUAL_ADIC+SANNA),0))</f>
        <v/>
      </c>
      <c r="AE1552" s="71" t="str">
        <f aca="false">IF(AH1552="","",P1552-N(N1552)+AB1552+AC1552+AD1552)</f>
        <v/>
      </c>
      <c r="AF1552" s="65"/>
      <c r="AG1552" s="64"/>
      <c r="AH1552" s="72" t="str">
        <f aca="false">IF(OR(B1552="",C1552=""),"",C1552&amp;"|"&amp;(YEAR(B1552)*100+MONTH(B1552)))</f>
        <v/>
      </c>
      <c r="AI1552" s="70" t="str">
        <f aca="false">IF(AH1552="","",IF(COUNTIF(L_CLAVE,AH1552)&gt;1,"⚠ Duplicado","OK"))</f>
        <v/>
      </c>
      <c r="AJ1552" s="86" t="str">
        <f aca="false">IF(AH1552="","",IF(SUMPRODUCT(MAX((IND_PER&lt;=B1552)*(IND_UF&lt;&gt;"")*IND_PER))=0,UF_HOY,INDEX(IND_UF,MATCH(SUMPRODUCT(MAX((IND_PER&lt;=B1552)*(IND_UF&lt;&gt;"")*IND_PER)),IND_PER,0))))</f>
        <v/>
      </c>
      <c r="AK1552" s="87" t="str">
        <f aca="false">IF(AH1552="","",IF(COUNTIF(TASA_DESDE,"&lt;="&amp;B1552)=0,INDEX(TASA_EMP,1),INDEX(TASA_EMP,COUNTIF(TASA_DESDE,"&lt;="&amp;B1552))))</f>
        <v/>
      </c>
    </row>
    <row r="1553" customFormat="false" ht="15" hidden="false" customHeight="false" outlineLevel="0" collapsed="false">
      <c r="B1553" s="78"/>
      <c r="C1553" s="64"/>
      <c r="D1553" s="72" t="str">
        <f aca="false">IF(C1553="","",IFERROR(INDEX(T_NOMBRE,MATCH(C1553,T_ID,0)),"⚠ ID no existe"))</f>
        <v/>
      </c>
      <c r="E1553" s="69"/>
      <c r="F1553" s="67"/>
      <c r="G1553" s="67"/>
      <c r="H1553" s="67"/>
      <c r="I1553" s="67"/>
      <c r="J1553" s="67"/>
      <c r="K1553" s="85" t="str">
        <f aca="false">IF(AH1553="","",N(F1553)+N(G1553)+N(H1553)-N(I1553)+N(J1553))</f>
        <v/>
      </c>
      <c r="L1553" s="67"/>
      <c r="M1553" s="67"/>
      <c r="N1553" s="67"/>
      <c r="O1553" s="67"/>
      <c r="P1553" s="85" t="str">
        <f aca="false">IF(AH1553="","",K1553+N(L1553)+N(M1553)+N(N1553)+N(O1553))</f>
        <v/>
      </c>
      <c r="Q1553" s="67"/>
      <c r="R1553" s="67"/>
      <c r="S1553" s="67"/>
      <c r="T1553" s="67"/>
      <c r="U1553" s="67"/>
      <c r="V1553" s="67"/>
      <c r="W1553" s="85" t="str">
        <f aca="false">IF(AH1553="","",N(Q1553)+N(R1553)+N(S1553)+N(T1553)+N(U1553)+N(V1553))</f>
        <v/>
      </c>
      <c r="X1553" s="85" t="str">
        <f aca="false">IF(AH1553="","",P1553-W1553)</f>
        <v/>
      </c>
      <c r="Y1553" s="67"/>
      <c r="Z1553" s="70" t="str">
        <f aca="false">IF(OR(AH1553="",Y1553=""),"",IF(ABS(X1553-Y1553)&lt;=1,"✓ Cuadra","⚠ Diferencia $"&amp;FIXED(X1553-Y1553,0)))</f>
        <v/>
      </c>
      <c r="AA1553" s="72" t="str">
        <f aca="false">IF(AH1553="","",IFERROR(INDEX(C_TIPO,MATCH(C1553&amp;"-P"&amp;MAX(1,COUNTIFS(C_ID,C1553,C_DEFINE,"Sí",C_INICIO,"&lt;="&amp;EOMONTH(B1553,0))),C_CLAVE,0))&amp;"","Sin dato"))</f>
        <v/>
      </c>
      <c r="AB1553" s="71" t="str">
        <f aca="false">IF(AH1553="","",ROUND(MIN(K1553,TOPE_AFP_UF*AJ1553)*AK1553,0))</f>
        <v/>
      </c>
      <c r="AC1553" s="71" t="str">
        <f aca="false">IF(AH1553="","",ROUND(MIN(K1553,TOPE_AFC_UF*AJ1553)*IF(AA1553="Indefinido",AFC_EMP_INDEF,AFC_EMP_PF),0))</f>
        <v/>
      </c>
      <c r="AD1553" s="71" t="str">
        <f aca="false">IF(AH1553="","",ROUND(MIN(K1553,TOPE_AFP_UF*AJ1553)*(MUTUAL_BASICA+MUTUAL_ADIC+SANNA),0))</f>
        <v/>
      </c>
      <c r="AE1553" s="71" t="str">
        <f aca="false">IF(AH1553="","",P1553-N(N1553)+AB1553+AC1553+AD1553)</f>
        <v/>
      </c>
      <c r="AF1553" s="65"/>
      <c r="AG1553" s="64"/>
      <c r="AH1553" s="72" t="str">
        <f aca="false">IF(OR(B1553="",C1553=""),"",C1553&amp;"|"&amp;(YEAR(B1553)*100+MONTH(B1553)))</f>
        <v/>
      </c>
      <c r="AI1553" s="70" t="str">
        <f aca="false">IF(AH1553="","",IF(COUNTIF(L_CLAVE,AH1553)&gt;1,"⚠ Duplicado","OK"))</f>
        <v/>
      </c>
      <c r="AJ1553" s="86" t="str">
        <f aca="false">IF(AH1553="","",IF(SUMPRODUCT(MAX((IND_PER&lt;=B1553)*(IND_UF&lt;&gt;"")*IND_PER))=0,UF_HOY,INDEX(IND_UF,MATCH(SUMPRODUCT(MAX((IND_PER&lt;=B1553)*(IND_UF&lt;&gt;"")*IND_PER)),IND_PER,0))))</f>
        <v/>
      </c>
      <c r="AK1553" s="87" t="str">
        <f aca="false">IF(AH1553="","",IF(COUNTIF(TASA_DESDE,"&lt;="&amp;B1553)=0,INDEX(TASA_EMP,1),INDEX(TASA_EMP,COUNTIF(TASA_DESDE,"&lt;="&amp;B1553))))</f>
        <v/>
      </c>
    </row>
    <row r="1554" customFormat="false" ht="15" hidden="false" customHeight="false" outlineLevel="0" collapsed="false">
      <c r="B1554" s="78"/>
      <c r="C1554" s="64"/>
      <c r="D1554" s="72" t="str">
        <f aca="false">IF(C1554="","",IFERROR(INDEX(T_NOMBRE,MATCH(C1554,T_ID,0)),"⚠ ID no existe"))</f>
        <v/>
      </c>
      <c r="E1554" s="69"/>
      <c r="F1554" s="67"/>
      <c r="G1554" s="67"/>
      <c r="H1554" s="67"/>
      <c r="I1554" s="67"/>
      <c r="J1554" s="67"/>
      <c r="K1554" s="85" t="str">
        <f aca="false">IF(AH1554="","",N(F1554)+N(G1554)+N(H1554)-N(I1554)+N(J1554))</f>
        <v/>
      </c>
      <c r="L1554" s="67"/>
      <c r="M1554" s="67"/>
      <c r="N1554" s="67"/>
      <c r="O1554" s="67"/>
      <c r="P1554" s="85" t="str">
        <f aca="false">IF(AH1554="","",K1554+N(L1554)+N(M1554)+N(N1554)+N(O1554))</f>
        <v/>
      </c>
      <c r="Q1554" s="67"/>
      <c r="R1554" s="67"/>
      <c r="S1554" s="67"/>
      <c r="T1554" s="67"/>
      <c r="U1554" s="67"/>
      <c r="V1554" s="67"/>
      <c r="W1554" s="85" t="str">
        <f aca="false">IF(AH1554="","",N(Q1554)+N(R1554)+N(S1554)+N(T1554)+N(U1554)+N(V1554))</f>
        <v/>
      </c>
      <c r="X1554" s="85" t="str">
        <f aca="false">IF(AH1554="","",P1554-W1554)</f>
        <v/>
      </c>
      <c r="Y1554" s="67"/>
      <c r="Z1554" s="70" t="str">
        <f aca="false">IF(OR(AH1554="",Y1554=""),"",IF(ABS(X1554-Y1554)&lt;=1,"✓ Cuadra","⚠ Diferencia $"&amp;FIXED(X1554-Y1554,0)))</f>
        <v/>
      </c>
      <c r="AA1554" s="72" t="str">
        <f aca="false">IF(AH1554="","",IFERROR(INDEX(C_TIPO,MATCH(C1554&amp;"-P"&amp;MAX(1,COUNTIFS(C_ID,C1554,C_DEFINE,"Sí",C_INICIO,"&lt;="&amp;EOMONTH(B1554,0))),C_CLAVE,0))&amp;"","Sin dato"))</f>
        <v/>
      </c>
      <c r="AB1554" s="71" t="str">
        <f aca="false">IF(AH1554="","",ROUND(MIN(K1554,TOPE_AFP_UF*AJ1554)*AK1554,0))</f>
        <v/>
      </c>
      <c r="AC1554" s="71" t="str">
        <f aca="false">IF(AH1554="","",ROUND(MIN(K1554,TOPE_AFC_UF*AJ1554)*IF(AA1554="Indefinido",AFC_EMP_INDEF,AFC_EMP_PF),0))</f>
        <v/>
      </c>
      <c r="AD1554" s="71" t="str">
        <f aca="false">IF(AH1554="","",ROUND(MIN(K1554,TOPE_AFP_UF*AJ1554)*(MUTUAL_BASICA+MUTUAL_ADIC+SANNA),0))</f>
        <v/>
      </c>
      <c r="AE1554" s="71" t="str">
        <f aca="false">IF(AH1554="","",P1554-N(N1554)+AB1554+AC1554+AD1554)</f>
        <v/>
      </c>
      <c r="AF1554" s="65"/>
      <c r="AG1554" s="64"/>
      <c r="AH1554" s="72" t="str">
        <f aca="false">IF(OR(B1554="",C1554=""),"",C1554&amp;"|"&amp;(YEAR(B1554)*100+MONTH(B1554)))</f>
        <v/>
      </c>
      <c r="AI1554" s="70" t="str">
        <f aca="false">IF(AH1554="","",IF(COUNTIF(L_CLAVE,AH1554)&gt;1,"⚠ Duplicado","OK"))</f>
        <v/>
      </c>
      <c r="AJ1554" s="86" t="str">
        <f aca="false">IF(AH1554="","",IF(SUMPRODUCT(MAX((IND_PER&lt;=B1554)*(IND_UF&lt;&gt;"")*IND_PER))=0,UF_HOY,INDEX(IND_UF,MATCH(SUMPRODUCT(MAX((IND_PER&lt;=B1554)*(IND_UF&lt;&gt;"")*IND_PER)),IND_PER,0))))</f>
        <v/>
      </c>
      <c r="AK1554" s="87" t="str">
        <f aca="false">IF(AH1554="","",IF(COUNTIF(TASA_DESDE,"&lt;="&amp;B1554)=0,INDEX(TASA_EMP,1),INDEX(TASA_EMP,COUNTIF(TASA_DESDE,"&lt;="&amp;B1554))))</f>
        <v/>
      </c>
    </row>
    <row r="1555" customFormat="false" ht="15" hidden="false" customHeight="false" outlineLevel="0" collapsed="false">
      <c r="B1555" s="78"/>
      <c r="C1555" s="64"/>
      <c r="D1555" s="72" t="str">
        <f aca="false">IF(C1555="","",IFERROR(INDEX(T_NOMBRE,MATCH(C1555,T_ID,0)),"⚠ ID no existe"))</f>
        <v/>
      </c>
      <c r="E1555" s="69"/>
      <c r="F1555" s="67"/>
      <c r="G1555" s="67"/>
      <c r="H1555" s="67"/>
      <c r="I1555" s="67"/>
      <c r="J1555" s="67"/>
      <c r="K1555" s="85" t="str">
        <f aca="false">IF(AH1555="","",N(F1555)+N(G1555)+N(H1555)-N(I1555)+N(J1555))</f>
        <v/>
      </c>
      <c r="L1555" s="67"/>
      <c r="M1555" s="67"/>
      <c r="N1555" s="67"/>
      <c r="O1555" s="67"/>
      <c r="P1555" s="85" t="str">
        <f aca="false">IF(AH1555="","",K1555+N(L1555)+N(M1555)+N(N1555)+N(O1555))</f>
        <v/>
      </c>
      <c r="Q1555" s="67"/>
      <c r="R1555" s="67"/>
      <c r="S1555" s="67"/>
      <c r="T1555" s="67"/>
      <c r="U1555" s="67"/>
      <c r="V1555" s="67"/>
      <c r="W1555" s="85" t="str">
        <f aca="false">IF(AH1555="","",N(Q1555)+N(R1555)+N(S1555)+N(T1555)+N(U1555)+N(V1555))</f>
        <v/>
      </c>
      <c r="X1555" s="85" t="str">
        <f aca="false">IF(AH1555="","",P1555-W1555)</f>
        <v/>
      </c>
      <c r="Y1555" s="67"/>
      <c r="Z1555" s="70" t="str">
        <f aca="false">IF(OR(AH1555="",Y1555=""),"",IF(ABS(X1555-Y1555)&lt;=1,"✓ Cuadra","⚠ Diferencia $"&amp;FIXED(X1555-Y1555,0)))</f>
        <v/>
      </c>
      <c r="AA1555" s="72" t="str">
        <f aca="false">IF(AH1555="","",IFERROR(INDEX(C_TIPO,MATCH(C1555&amp;"-P"&amp;MAX(1,COUNTIFS(C_ID,C1555,C_DEFINE,"Sí",C_INICIO,"&lt;="&amp;EOMONTH(B1555,0))),C_CLAVE,0))&amp;"","Sin dato"))</f>
        <v/>
      </c>
      <c r="AB1555" s="71" t="str">
        <f aca="false">IF(AH1555="","",ROUND(MIN(K1555,TOPE_AFP_UF*AJ1555)*AK1555,0))</f>
        <v/>
      </c>
      <c r="AC1555" s="71" t="str">
        <f aca="false">IF(AH1555="","",ROUND(MIN(K1555,TOPE_AFC_UF*AJ1555)*IF(AA1555="Indefinido",AFC_EMP_INDEF,AFC_EMP_PF),0))</f>
        <v/>
      </c>
      <c r="AD1555" s="71" t="str">
        <f aca="false">IF(AH1555="","",ROUND(MIN(K1555,TOPE_AFP_UF*AJ1555)*(MUTUAL_BASICA+MUTUAL_ADIC+SANNA),0))</f>
        <v/>
      </c>
      <c r="AE1555" s="71" t="str">
        <f aca="false">IF(AH1555="","",P1555-N(N1555)+AB1555+AC1555+AD1555)</f>
        <v/>
      </c>
      <c r="AF1555" s="65"/>
      <c r="AG1555" s="64"/>
      <c r="AH1555" s="72" t="str">
        <f aca="false">IF(OR(B1555="",C1555=""),"",C1555&amp;"|"&amp;(YEAR(B1555)*100+MONTH(B1555)))</f>
        <v/>
      </c>
      <c r="AI1555" s="70" t="str">
        <f aca="false">IF(AH1555="","",IF(COUNTIF(L_CLAVE,AH1555)&gt;1,"⚠ Duplicado","OK"))</f>
        <v/>
      </c>
      <c r="AJ1555" s="86" t="str">
        <f aca="false">IF(AH1555="","",IF(SUMPRODUCT(MAX((IND_PER&lt;=B1555)*(IND_UF&lt;&gt;"")*IND_PER))=0,UF_HOY,INDEX(IND_UF,MATCH(SUMPRODUCT(MAX((IND_PER&lt;=B1555)*(IND_UF&lt;&gt;"")*IND_PER)),IND_PER,0))))</f>
        <v/>
      </c>
      <c r="AK1555" s="87" t="str">
        <f aca="false">IF(AH1555="","",IF(COUNTIF(TASA_DESDE,"&lt;="&amp;B1555)=0,INDEX(TASA_EMP,1),INDEX(TASA_EMP,COUNTIF(TASA_DESDE,"&lt;="&amp;B1555))))</f>
        <v/>
      </c>
    </row>
    <row r="1556" customFormat="false" ht="15" hidden="false" customHeight="false" outlineLevel="0" collapsed="false">
      <c r="B1556" s="78"/>
      <c r="C1556" s="64"/>
      <c r="D1556" s="72" t="str">
        <f aca="false">IF(C1556="","",IFERROR(INDEX(T_NOMBRE,MATCH(C1556,T_ID,0)),"⚠ ID no existe"))</f>
        <v/>
      </c>
      <c r="E1556" s="69"/>
      <c r="F1556" s="67"/>
      <c r="G1556" s="67"/>
      <c r="H1556" s="67"/>
      <c r="I1556" s="67"/>
      <c r="J1556" s="67"/>
      <c r="K1556" s="85" t="str">
        <f aca="false">IF(AH1556="","",N(F1556)+N(G1556)+N(H1556)-N(I1556)+N(J1556))</f>
        <v/>
      </c>
      <c r="L1556" s="67"/>
      <c r="M1556" s="67"/>
      <c r="N1556" s="67"/>
      <c r="O1556" s="67"/>
      <c r="P1556" s="85" t="str">
        <f aca="false">IF(AH1556="","",K1556+N(L1556)+N(M1556)+N(N1556)+N(O1556))</f>
        <v/>
      </c>
      <c r="Q1556" s="67"/>
      <c r="R1556" s="67"/>
      <c r="S1556" s="67"/>
      <c r="T1556" s="67"/>
      <c r="U1556" s="67"/>
      <c r="V1556" s="67"/>
      <c r="W1556" s="85" t="str">
        <f aca="false">IF(AH1556="","",N(Q1556)+N(R1556)+N(S1556)+N(T1556)+N(U1556)+N(V1556))</f>
        <v/>
      </c>
      <c r="X1556" s="85" t="str">
        <f aca="false">IF(AH1556="","",P1556-W1556)</f>
        <v/>
      </c>
      <c r="Y1556" s="67"/>
      <c r="Z1556" s="70" t="str">
        <f aca="false">IF(OR(AH1556="",Y1556=""),"",IF(ABS(X1556-Y1556)&lt;=1,"✓ Cuadra","⚠ Diferencia $"&amp;FIXED(X1556-Y1556,0)))</f>
        <v/>
      </c>
      <c r="AA1556" s="72" t="str">
        <f aca="false">IF(AH1556="","",IFERROR(INDEX(C_TIPO,MATCH(C1556&amp;"-P"&amp;MAX(1,COUNTIFS(C_ID,C1556,C_DEFINE,"Sí",C_INICIO,"&lt;="&amp;EOMONTH(B1556,0))),C_CLAVE,0))&amp;"","Sin dato"))</f>
        <v/>
      </c>
      <c r="AB1556" s="71" t="str">
        <f aca="false">IF(AH1556="","",ROUND(MIN(K1556,TOPE_AFP_UF*AJ1556)*AK1556,0))</f>
        <v/>
      </c>
      <c r="AC1556" s="71" t="str">
        <f aca="false">IF(AH1556="","",ROUND(MIN(K1556,TOPE_AFC_UF*AJ1556)*IF(AA1556="Indefinido",AFC_EMP_INDEF,AFC_EMP_PF),0))</f>
        <v/>
      </c>
      <c r="AD1556" s="71" t="str">
        <f aca="false">IF(AH1556="","",ROUND(MIN(K1556,TOPE_AFP_UF*AJ1556)*(MUTUAL_BASICA+MUTUAL_ADIC+SANNA),0))</f>
        <v/>
      </c>
      <c r="AE1556" s="71" t="str">
        <f aca="false">IF(AH1556="","",P1556-N(N1556)+AB1556+AC1556+AD1556)</f>
        <v/>
      </c>
      <c r="AF1556" s="65"/>
      <c r="AG1556" s="64"/>
      <c r="AH1556" s="72" t="str">
        <f aca="false">IF(OR(B1556="",C1556=""),"",C1556&amp;"|"&amp;(YEAR(B1556)*100+MONTH(B1556)))</f>
        <v/>
      </c>
      <c r="AI1556" s="70" t="str">
        <f aca="false">IF(AH1556="","",IF(COUNTIF(L_CLAVE,AH1556)&gt;1,"⚠ Duplicado","OK"))</f>
        <v/>
      </c>
      <c r="AJ1556" s="86" t="str">
        <f aca="false">IF(AH1556="","",IF(SUMPRODUCT(MAX((IND_PER&lt;=B1556)*(IND_UF&lt;&gt;"")*IND_PER))=0,UF_HOY,INDEX(IND_UF,MATCH(SUMPRODUCT(MAX((IND_PER&lt;=B1556)*(IND_UF&lt;&gt;"")*IND_PER)),IND_PER,0))))</f>
        <v/>
      </c>
      <c r="AK1556" s="87" t="str">
        <f aca="false">IF(AH1556="","",IF(COUNTIF(TASA_DESDE,"&lt;="&amp;B1556)=0,INDEX(TASA_EMP,1),INDEX(TASA_EMP,COUNTIF(TASA_DESDE,"&lt;="&amp;B1556))))</f>
        <v/>
      </c>
    </row>
    <row r="1557" customFormat="false" ht="15" hidden="false" customHeight="false" outlineLevel="0" collapsed="false">
      <c r="B1557" s="78"/>
      <c r="C1557" s="64"/>
      <c r="D1557" s="72" t="str">
        <f aca="false">IF(C1557="","",IFERROR(INDEX(T_NOMBRE,MATCH(C1557,T_ID,0)),"⚠ ID no existe"))</f>
        <v/>
      </c>
      <c r="E1557" s="69"/>
      <c r="F1557" s="67"/>
      <c r="G1557" s="67"/>
      <c r="H1557" s="67"/>
      <c r="I1557" s="67"/>
      <c r="J1557" s="67"/>
      <c r="K1557" s="85" t="str">
        <f aca="false">IF(AH1557="","",N(F1557)+N(G1557)+N(H1557)-N(I1557)+N(J1557))</f>
        <v/>
      </c>
      <c r="L1557" s="67"/>
      <c r="M1557" s="67"/>
      <c r="N1557" s="67"/>
      <c r="O1557" s="67"/>
      <c r="P1557" s="85" t="str">
        <f aca="false">IF(AH1557="","",K1557+N(L1557)+N(M1557)+N(N1557)+N(O1557))</f>
        <v/>
      </c>
      <c r="Q1557" s="67"/>
      <c r="R1557" s="67"/>
      <c r="S1557" s="67"/>
      <c r="T1557" s="67"/>
      <c r="U1557" s="67"/>
      <c r="V1557" s="67"/>
      <c r="W1557" s="85" t="str">
        <f aca="false">IF(AH1557="","",N(Q1557)+N(R1557)+N(S1557)+N(T1557)+N(U1557)+N(V1557))</f>
        <v/>
      </c>
      <c r="X1557" s="85" t="str">
        <f aca="false">IF(AH1557="","",P1557-W1557)</f>
        <v/>
      </c>
      <c r="Y1557" s="67"/>
      <c r="Z1557" s="70" t="str">
        <f aca="false">IF(OR(AH1557="",Y1557=""),"",IF(ABS(X1557-Y1557)&lt;=1,"✓ Cuadra","⚠ Diferencia $"&amp;FIXED(X1557-Y1557,0)))</f>
        <v/>
      </c>
      <c r="AA1557" s="72" t="str">
        <f aca="false">IF(AH1557="","",IFERROR(INDEX(C_TIPO,MATCH(C1557&amp;"-P"&amp;MAX(1,COUNTIFS(C_ID,C1557,C_DEFINE,"Sí",C_INICIO,"&lt;="&amp;EOMONTH(B1557,0))),C_CLAVE,0))&amp;"","Sin dato"))</f>
        <v/>
      </c>
      <c r="AB1557" s="71" t="str">
        <f aca="false">IF(AH1557="","",ROUND(MIN(K1557,TOPE_AFP_UF*AJ1557)*AK1557,0))</f>
        <v/>
      </c>
      <c r="AC1557" s="71" t="str">
        <f aca="false">IF(AH1557="","",ROUND(MIN(K1557,TOPE_AFC_UF*AJ1557)*IF(AA1557="Indefinido",AFC_EMP_INDEF,AFC_EMP_PF),0))</f>
        <v/>
      </c>
      <c r="AD1557" s="71" t="str">
        <f aca="false">IF(AH1557="","",ROUND(MIN(K1557,TOPE_AFP_UF*AJ1557)*(MUTUAL_BASICA+MUTUAL_ADIC+SANNA),0))</f>
        <v/>
      </c>
      <c r="AE1557" s="71" t="str">
        <f aca="false">IF(AH1557="","",P1557-N(N1557)+AB1557+AC1557+AD1557)</f>
        <v/>
      </c>
      <c r="AF1557" s="65"/>
      <c r="AG1557" s="64"/>
      <c r="AH1557" s="72" t="str">
        <f aca="false">IF(OR(B1557="",C1557=""),"",C1557&amp;"|"&amp;(YEAR(B1557)*100+MONTH(B1557)))</f>
        <v/>
      </c>
      <c r="AI1557" s="70" t="str">
        <f aca="false">IF(AH1557="","",IF(COUNTIF(L_CLAVE,AH1557)&gt;1,"⚠ Duplicado","OK"))</f>
        <v/>
      </c>
      <c r="AJ1557" s="86" t="str">
        <f aca="false">IF(AH1557="","",IF(SUMPRODUCT(MAX((IND_PER&lt;=B1557)*(IND_UF&lt;&gt;"")*IND_PER))=0,UF_HOY,INDEX(IND_UF,MATCH(SUMPRODUCT(MAX((IND_PER&lt;=B1557)*(IND_UF&lt;&gt;"")*IND_PER)),IND_PER,0))))</f>
        <v/>
      </c>
      <c r="AK1557" s="87" t="str">
        <f aca="false">IF(AH1557="","",IF(COUNTIF(TASA_DESDE,"&lt;="&amp;B1557)=0,INDEX(TASA_EMP,1),INDEX(TASA_EMP,COUNTIF(TASA_DESDE,"&lt;="&amp;B1557))))</f>
        <v/>
      </c>
    </row>
    <row r="1558" customFormat="false" ht="15" hidden="false" customHeight="false" outlineLevel="0" collapsed="false">
      <c r="B1558" s="78"/>
      <c r="C1558" s="64"/>
      <c r="D1558" s="72" t="str">
        <f aca="false">IF(C1558="","",IFERROR(INDEX(T_NOMBRE,MATCH(C1558,T_ID,0)),"⚠ ID no existe"))</f>
        <v/>
      </c>
      <c r="E1558" s="69"/>
      <c r="F1558" s="67"/>
      <c r="G1558" s="67"/>
      <c r="H1558" s="67"/>
      <c r="I1558" s="67"/>
      <c r="J1558" s="67"/>
      <c r="K1558" s="85" t="str">
        <f aca="false">IF(AH1558="","",N(F1558)+N(G1558)+N(H1558)-N(I1558)+N(J1558))</f>
        <v/>
      </c>
      <c r="L1558" s="67"/>
      <c r="M1558" s="67"/>
      <c r="N1558" s="67"/>
      <c r="O1558" s="67"/>
      <c r="P1558" s="85" t="str">
        <f aca="false">IF(AH1558="","",K1558+N(L1558)+N(M1558)+N(N1558)+N(O1558))</f>
        <v/>
      </c>
      <c r="Q1558" s="67"/>
      <c r="R1558" s="67"/>
      <c r="S1558" s="67"/>
      <c r="T1558" s="67"/>
      <c r="U1558" s="67"/>
      <c r="V1558" s="67"/>
      <c r="W1558" s="85" t="str">
        <f aca="false">IF(AH1558="","",N(Q1558)+N(R1558)+N(S1558)+N(T1558)+N(U1558)+N(V1558))</f>
        <v/>
      </c>
      <c r="X1558" s="85" t="str">
        <f aca="false">IF(AH1558="","",P1558-W1558)</f>
        <v/>
      </c>
      <c r="Y1558" s="67"/>
      <c r="Z1558" s="70" t="str">
        <f aca="false">IF(OR(AH1558="",Y1558=""),"",IF(ABS(X1558-Y1558)&lt;=1,"✓ Cuadra","⚠ Diferencia $"&amp;FIXED(X1558-Y1558,0)))</f>
        <v/>
      </c>
      <c r="AA1558" s="72" t="str">
        <f aca="false">IF(AH1558="","",IFERROR(INDEX(C_TIPO,MATCH(C1558&amp;"-P"&amp;MAX(1,COUNTIFS(C_ID,C1558,C_DEFINE,"Sí",C_INICIO,"&lt;="&amp;EOMONTH(B1558,0))),C_CLAVE,0))&amp;"","Sin dato"))</f>
        <v/>
      </c>
      <c r="AB1558" s="71" t="str">
        <f aca="false">IF(AH1558="","",ROUND(MIN(K1558,TOPE_AFP_UF*AJ1558)*AK1558,0))</f>
        <v/>
      </c>
      <c r="AC1558" s="71" t="str">
        <f aca="false">IF(AH1558="","",ROUND(MIN(K1558,TOPE_AFC_UF*AJ1558)*IF(AA1558="Indefinido",AFC_EMP_INDEF,AFC_EMP_PF),0))</f>
        <v/>
      </c>
      <c r="AD1558" s="71" t="str">
        <f aca="false">IF(AH1558="","",ROUND(MIN(K1558,TOPE_AFP_UF*AJ1558)*(MUTUAL_BASICA+MUTUAL_ADIC+SANNA),0))</f>
        <v/>
      </c>
      <c r="AE1558" s="71" t="str">
        <f aca="false">IF(AH1558="","",P1558-N(N1558)+AB1558+AC1558+AD1558)</f>
        <v/>
      </c>
      <c r="AF1558" s="65"/>
      <c r="AG1558" s="64"/>
      <c r="AH1558" s="72" t="str">
        <f aca="false">IF(OR(B1558="",C1558=""),"",C1558&amp;"|"&amp;(YEAR(B1558)*100+MONTH(B1558)))</f>
        <v/>
      </c>
      <c r="AI1558" s="70" t="str">
        <f aca="false">IF(AH1558="","",IF(COUNTIF(L_CLAVE,AH1558)&gt;1,"⚠ Duplicado","OK"))</f>
        <v/>
      </c>
      <c r="AJ1558" s="86" t="str">
        <f aca="false">IF(AH1558="","",IF(SUMPRODUCT(MAX((IND_PER&lt;=B1558)*(IND_UF&lt;&gt;"")*IND_PER))=0,UF_HOY,INDEX(IND_UF,MATCH(SUMPRODUCT(MAX((IND_PER&lt;=B1558)*(IND_UF&lt;&gt;"")*IND_PER)),IND_PER,0))))</f>
        <v/>
      </c>
      <c r="AK1558" s="87" t="str">
        <f aca="false">IF(AH1558="","",IF(COUNTIF(TASA_DESDE,"&lt;="&amp;B1558)=0,INDEX(TASA_EMP,1),INDEX(TASA_EMP,COUNTIF(TASA_DESDE,"&lt;="&amp;B1558))))</f>
        <v/>
      </c>
    </row>
    <row r="1559" customFormat="false" ht="15" hidden="false" customHeight="false" outlineLevel="0" collapsed="false">
      <c r="B1559" s="78"/>
      <c r="C1559" s="64"/>
      <c r="D1559" s="72" t="str">
        <f aca="false">IF(C1559="","",IFERROR(INDEX(T_NOMBRE,MATCH(C1559,T_ID,0)),"⚠ ID no existe"))</f>
        <v/>
      </c>
      <c r="E1559" s="69"/>
      <c r="F1559" s="67"/>
      <c r="G1559" s="67"/>
      <c r="H1559" s="67"/>
      <c r="I1559" s="67"/>
      <c r="J1559" s="67"/>
      <c r="K1559" s="85" t="str">
        <f aca="false">IF(AH1559="","",N(F1559)+N(G1559)+N(H1559)-N(I1559)+N(J1559))</f>
        <v/>
      </c>
      <c r="L1559" s="67"/>
      <c r="M1559" s="67"/>
      <c r="N1559" s="67"/>
      <c r="O1559" s="67"/>
      <c r="P1559" s="85" t="str">
        <f aca="false">IF(AH1559="","",K1559+N(L1559)+N(M1559)+N(N1559)+N(O1559))</f>
        <v/>
      </c>
      <c r="Q1559" s="67"/>
      <c r="R1559" s="67"/>
      <c r="S1559" s="67"/>
      <c r="T1559" s="67"/>
      <c r="U1559" s="67"/>
      <c r="V1559" s="67"/>
      <c r="W1559" s="85" t="str">
        <f aca="false">IF(AH1559="","",N(Q1559)+N(R1559)+N(S1559)+N(T1559)+N(U1559)+N(V1559))</f>
        <v/>
      </c>
      <c r="X1559" s="85" t="str">
        <f aca="false">IF(AH1559="","",P1559-W1559)</f>
        <v/>
      </c>
      <c r="Y1559" s="67"/>
      <c r="Z1559" s="70" t="str">
        <f aca="false">IF(OR(AH1559="",Y1559=""),"",IF(ABS(X1559-Y1559)&lt;=1,"✓ Cuadra","⚠ Diferencia $"&amp;FIXED(X1559-Y1559,0)))</f>
        <v/>
      </c>
      <c r="AA1559" s="72" t="str">
        <f aca="false">IF(AH1559="","",IFERROR(INDEX(C_TIPO,MATCH(C1559&amp;"-P"&amp;MAX(1,COUNTIFS(C_ID,C1559,C_DEFINE,"Sí",C_INICIO,"&lt;="&amp;EOMONTH(B1559,0))),C_CLAVE,0))&amp;"","Sin dato"))</f>
        <v/>
      </c>
      <c r="AB1559" s="71" t="str">
        <f aca="false">IF(AH1559="","",ROUND(MIN(K1559,TOPE_AFP_UF*AJ1559)*AK1559,0))</f>
        <v/>
      </c>
      <c r="AC1559" s="71" t="str">
        <f aca="false">IF(AH1559="","",ROUND(MIN(K1559,TOPE_AFC_UF*AJ1559)*IF(AA1559="Indefinido",AFC_EMP_INDEF,AFC_EMP_PF),0))</f>
        <v/>
      </c>
      <c r="AD1559" s="71" t="str">
        <f aca="false">IF(AH1559="","",ROUND(MIN(K1559,TOPE_AFP_UF*AJ1559)*(MUTUAL_BASICA+MUTUAL_ADIC+SANNA),0))</f>
        <v/>
      </c>
      <c r="AE1559" s="71" t="str">
        <f aca="false">IF(AH1559="","",P1559-N(N1559)+AB1559+AC1559+AD1559)</f>
        <v/>
      </c>
      <c r="AF1559" s="65"/>
      <c r="AG1559" s="64"/>
      <c r="AH1559" s="72" t="str">
        <f aca="false">IF(OR(B1559="",C1559=""),"",C1559&amp;"|"&amp;(YEAR(B1559)*100+MONTH(B1559)))</f>
        <v/>
      </c>
      <c r="AI1559" s="70" t="str">
        <f aca="false">IF(AH1559="","",IF(COUNTIF(L_CLAVE,AH1559)&gt;1,"⚠ Duplicado","OK"))</f>
        <v/>
      </c>
      <c r="AJ1559" s="86" t="str">
        <f aca="false">IF(AH1559="","",IF(SUMPRODUCT(MAX((IND_PER&lt;=B1559)*(IND_UF&lt;&gt;"")*IND_PER))=0,UF_HOY,INDEX(IND_UF,MATCH(SUMPRODUCT(MAX((IND_PER&lt;=B1559)*(IND_UF&lt;&gt;"")*IND_PER)),IND_PER,0))))</f>
        <v/>
      </c>
      <c r="AK1559" s="87" t="str">
        <f aca="false">IF(AH1559="","",IF(COUNTIF(TASA_DESDE,"&lt;="&amp;B1559)=0,INDEX(TASA_EMP,1),INDEX(TASA_EMP,COUNTIF(TASA_DESDE,"&lt;="&amp;B1559))))</f>
        <v/>
      </c>
    </row>
    <row r="1560" customFormat="false" ht="15" hidden="false" customHeight="false" outlineLevel="0" collapsed="false">
      <c r="B1560" s="78"/>
      <c r="C1560" s="64"/>
      <c r="D1560" s="72" t="str">
        <f aca="false">IF(C1560="","",IFERROR(INDEX(T_NOMBRE,MATCH(C1560,T_ID,0)),"⚠ ID no existe"))</f>
        <v/>
      </c>
      <c r="E1560" s="69"/>
      <c r="F1560" s="67"/>
      <c r="G1560" s="67"/>
      <c r="H1560" s="67"/>
      <c r="I1560" s="67"/>
      <c r="J1560" s="67"/>
      <c r="K1560" s="85" t="str">
        <f aca="false">IF(AH1560="","",N(F1560)+N(G1560)+N(H1560)-N(I1560)+N(J1560))</f>
        <v/>
      </c>
      <c r="L1560" s="67"/>
      <c r="M1560" s="67"/>
      <c r="N1560" s="67"/>
      <c r="O1560" s="67"/>
      <c r="P1560" s="85" t="str">
        <f aca="false">IF(AH1560="","",K1560+N(L1560)+N(M1560)+N(N1560)+N(O1560))</f>
        <v/>
      </c>
      <c r="Q1560" s="67"/>
      <c r="R1560" s="67"/>
      <c r="S1560" s="67"/>
      <c r="T1560" s="67"/>
      <c r="U1560" s="67"/>
      <c r="V1560" s="67"/>
      <c r="W1560" s="85" t="str">
        <f aca="false">IF(AH1560="","",N(Q1560)+N(R1560)+N(S1560)+N(T1560)+N(U1560)+N(V1560))</f>
        <v/>
      </c>
      <c r="X1560" s="85" t="str">
        <f aca="false">IF(AH1560="","",P1560-W1560)</f>
        <v/>
      </c>
      <c r="Y1560" s="67"/>
      <c r="Z1560" s="70" t="str">
        <f aca="false">IF(OR(AH1560="",Y1560=""),"",IF(ABS(X1560-Y1560)&lt;=1,"✓ Cuadra","⚠ Diferencia $"&amp;FIXED(X1560-Y1560,0)))</f>
        <v/>
      </c>
      <c r="AA1560" s="72" t="str">
        <f aca="false">IF(AH1560="","",IFERROR(INDEX(C_TIPO,MATCH(C1560&amp;"-P"&amp;MAX(1,COUNTIFS(C_ID,C1560,C_DEFINE,"Sí",C_INICIO,"&lt;="&amp;EOMONTH(B1560,0))),C_CLAVE,0))&amp;"","Sin dato"))</f>
        <v/>
      </c>
      <c r="AB1560" s="71" t="str">
        <f aca="false">IF(AH1560="","",ROUND(MIN(K1560,TOPE_AFP_UF*AJ1560)*AK1560,0))</f>
        <v/>
      </c>
      <c r="AC1560" s="71" t="str">
        <f aca="false">IF(AH1560="","",ROUND(MIN(K1560,TOPE_AFC_UF*AJ1560)*IF(AA1560="Indefinido",AFC_EMP_INDEF,AFC_EMP_PF),0))</f>
        <v/>
      </c>
      <c r="AD1560" s="71" t="str">
        <f aca="false">IF(AH1560="","",ROUND(MIN(K1560,TOPE_AFP_UF*AJ1560)*(MUTUAL_BASICA+MUTUAL_ADIC+SANNA),0))</f>
        <v/>
      </c>
      <c r="AE1560" s="71" t="str">
        <f aca="false">IF(AH1560="","",P1560-N(N1560)+AB1560+AC1560+AD1560)</f>
        <v/>
      </c>
      <c r="AF1560" s="65"/>
      <c r="AG1560" s="64"/>
      <c r="AH1560" s="72" t="str">
        <f aca="false">IF(OR(B1560="",C1560=""),"",C1560&amp;"|"&amp;(YEAR(B1560)*100+MONTH(B1560)))</f>
        <v/>
      </c>
      <c r="AI1560" s="70" t="str">
        <f aca="false">IF(AH1560="","",IF(COUNTIF(L_CLAVE,AH1560)&gt;1,"⚠ Duplicado","OK"))</f>
        <v/>
      </c>
      <c r="AJ1560" s="86" t="str">
        <f aca="false">IF(AH1560="","",IF(SUMPRODUCT(MAX((IND_PER&lt;=B1560)*(IND_UF&lt;&gt;"")*IND_PER))=0,UF_HOY,INDEX(IND_UF,MATCH(SUMPRODUCT(MAX((IND_PER&lt;=B1560)*(IND_UF&lt;&gt;"")*IND_PER)),IND_PER,0))))</f>
        <v/>
      </c>
      <c r="AK1560" s="87" t="str">
        <f aca="false">IF(AH1560="","",IF(COUNTIF(TASA_DESDE,"&lt;="&amp;B1560)=0,INDEX(TASA_EMP,1),INDEX(TASA_EMP,COUNTIF(TASA_DESDE,"&lt;="&amp;B1560))))</f>
        <v/>
      </c>
    </row>
    <row r="1561" customFormat="false" ht="15" hidden="false" customHeight="false" outlineLevel="0" collapsed="false">
      <c r="B1561" s="78"/>
      <c r="C1561" s="64"/>
      <c r="D1561" s="72" t="str">
        <f aca="false">IF(C1561="","",IFERROR(INDEX(T_NOMBRE,MATCH(C1561,T_ID,0)),"⚠ ID no existe"))</f>
        <v/>
      </c>
      <c r="E1561" s="69"/>
      <c r="F1561" s="67"/>
      <c r="G1561" s="67"/>
      <c r="H1561" s="67"/>
      <c r="I1561" s="67"/>
      <c r="J1561" s="67"/>
      <c r="K1561" s="85" t="str">
        <f aca="false">IF(AH1561="","",N(F1561)+N(G1561)+N(H1561)-N(I1561)+N(J1561))</f>
        <v/>
      </c>
      <c r="L1561" s="67"/>
      <c r="M1561" s="67"/>
      <c r="N1561" s="67"/>
      <c r="O1561" s="67"/>
      <c r="P1561" s="85" t="str">
        <f aca="false">IF(AH1561="","",K1561+N(L1561)+N(M1561)+N(N1561)+N(O1561))</f>
        <v/>
      </c>
      <c r="Q1561" s="67"/>
      <c r="R1561" s="67"/>
      <c r="S1561" s="67"/>
      <c r="T1561" s="67"/>
      <c r="U1561" s="67"/>
      <c r="V1561" s="67"/>
      <c r="W1561" s="85" t="str">
        <f aca="false">IF(AH1561="","",N(Q1561)+N(R1561)+N(S1561)+N(T1561)+N(U1561)+N(V1561))</f>
        <v/>
      </c>
      <c r="X1561" s="85" t="str">
        <f aca="false">IF(AH1561="","",P1561-W1561)</f>
        <v/>
      </c>
      <c r="Y1561" s="67"/>
      <c r="Z1561" s="70" t="str">
        <f aca="false">IF(OR(AH1561="",Y1561=""),"",IF(ABS(X1561-Y1561)&lt;=1,"✓ Cuadra","⚠ Diferencia $"&amp;FIXED(X1561-Y1561,0)))</f>
        <v/>
      </c>
      <c r="AA1561" s="72" t="str">
        <f aca="false">IF(AH1561="","",IFERROR(INDEX(C_TIPO,MATCH(C1561&amp;"-P"&amp;MAX(1,COUNTIFS(C_ID,C1561,C_DEFINE,"Sí",C_INICIO,"&lt;="&amp;EOMONTH(B1561,0))),C_CLAVE,0))&amp;"","Sin dato"))</f>
        <v/>
      </c>
      <c r="AB1561" s="71" t="str">
        <f aca="false">IF(AH1561="","",ROUND(MIN(K1561,TOPE_AFP_UF*AJ1561)*AK1561,0))</f>
        <v/>
      </c>
      <c r="AC1561" s="71" t="str">
        <f aca="false">IF(AH1561="","",ROUND(MIN(K1561,TOPE_AFC_UF*AJ1561)*IF(AA1561="Indefinido",AFC_EMP_INDEF,AFC_EMP_PF),0))</f>
        <v/>
      </c>
      <c r="AD1561" s="71" t="str">
        <f aca="false">IF(AH1561="","",ROUND(MIN(K1561,TOPE_AFP_UF*AJ1561)*(MUTUAL_BASICA+MUTUAL_ADIC+SANNA),0))</f>
        <v/>
      </c>
      <c r="AE1561" s="71" t="str">
        <f aca="false">IF(AH1561="","",P1561-N(N1561)+AB1561+AC1561+AD1561)</f>
        <v/>
      </c>
      <c r="AF1561" s="65"/>
      <c r="AG1561" s="64"/>
      <c r="AH1561" s="72" t="str">
        <f aca="false">IF(OR(B1561="",C1561=""),"",C1561&amp;"|"&amp;(YEAR(B1561)*100+MONTH(B1561)))</f>
        <v/>
      </c>
      <c r="AI1561" s="70" t="str">
        <f aca="false">IF(AH1561="","",IF(COUNTIF(L_CLAVE,AH1561)&gt;1,"⚠ Duplicado","OK"))</f>
        <v/>
      </c>
      <c r="AJ1561" s="86" t="str">
        <f aca="false">IF(AH1561="","",IF(SUMPRODUCT(MAX((IND_PER&lt;=B1561)*(IND_UF&lt;&gt;"")*IND_PER))=0,UF_HOY,INDEX(IND_UF,MATCH(SUMPRODUCT(MAX((IND_PER&lt;=B1561)*(IND_UF&lt;&gt;"")*IND_PER)),IND_PER,0))))</f>
        <v/>
      </c>
      <c r="AK1561" s="87" t="str">
        <f aca="false">IF(AH1561="","",IF(COUNTIF(TASA_DESDE,"&lt;="&amp;B1561)=0,INDEX(TASA_EMP,1),INDEX(TASA_EMP,COUNTIF(TASA_DESDE,"&lt;="&amp;B1561))))</f>
        <v/>
      </c>
    </row>
    <row r="1562" customFormat="false" ht="15" hidden="false" customHeight="false" outlineLevel="0" collapsed="false">
      <c r="B1562" s="78"/>
      <c r="C1562" s="64"/>
      <c r="D1562" s="72" t="str">
        <f aca="false">IF(C1562="","",IFERROR(INDEX(T_NOMBRE,MATCH(C1562,T_ID,0)),"⚠ ID no existe"))</f>
        <v/>
      </c>
      <c r="E1562" s="69"/>
      <c r="F1562" s="67"/>
      <c r="G1562" s="67"/>
      <c r="H1562" s="67"/>
      <c r="I1562" s="67"/>
      <c r="J1562" s="67"/>
      <c r="K1562" s="85" t="str">
        <f aca="false">IF(AH1562="","",N(F1562)+N(G1562)+N(H1562)-N(I1562)+N(J1562))</f>
        <v/>
      </c>
      <c r="L1562" s="67"/>
      <c r="M1562" s="67"/>
      <c r="N1562" s="67"/>
      <c r="O1562" s="67"/>
      <c r="P1562" s="85" t="str">
        <f aca="false">IF(AH1562="","",K1562+N(L1562)+N(M1562)+N(N1562)+N(O1562))</f>
        <v/>
      </c>
      <c r="Q1562" s="67"/>
      <c r="R1562" s="67"/>
      <c r="S1562" s="67"/>
      <c r="T1562" s="67"/>
      <c r="U1562" s="67"/>
      <c r="V1562" s="67"/>
      <c r="W1562" s="85" t="str">
        <f aca="false">IF(AH1562="","",N(Q1562)+N(R1562)+N(S1562)+N(T1562)+N(U1562)+N(V1562))</f>
        <v/>
      </c>
      <c r="X1562" s="85" t="str">
        <f aca="false">IF(AH1562="","",P1562-W1562)</f>
        <v/>
      </c>
      <c r="Y1562" s="67"/>
      <c r="Z1562" s="70" t="str">
        <f aca="false">IF(OR(AH1562="",Y1562=""),"",IF(ABS(X1562-Y1562)&lt;=1,"✓ Cuadra","⚠ Diferencia $"&amp;FIXED(X1562-Y1562,0)))</f>
        <v/>
      </c>
      <c r="AA1562" s="72" t="str">
        <f aca="false">IF(AH1562="","",IFERROR(INDEX(C_TIPO,MATCH(C1562&amp;"-P"&amp;MAX(1,COUNTIFS(C_ID,C1562,C_DEFINE,"Sí",C_INICIO,"&lt;="&amp;EOMONTH(B1562,0))),C_CLAVE,0))&amp;"","Sin dato"))</f>
        <v/>
      </c>
      <c r="AB1562" s="71" t="str">
        <f aca="false">IF(AH1562="","",ROUND(MIN(K1562,TOPE_AFP_UF*AJ1562)*AK1562,0))</f>
        <v/>
      </c>
      <c r="AC1562" s="71" t="str">
        <f aca="false">IF(AH1562="","",ROUND(MIN(K1562,TOPE_AFC_UF*AJ1562)*IF(AA1562="Indefinido",AFC_EMP_INDEF,AFC_EMP_PF),0))</f>
        <v/>
      </c>
      <c r="AD1562" s="71" t="str">
        <f aca="false">IF(AH1562="","",ROUND(MIN(K1562,TOPE_AFP_UF*AJ1562)*(MUTUAL_BASICA+MUTUAL_ADIC+SANNA),0))</f>
        <v/>
      </c>
      <c r="AE1562" s="71" t="str">
        <f aca="false">IF(AH1562="","",P1562-N(N1562)+AB1562+AC1562+AD1562)</f>
        <v/>
      </c>
      <c r="AF1562" s="65"/>
      <c r="AG1562" s="64"/>
      <c r="AH1562" s="72" t="str">
        <f aca="false">IF(OR(B1562="",C1562=""),"",C1562&amp;"|"&amp;(YEAR(B1562)*100+MONTH(B1562)))</f>
        <v/>
      </c>
      <c r="AI1562" s="70" t="str">
        <f aca="false">IF(AH1562="","",IF(COUNTIF(L_CLAVE,AH1562)&gt;1,"⚠ Duplicado","OK"))</f>
        <v/>
      </c>
      <c r="AJ1562" s="86" t="str">
        <f aca="false">IF(AH1562="","",IF(SUMPRODUCT(MAX((IND_PER&lt;=B1562)*(IND_UF&lt;&gt;"")*IND_PER))=0,UF_HOY,INDEX(IND_UF,MATCH(SUMPRODUCT(MAX((IND_PER&lt;=B1562)*(IND_UF&lt;&gt;"")*IND_PER)),IND_PER,0))))</f>
        <v/>
      </c>
      <c r="AK1562" s="87" t="str">
        <f aca="false">IF(AH1562="","",IF(COUNTIF(TASA_DESDE,"&lt;="&amp;B1562)=0,INDEX(TASA_EMP,1),INDEX(TASA_EMP,COUNTIF(TASA_DESDE,"&lt;="&amp;B1562))))</f>
        <v/>
      </c>
    </row>
    <row r="1563" customFormat="false" ht="15" hidden="false" customHeight="false" outlineLevel="0" collapsed="false">
      <c r="B1563" s="78"/>
      <c r="C1563" s="64"/>
      <c r="D1563" s="72" t="str">
        <f aca="false">IF(C1563="","",IFERROR(INDEX(T_NOMBRE,MATCH(C1563,T_ID,0)),"⚠ ID no existe"))</f>
        <v/>
      </c>
      <c r="E1563" s="69"/>
      <c r="F1563" s="67"/>
      <c r="G1563" s="67"/>
      <c r="H1563" s="67"/>
      <c r="I1563" s="67"/>
      <c r="J1563" s="67"/>
      <c r="K1563" s="85" t="str">
        <f aca="false">IF(AH1563="","",N(F1563)+N(G1563)+N(H1563)-N(I1563)+N(J1563))</f>
        <v/>
      </c>
      <c r="L1563" s="67"/>
      <c r="M1563" s="67"/>
      <c r="N1563" s="67"/>
      <c r="O1563" s="67"/>
      <c r="P1563" s="85" t="str">
        <f aca="false">IF(AH1563="","",K1563+N(L1563)+N(M1563)+N(N1563)+N(O1563))</f>
        <v/>
      </c>
      <c r="Q1563" s="67"/>
      <c r="R1563" s="67"/>
      <c r="S1563" s="67"/>
      <c r="T1563" s="67"/>
      <c r="U1563" s="67"/>
      <c r="V1563" s="67"/>
      <c r="W1563" s="85" t="str">
        <f aca="false">IF(AH1563="","",N(Q1563)+N(R1563)+N(S1563)+N(T1563)+N(U1563)+N(V1563))</f>
        <v/>
      </c>
      <c r="X1563" s="85" t="str">
        <f aca="false">IF(AH1563="","",P1563-W1563)</f>
        <v/>
      </c>
      <c r="Y1563" s="67"/>
      <c r="Z1563" s="70" t="str">
        <f aca="false">IF(OR(AH1563="",Y1563=""),"",IF(ABS(X1563-Y1563)&lt;=1,"✓ Cuadra","⚠ Diferencia $"&amp;FIXED(X1563-Y1563,0)))</f>
        <v/>
      </c>
      <c r="AA1563" s="72" t="str">
        <f aca="false">IF(AH1563="","",IFERROR(INDEX(C_TIPO,MATCH(C1563&amp;"-P"&amp;MAX(1,COUNTIFS(C_ID,C1563,C_DEFINE,"Sí",C_INICIO,"&lt;="&amp;EOMONTH(B1563,0))),C_CLAVE,0))&amp;"","Sin dato"))</f>
        <v/>
      </c>
      <c r="AB1563" s="71" t="str">
        <f aca="false">IF(AH1563="","",ROUND(MIN(K1563,TOPE_AFP_UF*AJ1563)*AK1563,0))</f>
        <v/>
      </c>
      <c r="AC1563" s="71" t="str">
        <f aca="false">IF(AH1563="","",ROUND(MIN(K1563,TOPE_AFC_UF*AJ1563)*IF(AA1563="Indefinido",AFC_EMP_INDEF,AFC_EMP_PF),0))</f>
        <v/>
      </c>
      <c r="AD1563" s="71" t="str">
        <f aca="false">IF(AH1563="","",ROUND(MIN(K1563,TOPE_AFP_UF*AJ1563)*(MUTUAL_BASICA+MUTUAL_ADIC+SANNA),0))</f>
        <v/>
      </c>
      <c r="AE1563" s="71" t="str">
        <f aca="false">IF(AH1563="","",P1563-N(N1563)+AB1563+AC1563+AD1563)</f>
        <v/>
      </c>
      <c r="AF1563" s="65"/>
      <c r="AG1563" s="64"/>
      <c r="AH1563" s="72" t="str">
        <f aca="false">IF(OR(B1563="",C1563=""),"",C1563&amp;"|"&amp;(YEAR(B1563)*100+MONTH(B1563)))</f>
        <v/>
      </c>
      <c r="AI1563" s="70" t="str">
        <f aca="false">IF(AH1563="","",IF(COUNTIF(L_CLAVE,AH1563)&gt;1,"⚠ Duplicado","OK"))</f>
        <v/>
      </c>
      <c r="AJ1563" s="86" t="str">
        <f aca="false">IF(AH1563="","",IF(SUMPRODUCT(MAX((IND_PER&lt;=B1563)*(IND_UF&lt;&gt;"")*IND_PER))=0,UF_HOY,INDEX(IND_UF,MATCH(SUMPRODUCT(MAX((IND_PER&lt;=B1563)*(IND_UF&lt;&gt;"")*IND_PER)),IND_PER,0))))</f>
        <v/>
      </c>
      <c r="AK1563" s="87" t="str">
        <f aca="false">IF(AH1563="","",IF(COUNTIF(TASA_DESDE,"&lt;="&amp;B1563)=0,INDEX(TASA_EMP,1),INDEX(TASA_EMP,COUNTIF(TASA_DESDE,"&lt;="&amp;B1563))))</f>
        <v/>
      </c>
    </row>
    <row r="1564" customFormat="false" ht="15" hidden="false" customHeight="false" outlineLevel="0" collapsed="false">
      <c r="B1564" s="78"/>
      <c r="C1564" s="64"/>
      <c r="D1564" s="72" t="str">
        <f aca="false">IF(C1564="","",IFERROR(INDEX(T_NOMBRE,MATCH(C1564,T_ID,0)),"⚠ ID no existe"))</f>
        <v/>
      </c>
      <c r="E1564" s="69"/>
      <c r="F1564" s="67"/>
      <c r="G1564" s="67"/>
      <c r="H1564" s="67"/>
      <c r="I1564" s="67"/>
      <c r="J1564" s="67"/>
      <c r="K1564" s="85" t="str">
        <f aca="false">IF(AH1564="","",N(F1564)+N(G1564)+N(H1564)-N(I1564)+N(J1564))</f>
        <v/>
      </c>
      <c r="L1564" s="67"/>
      <c r="M1564" s="67"/>
      <c r="N1564" s="67"/>
      <c r="O1564" s="67"/>
      <c r="P1564" s="85" t="str">
        <f aca="false">IF(AH1564="","",K1564+N(L1564)+N(M1564)+N(N1564)+N(O1564))</f>
        <v/>
      </c>
      <c r="Q1564" s="67"/>
      <c r="R1564" s="67"/>
      <c r="S1564" s="67"/>
      <c r="T1564" s="67"/>
      <c r="U1564" s="67"/>
      <c r="V1564" s="67"/>
      <c r="W1564" s="85" t="str">
        <f aca="false">IF(AH1564="","",N(Q1564)+N(R1564)+N(S1564)+N(T1564)+N(U1564)+N(V1564))</f>
        <v/>
      </c>
      <c r="X1564" s="85" t="str">
        <f aca="false">IF(AH1564="","",P1564-W1564)</f>
        <v/>
      </c>
      <c r="Y1564" s="67"/>
      <c r="Z1564" s="70" t="str">
        <f aca="false">IF(OR(AH1564="",Y1564=""),"",IF(ABS(X1564-Y1564)&lt;=1,"✓ Cuadra","⚠ Diferencia $"&amp;FIXED(X1564-Y1564,0)))</f>
        <v/>
      </c>
      <c r="AA1564" s="72" t="str">
        <f aca="false">IF(AH1564="","",IFERROR(INDEX(C_TIPO,MATCH(C1564&amp;"-P"&amp;MAX(1,COUNTIFS(C_ID,C1564,C_DEFINE,"Sí",C_INICIO,"&lt;="&amp;EOMONTH(B1564,0))),C_CLAVE,0))&amp;"","Sin dato"))</f>
        <v/>
      </c>
      <c r="AB1564" s="71" t="str">
        <f aca="false">IF(AH1564="","",ROUND(MIN(K1564,TOPE_AFP_UF*AJ1564)*AK1564,0))</f>
        <v/>
      </c>
      <c r="AC1564" s="71" t="str">
        <f aca="false">IF(AH1564="","",ROUND(MIN(K1564,TOPE_AFC_UF*AJ1564)*IF(AA1564="Indefinido",AFC_EMP_INDEF,AFC_EMP_PF),0))</f>
        <v/>
      </c>
      <c r="AD1564" s="71" t="str">
        <f aca="false">IF(AH1564="","",ROUND(MIN(K1564,TOPE_AFP_UF*AJ1564)*(MUTUAL_BASICA+MUTUAL_ADIC+SANNA),0))</f>
        <v/>
      </c>
      <c r="AE1564" s="71" t="str">
        <f aca="false">IF(AH1564="","",P1564-N(N1564)+AB1564+AC1564+AD1564)</f>
        <v/>
      </c>
      <c r="AF1564" s="65"/>
      <c r="AG1564" s="64"/>
      <c r="AH1564" s="72" t="str">
        <f aca="false">IF(OR(B1564="",C1564=""),"",C1564&amp;"|"&amp;(YEAR(B1564)*100+MONTH(B1564)))</f>
        <v/>
      </c>
      <c r="AI1564" s="70" t="str">
        <f aca="false">IF(AH1564="","",IF(COUNTIF(L_CLAVE,AH1564)&gt;1,"⚠ Duplicado","OK"))</f>
        <v/>
      </c>
      <c r="AJ1564" s="86" t="str">
        <f aca="false">IF(AH1564="","",IF(SUMPRODUCT(MAX((IND_PER&lt;=B1564)*(IND_UF&lt;&gt;"")*IND_PER))=0,UF_HOY,INDEX(IND_UF,MATCH(SUMPRODUCT(MAX((IND_PER&lt;=B1564)*(IND_UF&lt;&gt;"")*IND_PER)),IND_PER,0))))</f>
        <v/>
      </c>
      <c r="AK1564" s="87" t="str">
        <f aca="false">IF(AH1564="","",IF(COUNTIF(TASA_DESDE,"&lt;="&amp;B1564)=0,INDEX(TASA_EMP,1),INDEX(TASA_EMP,COUNTIF(TASA_DESDE,"&lt;="&amp;B1564))))</f>
        <v/>
      </c>
    </row>
    <row r="1565" customFormat="false" ht="15" hidden="false" customHeight="false" outlineLevel="0" collapsed="false">
      <c r="B1565" s="78"/>
      <c r="C1565" s="64"/>
      <c r="D1565" s="72" t="str">
        <f aca="false">IF(C1565="","",IFERROR(INDEX(T_NOMBRE,MATCH(C1565,T_ID,0)),"⚠ ID no existe"))</f>
        <v/>
      </c>
      <c r="E1565" s="69"/>
      <c r="F1565" s="67"/>
      <c r="G1565" s="67"/>
      <c r="H1565" s="67"/>
      <c r="I1565" s="67"/>
      <c r="J1565" s="67"/>
      <c r="K1565" s="85" t="str">
        <f aca="false">IF(AH1565="","",N(F1565)+N(G1565)+N(H1565)-N(I1565)+N(J1565))</f>
        <v/>
      </c>
      <c r="L1565" s="67"/>
      <c r="M1565" s="67"/>
      <c r="N1565" s="67"/>
      <c r="O1565" s="67"/>
      <c r="P1565" s="85" t="str">
        <f aca="false">IF(AH1565="","",K1565+N(L1565)+N(M1565)+N(N1565)+N(O1565))</f>
        <v/>
      </c>
      <c r="Q1565" s="67"/>
      <c r="R1565" s="67"/>
      <c r="S1565" s="67"/>
      <c r="T1565" s="67"/>
      <c r="U1565" s="67"/>
      <c r="V1565" s="67"/>
      <c r="W1565" s="85" t="str">
        <f aca="false">IF(AH1565="","",N(Q1565)+N(R1565)+N(S1565)+N(T1565)+N(U1565)+N(V1565))</f>
        <v/>
      </c>
      <c r="X1565" s="85" t="str">
        <f aca="false">IF(AH1565="","",P1565-W1565)</f>
        <v/>
      </c>
      <c r="Y1565" s="67"/>
      <c r="Z1565" s="70" t="str">
        <f aca="false">IF(OR(AH1565="",Y1565=""),"",IF(ABS(X1565-Y1565)&lt;=1,"✓ Cuadra","⚠ Diferencia $"&amp;FIXED(X1565-Y1565,0)))</f>
        <v/>
      </c>
      <c r="AA1565" s="72" t="str">
        <f aca="false">IF(AH1565="","",IFERROR(INDEX(C_TIPO,MATCH(C1565&amp;"-P"&amp;MAX(1,COUNTIFS(C_ID,C1565,C_DEFINE,"Sí",C_INICIO,"&lt;="&amp;EOMONTH(B1565,0))),C_CLAVE,0))&amp;"","Sin dato"))</f>
        <v/>
      </c>
      <c r="AB1565" s="71" t="str">
        <f aca="false">IF(AH1565="","",ROUND(MIN(K1565,TOPE_AFP_UF*AJ1565)*AK1565,0))</f>
        <v/>
      </c>
      <c r="AC1565" s="71" t="str">
        <f aca="false">IF(AH1565="","",ROUND(MIN(K1565,TOPE_AFC_UF*AJ1565)*IF(AA1565="Indefinido",AFC_EMP_INDEF,AFC_EMP_PF),0))</f>
        <v/>
      </c>
      <c r="AD1565" s="71" t="str">
        <f aca="false">IF(AH1565="","",ROUND(MIN(K1565,TOPE_AFP_UF*AJ1565)*(MUTUAL_BASICA+MUTUAL_ADIC+SANNA),0))</f>
        <v/>
      </c>
      <c r="AE1565" s="71" t="str">
        <f aca="false">IF(AH1565="","",P1565-N(N1565)+AB1565+AC1565+AD1565)</f>
        <v/>
      </c>
      <c r="AF1565" s="65"/>
      <c r="AG1565" s="64"/>
      <c r="AH1565" s="72" t="str">
        <f aca="false">IF(OR(B1565="",C1565=""),"",C1565&amp;"|"&amp;(YEAR(B1565)*100+MONTH(B1565)))</f>
        <v/>
      </c>
      <c r="AI1565" s="70" t="str">
        <f aca="false">IF(AH1565="","",IF(COUNTIF(L_CLAVE,AH1565)&gt;1,"⚠ Duplicado","OK"))</f>
        <v/>
      </c>
      <c r="AJ1565" s="86" t="str">
        <f aca="false">IF(AH1565="","",IF(SUMPRODUCT(MAX((IND_PER&lt;=B1565)*(IND_UF&lt;&gt;"")*IND_PER))=0,UF_HOY,INDEX(IND_UF,MATCH(SUMPRODUCT(MAX((IND_PER&lt;=B1565)*(IND_UF&lt;&gt;"")*IND_PER)),IND_PER,0))))</f>
        <v/>
      </c>
      <c r="AK1565" s="87" t="str">
        <f aca="false">IF(AH1565="","",IF(COUNTIF(TASA_DESDE,"&lt;="&amp;B1565)=0,INDEX(TASA_EMP,1),INDEX(TASA_EMP,COUNTIF(TASA_DESDE,"&lt;="&amp;B1565))))</f>
        <v/>
      </c>
    </row>
    <row r="1566" customFormat="false" ht="15" hidden="false" customHeight="false" outlineLevel="0" collapsed="false">
      <c r="B1566" s="78"/>
      <c r="C1566" s="64"/>
      <c r="D1566" s="72" t="str">
        <f aca="false">IF(C1566="","",IFERROR(INDEX(T_NOMBRE,MATCH(C1566,T_ID,0)),"⚠ ID no existe"))</f>
        <v/>
      </c>
      <c r="E1566" s="69"/>
      <c r="F1566" s="67"/>
      <c r="G1566" s="67"/>
      <c r="H1566" s="67"/>
      <c r="I1566" s="67"/>
      <c r="J1566" s="67"/>
      <c r="K1566" s="85" t="str">
        <f aca="false">IF(AH1566="","",N(F1566)+N(G1566)+N(H1566)-N(I1566)+N(J1566))</f>
        <v/>
      </c>
      <c r="L1566" s="67"/>
      <c r="M1566" s="67"/>
      <c r="N1566" s="67"/>
      <c r="O1566" s="67"/>
      <c r="P1566" s="85" t="str">
        <f aca="false">IF(AH1566="","",K1566+N(L1566)+N(M1566)+N(N1566)+N(O1566))</f>
        <v/>
      </c>
      <c r="Q1566" s="67"/>
      <c r="R1566" s="67"/>
      <c r="S1566" s="67"/>
      <c r="T1566" s="67"/>
      <c r="U1566" s="67"/>
      <c r="V1566" s="67"/>
      <c r="W1566" s="85" t="str">
        <f aca="false">IF(AH1566="","",N(Q1566)+N(R1566)+N(S1566)+N(T1566)+N(U1566)+N(V1566))</f>
        <v/>
      </c>
      <c r="X1566" s="85" t="str">
        <f aca="false">IF(AH1566="","",P1566-W1566)</f>
        <v/>
      </c>
      <c r="Y1566" s="67"/>
      <c r="Z1566" s="70" t="str">
        <f aca="false">IF(OR(AH1566="",Y1566=""),"",IF(ABS(X1566-Y1566)&lt;=1,"✓ Cuadra","⚠ Diferencia $"&amp;FIXED(X1566-Y1566,0)))</f>
        <v/>
      </c>
      <c r="AA1566" s="72" t="str">
        <f aca="false">IF(AH1566="","",IFERROR(INDEX(C_TIPO,MATCH(C1566&amp;"-P"&amp;MAX(1,COUNTIFS(C_ID,C1566,C_DEFINE,"Sí",C_INICIO,"&lt;="&amp;EOMONTH(B1566,0))),C_CLAVE,0))&amp;"","Sin dato"))</f>
        <v/>
      </c>
      <c r="AB1566" s="71" t="str">
        <f aca="false">IF(AH1566="","",ROUND(MIN(K1566,TOPE_AFP_UF*AJ1566)*AK1566,0))</f>
        <v/>
      </c>
      <c r="AC1566" s="71" t="str">
        <f aca="false">IF(AH1566="","",ROUND(MIN(K1566,TOPE_AFC_UF*AJ1566)*IF(AA1566="Indefinido",AFC_EMP_INDEF,AFC_EMP_PF),0))</f>
        <v/>
      </c>
      <c r="AD1566" s="71" t="str">
        <f aca="false">IF(AH1566="","",ROUND(MIN(K1566,TOPE_AFP_UF*AJ1566)*(MUTUAL_BASICA+MUTUAL_ADIC+SANNA),0))</f>
        <v/>
      </c>
      <c r="AE1566" s="71" t="str">
        <f aca="false">IF(AH1566="","",P1566-N(N1566)+AB1566+AC1566+AD1566)</f>
        <v/>
      </c>
      <c r="AF1566" s="65"/>
      <c r="AG1566" s="64"/>
      <c r="AH1566" s="72" t="str">
        <f aca="false">IF(OR(B1566="",C1566=""),"",C1566&amp;"|"&amp;(YEAR(B1566)*100+MONTH(B1566)))</f>
        <v/>
      </c>
      <c r="AI1566" s="70" t="str">
        <f aca="false">IF(AH1566="","",IF(COUNTIF(L_CLAVE,AH1566)&gt;1,"⚠ Duplicado","OK"))</f>
        <v/>
      </c>
      <c r="AJ1566" s="86" t="str">
        <f aca="false">IF(AH1566="","",IF(SUMPRODUCT(MAX((IND_PER&lt;=B1566)*(IND_UF&lt;&gt;"")*IND_PER))=0,UF_HOY,INDEX(IND_UF,MATCH(SUMPRODUCT(MAX((IND_PER&lt;=B1566)*(IND_UF&lt;&gt;"")*IND_PER)),IND_PER,0))))</f>
        <v/>
      </c>
      <c r="AK1566" s="87" t="str">
        <f aca="false">IF(AH1566="","",IF(COUNTIF(TASA_DESDE,"&lt;="&amp;B1566)=0,INDEX(TASA_EMP,1),INDEX(TASA_EMP,COUNTIF(TASA_DESDE,"&lt;="&amp;B1566))))</f>
        <v/>
      </c>
    </row>
    <row r="1567" customFormat="false" ht="15" hidden="false" customHeight="false" outlineLevel="0" collapsed="false">
      <c r="B1567" s="78"/>
      <c r="C1567" s="64"/>
      <c r="D1567" s="72" t="str">
        <f aca="false">IF(C1567="","",IFERROR(INDEX(T_NOMBRE,MATCH(C1567,T_ID,0)),"⚠ ID no existe"))</f>
        <v/>
      </c>
      <c r="E1567" s="69"/>
      <c r="F1567" s="67"/>
      <c r="G1567" s="67"/>
      <c r="H1567" s="67"/>
      <c r="I1567" s="67"/>
      <c r="J1567" s="67"/>
      <c r="K1567" s="85" t="str">
        <f aca="false">IF(AH1567="","",N(F1567)+N(G1567)+N(H1567)-N(I1567)+N(J1567))</f>
        <v/>
      </c>
      <c r="L1567" s="67"/>
      <c r="M1567" s="67"/>
      <c r="N1567" s="67"/>
      <c r="O1567" s="67"/>
      <c r="P1567" s="85" t="str">
        <f aca="false">IF(AH1567="","",K1567+N(L1567)+N(M1567)+N(N1567)+N(O1567))</f>
        <v/>
      </c>
      <c r="Q1567" s="67"/>
      <c r="R1567" s="67"/>
      <c r="S1567" s="67"/>
      <c r="T1567" s="67"/>
      <c r="U1567" s="67"/>
      <c r="V1567" s="67"/>
      <c r="W1567" s="85" t="str">
        <f aca="false">IF(AH1567="","",N(Q1567)+N(R1567)+N(S1567)+N(T1567)+N(U1567)+N(V1567))</f>
        <v/>
      </c>
      <c r="X1567" s="85" t="str">
        <f aca="false">IF(AH1567="","",P1567-W1567)</f>
        <v/>
      </c>
      <c r="Y1567" s="67"/>
      <c r="Z1567" s="70" t="str">
        <f aca="false">IF(OR(AH1567="",Y1567=""),"",IF(ABS(X1567-Y1567)&lt;=1,"✓ Cuadra","⚠ Diferencia $"&amp;FIXED(X1567-Y1567,0)))</f>
        <v/>
      </c>
      <c r="AA1567" s="72" t="str">
        <f aca="false">IF(AH1567="","",IFERROR(INDEX(C_TIPO,MATCH(C1567&amp;"-P"&amp;MAX(1,COUNTIFS(C_ID,C1567,C_DEFINE,"Sí",C_INICIO,"&lt;="&amp;EOMONTH(B1567,0))),C_CLAVE,0))&amp;"","Sin dato"))</f>
        <v/>
      </c>
      <c r="AB1567" s="71" t="str">
        <f aca="false">IF(AH1567="","",ROUND(MIN(K1567,TOPE_AFP_UF*AJ1567)*AK1567,0))</f>
        <v/>
      </c>
      <c r="AC1567" s="71" t="str">
        <f aca="false">IF(AH1567="","",ROUND(MIN(K1567,TOPE_AFC_UF*AJ1567)*IF(AA1567="Indefinido",AFC_EMP_INDEF,AFC_EMP_PF),0))</f>
        <v/>
      </c>
      <c r="AD1567" s="71" t="str">
        <f aca="false">IF(AH1567="","",ROUND(MIN(K1567,TOPE_AFP_UF*AJ1567)*(MUTUAL_BASICA+MUTUAL_ADIC+SANNA),0))</f>
        <v/>
      </c>
      <c r="AE1567" s="71" t="str">
        <f aca="false">IF(AH1567="","",P1567-N(N1567)+AB1567+AC1567+AD1567)</f>
        <v/>
      </c>
      <c r="AF1567" s="65"/>
      <c r="AG1567" s="64"/>
      <c r="AH1567" s="72" t="str">
        <f aca="false">IF(OR(B1567="",C1567=""),"",C1567&amp;"|"&amp;(YEAR(B1567)*100+MONTH(B1567)))</f>
        <v/>
      </c>
      <c r="AI1567" s="70" t="str">
        <f aca="false">IF(AH1567="","",IF(COUNTIF(L_CLAVE,AH1567)&gt;1,"⚠ Duplicado","OK"))</f>
        <v/>
      </c>
      <c r="AJ1567" s="86" t="str">
        <f aca="false">IF(AH1567="","",IF(SUMPRODUCT(MAX((IND_PER&lt;=B1567)*(IND_UF&lt;&gt;"")*IND_PER))=0,UF_HOY,INDEX(IND_UF,MATCH(SUMPRODUCT(MAX((IND_PER&lt;=B1567)*(IND_UF&lt;&gt;"")*IND_PER)),IND_PER,0))))</f>
        <v/>
      </c>
      <c r="AK1567" s="87" t="str">
        <f aca="false">IF(AH1567="","",IF(COUNTIF(TASA_DESDE,"&lt;="&amp;B1567)=0,INDEX(TASA_EMP,1),INDEX(TASA_EMP,COUNTIF(TASA_DESDE,"&lt;="&amp;B1567))))</f>
        <v/>
      </c>
    </row>
    <row r="1568" customFormat="false" ht="15" hidden="false" customHeight="false" outlineLevel="0" collapsed="false">
      <c r="B1568" s="78"/>
      <c r="C1568" s="64"/>
      <c r="D1568" s="72" t="str">
        <f aca="false">IF(C1568="","",IFERROR(INDEX(T_NOMBRE,MATCH(C1568,T_ID,0)),"⚠ ID no existe"))</f>
        <v/>
      </c>
      <c r="E1568" s="69"/>
      <c r="F1568" s="67"/>
      <c r="G1568" s="67"/>
      <c r="H1568" s="67"/>
      <c r="I1568" s="67"/>
      <c r="J1568" s="67"/>
      <c r="K1568" s="85" t="str">
        <f aca="false">IF(AH1568="","",N(F1568)+N(G1568)+N(H1568)-N(I1568)+N(J1568))</f>
        <v/>
      </c>
      <c r="L1568" s="67"/>
      <c r="M1568" s="67"/>
      <c r="N1568" s="67"/>
      <c r="O1568" s="67"/>
      <c r="P1568" s="85" t="str">
        <f aca="false">IF(AH1568="","",K1568+N(L1568)+N(M1568)+N(N1568)+N(O1568))</f>
        <v/>
      </c>
      <c r="Q1568" s="67"/>
      <c r="R1568" s="67"/>
      <c r="S1568" s="67"/>
      <c r="T1568" s="67"/>
      <c r="U1568" s="67"/>
      <c r="V1568" s="67"/>
      <c r="W1568" s="85" t="str">
        <f aca="false">IF(AH1568="","",N(Q1568)+N(R1568)+N(S1568)+N(T1568)+N(U1568)+N(V1568))</f>
        <v/>
      </c>
      <c r="X1568" s="85" t="str">
        <f aca="false">IF(AH1568="","",P1568-W1568)</f>
        <v/>
      </c>
      <c r="Y1568" s="67"/>
      <c r="Z1568" s="70" t="str">
        <f aca="false">IF(OR(AH1568="",Y1568=""),"",IF(ABS(X1568-Y1568)&lt;=1,"✓ Cuadra","⚠ Diferencia $"&amp;FIXED(X1568-Y1568,0)))</f>
        <v/>
      </c>
      <c r="AA1568" s="72" t="str">
        <f aca="false">IF(AH1568="","",IFERROR(INDEX(C_TIPO,MATCH(C1568&amp;"-P"&amp;MAX(1,COUNTIFS(C_ID,C1568,C_DEFINE,"Sí",C_INICIO,"&lt;="&amp;EOMONTH(B1568,0))),C_CLAVE,0))&amp;"","Sin dato"))</f>
        <v/>
      </c>
      <c r="AB1568" s="71" t="str">
        <f aca="false">IF(AH1568="","",ROUND(MIN(K1568,TOPE_AFP_UF*AJ1568)*AK1568,0))</f>
        <v/>
      </c>
      <c r="AC1568" s="71" t="str">
        <f aca="false">IF(AH1568="","",ROUND(MIN(K1568,TOPE_AFC_UF*AJ1568)*IF(AA1568="Indefinido",AFC_EMP_INDEF,AFC_EMP_PF),0))</f>
        <v/>
      </c>
      <c r="AD1568" s="71" t="str">
        <f aca="false">IF(AH1568="","",ROUND(MIN(K1568,TOPE_AFP_UF*AJ1568)*(MUTUAL_BASICA+MUTUAL_ADIC+SANNA),0))</f>
        <v/>
      </c>
      <c r="AE1568" s="71" t="str">
        <f aca="false">IF(AH1568="","",P1568-N(N1568)+AB1568+AC1568+AD1568)</f>
        <v/>
      </c>
      <c r="AF1568" s="65"/>
      <c r="AG1568" s="64"/>
      <c r="AH1568" s="72" t="str">
        <f aca="false">IF(OR(B1568="",C1568=""),"",C1568&amp;"|"&amp;(YEAR(B1568)*100+MONTH(B1568)))</f>
        <v/>
      </c>
      <c r="AI1568" s="70" t="str">
        <f aca="false">IF(AH1568="","",IF(COUNTIF(L_CLAVE,AH1568)&gt;1,"⚠ Duplicado","OK"))</f>
        <v/>
      </c>
      <c r="AJ1568" s="86" t="str">
        <f aca="false">IF(AH1568="","",IF(SUMPRODUCT(MAX((IND_PER&lt;=B1568)*(IND_UF&lt;&gt;"")*IND_PER))=0,UF_HOY,INDEX(IND_UF,MATCH(SUMPRODUCT(MAX((IND_PER&lt;=B1568)*(IND_UF&lt;&gt;"")*IND_PER)),IND_PER,0))))</f>
        <v/>
      </c>
      <c r="AK1568" s="87" t="str">
        <f aca="false">IF(AH1568="","",IF(COUNTIF(TASA_DESDE,"&lt;="&amp;B1568)=0,INDEX(TASA_EMP,1),INDEX(TASA_EMP,COUNTIF(TASA_DESDE,"&lt;="&amp;B1568))))</f>
        <v/>
      </c>
    </row>
    <row r="1569" customFormat="false" ht="15" hidden="false" customHeight="false" outlineLevel="0" collapsed="false">
      <c r="B1569" s="78"/>
      <c r="C1569" s="64"/>
      <c r="D1569" s="72" t="str">
        <f aca="false">IF(C1569="","",IFERROR(INDEX(T_NOMBRE,MATCH(C1569,T_ID,0)),"⚠ ID no existe"))</f>
        <v/>
      </c>
      <c r="E1569" s="69"/>
      <c r="F1569" s="67"/>
      <c r="G1569" s="67"/>
      <c r="H1569" s="67"/>
      <c r="I1569" s="67"/>
      <c r="J1569" s="67"/>
      <c r="K1569" s="85" t="str">
        <f aca="false">IF(AH1569="","",N(F1569)+N(G1569)+N(H1569)-N(I1569)+N(J1569))</f>
        <v/>
      </c>
      <c r="L1569" s="67"/>
      <c r="M1569" s="67"/>
      <c r="N1569" s="67"/>
      <c r="O1569" s="67"/>
      <c r="P1569" s="85" t="str">
        <f aca="false">IF(AH1569="","",K1569+N(L1569)+N(M1569)+N(N1569)+N(O1569))</f>
        <v/>
      </c>
      <c r="Q1569" s="67"/>
      <c r="R1569" s="67"/>
      <c r="S1569" s="67"/>
      <c r="T1569" s="67"/>
      <c r="U1569" s="67"/>
      <c r="V1569" s="67"/>
      <c r="W1569" s="85" t="str">
        <f aca="false">IF(AH1569="","",N(Q1569)+N(R1569)+N(S1569)+N(T1569)+N(U1569)+N(V1569))</f>
        <v/>
      </c>
      <c r="X1569" s="85" t="str">
        <f aca="false">IF(AH1569="","",P1569-W1569)</f>
        <v/>
      </c>
      <c r="Y1569" s="67"/>
      <c r="Z1569" s="70" t="str">
        <f aca="false">IF(OR(AH1569="",Y1569=""),"",IF(ABS(X1569-Y1569)&lt;=1,"✓ Cuadra","⚠ Diferencia $"&amp;FIXED(X1569-Y1569,0)))</f>
        <v/>
      </c>
      <c r="AA1569" s="72" t="str">
        <f aca="false">IF(AH1569="","",IFERROR(INDEX(C_TIPO,MATCH(C1569&amp;"-P"&amp;MAX(1,COUNTIFS(C_ID,C1569,C_DEFINE,"Sí",C_INICIO,"&lt;="&amp;EOMONTH(B1569,0))),C_CLAVE,0))&amp;"","Sin dato"))</f>
        <v/>
      </c>
      <c r="AB1569" s="71" t="str">
        <f aca="false">IF(AH1569="","",ROUND(MIN(K1569,TOPE_AFP_UF*AJ1569)*AK1569,0))</f>
        <v/>
      </c>
      <c r="AC1569" s="71" t="str">
        <f aca="false">IF(AH1569="","",ROUND(MIN(K1569,TOPE_AFC_UF*AJ1569)*IF(AA1569="Indefinido",AFC_EMP_INDEF,AFC_EMP_PF),0))</f>
        <v/>
      </c>
      <c r="AD1569" s="71" t="str">
        <f aca="false">IF(AH1569="","",ROUND(MIN(K1569,TOPE_AFP_UF*AJ1569)*(MUTUAL_BASICA+MUTUAL_ADIC+SANNA),0))</f>
        <v/>
      </c>
      <c r="AE1569" s="71" t="str">
        <f aca="false">IF(AH1569="","",P1569-N(N1569)+AB1569+AC1569+AD1569)</f>
        <v/>
      </c>
      <c r="AF1569" s="65"/>
      <c r="AG1569" s="64"/>
      <c r="AH1569" s="72" t="str">
        <f aca="false">IF(OR(B1569="",C1569=""),"",C1569&amp;"|"&amp;(YEAR(B1569)*100+MONTH(B1569)))</f>
        <v/>
      </c>
      <c r="AI1569" s="70" t="str">
        <f aca="false">IF(AH1569="","",IF(COUNTIF(L_CLAVE,AH1569)&gt;1,"⚠ Duplicado","OK"))</f>
        <v/>
      </c>
      <c r="AJ1569" s="86" t="str">
        <f aca="false">IF(AH1569="","",IF(SUMPRODUCT(MAX((IND_PER&lt;=B1569)*(IND_UF&lt;&gt;"")*IND_PER))=0,UF_HOY,INDEX(IND_UF,MATCH(SUMPRODUCT(MAX((IND_PER&lt;=B1569)*(IND_UF&lt;&gt;"")*IND_PER)),IND_PER,0))))</f>
        <v/>
      </c>
      <c r="AK1569" s="87" t="str">
        <f aca="false">IF(AH1569="","",IF(COUNTIF(TASA_DESDE,"&lt;="&amp;B1569)=0,INDEX(TASA_EMP,1),INDEX(TASA_EMP,COUNTIF(TASA_DESDE,"&lt;="&amp;B1569))))</f>
        <v/>
      </c>
    </row>
    <row r="1570" customFormat="false" ht="15" hidden="false" customHeight="false" outlineLevel="0" collapsed="false">
      <c r="B1570" s="78"/>
      <c r="C1570" s="64"/>
      <c r="D1570" s="72" t="str">
        <f aca="false">IF(C1570="","",IFERROR(INDEX(T_NOMBRE,MATCH(C1570,T_ID,0)),"⚠ ID no existe"))</f>
        <v/>
      </c>
      <c r="E1570" s="69"/>
      <c r="F1570" s="67"/>
      <c r="G1570" s="67"/>
      <c r="H1570" s="67"/>
      <c r="I1570" s="67"/>
      <c r="J1570" s="67"/>
      <c r="K1570" s="85" t="str">
        <f aca="false">IF(AH1570="","",N(F1570)+N(G1570)+N(H1570)-N(I1570)+N(J1570))</f>
        <v/>
      </c>
      <c r="L1570" s="67"/>
      <c r="M1570" s="67"/>
      <c r="N1570" s="67"/>
      <c r="O1570" s="67"/>
      <c r="P1570" s="85" t="str">
        <f aca="false">IF(AH1570="","",K1570+N(L1570)+N(M1570)+N(N1570)+N(O1570))</f>
        <v/>
      </c>
      <c r="Q1570" s="67"/>
      <c r="R1570" s="67"/>
      <c r="S1570" s="67"/>
      <c r="T1570" s="67"/>
      <c r="U1570" s="67"/>
      <c r="V1570" s="67"/>
      <c r="W1570" s="85" t="str">
        <f aca="false">IF(AH1570="","",N(Q1570)+N(R1570)+N(S1570)+N(T1570)+N(U1570)+N(V1570))</f>
        <v/>
      </c>
      <c r="X1570" s="85" t="str">
        <f aca="false">IF(AH1570="","",P1570-W1570)</f>
        <v/>
      </c>
      <c r="Y1570" s="67"/>
      <c r="Z1570" s="70" t="str">
        <f aca="false">IF(OR(AH1570="",Y1570=""),"",IF(ABS(X1570-Y1570)&lt;=1,"✓ Cuadra","⚠ Diferencia $"&amp;FIXED(X1570-Y1570,0)))</f>
        <v/>
      </c>
      <c r="AA1570" s="72" t="str">
        <f aca="false">IF(AH1570="","",IFERROR(INDEX(C_TIPO,MATCH(C1570&amp;"-P"&amp;MAX(1,COUNTIFS(C_ID,C1570,C_DEFINE,"Sí",C_INICIO,"&lt;="&amp;EOMONTH(B1570,0))),C_CLAVE,0))&amp;"","Sin dato"))</f>
        <v/>
      </c>
      <c r="AB1570" s="71" t="str">
        <f aca="false">IF(AH1570="","",ROUND(MIN(K1570,TOPE_AFP_UF*AJ1570)*AK1570,0))</f>
        <v/>
      </c>
      <c r="AC1570" s="71" t="str">
        <f aca="false">IF(AH1570="","",ROUND(MIN(K1570,TOPE_AFC_UF*AJ1570)*IF(AA1570="Indefinido",AFC_EMP_INDEF,AFC_EMP_PF),0))</f>
        <v/>
      </c>
      <c r="AD1570" s="71" t="str">
        <f aca="false">IF(AH1570="","",ROUND(MIN(K1570,TOPE_AFP_UF*AJ1570)*(MUTUAL_BASICA+MUTUAL_ADIC+SANNA),0))</f>
        <v/>
      </c>
      <c r="AE1570" s="71" t="str">
        <f aca="false">IF(AH1570="","",P1570-N(N1570)+AB1570+AC1570+AD1570)</f>
        <v/>
      </c>
      <c r="AF1570" s="65"/>
      <c r="AG1570" s="64"/>
      <c r="AH1570" s="72" t="str">
        <f aca="false">IF(OR(B1570="",C1570=""),"",C1570&amp;"|"&amp;(YEAR(B1570)*100+MONTH(B1570)))</f>
        <v/>
      </c>
      <c r="AI1570" s="70" t="str">
        <f aca="false">IF(AH1570="","",IF(COUNTIF(L_CLAVE,AH1570)&gt;1,"⚠ Duplicado","OK"))</f>
        <v/>
      </c>
      <c r="AJ1570" s="86" t="str">
        <f aca="false">IF(AH1570="","",IF(SUMPRODUCT(MAX((IND_PER&lt;=B1570)*(IND_UF&lt;&gt;"")*IND_PER))=0,UF_HOY,INDEX(IND_UF,MATCH(SUMPRODUCT(MAX((IND_PER&lt;=B1570)*(IND_UF&lt;&gt;"")*IND_PER)),IND_PER,0))))</f>
        <v/>
      </c>
      <c r="AK1570" s="87" t="str">
        <f aca="false">IF(AH1570="","",IF(COUNTIF(TASA_DESDE,"&lt;="&amp;B1570)=0,INDEX(TASA_EMP,1),INDEX(TASA_EMP,COUNTIF(TASA_DESDE,"&lt;="&amp;B1570))))</f>
        <v/>
      </c>
    </row>
    <row r="1571" customFormat="false" ht="15" hidden="false" customHeight="false" outlineLevel="0" collapsed="false">
      <c r="B1571" s="78"/>
      <c r="C1571" s="64"/>
      <c r="D1571" s="72" t="str">
        <f aca="false">IF(C1571="","",IFERROR(INDEX(T_NOMBRE,MATCH(C1571,T_ID,0)),"⚠ ID no existe"))</f>
        <v/>
      </c>
      <c r="E1571" s="69"/>
      <c r="F1571" s="67"/>
      <c r="G1571" s="67"/>
      <c r="H1571" s="67"/>
      <c r="I1571" s="67"/>
      <c r="J1571" s="67"/>
      <c r="K1571" s="85" t="str">
        <f aca="false">IF(AH1571="","",N(F1571)+N(G1571)+N(H1571)-N(I1571)+N(J1571))</f>
        <v/>
      </c>
      <c r="L1571" s="67"/>
      <c r="M1571" s="67"/>
      <c r="N1571" s="67"/>
      <c r="O1571" s="67"/>
      <c r="P1571" s="85" t="str">
        <f aca="false">IF(AH1571="","",K1571+N(L1571)+N(M1571)+N(N1571)+N(O1571))</f>
        <v/>
      </c>
      <c r="Q1571" s="67"/>
      <c r="R1571" s="67"/>
      <c r="S1571" s="67"/>
      <c r="T1571" s="67"/>
      <c r="U1571" s="67"/>
      <c r="V1571" s="67"/>
      <c r="W1571" s="85" t="str">
        <f aca="false">IF(AH1571="","",N(Q1571)+N(R1571)+N(S1571)+N(T1571)+N(U1571)+N(V1571))</f>
        <v/>
      </c>
      <c r="X1571" s="85" t="str">
        <f aca="false">IF(AH1571="","",P1571-W1571)</f>
        <v/>
      </c>
      <c r="Y1571" s="67"/>
      <c r="Z1571" s="70" t="str">
        <f aca="false">IF(OR(AH1571="",Y1571=""),"",IF(ABS(X1571-Y1571)&lt;=1,"✓ Cuadra","⚠ Diferencia $"&amp;FIXED(X1571-Y1571,0)))</f>
        <v/>
      </c>
      <c r="AA1571" s="72" t="str">
        <f aca="false">IF(AH1571="","",IFERROR(INDEX(C_TIPO,MATCH(C1571&amp;"-P"&amp;MAX(1,COUNTIFS(C_ID,C1571,C_DEFINE,"Sí",C_INICIO,"&lt;="&amp;EOMONTH(B1571,0))),C_CLAVE,0))&amp;"","Sin dato"))</f>
        <v/>
      </c>
      <c r="AB1571" s="71" t="str">
        <f aca="false">IF(AH1571="","",ROUND(MIN(K1571,TOPE_AFP_UF*AJ1571)*AK1571,0))</f>
        <v/>
      </c>
      <c r="AC1571" s="71" t="str">
        <f aca="false">IF(AH1571="","",ROUND(MIN(K1571,TOPE_AFC_UF*AJ1571)*IF(AA1571="Indefinido",AFC_EMP_INDEF,AFC_EMP_PF),0))</f>
        <v/>
      </c>
      <c r="AD1571" s="71" t="str">
        <f aca="false">IF(AH1571="","",ROUND(MIN(K1571,TOPE_AFP_UF*AJ1571)*(MUTUAL_BASICA+MUTUAL_ADIC+SANNA),0))</f>
        <v/>
      </c>
      <c r="AE1571" s="71" t="str">
        <f aca="false">IF(AH1571="","",P1571-N(N1571)+AB1571+AC1571+AD1571)</f>
        <v/>
      </c>
      <c r="AF1571" s="65"/>
      <c r="AG1571" s="64"/>
      <c r="AH1571" s="72" t="str">
        <f aca="false">IF(OR(B1571="",C1571=""),"",C1571&amp;"|"&amp;(YEAR(B1571)*100+MONTH(B1571)))</f>
        <v/>
      </c>
      <c r="AI1571" s="70" t="str">
        <f aca="false">IF(AH1571="","",IF(COUNTIF(L_CLAVE,AH1571)&gt;1,"⚠ Duplicado","OK"))</f>
        <v/>
      </c>
      <c r="AJ1571" s="86" t="str">
        <f aca="false">IF(AH1571="","",IF(SUMPRODUCT(MAX((IND_PER&lt;=B1571)*(IND_UF&lt;&gt;"")*IND_PER))=0,UF_HOY,INDEX(IND_UF,MATCH(SUMPRODUCT(MAX((IND_PER&lt;=B1571)*(IND_UF&lt;&gt;"")*IND_PER)),IND_PER,0))))</f>
        <v/>
      </c>
      <c r="AK1571" s="87" t="str">
        <f aca="false">IF(AH1571="","",IF(COUNTIF(TASA_DESDE,"&lt;="&amp;B1571)=0,INDEX(TASA_EMP,1),INDEX(TASA_EMP,COUNTIF(TASA_DESDE,"&lt;="&amp;B1571))))</f>
        <v/>
      </c>
    </row>
    <row r="1572" customFormat="false" ht="15" hidden="false" customHeight="false" outlineLevel="0" collapsed="false">
      <c r="B1572" s="78"/>
      <c r="C1572" s="64"/>
      <c r="D1572" s="72" t="str">
        <f aca="false">IF(C1572="","",IFERROR(INDEX(T_NOMBRE,MATCH(C1572,T_ID,0)),"⚠ ID no existe"))</f>
        <v/>
      </c>
      <c r="E1572" s="69"/>
      <c r="F1572" s="67"/>
      <c r="G1572" s="67"/>
      <c r="H1572" s="67"/>
      <c r="I1572" s="67"/>
      <c r="J1572" s="67"/>
      <c r="K1572" s="85" t="str">
        <f aca="false">IF(AH1572="","",N(F1572)+N(G1572)+N(H1572)-N(I1572)+N(J1572))</f>
        <v/>
      </c>
      <c r="L1572" s="67"/>
      <c r="M1572" s="67"/>
      <c r="N1572" s="67"/>
      <c r="O1572" s="67"/>
      <c r="P1572" s="85" t="str">
        <f aca="false">IF(AH1572="","",K1572+N(L1572)+N(M1572)+N(N1572)+N(O1572))</f>
        <v/>
      </c>
      <c r="Q1572" s="67"/>
      <c r="R1572" s="67"/>
      <c r="S1572" s="67"/>
      <c r="T1572" s="67"/>
      <c r="U1572" s="67"/>
      <c r="V1572" s="67"/>
      <c r="W1572" s="85" t="str">
        <f aca="false">IF(AH1572="","",N(Q1572)+N(R1572)+N(S1572)+N(T1572)+N(U1572)+N(V1572))</f>
        <v/>
      </c>
      <c r="X1572" s="85" t="str">
        <f aca="false">IF(AH1572="","",P1572-W1572)</f>
        <v/>
      </c>
      <c r="Y1572" s="67"/>
      <c r="Z1572" s="70" t="str">
        <f aca="false">IF(OR(AH1572="",Y1572=""),"",IF(ABS(X1572-Y1572)&lt;=1,"✓ Cuadra","⚠ Diferencia $"&amp;FIXED(X1572-Y1572,0)))</f>
        <v/>
      </c>
      <c r="AA1572" s="72" t="str">
        <f aca="false">IF(AH1572="","",IFERROR(INDEX(C_TIPO,MATCH(C1572&amp;"-P"&amp;MAX(1,COUNTIFS(C_ID,C1572,C_DEFINE,"Sí",C_INICIO,"&lt;="&amp;EOMONTH(B1572,0))),C_CLAVE,0))&amp;"","Sin dato"))</f>
        <v/>
      </c>
      <c r="AB1572" s="71" t="str">
        <f aca="false">IF(AH1572="","",ROUND(MIN(K1572,TOPE_AFP_UF*AJ1572)*AK1572,0))</f>
        <v/>
      </c>
      <c r="AC1572" s="71" t="str">
        <f aca="false">IF(AH1572="","",ROUND(MIN(K1572,TOPE_AFC_UF*AJ1572)*IF(AA1572="Indefinido",AFC_EMP_INDEF,AFC_EMP_PF),0))</f>
        <v/>
      </c>
      <c r="AD1572" s="71" t="str">
        <f aca="false">IF(AH1572="","",ROUND(MIN(K1572,TOPE_AFP_UF*AJ1572)*(MUTUAL_BASICA+MUTUAL_ADIC+SANNA),0))</f>
        <v/>
      </c>
      <c r="AE1572" s="71" t="str">
        <f aca="false">IF(AH1572="","",P1572-N(N1572)+AB1572+AC1572+AD1572)</f>
        <v/>
      </c>
      <c r="AF1572" s="65"/>
      <c r="AG1572" s="64"/>
      <c r="AH1572" s="72" t="str">
        <f aca="false">IF(OR(B1572="",C1572=""),"",C1572&amp;"|"&amp;(YEAR(B1572)*100+MONTH(B1572)))</f>
        <v/>
      </c>
      <c r="AI1572" s="70" t="str">
        <f aca="false">IF(AH1572="","",IF(COUNTIF(L_CLAVE,AH1572)&gt;1,"⚠ Duplicado","OK"))</f>
        <v/>
      </c>
      <c r="AJ1572" s="86" t="str">
        <f aca="false">IF(AH1572="","",IF(SUMPRODUCT(MAX((IND_PER&lt;=B1572)*(IND_UF&lt;&gt;"")*IND_PER))=0,UF_HOY,INDEX(IND_UF,MATCH(SUMPRODUCT(MAX((IND_PER&lt;=B1572)*(IND_UF&lt;&gt;"")*IND_PER)),IND_PER,0))))</f>
        <v/>
      </c>
      <c r="AK1572" s="87" t="str">
        <f aca="false">IF(AH1572="","",IF(COUNTIF(TASA_DESDE,"&lt;="&amp;B1572)=0,INDEX(TASA_EMP,1),INDEX(TASA_EMP,COUNTIF(TASA_DESDE,"&lt;="&amp;B1572))))</f>
        <v/>
      </c>
    </row>
    <row r="1573" customFormat="false" ht="15" hidden="false" customHeight="false" outlineLevel="0" collapsed="false">
      <c r="B1573" s="78"/>
      <c r="C1573" s="64"/>
      <c r="D1573" s="72" t="str">
        <f aca="false">IF(C1573="","",IFERROR(INDEX(T_NOMBRE,MATCH(C1573,T_ID,0)),"⚠ ID no existe"))</f>
        <v/>
      </c>
      <c r="E1573" s="69"/>
      <c r="F1573" s="67"/>
      <c r="G1573" s="67"/>
      <c r="H1573" s="67"/>
      <c r="I1573" s="67"/>
      <c r="J1573" s="67"/>
      <c r="K1573" s="85" t="str">
        <f aca="false">IF(AH1573="","",N(F1573)+N(G1573)+N(H1573)-N(I1573)+N(J1573))</f>
        <v/>
      </c>
      <c r="L1573" s="67"/>
      <c r="M1573" s="67"/>
      <c r="N1573" s="67"/>
      <c r="O1573" s="67"/>
      <c r="P1573" s="85" t="str">
        <f aca="false">IF(AH1573="","",K1573+N(L1573)+N(M1573)+N(N1573)+N(O1573))</f>
        <v/>
      </c>
      <c r="Q1573" s="67"/>
      <c r="R1573" s="67"/>
      <c r="S1573" s="67"/>
      <c r="T1573" s="67"/>
      <c r="U1573" s="67"/>
      <c r="V1573" s="67"/>
      <c r="W1573" s="85" t="str">
        <f aca="false">IF(AH1573="","",N(Q1573)+N(R1573)+N(S1573)+N(T1573)+N(U1573)+N(V1573))</f>
        <v/>
      </c>
      <c r="X1573" s="85" t="str">
        <f aca="false">IF(AH1573="","",P1573-W1573)</f>
        <v/>
      </c>
      <c r="Y1573" s="67"/>
      <c r="Z1573" s="70" t="str">
        <f aca="false">IF(OR(AH1573="",Y1573=""),"",IF(ABS(X1573-Y1573)&lt;=1,"✓ Cuadra","⚠ Diferencia $"&amp;FIXED(X1573-Y1573,0)))</f>
        <v/>
      </c>
      <c r="AA1573" s="72" t="str">
        <f aca="false">IF(AH1573="","",IFERROR(INDEX(C_TIPO,MATCH(C1573&amp;"-P"&amp;MAX(1,COUNTIFS(C_ID,C1573,C_DEFINE,"Sí",C_INICIO,"&lt;="&amp;EOMONTH(B1573,0))),C_CLAVE,0))&amp;"","Sin dato"))</f>
        <v/>
      </c>
      <c r="AB1573" s="71" t="str">
        <f aca="false">IF(AH1573="","",ROUND(MIN(K1573,TOPE_AFP_UF*AJ1573)*AK1573,0))</f>
        <v/>
      </c>
      <c r="AC1573" s="71" t="str">
        <f aca="false">IF(AH1573="","",ROUND(MIN(K1573,TOPE_AFC_UF*AJ1573)*IF(AA1573="Indefinido",AFC_EMP_INDEF,AFC_EMP_PF),0))</f>
        <v/>
      </c>
      <c r="AD1573" s="71" t="str">
        <f aca="false">IF(AH1573="","",ROUND(MIN(K1573,TOPE_AFP_UF*AJ1573)*(MUTUAL_BASICA+MUTUAL_ADIC+SANNA),0))</f>
        <v/>
      </c>
      <c r="AE1573" s="71" t="str">
        <f aca="false">IF(AH1573="","",P1573-N(N1573)+AB1573+AC1573+AD1573)</f>
        <v/>
      </c>
      <c r="AF1573" s="65"/>
      <c r="AG1573" s="64"/>
      <c r="AH1573" s="72" t="str">
        <f aca="false">IF(OR(B1573="",C1573=""),"",C1573&amp;"|"&amp;(YEAR(B1573)*100+MONTH(B1573)))</f>
        <v/>
      </c>
      <c r="AI1573" s="70" t="str">
        <f aca="false">IF(AH1573="","",IF(COUNTIF(L_CLAVE,AH1573)&gt;1,"⚠ Duplicado","OK"))</f>
        <v/>
      </c>
      <c r="AJ1573" s="86" t="str">
        <f aca="false">IF(AH1573="","",IF(SUMPRODUCT(MAX((IND_PER&lt;=B1573)*(IND_UF&lt;&gt;"")*IND_PER))=0,UF_HOY,INDEX(IND_UF,MATCH(SUMPRODUCT(MAX((IND_PER&lt;=B1573)*(IND_UF&lt;&gt;"")*IND_PER)),IND_PER,0))))</f>
        <v/>
      </c>
      <c r="AK1573" s="87" t="str">
        <f aca="false">IF(AH1573="","",IF(COUNTIF(TASA_DESDE,"&lt;="&amp;B1573)=0,INDEX(TASA_EMP,1),INDEX(TASA_EMP,COUNTIF(TASA_DESDE,"&lt;="&amp;B1573))))</f>
        <v/>
      </c>
    </row>
    <row r="1574" customFormat="false" ht="15" hidden="false" customHeight="false" outlineLevel="0" collapsed="false">
      <c r="B1574" s="78"/>
      <c r="C1574" s="64"/>
      <c r="D1574" s="72" t="str">
        <f aca="false">IF(C1574="","",IFERROR(INDEX(T_NOMBRE,MATCH(C1574,T_ID,0)),"⚠ ID no existe"))</f>
        <v/>
      </c>
      <c r="E1574" s="69"/>
      <c r="F1574" s="67"/>
      <c r="G1574" s="67"/>
      <c r="H1574" s="67"/>
      <c r="I1574" s="67"/>
      <c r="J1574" s="67"/>
      <c r="K1574" s="85" t="str">
        <f aca="false">IF(AH1574="","",N(F1574)+N(G1574)+N(H1574)-N(I1574)+N(J1574))</f>
        <v/>
      </c>
      <c r="L1574" s="67"/>
      <c r="M1574" s="67"/>
      <c r="N1574" s="67"/>
      <c r="O1574" s="67"/>
      <c r="P1574" s="85" t="str">
        <f aca="false">IF(AH1574="","",K1574+N(L1574)+N(M1574)+N(N1574)+N(O1574))</f>
        <v/>
      </c>
      <c r="Q1574" s="67"/>
      <c r="R1574" s="67"/>
      <c r="S1574" s="67"/>
      <c r="T1574" s="67"/>
      <c r="U1574" s="67"/>
      <c r="V1574" s="67"/>
      <c r="W1574" s="85" t="str">
        <f aca="false">IF(AH1574="","",N(Q1574)+N(R1574)+N(S1574)+N(T1574)+N(U1574)+N(V1574))</f>
        <v/>
      </c>
      <c r="X1574" s="85" t="str">
        <f aca="false">IF(AH1574="","",P1574-W1574)</f>
        <v/>
      </c>
      <c r="Y1574" s="67"/>
      <c r="Z1574" s="70" t="str">
        <f aca="false">IF(OR(AH1574="",Y1574=""),"",IF(ABS(X1574-Y1574)&lt;=1,"✓ Cuadra","⚠ Diferencia $"&amp;FIXED(X1574-Y1574,0)))</f>
        <v/>
      </c>
      <c r="AA1574" s="72" t="str">
        <f aca="false">IF(AH1574="","",IFERROR(INDEX(C_TIPO,MATCH(C1574&amp;"-P"&amp;MAX(1,COUNTIFS(C_ID,C1574,C_DEFINE,"Sí",C_INICIO,"&lt;="&amp;EOMONTH(B1574,0))),C_CLAVE,0))&amp;"","Sin dato"))</f>
        <v/>
      </c>
      <c r="AB1574" s="71" t="str">
        <f aca="false">IF(AH1574="","",ROUND(MIN(K1574,TOPE_AFP_UF*AJ1574)*AK1574,0))</f>
        <v/>
      </c>
      <c r="AC1574" s="71" t="str">
        <f aca="false">IF(AH1574="","",ROUND(MIN(K1574,TOPE_AFC_UF*AJ1574)*IF(AA1574="Indefinido",AFC_EMP_INDEF,AFC_EMP_PF),0))</f>
        <v/>
      </c>
      <c r="AD1574" s="71" t="str">
        <f aca="false">IF(AH1574="","",ROUND(MIN(K1574,TOPE_AFP_UF*AJ1574)*(MUTUAL_BASICA+MUTUAL_ADIC+SANNA),0))</f>
        <v/>
      </c>
      <c r="AE1574" s="71" t="str">
        <f aca="false">IF(AH1574="","",P1574-N(N1574)+AB1574+AC1574+AD1574)</f>
        <v/>
      </c>
      <c r="AF1574" s="65"/>
      <c r="AG1574" s="64"/>
      <c r="AH1574" s="72" t="str">
        <f aca="false">IF(OR(B1574="",C1574=""),"",C1574&amp;"|"&amp;(YEAR(B1574)*100+MONTH(B1574)))</f>
        <v/>
      </c>
      <c r="AI1574" s="70" t="str">
        <f aca="false">IF(AH1574="","",IF(COUNTIF(L_CLAVE,AH1574)&gt;1,"⚠ Duplicado","OK"))</f>
        <v/>
      </c>
      <c r="AJ1574" s="86" t="str">
        <f aca="false">IF(AH1574="","",IF(SUMPRODUCT(MAX((IND_PER&lt;=B1574)*(IND_UF&lt;&gt;"")*IND_PER))=0,UF_HOY,INDEX(IND_UF,MATCH(SUMPRODUCT(MAX((IND_PER&lt;=B1574)*(IND_UF&lt;&gt;"")*IND_PER)),IND_PER,0))))</f>
        <v/>
      </c>
      <c r="AK1574" s="87" t="str">
        <f aca="false">IF(AH1574="","",IF(COUNTIF(TASA_DESDE,"&lt;="&amp;B1574)=0,INDEX(TASA_EMP,1),INDEX(TASA_EMP,COUNTIF(TASA_DESDE,"&lt;="&amp;B1574))))</f>
        <v/>
      </c>
    </row>
    <row r="1575" customFormat="false" ht="15" hidden="false" customHeight="false" outlineLevel="0" collapsed="false">
      <c r="B1575" s="78"/>
      <c r="C1575" s="64"/>
      <c r="D1575" s="72" t="str">
        <f aca="false">IF(C1575="","",IFERROR(INDEX(T_NOMBRE,MATCH(C1575,T_ID,0)),"⚠ ID no existe"))</f>
        <v/>
      </c>
      <c r="E1575" s="69"/>
      <c r="F1575" s="67"/>
      <c r="G1575" s="67"/>
      <c r="H1575" s="67"/>
      <c r="I1575" s="67"/>
      <c r="J1575" s="67"/>
      <c r="K1575" s="85" t="str">
        <f aca="false">IF(AH1575="","",N(F1575)+N(G1575)+N(H1575)-N(I1575)+N(J1575))</f>
        <v/>
      </c>
      <c r="L1575" s="67"/>
      <c r="M1575" s="67"/>
      <c r="N1575" s="67"/>
      <c r="O1575" s="67"/>
      <c r="P1575" s="85" t="str">
        <f aca="false">IF(AH1575="","",K1575+N(L1575)+N(M1575)+N(N1575)+N(O1575))</f>
        <v/>
      </c>
      <c r="Q1575" s="67"/>
      <c r="R1575" s="67"/>
      <c r="S1575" s="67"/>
      <c r="T1575" s="67"/>
      <c r="U1575" s="67"/>
      <c r="V1575" s="67"/>
      <c r="W1575" s="85" t="str">
        <f aca="false">IF(AH1575="","",N(Q1575)+N(R1575)+N(S1575)+N(T1575)+N(U1575)+N(V1575))</f>
        <v/>
      </c>
      <c r="X1575" s="85" t="str">
        <f aca="false">IF(AH1575="","",P1575-W1575)</f>
        <v/>
      </c>
      <c r="Y1575" s="67"/>
      <c r="Z1575" s="70" t="str">
        <f aca="false">IF(OR(AH1575="",Y1575=""),"",IF(ABS(X1575-Y1575)&lt;=1,"✓ Cuadra","⚠ Diferencia $"&amp;FIXED(X1575-Y1575,0)))</f>
        <v/>
      </c>
      <c r="AA1575" s="72" t="str">
        <f aca="false">IF(AH1575="","",IFERROR(INDEX(C_TIPO,MATCH(C1575&amp;"-P"&amp;MAX(1,COUNTIFS(C_ID,C1575,C_DEFINE,"Sí",C_INICIO,"&lt;="&amp;EOMONTH(B1575,0))),C_CLAVE,0))&amp;"","Sin dato"))</f>
        <v/>
      </c>
      <c r="AB1575" s="71" t="str">
        <f aca="false">IF(AH1575="","",ROUND(MIN(K1575,TOPE_AFP_UF*AJ1575)*AK1575,0))</f>
        <v/>
      </c>
      <c r="AC1575" s="71" t="str">
        <f aca="false">IF(AH1575="","",ROUND(MIN(K1575,TOPE_AFC_UF*AJ1575)*IF(AA1575="Indefinido",AFC_EMP_INDEF,AFC_EMP_PF),0))</f>
        <v/>
      </c>
      <c r="AD1575" s="71" t="str">
        <f aca="false">IF(AH1575="","",ROUND(MIN(K1575,TOPE_AFP_UF*AJ1575)*(MUTUAL_BASICA+MUTUAL_ADIC+SANNA),0))</f>
        <v/>
      </c>
      <c r="AE1575" s="71" t="str">
        <f aca="false">IF(AH1575="","",P1575-N(N1575)+AB1575+AC1575+AD1575)</f>
        <v/>
      </c>
      <c r="AF1575" s="65"/>
      <c r="AG1575" s="64"/>
      <c r="AH1575" s="72" t="str">
        <f aca="false">IF(OR(B1575="",C1575=""),"",C1575&amp;"|"&amp;(YEAR(B1575)*100+MONTH(B1575)))</f>
        <v/>
      </c>
      <c r="AI1575" s="70" t="str">
        <f aca="false">IF(AH1575="","",IF(COUNTIF(L_CLAVE,AH1575)&gt;1,"⚠ Duplicado","OK"))</f>
        <v/>
      </c>
      <c r="AJ1575" s="86" t="str">
        <f aca="false">IF(AH1575="","",IF(SUMPRODUCT(MAX((IND_PER&lt;=B1575)*(IND_UF&lt;&gt;"")*IND_PER))=0,UF_HOY,INDEX(IND_UF,MATCH(SUMPRODUCT(MAX((IND_PER&lt;=B1575)*(IND_UF&lt;&gt;"")*IND_PER)),IND_PER,0))))</f>
        <v/>
      </c>
      <c r="AK1575" s="87" t="str">
        <f aca="false">IF(AH1575="","",IF(COUNTIF(TASA_DESDE,"&lt;="&amp;B1575)=0,INDEX(TASA_EMP,1),INDEX(TASA_EMP,COUNTIF(TASA_DESDE,"&lt;="&amp;B1575))))</f>
        <v/>
      </c>
    </row>
    <row r="1576" customFormat="false" ht="15" hidden="false" customHeight="false" outlineLevel="0" collapsed="false">
      <c r="B1576" s="78"/>
      <c r="C1576" s="64"/>
      <c r="D1576" s="72" t="str">
        <f aca="false">IF(C1576="","",IFERROR(INDEX(T_NOMBRE,MATCH(C1576,T_ID,0)),"⚠ ID no existe"))</f>
        <v/>
      </c>
      <c r="E1576" s="69"/>
      <c r="F1576" s="67"/>
      <c r="G1576" s="67"/>
      <c r="H1576" s="67"/>
      <c r="I1576" s="67"/>
      <c r="J1576" s="67"/>
      <c r="K1576" s="85" t="str">
        <f aca="false">IF(AH1576="","",N(F1576)+N(G1576)+N(H1576)-N(I1576)+N(J1576))</f>
        <v/>
      </c>
      <c r="L1576" s="67"/>
      <c r="M1576" s="67"/>
      <c r="N1576" s="67"/>
      <c r="O1576" s="67"/>
      <c r="P1576" s="85" t="str">
        <f aca="false">IF(AH1576="","",K1576+N(L1576)+N(M1576)+N(N1576)+N(O1576))</f>
        <v/>
      </c>
      <c r="Q1576" s="67"/>
      <c r="R1576" s="67"/>
      <c r="S1576" s="67"/>
      <c r="T1576" s="67"/>
      <c r="U1576" s="67"/>
      <c r="V1576" s="67"/>
      <c r="W1576" s="85" t="str">
        <f aca="false">IF(AH1576="","",N(Q1576)+N(R1576)+N(S1576)+N(T1576)+N(U1576)+N(V1576))</f>
        <v/>
      </c>
      <c r="X1576" s="85" t="str">
        <f aca="false">IF(AH1576="","",P1576-W1576)</f>
        <v/>
      </c>
      <c r="Y1576" s="67"/>
      <c r="Z1576" s="70" t="str">
        <f aca="false">IF(OR(AH1576="",Y1576=""),"",IF(ABS(X1576-Y1576)&lt;=1,"✓ Cuadra","⚠ Diferencia $"&amp;FIXED(X1576-Y1576,0)))</f>
        <v/>
      </c>
      <c r="AA1576" s="72" t="str">
        <f aca="false">IF(AH1576="","",IFERROR(INDEX(C_TIPO,MATCH(C1576&amp;"-P"&amp;MAX(1,COUNTIFS(C_ID,C1576,C_DEFINE,"Sí",C_INICIO,"&lt;="&amp;EOMONTH(B1576,0))),C_CLAVE,0))&amp;"","Sin dato"))</f>
        <v/>
      </c>
      <c r="AB1576" s="71" t="str">
        <f aca="false">IF(AH1576="","",ROUND(MIN(K1576,TOPE_AFP_UF*AJ1576)*AK1576,0))</f>
        <v/>
      </c>
      <c r="AC1576" s="71" t="str">
        <f aca="false">IF(AH1576="","",ROUND(MIN(K1576,TOPE_AFC_UF*AJ1576)*IF(AA1576="Indefinido",AFC_EMP_INDEF,AFC_EMP_PF),0))</f>
        <v/>
      </c>
      <c r="AD1576" s="71" t="str">
        <f aca="false">IF(AH1576="","",ROUND(MIN(K1576,TOPE_AFP_UF*AJ1576)*(MUTUAL_BASICA+MUTUAL_ADIC+SANNA),0))</f>
        <v/>
      </c>
      <c r="AE1576" s="71" t="str">
        <f aca="false">IF(AH1576="","",P1576-N(N1576)+AB1576+AC1576+AD1576)</f>
        <v/>
      </c>
      <c r="AF1576" s="65"/>
      <c r="AG1576" s="64"/>
      <c r="AH1576" s="72" t="str">
        <f aca="false">IF(OR(B1576="",C1576=""),"",C1576&amp;"|"&amp;(YEAR(B1576)*100+MONTH(B1576)))</f>
        <v/>
      </c>
      <c r="AI1576" s="70" t="str">
        <f aca="false">IF(AH1576="","",IF(COUNTIF(L_CLAVE,AH1576)&gt;1,"⚠ Duplicado","OK"))</f>
        <v/>
      </c>
      <c r="AJ1576" s="86" t="str">
        <f aca="false">IF(AH1576="","",IF(SUMPRODUCT(MAX((IND_PER&lt;=B1576)*(IND_UF&lt;&gt;"")*IND_PER))=0,UF_HOY,INDEX(IND_UF,MATCH(SUMPRODUCT(MAX((IND_PER&lt;=B1576)*(IND_UF&lt;&gt;"")*IND_PER)),IND_PER,0))))</f>
        <v/>
      </c>
      <c r="AK1576" s="87" t="str">
        <f aca="false">IF(AH1576="","",IF(COUNTIF(TASA_DESDE,"&lt;="&amp;B1576)=0,INDEX(TASA_EMP,1),INDEX(TASA_EMP,COUNTIF(TASA_DESDE,"&lt;="&amp;B1576))))</f>
        <v/>
      </c>
    </row>
    <row r="1577" customFormat="false" ht="15" hidden="false" customHeight="false" outlineLevel="0" collapsed="false">
      <c r="B1577" s="78"/>
      <c r="C1577" s="64"/>
      <c r="D1577" s="72" t="str">
        <f aca="false">IF(C1577="","",IFERROR(INDEX(T_NOMBRE,MATCH(C1577,T_ID,0)),"⚠ ID no existe"))</f>
        <v/>
      </c>
      <c r="E1577" s="69"/>
      <c r="F1577" s="67"/>
      <c r="G1577" s="67"/>
      <c r="H1577" s="67"/>
      <c r="I1577" s="67"/>
      <c r="J1577" s="67"/>
      <c r="K1577" s="85" t="str">
        <f aca="false">IF(AH1577="","",N(F1577)+N(G1577)+N(H1577)-N(I1577)+N(J1577))</f>
        <v/>
      </c>
      <c r="L1577" s="67"/>
      <c r="M1577" s="67"/>
      <c r="N1577" s="67"/>
      <c r="O1577" s="67"/>
      <c r="P1577" s="85" t="str">
        <f aca="false">IF(AH1577="","",K1577+N(L1577)+N(M1577)+N(N1577)+N(O1577))</f>
        <v/>
      </c>
      <c r="Q1577" s="67"/>
      <c r="R1577" s="67"/>
      <c r="S1577" s="67"/>
      <c r="T1577" s="67"/>
      <c r="U1577" s="67"/>
      <c r="V1577" s="67"/>
      <c r="W1577" s="85" t="str">
        <f aca="false">IF(AH1577="","",N(Q1577)+N(R1577)+N(S1577)+N(T1577)+N(U1577)+N(V1577))</f>
        <v/>
      </c>
      <c r="X1577" s="85" t="str">
        <f aca="false">IF(AH1577="","",P1577-W1577)</f>
        <v/>
      </c>
      <c r="Y1577" s="67"/>
      <c r="Z1577" s="70" t="str">
        <f aca="false">IF(OR(AH1577="",Y1577=""),"",IF(ABS(X1577-Y1577)&lt;=1,"✓ Cuadra","⚠ Diferencia $"&amp;FIXED(X1577-Y1577,0)))</f>
        <v/>
      </c>
      <c r="AA1577" s="72" t="str">
        <f aca="false">IF(AH1577="","",IFERROR(INDEX(C_TIPO,MATCH(C1577&amp;"-P"&amp;MAX(1,COUNTIFS(C_ID,C1577,C_DEFINE,"Sí",C_INICIO,"&lt;="&amp;EOMONTH(B1577,0))),C_CLAVE,0))&amp;"","Sin dato"))</f>
        <v/>
      </c>
      <c r="AB1577" s="71" t="str">
        <f aca="false">IF(AH1577="","",ROUND(MIN(K1577,TOPE_AFP_UF*AJ1577)*AK1577,0))</f>
        <v/>
      </c>
      <c r="AC1577" s="71" t="str">
        <f aca="false">IF(AH1577="","",ROUND(MIN(K1577,TOPE_AFC_UF*AJ1577)*IF(AA1577="Indefinido",AFC_EMP_INDEF,AFC_EMP_PF),0))</f>
        <v/>
      </c>
      <c r="AD1577" s="71" t="str">
        <f aca="false">IF(AH1577="","",ROUND(MIN(K1577,TOPE_AFP_UF*AJ1577)*(MUTUAL_BASICA+MUTUAL_ADIC+SANNA),0))</f>
        <v/>
      </c>
      <c r="AE1577" s="71" t="str">
        <f aca="false">IF(AH1577="","",P1577-N(N1577)+AB1577+AC1577+AD1577)</f>
        <v/>
      </c>
      <c r="AF1577" s="65"/>
      <c r="AG1577" s="64"/>
      <c r="AH1577" s="72" t="str">
        <f aca="false">IF(OR(B1577="",C1577=""),"",C1577&amp;"|"&amp;(YEAR(B1577)*100+MONTH(B1577)))</f>
        <v/>
      </c>
      <c r="AI1577" s="70" t="str">
        <f aca="false">IF(AH1577="","",IF(COUNTIF(L_CLAVE,AH1577)&gt;1,"⚠ Duplicado","OK"))</f>
        <v/>
      </c>
      <c r="AJ1577" s="86" t="str">
        <f aca="false">IF(AH1577="","",IF(SUMPRODUCT(MAX((IND_PER&lt;=B1577)*(IND_UF&lt;&gt;"")*IND_PER))=0,UF_HOY,INDEX(IND_UF,MATCH(SUMPRODUCT(MAX((IND_PER&lt;=B1577)*(IND_UF&lt;&gt;"")*IND_PER)),IND_PER,0))))</f>
        <v/>
      </c>
      <c r="AK1577" s="87" t="str">
        <f aca="false">IF(AH1577="","",IF(COUNTIF(TASA_DESDE,"&lt;="&amp;B1577)=0,INDEX(TASA_EMP,1),INDEX(TASA_EMP,COUNTIF(TASA_DESDE,"&lt;="&amp;B1577))))</f>
        <v/>
      </c>
    </row>
    <row r="1578" customFormat="false" ht="15" hidden="false" customHeight="false" outlineLevel="0" collapsed="false">
      <c r="B1578" s="78"/>
      <c r="C1578" s="64"/>
      <c r="D1578" s="72" t="str">
        <f aca="false">IF(C1578="","",IFERROR(INDEX(T_NOMBRE,MATCH(C1578,T_ID,0)),"⚠ ID no existe"))</f>
        <v/>
      </c>
      <c r="E1578" s="69"/>
      <c r="F1578" s="67"/>
      <c r="G1578" s="67"/>
      <c r="H1578" s="67"/>
      <c r="I1578" s="67"/>
      <c r="J1578" s="67"/>
      <c r="K1578" s="85" t="str">
        <f aca="false">IF(AH1578="","",N(F1578)+N(G1578)+N(H1578)-N(I1578)+N(J1578))</f>
        <v/>
      </c>
      <c r="L1578" s="67"/>
      <c r="M1578" s="67"/>
      <c r="N1578" s="67"/>
      <c r="O1578" s="67"/>
      <c r="P1578" s="85" t="str">
        <f aca="false">IF(AH1578="","",K1578+N(L1578)+N(M1578)+N(N1578)+N(O1578))</f>
        <v/>
      </c>
      <c r="Q1578" s="67"/>
      <c r="R1578" s="67"/>
      <c r="S1578" s="67"/>
      <c r="T1578" s="67"/>
      <c r="U1578" s="67"/>
      <c r="V1578" s="67"/>
      <c r="W1578" s="85" t="str">
        <f aca="false">IF(AH1578="","",N(Q1578)+N(R1578)+N(S1578)+N(T1578)+N(U1578)+N(V1578))</f>
        <v/>
      </c>
      <c r="X1578" s="85" t="str">
        <f aca="false">IF(AH1578="","",P1578-W1578)</f>
        <v/>
      </c>
      <c r="Y1578" s="67"/>
      <c r="Z1578" s="70" t="str">
        <f aca="false">IF(OR(AH1578="",Y1578=""),"",IF(ABS(X1578-Y1578)&lt;=1,"✓ Cuadra","⚠ Diferencia $"&amp;FIXED(X1578-Y1578,0)))</f>
        <v/>
      </c>
      <c r="AA1578" s="72" t="str">
        <f aca="false">IF(AH1578="","",IFERROR(INDEX(C_TIPO,MATCH(C1578&amp;"-P"&amp;MAX(1,COUNTIFS(C_ID,C1578,C_DEFINE,"Sí",C_INICIO,"&lt;="&amp;EOMONTH(B1578,0))),C_CLAVE,0))&amp;"","Sin dato"))</f>
        <v/>
      </c>
      <c r="AB1578" s="71" t="str">
        <f aca="false">IF(AH1578="","",ROUND(MIN(K1578,TOPE_AFP_UF*AJ1578)*AK1578,0))</f>
        <v/>
      </c>
      <c r="AC1578" s="71" t="str">
        <f aca="false">IF(AH1578="","",ROUND(MIN(K1578,TOPE_AFC_UF*AJ1578)*IF(AA1578="Indefinido",AFC_EMP_INDEF,AFC_EMP_PF),0))</f>
        <v/>
      </c>
      <c r="AD1578" s="71" t="str">
        <f aca="false">IF(AH1578="","",ROUND(MIN(K1578,TOPE_AFP_UF*AJ1578)*(MUTUAL_BASICA+MUTUAL_ADIC+SANNA),0))</f>
        <v/>
      </c>
      <c r="AE1578" s="71" t="str">
        <f aca="false">IF(AH1578="","",P1578-N(N1578)+AB1578+AC1578+AD1578)</f>
        <v/>
      </c>
      <c r="AF1578" s="65"/>
      <c r="AG1578" s="64"/>
      <c r="AH1578" s="72" t="str">
        <f aca="false">IF(OR(B1578="",C1578=""),"",C1578&amp;"|"&amp;(YEAR(B1578)*100+MONTH(B1578)))</f>
        <v/>
      </c>
      <c r="AI1578" s="70" t="str">
        <f aca="false">IF(AH1578="","",IF(COUNTIF(L_CLAVE,AH1578)&gt;1,"⚠ Duplicado","OK"))</f>
        <v/>
      </c>
      <c r="AJ1578" s="86" t="str">
        <f aca="false">IF(AH1578="","",IF(SUMPRODUCT(MAX((IND_PER&lt;=B1578)*(IND_UF&lt;&gt;"")*IND_PER))=0,UF_HOY,INDEX(IND_UF,MATCH(SUMPRODUCT(MAX((IND_PER&lt;=B1578)*(IND_UF&lt;&gt;"")*IND_PER)),IND_PER,0))))</f>
        <v/>
      </c>
      <c r="AK1578" s="87" t="str">
        <f aca="false">IF(AH1578="","",IF(COUNTIF(TASA_DESDE,"&lt;="&amp;B1578)=0,INDEX(TASA_EMP,1),INDEX(TASA_EMP,COUNTIF(TASA_DESDE,"&lt;="&amp;B1578))))</f>
        <v/>
      </c>
    </row>
    <row r="1579" customFormat="false" ht="15" hidden="false" customHeight="false" outlineLevel="0" collapsed="false">
      <c r="B1579" s="78"/>
      <c r="C1579" s="64"/>
      <c r="D1579" s="72" t="str">
        <f aca="false">IF(C1579="","",IFERROR(INDEX(T_NOMBRE,MATCH(C1579,T_ID,0)),"⚠ ID no existe"))</f>
        <v/>
      </c>
      <c r="E1579" s="69"/>
      <c r="F1579" s="67"/>
      <c r="G1579" s="67"/>
      <c r="H1579" s="67"/>
      <c r="I1579" s="67"/>
      <c r="J1579" s="67"/>
      <c r="K1579" s="85" t="str">
        <f aca="false">IF(AH1579="","",N(F1579)+N(G1579)+N(H1579)-N(I1579)+N(J1579))</f>
        <v/>
      </c>
      <c r="L1579" s="67"/>
      <c r="M1579" s="67"/>
      <c r="N1579" s="67"/>
      <c r="O1579" s="67"/>
      <c r="P1579" s="85" t="str">
        <f aca="false">IF(AH1579="","",K1579+N(L1579)+N(M1579)+N(N1579)+N(O1579))</f>
        <v/>
      </c>
      <c r="Q1579" s="67"/>
      <c r="R1579" s="67"/>
      <c r="S1579" s="67"/>
      <c r="T1579" s="67"/>
      <c r="U1579" s="67"/>
      <c r="V1579" s="67"/>
      <c r="W1579" s="85" t="str">
        <f aca="false">IF(AH1579="","",N(Q1579)+N(R1579)+N(S1579)+N(T1579)+N(U1579)+N(V1579))</f>
        <v/>
      </c>
      <c r="X1579" s="85" t="str">
        <f aca="false">IF(AH1579="","",P1579-W1579)</f>
        <v/>
      </c>
      <c r="Y1579" s="67"/>
      <c r="Z1579" s="70" t="str">
        <f aca="false">IF(OR(AH1579="",Y1579=""),"",IF(ABS(X1579-Y1579)&lt;=1,"✓ Cuadra","⚠ Diferencia $"&amp;FIXED(X1579-Y1579,0)))</f>
        <v/>
      </c>
      <c r="AA1579" s="72" t="str">
        <f aca="false">IF(AH1579="","",IFERROR(INDEX(C_TIPO,MATCH(C1579&amp;"-P"&amp;MAX(1,COUNTIFS(C_ID,C1579,C_DEFINE,"Sí",C_INICIO,"&lt;="&amp;EOMONTH(B1579,0))),C_CLAVE,0))&amp;"","Sin dato"))</f>
        <v/>
      </c>
      <c r="AB1579" s="71" t="str">
        <f aca="false">IF(AH1579="","",ROUND(MIN(K1579,TOPE_AFP_UF*AJ1579)*AK1579,0))</f>
        <v/>
      </c>
      <c r="AC1579" s="71" t="str">
        <f aca="false">IF(AH1579="","",ROUND(MIN(K1579,TOPE_AFC_UF*AJ1579)*IF(AA1579="Indefinido",AFC_EMP_INDEF,AFC_EMP_PF),0))</f>
        <v/>
      </c>
      <c r="AD1579" s="71" t="str">
        <f aca="false">IF(AH1579="","",ROUND(MIN(K1579,TOPE_AFP_UF*AJ1579)*(MUTUAL_BASICA+MUTUAL_ADIC+SANNA),0))</f>
        <v/>
      </c>
      <c r="AE1579" s="71" t="str">
        <f aca="false">IF(AH1579="","",P1579-N(N1579)+AB1579+AC1579+AD1579)</f>
        <v/>
      </c>
      <c r="AF1579" s="65"/>
      <c r="AG1579" s="64"/>
      <c r="AH1579" s="72" t="str">
        <f aca="false">IF(OR(B1579="",C1579=""),"",C1579&amp;"|"&amp;(YEAR(B1579)*100+MONTH(B1579)))</f>
        <v/>
      </c>
      <c r="AI1579" s="70" t="str">
        <f aca="false">IF(AH1579="","",IF(COUNTIF(L_CLAVE,AH1579)&gt;1,"⚠ Duplicado","OK"))</f>
        <v/>
      </c>
      <c r="AJ1579" s="86" t="str">
        <f aca="false">IF(AH1579="","",IF(SUMPRODUCT(MAX((IND_PER&lt;=B1579)*(IND_UF&lt;&gt;"")*IND_PER))=0,UF_HOY,INDEX(IND_UF,MATCH(SUMPRODUCT(MAX((IND_PER&lt;=B1579)*(IND_UF&lt;&gt;"")*IND_PER)),IND_PER,0))))</f>
        <v/>
      </c>
      <c r="AK1579" s="87" t="str">
        <f aca="false">IF(AH1579="","",IF(COUNTIF(TASA_DESDE,"&lt;="&amp;B1579)=0,INDEX(TASA_EMP,1),INDEX(TASA_EMP,COUNTIF(TASA_DESDE,"&lt;="&amp;B1579))))</f>
        <v/>
      </c>
    </row>
    <row r="1580" customFormat="false" ht="15" hidden="false" customHeight="false" outlineLevel="0" collapsed="false">
      <c r="B1580" s="78"/>
      <c r="C1580" s="64"/>
      <c r="D1580" s="72" t="str">
        <f aca="false">IF(C1580="","",IFERROR(INDEX(T_NOMBRE,MATCH(C1580,T_ID,0)),"⚠ ID no existe"))</f>
        <v/>
      </c>
      <c r="E1580" s="69"/>
      <c r="F1580" s="67"/>
      <c r="G1580" s="67"/>
      <c r="H1580" s="67"/>
      <c r="I1580" s="67"/>
      <c r="J1580" s="67"/>
      <c r="K1580" s="85" t="str">
        <f aca="false">IF(AH1580="","",N(F1580)+N(G1580)+N(H1580)-N(I1580)+N(J1580))</f>
        <v/>
      </c>
      <c r="L1580" s="67"/>
      <c r="M1580" s="67"/>
      <c r="N1580" s="67"/>
      <c r="O1580" s="67"/>
      <c r="P1580" s="85" t="str">
        <f aca="false">IF(AH1580="","",K1580+N(L1580)+N(M1580)+N(N1580)+N(O1580))</f>
        <v/>
      </c>
      <c r="Q1580" s="67"/>
      <c r="R1580" s="67"/>
      <c r="S1580" s="67"/>
      <c r="T1580" s="67"/>
      <c r="U1580" s="67"/>
      <c r="V1580" s="67"/>
      <c r="W1580" s="85" t="str">
        <f aca="false">IF(AH1580="","",N(Q1580)+N(R1580)+N(S1580)+N(T1580)+N(U1580)+N(V1580))</f>
        <v/>
      </c>
      <c r="X1580" s="85" t="str">
        <f aca="false">IF(AH1580="","",P1580-W1580)</f>
        <v/>
      </c>
      <c r="Y1580" s="67"/>
      <c r="Z1580" s="70" t="str">
        <f aca="false">IF(OR(AH1580="",Y1580=""),"",IF(ABS(X1580-Y1580)&lt;=1,"✓ Cuadra","⚠ Diferencia $"&amp;FIXED(X1580-Y1580,0)))</f>
        <v/>
      </c>
      <c r="AA1580" s="72" t="str">
        <f aca="false">IF(AH1580="","",IFERROR(INDEX(C_TIPO,MATCH(C1580&amp;"-P"&amp;MAX(1,COUNTIFS(C_ID,C1580,C_DEFINE,"Sí",C_INICIO,"&lt;="&amp;EOMONTH(B1580,0))),C_CLAVE,0))&amp;"","Sin dato"))</f>
        <v/>
      </c>
      <c r="AB1580" s="71" t="str">
        <f aca="false">IF(AH1580="","",ROUND(MIN(K1580,TOPE_AFP_UF*AJ1580)*AK1580,0))</f>
        <v/>
      </c>
      <c r="AC1580" s="71" t="str">
        <f aca="false">IF(AH1580="","",ROUND(MIN(K1580,TOPE_AFC_UF*AJ1580)*IF(AA1580="Indefinido",AFC_EMP_INDEF,AFC_EMP_PF),0))</f>
        <v/>
      </c>
      <c r="AD1580" s="71" t="str">
        <f aca="false">IF(AH1580="","",ROUND(MIN(K1580,TOPE_AFP_UF*AJ1580)*(MUTUAL_BASICA+MUTUAL_ADIC+SANNA),0))</f>
        <v/>
      </c>
      <c r="AE1580" s="71" t="str">
        <f aca="false">IF(AH1580="","",P1580-N(N1580)+AB1580+AC1580+AD1580)</f>
        <v/>
      </c>
      <c r="AF1580" s="65"/>
      <c r="AG1580" s="64"/>
      <c r="AH1580" s="72" t="str">
        <f aca="false">IF(OR(B1580="",C1580=""),"",C1580&amp;"|"&amp;(YEAR(B1580)*100+MONTH(B1580)))</f>
        <v/>
      </c>
      <c r="AI1580" s="70" t="str">
        <f aca="false">IF(AH1580="","",IF(COUNTIF(L_CLAVE,AH1580)&gt;1,"⚠ Duplicado","OK"))</f>
        <v/>
      </c>
      <c r="AJ1580" s="86" t="str">
        <f aca="false">IF(AH1580="","",IF(SUMPRODUCT(MAX((IND_PER&lt;=B1580)*(IND_UF&lt;&gt;"")*IND_PER))=0,UF_HOY,INDEX(IND_UF,MATCH(SUMPRODUCT(MAX((IND_PER&lt;=B1580)*(IND_UF&lt;&gt;"")*IND_PER)),IND_PER,0))))</f>
        <v/>
      </c>
      <c r="AK1580" s="87" t="str">
        <f aca="false">IF(AH1580="","",IF(COUNTIF(TASA_DESDE,"&lt;="&amp;B1580)=0,INDEX(TASA_EMP,1),INDEX(TASA_EMP,COUNTIF(TASA_DESDE,"&lt;="&amp;B1580))))</f>
        <v/>
      </c>
    </row>
    <row r="1581" customFormat="false" ht="15" hidden="false" customHeight="false" outlineLevel="0" collapsed="false">
      <c r="B1581" s="78"/>
      <c r="C1581" s="64"/>
      <c r="D1581" s="72" t="str">
        <f aca="false">IF(C1581="","",IFERROR(INDEX(T_NOMBRE,MATCH(C1581,T_ID,0)),"⚠ ID no existe"))</f>
        <v/>
      </c>
      <c r="E1581" s="69"/>
      <c r="F1581" s="67"/>
      <c r="G1581" s="67"/>
      <c r="H1581" s="67"/>
      <c r="I1581" s="67"/>
      <c r="J1581" s="67"/>
      <c r="K1581" s="85" t="str">
        <f aca="false">IF(AH1581="","",N(F1581)+N(G1581)+N(H1581)-N(I1581)+N(J1581))</f>
        <v/>
      </c>
      <c r="L1581" s="67"/>
      <c r="M1581" s="67"/>
      <c r="N1581" s="67"/>
      <c r="O1581" s="67"/>
      <c r="P1581" s="85" t="str">
        <f aca="false">IF(AH1581="","",K1581+N(L1581)+N(M1581)+N(N1581)+N(O1581))</f>
        <v/>
      </c>
      <c r="Q1581" s="67"/>
      <c r="R1581" s="67"/>
      <c r="S1581" s="67"/>
      <c r="T1581" s="67"/>
      <c r="U1581" s="67"/>
      <c r="V1581" s="67"/>
      <c r="W1581" s="85" t="str">
        <f aca="false">IF(AH1581="","",N(Q1581)+N(R1581)+N(S1581)+N(T1581)+N(U1581)+N(V1581))</f>
        <v/>
      </c>
      <c r="X1581" s="85" t="str">
        <f aca="false">IF(AH1581="","",P1581-W1581)</f>
        <v/>
      </c>
      <c r="Y1581" s="67"/>
      <c r="Z1581" s="70" t="str">
        <f aca="false">IF(OR(AH1581="",Y1581=""),"",IF(ABS(X1581-Y1581)&lt;=1,"✓ Cuadra","⚠ Diferencia $"&amp;FIXED(X1581-Y1581,0)))</f>
        <v/>
      </c>
      <c r="AA1581" s="72" t="str">
        <f aca="false">IF(AH1581="","",IFERROR(INDEX(C_TIPO,MATCH(C1581&amp;"-P"&amp;MAX(1,COUNTIFS(C_ID,C1581,C_DEFINE,"Sí",C_INICIO,"&lt;="&amp;EOMONTH(B1581,0))),C_CLAVE,0))&amp;"","Sin dato"))</f>
        <v/>
      </c>
      <c r="AB1581" s="71" t="str">
        <f aca="false">IF(AH1581="","",ROUND(MIN(K1581,TOPE_AFP_UF*AJ1581)*AK1581,0))</f>
        <v/>
      </c>
      <c r="AC1581" s="71" t="str">
        <f aca="false">IF(AH1581="","",ROUND(MIN(K1581,TOPE_AFC_UF*AJ1581)*IF(AA1581="Indefinido",AFC_EMP_INDEF,AFC_EMP_PF),0))</f>
        <v/>
      </c>
      <c r="AD1581" s="71" t="str">
        <f aca="false">IF(AH1581="","",ROUND(MIN(K1581,TOPE_AFP_UF*AJ1581)*(MUTUAL_BASICA+MUTUAL_ADIC+SANNA),0))</f>
        <v/>
      </c>
      <c r="AE1581" s="71" t="str">
        <f aca="false">IF(AH1581="","",P1581-N(N1581)+AB1581+AC1581+AD1581)</f>
        <v/>
      </c>
      <c r="AF1581" s="65"/>
      <c r="AG1581" s="64"/>
      <c r="AH1581" s="72" t="str">
        <f aca="false">IF(OR(B1581="",C1581=""),"",C1581&amp;"|"&amp;(YEAR(B1581)*100+MONTH(B1581)))</f>
        <v/>
      </c>
      <c r="AI1581" s="70" t="str">
        <f aca="false">IF(AH1581="","",IF(COUNTIF(L_CLAVE,AH1581)&gt;1,"⚠ Duplicado","OK"))</f>
        <v/>
      </c>
      <c r="AJ1581" s="86" t="str">
        <f aca="false">IF(AH1581="","",IF(SUMPRODUCT(MAX((IND_PER&lt;=B1581)*(IND_UF&lt;&gt;"")*IND_PER))=0,UF_HOY,INDEX(IND_UF,MATCH(SUMPRODUCT(MAX((IND_PER&lt;=B1581)*(IND_UF&lt;&gt;"")*IND_PER)),IND_PER,0))))</f>
        <v/>
      </c>
      <c r="AK1581" s="87" t="str">
        <f aca="false">IF(AH1581="","",IF(COUNTIF(TASA_DESDE,"&lt;="&amp;B1581)=0,INDEX(TASA_EMP,1),INDEX(TASA_EMP,COUNTIF(TASA_DESDE,"&lt;="&amp;B1581))))</f>
        <v/>
      </c>
    </row>
    <row r="1582" customFormat="false" ht="15" hidden="false" customHeight="false" outlineLevel="0" collapsed="false">
      <c r="B1582" s="78"/>
      <c r="C1582" s="64"/>
      <c r="D1582" s="72" t="str">
        <f aca="false">IF(C1582="","",IFERROR(INDEX(T_NOMBRE,MATCH(C1582,T_ID,0)),"⚠ ID no existe"))</f>
        <v/>
      </c>
      <c r="E1582" s="69"/>
      <c r="F1582" s="67"/>
      <c r="G1582" s="67"/>
      <c r="H1582" s="67"/>
      <c r="I1582" s="67"/>
      <c r="J1582" s="67"/>
      <c r="K1582" s="85" t="str">
        <f aca="false">IF(AH1582="","",N(F1582)+N(G1582)+N(H1582)-N(I1582)+N(J1582))</f>
        <v/>
      </c>
      <c r="L1582" s="67"/>
      <c r="M1582" s="67"/>
      <c r="N1582" s="67"/>
      <c r="O1582" s="67"/>
      <c r="P1582" s="85" t="str">
        <f aca="false">IF(AH1582="","",K1582+N(L1582)+N(M1582)+N(N1582)+N(O1582))</f>
        <v/>
      </c>
      <c r="Q1582" s="67"/>
      <c r="R1582" s="67"/>
      <c r="S1582" s="67"/>
      <c r="T1582" s="67"/>
      <c r="U1582" s="67"/>
      <c r="V1582" s="67"/>
      <c r="W1582" s="85" t="str">
        <f aca="false">IF(AH1582="","",N(Q1582)+N(R1582)+N(S1582)+N(T1582)+N(U1582)+N(V1582))</f>
        <v/>
      </c>
      <c r="X1582" s="85" t="str">
        <f aca="false">IF(AH1582="","",P1582-W1582)</f>
        <v/>
      </c>
      <c r="Y1582" s="67"/>
      <c r="Z1582" s="70" t="str">
        <f aca="false">IF(OR(AH1582="",Y1582=""),"",IF(ABS(X1582-Y1582)&lt;=1,"✓ Cuadra","⚠ Diferencia $"&amp;FIXED(X1582-Y1582,0)))</f>
        <v/>
      </c>
      <c r="AA1582" s="72" t="str">
        <f aca="false">IF(AH1582="","",IFERROR(INDEX(C_TIPO,MATCH(C1582&amp;"-P"&amp;MAX(1,COUNTIFS(C_ID,C1582,C_DEFINE,"Sí",C_INICIO,"&lt;="&amp;EOMONTH(B1582,0))),C_CLAVE,0))&amp;"","Sin dato"))</f>
        <v/>
      </c>
      <c r="AB1582" s="71" t="str">
        <f aca="false">IF(AH1582="","",ROUND(MIN(K1582,TOPE_AFP_UF*AJ1582)*AK1582,0))</f>
        <v/>
      </c>
      <c r="AC1582" s="71" t="str">
        <f aca="false">IF(AH1582="","",ROUND(MIN(K1582,TOPE_AFC_UF*AJ1582)*IF(AA1582="Indefinido",AFC_EMP_INDEF,AFC_EMP_PF),0))</f>
        <v/>
      </c>
      <c r="AD1582" s="71" t="str">
        <f aca="false">IF(AH1582="","",ROUND(MIN(K1582,TOPE_AFP_UF*AJ1582)*(MUTUAL_BASICA+MUTUAL_ADIC+SANNA),0))</f>
        <v/>
      </c>
      <c r="AE1582" s="71" t="str">
        <f aca="false">IF(AH1582="","",P1582-N(N1582)+AB1582+AC1582+AD1582)</f>
        <v/>
      </c>
      <c r="AF1582" s="65"/>
      <c r="AG1582" s="64"/>
      <c r="AH1582" s="72" t="str">
        <f aca="false">IF(OR(B1582="",C1582=""),"",C1582&amp;"|"&amp;(YEAR(B1582)*100+MONTH(B1582)))</f>
        <v/>
      </c>
      <c r="AI1582" s="70" t="str">
        <f aca="false">IF(AH1582="","",IF(COUNTIF(L_CLAVE,AH1582)&gt;1,"⚠ Duplicado","OK"))</f>
        <v/>
      </c>
      <c r="AJ1582" s="86" t="str">
        <f aca="false">IF(AH1582="","",IF(SUMPRODUCT(MAX((IND_PER&lt;=B1582)*(IND_UF&lt;&gt;"")*IND_PER))=0,UF_HOY,INDEX(IND_UF,MATCH(SUMPRODUCT(MAX((IND_PER&lt;=B1582)*(IND_UF&lt;&gt;"")*IND_PER)),IND_PER,0))))</f>
        <v/>
      </c>
      <c r="AK1582" s="87" t="str">
        <f aca="false">IF(AH1582="","",IF(COUNTIF(TASA_DESDE,"&lt;="&amp;B1582)=0,INDEX(TASA_EMP,1),INDEX(TASA_EMP,COUNTIF(TASA_DESDE,"&lt;="&amp;B1582))))</f>
        <v/>
      </c>
    </row>
    <row r="1583" customFormat="false" ht="15" hidden="false" customHeight="false" outlineLevel="0" collapsed="false">
      <c r="B1583" s="78"/>
      <c r="C1583" s="64"/>
      <c r="D1583" s="72" t="str">
        <f aca="false">IF(C1583="","",IFERROR(INDEX(T_NOMBRE,MATCH(C1583,T_ID,0)),"⚠ ID no existe"))</f>
        <v/>
      </c>
      <c r="E1583" s="69"/>
      <c r="F1583" s="67"/>
      <c r="G1583" s="67"/>
      <c r="H1583" s="67"/>
      <c r="I1583" s="67"/>
      <c r="J1583" s="67"/>
      <c r="K1583" s="85" t="str">
        <f aca="false">IF(AH1583="","",N(F1583)+N(G1583)+N(H1583)-N(I1583)+N(J1583))</f>
        <v/>
      </c>
      <c r="L1583" s="67"/>
      <c r="M1583" s="67"/>
      <c r="N1583" s="67"/>
      <c r="O1583" s="67"/>
      <c r="P1583" s="85" t="str">
        <f aca="false">IF(AH1583="","",K1583+N(L1583)+N(M1583)+N(N1583)+N(O1583))</f>
        <v/>
      </c>
      <c r="Q1583" s="67"/>
      <c r="R1583" s="67"/>
      <c r="S1583" s="67"/>
      <c r="T1583" s="67"/>
      <c r="U1583" s="67"/>
      <c r="V1583" s="67"/>
      <c r="W1583" s="85" t="str">
        <f aca="false">IF(AH1583="","",N(Q1583)+N(R1583)+N(S1583)+N(T1583)+N(U1583)+N(V1583))</f>
        <v/>
      </c>
      <c r="X1583" s="85" t="str">
        <f aca="false">IF(AH1583="","",P1583-W1583)</f>
        <v/>
      </c>
      <c r="Y1583" s="67"/>
      <c r="Z1583" s="70" t="str">
        <f aca="false">IF(OR(AH1583="",Y1583=""),"",IF(ABS(X1583-Y1583)&lt;=1,"✓ Cuadra","⚠ Diferencia $"&amp;FIXED(X1583-Y1583,0)))</f>
        <v/>
      </c>
      <c r="AA1583" s="72" t="str">
        <f aca="false">IF(AH1583="","",IFERROR(INDEX(C_TIPO,MATCH(C1583&amp;"-P"&amp;MAX(1,COUNTIFS(C_ID,C1583,C_DEFINE,"Sí",C_INICIO,"&lt;="&amp;EOMONTH(B1583,0))),C_CLAVE,0))&amp;"","Sin dato"))</f>
        <v/>
      </c>
      <c r="AB1583" s="71" t="str">
        <f aca="false">IF(AH1583="","",ROUND(MIN(K1583,TOPE_AFP_UF*AJ1583)*AK1583,0))</f>
        <v/>
      </c>
      <c r="AC1583" s="71" t="str">
        <f aca="false">IF(AH1583="","",ROUND(MIN(K1583,TOPE_AFC_UF*AJ1583)*IF(AA1583="Indefinido",AFC_EMP_INDEF,AFC_EMP_PF),0))</f>
        <v/>
      </c>
      <c r="AD1583" s="71" t="str">
        <f aca="false">IF(AH1583="","",ROUND(MIN(K1583,TOPE_AFP_UF*AJ1583)*(MUTUAL_BASICA+MUTUAL_ADIC+SANNA),0))</f>
        <v/>
      </c>
      <c r="AE1583" s="71" t="str">
        <f aca="false">IF(AH1583="","",P1583-N(N1583)+AB1583+AC1583+AD1583)</f>
        <v/>
      </c>
      <c r="AF1583" s="65"/>
      <c r="AG1583" s="64"/>
      <c r="AH1583" s="72" t="str">
        <f aca="false">IF(OR(B1583="",C1583=""),"",C1583&amp;"|"&amp;(YEAR(B1583)*100+MONTH(B1583)))</f>
        <v/>
      </c>
      <c r="AI1583" s="70" t="str">
        <f aca="false">IF(AH1583="","",IF(COUNTIF(L_CLAVE,AH1583)&gt;1,"⚠ Duplicado","OK"))</f>
        <v/>
      </c>
      <c r="AJ1583" s="86" t="str">
        <f aca="false">IF(AH1583="","",IF(SUMPRODUCT(MAX((IND_PER&lt;=B1583)*(IND_UF&lt;&gt;"")*IND_PER))=0,UF_HOY,INDEX(IND_UF,MATCH(SUMPRODUCT(MAX((IND_PER&lt;=B1583)*(IND_UF&lt;&gt;"")*IND_PER)),IND_PER,0))))</f>
        <v/>
      </c>
      <c r="AK1583" s="87" t="str">
        <f aca="false">IF(AH1583="","",IF(COUNTIF(TASA_DESDE,"&lt;="&amp;B1583)=0,INDEX(TASA_EMP,1),INDEX(TASA_EMP,COUNTIF(TASA_DESDE,"&lt;="&amp;B1583))))</f>
        <v/>
      </c>
    </row>
    <row r="1584" customFormat="false" ht="15" hidden="false" customHeight="false" outlineLevel="0" collapsed="false">
      <c r="B1584" s="78"/>
      <c r="C1584" s="64"/>
      <c r="D1584" s="72" t="str">
        <f aca="false">IF(C1584="","",IFERROR(INDEX(T_NOMBRE,MATCH(C1584,T_ID,0)),"⚠ ID no existe"))</f>
        <v/>
      </c>
      <c r="E1584" s="69"/>
      <c r="F1584" s="67"/>
      <c r="G1584" s="67"/>
      <c r="H1584" s="67"/>
      <c r="I1584" s="67"/>
      <c r="J1584" s="67"/>
      <c r="K1584" s="85" t="str">
        <f aca="false">IF(AH1584="","",N(F1584)+N(G1584)+N(H1584)-N(I1584)+N(J1584))</f>
        <v/>
      </c>
      <c r="L1584" s="67"/>
      <c r="M1584" s="67"/>
      <c r="N1584" s="67"/>
      <c r="O1584" s="67"/>
      <c r="P1584" s="85" t="str">
        <f aca="false">IF(AH1584="","",K1584+N(L1584)+N(M1584)+N(N1584)+N(O1584))</f>
        <v/>
      </c>
      <c r="Q1584" s="67"/>
      <c r="R1584" s="67"/>
      <c r="S1584" s="67"/>
      <c r="T1584" s="67"/>
      <c r="U1584" s="67"/>
      <c r="V1584" s="67"/>
      <c r="W1584" s="85" t="str">
        <f aca="false">IF(AH1584="","",N(Q1584)+N(R1584)+N(S1584)+N(T1584)+N(U1584)+N(V1584))</f>
        <v/>
      </c>
      <c r="X1584" s="85" t="str">
        <f aca="false">IF(AH1584="","",P1584-W1584)</f>
        <v/>
      </c>
      <c r="Y1584" s="67"/>
      <c r="Z1584" s="70" t="str">
        <f aca="false">IF(OR(AH1584="",Y1584=""),"",IF(ABS(X1584-Y1584)&lt;=1,"✓ Cuadra","⚠ Diferencia $"&amp;FIXED(X1584-Y1584,0)))</f>
        <v/>
      </c>
      <c r="AA1584" s="72" t="str">
        <f aca="false">IF(AH1584="","",IFERROR(INDEX(C_TIPO,MATCH(C1584&amp;"-P"&amp;MAX(1,COUNTIFS(C_ID,C1584,C_DEFINE,"Sí",C_INICIO,"&lt;="&amp;EOMONTH(B1584,0))),C_CLAVE,0))&amp;"","Sin dato"))</f>
        <v/>
      </c>
      <c r="AB1584" s="71" t="str">
        <f aca="false">IF(AH1584="","",ROUND(MIN(K1584,TOPE_AFP_UF*AJ1584)*AK1584,0))</f>
        <v/>
      </c>
      <c r="AC1584" s="71" t="str">
        <f aca="false">IF(AH1584="","",ROUND(MIN(K1584,TOPE_AFC_UF*AJ1584)*IF(AA1584="Indefinido",AFC_EMP_INDEF,AFC_EMP_PF),0))</f>
        <v/>
      </c>
      <c r="AD1584" s="71" t="str">
        <f aca="false">IF(AH1584="","",ROUND(MIN(K1584,TOPE_AFP_UF*AJ1584)*(MUTUAL_BASICA+MUTUAL_ADIC+SANNA),0))</f>
        <v/>
      </c>
      <c r="AE1584" s="71" t="str">
        <f aca="false">IF(AH1584="","",P1584-N(N1584)+AB1584+AC1584+AD1584)</f>
        <v/>
      </c>
      <c r="AF1584" s="65"/>
      <c r="AG1584" s="64"/>
      <c r="AH1584" s="72" t="str">
        <f aca="false">IF(OR(B1584="",C1584=""),"",C1584&amp;"|"&amp;(YEAR(B1584)*100+MONTH(B1584)))</f>
        <v/>
      </c>
      <c r="AI1584" s="70" t="str">
        <f aca="false">IF(AH1584="","",IF(COUNTIF(L_CLAVE,AH1584)&gt;1,"⚠ Duplicado","OK"))</f>
        <v/>
      </c>
      <c r="AJ1584" s="86" t="str">
        <f aca="false">IF(AH1584="","",IF(SUMPRODUCT(MAX((IND_PER&lt;=B1584)*(IND_UF&lt;&gt;"")*IND_PER))=0,UF_HOY,INDEX(IND_UF,MATCH(SUMPRODUCT(MAX((IND_PER&lt;=B1584)*(IND_UF&lt;&gt;"")*IND_PER)),IND_PER,0))))</f>
        <v/>
      </c>
      <c r="AK1584" s="87" t="str">
        <f aca="false">IF(AH1584="","",IF(COUNTIF(TASA_DESDE,"&lt;="&amp;B1584)=0,INDEX(TASA_EMP,1),INDEX(TASA_EMP,COUNTIF(TASA_DESDE,"&lt;="&amp;B1584))))</f>
        <v/>
      </c>
    </row>
    <row r="1585" customFormat="false" ht="15" hidden="false" customHeight="false" outlineLevel="0" collapsed="false">
      <c r="B1585" s="78"/>
      <c r="C1585" s="64"/>
      <c r="D1585" s="72" t="str">
        <f aca="false">IF(C1585="","",IFERROR(INDEX(T_NOMBRE,MATCH(C1585,T_ID,0)),"⚠ ID no existe"))</f>
        <v/>
      </c>
      <c r="E1585" s="69"/>
      <c r="F1585" s="67"/>
      <c r="G1585" s="67"/>
      <c r="H1585" s="67"/>
      <c r="I1585" s="67"/>
      <c r="J1585" s="67"/>
      <c r="K1585" s="85" t="str">
        <f aca="false">IF(AH1585="","",N(F1585)+N(G1585)+N(H1585)-N(I1585)+N(J1585))</f>
        <v/>
      </c>
      <c r="L1585" s="67"/>
      <c r="M1585" s="67"/>
      <c r="N1585" s="67"/>
      <c r="O1585" s="67"/>
      <c r="P1585" s="85" t="str">
        <f aca="false">IF(AH1585="","",K1585+N(L1585)+N(M1585)+N(N1585)+N(O1585))</f>
        <v/>
      </c>
      <c r="Q1585" s="67"/>
      <c r="R1585" s="67"/>
      <c r="S1585" s="67"/>
      <c r="T1585" s="67"/>
      <c r="U1585" s="67"/>
      <c r="V1585" s="67"/>
      <c r="W1585" s="85" t="str">
        <f aca="false">IF(AH1585="","",N(Q1585)+N(R1585)+N(S1585)+N(T1585)+N(U1585)+N(V1585))</f>
        <v/>
      </c>
      <c r="X1585" s="85" t="str">
        <f aca="false">IF(AH1585="","",P1585-W1585)</f>
        <v/>
      </c>
      <c r="Y1585" s="67"/>
      <c r="Z1585" s="70" t="str">
        <f aca="false">IF(OR(AH1585="",Y1585=""),"",IF(ABS(X1585-Y1585)&lt;=1,"✓ Cuadra","⚠ Diferencia $"&amp;FIXED(X1585-Y1585,0)))</f>
        <v/>
      </c>
      <c r="AA1585" s="72" t="str">
        <f aca="false">IF(AH1585="","",IFERROR(INDEX(C_TIPO,MATCH(C1585&amp;"-P"&amp;MAX(1,COUNTIFS(C_ID,C1585,C_DEFINE,"Sí",C_INICIO,"&lt;="&amp;EOMONTH(B1585,0))),C_CLAVE,0))&amp;"","Sin dato"))</f>
        <v/>
      </c>
      <c r="AB1585" s="71" t="str">
        <f aca="false">IF(AH1585="","",ROUND(MIN(K1585,TOPE_AFP_UF*AJ1585)*AK1585,0))</f>
        <v/>
      </c>
      <c r="AC1585" s="71" t="str">
        <f aca="false">IF(AH1585="","",ROUND(MIN(K1585,TOPE_AFC_UF*AJ1585)*IF(AA1585="Indefinido",AFC_EMP_INDEF,AFC_EMP_PF),0))</f>
        <v/>
      </c>
      <c r="AD1585" s="71" t="str">
        <f aca="false">IF(AH1585="","",ROUND(MIN(K1585,TOPE_AFP_UF*AJ1585)*(MUTUAL_BASICA+MUTUAL_ADIC+SANNA),0))</f>
        <v/>
      </c>
      <c r="AE1585" s="71" t="str">
        <f aca="false">IF(AH1585="","",P1585-N(N1585)+AB1585+AC1585+AD1585)</f>
        <v/>
      </c>
      <c r="AF1585" s="65"/>
      <c r="AG1585" s="64"/>
      <c r="AH1585" s="72" t="str">
        <f aca="false">IF(OR(B1585="",C1585=""),"",C1585&amp;"|"&amp;(YEAR(B1585)*100+MONTH(B1585)))</f>
        <v/>
      </c>
      <c r="AI1585" s="70" t="str">
        <f aca="false">IF(AH1585="","",IF(COUNTIF(L_CLAVE,AH1585)&gt;1,"⚠ Duplicado","OK"))</f>
        <v/>
      </c>
      <c r="AJ1585" s="86" t="str">
        <f aca="false">IF(AH1585="","",IF(SUMPRODUCT(MAX((IND_PER&lt;=B1585)*(IND_UF&lt;&gt;"")*IND_PER))=0,UF_HOY,INDEX(IND_UF,MATCH(SUMPRODUCT(MAX((IND_PER&lt;=B1585)*(IND_UF&lt;&gt;"")*IND_PER)),IND_PER,0))))</f>
        <v/>
      </c>
      <c r="AK1585" s="87" t="str">
        <f aca="false">IF(AH1585="","",IF(COUNTIF(TASA_DESDE,"&lt;="&amp;B1585)=0,INDEX(TASA_EMP,1),INDEX(TASA_EMP,COUNTIF(TASA_DESDE,"&lt;="&amp;B1585))))</f>
        <v/>
      </c>
    </row>
    <row r="1586" customFormat="false" ht="15" hidden="false" customHeight="false" outlineLevel="0" collapsed="false">
      <c r="B1586" s="78"/>
      <c r="C1586" s="64"/>
      <c r="D1586" s="72" t="str">
        <f aca="false">IF(C1586="","",IFERROR(INDEX(T_NOMBRE,MATCH(C1586,T_ID,0)),"⚠ ID no existe"))</f>
        <v/>
      </c>
      <c r="E1586" s="69"/>
      <c r="F1586" s="67"/>
      <c r="G1586" s="67"/>
      <c r="H1586" s="67"/>
      <c r="I1586" s="67"/>
      <c r="J1586" s="67"/>
      <c r="K1586" s="85" t="str">
        <f aca="false">IF(AH1586="","",N(F1586)+N(G1586)+N(H1586)-N(I1586)+N(J1586))</f>
        <v/>
      </c>
      <c r="L1586" s="67"/>
      <c r="M1586" s="67"/>
      <c r="N1586" s="67"/>
      <c r="O1586" s="67"/>
      <c r="P1586" s="85" t="str">
        <f aca="false">IF(AH1586="","",K1586+N(L1586)+N(M1586)+N(N1586)+N(O1586))</f>
        <v/>
      </c>
      <c r="Q1586" s="67"/>
      <c r="R1586" s="67"/>
      <c r="S1586" s="67"/>
      <c r="T1586" s="67"/>
      <c r="U1586" s="67"/>
      <c r="V1586" s="67"/>
      <c r="W1586" s="85" t="str">
        <f aca="false">IF(AH1586="","",N(Q1586)+N(R1586)+N(S1586)+N(T1586)+N(U1586)+N(V1586))</f>
        <v/>
      </c>
      <c r="X1586" s="85" t="str">
        <f aca="false">IF(AH1586="","",P1586-W1586)</f>
        <v/>
      </c>
      <c r="Y1586" s="67"/>
      <c r="Z1586" s="70" t="str">
        <f aca="false">IF(OR(AH1586="",Y1586=""),"",IF(ABS(X1586-Y1586)&lt;=1,"✓ Cuadra","⚠ Diferencia $"&amp;FIXED(X1586-Y1586,0)))</f>
        <v/>
      </c>
      <c r="AA1586" s="72" t="str">
        <f aca="false">IF(AH1586="","",IFERROR(INDEX(C_TIPO,MATCH(C1586&amp;"-P"&amp;MAX(1,COUNTIFS(C_ID,C1586,C_DEFINE,"Sí",C_INICIO,"&lt;="&amp;EOMONTH(B1586,0))),C_CLAVE,0))&amp;"","Sin dato"))</f>
        <v/>
      </c>
      <c r="AB1586" s="71" t="str">
        <f aca="false">IF(AH1586="","",ROUND(MIN(K1586,TOPE_AFP_UF*AJ1586)*AK1586,0))</f>
        <v/>
      </c>
      <c r="AC1586" s="71" t="str">
        <f aca="false">IF(AH1586="","",ROUND(MIN(K1586,TOPE_AFC_UF*AJ1586)*IF(AA1586="Indefinido",AFC_EMP_INDEF,AFC_EMP_PF),0))</f>
        <v/>
      </c>
      <c r="AD1586" s="71" t="str">
        <f aca="false">IF(AH1586="","",ROUND(MIN(K1586,TOPE_AFP_UF*AJ1586)*(MUTUAL_BASICA+MUTUAL_ADIC+SANNA),0))</f>
        <v/>
      </c>
      <c r="AE1586" s="71" t="str">
        <f aca="false">IF(AH1586="","",P1586-N(N1586)+AB1586+AC1586+AD1586)</f>
        <v/>
      </c>
      <c r="AF1586" s="65"/>
      <c r="AG1586" s="64"/>
      <c r="AH1586" s="72" t="str">
        <f aca="false">IF(OR(B1586="",C1586=""),"",C1586&amp;"|"&amp;(YEAR(B1586)*100+MONTH(B1586)))</f>
        <v/>
      </c>
      <c r="AI1586" s="70" t="str">
        <f aca="false">IF(AH1586="","",IF(COUNTIF(L_CLAVE,AH1586)&gt;1,"⚠ Duplicado","OK"))</f>
        <v/>
      </c>
      <c r="AJ1586" s="86" t="str">
        <f aca="false">IF(AH1586="","",IF(SUMPRODUCT(MAX((IND_PER&lt;=B1586)*(IND_UF&lt;&gt;"")*IND_PER))=0,UF_HOY,INDEX(IND_UF,MATCH(SUMPRODUCT(MAX((IND_PER&lt;=B1586)*(IND_UF&lt;&gt;"")*IND_PER)),IND_PER,0))))</f>
        <v/>
      </c>
      <c r="AK1586" s="87" t="str">
        <f aca="false">IF(AH1586="","",IF(COUNTIF(TASA_DESDE,"&lt;="&amp;B1586)=0,INDEX(TASA_EMP,1),INDEX(TASA_EMP,COUNTIF(TASA_DESDE,"&lt;="&amp;B1586))))</f>
        <v/>
      </c>
    </row>
    <row r="1587" customFormat="false" ht="15" hidden="false" customHeight="false" outlineLevel="0" collapsed="false">
      <c r="B1587" s="78"/>
      <c r="C1587" s="64"/>
      <c r="D1587" s="72" t="str">
        <f aca="false">IF(C1587="","",IFERROR(INDEX(T_NOMBRE,MATCH(C1587,T_ID,0)),"⚠ ID no existe"))</f>
        <v/>
      </c>
      <c r="E1587" s="69"/>
      <c r="F1587" s="67"/>
      <c r="G1587" s="67"/>
      <c r="H1587" s="67"/>
      <c r="I1587" s="67"/>
      <c r="J1587" s="67"/>
      <c r="K1587" s="85" t="str">
        <f aca="false">IF(AH1587="","",N(F1587)+N(G1587)+N(H1587)-N(I1587)+N(J1587))</f>
        <v/>
      </c>
      <c r="L1587" s="67"/>
      <c r="M1587" s="67"/>
      <c r="N1587" s="67"/>
      <c r="O1587" s="67"/>
      <c r="P1587" s="85" t="str">
        <f aca="false">IF(AH1587="","",K1587+N(L1587)+N(M1587)+N(N1587)+N(O1587))</f>
        <v/>
      </c>
      <c r="Q1587" s="67"/>
      <c r="R1587" s="67"/>
      <c r="S1587" s="67"/>
      <c r="T1587" s="67"/>
      <c r="U1587" s="67"/>
      <c r="V1587" s="67"/>
      <c r="W1587" s="85" t="str">
        <f aca="false">IF(AH1587="","",N(Q1587)+N(R1587)+N(S1587)+N(T1587)+N(U1587)+N(V1587))</f>
        <v/>
      </c>
      <c r="X1587" s="85" t="str">
        <f aca="false">IF(AH1587="","",P1587-W1587)</f>
        <v/>
      </c>
      <c r="Y1587" s="67"/>
      <c r="Z1587" s="70" t="str">
        <f aca="false">IF(OR(AH1587="",Y1587=""),"",IF(ABS(X1587-Y1587)&lt;=1,"✓ Cuadra","⚠ Diferencia $"&amp;FIXED(X1587-Y1587,0)))</f>
        <v/>
      </c>
      <c r="AA1587" s="72" t="str">
        <f aca="false">IF(AH1587="","",IFERROR(INDEX(C_TIPO,MATCH(C1587&amp;"-P"&amp;MAX(1,COUNTIFS(C_ID,C1587,C_DEFINE,"Sí",C_INICIO,"&lt;="&amp;EOMONTH(B1587,0))),C_CLAVE,0))&amp;"","Sin dato"))</f>
        <v/>
      </c>
      <c r="AB1587" s="71" t="str">
        <f aca="false">IF(AH1587="","",ROUND(MIN(K1587,TOPE_AFP_UF*AJ1587)*AK1587,0))</f>
        <v/>
      </c>
      <c r="AC1587" s="71" t="str">
        <f aca="false">IF(AH1587="","",ROUND(MIN(K1587,TOPE_AFC_UF*AJ1587)*IF(AA1587="Indefinido",AFC_EMP_INDEF,AFC_EMP_PF),0))</f>
        <v/>
      </c>
      <c r="AD1587" s="71" t="str">
        <f aca="false">IF(AH1587="","",ROUND(MIN(K1587,TOPE_AFP_UF*AJ1587)*(MUTUAL_BASICA+MUTUAL_ADIC+SANNA),0))</f>
        <v/>
      </c>
      <c r="AE1587" s="71" t="str">
        <f aca="false">IF(AH1587="","",P1587-N(N1587)+AB1587+AC1587+AD1587)</f>
        <v/>
      </c>
      <c r="AF1587" s="65"/>
      <c r="AG1587" s="64"/>
      <c r="AH1587" s="72" t="str">
        <f aca="false">IF(OR(B1587="",C1587=""),"",C1587&amp;"|"&amp;(YEAR(B1587)*100+MONTH(B1587)))</f>
        <v/>
      </c>
      <c r="AI1587" s="70" t="str">
        <f aca="false">IF(AH1587="","",IF(COUNTIF(L_CLAVE,AH1587)&gt;1,"⚠ Duplicado","OK"))</f>
        <v/>
      </c>
      <c r="AJ1587" s="86" t="str">
        <f aca="false">IF(AH1587="","",IF(SUMPRODUCT(MAX((IND_PER&lt;=B1587)*(IND_UF&lt;&gt;"")*IND_PER))=0,UF_HOY,INDEX(IND_UF,MATCH(SUMPRODUCT(MAX((IND_PER&lt;=B1587)*(IND_UF&lt;&gt;"")*IND_PER)),IND_PER,0))))</f>
        <v/>
      </c>
      <c r="AK1587" s="87" t="str">
        <f aca="false">IF(AH1587="","",IF(COUNTIF(TASA_DESDE,"&lt;="&amp;B1587)=0,INDEX(TASA_EMP,1),INDEX(TASA_EMP,COUNTIF(TASA_DESDE,"&lt;="&amp;B1587))))</f>
        <v/>
      </c>
    </row>
    <row r="1588" customFormat="false" ht="15" hidden="false" customHeight="false" outlineLevel="0" collapsed="false">
      <c r="B1588" s="78"/>
      <c r="C1588" s="64"/>
      <c r="D1588" s="72" t="str">
        <f aca="false">IF(C1588="","",IFERROR(INDEX(T_NOMBRE,MATCH(C1588,T_ID,0)),"⚠ ID no existe"))</f>
        <v/>
      </c>
      <c r="E1588" s="69"/>
      <c r="F1588" s="67"/>
      <c r="G1588" s="67"/>
      <c r="H1588" s="67"/>
      <c r="I1588" s="67"/>
      <c r="J1588" s="67"/>
      <c r="K1588" s="85" t="str">
        <f aca="false">IF(AH1588="","",N(F1588)+N(G1588)+N(H1588)-N(I1588)+N(J1588))</f>
        <v/>
      </c>
      <c r="L1588" s="67"/>
      <c r="M1588" s="67"/>
      <c r="N1588" s="67"/>
      <c r="O1588" s="67"/>
      <c r="P1588" s="85" t="str">
        <f aca="false">IF(AH1588="","",K1588+N(L1588)+N(M1588)+N(N1588)+N(O1588))</f>
        <v/>
      </c>
      <c r="Q1588" s="67"/>
      <c r="R1588" s="67"/>
      <c r="S1588" s="67"/>
      <c r="T1588" s="67"/>
      <c r="U1588" s="67"/>
      <c r="V1588" s="67"/>
      <c r="W1588" s="85" t="str">
        <f aca="false">IF(AH1588="","",N(Q1588)+N(R1588)+N(S1588)+N(T1588)+N(U1588)+N(V1588))</f>
        <v/>
      </c>
      <c r="X1588" s="85" t="str">
        <f aca="false">IF(AH1588="","",P1588-W1588)</f>
        <v/>
      </c>
      <c r="Y1588" s="67"/>
      <c r="Z1588" s="70" t="str">
        <f aca="false">IF(OR(AH1588="",Y1588=""),"",IF(ABS(X1588-Y1588)&lt;=1,"✓ Cuadra","⚠ Diferencia $"&amp;FIXED(X1588-Y1588,0)))</f>
        <v/>
      </c>
      <c r="AA1588" s="72" t="str">
        <f aca="false">IF(AH1588="","",IFERROR(INDEX(C_TIPO,MATCH(C1588&amp;"-P"&amp;MAX(1,COUNTIFS(C_ID,C1588,C_DEFINE,"Sí",C_INICIO,"&lt;="&amp;EOMONTH(B1588,0))),C_CLAVE,0))&amp;"","Sin dato"))</f>
        <v/>
      </c>
      <c r="AB1588" s="71" t="str">
        <f aca="false">IF(AH1588="","",ROUND(MIN(K1588,TOPE_AFP_UF*AJ1588)*AK1588,0))</f>
        <v/>
      </c>
      <c r="AC1588" s="71" t="str">
        <f aca="false">IF(AH1588="","",ROUND(MIN(K1588,TOPE_AFC_UF*AJ1588)*IF(AA1588="Indefinido",AFC_EMP_INDEF,AFC_EMP_PF),0))</f>
        <v/>
      </c>
      <c r="AD1588" s="71" t="str">
        <f aca="false">IF(AH1588="","",ROUND(MIN(K1588,TOPE_AFP_UF*AJ1588)*(MUTUAL_BASICA+MUTUAL_ADIC+SANNA),0))</f>
        <v/>
      </c>
      <c r="AE1588" s="71" t="str">
        <f aca="false">IF(AH1588="","",P1588-N(N1588)+AB1588+AC1588+AD1588)</f>
        <v/>
      </c>
      <c r="AF1588" s="65"/>
      <c r="AG1588" s="64"/>
      <c r="AH1588" s="72" t="str">
        <f aca="false">IF(OR(B1588="",C1588=""),"",C1588&amp;"|"&amp;(YEAR(B1588)*100+MONTH(B1588)))</f>
        <v/>
      </c>
      <c r="AI1588" s="70" t="str">
        <f aca="false">IF(AH1588="","",IF(COUNTIF(L_CLAVE,AH1588)&gt;1,"⚠ Duplicado","OK"))</f>
        <v/>
      </c>
      <c r="AJ1588" s="86" t="str">
        <f aca="false">IF(AH1588="","",IF(SUMPRODUCT(MAX((IND_PER&lt;=B1588)*(IND_UF&lt;&gt;"")*IND_PER))=0,UF_HOY,INDEX(IND_UF,MATCH(SUMPRODUCT(MAX((IND_PER&lt;=B1588)*(IND_UF&lt;&gt;"")*IND_PER)),IND_PER,0))))</f>
        <v/>
      </c>
      <c r="AK1588" s="87" t="str">
        <f aca="false">IF(AH1588="","",IF(COUNTIF(TASA_DESDE,"&lt;="&amp;B1588)=0,INDEX(TASA_EMP,1),INDEX(TASA_EMP,COUNTIF(TASA_DESDE,"&lt;="&amp;B1588))))</f>
        <v/>
      </c>
    </row>
    <row r="1589" customFormat="false" ht="15" hidden="false" customHeight="false" outlineLevel="0" collapsed="false">
      <c r="B1589" s="78"/>
      <c r="C1589" s="64"/>
      <c r="D1589" s="72" t="str">
        <f aca="false">IF(C1589="","",IFERROR(INDEX(T_NOMBRE,MATCH(C1589,T_ID,0)),"⚠ ID no existe"))</f>
        <v/>
      </c>
      <c r="E1589" s="69"/>
      <c r="F1589" s="67"/>
      <c r="G1589" s="67"/>
      <c r="H1589" s="67"/>
      <c r="I1589" s="67"/>
      <c r="J1589" s="67"/>
      <c r="K1589" s="85" t="str">
        <f aca="false">IF(AH1589="","",N(F1589)+N(G1589)+N(H1589)-N(I1589)+N(J1589))</f>
        <v/>
      </c>
      <c r="L1589" s="67"/>
      <c r="M1589" s="67"/>
      <c r="N1589" s="67"/>
      <c r="O1589" s="67"/>
      <c r="P1589" s="85" t="str">
        <f aca="false">IF(AH1589="","",K1589+N(L1589)+N(M1589)+N(N1589)+N(O1589))</f>
        <v/>
      </c>
      <c r="Q1589" s="67"/>
      <c r="R1589" s="67"/>
      <c r="S1589" s="67"/>
      <c r="T1589" s="67"/>
      <c r="U1589" s="67"/>
      <c r="V1589" s="67"/>
      <c r="W1589" s="85" t="str">
        <f aca="false">IF(AH1589="","",N(Q1589)+N(R1589)+N(S1589)+N(T1589)+N(U1589)+N(V1589))</f>
        <v/>
      </c>
      <c r="X1589" s="85" t="str">
        <f aca="false">IF(AH1589="","",P1589-W1589)</f>
        <v/>
      </c>
      <c r="Y1589" s="67"/>
      <c r="Z1589" s="70" t="str">
        <f aca="false">IF(OR(AH1589="",Y1589=""),"",IF(ABS(X1589-Y1589)&lt;=1,"✓ Cuadra","⚠ Diferencia $"&amp;FIXED(X1589-Y1589,0)))</f>
        <v/>
      </c>
      <c r="AA1589" s="72" t="str">
        <f aca="false">IF(AH1589="","",IFERROR(INDEX(C_TIPO,MATCH(C1589&amp;"-P"&amp;MAX(1,COUNTIFS(C_ID,C1589,C_DEFINE,"Sí",C_INICIO,"&lt;="&amp;EOMONTH(B1589,0))),C_CLAVE,0))&amp;"","Sin dato"))</f>
        <v/>
      </c>
      <c r="AB1589" s="71" t="str">
        <f aca="false">IF(AH1589="","",ROUND(MIN(K1589,TOPE_AFP_UF*AJ1589)*AK1589,0))</f>
        <v/>
      </c>
      <c r="AC1589" s="71" t="str">
        <f aca="false">IF(AH1589="","",ROUND(MIN(K1589,TOPE_AFC_UF*AJ1589)*IF(AA1589="Indefinido",AFC_EMP_INDEF,AFC_EMP_PF),0))</f>
        <v/>
      </c>
      <c r="AD1589" s="71" t="str">
        <f aca="false">IF(AH1589="","",ROUND(MIN(K1589,TOPE_AFP_UF*AJ1589)*(MUTUAL_BASICA+MUTUAL_ADIC+SANNA),0))</f>
        <v/>
      </c>
      <c r="AE1589" s="71" t="str">
        <f aca="false">IF(AH1589="","",P1589-N(N1589)+AB1589+AC1589+AD1589)</f>
        <v/>
      </c>
      <c r="AF1589" s="65"/>
      <c r="AG1589" s="64"/>
      <c r="AH1589" s="72" t="str">
        <f aca="false">IF(OR(B1589="",C1589=""),"",C1589&amp;"|"&amp;(YEAR(B1589)*100+MONTH(B1589)))</f>
        <v/>
      </c>
      <c r="AI1589" s="70" t="str">
        <f aca="false">IF(AH1589="","",IF(COUNTIF(L_CLAVE,AH1589)&gt;1,"⚠ Duplicado","OK"))</f>
        <v/>
      </c>
      <c r="AJ1589" s="86" t="str">
        <f aca="false">IF(AH1589="","",IF(SUMPRODUCT(MAX((IND_PER&lt;=B1589)*(IND_UF&lt;&gt;"")*IND_PER))=0,UF_HOY,INDEX(IND_UF,MATCH(SUMPRODUCT(MAX((IND_PER&lt;=B1589)*(IND_UF&lt;&gt;"")*IND_PER)),IND_PER,0))))</f>
        <v/>
      </c>
      <c r="AK1589" s="87" t="str">
        <f aca="false">IF(AH1589="","",IF(COUNTIF(TASA_DESDE,"&lt;="&amp;B1589)=0,INDEX(TASA_EMP,1),INDEX(TASA_EMP,COUNTIF(TASA_DESDE,"&lt;="&amp;B1589))))</f>
        <v/>
      </c>
    </row>
    <row r="1590" customFormat="false" ht="15" hidden="false" customHeight="false" outlineLevel="0" collapsed="false">
      <c r="B1590" s="78"/>
      <c r="C1590" s="64"/>
      <c r="D1590" s="72" t="str">
        <f aca="false">IF(C1590="","",IFERROR(INDEX(T_NOMBRE,MATCH(C1590,T_ID,0)),"⚠ ID no existe"))</f>
        <v/>
      </c>
      <c r="E1590" s="69"/>
      <c r="F1590" s="67"/>
      <c r="G1590" s="67"/>
      <c r="H1590" s="67"/>
      <c r="I1590" s="67"/>
      <c r="J1590" s="67"/>
      <c r="K1590" s="85" t="str">
        <f aca="false">IF(AH1590="","",N(F1590)+N(G1590)+N(H1590)-N(I1590)+N(J1590))</f>
        <v/>
      </c>
      <c r="L1590" s="67"/>
      <c r="M1590" s="67"/>
      <c r="N1590" s="67"/>
      <c r="O1590" s="67"/>
      <c r="P1590" s="85" t="str">
        <f aca="false">IF(AH1590="","",K1590+N(L1590)+N(M1590)+N(N1590)+N(O1590))</f>
        <v/>
      </c>
      <c r="Q1590" s="67"/>
      <c r="R1590" s="67"/>
      <c r="S1590" s="67"/>
      <c r="T1590" s="67"/>
      <c r="U1590" s="67"/>
      <c r="V1590" s="67"/>
      <c r="W1590" s="85" t="str">
        <f aca="false">IF(AH1590="","",N(Q1590)+N(R1590)+N(S1590)+N(T1590)+N(U1590)+N(V1590))</f>
        <v/>
      </c>
      <c r="X1590" s="85" t="str">
        <f aca="false">IF(AH1590="","",P1590-W1590)</f>
        <v/>
      </c>
      <c r="Y1590" s="67"/>
      <c r="Z1590" s="70" t="str">
        <f aca="false">IF(OR(AH1590="",Y1590=""),"",IF(ABS(X1590-Y1590)&lt;=1,"✓ Cuadra","⚠ Diferencia $"&amp;FIXED(X1590-Y1590,0)))</f>
        <v/>
      </c>
      <c r="AA1590" s="72" t="str">
        <f aca="false">IF(AH1590="","",IFERROR(INDEX(C_TIPO,MATCH(C1590&amp;"-P"&amp;MAX(1,COUNTIFS(C_ID,C1590,C_DEFINE,"Sí",C_INICIO,"&lt;="&amp;EOMONTH(B1590,0))),C_CLAVE,0))&amp;"","Sin dato"))</f>
        <v/>
      </c>
      <c r="AB1590" s="71" t="str">
        <f aca="false">IF(AH1590="","",ROUND(MIN(K1590,TOPE_AFP_UF*AJ1590)*AK1590,0))</f>
        <v/>
      </c>
      <c r="AC1590" s="71" t="str">
        <f aca="false">IF(AH1590="","",ROUND(MIN(K1590,TOPE_AFC_UF*AJ1590)*IF(AA1590="Indefinido",AFC_EMP_INDEF,AFC_EMP_PF),0))</f>
        <v/>
      </c>
      <c r="AD1590" s="71" t="str">
        <f aca="false">IF(AH1590="","",ROUND(MIN(K1590,TOPE_AFP_UF*AJ1590)*(MUTUAL_BASICA+MUTUAL_ADIC+SANNA),0))</f>
        <v/>
      </c>
      <c r="AE1590" s="71" t="str">
        <f aca="false">IF(AH1590="","",P1590-N(N1590)+AB1590+AC1590+AD1590)</f>
        <v/>
      </c>
      <c r="AF1590" s="65"/>
      <c r="AG1590" s="64"/>
      <c r="AH1590" s="72" t="str">
        <f aca="false">IF(OR(B1590="",C1590=""),"",C1590&amp;"|"&amp;(YEAR(B1590)*100+MONTH(B1590)))</f>
        <v/>
      </c>
      <c r="AI1590" s="70" t="str">
        <f aca="false">IF(AH1590="","",IF(COUNTIF(L_CLAVE,AH1590)&gt;1,"⚠ Duplicado","OK"))</f>
        <v/>
      </c>
      <c r="AJ1590" s="86" t="str">
        <f aca="false">IF(AH1590="","",IF(SUMPRODUCT(MAX((IND_PER&lt;=B1590)*(IND_UF&lt;&gt;"")*IND_PER))=0,UF_HOY,INDEX(IND_UF,MATCH(SUMPRODUCT(MAX((IND_PER&lt;=B1590)*(IND_UF&lt;&gt;"")*IND_PER)),IND_PER,0))))</f>
        <v/>
      </c>
      <c r="AK1590" s="87" t="str">
        <f aca="false">IF(AH1590="","",IF(COUNTIF(TASA_DESDE,"&lt;="&amp;B1590)=0,INDEX(TASA_EMP,1),INDEX(TASA_EMP,COUNTIF(TASA_DESDE,"&lt;="&amp;B1590))))</f>
        <v/>
      </c>
    </row>
    <row r="1591" customFormat="false" ht="15" hidden="false" customHeight="false" outlineLevel="0" collapsed="false">
      <c r="B1591" s="78"/>
      <c r="C1591" s="64"/>
      <c r="D1591" s="72" t="str">
        <f aca="false">IF(C1591="","",IFERROR(INDEX(T_NOMBRE,MATCH(C1591,T_ID,0)),"⚠ ID no existe"))</f>
        <v/>
      </c>
      <c r="E1591" s="69"/>
      <c r="F1591" s="67"/>
      <c r="G1591" s="67"/>
      <c r="H1591" s="67"/>
      <c r="I1591" s="67"/>
      <c r="J1591" s="67"/>
      <c r="K1591" s="85" t="str">
        <f aca="false">IF(AH1591="","",N(F1591)+N(G1591)+N(H1591)-N(I1591)+N(J1591))</f>
        <v/>
      </c>
      <c r="L1591" s="67"/>
      <c r="M1591" s="67"/>
      <c r="N1591" s="67"/>
      <c r="O1591" s="67"/>
      <c r="P1591" s="85" t="str">
        <f aca="false">IF(AH1591="","",K1591+N(L1591)+N(M1591)+N(N1591)+N(O1591))</f>
        <v/>
      </c>
      <c r="Q1591" s="67"/>
      <c r="R1591" s="67"/>
      <c r="S1591" s="67"/>
      <c r="T1591" s="67"/>
      <c r="U1591" s="67"/>
      <c r="V1591" s="67"/>
      <c r="W1591" s="85" t="str">
        <f aca="false">IF(AH1591="","",N(Q1591)+N(R1591)+N(S1591)+N(T1591)+N(U1591)+N(V1591))</f>
        <v/>
      </c>
      <c r="X1591" s="85" t="str">
        <f aca="false">IF(AH1591="","",P1591-W1591)</f>
        <v/>
      </c>
      <c r="Y1591" s="67"/>
      <c r="Z1591" s="70" t="str">
        <f aca="false">IF(OR(AH1591="",Y1591=""),"",IF(ABS(X1591-Y1591)&lt;=1,"✓ Cuadra","⚠ Diferencia $"&amp;FIXED(X1591-Y1591,0)))</f>
        <v/>
      </c>
      <c r="AA1591" s="72" t="str">
        <f aca="false">IF(AH1591="","",IFERROR(INDEX(C_TIPO,MATCH(C1591&amp;"-P"&amp;MAX(1,COUNTIFS(C_ID,C1591,C_DEFINE,"Sí",C_INICIO,"&lt;="&amp;EOMONTH(B1591,0))),C_CLAVE,0))&amp;"","Sin dato"))</f>
        <v/>
      </c>
      <c r="AB1591" s="71" t="str">
        <f aca="false">IF(AH1591="","",ROUND(MIN(K1591,TOPE_AFP_UF*AJ1591)*AK1591,0))</f>
        <v/>
      </c>
      <c r="AC1591" s="71" t="str">
        <f aca="false">IF(AH1591="","",ROUND(MIN(K1591,TOPE_AFC_UF*AJ1591)*IF(AA1591="Indefinido",AFC_EMP_INDEF,AFC_EMP_PF),0))</f>
        <v/>
      </c>
      <c r="AD1591" s="71" t="str">
        <f aca="false">IF(AH1591="","",ROUND(MIN(K1591,TOPE_AFP_UF*AJ1591)*(MUTUAL_BASICA+MUTUAL_ADIC+SANNA),0))</f>
        <v/>
      </c>
      <c r="AE1591" s="71" t="str">
        <f aca="false">IF(AH1591="","",P1591-N(N1591)+AB1591+AC1591+AD1591)</f>
        <v/>
      </c>
      <c r="AF1591" s="65"/>
      <c r="AG1591" s="64"/>
      <c r="AH1591" s="72" t="str">
        <f aca="false">IF(OR(B1591="",C1591=""),"",C1591&amp;"|"&amp;(YEAR(B1591)*100+MONTH(B1591)))</f>
        <v/>
      </c>
      <c r="AI1591" s="70" t="str">
        <f aca="false">IF(AH1591="","",IF(COUNTIF(L_CLAVE,AH1591)&gt;1,"⚠ Duplicado","OK"))</f>
        <v/>
      </c>
      <c r="AJ1591" s="86" t="str">
        <f aca="false">IF(AH1591="","",IF(SUMPRODUCT(MAX((IND_PER&lt;=B1591)*(IND_UF&lt;&gt;"")*IND_PER))=0,UF_HOY,INDEX(IND_UF,MATCH(SUMPRODUCT(MAX((IND_PER&lt;=B1591)*(IND_UF&lt;&gt;"")*IND_PER)),IND_PER,0))))</f>
        <v/>
      </c>
      <c r="AK1591" s="87" t="str">
        <f aca="false">IF(AH1591="","",IF(COUNTIF(TASA_DESDE,"&lt;="&amp;B1591)=0,INDEX(TASA_EMP,1),INDEX(TASA_EMP,COUNTIF(TASA_DESDE,"&lt;="&amp;B1591))))</f>
        <v/>
      </c>
    </row>
    <row r="1592" customFormat="false" ht="15" hidden="false" customHeight="false" outlineLevel="0" collapsed="false">
      <c r="B1592" s="78"/>
      <c r="C1592" s="64"/>
      <c r="D1592" s="72" t="str">
        <f aca="false">IF(C1592="","",IFERROR(INDEX(T_NOMBRE,MATCH(C1592,T_ID,0)),"⚠ ID no existe"))</f>
        <v/>
      </c>
      <c r="E1592" s="69"/>
      <c r="F1592" s="67"/>
      <c r="G1592" s="67"/>
      <c r="H1592" s="67"/>
      <c r="I1592" s="67"/>
      <c r="J1592" s="67"/>
      <c r="K1592" s="85" t="str">
        <f aca="false">IF(AH1592="","",N(F1592)+N(G1592)+N(H1592)-N(I1592)+N(J1592))</f>
        <v/>
      </c>
      <c r="L1592" s="67"/>
      <c r="M1592" s="67"/>
      <c r="N1592" s="67"/>
      <c r="O1592" s="67"/>
      <c r="P1592" s="85" t="str">
        <f aca="false">IF(AH1592="","",K1592+N(L1592)+N(M1592)+N(N1592)+N(O1592))</f>
        <v/>
      </c>
      <c r="Q1592" s="67"/>
      <c r="R1592" s="67"/>
      <c r="S1592" s="67"/>
      <c r="T1592" s="67"/>
      <c r="U1592" s="67"/>
      <c r="V1592" s="67"/>
      <c r="W1592" s="85" t="str">
        <f aca="false">IF(AH1592="","",N(Q1592)+N(R1592)+N(S1592)+N(T1592)+N(U1592)+N(V1592))</f>
        <v/>
      </c>
      <c r="X1592" s="85" t="str">
        <f aca="false">IF(AH1592="","",P1592-W1592)</f>
        <v/>
      </c>
      <c r="Y1592" s="67"/>
      <c r="Z1592" s="70" t="str">
        <f aca="false">IF(OR(AH1592="",Y1592=""),"",IF(ABS(X1592-Y1592)&lt;=1,"✓ Cuadra","⚠ Diferencia $"&amp;FIXED(X1592-Y1592,0)))</f>
        <v/>
      </c>
      <c r="AA1592" s="72" t="str">
        <f aca="false">IF(AH1592="","",IFERROR(INDEX(C_TIPO,MATCH(C1592&amp;"-P"&amp;MAX(1,COUNTIFS(C_ID,C1592,C_DEFINE,"Sí",C_INICIO,"&lt;="&amp;EOMONTH(B1592,0))),C_CLAVE,0))&amp;"","Sin dato"))</f>
        <v/>
      </c>
      <c r="AB1592" s="71" t="str">
        <f aca="false">IF(AH1592="","",ROUND(MIN(K1592,TOPE_AFP_UF*AJ1592)*AK1592,0))</f>
        <v/>
      </c>
      <c r="AC1592" s="71" t="str">
        <f aca="false">IF(AH1592="","",ROUND(MIN(K1592,TOPE_AFC_UF*AJ1592)*IF(AA1592="Indefinido",AFC_EMP_INDEF,AFC_EMP_PF),0))</f>
        <v/>
      </c>
      <c r="AD1592" s="71" t="str">
        <f aca="false">IF(AH1592="","",ROUND(MIN(K1592,TOPE_AFP_UF*AJ1592)*(MUTUAL_BASICA+MUTUAL_ADIC+SANNA),0))</f>
        <v/>
      </c>
      <c r="AE1592" s="71" t="str">
        <f aca="false">IF(AH1592="","",P1592-N(N1592)+AB1592+AC1592+AD1592)</f>
        <v/>
      </c>
      <c r="AF1592" s="65"/>
      <c r="AG1592" s="64"/>
      <c r="AH1592" s="72" t="str">
        <f aca="false">IF(OR(B1592="",C1592=""),"",C1592&amp;"|"&amp;(YEAR(B1592)*100+MONTH(B1592)))</f>
        <v/>
      </c>
      <c r="AI1592" s="70" t="str">
        <f aca="false">IF(AH1592="","",IF(COUNTIF(L_CLAVE,AH1592)&gt;1,"⚠ Duplicado","OK"))</f>
        <v/>
      </c>
      <c r="AJ1592" s="86" t="str">
        <f aca="false">IF(AH1592="","",IF(SUMPRODUCT(MAX((IND_PER&lt;=B1592)*(IND_UF&lt;&gt;"")*IND_PER))=0,UF_HOY,INDEX(IND_UF,MATCH(SUMPRODUCT(MAX((IND_PER&lt;=B1592)*(IND_UF&lt;&gt;"")*IND_PER)),IND_PER,0))))</f>
        <v/>
      </c>
      <c r="AK1592" s="87" t="str">
        <f aca="false">IF(AH1592="","",IF(COUNTIF(TASA_DESDE,"&lt;="&amp;B1592)=0,INDEX(TASA_EMP,1),INDEX(TASA_EMP,COUNTIF(TASA_DESDE,"&lt;="&amp;B1592))))</f>
        <v/>
      </c>
    </row>
    <row r="1593" customFormat="false" ht="15" hidden="false" customHeight="false" outlineLevel="0" collapsed="false">
      <c r="B1593" s="78"/>
      <c r="C1593" s="64"/>
      <c r="D1593" s="72" t="str">
        <f aca="false">IF(C1593="","",IFERROR(INDEX(T_NOMBRE,MATCH(C1593,T_ID,0)),"⚠ ID no existe"))</f>
        <v/>
      </c>
      <c r="E1593" s="69"/>
      <c r="F1593" s="67"/>
      <c r="G1593" s="67"/>
      <c r="H1593" s="67"/>
      <c r="I1593" s="67"/>
      <c r="J1593" s="67"/>
      <c r="K1593" s="85" t="str">
        <f aca="false">IF(AH1593="","",N(F1593)+N(G1593)+N(H1593)-N(I1593)+N(J1593))</f>
        <v/>
      </c>
      <c r="L1593" s="67"/>
      <c r="M1593" s="67"/>
      <c r="N1593" s="67"/>
      <c r="O1593" s="67"/>
      <c r="P1593" s="85" t="str">
        <f aca="false">IF(AH1593="","",K1593+N(L1593)+N(M1593)+N(N1593)+N(O1593))</f>
        <v/>
      </c>
      <c r="Q1593" s="67"/>
      <c r="R1593" s="67"/>
      <c r="S1593" s="67"/>
      <c r="T1593" s="67"/>
      <c r="U1593" s="67"/>
      <c r="V1593" s="67"/>
      <c r="W1593" s="85" t="str">
        <f aca="false">IF(AH1593="","",N(Q1593)+N(R1593)+N(S1593)+N(T1593)+N(U1593)+N(V1593))</f>
        <v/>
      </c>
      <c r="X1593" s="85" t="str">
        <f aca="false">IF(AH1593="","",P1593-W1593)</f>
        <v/>
      </c>
      <c r="Y1593" s="67"/>
      <c r="Z1593" s="70" t="str">
        <f aca="false">IF(OR(AH1593="",Y1593=""),"",IF(ABS(X1593-Y1593)&lt;=1,"✓ Cuadra","⚠ Diferencia $"&amp;FIXED(X1593-Y1593,0)))</f>
        <v/>
      </c>
      <c r="AA1593" s="72" t="str">
        <f aca="false">IF(AH1593="","",IFERROR(INDEX(C_TIPO,MATCH(C1593&amp;"-P"&amp;MAX(1,COUNTIFS(C_ID,C1593,C_DEFINE,"Sí",C_INICIO,"&lt;="&amp;EOMONTH(B1593,0))),C_CLAVE,0))&amp;"","Sin dato"))</f>
        <v/>
      </c>
      <c r="AB1593" s="71" t="str">
        <f aca="false">IF(AH1593="","",ROUND(MIN(K1593,TOPE_AFP_UF*AJ1593)*AK1593,0))</f>
        <v/>
      </c>
      <c r="AC1593" s="71" t="str">
        <f aca="false">IF(AH1593="","",ROUND(MIN(K1593,TOPE_AFC_UF*AJ1593)*IF(AA1593="Indefinido",AFC_EMP_INDEF,AFC_EMP_PF),0))</f>
        <v/>
      </c>
      <c r="AD1593" s="71" t="str">
        <f aca="false">IF(AH1593="","",ROUND(MIN(K1593,TOPE_AFP_UF*AJ1593)*(MUTUAL_BASICA+MUTUAL_ADIC+SANNA),0))</f>
        <v/>
      </c>
      <c r="AE1593" s="71" t="str">
        <f aca="false">IF(AH1593="","",P1593-N(N1593)+AB1593+AC1593+AD1593)</f>
        <v/>
      </c>
      <c r="AF1593" s="65"/>
      <c r="AG1593" s="64"/>
      <c r="AH1593" s="72" t="str">
        <f aca="false">IF(OR(B1593="",C1593=""),"",C1593&amp;"|"&amp;(YEAR(B1593)*100+MONTH(B1593)))</f>
        <v/>
      </c>
      <c r="AI1593" s="70" t="str">
        <f aca="false">IF(AH1593="","",IF(COUNTIF(L_CLAVE,AH1593)&gt;1,"⚠ Duplicado","OK"))</f>
        <v/>
      </c>
      <c r="AJ1593" s="86" t="str">
        <f aca="false">IF(AH1593="","",IF(SUMPRODUCT(MAX((IND_PER&lt;=B1593)*(IND_UF&lt;&gt;"")*IND_PER))=0,UF_HOY,INDEX(IND_UF,MATCH(SUMPRODUCT(MAX((IND_PER&lt;=B1593)*(IND_UF&lt;&gt;"")*IND_PER)),IND_PER,0))))</f>
        <v/>
      </c>
      <c r="AK1593" s="87" t="str">
        <f aca="false">IF(AH1593="","",IF(COUNTIF(TASA_DESDE,"&lt;="&amp;B1593)=0,INDEX(TASA_EMP,1),INDEX(TASA_EMP,COUNTIF(TASA_DESDE,"&lt;="&amp;B1593))))</f>
        <v/>
      </c>
    </row>
    <row r="1594" customFormat="false" ht="15" hidden="false" customHeight="false" outlineLevel="0" collapsed="false">
      <c r="B1594" s="78"/>
      <c r="C1594" s="64"/>
      <c r="D1594" s="72" t="str">
        <f aca="false">IF(C1594="","",IFERROR(INDEX(T_NOMBRE,MATCH(C1594,T_ID,0)),"⚠ ID no existe"))</f>
        <v/>
      </c>
      <c r="E1594" s="69"/>
      <c r="F1594" s="67"/>
      <c r="G1594" s="67"/>
      <c r="H1594" s="67"/>
      <c r="I1594" s="67"/>
      <c r="J1594" s="67"/>
      <c r="K1594" s="85" t="str">
        <f aca="false">IF(AH1594="","",N(F1594)+N(G1594)+N(H1594)-N(I1594)+N(J1594))</f>
        <v/>
      </c>
      <c r="L1594" s="67"/>
      <c r="M1594" s="67"/>
      <c r="N1594" s="67"/>
      <c r="O1594" s="67"/>
      <c r="P1594" s="85" t="str">
        <f aca="false">IF(AH1594="","",K1594+N(L1594)+N(M1594)+N(N1594)+N(O1594))</f>
        <v/>
      </c>
      <c r="Q1594" s="67"/>
      <c r="R1594" s="67"/>
      <c r="S1594" s="67"/>
      <c r="T1594" s="67"/>
      <c r="U1594" s="67"/>
      <c r="V1594" s="67"/>
      <c r="W1594" s="85" t="str">
        <f aca="false">IF(AH1594="","",N(Q1594)+N(R1594)+N(S1594)+N(T1594)+N(U1594)+N(V1594))</f>
        <v/>
      </c>
      <c r="X1594" s="85" t="str">
        <f aca="false">IF(AH1594="","",P1594-W1594)</f>
        <v/>
      </c>
      <c r="Y1594" s="67"/>
      <c r="Z1594" s="70" t="str">
        <f aca="false">IF(OR(AH1594="",Y1594=""),"",IF(ABS(X1594-Y1594)&lt;=1,"✓ Cuadra","⚠ Diferencia $"&amp;FIXED(X1594-Y1594,0)))</f>
        <v/>
      </c>
      <c r="AA1594" s="72" t="str">
        <f aca="false">IF(AH1594="","",IFERROR(INDEX(C_TIPO,MATCH(C1594&amp;"-P"&amp;MAX(1,COUNTIFS(C_ID,C1594,C_DEFINE,"Sí",C_INICIO,"&lt;="&amp;EOMONTH(B1594,0))),C_CLAVE,0))&amp;"","Sin dato"))</f>
        <v/>
      </c>
      <c r="AB1594" s="71" t="str">
        <f aca="false">IF(AH1594="","",ROUND(MIN(K1594,TOPE_AFP_UF*AJ1594)*AK1594,0))</f>
        <v/>
      </c>
      <c r="AC1594" s="71" t="str">
        <f aca="false">IF(AH1594="","",ROUND(MIN(K1594,TOPE_AFC_UF*AJ1594)*IF(AA1594="Indefinido",AFC_EMP_INDEF,AFC_EMP_PF),0))</f>
        <v/>
      </c>
      <c r="AD1594" s="71" t="str">
        <f aca="false">IF(AH1594="","",ROUND(MIN(K1594,TOPE_AFP_UF*AJ1594)*(MUTUAL_BASICA+MUTUAL_ADIC+SANNA),0))</f>
        <v/>
      </c>
      <c r="AE1594" s="71" t="str">
        <f aca="false">IF(AH1594="","",P1594-N(N1594)+AB1594+AC1594+AD1594)</f>
        <v/>
      </c>
      <c r="AF1594" s="65"/>
      <c r="AG1594" s="64"/>
      <c r="AH1594" s="72" t="str">
        <f aca="false">IF(OR(B1594="",C1594=""),"",C1594&amp;"|"&amp;(YEAR(B1594)*100+MONTH(B1594)))</f>
        <v/>
      </c>
      <c r="AI1594" s="70" t="str">
        <f aca="false">IF(AH1594="","",IF(COUNTIF(L_CLAVE,AH1594)&gt;1,"⚠ Duplicado","OK"))</f>
        <v/>
      </c>
      <c r="AJ1594" s="86" t="str">
        <f aca="false">IF(AH1594="","",IF(SUMPRODUCT(MAX((IND_PER&lt;=B1594)*(IND_UF&lt;&gt;"")*IND_PER))=0,UF_HOY,INDEX(IND_UF,MATCH(SUMPRODUCT(MAX((IND_PER&lt;=B1594)*(IND_UF&lt;&gt;"")*IND_PER)),IND_PER,0))))</f>
        <v/>
      </c>
      <c r="AK1594" s="87" t="str">
        <f aca="false">IF(AH1594="","",IF(COUNTIF(TASA_DESDE,"&lt;="&amp;B1594)=0,INDEX(TASA_EMP,1),INDEX(TASA_EMP,COUNTIF(TASA_DESDE,"&lt;="&amp;B1594))))</f>
        <v/>
      </c>
    </row>
    <row r="1595" customFormat="false" ht="15" hidden="false" customHeight="false" outlineLevel="0" collapsed="false">
      <c r="B1595" s="78"/>
      <c r="C1595" s="64"/>
      <c r="D1595" s="72" t="str">
        <f aca="false">IF(C1595="","",IFERROR(INDEX(T_NOMBRE,MATCH(C1595,T_ID,0)),"⚠ ID no existe"))</f>
        <v/>
      </c>
      <c r="E1595" s="69"/>
      <c r="F1595" s="67"/>
      <c r="G1595" s="67"/>
      <c r="H1595" s="67"/>
      <c r="I1595" s="67"/>
      <c r="J1595" s="67"/>
      <c r="K1595" s="85" t="str">
        <f aca="false">IF(AH1595="","",N(F1595)+N(G1595)+N(H1595)-N(I1595)+N(J1595))</f>
        <v/>
      </c>
      <c r="L1595" s="67"/>
      <c r="M1595" s="67"/>
      <c r="N1595" s="67"/>
      <c r="O1595" s="67"/>
      <c r="P1595" s="85" t="str">
        <f aca="false">IF(AH1595="","",K1595+N(L1595)+N(M1595)+N(N1595)+N(O1595))</f>
        <v/>
      </c>
      <c r="Q1595" s="67"/>
      <c r="R1595" s="67"/>
      <c r="S1595" s="67"/>
      <c r="T1595" s="67"/>
      <c r="U1595" s="67"/>
      <c r="V1595" s="67"/>
      <c r="W1595" s="85" t="str">
        <f aca="false">IF(AH1595="","",N(Q1595)+N(R1595)+N(S1595)+N(T1595)+N(U1595)+N(V1595))</f>
        <v/>
      </c>
      <c r="X1595" s="85" t="str">
        <f aca="false">IF(AH1595="","",P1595-W1595)</f>
        <v/>
      </c>
      <c r="Y1595" s="67"/>
      <c r="Z1595" s="70" t="str">
        <f aca="false">IF(OR(AH1595="",Y1595=""),"",IF(ABS(X1595-Y1595)&lt;=1,"✓ Cuadra","⚠ Diferencia $"&amp;FIXED(X1595-Y1595,0)))</f>
        <v/>
      </c>
      <c r="AA1595" s="72" t="str">
        <f aca="false">IF(AH1595="","",IFERROR(INDEX(C_TIPO,MATCH(C1595&amp;"-P"&amp;MAX(1,COUNTIFS(C_ID,C1595,C_DEFINE,"Sí",C_INICIO,"&lt;="&amp;EOMONTH(B1595,0))),C_CLAVE,0))&amp;"","Sin dato"))</f>
        <v/>
      </c>
      <c r="AB1595" s="71" t="str">
        <f aca="false">IF(AH1595="","",ROUND(MIN(K1595,TOPE_AFP_UF*AJ1595)*AK1595,0))</f>
        <v/>
      </c>
      <c r="AC1595" s="71" t="str">
        <f aca="false">IF(AH1595="","",ROUND(MIN(K1595,TOPE_AFC_UF*AJ1595)*IF(AA1595="Indefinido",AFC_EMP_INDEF,AFC_EMP_PF),0))</f>
        <v/>
      </c>
      <c r="AD1595" s="71" t="str">
        <f aca="false">IF(AH1595="","",ROUND(MIN(K1595,TOPE_AFP_UF*AJ1595)*(MUTUAL_BASICA+MUTUAL_ADIC+SANNA),0))</f>
        <v/>
      </c>
      <c r="AE1595" s="71" t="str">
        <f aca="false">IF(AH1595="","",P1595-N(N1595)+AB1595+AC1595+AD1595)</f>
        <v/>
      </c>
      <c r="AF1595" s="65"/>
      <c r="AG1595" s="64"/>
      <c r="AH1595" s="72" t="str">
        <f aca="false">IF(OR(B1595="",C1595=""),"",C1595&amp;"|"&amp;(YEAR(B1595)*100+MONTH(B1595)))</f>
        <v/>
      </c>
      <c r="AI1595" s="70" t="str">
        <f aca="false">IF(AH1595="","",IF(COUNTIF(L_CLAVE,AH1595)&gt;1,"⚠ Duplicado","OK"))</f>
        <v/>
      </c>
      <c r="AJ1595" s="86" t="str">
        <f aca="false">IF(AH1595="","",IF(SUMPRODUCT(MAX((IND_PER&lt;=B1595)*(IND_UF&lt;&gt;"")*IND_PER))=0,UF_HOY,INDEX(IND_UF,MATCH(SUMPRODUCT(MAX((IND_PER&lt;=B1595)*(IND_UF&lt;&gt;"")*IND_PER)),IND_PER,0))))</f>
        <v/>
      </c>
      <c r="AK1595" s="87" t="str">
        <f aca="false">IF(AH1595="","",IF(COUNTIF(TASA_DESDE,"&lt;="&amp;B1595)=0,INDEX(TASA_EMP,1),INDEX(TASA_EMP,COUNTIF(TASA_DESDE,"&lt;="&amp;B1595))))</f>
        <v/>
      </c>
    </row>
    <row r="1596" customFormat="false" ht="15" hidden="false" customHeight="false" outlineLevel="0" collapsed="false">
      <c r="B1596" s="78"/>
      <c r="C1596" s="64"/>
      <c r="D1596" s="72" t="str">
        <f aca="false">IF(C1596="","",IFERROR(INDEX(T_NOMBRE,MATCH(C1596,T_ID,0)),"⚠ ID no existe"))</f>
        <v/>
      </c>
      <c r="E1596" s="69"/>
      <c r="F1596" s="67"/>
      <c r="G1596" s="67"/>
      <c r="H1596" s="67"/>
      <c r="I1596" s="67"/>
      <c r="J1596" s="67"/>
      <c r="K1596" s="85" t="str">
        <f aca="false">IF(AH1596="","",N(F1596)+N(G1596)+N(H1596)-N(I1596)+N(J1596))</f>
        <v/>
      </c>
      <c r="L1596" s="67"/>
      <c r="M1596" s="67"/>
      <c r="N1596" s="67"/>
      <c r="O1596" s="67"/>
      <c r="P1596" s="85" t="str">
        <f aca="false">IF(AH1596="","",K1596+N(L1596)+N(M1596)+N(N1596)+N(O1596))</f>
        <v/>
      </c>
      <c r="Q1596" s="67"/>
      <c r="R1596" s="67"/>
      <c r="S1596" s="67"/>
      <c r="T1596" s="67"/>
      <c r="U1596" s="67"/>
      <c r="V1596" s="67"/>
      <c r="W1596" s="85" t="str">
        <f aca="false">IF(AH1596="","",N(Q1596)+N(R1596)+N(S1596)+N(T1596)+N(U1596)+N(V1596))</f>
        <v/>
      </c>
      <c r="X1596" s="85" t="str">
        <f aca="false">IF(AH1596="","",P1596-W1596)</f>
        <v/>
      </c>
      <c r="Y1596" s="67"/>
      <c r="Z1596" s="70" t="str">
        <f aca="false">IF(OR(AH1596="",Y1596=""),"",IF(ABS(X1596-Y1596)&lt;=1,"✓ Cuadra","⚠ Diferencia $"&amp;FIXED(X1596-Y1596,0)))</f>
        <v/>
      </c>
      <c r="AA1596" s="72" t="str">
        <f aca="false">IF(AH1596="","",IFERROR(INDEX(C_TIPO,MATCH(C1596&amp;"-P"&amp;MAX(1,COUNTIFS(C_ID,C1596,C_DEFINE,"Sí",C_INICIO,"&lt;="&amp;EOMONTH(B1596,0))),C_CLAVE,0))&amp;"","Sin dato"))</f>
        <v/>
      </c>
      <c r="AB1596" s="71" t="str">
        <f aca="false">IF(AH1596="","",ROUND(MIN(K1596,TOPE_AFP_UF*AJ1596)*AK1596,0))</f>
        <v/>
      </c>
      <c r="AC1596" s="71" t="str">
        <f aca="false">IF(AH1596="","",ROUND(MIN(K1596,TOPE_AFC_UF*AJ1596)*IF(AA1596="Indefinido",AFC_EMP_INDEF,AFC_EMP_PF),0))</f>
        <v/>
      </c>
      <c r="AD1596" s="71" t="str">
        <f aca="false">IF(AH1596="","",ROUND(MIN(K1596,TOPE_AFP_UF*AJ1596)*(MUTUAL_BASICA+MUTUAL_ADIC+SANNA),0))</f>
        <v/>
      </c>
      <c r="AE1596" s="71" t="str">
        <f aca="false">IF(AH1596="","",P1596-N(N1596)+AB1596+AC1596+AD1596)</f>
        <v/>
      </c>
      <c r="AF1596" s="65"/>
      <c r="AG1596" s="64"/>
      <c r="AH1596" s="72" t="str">
        <f aca="false">IF(OR(B1596="",C1596=""),"",C1596&amp;"|"&amp;(YEAR(B1596)*100+MONTH(B1596)))</f>
        <v/>
      </c>
      <c r="AI1596" s="70" t="str">
        <f aca="false">IF(AH1596="","",IF(COUNTIF(L_CLAVE,AH1596)&gt;1,"⚠ Duplicado","OK"))</f>
        <v/>
      </c>
      <c r="AJ1596" s="86" t="str">
        <f aca="false">IF(AH1596="","",IF(SUMPRODUCT(MAX((IND_PER&lt;=B1596)*(IND_UF&lt;&gt;"")*IND_PER))=0,UF_HOY,INDEX(IND_UF,MATCH(SUMPRODUCT(MAX((IND_PER&lt;=B1596)*(IND_UF&lt;&gt;"")*IND_PER)),IND_PER,0))))</f>
        <v/>
      </c>
      <c r="AK1596" s="87" t="str">
        <f aca="false">IF(AH1596="","",IF(COUNTIF(TASA_DESDE,"&lt;="&amp;B1596)=0,INDEX(TASA_EMP,1),INDEX(TASA_EMP,COUNTIF(TASA_DESDE,"&lt;="&amp;B1596))))</f>
        <v/>
      </c>
    </row>
    <row r="1597" customFormat="false" ht="15" hidden="false" customHeight="false" outlineLevel="0" collapsed="false">
      <c r="B1597" s="78"/>
      <c r="C1597" s="64"/>
      <c r="D1597" s="72" t="str">
        <f aca="false">IF(C1597="","",IFERROR(INDEX(T_NOMBRE,MATCH(C1597,T_ID,0)),"⚠ ID no existe"))</f>
        <v/>
      </c>
      <c r="E1597" s="69"/>
      <c r="F1597" s="67"/>
      <c r="G1597" s="67"/>
      <c r="H1597" s="67"/>
      <c r="I1597" s="67"/>
      <c r="J1597" s="67"/>
      <c r="K1597" s="85" t="str">
        <f aca="false">IF(AH1597="","",N(F1597)+N(G1597)+N(H1597)-N(I1597)+N(J1597))</f>
        <v/>
      </c>
      <c r="L1597" s="67"/>
      <c r="M1597" s="67"/>
      <c r="N1597" s="67"/>
      <c r="O1597" s="67"/>
      <c r="P1597" s="85" t="str">
        <f aca="false">IF(AH1597="","",K1597+N(L1597)+N(M1597)+N(N1597)+N(O1597))</f>
        <v/>
      </c>
      <c r="Q1597" s="67"/>
      <c r="R1597" s="67"/>
      <c r="S1597" s="67"/>
      <c r="T1597" s="67"/>
      <c r="U1597" s="67"/>
      <c r="V1597" s="67"/>
      <c r="W1597" s="85" t="str">
        <f aca="false">IF(AH1597="","",N(Q1597)+N(R1597)+N(S1597)+N(T1597)+N(U1597)+N(V1597))</f>
        <v/>
      </c>
      <c r="X1597" s="85" t="str">
        <f aca="false">IF(AH1597="","",P1597-W1597)</f>
        <v/>
      </c>
      <c r="Y1597" s="67"/>
      <c r="Z1597" s="70" t="str">
        <f aca="false">IF(OR(AH1597="",Y1597=""),"",IF(ABS(X1597-Y1597)&lt;=1,"✓ Cuadra","⚠ Diferencia $"&amp;FIXED(X1597-Y1597,0)))</f>
        <v/>
      </c>
      <c r="AA1597" s="72" t="str">
        <f aca="false">IF(AH1597="","",IFERROR(INDEX(C_TIPO,MATCH(C1597&amp;"-P"&amp;MAX(1,COUNTIFS(C_ID,C1597,C_DEFINE,"Sí",C_INICIO,"&lt;="&amp;EOMONTH(B1597,0))),C_CLAVE,0))&amp;"","Sin dato"))</f>
        <v/>
      </c>
      <c r="AB1597" s="71" t="str">
        <f aca="false">IF(AH1597="","",ROUND(MIN(K1597,TOPE_AFP_UF*AJ1597)*AK1597,0))</f>
        <v/>
      </c>
      <c r="AC1597" s="71" t="str">
        <f aca="false">IF(AH1597="","",ROUND(MIN(K1597,TOPE_AFC_UF*AJ1597)*IF(AA1597="Indefinido",AFC_EMP_INDEF,AFC_EMP_PF),0))</f>
        <v/>
      </c>
      <c r="AD1597" s="71" t="str">
        <f aca="false">IF(AH1597="","",ROUND(MIN(K1597,TOPE_AFP_UF*AJ1597)*(MUTUAL_BASICA+MUTUAL_ADIC+SANNA),0))</f>
        <v/>
      </c>
      <c r="AE1597" s="71" t="str">
        <f aca="false">IF(AH1597="","",P1597-N(N1597)+AB1597+AC1597+AD1597)</f>
        <v/>
      </c>
      <c r="AF1597" s="65"/>
      <c r="AG1597" s="64"/>
      <c r="AH1597" s="72" t="str">
        <f aca="false">IF(OR(B1597="",C1597=""),"",C1597&amp;"|"&amp;(YEAR(B1597)*100+MONTH(B1597)))</f>
        <v/>
      </c>
      <c r="AI1597" s="70" t="str">
        <f aca="false">IF(AH1597="","",IF(COUNTIF(L_CLAVE,AH1597)&gt;1,"⚠ Duplicado","OK"))</f>
        <v/>
      </c>
      <c r="AJ1597" s="86" t="str">
        <f aca="false">IF(AH1597="","",IF(SUMPRODUCT(MAX((IND_PER&lt;=B1597)*(IND_UF&lt;&gt;"")*IND_PER))=0,UF_HOY,INDEX(IND_UF,MATCH(SUMPRODUCT(MAX((IND_PER&lt;=B1597)*(IND_UF&lt;&gt;"")*IND_PER)),IND_PER,0))))</f>
        <v/>
      </c>
      <c r="AK1597" s="87" t="str">
        <f aca="false">IF(AH1597="","",IF(COUNTIF(TASA_DESDE,"&lt;="&amp;B1597)=0,INDEX(TASA_EMP,1),INDEX(TASA_EMP,COUNTIF(TASA_DESDE,"&lt;="&amp;B1597))))</f>
        <v/>
      </c>
    </row>
    <row r="1598" customFormat="false" ht="15" hidden="false" customHeight="false" outlineLevel="0" collapsed="false">
      <c r="B1598" s="78"/>
      <c r="C1598" s="64"/>
      <c r="D1598" s="72" t="str">
        <f aca="false">IF(C1598="","",IFERROR(INDEX(T_NOMBRE,MATCH(C1598,T_ID,0)),"⚠ ID no existe"))</f>
        <v/>
      </c>
      <c r="E1598" s="69"/>
      <c r="F1598" s="67"/>
      <c r="G1598" s="67"/>
      <c r="H1598" s="67"/>
      <c r="I1598" s="67"/>
      <c r="J1598" s="67"/>
      <c r="K1598" s="85" t="str">
        <f aca="false">IF(AH1598="","",N(F1598)+N(G1598)+N(H1598)-N(I1598)+N(J1598))</f>
        <v/>
      </c>
      <c r="L1598" s="67"/>
      <c r="M1598" s="67"/>
      <c r="N1598" s="67"/>
      <c r="O1598" s="67"/>
      <c r="P1598" s="85" t="str">
        <f aca="false">IF(AH1598="","",K1598+N(L1598)+N(M1598)+N(N1598)+N(O1598))</f>
        <v/>
      </c>
      <c r="Q1598" s="67"/>
      <c r="R1598" s="67"/>
      <c r="S1598" s="67"/>
      <c r="T1598" s="67"/>
      <c r="U1598" s="67"/>
      <c r="V1598" s="67"/>
      <c r="W1598" s="85" t="str">
        <f aca="false">IF(AH1598="","",N(Q1598)+N(R1598)+N(S1598)+N(T1598)+N(U1598)+N(V1598))</f>
        <v/>
      </c>
      <c r="X1598" s="85" t="str">
        <f aca="false">IF(AH1598="","",P1598-W1598)</f>
        <v/>
      </c>
      <c r="Y1598" s="67"/>
      <c r="Z1598" s="70" t="str">
        <f aca="false">IF(OR(AH1598="",Y1598=""),"",IF(ABS(X1598-Y1598)&lt;=1,"✓ Cuadra","⚠ Diferencia $"&amp;FIXED(X1598-Y1598,0)))</f>
        <v/>
      </c>
      <c r="AA1598" s="72" t="str">
        <f aca="false">IF(AH1598="","",IFERROR(INDEX(C_TIPO,MATCH(C1598&amp;"-P"&amp;MAX(1,COUNTIFS(C_ID,C1598,C_DEFINE,"Sí",C_INICIO,"&lt;="&amp;EOMONTH(B1598,0))),C_CLAVE,0))&amp;"","Sin dato"))</f>
        <v/>
      </c>
      <c r="AB1598" s="71" t="str">
        <f aca="false">IF(AH1598="","",ROUND(MIN(K1598,TOPE_AFP_UF*AJ1598)*AK1598,0))</f>
        <v/>
      </c>
      <c r="AC1598" s="71" t="str">
        <f aca="false">IF(AH1598="","",ROUND(MIN(K1598,TOPE_AFC_UF*AJ1598)*IF(AA1598="Indefinido",AFC_EMP_INDEF,AFC_EMP_PF),0))</f>
        <v/>
      </c>
      <c r="AD1598" s="71" t="str">
        <f aca="false">IF(AH1598="","",ROUND(MIN(K1598,TOPE_AFP_UF*AJ1598)*(MUTUAL_BASICA+MUTUAL_ADIC+SANNA),0))</f>
        <v/>
      </c>
      <c r="AE1598" s="71" t="str">
        <f aca="false">IF(AH1598="","",P1598-N(N1598)+AB1598+AC1598+AD1598)</f>
        <v/>
      </c>
      <c r="AF1598" s="65"/>
      <c r="AG1598" s="64"/>
      <c r="AH1598" s="72" t="str">
        <f aca="false">IF(OR(B1598="",C1598=""),"",C1598&amp;"|"&amp;(YEAR(B1598)*100+MONTH(B1598)))</f>
        <v/>
      </c>
      <c r="AI1598" s="70" t="str">
        <f aca="false">IF(AH1598="","",IF(COUNTIF(L_CLAVE,AH1598)&gt;1,"⚠ Duplicado","OK"))</f>
        <v/>
      </c>
      <c r="AJ1598" s="86" t="str">
        <f aca="false">IF(AH1598="","",IF(SUMPRODUCT(MAX((IND_PER&lt;=B1598)*(IND_UF&lt;&gt;"")*IND_PER))=0,UF_HOY,INDEX(IND_UF,MATCH(SUMPRODUCT(MAX((IND_PER&lt;=B1598)*(IND_UF&lt;&gt;"")*IND_PER)),IND_PER,0))))</f>
        <v/>
      </c>
      <c r="AK1598" s="87" t="str">
        <f aca="false">IF(AH1598="","",IF(COUNTIF(TASA_DESDE,"&lt;="&amp;B1598)=0,INDEX(TASA_EMP,1),INDEX(TASA_EMP,COUNTIF(TASA_DESDE,"&lt;="&amp;B1598))))</f>
        <v/>
      </c>
    </row>
    <row r="1599" customFormat="false" ht="15" hidden="false" customHeight="false" outlineLevel="0" collapsed="false">
      <c r="B1599" s="78"/>
      <c r="C1599" s="64"/>
      <c r="D1599" s="72" t="str">
        <f aca="false">IF(C1599="","",IFERROR(INDEX(T_NOMBRE,MATCH(C1599,T_ID,0)),"⚠ ID no existe"))</f>
        <v/>
      </c>
      <c r="E1599" s="69"/>
      <c r="F1599" s="67"/>
      <c r="G1599" s="67"/>
      <c r="H1599" s="67"/>
      <c r="I1599" s="67"/>
      <c r="J1599" s="67"/>
      <c r="K1599" s="85" t="str">
        <f aca="false">IF(AH1599="","",N(F1599)+N(G1599)+N(H1599)-N(I1599)+N(J1599))</f>
        <v/>
      </c>
      <c r="L1599" s="67"/>
      <c r="M1599" s="67"/>
      <c r="N1599" s="67"/>
      <c r="O1599" s="67"/>
      <c r="P1599" s="85" t="str">
        <f aca="false">IF(AH1599="","",K1599+N(L1599)+N(M1599)+N(N1599)+N(O1599))</f>
        <v/>
      </c>
      <c r="Q1599" s="67"/>
      <c r="R1599" s="67"/>
      <c r="S1599" s="67"/>
      <c r="T1599" s="67"/>
      <c r="U1599" s="67"/>
      <c r="V1599" s="67"/>
      <c r="W1599" s="85" t="str">
        <f aca="false">IF(AH1599="","",N(Q1599)+N(R1599)+N(S1599)+N(T1599)+N(U1599)+N(V1599))</f>
        <v/>
      </c>
      <c r="X1599" s="85" t="str">
        <f aca="false">IF(AH1599="","",P1599-W1599)</f>
        <v/>
      </c>
      <c r="Y1599" s="67"/>
      <c r="Z1599" s="70" t="str">
        <f aca="false">IF(OR(AH1599="",Y1599=""),"",IF(ABS(X1599-Y1599)&lt;=1,"✓ Cuadra","⚠ Diferencia $"&amp;FIXED(X1599-Y1599,0)))</f>
        <v/>
      </c>
      <c r="AA1599" s="72" t="str">
        <f aca="false">IF(AH1599="","",IFERROR(INDEX(C_TIPO,MATCH(C1599&amp;"-P"&amp;MAX(1,COUNTIFS(C_ID,C1599,C_DEFINE,"Sí",C_INICIO,"&lt;="&amp;EOMONTH(B1599,0))),C_CLAVE,0))&amp;"","Sin dato"))</f>
        <v/>
      </c>
      <c r="AB1599" s="71" t="str">
        <f aca="false">IF(AH1599="","",ROUND(MIN(K1599,TOPE_AFP_UF*AJ1599)*AK1599,0))</f>
        <v/>
      </c>
      <c r="AC1599" s="71" t="str">
        <f aca="false">IF(AH1599="","",ROUND(MIN(K1599,TOPE_AFC_UF*AJ1599)*IF(AA1599="Indefinido",AFC_EMP_INDEF,AFC_EMP_PF),0))</f>
        <v/>
      </c>
      <c r="AD1599" s="71" t="str">
        <f aca="false">IF(AH1599="","",ROUND(MIN(K1599,TOPE_AFP_UF*AJ1599)*(MUTUAL_BASICA+MUTUAL_ADIC+SANNA),0))</f>
        <v/>
      </c>
      <c r="AE1599" s="71" t="str">
        <f aca="false">IF(AH1599="","",P1599-N(N1599)+AB1599+AC1599+AD1599)</f>
        <v/>
      </c>
      <c r="AF1599" s="65"/>
      <c r="AG1599" s="64"/>
      <c r="AH1599" s="72" t="str">
        <f aca="false">IF(OR(B1599="",C1599=""),"",C1599&amp;"|"&amp;(YEAR(B1599)*100+MONTH(B1599)))</f>
        <v/>
      </c>
      <c r="AI1599" s="70" t="str">
        <f aca="false">IF(AH1599="","",IF(COUNTIF(L_CLAVE,AH1599)&gt;1,"⚠ Duplicado","OK"))</f>
        <v/>
      </c>
      <c r="AJ1599" s="86" t="str">
        <f aca="false">IF(AH1599="","",IF(SUMPRODUCT(MAX((IND_PER&lt;=B1599)*(IND_UF&lt;&gt;"")*IND_PER))=0,UF_HOY,INDEX(IND_UF,MATCH(SUMPRODUCT(MAX((IND_PER&lt;=B1599)*(IND_UF&lt;&gt;"")*IND_PER)),IND_PER,0))))</f>
        <v/>
      </c>
      <c r="AK1599" s="87" t="str">
        <f aca="false">IF(AH1599="","",IF(COUNTIF(TASA_DESDE,"&lt;="&amp;B1599)=0,INDEX(TASA_EMP,1),INDEX(TASA_EMP,COUNTIF(TASA_DESDE,"&lt;="&amp;B1599))))</f>
        <v/>
      </c>
    </row>
    <row r="1600" customFormat="false" ht="15" hidden="false" customHeight="false" outlineLevel="0" collapsed="false">
      <c r="B1600" s="78"/>
      <c r="C1600" s="64"/>
      <c r="D1600" s="72" t="str">
        <f aca="false">IF(C1600="","",IFERROR(INDEX(T_NOMBRE,MATCH(C1600,T_ID,0)),"⚠ ID no existe"))</f>
        <v/>
      </c>
      <c r="E1600" s="69"/>
      <c r="F1600" s="67"/>
      <c r="G1600" s="67"/>
      <c r="H1600" s="67"/>
      <c r="I1600" s="67"/>
      <c r="J1600" s="67"/>
      <c r="K1600" s="85" t="str">
        <f aca="false">IF(AH1600="","",N(F1600)+N(G1600)+N(H1600)-N(I1600)+N(J1600))</f>
        <v/>
      </c>
      <c r="L1600" s="67"/>
      <c r="M1600" s="67"/>
      <c r="N1600" s="67"/>
      <c r="O1600" s="67"/>
      <c r="P1600" s="85" t="str">
        <f aca="false">IF(AH1600="","",K1600+N(L1600)+N(M1600)+N(N1600)+N(O1600))</f>
        <v/>
      </c>
      <c r="Q1600" s="67"/>
      <c r="R1600" s="67"/>
      <c r="S1600" s="67"/>
      <c r="T1600" s="67"/>
      <c r="U1600" s="67"/>
      <c r="V1600" s="67"/>
      <c r="W1600" s="85" t="str">
        <f aca="false">IF(AH1600="","",N(Q1600)+N(R1600)+N(S1600)+N(T1600)+N(U1600)+N(V1600))</f>
        <v/>
      </c>
      <c r="X1600" s="85" t="str">
        <f aca="false">IF(AH1600="","",P1600-W1600)</f>
        <v/>
      </c>
      <c r="Y1600" s="67"/>
      <c r="Z1600" s="70" t="str">
        <f aca="false">IF(OR(AH1600="",Y1600=""),"",IF(ABS(X1600-Y1600)&lt;=1,"✓ Cuadra","⚠ Diferencia $"&amp;FIXED(X1600-Y1600,0)))</f>
        <v/>
      </c>
      <c r="AA1600" s="72" t="str">
        <f aca="false">IF(AH1600="","",IFERROR(INDEX(C_TIPO,MATCH(C1600&amp;"-P"&amp;MAX(1,COUNTIFS(C_ID,C1600,C_DEFINE,"Sí",C_INICIO,"&lt;="&amp;EOMONTH(B1600,0))),C_CLAVE,0))&amp;"","Sin dato"))</f>
        <v/>
      </c>
      <c r="AB1600" s="71" t="str">
        <f aca="false">IF(AH1600="","",ROUND(MIN(K1600,TOPE_AFP_UF*AJ1600)*AK1600,0))</f>
        <v/>
      </c>
      <c r="AC1600" s="71" t="str">
        <f aca="false">IF(AH1600="","",ROUND(MIN(K1600,TOPE_AFC_UF*AJ1600)*IF(AA1600="Indefinido",AFC_EMP_INDEF,AFC_EMP_PF),0))</f>
        <v/>
      </c>
      <c r="AD1600" s="71" t="str">
        <f aca="false">IF(AH1600="","",ROUND(MIN(K1600,TOPE_AFP_UF*AJ1600)*(MUTUAL_BASICA+MUTUAL_ADIC+SANNA),0))</f>
        <v/>
      </c>
      <c r="AE1600" s="71" t="str">
        <f aca="false">IF(AH1600="","",P1600-N(N1600)+AB1600+AC1600+AD1600)</f>
        <v/>
      </c>
      <c r="AF1600" s="65"/>
      <c r="AG1600" s="64"/>
      <c r="AH1600" s="72" t="str">
        <f aca="false">IF(OR(B1600="",C1600=""),"",C1600&amp;"|"&amp;(YEAR(B1600)*100+MONTH(B1600)))</f>
        <v/>
      </c>
      <c r="AI1600" s="70" t="str">
        <f aca="false">IF(AH1600="","",IF(COUNTIF(L_CLAVE,AH1600)&gt;1,"⚠ Duplicado","OK"))</f>
        <v/>
      </c>
      <c r="AJ1600" s="86" t="str">
        <f aca="false">IF(AH1600="","",IF(SUMPRODUCT(MAX((IND_PER&lt;=B1600)*(IND_UF&lt;&gt;"")*IND_PER))=0,UF_HOY,INDEX(IND_UF,MATCH(SUMPRODUCT(MAX((IND_PER&lt;=B1600)*(IND_UF&lt;&gt;"")*IND_PER)),IND_PER,0))))</f>
        <v/>
      </c>
      <c r="AK1600" s="87" t="str">
        <f aca="false">IF(AH1600="","",IF(COUNTIF(TASA_DESDE,"&lt;="&amp;B1600)=0,INDEX(TASA_EMP,1),INDEX(TASA_EMP,COUNTIF(TASA_DESDE,"&lt;="&amp;B1600))))</f>
        <v/>
      </c>
    </row>
    <row r="1601" customFormat="false" ht="15" hidden="false" customHeight="false" outlineLevel="0" collapsed="false">
      <c r="B1601" s="78"/>
      <c r="C1601" s="64"/>
      <c r="D1601" s="72" t="str">
        <f aca="false">IF(C1601="","",IFERROR(INDEX(T_NOMBRE,MATCH(C1601,T_ID,0)),"⚠ ID no existe"))</f>
        <v/>
      </c>
      <c r="E1601" s="69"/>
      <c r="F1601" s="67"/>
      <c r="G1601" s="67"/>
      <c r="H1601" s="67"/>
      <c r="I1601" s="67"/>
      <c r="J1601" s="67"/>
      <c r="K1601" s="85" t="str">
        <f aca="false">IF(AH1601="","",N(F1601)+N(G1601)+N(H1601)-N(I1601)+N(J1601))</f>
        <v/>
      </c>
      <c r="L1601" s="67"/>
      <c r="M1601" s="67"/>
      <c r="N1601" s="67"/>
      <c r="O1601" s="67"/>
      <c r="P1601" s="85" t="str">
        <f aca="false">IF(AH1601="","",K1601+N(L1601)+N(M1601)+N(N1601)+N(O1601))</f>
        <v/>
      </c>
      <c r="Q1601" s="67"/>
      <c r="R1601" s="67"/>
      <c r="S1601" s="67"/>
      <c r="T1601" s="67"/>
      <c r="U1601" s="67"/>
      <c r="V1601" s="67"/>
      <c r="W1601" s="85" t="str">
        <f aca="false">IF(AH1601="","",N(Q1601)+N(R1601)+N(S1601)+N(T1601)+N(U1601)+N(V1601))</f>
        <v/>
      </c>
      <c r="X1601" s="85" t="str">
        <f aca="false">IF(AH1601="","",P1601-W1601)</f>
        <v/>
      </c>
      <c r="Y1601" s="67"/>
      <c r="Z1601" s="70" t="str">
        <f aca="false">IF(OR(AH1601="",Y1601=""),"",IF(ABS(X1601-Y1601)&lt;=1,"✓ Cuadra","⚠ Diferencia $"&amp;FIXED(X1601-Y1601,0)))</f>
        <v/>
      </c>
      <c r="AA1601" s="72" t="str">
        <f aca="false">IF(AH1601="","",IFERROR(INDEX(C_TIPO,MATCH(C1601&amp;"-P"&amp;MAX(1,COUNTIFS(C_ID,C1601,C_DEFINE,"Sí",C_INICIO,"&lt;="&amp;EOMONTH(B1601,0))),C_CLAVE,0))&amp;"","Sin dato"))</f>
        <v/>
      </c>
      <c r="AB1601" s="71" t="str">
        <f aca="false">IF(AH1601="","",ROUND(MIN(K1601,TOPE_AFP_UF*AJ1601)*AK1601,0))</f>
        <v/>
      </c>
      <c r="AC1601" s="71" t="str">
        <f aca="false">IF(AH1601="","",ROUND(MIN(K1601,TOPE_AFC_UF*AJ1601)*IF(AA1601="Indefinido",AFC_EMP_INDEF,AFC_EMP_PF),0))</f>
        <v/>
      </c>
      <c r="AD1601" s="71" t="str">
        <f aca="false">IF(AH1601="","",ROUND(MIN(K1601,TOPE_AFP_UF*AJ1601)*(MUTUAL_BASICA+MUTUAL_ADIC+SANNA),0))</f>
        <v/>
      </c>
      <c r="AE1601" s="71" t="str">
        <f aca="false">IF(AH1601="","",P1601-N(N1601)+AB1601+AC1601+AD1601)</f>
        <v/>
      </c>
      <c r="AF1601" s="65"/>
      <c r="AG1601" s="64"/>
      <c r="AH1601" s="72" t="str">
        <f aca="false">IF(OR(B1601="",C1601=""),"",C1601&amp;"|"&amp;(YEAR(B1601)*100+MONTH(B1601)))</f>
        <v/>
      </c>
      <c r="AI1601" s="70" t="str">
        <f aca="false">IF(AH1601="","",IF(COUNTIF(L_CLAVE,AH1601)&gt;1,"⚠ Duplicado","OK"))</f>
        <v/>
      </c>
      <c r="AJ1601" s="86" t="str">
        <f aca="false">IF(AH1601="","",IF(SUMPRODUCT(MAX((IND_PER&lt;=B1601)*(IND_UF&lt;&gt;"")*IND_PER))=0,UF_HOY,INDEX(IND_UF,MATCH(SUMPRODUCT(MAX((IND_PER&lt;=B1601)*(IND_UF&lt;&gt;"")*IND_PER)),IND_PER,0))))</f>
        <v/>
      </c>
      <c r="AK1601" s="87" t="str">
        <f aca="false">IF(AH1601="","",IF(COUNTIF(TASA_DESDE,"&lt;="&amp;B1601)=0,INDEX(TASA_EMP,1),INDEX(TASA_EMP,COUNTIF(TASA_DESDE,"&lt;="&amp;B1601))))</f>
        <v/>
      </c>
    </row>
    <row r="1602" customFormat="false" ht="15" hidden="false" customHeight="false" outlineLevel="0" collapsed="false">
      <c r="B1602" s="78"/>
      <c r="C1602" s="64"/>
      <c r="D1602" s="72" t="str">
        <f aca="false">IF(C1602="","",IFERROR(INDEX(T_NOMBRE,MATCH(C1602,T_ID,0)),"⚠ ID no existe"))</f>
        <v/>
      </c>
      <c r="E1602" s="69"/>
      <c r="F1602" s="67"/>
      <c r="G1602" s="67"/>
      <c r="H1602" s="67"/>
      <c r="I1602" s="67"/>
      <c r="J1602" s="67"/>
      <c r="K1602" s="85" t="str">
        <f aca="false">IF(AH1602="","",N(F1602)+N(G1602)+N(H1602)-N(I1602)+N(J1602))</f>
        <v/>
      </c>
      <c r="L1602" s="67"/>
      <c r="M1602" s="67"/>
      <c r="N1602" s="67"/>
      <c r="O1602" s="67"/>
      <c r="P1602" s="85" t="str">
        <f aca="false">IF(AH1602="","",K1602+N(L1602)+N(M1602)+N(N1602)+N(O1602))</f>
        <v/>
      </c>
      <c r="Q1602" s="67"/>
      <c r="R1602" s="67"/>
      <c r="S1602" s="67"/>
      <c r="T1602" s="67"/>
      <c r="U1602" s="67"/>
      <c r="V1602" s="67"/>
      <c r="W1602" s="85" t="str">
        <f aca="false">IF(AH1602="","",N(Q1602)+N(R1602)+N(S1602)+N(T1602)+N(U1602)+N(V1602))</f>
        <v/>
      </c>
      <c r="X1602" s="85" t="str">
        <f aca="false">IF(AH1602="","",P1602-W1602)</f>
        <v/>
      </c>
      <c r="Y1602" s="67"/>
      <c r="Z1602" s="70" t="str">
        <f aca="false">IF(OR(AH1602="",Y1602=""),"",IF(ABS(X1602-Y1602)&lt;=1,"✓ Cuadra","⚠ Diferencia $"&amp;FIXED(X1602-Y1602,0)))</f>
        <v/>
      </c>
      <c r="AA1602" s="72" t="str">
        <f aca="false">IF(AH1602="","",IFERROR(INDEX(C_TIPO,MATCH(C1602&amp;"-P"&amp;MAX(1,COUNTIFS(C_ID,C1602,C_DEFINE,"Sí",C_INICIO,"&lt;="&amp;EOMONTH(B1602,0))),C_CLAVE,0))&amp;"","Sin dato"))</f>
        <v/>
      </c>
      <c r="AB1602" s="71" t="str">
        <f aca="false">IF(AH1602="","",ROUND(MIN(K1602,TOPE_AFP_UF*AJ1602)*AK1602,0))</f>
        <v/>
      </c>
      <c r="AC1602" s="71" t="str">
        <f aca="false">IF(AH1602="","",ROUND(MIN(K1602,TOPE_AFC_UF*AJ1602)*IF(AA1602="Indefinido",AFC_EMP_INDEF,AFC_EMP_PF),0))</f>
        <v/>
      </c>
      <c r="AD1602" s="71" t="str">
        <f aca="false">IF(AH1602="","",ROUND(MIN(K1602,TOPE_AFP_UF*AJ1602)*(MUTUAL_BASICA+MUTUAL_ADIC+SANNA),0))</f>
        <v/>
      </c>
      <c r="AE1602" s="71" t="str">
        <f aca="false">IF(AH1602="","",P1602-N(N1602)+AB1602+AC1602+AD1602)</f>
        <v/>
      </c>
      <c r="AF1602" s="65"/>
      <c r="AG1602" s="64"/>
      <c r="AH1602" s="72" t="str">
        <f aca="false">IF(OR(B1602="",C1602=""),"",C1602&amp;"|"&amp;(YEAR(B1602)*100+MONTH(B1602)))</f>
        <v/>
      </c>
      <c r="AI1602" s="70" t="str">
        <f aca="false">IF(AH1602="","",IF(COUNTIF(L_CLAVE,AH1602)&gt;1,"⚠ Duplicado","OK"))</f>
        <v/>
      </c>
      <c r="AJ1602" s="86" t="str">
        <f aca="false">IF(AH1602="","",IF(SUMPRODUCT(MAX((IND_PER&lt;=B1602)*(IND_UF&lt;&gt;"")*IND_PER))=0,UF_HOY,INDEX(IND_UF,MATCH(SUMPRODUCT(MAX((IND_PER&lt;=B1602)*(IND_UF&lt;&gt;"")*IND_PER)),IND_PER,0))))</f>
        <v/>
      </c>
      <c r="AK1602" s="87" t="str">
        <f aca="false">IF(AH1602="","",IF(COUNTIF(TASA_DESDE,"&lt;="&amp;B1602)=0,INDEX(TASA_EMP,1),INDEX(TASA_EMP,COUNTIF(TASA_DESDE,"&lt;="&amp;B1602))))</f>
        <v/>
      </c>
    </row>
    <row r="1603" customFormat="false" ht="15" hidden="false" customHeight="false" outlineLevel="0" collapsed="false">
      <c r="B1603" s="78"/>
      <c r="C1603" s="64"/>
      <c r="D1603" s="72" t="str">
        <f aca="false">IF(C1603="","",IFERROR(INDEX(T_NOMBRE,MATCH(C1603,T_ID,0)),"⚠ ID no existe"))</f>
        <v/>
      </c>
      <c r="E1603" s="69"/>
      <c r="F1603" s="67"/>
      <c r="G1603" s="67"/>
      <c r="H1603" s="67"/>
      <c r="I1603" s="67"/>
      <c r="J1603" s="67"/>
      <c r="K1603" s="85" t="str">
        <f aca="false">IF(AH1603="","",N(F1603)+N(G1603)+N(H1603)-N(I1603)+N(J1603))</f>
        <v/>
      </c>
      <c r="L1603" s="67"/>
      <c r="M1603" s="67"/>
      <c r="N1603" s="67"/>
      <c r="O1603" s="67"/>
      <c r="P1603" s="85" t="str">
        <f aca="false">IF(AH1603="","",K1603+N(L1603)+N(M1603)+N(N1603)+N(O1603))</f>
        <v/>
      </c>
      <c r="Q1603" s="67"/>
      <c r="R1603" s="67"/>
      <c r="S1603" s="67"/>
      <c r="T1603" s="67"/>
      <c r="U1603" s="67"/>
      <c r="V1603" s="67"/>
      <c r="W1603" s="85" t="str">
        <f aca="false">IF(AH1603="","",N(Q1603)+N(R1603)+N(S1603)+N(T1603)+N(U1603)+N(V1603))</f>
        <v/>
      </c>
      <c r="X1603" s="85" t="str">
        <f aca="false">IF(AH1603="","",P1603-W1603)</f>
        <v/>
      </c>
      <c r="Y1603" s="67"/>
      <c r="Z1603" s="70" t="str">
        <f aca="false">IF(OR(AH1603="",Y1603=""),"",IF(ABS(X1603-Y1603)&lt;=1,"✓ Cuadra","⚠ Diferencia $"&amp;FIXED(X1603-Y1603,0)))</f>
        <v/>
      </c>
      <c r="AA1603" s="72" t="str">
        <f aca="false">IF(AH1603="","",IFERROR(INDEX(C_TIPO,MATCH(C1603&amp;"-P"&amp;MAX(1,COUNTIFS(C_ID,C1603,C_DEFINE,"Sí",C_INICIO,"&lt;="&amp;EOMONTH(B1603,0))),C_CLAVE,0))&amp;"","Sin dato"))</f>
        <v/>
      </c>
      <c r="AB1603" s="71" t="str">
        <f aca="false">IF(AH1603="","",ROUND(MIN(K1603,TOPE_AFP_UF*AJ1603)*AK1603,0))</f>
        <v/>
      </c>
      <c r="AC1603" s="71" t="str">
        <f aca="false">IF(AH1603="","",ROUND(MIN(K1603,TOPE_AFC_UF*AJ1603)*IF(AA1603="Indefinido",AFC_EMP_INDEF,AFC_EMP_PF),0))</f>
        <v/>
      </c>
      <c r="AD1603" s="71" t="str">
        <f aca="false">IF(AH1603="","",ROUND(MIN(K1603,TOPE_AFP_UF*AJ1603)*(MUTUAL_BASICA+MUTUAL_ADIC+SANNA),0))</f>
        <v/>
      </c>
      <c r="AE1603" s="71" t="str">
        <f aca="false">IF(AH1603="","",P1603-N(N1603)+AB1603+AC1603+AD1603)</f>
        <v/>
      </c>
      <c r="AF1603" s="65"/>
      <c r="AG1603" s="64"/>
      <c r="AH1603" s="72" t="str">
        <f aca="false">IF(OR(B1603="",C1603=""),"",C1603&amp;"|"&amp;(YEAR(B1603)*100+MONTH(B1603)))</f>
        <v/>
      </c>
      <c r="AI1603" s="70" t="str">
        <f aca="false">IF(AH1603="","",IF(COUNTIF(L_CLAVE,AH1603)&gt;1,"⚠ Duplicado","OK"))</f>
        <v/>
      </c>
      <c r="AJ1603" s="86" t="str">
        <f aca="false">IF(AH1603="","",IF(SUMPRODUCT(MAX((IND_PER&lt;=B1603)*(IND_UF&lt;&gt;"")*IND_PER))=0,UF_HOY,INDEX(IND_UF,MATCH(SUMPRODUCT(MAX((IND_PER&lt;=B1603)*(IND_UF&lt;&gt;"")*IND_PER)),IND_PER,0))))</f>
        <v/>
      </c>
      <c r="AK1603" s="87" t="str">
        <f aca="false">IF(AH1603="","",IF(COUNTIF(TASA_DESDE,"&lt;="&amp;B1603)=0,INDEX(TASA_EMP,1),INDEX(TASA_EMP,COUNTIF(TASA_DESDE,"&lt;="&amp;B1603))))</f>
        <v/>
      </c>
    </row>
    <row r="1604" customFormat="false" ht="15" hidden="false" customHeight="false" outlineLevel="0" collapsed="false">
      <c r="B1604" s="78"/>
      <c r="C1604" s="64"/>
      <c r="D1604" s="72" t="str">
        <f aca="false">IF(C1604="","",IFERROR(INDEX(T_NOMBRE,MATCH(C1604,T_ID,0)),"⚠ ID no existe"))</f>
        <v/>
      </c>
      <c r="E1604" s="69"/>
      <c r="F1604" s="67"/>
      <c r="G1604" s="67"/>
      <c r="H1604" s="67"/>
      <c r="I1604" s="67"/>
      <c r="J1604" s="67"/>
      <c r="K1604" s="85" t="str">
        <f aca="false">IF(AH1604="","",N(F1604)+N(G1604)+N(H1604)-N(I1604)+N(J1604))</f>
        <v/>
      </c>
      <c r="L1604" s="67"/>
      <c r="M1604" s="67"/>
      <c r="N1604" s="67"/>
      <c r="O1604" s="67"/>
      <c r="P1604" s="85" t="str">
        <f aca="false">IF(AH1604="","",K1604+N(L1604)+N(M1604)+N(N1604)+N(O1604))</f>
        <v/>
      </c>
      <c r="Q1604" s="67"/>
      <c r="R1604" s="67"/>
      <c r="S1604" s="67"/>
      <c r="T1604" s="67"/>
      <c r="U1604" s="67"/>
      <c r="V1604" s="67"/>
      <c r="W1604" s="85" t="str">
        <f aca="false">IF(AH1604="","",N(Q1604)+N(R1604)+N(S1604)+N(T1604)+N(U1604)+N(V1604))</f>
        <v/>
      </c>
      <c r="X1604" s="85" t="str">
        <f aca="false">IF(AH1604="","",P1604-W1604)</f>
        <v/>
      </c>
      <c r="Y1604" s="67"/>
      <c r="Z1604" s="70" t="str">
        <f aca="false">IF(OR(AH1604="",Y1604=""),"",IF(ABS(X1604-Y1604)&lt;=1,"✓ Cuadra","⚠ Diferencia $"&amp;FIXED(X1604-Y1604,0)))</f>
        <v/>
      </c>
      <c r="AA1604" s="72" t="str">
        <f aca="false">IF(AH1604="","",IFERROR(INDEX(C_TIPO,MATCH(C1604&amp;"-P"&amp;MAX(1,COUNTIFS(C_ID,C1604,C_DEFINE,"Sí",C_INICIO,"&lt;="&amp;EOMONTH(B1604,0))),C_CLAVE,0))&amp;"","Sin dato"))</f>
        <v/>
      </c>
      <c r="AB1604" s="71" t="str">
        <f aca="false">IF(AH1604="","",ROUND(MIN(K1604,TOPE_AFP_UF*AJ1604)*AK1604,0))</f>
        <v/>
      </c>
      <c r="AC1604" s="71" t="str">
        <f aca="false">IF(AH1604="","",ROUND(MIN(K1604,TOPE_AFC_UF*AJ1604)*IF(AA1604="Indefinido",AFC_EMP_INDEF,AFC_EMP_PF),0))</f>
        <v/>
      </c>
      <c r="AD1604" s="71" t="str">
        <f aca="false">IF(AH1604="","",ROUND(MIN(K1604,TOPE_AFP_UF*AJ1604)*(MUTUAL_BASICA+MUTUAL_ADIC+SANNA),0))</f>
        <v/>
      </c>
      <c r="AE1604" s="71" t="str">
        <f aca="false">IF(AH1604="","",P1604-N(N1604)+AB1604+AC1604+AD1604)</f>
        <v/>
      </c>
      <c r="AF1604" s="65"/>
      <c r="AG1604" s="64"/>
      <c r="AH1604" s="72" t="str">
        <f aca="false">IF(OR(B1604="",C1604=""),"",C1604&amp;"|"&amp;(YEAR(B1604)*100+MONTH(B1604)))</f>
        <v/>
      </c>
      <c r="AI1604" s="70" t="str">
        <f aca="false">IF(AH1604="","",IF(COUNTIF(L_CLAVE,AH1604)&gt;1,"⚠ Duplicado","OK"))</f>
        <v/>
      </c>
      <c r="AJ1604" s="86" t="str">
        <f aca="false">IF(AH1604="","",IF(SUMPRODUCT(MAX((IND_PER&lt;=B1604)*(IND_UF&lt;&gt;"")*IND_PER))=0,UF_HOY,INDEX(IND_UF,MATCH(SUMPRODUCT(MAX((IND_PER&lt;=B1604)*(IND_UF&lt;&gt;"")*IND_PER)),IND_PER,0))))</f>
        <v/>
      </c>
      <c r="AK1604" s="87" t="str">
        <f aca="false">IF(AH1604="","",IF(COUNTIF(TASA_DESDE,"&lt;="&amp;B1604)=0,INDEX(TASA_EMP,1),INDEX(TASA_EMP,COUNTIF(TASA_DESDE,"&lt;="&amp;B1604))))</f>
        <v/>
      </c>
    </row>
    <row r="1605" customFormat="false" ht="15" hidden="false" customHeight="false" outlineLevel="0" collapsed="false">
      <c r="B1605" s="78"/>
      <c r="C1605" s="64"/>
      <c r="D1605" s="72" t="str">
        <f aca="false">IF(C1605="","",IFERROR(INDEX(T_NOMBRE,MATCH(C1605,T_ID,0)),"⚠ ID no existe"))</f>
        <v/>
      </c>
      <c r="E1605" s="69"/>
      <c r="F1605" s="67"/>
      <c r="G1605" s="67"/>
      <c r="H1605" s="67"/>
      <c r="I1605" s="67"/>
      <c r="J1605" s="67"/>
      <c r="K1605" s="85" t="str">
        <f aca="false">IF(AH1605="","",N(F1605)+N(G1605)+N(H1605)-N(I1605)+N(J1605))</f>
        <v/>
      </c>
      <c r="L1605" s="67"/>
      <c r="M1605" s="67"/>
      <c r="N1605" s="67"/>
      <c r="O1605" s="67"/>
      <c r="P1605" s="85" t="str">
        <f aca="false">IF(AH1605="","",K1605+N(L1605)+N(M1605)+N(N1605)+N(O1605))</f>
        <v/>
      </c>
      <c r="Q1605" s="67"/>
      <c r="R1605" s="67"/>
      <c r="S1605" s="67"/>
      <c r="T1605" s="67"/>
      <c r="U1605" s="67"/>
      <c r="V1605" s="67"/>
      <c r="W1605" s="85" t="str">
        <f aca="false">IF(AH1605="","",N(Q1605)+N(R1605)+N(S1605)+N(T1605)+N(U1605)+N(V1605))</f>
        <v/>
      </c>
      <c r="X1605" s="85" t="str">
        <f aca="false">IF(AH1605="","",P1605-W1605)</f>
        <v/>
      </c>
      <c r="Y1605" s="67"/>
      <c r="Z1605" s="70" t="str">
        <f aca="false">IF(OR(AH1605="",Y1605=""),"",IF(ABS(X1605-Y1605)&lt;=1,"✓ Cuadra","⚠ Diferencia $"&amp;FIXED(X1605-Y1605,0)))</f>
        <v/>
      </c>
      <c r="AA1605" s="72" t="str">
        <f aca="false">IF(AH1605="","",IFERROR(INDEX(C_TIPO,MATCH(C1605&amp;"-P"&amp;MAX(1,COUNTIFS(C_ID,C1605,C_DEFINE,"Sí",C_INICIO,"&lt;="&amp;EOMONTH(B1605,0))),C_CLAVE,0))&amp;"","Sin dato"))</f>
        <v/>
      </c>
      <c r="AB1605" s="71" t="str">
        <f aca="false">IF(AH1605="","",ROUND(MIN(K1605,TOPE_AFP_UF*AJ1605)*AK1605,0))</f>
        <v/>
      </c>
      <c r="AC1605" s="71" t="str">
        <f aca="false">IF(AH1605="","",ROUND(MIN(K1605,TOPE_AFC_UF*AJ1605)*IF(AA1605="Indefinido",AFC_EMP_INDEF,AFC_EMP_PF),0))</f>
        <v/>
      </c>
      <c r="AD1605" s="71" t="str">
        <f aca="false">IF(AH1605="","",ROUND(MIN(K1605,TOPE_AFP_UF*AJ1605)*(MUTUAL_BASICA+MUTUAL_ADIC+SANNA),0))</f>
        <v/>
      </c>
      <c r="AE1605" s="71" t="str">
        <f aca="false">IF(AH1605="","",P1605-N(N1605)+AB1605+AC1605+AD1605)</f>
        <v/>
      </c>
      <c r="AF1605" s="65"/>
      <c r="AG1605" s="64"/>
      <c r="AH1605" s="72" t="str">
        <f aca="false">IF(OR(B1605="",C1605=""),"",C1605&amp;"|"&amp;(YEAR(B1605)*100+MONTH(B1605)))</f>
        <v/>
      </c>
      <c r="AI1605" s="70" t="str">
        <f aca="false">IF(AH1605="","",IF(COUNTIF(L_CLAVE,AH1605)&gt;1,"⚠ Duplicado","OK"))</f>
        <v/>
      </c>
      <c r="AJ1605" s="86" t="str">
        <f aca="false">IF(AH1605="","",IF(SUMPRODUCT(MAX((IND_PER&lt;=B1605)*(IND_UF&lt;&gt;"")*IND_PER))=0,UF_HOY,INDEX(IND_UF,MATCH(SUMPRODUCT(MAX((IND_PER&lt;=B1605)*(IND_UF&lt;&gt;"")*IND_PER)),IND_PER,0))))</f>
        <v/>
      </c>
      <c r="AK1605" s="87" t="str">
        <f aca="false">IF(AH1605="","",IF(COUNTIF(TASA_DESDE,"&lt;="&amp;B1605)=0,INDEX(TASA_EMP,1),INDEX(TASA_EMP,COUNTIF(TASA_DESDE,"&lt;="&amp;B1605))))</f>
        <v/>
      </c>
    </row>
    <row r="1606" customFormat="false" ht="15" hidden="false" customHeight="false" outlineLevel="0" collapsed="false">
      <c r="B1606" s="78"/>
      <c r="C1606" s="64"/>
      <c r="D1606" s="72" t="str">
        <f aca="false">IF(C1606="","",IFERROR(INDEX(T_NOMBRE,MATCH(C1606,T_ID,0)),"⚠ ID no existe"))</f>
        <v/>
      </c>
      <c r="E1606" s="69"/>
      <c r="F1606" s="67"/>
      <c r="G1606" s="67"/>
      <c r="H1606" s="67"/>
      <c r="I1606" s="67"/>
      <c r="J1606" s="67"/>
      <c r="K1606" s="85" t="str">
        <f aca="false">IF(AH1606="","",N(F1606)+N(G1606)+N(H1606)-N(I1606)+N(J1606))</f>
        <v/>
      </c>
      <c r="L1606" s="67"/>
      <c r="M1606" s="67"/>
      <c r="N1606" s="67"/>
      <c r="O1606" s="67"/>
      <c r="P1606" s="85" t="str">
        <f aca="false">IF(AH1606="","",K1606+N(L1606)+N(M1606)+N(N1606)+N(O1606))</f>
        <v/>
      </c>
      <c r="Q1606" s="67"/>
      <c r="R1606" s="67"/>
      <c r="S1606" s="67"/>
      <c r="T1606" s="67"/>
      <c r="U1606" s="67"/>
      <c r="V1606" s="67"/>
      <c r="W1606" s="85" t="str">
        <f aca="false">IF(AH1606="","",N(Q1606)+N(R1606)+N(S1606)+N(T1606)+N(U1606)+N(V1606))</f>
        <v/>
      </c>
      <c r="X1606" s="85" t="str">
        <f aca="false">IF(AH1606="","",P1606-W1606)</f>
        <v/>
      </c>
      <c r="Y1606" s="67"/>
      <c r="Z1606" s="70" t="str">
        <f aca="false">IF(OR(AH1606="",Y1606=""),"",IF(ABS(X1606-Y1606)&lt;=1,"✓ Cuadra","⚠ Diferencia $"&amp;FIXED(X1606-Y1606,0)))</f>
        <v/>
      </c>
      <c r="AA1606" s="72" t="str">
        <f aca="false">IF(AH1606="","",IFERROR(INDEX(C_TIPO,MATCH(C1606&amp;"-P"&amp;MAX(1,COUNTIFS(C_ID,C1606,C_DEFINE,"Sí",C_INICIO,"&lt;="&amp;EOMONTH(B1606,0))),C_CLAVE,0))&amp;"","Sin dato"))</f>
        <v/>
      </c>
      <c r="AB1606" s="71" t="str">
        <f aca="false">IF(AH1606="","",ROUND(MIN(K1606,TOPE_AFP_UF*AJ1606)*AK1606,0))</f>
        <v/>
      </c>
      <c r="AC1606" s="71" t="str">
        <f aca="false">IF(AH1606="","",ROUND(MIN(K1606,TOPE_AFC_UF*AJ1606)*IF(AA1606="Indefinido",AFC_EMP_INDEF,AFC_EMP_PF),0))</f>
        <v/>
      </c>
      <c r="AD1606" s="71" t="str">
        <f aca="false">IF(AH1606="","",ROUND(MIN(K1606,TOPE_AFP_UF*AJ1606)*(MUTUAL_BASICA+MUTUAL_ADIC+SANNA),0))</f>
        <v/>
      </c>
      <c r="AE1606" s="71" t="str">
        <f aca="false">IF(AH1606="","",P1606-N(N1606)+AB1606+AC1606+AD1606)</f>
        <v/>
      </c>
      <c r="AF1606" s="65"/>
      <c r="AG1606" s="64"/>
      <c r="AH1606" s="72" t="str">
        <f aca="false">IF(OR(B1606="",C1606=""),"",C1606&amp;"|"&amp;(YEAR(B1606)*100+MONTH(B1606)))</f>
        <v/>
      </c>
      <c r="AI1606" s="70" t="str">
        <f aca="false">IF(AH1606="","",IF(COUNTIF(L_CLAVE,AH1606)&gt;1,"⚠ Duplicado","OK"))</f>
        <v/>
      </c>
      <c r="AJ1606" s="86" t="str">
        <f aca="false">IF(AH1606="","",IF(SUMPRODUCT(MAX((IND_PER&lt;=B1606)*(IND_UF&lt;&gt;"")*IND_PER))=0,UF_HOY,INDEX(IND_UF,MATCH(SUMPRODUCT(MAX((IND_PER&lt;=B1606)*(IND_UF&lt;&gt;"")*IND_PER)),IND_PER,0))))</f>
        <v/>
      </c>
      <c r="AK1606" s="87" t="str">
        <f aca="false">IF(AH1606="","",IF(COUNTIF(TASA_DESDE,"&lt;="&amp;B1606)=0,INDEX(TASA_EMP,1),INDEX(TASA_EMP,COUNTIF(TASA_DESDE,"&lt;="&amp;B1606))))</f>
        <v/>
      </c>
    </row>
    <row r="1607" customFormat="false" ht="15" hidden="false" customHeight="false" outlineLevel="0" collapsed="false">
      <c r="B1607" s="78"/>
      <c r="C1607" s="64"/>
      <c r="D1607" s="72" t="str">
        <f aca="false">IF(C1607="","",IFERROR(INDEX(T_NOMBRE,MATCH(C1607,T_ID,0)),"⚠ ID no existe"))</f>
        <v/>
      </c>
      <c r="E1607" s="69"/>
      <c r="F1607" s="67"/>
      <c r="G1607" s="67"/>
      <c r="H1607" s="67"/>
      <c r="I1607" s="67"/>
      <c r="J1607" s="67"/>
      <c r="K1607" s="85" t="str">
        <f aca="false">IF(AH1607="","",N(F1607)+N(G1607)+N(H1607)-N(I1607)+N(J1607))</f>
        <v/>
      </c>
      <c r="L1607" s="67"/>
      <c r="M1607" s="67"/>
      <c r="N1607" s="67"/>
      <c r="O1607" s="67"/>
      <c r="P1607" s="85" t="str">
        <f aca="false">IF(AH1607="","",K1607+N(L1607)+N(M1607)+N(N1607)+N(O1607))</f>
        <v/>
      </c>
      <c r="Q1607" s="67"/>
      <c r="R1607" s="67"/>
      <c r="S1607" s="67"/>
      <c r="T1607" s="67"/>
      <c r="U1607" s="67"/>
      <c r="V1607" s="67"/>
      <c r="W1607" s="85" t="str">
        <f aca="false">IF(AH1607="","",N(Q1607)+N(R1607)+N(S1607)+N(T1607)+N(U1607)+N(V1607))</f>
        <v/>
      </c>
      <c r="X1607" s="85" t="str">
        <f aca="false">IF(AH1607="","",P1607-W1607)</f>
        <v/>
      </c>
      <c r="Y1607" s="67"/>
      <c r="Z1607" s="70" t="str">
        <f aca="false">IF(OR(AH1607="",Y1607=""),"",IF(ABS(X1607-Y1607)&lt;=1,"✓ Cuadra","⚠ Diferencia $"&amp;FIXED(X1607-Y1607,0)))</f>
        <v/>
      </c>
      <c r="AA1607" s="72" t="str">
        <f aca="false">IF(AH1607="","",IFERROR(INDEX(C_TIPO,MATCH(C1607&amp;"-P"&amp;MAX(1,COUNTIFS(C_ID,C1607,C_DEFINE,"Sí",C_INICIO,"&lt;="&amp;EOMONTH(B1607,0))),C_CLAVE,0))&amp;"","Sin dato"))</f>
        <v/>
      </c>
      <c r="AB1607" s="71" t="str">
        <f aca="false">IF(AH1607="","",ROUND(MIN(K1607,TOPE_AFP_UF*AJ1607)*AK1607,0))</f>
        <v/>
      </c>
      <c r="AC1607" s="71" t="str">
        <f aca="false">IF(AH1607="","",ROUND(MIN(K1607,TOPE_AFC_UF*AJ1607)*IF(AA1607="Indefinido",AFC_EMP_INDEF,AFC_EMP_PF),0))</f>
        <v/>
      </c>
      <c r="AD1607" s="71" t="str">
        <f aca="false">IF(AH1607="","",ROUND(MIN(K1607,TOPE_AFP_UF*AJ1607)*(MUTUAL_BASICA+MUTUAL_ADIC+SANNA),0))</f>
        <v/>
      </c>
      <c r="AE1607" s="71" t="str">
        <f aca="false">IF(AH1607="","",P1607-N(N1607)+AB1607+AC1607+AD1607)</f>
        <v/>
      </c>
      <c r="AF1607" s="65"/>
      <c r="AG1607" s="64"/>
      <c r="AH1607" s="72" t="str">
        <f aca="false">IF(OR(B1607="",C1607=""),"",C1607&amp;"|"&amp;(YEAR(B1607)*100+MONTH(B1607)))</f>
        <v/>
      </c>
      <c r="AI1607" s="70" t="str">
        <f aca="false">IF(AH1607="","",IF(COUNTIF(L_CLAVE,AH1607)&gt;1,"⚠ Duplicado","OK"))</f>
        <v/>
      </c>
      <c r="AJ1607" s="86" t="str">
        <f aca="false">IF(AH1607="","",IF(SUMPRODUCT(MAX((IND_PER&lt;=B1607)*(IND_UF&lt;&gt;"")*IND_PER))=0,UF_HOY,INDEX(IND_UF,MATCH(SUMPRODUCT(MAX((IND_PER&lt;=B1607)*(IND_UF&lt;&gt;"")*IND_PER)),IND_PER,0))))</f>
        <v/>
      </c>
      <c r="AK1607" s="87" t="str">
        <f aca="false">IF(AH1607="","",IF(COUNTIF(TASA_DESDE,"&lt;="&amp;B1607)=0,INDEX(TASA_EMP,1),INDEX(TASA_EMP,COUNTIF(TASA_DESDE,"&lt;="&amp;B1607))))</f>
        <v/>
      </c>
    </row>
    <row r="1608" customFormat="false" ht="15" hidden="false" customHeight="false" outlineLevel="0" collapsed="false">
      <c r="B1608" s="78"/>
      <c r="C1608" s="64"/>
      <c r="D1608" s="72" t="str">
        <f aca="false">IF(C1608="","",IFERROR(INDEX(T_NOMBRE,MATCH(C1608,T_ID,0)),"⚠ ID no existe"))</f>
        <v/>
      </c>
      <c r="E1608" s="69"/>
      <c r="F1608" s="67"/>
      <c r="G1608" s="67"/>
      <c r="H1608" s="67"/>
      <c r="I1608" s="67"/>
      <c r="J1608" s="67"/>
      <c r="K1608" s="85" t="str">
        <f aca="false">IF(AH1608="","",N(F1608)+N(G1608)+N(H1608)-N(I1608)+N(J1608))</f>
        <v/>
      </c>
      <c r="L1608" s="67"/>
      <c r="M1608" s="67"/>
      <c r="N1608" s="67"/>
      <c r="O1608" s="67"/>
      <c r="P1608" s="85" t="str">
        <f aca="false">IF(AH1608="","",K1608+N(L1608)+N(M1608)+N(N1608)+N(O1608))</f>
        <v/>
      </c>
      <c r="Q1608" s="67"/>
      <c r="R1608" s="67"/>
      <c r="S1608" s="67"/>
      <c r="T1608" s="67"/>
      <c r="U1608" s="67"/>
      <c r="V1608" s="67"/>
      <c r="W1608" s="85" t="str">
        <f aca="false">IF(AH1608="","",N(Q1608)+N(R1608)+N(S1608)+N(T1608)+N(U1608)+N(V1608))</f>
        <v/>
      </c>
      <c r="X1608" s="85" t="str">
        <f aca="false">IF(AH1608="","",P1608-W1608)</f>
        <v/>
      </c>
      <c r="Y1608" s="67"/>
      <c r="Z1608" s="70" t="str">
        <f aca="false">IF(OR(AH1608="",Y1608=""),"",IF(ABS(X1608-Y1608)&lt;=1,"✓ Cuadra","⚠ Diferencia $"&amp;FIXED(X1608-Y1608,0)))</f>
        <v/>
      </c>
      <c r="AA1608" s="72" t="str">
        <f aca="false">IF(AH1608="","",IFERROR(INDEX(C_TIPO,MATCH(C1608&amp;"-P"&amp;MAX(1,COUNTIFS(C_ID,C1608,C_DEFINE,"Sí",C_INICIO,"&lt;="&amp;EOMONTH(B1608,0))),C_CLAVE,0))&amp;"","Sin dato"))</f>
        <v/>
      </c>
      <c r="AB1608" s="71" t="str">
        <f aca="false">IF(AH1608="","",ROUND(MIN(K1608,TOPE_AFP_UF*AJ1608)*AK1608,0))</f>
        <v/>
      </c>
      <c r="AC1608" s="71" t="str">
        <f aca="false">IF(AH1608="","",ROUND(MIN(K1608,TOPE_AFC_UF*AJ1608)*IF(AA1608="Indefinido",AFC_EMP_INDEF,AFC_EMP_PF),0))</f>
        <v/>
      </c>
      <c r="AD1608" s="71" t="str">
        <f aca="false">IF(AH1608="","",ROUND(MIN(K1608,TOPE_AFP_UF*AJ1608)*(MUTUAL_BASICA+MUTUAL_ADIC+SANNA),0))</f>
        <v/>
      </c>
      <c r="AE1608" s="71" t="str">
        <f aca="false">IF(AH1608="","",P1608-N(N1608)+AB1608+AC1608+AD1608)</f>
        <v/>
      </c>
      <c r="AF1608" s="65"/>
      <c r="AG1608" s="64"/>
      <c r="AH1608" s="72" t="str">
        <f aca="false">IF(OR(B1608="",C1608=""),"",C1608&amp;"|"&amp;(YEAR(B1608)*100+MONTH(B1608)))</f>
        <v/>
      </c>
      <c r="AI1608" s="70" t="str">
        <f aca="false">IF(AH1608="","",IF(COUNTIF(L_CLAVE,AH1608)&gt;1,"⚠ Duplicado","OK"))</f>
        <v/>
      </c>
      <c r="AJ1608" s="86" t="str">
        <f aca="false">IF(AH1608="","",IF(SUMPRODUCT(MAX((IND_PER&lt;=B1608)*(IND_UF&lt;&gt;"")*IND_PER))=0,UF_HOY,INDEX(IND_UF,MATCH(SUMPRODUCT(MAX((IND_PER&lt;=B1608)*(IND_UF&lt;&gt;"")*IND_PER)),IND_PER,0))))</f>
        <v/>
      </c>
      <c r="AK1608" s="87" t="str">
        <f aca="false">IF(AH1608="","",IF(COUNTIF(TASA_DESDE,"&lt;="&amp;B1608)=0,INDEX(TASA_EMP,1),INDEX(TASA_EMP,COUNTIF(TASA_DESDE,"&lt;="&amp;B1608))))</f>
        <v/>
      </c>
    </row>
    <row r="1609" customFormat="false" ht="15" hidden="false" customHeight="false" outlineLevel="0" collapsed="false">
      <c r="B1609" s="78"/>
      <c r="C1609" s="64"/>
      <c r="D1609" s="72" t="str">
        <f aca="false">IF(C1609="","",IFERROR(INDEX(T_NOMBRE,MATCH(C1609,T_ID,0)),"⚠ ID no existe"))</f>
        <v/>
      </c>
      <c r="E1609" s="69"/>
      <c r="F1609" s="67"/>
      <c r="G1609" s="67"/>
      <c r="H1609" s="67"/>
      <c r="I1609" s="67"/>
      <c r="J1609" s="67"/>
      <c r="K1609" s="85" t="str">
        <f aca="false">IF(AH1609="","",N(F1609)+N(G1609)+N(H1609)-N(I1609)+N(J1609))</f>
        <v/>
      </c>
      <c r="L1609" s="67"/>
      <c r="M1609" s="67"/>
      <c r="N1609" s="67"/>
      <c r="O1609" s="67"/>
      <c r="P1609" s="85" t="str">
        <f aca="false">IF(AH1609="","",K1609+N(L1609)+N(M1609)+N(N1609)+N(O1609))</f>
        <v/>
      </c>
      <c r="Q1609" s="67"/>
      <c r="R1609" s="67"/>
      <c r="S1609" s="67"/>
      <c r="T1609" s="67"/>
      <c r="U1609" s="67"/>
      <c r="V1609" s="67"/>
      <c r="W1609" s="85" t="str">
        <f aca="false">IF(AH1609="","",N(Q1609)+N(R1609)+N(S1609)+N(T1609)+N(U1609)+N(V1609))</f>
        <v/>
      </c>
      <c r="X1609" s="85" t="str">
        <f aca="false">IF(AH1609="","",P1609-W1609)</f>
        <v/>
      </c>
      <c r="Y1609" s="67"/>
      <c r="Z1609" s="70" t="str">
        <f aca="false">IF(OR(AH1609="",Y1609=""),"",IF(ABS(X1609-Y1609)&lt;=1,"✓ Cuadra","⚠ Diferencia $"&amp;FIXED(X1609-Y1609,0)))</f>
        <v/>
      </c>
      <c r="AA1609" s="72" t="str">
        <f aca="false">IF(AH1609="","",IFERROR(INDEX(C_TIPO,MATCH(C1609&amp;"-P"&amp;MAX(1,COUNTIFS(C_ID,C1609,C_DEFINE,"Sí",C_INICIO,"&lt;="&amp;EOMONTH(B1609,0))),C_CLAVE,0))&amp;"","Sin dato"))</f>
        <v/>
      </c>
      <c r="AB1609" s="71" t="str">
        <f aca="false">IF(AH1609="","",ROUND(MIN(K1609,TOPE_AFP_UF*AJ1609)*AK1609,0))</f>
        <v/>
      </c>
      <c r="AC1609" s="71" t="str">
        <f aca="false">IF(AH1609="","",ROUND(MIN(K1609,TOPE_AFC_UF*AJ1609)*IF(AA1609="Indefinido",AFC_EMP_INDEF,AFC_EMP_PF),0))</f>
        <v/>
      </c>
      <c r="AD1609" s="71" t="str">
        <f aca="false">IF(AH1609="","",ROUND(MIN(K1609,TOPE_AFP_UF*AJ1609)*(MUTUAL_BASICA+MUTUAL_ADIC+SANNA),0))</f>
        <v/>
      </c>
      <c r="AE1609" s="71" t="str">
        <f aca="false">IF(AH1609="","",P1609-N(N1609)+AB1609+AC1609+AD1609)</f>
        <v/>
      </c>
      <c r="AF1609" s="65"/>
      <c r="AG1609" s="64"/>
      <c r="AH1609" s="72" t="str">
        <f aca="false">IF(OR(B1609="",C1609=""),"",C1609&amp;"|"&amp;(YEAR(B1609)*100+MONTH(B1609)))</f>
        <v/>
      </c>
      <c r="AI1609" s="70" t="str">
        <f aca="false">IF(AH1609="","",IF(COUNTIF(L_CLAVE,AH1609)&gt;1,"⚠ Duplicado","OK"))</f>
        <v/>
      </c>
      <c r="AJ1609" s="86" t="str">
        <f aca="false">IF(AH1609="","",IF(SUMPRODUCT(MAX((IND_PER&lt;=B1609)*(IND_UF&lt;&gt;"")*IND_PER))=0,UF_HOY,INDEX(IND_UF,MATCH(SUMPRODUCT(MAX((IND_PER&lt;=B1609)*(IND_UF&lt;&gt;"")*IND_PER)),IND_PER,0))))</f>
        <v/>
      </c>
      <c r="AK1609" s="87" t="str">
        <f aca="false">IF(AH1609="","",IF(COUNTIF(TASA_DESDE,"&lt;="&amp;B1609)=0,INDEX(TASA_EMP,1),INDEX(TASA_EMP,COUNTIF(TASA_DESDE,"&lt;="&amp;B1609))))</f>
        <v/>
      </c>
    </row>
    <row r="1610" customFormat="false" ht="15" hidden="false" customHeight="false" outlineLevel="0" collapsed="false">
      <c r="B1610" s="78"/>
      <c r="C1610" s="64"/>
      <c r="D1610" s="72" t="str">
        <f aca="false">IF(C1610="","",IFERROR(INDEX(T_NOMBRE,MATCH(C1610,T_ID,0)),"⚠ ID no existe"))</f>
        <v/>
      </c>
      <c r="E1610" s="69"/>
      <c r="F1610" s="67"/>
      <c r="G1610" s="67"/>
      <c r="H1610" s="67"/>
      <c r="I1610" s="67"/>
      <c r="J1610" s="67"/>
      <c r="K1610" s="85" t="str">
        <f aca="false">IF(AH1610="","",N(F1610)+N(G1610)+N(H1610)-N(I1610)+N(J1610))</f>
        <v/>
      </c>
      <c r="L1610" s="67"/>
      <c r="M1610" s="67"/>
      <c r="N1610" s="67"/>
      <c r="O1610" s="67"/>
      <c r="P1610" s="85" t="str">
        <f aca="false">IF(AH1610="","",K1610+N(L1610)+N(M1610)+N(N1610)+N(O1610))</f>
        <v/>
      </c>
      <c r="Q1610" s="67"/>
      <c r="R1610" s="67"/>
      <c r="S1610" s="67"/>
      <c r="T1610" s="67"/>
      <c r="U1610" s="67"/>
      <c r="V1610" s="67"/>
      <c r="W1610" s="85" t="str">
        <f aca="false">IF(AH1610="","",N(Q1610)+N(R1610)+N(S1610)+N(T1610)+N(U1610)+N(V1610))</f>
        <v/>
      </c>
      <c r="X1610" s="85" t="str">
        <f aca="false">IF(AH1610="","",P1610-W1610)</f>
        <v/>
      </c>
      <c r="Y1610" s="67"/>
      <c r="Z1610" s="70" t="str">
        <f aca="false">IF(OR(AH1610="",Y1610=""),"",IF(ABS(X1610-Y1610)&lt;=1,"✓ Cuadra","⚠ Diferencia $"&amp;FIXED(X1610-Y1610,0)))</f>
        <v/>
      </c>
      <c r="AA1610" s="72" t="str">
        <f aca="false">IF(AH1610="","",IFERROR(INDEX(C_TIPO,MATCH(C1610&amp;"-P"&amp;MAX(1,COUNTIFS(C_ID,C1610,C_DEFINE,"Sí",C_INICIO,"&lt;="&amp;EOMONTH(B1610,0))),C_CLAVE,0))&amp;"","Sin dato"))</f>
        <v/>
      </c>
      <c r="AB1610" s="71" t="str">
        <f aca="false">IF(AH1610="","",ROUND(MIN(K1610,TOPE_AFP_UF*AJ1610)*AK1610,0))</f>
        <v/>
      </c>
      <c r="AC1610" s="71" t="str">
        <f aca="false">IF(AH1610="","",ROUND(MIN(K1610,TOPE_AFC_UF*AJ1610)*IF(AA1610="Indefinido",AFC_EMP_INDEF,AFC_EMP_PF),0))</f>
        <v/>
      </c>
      <c r="AD1610" s="71" t="str">
        <f aca="false">IF(AH1610="","",ROUND(MIN(K1610,TOPE_AFP_UF*AJ1610)*(MUTUAL_BASICA+MUTUAL_ADIC+SANNA),0))</f>
        <v/>
      </c>
      <c r="AE1610" s="71" t="str">
        <f aca="false">IF(AH1610="","",P1610-N(N1610)+AB1610+AC1610+AD1610)</f>
        <v/>
      </c>
      <c r="AF1610" s="65"/>
      <c r="AG1610" s="64"/>
      <c r="AH1610" s="72" t="str">
        <f aca="false">IF(OR(B1610="",C1610=""),"",C1610&amp;"|"&amp;(YEAR(B1610)*100+MONTH(B1610)))</f>
        <v/>
      </c>
      <c r="AI1610" s="70" t="str">
        <f aca="false">IF(AH1610="","",IF(COUNTIF(L_CLAVE,AH1610)&gt;1,"⚠ Duplicado","OK"))</f>
        <v/>
      </c>
      <c r="AJ1610" s="86" t="str">
        <f aca="false">IF(AH1610="","",IF(SUMPRODUCT(MAX((IND_PER&lt;=B1610)*(IND_UF&lt;&gt;"")*IND_PER))=0,UF_HOY,INDEX(IND_UF,MATCH(SUMPRODUCT(MAX((IND_PER&lt;=B1610)*(IND_UF&lt;&gt;"")*IND_PER)),IND_PER,0))))</f>
        <v/>
      </c>
      <c r="AK1610" s="87" t="str">
        <f aca="false">IF(AH1610="","",IF(COUNTIF(TASA_DESDE,"&lt;="&amp;B1610)=0,INDEX(TASA_EMP,1),INDEX(TASA_EMP,COUNTIF(TASA_DESDE,"&lt;="&amp;B1610))))</f>
        <v/>
      </c>
    </row>
    <row r="1611" customFormat="false" ht="15" hidden="false" customHeight="false" outlineLevel="0" collapsed="false">
      <c r="B1611" s="78"/>
      <c r="C1611" s="64"/>
      <c r="D1611" s="72" t="str">
        <f aca="false">IF(C1611="","",IFERROR(INDEX(T_NOMBRE,MATCH(C1611,T_ID,0)),"⚠ ID no existe"))</f>
        <v/>
      </c>
      <c r="E1611" s="69"/>
      <c r="F1611" s="67"/>
      <c r="G1611" s="67"/>
      <c r="H1611" s="67"/>
      <c r="I1611" s="67"/>
      <c r="J1611" s="67"/>
      <c r="K1611" s="85" t="str">
        <f aca="false">IF(AH1611="","",N(F1611)+N(G1611)+N(H1611)-N(I1611)+N(J1611))</f>
        <v/>
      </c>
      <c r="L1611" s="67"/>
      <c r="M1611" s="67"/>
      <c r="N1611" s="67"/>
      <c r="O1611" s="67"/>
      <c r="P1611" s="85" t="str">
        <f aca="false">IF(AH1611="","",K1611+N(L1611)+N(M1611)+N(N1611)+N(O1611))</f>
        <v/>
      </c>
      <c r="Q1611" s="67"/>
      <c r="R1611" s="67"/>
      <c r="S1611" s="67"/>
      <c r="T1611" s="67"/>
      <c r="U1611" s="67"/>
      <c r="V1611" s="67"/>
      <c r="W1611" s="85" t="str">
        <f aca="false">IF(AH1611="","",N(Q1611)+N(R1611)+N(S1611)+N(T1611)+N(U1611)+N(V1611))</f>
        <v/>
      </c>
      <c r="X1611" s="85" t="str">
        <f aca="false">IF(AH1611="","",P1611-W1611)</f>
        <v/>
      </c>
      <c r="Y1611" s="67"/>
      <c r="Z1611" s="70" t="str">
        <f aca="false">IF(OR(AH1611="",Y1611=""),"",IF(ABS(X1611-Y1611)&lt;=1,"✓ Cuadra","⚠ Diferencia $"&amp;FIXED(X1611-Y1611,0)))</f>
        <v/>
      </c>
      <c r="AA1611" s="72" t="str">
        <f aca="false">IF(AH1611="","",IFERROR(INDEX(C_TIPO,MATCH(C1611&amp;"-P"&amp;MAX(1,COUNTIFS(C_ID,C1611,C_DEFINE,"Sí",C_INICIO,"&lt;="&amp;EOMONTH(B1611,0))),C_CLAVE,0))&amp;"","Sin dato"))</f>
        <v/>
      </c>
      <c r="AB1611" s="71" t="str">
        <f aca="false">IF(AH1611="","",ROUND(MIN(K1611,TOPE_AFP_UF*AJ1611)*AK1611,0))</f>
        <v/>
      </c>
      <c r="AC1611" s="71" t="str">
        <f aca="false">IF(AH1611="","",ROUND(MIN(K1611,TOPE_AFC_UF*AJ1611)*IF(AA1611="Indefinido",AFC_EMP_INDEF,AFC_EMP_PF),0))</f>
        <v/>
      </c>
      <c r="AD1611" s="71" t="str">
        <f aca="false">IF(AH1611="","",ROUND(MIN(K1611,TOPE_AFP_UF*AJ1611)*(MUTUAL_BASICA+MUTUAL_ADIC+SANNA),0))</f>
        <v/>
      </c>
      <c r="AE1611" s="71" t="str">
        <f aca="false">IF(AH1611="","",P1611-N(N1611)+AB1611+AC1611+AD1611)</f>
        <v/>
      </c>
      <c r="AF1611" s="65"/>
      <c r="AG1611" s="64"/>
      <c r="AH1611" s="72" t="str">
        <f aca="false">IF(OR(B1611="",C1611=""),"",C1611&amp;"|"&amp;(YEAR(B1611)*100+MONTH(B1611)))</f>
        <v/>
      </c>
      <c r="AI1611" s="70" t="str">
        <f aca="false">IF(AH1611="","",IF(COUNTIF(L_CLAVE,AH1611)&gt;1,"⚠ Duplicado","OK"))</f>
        <v/>
      </c>
      <c r="AJ1611" s="86" t="str">
        <f aca="false">IF(AH1611="","",IF(SUMPRODUCT(MAX((IND_PER&lt;=B1611)*(IND_UF&lt;&gt;"")*IND_PER))=0,UF_HOY,INDEX(IND_UF,MATCH(SUMPRODUCT(MAX((IND_PER&lt;=B1611)*(IND_UF&lt;&gt;"")*IND_PER)),IND_PER,0))))</f>
        <v/>
      </c>
      <c r="AK1611" s="87" t="str">
        <f aca="false">IF(AH1611="","",IF(COUNTIF(TASA_DESDE,"&lt;="&amp;B1611)=0,INDEX(TASA_EMP,1),INDEX(TASA_EMP,COUNTIF(TASA_DESDE,"&lt;="&amp;B1611))))</f>
        <v/>
      </c>
    </row>
    <row r="1612" customFormat="false" ht="15" hidden="false" customHeight="false" outlineLevel="0" collapsed="false">
      <c r="B1612" s="78"/>
      <c r="C1612" s="64"/>
      <c r="D1612" s="72" t="str">
        <f aca="false">IF(C1612="","",IFERROR(INDEX(T_NOMBRE,MATCH(C1612,T_ID,0)),"⚠ ID no existe"))</f>
        <v/>
      </c>
      <c r="E1612" s="69"/>
      <c r="F1612" s="67"/>
      <c r="G1612" s="67"/>
      <c r="H1612" s="67"/>
      <c r="I1612" s="67"/>
      <c r="J1612" s="67"/>
      <c r="K1612" s="85" t="str">
        <f aca="false">IF(AH1612="","",N(F1612)+N(G1612)+N(H1612)-N(I1612)+N(J1612))</f>
        <v/>
      </c>
      <c r="L1612" s="67"/>
      <c r="M1612" s="67"/>
      <c r="N1612" s="67"/>
      <c r="O1612" s="67"/>
      <c r="P1612" s="85" t="str">
        <f aca="false">IF(AH1612="","",K1612+N(L1612)+N(M1612)+N(N1612)+N(O1612))</f>
        <v/>
      </c>
      <c r="Q1612" s="67"/>
      <c r="R1612" s="67"/>
      <c r="S1612" s="67"/>
      <c r="T1612" s="67"/>
      <c r="U1612" s="67"/>
      <c r="V1612" s="67"/>
      <c r="W1612" s="85" t="str">
        <f aca="false">IF(AH1612="","",N(Q1612)+N(R1612)+N(S1612)+N(T1612)+N(U1612)+N(V1612))</f>
        <v/>
      </c>
      <c r="X1612" s="85" t="str">
        <f aca="false">IF(AH1612="","",P1612-W1612)</f>
        <v/>
      </c>
      <c r="Y1612" s="67"/>
      <c r="Z1612" s="70" t="str">
        <f aca="false">IF(OR(AH1612="",Y1612=""),"",IF(ABS(X1612-Y1612)&lt;=1,"✓ Cuadra","⚠ Diferencia $"&amp;FIXED(X1612-Y1612,0)))</f>
        <v/>
      </c>
      <c r="AA1612" s="72" t="str">
        <f aca="false">IF(AH1612="","",IFERROR(INDEX(C_TIPO,MATCH(C1612&amp;"-P"&amp;MAX(1,COUNTIFS(C_ID,C1612,C_DEFINE,"Sí",C_INICIO,"&lt;="&amp;EOMONTH(B1612,0))),C_CLAVE,0))&amp;"","Sin dato"))</f>
        <v/>
      </c>
      <c r="AB1612" s="71" t="str">
        <f aca="false">IF(AH1612="","",ROUND(MIN(K1612,TOPE_AFP_UF*AJ1612)*AK1612,0))</f>
        <v/>
      </c>
      <c r="AC1612" s="71" t="str">
        <f aca="false">IF(AH1612="","",ROUND(MIN(K1612,TOPE_AFC_UF*AJ1612)*IF(AA1612="Indefinido",AFC_EMP_INDEF,AFC_EMP_PF),0))</f>
        <v/>
      </c>
      <c r="AD1612" s="71" t="str">
        <f aca="false">IF(AH1612="","",ROUND(MIN(K1612,TOPE_AFP_UF*AJ1612)*(MUTUAL_BASICA+MUTUAL_ADIC+SANNA),0))</f>
        <v/>
      </c>
      <c r="AE1612" s="71" t="str">
        <f aca="false">IF(AH1612="","",P1612-N(N1612)+AB1612+AC1612+AD1612)</f>
        <v/>
      </c>
      <c r="AF1612" s="65"/>
      <c r="AG1612" s="64"/>
      <c r="AH1612" s="72" t="str">
        <f aca="false">IF(OR(B1612="",C1612=""),"",C1612&amp;"|"&amp;(YEAR(B1612)*100+MONTH(B1612)))</f>
        <v/>
      </c>
      <c r="AI1612" s="70" t="str">
        <f aca="false">IF(AH1612="","",IF(COUNTIF(L_CLAVE,AH1612)&gt;1,"⚠ Duplicado","OK"))</f>
        <v/>
      </c>
      <c r="AJ1612" s="86" t="str">
        <f aca="false">IF(AH1612="","",IF(SUMPRODUCT(MAX((IND_PER&lt;=B1612)*(IND_UF&lt;&gt;"")*IND_PER))=0,UF_HOY,INDEX(IND_UF,MATCH(SUMPRODUCT(MAX((IND_PER&lt;=B1612)*(IND_UF&lt;&gt;"")*IND_PER)),IND_PER,0))))</f>
        <v/>
      </c>
      <c r="AK1612" s="87" t="str">
        <f aca="false">IF(AH1612="","",IF(COUNTIF(TASA_DESDE,"&lt;="&amp;B1612)=0,INDEX(TASA_EMP,1),INDEX(TASA_EMP,COUNTIF(TASA_DESDE,"&lt;="&amp;B1612))))</f>
        <v/>
      </c>
    </row>
    <row r="1613" customFormat="false" ht="15" hidden="false" customHeight="false" outlineLevel="0" collapsed="false">
      <c r="B1613" s="78"/>
      <c r="C1613" s="64"/>
      <c r="D1613" s="72" t="str">
        <f aca="false">IF(C1613="","",IFERROR(INDEX(T_NOMBRE,MATCH(C1613,T_ID,0)),"⚠ ID no existe"))</f>
        <v/>
      </c>
      <c r="E1613" s="69"/>
      <c r="F1613" s="67"/>
      <c r="G1613" s="67"/>
      <c r="H1613" s="67"/>
      <c r="I1613" s="67"/>
      <c r="J1613" s="67"/>
      <c r="K1613" s="85" t="str">
        <f aca="false">IF(AH1613="","",N(F1613)+N(G1613)+N(H1613)-N(I1613)+N(J1613))</f>
        <v/>
      </c>
      <c r="L1613" s="67"/>
      <c r="M1613" s="67"/>
      <c r="N1613" s="67"/>
      <c r="O1613" s="67"/>
      <c r="P1613" s="85" t="str">
        <f aca="false">IF(AH1613="","",K1613+N(L1613)+N(M1613)+N(N1613)+N(O1613))</f>
        <v/>
      </c>
      <c r="Q1613" s="67"/>
      <c r="R1613" s="67"/>
      <c r="S1613" s="67"/>
      <c r="T1613" s="67"/>
      <c r="U1613" s="67"/>
      <c r="V1613" s="67"/>
      <c r="W1613" s="85" t="str">
        <f aca="false">IF(AH1613="","",N(Q1613)+N(R1613)+N(S1613)+N(T1613)+N(U1613)+N(V1613))</f>
        <v/>
      </c>
      <c r="X1613" s="85" t="str">
        <f aca="false">IF(AH1613="","",P1613-W1613)</f>
        <v/>
      </c>
      <c r="Y1613" s="67"/>
      <c r="Z1613" s="70" t="str">
        <f aca="false">IF(OR(AH1613="",Y1613=""),"",IF(ABS(X1613-Y1613)&lt;=1,"✓ Cuadra","⚠ Diferencia $"&amp;FIXED(X1613-Y1613,0)))</f>
        <v/>
      </c>
      <c r="AA1613" s="72" t="str">
        <f aca="false">IF(AH1613="","",IFERROR(INDEX(C_TIPO,MATCH(C1613&amp;"-P"&amp;MAX(1,COUNTIFS(C_ID,C1613,C_DEFINE,"Sí",C_INICIO,"&lt;="&amp;EOMONTH(B1613,0))),C_CLAVE,0))&amp;"","Sin dato"))</f>
        <v/>
      </c>
      <c r="AB1613" s="71" t="str">
        <f aca="false">IF(AH1613="","",ROUND(MIN(K1613,TOPE_AFP_UF*AJ1613)*AK1613,0))</f>
        <v/>
      </c>
      <c r="AC1613" s="71" t="str">
        <f aca="false">IF(AH1613="","",ROUND(MIN(K1613,TOPE_AFC_UF*AJ1613)*IF(AA1613="Indefinido",AFC_EMP_INDEF,AFC_EMP_PF),0))</f>
        <v/>
      </c>
      <c r="AD1613" s="71" t="str">
        <f aca="false">IF(AH1613="","",ROUND(MIN(K1613,TOPE_AFP_UF*AJ1613)*(MUTUAL_BASICA+MUTUAL_ADIC+SANNA),0))</f>
        <v/>
      </c>
      <c r="AE1613" s="71" t="str">
        <f aca="false">IF(AH1613="","",P1613-N(N1613)+AB1613+AC1613+AD1613)</f>
        <v/>
      </c>
      <c r="AF1613" s="65"/>
      <c r="AG1613" s="64"/>
      <c r="AH1613" s="72" t="str">
        <f aca="false">IF(OR(B1613="",C1613=""),"",C1613&amp;"|"&amp;(YEAR(B1613)*100+MONTH(B1613)))</f>
        <v/>
      </c>
      <c r="AI1613" s="70" t="str">
        <f aca="false">IF(AH1613="","",IF(COUNTIF(L_CLAVE,AH1613)&gt;1,"⚠ Duplicado","OK"))</f>
        <v/>
      </c>
      <c r="AJ1613" s="86" t="str">
        <f aca="false">IF(AH1613="","",IF(SUMPRODUCT(MAX((IND_PER&lt;=B1613)*(IND_UF&lt;&gt;"")*IND_PER))=0,UF_HOY,INDEX(IND_UF,MATCH(SUMPRODUCT(MAX((IND_PER&lt;=B1613)*(IND_UF&lt;&gt;"")*IND_PER)),IND_PER,0))))</f>
        <v/>
      </c>
      <c r="AK1613" s="87" t="str">
        <f aca="false">IF(AH1613="","",IF(COUNTIF(TASA_DESDE,"&lt;="&amp;B1613)=0,INDEX(TASA_EMP,1),INDEX(TASA_EMP,COUNTIF(TASA_DESDE,"&lt;="&amp;B1613))))</f>
        <v/>
      </c>
    </row>
    <row r="1614" customFormat="false" ht="15" hidden="false" customHeight="false" outlineLevel="0" collapsed="false">
      <c r="B1614" s="78"/>
      <c r="C1614" s="64"/>
      <c r="D1614" s="72" t="str">
        <f aca="false">IF(C1614="","",IFERROR(INDEX(T_NOMBRE,MATCH(C1614,T_ID,0)),"⚠ ID no existe"))</f>
        <v/>
      </c>
      <c r="E1614" s="69"/>
      <c r="F1614" s="67"/>
      <c r="G1614" s="67"/>
      <c r="H1614" s="67"/>
      <c r="I1614" s="67"/>
      <c r="J1614" s="67"/>
      <c r="K1614" s="85" t="str">
        <f aca="false">IF(AH1614="","",N(F1614)+N(G1614)+N(H1614)-N(I1614)+N(J1614))</f>
        <v/>
      </c>
      <c r="L1614" s="67"/>
      <c r="M1614" s="67"/>
      <c r="N1614" s="67"/>
      <c r="O1614" s="67"/>
      <c r="P1614" s="85" t="str">
        <f aca="false">IF(AH1614="","",K1614+N(L1614)+N(M1614)+N(N1614)+N(O1614))</f>
        <v/>
      </c>
      <c r="Q1614" s="67"/>
      <c r="R1614" s="67"/>
      <c r="S1614" s="67"/>
      <c r="T1614" s="67"/>
      <c r="U1614" s="67"/>
      <c r="V1614" s="67"/>
      <c r="W1614" s="85" t="str">
        <f aca="false">IF(AH1614="","",N(Q1614)+N(R1614)+N(S1614)+N(T1614)+N(U1614)+N(V1614))</f>
        <v/>
      </c>
      <c r="X1614" s="85" t="str">
        <f aca="false">IF(AH1614="","",P1614-W1614)</f>
        <v/>
      </c>
      <c r="Y1614" s="67"/>
      <c r="Z1614" s="70" t="str">
        <f aca="false">IF(OR(AH1614="",Y1614=""),"",IF(ABS(X1614-Y1614)&lt;=1,"✓ Cuadra","⚠ Diferencia $"&amp;FIXED(X1614-Y1614,0)))</f>
        <v/>
      </c>
      <c r="AA1614" s="72" t="str">
        <f aca="false">IF(AH1614="","",IFERROR(INDEX(C_TIPO,MATCH(C1614&amp;"-P"&amp;MAX(1,COUNTIFS(C_ID,C1614,C_DEFINE,"Sí",C_INICIO,"&lt;="&amp;EOMONTH(B1614,0))),C_CLAVE,0))&amp;"","Sin dato"))</f>
        <v/>
      </c>
      <c r="AB1614" s="71" t="str">
        <f aca="false">IF(AH1614="","",ROUND(MIN(K1614,TOPE_AFP_UF*AJ1614)*AK1614,0))</f>
        <v/>
      </c>
      <c r="AC1614" s="71" t="str">
        <f aca="false">IF(AH1614="","",ROUND(MIN(K1614,TOPE_AFC_UF*AJ1614)*IF(AA1614="Indefinido",AFC_EMP_INDEF,AFC_EMP_PF),0))</f>
        <v/>
      </c>
      <c r="AD1614" s="71" t="str">
        <f aca="false">IF(AH1614="","",ROUND(MIN(K1614,TOPE_AFP_UF*AJ1614)*(MUTUAL_BASICA+MUTUAL_ADIC+SANNA),0))</f>
        <v/>
      </c>
      <c r="AE1614" s="71" t="str">
        <f aca="false">IF(AH1614="","",P1614-N(N1614)+AB1614+AC1614+AD1614)</f>
        <v/>
      </c>
      <c r="AF1614" s="65"/>
      <c r="AG1614" s="64"/>
      <c r="AH1614" s="72" t="str">
        <f aca="false">IF(OR(B1614="",C1614=""),"",C1614&amp;"|"&amp;(YEAR(B1614)*100+MONTH(B1614)))</f>
        <v/>
      </c>
      <c r="AI1614" s="70" t="str">
        <f aca="false">IF(AH1614="","",IF(COUNTIF(L_CLAVE,AH1614)&gt;1,"⚠ Duplicado","OK"))</f>
        <v/>
      </c>
      <c r="AJ1614" s="86" t="str">
        <f aca="false">IF(AH1614="","",IF(SUMPRODUCT(MAX((IND_PER&lt;=B1614)*(IND_UF&lt;&gt;"")*IND_PER))=0,UF_HOY,INDEX(IND_UF,MATCH(SUMPRODUCT(MAX((IND_PER&lt;=B1614)*(IND_UF&lt;&gt;"")*IND_PER)),IND_PER,0))))</f>
        <v/>
      </c>
      <c r="AK1614" s="87" t="str">
        <f aca="false">IF(AH1614="","",IF(COUNTIF(TASA_DESDE,"&lt;="&amp;B1614)=0,INDEX(TASA_EMP,1),INDEX(TASA_EMP,COUNTIF(TASA_DESDE,"&lt;="&amp;B1614))))</f>
        <v/>
      </c>
    </row>
    <row r="1615" customFormat="false" ht="15" hidden="false" customHeight="false" outlineLevel="0" collapsed="false">
      <c r="B1615" s="78"/>
      <c r="C1615" s="64"/>
      <c r="D1615" s="72" t="str">
        <f aca="false">IF(C1615="","",IFERROR(INDEX(T_NOMBRE,MATCH(C1615,T_ID,0)),"⚠ ID no existe"))</f>
        <v/>
      </c>
      <c r="E1615" s="69"/>
      <c r="F1615" s="67"/>
      <c r="G1615" s="67"/>
      <c r="H1615" s="67"/>
      <c r="I1615" s="67"/>
      <c r="J1615" s="67"/>
      <c r="K1615" s="85" t="str">
        <f aca="false">IF(AH1615="","",N(F1615)+N(G1615)+N(H1615)-N(I1615)+N(J1615))</f>
        <v/>
      </c>
      <c r="L1615" s="67"/>
      <c r="M1615" s="67"/>
      <c r="N1615" s="67"/>
      <c r="O1615" s="67"/>
      <c r="P1615" s="85" t="str">
        <f aca="false">IF(AH1615="","",K1615+N(L1615)+N(M1615)+N(N1615)+N(O1615))</f>
        <v/>
      </c>
      <c r="Q1615" s="67"/>
      <c r="R1615" s="67"/>
      <c r="S1615" s="67"/>
      <c r="T1615" s="67"/>
      <c r="U1615" s="67"/>
      <c r="V1615" s="67"/>
      <c r="W1615" s="85" t="str">
        <f aca="false">IF(AH1615="","",N(Q1615)+N(R1615)+N(S1615)+N(T1615)+N(U1615)+N(V1615))</f>
        <v/>
      </c>
      <c r="X1615" s="85" t="str">
        <f aca="false">IF(AH1615="","",P1615-W1615)</f>
        <v/>
      </c>
      <c r="Y1615" s="67"/>
      <c r="Z1615" s="70" t="str">
        <f aca="false">IF(OR(AH1615="",Y1615=""),"",IF(ABS(X1615-Y1615)&lt;=1,"✓ Cuadra","⚠ Diferencia $"&amp;FIXED(X1615-Y1615,0)))</f>
        <v/>
      </c>
      <c r="AA1615" s="72" t="str">
        <f aca="false">IF(AH1615="","",IFERROR(INDEX(C_TIPO,MATCH(C1615&amp;"-P"&amp;MAX(1,COUNTIFS(C_ID,C1615,C_DEFINE,"Sí",C_INICIO,"&lt;="&amp;EOMONTH(B1615,0))),C_CLAVE,0))&amp;"","Sin dato"))</f>
        <v/>
      </c>
      <c r="AB1615" s="71" t="str">
        <f aca="false">IF(AH1615="","",ROUND(MIN(K1615,TOPE_AFP_UF*AJ1615)*AK1615,0))</f>
        <v/>
      </c>
      <c r="AC1615" s="71" t="str">
        <f aca="false">IF(AH1615="","",ROUND(MIN(K1615,TOPE_AFC_UF*AJ1615)*IF(AA1615="Indefinido",AFC_EMP_INDEF,AFC_EMP_PF),0))</f>
        <v/>
      </c>
      <c r="AD1615" s="71" t="str">
        <f aca="false">IF(AH1615="","",ROUND(MIN(K1615,TOPE_AFP_UF*AJ1615)*(MUTUAL_BASICA+MUTUAL_ADIC+SANNA),0))</f>
        <v/>
      </c>
      <c r="AE1615" s="71" t="str">
        <f aca="false">IF(AH1615="","",P1615-N(N1615)+AB1615+AC1615+AD1615)</f>
        <v/>
      </c>
      <c r="AF1615" s="65"/>
      <c r="AG1615" s="64"/>
      <c r="AH1615" s="72" t="str">
        <f aca="false">IF(OR(B1615="",C1615=""),"",C1615&amp;"|"&amp;(YEAR(B1615)*100+MONTH(B1615)))</f>
        <v/>
      </c>
      <c r="AI1615" s="70" t="str">
        <f aca="false">IF(AH1615="","",IF(COUNTIF(L_CLAVE,AH1615)&gt;1,"⚠ Duplicado","OK"))</f>
        <v/>
      </c>
      <c r="AJ1615" s="86" t="str">
        <f aca="false">IF(AH1615="","",IF(SUMPRODUCT(MAX((IND_PER&lt;=B1615)*(IND_UF&lt;&gt;"")*IND_PER))=0,UF_HOY,INDEX(IND_UF,MATCH(SUMPRODUCT(MAX((IND_PER&lt;=B1615)*(IND_UF&lt;&gt;"")*IND_PER)),IND_PER,0))))</f>
        <v/>
      </c>
      <c r="AK1615" s="87" t="str">
        <f aca="false">IF(AH1615="","",IF(COUNTIF(TASA_DESDE,"&lt;="&amp;B1615)=0,INDEX(TASA_EMP,1),INDEX(TASA_EMP,COUNTIF(TASA_DESDE,"&lt;="&amp;B1615))))</f>
        <v/>
      </c>
    </row>
    <row r="1616" customFormat="false" ht="15" hidden="false" customHeight="false" outlineLevel="0" collapsed="false">
      <c r="B1616" s="78"/>
      <c r="C1616" s="64"/>
      <c r="D1616" s="72" t="str">
        <f aca="false">IF(C1616="","",IFERROR(INDEX(T_NOMBRE,MATCH(C1616,T_ID,0)),"⚠ ID no existe"))</f>
        <v/>
      </c>
      <c r="E1616" s="69"/>
      <c r="F1616" s="67"/>
      <c r="G1616" s="67"/>
      <c r="H1616" s="67"/>
      <c r="I1616" s="67"/>
      <c r="J1616" s="67"/>
      <c r="K1616" s="85" t="str">
        <f aca="false">IF(AH1616="","",N(F1616)+N(G1616)+N(H1616)-N(I1616)+N(J1616))</f>
        <v/>
      </c>
      <c r="L1616" s="67"/>
      <c r="M1616" s="67"/>
      <c r="N1616" s="67"/>
      <c r="O1616" s="67"/>
      <c r="P1616" s="85" t="str">
        <f aca="false">IF(AH1616="","",K1616+N(L1616)+N(M1616)+N(N1616)+N(O1616))</f>
        <v/>
      </c>
      <c r="Q1616" s="67"/>
      <c r="R1616" s="67"/>
      <c r="S1616" s="67"/>
      <c r="T1616" s="67"/>
      <c r="U1616" s="67"/>
      <c r="V1616" s="67"/>
      <c r="W1616" s="85" t="str">
        <f aca="false">IF(AH1616="","",N(Q1616)+N(R1616)+N(S1616)+N(T1616)+N(U1616)+N(V1616))</f>
        <v/>
      </c>
      <c r="X1616" s="85" t="str">
        <f aca="false">IF(AH1616="","",P1616-W1616)</f>
        <v/>
      </c>
      <c r="Y1616" s="67"/>
      <c r="Z1616" s="70" t="str">
        <f aca="false">IF(OR(AH1616="",Y1616=""),"",IF(ABS(X1616-Y1616)&lt;=1,"✓ Cuadra","⚠ Diferencia $"&amp;FIXED(X1616-Y1616,0)))</f>
        <v/>
      </c>
      <c r="AA1616" s="72" t="str">
        <f aca="false">IF(AH1616="","",IFERROR(INDEX(C_TIPO,MATCH(C1616&amp;"-P"&amp;MAX(1,COUNTIFS(C_ID,C1616,C_DEFINE,"Sí",C_INICIO,"&lt;="&amp;EOMONTH(B1616,0))),C_CLAVE,0))&amp;"","Sin dato"))</f>
        <v/>
      </c>
      <c r="AB1616" s="71" t="str">
        <f aca="false">IF(AH1616="","",ROUND(MIN(K1616,TOPE_AFP_UF*AJ1616)*AK1616,0))</f>
        <v/>
      </c>
      <c r="AC1616" s="71" t="str">
        <f aca="false">IF(AH1616="","",ROUND(MIN(K1616,TOPE_AFC_UF*AJ1616)*IF(AA1616="Indefinido",AFC_EMP_INDEF,AFC_EMP_PF),0))</f>
        <v/>
      </c>
      <c r="AD1616" s="71" t="str">
        <f aca="false">IF(AH1616="","",ROUND(MIN(K1616,TOPE_AFP_UF*AJ1616)*(MUTUAL_BASICA+MUTUAL_ADIC+SANNA),0))</f>
        <v/>
      </c>
      <c r="AE1616" s="71" t="str">
        <f aca="false">IF(AH1616="","",P1616-N(N1616)+AB1616+AC1616+AD1616)</f>
        <v/>
      </c>
      <c r="AF1616" s="65"/>
      <c r="AG1616" s="64"/>
      <c r="AH1616" s="72" t="str">
        <f aca="false">IF(OR(B1616="",C1616=""),"",C1616&amp;"|"&amp;(YEAR(B1616)*100+MONTH(B1616)))</f>
        <v/>
      </c>
      <c r="AI1616" s="70" t="str">
        <f aca="false">IF(AH1616="","",IF(COUNTIF(L_CLAVE,AH1616)&gt;1,"⚠ Duplicado","OK"))</f>
        <v/>
      </c>
      <c r="AJ1616" s="86" t="str">
        <f aca="false">IF(AH1616="","",IF(SUMPRODUCT(MAX((IND_PER&lt;=B1616)*(IND_UF&lt;&gt;"")*IND_PER))=0,UF_HOY,INDEX(IND_UF,MATCH(SUMPRODUCT(MAX((IND_PER&lt;=B1616)*(IND_UF&lt;&gt;"")*IND_PER)),IND_PER,0))))</f>
        <v/>
      </c>
      <c r="AK1616" s="87" t="str">
        <f aca="false">IF(AH1616="","",IF(COUNTIF(TASA_DESDE,"&lt;="&amp;B1616)=0,INDEX(TASA_EMP,1),INDEX(TASA_EMP,COUNTIF(TASA_DESDE,"&lt;="&amp;B1616))))</f>
        <v/>
      </c>
    </row>
    <row r="1617" customFormat="false" ht="15" hidden="false" customHeight="false" outlineLevel="0" collapsed="false">
      <c r="B1617" s="78"/>
      <c r="C1617" s="64"/>
      <c r="D1617" s="72" t="str">
        <f aca="false">IF(C1617="","",IFERROR(INDEX(T_NOMBRE,MATCH(C1617,T_ID,0)),"⚠ ID no existe"))</f>
        <v/>
      </c>
      <c r="E1617" s="69"/>
      <c r="F1617" s="67"/>
      <c r="G1617" s="67"/>
      <c r="H1617" s="67"/>
      <c r="I1617" s="67"/>
      <c r="J1617" s="67"/>
      <c r="K1617" s="85" t="str">
        <f aca="false">IF(AH1617="","",N(F1617)+N(G1617)+N(H1617)-N(I1617)+N(J1617))</f>
        <v/>
      </c>
      <c r="L1617" s="67"/>
      <c r="M1617" s="67"/>
      <c r="N1617" s="67"/>
      <c r="O1617" s="67"/>
      <c r="P1617" s="85" t="str">
        <f aca="false">IF(AH1617="","",K1617+N(L1617)+N(M1617)+N(N1617)+N(O1617))</f>
        <v/>
      </c>
      <c r="Q1617" s="67"/>
      <c r="R1617" s="67"/>
      <c r="S1617" s="67"/>
      <c r="T1617" s="67"/>
      <c r="U1617" s="67"/>
      <c r="V1617" s="67"/>
      <c r="W1617" s="85" t="str">
        <f aca="false">IF(AH1617="","",N(Q1617)+N(R1617)+N(S1617)+N(T1617)+N(U1617)+N(V1617))</f>
        <v/>
      </c>
      <c r="X1617" s="85" t="str">
        <f aca="false">IF(AH1617="","",P1617-W1617)</f>
        <v/>
      </c>
      <c r="Y1617" s="67"/>
      <c r="Z1617" s="70" t="str">
        <f aca="false">IF(OR(AH1617="",Y1617=""),"",IF(ABS(X1617-Y1617)&lt;=1,"✓ Cuadra","⚠ Diferencia $"&amp;FIXED(X1617-Y1617,0)))</f>
        <v/>
      </c>
      <c r="AA1617" s="72" t="str">
        <f aca="false">IF(AH1617="","",IFERROR(INDEX(C_TIPO,MATCH(C1617&amp;"-P"&amp;MAX(1,COUNTIFS(C_ID,C1617,C_DEFINE,"Sí",C_INICIO,"&lt;="&amp;EOMONTH(B1617,0))),C_CLAVE,0))&amp;"","Sin dato"))</f>
        <v/>
      </c>
      <c r="AB1617" s="71" t="str">
        <f aca="false">IF(AH1617="","",ROUND(MIN(K1617,TOPE_AFP_UF*AJ1617)*AK1617,0))</f>
        <v/>
      </c>
      <c r="AC1617" s="71" t="str">
        <f aca="false">IF(AH1617="","",ROUND(MIN(K1617,TOPE_AFC_UF*AJ1617)*IF(AA1617="Indefinido",AFC_EMP_INDEF,AFC_EMP_PF),0))</f>
        <v/>
      </c>
      <c r="AD1617" s="71" t="str">
        <f aca="false">IF(AH1617="","",ROUND(MIN(K1617,TOPE_AFP_UF*AJ1617)*(MUTUAL_BASICA+MUTUAL_ADIC+SANNA),0))</f>
        <v/>
      </c>
      <c r="AE1617" s="71" t="str">
        <f aca="false">IF(AH1617="","",P1617-N(N1617)+AB1617+AC1617+AD1617)</f>
        <v/>
      </c>
      <c r="AF1617" s="65"/>
      <c r="AG1617" s="64"/>
      <c r="AH1617" s="72" t="str">
        <f aca="false">IF(OR(B1617="",C1617=""),"",C1617&amp;"|"&amp;(YEAR(B1617)*100+MONTH(B1617)))</f>
        <v/>
      </c>
      <c r="AI1617" s="70" t="str">
        <f aca="false">IF(AH1617="","",IF(COUNTIF(L_CLAVE,AH1617)&gt;1,"⚠ Duplicado","OK"))</f>
        <v/>
      </c>
      <c r="AJ1617" s="86" t="str">
        <f aca="false">IF(AH1617="","",IF(SUMPRODUCT(MAX((IND_PER&lt;=B1617)*(IND_UF&lt;&gt;"")*IND_PER))=0,UF_HOY,INDEX(IND_UF,MATCH(SUMPRODUCT(MAX((IND_PER&lt;=B1617)*(IND_UF&lt;&gt;"")*IND_PER)),IND_PER,0))))</f>
        <v/>
      </c>
      <c r="AK1617" s="87" t="str">
        <f aca="false">IF(AH1617="","",IF(COUNTIF(TASA_DESDE,"&lt;="&amp;B1617)=0,INDEX(TASA_EMP,1),INDEX(TASA_EMP,COUNTIF(TASA_DESDE,"&lt;="&amp;B1617))))</f>
        <v/>
      </c>
    </row>
    <row r="1618" customFormat="false" ht="15" hidden="false" customHeight="false" outlineLevel="0" collapsed="false">
      <c r="B1618" s="78"/>
      <c r="C1618" s="64"/>
      <c r="D1618" s="72" t="str">
        <f aca="false">IF(C1618="","",IFERROR(INDEX(T_NOMBRE,MATCH(C1618,T_ID,0)),"⚠ ID no existe"))</f>
        <v/>
      </c>
      <c r="E1618" s="69"/>
      <c r="F1618" s="67"/>
      <c r="G1618" s="67"/>
      <c r="H1618" s="67"/>
      <c r="I1618" s="67"/>
      <c r="J1618" s="67"/>
      <c r="K1618" s="85" t="str">
        <f aca="false">IF(AH1618="","",N(F1618)+N(G1618)+N(H1618)-N(I1618)+N(J1618))</f>
        <v/>
      </c>
      <c r="L1618" s="67"/>
      <c r="M1618" s="67"/>
      <c r="N1618" s="67"/>
      <c r="O1618" s="67"/>
      <c r="P1618" s="85" t="str">
        <f aca="false">IF(AH1618="","",K1618+N(L1618)+N(M1618)+N(N1618)+N(O1618))</f>
        <v/>
      </c>
      <c r="Q1618" s="67"/>
      <c r="R1618" s="67"/>
      <c r="S1618" s="67"/>
      <c r="T1618" s="67"/>
      <c r="U1618" s="67"/>
      <c r="V1618" s="67"/>
      <c r="W1618" s="85" t="str">
        <f aca="false">IF(AH1618="","",N(Q1618)+N(R1618)+N(S1618)+N(T1618)+N(U1618)+N(V1618))</f>
        <v/>
      </c>
      <c r="X1618" s="85" t="str">
        <f aca="false">IF(AH1618="","",P1618-W1618)</f>
        <v/>
      </c>
      <c r="Y1618" s="67"/>
      <c r="Z1618" s="70" t="str">
        <f aca="false">IF(OR(AH1618="",Y1618=""),"",IF(ABS(X1618-Y1618)&lt;=1,"✓ Cuadra","⚠ Diferencia $"&amp;FIXED(X1618-Y1618,0)))</f>
        <v/>
      </c>
      <c r="AA1618" s="72" t="str">
        <f aca="false">IF(AH1618="","",IFERROR(INDEX(C_TIPO,MATCH(C1618&amp;"-P"&amp;MAX(1,COUNTIFS(C_ID,C1618,C_DEFINE,"Sí",C_INICIO,"&lt;="&amp;EOMONTH(B1618,0))),C_CLAVE,0))&amp;"","Sin dato"))</f>
        <v/>
      </c>
      <c r="AB1618" s="71" t="str">
        <f aca="false">IF(AH1618="","",ROUND(MIN(K1618,TOPE_AFP_UF*AJ1618)*AK1618,0))</f>
        <v/>
      </c>
      <c r="AC1618" s="71" t="str">
        <f aca="false">IF(AH1618="","",ROUND(MIN(K1618,TOPE_AFC_UF*AJ1618)*IF(AA1618="Indefinido",AFC_EMP_INDEF,AFC_EMP_PF),0))</f>
        <v/>
      </c>
      <c r="AD1618" s="71" t="str">
        <f aca="false">IF(AH1618="","",ROUND(MIN(K1618,TOPE_AFP_UF*AJ1618)*(MUTUAL_BASICA+MUTUAL_ADIC+SANNA),0))</f>
        <v/>
      </c>
      <c r="AE1618" s="71" t="str">
        <f aca="false">IF(AH1618="","",P1618-N(N1618)+AB1618+AC1618+AD1618)</f>
        <v/>
      </c>
      <c r="AF1618" s="65"/>
      <c r="AG1618" s="64"/>
      <c r="AH1618" s="72" t="str">
        <f aca="false">IF(OR(B1618="",C1618=""),"",C1618&amp;"|"&amp;(YEAR(B1618)*100+MONTH(B1618)))</f>
        <v/>
      </c>
      <c r="AI1618" s="70" t="str">
        <f aca="false">IF(AH1618="","",IF(COUNTIF(L_CLAVE,AH1618)&gt;1,"⚠ Duplicado","OK"))</f>
        <v/>
      </c>
      <c r="AJ1618" s="86" t="str">
        <f aca="false">IF(AH1618="","",IF(SUMPRODUCT(MAX((IND_PER&lt;=B1618)*(IND_UF&lt;&gt;"")*IND_PER))=0,UF_HOY,INDEX(IND_UF,MATCH(SUMPRODUCT(MAX((IND_PER&lt;=B1618)*(IND_UF&lt;&gt;"")*IND_PER)),IND_PER,0))))</f>
        <v/>
      </c>
      <c r="AK1618" s="87" t="str">
        <f aca="false">IF(AH1618="","",IF(COUNTIF(TASA_DESDE,"&lt;="&amp;B1618)=0,INDEX(TASA_EMP,1),INDEX(TASA_EMP,COUNTIF(TASA_DESDE,"&lt;="&amp;B1618))))</f>
        <v/>
      </c>
    </row>
    <row r="1619" customFormat="false" ht="15" hidden="false" customHeight="false" outlineLevel="0" collapsed="false">
      <c r="B1619" s="78"/>
      <c r="C1619" s="64"/>
      <c r="D1619" s="72" t="str">
        <f aca="false">IF(C1619="","",IFERROR(INDEX(T_NOMBRE,MATCH(C1619,T_ID,0)),"⚠ ID no existe"))</f>
        <v/>
      </c>
      <c r="E1619" s="69"/>
      <c r="F1619" s="67"/>
      <c r="G1619" s="67"/>
      <c r="H1619" s="67"/>
      <c r="I1619" s="67"/>
      <c r="J1619" s="67"/>
      <c r="K1619" s="85" t="str">
        <f aca="false">IF(AH1619="","",N(F1619)+N(G1619)+N(H1619)-N(I1619)+N(J1619))</f>
        <v/>
      </c>
      <c r="L1619" s="67"/>
      <c r="M1619" s="67"/>
      <c r="N1619" s="67"/>
      <c r="O1619" s="67"/>
      <c r="P1619" s="85" t="str">
        <f aca="false">IF(AH1619="","",K1619+N(L1619)+N(M1619)+N(N1619)+N(O1619))</f>
        <v/>
      </c>
      <c r="Q1619" s="67"/>
      <c r="R1619" s="67"/>
      <c r="S1619" s="67"/>
      <c r="T1619" s="67"/>
      <c r="U1619" s="67"/>
      <c r="V1619" s="67"/>
      <c r="W1619" s="85" t="str">
        <f aca="false">IF(AH1619="","",N(Q1619)+N(R1619)+N(S1619)+N(T1619)+N(U1619)+N(V1619))</f>
        <v/>
      </c>
      <c r="X1619" s="85" t="str">
        <f aca="false">IF(AH1619="","",P1619-W1619)</f>
        <v/>
      </c>
      <c r="Y1619" s="67"/>
      <c r="Z1619" s="70" t="str">
        <f aca="false">IF(OR(AH1619="",Y1619=""),"",IF(ABS(X1619-Y1619)&lt;=1,"✓ Cuadra","⚠ Diferencia $"&amp;FIXED(X1619-Y1619,0)))</f>
        <v/>
      </c>
      <c r="AA1619" s="72" t="str">
        <f aca="false">IF(AH1619="","",IFERROR(INDEX(C_TIPO,MATCH(C1619&amp;"-P"&amp;MAX(1,COUNTIFS(C_ID,C1619,C_DEFINE,"Sí",C_INICIO,"&lt;="&amp;EOMONTH(B1619,0))),C_CLAVE,0))&amp;"","Sin dato"))</f>
        <v/>
      </c>
      <c r="AB1619" s="71" t="str">
        <f aca="false">IF(AH1619="","",ROUND(MIN(K1619,TOPE_AFP_UF*AJ1619)*AK1619,0))</f>
        <v/>
      </c>
      <c r="AC1619" s="71" t="str">
        <f aca="false">IF(AH1619="","",ROUND(MIN(K1619,TOPE_AFC_UF*AJ1619)*IF(AA1619="Indefinido",AFC_EMP_INDEF,AFC_EMP_PF),0))</f>
        <v/>
      </c>
      <c r="AD1619" s="71" t="str">
        <f aca="false">IF(AH1619="","",ROUND(MIN(K1619,TOPE_AFP_UF*AJ1619)*(MUTUAL_BASICA+MUTUAL_ADIC+SANNA),0))</f>
        <v/>
      </c>
      <c r="AE1619" s="71" t="str">
        <f aca="false">IF(AH1619="","",P1619-N(N1619)+AB1619+AC1619+AD1619)</f>
        <v/>
      </c>
      <c r="AF1619" s="65"/>
      <c r="AG1619" s="64"/>
      <c r="AH1619" s="72" t="str">
        <f aca="false">IF(OR(B1619="",C1619=""),"",C1619&amp;"|"&amp;(YEAR(B1619)*100+MONTH(B1619)))</f>
        <v/>
      </c>
      <c r="AI1619" s="70" t="str">
        <f aca="false">IF(AH1619="","",IF(COUNTIF(L_CLAVE,AH1619)&gt;1,"⚠ Duplicado","OK"))</f>
        <v/>
      </c>
      <c r="AJ1619" s="86" t="str">
        <f aca="false">IF(AH1619="","",IF(SUMPRODUCT(MAX((IND_PER&lt;=B1619)*(IND_UF&lt;&gt;"")*IND_PER))=0,UF_HOY,INDEX(IND_UF,MATCH(SUMPRODUCT(MAX((IND_PER&lt;=B1619)*(IND_UF&lt;&gt;"")*IND_PER)),IND_PER,0))))</f>
        <v/>
      </c>
      <c r="AK1619" s="87" t="str">
        <f aca="false">IF(AH1619="","",IF(COUNTIF(TASA_DESDE,"&lt;="&amp;B1619)=0,INDEX(TASA_EMP,1),INDEX(TASA_EMP,COUNTIF(TASA_DESDE,"&lt;="&amp;B1619))))</f>
        <v/>
      </c>
    </row>
    <row r="1620" customFormat="false" ht="15" hidden="false" customHeight="false" outlineLevel="0" collapsed="false">
      <c r="B1620" s="78"/>
      <c r="C1620" s="64"/>
      <c r="D1620" s="72" t="str">
        <f aca="false">IF(C1620="","",IFERROR(INDEX(T_NOMBRE,MATCH(C1620,T_ID,0)),"⚠ ID no existe"))</f>
        <v/>
      </c>
      <c r="E1620" s="69"/>
      <c r="F1620" s="67"/>
      <c r="G1620" s="67"/>
      <c r="H1620" s="67"/>
      <c r="I1620" s="67"/>
      <c r="J1620" s="67"/>
      <c r="K1620" s="85" t="str">
        <f aca="false">IF(AH1620="","",N(F1620)+N(G1620)+N(H1620)-N(I1620)+N(J1620))</f>
        <v/>
      </c>
      <c r="L1620" s="67"/>
      <c r="M1620" s="67"/>
      <c r="N1620" s="67"/>
      <c r="O1620" s="67"/>
      <c r="P1620" s="85" t="str">
        <f aca="false">IF(AH1620="","",K1620+N(L1620)+N(M1620)+N(N1620)+N(O1620))</f>
        <v/>
      </c>
      <c r="Q1620" s="67"/>
      <c r="R1620" s="67"/>
      <c r="S1620" s="67"/>
      <c r="T1620" s="67"/>
      <c r="U1620" s="67"/>
      <c r="V1620" s="67"/>
      <c r="W1620" s="85" t="str">
        <f aca="false">IF(AH1620="","",N(Q1620)+N(R1620)+N(S1620)+N(T1620)+N(U1620)+N(V1620))</f>
        <v/>
      </c>
      <c r="X1620" s="85" t="str">
        <f aca="false">IF(AH1620="","",P1620-W1620)</f>
        <v/>
      </c>
      <c r="Y1620" s="67"/>
      <c r="Z1620" s="70" t="str">
        <f aca="false">IF(OR(AH1620="",Y1620=""),"",IF(ABS(X1620-Y1620)&lt;=1,"✓ Cuadra","⚠ Diferencia $"&amp;FIXED(X1620-Y1620,0)))</f>
        <v/>
      </c>
      <c r="AA1620" s="72" t="str">
        <f aca="false">IF(AH1620="","",IFERROR(INDEX(C_TIPO,MATCH(C1620&amp;"-P"&amp;MAX(1,COUNTIFS(C_ID,C1620,C_DEFINE,"Sí",C_INICIO,"&lt;="&amp;EOMONTH(B1620,0))),C_CLAVE,0))&amp;"","Sin dato"))</f>
        <v/>
      </c>
      <c r="AB1620" s="71" t="str">
        <f aca="false">IF(AH1620="","",ROUND(MIN(K1620,TOPE_AFP_UF*AJ1620)*AK1620,0))</f>
        <v/>
      </c>
      <c r="AC1620" s="71" t="str">
        <f aca="false">IF(AH1620="","",ROUND(MIN(K1620,TOPE_AFC_UF*AJ1620)*IF(AA1620="Indefinido",AFC_EMP_INDEF,AFC_EMP_PF),0))</f>
        <v/>
      </c>
      <c r="AD1620" s="71" t="str">
        <f aca="false">IF(AH1620="","",ROUND(MIN(K1620,TOPE_AFP_UF*AJ1620)*(MUTUAL_BASICA+MUTUAL_ADIC+SANNA),0))</f>
        <v/>
      </c>
      <c r="AE1620" s="71" t="str">
        <f aca="false">IF(AH1620="","",P1620-N(N1620)+AB1620+AC1620+AD1620)</f>
        <v/>
      </c>
      <c r="AF1620" s="65"/>
      <c r="AG1620" s="64"/>
      <c r="AH1620" s="72" t="str">
        <f aca="false">IF(OR(B1620="",C1620=""),"",C1620&amp;"|"&amp;(YEAR(B1620)*100+MONTH(B1620)))</f>
        <v/>
      </c>
      <c r="AI1620" s="70" t="str">
        <f aca="false">IF(AH1620="","",IF(COUNTIF(L_CLAVE,AH1620)&gt;1,"⚠ Duplicado","OK"))</f>
        <v/>
      </c>
      <c r="AJ1620" s="86" t="str">
        <f aca="false">IF(AH1620="","",IF(SUMPRODUCT(MAX((IND_PER&lt;=B1620)*(IND_UF&lt;&gt;"")*IND_PER))=0,UF_HOY,INDEX(IND_UF,MATCH(SUMPRODUCT(MAX((IND_PER&lt;=B1620)*(IND_UF&lt;&gt;"")*IND_PER)),IND_PER,0))))</f>
        <v/>
      </c>
      <c r="AK1620" s="87" t="str">
        <f aca="false">IF(AH1620="","",IF(COUNTIF(TASA_DESDE,"&lt;="&amp;B1620)=0,INDEX(TASA_EMP,1),INDEX(TASA_EMP,COUNTIF(TASA_DESDE,"&lt;="&amp;B1620))))</f>
        <v/>
      </c>
    </row>
    <row r="1621" customFormat="false" ht="15" hidden="false" customHeight="false" outlineLevel="0" collapsed="false">
      <c r="B1621" s="78"/>
      <c r="C1621" s="64"/>
      <c r="D1621" s="72" t="str">
        <f aca="false">IF(C1621="","",IFERROR(INDEX(T_NOMBRE,MATCH(C1621,T_ID,0)),"⚠ ID no existe"))</f>
        <v/>
      </c>
      <c r="E1621" s="69"/>
      <c r="F1621" s="67"/>
      <c r="G1621" s="67"/>
      <c r="H1621" s="67"/>
      <c r="I1621" s="67"/>
      <c r="J1621" s="67"/>
      <c r="K1621" s="85" t="str">
        <f aca="false">IF(AH1621="","",N(F1621)+N(G1621)+N(H1621)-N(I1621)+N(J1621))</f>
        <v/>
      </c>
      <c r="L1621" s="67"/>
      <c r="M1621" s="67"/>
      <c r="N1621" s="67"/>
      <c r="O1621" s="67"/>
      <c r="P1621" s="85" t="str">
        <f aca="false">IF(AH1621="","",K1621+N(L1621)+N(M1621)+N(N1621)+N(O1621))</f>
        <v/>
      </c>
      <c r="Q1621" s="67"/>
      <c r="R1621" s="67"/>
      <c r="S1621" s="67"/>
      <c r="T1621" s="67"/>
      <c r="U1621" s="67"/>
      <c r="V1621" s="67"/>
      <c r="W1621" s="85" t="str">
        <f aca="false">IF(AH1621="","",N(Q1621)+N(R1621)+N(S1621)+N(T1621)+N(U1621)+N(V1621))</f>
        <v/>
      </c>
      <c r="X1621" s="85" t="str">
        <f aca="false">IF(AH1621="","",P1621-W1621)</f>
        <v/>
      </c>
      <c r="Y1621" s="67"/>
      <c r="Z1621" s="70" t="str">
        <f aca="false">IF(OR(AH1621="",Y1621=""),"",IF(ABS(X1621-Y1621)&lt;=1,"✓ Cuadra","⚠ Diferencia $"&amp;FIXED(X1621-Y1621,0)))</f>
        <v/>
      </c>
      <c r="AA1621" s="72" t="str">
        <f aca="false">IF(AH1621="","",IFERROR(INDEX(C_TIPO,MATCH(C1621&amp;"-P"&amp;MAX(1,COUNTIFS(C_ID,C1621,C_DEFINE,"Sí",C_INICIO,"&lt;="&amp;EOMONTH(B1621,0))),C_CLAVE,0))&amp;"","Sin dato"))</f>
        <v/>
      </c>
      <c r="AB1621" s="71" t="str">
        <f aca="false">IF(AH1621="","",ROUND(MIN(K1621,TOPE_AFP_UF*AJ1621)*AK1621,0))</f>
        <v/>
      </c>
      <c r="AC1621" s="71" t="str">
        <f aca="false">IF(AH1621="","",ROUND(MIN(K1621,TOPE_AFC_UF*AJ1621)*IF(AA1621="Indefinido",AFC_EMP_INDEF,AFC_EMP_PF),0))</f>
        <v/>
      </c>
      <c r="AD1621" s="71" t="str">
        <f aca="false">IF(AH1621="","",ROUND(MIN(K1621,TOPE_AFP_UF*AJ1621)*(MUTUAL_BASICA+MUTUAL_ADIC+SANNA),0))</f>
        <v/>
      </c>
      <c r="AE1621" s="71" t="str">
        <f aca="false">IF(AH1621="","",P1621-N(N1621)+AB1621+AC1621+AD1621)</f>
        <v/>
      </c>
      <c r="AF1621" s="65"/>
      <c r="AG1621" s="64"/>
      <c r="AH1621" s="72" t="str">
        <f aca="false">IF(OR(B1621="",C1621=""),"",C1621&amp;"|"&amp;(YEAR(B1621)*100+MONTH(B1621)))</f>
        <v/>
      </c>
      <c r="AI1621" s="70" t="str">
        <f aca="false">IF(AH1621="","",IF(COUNTIF(L_CLAVE,AH1621)&gt;1,"⚠ Duplicado","OK"))</f>
        <v/>
      </c>
      <c r="AJ1621" s="86" t="str">
        <f aca="false">IF(AH1621="","",IF(SUMPRODUCT(MAX((IND_PER&lt;=B1621)*(IND_UF&lt;&gt;"")*IND_PER))=0,UF_HOY,INDEX(IND_UF,MATCH(SUMPRODUCT(MAX((IND_PER&lt;=B1621)*(IND_UF&lt;&gt;"")*IND_PER)),IND_PER,0))))</f>
        <v/>
      </c>
      <c r="AK1621" s="87" t="str">
        <f aca="false">IF(AH1621="","",IF(COUNTIF(TASA_DESDE,"&lt;="&amp;B1621)=0,INDEX(TASA_EMP,1),INDEX(TASA_EMP,COUNTIF(TASA_DESDE,"&lt;="&amp;B1621))))</f>
        <v/>
      </c>
    </row>
    <row r="1622" customFormat="false" ht="15" hidden="false" customHeight="false" outlineLevel="0" collapsed="false">
      <c r="B1622" s="78"/>
      <c r="C1622" s="64"/>
      <c r="D1622" s="72" t="str">
        <f aca="false">IF(C1622="","",IFERROR(INDEX(T_NOMBRE,MATCH(C1622,T_ID,0)),"⚠ ID no existe"))</f>
        <v/>
      </c>
      <c r="E1622" s="69"/>
      <c r="F1622" s="67"/>
      <c r="G1622" s="67"/>
      <c r="H1622" s="67"/>
      <c r="I1622" s="67"/>
      <c r="J1622" s="67"/>
      <c r="K1622" s="85" t="str">
        <f aca="false">IF(AH1622="","",N(F1622)+N(G1622)+N(H1622)-N(I1622)+N(J1622))</f>
        <v/>
      </c>
      <c r="L1622" s="67"/>
      <c r="M1622" s="67"/>
      <c r="N1622" s="67"/>
      <c r="O1622" s="67"/>
      <c r="P1622" s="85" t="str">
        <f aca="false">IF(AH1622="","",K1622+N(L1622)+N(M1622)+N(N1622)+N(O1622))</f>
        <v/>
      </c>
      <c r="Q1622" s="67"/>
      <c r="R1622" s="67"/>
      <c r="S1622" s="67"/>
      <c r="T1622" s="67"/>
      <c r="U1622" s="67"/>
      <c r="V1622" s="67"/>
      <c r="W1622" s="85" t="str">
        <f aca="false">IF(AH1622="","",N(Q1622)+N(R1622)+N(S1622)+N(T1622)+N(U1622)+N(V1622))</f>
        <v/>
      </c>
      <c r="X1622" s="85" t="str">
        <f aca="false">IF(AH1622="","",P1622-W1622)</f>
        <v/>
      </c>
      <c r="Y1622" s="67"/>
      <c r="Z1622" s="70" t="str">
        <f aca="false">IF(OR(AH1622="",Y1622=""),"",IF(ABS(X1622-Y1622)&lt;=1,"✓ Cuadra","⚠ Diferencia $"&amp;FIXED(X1622-Y1622,0)))</f>
        <v/>
      </c>
      <c r="AA1622" s="72" t="str">
        <f aca="false">IF(AH1622="","",IFERROR(INDEX(C_TIPO,MATCH(C1622&amp;"-P"&amp;MAX(1,COUNTIFS(C_ID,C1622,C_DEFINE,"Sí",C_INICIO,"&lt;="&amp;EOMONTH(B1622,0))),C_CLAVE,0))&amp;"","Sin dato"))</f>
        <v/>
      </c>
      <c r="AB1622" s="71" t="str">
        <f aca="false">IF(AH1622="","",ROUND(MIN(K1622,TOPE_AFP_UF*AJ1622)*AK1622,0))</f>
        <v/>
      </c>
      <c r="AC1622" s="71" t="str">
        <f aca="false">IF(AH1622="","",ROUND(MIN(K1622,TOPE_AFC_UF*AJ1622)*IF(AA1622="Indefinido",AFC_EMP_INDEF,AFC_EMP_PF),0))</f>
        <v/>
      </c>
      <c r="AD1622" s="71" t="str">
        <f aca="false">IF(AH1622="","",ROUND(MIN(K1622,TOPE_AFP_UF*AJ1622)*(MUTUAL_BASICA+MUTUAL_ADIC+SANNA),0))</f>
        <v/>
      </c>
      <c r="AE1622" s="71" t="str">
        <f aca="false">IF(AH1622="","",P1622-N(N1622)+AB1622+AC1622+AD1622)</f>
        <v/>
      </c>
      <c r="AF1622" s="65"/>
      <c r="AG1622" s="64"/>
      <c r="AH1622" s="72" t="str">
        <f aca="false">IF(OR(B1622="",C1622=""),"",C1622&amp;"|"&amp;(YEAR(B1622)*100+MONTH(B1622)))</f>
        <v/>
      </c>
      <c r="AI1622" s="70" t="str">
        <f aca="false">IF(AH1622="","",IF(COUNTIF(L_CLAVE,AH1622)&gt;1,"⚠ Duplicado","OK"))</f>
        <v/>
      </c>
      <c r="AJ1622" s="86" t="str">
        <f aca="false">IF(AH1622="","",IF(SUMPRODUCT(MAX((IND_PER&lt;=B1622)*(IND_UF&lt;&gt;"")*IND_PER))=0,UF_HOY,INDEX(IND_UF,MATCH(SUMPRODUCT(MAX((IND_PER&lt;=B1622)*(IND_UF&lt;&gt;"")*IND_PER)),IND_PER,0))))</f>
        <v/>
      </c>
      <c r="AK1622" s="87" t="str">
        <f aca="false">IF(AH1622="","",IF(COUNTIF(TASA_DESDE,"&lt;="&amp;B1622)=0,INDEX(TASA_EMP,1),INDEX(TASA_EMP,COUNTIF(TASA_DESDE,"&lt;="&amp;B1622))))</f>
        <v/>
      </c>
    </row>
    <row r="1623" customFormat="false" ht="15" hidden="false" customHeight="false" outlineLevel="0" collapsed="false">
      <c r="B1623" s="78"/>
      <c r="C1623" s="64"/>
      <c r="D1623" s="72" t="str">
        <f aca="false">IF(C1623="","",IFERROR(INDEX(T_NOMBRE,MATCH(C1623,T_ID,0)),"⚠ ID no existe"))</f>
        <v/>
      </c>
      <c r="E1623" s="69"/>
      <c r="F1623" s="67"/>
      <c r="G1623" s="67"/>
      <c r="H1623" s="67"/>
      <c r="I1623" s="67"/>
      <c r="J1623" s="67"/>
      <c r="K1623" s="85" t="str">
        <f aca="false">IF(AH1623="","",N(F1623)+N(G1623)+N(H1623)-N(I1623)+N(J1623))</f>
        <v/>
      </c>
      <c r="L1623" s="67"/>
      <c r="M1623" s="67"/>
      <c r="N1623" s="67"/>
      <c r="O1623" s="67"/>
      <c r="P1623" s="85" t="str">
        <f aca="false">IF(AH1623="","",K1623+N(L1623)+N(M1623)+N(N1623)+N(O1623))</f>
        <v/>
      </c>
      <c r="Q1623" s="67"/>
      <c r="R1623" s="67"/>
      <c r="S1623" s="67"/>
      <c r="T1623" s="67"/>
      <c r="U1623" s="67"/>
      <c r="V1623" s="67"/>
      <c r="W1623" s="85" t="str">
        <f aca="false">IF(AH1623="","",N(Q1623)+N(R1623)+N(S1623)+N(T1623)+N(U1623)+N(V1623))</f>
        <v/>
      </c>
      <c r="X1623" s="85" t="str">
        <f aca="false">IF(AH1623="","",P1623-W1623)</f>
        <v/>
      </c>
      <c r="Y1623" s="67"/>
      <c r="Z1623" s="70" t="str">
        <f aca="false">IF(OR(AH1623="",Y1623=""),"",IF(ABS(X1623-Y1623)&lt;=1,"✓ Cuadra","⚠ Diferencia $"&amp;FIXED(X1623-Y1623,0)))</f>
        <v/>
      </c>
      <c r="AA1623" s="72" t="str">
        <f aca="false">IF(AH1623="","",IFERROR(INDEX(C_TIPO,MATCH(C1623&amp;"-P"&amp;MAX(1,COUNTIFS(C_ID,C1623,C_DEFINE,"Sí",C_INICIO,"&lt;="&amp;EOMONTH(B1623,0))),C_CLAVE,0))&amp;"","Sin dato"))</f>
        <v/>
      </c>
      <c r="AB1623" s="71" t="str">
        <f aca="false">IF(AH1623="","",ROUND(MIN(K1623,TOPE_AFP_UF*AJ1623)*AK1623,0))</f>
        <v/>
      </c>
      <c r="AC1623" s="71" t="str">
        <f aca="false">IF(AH1623="","",ROUND(MIN(K1623,TOPE_AFC_UF*AJ1623)*IF(AA1623="Indefinido",AFC_EMP_INDEF,AFC_EMP_PF),0))</f>
        <v/>
      </c>
      <c r="AD1623" s="71" t="str">
        <f aca="false">IF(AH1623="","",ROUND(MIN(K1623,TOPE_AFP_UF*AJ1623)*(MUTUAL_BASICA+MUTUAL_ADIC+SANNA),0))</f>
        <v/>
      </c>
      <c r="AE1623" s="71" t="str">
        <f aca="false">IF(AH1623="","",P1623-N(N1623)+AB1623+AC1623+AD1623)</f>
        <v/>
      </c>
      <c r="AF1623" s="65"/>
      <c r="AG1623" s="64"/>
      <c r="AH1623" s="72" t="str">
        <f aca="false">IF(OR(B1623="",C1623=""),"",C1623&amp;"|"&amp;(YEAR(B1623)*100+MONTH(B1623)))</f>
        <v/>
      </c>
      <c r="AI1623" s="70" t="str">
        <f aca="false">IF(AH1623="","",IF(COUNTIF(L_CLAVE,AH1623)&gt;1,"⚠ Duplicado","OK"))</f>
        <v/>
      </c>
      <c r="AJ1623" s="86" t="str">
        <f aca="false">IF(AH1623="","",IF(SUMPRODUCT(MAX((IND_PER&lt;=B1623)*(IND_UF&lt;&gt;"")*IND_PER))=0,UF_HOY,INDEX(IND_UF,MATCH(SUMPRODUCT(MAX((IND_PER&lt;=B1623)*(IND_UF&lt;&gt;"")*IND_PER)),IND_PER,0))))</f>
        <v/>
      </c>
      <c r="AK1623" s="87" t="str">
        <f aca="false">IF(AH1623="","",IF(COUNTIF(TASA_DESDE,"&lt;="&amp;B1623)=0,INDEX(TASA_EMP,1),INDEX(TASA_EMP,COUNTIF(TASA_DESDE,"&lt;="&amp;B1623))))</f>
        <v/>
      </c>
    </row>
    <row r="1624" customFormat="false" ht="15" hidden="false" customHeight="false" outlineLevel="0" collapsed="false">
      <c r="B1624" s="78"/>
      <c r="C1624" s="64"/>
      <c r="D1624" s="72" t="str">
        <f aca="false">IF(C1624="","",IFERROR(INDEX(T_NOMBRE,MATCH(C1624,T_ID,0)),"⚠ ID no existe"))</f>
        <v/>
      </c>
      <c r="E1624" s="69"/>
      <c r="F1624" s="67"/>
      <c r="G1624" s="67"/>
      <c r="H1624" s="67"/>
      <c r="I1624" s="67"/>
      <c r="J1624" s="67"/>
      <c r="K1624" s="85" t="str">
        <f aca="false">IF(AH1624="","",N(F1624)+N(G1624)+N(H1624)-N(I1624)+N(J1624))</f>
        <v/>
      </c>
      <c r="L1624" s="67"/>
      <c r="M1624" s="67"/>
      <c r="N1624" s="67"/>
      <c r="O1624" s="67"/>
      <c r="P1624" s="85" t="str">
        <f aca="false">IF(AH1624="","",K1624+N(L1624)+N(M1624)+N(N1624)+N(O1624))</f>
        <v/>
      </c>
      <c r="Q1624" s="67"/>
      <c r="R1624" s="67"/>
      <c r="S1624" s="67"/>
      <c r="T1624" s="67"/>
      <c r="U1624" s="67"/>
      <c r="V1624" s="67"/>
      <c r="W1624" s="85" t="str">
        <f aca="false">IF(AH1624="","",N(Q1624)+N(R1624)+N(S1624)+N(T1624)+N(U1624)+N(V1624))</f>
        <v/>
      </c>
      <c r="X1624" s="85" t="str">
        <f aca="false">IF(AH1624="","",P1624-W1624)</f>
        <v/>
      </c>
      <c r="Y1624" s="67"/>
      <c r="Z1624" s="70" t="str">
        <f aca="false">IF(OR(AH1624="",Y1624=""),"",IF(ABS(X1624-Y1624)&lt;=1,"✓ Cuadra","⚠ Diferencia $"&amp;FIXED(X1624-Y1624,0)))</f>
        <v/>
      </c>
      <c r="AA1624" s="72" t="str">
        <f aca="false">IF(AH1624="","",IFERROR(INDEX(C_TIPO,MATCH(C1624&amp;"-P"&amp;MAX(1,COUNTIFS(C_ID,C1624,C_DEFINE,"Sí",C_INICIO,"&lt;="&amp;EOMONTH(B1624,0))),C_CLAVE,0))&amp;"","Sin dato"))</f>
        <v/>
      </c>
      <c r="AB1624" s="71" t="str">
        <f aca="false">IF(AH1624="","",ROUND(MIN(K1624,TOPE_AFP_UF*AJ1624)*AK1624,0))</f>
        <v/>
      </c>
      <c r="AC1624" s="71" t="str">
        <f aca="false">IF(AH1624="","",ROUND(MIN(K1624,TOPE_AFC_UF*AJ1624)*IF(AA1624="Indefinido",AFC_EMP_INDEF,AFC_EMP_PF),0))</f>
        <v/>
      </c>
      <c r="AD1624" s="71" t="str">
        <f aca="false">IF(AH1624="","",ROUND(MIN(K1624,TOPE_AFP_UF*AJ1624)*(MUTUAL_BASICA+MUTUAL_ADIC+SANNA),0))</f>
        <v/>
      </c>
      <c r="AE1624" s="71" t="str">
        <f aca="false">IF(AH1624="","",P1624-N(N1624)+AB1624+AC1624+AD1624)</f>
        <v/>
      </c>
      <c r="AF1624" s="65"/>
      <c r="AG1624" s="64"/>
      <c r="AH1624" s="72" t="str">
        <f aca="false">IF(OR(B1624="",C1624=""),"",C1624&amp;"|"&amp;(YEAR(B1624)*100+MONTH(B1624)))</f>
        <v/>
      </c>
      <c r="AI1624" s="70" t="str">
        <f aca="false">IF(AH1624="","",IF(COUNTIF(L_CLAVE,AH1624)&gt;1,"⚠ Duplicado","OK"))</f>
        <v/>
      </c>
      <c r="AJ1624" s="86" t="str">
        <f aca="false">IF(AH1624="","",IF(SUMPRODUCT(MAX((IND_PER&lt;=B1624)*(IND_UF&lt;&gt;"")*IND_PER))=0,UF_HOY,INDEX(IND_UF,MATCH(SUMPRODUCT(MAX((IND_PER&lt;=B1624)*(IND_UF&lt;&gt;"")*IND_PER)),IND_PER,0))))</f>
        <v/>
      </c>
      <c r="AK1624" s="87" t="str">
        <f aca="false">IF(AH1624="","",IF(COUNTIF(TASA_DESDE,"&lt;="&amp;B1624)=0,INDEX(TASA_EMP,1),INDEX(TASA_EMP,COUNTIF(TASA_DESDE,"&lt;="&amp;B1624))))</f>
        <v/>
      </c>
    </row>
    <row r="1625" customFormat="false" ht="15" hidden="false" customHeight="false" outlineLevel="0" collapsed="false">
      <c r="B1625" s="78"/>
      <c r="C1625" s="64"/>
      <c r="D1625" s="72" t="str">
        <f aca="false">IF(C1625="","",IFERROR(INDEX(T_NOMBRE,MATCH(C1625,T_ID,0)),"⚠ ID no existe"))</f>
        <v/>
      </c>
      <c r="E1625" s="69"/>
      <c r="F1625" s="67"/>
      <c r="G1625" s="67"/>
      <c r="H1625" s="67"/>
      <c r="I1625" s="67"/>
      <c r="J1625" s="67"/>
      <c r="K1625" s="85" t="str">
        <f aca="false">IF(AH1625="","",N(F1625)+N(G1625)+N(H1625)-N(I1625)+N(J1625))</f>
        <v/>
      </c>
      <c r="L1625" s="67"/>
      <c r="M1625" s="67"/>
      <c r="N1625" s="67"/>
      <c r="O1625" s="67"/>
      <c r="P1625" s="85" t="str">
        <f aca="false">IF(AH1625="","",K1625+N(L1625)+N(M1625)+N(N1625)+N(O1625))</f>
        <v/>
      </c>
      <c r="Q1625" s="67"/>
      <c r="R1625" s="67"/>
      <c r="S1625" s="67"/>
      <c r="T1625" s="67"/>
      <c r="U1625" s="67"/>
      <c r="V1625" s="67"/>
      <c r="W1625" s="85" t="str">
        <f aca="false">IF(AH1625="","",N(Q1625)+N(R1625)+N(S1625)+N(T1625)+N(U1625)+N(V1625))</f>
        <v/>
      </c>
      <c r="X1625" s="85" t="str">
        <f aca="false">IF(AH1625="","",P1625-W1625)</f>
        <v/>
      </c>
      <c r="Y1625" s="67"/>
      <c r="Z1625" s="70" t="str">
        <f aca="false">IF(OR(AH1625="",Y1625=""),"",IF(ABS(X1625-Y1625)&lt;=1,"✓ Cuadra","⚠ Diferencia $"&amp;FIXED(X1625-Y1625,0)))</f>
        <v/>
      </c>
      <c r="AA1625" s="72" t="str">
        <f aca="false">IF(AH1625="","",IFERROR(INDEX(C_TIPO,MATCH(C1625&amp;"-P"&amp;MAX(1,COUNTIFS(C_ID,C1625,C_DEFINE,"Sí",C_INICIO,"&lt;="&amp;EOMONTH(B1625,0))),C_CLAVE,0))&amp;"","Sin dato"))</f>
        <v/>
      </c>
      <c r="AB1625" s="71" t="str">
        <f aca="false">IF(AH1625="","",ROUND(MIN(K1625,TOPE_AFP_UF*AJ1625)*AK1625,0))</f>
        <v/>
      </c>
      <c r="AC1625" s="71" t="str">
        <f aca="false">IF(AH1625="","",ROUND(MIN(K1625,TOPE_AFC_UF*AJ1625)*IF(AA1625="Indefinido",AFC_EMP_INDEF,AFC_EMP_PF),0))</f>
        <v/>
      </c>
      <c r="AD1625" s="71" t="str">
        <f aca="false">IF(AH1625="","",ROUND(MIN(K1625,TOPE_AFP_UF*AJ1625)*(MUTUAL_BASICA+MUTUAL_ADIC+SANNA),0))</f>
        <v/>
      </c>
      <c r="AE1625" s="71" t="str">
        <f aca="false">IF(AH1625="","",P1625-N(N1625)+AB1625+AC1625+AD1625)</f>
        <v/>
      </c>
      <c r="AF1625" s="65"/>
      <c r="AG1625" s="64"/>
      <c r="AH1625" s="72" t="str">
        <f aca="false">IF(OR(B1625="",C1625=""),"",C1625&amp;"|"&amp;(YEAR(B1625)*100+MONTH(B1625)))</f>
        <v/>
      </c>
      <c r="AI1625" s="70" t="str">
        <f aca="false">IF(AH1625="","",IF(COUNTIF(L_CLAVE,AH1625)&gt;1,"⚠ Duplicado","OK"))</f>
        <v/>
      </c>
      <c r="AJ1625" s="86" t="str">
        <f aca="false">IF(AH1625="","",IF(SUMPRODUCT(MAX((IND_PER&lt;=B1625)*(IND_UF&lt;&gt;"")*IND_PER))=0,UF_HOY,INDEX(IND_UF,MATCH(SUMPRODUCT(MAX((IND_PER&lt;=B1625)*(IND_UF&lt;&gt;"")*IND_PER)),IND_PER,0))))</f>
        <v/>
      </c>
      <c r="AK1625" s="87" t="str">
        <f aca="false">IF(AH1625="","",IF(COUNTIF(TASA_DESDE,"&lt;="&amp;B1625)=0,INDEX(TASA_EMP,1),INDEX(TASA_EMP,COUNTIF(TASA_DESDE,"&lt;="&amp;B1625))))</f>
        <v/>
      </c>
    </row>
    <row r="1626" customFormat="false" ht="15" hidden="false" customHeight="false" outlineLevel="0" collapsed="false">
      <c r="B1626" s="78"/>
      <c r="C1626" s="64"/>
      <c r="D1626" s="72" t="str">
        <f aca="false">IF(C1626="","",IFERROR(INDEX(T_NOMBRE,MATCH(C1626,T_ID,0)),"⚠ ID no existe"))</f>
        <v/>
      </c>
      <c r="E1626" s="69"/>
      <c r="F1626" s="67"/>
      <c r="G1626" s="67"/>
      <c r="H1626" s="67"/>
      <c r="I1626" s="67"/>
      <c r="J1626" s="67"/>
      <c r="K1626" s="85" t="str">
        <f aca="false">IF(AH1626="","",N(F1626)+N(G1626)+N(H1626)-N(I1626)+N(J1626))</f>
        <v/>
      </c>
      <c r="L1626" s="67"/>
      <c r="M1626" s="67"/>
      <c r="N1626" s="67"/>
      <c r="O1626" s="67"/>
      <c r="P1626" s="85" t="str">
        <f aca="false">IF(AH1626="","",K1626+N(L1626)+N(M1626)+N(N1626)+N(O1626))</f>
        <v/>
      </c>
      <c r="Q1626" s="67"/>
      <c r="R1626" s="67"/>
      <c r="S1626" s="67"/>
      <c r="T1626" s="67"/>
      <c r="U1626" s="67"/>
      <c r="V1626" s="67"/>
      <c r="W1626" s="85" t="str">
        <f aca="false">IF(AH1626="","",N(Q1626)+N(R1626)+N(S1626)+N(T1626)+N(U1626)+N(V1626))</f>
        <v/>
      </c>
      <c r="X1626" s="85" t="str">
        <f aca="false">IF(AH1626="","",P1626-W1626)</f>
        <v/>
      </c>
      <c r="Y1626" s="67"/>
      <c r="Z1626" s="70" t="str">
        <f aca="false">IF(OR(AH1626="",Y1626=""),"",IF(ABS(X1626-Y1626)&lt;=1,"✓ Cuadra","⚠ Diferencia $"&amp;FIXED(X1626-Y1626,0)))</f>
        <v/>
      </c>
      <c r="AA1626" s="72" t="str">
        <f aca="false">IF(AH1626="","",IFERROR(INDEX(C_TIPO,MATCH(C1626&amp;"-P"&amp;MAX(1,COUNTIFS(C_ID,C1626,C_DEFINE,"Sí",C_INICIO,"&lt;="&amp;EOMONTH(B1626,0))),C_CLAVE,0))&amp;"","Sin dato"))</f>
        <v/>
      </c>
      <c r="AB1626" s="71" t="str">
        <f aca="false">IF(AH1626="","",ROUND(MIN(K1626,TOPE_AFP_UF*AJ1626)*AK1626,0))</f>
        <v/>
      </c>
      <c r="AC1626" s="71" t="str">
        <f aca="false">IF(AH1626="","",ROUND(MIN(K1626,TOPE_AFC_UF*AJ1626)*IF(AA1626="Indefinido",AFC_EMP_INDEF,AFC_EMP_PF),0))</f>
        <v/>
      </c>
      <c r="AD1626" s="71" t="str">
        <f aca="false">IF(AH1626="","",ROUND(MIN(K1626,TOPE_AFP_UF*AJ1626)*(MUTUAL_BASICA+MUTUAL_ADIC+SANNA),0))</f>
        <v/>
      </c>
      <c r="AE1626" s="71" t="str">
        <f aca="false">IF(AH1626="","",P1626-N(N1626)+AB1626+AC1626+AD1626)</f>
        <v/>
      </c>
      <c r="AF1626" s="65"/>
      <c r="AG1626" s="64"/>
      <c r="AH1626" s="72" t="str">
        <f aca="false">IF(OR(B1626="",C1626=""),"",C1626&amp;"|"&amp;(YEAR(B1626)*100+MONTH(B1626)))</f>
        <v/>
      </c>
      <c r="AI1626" s="70" t="str">
        <f aca="false">IF(AH1626="","",IF(COUNTIF(L_CLAVE,AH1626)&gt;1,"⚠ Duplicado","OK"))</f>
        <v/>
      </c>
      <c r="AJ1626" s="86" t="str">
        <f aca="false">IF(AH1626="","",IF(SUMPRODUCT(MAX((IND_PER&lt;=B1626)*(IND_UF&lt;&gt;"")*IND_PER))=0,UF_HOY,INDEX(IND_UF,MATCH(SUMPRODUCT(MAX((IND_PER&lt;=B1626)*(IND_UF&lt;&gt;"")*IND_PER)),IND_PER,0))))</f>
        <v/>
      </c>
      <c r="AK1626" s="87" t="str">
        <f aca="false">IF(AH1626="","",IF(COUNTIF(TASA_DESDE,"&lt;="&amp;B1626)=0,INDEX(TASA_EMP,1),INDEX(TASA_EMP,COUNTIF(TASA_DESDE,"&lt;="&amp;B1626))))</f>
        <v/>
      </c>
    </row>
    <row r="1627" customFormat="false" ht="15" hidden="false" customHeight="false" outlineLevel="0" collapsed="false">
      <c r="B1627" s="78"/>
      <c r="C1627" s="64"/>
      <c r="D1627" s="72" t="str">
        <f aca="false">IF(C1627="","",IFERROR(INDEX(T_NOMBRE,MATCH(C1627,T_ID,0)),"⚠ ID no existe"))</f>
        <v/>
      </c>
      <c r="E1627" s="69"/>
      <c r="F1627" s="67"/>
      <c r="G1627" s="67"/>
      <c r="H1627" s="67"/>
      <c r="I1627" s="67"/>
      <c r="J1627" s="67"/>
      <c r="K1627" s="85" t="str">
        <f aca="false">IF(AH1627="","",N(F1627)+N(G1627)+N(H1627)-N(I1627)+N(J1627))</f>
        <v/>
      </c>
      <c r="L1627" s="67"/>
      <c r="M1627" s="67"/>
      <c r="N1627" s="67"/>
      <c r="O1627" s="67"/>
      <c r="P1627" s="85" t="str">
        <f aca="false">IF(AH1627="","",K1627+N(L1627)+N(M1627)+N(N1627)+N(O1627))</f>
        <v/>
      </c>
      <c r="Q1627" s="67"/>
      <c r="R1627" s="67"/>
      <c r="S1627" s="67"/>
      <c r="T1627" s="67"/>
      <c r="U1627" s="67"/>
      <c r="V1627" s="67"/>
      <c r="W1627" s="85" t="str">
        <f aca="false">IF(AH1627="","",N(Q1627)+N(R1627)+N(S1627)+N(T1627)+N(U1627)+N(V1627))</f>
        <v/>
      </c>
      <c r="X1627" s="85" t="str">
        <f aca="false">IF(AH1627="","",P1627-W1627)</f>
        <v/>
      </c>
      <c r="Y1627" s="67"/>
      <c r="Z1627" s="70" t="str">
        <f aca="false">IF(OR(AH1627="",Y1627=""),"",IF(ABS(X1627-Y1627)&lt;=1,"✓ Cuadra","⚠ Diferencia $"&amp;FIXED(X1627-Y1627,0)))</f>
        <v/>
      </c>
      <c r="AA1627" s="72" t="str">
        <f aca="false">IF(AH1627="","",IFERROR(INDEX(C_TIPO,MATCH(C1627&amp;"-P"&amp;MAX(1,COUNTIFS(C_ID,C1627,C_DEFINE,"Sí",C_INICIO,"&lt;="&amp;EOMONTH(B1627,0))),C_CLAVE,0))&amp;"","Sin dato"))</f>
        <v/>
      </c>
      <c r="AB1627" s="71" t="str">
        <f aca="false">IF(AH1627="","",ROUND(MIN(K1627,TOPE_AFP_UF*AJ1627)*AK1627,0))</f>
        <v/>
      </c>
      <c r="AC1627" s="71" t="str">
        <f aca="false">IF(AH1627="","",ROUND(MIN(K1627,TOPE_AFC_UF*AJ1627)*IF(AA1627="Indefinido",AFC_EMP_INDEF,AFC_EMP_PF),0))</f>
        <v/>
      </c>
      <c r="AD1627" s="71" t="str">
        <f aca="false">IF(AH1627="","",ROUND(MIN(K1627,TOPE_AFP_UF*AJ1627)*(MUTUAL_BASICA+MUTUAL_ADIC+SANNA),0))</f>
        <v/>
      </c>
      <c r="AE1627" s="71" t="str">
        <f aca="false">IF(AH1627="","",P1627-N(N1627)+AB1627+AC1627+AD1627)</f>
        <v/>
      </c>
      <c r="AF1627" s="65"/>
      <c r="AG1627" s="64"/>
      <c r="AH1627" s="72" t="str">
        <f aca="false">IF(OR(B1627="",C1627=""),"",C1627&amp;"|"&amp;(YEAR(B1627)*100+MONTH(B1627)))</f>
        <v/>
      </c>
      <c r="AI1627" s="70" t="str">
        <f aca="false">IF(AH1627="","",IF(COUNTIF(L_CLAVE,AH1627)&gt;1,"⚠ Duplicado","OK"))</f>
        <v/>
      </c>
      <c r="AJ1627" s="86" t="str">
        <f aca="false">IF(AH1627="","",IF(SUMPRODUCT(MAX((IND_PER&lt;=B1627)*(IND_UF&lt;&gt;"")*IND_PER))=0,UF_HOY,INDEX(IND_UF,MATCH(SUMPRODUCT(MAX((IND_PER&lt;=B1627)*(IND_UF&lt;&gt;"")*IND_PER)),IND_PER,0))))</f>
        <v/>
      </c>
      <c r="AK1627" s="87" t="str">
        <f aca="false">IF(AH1627="","",IF(COUNTIF(TASA_DESDE,"&lt;="&amp;B1627)=0,INDEX(TASA_EMP,1),INDEX(TASA_EMP,COUNTIF(TASA_DESDE,"&lt;="&amp;B1627))))</f>
        <v/>
      </c>
    </row>
    <row r="1628" customFormat="false" ht="15" hidden="false" customHeight="false" outlineLevel="0" collapsed="false">
      <c r="B1628" s="78"/>
      <c r="C1628" s="64"/>
      <c r="D1628" s="72" t="str">
        <f aca="false">IF(C1628="","",IFERROR(INDEX(T_NOMBRE,MATCH(C1628,T_ID,0)),"⚠ ID no existe"))</f>
        <v/>
      </c>
      <c r="E1628" s="69"/>
      <c r="F1628" s="67"/>
      <c r="G1628" s="67"/>
      <c r="H1628" s="67"/>
      <c r="I1628" s="67"/>
      <c r="J1628" s="67"/>
      <c r="K1628" s="85" t="str">
        <f aca="false">IF(AH1628="","",N(F1628)+N(G1628)+N(H1628)-N(I1628)+N(J1628))</f>
        <v/>
      </c>
      <c r="L1628" s="67"/>
      <c r="M1628" s="67"/>
      <c r="N1628" s="67"/>
      <c r="O1628" s="67"/>
      <c r="P1628" s="85" t="str">
        <f aca="false">IF(AH1628="","",K1628+N(L1628)+N(M1628)+N(N1628)+N(O1628))</f>
        <v/>
      </c>
      <c r="Q1628" s="67"/>
      <c r="R1628" s="67"/>
      <c r="S1628" s="67"/>
      <c r="T1628" s="67"/>
      <c r="U1628" s="67"/>
      <c r="V1628" s="67"/>
      <c r="W1628" s="85" t="str">
        <f aca="false">IF(AH1628="","",N(Q1628)+N(R1628)+N(S1628)+N(T1628)+N(U1628)+N(V1628))</f>
        <v/>
      </c>
      <c r="X1628" s="85" t="str">
        <f aca="false">IF(AH1628="","",P1628-W1628)</f>
        <v/>
      </c>
      <c r="Y1628" s="67"/>
      <c r="Z1628" s="70" t="str">
        <f aca="false">IF(OR(AH1628="",Y1628=""),"",IF(ABS(X1628-Y1628)&lt;=1,"✓ Cuadra","⚠ Diferencia $"&amp;FIXED(X1628-Y1628,0)))</f>
        <v/>
      </c>
      <c r="AA1628" s="72" t="str">
        <f aca="false">IF(AH1628="","",IFERROR(INDEX(C_TIPO,MATCH(C1628&amp;"-P"&amp;MAX(1,COUNTIFS(C_ID,C1628,C_DEFINE,"Sí",C_INICIO,"&lt;="&amp;EOMONTH(B1628,0))),C_CLAVE,0))&amp;"","Sin dato"))</f>
        <v/>
      </c>
      <c r="AB1628" s="71" t="str">
        <f aca="false">IF(AH1628="","",ROUND(MIN(K1628,TOPE_AFP_UF*AJ1628)*AK1628,0))</f>
        <v/>
      </c>
      <c r="AC1628" s="71" t="str">
        <f aca="false">IF(AH1628="","",ROUND(MIN(K1628,TOPE_AFC_UF*AJ1628)*IF(AA1628="Indefinido",AFC_EMP_INDEF,AFC_EMP_PF),0))</f>
        <v/>
      </c>
      <c r="AD1628" s="71" t="str">
        <f aca="false">IF(AH1628="","",ROUND(MIN(K1628,TOPE_AFP_UF*AJ1628)*(MUTUAL_BASICA+MUTUAL_ADIC+SANNA),0))</f>
        <v/>
      </c>
      <c r="AE1628" s="71" t="str">
        <f aca="false">IF(AH1628="","",P1628-N(N1628)+AB1628+AC1628+AD1628)</f>
        <v/>
      </c>
      <c r="AF1628" s="65"/>
      <c r="AG1628" s="64"/>
      <c r="AH1628" s="72" t="str">
        <f aca="false">IF(OR(B1628="",C1628=""),"",C1628&amp;"|"&amp;(YEAR(B1628)*100+MONTH(B1628)))</f>
        <v/>
      </c>
      <c r="AI1628" s="70" t="str">
        <f aca="false">IF(AH1628="","",IF(COUNTIF(L_CLAVE,AH1628)&gt;1,"⚠ Duplicado","OK"))</f>
        <v/>
      </c>
      <c r="AJ1628" s="86" t="str">
        <f aca="false">IF(AH1628="","",IF(SUMPRODUCT(MAX((IND_PER&lt;=B1628)*(IND_UF&lt;&gt;"")*IND_PER))=0,UF_HOY,INDEX(IND_UF,MATCH(SUMPRODUCT(MAX((IND_PER&lt;=B1628)*(IND_UF&lt;&gt;"")*IND_PER)),IND_PER,0))))</f>
        <v/>
      </c>
      <c r="AK1628" s="87" t="str">
        <f aca="false">IF(AH1628="","",IF(COUNTIF(TASA_DESDE,"&lt;="&amp;B1628)=0,INDEX(TASA_EMP,1),INDEX(TASA_EMP,COUNTIF(TASA_DESDE,"&lt;="&amp;B1628))))</f>
        <v/>
      </c>
    </row>
    <row r="1629" customFormat="false" ht="15" hidden="false" customHeight="false" outlineLevel="0" collapsed="false">
      <c r="B1629" s="78"/>
      <c r="C1629" s="64"/>
      <c r="D1629" s="72" t="str">
        <f aca="false">IF(C1629="","",IFERROR(INDEX(T_NOMBRE,MATCH(C1629,T_ID,0)),"⚠ ID no existe"))</f>
        <v/>
      </c>
      <c r="E1629" s="69"/>
      <c r="F1629" s="67"/>
      <c r="G1629" s="67"/>
      <c r="H1629" s="67"/>
      <c r="I1629" s="67"/>
      <c r="J1629" s="67"/>
      <c r="K1629" s="85" t="str">
        <f aca="false">IF(AH1629="","",N(F1629)+N(G1629)+N(H1629)-N(I1629)+N(J1629))</f>
        <v/>
      </c>
      <c r="L1629" s="67"/>
      <c r="M1629" s="67"/>
      <c r="N1629" s="67"/>
      <c r="O1629" s="67"/>
      <c r="P1629" s="85" t="str">
        <f aca="false">IF(AH1629="","",K1629+N(L1629)+N(M1629)+N(N1629)+N(O1629))</f>
        <v/>
      </c>
      <c r="Q1629" s="67"/>
      <c r="R1629" s="67"/>
      <c r="S1629" s="67"/>
      <c r="T1629" s="67"/>
      <c r="U1629" s="67"/>
      <c r="V1629" s="67"/>
      <c r="W1629" s="85" t="str">
        <f aca="false">IF(AH1629="","",N(Q1629)+N(R1629)+N(S1629)+N(T1629)+N(U1629)+N(V1629))</f>
        <v/>
      </c>
      <c r="X1629" s="85" t="str">
        <f aca="false">IF(AH1629="","",P1629-W1629)</f>
        <v/>
      </c>
      <c r="Y1629" s="67"/>
      <c r="Z1629" s="70" t="str">
        <f aca="false">IF(OR(AH1629="",Y1629=""),"",IF(ABS(X1629-Y1629)&lt;=1,"✓ Cuadra","⚠ Diferencia $"&amp;FIXED(X1629-Y1629,0)))</f>
        <v/>
      </c>
      <c r="AA1629" s="72" t="str">
        <f aca="false">IF(AH1629="","",IFERROR(INDEX(C_TIPO,MATCH(C1629&amp;"-P"&amp;MAX(1,COUNTIFS(C_ID,C1629,C_DEFINE,"Sí",C_INICIO,"&lt;="&amp;EOMONTH(B1629,0))),C_CLAVE,0))&amp;"","Sin dato"))</f>
        <v/>
      </c>
      <c r="AB1629" s="71" t="str">
        <f aca="false">IF(AH1629="","",ROUND(MIN(K1629,TOPE_AFP_UF*AJ1629)*AK1629,0))</f>
        <v/>
      </c>
      <c r="AC1629" s="71" t="str">
        <f aca="false">IF(AH1629="","",ROUND(MIN(K1629,TOPE_AFC_UF*AJ1629)*IF(AA1629="Indefinido",AFC_EMP_INDEF,AFC_EMP_PF),0))</f>
        <v/>
      </c>
      <c r="AD1629" s="71" t="str">
        <f aca="false">IF(AH1629="","",ROUND(MIN(K1629,TOPE_AFP_UF*AJ1629)*(MUTUAL_BASICA+MUTUAL_ADIC+SANNA),0))</f>
        <v/>
      </c>
      <c r="AE1629" s="71" t="str">
        <f aca="false">IF(AH1629="","",P1629-N(N1629)+AB1629+AC1629+AD1629)</f>
        <v/>
      </c>
      <c r="AF1629" s="65"/>
      <c r="AG1629" s="64"/>
      <c r="AH1629" s="72" t="str">
        <f aca="false">IF(OR(B1629="",C1629=""),"",C1629&amp;"|"&amp;(YEAR(B1629)*100+MONTH(B1629)))</f>
        <v/>
      </c>
      <c r="AI1629" s="70" t="str">
        <f aca="false">IF(AH1629="","",IF(COUNTIF(L_CLAVE,AH1629)&gt;1,"⚠ Duplicado","OK"))</f>
        <v/>
      </c>
      <c r="AJ1629" s="86" t="str">
        <f aca="false">IF(AH1629="","",IF(SUMPRODUCT(MAX((IND_PER&lt;=B1629)*(IND_UF&lt;&gt;"")*IND_PER))=0,UF_HOY,INDEX(IND_UF,MATCH(SUMPRODUCT(MAX((IND_PER&lt;=B1629)*(IND_UF&lt;&gt;"")*IND_PER)),IND_PER,0))))</f>
        <v/>
      </c>
      <c r="AK1629" s="87" t="str">
        <f aca="false">IF(AH1629="","",IF(COUNTIF(TASA_DESDE,"&lt;="&amp;B1629)=0,INDEX(TASA_EMP,1),INDEX(TASA_EMP,COUNTIF(TASA_DESDE,"&lt;="&amp;B1629))))</f>
        <v/>
      </c>
    </row>
    <row r="1630" customFormat="false" ht="15" hidden="false" customHeight="false" outlineLevel="0" collapsed="false">
      <c r="B1630" s="78"/>
      <c r="C1630" s="64"/>
      <c r="D1630" s="72" t="str">
        <f aca="false">IF(C1630="","",IFERROR(INDEX(T_NOMBRE,MATCH(C1630,T_ID,0)),"⚠ ID no existe"))</f>
        <v/>
      </c>
      <c r="E1630" s="69"/>
      <c r="F1630" s="67"/>
      <c r="G1630" s="67"/>
      <c r="H1630" s="67"/>
      <c r="I1630" s="67"/>
      <c r="J1630" s="67"/>
      <c r="K1630" s="85" t="str">
        <f aca="false">IF(AH1630="","",N(F1630)+N(G1630)+N(H1630)-N(I1630)+N(J1630))</f>
        <v/>
      </c>
      <c r="L1630" s="67"/>
      <c r="M1630" s="67"/>
      <c r="N1630" s="67"/>
      <c r="O1630" s="67"/>
      <c r="P1630" s="85" t="str">
        <f aca="false">IF(AH1630="","",K1630+N(L1630)+N(M1630)+N(N1630)+N(O1630))</f>
        <v/>
      </c>
      <c r="Q1630" s="67"/>
      <c r="R1630" s="67"/>
      <c r="S1630" s="67"/>
      <c r="T1630" s="67"/>
      <c r="U1630" s="67"/>
      <c r="V1630" s="67"/>
      <c r="W1630" s="85" t="str">
        <f aca="false">IF(AH1630="","",N(Q1630)+N(R1630)+N(S1630)+N(T1630)+N(U1630)+N(V1630))</f>
        <v/>
      </c>
      <c r="X1630" s="85" t="str">
        <f aca="false">IF(AH1630="","",P1630-W1630)</f>
        <v/>
      </c>
      <c r="Y1630" s="67"/>
      <c r="Z1630" s="70" t="str">
        <f aca="false">IF(OR(AH1630="",Y1630=""),"",IF(ABS(X1630-Y1630)&lt;=1,"✓ Cuadra","⚠ Diferencia $"&amp;FIXED(X1630-Y1630,0)))</f>
        <v/>
      </c>
      <c r="AA1630" s="72" t="str">
        <f aca="false">IF(AH1630="","",IFERROR(INDEX(C_TIPO,MATCH(C1630&amp;"-P"&amp;MAX(1,COUNTIFS(C_ID,C1630,C_DEFINE,"Sí",C_INICIO,"&lt;="&amp;EOMONTH(B1630,0))),C_CLAVE,0))&amp;"","Sin dato"))</f>
        <v/>
      </c>
      <c r="AB1630" s="71" t="str">
        <f aca="false">IF(AH1630="","",ROUND(MIN(K1630,TOPE_AFP_UF*AJ1630)*AK1630,0))</f>
        <v/>
      </c>
      <c r="AC1630" s="71" t="str">
        <f aca="false">IF(AH1630="","",ROUND(MIN(K1630,TOPE_AFC_UF*AJ1630)*IF(AA1630="Indefinido",AFC_EMP_INDEF,AFC_EMP_PF),0))</f>
        <v/>
      </c>
      <c r="AD1630" s="71" t="str">
        <f aca="false">IF(AH1630="","",ROUND(MIN(K1630,TOPE_AFP_UF*AJ1630)*(MUTUAL_BASICA+MUTUAL_ADIC+SANNA),0))</f>
        <v/>
      </c>
      <c r="AE1630" s="71" t="str">
        <f aca="false">IF(AH1630="","",P1630-N(N1630)+AB1630+AC1630+AD1630)</f>
        <v/>
      </c>
      <c r="AF1630" s="65"/>
      <c r="AG1630" s="64"/>
      <c r="AH1630" s="72" t="str">
        <f aca="false">IF(OR(B1630="",C1630=""),"",C1630&amp;"|"&amp;(YEAR(B1630)*100+MONTH(B1630)))</f>
        <v/>
      </c>
      <c r="AI1630" s="70" t="str">
        <f aca="false">IF(AH1630="","",IF(COUNTIF(L_CLAVE,AH1630)&gt;1,"⚠ Duplicado","OK"))</f>
        <v/>
      </c>
      <c r="AJ1630" s="86" t="str">
        <f aca="false">IF(AH1630="","",IF(SUMPRODUCT(MAX((IND_PER&lt;=B1630)*(IND_UF&lt;&gt;"")*IND_PER))=0,UF_HOY,INDEX(IND_UF,MATCH(SUMPRODUCT(MAX((IND_PER&lt;=B1630)*(IND_UF&lt;&gt;"")*IND_PER)),IND_PER,0))))</f>
        <v/>
      </c>
      <c r="AK1630" s="87" t="str">
        <f aca="false">IF(AH1630="","",IF(COUNTIF(TASA_DESDE,"&lt;="&amp;B1630)=0,INDEX(TASA_EMP,1),INDEX(TASA_EMP,COUNTIF(TASA_DESDE,"&lt;="&amp;B1630))))</f>
        <v/>
      </c>
    </row>
    <row r="1631" customFormat="false" ht="15" hidden="false" customHeight="false" outlineLevel="0" collapsed="false">
      <c r="B1631" s="78"/>
      <c r="C1631" s="64"/>
      <c r="D1631" s="72" t="str">
        <f aca="false">IF(C1631="","",IFERROR(INDEX(T_NOMBRE,MATCH(C1631,T_ID,0)),"⚠ ID no existe"))</f>
        <v/>
      </c>
      <c r="E1631" s="69"/>
      <c r="F1631" s="67"/>
      <c r="G1631" s="67"/>
      <c r="H1631" s="67"/>
      <c r="I1631" s="67"/>
      <c r="J1631" s="67"/>
      <c r="K1631" s="85" t="str">
        <f aca="false">IF(AH1631="","",N(F1631)+N(G1631)+N(H1631)-N(I1631)+N(J1631))</f>
        <v/>
      </c>
      <c r="L1631" s="67"/>
      <c r="M1631" s="67"/>
      <c r="N1631" s="67"/>
      <c r="O1631" s="67"/>
      <c r="P1631" s="85" t="str">
        <f aca="false">IF(AH1631="","",K1631+N(L1631)+N(M1631)+N(N1631)+N(O1631))</f>
        <v/>
      </c>
      <c r="Q1631" s="67"/>
      <c r="R1631" s="67"/>
      <c r="S1631" s="67"/>
      <c r="T1631" s="67"/>
      <c r="U1631" s="67"/>
      <c r="V1631" s="67"/>
      <c r="W1631" s="85" t="str">
        <f aca="false">IF(AH1631="","",N(Q1631)+N(R1631)+N(S1631)+N(T1631)+N(U1631)+N(V1631))</f>
        <v/>
      </c>
      <c r="X1631" s="85" t="str">
        <f aca="false">IF(AH1631="","",P1631-W1631)</f>
        <v/>
      </c>
      <c r="Y1631" s="67"/>
      <c r="Z1631" s="70" t="str">
        <f aca="false">IF(OR(AH1631="",Y1631=""),"",IF(ABS(X1631-Y1631)&lt;=1,"✓ Cuadra","⚠ Diferencia $"&amp;FIXED(X1631-Y1631,0)))</f>
        <v/>
      </c>
      <c r="AA1631" s="72" t="str">
        <f aca="false">IF(AH1631="","",IFERROR(INDEX(C_TIPO,MATCH(C1631&amp;"-P"&amp;MAX(1,COUNTIFS(C_ID,C1631,C_DEFINE,"Sí",C_INICIO,"&lt;="&amp;EOMONTH(B1631,0))),C_CLAVE,0))&amp;"","Sin dato"))</f>
        <v/>
      </c>
      <c r="AB1631" s="71" t="str">
        <f aca="false">IF(AH1631="","",ROUND(MIN(K1631,TOPE_AFP_UF*AJ1631)*AK1631,0))</f>
        <v/>
      </c>
      <c r="AC1631" s="71" t="str">
        <f aca="false">IF(AH1631="","",ROUND(MIN(K1631,TOPE_AFC_UF*AJ1631)*IF(AA1631="Indefinido",AFC_EMP_INDEF,AFC_EMP_PF),0))</f>
        <v/>
      </c>
      <c r="AD1631" s="71" t="str">
        <f aca="false">IF(AH1631="","",ROUND(MIN(K1631,TOPE_AFP_UF*AJ1631)*(MUTUAL_BASICA+MUTUAL_ADIC+SANNA),0))</f>
        <v/>
      </c>
      <c r="AE1631" s="71" t="str">
        <f aca="false">IF(AH1631="","",P1631-N(N1631)+AB1631+AC1631+AD1631)</f>
        <v/>
      </c>
      <c r="AF1631" s="65"/>
      <c r="AG1631" s="64"/>
      <c r="AH1631" s="72" t="str">
        <f aca="false">IF(OR(B1631="",C1631=""),"",C1631&amp;"|"&amp;(YEAR(B1631)*100+MONTH(B1631)))</f>
        <v/>
      </c>
      <c r="AI1631" s="70" t="str">
        <f aca="false">IF(AH1631="","",IF(COUNTIF(L_CLAVE,AH1631)&gt;1,"⚠ Duplicado","OK"))</f>
        <v/>
      </c>
      <c r="AJ1631" s="86" t="str">
        <f aca="false">IF(AH1631="","",IF(SUMPRODUCT(MAX((IND_PER&lt;=B1631)*(IND_UF&lt;&gt;"")*IND_PER))=0,UF_HOY,INDEX(IND_UF,MATCH(SUMPRODUCT(MAX((IND_PER&lt;=B1631)*(IND_UF&lt;&gt;"")*IND_PER)),IND_PER,0))))</f>
        <v/>
      </c>
      <c r="AK1631" s="87" t="str">
        <f aca="false">IF(AH1631="","",IF(COUNTIF(TASA_DESDE,"&lt;="&amp;B1631)=0,INDEX(TASA_EMP,1),INDEX(TASA_EMP,COUNTIF(TASA_DESDE,"&lt;="&amp;B1631))))</f>
        <v/>
      </c>
    </row>
    <row r="1632" customFormat="false" ht="15" hidden="false" customHeight="false" outlineLevel="0" collapsed="false">
      <c r="B1632" s="78"/>
      <c r="C1632" s="64"/>
      <c r="D1632" s="72" t="str">
        <f aca="false">IF(C1632="","",IFERROR(INDEX(T_NOMBRE,MATCH(C1632,T_ID,0)),"⚠ ID no existe"))</f>
        <v/>
      </c>
      <c r="E1632" s="69"/>
      <c r="F1632" s="67"/>
      <c r="G1632" s="67"/>
      <c r="H1632" s="67"/>
      <c r="I1632" s="67"/>
      <c r="J1632" s="67"/>
      <c r="K1632" s="85" t="str">
        <f aca="false">IF(AH1632="","",N(F1632)+N(G1632)+N(H1632)-N(I1632)+N(J1632))</f>
        <v/>
      </c>
      <c r="L1632" s="67"/>
      <c r="M1632" s="67"/>
      <c r="N1632" s="67"/>
      <c r="O1632" s="67"/>
      <c r="P1632" s="85" t="str">
        <f aca="false">IF(AH1632="","",K1632+N(L1632)+N(M1632)+N(N1632)+N(O1632))</f>
        <v/>
      </c>
      <c r="Q1632" s="67"/>
      <c r="R1632" s="67"/>
      <c r="S1632" s="67"/>
      <c r="T1632" s="67"/>
      <c r="U1632" s="67"/>
      <c r="V1632" s="67"/>
      <c r="W1632" s="85" t="str">
        <f aca="false">IF(AH1632="","",N(Q1632)+N(R1632)+N(S1632)+N(T1632)+N(U1632)+N(V1632))</f>
        <v/>
      </c>
      <c r="X1632" s="85" t="str">
        <f aca="false">IF(AH1632="","",P1632-W1632)</f>
        <v/>
      </c>
      <c r="Y1632" s="67"/>
      <c r="Z1632" s="70" t="str">
        <f aca="false">IF(OR(AH1632="",Y1632=""),"",IF(ABS(X1632-Y1632)&lt;=1,"✓ Cuadra","⚠ Diferencia $"&amp;FIXED(X1632-Y1632,0)))</f>
        <v/>
      </c>
      <c r="AA1632" s="72" t="str">
        <f aca="false">IF(AH1632="","",IFERROR(INDEX(C_TIPO,MATCH(C1632&amp;"-P"&amp;MAX(1,COUNTIFS(C_ID,C1632,C_DEFINE,"Sí",C_INICIO,"&lt;="&amp;EOMONTH(B1632,0))),C_CLAVE,0))&amp;"","Sin dato"))</f>
        <v/>
      </c>
      <c r="AB1632" s="71" t="str">
        <f aca="false">IF(AH1632="","",ROUND(MIN(K1632,TOPE_AFP_UF*AJ1632)*AK1632,0))</f>
        <v/>
      </c>
      <c r="AC1632" s="71" t="str">
        <f aca="false">IF(AH1632="","",ROUND(MIN(K1632,TOPE_AFC_UF*AJ1632)*IF(AA1632="Indefinido",AFC_EMP_INDEF,AFC_EMP_PF),0))</f>
        <v/>
      </c>
      <c r="AD1632" s="71" t="str">
        <f aca="false">IF(AH1632="","",ROUND(MIN(K1632,TOPE_AFP_UF*AJ1632)*(MUTUAL_BASICA+MUTUAL_ADIC+SANNA),0))</f>
        <v/>
      </c>
      <c r="AE1632" s="71" t="str">
        <f aca="false">IF(AH1632="","",P1632-N(N1632)+AB1632+AC1632+AD1632)</f>
        <v/>
      </c>
      <c r="AF1632" s="65"/>
      <c r="AG1632" s="64"/>
      <c r="AH1632" s="72" t="str">
        <f aca="false">IF(OR(B1632="",C1632=""),"",C1632&amp;"|"&amp;(YEAR(B1632)*100+MONTH(B1632)))</f>
        <v/>
      </c>
      <c r="AI1632" s="70" t="str">
        <f aca="false">IF(AH1632="","",IF(COUNTIF(L_CLAVE,AH1632)&gt;1,"⚠ Duplicado","OK"))</f>
        <v/>
      </c>
      <c r="AJ1632" s="86" t="str">
        <f aca="false">IF(AH1632="","",IF(SUMPRODUCT(MAX((IND_PER&lt;=B1632)*(IND_UF&lt;&gt;"")*IND_PER))=0,UF_HOY,INDEX(IND_UF,MATCH(SUMPRODUCT(MAX((IND_PER&lt;=B1632)*(IND_UF&lt;&gt;"")*IND_PER)),IND_PER,0))))</f>
        <v/>
      </c>
      <c r="AK1632" s="87" t="str">
        <f aca="false">IF(AH1632="","",IF(COUNTIF(TASA_DESDE,"&lt;="&amp;B1632)=0,INDEX(TASA_EMP,1),INDEX(TASA_EMP,COUNTIF(TASA_DESDE,"&lt;="&amp;B1632))))</f>
        <v/>
      </c>
    </row>
    <row r="1633" customFormat="false" ht="15" hidden="false" customHeight="false" outlineLevel="0" collapsed="false">
      <c r="B1633" s="78"/>
      <c r="C1633" s="64"/>
      <c r="D1633" s="72" t="str">
        <f aca="false">IF(C1633="","",IFERROR(INDEX(T_NOMBRE,MATCH(C1633,T_ID,0)),"⚠ ID no existe"))</f>
        <v/>
      </c>
      <c r="E1633" s="69"/>
      <c r="F1633" s="67"/>
      <c r="G1633" s="67"/>
      <c r="H1633" s="67"/>
      <c r="I1633" s="67"/>
      <c r="J1633" s="67"/>
      <c r="K1633" s="85" t="str">
        <f aca="false">IF(AH1633="","",N(F1633)+N(G1633)+N(H1633)-N(I1633)+N(J1633))</f>
        <v/>
      </c>
      <c r="L1633" s="67"/>
      <c r="M1633" s="67"/>
      <c r="N1633" s="67"/>
      <c r="O1633" s="67"/>
      <c r="P1633" s="85" t="str">
        <f aca="false">IF(AH1633="","",K1633+N(L1633)+N(M1633)+N(N1633)+N(O1633))</f>
        <v/>
      </c>
      <c r="Q1633" s="67"/>
      <c r="R1633" s="67"/>
      <c r="S1633" s="67"/>
      <c r="T1633" s="67"/>
      <c r="U1633" s="67"/>
      <c r="V1633" s="67"/>
      <c r="W1633" s="85" t="str">
        <f aca="false">IF(AH1633="","",N(Q1633)+N(R1633)+N(S1633)+N(T1633)+N(U1633)+N(V1633))</f>
        <v/>
      </c>
      <c r="X1633" s="85" t="str">
        <f aca="false">IF(AH1633="","",P1633-W1633)</f>
        <v/>
      </c>
      <c r="Y1633" s="67"/>
      <c r="Z1633" s="70" t="str">
        <f aca="false">IF(OR(AH1633="",Y1633=""),"",IF(ABS(X1633-Y1633)&lt;=1,"✓ Cuadra","⚠ Diferencia $"&amp;FIXED(X1633-Y1633,0)))</f>
        <v/>
      </c>
      <c r="AA1633" s="72" t="str">
        <f aca="false">IF(AH1633="","",IFERROR(INDEX(C_TIPO,MATCH(C1633&amp;"-P"&amp;MAX(1,COUNTIFS(C_ID,C1633,C_DEFINE,"Sí",C_INICIO,"&lt;="&amp;EOMONTH(B1633,0))),C_CLAVE,0))&amp;"","Sin dato"))</f>
        <v/>
      </c>
      <c r="AB1633" s="71" t="str">
        <f aca="false">IF(AH1633="","",ROUND(MIN(K1633,TOPE_AFP_UF*AJ1633)*AK1633,0))</f>
        <v/>
      </c>
      <c r="AC1633" s="71" t="str">
        <f aca="false">IF(AH1633="","",ROUND(MIN(K1633,TOPE_AFC_UF*AJ1633)*IF(AA1633="Indefinido",AFC_EMP_INDEF,AFC_EMP_PF),0))</f>
        <v/>
      </c>
      <c r="AD1633" s="71" t="str">
        <f aca="false">IF(AH1633="","",ROUND(MIN(K1633,TOPE_AFP_UF*AJ1633)*(MUTUAL_BASICA+MUTUAL_ADIC+SANNA),0))</f>
        <v/>
      </c>
      <c r="AE1633" s="71" t="str">
        <f aca="false">IF(AH1633="","",P1633-N(N1633)+AB1633+AC1633+AD1633)</f>
        <v/>
      </c>
      <c r="AF1633" s="65"/>
      <c r="AG1633" s="64"/>
      <c r="AH1633" s="72" t="str">
        <f aca="false">IF(OR(B1633="",C1633=""),"",C1633&amp;"|"&amp;(YEAR(B1633)*100+MONTH(B1633)))</f>
        <v/>
      </c>
      <c r="AI1633" s="70" t="str">
        <f aca="false">IF(AH1633="","",IF(COUNTIF(L_CLAVE,AH1633)&gt;1,"⚠ Duplicado","OK"))</f>
        <v/>
      </c>
      <c r="AJ1633" s="86" t="str">
        <f aca="false">IF(AH1633="","",IF(SUMPRODUCT(MAX((IND_PER&lt;=B1633)*(IND_UF&lt;&gt;"")*IND_PER))=0,UF_HOY,INDEX(IND_UF,MATCH(SUMPRODUCT(MAX((IND_PER&lt;=B1633)*(IND_UF&lt;&gt;"")*IND_PER)),IND_PER,0))))</f>
        <v/>
      </c>
      <c r="AK1633" s="87" t="str">
        <f aca="false">IF(AH1633="","",IF(COUNTIF(TASA_DESDE,"&lt;="&amp;B1633)=0,INDEX(TASA_EMP,1),INDEX(TASA_EMP,COUNTIF(TASA_DESDE,"&lt;="&amp;B1633))))</f>
        <v/>
      </c>
    </row>
    <row r="1634" customFormat="false" ht="15" hidden="false" customHeight="false" outlineLevel="0" collapsed="false">
      <c r="B1634" s="78"/>
      <c r="C1634" s="64"/>
      <c r="D1634" s="72" t="str">
        <f aca="false">IF(C1634="","",IFERROR(INDEX(T_NOMBRE,MATCH(C1634,T_ID,0)),"⚠ ID no existe"))</f>
        <v/>
      </c>
      <c r="E1634" s="69"/>
      <c r="F1634" s="67"/>
      <c r="G1634" s="67"/>
      <c r="H1634" s="67"/>
      <c r="I1634" s="67"/>
      <c r="J1634" s="67"/>
      <c r="K1634" s="85" t="str">
        <f aca="false">IF(AH1634="","",N(F1634)+N(G1634)+N(H1634)-N(I1634)+N(J1634))</f>
        <v/>
      </c>
      <c r="L1634" s="67"/>
      <c r="M1634" s="67"/>
      <c r="N1634" s="67"/>
      <c r="O1634" s="67"/>
      <c r="P1634" s="85" t="str">
        <f aca="false">IF(AH1634="","",K1634+N(L1634)+N(M1634)+N(N1634)+N(O1634))</f>
        <v/>
      </c>
      <c r="Q1634" s="67"/>
      <c r="R1634" s="67"/>
      <c r="S1634" s="67"/>
      <c r="T1634" s="67"/>
      <c r="U1634" s="67"/>
      <c r="V1634" s="67"/>
      <c r="W1634" s="85" t="str">
        <f aca="false">IF(AH1634="","",N(Q1634)+N(R1634)+N(S1634)+N(T1634)+N(U1634)+N(V1634))</f>
        <v/>
      </c>
      <c r="X1634" s="85" t="str">
        <f aca="false">IF(AH1634="","",P1634-W1634)</f>
        <v/>
      </c>
      <c r="Y1634" s="67"/>
      <c r="Z1634" s="70" t="str">
        <f aca="false">IF(OR(AH1634="",Y1634=""),"",IF(ABS(X1634-Y1634)&lt;=1,"✓ Cuadra","⚠ Diferencia $"&amp;FIXED(X1634-Y1634,0)))</f>
        <v/>
      </c>
      <c r="AA1634" s="72" t="str">
        <f aca="false">IF(AH1634="","",IFERROR(INDEX(C_TIPO,MATCH(C1634&amp;"-P"&amp;MAX(1,COUNTIFS(C_ID,C1634,C_DEFINE,"Sí",C_INICIO,"&lt;="&amp;EOMONTH(B1634,0))),C_CLAVE,0))&amp;"","Sin dato"))</f>
        <v/>
      </c>
      <c r="AB1634" s="71" t="str">
        <f aca="false">IF(AH1634="","",ROUND(MIN(K1634,TOPE_AFP_UF*AJ1634)*AK1634,0))</f>
        <v/>
      </c>
      <c r="AC1634" s="71" t="str">
        <f aca="false">IF(AH1634="","",ROUND(MIN(K1634,TOPE_AFC_UF*AJ1634)*IF(AA1634="Indefinido",AFC_EMP_INDEF,AFC_EMP_PF),0))</f>
        <v/>
      </c>
      <c r="AD1634" s="71" t="str">
        <f aca="false">IF(AH1634="","",ROUND(MIN(K1634,TOPE_AFP_UF*AJ1634)*(MUTUAL_BASICA+MUTUAL_ADIC+SANNA),0))</f>
        <v/>
      </c>
      <c r="AE1634" s="71" t="str">
        <f aca="false">IF(AH1634="","",P1634-N(N1634)+AB1634+AC1634+AD1634)</f>
        <v/>
      </c>
      <c r="AF1634" s="65"/>
      <c r="AG1634" s="64"/>
      <c r="AH1634" s="72" t="str">
        <f aca="false">IF(OR(B1634="",C1634=""),"",C1634&amp;"|"&amp;(YEAR(B1634)*100+MONTH(B1634)))</f>
        <v/>
      </c>
      <c r="AI1634" s="70" t="str">
        <f aca="false">IF(AH1634="","",IF(COUNTIF(L_CLAVE,AH1634)&gt;1,"⚠ Duplicado","OK"))</f>
        <v/>
      </c>
      <c r="AJ1634" s="86" t="str">
        <f aca="false">IF(AH1634="","",IF(SUMPRODUCT(MAX((IND_PER&lt;=B1634)*(IND_UF&lt;&gt;"")*IND_PER))=0,UF_HOY,INDEX(IND_UF,MATCH(SUMPRODUCT(MAX((IND_PER&lt;=B1634)*(IND_UF&lt;&gt;"")*IND_PER)),IND_PER,0))))</f>
        <v/>
      </c>
      <c r="AK1634" s="87" t="str">
        <f aca="false">IF(AH1634="","",IF(COUNTIF(TASA_DESDE,"&lt;="&amp;B1634)=0,INDEX(TASA_EMP,1),INDEX(TASA_EMP,COUNTIF(TASA_DESDE,"&lt;="&amp;B1634))))</f>
        <v/>
      </c>
    </row>
    <row r="1635" customFormat="false" ht="15" hidden="false" customHeight="false" outlineLevel="0" collapsed="false">
      <c r="B1635" s="78"/>
      <c r="C1635" s="64"/>
      <c r="D1635" s="72" t="str">
        <f aca="false">IF(C1635="","",IFERROR(INDEX(T_NOMBRE,MATCH(C1635,T_ID,0)),"⚠ ID no existe"))</f>
        <v/>
      </c>
      <c r="E1635" s="69"/>
      <c r="F1635" s="67"/>
      <c r="G1635" s="67"/>
      <c r="H1635" s="67"/>
      <c r="I1635" s="67"/>
      <c r="J1635" s="67"/>
      <c r="K1635" s="85" t="str">
        <f aca="false">IF(AH1635="","",N(F1635)+N(G1635)+N(H1635)-N(I1635)+N(J1635))</f>
        <v/>
      </c>
      <c r="L1635" s="67"/>
      <c r="M1635" s="67"/>
      <c r="N1635" s="67"/>
      <c r="O1635" s="67"/>
      <c r="P1635" s="85" t="str">
        <f aca="false">IF(AH1635="","",K1635+N(L1635)+N(M1635)+N(N1635)+N(O1635))</f>
        <v/>
      </c>
      <c r="Q1635" s="67"/>
      <c r="R1635" s="67"/>
      <c r="S1635" s="67"/>
      <c r="T1635" s="67"/>
      <c r="U1635" s="67"/>
      <c r="V1635" s="67"/>
      <c r="W1635" s="85" t="str">
        <f aca="false">IF(AH1635="","",N(Q1635)+N(R1635)+N(S1635)+N(T1635)+N(U1635)+N(V1635))</f>
        <v/>
      </c>
      <c r="X1635" s="85" t="str">
        <f aca="false">IF(AH1635="","",P1635-W1635)</f>
        <v/>
      </c>
      <c r="Y1635" s="67"/>
      <c r="Z1635" s="70" t="str">
        <f aca="false">IF(OR(AH1635="",Y1635=""),"",IF(ABS(X1635-Y1635)&lt;=1,"✓ Cuadra","⚠ Diferencia $"&amp;FIXED(X1635-Y1635,0)))</f>
        <v/>
      </c>
      <c r="AA1635" s="72" t="str">
        <f aca="false">IF(AH1635="","",IFERROR(INDEX(C_TIPO,MATCH(C1635&amp;"-P"&amp;MAX(1,COUNTIFS(C_ID,C1635,C_DEFINE,"Sí",C_INICIO,"&lt;="&amp;EOMONTH(B1635,0))),C_CLAVE,0))&amp;"","Sin dato"))</f>
        <v/>
      </c>
      <c r="AB1635" s="71" t="str">
        <f aca="false">IF(AH1635="","",ROUND(MIN(K1635,TOPE_AFP_UF*AJ1635)*AK1635,0))</f>
        <v/>
      </c>
      <c r="AC1635" s="71" t="str">
        <f aca="false">IF(AH1635="","",ROUND(MIN(K1635,TOPE_AFC_UF*AJ1635)*IF(AA1635="Indefinido",AFC_EMP_INDEF,AFC_EMP_PF),0))</f>
        <v/>
      </c>
      <c r="AD1635" s="71" t="str">
        <f aca="false">IF(AH1635="","",ROUND(MIN(K1635,TOPE_AFP_UF*AJ1635)*(MUTUAL_BASICA+MUTUAL_ADIC+SANNA),0))</f>
        <v/>
      </c>
      <c r="AE1635" s="71" t="str">
        <f aca="false">IF(AH1635="","",P1635-N(N1635)+AB1635+AC1635+AD1635)</f>
        <v/>
      </c>
      <c r="AF1635" s="65"/>
      <c r="AG1635" s="64"/>
      <c r="AH1635" s="72" t="str">
        <f aca="false">IF(OR(B1635="",C1635=""),"",C1635&amp;"|"&amp;(YEAR(B1635)*100+MONTH(B1635)))</f>
        <v/>
      </c>
      <c r="AI1635" s="70" t="str">
        <f aca="false">IF(AH1635="","",IF(COUNTIF(L_CLAVE,AH1635)&gt;1,"⚠ Duplicado","OK"))</f>
        <v/>
      </c>
      <c r="AJ1635" s="86" t="str">
        <f aca="false">IF(AH1635="","",IF(SUMPRODUCT(MAX((IND_PER&lt;=B1635)*(IND_UF&lt;&gt;"")*IND_PER))=0,UF_HOY,INDEX(IND_UF,MATCH(SUMPRODUCT(MAX((IND_PER&lt;=B1635)*(IND_UF&lt;&gt;"")*IND_PER)),IND_PER,0))))</f>
        <v/>
      </c>
      <c r="AK1635" s="87" t="str">
        <f aca="false">IF(AH1635="","",IF(COUNTIF(TASA_DESDE,"&lt;="&amp;B1635)=0,INDEX(TASA_EMP,1),INDEX(TASA_EMP,COUNTIF(TASA_DESDE,"&lt;="&amp;B1635))))</f>
        <v/>
      </c>
    </row>
    <row r="1636" customFormat="false" ht="15" hidden="false" customHeight="false" outlineLevel="0" collapsed="false">
      <c r="B1636" s="78"/>
      <c r="C1636" s="64"/>
      <c r="D1636" s="72" t="str">
        <f aca="false">IF(C1636="","",IFERROR(INDEX(T_NOMBRE,MATCH(C1636,T_ID,0)),"⚠ ID no existe"))</f>
        <v/>
      </c>
      <c r="E1636" s="69"/>
      <c r="F1636" s="67"/>
      <c r="G1636" s="67"/>
      <c r="H1636" s="67"/>
      <c r="I1636" s="67"/>
      <c r="J1636" s="67"/>
      <c r="K1636" s="85" t="str">
        <f aca="false">IF(AH1636="","",N(F1636)+N(G1636)+N(H1636)-N(I1636)+N(J1636))</f>
        <v/>
      </c>
      <c r="L1636" s="67"/>
      <c r="M1636" s="67"/>
      <c r="N1636" s="67"/>
      <c r="O1636" s="67"/>
      <c r="P1636" s="85" t="str">
        <f aca="false">IF(AH1636="","",K1636+N(L1636)+N(M1636)+N(N1636)+N(O1636))</f>
        <v/>
      </c>
      <c r="Q1636" s="67"/>
      <c r="R1636" s="67"/>
      <c r="S1636" s="67"/>
      <c r="T1636" s="67"/>
      <c r="U1636" s="67"/>
      <c r="V1636" s="67"/>
      <c r="W1636" s="85" t="str">
        <f aca="false">IF(AH1636="","",N(Q1636)+N(R1636)+N(S1636)+N(T1636)+N(U1636)+N(V1636))</f>
        <v/>
      </c>
      <c r="X1636" s="85" t="str">
        <f aca="false">IF(AH1636="","",P1636-W1636)</f>
        <v/>
      </c>
      <c r="Y1636" s="67"/>
      <c r="Z1636" s="70" t="str">
        <f aca="false">IF(OR(AH1636="",Y1636=""),"",IF(ABS(X1636-Y1636)&lt;=1,"✓ Cuadra","⚠ Diferencia $"&amp;FIXED(X1636-Y1636,0)))</f>
        <v/>
      </c>
      <c r="AA1636" s="72" t="str">
        <f aca="false">IF(AH1636="","",IFERROR(INDEX(C_TIPO,MATCH(C1636&amp;"-P"&amp;MAX(1,COUNTIFS(C_ID,C1636,C_DEFINE,"Sí",C_INICIO,"&lt;="&amp;EOMONTH(B1636,0))),C_CLAVE,0))&amp;"","Sin dato"))</f>
        <v/>
      </c>
      <c r="AB1636" s="71" t="str">
        <f aca="false">IF(AH1636="","",ROUND(MIN(K1636,TOPE_AFP_UF*AJ1636)*AK1636,0))</f>
        <v/>
      </c>
      <c r="AC1636" s="71" t="str">
        <f aca="false">IF(AH1636="","",ROUND(MIN(K1636,TOPE_AFC_UF*AJ1636)*IF(AA1636="Indefinido",AFC_EMP_INDEF,AFC_EMP_PF),0))</f>
        <v/>
      </c>
      <c r="AD1636" s="71" t="str">
        <f aca="false">IF(AH1636="","",ROUND(MIN(K1636,TOPE_AFP_UF*AJ1636)*(MUTUAL_BASICA+MUTUAL_ADIC+SANNA),0))</f>
        <v/>
      </c>
      <c r="AE1636" s="71" t="str">
        <f aca="false">IF(AH1636="","",P1636-N(N1636)+AB1636+AC1636+AD1636)</f>
        <v/>
      </c>
      <c r="AF1636" s="65"/>
      <c r="AG1636" s="64"/>
      <c r="AH1636" s="72" t="str">
        <f aca="false">IF(OR(B1636="",C1636=""),"",C1636&amp;"|"&amp;(YEAR(B1636)*100+MONTH(B1636)))</f>
        <v/>
      </c>
      <c r="AI1636" s="70" t="str">
        <f aca="false">IF(AH1636="","",IF(COUNTIF(L_CLAVE,AH1636)&gt;1,"⚠ Duplicado","OK"))</f>
        <v/>
      </c>
      <c r="AJ1636" s="86" t="str">
        <f aca="false">IF(AH1636="","",IF(SUMPRODUCT(MAX((IND_PER&lt;=B1636)*(IND_UF&lt;&gt;"")*IND_PER))=0,UF_HOY,INDEX(IND_UF,MATCH(SUMPRODUCT(MAX((IND_PER&lt;=B1636)*(IND_UF&lt;&gt;"")*IND_PER)),IND_PER,0))))</f>
        <v/>
      </c>
      <c r="AK1636" s="87" t="str">
        <f aca="false">IF(AH1636="","",IF(COUNTIF(TASA_DESDE,"&lt;="&amp;B1636)=0,INDEX(TASA_EMP,1),INDEX(TASA_EMP,COUNTIF(TASA_DESDE,"&lt;="&amp;B1636))))</f>
        <v/>
      </c>
    </row>
    <row r="1637" customFormat="false" ht="15" hidden="false" customHeight="false" outlineLevel="0" collapsed="false">
      <c r="B1637" s="78"/>
      <c r="C1637" s="64"/>
      <c r="D1637" s="72" t="str">
        <f aca="false">IF(C1637="","",IFERROR(INDEX(T_NOMBRE,MATCH(C1637,T_ID,0)),"⚠ ID no existe"))</f>
        <v/>
      </c>
      <c r="E1637" s="69"/>
      <c r="F1637" s="67"/>
      <c r="G1637" s="67"/>
      <c r="H1637" s="67"/>
      <c r="I1637" s="67"/>
      <c r="J1637" s="67"/>
      <c r="K1637" s="85" t="str">
        <f aca="false">IF(AH1637="","",N(F1637)+N(G1637)+N(H1637)-N(I1637)+N(J1637))</f>
        <v/>
      </c>
      <c r="L1637" s="67"/>
      <c r="M1637" s="67"/>
      <c r="N1637" s="67"/>
      <c r="O1637" s="67"/>
      <c r="P1637" s="85" t="str">
        <f aca="false">IF(AH1637="","",K1637+N(L1637)+N(M1637)+N(N1637)+N(O1637))</f>
        <v/>
      </c>
      <c r="Q1637" s="67"/>
      <c r="R1637" s="67"/>
      <c r="S1637" s="67"/>
      <c r="T1637" s="67"/>
      <c r="U1637" s="67"/>
      <c r="V1637" s="67"/>
      <c r="W1637" s="85" t="str">
        <f aca="false">IF(AH1637="","",N(Q1637)+N(R1637)+N(S1637)+N(T1637)+N(U1637)+N(V1637))</f>
        <v/>
      </c>
      <c r="X1637" s="85" t="str">
        <f aca="false">IF(AH1637="","",P1637-W1637)</f>
        <v/>
      </c>
      <c r="Y1637" s="67"/>
      <c r="Z1637" s="70" t="str">
        <f aca="false">IF(OR(AH1637="",Y1637=""),"",IF(ABS(X1637-Y1637)&lt;=1,"✓ Cuadra","⚠ Diferencia $"&amp;FIXED(X1637-Y1637,0)))</f>
        <v/>
      </c>
      <c r="AA1637" s="72" t="str">
        <f aca="false">IF(AH1637="","",IFERROR(INDEX(C_TIPO,MATCH(C1637&amp;"-P"&amp;MAX(1,COUNTIFS(C_ID,C1637,C_DEFINE,"Sí",C_INICIO,"&lt;="&amp;EOMONTH(B1637,0))),C_CLAVE,0))&amp;"","Sin dato"))</f>
        <v/>
      </c>
      <c r="AB1637" s="71" t="str">
        <f aca="false">IF(AH1637="","",ROUND(MIN(K1637,TOPE_AFP_UF*AJ1637)*AK1637,0))</f>
        <v/>
      </c>
      <c r="AC1637" s="71" t="str">
        <f aca="false">IF(AH1637="","",ROUND(MIN(K1637,TOPE_AFC_UF*AJ1637)*IF(AA1637="Indefinido",AFC_EMP_INDEF,AFC_EMP_PF),0))</f>
        <v/>
      </c>
      <c r="AD1637" s="71" t="str">
        <f aca="false">IF(AH1637="","",ROUND(MIN(K1637,TOPE_AFP_UF*AJ1637)*(MUTUAL_BASICA+MUTUAL_ADIC+SANNA),0))</f>
        <v/>
      </c>
      <c r="AE1637" s="71" t="str">
        <f aca="false">IF(AH1637="","",P1637-N(N1637)+AB1637+AC1637+AD1637)</f>
        <v/>
      </c>
      <c r="AF1637" s="65"/>
      <c r="AG1637" s="64"/>
      <c r="AH1637" s="72" t="str">
        <f aca="false">IF(OR(B1637="",C1637=""),"",C1637&amp;"|"&amp;(YEAR(B1637)*100+MONTH(B1637)))</f>
        <v/>
      </c>
      <c r="AI1637" s="70" t="str">
        <f aca="false">IF(AH1637="","",IF(COUNTIF(L_CLAVE,AH1637)&gt;1,"⚠ Duplicado","OK"))</f>
        <v/>
      </c>
      <c r="AJ1637" s="86" t="str">
        <f aca="false">IF(AH1637="","",IF(SUMPRODUCT(MAX((IND_PER&lt;=B1637)*(IND_UF&lt;&gt;"")*IND_PER))=0,UF_HOY,INDEX(IND_UF,MATCH(SUMPRODUCT(MAX((IND_PER&lt;=B1637)*(IND_UF&lt;&gt;"")*IND_PER)),IND_PER,0))))</f>
        <v/>
      </c>
      <c r="AK1637" s="87" t="str">
        <f aca="false">IF(AH1637="","",IF(COUNTIF(TASA_DESDE,"&lt;="&amp;B1637)=0,INDEX(TASA_EMP,1),INDEX(TASA_EMP,COUNTIF(TASA_DESDE,"&lt;="&amp;B1637))))</f>
        <v/>
      </c>
    </row>
    <row r="1638" customFormat="false" ht="15" hidden="false" customHeight="false" outlineLevel="0" collapsed="false">
      <c r="B1638" s="78"/>
      <c r="C1638" s="64"/>
      <c r="D1638" s="72" t="str">
        <f aca="false">IF(C1638="","",IFERROR(INDEX(T_NOMBRE,MATCH(C1638,T_ID,0)),"⚠ ID no existe"))</f>
        <v/>
      </c>
      <c r="E1638" s="69"/>
      <c r="F1638" s="67"/>
      <c r="G1638" s="67"/>
      <c r="H1638" s="67"/>
      <c r="I1638" s="67"/>
      <c r="J1638" s="67"/>
      <c r="K1638" s="85" t="str">
        <f aca="false">IF(AH1638="","",N(F1638)+N(G1638)+N(H1638)-N(I1638)+N(J1638))</f>
        <v/>
      </c>
      <c r="L1638" s="67"/>
      <c r="M1638" s="67"/>
      <c r="N1638" s="67"/>
      <c r="O1638" s="67"/>
      <c r="P1638" s="85" t="str">
        <f aca="false">IF(AH1638="","",K1638+N(L1638)+N(M1638)+N(N1638)+N(O1638))</f>
        <v/>
      </c>
      <c r="Q1638" s="67"/>
      <c r="R1638" s="67"/>
      <c r="S1638" s="67"/>
      <c r="T1638" s="67"/>
      <c r="U1638" s="67"/>
      <c r="V1638" s="67"/>
      <c r="W1638" s="85" t="str">
        <f aca="false">IF(AH1638="","",N(Q1638)+N(R1638)+N(S1638)+N(T1638)+N(U1638)+N(V1638))</f>
        <v/>
      </c>
      <c r="X1638" s="85" t="str">
        <f aca="false">IF(AH1638="","",P1638-W1638)</f>
        <v/>
      </c>
      <c r="Y1638" s="67"/>
      <c r="Z1638" s="70" t="str">
        <f aca="false">IF(OR(AH1638="",Y1638=""),"",IF(ABS(X1638-Y1638)&lt;=1,"✓ Cuadra","⚠ Diferencia $"&amp;FIXED(X1638-Y1638,0)))</f>
        <v/>
      </c>
      <c r="AA1638" s="72" t="str">
        <f aca="false">IF(AH1638="","",IFERROR(INDEX(C_TIPO,MATCH(C1638&amp;"-P"&amp;MAX(1,COUNTIFS(C_ID,C1638,C_DEFINE,"Sí",C_INICIO,"&lt;="&amp;EOMONTH(B1638,0))),C_CLAVE,0))&amp;"","Sin dato"))</f>
        <v/>
      </c>
      <c r="AB1638" s="71" t="str">
        <f aca="false">IF(AH1638="","",ROUND(MIN(K1638,TOPE_AFP_UF*AJ1638)*AK1638,0))</f>
        <v/>
      </c>
      <c r="AC1638" s="71" t="str">
        <f aca="false">IF(AH1638="","",ROUND(MIN(K1638,TOPE_AFC_UF*AJ1638)*IF(AA1638="Indefinido",AFC_EMP_INDEF,AFC_EMP_PF),0))</f>
        <v/>
      </c>
      <c r="AD1638" s="71" t="str">
        <f aca="false">IF(AH1638="","",ROUND(MIN(K1638,TOPE_AFP_UF*AJ1638)*(MUTUAL_BASICA+MUTUAL_ADIC+SANNA),0))</f>
        <v/>
      </c>
      <c r="AE1638" s="71" t="str">
        <f aca="false">IF(AH1638="","",P1638-N(N1638)+AB1638+AC1638+AD1638)</f>
        <v/>
      </c>
      <c r="AF1638" s="65"/>
      <c r="AG1638" s="64"/>
      <c r="AH1638" s="72" t="str">
        <f aca="false">IF(OR(B1638="",C1638=""),"",C1638&amp;"|"&amp;(YEAR(B1638)*100+MONTH(B1638)))</f>
        <v/>
      </c>
      <c r="AI1638" s="70" t="str">
        <f aca="false">IF(AH1638="","",IF(COUNTIF(L_CLAVE,AH1638)&gt;1,"⚠ Duplicado","OK"))</f>
        <v/>
      </c>
      <c r="AJ1638" s="86" t="str">
        <f aca="false">IF(AH1638="","",IF(SUMPRODUCT(MAX((IND_PER&lt;=B1638)*(IND_UF&lt;&gt;"")*IND_PER))=0,UF_HOY,INDEX(IND_UF,MATCH(SUMPRODUCT(MAX((IND_PER&lt;=B1638)*(IND_UF&lt;&gt;"")*IND_PER)),IND_PER,0))))</f>
        <v/>
      </c>
      <c r="AK1638" s="87" t="str">
        <f aca="false">IF(AH1638="","",IF(COUNTIF(TASA_DESDE,"&lt;="&amp;B1638)=0,INDEX(TASA_EMP,1),INDEX(TASA_EMP,COUNTIF(TASA_DESDE,"&lt;="&amp;B1638))))</f>
        <v/>
      </c>
    </row>
    <row r="1639" customFormat="false" ht="15" hidden="false" customHeight="false" outlineLevel="0" collapsed="false">
      <c r="B1639" s="78"/>
      <c r="C1639" s="64"/>
      <c r="D1639" s="72" t="str">
        <f aca="false">IF(C1639="","",IFERROR(INDEX(T_NOMBRE,MATCH(C1639,T_ID,0)),"⚠ ID no existe"))</f>
        <v/>
      </c>
      <c r="E1639" s="69"/>
      <c r="F1639" s="67"/>
      <c r="G1639" s="67"/>
      <c r="H1639" s="67"/>
      <c r="I1639" s="67"/>
      <c r="J1639" s="67"/>
      <c r="K1639" s="85" t="str">
        <f aca="false">IF(AH1639="","",N(F1639)+N(G1639)+N(H1639)-N(I1639)+N(J1639))</f>
        <v/>
      </c>
      <c r="L1639" s="67"/>
      <c r="M1639" s="67"/>
      <c r="N1639" s="67"/>
      <c r="O1639" s="67"/>
      <c r="P1639" s="85" t="str">
        <f aca="false">IF(AH1639="","",K1639+N(L1639)+N(M1639)+N(N1639)+N(O1639))</f>
        <v/>
      </c>
      <c r="Q1639" s="67"/>
      <c r="R1639" s="67"/>
      <c r="S1639" s="67"/>
      <c r="T1639" s="67"/>
      <c r="U1639" s="67"/>
      <c r="V1639" s="67"/>
      <c r="W1639" s="85" t="str">
        <f aca="false">IF(AH1639="","",N(Q1639)+N(R1639)+N(S1639)+N(T1639)+N(U1639)+N(V1639))</f>
        <v/>
      </c>
      <c r="X1639" s="85" t="str">
        <f aca="false">IF(AH1639="","",P1639-W1639)</f>
        <v/>
      </c>
      <c r="Y1639" s="67"/>
      <c r="Z1639" s="70" t="str">
        <f aca="false">IF(OR(AH1639="",Y1639=""),"",IF(ABS(X1639-Y1639)&lt;=1,"✓ Cuadra","⚠ Diferencia $"&amp;FIXED(X1639-Y1639,0)))</f>
        <v/>
      </c>
      <c r="AA1639" s="72" t="str">
        <f aca="false">IF(AH1639="","",IFERROR(INDEX(C_TIPO,MATCH(C1639&amp;"-P"&amp;MAX(1,COUNTIFS(C_ID,C1639,C_DEFINE,"Sí",C_INICIO,"&lt;="&amp;EOMONTH(B1639,0))),C_CLAVE,0))&amp;"","Sin dato"))</f>
        <v/>
      </c>
      <c r="AB1639" s="71" t="str">
        <f aca="false">IF(AH1639="","",ROUND(MIN(K1639,TOPE_AFP_UF*AJ1639)*AK1639,0))</f>
        <v/>
      </c>
      <c r="AC1639" s="71" t="str">
        <f aca="false">IF(AH1639="","",ROUND(MIN(K1639,TOPE_AFC_UF*AJ1639)*IF(AA1639="Indefinido",AFC_EMP_INDEF,AFC_EMP_PF),0))</f>
        <v/>
      </c>
      <c r="AD1639" s="71" t="str">
        <f aca="false">IF(AH1639="","",ROUND(MIN(K1639,TOPE_AFP_UF*AJ1639)*(MUTUAL_BASICA+MUTUAL_ADIC+SANNA),0))</f>
        <v/>
      </c>
      <c r="AE1639" s="71" t="str">
        <f aca="false">IF(AH1639="","",P1639-N(N1639)+AB1639+AC1639+AD1639)</f>
        <v/>
      </c>
      <c r="AF1639" s="65"/>
      <c r="AG1639" s="64"/>
      <c r="AH1639" s="72" t="str">
        <f aca="false">IF(OR(B1639="",C1639=""),"",C1639&amp;"|"&amp;(YEAR(B1639)*100+MONTH(B1639)))</f>
        <v/>
      </c>
      <c r="AI1639" s="70" t="str">
        <f aca="false">IF(AH1639="","",IF(COUNTIF(L_CLAVE,AH1639)&gt;1,"⚠ Duplicado","OK"))</f>
        <v/>
      </c>
      <c r="AJ1639" s="86" t="str">
        <f aca="false">IF(AH1639="","",IF(SUMPRODUCT(MAX((IND_PER&lt;=B1639)*(IND_UF&lt;&gt;"")*IND_PER))=0,UF_HOY,INDEX(IND_UF,MATCH(SUMPRODUCT(MAX((IND_PER&lt;=B1639)*(IND_UF&lt;&gt;"")*IND_PER)),IND_PER,0))))</f>
        <v/>
      </c>
      <c r="AK1639" s="87" t="str">
        <f aca="false">IF(AH1639="","",IF(COUNTIF(TASA_DESDE,"&lt;="&amp;B1639)=0,INDEX(TASA_EMP,1),INDEX(TASA_EMP,COUNTIF(TASA_DESDE,"&lt;="&amp;B1639))))</f>
        <v/>
      </c>
    </row>
    <row r="1640" customFormat="false" ht="15" hidden="false" customHeight="false" outlineLevel="0" collapsed="false">
      <c r="B1640" s="78"/>
      <c r="C1640" s="64"/>
      <c r="D1640" s="72" t="str">
        <f aca="false">IF(C1640="","",IFERROR(INDEX(T_NOMBRE,MATCH(C1640,T_ID,0)),"⚠ ID no existe"))</f>
        <v/>
      </c>
      <c r="E1640" s="69"/>
      <c r="F1640" s="67"/>
      <c r="G1640" s="67"/>
      <c r="H1640" s="67"/>
      <c r="I1640" s="67"/>
      <c r="J1640" s="67"/>
      <c r="K1640" s="85" t="str">
        <f aca="false">IF(AH1640="","",N(F1640)+N(G1640)+N(H1640)-N(I1640)+N(J1640))</f>
        <v/>
      </c>
      <c r="L1640" s="67"/>
      <c r="M1640" s="67"/>
      <c r="N1640" s="67"/>
      <c r="O1640" s="67"/>
      <c r="P1640" s="85" t="str">
        <f aca="false">IF(AH1640="","",K1640+N(L1640)+N(M1640)+N(N1640)+N(O1640))</f>
        <v/>
      </c>
      <c r="Q1640" s="67"/>
      <c r="R1640" s="67"/>
      <c r="S1640" s="67"/>
      <c r="T1640" s="67"/>
      <c r="U1640" s="67"/>
      <c r="V1640" s="67"/>
      <c r="W1640" s="85" t="str">
        <f aca="false">IF(AH1640="","",N(Q1640)+N(R1640)+N(S1640)+N(T1640)+N(U1640)+N(V1640))</f>
        <v/>
      </c>
      <c r="X1640" s="85" t="str">
        <f aca="false">IF(AH1640="","",P1640-W1640)</f>
        <v/>
      </c>
      <c r="Y1640" s="67"/>
      <c r="Z1640" s="70" t="str">
        <f aca="false">IF(OR(AH1640="",Y1640=""),"",IF(ABS(X1640-Y1640)&lt;=1,"✓ Cuadra","⚠ Diferencia $"&amp;FIXED(X1640-Y1640,0)))</f>
        <v/>
      </c>
      <c r="AA1640" s="72" t="str">
        <f aca="false">IF(AH1640="","",IFERROR(INDEX(C_TIPO,MATCH(C1640&amp;"-P"&amp;MAX(1,COUNTIFS(C_ID,C1640,C_DEFINE,"Sí",C_INICIO,"&lt;="&amp;EOMONTH(B1640,0))),C_CLAVE,0))&amp;"","Sin dato"))</f>
        <v/>
      </c>
      <c r="AB1640" s="71" t="str">
        <f aca="false">IF(AH1640="","",ROUND(MIN(K1640,TOPE_AFP_UF*AJ1640)*AK1640,0))</f>
        <v/>
      </c>
      <c r="AC1640" s="71" t="str">
        <f aca="false">IF(AH1640="","",ROUND(MIN(K1640,TOPE_AFC_UF*AJ1640)*IF(AA1640="Indefinido",AFC_EMP_INDEF,AFC_EMP_PF),0))</f>
        <v/>
      </c>
      <c r="AD1640" s="71" t="str">
        <f aca="false">IF(AH1640="","",ROUND(MIN(K1640,TOPE_AFP_UF*AJ1640)*(MUTUAL_BASICA+MUTUAL_ADIC+SANNA),0))</f>
        <v/>
      </c>
      <c r="AE1640" s="71" t="str">
        <f aca="false">IF(AH1640="","",P1640-N(N1640)+AB1640+AC1640+AD1640)</f>
        <v/>
      </c>
      <c r="AF1640" s="65"/>
      <c r="AG1640" s="64"/>
      <c r="AH1640" s="72" t="str">
        <f aca="false">IF(OR(B1640="",C1640=""),"",C1640&amp;"|"&amp;(YEAR(B1640)*100+MONTH(B1640)))</f>
        <v/>
      </c>
      <c r="AI1640" s="70" t="str">
        <f aca="false">IF(AH1640="","",IF(COUNTIF(L_CLAVE,AH1640)&gt;1,"⚠ Duplicado","OK"))</f>
        <v/>
      </c>
      <c r="AJ1640" s="86" t="str">
        <f aca="false">IF(AH1640="","",IF(SUMPRODUCT(MAX((IND_PER&lt;=B1640)*(IND_UF&lt;&gt;"")*IND_PER))=0,UF_HOY,INDEX(IND_UF,MATCH(SUMPRODUCT(MAX((IND_PER&lt;=B1640)*(IND_UF&lt;&gt;"")*IND_PER)),IND_PER,0))))</f>
        <v/>
      </c>
      <c r="AK1640" s="87" t="str">
        <f aca="false">IF(AH1640="","",IF(COUNTIF(TASA_DESDE,"&lt;="&amp;B1640)=0,INDEX(TASA_EMP,1),INDEX(TASA_EMP,COUNTIF(TASA_DESDE,"&lt;="&amp;B1640))))</f>
        <v/>
      </c>
    </row>
    <row r="1641" customFormat="false" ht="15" hidden="false" customHeight="false" outlineLevel="0" collapsed="false">
      <c r="B1641" s="78"/>
      <c r="C1641" s="64"/>
      <c r="D1641" s="72" t="str">
        <f aca="false">IF(C1641="","",IFERROR(INDEX(T_NOMBRE,MATCH(C1641,T_ID,0)),"⚠ ID no existe"))</f>
        <v/>
      </c>
      <c r="E1641" s="69"/>
      <c r="F1641" s="67"/>
      <c r="G1641" s="67"/>
      <c r="H1641" s="67"/>
      <c r="I1641" s="67"/>
      <c r="J1641" s="67"/>
      <c r="K1641" s="85" t="str">
        <f aca="false">IF(AH1641="","",N(F1641)+N(G1641)+N(H1641)-N(I1641)+N(J1641))</f>
        <v/>
      </c>
      <c r="L1641" s="67"/>
      <c r="M1641" s="67"/>
      <c r="N1641" s="67"/>
      <c r="O1641" s="67"/>
      <c r="P1641" s="85" t="str">
        <f aca="false">IF(AH1641="","",K1641+N(L1641)+N(M1641)+N(N1641)+N(O1641))</f>
        <v/>
      </c>
      <c r="Q1641" s="67"/>
      <c r="R1641" s="67"/>
      <c r="S1641" s="67"/>
      <c r="T1641" s="67"/>
      <c r="U1641" s="67"/>
      <c r="V1641" s="67"/>
      <c r="W1641" s="85" t="str">
        <f aca="false">IF(AH1641="","",N(Q1641)+N(R1641)+N(S1641)+N(T1641)+N(U1641)+N(V1641))</f>
        <v/>
      </c>
      <c r="X1641" s="85" t="str">
        <f aca="false">IF(AH1641="","",P1641-W1641)</f>
        <v/>
      </c>
      <c r="Y1641" s="67"/>
      <c r="Z1641" s="70" t="str">
        <f aca="false">IF(OR(AH1641="",Y1641=""),"",IF(ABS(X1641-Y1641)&lt;=1,"✓ Cuadra","⚠ Diferencia $"&amp;FIXED(X1641-Y1641,0)))</f>
        <v/>
      </c>
      <c r="AA1641" s="72" t="str">
        <f aca="false">IF(AH1641="","",IFERROR(INDEX(C_TIPO,MATCH(C1641&amp;"-P"&amp;MAX(1,COUNTIFS(C_ID,C1641,C_DEFINE,"Sí",C_INICIO,"&lt;="&amp;EOMONTH(B1641,0))),C_CLAVE,0))&amp;"","Sin dato"))</f>
        <v/>
      </c>
      <c r="AB1641" s="71" t="str">
        <f aca="false">IF(AH1641="","",ROUND(MIN(K1641,TOPE_AFP_UF*AJ1641)*AK1641,0))</f>
        <v/>
      </c>
      <c r="AC1641" s="71" t="str">
        <f aca="false">IF(AH1641="","",ROUND(MIN(K1641,TOPE_AFC_UF*AJ1641)*IF(AA1641="Indefinido",AFC_EMP_INDEF,AFC_EMP_PF),0))</f>
        <v/>
      </c>
      <c r="AD1641" s="71" t="str">
        <f aca="false">IF(AH1641="","",ROUND(MIN(K1641,TOPE_AFP_UF*AJ1641)*(MUTUAL_BASICA+MUTUAL_ADIC+SANNA),0))</f>
        <v/>
      </c>
      <c r="AE1641" s="71" t="str">
        <f aca="false">IF(AH1641="","",P1641-N(N1641)+AB1641+AC1641+AD1641)</f>
        <v/>
      </c>
      <c r="AF1641" s="65"/>
      <c r="AG1641" s="64"/>
      <c r="AH1641" s="72" t="str">
        <f aca="false">IF(OR(B1641="",C1641=""),"",C1641&amp;"|"&amp;(YEAR(B1641)*100+MONTH(B1641)))</f>
        <v/>
      </c>
      <c r="AI1641" s="70" t="str">
        <f aca="false">IF(AH1641="","",IF(COUNTIF(L_CLAVE,AH1641)&gt;1,"⚠ Duplicado","OK"))</f>
        <v/>
      </c>
      <c r="AJ1641" s="86" t="str">
        <f aca="false">IF(AH1641="","",IF(SUMPRODUCT(MAX((IND_PER&lt;=B1641)*(IND_UF&lt;&gt;"")*IND_PER))=0,UF_HOY,INDEX(IND_UF,MATCH(SUMPRODUCT(MAX((IND_PER&lt;=B1641)*(IND_UF&lt;&gt;"")*IND_PER)),IND_PER,0))))</f>
        <v/>
      </c>
      <c r="AK1641" s="87" t="str">
        <f aca="false">IF(AH1641="","",IF(COUNTIF(TASA_DESDE,"&lt;="&amp;B1641)=0,INDEX(TASA_EMP,1),INDEX(TASA_EMP,COUNTIF(TASA_DESDE,"&lt;="&amp;B1641))))</f>
        <v/>
      </c>
    </row>
    <row r="1642" customFormat="false" ht="15" hidden="false" customHeight="false" outlineLevel="0" collapsed="false">
      <c r="B1642" s="78"/>
      <c r="C1642" s="64"/>
      <c r="D1642" s="72" t="str">
        <f aca="false">IF(C1642="","",IFERROR(INDEX(T_NOMBRE,MATCH(C1642,T_ID,0)),"⚠ ID no existe"))</f>
        <v/>
      </c>
      <c r="E1642" s="69"/>
      <c r="F1642" s="67"/>
      <c r="G1642" s="67"/>
      <c r="H1642" s="67"/>
      <c r="I1642" s="67"/>
      <c r="J1642" s="67"/>
      <c r="K1642" s="85" t="str">
        <f aca="false">IF(AH1642="","",N(F1642)+N(G1642)+N(H1642)-N(I1642)+N(J1642))</f>
        <v/>
      </c>
      <c r="L1642" s="67"/>
      <c r="M1642" s="67"/>
      <c r="N1642" s="67"/>
      <c r="O1642" s="67"/>
      <c r="P1642" s="85" t="str">
        <f aca="false">IF(AH1642="","",K1642+N(L1642)+N(M1642)+N(N1642)+N(O1642))</f>
        <v/>
      </c>
      <c r="Q1642" s="67"/>
      <c r="R1642" s="67"/>
      <c r="S1642" s="67"/>
      <c r="T1642" s="67"/>
      <c r="U1642" s="67"/>
      <c r="V1642" s="67"/>
      <c r="W1642" s="85" t="str">
        <f aca="false">IF(AH1642="","",N(Q1642)+N(R1642)+N(S1642)+N(T1642)+N(U1642)+N(V1642))</f>
        <v/>
      </c>
      <c r="X1642" s="85" t="str">
        <f aca="false">IF(AH1642="","",P1642-W1642)</f>
        <v/>
      </c>
      <c r="Y1642" s="67"/>
      <c r="Z1642" s="70" t="str">
        <f aca="false">IF(OR(AH1642="",Y1642=""),"",IF(ABS(X1642-Y1642)&lt;=1,"✓ Cuadra","⚠ Diferencia $"&amp;FIXED(X1642-Y1642,0)))</f>
        <v/>
      </c>
      <c r="AA1642" s="72" t="str">
        <f aca="false">IF(AH1642="","",IFERROR(INDEX(C_TIPO,MATCH(C1642&amp;"-P"&amp;MAX(1,COUNTIFS(C_ID,C1642,C_DEFINE,"Sí",C_INICIO,"&lt;="&amp;EOMONTH(B1642,0))),C_CLAVE,0))&amp;"","Sin dato"))</f>
        <v/>
      </c>
      <c r="AB1642" s="71" t="str">
        <f aca="false">IF(AH1642="","",ROUND(MIN(K1642,TOPE_AFP_UF*AJ1642)*AK1642,0))</f>
        <v/>
      </c>
      <c r="AC1642" s="71" t="str">
        <f aca="false">IF(AH1642="","",ROUND(MIN(K1642,TOPE_AFC_UF*AJ1642)*IF(AA1642="Indefinido",AFC_EMP_INDEF,AFC_EMP_PF),0))</f>
        <v/>
      </c>
      <c r="AD1642" s="71" t="str">
        <f aca="false">IF(AH1642="","",ROUND(MIN(K1642,TOPE_AFP_UF*AJ1642)*(MUTUAL_BASICA+MUTUAL_ADIC+SANNA),0))</f>
        <v/>
      </c>
      <c r="AE1642" s="71" t="str">
        <f aca="false">IF(AH1642="","",P1642-N(N1642)+AB1642+AC1642+AD1642)</f>
        <v/>
      </c>
      <c r="AF1642" s="65"/>
      <c r="AG1642" s="64"/>
      <c r="AH1642" s="72" t="str">
        <f aca="false">IF(OR(B1642="",C1642=""),"",C1642&amp;"|"&amp;(YEAR(B1642)*100+MONTH(B1642)))</f>
        <v/>
      </c>
      <c r="AI1642" s="70" t="str">
        <f aca="false">IF(AH1642="","",IF(COUNTIF(L_CLAVE,AH1642)&gt;1,"⚠ Duplicado","OK"))</f>
        <v/>
      </c>
      <c r="AJ1642" s="86" t="str">
        <f aca="false">IF(AH1642="","",IF(SUMPRODUCT(MAX((IND_PER&lt;=B1642)*(IND_UF&lt;&gt;"")*IND_PER))=0,UF_HOY,INDEX(IND_UF,MATCH(SUMPRODUCT(MAX((IND_PER&lt;=B1642)*(IND_UF&lt;&gt;"")*IND_PER)),IND_PER,0))))</f>
        <v/>
      </c>
      <c r="AK1642" s="87" t="str">
        <f aca="false">IF(AH1642="","",IF(COUNTIF(TASA_DESDE,"&lt;="&amp;B1642)=0,INDEX(TASA_EMP,1),INDEX(TASA_EMP,COUNTIF(TASA_DESDE,"&lt;="&amp;B1642))))</f>
        <v/>
      </c>
    </row>
    <row r="1643" customFormat="false" ht="15" hidden="false" customHeight="false" outlineLevel="0" collapsed="false">
      <c r="B1643" s="78"/>
      <c r="C1643" s="64"/>
      <c r="D1643" s="72" t="str">
        <f aca="false">IF(C1643="","",IFERROR(INDEX(T_NOMBRE,MATCH(C1643,T_ID,0)),"⚠ ID no existe"))</f>
        <v/>
      </c>
      <c r="E1643" s="69"/>
      <c r="F1643" s="67"/>
      <c r="G1643" s="67"/>
      <c r="H1643" s="67"/>
      <c r="I1643" s="67"/>
      <c r="J1643" s="67"/>
      <c r="K1643" s="85" t="str">
        <f aca="false">IF(AH1643="","",N(F1643)+N(G1643)+N(H1643)-N(I1643)+N(J1643))</f>
        <v/>
      </c>
      <c r="L1643" s="67"/>
      <c r="M1643" s="67"/>
      <c r="N1643" s="67"/>
      <c r="O1643" s="67"/>
      <c r="P1643" s="85" t="str">
        <f aca="false">IF(AH1643="","",K1643+N(L1643)+N(M1643)+N(N1643)+N(O1643))</f>
        <v/>
      </c>
      <c r="Q1643" s="67"/>
      <c r="R1643" s="67"/>
      <c r="S1643" s="67"/>
      <c r="T1643" s="67"/>
      <c r="U1643" s="67"/>
      <c r="V1643" s="67"/>
      <c r="W1643" s="85" t="str">
        <f aca="false">IF(AH1643="","",N(Q1643)+N(R1643)+N(S1643)+N(T1643)+N(U1643)+N(V1643))</f>
        <v/>
      </c>
      <c r="X1643" s="85" t="str">
        <f aca="false">IF(AH1643="","",P1643-W1643)</f>
        <v/>
      </c>
      <c r="Y1643" s="67"/>
      <c r="Z1643" s="70" t="str">
        <f aca="false">IF(OR(AH1643="",Y1643=""),"",IF(ABS(X1643-Y1643)&lt;=1,"✓ Cuadra","⚠ Diferencia $"&amp;FIXED(X1643-Y1643,0)))</f>
        <v/>
      </c>
      <c r="AA1643" s="72" t="str">
        <f aca="false">IF(AH1643="","",IFERROR(INDEX(C_TIPO,MATCH(C1643&amp;"-P"&amp;MAX(1,COUNTIFS(C_ID,C1643,C_DEFINE,"Sí",C_INICIO,"&lt;="&amp;EOMONTH(B1643,0))),C_CLAVE,0))&amp;"","Sin dato"))</f>
        <v/>
      </c>
      <c r="AB1643" s="71" t="str">
        <f aca="false">IF(AH1643="","",ROUND(MIN(K1643,TOPE_AFP_UF*AJ1643)*AK1643,0))</f>
        <v/>
      </c>
      <c r="AC1643" s="71" t="str">
        <f aca="false">IF(AH1643="","",ROUND(MIN(K1643,TOPE_AFC_UF*AJ1643)*IF(AA1643="Indefinido",AFC_EMP_INDEF,AFC_EMP_PF),0))</f>
        <v/>
      </c>
      <c r="AD1643" s="71" t="str">
        <f aca="false">IF(AH1643="","",ROUND(MIN(K1643,TOPE_AFP_UF*AJ1643)*(MUTUAL_BASICA+MUTUAL_ADIC+SANNA),0))</f>
        <v/>
      </c>
      <c r="AE1643" s="71" t="str">
        <f aca="false">IF(AH1643="","",P1643-N(N1643)+AB1643+AC1643+AD1643)</f>
        <v/>
      </c>
      <c r="AF1643" s="65"/>
      <c r="AG1643" s="64"/>
      <c r="AH1643" s="72" t="str">
        <f aca="false">IF(OR(B1643="",C1643=""),"",C1643&amp;"|"&amp;(YEAR(B1643)*100+MONTH(B1643)))</f>
        <v/>
      </c>
      <c r="AI1643" s="70" t="str">
        <f aca="false">IF(AH1643="","",IF(COUNTIF(L_CLAVE,AH1643)&gt;1,"⚠ Duplicado","OK"))</f>
        <v/>
      </c>
      <c r="AJ1643" s="86" t="str">
        <f aca="false">IF(AH1643="","",IF(SUMPRODUCT(MAX((IND_PER&lt;=B1643)*(IND_UF&lt;&gt;"")*IND_PER))=0,UF_HOY,INDEX(IND_UF,MATCH(SUMPRODUCT(MAX((IND_PER&lt;=B1643)*(IND_UF&lt;&gt;"")*IND_PER)),IND_PER,0))))</f>
        <v/>
      </c>
      <c r="AK1643" s="87" t="str">
        <f aca="false">IF(AH1643="","",IF(COUNTIF(TASA_DESDE,"&lt;="&amp;B1643)=0,INDEX(TASA_EMP,1),INDEX(TASA_EMP,COUNTIF(TASA_DESDE,"&lt;="&amp;B1643))))</f>
        <v/>
      </c>
    </row>
    <row r="1644" customFormat="false" ht="15" hidden="false" customHeight="false" outlineLevel="0" collapsed="false">
      <c r="B1644" s="78"/>
      <c r="C1644" s="64"/>
      <c r="D1644" s="72" t="str">
        <f aca="false">IF(C1644="","",IFERROR(INDEX(T_NOMBRE,MATCH(C1644,T_ID,0)),"⚠ ID no existe"))</f>
        <v/>
      </c>
      <c r="E1644" s="69"/>
      <c r="F1644" s="67"/>
      <c r="G1644" s="67"/>
      <c r="H1644" s="67"/>
      <c r="I1644" s="67"/>
      <c r="J1644" s="67"/>
      <c r="K1644" s="85" t="str">
        <f aca="false">IF(AH1644="","",N(F1644)+N(G1644)+N(H1644)-N(I1644)+N(J1644))</f>
        <v/>
      </c>
      <c r="L1644" s="67"/>
      <c r="M1644" s="67"/>
      <c r="N1644" s="67"/>
      <c r="O1644" s="67"/>
      <c r="P1644" s="85" t="str">
        <f aca="false">IF(AH1644="","",K1644+N(L1644)+N(M1644)+N(N1644)+N(O1644))</f>
        <v/>
      </c>
      <c r="Q1644" s="67"/>
      <c r="R1644" s="67"/>
      <c r="S1644" s="67"/>
      <c r="T1644" s="67"/>
      <c r="U1644" s="67"/>
      <c r="V1644" s="67"/>
      <c r="W1644" s="85" t="str">
        <f aca="false">IF(AH1644="","",N(Q1644)+N(R1644)+N(S1644)+N(T1644)+N(U1644)+N(V1644))</f>
        <v/>
      </c>
      <c r="X1644" s="85" t="str">
        <f aca="false">IF(AH1644="","",P1644-W1644)</f>
        <v/>
      </c>
      <c r="Y1644" s="67"/>
      <c r="Z1644" s="70" t="str">
        <f aca="false">IF(OR(AH1644="",Y1644=""),"",IF(ABS(X1644-Y1644)&lt;=1,"✓ Cuadra","⚠ Diferencia $"&amp;FIXED(X1644-Y1644,0)))</f>
        <v/>
      </c>
      <c r="AA1644" s="72" t="str">
        <f aca="false">IF(AH1644="","",IFERROR(INDEX(C_TIPO,MATCH(C1644&amp;"-P"&amp;MAX(1,COUNTIFS(C_ID,C1644,C_DEFINE,"Sí",C_INICIO,"&lt;="&amp;EOMONTH(B1644,0))),C_CLAVE,0))&amp;"","Sin dato"))</f>
        <v/>
      </c>
      <c r="AB1644" s="71" t="str">
        <f aca="false">IF(AH1644="","",ROUND(MIN(K1644,TOPE_AFP_UF*AJ1644)*AK1644,0))</f>
        <v/>
      </c>
      <c r="AC1644" s="71" t="str">
        <f aca="false">IF(AH1644="","",ROUND(MIN(K1644,TOPE_AFC_UF*AJ1644)*IF(AA1644="Indefinido",AFC_EMP_INDEF,AFC_EMP_PF),0))</f>
        <v/>
      </c>
      <c r="AD1644" s="71" t="str">
        <f aca="false">IF(AH1644="","",ROUND(MIN(K1644,TOPE_AFP_UF*AJ1644)*(MUTUAL_BASICA+MUTUAL_ADIC+SANNA),0))</f>
        <v/>
      </c>
      <c r="AE1644" s="71" t="str">
        <f aca="false">IF(AH1644="","",P1644-N(N1644)+AB1644+AC1644+AD1644)</f>
        <v/>
      </c>
      <c r="AF1644" s="65"/>
      <c r="AG1644" s="64"/>
      <c r="AH1644" s="72" t="str">
        <f aca="false">IF(OR(B1644="",C1644=""),"",C1644&amp;"|"&amp;(YEAR(B1644)*100+MONTH(B1644)))</f>
        <v/>
      </c>
      <c r="AI1644" s="70" t="str">
        <f aca="false">IF(AH1644="","",IF(COUNTIF(L_CLAVE,AH1644)&gt;1,"⚠ Duplicado","OK"))</f>
        <v/>
      </c>
      <c r="AJ1644" s="86" t="str">
        <f aca="false">IF(AH1644="","",IF(SUMPRODUCT(MAX((IND_PER&lt;=B1644)*(IND_UF&lt;&gt;"")*IND_PER))=0,UF_HOY,INDEX(IND_UF,MATCH(SUMPRODUCT(MAX((IND_PER&lt;=B1644)*(IND_UF&lt;&gt;"")*IND_PER)),IND_PER,0))))</f>
        <v/>
      </c>
      <c r="AK1644" s="87" t="str">
        <f aca="false">IF(AH1644="","",IF(COUNTIF(TASA_DESDE,"&lt;="&amp;B1644)=0,INDEX(TASA_EMP,1),INDEX(TASA_EMP,COUNTIF(TASA_DESDE,"&lt;="&amp;B1644))))</f>
        <v/>
      </c>
    </row>
    <row r="1645" customFormat="false" ht="15" hidden="false" customHeight="false" outlineLevel="0" collapsed="false">
      <c r="B1645" s="78"/>
      <c r="C1645" s="64"/>
      <c r="D1645" s="72" t="str">
        <f aca="false">IF(C1645="","",IFERROR(INDEX(T_NOMBRE,MATCH(C1645,T_ID,0)),"⚠ ID no existe"))</f>
        <v/>
      </c>
      <c r="E1645" s="69"/>
      <c r="F1645" s="67"/>
      <c r="G1645" s="67"/>
      <c r="H1645" s="67"/>
      <c r="I1645" s="67"/>
      <c r="J1645" s="67"/>
      <c r="K1645" s="85" t="str">
        <f aca="false">IF(AH1645="","",N(F1645)+N(G1645)+N(H1645)-N(I1645)+N(J1645))</f>
        <v/>
      </c>
      <c r="L1645" s="67"/>
      <c r="M1645" s="67"/>
      <c r="N1645" s="67"/>
      <c r="O1645" s="67"/>
      <c r="P1645" s="85" t="str">
        <f aca="false">IF(AH1645="","",K1645+N(L1645)+N(M1645)+N(N1645)+N(O1645))</f>
        <v/>
      </c>
      <c r="Q1645" s="67"/>
      <c r="R1645" s="67"/>
      <c r="S1645" s="67"/>
      <c r="T1645" s="67"/>
      <c r="U1645" s="67"/>
      <c r="V1645" s="67"/>
      <c r="W1645" s="85" t="str">
        <f aca="false">IF(AH1645="","",N(Q1645)+N(R1645)+N(S1645)+N(T1645)+N(U1645)+N(V1645))</f>
        <v/>
      </c>
      <c r="X1645" s="85" t="str">
        <f aca="false">IF(AH1645="","",P1645-W1645)</f>
        <v/>
      </c>
      <c r="Y1645" s="67"/>
      <c r="Z1645" s="70" t="str">
        <f aca="false">IF(OR(AH1645="",Y1645=""),"",IF(ABS(X1645-Y1645)&lt;=1,"✓ Cuadra","⚠ Diferencia $"&amp;FIXED(X1645-Y1645,0)))</f>
        <v/>
      </c>
      <c r="AA1645" s="72" t="str">
        <f aca="false">IF(AH1645="","",IFERROR(INDEX(C_TIPO,MATCH(C1645&amp;"-P"&amp;MAX(1,COUNTIFS(C_ID,C1645,C_DEFINE,"Sí",C_INICIO,"&lt;="&amp;EOMONTH(B1645,0))),C_CLAVE,0))&amp;"","Sin dato"))</f>
        <v/>
      </c>
      <c r="AB1645" s="71" t="str">
        <f aca="false">IF(AH1645="","",ROUND(MIN(K1645,TOPE_AFP_UF*AJ1645)*AK1645,0))</f>
        <v/>
      </c>
      <c r="AC1645" s="71" t="str">
        <f aca="false">IF(AH1645="","",ROUND(MIN(K1645,TOPE_AFC_UF*AJ1645)*IF(AA1645="Indefinido",AFC_EMP_INDEF,AFC_EMP_PF),0))</f>
        <v/>
      </c>
      <c r="AD1645" s="71" t="str">
        <f aca="false">IF(AH1645="","",ROUND(MIN(K1645,TOPE_AFP_UF*AJ1645)*(MUTUAL_BASICA+MUTUAL_ADIC+SANNA),0))</f>
        <v/>
      </c>
      <c r="AE1645" s="71" t="str">
        <f aca="false">IF(AH1645="","",P1645-N(N1645)+AB1645+AC1645+AD1645)</f>
        <v/>
      </c>
      <c r="AF1645" s="65"/>
      <c r="AG1645" s="64"/>
      <c r="AH1645" s="72" t="str">
        <f aca="false">IF(OR(B1645="",C1645=""),"",C1645&amp;"|"&amp;(YEAR(B1645)*100+MONTH(B1645)))</f>
        <v/>
      </c>
      <c r="AI1645" s="70" t="str">
        <f aca="false">IF(AH1645="","",IF(COUNTIF(L_CLAVE,AH1645)&gt;1,"⚠ Duplicado","OK"))</f>
        <v/>
      </c>
      <c r="AJ1645" s="86" t="str">
        <f aca="false">IF(AH1645="","",IF(SUMPRODUCT(MAX((IND_PER&lt;=B1645)*(IND_UF&lt;&gt;"")*IND_PER))=0,UF_HOY,INDEX(IND_UF,MATCH(SUMPRODUCT(MAX((IND_PER&lt;=B1645)*(IND_UF&lt;&gt;"")*IND_PER)),IND_PER,0))))</f>
        <v/>
      </c>
      <c r="AK1645" s="87" t="str">
        <f aca="false">IF(AH1645="","",IF(COUNTIF(TASA_DESDE,"&lt;="&amp;B1645)=0,INDEX(TASA_EMP,1),INDEX(TASA_EMP,COUNTIF(TASA_DESDE,"&lt;="&amp;B1645))))</f>
        <v/>
      </c>
    </row>
    <row r="1646" customFormat="false" ht="15" hidden="false" customHeight="false" outlineLevel="0" collapsed="false">
      <c r="B1646" s="78"/>
      <c r="C1646" s="64"/>
      <c r="D1646" s="72" t="str">
        <f aca="false">IF(C1646="","",IFERROR(INDEX(T_NOMBRE,MATCH(C1646,T_ID,0)),"⚠ ID no existe"))</f>
        <v/>
      </c>
      <c r="E1646" s="69"/>
      <c r="F1646" s="67"/>
      <c r="G1646" s="67"/>
      <c r="H1646" s="67"/>
      <c r="I1646" s="67"/>
      <c r="J1646" s="67"/>
      <c r="K1646" s="85" t="str">
        <f aca="false">IF(AH1646="","",N(F1646)+N(G1646)+N(H1646)-N(I1646)+N(J1646))</f>
        <v/>
      </c>
      <c r="L1646" s="67"/>
      <c r="M1646" s="67"/>
      <c r="N1646" s="67"/>
      <c r="O1646" s="67"/>
      <c r="P1646" s="85" t="str">
        <f aca="false">IF(AH1646="","",K1646+N(L1646)+N(M1646)+N(N1646)+N(O1646))</f>
        <v/>
      </c>
      <c r="Q1646" s="67"/>
      <c r="R1646" s="67"/>
      <c r="S1646" s="67"/>
      <c r="T1646" s="67"/>
      <c r="U1646" s="67"/>
      <c r="V1646" s="67"/>
      <c r="W1646" s="85" t="str">
        <f aca="false">IF(AH1646="","",N(Q1646)+N(R1646)+N(S1646)+N(T1646)+N(U1646)+N(V1646))</f>
        <v/>
      </c>
      <c r="X1646" s="85" t="str">
        <f aca="false">IF(AH1646="","",P1646-W1646)</f>
        <v/>
      </c>
      <c r="Y1646" s="67"/>
      <c r="Z1646" s="70" t="str">
        <f aca="false">IF(OR(AH1646="",Y1646=""),"",IF(ABS(X1646-Y1646)&lt;=1,"✓ Cuadra","⚠ Diferencia $"&amp;FIXED(X1646-Y1646,0)))</f>
        <v/>
      </c>
      <c r="AA1646" s="72" t="str">
        <f aca="false">IF(AH1646="","",IFERROR(INDEX(C_TIPO,MATCH(C1646&amp;"-P"&amp;MAX(1,COUNTIFS(C_ID,C1646,C_DEFINE,"Sí",C_INICIO,"&lt;="&amp;EOMONTH(B1646,0))),C_CLAVE,0))&amp;"","Sin dato"))</f>
        <v/>
      </c>
      <c r="AB1646" s="71" t="str">
        <f aca="false">IF(AH1646="","",ROUND(MIN(K1646,TOPE_AFP_UF*AJ1646)*AK1646,0))</f>
        <v/>
      </c>
      <c r="AC1646" s="71" t="str">
        <f aca="false">IF(AH1646="","",ROUND(MIN(K1646,TOPE_AFC_UF*AJ1646)*IF(AA1646="Indefinido",AFC_EMP_INDEF,AFC_EMP_PF),0))</f>
        <v/>
      </c>
      <c r="AD1646" s="71" t="str">
        <f aca="false">IF(AH1646="","",ROUND(MIN(K1646,TOPE_AFP_UF*AJ1646)*(MUTUAL_BASICA+MUTUAL_ADIC+SANNA),0))</f>
        <v/>
      </c>
      <c r="AE1646" s="71" t="str">
        <f aca="false">IF(AH1646="","",P1646-N(N1646)+AB1646+AC1646+AD1646)</f>
        <v/>
      </c>
      <c r="AF1646" s="65"/>
      <c r="AG1646" s="64"/>
      <c r="AH1646" s="72" t="str">
        <f aca="false">IF(OR(B1646="",C1646=""),"",C1646&amp;"|"&amp;(YEAR(B1646)*100+MONTH(B1646)))</f>
        <v/>
      </c>
      <c r="AI1646" s="70" t="str">
        <f aca="false">IF(AH1646="","",IF(COUNTIF(L_CLAVE,AH1646)&gt;1,"⚠ Duplicado","OK"))</f>
        <v/>
      </c>
      <c r="AJ1646" s="86" t="str">
        <f aca="false">IF(AH1646="","",IF(SUMPRODUCT(MAX((IND_PER&lt;=B1646)*(IND_UF&lt;&gt;"")*IND_PER))=0,UF_HOY,INDEX(IND_UF,MATCH(SUMPRODUCT(MAX((IND_PER&lt;=B1646)*(IND_UF&lt;&gt;"")*IND_PER)),IND_PER,0))))</f>
        <v/>
      </c>
      <c r="AK1646" s="87" t="str">
        <f aca="false">IF(AH1646="","",IF(COUNTIF(TASA_DESDE,"&lt;="&amp;B1646)=0,INDEX(TASA_EMP,1),INDEX(TASA_EMP,COUNTIF(TASA_DESDE,"&lt;="&amp;B1646))))</f>
        <v/>
      </c>
    </row>
    <row r="1647" customFormat="false" ht="15" hidden="false" customHeight="false" outlineLevel="0" collapsed="false">
      <c r="B1647" s="78"/>
      <c r="C1647" s="64"/>
      <c r="D1647" s="72" t="str">
        <f aca="false">IF(C1647="","",IFERROR(INDEX(T_NOMBRE,MATCH(C1647,T_ID,0)),"⚠ ID no existe"))</f>
        <v/>
      </c>
      <c r="E1647" s="69"/>
      <c r="F1647" s="67"/>
      <c r="G1647" s="67"/>
      <c r="H1647" s="67"/>
      <c r="I1647" s="67"/>
      <c r="J1647" s="67"/>
      <c r="K1647" s="85" t="str">
        <f aca="false">IF(AH1647="","",N(F1647)+N(G1647)+N(H1647)-N(I1647)+N(J1647))</f>
        <v/>
      </c>
      <c r="L1647" s="67"/>
      <c r="M1647" s="67"/>
      <c r="N1647" s="67"/>
      <c r="O1647" s="67"/>
      <c r="P1647" s="85" t="str">
        <f aca="false">IF(AH1647="","",K1647+N(L1647)+N(M1647)+N(N1647)+N(O1647))</f>
        <v/>
      </c>
      <c r="Q1647" s="67"/>
      <c r="R1647" s="67"/>
      <c r="S1647" s="67"/>
      <c r="T1647" s="67"/>
      <c r="U1647" s="67"/>
      <c r="V1647" s="67"/>
      <c r="W1647" s="85" t="str">
        <f aca="false">IF(AH1647="","",N(Q1647)+N(R1647)+N(S1647)+N(T1647)+N(U1647)+N(V1647))</f>
        <v/>
      </c>
      <c r="X1647" s="85" t="str">
        <f aca="false">IF(AH1647="","",P1647-W1647)</f>
        <v/>
      </c>
      <c r="Y1647" s="67"/>
      <c r="Z1647" s="70" t="str">
        <f aca="false">IF(OR(AH1647="",Y1647=""),"",IF(ABS(X1647-Y1647)&lt;=1,"✓ Cuadra","⚠ Diferencia $"&amp;FIXED(X1647-Y1647,0)))</f>
        <v/>
      </c>
      <c r="AA1647" s="72" t="str">
        <f aca="false">IF(AH1647="","",IFERROR(INDEX(C_TIPO,MATCH(C1647&amp;"-P"&amp;MAX(1,COUNTIFS(C_ID,C1647,C_DEFINE,"Sí",C_INICIO,"&lt;="&amp;EOMONTH(B1647,0))),C_CLAVE,0))&amp;"","Sin dato"))</f>
        <v/>
      </c>
      <c r="AB1647" s="71" t="str">
        <f aca="false">IF(AH1647="","",ROUND(MIN(K1647,TOPE_AFP_UF*AJ1647)*AK1647,0))</f>
        <v/>
      </c>
      <c r="AC1647" s="71" t="str">
        <f aca="false">IF(AH1647="","",ROUND(MIN(K1647,TOPE_AFC_UF*AJ1647)*IF(AA1647="Indefinido",AFC_EMP_INDEF,AFC_EMP_PF),0))</f>
        <v/>
      </c>
      <c r="AD1647" s="71" t="str">
        <f aca="false">IF(AH1647="","",ROUND(MIN(K1647,TOPE_AFP_UF*AJ1647)*(MUTUAL_BASICA+MUTUAL_ADIC+SANNA),0))</f>
        <v/>
      </c>
      <c r="AE1647" s="71" t="str">
        <f aca="false">IF(AH1647="","",P1647-N(N1647)+AB1647+AC1647+AD1647)</f>
        <v/>
      </c>
      <c r="AF1647" s="65"/>
      <c r="AG1647" s="64"/>
      <c r="AH1647" s="72" t="str">
        <f aca="false">IF(OR(B1647="",C1647=""),"",C1647&amp;"|"&amp;(YEAR(B1647)*100+MONTH(B1647)))</f>
        <v/>
      </c>
      <c r="AI1647" s="70" t="str">
        <f aca="false">IF(AH1647="","",IF(COUNTIF(L_CLAVE,AH1647)&gt;1,"⚠ Duplicado","OK"))</f>
        <v/>
      </c>
      <c r="AJ1647" s="86" t="str">
        <f aca="false">IF(AH1647="","",IF(SUMPRODUCT(MAX((IND_PER&lt;=B1647)*(IND_UF&lt;&gt;"")*IND_PER))=0,UF_HOY,INDEX(IND_UF,MATCH(SUMPRODUCT(MAX((IND_PER&lt;=B1647)*(IND_UF&lt;&gt;"")*IND_PER)),IND_PER,0))))</f>
        <v/>
      </c>
      <c r="AK1647" s="87" t="str">
        <f aca="false">IF(AH1647="","",IF(COUNTIF(TASA_DESDE,"&lt;="&amp;B1647)=0,INDEX(TASA_EMP,1),INDEX(TASA_EMP,COUNTIF(TASA_DESDE,"&lt;="&amp;B1647))))</f>
        <v/>
      </c>
    </row>
    <row r="1648" customFormat="false" ht="15" hidden="false" customHeight="false" outlineLevel="0" collapsed="false">
      <c r="B1648" s="78"/>
      <c r="C1648" s="64"/>
      <c r="D1648" s="72" t="str">
        <f aca="false">IF(C1648="","",IFERROR(INDEX(T_NOMBRE,MATCH(C1648,T_ID,0)),"⚠ ID no existe"))</f>
        <v/>
      </c>
      <c r="E1648" s="69"/>
      <c r="F1648" s="67"/>
      <c r="G1648" s="67"/>
      <c r="H1648" s="67"/>
      <c r="I1648" s="67"/>
      <c r="J1648" s="67"/>
      <c r="K1648" s="85" t="str">
        <f aca="false">IF(AH1648="","",N(F1648)+N(G1648)+N(H1648)-N(I1648)+N(J1648))</f>
        <v/>
      </c>
      <c r="L1648" s="67"/>
      <c r="M1648" s="67"/>
      <c r="N1648" s="67"/>
      <c r="O1648" s="67"/>
      <c r="P1648" s="85" t="str">
        <f aca="false">IF(AH1648="","",K1648+N(L1648)+N(M1648)+N(N1648)+N(O1648))</f>
        <v/>
      </c>
      <c r="Q1648" s="67"/>
      <c r="R1648" s="67"/>
      <c r="S1648" s="67"/>
      <c r="T1648" s="67"/>
      <c r="U1648" s="67"/>
      <c r="V1648" s="67"/>
      <c r="W1648" s="85" t="str">
        <f aca="false">IF(AH1648="","",N(Q1648)+N(R1648)+N(S1648)+N(T1648)+N(U1648)+N(V1648))</f>
        <v/>
      </c>
      <c r="X1648" s="85" t="str">
        <f aca="false">IF(AH1648="","",P1648-W1648)</f>
        <v/>
      </c>
      <c r="Y1648" s="67"/>
      <c r="Z1648" s="70" t="str">
        <f aca="false">IF(OR(AH1648="",Y1648=""),"",IF(ABS(X1648-Y1648)&lt;=1,"✓ Cuadra","⚠ Diferencia $"&amp;FIXED(X1648-Y1648,0)))</f>
        <v/>
      </c>
      <c r="AA1648" s="72" t="str">
        <f aca="false">IF(AH1648="","",IFERROR(INDEX(C_TIPO,MATCH(C1648&amp;"-P"&amp;MAX(1,COUNTIFS(C_ID,C1648,C_DEFINE,"Sí",C_INICIO,"&lt;="&amp;EOMONTH(B1648,0))),C_CLAVE,0))&amp;"","Sin dato"))</f>
        <v/>
      </c>
      <c r="AB1648" s="71" t="str">
        <f aca="false">IF(AH1648="","",ROUND(MIN(K1648,TOPE_AFP_UF*AJ1648)*AK1648,0))</f>
        <v/>
      </c>
      <c r="AC1648" s="71" t="str">
        <f aca="false">IF(AH1648="","",ROUND(MIN(K1648,TOPE_AFC_UF*AJ1648)*IF(AA1648="Indefinido",AFC_EMP_INDEF,AFC_EMP_PF),0))</f>
        <v/>
      </c>
      <c r="AD1648" s="71" t="str">
        <f aca="false">IF(AH1648="","",ROUND(MIN(K1648,TOPE_AFP_UF*AJ1648)*(MUTUAL_BASICA+MUTUAL_ADIC+SANNA),0))</f>
        <v/>
      </c>
      <c r="AE1648" s="71" t="str">
        <f aca="false">IF(AH1648="","",P1648-N(N1648)+AB1648+AC1648+AD1648)</f>
        <v/>
      </c>
      <c r="AF1648" s="65"/>
      <c r="AG1648" s="64"/>
      <c r="AH1648" s="72" t="str">
        <f aca="false">IF(OR(B1648="",C1648=""),"",C1648&amp;"|"&amp;(YEAR(B1648)*100+MONTH(B1648)))</f>
        <v/>
      </c>
      <c r="AI1648" s="70" t="str">
        <f aca="false">IF(AH1648="","",IF(COUNTIF(L_CLAVE,AH1648)&gt;1,"⚠ Duplicado","OK"))</f>
        <v/>
      </c>
      <c r="AJ1648" s="86" t="str">
        <f aca="false">IF(AH1648="","",IF(SUMPRODUCT(MAX((IND_PER&lt;=B1648)*(IND_UF&lt;&gt;"")*IND_PER))=0,UF_HOY,INDEX(IND_UF,MATCH(SUMPRODUCT(MAX((IND_PER&lt;=B1648)*(IND_UF&lt;&gt;"")*IND_PER)),IND_PER,0))))</f>
        <v/>
      </c>
      <c r="AK1648" s="87" t="str">
        <f aca="false">IF(AH1648="","",IF(COUNTIF(TASA_DESDE,"&lt;="&amp;B1648)=0,INDEX(TASA_EMP,1),INDEX(TASA_EMP,COUNTIF(TASA_DESDE,"&lt;="&amp;B1648))))</f>
        <v/>
      </c>
    </row>
    <row r="1649" customFormat="false" ht="15" hidden="false" customHeight="false" outlineLevel="0" collapsed="false">
      <c r="B1649" s="78"/>
      <c r="C1649" s="64"/>
      <c r="D1649" s="72" t="str">
        <f aca="false">IF(C1649="","",IFERROR(INDEX(T_NOMBRE,MATCH(C1649,T_ID,0)),"⚠ ID no existe"))</f>
        <v/>
      </c>
      <c r="E1649" s="69"/>
      <c r="F1649" s="67"/>
      <c r="G1649" s="67"/>
      <c r="H1649" s="67"/>
      <c r="I1649" s="67"/>
      <c r="J1649" s="67"/>
      <c r="K1649" s="85" t="str">
        <f aca="false">IF(AH1649="","",N(F1649)+N(G1649)+N(H1649)-N(I1649)+N(J1649))</f>
        <v/>
      </c>
      <c r="L1649" s="67"/>
      <c r="M1649" s="67"/>
      <c r="N1649" s="67"/>
      <c r="O1649" s="67"/>
      <c r="P1649" s="85" t="str">
        <f aca="false">IF(AH1649="","",K1649+N(L1649)+N(M1649)+N(N1649)+N(O1649))</f>
        <v/>
      </c>
      <c r="Q1649" s="67"/>
      <c r="R1649" s="67"/>
      <c r="S1649" s="67"/>
      <c r="T1649" s="67"/>
      <c r="U1649" s="67"/>
      <c r="V1649" s="67"/>
      <c r="W1649" s="85" t="str">
        <f aca="false">IF(AH1649="","",N(Q1649)+N(R1649)+N(S1649)+N(T1649)+N(U1649)+N(V1649))</f>
        <v/>
      </c>
      <c r="X1649" s="85" t="str">
        <f aca="false">IF(AH1649="","",P1649-W1649)</f>
        <v/>
      </c>
      <c r="Y1649" s="67"/>
      <c r="Z1649" s="70" t="str">
        <f aca="false">IF(OR(AH1649="",Y1649=""),"",IF(ABS(X1649-Y1649)&lt;=1,"✓ Cuadra","⚠ Diferencia $"&amp;FIXED(X1649-Y1649,0)))</f>
        <v/>
      </c>
      <c r="AA1649" s="72" t="str">
        <f aca="false">IF(AH1649="","",IFERROR(INDEX(C_TIPO,MATCH(C1649&amp;"-P"&amp;MAX(1,COUNTIFS(C_ID,C1649,C_DEFINE,"Sí",C_INICIO,"&lt;="&amp;EOMONTH(B1649,0))),C_CLAVE,0))&amp;"","Sin dato"))</f>
        <v/>
      </c>
      <c r="AB1649" s="71" t="str">
        <f aca="false">IF(AH1649="","",ROUND(MIN(K1649,TOPE_AFP_UF*AJ1649)*AK1649,0))</f>
        <v/>
      </c>
      <c r="AC1649" s="71" t="str">
        <f aca="false">IF(AH1649="","",ROUND(MIN(K1649,TOPE_AFC_UF*AJ1649)*IF(AA1649="Indefinido",AFC_EMP_INDEF,AFC_EMP_PF),0))</f>
        <v/>
      </c>
      <c r="AD1649" s="71" t="str">
        <f aca="false">IF(AH1649="","",ROUND(MIN(K1649,TOPE_AFP_UF*AJ1649)*(MUTUAL_BASICA+MUTUAL_ADIC+SANNA),0))</f>
        <v/>
      </c>
      <c r="AE1649" s="71" t="str">
        <f aca="false">IF(AH1649="","",P1649-N(N1649)+AB1649+AC1649+AD1649)</f>
        <v/>
      </c>
      <c r="AF1649" s="65"/>
      <c r="AG1649" s="64"/>
      <c r="AH1649" s="72" t="str">
        <f aca="false">IF(OR(B1649="",C1649=""),"",C1649&amp;"|"&amp;(YEAR(B1649)*100+MONTH(B1649)))</f>
        <v/>
      </c>
      <c r="AI1649" s="70" t="str">
        <f aca="false">IF(AH1649="","",IF(COUNTIF(L_CLAVE,AH1649)&gt;1,"⚠ Duplicado","OK"))</f>
        <v/>
      </c>
      <c r="AJ1649" s="86" t="str">
        <f aca="false">IF(AH1649="","",IF(SUMPRODUCT(MAX((IND_PER&lt;=B1649)*(IND_UF&lt;&gt;"")*IND_PER))=0,UF_HOY,INDEX(IND_UF,MATCH(SUMPRODUCT(MAX((IND_PER&lt;=B1649)*(IND_UF&lt;&gt;"")*IND_PER)),IND_PER,0))))</f>
        <v/>
      </c>
      <c r="AK1649" s="87" t="str">
        <f aca="false">IF(AH1649="","",IF(COUNTIF(TASA_DESDE,"&lt;="&amp;B1649)=0,INDEX(TASA_EMP,1),INDEX(TASA_EMP,COUNTIF(TASA_DESDE,"&lt;="&amp;B1649))))</f>
        <v/>
      </c>
    </row>
    <row r="1650" customFormat="false" ht="15" hidden="false" customHeight="false" outlineLevel="0" collapsed="false">
      <c r="B1650" s="78"/>
      <c r="C1650" s="64"/>
      <c r="D1650" s="72" t="str">
        <f aca="false">IF(C1650="","",IFERROR(INDEX(T_NOMBRE,MATCH(C1650,T_ID,0)),"⚠ ID no existe"))</f>
        <v/>
      </c>
      <c r="E1650" s="69"/>
      <c r="F1650" s="67"/>
      <c r="G1650" s="67"/>
      <c r="H1650" s="67"/>
      <c r="I1650" s="67"/>
      <c r="J1650" s="67"/>
      <c r="K1650" s="85" t="str">
        <f aca="false">IF(AH1650="","",N(F1650)+N(G1650)+N(H1650)-N(I1650)+N(J1650))</f>
        <v/>
      </c>
      <c r="L1650" s="67"/>
      <c r="M1650" s="67"/>
      <c r="N1650" s="67"/>
      <c r="O1650" s="67"/>
      <c r="P1650" s="85" t="str">
        <f aca="false">IF(AH1650="","",K1650+N(L1650)+N(M1650)+N(N1650)+N(O1650))</f>
        <v/>
      </c>
      <c r="Q1650" s="67"/>
      <c r="R1650" s="67"/>
      <c r="S1650" s="67"/>
      <c r="T1650" s="67"/>
      <c r="U1650" s="67"/>
      <c r="V1650" s="67"/>
      <c r="W1650" s="85" t="str">
        <f aca="false">IF(AH1650="","",N(Q1650)+N(R1650)+N(S1650)+N(T1650)+N(U1650)+N(V1650))</f>
        <v/>
      </c>
      <c r="X1650" s="85" t="str">
        <f aca="false">IF(AH1650="","",P1650-W1650)</f>
        <v/>
      </c>
      <c r="Y1650" s="67"/>
      <c r="Z1650" s="70" t="str">
        <f aca="false">IF(OR(AH1650="",Y1650=""),"",IF(ABS(X1650-Y1650)&lt;=1,"✓ Cuadra","⚠ Diferencia $"&amp;FIXED(X1650-Y1650,0)))</f>
        <v/>
      </c>
      <c r="AA1650" s="72" t="str">
        <f aca="false">IF(AH1650="","",IFERROR(INDEX(C_TIPO,MATCH(C1650&amp;"-P"&amp;MAX(1,COUNTIFS(C_ID,C1650,C_DEFINE,"Sí",C_INICIO,"&lt;="&amp;EOMONTH(B1650,0))),C_CLAVE,0))&amp;"","Sin dato"))</f>
        <v/>
      </c>
      <c r="AB1650" s="71" t="str">
        <f aca="false">IF(AH1650="","",ROUND(MIN(K1650,TOPE_AFP_UF*AJ1650)*AK1650,0))</f>
        <v/>
      </c>
      <c r="AC1650" s="71" t="str">
        <f aca="false">IF(AH1650="","",ROUND(MIN(K1650,TOPE_AFC_UF*AJ1650)*IF(AA1650="Indefinido",AFC_EMP_INDEF,AFC_EMP_PF),0))</f>
        <v/>
      </c>
      <c r="AD1650" s="71" t="str">
        <f aca="false">IF(AH1650="","",ROUND(MIN(K1650,TOPE_AFP_UF*AJ1650)*(MUTUAL_BASICA+MUTUAL_ADIC+SANNA),0))</f>
        <v/>
      </c>
      <c r="AE1650" s="71" t="str">
        <f aca="false">IF(AH1650="","",P1650-N(N1650)+AB1650+AC1650+AD1650)</f>
        <v/>
      </c>
      <c r="AF1650" s="65"/>
      <c r="AG1650" s="64"/>
      <c r="AH1650" s="72" t="str">
        <f aca="false">IF(OR(B1650="",C1650=""),"",C1650&amp;"|"&amp;(YEAR(B1650)*100+MONTH(B1650)))</f>
        <v/>
      </c>
      <c r="AI1650" s="70" t="str">
        <f aca="false">IF(AH1650="","",IF(COUNTIF(L_CLAVE,AH1650)&gt;1,"⚠ Duplicado","OK"))</f>
        <v/>
      </c>
      <c r="AJ1650" s="86" t="str">
        <f aca="false">IF(AH1650="","",IF(SUMPRODUCT(MAX((IND_PER&lt;=B1650)*(IND_UF&lt;&gt;"")*IND_PER))=0,UF_HOY,INDEX(IND_UF,MATCH(SUMPRODUCT(MAX((IND_PER&lt;=B1650)*(IND_UF&lt;&gt;"")*IND_PER)),IND_PER,0))))</f>
        <v/>
      </c>
      <c r="AK1650" s="87" t="str">
        <f aca="false">IF(AH1650="","",IF(COUNTIF(TASA_DESDE,"&lt;="&amp;B1650)=0,INDEX(TASA_EMP,1),INDEX(TASA_EMP,COUNTIF(TASA_DESDE,"&lt;="&amp;B1650))))</f>
        <v/>
      </c>
    </row>
    <row r="1651" customFormat="false" ht="15" hidden="false" customHeight="false" outlineLevel="0" collapsed="false">
      <c r="B1651" s="78"/>
      <c r="C1651" s="64"/>
      <c r="D1651" s="72" t="str">
        <f aca="false">IF(C1651="","",IFERROR(INDEX(T_NOMBRE,MATCH(C1651,T_ID,0)),"⚠ ID no existe"))</f>
        <v/>
      </c>
      <c r="E1651" s="69"/>
      <c r="F1651" s="67"/>
      <c r="G1651" s="67"/>
      <c r="H1651" s="67"/>
      <c r="I1651" s="67"/>
      <c r="J1651" s="67"/>
      <c r="K1651" s="85" t="str">
        <f aca="false">IF(AH1651="","",N(F1651)+N(G1651)+N(H1651)-N(I1651)+N(J1651))</f>
        <v/>
      </c>
      <c r="L1651" s="67"/>
      <c r="M1651" s="67"/>
      <c r="N1651" s="67"/>
      <c r="O1651" s="67"/>
      <c r="P1651" s="85" t="str">
        <f aca="false">IF(AH1651="","",K1651+N(L1651)+N(M1651)+N(N1651)+N(O1651))</f>
        <v/>
      </c>
      <c r="Q1651" s="67"/>
      <c r="R1651" s="67"/>
      <c r="S1651" s="67"/>
      <c r="T1651" s="67"/>
      <c r="U1651" s="67"/>
      <c r="V1651" s="67"/>
      <c r="W1651" s="85" t="str">
        <f aca="false">IF(AH1651="","",N(Q1651)+N(R1651)+N(S1651)+N(T1651)+N(U1651)+N(V1651))</f>
        <v/>
      </c>
      <c r="X1651" s="85" t="str">
        <f aca="false">IF(AH1651="","",P1651-W1651)</f>
        <v/>
      </c>
      <c r="Y1651" s="67"/>
      <c r="Z1651" s="70" t="str">
        <f aca="false">IF(OR(AH1651="",Y1651=""),"",IF(ABS(X1651-Y1651)&lt;=1,"✓ Cuadra","⚠ Diferencia $"&amp;FIXED(X1651-Y1651,0)))</f>
        <v/>
      </c>
      <c r="AA1651" s="72" t="str">
        <f aca="false">IF(AH1651="","",IFERROR(INDEX(C_TIPO,MATCH(C1651&amp;"-P"&amp;MAX(1,COUNTIFS(C_ID,C1651,C_DEFINE,"Sí",C_INICIO,"&lt;="&amp;EOMONTH(B1651,0))),C_CLAVE,0))&amp;"","Sin dato"))</f>
        <v/>
      </c>
      <c r="AB1651" s="71" t="str">
        <f aca="false">IF(AH1651="","",ROUND(MIN(K1651,TOPE_AFP_UF*AJ1651)*AK1651,0))</f>
        <v/>
      </c>
      <c r="AC1651" s="71" t="str">
        <f aca="false">IF(AH1651="","",ROUND(MIN(K1651,TOPE_AFC_UF*AJ1651)*IF(AA1651="Indefinido",AFC_EMP_INDEF,AFC_EMP_PF),0))</f>
        <v/>
      </c>
      <c r="AD1651" s="71" t="str">
        <f aca="false">IF(AH1651="","",ROUND(MIN(K1651,TOPE_AFP_UF*AJ1651)*(MUTUAL_BASICA+MUTUAL_ADIC+SANNA),0))</f>
        <v/>
      </c>
      <c r="AE1651" s="71" t="str">
        <f aca="false">IF(AH1651="","",P1651-N(N1651)+AB1651+AC1651+AD1651)</f>
        <v/>
      </c>
      <c r="AF1651" s="65"/>
      <c r="AG1651" s="64"/>
      <c r="AH1651" s="72" t="str">
        <f aca="false">IF(OR(B1651="",C1651=""),"",C1651&amp;"|"&amp;(YEAR(B1651)*100+MONTH(B1651)))</f>
        <v/>
      </c>
      <c r="AI1651" s="70" t="str">
        <f aca="false">IF(AH1651="","",IF(COUNTIF(L_CLAVE,AH1651)&gt;1,"⚠ Duplicado","OK"))</f>
        <v/>
      </c>
      <c r="AJ1651" s="86" t="str">
        <f aca="false">IF(AH1651="","",IF(SUMPRODUCT(MAX((IND_PER&lt;=B1651)*(IND_UF&lt;&gt;"")*IND_PER))=0,UF_HOY,INDEX(IND_UF,MATCH(SUMPRODUCT(MAX((IND_PER&lt;=B1651)*(IND_UF&lt;&gt;"")*IND_PER)),IND_PER,0))))</f>
        <v/>
      </c>
      <c r="AK1651" s="87" t="str">
        <f aca="false">IF(AH1651="","",IF(COUNTIF(TASA_DESDE,"&lt;="&amp;B1651)=0,INDEX(TASA_EMP,1),INDEX(TASA_EMP,COUNTIF(TASA_DESDE,"&lt;="&amp;B1651))))</f>
        <v/>
      </c>
    </row>
    <row r="1652" customFormat="false" ht="15" hidden="false" customHeight="false" outlineLevel="0" collapsed="false">
      <c r="B1652" s="78"/>
      <c r="C1652" s="64"/>
      <c r="D1652" s="72" t="str">
        <f aca="false">IF(C1652="","",IFERROR(INDEX(T_NOMBRE,MATCH(C1652,T_ID,0)),"⚠ ID no existe"))</f>
        <v/>
      </c>
      <c r="E1652" s="69"/>
      <c r="F1652" s="67"/>
      <c r="G1652" s="67"/>
      <c r="H1652" s="67"/>
      <c r="I1652" s="67"/>
      <c r="J1652" s="67"/>
      <c r="K1652" s="85" t="str">
        <f aca="false">IF(AH1652="","",N(F1652)+N(G1652)+N(H1652)-N(I1652)+N(J1652))</f>
        <v/>
      </c>
      <c r="L1652" s="67"/>
      <c r="M1652" s="67"/>
      <c r="N1652" s="67"/>
      <c r="O1652" s="67"/>
      <c r="P1652" s="85" t="str">
        <f aca="false">IF(AH1652="","",K1652+N(L1652)+N(M1652)+N(N1652)+N(O1652))</f>
        <v/>
      </c>
      <c r="Q1652" s="67"/>
      <c r="R1652" s="67"/>
      <c r="S1652" s="67"/>
      <c r="T1652" s="67"/>
      <c r="U1652" s="67"/>
      <c r="V1652" s="67"/>
      <c r="W1652" s="85" t="str">
        <f aca="false">IF(AH1652="","",N(Q1652)+N(R1652)+N(S1652)+N(T1652)+N(U1652)+N(V1652))</f>
        <v/>
      </c>
      <c r="X1652" s="85" t="str">
        <f aca="false">IF(AH1652="","",P1652-W1652)</f>
        <v/>
      </c>
      <c r="Y1652" s="67"/>
      <c r="Z1652" s="70" t="str">
        <f aca="false">IF(OR(AH1652="",Y1652=""),"",IF(ABS(X1652-Y1652)&lt;=1,"✓ Cuadra","⚠ Diferencia $"&amp;FIXED(X1652-Y1652,0)))</f>
        <v/>
      </c>
      <c r="AA1652" s="72" t="str">
        <f aca="false">IF(AH1652="","",IFERROR(INDEX(C_TIPO,MATCH(C1652&amp;"-P"&amp;MAX(1,COUNTIFS(C_ID,C1652,C_DEFINE,"Sí",C_INICIO,"&lt;="&amp;EOMONTH(B1652,0))),C_CLAVE,0))&amp;"","Sin dato"))</f>
        <v/>
      </c>
      <c r="AB1652" s="71" t="str">
        <f aca="false">IF(AH1652="","",ROUND(MIN(K1652,TOPE_AFP_UF*AJ1652)*AK1652,0))</f>
        <v/>
      </c>
      <c r="AC1652" s="71" t="str">
        <f aca="false">IF(AH1652="","",ROUND(MIN(K1652,TOPE_AFC_UF*AJ1652)*IF(AA1652="Indefinido",AFC_EMP_INDEF,AFC_EMP_PF),0))</f>
        <v/>
      </c>
      <c r="AD1652" s="71" t="str">
        <f aca="false">IF(AH1652="","",ROUND(MIN(K1652,TOPE_AFP_UF*AJ1652)*(MUTUAL_BASICA+MUTUAL_ADIC+SANNA),0))</f>
        <v/>
      </c>
      <c r="AE1652" s="71" t="str">
        <f aca="false">IF(AH1652="","",P1652-N(N1652)+AB1652+AC1652+AD1652)</f>
        <v/>
      </c>
      <c r="AF1652" s="65"/>
      <c r="AG1652" s="64"/>
      <c r="AH1652" s="72" t="str">
        <f aca="false">IF(OR(B1652="",C1652=""),"",C1652&amp;"|"&amp;(YEAR(B1652)*100+MONTH(B1652)))</f>
        <v/>
      </c>
      <c r="AI1652" s="70" t="str">
        <f aca="false">IF(AH1652="","",IF(COUNTIF(L_CLAVE,AH1652)&gt;1,"⚠ Duplicado","OK"))</f>
        <v/>
      </c>
      <c r="AJ1652" s="86" t="str">
        <f aca="false">IF(AH1652="","",IF(SUMPRODUCT(MAX((IND_PER&lt;=B1652)*(IND_UF&lt;&gt;"")*IND_PER))=0,UF_HOY,INDEX(IND_UF,MATCH(SUMPRODUCT(MAX((IND_PER&lt;=B1652)*(IND_UF&lt;&gt;"")*IND_PER)),IND_PER,0))))</f>
        <v/>
      </c>
      <c r="AK1652" s="87" t="str">
        <f aca="false">IF(AH1652="","",IF(COUNTIF(TASA_DESDE,"&lt;="&amp;B1652)=0,INDEX(TASA_EMP,1),INDEX(TASA_EMP,COUNTIF(TASA_DESDE,"&lt;="&amp;B1652))))</f>
        <v/>
      </c>
    </row>
    <row r="1653" customFormat="false" ht="15" hidden="false" customHeight="false" outlineLevel="0" collapsed="false">
      <c r="B1653" s="78"/>
      <c r="C1653" s="64"/>
      <c r="D1653" s="72" t="str">
        <f aca="false">IF(C1653="","",IFERROR(INDEX(T_NOMBRE,MATCH(C1653,T_ID,0)),"⚠ ID no existe"))</f>
        <v/>
      </c>
      <c r="E1653" s="69"/>
      <c r="F1653" s="67"/>
      <c r="G1653" s="67"/>
      <c r="H1653" s="67"/>
      <c r="I1653" s="67"/>
      <c r="J1653" s="67"/>
      <c r="K1653" s="85" t="str">
        <f aca="false">IF(AH1653="","",N(F1653)+N(G1653)+N(H1653)-N(I1653)+N(J1653))</f>
        <v/>
      </c>
      <c r="L1653" s="67"/>
      <c r="M1653" s="67"/>
      <c r="N1653" s="67"/>
      <c r="O1653" s="67"/>
      <c r="P1653" s="85" t="str">
        <f aca="false">IF(AH1653="","",K1653+N(L1653)+N(M1653)+N(N1653)+N(O1653))</f>
        <v/>
      </c>
      <c r="Q1653" s="67"/>
      <c r="R1653" s="67"/>
      <c r="S1653" s="67"/>
      <c r="T1653" s="67"/>
      <c r="U1653" s="67"/>
      <c r="V1653" s="67"/>
      <c r="W1653" s="85" t="str">
        <f aca="false">IF(AH1653="","",N(Q1653)+N(R1653)+N(S1653)+N(T1653)+N(U1653)+N(V1653))</f>
        <v/>
      </c>
      <c r="X1653" s="85" t="str">
        <f aca="false">IF(AH1653="","",P1653-W1653)</f>
        <v/>
      </c>
      <c r="Y1653" s="67"/>
      <c r="Z1653" s="70" t="str">
        <f aca="false">IF(OR(AH1653="",Y1653=""),"",IF(ABS(X1653-Y1653)&lt;=1,"✓ Cuadra","⚠ Diferencia $"&amp;FIXED(X1653-Y1653,0)))</f>
        <v/>
      </c>
      <c r="AA1653" s="72" t="str">
        <f aca="false">IF(AH1653="","",IFERROR(INDEX(C_TIPO,MATCH(C1653&amp;"-P"&amp;MAX(1,COUNTIFS(C_ID,C1653,C_DEFINE,"Sí",C_INICIO,"&lt;="&amp;EOMONTH(B1653,0))),C_CLAVE,0))&amp;"","Sin dato"))</f>
        <v/>
      </c>
      <c r="AB1653" s="71" t="str">
        <f aca="false">IF(AH1653="","",ROUND(MIN(K1653,TOPE_AFP_UF*AJ1653)*AK1653,0))</f>
        <v/>
      </c>
      <c r="AC1653" s="71" t="str">
        <f aca="false">IF(AH1653="","",ROUND(MIN(K1653,TOPE_AFC_UF*AJ1653)*IF(AA1653="Indefinido",AFC_EMP_INDEF,AFC_EMP_PF),0))</f>
        <v/>
      </c>
      <c r="AD1653" s="71" t="str">
        <f aca="false">IF(AH1653="","",ROUND(MIN(K1653,TOPE_AFP_UF*AJ1653)*(MUTUAL_BASICA+MUTUAL_ADIC+SANNA),0))</f>
        <v/>
      </c>
      <c r="AE1653" s="71" t="str">
        <f aca="false">IF(AH1653="","",P1653-N(N1653)+AB1653+AC1653+AD1653)</f>
        <v/>
      </c>
      <c r="AF1653" s="65"/>
      <c r="AG1653" s="64"/>
      <c r="AH1653" s="72" t="str">
        <f aca="false">IF(OR(B1653="",C1653=""),"",C1653&amp;"|"&amp;(YEAR(B1653)*100+MONTH(B1653)))</f>
        <v/>
      </c>
      <c r="AI1653" s="70" t="str">
        <f aca="false">IF(AH1653="","",IF(COUNTIF(L_CLAVE,AH1653)&gt;1,"⚠ Duplicado","OK"))</f>
        <v/>
      </c>
      <c r="AJ1653" s="86" t="str">
        <f aca="false">IF(AH1653="","",IF(SUMPRODUCT(MAX((IND_PER&lt;=B1653)*(IND_UF&lt;&gt;"")*IND_PER))=0,UF_HOY,INDEX(IND_UF,MATCH(SUMPRODUCT(MAX((IND_PER&lt;=B1653)*(IND_UF&lt;&gt;"")*IND_PER)),IND_PER,0))))</f>
        <v/>
      </c>
      <c r="AK1653" s="87" t="str">
        <f aca="false">IF(AH1653="","",IF(COUNTIF(TASA_DESDE,"&lt;="&amp;B1653)=0,INDEX(TASA_EMP,1),INDEX(TASA_EMP,COUNTIF(TASA_DESDE,"&lt;="&amp;B1653))))</f>
        <v/>
      </c>
    </row>
    <row r="1654" customFormat="false" ht="15" hidden="false" customHeight="false" outlineLevel="0" collapsed="false">
      <c r="B1654" s="78"/>
      <c r="C1654" s="64"/>
      <c r="D1654" s="72" t="str">
        <f aca="false">IF(C1654="","",IFERROR(INDEX(T_NOMBRE,MATCH(C1654,T_ID,0)),"⚠ ID no existe"))</f>
        <v/>
      </c>
      <c r="E1654" s="69"/>
      <c r="F1654" s="67"/>
      <c r="G1654" s="67"/>
      <c r="H1654" s="67"/>
      <c r="I1654" s="67"/>
      <c r="J1654" s="67"/>
      <c r="K1654" s="85" t="str">
        <f aca="false">IF(AH1654="","",N(F1654)+N(G1654)+N(H1654)-N(I1654)+N(J1654))</f>
        <v/>
      </c>
      <c r="L1654" s="67"/>
      <c r="M1654" s="67"/>
      <c r="N1654" s="67"/>
      <c r="O1654" s="67"/>
      <c r="P1654" s="85" t="str">
        <f aca="false">IF(AH1654="","",K1654+N(L1654)+N(M1654)+N(N1654)+N(O1654))</f>
        <v/>
      </c>
      <c r="Q1654" s="67"/>
      <c r="R1654" s="67"/>
      <c r="S1654" s="67"/>
      <c r="T1654" s="67"/>
      <c r="U1654" s="67"/>
      <c r="V1654" s="67"/>
      <c r="W1654" s="85" t="str">
        <f aca="false">IF(AH1654="","",N(Q1654)+N(R1654)+N(S1654)+N(T1654)+N(U1654)+N(V1654))</f>
        <v/>
      </c>
      <c r="X1654" s="85" t="str">
        <f aca="false">IF(AH1654="","",P1654-W1654)</f>
        <v/>
      </c>
      <c r="Y1654" s="67"/>
      <c r="Z1654" s="70" t="str">
        <f aca="false">IF(OR(AH1654="",Y1654=""),"",IF(ABS(X1654-Y1654)&lt;=1,"✓ Cuadra","⚠ Diferencia $"&amp;FIXED(X1654-Y1654,0)))</f>
        <v/>
      </c>
      <c r="AA1654" s="72" t="str">
        <f aca="false">IF(AH1654="","",IFERROR(INDEX(C_TIPO,MATCH(C1654&amp;"-P"&amp;MAX(1,COUNTIFS(C_ID,C1654,C_DEFINE,"Sí",C_INICIO,"&lt;="&amp;EOMONTH(B1654,0))),C_CLAVE,0))&amp;"","Sin dato"))</f>
        <v/>
      </c>
      <c r="AB1654" s="71" t="str">
        <f aca="false">IF(AH1654="","",ROUND(MIN(K1654,TOPE_AFP_UF*AJ1654)*AK1654,0))</f>
        <v/>
      </c>
      <c r="AC1654" s="71" t="str">
        <f aca="false">IF(AH1654="","",ROUND(MIN(K1654,TOPE_AFC_UF*AJ1654)*IF(AA1654="Indefinido",AFC_EMP_INDEF,AFC_EMP_PF),0))</f>
        <v/>
      </c>
      <c r="AD1654" s="71" t="str">
        <f aca="false">IF(AH1654="","",ROUND(MIN(K1654,TOPE_AFP_UF*AJ1654)*(MUTUAL_BASICA+MUTUAL_ADIC+SANNA),0))</f>
        <v/>
      </c>
      <c r="AE1654" s="71" t="str">
        <f aca="false">IF(AH1654="","",P1654-N(N1654)+AB1654+AC1654+AD1654)</f>
        <v/>
      </c>
      <c r="AF1654" s="65"/>
      <c r="AG1654" s="64"/>
      <c r="AH1654" s="72" t="str">
        <f aca="false">IF(OR(B1654="",C1654=""),"",C1654&amp;"|"&amp;(YEAR(B1654)*100+MONTH(B1654)))</f>
        <v/>
      </c>
      <c r="AI1654" s="70" t="str">
        <f aca="false">IF(AH1654="","",IF(COUNTIF(L_CLAVE,AH1654)&gt;1,"⚠ Duplicado","OK"))</f>
        <v/>
      </c>
      <c r="AJ1654" s="86" t="str">
        <f aca="false">IF(AH1654="","",IF(SUMPRODUCT(MAX((IND_PER&lt;=B1654)*(IND_UF&lt;&gt;"")*IND_PER))=0,UF_HOY,INDEX(IND_UF,MATCH(SUMPRODUCT(MAX((IND_PER&lt;=B1654)*(IND_UF&lt;&gt;"")*IND_PER)),IND_PER,0))))</f>
        <v/>
      </c>
      <c r="AK1654" s="87" t="str">
        <f aca="false">IF(AH1654="","",IF(COUNTIF(TASA_DESDE,"&lt;="&amp;B1654)=0,INDEX(TASA_EMP,1),INDEX(TASA_EMP,COUNTIF(TASA_DESDE,"&lt;="&amp;B1654))))</f>
        <v/>
      </c>
    </row>
    <row r="1655" customFormat="false" ht="15" hidden="false" customHeight="false" outlineLevel="0" collapsed="false">
      <c r="B1655" s="78"/>
      <c r="C1655" s="64"/>
      <c r="D1655" s="72" t="str">
        <f aca="false">IF(C1655="","",IFERROR(INDEX(T_NOMBRE,MATCH(C1655,T_ID,0)),"⚠ ID no existe"))</f>
        <v/>
      </c>
      <c r="E1655" s="69"/>
      <c r="F1655" s="67"/>
      <c r="G1655" s="67"/>
      <c r="H1655" s="67"/>
      <c r="I1655" s="67"/>
      <c r="J1655" s="67"/>
      <c r="K1655" s="85" t="str">
        <f aca="false">IF(AH1655="","",N(F1655)+N(G1655)+N(H1655)-N(I1655)+N(J1655))</f>
        <v/>
      </c>
      <c r="L1655" s="67"/>
      <c r="M1655" s="67"/>
      <c r="N1655" s="67"/>
      <c r="O1655" s="67"/>
      <c r="P1655" s="85" t="str">
        <f aca="false">IF(AH1655="","",K1655+N(L1655)+N(M1655)+N(N1655)+N(O1655))</f>
        <v/>
      </c>
      <c r="Q1655" s="67"/>
      <c r="R1655" s="67"/>
      <c r="S1655" s="67"/>
      <c r="T1655" s="67"/>
      <c r="U1655" s="67"/>
      <c r="V1655" s="67"/>
      <c r="W1655" s="85" t="str">
        <f aca="false">IF(AH1655="","",N(Q1655)+N(R1655)+N(S1655)+N(T1655)+N(U1655)+N(V1655))</f>
        <v/>
      </c>
      <c r="X1655" s="85" t="str">
        <f aca="false">IF(AH1655="","",P1655-W1655)</f>
        <v/>
      </c>
      <c r="Y1655" s="67"/>
      <c r="Z1655" s="70" t="str">
        <f aca="false">IF(OR(AH1655="",Y1655=""),"",IF(ABS(X1655-Y1655)&lt;=1,"✓ Cuadra","⚠ Diferencia $"&amp;FIXED(X1655-Y1655,0)))</f>
        <v/>
      </c>
      <c r="AA1655" s="72" t="str">
        <f aca="false">IF(AH1655="","",IFERROR(INDEX(C_TIPO,MATCH(C1655&amp;"-P"&amp;MAX(1,COUNTIFS(C_ID,C1655,C_DEFINE,"Sí",C_INICIO,"&lt;="&amp;EOMONTH(B1655,0))),C_CLAVE,0))&amp;"","Sin dato"))</f>
        <v/>
      </c>
      <c r="AB1655" s="71" t="str">
        <f aca="false">IF(AH1655="","",ROUND(MIN(K1655,TOPE_AFP_UF*AJ1655)*AK1655,0))</f>
        <v/>
      </c>
      <c r="AC1655" s="71" t="str">
        <f aca="false">IF(AH1655="","",ROUND(MIN(K1655,TOPE_AFC_UF*AJ1655)*IF(AA1655="Indefinido",AFC_EMP_INDEF,AFC_EMP_PF),0))</f>
        <v/>
      </c>
      <c r="AD1655" s="71" t="str">
        <f aca="false">IF(AH1655="","",ROUND(MIN(K1655,TOPE_AFP_UF*AJ1655)*(MUTUAL_BASICA+MUTUAL_ADIC+SANNA),0))</f>
        <v/>
      </c>
      <c r="AE1655" s="71" t="str">
        <f aca="false">IF(AH1655="","",P1655-N(N1655)+AB1655+AC1655+AD1655)</f>
        <v/>
      </c>
      <c r="AF1655" s="65"/>
      <c r="AG1655" s="64"/>
      <c r="AH1655" s="72" t="str">
        <f aca="false">IF(OR(B1655="",C1655=""),"",C1655&amp;"|"&amp;(YEAR(B1655)*100+MONTH(B1655)))</f>
        <v/>
      </c>
      <c r="AI1655" s="70" t="str">
        <f aca="false">IF(AH1655="","",IF(COUNTIF(L_CLAVE,AH1655)&gt;1,"⚠ Duplicado","OK"))</f>
        <v/>
      </c>
      <c r="AJ1655" s="86" t="str">
        <f aca="false">IF(AH1655="","",IF(SUMPRODUCT(MAX((IND_PER&lt;=B1655)*(IND_UF&lt;&gt;"")*IND_PER))=0,UF_HOY,INDEX(IND_UF,MATCH(SUMPRODUCT(MAX((IND_PER&lt;=B1655)*(IND_UF&lt;&gt;"")*IND_PER)),IND_PER,0))))</f>
        <v/>
      </c>
      <c r="AK1655" s="87" t="str">
        <f aca="false">IF(AH1655="","",IF(COUNTIF(TASA_DESDE,"&lt;="&amp;B1655)=0,INDEX(TASA_EMP,1),INDEX(TASA_EMP,COUNTIF(TASA_DESDE,"&lt;="&amp;B1655))))</f>
        <v/>
      </c>
    </row>
    <row r="1656" customFormat="false" ht="15" hidden="false" customHeight="false" outlineLevel="0" collapsed="false">
      <c r="B1656" s="78"/>
      <c r="C1656" s="64"/>
      <c r="D1656" s="72" t="str">
        <f aca="false">IF(C1656="","",IFERROR(INDEX(T_NOMBRE,MATCH(C1656,T_ID,0)),"⚠ ID no existe"))</f>
        <v/>
      </c>
      <c r="E1656" s="69"/>
      <c r="F1656" s="67"/>
      <c r="G1656" s="67"/>
      <c r="H1656" s="67"/>
      <c r="I1656" s="67"/>
      <c r="J1656" s="67"/>
      <c r="K1656" s="85" t="str">
        <f aca="false">IF(AH1656="","",N(F1656)+N(G1656)+N(H1656)-N(I1656)+N(J1656))</f>
        <v/>
      </c>
      <c r="L1656" s="67"/>
      <c r="M1656" s="67"/>
      <c r="N1656" s="67"/>
      <c r="O1656" s="67"/>
      <c r="P1656" s="85" t="str">
        <f aca="false">IF(AH1656="","",K1656+N(L1656)+N(M1656)+N(N1656)+N(O1656))</f>
        <v/>
      </c>
      <c r="Q1656" s="67"/>
      <c r="R1656" s="67"/>
      <c r="S1656" s="67"/>
      <c r="T1656" s="67"/>
      <c r="U1656" s="67"/>
      <c r="V1656" s="67"/>
      <c r="W1656" s="85" t="str">
        <f aca="false">IF(AH1656="","",N(Q1656)+N(R1656)+N(S1656)+N(T1656)+N(U1656)+N(V1656))</f>
        <v/>
      </c>
      <c r="X1656" s="85" t="str">
        <f aca="false">IF(AH1656="","",P1656-W1656)</f>
        <v/>
      </c>
      <c r="Y1656" s="67"/>
      <c r="Z1656" s="70" t="str">
        <f aca="false">IF(OR(AH1656="",Y1656=""),"",IF(ABS(X1656-Y1656)&lt;=1,"✓ Cuadra","⚠ Diferencia $"&amp;FIXED(X1656-Y1656,0)))</f>
        <v/>
      </c>
      <c r="AA1656" s="72" t="str">
        <f aca="false">IF(AH1656="","",IFERROR(INDEX(C_TIPO,MATCH(C1656&amp;"-P"&amp;MAX(1,COUNTIFS(C_ID,C1656,C_DEFINE,"Sí",C_INICIO,"&lt;="&amp;EOMONTH(B1656,0))),C_CLAVE,0))&amp;"","Sin dato"))</f>
        <v/>
      </c>
      <c r="AB1656" s="71" t="str">
        <f aca="false">IF(AH1656="","",ROUND(MIN(K1656,TOPE_AFP_UF*AJ1656)*AK1656,0))</f>
        <v/>
      </c>
      <c r="AC1656" s="71" t="str">
        <f aca="false">IF(AH1656="","",ROUND(MIN(K1656,TOPE_AFC_UF*AJ1656)*IF(AA1656="Indefinido",AFC_EMP_INDEF,AFC_EMP_PF),0))</f>
        <v/>
      </c>
      <c r="AD1656" s="71" t="str">
        <f aca="false">IF(AH1656="","",ROUND(MIN(K1656,TOPE_AFP_UF*AJ1656)*(MUTUAL_BASICA+MUTUAL_ADIC+SANNA),0))</f>
        <v/>
      </c>
      <c r="AE1656" s="71" t="str">
        <f aca="false">IF(AH1656="","",P1656-N(N1656)+AB1656+AC1656+AD1656)</f>
        <v/>
      </c>
      <c r="AF1656" s="65"/>
      <c r="AG1656" s="64"/>
      <c r="AH1656" s="72" t="str">
        <f aca="false">IF(OR(B1656="",C1656=""),"",C1656&amp;"|"&amp;(YEAR(B1656)*100+MONTH(B1656)))</f>
        <v/>
      </c>
      <c r="AI1656" s="70" t="str">
        <f aca="false">IF(AH1656="","",IF(COUNTIF(L_CLAVE,AH1656)&gt;1,"⚠ Duplicado","OK"))</f>
        <v/>
      </c>
      <c r="AJ1656" s="86" t="str">
        <f aca="false">IF(AH1656="","",IF(SUMPRODUCT(MAX((IND_PER&lt;=B1656)*(IND_UF&lt;&gt;"")*IND_PER))=0,UF_HOY,INDEX(IND_UF,MATCH(SUMPRODUCT(MAX((IND_PER&lt;=B1656)*(IND_UF&lt;&gt;"")*IND_PER)),IND_PER,0))))</f>
        <v/>
      </c>
      <c r="AK1656" s="87" t="str">
        <f aca="false">IF(AH1656="","",IF(COUNTIF(TASA_DESDE,"&lt;="&amp;B1656)=0,INDEX(TASA_EMP,1),INDEX(TASA_EMP,COUNTIF(TASA_DESDE,"&lt;="&amp;B1656))))</f>
        <v/>
      </c>
    </row>
    <row r="1657" customFormat="false" ht="15" hidden="false" customHeight="false" outlineLevel="0" collapsed="false">
      <c r="B1657" s="78"/>
      <c r="C1657" s="64"/>
      <c r="D1657" s="72" t="str">
        <f aca="false">IF(C1657="","",IFERROR(INDEX(T_NOMBRE,MATCH(C1657,T_ID,0)),"⚠ ID no existe"))</f>
        <v/>
      </c>
      <c r="E1657" s="69"/>
      <c r="F1657" s="67"/>
      <c r="G1657" s="67"/>
      <c r="H1657" s="67"/>
      <c r="I1657" s="67"/>
      <c r="J1657" s="67"/>
      <c r="K1657" s="85" t="str">
        <f aca="false">IF(AH1657="","",N(F1657)+N(G1657)+N(H1657)-N(I1657)+N(J1657))</f>
        <v/>
      </c>
      <c r="L1657" s="67"/>
      <c r="M1657" s="67"/>
      <c r="N1657" s="67"/>
      <c r="O1657" s="67"/>
      <c r="P1657" s="85" t="str">
        <f aca="false">IF(AH1657="","",K1657+N(L1657)+N(M1657)+N(N1657)+N(O1657))</f>
        <v/>
      </c>
      <c r="Q1657" s="67"/>
      <c r="R1657" s="67"/>
      <c r="S1657" s="67"/>
      <c r="T1657" s="67"/>
      <c r="U1657" s="67"/>
      <c r="V1657" s="67"/>
      <c r="W1657" s="85" t="str">
        <f aca="false">IF(AH1657="","",N(Q1657)+N(R1657)+N(S1657)+N(T1657)+N(U1657)+N(V1657))</f>
        <v/>
      </c>
      <c r="X1657" s="85" t="str">
        <f aca="false">IF(AH1657="","",P1657-W1657)</f>
        <v/>
      </c>
      <c r="Y1657" s="67"/>
      <c r="Z1657" s="70" t="str">
        <f aca="false">IF(OR(AH1657="",Y1657=""),"",IF(ABS(X1657-Y1657)&lt;=1,"✓ Cuadra","⚠ Diferencia $"&amp;FIXED(X1657-Y1657,0)))</f>
        <v/>
      </c>
      <c r="AA1657" s="72" t="str">
        <f aca="false">IF(AH1657="","",IFERROR(INDEX(C_TIPO,MATCH(C1657&amp;"-P"&amp;MAX(1,COUNTIFS(C_ID,C1657,C_DEFINE,"Sí",C_INICIO,"&lt;="&amp;EOMONTH(B1657,0))),C_CLAVE,0))&amp;"","Sin dato"))</f>
        <v/>
      </c>
      <c r="AB1657" s="71" t="str">
        <f aca="false">IF(AH1657="","",ROUND(MIN(K1657,TOPE_AFP_UF*AJ1657)*AK1657,0))</f>
        <v/>
      </c>
      <c r="AC1657" s="71" t="str">
        <f aca="false">IF(AH1657="","",ROUND(MIN(K1657,TOPE_AFC_UF*AJ1657)*IF(AA1657="Indefinido",AFC_EMP_INDEF,AFC_EMP_PF),0))</f>
        <v/>
      </c>
      <c r="AD1657" s="71" t="str">
        <f aca="false">IF(AH1657="","",ROUND(MIN(K1657,TOPE_AFP_UF*AJ1657)*(MUTUAL_BASICA+MUTUAL_ADIC+SANNA),0))</f>
        <v/>
      </c>
      <c r="AE1657" s="71" t="str">
        <f aca="false">IF(AH1657="","",P1657-N(N1657)+AB1657+AC1657+AD1657)</f>
        <v/>
      </c>
      <c r="AF1657" s="65"/>
      <c r="AG1657" s="64"/>
      <c r="AH1657" s="72" t="str">
        <f aca="false">IF(OR(B1657="",C1657=""),"",C1657&amp;"|"&amp;(YEAR(B1657)*100+MONTH(B1657)))</f>
        <v/>
      </c>
      <c r="AI1657" s="70" t="str">
        <f aca="false">IF(AH1657="","",IF(COUNTIF(L_CLAVE,AH1657)&gt;1,"⚠ Duplicado","OK"))</f>
        <v/>
      </c>
      <c r="AJ1657" s="86" t="str">
        <f aca="false">IF(AH1657="","",IF(SUMPRODUCT(MAX((IND_PER&lt;=B1657)*(IND_UF&lt;&gt;"")*IND_PER))=0,UF_HOY,INDEX(IND_UF,MATCH(SUMPRODUCT(MAX((IND_PER&lt;=B1657)*(IND_UF&lt;&gt;"")*IND_PER)),IND_PER,0))))</f>
        <v/>
      </c>
      <c r="AK1657" s="87" t="str">
        <f aca="false">IF(AH1657="","",IF(COUNTIF(TASA_DESDE,"&lt;="&amp;B1657)=0,INDEX(TASA_EMP,1),INDEX(TASA_EMP,COUNTIF(TASA_DESDE,"&lt;="&amp;B1657))))</f>
        <v/>
      </c>
    </row>
    <row r="1658" customFormat="false" ht="15" hidden="false" customHeight="false" outlineLevel="0" collapsed="false">
      <c r="B1658" s="78"/>
      <c r="C1658" s="64"/>
      <c r="D1658" s="72" t="str">
        <f aca="false">IF(C1658="","",IFERROR(INDEX(T_NOMBRE,MATCH(C1658,T_ID,0)),"⚠ ID no existe"))</f>
        <v/>
      </c>
      <c r="E1658" s="69"/>
      <c r="F1658" s="67"/>
      <c r="G1658" s="67"/>
      <c r="H1658" s="67"/>
      <c r="I1658" s="67"/>
      <c r="J1658" s="67"/>
      <c r="K1658" s="85" t="str">
        <f aca="false">IF(AH1658="","",N(F1658)+N(G1658)+N(H1658)-N(I1658)+N(J1658))</f>
        <v/>
      </c>
      <c r="L1658" s="67"/>
      <c r="M1658" s="67"/>
      <c r="N1658" s="67"/>
      <c r="O1658" s="67"/>
      <c r="P1658" s="85" t="str">
        <f aca="false">IF(AH1658="","",K1658+N(L1658)+N(M1658)+N(N1658)+N(O1658))</f>
        <v/>
      </c>
      <c r="Q1658" s="67"/>
      <c r="R1658" s="67"/>
      <c r="S1658" s="67"/>
      <c r="T1658" s="67"/>
      <c r="U1658" s="67"/>
      <c r="V1658" s="67"/>
      <c r="W1658" s="85" t="str">
        <f aca="false">IF(AH1658="","",N(Q1658)+N(R1658)+N(S1658)+N(T1658)+N(U1658)+N(V1658))</f>
        <v/>
      </c>
      <c r="X1658" s="85" t="str">
        <f aca="false">IF(AH1658="","",P1658-W1658)</f>
        <v/>
      </c>
      <c r="Y1658" s="67"/>
      <c r="Z1658" s="70" t="str">
        <f aca="false">IF(OR(AH1658="",Y1658=""),"",IF(ABS(X1658-Y1658)&lt;=1,"✓ Cuadra","⚠ Diferencia $"&amp;FIXED(X1658-Y1658,0)))</f>
        <v/>
      </c>
      <c r="AA1658" s="72" t="str">
        <f aca="false">IF(AH1658="","",IFERROR(INDEX(C_TIPO,MATCH(C1658&amp;"-P"&amp;MAX(1,COUNTIFS(C_ID,C1658,C_DEFINE,"Sí",C_INICIO,"&lt;="&amp;EOMONTH(B1658,0))),C_CLAVE,0))&amp;"","Sin dato"))</f>
        <v/>
      </c>
      <c r="AB1658" s="71" t="str">
        <f aca="false">IF(AH1658="","",ROUND(MIN(K1658,TOPE_AFP_UF*AJ1658)*AK1658,0))</f>
        <v/>
      </c>
      <c r="AC1658" s="71" t="str">
        <f aca="false">IF(AH1658="","",ROUND(MIN(K1658,TOPE_AFC_UF*AJ1658)*IF(AA1658="Indefinido",AFC_EMP_INDEF,AFC_EMP_PF),0))</f>
        <v/>
      </c>
      <c r="AD1658" s="71" t="str">
        <f aca="false">IF(AH1658="","",ROUND(MIN(K1658,TOPE_AFP_UF*AJ1658)*(MUTUAL_BASICA+MUTUAL_ADIC+SANNA),0))</f>
        <v/>
      </c>
      <c r="AE1658" s="71" t="str">
        <f aca="false">IF(AH1658="","",P1658-N(N1658)+AB1658+AC1658+AD1658)</f>
        <v/>
      </c>
      <c r="AF1658" s="65"/>
      <c r="AG1658" s="64"/>
      <c r="AH1658" s="72" t="str">
        <f aca="false">IF(OR(B1658="",C1658=""),"",C1658&amp;"|"&amp;(YEAR(B1658)*100+MONTH(B1658)))</f>
        <v/>
      </c>
      <c r="AI1658" s="70" t="str">
        <f aca="false">IF(AH1658="","",IF(COUNTIF(L_CLAVE,AH1658)&gt;1,"⚠ Duplicado","OK"))</f>
        <v/>
      </c>
      <c r="AJ1658" s="86" t="str">
        <f aca="false">IF(AH1658="","",IF(SUMPRODUCT(MAX((IND_PER&lt;=B1658)*(IND_UF&lt;&gt;"")*IND_PER))=0,UF_HOY,INDEX(IND_UF,MATCH(SUMPRODUCT(MAX((IND_PER&lt;=B1658)*(IND_UF&lt;&gt;"")*IND_PER)),IND_PER,0))))</f>
        <v/>
      </c>
      <c r="AK1658" s="87" t="str">
        <f aca="false">IF(AH1658="","",IF(COUNTIF(TASA_DESDE,"&lt;="&amp;B1658)=0,INDEX(TASA_EMP,1),INDEX(TASA_EMP,COUNTIF(TASA_DESDE,"&lt;="&amp;B1658))))</f>
        <v/>
      </c>
    </row>
    <row r="1659" customFormat="false" ht="15" hidden="false" customHeight="false" outlineLevel="0" collapsed="false">
      <c r="B1659" s="78"/>
      <c r="C1659" s="64"/>
      <c r="D1659" s="72" t="str">
        <f aca="false">IF(C1659="","",IFERROR(INDEX(T_NOMBRE,MATCH(C1659,T_ID,0)),"⚠ ID no existe"))</f>
        <v/>
      </c>
      <c r="E1659" s="69"/>
      <c r="F1659" s="67"/>
      <c r="G1659" s="67"/>
      <c r="H1659" s="67"/>
      <c r="I1659" s="67"/>
      <c r="J1659" s="67"/>
      <c r="K1659" s="85" t="str">
        <f aca="false">IF(AH1659="","",N(F1659)+N(G1659)+N(H1659)-N(I1659)+N(J1659))</f>
        <v/>
      </c>
      <c r="L1659" s="67"/>
      <c r="M1659" s="67"/>
      <c r="N1659" s="67"/>
      <c r="O1659" s="67"/>
      <c r="P1659" s="85" t="str">
        <f aca="false">IF(AH1659="","",K1659+N(L1659)+N(M1659)+N(N1659)+N(O1659))</f>
        <v/>
      </c>
      <c r="Q1659" s="67"/>
      <c r="R1659" s="67"/>
      <c r="S1659" s="67"/>
      <c r="T1659" s="67"/>
      <c r="U1659" s="67"/>
      <c r="V1659" s="67"/>
      <c r="W1659" s="85" t="str">
        <f aca="false">IF(AH1659="","",N(Q1659)+N(R1659)+N(S1659)+N(T1659)+N(U1659)+N(V1659))</f>
        <v/>
      </c>
      <c r="X1659" s="85" t="str">
        <f aca="false">IF(AH1659="","",P1659-W1659)</f>
        <v/>
      </c>
      <c r="Y1659" s="67"/>
      <c r="Z1659" s="70" t="str">
        <f aca="false">IF(OR(AH1659="",Y1659=""),"",IF(ABS(X1659-Y1659)&lt;=1,"✓ Cuadra","⚠ Diferencia $"&amp;FIXED(X1659-Y1659,0)))</f>
        <v/>
      </c>
      <c r="AA1659" s="72" t="str">
        <f aca="false">IF(AH1659="","",IFERROR(INDEX(C_TIPO,MATCH(C1659&amp;"-P"&amp;MAX(1,COUNTIFS(C_ID,C1659,C_DEFINE,"Sí",C_INICIO,"&lt;="&amp;EOMONTH(B1659,0))),C_CLAVE,0))&amp;"","Sin dato"))</f>
        <v/>
      </c>
      <c r="AB1659" s="71" t="str">
        <f aca="false">IF(AH1659="","",ROUND(MIN(K1659,TOPE_AFP_UF*AJ1659)*AK1659,0))</f>
        <v/>
      </c>
      <c r="AC1659" s="71" t="str">
        <f aca="false">IF(AH1659="","",ROUND(MIN(K1659,TOPE_AFC_UF*AJ1659)*IF(AA1659="Indefinido",AFC_EMP_INDEF,AFC_EMP_PF),0))</f>
        <v/>
      </c>
      <c r="AD1659" s="71" t="str">
        <f aca="false">IF(AH1659="","",ROUND(MIN(K1659,TOPE_AFP_UF*AJ1659)*(MUTUAL_BASICA+MUTUAL_ADIC+SANNA),0))</f>
        <v/>
      </c>
      <c r="AE1659" s="71" t="str">
        <f aca="false">IF(AH1659="","",P1659-N(N1659)+AB1659+AC1659+AD1659)</f>
        <v/>
      </c>
      <c r="AF1659" s="65"/>
      <c r="AG1659" s="64"/>
      <c r="AH1659" s="72" t="str">
        <f aca="false">IF(OR(B1659="",C1659=""),"",C1659&amp;"|"&amp;(YEAR(B1659)*100+MONTH(B1659)))</f>
        <v/>
      </c>
      <c r="AI1659" s="70" t="str">
        <f aca="false">IF(AH1659="","",IF(COUNTIF(L_CLAVE,AH1659)&gt;1,"⚠ Duplicado","OK"))</f>
        <v/>
      </c>
      <c r="AJ1659" s="86" t="str">
        <f aca="false">IF(AH1659="","",IF(SUMPRODUCT(MAX((IND_PER&lt;=B1659)*(IND_UF&lt;&gt;"")*IND_PER))=0,UF_HOY,INDEX(IND_UF,MATCH(SUMPRODUCT(MAX((IND_PER&lt;=B1659)*(IND_UF&lt;&gt;"")*IND_PER)),IND_PER,0))))</f>
        <v/>
      </c>
      <c r="AK1659" s="87" t="str">
        <f aca="false">IF(AH1659="","",IF(COUNTIF(TASA_DESDE,"&lt;="&amp;B1659)=0,INDEX(TASA_EMP,1),INDEX(TASA_EMP,COUNTIF(TASA_DESDE,"&lt;="&amp;B1659))))</f>
        <v/>
      </c>
    </row>
    <row r="1660" customFormat="false" ht="15" hidden="false" customHeight="false" outlineLevel="0" collapsed="false">
      <c r="B1660" s="78"/>
      <c r="C1660" s="64"/>
      <c r="D1660" s="72" t="str">
        <f aca="false">IF(C1660="","",IFERROR(INDEX(T_NOMBRE,MATCH(C1660,T_ID,0)),"⚠ ID no existe"))</f>
        <v/>
      </c>
      <c r="E1660" s="69"/>
      <c r="F1660" s="67"/>
      <c r="G1660" s="67"/>
      <c r="H1660" s="67"/>
      <c r="I1660" s="67"/>
      <c r="J1660" s="67"/>
      <c r="K1660" s="85" t="str">
        <f aca="false">IF(AH1660="","",N(F1660)+N(G1660)+N(H1660)-N(I1660)+N(J1660))</f>
        <v/>
      </c>
      <c r="L1660" s="67"/>
      <c r="M1660" s="67"/>
      <c r="N1660" s="67"/>
      <c r="O1660" s="67"/>
      <c r="P1660" s="85" t="str">
        <f aca="false">IF(AH1660="","",K1660+N(L1660)+N(M1660)+N(N1660)+N(O1660))</f>
        <v/>
      </c>
      <c r="Q1660" s="67"/>
      <c r="R1660" s="67"/>
      <c r="S1660" s="67"/>
      <c r="T1660" s="67"/>
      <c r="U1660" s="67"/>
      <c r="V1660" s="67"/>
      <c r="W1660" s="85" t="str">
        <f aca="false">IF(AH1660="","",N(Q1660)+N(R1660)+N(S1660)+N(T1660)+N(U1660)+N(V1660))</f>
        <v/>
      </c>
      <c r="X1660" s="85" t="str">
        <f aca="false">IF(AH1660="","",P1660-W1660)</f>
        <v/>
      </c>
      <c r="Y1660" s="67"/>
      <c r="Z1660" s="70" t="str">
        <f aca="false">IF(OR(AH1660="",Y1660=""),"",IF(ABS(X1660-Y1660)&lt;=1,"✓ Cuadra","⚠ Diferencia $"&amp;FIXED(X1660-Y1660,0)))</f>
        <v/>
      </c>
      <c r="AA1660" s="72" t="str">
        <f aca="false">IF(AH1660="","",IFERROR(INDEX(C_TIPO,MATCH(C1660&amp;"-P"&amp;MAX(1,COUNTIFS(C_ID,C1660,C_DEFINE,"Sí",C_INICIO,"&lt;="&amp;EOMONTH(B1660,0))),C_CLAVE,0))&amp;"","Sin dato"))</f>
        <v/>
      </c>
      <c r="AB1660" s="71" t="str">
        <f aca="false">IF(AH1660="","",ROUND(MIN(K1660,TOPE_AFP_UF*AJ1660)*AK1660,0))</f>
        <v/>
      </c>
      <c r="AC1660" s="71" t="str">
        <f aca="false">IF(AH1660="","",ROUND(MIN(K1660,TOPE_AFC_UF*AJ1660)*IF(AA1660="Indefinido",AFC_EMP_INDEF,AFC_EMP_PF),0))</f>
        <v/>
      </c>
      <c r="AD1660" s="71" t="str">
        <f aca="false">IF(AH1660="","",ROUND(MIN(K1660,TOPE_AFP_UF*AJ1660)*(MUTUAL_BASICA+MUTUAL_ADIC+SANNA),0))</f>
        <v/>
      </c>
      <c r="AE1660" s="71" t="str">
        <f aca="false">IF(AH1660="","",P1660-N(N1660)+AB1660+AC1660+AD1660)</f>
        <v/>
      </c>
      <c r="AF1660" s="65"/>
      <c r="AG1660" s="64"/>
      <c r="AH1660" s="72" t="str">
        <f aca="false">IF(OR(B1660="",C1660=""),"",C1660&amp;"|"&amp;(YEAR(B1660)*100+MONTH(B1660)))</f>
        <v/>
      </c>
      <c r="AI1660" s="70" t="str">
        <f aca="false">IF(AH1660="","",IF(COUNTIF(L_CLAVE,AH1660)&gt;1,"⚠ Duplicado","OK"))</f>
        <v/>
      </c>
      <c r="AJ1660" s="86" t="str">
        <f aca="false">IF(AH1660="","",IF(SUMPRODUCT(MAX((IND_PER&lt;=B1660)*(IND_UF&lt;&gt;"")*IND_PER))=0,UF_HOY,INDEX(IND_UF,MATCH(SUMPRODUCT(MAX((IND_PER&lt;=B1660)*(IND_UF&lt;&gt;"")*IND_PER)),IND_PER,0))))</f>
        <v/>
      </c>
      <c r="AK1660" s="87" t="str">
        <f aca="false">IF(AH1660="","",IF(COUNTIF(TASA_DESDE,"&lt;="&amp;B1660)=0,INDEX(TASA_EMP,1),INDEX(TASA_EMP,COUNTIF(TASA_DESDE,"&lt;="&amp;B1660))))</f>
        <v/>
      </c>
    </row>
    <row r="1661" customFormat="false" ht="15" hidden="false" customHeight="false" outlineLevel="0" collapsed="false">
      <c r="B1661" s="78"/>
      <c r="C1661" s="64"/>
      <c r="D1661" s="72" t="str">
        <f aca="false">IF(C1661="","",IFERROR(INDEX(T_NOMBRE,MATCH(C1661,T_ID,0)),"⚠ ID no existe"))</f>
        <v/>
      </c>
      <c r="E1661" s="69"/>
      <c r="F1661" s="67"/>
      <c r="G1661" s="67"/>
      <c r="H1661" s="67"/>
      <c r="I1661" s="67"/>
      <c r="J1661" s="67"/>
      <c r="K1661" s="85" t="str">
        <f aca="false">IF(AH1661="","",N(F1661)+N(G1661)+N(H1661)-N(I1661)+N(J1661))</f>
        <v/>
      </c>
      <c r="L1661" s="67"/>
      <c r="M1661" s="67"/>
      <c r="N1661" s="67"/>
      <c r="O1661" s="67"/>
      <c r="P1661" s="85" t="str">
        <f aca="false">IF(AH1661="","",K1661+N(L1661)+N(M1661)+N(N1661)+N(O1661))</f>
        <v/>
      </c>
      <c r="Q1661" s="67"/>
      <c r="R1661" s="67"/>
      <c r="S1661" s="67"/>
      <c r="T1661" s="67"/>
      <c r="U1661" s="67"/>
      <c r="V1661" s="67"/>
      <c r="W1661" s="85" t="str">
        <f aca="false">IF(AH1661="","",N(Q1661)+N(R1661)+N(S1661)+N(T1661)+N(U1661)+N(V1661))</f>
        <v/>
      </c>
      <c r="X1661" s="85" t="str">
        <f aca="false">IF(AH1661="","",P1661-W1661)</f>
        <v/>
      </c>
      <c r="Y1661" s="67"/>
      <c r="Z1661" s="70" t="str">
        <f aca="false">IF(OR(AH1661="",Y1661=""),"",IF(ABS(X1661-Y1661)&lt;=1,"✓ Cuadra","⚠ Diferencia $"&amp;FIXED(X1661-Y1661,0)))</f>
        <v/>
      </c>
      <c r="AA1661" s="72" t="str">
        <f aca="false">IF(AH1661="","",IFERROR(INDEX(C_TIPO,MATCH(C1661&amp;"-P"&amp;MAX(1,COUNTIFS(C_ID,C1661,C_DEFINE,"Sí",C_INICIO,"&lt;="&amp;EOMONTH(B1661,0))),C_CLAVE,0))&amp;"","Sin dato"))</f>
        <v/>
      </c>
      <c r="AB1661" s="71" t="str">
        <f aca="false">IF(AH1661="","",ROUND(MIN(K1661,TOPE_AFP_UF*AJ1661)*AK1661,0))</f>
        <v/>
      </c>
      <c r="AC1661" s="71" t="str">
        <f aca="false">IF(AH1661="","",ROUND(MIN(K1661,TOPE_AFC_UF*AJ1661)*IF(AA1661="Indefinido",AFC_EMP_INDEF,AFC_EMP_PF),0))</f>
        <v/>
      </c>
      <c r="AD1661" s="71" t="str">
        <f aca="false">IF(AH1661="","",ROUND(MIN(K1661,TOPE_AFP_UF*AJ1661)*(MUTUAL_BASICA+MUTUAL_ADIC+SANNA),0))</f>
        <v/>
      </c>
      <c r="AE1661" s="71" t="str">
        <f aca="false">IF(AH1661="","",P1661-N(N1661)+AB1661+AC1661+AD1661)</f>
        <v/>
      </c>
      <c r="AF1661" s="65"/>
      <c r="AG1661" s="64"/>
      <c r="AH1661" s="72" t="str">
        <f aca="false">IF(OR(B1661="",C1661=""),"",C1661&amp;"|"&amp;(YEAR(B1661)*100+MONTH(B1661)))</f>
        <v/>
      </c>
      <c r="AI1661" s="70" t="str">
        <f aca="false">IF(AH1661="","",IF(COUNTIF(L_CLAVE,AH1661)&gt;1,"⚠ Duplicado","OK"))</f>
        <v/>
      </c>
      <c r="AJ1661" s="86" t="str">
        <f aca="false">IF(AH1661="","",IF(SUMPRODUCT(MAX((IND_PER&lt;=B1661)*(IND_UF&lt;&gt;"")*IND_PER))=0,UF_HOY,INDEX(IND_UF,MATCH(SUMPRODUCT(MAX((IND_PER&lt;=B1661)*(IND_UF&lt;&gt;"")*IND_PER)),IND_PER,0))))</f>
        <v/>
      </c>
      <c r="AK1661" s="87" t="str">
        <f aca="false">IF(AH1661="","",IF(COUNTIF(TASA_DESDE,"&lt;="&amp;B1661)=0,INDEX(TASA_EMP,1),INDEX(TASA_EMP,COUNTIF(TASA_DESDE,"&lt;="&amp;B1661))))</f>
        <v/>
      </c>
    </row>
    <row r="1662" customFormat="false" ht="15" hidden="false" customHeight="false" outlineLevel="0" collapsed="false">
      <c r="B1662" s="78"/>
      <c r="C1662" s="64"/>
      <c r="D1662" s="72" t="str">
        <f aca="false">IF(C1662="","",IFERROR(INDEX(T_NOMBRE,MATCH(C1662,T_ID,0)),"⚠ ID no existe"))</f>
        <v/>
      </c>
      <c r="E1662" s="69"/>
      <c r="F1662" s="67"/>
      <c r="G1662" s="67"/>
      <c r="H1662" s="67"/>
      <c r="I1662" s="67"/>
      <c r="J1662" s="67"/>
      <c r="K1662" s="85" t="str">
        <f aca="false">IF(AH1662="","",N(F1662)+N(G1662)+N(H1662)-N(I1662)+N(J1662))</f>
        <v/>
      </c>
      <c r="L1662" s="67"/>
      <c r="M1662" s="67"/>
      <c r="N1662" s="67"/>
      <c r="O1662" s="67"/>
      <c r="P1662" s="85" t="str">
        <f aca="false">IF(AH1662="","",K1662+N(L1662)+N(M1662)+N(N1662)+N(O1662))</f>
        <v/>
      </c>
      <c r="Q1662" s="67"/>
      <c r="R1662" s="67"/>
      <c r="S1662" s="67"/>
      <c r="T1662" s="67"/>
      <c r="U1662" s="67"/>
      <c r="V1662" s="67"/>
      <c r="W1662" s="85" t="str">
        <f aca="false">IF(AH1662="","",N(Q1662)+N(R1662)+N(S1662)+N(T1662)+N(U1662)+N(V1662))</f>
        <v/>
      </c>
      <c r="X1662" s="85" t="str">
        <f aca="false">IF(AH1662="","",P1662-W1662)</f>
        <v/>
      </c>
      <c r="Y1662" s="67"/>
      <c r="Z1662" s="70" t="str">
        <f aca="false">IF(OR(AH1662="",Y1662=""),"",IF(ABS(X1662-Y1662)&lt;=1,"✓ Cuadra","⚠ Diferencia $"&amp;FIXED(X1662-Y1662,0)))</f>
        <v/>
      </c>
      <c r="AA1662" s="72" t="str">
        <f aca="false">IF(AH1662="","",IFERROR(INDEX(C_TIPO,MATCH(C1662&amp;"-P"&amp;MAX(1,COUNTIFS(C_ID,C1662,C_DEFINE,"Sí",C_INICIO,"&lt;="&amp;EOMONTH(B1662,0))),C_CLAVE,0))&amp;"","Sin dato"))</f>
        <v/>
      </c>
      <c r="AB1662" s="71" t="str">
        <f aca="false">IF(AH1662="","",ROUND(MIN(K1662,TOPE_AFP_UF*AJ1662)*AK1662,0))</f>
        <v/>
      </c>
      <c r="AC1662" s="71" t="str">
        <f aca="false">IF(AH1662="","",ROUND(MIN(K1662,TOPE_AFC_UF*AJ1662)*IF(AA1662="Indefinido",AFC_EMP_INDEF,AFC_EMP_PF),0))</f>
        <v/>
      </c>
      <c r="AD1662" s="71" t="str">
        <f aca="false">IF(AH1662="","",ROUND(MIN(K1662,TOPE_AFP_UF*AJ1662)*(MUTUAL_BASICA+MUTUAL_ADIC+SANNA),0))</f>
        <v/>
      </c>
      <c r="AE1662" s="71" t="str">
        <f aca="false">IF(AH1662="","",P1662-N(N1662)+AB1662+AC1662+AD1662)</f>
        <v/>
      </c>
      <c r="AF1662" s="65"/>
      <c r="AG1662" s="64"/>
      <c r="AH1662" s="72" t="str">
        <f aca="false">IF(OR(B1662="",C1662=""),"",C1662&amp;"|"&amp;(YEAR(B1662)*100+MONTH(B1662)))</f>
        <v/>
      </c>
      <c r="AI1662" s="70" t="str">
        <f aca="false">IF(AH1662="","",IF(COUNTIF(L_CLAVE,AH1662)&gt;1,"⚠ Duplicado","OK"))</f>
        <v/>
      </c>
      <c r="AJ1662" s="86" t="str">
        <f aca="false">IF(AH1662="","",IF(SUMPRODUCT(MAX((IND_PER&lt;=B1662)*(IND_UF&lt;&gt;"")*IND_PER))=0,UF_HOY,INDEX(IND_UF,MATCH(SUMPRODUCT(MAX((IND_PER&lt;=B1662)*(IND_UF&lt;&gt;"")*IND_PER)),IND_PER,0))))</f>
        <v/>
      </c>
      <c r="AK1662" s="87" t="str">
        <f aca="false">IF(AH1662="","",IF(COUNTIF(TASA_DESDE,"&lt;="&amp;B1662)=0,INDEX(TASA_EMP,1),INDEX(TASA_EMP,COUNTIF(TASA_DESDE,"&lt;="&amp;B1662))))</f>
        <v/>
      </c>
    </row>
    <row r="1663" customFormat="false" ht="15" hidden="false" customHeight="false" outlineLevel="0" collapsed="false">
      <c r="B1663" s="78"/>
      <c r="C1663" s="64"/>
      <c r="D1663" s="72" t="str">
        <f aca="false">IF(C1663="","",IFERROR(INDEX(T_NOMBRE,MATCH(C1663,T_ID,0)),"⚠ ID no existe"))</f>
        <v/>
      </c>
      <c r="E1663" s="69"/>
      <c r="F1663" s="67"/>
      <c r="G1663" s="67"/>
      <c r="H1663" s="67"/>
      <c r="I1663" s="67"/>
      <c r="J1663" s="67"/>
      <c r="K1663" s="85" t="str">
        <f aca="false">IF(AH1663="","",N(F1663)+N(G1663)+N(H1663)-N(I1663)+N(J1663))</f>
        <v/>
      </c>
      <c r="L1663" s="67"/>
      <c r="M1663" s="67"/>
      <c r="N1663" s="67"/>
      <c r="O1663" s="67"/>
      <c r="P1663" s="85" t="str">
        <f aca="false">IF(AH1663="","",K1663+N(L1663)+N(M1663)+N(N1663)+N(O1663))</f>
        <v/>
      </c>
      <c r="Q1663" s="67"/>
      <c r="R1663" s="67"/>
      <c r="S1663" s="67"/>
      <c r="T1663" s="67"/>
      <c r="U1663" s="67"/>
      <c r="V1663" s="67"/>
      <c r="W1663" s="85" t="str">
        <f aca="false">IF(AH1663="","",N(Q1663)+N(R1663)+N(S1663)+N(T1663)+N(U1663)+N(V1663))</f>
        <v/>
      </c>
      <c r="X1663" s="85" t="str">
        <f aca="false">IF(AH1663="","",P1663-W1663)</f>
        <v/>
      </c>
      <c r="Y1663" s="67"/>
      <c r="Z1663" s="70" t="str">
        <f aca="false">IF(OR(AH1663="",Y1663=""),"",IF(ABS(X1663-Y1663)&lt;=1,"✓ Cuadra","⚠ Diferencia $"&amp;FIXED(X1663-Y1663,0)))</f>
        <v/>
      </c>
      <c r="AA1663" s="72" t="str">
        <f aca="false">IF(AH1663="","",IFERROR(INDEX(C_TIPO,MATCH(C1663&amp;"-P"&amp;MAX(1,COUNTIFS(C_ID,C1663,C_DEFINE,"Sí",C_INICIO,"&lt;="&amp;EOMONTH(B1663,0))),C_CLAVE,0))&amp;"","Sin dato"))</f>
        <v/>
      </c>
      <c r="AB1663" s="71" t="str">
        <f aca="false">IF(AH1663="","",ROUND(MIN(K1663,TOPE_AFP_UF*AJ1663)*AK1663,0))</f>
        <v/>
      </c>
      <c r="AC1663" s="71" t="str">
        <f aca="false">IF(AH1663="","",ROUND(MIN(K1663,TOPE_AFC_UF*AJ1663)*IF(AA1663="Indefinido",AFC_EMP_INDEF,AFC_EMP_PF),0))</f>
        <v/>
      </c>
      <c r="AD1663" s="71" t="str">
        <f aca="false">IF(AH1663="","",ROUND(MIN(K1663,TOPE_AFP_UF*AJ1663)*(MUTUAL_BASICA+MUTUAL_ADIC+SANNA),0))</f>
        <v/>
      </c>
      <c r="AE1663" s="71" t="str">
        <f aca="false">IF(AH1663="","",P1663-N(N1663)+AB1663+AC1663+AD1663)</f>
        <v/>
      </c>
      <c r="AF1663" s="65"/>
      <c r="AG1663" s="64"/>
      <c r="AH1663" s="72" t="str">
        <f aca="false">IF(OR(B1663="",C1663=""),"",C1663&amp;"|"&amp;(YEAR(B1663)*100+MONTH(B1663)))</f>
        <v/>
      </c>
      <c r="AI1663" s="70" t="str">
        <f aca="false">IF(AH1663="","",IF(COUNTIF(L_CLAVE,AH1663)&gt;1,"⚠ Duplicado","OK"))</f>
        <v/>
      </c>
      <c r="AJ1663" s="86" t="str">
        <f aca="false">IF(AH1663="","",IF(SUMPRODUCT(MAX((IND_PER&lt;=B1663)*(IND_UF&lt;&gt;"")*IND_PER))=0,UF_HOY,INDEX(IND_UF,MATCH(SUMPRODUCT(MAX((IND_PER&lt;=B1663)*(IND_UF&lt;&gt;"")*IND_PER)),IND_PER,0))))</f>
        <v/>
      </c>
      <c r="AK1663" s="87" t="str">
        <f aca="false">IF(AH1663="","",IF(COUNTIF(TASA_DESDE,"&lt;="&amp;B1663)=0,INDEX(TASA_EMP,1),INDEX(TASA_EMP,COUNTIF(TASA_DESDE,"&lt;="&amp;B1663))))</f>
        <v/>
      </c>
    </row>
    <row r="1664" customFormat="false" ht="15" hidden="false" customHeight="false" outlineLevel="0" collapsed="false">
      <c r="B1664" s="78"/>
      <c r="C1664" s="64"/>
      <c r="D1664" s="72" t="str">
        <f aca="false">IF(C1664="","",IFERROR(INDEX(T_NOMBRE,MATCH(C1664,T_ID,0)),"⚠ ID no existe"))</f>
        <v/>
      </c>
      <c r="E1664" s="69"/>
      <c r="F1664" s="67"/>
      <c r="G1664" s="67"/>
      <c r="H1664" s="67"/>
      <c r="I1664" s="67"/>
      <c r="J1664" s="67"/>
      <c r="K1664" s="85" t="str">
        <f aca="false">IF(AH1664="","",N(F1664)+N(G1664)+N(H1664)-N(I1664)+N(J1664))</f>
        <v/>
      </c>
      <c r="L1664" s="67"/>
      <c r="M1664" s="67"/>
      <c r="N1664" s="67"/>
      <c r="O1664" s="67"/>
      <c r="P1664" s="85" t="str">
        <f aca="false">IF(AH1664="","",K1664+N(L1664)+N(M1664)+N(N1664)+N(O1664))</f>
        <v/>
      </c>
      <c r="Q1664" s="67"/>
      <c r="R1664" s="67"/>
      <c r="S1664" s="67"/>
      <c r="T1664" s="67"/>
      <c r="U1664" s="67"/>
      <c r="V1664" s="67"/>
      <c r="W1664" s="85" t="str">
        <f aca="false">IF(AH1664="","",N(Q1664)+N(R1664)+N(S1664)+N(T1664)+N(U1664)+N(V1664))</f>
        <v/>
      </c>
      <c r="X1664" s="85" t="str">
        <f aca="false">IF(AH1664="","",P1664-W1664)</f>
        <v/>
      </c>
      <c r="Y1664" s="67"/>
      <c r="Z1664" s="70" t="str">
        <f aca="false">IF(OR(AH1664="",Y1664=""),"",IF(ABS(X1664-Y1664)&lt;=1,"✓ Cuadra","⚠ Diferencia $"&amp;FIXED(X1664-Y1664,0)))</f>
        <v/>
      </c>
      <c r="AA1664" s="72" t="str">
        <f aca="false">IF(AH1664="","",IFERROR(INDEX(C_TIPO,MATCH(C1664&amp;"-P"&amp;MAX(1,COUNTIFS(C_ID,C1664,C_DEFINE,"Sí",C_INICIO,"&lt;="&amp;EOMONTH(B1664,0))),C_CLAVE,0))&amp;"","Sin dato"))</f>
        <v/>
      </c>
      <c r="AB1664" s="71" t="str">
        <f aca="false">IF(AH1664="","",ROUND(MIN(K1664,TOPE_AFP_UF*AJ1664)*AK1664,0))</f>
        <v/>
      </c>
      <c r="AC1664" s="71" t="str">
        <f aca="false">IF(AH1664="","",ROUND(MIN(K1664,TOPE_AFC_UF*AJ1664)*IF(AA1664="Indefinido",AFC_EMP_INDEF,AFC_EMP_PF),0))</f>
        <v/>
      </c>
      <c r="AD1664" s="71" t="str">
        <f aca="false">IF(AH1664="","",ROUND(MIN(K1664,TOPE_AFP_UF*AJ1664)*(MUTUAL_BASICA+MUTUAL_ADIC+SANNA),0))</f>
        <v/>
      </c>
      <c r="AE1664" s="71" t="str">
        <f aca="false">IF(AH1664="","",P1664-N(N1664)+AB1664+AC1664+AD1664)</f>
        <v/>
      </c>
      <c r="AF1664" s="65"/>
      <c r="AG1664" s="64"/>
      <c r="AH1664" s="72" t="str">
        <f aca="false">IF(OR(B1664="",C1664=""),"",C1664&amp;"|"&amp;(YEAR(B1664)*100+MONTH(B1664)))</f>
        <v/>
      </c>
      <c r="AI1664" s="70" t="str">
        <f aca="false">IF(AH1664="","",IF(COUNTIF(L_CLAVE,AH1664)&gt;1,"⚠ Duplicado","OK"))</f>
        <v/>
      </c>
      <c r="AJ1664" s="86" t="str">
        <f aca="false">IF(AH1664="","",IF(SUMPRODUCT(MAX((IND_PER&lt;=B1664)*(IND_UF&lt;&gt;"")*IND_PER))=0,UF_HOY,INDEX(IND_UF,MATCH(SUMPRODUCT(MAX((IND_PER&lt;=B1664)*(IND_UF&lt;&gt;"")*IND_PER)),IND_PER,0))))</f>
        <v/>
      </c>
      <c r="AK1664" s="87" t="str">
        <f aca="false">IF(AH1664="","",IF(COUNTIF(TASA_DESDE,"&lt;="&amp;B1664)=0,INDEX(TASA_EMP,1),INDEX(TASA_EMP,COUNTIF(TASA_DESDE,"&lt;="&amp;B1664))))</f>
        <v/>
      </c>
    </row>
    <row r="1665" customFormat="false" ht="15" hidden="false" customHeight="false" outlineLevel="0" collapsed="false">
      <c r="B1665" s="78"/>
      <c r="C1665" s="64"/>
      <c r="D1665" s="72" t="str">
        <f aca="false">IF(C1665="","",IFERROR(INDEX(T_NOMBRE,MATCH(C1665,T_ID,0)),"⚠ ID no existe"))</f>
        <v/>
      </c>
      <c r="E1665" s="69"/>
      <c r="F1665" s="67"/>
      <c r="G1665" s="67"/>
      <c r="H1665" s="67"/>
      <c r="I1665" s="67"/>
      <c r="J1665" s="67"/>
      <c r="K1665" s="85" t="str">
        <f aca="false">IF(AH1665="","",N(F1665)+N(G1665)+N(H1665)-N(I1665)+N(J1665))</f>
        <v/>
      </c>
      <c r="L1665" s="67"/>
      <c r="M1665" s="67"/>
      <c r="N1665" s="67"/>
      <c r="O1665" s="67"/>
      <c r="P1665" s="85" t="str">
        <f aca="false">IF(AH1665="","",K1665+N(L1665)+N(M1665)+N(N1665)+N(O1665))</f>
        <v/>
      </c>
      <c r="Q1665" s="67"/>
      <c r="R1665" s="67"/>
      <c r="S1665" s="67"/>
      <c r="T1665" s="67"/>
      <c r="U1665" s="67"/>
      <c r="V1665" s="67"/>
      <c r="W1665" s="85" t="str">
        <f aca="false">IF(AH1665="","",N(Q1665)+N(R1665)+N(S1665)+N(T1665)+N(U1665)+N(V1665))</f>
        <v/>
      </c>
      <c r="X1665" s="85" t="str">
        <f aca="false">IF(AH1665="","",P1665-W1665)</f>
        <v/>
      </c>
      <c r="Y1665" s="67"/>
      <c r="Z1665" s="70" t="str">
        <f aca="false">IF(OR(AH1665="",Y1665=""),"",IF(ABS(X1665-Y1665)&lt;=1,"✓ Cuadra","⚠ Diferencia $"&amp;FIXED(X1665-Y1665,0)))</f>
        <v/>
      </c>
      <c r="AA1665" s="72" t="str">
        <f aca="false">IF(AH1665="","",IFERROR(INDEX(C_TIPO,MATCH(C1665&amp;"-P"&amp;MAX(1,COUNTIFS(C_ID,C1665,C_DEFINE,"Sí",C_INICIO,"&lt;="&amp;EOMONTH(B1665,0))),C_CLAVE,0))&amp;"","Sin dato"))</f>
        <v/>
      </c>
      <c r="AB1665" s="71" t="str">
        <f aca="false">IF(AH1665="","",ROUND(MIN(K1665,TOPE_AFP_UF*AJ1665)*AK1665,0))</f>
        <v/>
      </c>
      <c r="AC1665" s="71" t="str">
        <f aca="false">IF(AH1665="","",ROUND(MIN(K1665,TOPE_AFC_UF*AJ1665)*IF(AA1665="Indefinido",AFC_EMP_INDEF,AFC_EMP_PF),0))</f>
        <v/>
      </c>
      <c r="AD1665" s="71" t="str">
        <f aca="false">IF(AH1665="","",ROUND(MIN(K1665,TOPE_AFP_UF*AJ1665)*(MUTUAL_BASICA+MUTUAL_ADIC+SANNA),0))</f>
        <v/>
      </c>
      <c r="AE1665" s="71" t="str">
        <f aca="false">IF(AH1665="","",P1665-N(N1665)+AB1665+AC1665+AD1665)</f>
        <v/>
      </c>
      <c r="AF1665" s="65"/>
      <c r="AG1665" s="64"/>
      <c r="AH1665" s="72" t="str">
        <f aca="false">IF(OR(B1665="",C1665=""),"",C1665&amp;"|"&amp;(YEAR(B1665)*100+MONTH(B1665)))</f>
        <v/>
      </c>
      <c r="AI1665" s="70" t="str">
        <f aca="false">IF(AH1665="","",IF(COUNTIF(L_CLAVE,AH1665)&gt;1,"⚠ Duplicado","OK"))</f>
        <v/>
      </c>
      <c r="AJ1665" s="86" t="str">
        <f aca="false">IF(AH1665="","",IF(SUMPRODUCT(MAX((IND_PER&lt;=B1665)*(IND_UF&lt;&gt;"")*IND_PER))=0,UF_HOY,INDEX(IND_UF,MATCH(SUMPRODUCT(MAX((IND_PER&lt;=B1665)*(IND_UF&lt;&gt;"")*IND_PER)),IND_PER,0))))</f>
        <v/>
      </c>
      <c r="AK1665" s="87" t="str">
        <f aca="false">IF(AH1665="","",IF(COUNTIF(TASA_DESDE,"&lt;="&amp;B1665)=0,INDEX(TASA_EMP,1),INDEX(TASA_EMP,COUNTIF(TASA_DESDE,"&lt;="&amp;B1665))))</f>
        <v/>
      </c>
    </row>
    <row r="1666" customFormat="false" ht="15" hidden="false" customHeight="false" outlineLevel="0" collapsed="false">
      <c r="B1666" s="78"/>
      <c r="C1666" s="64"/>
      <c r="D1666" s="72" t="str">
        <f aca="false">IF(C1666="","",IFERROR(INDEX(T_NOMBRE,MATCH(C1666,T_ID,0)),"⚠ ID no existe"))</f>
        <v/>
      </c>
      <c r="E1666" s="69"/>
      <c r="F1666" s="67"/>
      <c r="G1666" s="67"/>
      <c r="H1666" s="67"/>
      <c r="I1666" s="67"/>
      <c r="J1666" s="67"/>
      <c r="K1666" s="85" t="str">
        <f aca="false">IF(AH1666="","",N(F1666)+N(G1666)+N(H1666)-N(I1666)+N(J1666))</f>
        <v/>
      </c>
      <c r="L1666" s="67"/>
      <c r="M1666" s="67"/>
      <c r="N1666" s="67"/>
      <c r="O1666" s="67"/>
      <c r="P1666" s="85" t="str">
        <f aca="false">IF(AH1666="","",K1666+N(L1666)+N(M1666)+N(N1666)+N(O1666))</f>
        <v/>
      </c>
      <c r="Q1666" s="67"/>
      <c r="R1666" s="67"/>
      <c r="S1666" s="67"/>
      <c r="T1666" s="67"/>
      <c r="U1666" s="67"/>
      <c r="V1666" s="67"/>
      <c r="W1666" s="85" t="str">
        <f aca="false">IF(AH1666="","",N(Q1666)+N(R1666)+N(S1666)+N(T1666)+N(U1666)+N(V1666))</f>
        <v/>
      </c>
      <c r="X1666" s="85" t="str">
        <f aca="false">IF(AH1666="","",P1666-W1666)</f>
        <v/>
      </c>
      <c r="Y1666" s="67"/>
      <c r="Z1666" s="70" t="str">
        <f aca="false">IF(OR(AH1666="",Y1666=""),"",IF(ABS(X1666-Y1666)&lt;=1,"✓ Cuadra","⚠ Diferencia $"&amp;FIXED(X1666-Y1666,0)))</f>
        <v/>
      </c>
      <c r="AA1666" s="72" t="str">
        <f aca="false">IF(AH1666="","",IFERROR(INDEX(C_TIPO,MATCH(C1666&amp;"-P"&amp;MAX(1,COUNTIFS(C_ID,C1666,C_DEFINE,"Sí",C_INICIO,"&lt;="&amp;EOMONTH(B1666,0))),C_CLAVE,0))&amp;"","Sin dato"))</f>
        <v/>
      </c>
      <c r="AB1666" s="71" t="str">
        <f aca="false">IF(AH1666="","",ROUND(MIN(K1666,TOPE_AFP_UF*AJ1666)*AK1666,0))</f>
        <v/>
      </c>
      <c r="AC1666" s="71" t="str">
        <f aca="false">IF(AH1666="","",ROUND(MIN(K1666,TOPE_AFC_UF*AJ1666)*IF(AA1666="Indefinido",AFC_EMP_INDEF,AFC_EMP_PF),0))</f>
        <v/>
      </c>
      <c r="AD1666" s="71" t="str">
        <f aca="false">IF(AH1666="","",ROUND(MIN(K1666,TOPE_AFP_UF*AJ1666)*(MUTUAL_BASICA+MUTUAL_ADIC+SANNA),0))</f>
        <v/>
      </c>
      <c r="AE1666" s="71" t="str">
        <f aca="false">IF(AH1666="","",P1666-N(N1666)+AB1666+AC1666+AD1666)</f>
        <v/>
      </c>
      <c r="AF1666" s="65"/>
      <c r="AG1666" s="64"/>
      <c r="AH1666" s="72" t="str">
        <f aca="false">IF(OR(B1666="",C1666=""),"",C1666&amp;"|"&amp;(YEAR(B1666)*100+MONTH(B1666)))</f>
        <v/>
      </c>
      <c r="AI1666" s="70" t="str">
        <f aca="false">IF(AH1666="","",IF(COUNTIF(L_CLAVE,AH1666)&gt;1,"⚠ Duplicado","OK"))</f>
        <v/>
      </c>
      <c r="AJ1666" s="86" t="str">
        <f aca="false">IF(AH1666="","",IF(SUMPRODUCT(MAX((IND_PER&lt;=B1666)*(IND_UF&lt;&gt;"")*IND_PER))=0,UF_HOY,INDEX(IND_UF,MATCH(SUMPRODUCT(MAX((IND_PER&lt;=B1666)*(IND_UF&lt;&gt;"")*IND_PER)),IND_PER,0))))</f>
        <v/>
      </c>
      <c r="AK1666" s="87" t="str">
        <f aca="false">IF(AH1666="","",IF(COUNTIF(TASA_DESDE,"&lt;="&amp;B1666)=0,INDEX(TASA_EMP,1),INDEX(TASA_EMP,COUNTIF(TASA_DESDE,"&lt;="&amp;B1666))))</f>
        <v/>
      </c>
    </row>
    <row r="1667" customFormat="false" ht="15" hidden="false" customHeight="false" outlineLevel="0" collapsed="false">
      <c r="B1667" s="78"/>
      <c r="C1667" s="64"/>
      <c r="D1667" s="72" t="str">
        <f aca="false">IF(C1667="","",IFERROR(INDEX(T_NOMBRE,MATCH(C1667,T_ID,0)),"⚠ ID no existe"))</f>
        <v/>
      </c>
      <c r="E1667" s="69"/>
      <c r="F1667" s="67"/>
      <c r="G1667" s="67"/>
      <c r="H1667" s="67"/>
      <c r="I1667" s="67"/>
      <c r="J1667" s="67"/>
      <c r="K1667" s="85" t="str">
        <f aca="false">IF(AH1667="","",N(F1667)+N(G1667)+N(H1667)-N(I1667)+N(J1667))</f>
        <v/>
      </c>
      <c r="L1667" s="67"/>
      <c r="M1667" s="67"/>
      <c r="N1667" s="67"/>
      <c r="O1667" s="67"/>
      <c r="P1667" s="85" t="str">
        <f aca="false">IF(AH1667="","",K1667+N(L1667)+N(M1667)+N(N1667)+N(O1667))</f>
        <v/>
      </c>
      <c r="Q1667" s="67"/>
      <c r="R1667" s="67"/>
      <c r="S1667" s="67"/>
      <c r="T1667" s="67"/>
      <c r="U1667" s="67"/>
      <c r="V1667" s="67"/>
      <c r="W1667" s="85" t="str">
        <f aca="false">IF(AH1667="","",N(Q1667)+N(R1667)+N(S1667)+N(T1667)+N(U1667)+N(V1667))</f>
        <v/>
      </c>
      <c r="X1667" s="85" t="str">
        <f aca="false">IF(AH1667="","",P1667-W1667)</f>
        <v/>
      </c>
      <c r="Y1667" s="67"/>
      <c r="Z1667" s="70" t="str">
        <f aca="false">IF(OR(AH1667="",Y1667=""),"",IF(ABS(X1667-Y1667)&lt;=1,"✓ Cuadra","⚠ Diferencia $"&amp;FIXED(X1667-Y1667,0)))</f>
        <v/>
      </c>
      <c r="AA1667" s="72" t="str">
        <f aca="false">IF(AH1667="","",IFERROR(INDEX(C_TIPO,MATCH(C1667&amp;"-P"&amp;MAX(1,COUNTIFS(C_ID,C1667,C_DEFINE,"Sí",C_INICIO,"&lt;="&amp;EOMONTH(B1667,0))),C_CLAVE,0))&amp;"","Sin dato"))</f>
        <v/>
      </c>
      <c r="AB1667" s="71" t="str">
        <f aca="false">IF(AH1667="","",ROUND(MIN(K1667,TOPE_AFP_UF*AJ1667)*AK1667,0))</f>
        <v/>
      </c>
      <c r="AC1667" s="71" t="str">
        <f aca="false">IF(AH1667="","",ROUND(MIN(K1667,TOPE_AFC_UF*AJ1667)*IF(AA1667="Indefinido",AFC_EMP_INDEF,AFC_EMP_PF),0))</f>
        <v/>
      </c>
      <c r="AD1667" s="71" t="str">
        <f aca="false">IF(AH1667="","",ROUND(MIN(K1667,TOPE_AFP_UF*AJ1667)*(MUTUAL_BASICA+MUTUAL_ADIC+SANNA),0))</f>
        <v/>
      </c>
      <c r="AE1667" s="71" t="str">
        <f aca="false">IF(AH1667="","",P1667-N(N1667)+AB1667+AC1667+AD1667)</f>
        <v/>
      </c>
      <c r="AF1667" s="65"/>
      <c r="AG1667" s="64"/>
      <c r="AH1667" s="72" t="str">
        <f aca="false">IF(OR(B1667="",C1667=""),"",C1667&amp;"|"&amp;(YEAR(B1667)*100+MONTH(B1667)))</f>
        <v/>
      </c>
      <c r="AI1667" s="70" t="str">
        <f aca="false">IF(AH1667="","",IF(COUNTIF(L_CLAVE,AH1667)&gt;1,"⚠ Duplicado","OK"))</f>
        <v/>
      </c>
      <c r="AJ1667" s="86" t="str">
        <f aca="false">IF(AH1667="","",IF(SUMPRODUCT(MAX((IND_PER&lt;=B1667)*(IND_UF&lt;&gt;"")*IND_PER))=0,UF_HOY,INDEX(IND_UF,MATCH(SUMPRODUCT(MAX((IND_PER&lt;=B1667)*(IND_UF&lt;&gt;"")*IND_PER)),IND_PER,0))))</f>
        <v/>
      </c>
      <c r="AK1667" s="87" t="str">
        <f aca="false">IF(AH1667="","",IF(COUNTIF(TASA_DESDE,"&lt;="&amp;B1667)=0,INDEX(TASA_EMP,1),INDEX(TASA_EMP,COUNTIF(TASA_DESDE,"&lt;="&amp;B1667))))</f>
        <v/>
      </c>
    </row>
    <row r="1668" customFormat="false" ht="15" hidden="false" customHeight="false" outlineLevel="0" collapsed="false">
      <c r="B1668" s="78"/>
      <c r="C1668" s="64"/>
      <c r="D1668" s="72" t="str">
        <f aca="false">IF(C1668="","",IFERROR(INDEX(T_NOMBRE,MATCH(C1668,T_ID,0)),"⚠ ID no existe"))</f>
        <v/>
      </c>
      <c r="E1668" s="69"/>
      <c r="F1668" s="67"/>
      <c r="G1668" s="67"/>
      <c r="H1668" s="67"/>
      <c r="I1668" s="67"/>
      <c r="J1668" s="67"/>
      <c r="K1668" s="85" t="str">
        <f aca="false">IF(AH1668="","",N(F1668)+N(G1668)+N(H1668)-N(I1668)+N(J1668))</f>
        <v/>
      </c>
      <c r="L1668" s="67"/>
      <c r="M1668" s="67"/>
      <c r="N1668" s="67"/>
      <c r="O1668" s="67"/>
      <c r="P1668" s="85" t="str">
        <f aca="false">IF(AH1668="","",K1668+N(L1668)+N(M1668)+N(N1668)+N(O1668))</f>
        <v/>
      </c>
      <c r="Q1668" s="67"/>
      <c r="R1668" s="67"/>
      <c r="S1668" s="67"/>
      <c r="T1668" s="67"/>
      <c r="U1668" s="67"/>
      <c r="V1668" s="67"/>
      <c r="W1668" s="85" t="str">
        <f aca="false">IF(AH1668="","",N(Q1668)+N(R1668)+N(S1668)+N(T1668)+N(U1668)+N(V1668))</f>
        <v/>
      </c>
      <c r="X1668" s="85" t="str">
        <f aca="false">IF(AH1668="","",P1668-W1668)</f>
        <v/>
      </c>
      <c r="Y1668" s="67"/>
      <c r="Z1668" s="70" t="str">
        <f aca="false">IF(OR(AH1668="",Y1668=""),"",IF(ABS(X1668-Y1668)&lt;=1,"✓ Cuadra","⚠ Diferencia $"&amp;FIXED(X1668-Y1668,0)))</f>
        <v/>
      </c>
      <c r="AA1668" s="72" t="str">
        <f aca="false">IF(AH1668="","",IFERROR(INDEX(C_TIPO,MATCH(C1668&amp;"-P"&amp;MAX(1,COUNTIFS(C_ID,C1668,C_DEFINE,"Sí",C_INICIO,"&lt;="&amp;EOMONTH(B1668,0))),C_CLAVE,0))&amp;"","Sin dato"))</f>
        <v/>
      </c>
      <c r="AB1668" s="71" t="str">
        <f aca="false">IF(AH1668="","",ROUND(MIN(K1668,TOPE_AFP_UF*AJ1668)*AK1668,0))</f>
        <v/>
      </c>
      <c r="AC1668" s="71" t="str">
        <f aca="false">IF(AH1668="","",ROUND(MIN(K1668,TOPE_AFC_UF*AJ1668)*IF(AA1668="Indefinido",AFC_EMP_INDEF,AFC_EMP_PF),0))</f>
        <v/>
      </c>
      <c r="AD1668" s="71" t="str">
        <f aca="false">IF(AH1668="","",ROUND(MIN(K1668,TOPE_AFP_UF*AJ1668)*(MUTUAL_BASICA+MUTUAL_ADIC+SANNA),0))</f>
        <v/>
      </c>
      <c r="AE1668" s="71" t="str">
        <f aca="false">IF(AH1668="","",P1668-N(N1668)+AB1668+AC1668+AD1668)</f>
        <v/>
      </c>
      <c r="AF1668" s="65"/>
      <c r="AG1668" s="64"/>
      <c r="AH1668" s="72" t="str">
        <f aca="false">IF(OR(B1668="",C1668=""),"",C1668&amp;"|"&amp;(YEAR(B1668)*100+MONTH(B1668)))</f>
        <v/>
      </c>
      <c r="AI1668" s="70" t="str">
        <f aca="false">IF(AH1668="","",IF(COUNTIF(L_CLAVE,AH1668)&gt;1,"⚠ Duplicado","OK"))</f>
        <v/>
      </c>
      <c r="AJ1668" s="86" t="str">
        <f aca="false">IF(AH1668="","",IF(SUMPRODUCT(MAX((IND_PER&lt;=B1668)*(IND_UF&lt;&gt;"")*IND_PER))=0,UF_HOY,INDEX(IND_UF,MATCH(SUMPRODUCT(MAX((IND_PER&lt;=B1668)*(IND_UF&lt;&gt;"")*IND_PER)),IND_PER,0))))</f>
        <v/>
      </c>
      <c r="AK1668" s="87" t="str">
        <f aca="false">IF(AH1668="","",IF(COUNTIF(TASA_DESDE,"&lt;="&amp;B1668)=0,INDEX(TASA_EMP,1),INDEX(TASA_EMP,COUNTIF(TASA_DESDE,"&lt;="&amp;B1668))))</f>
        <v/>
      </c>
    </row>
    <row r="1669" customFormat="false" ht="15" hidden="false" customHeight="false" outlineLevel="0" collapsed="false">
      <c r="B1669" s="78"/>
      <c r="C1669" s="64"/>
      <c r="D1669" s="72" t="str">
        <f aca="false">IF(C1669="","",IFERROR(INDEX(T_NOMBRE,MATCH(C1669,T_ID,0)),"⚠ ID no existe"))</f>
        <v/>
      </c>
      <c r="E1669" s="69"/>
      <c r="F1669" s="67"/>
      <c r="G1669" s="67"/>
      <c r="H1669" s="67"/>
      <c r="I1669" s="67"/>
      <c r="J1669" s="67"/>
      <c r="K1669" s="85" t="str">
        <f aca="false">IF(AH1669="","",N(F1669)+N(G1669)+N(H1669)-N(I1669)+N(J1669))</f>
        <v/>
      </c>
      <c r="L1669" s="67"/>
      <c r="M1669" s="67"/>
      <c r="N1669" s="67"/>
      <c r="O1669" s="67"/>
      <c r="P1669" s="85" t="str">
        <f aca="false">IF(AH1669="","",K1669+N(L1669)+N(M1669)+N(N1669)+N(O1669))</f>
        <v/>
      </c>
      <c r="Q1669" s="67"/>
      <c r="R1669" s="67"/>
      <c r="S1669" s="67"/>
      <c r="T1669" s="67"/>
      <c r="U1669" s="67"/>
      <c r="V1669" s="67"/>
      <c r="W1669" s="85" t="str">
        <f aca="false">IF(AH1669="","",N(Q1669)+N(R1669)+N(S1669)+N(T1669)+N(U1669)+N(V1669))</f>
        <v/>
      </c>
      <c r="X1669" s="85" t="str">
        <f aca="false">IF(AH1669="","",P1669-W1669)</f>
        <v/>
      </c>
      <c r="Y1669" s="67"/>
      <c r="Z1669" s="70" t="str">
        <f aca="false">IF(OR(AH1669="",Y1669=""),"",IF(ABS(X1669-Y1669)&lt;=1,"✓ Cuadra","⚠ Diferencia $"&amp;FIXED(X1669-Y1669,0)))</f>
        <v/>
      </c>
      <c r="AA1669" s="72" t="str">
        <f aca="false">IF(AH1669="","",IFERROR(INDEX(C_TIPO,MATCH(C1669&amp;"-P"&amp;MAX(1,COUNTIFS(C_ID,C1669,C_DEFINE,"Sí",C_INICIO,"&lt;="&amp;EOMONTH(B1669,0))),C_CLAVE,0))&amp;"","Sin dato"))</f>
        <v/>
      </c>
      <c r="AB1669" s="71" t="str">
        <f aca="false">IF(AH1669="","",ROUND(MIN(K1669,TOPE_AFP_UF*AJ1669)*AK1669,0))</f>
        <v/>
      </c>
      <c r="AC1669" s="71" t="str">
        <f aca="false">IF(AH1669="","",ROUND(MIN(K1669,TOPE_AFC_UF*AJ1669)*IF(AA1669="Indefinido",AFC_EMP_INDEF,AFC_EMP_PF),0))</f>
        <v/>
      </c>
      <c r="AD1669" s="71" t="str">
        <f aca="false">IF(AH1669="","",ROUND(MIN(K1669,TOPE_AFP_UF*AJ1669)*(MUTUAL_BASICA+MUTUAL_ADIC+SANNA),0))</f>
        <v/>
      </c>
      <c r="AE1669" s="71" t="str">
        <f aca="false">IF(AH1669="","",P1669-N(N1669)+AB1669+AC1669+AD1669)</f>
        <v/>
      </c>
      <c r="AF1669" s="65"/>
      <c r="AG1669" s="64"/>
      <c r="AH1669" s="72" t="str">
        <f aca="false">IF(OR(B1669="",C1669=""),"",C1669&amp;"|"&amp;(YEAR(B1669)*100+MONTH(B1669)))</f>
        <v/>
      </c>
      <c r="AI1669" s="70" t="str">
        <f aca="false">IF(AH1669="","",IF(COUNTIF(L_CLAVE,AH1669)&gt;1,"⚠ Duplicado","OK"))</f>
        <v/>
      </c>
      <c r="AJ1669" s="86" t="str">
        <f aca="false">IF(AH1669="","",IF(SUMPRODUCT(MAX((IND_PER&lt;=B1669)*(IND_UF&lt;&gt;"")*IND_PER))=0,UF_HOY,INDEX(IND_UF,MATCH(SUMPRODUCT(MAX((IND_PER&lt;=B1669)*(IND_UF&lt;&gt;"")*IND_PER)),IND_PER,0))))</f>
        <v/>
      </c>
      <c r="AK1669" s="87" t="str">
        <f aca="false">IF(AH1669="","",IF(COUNTIF(TASA_DESDE,"&lt;="&amp;B1669)=0,INDEX(TASA_EMP,1),INDEX(TASA_EMP,COUNTIF(TASA_DESDE,"&lt;="&amp;B1669))))</f>
        <v/>
      </c>
    </row>
    <row r="1670" customFormat="false" ht="15" hidden="false" customHeight="false" outlineLevel="0" collapsed="false">
      <c r="B1670" s="78"/>
      <c r="C1670" s="64"/>
      <c r="D1670" s="72" t="str">
        <f aca="false">IF(C1670="","",IFERROR(INDEX(T_NOMBRE,MATCH(C1670,T_ID,0)),"⚠ ID no existe"))</f>
        <v/>
      </c>
      <c r="E1670" s="69"/>
      <c r="F1670" s="67"/>
      <c r="G1670" s="67"/>
      <c r="H1670" s="67"/>
      <c r="I1670" s="67"/>
      <c r="J1670" s="67"/>
      <c r="K1670" s="85" t="str">
        <f aca="false">IF(AH1670="","",N(F1670)+N(G1670)+N(H1670)-N(I1670)+N(J1670))</f>
        <v/>
      </c>
      <c r="L1670" s="67"/>
      <c r="M1670" s="67"/>
      <c r="N1670" s="67"/>
      <c r="O1670" s="67"/>
      <c r="P1670" s="85" t="str">
        <f aca="false">IF(AH1670="","",K1670+N(L1670)+N(M1670)+N(N1670)+N(O1670))</f>
        <v/>
      </c>
      <c r="Q1670" s="67"/>
      <c r="R1670" s="67"/>
      <c r="S1670" s="67"/>
      <c r="T1670" s="67"/>
      <c r="U1670" s="67"/>
      <c r="V1670" s="67"/>
      <c r="W1670" s="85" t="str">
        <f aca="false">IF(AH1670="","",N(Q1670)+N(R1670)+N(S1670)+N(T1670)+N(U1670)+N(V1670))</f>
        <v/>
      </c>
      <c r="X1670" s="85" t="str">
        <f aca="false">IF(AH1670="","",P1670-W1670)</f>
        <v/>
      </c>
      <c r="Y1670" s="67"/>
      <c r="Z1670" s="70" t="str">
        <f aca="false">IF(OR(AH1670="",Y1670=""),"",IF(ABS(X1670-Y1670)&lt;=1,"✓ Cuadra","⚠ Diferencia $"&amp;FIXED(X1670-Y1670,0)))</f>
        <v/>
      </c>
      <c r="AA1670" s="72" t="str">
        <f aca="false">IF(AH1670="","",IFERROR(INDEX(C_TIPO,MATCH(C1670&amp;"-P"&amp;MAX(1,COUNTIFS(C_ID,C1670,C_DEFINE,"Sí",C_INICIO,"&lt;="&amp;EOMONTH(B1670,0))),C_CLAVE,0))&amp;"","Sin dato"))</f>
        <v/>
      </c>
      <c r="AB1670" s="71" t="str">
        <f aca="false">IF(AH1670="","",ROUND(MIN(K1670,TOPE_AFP_UF*AJ1670)*AK1670,0))</f>
        <v/>
      </c>
      <c r="AC1670" s="71" t="str">
        <f aca="false">IF(AH1670="","",ROUND(MIN(K1670,TOPE_AFC_UF*AJ1670)*IF(AA1670="Indefinido",AFC_EMP_INDEF,AFC_EMP_PF),0))</f>
        <v/>
      </c>
      <c r="AD1670" s="71" t="str">
        <f aca="false">IF(AH1670="","",ROUND(MIN(K1670,TOPE_AFP_UF*AJ1670)*(MUTUAL_BASICA+MUTUAL_ADIC+SANNA),0))</f>
        <v/>
      </c>
      <c r="AE1670" s="71" t="str">
        <f aca="false">IF(AH1670="","",P1670-N(N1670)+AB1670+AC1670+AD1670)</f>
        <v/>
      </c>
      <c r="AF1670" s="65"/>
      <c r="AG1670" s="64"/>
      <c r="AH1670" s="72" t="str">
        <f aca="false">IF(OR(B1670="",C1670=""),"",C1670&amp;"|"&amp;(YEAR(B1670)*100+MONTH(B1670)))</f>
        <v/>
      </c>
      <c r="AI1670" s="70" t="str">
        <f aca="false">IF(AH1670="","",IF(COUNTIF(L_CLAVE,AH1670)&gt;1,"⚠ Duplicado","OK"))</f>
        <v/>
      </c>
      <c r="AJ1670" s="86" t="str">
        <f aca="false">IF(AH1670="","",IF(SUMPRODUCT(MAX((IND_PER&lt;=B1670)*(IND_UF&lt;&gt;"")*IND_PER))=0,UF_HOY,INDEX(IND_UF,MATCH(SUMPRODUCT(MAX((IND_PER&lt;=B1670)*(IND_UF&lt;&gt;"")*IND_PER)),IND_PER,0))))</f>
        <v/>
      </c>
      <c r="AK1670" s="87" t="str">
        <f aca="false">IF(AH1670="","",IF(COUNTIF(TASA_DESDE,"&lt;="&amp;B1670)=0,INDEX(TASA_EMP,1),INDEX(TASA_EMP,COUNTIF(TASA_DESDE,"&lt;="&amp;B1670))))</f>
        <v/>
      </c>
    </row>
    <row r="1671" customFormat="false" ht="15" hidden="false" customHeight="false" outlineLevel="0" collapsed="false">
      <c r="B1671" s="78"/>
      <c r="C1671" s="64"/>
      <c r="D1671" s="72" t="str">
        <f aca="false">IF(C1671="","",IFERROR(INDEX(T_NOMBRE,MATCH(C1671,T_ID,0)),"⚠ ID no existe"))</f>
        <v/>
      </c>
      <c r="E1671" s="69"/>
      <c r="F1671" s="67"/>
      <c r="G1671" s="67"/>
      <c r="H1671" s="67"/>
      <c r="I1671" s="67"/>
      <c r="J1671" s="67"/>
      <c r="K1671" s="85" t="str">
        <f aca="false">IF(AH1671="","",N(F1671)+N(G1671)+N(H1671)-N(I1671)+N(J1671))</f>
        <v/>
      </c>
      <c r="L1671" s="67"/>
      <c r="M1671" s="67"/>
      <c r="N1671" s="67"/>
      <c r="O1671" s="67"/>
      <c r="P1671" s="85" t="str">
        <f aca="false">IF(AH1671="","",K1671+N(L1671)+N(M1671)+N(N1671)+N(O1671))</f>
        <v/>
      </c>
      <c r="Q1671" s="67"/>
      <c r="R1671" s="67"/>
      <c r="S1671" s="67"/>
      <c r="T1671" s="67"/>
      <c r="U1671" s="67"/>
      <c r="V1671" s="67"/>
      <c r="W1671" s="85" t="str">
        <f aca="false">IF(AH1671="","",N(Q1671)+N(R1671)+N(S1671)+N(T1671)+N(U1671)+N(V1671))</f>
        <v/>
      </c>
      <c r="X1671" s="85" t="str">
        <f aca="false">IF(AH1671="","",P1671-W1671)</f>
        <v/>
      </c>
      <c r="Y1671" s="67"/>
      <c r="Z1671" s="70" t="str">
        <f aca="false">IF(OR(AH1671="",Y1671=""),"",IF(ABS(X1671-Y1671)&lt;=1,"✓ Cuadra","⚠ Diferencia $"&amp;FIXED(X1671-Y1671,0)))</f>
        <v/>
      </c>
      <c r="AA1671" s="72" t="str">
        <f aca="false">IF(AH1671="","",IFERROR(INDEX(C_TIPO,MATCH(C1671&amp;"-P"&amp;MAX(1,COUNTIFS(C_ID,C1671,C_DEFINE,"Sí",C_INICIO,"&lt;="&amp;EOMONTH(B1671,0))),C_CLAVE,0))&amp;"","Sin dato"))</f>
        <v/>
      </c>
      <c r="AB1671" s="71" t="str">
        <f aca="false">IF(AH1671="","",ROUND(MIN(K1671,TOPE_AFP_UF*AJ1671)*AK1671,0))</f>
        <v/>
      </c>
      <c r="AC1671" s="71" t="str">
        <f aca="false">IF(AH1671="","",ROUND(MIN(K1671,TOPE_AFC_UF*AJ1671)*IF(AA1671="Indefinido",AFC_EMP_INDEF,AFC_EMP_PF),0))</f>
        <v/>
      </c>
      <c r="AD1671" s="71" t="str">
        <f aca="false">IF(AH1671="","",ROUND(MIN(K1671,TOPE_AFP_UF*AJ1671)*(MUTUAL_BASICA+MUTUAL_ADIC+SANNA),0))</f>
        <v/>
      </c>
      <c r="AE1671" s="71" t="str">
        <f aca="false">IF(AH1671="","",P1671-N(N1671)+AB1671+AC1671+AD1671)</f>
        <v/>
      </c>
      <c r="AF1671" s="65"/>
      <c r="AG1671" s="64"/>
      <c r="AH1671" s="72" t="str">
        <f aca="false">IF(OR(B1671="",C1671=""),"",C1671&amp;"|"&amp;(YEAR(B1671)*100+MONTH(B1671)))</f>
        <v/>
      </c>
      <c r="AI1671" s="70" t="str">
        <f aca="false">IF(AH1671="","",IF(COUNTIF(L_CLAVE,AH1671)&gt;1,"⚠ Duplicado","OK"))</f>
        <v/>
      </c>
      <c r="AJ1671" s="86" t="str">
        <f aca="false">IF(AH1671="","",IF(SUMPRODUCT(MAX((IND_PER&lt;=B1671)*(IND_UF&lt;&gt;"")*IND_PER))=0,UF_HOY,INDEX(IND_UF,MATCH(SUMPRODUCT(MAX((IND_PER&lt;=B1671)*(IND_UF&lt;&gt;"")*IND_PER)),IND_PER,0))))</f>
        <v/>
      </c>
      <c r="AK1671" s="87" t="str">
        <f aca="false">IF(AH1671="","",IF(COUNTIF(TASA_DESDE,"&lt;="&amp;B1671)=0,INDEX(TASA_EMP,1),INDEX(TASA_EMP,COUNTIF(TASA_DESDE,"&lt;="&amp;B1671))))</f>
        <v/>
      </c>
    </row>
    <row r="1672" customFormat="false" ht="15" hidden="false" customHeight="false" outlineLevel="0" collapsed="false">
      <c r="B1672" s="78"/>
      <c r="C1672" s="64"/>
      <c r="D1672" s="72" t="str">
        <f aca="false">IF(C1672="","",IFERROR(INDEX(T_NOMBRE,MATCH(C1672,T_ID,0)),"⚠ ID no existe"))</f>
        <v/>
      </c>
      <c r="E1672" s="69"/>
      <c r="F1672" s="67"/>
      <c r="G1672" s="67"/>
      <c r="H1672" s="67"/>
      <c r="I1672" s="67"/>
      <c r="J1672" s="67"/>
      <c r="K1672" s="85" t="str">
        <f aca="false">IF(AH1672="","",N(F1672)+N(G1672)+N(H1672)-N(I1672)+N(J1672))</f>
        <v/>
      </c>
      <c r="L1672" s="67"/>
      <c r="M1672" s="67"/>
      <c r="N1672" s="67"/>
      <c r="O1672" s="67"/>
      <c r="P1672" s="85" t="str">
        <f aca="false">IF(AH1672="","",K1672+N(L1672)+N(M1672)+N(N1672)+N(O1672))</f>
        <v/>
      </c>
      <c r="Q1672" s="67"/>
      <c r="R1672" s="67"/>
      <c r="S1672" s="67"/>
      <c r="T1672" s="67"/>
      <c r="U1672" s="67"/>
      <c r="V1672" s="67"/>
      <c r="W1672" s="85" t="str">
        <f aca="false">IF(AH1672="","",N(Q1672)+N(R1672)+N(S1672)+N(T1672)+N(U1672)+N(V1672))</f>
        <v/>
      </c>
      <c r="X1672" s="85" t="str">
        <f aca="false">IF(AH1672="","",P1672-W1672)</f>
        <v/>
      </c>
      <c r="Y1672" s="67"/>
      <c r="Z1672" s="70" t="str">
        <f aca="false">IF(OR(AH1672="",Y1672=""),"",IF(ABS(X1672-Y1672)&lt;=1,"✓ Cuadra","⚠ Diferencia $"&amp;FIXED(X1672-Y1672,0)))</f>
        <v/>
      </c>
      <c r="AA1672" s="72" t="str">
        <f aca="false">IF(AH1672="","",IFERROR(INDEX(C_TIPO,MATCH(C1672&amp;"-P"&amp;MAX(1,COUNTIFS(C_ID,C1672,C_DEFINE,"Sí",C_INICIO,"&lt;="&amp;EOMONTH(B1672,0))),C_CLAVE,0))&amp;"","Sin dato"))</f>
        <v/>
      </c>
      <c r="AB1672" s="71" t="str">
        <f aca="false">IF(AH1672="","",ROUND(MIN(K1672,TOPE_AFP_UF*AJ1672)*AK1672,0))</f>
        <v/>
      </c>
      <c r="AC1672" s="71" t="str">
        <f aca="false">IF(AH1672="","",ROUND(MIN(K1672,TOPE_AFC_UF*AJ1672)*IF(AA1672="Indefinido",AFC_EMP_INDEF,AFC_EMP_PF),0))</f>
        <v/>
      </c>
      <c r="AD1672" s="71" t="str">
        <f aca="false">IF(AH1672="","",ROUND(MIN(K1672,TOPE_AFP_UF*AJ1672)*(MUTUAL_BASICA+MUTUAL_ADIC+SANNA),0))</f>
        <v/>
      </c>
      <c r="AE1672" s="71" t="str">
        <f aca="false">IF(AH1672="","",P1672-N(N1672)+AB1672+AC1672+AD1672)</f>
        <v/>
      </c>
      <c r="AF1672" s="65"/>
      <c r="AG1672" s="64"/>
      <c r="AH1672" s="72" t="str">
        <f aca="false">IF(OR(B1672="",C1672=""),"",C1672&amp;"|"&amp;(YEAR(B1672)*100+MONTH(B1672)))</f>
        <v/>
      </c>
      <c r="AI1672" s="70" t="str">
        <f aca="false">IF(AH1672="","",IF(COUNTIF(L_CLAVE,AH1672)&gt;1,"⚠ Duplicado","OK"))</f>
        <v/>
      </c>
      <c r="AJ1672" s="86" t="str">
        <f aca="false">IF(AH1672="","",IF(SUMPRODUCT(MAX((IND_PER&lt;=B1672)*(IND_UF&lt;&gt;"")*IND_PER))=0,UF_HOY,INDEX(IND_UF,MATCH(SUMPRODUCT(MAX((IND_PER&lt;=B1672)*(IND_UF&lt;&gt;"")*IND_PER)),IND_PER,0))))</f>
        <v/>
      </c>
      <c r="AK1672" s="87" t="str">
        <f aca="false">IF(AH1672="","",IF(COUNTIF(TASA_DESDE,"&lt;="&amp;B1672)=0,INDEX(TASA_EMP,1),INDEX(TASA_EMP,COUNTIF(TASA_DESDE,"&lt;="&amp;B1672))))</f>
        <v/>
      </c>
    </row>
    <row r="1673" customFormat="false" ht="15" hidden="false" customHeight="false" outlineLevel="0" collapsed="false">
      <c r="B1673" s="78"/>
      <c r="C1673" s="64"/>
      <c r="D1673" s="72" t="str">
        <f aca="false">IF(C1673="","",IFERROR(INDEX(T_NOMBRE,MATCH(C1673,T_ID,0)),"⚠ ID no existe"))</f>
        <v/>
      </c>
      <c r="E1673" s="69"/>
      <c r="F1673" s="67"/>
      <c r="G1673" s="67"/>
      <c r="H1673" s="67"/>
      <c r="I1673" s="67"/>
      <c r="J1673" s="67"/>
      <c r="K1673" s="85" t="str">
        <f aca="false">IF(AH1673="","",N(F1673)+N(G1673)+N(H1673)-N(I1673)+N(J1673))</f>
        <v/>
      </c>
      <c r="L1673" s="67"/>
      <c r="M1673" s="67"/>
      <c r="N1673" s="67"/>
      <c r="O1673" s="67"/>
      <c r="P1673" s="85" t="str">
        <f aca="false">IF(AH1673="","",K1673+N(L1673)+N(M1673)+N(N1673)+N(O1673))</f>
        <v/>
      </c>
      <c r="Q1673" s="67"/>
      <c r="R1673" s="67"/>
      <c r="S1673" s="67"/>
      <c r="T1673" s="67"/>
      <c r="U1673" s="67"/>
      <c r="V1673" s="67"/>
      <c r="W1673" s="85" t="str">
        <f aca="false">IF(AH1673="","",N(Q1673)+N(R1673)+N(S1673)+N(T1673)+N(U1673)+N(V1673))</f>
        <v/>
      </c>
      <c r="X1673" s="85" t="str">
        <f aca="false">IF(AH1673="","",P1673-W1673)</f>
        <v/>
      </c>
      <c r="Y1673" s="67"/>
      <c r="Z1673" s="70" t="str">
        <f aca="false">IF(OR(AH1673="",Y1673=""),"",IF(ABS(X1673-Y1673)&lt;=1,"✓ Cuadra","⚠ Diferencia $"&amp;FIXED(X1673-Y1673,0)))</f>
        <v/>
      </c>
      <c r="AA1673" s="72" t="str">
        <f aca="false">IF(AH1673="","",IFERROR(INDEX(C_TIPO,MATCH(C1673&amp;"-P"&amp;MAX(1,COUNTIFS(C_ID,C1673,C_DEFINE,"Sí",C_INICIO,"&lt;="&amp;EOMONTH(B1673,0))),C_CLAVE,0))&amp;"","Sin dato"))</f>
        <v/>
      </c>
      <c r="AB1673" s="71" t="str">
        <f aca="false">IF(AH1673="","",ROUND(MIN(K1673,TOPE_AFP_UF*AJ1673)*AK1673,0))</f>
        <v/>
      </c>
      <c r="AC1673" s="71" t="str">
        <f aca="false">IF(AH1673="","",ROUND(MIN(K1673,TOPE_AFC_UF*AJ1673)*IF(AA1673="Indefinido",AFC_EMP_INDEF,AFC_EMP_PF),0))</f>
        <v/>
      </c>
      <c r="AD1673" s="71" t="str">
        <f aca="false">IF(AH1673="","",ROUND(MIN(K1673,TOPE_AFP_UF*AJ1673)*(MUTUAL_BASICA+MUTUAL_ADIC+SANNA),0))</f>
        <v/>
      </c>
      <c r="AE1673" s="71" t="str">
        <f aca="false">IF(AH1673="","",P1673-N(N1673)+AB1673+AC1673+AD1673)</f>
        <v/>
      </c>
      <c r="AF1673" s="65"/>
      <c r="AG1673" s="64"/>
      <c r="AH1673" s="72" t="str">
        <f aca="false">IF(OR(B1673="",C1673=""),"",C1673&amp;"|"&amp;(YEAR(B1673)*100+MONTH(B1673)))</f>
        <v/>
      </c>
      <c r="AI1673" s="70" t="str">
        <f aca="false">IF(AH1673="","",IF(COUNTIF(L_CLAVE,AH1673)&gt;1,"⚠ Duplicado","OK"))</f>
        <v/>
      </c>
      <c r="AJ1673" s="86" t="str">
        <f aca="false">IF(AH1673="","",IF(SUMPRODUCT(MAX((IND_PER&lt;=B1673)*(IND_UF&lt;&gt;"")*IND_PER))=0,UF_HOY,INDEX(IND_UF,MATCH(SUMPRODUCT(MAX((IND_PER&lt;=B1673)*(IND_UF&lt;&gt;"")*IND_PER)),IND_PER,0))))</f>
        <v/>
      </c>
      <c r="AK1673" s="87" t="str">
        <f aca="false">IF(AH1673="","",IF(COUNTIF(TASA_DESDE,"&lt;="&amp;B1673)=0,INDEX(TASA_EMP,1),INDEX(TASA_EMP,COUNTIF(TASA_DESDE,"&lt;="&amp;B1673))))</f>
        <v/>
      </c>
    </row>
    <row r="1674" customFormat="false" ht="15" hidden="false" customHeight="false" outlineLevel="0" collapsed="false">
      <c r="B1674" s="78"/>
      <c r="C1674" s="64"/>
      <c r="D1674" s="72" t="str">
        <f aca="false">IF(C1674="","",IFERROR(INDEX(T_NOMBRE,MATCH(C1674,T_ID,0)),"⚠ ID no existe"))</f>
        <v/>
      </c>
      <c r="E1674" s="69"/>
      <c r="F1674" s="67"/>
      <c r="G1674" s="67"/>
      <c r="H1674" s="67"/>
      <c r="I1674" s="67"/>
      <c r="J1674" s="67"/>
      <c r="K1674" s="85" t="str">
        <f aca="false">IF(AH1674="","",N(F1674)+N(G1674)+N(H1674)-N(I1674)+N(J1674))</f>
        <v/>
      </c>
      <c r="L1674" s="67"/>
      <c r="M1674" s="67"/>
      <c r="N1674" s="67"/>
      <c r="O1674" s="67"/>
      <c r="P1674" s="85" t="str">
        <f aca="false">IF(AH1674="","",K1674+N(L1674)+N(M1674)+N(N1674)+N(O1674))</f>
        <v/>
      </c>
      <c r="Q1674" s="67"/>
      <c r="R1674" s="67"/>
      <c r="S1674" s="67"/>
      <c r="T1674" s="67"/>
      <c r="U1674" s="67"/>
      <c r="V1674" s="67"/>
      <c r="W1674" s="85" t="str">
        <f aca="false">IF(AH1674="","",N(Q1674)+N(R1674)+N(S1674)+N(T1674)+N(U1674)+N(V1674))</f>
        <v/>
      </c>
      <c r="X1674" s="85" t="str">
        <f aca="false">IF(AH1674="","",P1674-W1674)</f>
        <v/>
      </c>
      <c r="Y1674" s="67"/>
      <c r="Z1674" s="70" t="str">
        <f aca="false">IF(OR(AH1674="",Y1674=""),"",IF(ABS(X1674-Y1674)&lt;=1,"✓ Cuadra","⚠ Diferencia $"&amp;FIXED(X1674-Y1674,0)))</f>
        <v/>
      </c>
      <c r="AA1674" s="72" t="str">
        <f aca="false">IF(AH1674="","",IFERROR(INDEX(C_TIPO,MATCH(C1674&amp;"-P"&amp;MAX(1,COUNTIFS(C_ID,C1674,C_DEFINE,"Sí",C_INICIO,"&lt;="&amp;EOMONTH(B1674,0))),C_CLAVE,0))&amp;"","Sin dato"))</f>
        <v/>
      </c>
      <c r="AB1674" s="71" t="str">
        <f aca="false">IF(AH1674="","",ROUND(MIN(K1674,TOPE_AFP_UF*AJ1674)*AK1674,0))</f>
        <v/>
      </c>
      <c r="AC1674" s="71" t="str">
        <f aca="false">IF(AH1674="","",ROUND(MIN(K1674,TOPE_AFC_UF*AJ1674)*IF(AA1674="Indefinido",AFC_EMP_INDEF,AFC_EMP_PF),0))</f>
        <v/>
      </c>
      <c r="AD1674" s="71" t="str">
        <f aca="false">IF(AH1674="","",ROUND(MIN(K1674,TOPE_AFP_UF*AJ1674)*(MUTUAL_BASICA+MUTUAL_ADIC+SANNA),0))</f>
        <v/>
      </c>
      <c r="AE1674" s="71" t="str">
        <f aca="false">IF(AH1674="","",P1674-N(N1674)+AB1674+AC1674+AD1674)</f>
        <v/>
      </c>
      <c r="AF1674" s="65"/>
      <c r="AG1674" s="64"/>
      <c r="AH1674" s="72" t="str">
        <f aca="false">IF(OR(B1674="",C1674=""),"",C1674&amp;"|"&amp;(YEAR(B1674)*100+MONTH(B1674)))</f>
        <v/>
      </c>
      <c r="AI1674" s="70" t="str">
        <f aca="false">IF(AH1674="","",IF(COUNTIF(L_CLAVE,AH1674)&gt;1,"⚠ Duplicado","OK"))</f>
        <v/>
      </c>
      <c r="AJ1674" s="86" t="str">
        <f aca="false">IF(AH1674="","",IF(SUMPRODUCT(MAX((IND_PER&lt;=B1674)*(IND_UF&lt;&gt;"")*IND_PER))=0,UF_HOY,INDEX(IND_UF,MATCH(SUMPRODUCT(MAX((IND_PER&lt;=B1674)*(IND_UF&lt;&gt;"")*IND_PER)),IND_PER,0))))</f>
        <v/>
      </c>
      <c r="AK1674" s="87" t="str">
        <f aca="false">IF(AH1674="","",IF(COUNTIF(TASA_DESDE,"&lt;="&amp;B1674)=0,INDEX(TASA_EMP,1),INDEX(TASA_EMP,COUNTIF(TASA_DESDE,"&lt;="&amp;B1674))))</f>
        <v/>
      </c>
    </row>
    <row r="1675" customFormat="false" ht="15" hidden="false" customHeight="false" outlineLevel="0" collapsed="false">
      <c r="B1675" s="78"/>
      <c r="C1675" s="64"/>
      <c r="D1675" s="72" t="str">
        <f aca="false">IF(C1675="","",IFERROR(INDEX(T_NOMBRE,MATCH(C1675,T_ID,0)),"⚠ ID no existe"))</f>
        <v/>
      </c>
      <c r="E1675" s="69"/>
      <c r="F1675" s="67"/>
      <c r="G1675" s="67"/>
      <c r="H1675" s="67"/>
      <c r="I1675" s="67"/>
      <c r="J1675" s="67"/>
      <c r="K1675" s="85" t="str">
        <f aca="false">IF(AH1675="","",N(F1675)+N(G1675)+N(H1675)-N(I1675)+N(J1675))</f>
        <v/>
      </c>
      <c r="L1675" s="67"/>
      <c r="M1675" s="67"/>
      <c r="N1675" s="67"/>
      <c r="O1675" s="67"/>
      <c r="P1675" s="85" t="str">
        <f aca="false">IF(AH1675="","",K1675+N(L1675)+N(M1675)+N(N1675)+N(O1675))</f>
        <v/>
      </c>
      <c r="Q1675" s="67"/>
      <c r="R1675" s="67"/>
      <c r="S1675" s="67"/>
      <c r="T1675" s="67"/>
      <c r="U1675" s="67"/>
      <c r="V1675" s="67"/>
      <c r="W1675" s="85" t="str">
        <f aca="false">IF(AH1675="","",N(Q1675)+N(R1675)+N(S1675)+N(T1675)+N(U1675)+N(V1675))</f>
        <v/>
      </c>
      <c r="X1675" s="85" t="str">
        <f aca="false">IF(AH1675="","",P1675-W1675)</f>
        <v/>
      </c>
      <c r="Y1675" s="67"/>
      <c r="Z1675" s="70" t="str">
        <f aca="false">IF(OR(AH1675="",Y1675=""),"",IF(ABS(X1675-Y1675)&lt;=1,"✓ Cuadra","⚠ Diferencia $"&amp;FIXED(X1675-Y1675,0)))</f>
        <v/>
      </c>
      <c r="AA1675" s="72" t="str">
        <f aca="false">IF(AH1675="","",IFERROR(INDEX(C_TIPO,MATCH(C1675&amp;"-P"&amp;MAX(1,COUNTIFS(C_ID,C1675,C_DEFINE,"Sí",C_INICIO,"&lt;="&amp;EOMONTH(B1675,0))),C_CLAVE,0))&amp;"","Sin dato"))</f>
        <v/>
      </c>
      <c r="AB1675" s="71" t="str">
        <f aca="false">IF(AH1675="","",ROUND(MIN(K1675,TOPE_AFP_UF*AJ1675)*AK1675,0))</f>
        <v/>
      </c>
      <c r="AC1675" s="71" t="str">
        <f aca="false">IF(AH1675="","",ROUND(MIN(K1675,TOPE_AFC_UF*AJ1675)*IF(AA1675="Indefinido",AFC_EMP_INDEF,AFC_EMP_PF),0))</f>
        <v/>
      </c>
      <c r="AD1675" s="71" t="str">
        <f aca="false">IF(AH1675="","",ROUND(MIN(K1675,TOPE_AFP_UF*AJ1675)*(MUTUAL_BASICA+MUTUAL_ADIC+SANNA),0))</f>
        <v/>
      </c>
      <c r="AE1675" s="71" t="str">
        <f aca="false">IF(AH1675="","",P1675-N(N1675)+AB1675+AC1675+AD1675)</f>
        <v/>
      </c>
      <c r="AF1675" s="65"/>
      <c r="AG1675" s="64"/>
      <c r="AH1675" s="72" t="str">
        <f aca="false">IF(OR(B1675="",C1675=""),"",C1675&amp;"|"&amp;(YEAR(B1675)*100+MONTH(B1675)))</f>
        <v/>
      </c>
      <c r="AI1675" s="70" t="str">
        <f aca="false">IF(AH1675="","",IF(COUNTIF(L_CLAVE,AH1675)&gt;1,"⚠ Duplicado","OK"))</f>
        <v/>
      </c>
      <c r="AJ1675" s="86" t="str">
        <f aca="false">IF(AH1675="","",IF(SUMPRODUCT(MAX((IND_PER&lt;=B1675)*(IND_UF&lt;&gt;"")*IND_PER))=0,UF_HOY,INDEX(IND_UF,MATCH(SUMPRODUCT(MAX((IND_PER&lt;=B1675)*(IND_UF&lt;&gt;"")*IND_PER)),IND_PER,0))))</f>
        <v/>
      </c>
      <c r="AK1675" s="87" t="str">
        <f aca="false">IF(AH1675="","",IF(COUNTIF(TASA_DESDE,"&lt;="&amp;B1675)=0,INDEX(TASA_EMP,1),INDEX(TASA_EMP,COUNTIF(TASA_DESDE,"&lt;="&amp;B1675))))</f>
        <v/>
      </c>
    </row>
    <row r="1676" customFormat="false" ht="15" hidden="false" customHeight="false" outlineLevel="0" collapsed="false">
      <c r="B1676" s="78"/>
      <c r="C1676" s="64"/>
      <c r="D1676" s="72" t="str">
        <f aca="false">IF(C1676="","",IFERROR(INDEX(T_NOMBRE,MATCH(C1676,T_ID,0)),"⚠ ID no existe"))</f>
        <v/>
      </c>
      <c r="E1676" s="69"/>
      <c r="F1676" s="67"/>
      <c r="G1676" s="67"/>
      <c r="H1676" s="67"/>
      <c r="I1676" s="67"/>
      <c r="J1676" s="67"/>
      <c r="K1676" s="85" t="str">
        <f aca="false">IF(AH1676="","",N(F1676)+N(G1676)+N(H1676)-N(I1676)+N(J1676))</f>
        <v/>
      </c>
      <c r="L1676" s="67"/>
      <c r="M1676" s="67"/>
      <c r="N1676" s="67"/>
      <c r="O1676" s="67"/>
      <c r="P1676" s="85" t="str">
        <f aca="false">IF(AH1676="","",K1676+N(L1676)+N(M1676)+N(N1676)+N(O1676))</f>
        <v/>
      </c>
      <c r="Q1676" s="67"/>
      <c r="R1676" s="67"/>
      <c r="S1676" s="67"/>
      <c r="T1676" s="67"/>
      <c r="U1676" s="67"/>
      <c r="V1676" s="67"/>
      <c r="W1676" s="85" t="str">
        <f aca="false">IF(AH1676="","",N(Q1676)+N(R1676)+N(S1676)+N(T1676)+N(U1676)+N(V1676))</f>
        <v/>
      </c>
      <c r="X1676" s="85" t="str">
        <f aca="false">IF(AH1676="","",P1676-W1676)</f>
        <v/>
      </c>
      <c r="Y1676" s="67"/>
      <c r="Z1676" s="70" t="str">
        <f aca="false">IF(OR(AH1676="",Y1676=""),"",IF(ABS(X1676-Y1676)&lt;=1,"✓ Cuadra","⚠ Diferencia $"&amp;FIXED(X1676-Y1676,0)))</f>
        <v/>
      </c>
      <c r="AA1676" s="72" t="str">
        <f aca="false">IF(AH1676="","",IFERROR(INDEX(C_TIPO,MATCH(C1676&amp;"-P"&amp;MAX(1,COUNTIFS(C_ID,C1676,C_DEFINE,"Sí",C_INICIO,"&lt;="&amp;EOMONTH(B1676,0))),C_CLAVE,0))&amp;"","Sin dato"))</f>
        <v/>
      </c>
      <c r="AB1676" s="71" t="str">
        <f aca="false">IF(AH1676="","",ROUND(MIN(K1676,TOPE_AFP_UF*AJ1676)*AK1676,0))</f>
        <v/>
      </c>
      <c r="AC1676" s="71" t="str">
        <f aca="false">IF(AH1676="","",ROUND(MIN(K1676,TOPE_AFC_UF*AJ1676)*IF(AA1676="Indefinido",AFC_EMP_INDEF,AFC_EMP_PF),0))</f>
        <v/>
      </c>
      <c r="AD1676" s="71" t="str">
        <f aca="false">IF(AH1676="","",ROUND(MIN(K1676,TOPE_AFP_UF*AJ1676)*(MUTUAL_BASICA+MUTUAL_ADIC+SANNA),0))</f>
        <v/>
      </c>
      <c r="AE1676" s="71" t="str">
        <f aca="false">IF(AH1676="","",P1676-N(N1676)+AB1676+AC1676+AD1676)</f>
        <v/>
      </c>
      <c r="AF1676" s="65"/>
      <c r="AG1676" s="64"/>
      <c r="AH1676" s="72" t="str">
        <f aca="false">IF(OR(B1676="",C1676=""),"",C1676&amp;"|"&amp;(YEAR(B1676)*100+MONTH(B1676)))</f>
        <v/>
      </c>
      <c r="AI1676" s="70" t="str">
        <f aca="false">IF(AH1676="","",IF(COUNTIF(L_CLAVE,AH1676)&gt;1,"⚠ Duplicado","OK"))</f>
        <v/>
      </c>
      <c r="AJ1676" s="86" t="str">
        <f aca="false">IF(AH1676="","",IF(SUMPRODUCT(MAX((IND_PER&lt;=B1676)*(IND_UF&lt;&gt;"")*IND_PER))=0,UF_HOY,INDEX(IND_UF,MATCH(SUMPRODUCT(MAX((IND_PER&lt;=B1676)*(IND_UF&lt;&gt;"")*IND_PER)),IND_PER,0))))</f>
        <v/>
      </c>
      <c r="AK1676" s="87" t="str">
        <f aca="false">IF(AH1676="","",IF(COUNTIF(TASA_DESDE,"&lt;="&amp;B1676)=0,INDEX(TASA_EMP,1),INDEX(TASA_EMP,COUNTIF(TASA_DESDE,"&lt;="&amp;B1676))))</f>
        <v/>
      </c>
    </row>
    <row r="1677" customFormat="false" ht="15" hidden="false" customHeight="false" outlineLevel="0" collapsed="false">
      <c r="B1677" s="78"/>
      <c r="C1677" s="64"/>
      <c r="D1677" s="72" t="str">
        <f aca="false">IF(C1677="","",IFERROR(INDEX(T_NOMBRE,MATCH(C1677,T_ID,0)),"⚠ ID no existe"))</f>
        <v/>
      </c>
      <c r="E1677" s="69"/>
      <c r="F1677" s="67"/>
      <c r="G1677" s="67"/>
      <c r="H1677" s="67"/>
      <c r="I1677" s="67"/>
      <c r="J1677" s="67"/>
      <c r="K1677" s="85" t="str">
        <f aca="false">IF(AH1677="","",N(F1677)+N(G1677)+N(H1677)-N(I1677)+N(J1677))</f>
        <v/>
      </c>
      <c r="L1677" s="67"/>
      <c r="M1677" s="67"/>
      <c r="N1677" s="67"/>
      <c r="O1677" s="67"/>
      <c r="P1677" s="85" t="str">
        <f aca="false">IF(AH1677="","",K1677+N(L1677)+N(M1677)+N(N1677)+N(O1677))</f>
        <v/>
      </c>
      <c r="Q1677" s="67"/>
      <c r="R1677" s="67"/>
      <c r="S1677" s="67"/>
      <c r="T1677" s="67"/>
      <c r="U1677" s="67"/>
      <c r="V1677" s="67"/>
      <c r="W1677" s="85" t="str">
        <f aca="false">IF(AH1677="","",N(Q1677)+N(R1677)+N(S1677)+N(T1677)+N(U1677)+N(V1677))</f>
        <v/>
      </c>
      <c r="X1677" s="85" t="str">
        <f aca="false">IF(AH1677="","",P1677-W1677)</f>
        <v/>
      </c>
      <c r="Y1677" s="67"/>
      <c r="Z1677" s="70" t="str">
        <f aca="false">IF(OR(AH1677="",Y1677=""),"",IF(ABS(X1677-Y1677)&lt;=1,"✓ Cuadra","⚠ Diferencia $"&amp;FIXED(X1677-Y1677,0)))</f>
        <v/>
      </c>
      <c r="AA1677" s="72" t="str">
        <f aca="false">IF(AH1677="","",IFERROR(INDEX(C_TIPO,MATCH(C1677&amp;"-P"&amp;MAX(1,COUNTIFS(C_ID,C1677,C_DEFINE,"Sí",C_INICIO,"&lt;="&amp;EOMONTH(B1677,0))),C_CLAVE,0))&amp;"","Sin dato"))</f>
        <v/>
      </c>
      <c r="AB1677" s="71" t="str">
        <f aca="false">IF(AH1677="","",ROUND(MIN(K1677,TOPE_AFP_UF*AJ1677)*AK1677,0))</f>
        <v/>
      </c>
      <c r="AC1677" s="71" t="str">
        <f aca="false">IF(AH1677="","",ROUND(MIN(K1677,TOPE_AFC_UF*AJ1677)*IF(AA1677="Indefinido",AFC_EMP_INDEF,AFC_EMP_PF),0))</f>
        <v/>
      </c>
      <c r="AD1677" s="71" t="str">
        <f aca="false">IF(AH1677="","",ROUND(MIN(K1677,TOPE_AFP_UF*AJ1677)*(MUTUAL_BASICA+MUTUAL_ADIC+SANNA),0))</f>
        <v/>
      </c>
      <c r="AE1677" s="71" t="str">
        <f aca="false">IF(AH1677="","",P1677-N(N1677)+AB1677+AC1677+AD1677)</f>
        <v/>
      </c>
      <c r="AF1677" s="65"/>
      <c r="AG1677" s="64"/>
      <c r="AH1677" s="72" t="str">
        <f aca="false">IF(OR(B1677="",C1677=""),"",C1677&amp;"|"&amp;(YEAR(B1677)*100+MONTH(B1677)))</f>
        <v/>
      </c>
      <c r="AI1677" s="70" t="str">
        <f aca="false">IF(AH1677="","",IF(COUNTIF(L_CLAVE,AH1677)&gt;1,"⚠ Duplicado","OK"))</f>
        <v/>
      </c>
      <c r="AJ1677" s="86" t="str">
        <f aca="false">IF(AH1677="","",IF(SUMPRODUCT(MAX((IND_PER&lt;=B1677)*(IND_UF&lt;&gt;"")*IND_PER))=0,UF_HOY,INDEX(IND_UF,MATCH(SUMPRODUCT(MAX((IND_PER&lt;=B1677)*(IND_UF&lt;&gt;"")*IND_PER)),IND_PER,0))))</f>
        <v/>
      </c>
      <c r="AK1677" s="87" t="str">
        <f aca="false">IF(AH1677="","",IF(COUNTIF(TASA_DESDE,"&lt;="&amp;B1677)=0,INDEX(TASA_EMP,1),INDEX(TASA_EMP,COUNTIF(TASA_DESDE,"&lt;="&amp;B1677))))</f>
        <v/>
      </c>
    </row>
    <row r="1678" customFormat="false" ht="15" hidden="false" customHeight="false" outlineLevel="0" collapsed="false">
      <c r="B1678" s="78"/>
      <c r="C1678" s="64"/>
      <c r="D1678" s="72" t="str">
        <f aca="false">IF(C1678="","",IFERROR(INDEX(T_NOMBRE,MATCH(C1678,T_ID,0)),"⚠ ID no existe"))</f>
        <v/>
      </c>
      <c r="E1678" s="69"/>
      <c r="F1678" s="67"/>
      <c r="G1678" s="67"/>
      <c r="H1678" s="67"/>
      <c r="I1678" s="67"/>
      <c r="J1678" s="67"/>
      <c r="K1678" s="85" t="str">
        <f aca="false">IF(AH1678="","",N(F1678)+N(G1678)+N(H1678)-N(I1678)+N(J1678))</f>
        <v/>
      </c>
      <c r="L1678" s="67"/>
      <c r="M1678" s="67"/>
      <c r="N1678" s="67"/>
      <c r="O1678" s="67"/>
      <c r="P1678" s="85" t="str">
        <f aca="false">IF(AH1678="","",K1678+N(L1678)+N(M1678)+N(N1678)+N(O1678))</f>
        <v/>
      </c>
      <c r="Q1678" s="67"/>
      <c r="R1678" s="67"/>
      <c r="S1678" s="67"/>
      <c r="T1678" s="67"/>
      <c r="U1678" s="67"/>
      <c r="V1678" s="67"/>
      <c r="W1678" s="85" t="str">
        <f aca="false">IF(AH1678="","",N(Q1678)+N(R1678)+N(S1678)+N(T1678)+N(U1678)+N(V1678))</f>
        <v/>
      </c>
      <c r="X1678" s="85" t="str">
        <f aca="false">IF(AH1678="","",P1678-W1678)</f>
        <v/>
      </c>
      <c r="Y1678" s="67"/>
      <c r="Z1678" s="70" t="str">
        <f aca="false">IF(OR(AH1678="",Y1678=""),"",IF(ABS(X1678-Y1678)&lt;=1,"✓ Cuadra","⚠ Diferencia $"&amp;FIXED(X1678-Y1678,0)))</f>
        <v/>
      </c>
      <c r="AA1678" s="72" t="str">
        <f aca="false">IF(AH1678="","",IFERROR(INDEX(C_TIPO,MATCH(C1678&amp;"-P"&amp;MAX(1,COUNTIFS(C_ID,C1678,C_DEFINE,"Sí",C_INICIO,"&lt;="&amp;EOMONTH(B1678,0))),C_CLAVE,0))&amp;"","Sin dato"))</f>
        <v/>
      </c>
      <c r="AB1678" s="71" t="str">
        <f aca="false">IF(AH1678="","",ROUND(MIN(K1678,TOPE_AFP_UF*AJ1678)*AK1678,0))</f>
        <v/>
      </c>
      <c r="AC1678" s="71" t="str">
        <f aca="false">IF(AH1678="","",ROUND(MIN(K1678,TOPE_AFC_UF*AJ1678)*IF(AA1678="Indefinido",AFC_EMP_INDEF,AFC_EMP_PF),0))</f>
        <v/>
      </c>
      <c r="AD1678" s="71" t="str">
        <f aca="false">IF(AH1678="","",ROUND(MIN(K1678,TOPE_AFP_UF*AJ1678)*(MUTUAL_BASICA+MUTUAL_ADIC+SANNA),0))</f>
        <v/>
      </c>
      <c r="AE1678" s="71" t="str">
        <f aca="false">IF(AH1678="","",P1678-N(N1678)+AB1678+AC1678+AD1678)</f>
        <v/>
      </c>
      <c r="AF1678" s="65"/>
      <c r="AG1678" s="64"/>
      <c r="AH1678" s="72" t="str">
        <f aca="false">IF(OR(B1678="",C1678=""),"",C1678&amp;"|"&amp;(YEAR(B1678)*100+MONTH(B1678)))</f>
        <v/>
      </c>
      <c r="AI1678" s="70" t="str">
        <f aca="false">IF(AH1678="","",IF(COUNTIF(L_CLAVE,AH1678)&gt;1,"⚠ Duplicado","OK"))</f>
        <v/>
      </c>
      <c r="AJ1678" s="86" t="str">
        <f aca="false">IF(AH1678="","",IF(SUMPRODUCT(MAX((IND_PER&lt;=B1678)*(IND_UF&lt;&gt;"")*IND_PER))=0,UF_HOY,INDEX(IND_UF,MATCH(SUMPRODUCT(MAX((IND_PER&lt;=B1678)*(IND_UF&lt;&gt;"")*IND_PER)),IND_PER,0))))</f>
        <v/>
      </c>
      <c r="AK1678" s="87" t="str">
        <f aca="false">IF(AH1678="","",IF(COUNTIF(TASA_DESDE,"&lt;="&amp;B1678)=0,INDEX(TASA_EMP,1),INDEX(TASA_EMP,COUNTIF(TASA_DESDE,"&lt;="&amp;B1678))))</f>
        <v/>
      </c>
    </row>
    <row r="1679" customFormat="false" ht="15" hidden="false" customHeight="false" outlineLevel="0" collapsed="false">
      <c r="B1679" s="78"/>
      <c r="C1679" s="64"/>
      <c r="D1679" s="72" t="str">
        <f aca="false">IF(C1679="","",IFERROR(INDEX(T_NOMBRE,MATCH(C1679,T_ID,0)),"⚠ ID no existe"))</f>
        <v/>
      </c>
      <c r="E1679" s="69"/>
      <c r="F1679" s="67"/>
      <c r="G1679" s="67"/>
      <c r="H1679" s="67"/>
      <c r="I1679" s="67"/>
      <c r="J1679" s="67"/>
      <c r="K1679" s="85" t="str">
        <f aca="false">IF(AH1679="","",N(F1679)+N(G1679)+N(H1679)-N(I1679)+N(J1679))</f>
        <v/>
      </c>
      <c r="L1679" s="67"/>
      <c r="M1679" s="67"/>
      <c r="N1679" s="67"/>
      <c r="O1679" s="67"/>
      <c r="P1679" s="85" t="str">
        <f aca="false">IF(AH1679="","",K1679+N(L1679)+N(M1679)+N(N1679)+N(O1679))</f>
        <v/>
      </c>
      <c r="Q1679" s="67"/>
      <c r="R1679" s="67"/>
      <c r="S1679" s="67"/>
      <c r="T1679" s="67"/>
      <c r="U1679" s="67"/>
      <c r="V1679" s="67"/>
      <c r="W1679" s="85" t="str">
        <f aca="false">IF(AH1679="","",N(Q1679)+N(R1679)+N(S1679)+N(T1679)+N(U1679)+N(V1679))</f>
        <v/>
      </c>
      <c r="X1679" s="85" t="str">
        <f aca="false">IF(AH1679="","",P1679-W1679)</f>
        <v/>
      </c>
      <c r="Y1679" s="67"/>
      <c r="Z1679" s="70" t="str">
        <f aca="false">IF(OR(AH1679="",Y1679=""),"",IF(ABS(X1679-Y1679)&lt;=1,"✓ Cuadra","⚠ Diferencia $"&amp;FIXED(X1679-Y1679,0)))</f>
        <v/>
      </c>
      <c r="AA1679" s="72" t="str">
        <f aca="false">IF(AH1679="","",IFERROR(INDEX(C_TIPO,MATCH(C1679&amp;"-P"&amp;MAX(1,COUNTIFS(C_ID,C1679,C_DEFINE,"Sí",C_INICIO,"&lt;="&amp;EOMONTH(B1679,0))),C_CLAVE,0))&amp;"","Sin dato"))</f>
        <v/>
      </c>
      <c r="AB1679" s="71" t="str">
        <f aca="false">IF(AH1679="","",ROUND(MIN(K1679,TOPE_AFP_UF*AJ1679)*AK1679,0))</f>
        <v/>
      </c>
      <c r="AC1679" s="71" t="str">
        <f aca="false">IF(AH1679="","",ROUND(MIN(K1679,TOPE_AFC_UF*AJ1679)*IF(AA1679="Indefinido",AFC_EMP_INDEF,AFC_EMP_PF),0))</f>
        <v/>
      </c>
      <c r="AD1679" s="71" t="str">
        <f aca="false">IF(AH1679="","",ROUND(MIN(K1679,TOPE_AFP_UF*AJ1679)*(MUTUAL_BASICA+MUTUAL_ADIC+SANNA),0))</f>
        <v/>
      </c>
      <c r="AE1679" s="71" t="str">
        <f aca="false">IF(AH1679="","",P1679-N(N1679)+AB1679+AC1679+AD1679)</f>
        <v/>
      </c>
      <c r="AF1679" s="65"/>
      <c r="AG1679" s="64"/>
      <c r="AH1679" s="72" t="str">
        <f aca="false">IF(OR(B1679="",C1679=""),"",C1679&amp;"|"&amp;(YEAR(B1679)*100+MONTH(B1679)))</f>
        <v/>
      </c>
      <c r="AI1679" s="70" t="str">
        <f aca="false">IF(AH1679="","",IF(COUNTIF(L_CLAVE,AH1679)&gt;1,"⚠ Duplicado","OK"))</f>
        <v/>
      </c>
      <c r="AJ1679" s="86" t="str">
        <f aca="false">IF(AH1679="","",IF(SUMPRODUCT(MAX((IND_PER&lt;=B1679)*(IND_UF&lt;&gt;"")*IND_PER))=0,UF_HOY,INDEX(IND_UF,MATCH(SUMPRODUCT(MAX((IND_PER&lt;=B1679)*(IND_UF&lt;&gt;"")*IND_PER)),IND_PER,0))))</f>
        <v/>
      </c>
      <c r="AK1679" s="87" t="str">
        <f aca="false">IF(AH1679="","",IF(COUNTIF(TASA_DESDE,"&lt;="&amp;B1679)=0,INDEX(TASA_EMP,1),INDEX(TASA_EMP,COUNTIF(TASA_DESDE,"&lt;="&amp;B1679))))</f>
        <v/>
      </c>
    </row>
    <row r="1680" customFormat="false" ht="15" hidden="false" customHeight="false" outlineLevel="0" collapsed="false">
      <c r="B1680" s="78"/>
      <c r="C1680" s="64"/>
      <c r="D1680" s="72" t="str">
        <f aca="false">IF(C1680="","",IFERROR(INDEX(T_NOMBRE,MATCH(C1680,T_ID,0)),"⚠ ID no existe"))</f>
        <v/>
      </c>
      <c r="E1680" s="69"/>
      <c r="F1680" s="67"/>
      <c r="G1680" s="67"/>
      <c r="H1680" s="67"/>
      <c r="I1680" s="67"/>
      <c r="J1680" s="67"/>
      <c r="K1680" s="85" t="str">
        <f aca="false">IF(AH1680="","",N(F1680)+N(G1680)+N(H1680)-N(I1680)+N(J1680))</f>
        <v/>
      </c>
      <c r="L1680" s="67"/>
      <c r="M1680" s="67"/>
      <c r="N1680" s="67"/>
      <c r="O1680" s="67"/>
      <c r="P1680" s="85" t="str">
        <f aca="false">IF(AH1680="","",K1680+N(L1680)+N(M1680)+N(N1680)+N(O1680))</f>
        <v/>
      </c>
      <c r="Q1680" s="67"/>
      <c r="R1680" s="67"/>
      <c r="S1680" s="67"/>
      <c r="T1680" s="67"/>
      <c r="U1680" s="67"/>
      <c r="V1680" s="67"/>
      <c r="W1680" s="85" t="str">
        <f aca="false">IF(AH1680="","",N(Q1680)+N(R1680)+N(S1680)+N(T1680)+N(U1680)+N(V1680))</f>
        <v/>
      </c>
      <c r="X1680" s="85" t="str">
        <f aca="false">IF(AH1680="","",P1680-W1680)</f>
        <v/>
      </c>
      <c r="Y1680" s="67"/>
      <c r="Z1680" s="70" t="str">
        <f aca="false">IF(OR(AH1680="",Y1680=""),"",IF(ABS(X1680-Y1680)&lt;=1,"✓ Cuadra","⚠ Diferencia $"&amp;FIXED(X1680-Y1680,0)))</f>
        <v/>
      </c>
      <c r="AA1680" s="72" t="str">
        <f aca="false">IF(AH1680="","",IFERROR(INDEX(C_TIPO,MATCH(C1680&amp;"-P"&amp;MAX(1,COUNTIFS(C_ID,C1680,C_DEFINE,"Sí",C_INICIO,"&lt;="&amp;EOMONTH(B1680,0))),C_CLAVE,0))&amp;"","Sin dato"))</f>
        <v/>
      </c>
      <c r="AB1680" s="71" t="str">
        <f aca="false">IF(AH1680="","",ROUND(MIN(K1680,TOPE_AFP_UF*AJ1680)*AK1680,0))</f>
        <v/>
      </c>
      <c r="AC1680" s="71" t="str">
        <f aca="false">IF(AH1680="","",ROUND(MIN(K1680,TOPE_AFC_UF*AJ1680)*IF(AA1680="Indefinido",AFC_EMP_INDEF,AFC_EMP_PF),0))</f>
        <v/>
      </c>
      <c r="AD1680" s="71" t="str">
        <f aca="false">IF(AH1680="","",ROUND(MIN(K1680,TOPE_AFP_UF*AJ1680)*(MUTUAL_BASICA+MUTUAL_ADIC+SANNA),0))</f>
        <v/>
      </c>
      <c r="AE1680" s="71" t="str">
        <f aca="false">IF(AH1680="","",P1680-N(N1680)+AB1680+AC1680+AD1680)</f>
        <v/>
      </c>
      <c r="AF1680" s="65"/>
      <c r="AG1680" s="64"/>
      <c r="AH1680" s="72" t="str">
        <f aca="false">IF(OR(B1680="",C1680=""),"",C1680&amp;"|"&amp;(YEAR(B1680)*100+MONTH(B1680)))</f>
        <v/>
      </c>
      <c r="AI1680" s="70" t="str">
        <f aca="false">IF(AH1680="","",IF(COUNTIF(L_CLAVE,AH1680)&gt;1,"⚠ Duplicado","OK"))</f>
        <v/>
      </c>
      <c r="AJ1680" s="86" t="str">
        <f aca="false">IF(AH1680="","",IF(SUMPRODUCT(MAX((IND_PER&lt;=B1680)*(IND_UF&lt;&gt;"")*IND_PER))=0,UF_HOY,INDEX(IND_UF,MATCH(SUMPRODUCT(MAX((IND_PER&lt;=B1680)*(IND_UF&lt;&gt;"")*IND_PER)),IND_PER,0))))</f>
        <v/>
      </c>
      <c r="AK1680" s="87" t="str">
        <f aca="false">IF(AH1680="","",IF(COUNTIF(TASA_DESDE,"&lt;="&amp;B1680)=0,INDEX(TASA_EMP,1),INDEX(TASA_EMP,COUNTIF(TASA_DESDE,"&lt;="&amp;B1680))))</f>
        <v/>
      </c>
    </row>
    <row r="1681" customFormat="false" ht="15" hidden="false" customHeight="false" outlineLevel="0" collapsed="false">
      <c r="B1681" s="78"/>
      <c r="C1681" s="64"/>
      <c r="D1681" s="72" t="str">
        <f aca="false">IF(C1681="","",IFERROR(INDEX(T_NOMBRE,MATCH(C1681,T_ID,0)),"⚠ ID no existe"))</f>
        <v/>
      </c>
      <c r="E1681" s="69"/>
      <c r="F1681" s="67"/>
      <c r="G1681" s="67"/>
      <c r="H1681" s="67"/>
      <c r="I1681" s="67"/>
      <c r="J1681" s="67"/>
      <c r="K1681" s="85" t="str">
        <f aca="false">IF(AH1681="","",N(F1681)+N(G1681)+N(H1681)-N(I1681)+N(J1681))</f>
        <v/>
      </c>
      <c r="L1681" s="67"/>
      <c r="M1681" s="67"/>
      <c r="N1681" s="67"/>
      <c r="O1681" s="67"/>
      <c r="P1681" s="85" t="str">
        <f aca="false">IF(AH1681="","",K1681+N(L1681)+N(M1681)+N(N1681)+N(O1681))</f>
        <v/>
      </c>
      <c r="Q1681" s="67"/>
      <c r="R1681" s="67"/>
      <c r="S1681" s="67"/>
      <c r="T1681" s="67"/>
      <c r="U1681" s="67"/>
      <c r="V1681" s="67"/>
      <c r="W1681" s="85" t="str">
        <f aca="false">IF(AH1681="","",N(Q1681)+N(R1681)+N(S1681)+N(T1681)+N(U1681)+N(V1681))</f>
        <v/>
      </c>
      <c r="X1681" s="85" t="str">
        <f aca="false">IF(AH1681="","",P1681-W1681)</f>
        <v/>
      </c>
      <c r="Y1681" s="67"/>
      <c r="Z1681" s="70" t="str">
        <f aca="false">IF(OR(AH1681="",Y1681=""),"",IF(ABS(X1681-Y1681)&lt;=1,"✓ Cuadra","⚠ Diferencia $"&amp;FIXED(X1681-Y1681,0)))</f>
        <v/>
      </c>
      <c r="AA1681" s="72" t="str">
        <f aca="false">IF(AH1681="","",IFERROR(INDEX(C_TIPO,MATCH(C1681&amp;"-P"&amp;MAX(1,COUNTIFS(C_ID,C1681,C_DEFINE,"Sí",C_INICIO,"&lt;="&amp;EOMONTH(B1681,0))),C_CLAVE,0))&amp;"","Sin dato"))</f>
        <v/>
      </c>
      <c r="AB1681" s="71" t="str">
        <f aca="false">IF(AH1681="","",ROUND(MIN(K1681,TOPE_AFP_UF*AJ1681)*AK1681,0))</f>
        <v/>
      </c>
      <c r="AC1681" s="71" t="str">
        <f aca="false">IF(AH1681="","",ROUND(MIN(K1681,TOPE_AFC_UF*AJ1681)*IF(AA1681="Indefinido",AFC_EMP_INDEF,AFC_EMP_PF),0))</f>
        <v/>
      </c>
      <c r="AD1681" s="71" t="str">
        <f aca="false">IF(AH1681="","",ROUND(MIN(K1681,TOPE_AFP_UF*AJ1681)*(MUTUAL_BASICA+MUTUAL_ADIC+SANNA),0))</f>
        <v/>
      </c>
      <c r="AE1681" s="71" t="str">
        <f aca="false">IF(AH1681="","",P1681-N(N1681)+AB1681+AC1681+AD1681)</f>
        <v/>
      </c>
      <c r="AF1681" s="65"/>
      <c r="AG1681" s="64"/>
      <c r="AH1681" s="72" t="str">
        <f aca="false">IF(OR(B1681="",C1681=""),"",C1681&amp;"|"&amp;(YEAR(B1681)*100+MONTH(B1681)))</f>
        <v/>
      </c>
      <c r="AI1681" s="70" t="str">
        <f aca="false">IF(AH1681="","",IF(COUNTIF(L_CLAVE,AH1681)&gt;1,"⚠ Duplicado","OK"))</f>
        <v/>
      </c>
      <c r="AJ1681" s="86" t="str">
        <f aca="false">IF(AH1681="","",IF(SUMPRODUCT(MAX((IND_PER&lt;=B1681)*(IND_UF&lt;&gt;"")*IND_PER))=0,UF_HOY,INDEX(IND_UF,MATCH(SUMPRODUCT(MAX((IND_PER&lt;=B1681)*(IND_UF&lt;&gt;"")*IND_PER)),IND_PER,0))))</f>
        <v/>
      </c>
      <c r="AK1681" s="87" t="str">
        <f aca="false">IF(AH1681="","",IF(COUNTIF(TASA_DESDE,"&lt;="&amp;B1681)=0,INDEX(TASA_EMP,1),INDEX(TASA_EMP,COUNTIF(TASA_DESDE,"&lt;="&amp;B1681))))</f>
        <v/>
      </c>
    </row>
    <row r="1682" customFormat="false" ht="15" hidden="false" customHeight="false" outlineLevel="0" collapsed="false">
      <c r="B1682" s="78"/>
      <c r="C1682" s="64"/>
      <c r="D1682" s="72" t="str">
        <f aca="false">IF(C1682="","",IFERROR(INDEX(T_NOMBRE,MATCH(C1682,T_ID,0)),"⚠ ID no existe"))</f>
        <v/>
      </c>
      <c r="E1682" s="69"/>
      <c r="F1682" s="67"/>
      <c r="G1682" s="67"/>
      <c r="H1682" s="67"/>
      <c r="I1682" s="67"/>
      <c r="J1682" s="67"/>
      <c r="K1682" s="85" t="str">
        <f aca="false">IF(AH1682="","",N(F1682)+N(G1682)+N(H1682)-N(I1682)+N(J1682))</f>
        <v/>
      </c>
      <c r="L1682" s="67"/>
      <c r="M1682" s="67"/>
      <c r="N1682" s="67"/>
      <c r="O1682" s="67"/>
      <c r="P1682" s="85" t="str">
        <f aca="false">IF(AH1682="","",K1682+N(L1682)+N(M1682)+N(N1682)+N(O1682))</f>
        <v/>
      </c>
      <c r="Q1682" s="67"/>
      <c r="R1682" s="67"/>
      <c r="S1682" s="67"/>
      <c r="T1682" s="67"/>
      <c r="U1682" s="67"/>
      <c r="V1682" s="67"/>
      <c r="W1682" s="85" t="str">
        <f aca="false">IF(AH1682="","",N(Q1682)+N(R1682)+N(S1682)+N(T1682)+N(U1682)+N(V1682))</f>
        <v/>
      </c>
      <c r="X1682" s="85" t="str">
        <f aca="false">IF(AH1682="","",P1682-W1682)</f>
        <v/>
      </c>
      <c r="Y1682" s="67"/>
      <c r="Z1682" s="70" t="str">
        <f aca="false">IF(OR(AH1682="",Y1682=""),"",IF(ABS(X1682-Y1682)&lt;=1,"✓ Cuadra","⚠ Diferencia $"&amp;FIXED(X1682-Y1682,0)))</f>
        <v/>
      </c>
      <c r="AA1682" s="72" t="str">
        <f aca="false">IF(AH1682="","",IFERROR(INDEX(C_TIPO,MATCH(C1682&amp;"-P"&amp;MAX(1,COUNTIFS(C_ID,C1682,C_DEFINE,"Sí",C_INICIO,"&lt;="&amp;EOMONTH(B1682,0))),C_CLAVE,0))&amp;"","Sin dato"))</f>
        <v/>
      </c>
      <c r="AB1682" s="71" t="str">
        <f aca="false">IF(AH1682="","",ROUND(MIN(K1682,TOPE_AFP_UF*AJ1682)*AK1682,0))</f>
        <v/>
      </c>
      <c r="AC1682" s="71" t="str">
        <f aca="false">IF(AH1682="","",ROUND(MIN(K1682,TOPE_AFC_UF*AJ1682)*IF(AA1682="Indefinido",AFC_EMP_INDEF,AFC_EMP_PF),0))</f>
        <v/>
      </c>
      <c r="AD1682" s="71" t="str">
        <f aca="false">IF(AH1682="","",ROUND(MIN(K1682,TOPE_AFP_UF*AJ1682)*(MUTUAL_BASICA+MUTUAL_ADIC+SANNA),0))</f>
        <v/>
      </c>
      <c r="AE1682" s="71" t="str">
        <f aca="false">IF(AH1682="","",P1682-N(N1682)+AB1682+AC1682+AD1682)</f>
        <v/>
      </c>
      <c r="AF1682" s="65"/>
      <c r="AG1682" s="64"/>
      <c r="AH1682" s="72" t="str">
        <f aca="false">IF(OR(B1682="",C1682=""),"",C1682&amp;"|"&amp;(YEAR(B1682)*100+MONTH(B1682)))</f>
        <v/>
      </c>
      <c r="AI1682" s="70" t="str">
        <f aca="false">IF(AH1682="","",IF(COUNTIF(L_CLAVE,AH1682)&gt;1,"⚠ Duplicado","OK"))</f>
        <v/>
      </c>
      <c r="AJ1682" s="86" t="str">
        <f aca="false">IF(AH1682="","",IF(SUMPRODUCT(MAX((IND_PER&lt;=B1682)*(IND_UF&lt;&gt;"")*IND_PER))=0,UF_HOY,INDEX(IND_UF,MATCH(SUMPRODUCT(MAX((IND_PER&lt;=B1682)*(IND_UF&lt;&gt;"")*IND_PER)),IND_PER,0))))</f>
        <v/>
      </c>
      <c r="AK1682" s="87" t="str">
        <f aca="false">IF(AH1682="","",IF(COUNTIF(TASA_DESDE,"&lt;="&amp;B1682)=0,INDEX(TASA_EMP,1),INDEX(TASA_EMP,COUNTIF(TASA_DESDE,"&lt;="&amp;B1682))))</f>
        <v/>
      </c>
    </row>
    <row r="1683" customFormat="false" ht="15" hidden="false" customHeight="false" outlineLevel="0" collapsed="false">
      <c r="B1683" s="78"/>
      <c r="C1683" s="64"/>
      <c r="D1683" s="72" t="str">
        <f aca="false">IF(C1683="","",IFERROR(INDEX(T_NOMBRE,MATCH(C1683,T_ID,0)),"⚠ ID no existe"))</f>
        <v/>
      </c>
      <c r="E1683" s="69"/>
      <c r="F1683" s="67"/>
      <c r="G1683" s="67"/>
      <c r="H1683" s="67"/>
      <c r="I1683" s="67"/>
      <c r="J1683" s="67"/>
      <c r="K1683" s="85" t="str">
        <f aca="false">IF(AH1683="","",N(F1683)+N(G1683)+N(H1683)-N(I1683)+N(J1683))</f>
        <v/>
      </c>
      <c r="L1683" s="67"/>
      <c r="M1683" s="67"/>
      <c r="N1683" s="67"/>
      <c r="O1683" s="67"/>
      <c r="P1683" s="85" t="str">
        <f aca="false">IF(AH1683="","",K1683+N(L1683)+N(M1683)+N(N1683)+N(O1683))</f>
        <v/>
      </c>
      <c r="Q1683" s="67"/>
      <c r="R1683" s="67"/>
      <c r="S1683" s="67"/>
      <c r="T1683" s="67"/>
      <c r="U1683" s="67"/>
      <c r="V1683" s="67"/>
      <c r="W1683" s="85" t="str">
        <f aca="false">IF(AH1683="","",N(Q1683)+N(R1683)+N(S1683)+N(T1683)+N(U1683)+N(V1683))</f>
        <v/>
      </c>
      <c r="X1683" s="85" t="str">
        <f aca="false">IF(AH1683="","",P1683-W1683)</f>
        <v/>
      </c>
      <c r="Y1683" s="67"/>
      <c r="Z1683" s="70" t="str">
        <f aca="false">IF(OR(AH1683="",Y1683=""),"",IF(ABS(X1683-Y1683)&lt;=1,"✓ Cuadra","⚠ Diferencia $"&amp;FIXED(X1683-Y1683,0)))</f>
        <v/>
      </c>
      <c r="AA1683" s="72" t="str">
        <f aca="false">IF(AH1683="","",IFERROR(INDEX(C_TIPO,MATCH(C1683&amp;"-P"&amp;MAX(1,COUNTIFS(C_ID,C1683,C_DEFINE,"Sí",C_INICIO,"&lt;="&amp;EOMONTH(B1683,0))),C_CLAVE,0))&amp;"","Sin dato"))</f>
        <v/>
      </c>
      <c r="AB1683" s="71" t="str">
        <f aca="false">IF(AH1683="","",ROUND(MIN(K1683,TOPE_AFP_UF*AJ1683)*AK1683,0))</f>
        <v/>
      </c>
      <c r="AC1683" s="71" t="str">
        <f aca="false">IF(AH1683="","",ROUND(MIN(K1683,TOPE_AFC_UF*AJ1683)*IF(AA1683="Indefinido",AFC_EMP_INDEF,AFC_EMP_PF),0))</f>
        <v/>
      </c>
      <c r="AD1683" s="71" t="str">
        <f aca="false">IF(AH1683="","",ROUND(MIN(K1683,TOPE_AFP_UF*AJ1683)*(MUTUAL_BASICA+MUTUAL_ADIC+SANNA),0))</f>
        <v/>
      </c>
      <c r="AE1683" s="71" t="str">
        <f aca="false">IF(AH1683="","",P1683-N(N1683)+AB1683+AC1683+AD1683)</f>
        <v/>
      </c>
      <c r="AF1683" s="65"/>
      <c r="AG1683" s="64"/>
      <c r="AH1683" s="72" t="str">
        <f aca="false">IF(OR(B1683="",C1683=""),"",C1683&amp;"|"&amp;(YEAR(B1683)*100+MONTH(B1683)))</f>
        <v/>
      </c>
      <c r="AI1683" s="70" t="str">
        <f aca="false">IF(AH1683="","",IF(COUNTIF(L_CLAVE,AH1683)&gt;1,"⚠ Duplicado","OK"))</f>
        <v/>
      </c>
      <c r="AJ1683" s="86" t="str">
        <f aca="false">IF(AH1683="","",IF(SUMPRODUCT(MAX((IND_PER&lt;=B1683)*(IND_UF&lt;&gt;"")*IND_PER))=0,UF_HOY,INDEX(IND_UF,MATCH(SUMPRODUCT(MAX((IND_PER&lt;=B1683)*(IND_UF&lt;&gt;"")*IND_PER)),IND_PER,0))))</f>
        <v/>
      </c>
      <c r="AK1683" s="87" t="str">
        <f aca="false">IF(AH1683="","",IF(COUNTIF(TASA_DESDE,"&lt;="&amp;B1683)=0,INDEX(TASA_EMP,1),INDEX(TASA_EMP,COUNTIF(TASA_DESDE,"&lt;="&amp;B1683))))</f>
        <v/>
      </c>
    </row>
    <row r="1684" customFormat="false" ht="15" hidden="false" customHeight="false" outlineLevel="0" collapsed="false">
      <c r="B1684" s="78"/>
      <c r="C1684" s="64"/>
      <c r="D1684" s="72" t="str">
        <f aca="false">IF(C1684="","",IFERROR(INDEX(T_NOMBRE,MATCH(C1684,T_ID,0)),"⚠ ID no existe"))</f>
        <v/>
      </c>
      <c r="E1684" s="69"/>
      <c r="F1684" s="67"/>
      <c r="G1684" s="67"/>
      <c r="H1684" s="67"/>
      <c r="I1684" s="67"/>
      <c r="J1684" s="67"/>
      <c r="K1684" s="85" t="str">
        <f aca="false">IF(AH1684="","",N(F1684)+N(G1684)+N(H1684)-N(I1684)+N(J1684))</f>
        <v/>
      </c>
      <c r="L1684" s="67"/>
      <c r="M1684" s="67"/>
      <c r="N1684" s="67"/>
      <c r="O1684" s="67"/>
      <c r="P1684" s="85" t="str">
        <f aca="false">IF(AH1684="","",K1684+N(L1684)+N(M1684)+N(N1684)+N(O1684))</f>
        <v/>
      </c>
      <c r="Q1684" s="67"/>
      <c r="R1684" s="67"/>
      <c r="S1684" s="67"/>
      <c r="T1684" s="67"/>
      <c r="U1684" s="67"/>
      <c r="V1684" s="67"/>
      <c r="W1684" s="85" t="str">
        <f aca="false">IF(AH1684="","",N(Q1684)+N(R1684)+N(S1684)+N(T1684)+N(U1684)+N(V1684))</f>
        <v/>
      </c>
      <c r="X1684" s="85" t="str">
        <f aca="false">IF(AH1684="","",P1684-W1684)</f>
        <v/>
      </c>
      <c r="Y1684" s="67"/>
      <c r="Z1684" s="70" t="str">
        <f aca="false">IF(OR(AH1684="",Y1684=""),"",IF(ABS(X1684-Y1684)&lt;=1,"✓ Cuadra","⚠ Diferencia $"&amp;FIXED(X1684-Y1684,0)))</f>
        <v/>
      </c>
      <c r="AA1684" s="72" t="str">
        <f aca="false">IF(AH1684="","",IFERROR(INDEX(C_TIPO,MATCH(C1684&amp;"-P"&amp;MAX(1,COUNTIFS(C_ID,C1684,C_DEFINE,"Sí",C_INICIO,"&lt;="&amp;EOMONTH(B1684,0))),C_CLAVE,0))&amp;"","Sin dato"))</f>
        <v/>
      </c>
      <c r="AB1684" s="71" t="str">
        <f aca="false">IF(AH1684="","",ROUND(MIN(K1684,TOPE_AFP_UF*AJ1684)*AK1684,0))</f>
        <v/>
      </c>
      <c r="AC1684" s="71" t="str">
        <f aca="false">IF(AH1684="","",ROUND(MIN(K1684,TOPE_AFC_UF*AJ1684)*IF(AA1684="Indefinido",AFC_EMP_INDEF,AFC_EMP_PF),0))</f>
        <v/>
      </c>
      <c r="AD1684" s="71" t="str">
        <f aca="false">IF(AH1684="","",ROUND(MIN(K1684,TOPE_AFP_UF*AJ1684)*(MUTUAL_BASICA+MUTUAL_ADIC+SANNA),0))</f>
        <v/>
      </c>
      <c r="AE1684" s="71" t="str">
        <f aca="false">IF(AH1684="","",P1684-N(N1684)+AB1684+AC1684+AD1684)</f>
        <v/>
      </c>
      <c r="AF1684" s="65"/>
      <c r="AG1684" s="64"/>
      <c r="AH1684" s="72" t="str">
        <f aca="false">IF(OR(B1684="",C1684=""),"",C1684&amp;"|"&amp;(YEAR(B1684)*100+MONTH(B1684)))</f>
        <v/>
      </c>
      <c r="AI1684" s="70" t="str">
        <f aca="false">IF(AH1684="","",IF(COUNTIF(L_CLAVE,AH1684)&gt;1,"⚠ Duplicado","OK"))</f>
        <v/>
      </c>
      <c r="AJ1684" s="86" t="str">
        <f aca="false">IF(AH1684="","",IF(SUMPRODUCT(MAX((IND_PER&lt;=B1684)*(IND_UF&lt;&gt;"")*IND_PER))=0,UF_HOY,INDEX(IND_UF,MATCH(SUMPRODUCT(MAX((IND_PER&lt;=B1684)*(IND_UF&lt;&gt;"")*IND_PER)),IND_PER,0))))</f>
        <v/>
      </c>
      <c r="AK1684" s="87" t="str">
        <f aca="false">IF(AH1684="","",IF(COUNTIF(TASA_DESDE,"&lt;="&amp;B1684)=0,INDEX(TASA_EMP,1),INDEX(TASA_EMP,COUNTIF(TASA_DESDE,"&lt;="&amp;B1684))))</f>
        <v/>
      </c>
    </row>
    <row r="1685" customFormat="false" ht="15" hidden="false" customHeight="false" outlineLevel="0" collapsed="false">
      <c r="B1685" s="78"/>
      <c r="C1685" s="64"/>
      <c r="D1685" s="72" t="str">
        <f aca="false">IF(C1685="","",IFERROR(INDEX(T_NOMBRE,MATCH(C1685,T_ID,0)),"⚠ ID no existe"))</f>
        <v/>
      </c>
      <c r="E1685" s="69"/>
      <c r="F1685" s="67"/>
      <c r="G1685" s="67"/>
      <c r="H1685" s="67"/>
      <c r="I1685" s="67"/>
      <c r="J1685" s="67"/>
      <c r="K1685" s="85" t="str">
        <f aca="false">IF(AH1685="","",N(F1685)+N(G1685)+N(H1685)-N(I1685)+N(J1685))</f>
        <v/>
      </c>
      <c r="L1685" s="67"/>
      <c r="M1685" s="67"/>
      <c r="N1685" s="67"/>
      <c r="O1685" s="67"/>
      <c r="P1685" s="85" t="str">
        <f aca="false">IF(AH1685="","",K1685+N(L1685)+N(M1685)+N(N1685)+N(O1685))</f>
        <v/>
      </c>
      <c r="Q1685" s="67"/>
      <c r="R1685" s="67"/>
      <c r="S1685" s="67"/>
      <c r="T1685" s="67"/>
      <c r="U1685" s="67"/>
      <c r="V1685" s="67"/>
      <c r="W1685" s="85" t="str">
        <f aca="false">IF(AH1685="","",N(Q1685)+N(R1685)+N(S1685)+N(T1685)+N(U1685)+N(V1685))</f>
        <v/>
      </c>
      <c r="X1685" s="85" t="str">
        <f aca="false">IF(AH1685="","",P1685-W1685)</f>
        <v/>
      </c>
      <c r="Y1685" s="67"/>
      <c r="Z1685" s="70" t="str">
        <f aca="false">IF(OR(AH1685="",Y1685=""),"",IF(ABS(X1685-Y1685)&lt;=1,"✓ Cuadra","⚠ Diferencia $"&amp;FIXED(X1685-Y1685,0)))</f>
        <v/>
      </c>
      <c r="AA1685" s="72" t="str">
        <f aca="false">IF(AH1685="","",IFERROR(INDEX(C_TIPO,MATCH(C1685&amp;"-P"&amp;MAX(1,COUNTIFS(C_ID,C1685,C_DEFINE,"Sí",C_INICIO,"&lt;="&amp;EOMONTH(B1685,0))),C_CLAVE,0))&amp;"","Sin dato"))</f>
        <v/>
      </c>
      <c r="AB1685" s="71" t="str">
        <f aca="false">IF(AH1685="","",ROUND(MIN(K1685,TOPE_AFP_UF*AJ1685)*AK1685,0))</f>
        <v/>
      </c>
      <c r="AC1685" s="71" t="str">
        <f aca="false">IF(AH1685="","",ROUND(MIN(K1685,TOPE_AFC_UF*AJ1685)*IF(AA1685="Indefinido",AFC_EMP_INDEF,AFC_EMP_PF),0))</f>
        <v/>
      </c>
      <c r="AD1685" s="71" t="str">
        <f aca="false">IF(AH1685="","",ROUND(MIN(K1685,TOPE_AFP_UF*AJ1685)*(MUTUAL_BASICA+MUTUAL_ADIC+SANNA),0))</f>
        <v/>
      </c>
      <c r="AE1685" s="71" t="str">
        <f aca="false">IF(AH1685="","",P1685-N(N1685)+AB1685+AC1685+AD1685)</f>
        <v/>
      </c>
      <c r="AF1685" s="65"/>
      <c r="AG1685" s="64"/>
      <c r="AH1685" s="72" t="str">
        <f aca="false">IF(OR(B1685="",C1685=""),"",C1685&amp;"|"&amp;(YEAR(B1685)*100+MONTH(B1685)))</f>
        <v/>
      </c>
      <c r="AI1685" s="70" t="str">
        <f aca="false">IF(AH1685="","",IF(COUNTIF(L_CLAVE,AH1685)&gt;1,"⚠ Duplicado","OK"))</f>
        <v/>
      </c>
      <c r="AJ1685" s="86" t="str">
        <f aca="false">IF(AH1685="","",IF(SUMPRODUCT(MAX((IND_PER&lt;=B1685)*(IND_UF&lt;&gt;"")*IND_PER))=0,UF_HOY,INDEX(IND_UF,MATCH(SUMPRODUCT(MAX((IND_PER&lt;=B1685)*(IND_UF&lt;&gt;"")*IND_PER)),IND_PER,0))))</f>
        <v/>
      </c>
      <c r="AK1685" s="87" t="str">
        <f aca="false">IF(AH1685="","",IF(COUNTIF(TASA_DESDE,"&lt;="&amp;B1685)=0,INDEX(TASA_EMP,1),INDEX(TASA_EMP,COUNTIF(TASA_DESDE,"&lt;="&amp;B1685))))</f>
        <v/>
      </c>
    </row>
    <row r="1686" customFormat="false" ht="15" hidden="false" customHeight="false" outlineLevel="0" collapsed="false">
      <c r="B1686" s="78"/>
      <c r="C1686" s="64"/>
      <c r="D1686" s="72" t="str">
        <f aca="false">IF(C1686="","",IFERROR(INDEX(T_NOMBRE,MATCH(C1686,T_ID,0)),"⚠ ID no existe"))</f>
        <v/>
      </c>
      <c r="E1686" s="69"/>
      <c r="F1686" s="67"/>
      <c r="G1686" s="67"/>
      <c r="H1686" s="67"/>
      <c r="I1686" s="67"/>
      <c r="J1686" s="67"/>
      <c r="K1686" s="85" t="str">
        <f aca="false">IF(AH1686="","",N(F1686)+N(G1686)+N(H1686)-N(I1686)+N(J1686))</f>
        <v/>
      </c>
      <c r="L1686" s="67"/>
      <c r="M1686" s="67"/>
      <c r="N1686" s="67"/>
      <c r="O1686" s="67"/>
      <c r="P1686" s="85" t="str">
        <f aca="false">IF(AH1686="","",K1686+N(L1686)+N(M1686)+N(N1686)+N(O1686))</f>
        <v/>
      </c>
      <c r="Q1686" s="67"/>
      <c r="R1686" s="67"/>
      <c r="S1686" s="67"/>
      <c r="T1686" s="67"/>
      <c r="U1686" s="67"/>
      <c r="V1686" s="67"/>
      <c r="W1686" s="85" t="str">
        <f aca="false">IF(AH1686="","",N(Q1686)+N(R1686)+N(S1686)+N(T1686)+N(U1686)+N(V1686))</f>
        <v/>
      </c>
      <c r="X1686" s="85" t="str">
        <f aca="false">IF(AH1686="","",P1686-W1686)</f>
        <v/>
      </c>
      <c r="Y1686" s="67"/>
      <c r="Z1686" s="70" t="str">
        <f aca="false">IF(OR(AH1686="",Y1686=""),"",IF(ABS(X1686-Y1686)&lt;=1,"✓ Cuadra","⚠ Diferencia $"&amp;FIXED(X1686-Y1686,0)))</f>
        <v/>
      </c>
      <c r="AA1686" s="72" t="str">
        <f aca="false">IF(AH1686="","",IFERROR(INDEX(C_TIPO,MATCH(C1686&amp;"-P"&amp;MAX(1,COUNTIFS(C_ID,C1686,C_DEFINE,"Sí",C_INICIO,"&lt;="&amp;EOMONTH(B1686,0))),C_CLAVE,0))&amp;"","Sin dato"))</f>
        <v/>
      </c>
      <c r="AB1686" s="71" t="str">
        <f aca="false">IF(AH1686="","",ROUND(MIN(K1686,TOPE_AFP_UF*AJ1686)*AK1686,0))</f>
        <v/>
      </c>
      <c r="AC1686" s="71" t="str">
        <f aca="false">IF(AH1686="","",ROUND(MIN(K1686,TOPE_AFC_UF*AJ1686)*IF(AA1686="Indefinido",AFC_EMP_INDEF,AFC_EMP_PF),0))</f>
        <v/>
      </c>
      <c r="AD1686" s="71" t="str">
        <f aca="false">IF(AH1686="","",ROUND(MIN(K1686,TOPE_AFP_UF*AJ1686)*(MUTUAL_BASICA+MUTUAL_ADIC+SANNA),0))</f>
        <v/>
      </c>
      <c r="AE1686" s="71" t="str">
        <f aca="false">IF(AH1686="","",P1686-N(N1686)+AB1686+AC1686+AD1686)</f>
        <v/>
      </c>
      <c r="AF1686" s="65"/>
      <c r="AG1686" s="64"/>
      <c r="AH1686" s="72" t="str">
        <f aca="false">IF(OR(B1686="",C1686=""),"",C1686&amp;"|"&amp;(YEAR(B1686)*100+MONTH(B1686)))</f>
        <v/>
      </c>
      <c r="AI1686" s="70" t="str">
        <f aca="false">IF(AH1686="","",IF(COUNTIF(L_CLAVE,AH1686)&gt;1,"⚠ Duplicado","OK"))</f>
        <v/>
      </c>
      <c r="AJ1686" s="86" t="str">
        <f aca="false">IF(AH1686="","",IF(SUMPRODUCT(MAX((IND_PER&lt;=B1686)*(IND_UF&lt;&gt;"")*IND_PER))=0,UF_HOY,INDEX(IND_UF,MATCH(SUMPRODUCT(MAX((IND_PER&lt;=B1686)*(IND_UF&lt;&gt;"")*IND_PER)),IND_PER,0))))</f>
        <v/>
      </c>
      <c r="AK1686" s="87" t="str">
        <f aca="false">IF(AH1686="","",IF(COUNTIF(TASA_DESDE,"&lt;="&amp;B1686)=0,INDEX(TASA_EMP,1),INDEX(TASA_EMP,COUNTIF(TASA_DESDE,"&lt;="&amp;B1686))))</f>
        <v/>
      </c>
    </row>
    <row r="1687" customFormat="false" ht="15" hidden="false" customHeight="false" outlineLevel="0" collapsed="false">
      <c r="B1687" s="78"/>
      <c r="C1687" s="64"/>
      <c r="D1687" s="72" t="str">
        <f aca="false">IF(C1687="","",IFERROR(INDEX(T_NOMBRE,MATCH(C1687,T_ID,0)),"⚠ ID no existe"))</f>
        <v/>
      </c>
      <c r="E1687" s="69"/>
      <c r="F1687" s="67"/>
      <c r="G1687" s="67"/>
      <c r="H1687" s="67"/>
      <c r="I1687" s="67"/>
      <c r="J1687" s="67"/>
      <c r="K1687" s="85" t="str">
        <f aca="false">IF(AH1687="","",N(F1687)+N(G1687)+N(H1687)-N(I1687)+N(J1687))</f>
        <v/>
      </c>
      <c r="L1687" s="67"/>
      <c r="M1687" s="67"/>
      <c r="N1687" s="67"/>
      <c r="O1687" s="67"/>
      <c r="P1687" s="85" t="str">
        <f aca="false">IF(AH1687="","",K1687+N(L1687)+N(M1687)+N(N1687)+N(O1687))</f>
        <v/>
      </c>
      <c r="Q1687" s="67"/>
      <c r="R1687" s="67"/>
      <c r="S1687" s="67"/>
      <c r="T1687" s="67"/>
      <c r="U1687" s="67"/>
      <c r="V1687" s="67"/>
      <c r="W1687" s="85" t="str">
        <f aca="false">IF(AH1687="","",N(Q1687)+N(R1687)+N(S1687)+N(T1687)+N(U1687)+N(V1687))</f>
        <v/>
      </c>
      <c r="X1687" s="85" t="str">
        <f aca="false">IF(AH1687="","",P1687-W1687)</f>
        <v/>
      </c>
      <c r="Y1687" s="67"/>
      <c r="Z1687" s="70" t="str">
        <f aca="false">IF(OR(AH1687="",Y1687=""),"",IF(ABS(X1687-Y1687)&lt;=1,"✓ Cuadra","⚠ Diferencia $"&amp;FIXED(X1687-Y1687,0)))</f>
        <v/>
      </c>
      <c r="AA1687" s="72" t="str">
        <f aca="false">IF(AH1687="","",IFERROR(INDEX(C_TIPO,MATCH(C1687&amp;"-P"&amp;MAX(1,COUNTIFS(C_ID,C1687,C_DEFINE,"Sí",C_INICIO,"&lt;="&amp;EOMONTH(B1687,0))),C_CLAVE,0))&amp;"","Sin dato"))</f>
        <v/>
      </c>
      <c r="AB1687" s="71" t="str">
        <f aca="false">IF(AH1687="","",ROUND(MIN(K1687,TOPE_AFP_UF*AJ1687)*AK1687,0))</f>
        <v/>
      </c>
      <c r="AC1687" s="71" t="str">
        <f aca="false">IF(AH1687="","",ROUND(MIN(K1687,TOPE_AFC_UF*AJ1687)*IF(AA1687="Indefinido",AFC_EMP_INDEF,AFC_EMP_PF),0))</f>
        <v/>
      </c>
      <c r="AD1687" s="71" t="str">
        <f aca="false">IF(AH1687="","",ROUND(MIN(K1687,TOPE_AFP_UF*AJ1687)*(MUTUAL_BASICA+MUTUAL_ADIC+SANNA),0))</f>
        <v/>
      </c>
      <c r="AE1687" s="71" t="str">
        <f aca="false">IF(AH1687="","",P1687-N(N1687)+AB1687+AC1687+AD1687)</f>
        <v/>
      </c>
      <c r="AF1687" s="65"/>
      <c r="AG1687" s="64"/>
      <c r="AH1687" s="72" t="str">
        <f aca="false">IF(OR(B1687="",C1687=""),"",C1687&amp;"|"&amp;(YEAR(B1687)*100+MONTH(B1687)))</f>
        <v/>
      </c>
      <c r="AI1687" s="70" t="str">
        <f aca="false">IF(AH1687="","",IF(COUNTIF(L_CLAVE,AH1687)&gt;1,"⚠ Duplicado","OK"))</f>
        <v/>
      </c>
      <c r="AJ1687" s="86" t="str">
        <f aca="false">IF(AH1687="","",IF(SUMPRODUCT(MAX((IND_PER&lt;=B1687)*(IND_UF&lt;&gt;"")*IND_PER))=0,UF_HOY,INDEX(IND_UF,MATCH(SUMPRODUCT(MAX((IND_PER&lt;=B1687)*(IND_UF&lt;&gt;"")*IND_PER)),IND_PER,0))))</f>
        <v/>
      </c>
      <c r="AK1687" s="87" t="str">
        <f aca="false">IF(AH1687="","",IF(COUNTIF(TASA_DESDE,"&lt;="&amp;B1687)=0,INDEX(TASA_EMP,1),INDEX(TASA_EMP,COUNTIF(TASA_DESDE,"&lt;="&amp;B1687))))</f>
        <v/>
      </c>
    </row>
    <row r="1688" customFormat="false" ht="15" hidden="false" customHeight="false" outlineLevel="0" collapsed="false">
      <c r="B1688" s="78"/>
      <c r="C1688" s="64"/>
      <c r="D1688" s="72" t="str">
        <f aca="false">IF(C1688="","",IFERROR(INDEX(T_NOMBRE,MATCH(C1688,T_ID,0)),"⚠ ID no existe"))</f>
        <v/>
      </c>
      <c r="E1688" s="69"/>
      <c r="F1688" s="67"/>
      <c r="G1688" s="67"/>
      <c r="H1688" s="67"/>
      <c r="I1688" s="67"/>
      <c r="J1688" s="67"/>
      <c r="K1688" s="85" t="str">
        <f aca="false">IF(AH1688="","",N(F1688)+N(G1688)+N(H1688)-N(I1688)+N(J1688))</f>
        <v/>
      </c>
      <c r="L1688" s="67"/>
      <c r="M1688" s="67"/>
      <c r="N1688" s="67"/>
      <c r="O1688" s="67"/>
      <c r="P1688" s="85" t="str">
        <f aca="false">IF(AH1688="","",K1688+N(L1688)+N(M1688)+N(N1688)+N(O1688))</f>
        <v/>
      </c>
      <c r="Q1688" s="67"/>
      <c r="R1688" s="67"/>
      <c r="S1688" s="67"/>
      <c r="T1688" s="67"/>
      <c r="U1688" s="67"/>
      <c r="V1688" s="67"/>
      <c r="W1688" s="85" t="str">
        <f aca="false">IF(AH1688="","",N(Q1688)+N(R1688)+N(S1688)+N(T1688)+N(U1688)+N(V1688))</f>
        <v/>
      </c>
      <c r="X1688" s="85" t="str">
        <f aca="false">IF(AH1688="","",P1688-W1688)</f>
        <v/>
      </c>
      <c r="Y1688" s="67"/>
      <c r="Z1688" s="70" t="str">
        <f aca="false">IF(OR(AH1688="",Y1688=""),"",IF(ABS(X1688-Y1688)&lt;=1,"✓ Cuadra","⚠ Diferencia $"&amp;FIXED(X1688-Y1688,0)))</f>
        <v/>
      </c>
      <c r="AA1688" s="72" t="str">
        <f aca="false">IF(AH1688="","",IFERROR(INDEX(C_TIPO,MATCH(C1688&amp;"-P"&amp;MAX(1,COUNTIFS(C_ID,C1688,C_DEFINE,"Sí",C_INICIO,"&lt;="&amp;EOMONTH(B1688,0))),C_CLAVE,0))&amp;"","Sin dato"))</f>
        <v/>
      </c>
      <c r="AB1688" s="71" t="str">
        <f aca="false">IF(AH1688="","",ROUND(MIN(K1688,TOPE_AFP_UF*AJ1688)*AK1688,0))</f>
        <v/>
      </c>
      <c r="AC1688" s="71" t="str">
        <f aca="false">IF(AH1688="","",ROUND(MIN(K1688,TOPE_AFC_UF*AJ1688)*IF(AA1688="Indefinido",AFC_EMP_INDEF,AFC_EMP_PF),0))</f>
        <v/>
      </c>
      <c r="AD1688" s="71" t="str">
        <f aca="false">IF(AH1688="","",ROUND(MIN(K1688,TOPE_AFP_UF*AJ1688)*(MUTUAL_BASICA+MUTUAL_ADIC+SANNA),0))</f>
        <v/>
      </c>
      <c r="AE1688" s="71" t="str">
        <f aca="false">IF(AH1688="","",P1688-N(N1688)+AB1688+AC1688+AD1688)</f>
        <v/>
      </c>
      <c r="AF1688" s="65"/>
      <c r="AG1688" s="64"/>
      <c r="AH1688" s="72" t="str">
        <f aca="false">IF(OR(B1688="",C1688=""),"",C1688&amp;"|"&amp;(YEAR(B1688)*100+MONTH(B1688)))</f>
        <v/>
      </c>
      <c r="AI1688" s="70" t="str">
        <f aca="false">IF(AH1688="","",IF(COUNTIF(L_CLAVE,AH1688)&gt;1,"⚠ Duplicado","OK"))</f>
        <v/>
      </c>
      <c r="AJ1688" s="86" t="str">
        <f aca="false">IF(AH1688="","",IF(SUMPRODUCT(MAX((IND_PER&lt;=B1688)*(IND_UF&lt;&gt;"")*IND_PER))=0,UF_HOY,INDEX(IND_UF,MATCH(SUMPRODUCT(MAX((IND_PER&lt;=B1688)*(IND_UF&lt;&gt;"")*IND_PER)),IND_PER,0))))</f>
        <v/>
      </c>
      <c r="AK1688" s="87" t="str">
        <f aca="false">IF(AH1688="","",IF(COUNTIF(TASA_DESDE,"&lt;="&amp;B1688)=0,INDEX(TASA_EMP,1),INDEX(TASA_EMP,COUNTIF(TASA_DESDE,"&lt;="&amp;B1688))))</f>
        <v/>
      </c>
    </row>
    <row r="1689" customFormat="false" ht="15" hidden="false" customHeight="false" outlineLevel="0" collapsed="false">
      <c r="B1689" s="78"/>
      <c r="C1689" s="64"/>
      <c r="D1689" s="72" t="str">
        <f aca="false">IF(C1689="","",IFERROR(INDEX(T_NOMBRE,MATCH(C1689,T_ID,0)),"⚠ ID no existe"))</f>
        <v/>
      </c>
      <c r="E1689" s="69"/>
      <c r="F1689" s="67"/>
      <c r="G1689" s="67"/>
      <c r="H1689" s="67"/>
      <c r="I1689" s="67"/>
      <c r="J1689" s="67"/>
      <c r="K1689" s="85" t="str">
        <f aca="false">IF(AH1689="","",N(F1689)+N(G1689)+N(H1689)-N(I1689)+N(J1689))</f>
        <v/>
      </c>
      <c r="L1689" s="67"/>
      <c r="M1689" s="67"/>
      <c r="N1689" s="67"/>
      <c r="O1689" s="67"/>
      <c r="P1689" s="85" t="str">
        <f aca="false">IF(AH1689="","",K1689+N(L1689)+N(M1689)+N(N1689)+N(O1689))</f>
        <v/>
      </c>
      <c r="Q1689" s="67"/>
      <c r="R1689" s="67"/>
      <c r="S1689" s="67"/>
      <c r="T1689" s="67"/>
      <c r="U1689" s="67"/>
      <c r="V1689" s="67"/>
      <c r="W1689" s="85" t="str">
        <f aca="false">IF(AH1689="","",N(Q1689)+N(R1689)+N(S1689)+N(T1689)+N(U1689)+N(V1689))</f>
        <v/>
      </c>
      <c r="X1689" s="85" t="str">
        <f aca="false">IF(AH1689="","",P1689-W1689)</f>
        <v/>
      </c>
      <c r="Y1689" s="67"/>
      <c r="Z1689" s="70" t="str">
        <f aca="false">IF(OR(AH1689="",Y1689=""),"",IF(ABS(X1689-Y1689)&lt;=1,"✓ Cuadra","⚠ Diferencia $"&amp;FIXED(X1689-Y1689,0)))</f>
        <v/>
      </c>
      <c r="AA1689" s="72" t="str">
        <f aca="false">IF(AH1689="","",IFERROR(INDEX(C_TIPO,MATCH(C1689&amp;"-P"&amp;MAX(1,COUNTIFS(C_ID,C1689,C_DEFINE,"Sí",C_INICIO,"&lt;="&amp;EOMONTH(B1689,0))),C_CLAVE,0))&amp;"","Sin dato"))</f>
        <v/>
      </c>
      <c r="AB1689" s="71" t="str">
        <f aca="false">IF(AH1689="","",ROUND(MIN(K1689,TOPE_AFP_UF*AJ1689)*AK1689,0))</f>
        <v/>
      </c>
      <c r="AC1689" s="71" t="str">
        <f aca="false">IF(AH1689="","",ROUND(MIN(K1689,TOPE_AFC_UF*AJ1689)*IF(AA1689="Indefinido",AFC_EMP_INDEF,AFC_EMP_PF),0))</f>
        <v/>
      </c>
      <c r="AD1689" s="71" t="str">
        <f aca="false">IF(AH1689="","",ROUND(MIN(K1689,TOPE_AFP_UF*AJ1689)*(MUTUAL_BASICA+MUTUAL_ADIC+SANNA),0))</f>
        <v/>
      </c>
      <c r="AE1689" s="71" t="str">
        <f aca="false">IF(AH1689="","",P1689-N(N1689)+AB1689+AC1689+AD1689)</f>
        <v/>
      </c>
      <c r="AF1689" s="65"/>
      <c r="AG1689" s="64"/>
      <c r="AH1689" s="72" t="str">
        <f aca="false">IF(OR(B1689="",C1689=""),"",C1689&amp;"|"&amp;(YEAR(B1689)*100+MONTH(B1689)))</f>
        <v/>
      </c>
      <c r="AI1689" s="70" t="str">
        <f aca="false">IF(AH1689="","",IF(COUNTIF(L_CLAVE,AH1689)&gt;1,"⚠ Duplicado","OK"))</f>
        <v/>
      </c>
      <c r="AJ1689" s="86" t="str">
        <f aca="false">IF(AH1689="","",IF(SUMPRODUCT(MAX((IND_PER&lt;=B1689)*(IND_UF&lt;&gt;"")*IND_PER))=0,UF_HOY,INDEX(IND_UF,MATCH(SUMPRODUCT(MAX((IND_PER&lt;=B1689)*(IND_UF&lt;&gt;"")*IND_PER)),IND_PER,0))))</f>
        <v/>
      </c>
      <c r="AK1689" s="87" t="str">
        <f aca="false">IF(AH1689="","",IF(COUNTIF(TASA_DESDE,"&lt;="&amp;B1689)=0,INDEX(TASA_EMP,1),INDEX(TASA_EMP,COUNTIF(TASA_DESDE,"&lt;="&amp;B1689))))</f>
        <v/>
      </c>
    </row>
    <row r="1690" customFormat="false" ht="15" hidden="false" customHeight="false" outlineLevel="0" collapsed="false">
      <c r="B1690" s="78"/>
      <c r="C1690" s="64"/>
      <c r="D1690" s="72" t="str">
        <f aca="false">IF(C1690="","",IFERROR(INDEX(T_NOMBRE,MATCH(C1690,T_ID,0)),"⚠ ID no existe"))</f>
        <v/>
      </c>
      <c r="E1690" s="69"/>
      <c r="F1690" s="67"/>
      <c r="G1690" s="67"/>
      <c r="H1690" s="67"/>
      <c r="I1690" s="67"/>
      <c r="J1690" s="67"/>
      <c r="K1690" s="85" t="str">
        <f aca="false">IF(AH1690="","",N(F1690)+N(G1690)+N(H1690)-N(I1690)+N(J1690))</f>
        <v/>
      </c>
      <c r="L1690" s="67"/>
      <c r="M1690" s="67"/>
      <c r="N1690" s="67"/>
      <c r="O1690" s="67"/>
      <c r="P1690" s="85" t="str">
        <f aca="false">IF(AH1690="","",K1690+N(L1690)+N(M1690)+N(N1690)+N(O1690))</f>
        <v/>
      </c>
      <c r="Q1690" s="67"/>
      <c r="R1690" s="67"/>
      <c r="S1690" s="67"/>
      <c r="T1690" s="67"/>
      <c r="U1690" s="67"/>
      <c r="V1690" s="67"/>
      <c r="W1690" s="85" t="str">
        <f aca="false">IF(AH1690="","",N(Q1690)+N(R1690)+N(S1690)+N(T1690)+N(U1690)+N(V1690))</f>
        <v/>
      </c>
      <c r="X1690" s="85" t="str">
        <f aca="false">IF(AH1690="","",P1690-W1690)</f>
        <v/>
      </c>
      <c r="Y1690" s="67"/>
      <c r="Z1690" s="70" t="str">
        <f aca="false">IF(OR(AH1690="",Y1690=""),"",IF(ABS(X1690-Y1690)&lt;=1,"✓ Cuadra","⚠ Diferencia $"&amp;FIXED(X1690-Y1690,0)))</f>
        <v/>
      </c>
      <c r="AA1690" s="72" t="str">
        <f aca="false">IF(AH1690="","",IFERROR(INDEX(C_TIPO,MATCH(C1690&amp;"-P"&amp;MAX(1,COUNTIFS(C_ID,C1690,C_DEFINE,"Sí",C_INICIO,"&lt;="&amp;EOMONTH(B1690,0))),C_CLAVE,0))&amp;"","Sin dato"))</f>
        <v/>
      </c>
      <c r="AB1690" s="71" t="str">
        <f aca="false">IF(AH1690="","",ROUND(MIN(K1690,TOPE_AFP_UF*AJ1690)*AK1690,0))</f>
        <v/>
      </c>
      <c r="AC1690" s="71" t="str">
        <f aca="false">IF(AH1690="","",ROUND(MIN(K1690,TOPE_AFC_UF*AJ1690)*IF(AA1690="Indefinido",AFC_EMP_INDEF,AFC_EMP_PF),0))</f>
        <v/>
      </c>
      <c r="AD1690" s="71" t="str">
        <f aca="false">IF(AH1690="","",ROUND(MIN(K1690,TOPE_AFP_UF*AJ1690)*(MUTUAL_BASICA+MUTUAL_ADIC+SANNA),0))</f>
        <v/>
      </c>
      <c r="AE1690" s="71" t="str">
        <f aca="false">IF(AH1690="","",P1690-N(N1690)+AB1690+AC1690+AD1690)</f>
        <v/>
      </c>
      <c r="AF1690" s="65"/>
      <c r="AG1690" s="64"/>
      <c r="AH1690" s="72" t="str">
        <f aca="false">IF(OR(B1690="",C1690=""),"",C1690&amp;"|"&amp;(YEAR(B1690)*100+MONTH(B1690)))</f>
        <v/>
      </c>
      <c r="AI1690" s="70" t="str">
        <f aca="false">IF(AH1690="","",IF(COUNTIF(L_CLAVE,AH1690)&gt;1,"⚠ Duplicado","OK"))</f>
        <v/>
      </c>
      <c r="AJ1690" s="86" t="str">
        <f aca="false">IF(AH1690="","",IF(SUMPRODUCT(MAX((IND_PER&lt;=B1690)*(IND_UF&lt;&gt;"")*IND_PER))=0,UF_HOY,INDEX(IND_UF,MATCH(SUMPRODUCT(MAX((IND_PER&lt;=B1690)*(IND_UF&lt;&gt;"")*IND_PER)),IND_PER,0))))</f>
        <v/>
      </c>
      <c r="AK1690" s="87" t="str">
        <f aca="false">IF(AH1690="","",IF(COUNTIF(TASA_DESDE,"&lt;="&amp;B1690)=0,INDEX(TASA_EMP,1),INDEX(TASA_EMP,COUNTIF(TASA_DESDE,"&lt;="&amp;B1690))))</f>
        <v/>
      </c>
    </row>
    <row r="1691" customFormat="false" ht="15" hidden="false" customHeight="false" outlineLevel="0" collapsed="false">
      <c r="B1691" s="78"/>
      <c r="C1691" s="64"/>
      <c r="D1691" s="72" t="str">
        <f aca="false">IF(C1691="","",IFERROR(INDEX(T_NOMBRE,MATCH(C1691,T_ID,0)),"⚠ ID no existe"))</f>
        <v/>
      </c>
      <c r="E1691" s="69"/>
      <c r="F1691" s="67"/>
      <c r="G1691" s="67"/>
      <c r="H1691" s="67"/>
      <c r="I1691" s="67"/>
      <c r="J1691" s="67"/>
      <c r="K1691" s="85" t="str">
        <f aca="false">IF(AH1691="","",N(F1691)+N(G1691)+N(H1691)-N(I1691)+N(J1691))</f>
        <v/>
      </c>
      <c r="L1691" s="67"/>
      <c r="M1691" s="67"/>
      <c r="N1691" s="67"/>
      <c r="O1691" s="67"/>
      <c r="P1691" s="85" t="str">
        <f aca="false">IF(AH1691="","",K1691+N(L1691)+N(M1691)+N(N1691)+N(O1691))</f>
        <v/>
      </c>
      <c r="Q1691" s="67"/>
      <c r="R1691" s="67"/>
      <c r="S1691" s="67"/>
      <c r="T1691" s="67"/>
      <c r="U1691" s="67"/>
      <c r="V1691" s="67"/>
      <c r="W1691" s="85" t="str">
        <f aca="false">IF(AH1691="","",N(Q1691)+N(R1691)+N(S1691)+N(T1691)+N(U1691)+N(V1691))</f>
        <v/>
      </c>
      <c r="X1691" s="85" t="str">
        <f aca="false">IF(AH1691="","",P1691-W1691)</f>
        <v/>
      </c>
      <c r="Y1691" s="67"/>
      <c r="Z1691" s="70" t="str">
        <f aca="false">IF(OR(AH1691="",Y1691=""),"",IF(ABS(X1691-Y1691)&lt;=1,"✓ Cuadra","⚠ Diferencia $"&amp;FIXED(X1691-Y1691,0)))</f>
        <v/>
      </c>
      <c r="AA1691" s="72" t="str">
        <f aca="false">IF(AH1691="","",IFERROR(INDEX(C_TIPO,MATCH(C1691&amp;"-P"&amp;MAX(1,COUNTIFS(C_ID,C1691,C_DEFINE,"Sí",C_INICIO,"&lt;="&amp;EOMONTH(B1691,0))),C_CLAVE,0))&amp;"","Sin dato"))</f>
        <v/>
      </c>
      <c r="AB1691" s="71" t="str">
        <f aca="false">IF(AH1691="","",ROUND(MIN(K1691,TOPE_AFP_UF*AJ1691)*AK1691,0))</f>
        <v/>
      </c>
      <c r="AC1691" s="71" t="str">
        <f aca="false">IF(AH1691="","",ROUND(MIN(K1691,TOPE_AFC_UF*AJ1691)*IF(AA1691="Indefinido",AFC_EMP_INDEF,AFC_EMP_PF),0))</f>
        <v/>
      </c>
      <c r="AD1691" s="71" t="str">
        <f aca="false">IF(AH1691="","",ROUND(MIN(K1691,TOPE_AFP_UF*AJ1691)*(MUTUAL_BASICA+MUTUAL_ADIC+SANNA),0))</f>
        <v/>
      </c>
      <c r="AE1691" s="71" t="str">
        <f aca="false">IF(AH1691="","",P1691-N(N1691)+AB1691+AC1691+AD1691)</f>
        <v/>
      </c>
      <c r="AF1691" s="65"/>
      <c r="AG1691" s="64"/>
      <c r="AH1691" s="72" t="str">
        <f aca="false">IF(OR(B1691="",C1691=""),"",C1691&amp;"|"&amp;(YEAR(B1691)*100+MONTH(B1691)))</f>
        <v/>
      </c>
      <c r="AI1691" s="70" t="str">
        <f aca="false">IF(AH1691="","",IF(COUNTIF(L_CLAVE,AH1691)&gt;1,"⚠ Duplicado","OK"))</f>
        <v/>
      </c>
      <c r="AJ1691" s="86" t="str">
        <f aca="false">IF(AH1691="","",IF(SUMPRODUCT(MAX((IND_PER&lt;=B1691)*(IND_UF&lt;&gt;"")*IND_PER))=0,UF_HOY,INDEX(IND_UF,MATCH(SUMPRODUCT(MAX((IND_PER&lt;=B1691)*(IND_UF&lt;&gt;"")*IND_PER)),IND_PER,0))))</f>
        <v/>
      </c>
      <c r="AK1691" s="87" t="str">
        <f aca="false">IF(AH1691="","",IF(COUNTIF(TASA_DESDE,"&lt;="&amp;B1691)=0,INDEX(TASA_EMP,1),INDEX(TASA_EMP,COUNTIF(TASA_DESDE,"&lt;="&amp;B1691))))</f>
        <v/>
      </c>
    </row>
    <row r="1692" customFormat="false" ht="15" hidden="false" customHeight="false" outlineLevel="0" collapsed="false">
      <c r="B1692" s="78"/>
      <c r="C1692" s="64"/>
      <c r="D1692" s="72" t="str">
        <f aca="false">IF(C1692="","",IFERROR(INDEX(T_NOMBRE,MATCH(C1692,T_ID,0)),"⚠ ID no existe"))</f>
        <v/>
      </c>
      <c r="E1692" s="69"/>
      <c r="F1692" s="67"/>
      <c r="G1692" s="67"/>
      <c r="H1692" s="67"/>
      <c r="I1692" s="67"/>
      <c r="J1692" s="67"/>
      <c r="K1692" s="85" t="str">
        <f aca="false">IF(AH1692="","",N(F1692)+N(G1692)+N(H1692)-N(I1692)+N(J1692))</f>
        <v/>
      </c>
      <c r="L1692" s="67"/>
      <c r="M1692" s="67"/>
      <c r="N1692" s="67"/>
      <c r="O1692" s="67"/>
      <c r="P1692" s="85" t="str">
        <f aca="false">IF(AH1692="","",K1692+N(L1692)+N(M1692)+N(N1692)+N(O1692))</f>
        <v/>
      </c>
      <c r="Q1692" s="67"/>
      <c r="R1692" s="67"/>
      <c r="S1692" s="67"/>
      <c r="T1692" s="67"/>
      <c r="U1692" s="67"/>
      <c r="V1692" s="67"/>
      <c r="W1692" s="85" t="str">
        <f aca="false">IF(AH1692="","",N(Q1692)+N(R1692)+N(S1692)+N(T1692)+N(U1692)+N(V1692))</f>
        <v/>
      </c>
      <c r="X1692" s="85" t="str">
        <f aca="false">IF(AH1692="","",P1692-W1692)</f>
        <v/>
      </c>
      <c r="Y1692" s="67"/>
      <c r="Z1692" s="70" t="str">
        <f aca="false">IF(OR(AH1692="",Y1692=""),"",IF(ABS(X1692-Y1692)&lt;=1,"✓ Cuadra","⚠ Diferencia $"&amp;FIXED(X1692-Y1692,0)))</f>
        <v/>
      </c>
      <c r="AA1692" s="72" t="str">
        <f aca="false">IF(AH1692="","",IFERROR(INDEX(C_TIPO,MATCH(C1692&amp;"-P"&amp;MAX(1,COUNTIFS(C_ID,C1692,C_DEFINE,"Sí",C_INICIO,"&lt;="&amp;EOMONTH(B1692,0))),C_CLAVE,0))&amp;"","Sin dato"))</f>
        <v/>
      </c>
      <c r="AB1692" s="71" t="str">
        <f aca="false">IF(AH1692="","",ROUND(MIN(K1692,TOPE_AFP_UF*AJ1692)*AK1692,0))</f>
        <v/>
      </c>
      <c r="AC1692" s="71" t="str">
        <f aca="false">IF(AH1692="","",ROUND(MIN(K1692,TOPE_AFC_UF*AJ1692)*IF(AA1692="Indefinido",AFC_EMP_INDEF,AFC_EMP_PF),0))</f>
        <v/>
      </c>
      <c r="AD1692" s="71" t="str">
        <f aca="false">IF(AH1692="","",ROUND(MIN(K1692,TOPE_AFP_UF*AJ1692)*(MUTUAL_BASICA+MUTUAL_ADIC+SANNA),0))</f>
        <v/>
      </c>
      <c r="AE1692" s="71" t="str">
        <f aca="false">IF(AH1692="","",P1692-N(N1692)+AB1692+AC1692+AD1692)</f>
        <v/>
      </c>
      <c r="AF1692" s="65"/>
      <c r="AG1692" s="64"/>
      <c r="AH1692" s="72" t="str">
        <f aca="false">IF(OR(B1692="",C1692=""),"",C1692&amp;"|"&amp;(YEAR(B1692)*100+MONTH(B1692)))</f>
        <v/>
      </c>
      <c r="AI1692" s="70" t="str">
        <f aca="false">IF(AH1692="","",IF(COUNTIF(L_CLAVE,AH1692)&gt;1,"⚠ Duplicado","OK"))</f>
        <v/>
      </c>
      <c r="AJ1692" s="86" t="str">
        <f aca="false">IF(AH1692="","",IF(SUMPRODUCT(MAX((IND_PER&lt;=B1692)*(IND_UF&lt;&gt;"")*IND_PER))=0,UF_HOY,INDEX(IND_UF,MATCH(SUMPRODUCT(MAX((IND_PER&lt;=B1692)*(IND_UF&lt;&gt;"")*IND_PER)),IND_PER,0))))</f>
        <v/>
      </c>
      <c r="AK1692" s="87" t="str">
        <f aca="false">IF(AH1692="","",IF(COUNTIF(TASA_DESDE,"&lt;="&amp;B1692)=0,INDEX(TASA_EMP,1),INDEX(TASA_EMP,COUNTIF(TASA_DESDE,"&lt;="&amp;B1692))))</f>
        <v/>
      </c>
    </row>
    <row r="1693" customFormat="false" ht="15" hidden="false" customHeight="false" outlineLevel="0" collapsed="false">
      <c r="B1693" s="78"/>
      <c r="C1693" s="64"/>
      <c r="D1693" s="72" t="str">
        <f aca="false">IF(C1693="","",IFERROR(INDEX(T_NOMBRE,MATCH(C1693,T_ID,0)),"⚠ ID no existe"))</f>
        <v/>
      </c>
      <c r="E1693" s="69"/>
      <c r="F1693" s="67"/>
      <c r="G1693" s="67"/>
      <c r="H1693" s="67"/>
      <c r="I1693" s="67"/>
      <c r="J1693" s="67"/>
      <c r="K1693" s="85" t="str">
        <f aca="false">IF(AH1693="","",N(F1693)+N(G1693)+N(H1693)-N(I1693)+N(J1693))</f>
        <v/>
      </c>
      <c r="L1693" s="67"/>
      <c r="M1693" s="67"/>
      <c r="N1693" s="67"/>
      <c r="O1693" s="67"/>
      <c r="P1693" s="85" t="str">
        <f aca="false">IF(AH1693="","",K1693+N(L1693)+N(M1693)+N(N1693)+N(O1693))</f>
        <v/>
      </c>
      <c r="Q1693" s="67"/>
      <c r="R1693" s="67"/>
      <c r="S1693" s="67"/>
      <c r="T1693" s="67"/>
      <c r="U1693" s="67"/>
      <c r="V1693" s="67"/>
      <c r="W1693" s="85" t="str">
        <f aca="false">IF(AH1693="","",N(Q1693)+N(R1693)+N(S1693)+N(T1693)+N(U1693)+N(V1693))</f>
        <v/>
      </c>
      <c r="X1693" s="85" t="str">
        <f aca="false">IF(AH1693="","",P1693-W1693)</f>
        <v/>
      </c>
      <c r="Y1693" s="67"/>
      <c r="Z1693" s="70" t="str">
        <f aca="false">IF(OR(AH1693="",Y1693=""),"",IF(ABS(X1693-Y1693)&lt;=1,"✓ Cuadra","⚠ Diferencia $"&amp;FIXED(X1693-Y1693,0)))</f>
        <v/>
      </c>
      <c r="AA1693" s="72" t="str">
        <f aca="false">IF(AH1693="","",IFERROR(INDEX(C_TIPO,MATCH(C1693&amp;"-P"&amp;MAX(1,COUNTIFS(C_ID,C1693,C_DEFINE,"Sí",C_INICIO,"&lt;="&amp;EOMONTH(B1693,0))),C_CLAVE,0))&amp;"","Sin dato"))</f>
        <v/>
      </c>
      <c r="AB1693" s="71" t="str">
        <f aca="false">IF(AH1693="","",ROUND(MIN(K1693,TOPE_AFP_UF*AJ1693)*AK1693,0))</f>
        <v/>
      </c>
      <c r="AC1693" s="71" t="str">
        <f aca="false">IF(AH1693="","",ROUND(MIN(K1693,TOPE_AFC_UF*AJ1693)*IF(AA1693="Indefinido",AFC_EMP_INDEF,AFC_EMP_PF),0))</f>
        <v/>
      </c>
      <c r="AD1693" s="71" t="str">
        <f aca="false">IF(AH1693="","",ROUND(MIN(K1693,TOPE_AFP_UF*AJ1693)*(MUTUAL_BASICA+MUTUAL_ADIC+SANNA),0))</f>
        <v/>
      </c>
      <c r="AE1693" s="71" t="str">
        <f aca="false">IF(AH1693="","",P1693-N(N1693)+AB1693+AC1693+AD1693)</f>
        <v/>
      </c>
      <c r="AF1693" s="65"/>
      <c r="AG1693" s="64"/>
      <c r="AH1693" s="72" t="str">
        <f aca="false">IF(OR(B1693="",C1693=""),"",C1693&amp;"|"&amp;(YEAR(B1693)*100+MONTH(B1693)))</f>
        <v/>
      </c>
      <c r="AI1693" s="70" t="str">
        <f aca="false">IF(AH1693="","",IF(COUNTIF(L_CLAVE,AH1693)&gt;1,"⚠ Duplicado","OK"))</f>
        <v/>
      </c>
      <c r="AJ1693" s="86" t="str">
        <f aca="false">IF(AH1693="","",IF(SUMPRODUCT(MAX((IND_PER&lt;=B1693)*(IND_UF&lt;&gt;"")*IND_PER))=0,UF_HOY,INDEX(IND_UF,MATCH(SUMPRODUCT(MAX((IND_PER&lt;=B1693)*(IND_UF&lt;&gt;"")*IND_PER)),IND_PER,0))))</f>
        <v/>
      </c>
      <c r="AK1693" s="87" t="str">
        <f aca="false">IF(AH1693="","",IF(COUNTIF(TASA_DESDE,"&lt;="&amp;B1693)=0,INDEX(TASA_EMP,1),INDEX(TASA_EMP,COUNTIF(TASA_DESDE,"&lt;="&amp;B1693))))</f>
        <v/>
      </c>
    </row>
    <row r="1694" customFormat="false" ht="15" hidden="false" customHeight="false" outlineLevel="0" collapsed="false">
      <c r="B1694" s="78"/>
      <c r="C1694" s="64"/>
      <c r="D1694" s="72" t="str">
        <f aca="false">IF(C1694="","",IFERROR(INDEX(T_NOMBRE,MATCH(C1694,T_ID,0)),"⚠ ID no existe"))</f>
        <v/>
      </c>
      <c r="E1694" s="69"/>
      <c r="F1694" s="67"/>
      <c r="G1694" s="67"/>
      <c r="H1694" s="67"/>
      <c r="I1694" s="67"/>
      <c r="J1694" s="67"/>
      <c r="K1694" s="85" t="str">
        <f aca="false">IF(AH1694="","",N(F1694)+N(G1694)+N(H1694)-N(I1694)+N(J1694))</f>
        <v/>
      </c>
      <c r="L1694" s="67"/>
      <c r="M1694" s="67"/>
      <c r="N1694" s="67"/>
      <c r="O1694" s="67"/>
      <c r="P1694" s="85" t="str">
        <f aca="false">IF(AH1694="","",K1694+N(L1694)+N(M1694)+N(N1694)+N(O1694))</f>
        <v/>
      </c>
      <c r="Q1694" s="67"/>
      <c r="R1694" s="67"/>
      <c r="S1694" s="67"/>
      <c r="T1694" s="67"/>
      <c r="U1694" s="67"/>
      <c r="V1694" s="67"/>
      <c r="W1694" s="85" t="str">
        <f aca="false">IF(AH1694="","",N(Q1694)+N(R1694)+N(S1694)+N(T1694)+N(U1694)+N(V1694))</f>
        <v/>
      </c>
      <c r="X1694" s="85" t="str">
        <f aca="false">IF(AH1694="","",P1694-W1694)</f>
        <v/>
      </c>
      <c r="Y1694" s="67"/>
      <c r="Z1694" s="70" t="str">
        <f aca="false">IF(OR(AH1694="",Y1694=""),"",IF(ABS(X1694-Y1694)&lt;=1,"✓ Cuadra","⚠ Diferencia $"&amp;FIXED(X1694-Y1694,0)))</f>
        <v/>
      </c>
      <c r="AA1694" s="72" t="str">
        <f aca="false">IF(AH1694="","",IFERROR(INDEX(C_TIPO,MATCH(C1694&amp;"-P"&amp;MAX(1,COUNTIFS(C_ID,C1694,C_DEFINE,"Sí",C_INICIO,"&lt;="&amp;EOMONTH(B1694,0))),C_CLAVE,0))&amp;"","Sin dato"))</f>
        <v/>
      </c>
      <c r="AB1694" s="71" t="str">
        <f aca="false">IF(AH1694="","",ROUND(MIN(K1694,TOPE_AFP_UF*AJ1694)*AK1694,0))</f>
        <v/>
      </c>
      <c r="AC1694" s="71" t="str">
        <f aca="false">IF(AH1694="","",ROUND(MIN(K1694,TOPE_AFC_UF*AJ1694)*IF(AA1694="Indefinido",AFC_EMP_INDEF,AFC_EMP_PF),0))</f>
        <v/>
      </c>
      <c r="AD1694" s="71" t="str">
        <f aca="false">IF(AH1694="","",ROUND(MIN(K1694,TOPE_AFP_UF*AJ1694)*(MUTUAL_BASICA+MUTUAL_ADIC+SANNA),0))</f>
        <v/>
      </c>
      <c r="AE1694" s="71" t="str">
        <f aca="false">IF(AH1694="","",P1694-N(N1694)+AB1694+AC1694+AD1694)</f>
        <v/>
      </c>
      <c r="AF1694" s="65"/>
      <c r="AG1694" s="64"/>
      <c r="AH1694" s="72" t="str">
        <f aca="false">IF(OR(B1694="",C1694=""),"",C1694&amp;"|"&amp;(YEAR(B1694)*100+MONTH(B1694)))</f>
        <v/>
      </c>
      <c r="AI1694" s="70" t="str">
        <f aca="false">IF(AH1694="","",IF(COUNTIF(L_CLAVE,AH1694)&gt;1,"⚠ Duplicado","OK"))</f>
        <v/>
      </c>
      <c r="AJ1694" s="86" t="str">
        <f aca="false">IF(AH1694="","",IF(SUMPRODUCT(MAX((IND_PER&lt;=B1694)*(IND_UF&lt;&gt;"")*IND_PER))=0,UF_HOY,INDEX(IND_UF,MATCH(SUMPRODUCT(MAX((IND_PER&lt;=B1694)*(IND_UF&lt;&gt;"")*IND_PER)),IND_PER,0))))</f>
        <v/>
      </c>
      <c r="AK1694" s="87" t="str">
        <f aca="false">IF(AH1694="","",IF(COUNTIF(TASA_DESDE,"&lt;="&amp;B1694)=0,INDEX(TASA_EMP,1),INDEX(TASA_EMP,COUNTIF(TASA_DESDE,"&lt;="&amp;B1694))))</f>
        <v/>
      </c>
    </row>
    <row r="1695" customFormat="false" ht="15" hidden="false" customHeight="false" outlineLevel="0" collapsed="false">
      <c r="B1695" s="78"/>
      <c r="C1695" s="64"/>
      <c r="D1695" s="72" t="str">
        <f aca="false">IF(C1695="","",IFERROR(INDEX(T_NOMBRE,MATCH(C1695,T_ID,0)),"⚠ ID no existe"))</f>
        <v/>
      </c>
      <c r="E1695" s="69"/>
      <c r="F1695" s="67"/>
      <c r="G1695" s="67"/>
      <c r="H1695" s="67"/>
      <c r="I1695" s="67"/>
      <c r="J1695" s="67"/>
      <c r="K1695" s="85" t="str">
        <f aca="false">IF(AH1695="","",N(F1695)+N(G1695)+N(H1695)-N(I1695)+N(J1695))</f>
        <v/>
      </c>
      <c r="L1695" s="67"/>
      <c r="M1695" s="67"/>
      <c r="N1695" s="67"/>
      <c r="O1695" s="67"/>
      <c r="P1695" s="85" t="str">
        <f aca="false">IF(AH1695="","",K1695+N(L1695)+N(M1695)+N(N1695)+N(O1695))</f>
        <v/>
      </c>
      <c r="Q1695" s="67"/>
      <c r="R1695" s="67"/>
      <c r="S1695" s="67"/>
      <c r="T1695" s="67"/>
      <c r="U1695" s="67"/>
      <c r="V1695" s="67"/>
      <c r="W1695" s="85" t="str">
        <f aca="false">IF(AH1695="","",N(Q1695)+N(R1695)+N(S1695)+N(T1695)+N(U1695)+N(V1695))</f>
        <v/>
      </c>
      <c r="X1695" s="85" t="str">
        <f aca="false">IF(AH1695="","",P1695-W1695)</f>
        <v/>
      </c>
      <c r="Y1695" s="67"/>
      <c r="Z1695" s="70" t="str">
        <f aca="false">IF(OR(AH1695="",Y1695=""),"",IF(ABS(X1695-Y1695)&lt;=1,"✓ Cuadra","⚠ Diferencia $"&amp;FIXED(X1695-Y1695,0)))</f>
        <v/>
      </c>
      <c r="AA1695" s="72" t="str">
        <f aca="false">IF(AH1695="","",IFERROR(INDEX(C_TIPO,MATCH(C1695&amp;"-P"&amp;MAX(1,COUNTIFS(C_ID,C1695,C_DEFINE,"Sí",C_INICIO,"&lt;="&amp;EOMONTH(B1695,0))),C_CLAVE,0))&amp;"","Sin dato"))</f>
        <v/>
      </c>
      <c r="AB1695" s="71" t="str">
        <f aca="false">IF(AH1695="","",ROUND(MIN(K1695,TOPE_AFP_UF*AJ1695)*AK1695,0))</f>
        <v/>
      </c>
      <c r="AC1695" s="71" t="str">
        <f aca="false">IF(AH1695="","",ROUND(MIN(K1695,TOPE_AFC_UF*AJ1695)*IF(AA1695="Indefinido",AFC_EMP_INDEF,AFC_EMP_PF),0))</f>
        <v/>
      </c>
      <c r="AD1695" s="71" t="str">
        <f aca="false">IF(AH1695="","",ROUND(MIN(K1695,TOPE_AFP_UF*AJ1695)*(MUTUAL_BASICA+MUTUAL_ADIC+SANNA),0))</f>
        <v/>
      </c>
      <c r="AE1695" s="71" t="str">
        <f aca="false">IF(AH1695="","",P1695-N(N1695)+AB1695+AC1695+AD1695)</f>
        <v/>
      </c>
      <c r="AF1695" s="65"/>
      <c r="AG1695" s="64"/>
      <c r="AH1695" s="72" t="str">
        <f aca="false">IF(OR(B1695="",C1695=""),"",C1695&amp;"|"&amp;(YEAR(B1695)*100+MONTH(B1695)))</f>
        <v/>
      </c>
      <c r="AI1695" s="70" t="str">
        <f aca="false">IF(AH1695="","",IF(COUNTIF(L_CLAVE,AH1695)&gt;1,"⚠ Duplicado","OK"))</f>
        <v/>
      </c>
      <c r="AJ1695" s="86" t="str">
        <f aca="false">IF(AH1695="","",IF(SUMPRODUCT(MAX((IND_PER&lt;=B1695)*(IND_UF&lt;&gt;"")*IND_PER))=0,UF_HOY,INDEX(IND_UF,MATCH(SUMPRODUCT(MAX((IND_PER&lt;=B1695)*(IND_UF&lt;&gt;"")*IND_PER)),IND_PER,0))))</f>
        <v/>
      </c>
      <c r="AK1695" s="87" t="str">
        <f aca="false">IF(AH1695="","",IF(COUNTIF(TASA_DESDE,"&lt;="&amp;B1695)=0,INDEX(TASA_EMP,1),INDEX(TASA_EMP,COUNTIF(TASA_DESDE,"&lt;="&amp;B1695))))</f>
        <v/>
      </c>
    </row>
    <row r="1696" customFormat="false" ht="15" hidden="false" customHeight="false" outlineLevel="0" collapsed="false">
      <c r="B1696" s="78"/>
      <c r="C1696" s="64"/>
      <c r="D1696" s="72" t="str">
        <f aca="false">IF(C1696="","",IFERROR(INDEX(T_NOMBRE,MATCH(C1696,T_ID,0)),"⚠ ID no existe"))</f>
        <v/>
      </c>
      <c r="E1696" s="69"/>
      <c r="F1696" s="67"/>
      <c r="G1696" s="67"/>
      <c r="H1696" s="67"/>
      <c r="I1696" s="67"/>
      <c r="J1696" s="67"/>
      <c r="K1696" s="85" t="str">
        <f aca="false">IF(AH1696="","",N(F1696)+N(G1696)+N(H1696)-N(I1696)+N(J1696))</f>
        <v/>
      </c>
      <c r="L1696" s="67"/>
      <c r="M1696" s="67"/>
      <c r="N1696" s="67"/>
      <c r="O1696" s="67"/>
      <c r="P1696" s="85" t="str">
        <f aca="false">IF(AH1696="","",K1696+N(L1696)+N(M1696)+N(N1696)+N(O1696))</f>
        <v/>
      </c>
      <c r="Q1696" s="67"/>
      <c r="R1696" s="67"/>
      <c r="S1696" s="67"/>
      <c r="T1696" s="67"/>
      <c r="U1696" s="67"/>
      <c r="V1696" s="67"/>
      <c r="W1696" s="85" t="str">
        <f aca="false">IF(AH1696="","",N(Q1696)+N(R1696)+N(S1696)+N(T1696)+N(U1696)+N(V1696))</f>
        <v/>
      </c>
      <c r="X1696" s="85" t="str">
        <f aca="false">IF(AH1696="","",P1696-W1696)</f>
        <v/>
      </c>
      <c r="Y1696" s="67"/>
      <c r="Z1696" s="70" t="str">
        <f aca="false">IF(OR(AH1696="",Y1696=""),"",IF(ABS(X1696-Y1696)&lt;=1,"✓ Cuadra","⚠ Diferencia $"&amp;FIXED(X1696-Y1696,0)))</f>
        <v/>
      </c>
      <c r="AA1696" s="72" t="str">
        <f aca="false">IF(AH1696="","",IFERROR(INDEX(C_TIPO,MATCH(C1696&amp;"-P"&amp;MAX(1,COUNTIFS(C_ID,C1696,C_DEFINE,"Sí",C_INICIO,"&lt;="&amp;EOMONTH(B1696,0))),C_CLAVE,0))&amp;"","Sin dato"))</f>
        <v/>
      </c>
      <c r="AB1696" s="71" t="str">
        <f aca="false">IF(AH1696="","",ROUND(MIN(K1696,TOPE_AFP_UF*AJ1696)*AK1696,0))</f>
        <v/>
      </c>
      <c r="AC1696" s="71" t="str">
        <f aca="false">IF(AH1696="","",ROUND(MIN(K1696,TOPE_AFC_UF*AJ1696)*IF(AA1696="Indefinido",AFC_EMP_INDEF,AFC_EMP_PF),0))</f>
        <v/>
      </c>
      <c r="AD1696" s="71" t="str">
        <f aca="false">IF(AH1696="","",ROUND(MIN(K1696,TOPE_AFP_UF*AJ1696)*(MUTUAL_BASICA+MUTUAL_ADIC+SANNA),0))</f>
        <v/>
      </c>
      <c r="AE1696" s="71" t="str">
        <f aca="false">IF(AH1696="","",P1696-N(N1696)+AB1696+AC1696+AD1696)</f>
        <v/>
      </c>
      <c r="AF1696" s="65"/>
      <c r="AG1696" s="64"/>
      <c r="AH1696" s="72" t="str">
        <f aca="false">IF(OR(B1696="",C1696=""),"",C1696&amp;"|"&amp;(YEAR(B1696)*100+MONTH(B1696)))</f>
        <v/>
      </c>
      <c r="AI1696" s="70" t="str">
        <f aca="false">IF(AH1696="","",IF(COUNTIF(L_CLAVE,AH1696)&gt;1,"⚠ Duplicado","OK"))</f>
        <v/>
      </c>
      <c r="AJ1696" s="86" t="str">
        <f aca="false">IF(AH1696="","",IF(SUMPRODUCT(MAX((IND_PER&lt;=B1696)*(IND_UF&lt;&gt;"")*IND_PER))=0,UF_HOY,INDEX(IND_UF,MATCH(SUMPRODUCT(MAX((IND_PER&lt;=B1696)*(IND_UF&lt;&gt;"")*IND_PER)),IND_PER,0))))</f>
        <v/>
      </c>
      <c r="AK1696" s="87" t="str">
        <f aca="false">IF(AH1696="","",IF(COUNTIF(TASA_DESDE,"&lt;="&amp;B1696)=0,INDEX(TASA_EMP,1),INDEX(TASA_EMP,COUNTIF(TASA_DESDE,"&lt;="&amp;B1696))))</f>
        <v/>
      </c>
    </row>
    <row r="1697" customFormat="false" ht="15" hidden="false" customHeight="false" outlineLevel="0" collapsed="false">
      <c r="B1697" s="78"/>
      <c r="C1697" s="64"/>
      <c r="D1697" s="72" t="str">
        <f aca="false">IF(C1697="","",IFERROR(INDEX(T_NOMBRE,MATCH(C1697,T_ID,0)),"⚠ ID no existe"))</f>
        <v/>
      </c>
      <c r="E1697" s="69"/>
      <c r="F1697" s="67"/>
      <c r="G1697" s="67"/>
      <c r="H1697" s="67"/>
      <c r="I1697" s="67"/>
      <c r="J1697" s="67"/>
      <c r="K1697" s="85" t="str">
        <f aca="false">IF(AH1697="","",N(F1697)+N(G1697)+N(H1697)-N(I1697)+N(J1697))</f>
        <v/>
      </c>
      <c r="L1697" s="67"/>
      <c r="M1697" s="67"/>
      <c r="N1697" s="67"/>
      <c r="O1697" s="67"/>
      <c r="P1697" s="85" t="str">
        <f aca="false">IF(AH1697="","",K1697+N(L1697)+N(M1697)+N(N1697)+N(O1697))</f>
        <v/>
      </c>
      <c r="Q1697" s="67"/>
      <c r="R1697" s="67"/>
      <c r="S1697" s="67"/>
      <c r="T1697" s="67"/>
      <c r="U1697" s="67"/>
      <c r="V1697" s="67"/>
      <c r="W1697" s="85" t="str">
        <f aca="false">IF(AH1697="","",N(Q1697)+N(R1697)+N(S1697)+N(T1697)+N(U1697)+N(V1697))</f>
        <v/>
      </c>
      <c r="X1697" s="85" t="str">
        <f aca="false">IF(AH1697="","",P1697-W1697)</f>
        <v/>
      </c>
      <c r="Y1697" s="67"/>
      <c r="Z1697" s="70" t="str">
        <f aca="false">IF(OR(AH1697="",Y1697=""),"",IF(ABS(X1697-Y1697)&lt;=1,"✓ Cuadra","⚠ Diferencia $"&amp;FIXED(X1697-Y1697,0)))</f>
        <v/>
      </c>
      <c r="AA1697" s="72" t="str">
        <f aca="false">IF(AH1697="","",IFERROR(INDEX(C_TIPO,MATCH(C1697&amp;"-P"&amp;MAX(1,COUNTIFS(C_ID,C1697,C_DEFINE,"Sí",C_INICIO,"&lt;="&amp;EOMONTH(B1697,0))),C_CLAVE,0))&amp;"","Sin dato"))</f>
        <v/>
      </c>
      <c r="AB1697" s="71" t="str">
        <f aca="false">IF(AH1697="","",ROUND(MIN(K1697,TOPE_AFP_UF*AJ1697)*AK1697,0))</f>
        <v/>
      </c>
      <c r="AC1697" s="71" t="str">
        <f aca="false">IF(AH1697="","",ROUND(MIN(K1697,TOPE_AFC_UF*AJ1697)*IF(AA1697="Indefinido",AFC_EMP_INDEF,AFC_EMP_PF),0))</f>
        <v/>
      </c>
      <c r="AD1697" s="71" t="str">
        <f aca="false">IF(AH1697="","",ROUND(MIN(K1697,TOPE_AFP_UF*AJ1697)*(MUTUAL_BASICA+MUTUAL_ADIC+SANNA),0))</f>
        <v/>
      </c>
      <c r="AE1697" s="71" t="str">
        <f aca="false">IF(AH1697="","",P1697-N(N1697)+AB1697+AC1697+AD1697)</f>
        <v/>
      </c>
      <c r="AF1697" s="65"/>
      <c r="AG1697" s="64"/>
      <c r="AH1697" s="72" t="str">
        <f aca="false">IF(OR(B1697="",C1697=""),"",C1697&amp;"|"&amp;(YEAR(B1697)*100+MONTH(B1697)))</f>
        <v/>
      </c>
      <c r="AI1697" s="70" t="str">
        <f aca="false">IF(AH1697="","",IF(COUNTIF(L_CLAVE,AH1697)&gt;1,"⚠ Duplicado","OK"))</f>
        <v/>
      </c>
      <c r="AJ1697" s="86" t="str">
        <f aca="false">IF(AH1697="","",IF(SUMPRODUCT(MAX((IND_PER&lt;=B1697)*(IND_UF&lt;&gt;"")*IND_PER))=0,UF_HOY,INDEX(IND_UF,MATCH(SUMPRODUCT(MAX((IND_PER&lt;=B1697)*(IND_UF&lt;&gt;"")*IND_PER)),IND_PER,0))))</f>
        <v/>
      </c>
      <c r="AK1697" s="87" t="str">
        <f aca="false">IF(AH1697="","",IF(COUNTIF(TASA_DESDE,"&lt;="&amp;B1697)=0,INDEX(TASA_EMP,1),INDEX(TASA_EMP,COUNTIF(TASA_DESDE,"&lt;="&amp;B1697))))</f>
        <v/>
      </c>
    </row>
    <row r="1698" customFormat="false" ht="15" hidden="false" customHeight="false" outlineLevel="0" collapsed="false">
      <c r="B1698" s="78"/>
      <c r="C1698" s="64"/>
      <c r="D1698" s="72" t="str">
        <f aca="false">IF(C1698="","",IFERROR(INDEX(T_NOMBRE,MATCH(C1698,T_ID,0)),"⚠ ID no existe"))</f>
        <v/>
      </c>
      <c r="E1698" s="69"/>
      <c r="F1698" s="67"/>
      <c r="G1698" s="67"/>
      <c r="H1698" s="67"/>
      <c r="I1698" s="67"/>
      <c r="J1698" s="67"/>
      <c r="K1698" s="85" t="str">
        <f aca="false">IF(AH1698="","",N(F1698)+N(G1698)+N(H1698)-N(I1698)+N(J1698))</f>
        <v/>
      </c>
      <c r="L1698" s="67"/>
      <c r="M1698" s="67"/>
      <c r="N1698" s="67"/>
      <c r="O1698" s="67"/>
      <c r="P1698" s="85" t="str">
        <f aca="false">IF(AH1698="","",K1698+N(L1698)+N(M1698)+N(N1698)+N(O1698))</f>
        <v/>
      </c>
      <c r="Q1698" s="67"/>
      <c r="R1698" s="67"/>
      <c r="S1698" s="67"/>
      <c r="T1698" s="67"/>
      <c r="U1698" s="67"/>
      <c r="V1698" s="67"/>
      <c r="W1698" s="85" t="str">
        <f aca="false">IF(AH1698="","",N(Q1698)+N(R1698)+N(S1698)+N(T1698)+N(U1698)+N(V1698))</f>
        <v/>
      </c>
      <c r="X1698" s="85" t="str">
        <f aca="false">IF(AH1698="","",P1698-W1698)</f>
        <v/>
      </c>
      <c r="Y1698" s="67"/>
      <c r="Z1698" s="70" t="str">
        <f aca="false">IF(OR(AH1698="",Y1698=""),"",IF(ABS(X1698-Y1698)&lt;=1,"✓ Cuadra","⚠ Diferencia $"&amp;FIXED(X1698-Y1698,0)))</f>
        <v/>
      </c>
      <c r="AA1698" s="72" t="str">
        <f aca="false">IF(AH1698="","",IFERROR(INDEX(C_TIPO,MATCH(C1698&amp;"-P"&amp;MAX(1,COUNTIFS(C_ID,C1698,C_DEFINE,"Sí",C_INICIO,"&lt;="&amp;EOMONTH(B1698,0))),C_CLAVE,0))&amp;"","Sin dato"))</f>
        <v/>
      </c>
      <c r="AB1698" s="71" t="str">
        <f aca="false">IF(AH1698="","",ROUND(MIN(K1698,TOPE_AFP_UF*AJ1698)*AK1698,0))</f>
        <v/>
      </c>
      <c r="AC1698" s="71" t="str">
        <f aca="false">IF(AH1698="","",ROUND(MIN(K1698,TOPE_AFC_UF*AJ1698)*IF(AA1698="Indefinido",AFC_EMP_INDEF,AFC_EMP_PF),0))</f>
        <v/>
      </c>
      <c r="AD1698" s="71" t="str">
        <f aca="false">IF(AH1698="","",ROUND(MIN(K1698,TOPE_AFP_UF*AJ1698)*(MUTUAL_BASICA+MUTUAL_ADIC+SANNA),0))</f>
        <v/>
      </c>
      <c r="AE1698" s="71" t="str">
        <f aca="false">IF(AH1698="","",P1698-N(N1698)+AB1698+AC1698+AD1698)</f>
        <v/>
      </c>
      <c r="AF1698" s="65"/>
      <c r="AG1698" s="64"/>
      <c r="AH1698" s="72" t="str">
        <f aca="false">IF(OR(B1698="",C1698=""),"",C1698&amp;"|"&amp;(YEAR(B1698)*100+MONTH(B1698)))</f>
        <v/>
      </c>
      <c r="AI1698" s="70" t="str">
        <f aca="false">IF(AH1698="","",IF(COUNTIF(L_CLAVE,AH1698)&gt;1,"⚠ Duplicado","OK"))</f>
        <v/>
      </c>
      <c r="AJ1698" s="86" t="str">
        <f aca="false">IF(AH1698="","",IF(SUMPRODUCT(MAX((IND_PER&lt;=B1698)*(IND_UF&lt;&gt;"")*IND_PER))=0,UF_HOY,INDEX(IND_UF,MATCH(SUMPRODUCT(MAX((IND_PER&lt;=B1698)*(IND_UF&lt;&gt;"")*IND_PER)),IND_PER,0))))</f>
        <v/>
      </c>
      <c r="AK1698" s="87" t="str">
        <f aca="false">IF(AH1698="","",IF(COUNTIF(TASA_DESDE,"&lt;="&amp;B1698)=0,INDEX(TASA_EMP,1),INDEX(TASA_EMP,COUNTIF(TASA_DESDE,"&lt;="&amp;B1698))))</f>
        <v/>
      </c>
    </row>
    <row r="1699" customFormat="false" ht="15" hidden="false" customHeight="false" outlineLevel="0" collapsed="false">
      <c r="B1699" s="78"/>
      <c r="C1699" s="64"/>
      <c r="D1699" s="72" t="str">
        <f aca="false">IF(C1699="","",IFERROR(INDEX(T_NOMBRE,MATCH(C1699,T_ID,0)),"⚠ ID no existe"))</f>
        <v/>
      </c>
      <c r="E1699" s="69"/>
      <c r="F1699" s="67"/>
      <c r="G1699" s="67"/>
      <c r="H1699" s="67"/>
      <c r="I1699" s="67"/>
      <c r="J1699" s="67"/>
      <c r="K1699" s="85" t="str">
        <f aca="false">IF(AH1699="","",N(F1699)+N(G1699)+N(H1699)-N(I1699)+N(J1699))</f>
        <v/>
      </c>
      <c r="L1699" s="67"/>
      <c r="M1699" s="67"/>
      <c r="N1699" s="67"/>
      <c r="O1699" s="67"/>
      <c r="P1699" s="85" t="str">
        <f aca="false">IF(AH1699="","",K1699+N(L1699)+N(M1699)+N(N1699)+N(O1699))</f>
        <v/>
      </c>
      <c r="Q1699" s="67"/>
      <c r="R1699" s="67"/>
      <c r="S1699" s="67"/>
      <c r="T1699" s="67"/>
      <c r="U1699" s="67"/>
      <c r="V1699" s="67"/>
      <c r="W1699" s="85" t="str">
        <f aca="false">IF(AH1699="","",N(Q1699)+N(R1699)+N(S1699)+N(T1699)+N(U1699)+N(V1699))</f>
        <v/>
      </c>
      <c r="X1699" s="85" t="str">
        <f aca="false">IF(AH1699="","",P1699-W1699)</f>
        <v/>
      </c>
      <c r="Y1699" s="67"/>
      <c r="Z1699" s="70" t="str">
        <f aca="false">IF(OR(AH1699="",Y1699=""),"",IF(ABS(X1699-Y1699)&lt;=1,"✓ Cuadra","⚠ Diferencia $"&amp;FIXED(X1699-Y1699,0)))</f>
        <v/>
      </c>
      <c r="AA1699" s="72" t="str">
        <f aca="false">IF(AH1699="","",IFERROR(INDEX(C_TIPO,MATCH(C1699&amp;"-P"&amp;MAX(1,COUNTIFS(C_ID,C1699,C_DEFINE,"Sí",C_INICIO,"&lt;="&amp;EOMONTH(B1699,0))),C_CLAVE,0))&amp;"","Sin dato"))</f>
        <v/>
      </c>
      <c r="AB1699" s="71" t="str">
        <f aca="false">IF(AH1699="","",ROUND(MIN(K1699,TOPE_AFP_UF*AJ1699)*AK1699,0))</f>
        <v/>
      </c>
      <c r="AC1699" s="71" t="str">
        <f aca="false">IF(AH1699="","",ROUND(MIN(K1699,TOPE_AFC_UF*AJ1699)*IF(AA1699="Indefinido",AFC_EMP_INDEF,AFC_EMP_PF),0))</f>
        <v/>
      </c>
      <c r="AD1699" s="71" t="str">
        <f aca="false">IF(AH1699="","",ROUND(MIN(K1699,TOPE_AFP_UF*AJ1699)*(MUTUAL_BASICA+MUTUAL_ADIC+SANNA),0))</f>
        <v/>
      </c>
      <c r="AE1699" s="71" t="str">
        <f aca="false">IF(AH1699="","",P1699-N(N1699)+AB1699+AC1699+AD1699)</f>
        <v/>
      </c>
      <c r="AF1699" s="65"/>
      <c r="AG1699" s="64"/>
      <c r="AH1699" s="72" t="str">
        <f aca="false">IF(OR(B1699="",C1699=""),"",C1699&amp;"|"&amp;(YEAR(B1699)*100+MONTH(B1699)))</f>
        <v/>
      </c>
      <c r="AI1699" s="70" t="str">
        <f aca="false">IF(AH1699="","",IF(COUNTIF(L_CLAVE,AH1699)&gt;1,"⚠ Duplicado","OK"))</f>
        <v/>
      </c>
      <c r="AJ1699" s="86" t="str">
        <f aca="false">IF(AH1699="","",IF(SUMPRODUCT(MAX((IND_PER&lt;=B1699)*(IND_UF&lt;&gt;"")*IND_PER))=0,UF_HOY,INDEX(IND_UF,MATCH(SUMPRODUCT(MAX((IND_PER&lt;=B1699)*(IND_UF&lt;&gt;"")*IND_PER)),IND_PER,0))))</f>
        <v/>
      </c>
      <c r="AK1699" s="87" t="str">
        <f aca="false">IF(AH1699="","",IF(COUNTIF(TASA_DESDE,"&lt;="&amp;B1699)=0,INDEX(TASA_EMP,1),INDEX(TASA_EMP,COUNTIF(TASA_DESDE,"&lt;="&amp;B1699))))</f>
        <v/>
      </c>
    </row>
    <row r="1700" customFormat="false" ht="15" hidden="false" customHeight="false" outlineLevel="0" collapsed="false">
      <c r="B1700" s="78"/>
      <c r="C1700" s="64"/>
      <c r="D1700" s="72" t="str">
        <f aca="false">IF(C1700="","",IFERROR(INDEX(T_NOMBRE,MATCH(C1700,T_ID,0)),"⚠ ID no existe"))</f>
        <v/>
      </c>
      <c r="E1700" s="69"/>
      <c r="F1700" s="67"/>
      <c r="G1700" s="67"/>
      <c r="H1700" s="67"/>
      <c r="I1700" s="67"/>
      <c r="J1700" s="67"/>
      <c r="K1700" s="85" t="str">
        <f aca="false">IF(AH1700="","",N(F1700)+N(G1700)+N(H1700)-N(I1700)+N(J1700))</f>
        <v/>
      </c>
      <c r="L1700" s="67"/>
      <c r="M1700" s="67"/>
      <c r="N1700" s="67"/>
      <c r="O1700" s="67"/>
      <c r="P1700" s="85" t="str">
        <f aca="false">IF(AH1700="","",K1700+N(L1700)+N(M1700)+N(N1700)+N(O1700))</f>
        <v/>
      </c>
      <c r="Q1700" s="67"/>
      <c r="R1700" s="67"/>
      <c r="S1700" s="67"/>
      <c r="T1700" s="67"/>
      <c r="U1700" s="67"/>
      <c r="V1700" s="67"/>
      <c r="W1700" s="85" t="str">
        <f aca="false">IF(AH1700="","",N(Q1700)+N(R1700)+N(S1700)+N(T1700)+N(U1700)+N(V1700))</f>
        <v/>
      </c>
      <c r="X1700" s="85" t="str">
        <f aca="false">IF(AH1700="","",P1700-W1700)</f>
        <v/>
      </c>
      <c r="Y1700" s="67"/>
      <c r="Z1700" s="70" t="str">
        <f aca="false">IF(OR(AH1700="",Y1700=""),"",IF(ABS(X1700-Y1700)&lt;=1,"✓ Cuadra","⚠ Diferencia $"&amp;FIXED(X1700-Y1700,0)))</f>
        <v/>
      </c>
      <c r="AA1700" s="72" t="str">
        <f aca="false">IF(AH1700="","",IFERROR(INDEX(C_TIPO,MATCH(C1700&amp;"-P"&amp;MAX(1,COUNTIFS(C_ID,C1700,C_DEFINE,"Sí",C_INICIO,"&lt;="&amp;EOMONTH(B1700,0))),C_CLAVE,0))&amp;"","Sin dato"))</f>
        <v/>
      </c>
      <c r="AB1700" s="71" t="str">
        <f aca="false">IF(AH1700="","",ROUND(MIN(K1700,TOPE_AFP_UF*AJ1700)*AK1700,0))</f>
        <v/>
      </c>
      <c r="AC1700" s="71" t="str">
        <f aca="false">IF(AH1700="","",ROUND(MIN(K1700,TOPE_AFC_UF*AJ1700)*IF(AA1700="Indefinido",AFC_EMP_INDEF,AFC_EMP_PF),0))</f>
        <v/>
      </c>
      <c r="AD1700" s="71" t="str">
        <f aca="false">IF(AH1700="","",ROUND(MIN(K1700,TOPE_AFP_UF*AJ1700)*(MUTUAL_BASICA+MUTUAL_ADIC+SANNA),0))</f>
        <v/>
      </c>
      <c r="AE1700" s="71" t="str">
        <f aca="false">IF(AH1700="","",P1700-N(N1700)+AB1700+AC1700+AD1700)</f>
        <v/>
      </c>
      <c r="AF1700" s="65"/>
      <c r="AG1700" s="64"/>
      <c r="AH1700" s="72" t="str">
        <f aca="false">IF(OR(B1700="",C1700=""),"",C1700&amp;"|"&amp;(YEAR(B1700)*100+MONTH(B1700)))</f>
        <v/>
      </c>
      <c r="AI1700" s="70" t="str">
        <f aca="false">IF(AH1700="","",IF(COUNTIF(L_CLAVE,AH1700)&gt;1,"⚠ Duplicado","OK"))</f>
        <v/>
      </c>
      <c r="AJ1700" s="86" t="str">
        <f aca="false">IF(AH1700="","",IF(SUMPRODUCT(MAX((IND_PER&lt;=B1700)*(IND_UF&lt;&gt;"")*IND_PER))=0,UF_HOY,INDEX(IND_UF,MATCH(SUMPRODUCT(MAX((IND_PER&lt;=B1700)*(IND_UF&lt;&gt;"")*IND_PER)),IND_PER,0))))</f>
        <v/>
      </c>
      <c r="AK1700" s="87" t="str">
        <f aca="false">IF(AH1700="","",IF(COUNTIF(TASA_DESDE,"&lt;="&amp;B1700)=0,INDEX(TASA_EMP,1),INDEX(TASA_EMP,COUNTIF(TASA_DESDE,"&lt;="&amp;B1700))))</f>
        <v/>
      </c>
    </row>
    <row r="1701" customFormat="false" ht="15" hidden="false" customHeight="false" outlineLevel="0" collapsed="false">
      <c r="B1701" s="78"/>
      <c r="C1701" s="64"/>
      <c r="D1701" s="72" t="str">
        <f aca="false">IF(C1701="","",IFERROR(INDEX(T_NOMBRE,MATCH(C1701,T_ID,0)),"⚠ ID no existe"))</f>
        <v/>
      </c>
      <c r="E1701" s="69"/>
      <c r="F1701" s="67"/>
      <c r="G1701" s="67"/>
      <c r="H1701" s="67"/>
      <c r="I1701" s="67"/>
      <c r="J1701" s="67"/>
      <c r="K1701" s="85" t="str">
        <f aca="false">IF(AH1701="","",N(F1701)+N(G1701)+N(H1701)-N(I1701)+N(J1701))</f>
        <v/>
      </c>
      <c r="L1701" s="67"/>
      <c r="M1701" s="67"/>
      <c r="N1701" s="67"/>
      <c r="O1701" s="67"/>
      <c r="P1701" s="85" t="str">
        <f aca="false">IF(AH1701="","",K1701+N(L1701)+N(M1701)+N(N1701)+N(O1701))</f>
        <v/>
      </c>
      <c r="Q1701" s="67"/>
      <c r="R1701" s="67"/>
      <c r="S1701" s="67"/>
      <c r="T1701" s="67"/>
      <c r="U1701" s="67"/>
      <c r="V1701" s="67"/>
      <c r="W1701" s="85" t="str">
        <f aca="false">IF(AH1701="","",N(Q1701)+N(R1701)+N(S1701)+N(T1701)+N(U1701)+N(V1701))</f>
        <v/>
      </c>
      <c r="X1701" s="85" t="str">
        <f aca="false">IF(AH1701="","",P1701-W1701)</f>
        <v/>
      </c>
      <c r="Y1701" s="67"/>
      <c r="Z1701" s="70" t="str">
        <f aca="false">IF(OR(AH1701="",Y1701=""),"",IF(ABS(X1701-Y1701)&lt;=1,"✓ Cuadra","⚠ Diferencia $"&amp;FIXED(X1701-Y1701,0)))</f>
        <v/>
      </c>
      <c r="AA1701" s="72" t="str">
        <f aca="false">IF(AH1701="","",IFERROR(INDEX(C_TIPO,MATCH(C1701&amp;"-P"&amp;MAX(1,COUNTIFS(C_ID,C1701,C_DEFINE,"Sí",C_INICIO,"&lt;="&amp;EOMONTH(B1701,0))),C_CLAVE,0))&amp;"","Sin dato"))</f>
        <v/>
      </c>
      <c r="AB1701" s="71" t="str">
        <f aca="false">IF(AH1701="","",ROUND(MIN(K1701,TOPE_AFP_UF*AJ1701)*AK1701,0))</f>
        <v/>
      </c>
      <c r="AC1701" s="71" t="str">
        <f aca="false">IF(AH1701="","",ROUND(MIN(K1701,TOPE_AFC_UF*AJ1701)*IF(AA1701="Indefinido",AFC_EMP_INDEF,AFC_EMP_PF),0))</f>
        <v/>
      </c>
      <c r="AD1701" s="71" t="str">
        <f aca="false">IF(AH1701="","",ROUND(MIN(K1701,TOPE_AFP_UF*AJ1701)*(MUTUAL_BASICA+MUTUAL_ADIC+SANNA),0))</f>
        <v/>
      </c>
      <c r="AE1701" s="71" t="str">
        <f aca="false">IF(AH1701="","",P1701-N(N1701)+AB1701+AC1701+AD1701)</f>
        <v/>
      </c>
      <c r="AF1701" s="65"/>
      <c r="AG1701" s="64"/>
      <c r="AH1701" s="72" t="str">
        <f aca="false">IF(OR(B1701="",C1701=""),"",C1701&amp;"|"&amp;(YEAR(B1701)*100+MONTH(B1701)))</f>
        <v/>
      </c>
      <c r="AI1701" s="70" t="str">
        <f aca="false">IF(AH1701="","",IF(COUNTIF(L_CLAVE,AH1701)&gt;1,"⚠ Duplicado","OK"))</f>
        <v/>
      </c>
      <c r="AJ1701" s="86" t="str">
        <f aca="false">IF(AH1701="","",IF(SUMPRODUCT(MAX((IND_PER&lt;=B1701)*(IND_UF&lt;&gt;"")*IND_PER))=0,UF_HOY,INDEX(IND_UF,MATCH(SUMPRODUCT(MAX((IND_PER&lt;=B1701)*(IND_UF&lt;&gt;"")*IND_PER)),IND_PER,0))))</f>
        <v/>
      </c>
      <c r="AK1701" s="87" t="str">
        <f aca="false">IF(AH1701="","",IF(COUNTIF(TASA_DESDE,"&lt;="&amp;B1701)=0,INDEX(TASA_EMP,1),INDEX(TASA_EMP,COUNTIF(TASA_DESDE,"&lt;="&amp;B1701))))</f>
        <v/>
      </c>
    </row>
    <row r="1702" customFormat="false" ht="15" hidden="false" customHeight="false" outlineLevel="0" collapsed="false">
      <c r="B1702" s="78"/>
      <c r="C1702" s="64"/>
      <c r="D1702" s="72" t="str">
        <f aca="false">IF(C1702="","",IFERROR(INDEX(T_NOMBRE,MATCH(C1702,T_ID,0)),"⚠ ID no existe"))</f>
        <v/>
      </c>
      <c r="E1702" s="69"/>
      <c r="F1702" s="67"/>
      <c r="G1702" s="67"/>
      <c r="H1702" s="67"/>
      <c r="I1702" s="67"/>
      <c r="J1702" s="67"/>
      <c r="K1702" s="85" t="str">
        <f aca="false">IF(AH1702="","",N(F1702)+N(G1702)+N(H1702)-N(I1702)+N(J1702))</f>
        <v/>
      </c>
      <c r="L1702" s="67"/>
      <c r="M1702" s="67"/>
      <c r="N1702" s="67"/>
      <c r="O1702" s="67"/>
      <c r="P1702" s="85" t="str">
        <f aca="false">IF(AH1702="","",K1702+N(L1702)+N(M1702)+N(N1702)+N(O1702))</f>
        <v/>
      </c>
      <c r="Q1702" s="67"/>
      <c r="R1702" s="67"/>
      <c r="S1702" s="67"/>
      <c r="T1702" s="67"/>
      <c r="U1702" s="67"/>
      <c r="V1702" s="67"/>
      <c r="W1702" s="85" t="str">
        <f aca="false">IF(AH1702="","",N(Q1702)+N(R1702)+N(S1702)+N(T1702)+N(U1702)+N(V1702))</f>
        <v/>
      </c>
      <c r="X1702" s="85" t="str">
        <f aca="false">IF(AH1702="","",P1702-W1702)</f>
        <v/>
      </c>
      <c r="Y1702" s="67"/>
      <c r="Z1702" s="70" t="str">
        <f aca="false">IF(OR(AH1702="",Y1702=""),"",IF(ABS(X1702-Y1702)&lt;=1,"✓ Cuadra","⚠ Diferencia $"&amp;FIXED(X1702-Y1702,0)))</f>
        <v/>
      </c>
      <c r="AA1702" s="72" t="str">
        <f aca="false">IF(AH1702="","",IFERROR(INDEX(C_TIPO,MATCH(C1702&amp;"-P"&amp;MAX(1,COUNTIFS(C_ID,C1702,C_DEFINE,"Sí",C_INICIO,"&lt;="&amp;EOMONTH(B1702,0))),C_CLAVE,0))&amp;"","Sin dato"))</f>
        <v/>
      </c>
      <c r="AB1702" s="71" t="str">
        <f aca="false">IF(AH1702="","",ROUND(MIN(K1702,TOPE_AFP_UF*AJ1702)*AK1702,0))</f>
        <v/>
      </c>
      <c r="AC1702" s="71" t="str">
        <f aca="false">IF(AH1702="","",ROUND(MIN(K1702,TOPE_AFC_UF*AJ1702)*IF(AA1702="Indefinido",AFC_EMP_INDEF,AFC_EMP_PF),0))</f>
        <v/>
      </c>
      <c r="AD1702" s="71" t="str">
        <f aca="false">IF(AH1702="","",ROUND(MIN(K1702,TOPE_AFP_UF*AJ1702)*(MUTUAL_BASICA+MUTUAL_ADIC+SANNA),0))</f>
        <v/>
      </c>
      <c r="AE1702" s="71" t="str">
        <f aca="false">IF(AH1702="","",P1702-N(N1702)+AB1702+AC1702+AD1702)</f>
        <v/>
      </c>
      <c r="AF1702" s="65"/>
      <c r="AG1702" s="64"/>
      <c r="AH1702" s="72" t="str">
        <f aca="false">IF(OR(B1702="",C1702=""),"",C1702&amp;"|"&amp;(YEAR(B1702)*100+MONTH(B1702)))</f>
        <v/>
      </c>
      <c r="AI1702" s="70" t="str">
        <f aca="false">IF(AH1702="","",IF(COUNTIF(L_CLAVE,AH1702)&gt;1,"⚠ Duplicado","OK"))</f>
        <v/>
      </c>
      <c r="AJ1702" s="86" t="str">
        <f aca="false">IF(AH1702="","",IF(SUMPRODUCT(MAX((IND_PER&lt;=B1702)*(IND_UF&lt;&gt;"")*IND_PER))=0,UF_HOY,INDEX(IND_UF,MATCH(SUMPRODUCT(MAX((IND_PER&lt;=B1702)*(IND_UF&lt;&gt;"")*IND_PER)),IND_PER,0))))</f>
        <v/>
      </c>
      <c r="AK1702" s="87" t="str">
        <f aca="false">IF(AH1702="","",IF(COUNTIF(TASA_DESDE,"&lt;="&amp;B1702)=0,INDEX(TASA_EMP,1),INDEX(TASA_EMP,COUNTIF(TASA_DESDE,"&lt;="&amp;B1702))))</f>
        <v/>
      </c>
    </row>
    <row r="1703" customFormat="false" ht="15" hidden="false" customHeight="false" outlineLevel="0" collapsed="false">
      <c r="B1703" s="78"/>
      <c r="C1703" s="64"/>
      <c r="D1703" s="72" t="str">
        <f aca="false">IF(C1703="","",IFERROR(INDEX(T_NOMBRE,MATCH(C1703,T_ID,0)),"⚠ ID no existe"))</f>
        <v/>
      </c>
      <c r="E1703" s="69"/>
      <c r="F1703" s="67"/>
      <c r="G1703" s="67"/>
      <c r="H1703" s="67"/>
      <c r="I1703" s="67"/>
      <c r="J1703" s="67"/>
      <c r="K1703" s="85" t="str">
        <f aca="false">IF(AH1703="","",N(F1703)+N(G1703)+N(H1703)-N(I1703)+N(J1703))</f>
        <v/>
      </c>
      <c r="L1703" s="67"/>
      <c r="M1703" s="67"/>
      <c r="N1703" s="67"/>
      <c r="O1703" s="67"/>
      <c r="P1703" s="85" t="str">
        <f aca="false">IF(AH1703="","",K1703+N(L1703)+N(M1703)+N(N1703)+N(O1703))</f>
        <v/>
      </c>
      <c r="Q1703" s="67"/>
      <c r="R1703" s="67"/>
      <c r="S1703" s="67"/>
      <c r="T1703" s="67"/>
      <c r="U1703" s="67"/>
      <c r="V1703" s="67"/>
      <c r="W1703" s="85" t="str">
        <f aca="false">IF(AH1703="","",N(Q1703)+N(R1703)+N(S1703)+N(T1703)+N(U1703)+N(V1703))</f>
        <v/>
      </c>
      <c r="X1703" s="85" t="str">
        <f aca="false">IF(AH1703="","",P1703-W1703)</f>
        <v/>
      </c>
      <c r="Y1703" s="67"/>
      <c r="Z1703" s="70" t="str">
        <f aca="false">IF(OR(AH1703="",Y1703=""),"",IF(ABS(X1703-Y1703)&lt;=1,"✓ Cuadra","⚠ Diferencia $"&amp;FIXED(X1703-Y1703,0)))</f>
        <v/>
      </c>
      <c r="AA1703" s="72" t="str">
        <f aca="false">IF(AH1703="","",IFERROR(INDEX(C_TIPO,MATCH(C1703&amp;"-P"&amp;MAX(1,COUNTIFS(C_ID,C1703,C_DEFINE,"Sí",C_INICIO,"&lt;="&amp;EOMONTH(B1703,0))),C_CLAVE,0))&amp;"","Sin dato"))</f>
        <v/>
      </c>
      <c r="AB1703" s="71" t="str">
        <f aca="false">IF(AH1703="","",ROUND(MIN(K1703,TOPE_AFP_UF*AJ1703)*AK1703,0))</f>
        <v/>
      </c>
      <c r="AC1703" s="71" t="str">
        <f aca="false">IF(AH1703="","",ROUND(MIN(K1703,TOPE_AFC_UF*AJ1703)*IF(AA1703="Indefinido",AFC_EMP_INDEF,AFC_EMP_PF),0))</f>
        <v/>
      </c>
      <c r="AD1703" s="71" t="str">
        <f aca="false">IF(AH1703="","",ROUND(MIN(K1703,TOPE_AFP_UF*AJ1703)*(MUTUAL_BASICA+MUTUAL_ADIC+SANNA),0))</f>
        <v/>
      </c>
      <c r="AE1703" s="71" t="str">
        <f aca="false">IF(AH1703="","",P1703-N(N1703)+AB1703+AC1703+AD1703)</f>
        <v/>
      </c>
      <c r="AF1703" s="65"/>
      <c r="AG1703" s="64"/>
      <c r="AH1703" s="72" t="str">
        <f aca="false">IF(OR(B1703="",C1703=""),"",C1703&amp;"|"&amp;(YEAR(B1703)*100+MONTH(B1703)))</f>
        <v/>
      </c>
      <c r="AI1703" s="70" t="str">
        <f aca="false">IF(AH1703="","",IF(COUNTIF(L_CLAVE,AH1703)&gt;1,"⚠ Duplicado","OK"))</f>
        <v/>
      </c>
      <c r="AJ1703" s="86" t="str">
        <f aca="false">IF(AH1703="","",IF(SUMPRODUCT(MAX((IND_PER&lt;=B1703)*(IND_UF&lt;&gt;"")*IND_PER))=0,UF_HOY,INDEX(IND_UF,MATCH(SUMPRODUCT(MAX((IND_PER&lt;=B1703)*(IND_UF&lt;&gt;"")*IND_PER)),IND_PER,0))))</f>
        <v/>
      </c>
      <c r="AK1703" s="87" t="str">
        <f aca="false">IF(AH1703="","",IF(COUNTIF(TASA_DESDE,"&lt;="&amp;B1703)=0,INDEX(TASA_EMP,1),INDEX(TASA_EMP,COUNTIF(TASA_DESDE,"&lt;="&amp;B1703))))</f>
        <v/>
      </c>
    </row>
    <row r="1704" customFormat="false" ht="15" hidden="false" customHeight="false" outlineLevel="0" collapsed="false">
      <c r="B1704" s="78"/>
      <c r="C1704" s="64"/>
      <c r="D1704" s="72" t="str">
        <f aca="false">IF(C1704="","",IFERROR(INDEX(T_NOMBRE,MATCH(C1704,T_ID,0)),"⚠ ID no existe"))</f>
        <v/>
      </c>
      <c r="E1704" s="69"/>
      <c r="F1704" s="67"/>
      <c r="G1704" s="67"/>
      <c r="H1704" s="67"/>
      <c r="I1704" s="67"/>
      <c r="J1704" s="67"/>
      <c r="K1704" s="85" t="str">
        <f aca="false">IF(AH1704="","",N(F1704)+N(G1704)+N(H1704)-N(I1704)+N(J1704))</f>
        <v/>
      </c>
      <c r="L1704" s="67"/>
      <c r="M1704" s="67"/>
      <c r="N1704" s="67"/>
      <c r="O1704" s="67"/>
      <c r="P1704" s="85" t="str">
        <f aca="false">IF(AH1704="","",K1704+N(L1704)+N(M1704)+N(N1704)+N(O1704))</f>
        <v/>
      </c>
      <c r="Q1704" s="67"/>
      <c r="R1704" s="67"/>
      <c r="S1704" s="67"/>
      <c r="T1704" s="67"/>
      <c r="U1704" s="67"/>
      <c r="V1704" s="67"/>
      <c r="W1704" s="85" t="str">
        <f aca="false">IF(AH1704="","",N(Q1704)+N(R1704)+N(S1704)+N(T1704)+N(U1704)+N(V1704))</f>
        <v/>
      </c>
      <c r="X1704" s="85" t="str">
        <f aca="false">IF(AH1704="","",P1704-W1704)</f>
        <v/>
      </c>
      <c r="Y1704" s="67"/>
      <c r="Z1704" s="70" t="str">
        <f aca="false">IF(OR(AH1704="",Y1704=""),"",IF(ABS(X1704-Y1704)&lt;=1,"✓ Cuadra","⚠ Diferencia $"&amp;FIXED(X1704-Y1704,0)))</f>
        <v/>
      </c>
      <c r="AA1704" s="72" t="str">
        <f aca="false">IF(AH1704="","",IFERROR(INDEX(C_TIPO,MATCH(C1704&amp;"-P"&amp;MAX(1,COUNTIFS(C_ID,C1704,C_DEFINE,"Sí",C_INICIO,"&lt;="&amp;EOMONTH(B1704,0))),C_CLAVE,0))&amp;"","Sin dato"))</f>
        <v/>
      </c>
      <c r="AB1704" s="71" t="str">
        <f aca="false">IF(AH1704="","",ROUND(MIN(K1704,TOPE_AFP_UF*AJ1704)*AK1704,0))</f>
        <v/>
      </c>
      <c r="AC1704" s="71" t="str">
        <f aca="false">IF(AH1704="","",ROUND(MIN(K1704,TOPE_AFC_UF*AJ1704)*IF(AA1704="Indefinido",AFC_EMP_INDEF,AFC_EMP_PF),0))</f>
        <v/>
      </c>
      <c r="AD1704" s="71" t="str">
        <f aca="false">IF(AH1704="","",ROUND(MIN(K1704,TOPE_AFP_UF*AJ1704)*(MUTUAL_BASICA+MUTUAL_ADIC+SANNA),0))</f>
        <v/>
      </c>
      <c r="AE1704" s="71" t="str">
        <f aca="false">IF(AH1704="","",P1704-N(N1704)+AB1704+AC1704+AD1704)</f>
        <v/>
      </c>
      <c r="AF1704" s="65"/>
      <c r="AG1704" s="64"/>
      <c r="AH1704" s="72" t="str">
        <f aca="false">IF(OR(B1704="",C1704=""),"",C1704&amp;"|"&amp;(YEAR(B1704)*100+MONTH(B1704)))</f>
        <v/>
      </c>
      <c r="AI1704" s="70" t="str">
        <f aca="false">IF(AH1704="","",IF(COUNTIF(L_CLAVE,AH1704)&gt;1,"⚠ Duplicado","OK"))</f>
        <v/>
      </c>
      <c r="AJ1704" s="86" t="str">
        <f aca="false">IF(AH1704="","",IF(SUMPRODUCT(MAX((IND_PER&lt;=B1704)*(IND_UF&lt;&gt;"")*IND_PER))=0,UF_HOY,INDEX(IND_UF,MATCH(SUMPRODUCT(MAX((IND_PER&lt;=B1704)*(IND_UF&lt;&gt;"")*IND_PER)),IND_PER,0))))</f>
        <v/>
      </c>
      <c r="AK1704" s="87" t="str">
        <f aca="false">IF(AH1704="","",IF(COUNTIF(TASA_DESDE,"&lt;="&amp;B1704)=0,INDEX(TASA_EMP,1),INDEX(TASA_EMP,COUNTIF(TASA_DESDE,"&lt;="&amp;B1704))))</f>
        <v/>
      </c>
    </row>
    <row r="1705" customFormat="false" ht="15" hidden="false" customHeight="false" outlineLevel="0" collapsed="false">
      <c r="B1705" s="78"/>
      <c r="C1705" s="64"/>
      <c r="D1705" s="72" t="str">
        <f aca="false">IF(C1705="","",IFERROR(INDEX(T_NOMBRE,MATCH(C1705,T_ID,0)),"⚠ ID no existe"))</f>
        <v/>
      </c>
      <c r="E1705" s="69"/>
      <c r="F1705" s="67"/>
      <c r="G1705" s="67"/>
      <c r="H1705" s="67"/>
      <c r="I1705" s="67"/>
      <c r="J1705" s="67"/>
      <c r="K1705" s="85" t="str">
        <f aca="false">IF(AH1705="","",N(F1705)+N(G1705)+N(H1705)-N(I1705)+N(J1705))</f>
        <v/>
      </c>
      <c r="L1705" s="67"/>
      <c r="M1705" s="67"/>
      <c r="N1705" s="67"/>
      <c r="O1705" s="67"/>
      <c r="P1705" s="85" t="str">
        <f aca="false">IF(AH1705="","",K1705+N(L1705)+N(M1705)+N(N1705)+N(O1705))</f>
        <v/>
      </c>
      <c r="Q1705" s="67"/>
      <c r="R1705" s="67"/>
      <c r="S1705" s="67"/>
      <c r="T1705" s="67"/>
      <c r="U1705" s="67"/>
      <c r="V1705" s="67"/>
      <c r="W1705" s="85" t="str">
        <f aca="false">IF(AH1705="","",N(Q1705)+N(R1705)+N(S1705)+N(T1705)+N(U1705)+N(V1705))</f>
        <v/>
      </c>
      <c r="X1705" s="85" t="str">
        <f aca="false">IF(AH1705="","",P1705-W1705)</f>
        <v/>
      </c>
      <c r="Y1705" s="67"/>
      <c r="Z1705" s="70" t="str">
        <f aca="false">IF(OR(AH1705="",Y1705=""),"",IF(ABS(X1705-Y1705)&lt;=1,"✓ Cuadra","⚠ Diferencia $"&amp;FIXED(X1705-Y1705,0)))</f>
        <v/>
      </c>
      <c r="AA1705" s="72" t="str">
        <f aca="false">IF(AH1705="","",IFERROR(INDEX(C_TIPO,MATCH(C1705&amp;"-P"&amp;MAX(1,COUNTIFS(C_ID,C1705,C_DEFINE,"Sí",C_INICIO,"&lt;="&amp;EOMONTH(B1705,0))),C_CLAVE,0))&amp;"","Sin dato"))</f>
        <v/>
      </c>
      <c r="AB1705" s="71" t="str">
        <f aca="false">IF(AH1705="","",ROUND(MIN(K1705,TOPE_AFP_UF*AJ1705)*AK1705,0))</f>
        <v/>
      </c>
      <c r="AC1705" s="71" t="str">
        <f aca="false">IF(AH1705="","",ROUND(MIN(K1705,TOPE_AFC_UF*AJ1705)*IF(AA1705="Indefinido",AFC_EMP_INDEF,AFC_EMP_PF),0))</f>
        <v/>
      </c>
      <c r="AD1705" s="71" t="str">
        <f aca="false">IF(AH1705="","",ROUND(MIN(K1705,TOPE_AFP_UF*AJ1705)*(MUTUAL_BASICA+MUTUAL_ADIC+SANNA),0))</f>
        <v/>
      </c>
      <c r="AE1705" s="71" t="str">
        <f aca="false">IF(AH1705="","",P1705-N(N1705)+AB1705+AC1705+AD1705)</f>
        <v/>
      </c>
      <c r="AF1705" s="65"/>
      <c r="AG1705" s="64"/>
      <c r="AH1705" s="72" t="str">
        <f aca="false">IF(OR(B1705="",C1705=""),"",C1705&amp;"|"&amp;(YEAR(B1705)*100+MONTH(B1705)))</f>
        <v/>
      </c>
      <c r="AI1705" s="70" t="str">
        <f aca="false">IF(AH1705="","",IF(COUNTIF(L_CLAVE,AH1705)&gt;1,"⚠ Duplicado","OK"))</f>
        <v/>
      </c>
      <c r="AJ1705" s="86" t="str">
        <f aca="false">IF(AH1705="","",IF(SUMPRODUCT(MAX((IND_PER&lt;=B1705)*(IND_UF&lt;&gt;"")*IND_PER))=0,UF_HOY,INDEX(IND_UF,MATCH(SUMPRODUCT(MAX((IND_PER&lt;=B1705)*(IND_UF&lt;&gt;"")*IND_PER)),IND_PER,0))))</f>
        <v/>
      </c>
      <c r="AK1705" s="87" t="str">
        <f aca="false">IF(AH1705="","",IF(COUNTIF(TASA_DESDE,"&lt;="&amp;B1705)=0,INDEX(TASA_EMP,1),INDEX(TASA_EMP,COUNTIF(TASA_DESDE,"&lt;="&amp;B1705))))</f>
        <v/>
      </c>
    </row>
    <row r="1706" customFormat="false" ht="15" hidden="false" customHeight="false" outlineLevel="0" collapsed="false">
      <c r="B1706" s="78"/>
      <c r="C1706" s="64"/>
      <c r="D1706" s="72" t="str">
        <f aca="false">IF(C1706="","",IFERROR(INDEX(T_NOMBRE,MATCH(C1706,T_ID,0)),"⚠ ID no existe"))</f>
        <v/>
      </c>
      <c r="E1706" s="69"/>
      <c r="F1706" s="67"/>
      <c r="G1706" s="67"/>
      <c r="H1706" s="67"/>
      <c r="I1706" s="67"/>
      <c r="J1706" s="67"/>
      <c r="K1706" s="85" t="str">
        <f aca="false">IF(AH1706="","",N(F1706)+N(G1706)+N(H1706)-N(I1706)+N(J1706))</f>
        <v/>
      </c>
      <c r="L1706" s="67"/>
      <c r="M1706" s="67"/>
      <c r="N1706" s="67"/>
      <c r="O1706" s="67"/>
      <c r="P1706" s="85" t="str">
        <f aca="false">IF(AH1706="","",K1706+N(L1706)+N(M1706)+N(N1706)+N(O1706))</f>
        <v/>
      </c>
      <c r="Q1706" s="67"/>
      <c r="R1706" s="67"/>
      <c r="S1706" s="67"/>
      <c r="T1706" s="67"/>
      <c r="U1706" s="67"/>
      <c r="V1706" s="67"/>
      <c r="W1706" s="85" t="str">
        <f aca="false">IF(AH1706="","",N(Q1706)+N(R1706)+N(S1706)+N(T1706)+N(U1706)+N(V1706))</f>
        <v/>
      </c>
      <c r="X1706" s="85" t="str">
        <f aca="false">IF(AH1706="","",P1706-W1706)</f>
        <v/>
      </c>
      <c r="Y1706" s="67"/>
      <c r="Z1706" s="70" t="str">
        <f aca="false">IF(OR(AH1706="",Y1706=""),"",IF(ABS(X1706-Y1706)&lt;=1,"✓ Cuadra","⚠ Diferencia $"&amp;FIXED(X1706-Y1706,0)))</f>
        <v/>
      </c>
      <c r="AA1706" s="72" t="str">
        <f aca="false">IF(AH1706="","",IFERROR(INDEX(C_TIPO,MATCH(C1706&amp;"-P"&amp;MAX(1,COUNTIFS(C_ID,C1706,C_DEFINE,"Sí",C_INICIO,"&lt;="&amp;EOMONTH(B1706,0))),C_CLAVE,0))&amp;"","Sin dato"))</f>
        <v/>
      </c>
      <c r="AB1706" s="71" t="str">
        <f aca="false">IF(AH1706="","",ROUND(MIN(K1706,TOPE_AFP_UF*AJ1706)*AK1706,0))</f>
        <v/>
      </c>
      <c r="AC1706" s="71" t="str">
        <f aca="false">IF(AH1706="","",ROUND(MIN(K1706,TOPE_AFC_UF*AJ1706)*IF(AA1706="Indefinido",AFC_EMP_INDEF,AFC_EMP_PF),0))</f>
        <v/>
      </c>
      <c r="AD1706" s="71" t="str">
        <f aca="false">IF(AH1706="","",ROUND(MIN(K1706,TOPE_AFP_UF*AJ1706)*(MUTUAL_BASICA+MUTUAL_ADIC+SANNA),0))</f>
        <v/>
      </c>
      <c r="AE1706" s="71" t="str">
        <f aca="false">IF(AH1706="","",P1706-N(N1706)+AB1706+AC1706+AD1706)</f>
        <v/>
      </c>
      <c r="AF1706" s="65"/>
      <c r="AG1706" s="64"/>
      <c r="AH1706" s="72" t="str">
        <f aca="false">IF(OR(B1706="",C1706=""),"",C1706&amp;"|"&amp;(YEAR(B1706)*100+MONTH(B1706)))</f>
        <v/>
      </c>
      <c r="AI1706" s="70" t="str">
        <f aca="false">IF(AH1706="","",IF(COUNTIF(L_CLAVE,AH1706)&gt;1,"⚠ Duplicado","OK"))</f>
        <v/>
      </c>
      <c r="AJ1706" s="86" t="str">
        <f aca="false">IF(AH1706="","",IF(SUMPRODUCT(MAX((IND_PER&lt;=B1706)*(IND_UF&lt;&gt;"")*IND_PER))=0,UF_HOY,INDEX(IND_UF,MATCH(SUMPRODUCT(MAX((IND_PER&lt;=B1706)*(IND_UF&lt;&gt;"")*IND_PER)),IND_PER,0))))</f>
        <v/>
      </c>
      <c r="AK1706" s="87" t="str">
        <f aca="false">IF(AH1706="","",IF(COUNTIF(TASA_DESDE,"&lt;="&amp;B1706)=0,INDEX(TASA_EMP,1),INDEX(TASA_EMP,COUNTIF(TASA_DESDE,"&lt;="&amp;B1706))))</f>
        <v/>
      </c>
    </row>
    <row r="1707" customFormat="false" ht="15" hidden="false" customHeight="false" outlineLevel="0" collapsed="false">
      <c r="B1707" s="78"/>
      <c r="C1707" s="64"/>
      <c r="D1707" s="72" t="str">
        <f aca="false">IF(C1707="","",IFERROR(INDEX(T_NOMBRE,MATCH(C1707,T_ID,0)),"⚠ ID no existe"))</f>
        <v/>
      </c>
      <c r="E1707" s="69"/>
      <c r="F1707" s="67"/>
      <c r="G1707" s="67"/>
      <c r="H1707" s="67"/>
      <c r="I1707" s="67"/>
      <c r="J1707" s="67"/>
      <c r="K1707" s="85" t="str">
        <f aca="false">IF(AH1707="","",N(F1707)+N(G1707)+N(H1707)-N(I1707)+N(J1707))</f>
        <v/>
      </c>
      <c r="L1707" s="67"/>
      <c r="M1707" s="67"/>
      <c r="N1707" s="67"/>
      <c r="O1707" s="67"/>
      <c r="P1707" s="85" t="str">
        <f aca="false">IF(AH1707="","",K1707+N(L1707)+N(M1707)+N(N1707)+N(O1707))</f>
        <v/>
      </c>
      <c r="Q1707" s="67"/>
      <c r="R1707" s="67"/>
      <c r="S1707" s="67"/>
      <c r="T1707" s="67"/>
      <c r="U1707" s="67"/>
      <c r="V1707" s="67"/>
      <c r="W1707" s="85" t="str">
        <f aca="false">IF(AH1707="","",N(Q1707)+N(R1707)+N(S1707)+N(T1707)+N(U1707)+N(V1707))</f>
        <v/>
      </c>
      <c r="X1707" s="85" t="str">
        <f aca="false">IF(AH1707="","",P1707-W1707)</f>
        <v/>
      </c>
      <c r="Y1707" s="67"/>
      <c r="Z1707" s="70" t="str">
        <f aca="false">IF(OR(AH1707="",Y1707=""),"",IF(ABS(X1707-Y1707)&lt;=1,"✓ Cuadra","⚠ Diferencia $"&amp;FIXED(X1707-Y1707,0)))</f>
        <v/>
      </c>
      <c r="AA1707" s="72" t="str">
        <f aca="false">IF(AH1707="","",IFERROR(INDEX(C_TIPO,MATCH(C1707&amp;"-P"&amp;MAX(1,COUNTIFS(C_ID,C1707,C_DEFINE,"Sí",C_INICIO,"&lt;="&amp;EOMONTH(B1707,0))),C_CLAVE,0))&amp;"","Sin dato"))</f>
        <v/>
      </c>
      <c r="AB1707" s="71" t="str">
        <f aca="false">IF(AH1707="","",ROUND(MIN(K1707,TOPE_AFP_UF*AJ1707)*AK1707,0))</f>
        <v/>
      </c>
      <c r="AC1707" s="71" t="str">
        <f aca="false">IF(AH1707="","",ROUND(MIN(K1707,TOPE_AFC_UF*AJ1707)*IF(AA1707="Indefinido",AFC_EMP_INDEF,AFC_EMP_PF),0))</f>
        <v/>
      </c>
      <c r="AD1707" s="71" t="str">
        <f aca="false">IF(AH1707="","",ROUND(MIN(K1707,TOPE_AFP_UF*AJ1707)*(MUTUAL_BASICA+MUTUAL_ADIC+SANNA),0))</f>
        <v/>
      </c>
      <c r="AE1707" s="71" t="str">
        <f aca="false">IF(AH1707="","",P1707-N(N1707)+AB1707+AC1707+AD1707)</f>
        <v/>
      </c>
      <c r="AF1707" s="65"/>
      <c r="AG1707" s="64"/>
      <c r="AH1707" s="72" t="str">
        <f aca="false">IF(OR(B1707="",C1707=""),"",C1707&amp;"|"&amp;(YEAR(B1707)*100+MONTH(B1707)))</f>
        <v/>
      </c>
      <c r="AI1707" s="70" t="str">
        <f aca="false">IF(AH1707="","",IF(COUNTIF(L_CLAVE,AH1707)&gt;1,"⚠ Duplicado","OK"))</f>
        <v/>
      </c>
      <c r="AJ1707" s="86" t="str">
        <f aca="false">IF(AH1707="","",IF(SUMPRODUCT(MAX((IND_PER&lt;=B1707)*(IND_UF&lt;&gt;"")*IND_PER))=0,UF_HOY,INDEX(IND_UF,MATCH(SUMPRODUCT(MAX((IND_PER&lt;=B1707)*(IND_UF&lt;&gt;"")*IND_PER)),IND_PER,0))))</f>
        <v/>
      </c>
      <c r="AK1707" s="87" t="str">
        <f aca="false">IF(AH1707="","",IF(COUNTIF(TASA_DESDE,"&lt;="&amp;B1707)=0,INDEX(TASA_EMP,1),INDEX(TASA_EMP,COUNTIF(TASA_DESDE,"&lt;="&amp;B1707))))</f>
        <v/>
      </c>
    </row>
    <row r="1708" customFormat="false" ht="15" hidden="false" customHeight="false" outlineLevel="0" collapsed="false">
      <c r="B1708" s="78"/>
      <c r="C1708" s="64"/>
      <c r="D1708" s="72" t="str">
        <f aca="false">IF(C1708="","",IFERROR(INDEX(T_NOMBRE,MATCH(C1708,T_ID,0)),"⚠ ID no existe"))</f>
        <v/>
      </c>
      <c r="E1708" s="69"/>
      <c r="F1708" s="67"/>
      <c r="G1708" s="67"/>
      <c r="H1708" s="67"/>
      <c r="I1708" s="67"/>
      <c r="J1708" s="67"/>
      <c r="K1708" s="85" t="str">
        <f aca="false">IF(AH1708="","",N(F1708)+N(G1708)+N(H1708)-N(I1708)+N(J1708))</f>
        <v/>
      </c>
      <c r="L1708" s="67"/>
      <c r="M1708" s="67"/>
      <c r="N1708" s="67"/>
      <c r="O1708" s="67"/>
      <c r="P1708" s="85" t="str">
        <f aca="false">IF(AH1708="","",K1708+N(L1708)+N(M1708)+N(N1708)+N(O1708))</f>
        <v/>
      </c>
      <c r="Q1708" s="67"/>
      <c r="R1708" s="67"/>
      <c r="S1708" s="67"/>
      <c r="T1708" s="67"/>
      <c r="U1708" s="67"/>
      <c r="V1708" s="67"/>
      <c r="W1708" s="85" t="str">
        <f aca="false">IF(AH1708="","",N(Q1708)+N(R1708)+N(S1708)+N(T1708)+N(U1708)+N(V1708))</f>
        <v/>
      </c>
      <c r="X1708" s="85" t="str">
        <f aca="false">IF(AH1708="","",P1708-W1708)</f>
        <v/>
      </c>
      <c r="Y1708" s="67"/>
      <c r="Z1708" s="70" t="str">
        <f aca="false">IF(OR(AH1708="",Y1708=""),"",IF(ABS(X1708-Y1708)&lt;=1,"✓ Cuadra","⚠ Diferencia $"&amp;FIXED(X1708-Y1708,0)))</f>
        <v/>
      </c>
      <c r="AA1708" s="72" t="str">
        <f aca="false">IF(AH1708="","",IFERROR(INDEX(C_TIPO,MATCH(C1708&amp;"-P"&amp;MAX(1,COUNTIFS(C_ID,C1708,C_DEFINE,"Sí",C_INICIO,"&lt;="&amp;EOMONTH(B1708,0))),C_CLAVE,0))&amp;"","Sin dato"))</f>
        <v/>
      </c>
      <c r="AB1708" s="71" t="str">
        <f aca="false">IF(AH1708="","",ROUND(MIN(K1708,TOPE_AFP_UF*AJ1708)*AK1708,0))</f>
        <v/>
      </c>
      <c r="AC1708" s="71" t="str">
        <f aca="false">IF(AH1708="","",ROUND(MIN(K1708,TOPE_AFC_UF*AJ1708)*IF(AA1708="Indefinido",AFC_EMP_INDEF,AFC_EMP_PF),0))</f>
        <v/>
      </c>
      <c r="AD1708" s="71" t="str">
        <f aca="false">IF(AH1708="","",ROUND(MIN(K1708,TOPE_AFP_UF*AJ1708)*(MUTUAL_BASICA+MUTUAL_ADIC+SANNA),0))</f>
        <v/>
      </c>
      <c r="AE1708" s="71" t="str">
        <f aca="false">IF(AH1708="","",P1708-N(N1708)+AB1708+AC1708+AD1708)</f>
        <v/>
      </c>
      <c r="AF1708" s="65"/>
      <c r="AG1708" s="64"/>
      <c r="AH1708" s="72" t="str">
        <f aca="false">IF(OR(B1708="",C1708=""),"",C1708&amp;"|"&amp;(YEAR(B1708)*100+MONTH(B1708)))</f>
        <v/>
      </c>
      <c r="AI1708" s="70" t="str">
        <f aca="false">IF(AH1708="","",IF(COUNTIF(L_CLAVE,AH1708)&gt;1,"⚠ Duplicado","OK"))</f>
        <v/>
      </c>
      <c r="AJ1708" s="86" t="str">
        <f aca="false">IF(AH1708="","",IF(SUMPRODUCT(MAX((IND_PER&lt;=B1708)*(IND_UF&lt;&gt;"")*IND_PER))=0,UF_HOY,INDEX(IND_UF,MATCH(SUMPRODUCT(MAX((IND_PER&lt;=B1708)*(IND_UF&lt;&gt;"")*IND_PER)),IND_PER,0))))</f>
        <v/>
      </c>
      <c r="AK1708" s="87" t="str">
        <f aca="false">IF(AH1708="","",IF(COUNTIF(TASA_DESDE,"&lt;="&amp;B1708)=0,INDEX(TASA_EMP,1),INDEX(TASA_EMP,COUNTIF(TASA_DESDE,"&lt;="&amp;B1708))))</f>
        <v/>
      </c>
    </row>
    <row r="1709" customFormat="false" ht="15" hidden="false" customHeight="false" outlineLevel="0" collapsed="false">
      <c r="B1709" s="78"/>
      <c r="C1709" s="64"/>
      <c r="D1709" s="72" t="str">
        <f aca="false">IF(C1709="","",IFERROR(INDEX(T_NOMBRE,MATCH(C1709,T_ID,0)),"⚠ ID no existe"))</f>
        <v/>
      </c>
      <c r="E1709" s="69"/>
      <c r="F1709" s="67"/>
      <c r="G1709" s="67"/>
      <c r="H1709" s="67"/>
      <c r="I1709" s="67"/>
      <c r="J1709" s="67"/>
      <c r="K1709" s="85" t="str">
        <f aca="false">IF(AH1709="","",N(F1709)+N(G1709)+N(H1709)-N(I1709)+N(J1709))</f>
        <v/>
      </c>
      <c r="L1709" s="67"/>
      <c r="M1709" s="67"/>
      <c r="N1709" s="67"/>
      <c r="O1709" s="67"/>
      <c r="P1709" s="85" t="str">
        <f aca="false">IF(AH1709="","",K1709+N(L1709)+N(M1709)+N(N1709)+N(O1709))</f>
        <v/>
      </c>
      <c r="Q1709" s="67"/>
      <c r="R1709" s="67"/>
      <c r="S1709" s="67"/>
      <c r="T1709" s="67"/>
      <c r="U1709" s="67"/>
      <c r="V1709" s="67"/>
      <c r="W1709" s="85" t="str">
        <f aca="false">IF(AH1709="","",N(Q1709)+N(R1709)+N(S1709)+N(T1709)+N(U1709)+N(V1709))</f>
        <v/>
      </c>
      <c r="X1709" s="85" t="str">
        <f aca="false">IF(AH1709="","",P1709-W1709)</f>
        <v/>
      </c>
      <c r="Y1709" s="67"/>
      <c r="Z1709" s="70" t="str">
        <f aca="false">IF(OR(AH1709="",Y1709=""),"",IF(ABS(X1709-Y1709)&lt;=1,"✓ Cuadra","⚠ Diferencia $"&amp;FIXED(X1709-Y1709,0)))</f>
        <v/>
      </c>
      <c r="AA1709" s="72" t="str">
        <f aca="false">IF(AH1709="","",IFERROR(INDEX(C_TIPO,MATCH(C1709&amp;"-P"&amp;MAX(1,COUNTIFS(C_ID,C1709,C_DEFINE,"Sí",C_INICIO,"&lt;="&amp;EOMONTH(B1709,0))),C_CLAVE,0))&amp;"","Sin dato"))</f>
        <v/>
      </c>
      <c r="AB1709" s="71" t="str">
        <f aca="false">IF(AH1709="","",ROUND(MIN(K1709,TOPE_AFP_UF*AJ1709)*AK1709,0))</f>
        <v/>
      </c>
      <c r="AC1709" s="71" t="str">
        <f aca="false">IF(AH1709="","",ROUND(MIN(K1709,TOPE_AFC_UF*AJ1709)*IF(AA1709="Indefinido",AFC_EMP_INDEF,AFC_EMP_PF),0))</f>
        <v/>
      </c>
      <c r="AD1709" s="71" t="str">
        <f aca="false">IF(AH1709="","",ROUND(MIN(K1709,TOPE_AFP_UF*AJ1709)*(MUTUAL_BASICA+MUTUAL_ADIC+SANNA),0))</f>
        <v/>
      </c>
      <c r="AE1709" s="71" t="str">
        <f aca="false">IF(AH1709="","",P1709-N(N1709)+AB1709+AC1709+AD1709)</f>
        <v/>
      </c>
      <c r="AF1709" s="65"/>
      <c r="AG1709" s="64"/>
      <c r="AH1709" s="72" t="str">
        <f aca="false">IF(OR(B1709="",C1709=""),"",C1709&amp;"|"&amp;(YEAR(B1709)*100+MONTH(B1709)))</f>
        <v/>
      </c>
      <c r="AI1709" s="70" t="str">
        <f aca="false">IF(AH1709="","",IF(COUNTIF(L_CLAVE,AH1709)&gt;1,"⚠ Duplicado","OK"))</f>
        <v/>
      </c>
      <c r="AJ1709" s="86" t="str">
        <f aca="false">IF(AH1709="","",IF(SUMPRODUCT(MAX((IND_PER&lt;=B1709)*(IND_UF&lt;&gt;"")*IND_PER))=0,UF_HOY,INDEX(IND_UF,MATCH(SUMPRODUCT(MAX((IND_PER&lt;=B1709)*(IND_UF&lt;&gt;"")*IND_PER)),IND_PER,0))))</f>
        <v/>
      </c>
      <c r="AK1709" s="87" t="str">
        <f aca="false">IF(AH1709="","",IF(COUNTIF(TASA_DESDE,"&lt;="&amp;B1709)=0,INDEX(TASA_EMP,1),INDEX(TASA_EMP,COUNTIF(TASA_DESDE,"&lt;="&amp;B1709))))</f>
        <v/>
      </c>
    </row>
    <row r="1710" customFormat="false" ht="15" hidden="false" customHeight="false" outlineLevel="0" collapsed="false">
      <c r="B1710" s="78"/>
      <c r="C1710" s="64"/>
      <c r="D1710" s="72" t="str">
        <f aca="false">IF(C1710="","",IFERROR(INDEX(T_NOMBRE,MATCH(C1710,T_ID,0)),"⚠ ID no existe"))</f>
        <v/>
      </c>
      <c r="E1710" s="69"/>
      <c r="F1710" s="67"/>
      <c r="G1710" s="67"/>
      <c r="H1710" s="67"/>
      <c r="I1710" s="67"/>
      <c r="J1710" s="67"/>
      <c r="K1710" s="85" t="str">
        <f aca="false">IF(AH1710="","",N(F1710)+N(G1710)+N(H1710)-N(I1710)+N(J1710))</f>
        <v/>
      </c>
      <c r="L1710" s="67"/>
      <c r="M1710" s="67"/>
      <c r="N1710" s="67"/>
      <c r="O1710" s="67"/>
      <c r="P1710" s="85" t="str">
        <f aca="false">IF(AH1710="","",K1710+N(L1710)+N(M1710)+N(N1710)+N(O1710))</f>
        <v/>
      </c>
      <c r="Q1710" s="67"/>
      <c r="R1710" s="67"/>
      <c r="S1710" s="67"/>
      <c r="T1710" s="67"/>
      <c r="U1710" s="67"/>
      <c r="V1710" s="67"/>
      <c r="W1710" s="85" t="str">
        <f aca="false">IF(AH1710="","",N(Q1710)+N(R1710)+N(S1710)+N(T1710)+N(U1710)+N(V1710))</f>
        <v/>
      </c>
      <c r="X1710" s="85" t="str">
        <f aca="false">IF(AH1710="","",P1710-W1710)</f>
        <v/>
      </c>
      <c r="Y1710" s="67"/>
      <c r="Z1710" s="70" t="str">
        <f aca="false">IF(OR(AH1710="",Y1710=""),"",IF(ABS(X1710-Y1710)&lt;=1,"✓ Cuadra","⚠ Diferencia $"&amp;FIXED(X1710-Y1710,0)))</f>
        <v/>
      </c>
      <c r="AA1710" s="72" t="str">
        <f aca="false">IF(AH1710="","",IFERROR(INDEX(C_TIPO,MATCH(C1710&amp;"-P"&amp;MAX(1,COUNTIFS(C_ID,C1710,C_DEFINE,"Sí",C_INICIO,"&lt;="&amp;EOMONTH(B1710,0))),C_CLAVE,0))&amp;"","Sin dato"))</f>
        <v/>
      </c>
      <c r="AB1710" s="71" t="str">
        <f aca="false">IF(AH1710="","",ROUND(MIN(K1710,TOPE_AFP_UF*AJ1710)*AK1710,0))</f>
        <v/>
      </c>
      <c r="AC1710" s="71" t="str">
        <f aca="false">IF(AH1710="","",ROUND(MIN(K1710,TOPE_AFC_UF*AJ1710)*IF(AA1710="Indefinido",AFC_EMP_INDEF,AFC_EMP_PF),0))</f>
        <v/>
      </c>
      <c r="AD1710" s="71" t="str">
        <f aca="false">IF(AH1710="","",ROUND(MIN(K1710,TOPE_AFP_UF*AJ1710)*(MUTUAL_BASICA+MUTUAL_ADIC+SANNA),0))</f>
        <v/>
      </c>
      <c r="AE1710" s="71" t="str">
        <f aca="false">IF(AH1710="","",P1710-N(N1710)+AB1710+AC1710+AD1710)</f>
        <v/>
      </c>
      <c r="AF1710" s="65"/>
      <c r="AG1710" s="64"/>
      <c r="AH1710" s="72" t="str">
        <f aca="false">IF(OR(B1710="",C1710=""),"",C1710&amp;"|"&amp;(YEAR(B1710)*100+MONTH(B1710)))</f>
        <v/>
      </c>
      <c r="AI1710" s="70" t="str">
        <f aca="false">IF(AH1710="","",IF(COUNTIF(L_CLAVE,AH1710)&gt;1,"⚠ Duplicado","OK"))</f>
        <v/>
      </c>
      <c r="AJ1710" s="86" t="str">
        <f aca="false">IF(AH1710="","",IF(SUMPRODUCT(MAX((IND_PER&lt;=B1710)*(IND_UF&lt;&gt;"")*IND_PER))=0,UF_HOY,INDEX(IND_UF,MATCH(SUMPRODUCT(MAX((IND_PER&lt;=B1710)*(IND_UF&lt;&gt;"")*IND_PER)),IND_PER,0))))</f>
        <v/>
      </c>
      <c r="AK1710" s="87" t="str">
        <f aca="false">IF(AH1710="","",IF(COUNTIF(TASA_DESDE,"&lt;="&amp;B1710)=0,INDEX(TASA_EMP,1),INDEX(TASA_EMP,COUNTIF(TASA_DESDE,"&lt;="&amp;B1710))))</f>
        <v/>
      </c>
    </row>
    <row r="1711" customFormat="false" ht="15" hidden="false" customHeight="false" outlineLevel="0" collapsed="false">
      <c r="B1711" s="78"/>
      <c r="C1711" s="64"/>
      <c r="D1711" s="72" t="str">
        <f aca="false">IF(C1711="","",IFERROR(INDEX(T_NOMBRE,MATCH(C1711,T_ID,0)),"⚠ ID no existe"))</f>
        <v/>
      </c>
      <c r="E1711" s="69"/>
      <c r="F1711" s="67"/>
      <c r="G1711" s="67"/>
      <c r="H1711" s="67"/>
      <c r="I1711" s="67"/>
      <c r="J1711" s="67"/>
      <c r="K1711" s="85" t="str">
        <f aca="false">IF(AH1711="","",N(F1711)+N(G1711)+N(H1711)-N(I1711)+N(J1711))</f>
        <v/>
      </c>
      <c r="L1711" s="67"/>
      <c r="M1711" s="67"/>
      <c r="N1711" s="67"/>
      <c r="O1711" s="67"/>
      <c r="P1711" s="85" t="str">
        <f aca="false">IF(AH1711="","",K1711+N(L1711)+N(M1711)+N(N1711)+N(O1711))</f>
        <v/>
      </c>
      <c r="Q1711" s="67"/>
      <c r="R1711" s="67"/>
      <c r="S1711" s="67"/>
      <c r="T1711" s="67"/>
      <c r="U1711" s="67"/>
      <c r="V1711" s="67"/>
      <c r="W1711" s="85" t="str">
        <f aca="false">IF(AH1711="","",N(Q1711)+N(R1711)+N(S1711)+N(T1711)+N(U1711)+N(V1711))</f>
        <v/>
      </c>
      <c r="X1711" s="85" t="str">
        <f aca="false">IF(AH1711="","",P1711-W1711)</f>
        <v/>
      </c>
      <c r="Y1711" s="67"/>
      <c r="Z1711" s="70" t="str">
        <f aca="false">IF(OR(AH1711="",Y1711=""),"",IF(ABS(X1711-Y1711)&lt;=1,"✓ Cuadra","⚠ Diferencia $"&amp;FIXED(X1711-Y1711,0)))</f>
        <v/>
      </c>
      <c r="AA1711" s="72" t="str">
        <f aca="false">IF(AH1711="","",IFERROR(INDEX(C_TIPO,MATCH(C1711&amp;"-P"&amp;MAX(1,COUNTIFS(C_ID,C1711,C_DEFINE,"Sí",C_INICIO,"&lt;="&amp;EOMONTH(B1711,0))),C_CLAVE,0))&amp;"","Sin dato"))</f>
        <v/>
      </c>
      <c r="AB1711" s="71" t="str">
        <f aca="false">IF(AH1711="","",ROUND(MIN(K1711,TOPE_AFP_UF*AJ1711)*AK1711,0))</f>
        <v/>
      </c>
      <c r="AC1711" s="71" t="str">
        <f aca="false">IF(AH1711="","",ROUND(MIN(K1711,TOPE_AFC_UF*AJ1711)*IF(AA1711="Indefinido",AFC_EMP_INDEF,AFC_EMP_PF),0))</f>
        <v/>
      </c>
      <c r="AD1711" s="71" t="str">
        <f aca="false">IF(AH1711="","",ROUND(MIN(K1711,TOPE_AFP_UF*AJ1711)*(MUTUAL_BASICA+MUTUAL_ADIC+SANNA),0))</f>
        <v/>
      </c>
      <c r="AE1711" s="71" t="str">
        <f aca="false">IF(AH1711="","",P1711-N(N1711)+AB1711+AC1711+AD1711)</f>
        <v/>
      </c>
      <c r="AF1711" s="65"/>
      <c r="AG1711" s="64"/>
      <c r="AH1711" s="72" t="str">
        <f aca="false">IF(OR(B1711="",C1711=""),"",C1711&amp;"|"&amp;(YEAR(B1711)*100+MONTH(B1711)))</f>
        <v/>
      </c>
      <c r="AI1711" s="70" t="str">
        <f aca="false">IF(AH1711="","",IF(COUNTIF(L_CLAVE,AH1711)&gt;1,"⚠ Duplicado","OK"))</f>
        <v/>
      </c>
      <c r="AJ1711" s="86" t="str">
        <f aca="false">IF(AH1711="","",IF(SUMPRODUCT(MAX((IND_PER&lt;=B1711)*(IND_UF&lt;&gt;"")*IND_PER))=0,UF_HOY,INDEX(IND_UF,MATCH(SUMPRODUCT(MAX((IND_PER&lt;=B1711)*(IND_UF&lt;&gt;"")*IND_PER)),IND_PER,0))))</f>
        <v/>
      </c>
      <c r="AK1711" s="87" t="str">
        <f aca="false">IF(AH1711="","",IF(COUNTIF(TASA_DESDE,"&lt;="&amp;B1711)=0,INDEX(TASA_EMP,1),INDEX(TASA_EMP,COUNTIF(TASA_DESDE,"&lt;="&amp;B1711))))</f>
        <v/>
      </c>
    </row>
    <row r="1712" customFormat="false" ht="15" hidden="false" customHeight="false" outlineLevel="0" collapsed="false">
      <c r="B1712" s="78"/>
      <c r="C1712" s="64"/>
      <c r="D1712" s="72" t="str">
        <f aca="false">IF(C1712="","",IFERROR(INDEX(T_NOMBRE,MATCH(C1712,T_ID,0)),"⚠ ID no existe"))</f>
        <v/>
      </c>
      <c r="E1712" s="69"/>
      <c r="F1712" s="67"/>
      <c r="G1712" s="67"/>
      <c r="H1712" s="67"/>
      <c r="I1712" s="67"/>
      <c r="J1712" s="67"/>
      <c r="K1712" s="85" t="str">
        <f aca="false">IF(AH1712="","",N(F1712)+N(G1712)+N(H1712)-N(I1712)+N(J1712))</f>
        <v/>
      </c>
      <c r="L1712" s="67"/>
      <c r="M1712" s="67"/>
      <c r="N1712" s="67"/>
      <c r="O1712" s="67"/>
      <c r="P1712" s="85" t="str">
        <f aca="false">IF(AH1712="","",K1712+N(L1712)+N(M1712)+N(N1712)+N(O1712))</f>
        <v/>
      </c>
      <c r="Q1712" s="67"/>
      <c r="R1712" s="67"/>
      <c r="S1712" s="67"/>
      <c r="T1712" s="67"/>
      <c r="U1712" s="67"/>
      <c r="V1712" s="67"/>
      <c r="W1712" s="85" t="str">
        <f aca="false">IF(AH1712="","",N(Q1712)+N(R1712)+N(S1712)+N(T1712)+N(U1712)+N(V1712))</f>
        <v/>
      </c>
      <c r="X1712" s="85" t="str">
        <f aca="false">IF(AH1712="","",P1712-W1712)</f>
        <v/>
      </c>
      <c r="Y1712" s="67"/>
      <c r="Z1712" s="70" t="str">
        <f aca="false">IF(OR(AH1712="",Y1712=""),"",IF(ABS(X1712-Y1712)&lt;=1,"✓ Cuadra","⚠ Diferencia $"&amp;FIXED(X1712-Y1712,0)))</f>
        <v/>
      </c>
      <c r="AA1712" s="72" t="str">
        <f aca="false">IF(AH1712="","",IFERROR(INDEX(C_TIPO,MATCH(C1712&amp;"-P"&amp;MAX(1,COUNTIFS(C_ID,C1712,C_DEFINE,"Sí",C_INICIO,"&lt;="&amp;EOMONTH(B1712,0))),C_CLAVE,0))&amp;"","Sin dato"))</f>
        <v/>
      </c>
      <c r="AB1712" s="71" t="str">
        <f aca="false">IF(AH1712="","",ROUND(MIN(K1712,TOPE_AFP_UF*AJ1712)*AK1712,0))</f>
        <v/>
      </c>
      <c r="AC1712" s="71" t="str">
        <f aca="false">IF(AH1712="","",ROUND(MIN(K1712,TOPE_AFC_UF*AJ1712)*IF(AA1712="Indefinido",AFC_EMP_INDEF,AFC_EMP_PF),0))</f>
        <v/>
      </c>
      <c r="AD1712" s="71" t="str">
        <f aca="false">IF(AH1712="","",ROUND(MIN(K1712,TOPE_AFP_UF*AJ1712)*(MUTUAL_BASICA+MUTUAL_ADIC+SANNA),0))</f>
        <v/>
      </c>
      <c r="AE1712" s="71" t="str">
        <f aca="false">IF(AH1712="","",P1712-N(N1712)+AB1712+AC1712+AD1712)</f>
        <v/>
      </c>
      <c r="AF1712" s="65"/>
      <c r="AG1712" s="64"/>
      <c r="AH1712" s="72" t="str">
        <f aca="false">IF(OR(B1712="",C1712=""),"",C1712&amp;"|"&amp;(YEAR(B1712)*100+MONTH(B1712)))</f>
        <v/>
      </c>
      <c r="AI1712" s="70" t="str">
        <f aca="false">IF(AH1712="","",IF(COUNTIF(L_CLAVE,AH1712)&gt;1,"⚠ Duplicado","OK"))</f>
        <v/>
      </c>
      <c r="AJ1712" s="86" t="str">
        <f aca="false">IF(AH1712="","",IF(SUMPRODUCT(MAX((IND_PER&lt;=B1712)*(IND_UF&lt;&gt;"")*IND_PER))=0,UF_HOY,INDEX(IND_UF,MATCH(SUMPRODUCT(MAX((IND_PER&lt;=B1712)*(IND_UF&lt;&gt;"")*IND_PER)),IND_PER,0))))</f>
        <v/>
      </c>
      <c r="AK1712" s="87" t="str">
        <f aca="false">IF(AH1712="","",IF(COUNTIF(TASA_DESDE,"&lt;="&amp;B1712)=0,INDEX(TASA_EMP,1),INDEX(TASA_EMP,COUNTIF(TASA_DESDE,"&lt;="&amp;B1712))))</f>
        <v/>
      </c>
    </row>
    <row r="1713" customFormat="false" ht="15" hidden="false" customHeight="false" outlineLevel="0" collapsed="false">
      <c r="B1713" s="78"/>
      <c r="C1713" s="64"/>
      <c r="D1713" s="72" t="str">
        <f aca="false">IF(C1713="","",IFERROR(INDEX(T_NOMBRE,MATCH(C1713,T_ID,0)),"⚠ ID no existe"))</f>
        <v/>
      </c>
      <c r="E1713" s="69"/>
      <c r="F1713" s="67"/>
      <c r="G1713" s="67"/>
      <c r="H1713" s="67"/>
      <c r="I1713" s="67"/>
      <c r="J1713" s="67"/>
      <c r="K1713" s="85" t="str">
        <f aca="false">IF(AH1713="","",N(F1713)+N(G1713)+N(H1713)-N(I1713)+N(J1713))</f>
        <v/>
      </c>
      <c r="L1713" s="67"/>
      <c r="M1713" s="67"/>
      <c r="N1713" s="67"/>
      <c r="O1713" s="67"/>
      <c r="P1713" s="85" t="str">
        <f aca="false">IF(AH1713="","",K1713+N(L1713)+N(M1713)+N(N1713)+N(O1713))</f>
        <v/>
      </c>
      <c r="Q1713" s="67"/>
      <c r="R1713" s="67"/>
      <c r="S1713" s="67"/>
      <c r="T1713" s="67"/>
      <c r="U1713" s="67"/>
      <c r="V1713" s="67"/>
      <c r="W1713" s="85" t="str">
        <f aca="false">IF(AH1713="","",N(Q1713)+N(R1713)+N(S1713)+N(T1713)+N(U1713)+N(V1713))</f>
        <v/>
      </c>
      <c r="X1713" s="85" t="str">
        <f aca="false">IF(AH1713="","",P1713-W1713)</f>
        <v/>
      </c>
      <c r="Y1713" s="67"/>
      <c r="Z1713" s="70" t="str">
        <f aca="false">IF(OR(AH1713="",Y1713=""),"",IF(ABS(X1713-Y1713)&lt;=1,"✓ Cuadra","⚠ Diferencia $"&amp;FIXED(X1713-Y1713,0)))</f>
        <v/>
      </c>
      <c r="AA1713" s="72" t="str">
        <f aca="false">IF(AH1713="","",IFERROR(INDEX(C_TIPO,MATCH(C1713&amp;"-P"&amp;MAX(1,COUNTIFS(C_ID,C1713,C_DEFINE,"Sí",C_INICIO,"&lt;="&amp;EOMONTH(B1713,0))),C_CLAVE,0))&amp;"","Sin dato"))</f>
        <v/>
      </c>
      <c r="AB1713" s="71" t="str">
        <f aca="false">IF(AH1713="","",ROUND(MIN(K1713,TOPE_AFP_UF*AJ1713)*AK1713,0))</f>
        <v/>
      </c>
      <c r="AC1713" s="71" t="str">
        <f aca="false">IF(AH1713="","",ROUND(MIN(K1713,TOPE_AFC_UF*AJ1713)*IF(AA1713="Indefinido",AFC_EMP_INDEF,AFC_EMP_PF),0))</f>
        <v/>
      </c>
      <c r="AD1713" s="71" t="str">
        <f aca="false">IF(AH1713="","",ROUND(MIN(K1713,TOPE_AFP_UF*AJ1713)*(MUTUAL_BASICA+MUTUAL_ADIC+SANNA),0))</f>
        <v/>
      </c>
      <c r="AE1713" s="71" t="str">
        <f aca="false">IF(AH1713="","",P1713-N(N1713)+AB1713+AC1713+AD1713)</f>
        <v/>
      </c>
      <c r="AF1713" s="65"/>
      <c r="AG1713" s="64"/>
      <c r="AH1713" s="72" t="str">
        <f aca="false">IF(OR(B1713="",C1713=""),"",C1713&amp;"|"&amp;(YEAR(B1713)*100+MONTH(B1713)))</f>
        <v/>
      </c>
      <c r="AI1713" s="70" t="str">
        <f aca="false">IF(AH1713="","",IF(COUNTIF(L_CLAVE,AH1713)&gt;1,"⚠ Duplicado","OK"))</f>
        <v/>
      </c>
      <c r="AJ1713" s="86" t="str">
        <f aca="false">IF(AH1713="","",IF(SUMPRODUCT(MAX((IND_PER&lt;=B1713)*(IND_UF&lt;&gt;"")*IND_PER))=0,UF_HOY,INDEX(IND_UF,MATCH(SUMPRODUCT(MAX((IND_PER&lt;=B1713)*(IND_UF&lt;&gt;"")*IND_PER)),IND_PER,0))))</f>
        <v/>
      </c>
      <c r="AK1713" s="87" t="str">
        <f aca="false">IF(AH1713="","",IF(COUNTIF(TASA_DESDE,"&lt;="&amp;B1713)=0,INDEX(TASA_EMP,1),INDEX(TASA_EMP,COUNTIF(TASA_DESDE,"&lt;="&amp;B1713))))</f>
        <v/>
      </c>
    </row>
    <row r="1714" customFormat="false" ht="15" hidden="false" customHeight="false" outlineLevel="0" collapsed="false">
      <c r="B1714" s="78"/>
      <c r="C1714" s="64"/>
      <c r="D1714" s="72" t="str">
        <f aca="false">IF(C1714="","",IFERROR(INDEX(T_NOMBRE,MATCH(C1714,T_ID,0)),"⚠ ID no existe"))</f>
        <v/>
      </c>
      <c r="E1714" s="69"/>
      <c r="F1714" s="67"/>
      <c r="G1714" s="67"/>
      <c r="H1714" s="67"/>
      <c r="I1714" s="67"/>
      <c r="J1714" s="67"/>
      <c r="K1714" s="85" t="str">
        <f aca="false">IF(AH1714="","",N(F1714)+N(G1714)+N(H1714)-N(I1714)+N(J1714))</f>
        <v/>
      </c>
      <c r="L1714" s="67"/>
      <c r="M1714" s="67"/>
      <c r="N1714" s="67"/>
      <c r="O1714" s="67"/>
      <c r="P1714" s="85" t="str">
        <f aca="false">IF(AH1714="","",K1714+N(L1714)+N(M1714)+N(N1714)+N(O1714))</f>
        <v/>
      </c>
      <c r="Q1714" s="67"/>
      <c r="R1714" s="67"/>
      <c r="S1714" s="67"/>
      <c r="T1714" s="67"/>
      <c r="U1714" s="67"/>
      <c r="V1714" s="67"/>
      <c r="W1714" s="85" t="str">
        <f aca="false">IF(AH1714="","",N(Q1714)+N(R1714)+N(S1714)+N(T1714)+N(U1714)+N(V1714))</f>
        <v/>
      </c>
      <c r="X1714" s="85" t="str">
        <f aca="false">IF(AH1714="","",P1714-W1714)</f>
        <v/>
      </c>
      <c r="Y1714" s="67"/>
      <c r="Z1714" s="70" t="str">
        <f aca="false">IF(OR(AH1714="",Y1714=""),"",IF(ABS(X1714-Y1714)&lt;=1,"✓ Cuadra","⚠ Diferencia $"&amp;FIXED(X1714-Y1714,0)))</f>
        <v/>
      </c>
      <c r="AA1714" s="72" t="str">
        <f aca="false">IF(AH1714="","",IFERROR(INDEX(C_TIPO,MATCH(C1714&amp;"-P"&amp;MAX(1,COUNTIFS(C_ID,C1714,C_DEFINE,"Sí",C_INICIO,"&lt;="&amp;EOMONTH(B1714,0))),C_CLAVE,0))&amp;"","Sin dato"))</f>
        <v/>
      </c>
      <c r="AB1714" s="71" t="str">
        <f aca="false">IF(AH1714="","",ROUND(MIN(K1714,TOPE_AFP_UF*AJ1714)*AK1714,0))</f>
        <v/>
      </c>
      <c r="AC1714" s="71" t="str">
        <f aca="false">IF(AH1714="","",ROUND(MIN(K1714,TOPE_AFC_UF*AJ1714)*IF(AA1714="Indefinido",AFC_EMP_INDEF,AFC_EMP_PF),0))</f>
        <v/>
      </c>
      <c r="AD1714" s="71" t="str">
        <f aca="false">IF(AH1714="","",ROUND(MIN(K1714,TOPE_AFP_UF*AJ1714)*(MUTUAL_BASICA+MUTUAL_ADIC+SANNA),0))</f>
        <v/>
      </c>
      <c r="AE1714" s="71" t="str">
        <f aca="false">IF(AH1714="","",P1714-N(N1714)+AB1714+AC1714+AD1714)</f>
        <v/>
      </c>
      <c r="AF1714" s="65"/>
      <c r="AG1714" s="64"/>
      <c r="AH1714" s="72" t="str">
        <f aca="false">IF(OR(B1714="",C1714=""),"",C1714&amp;"|"&amp;(YEAR(B1714)*100+MONTH(B1714)))</f>
        <v/>
      </c>
      <c r="AI1714" s="70" t="str">
        <f aca="false">IF(AH1714="","",IF(COUNTIF(L_CLAVE,AH1714)&gt;1,"⚠ Duplicado","OK"))</f>
        <v/>
      </c>
      <c r="AJ1714" s="86" t="str">
        <f aca="false">IF(AH1714="","",IF(SUMPRODUCT(MAX((IND_PER&lt;=B1714)*(IND_UF&lt;&gt;"")*IND_PER))=0,UF_HOY,INDEX(IND_UF,MATCH(SUMPRODUCT(MAX((IND_PER&lt;=B1714)*(IND_UF&lt;&gt;"")*IND_PER)),IND_PER,0))))</f>
        <v/>
      </c>
      <c r="AK1714" s="87" t="str">
        <f aca="false">IF(AH1714="","",IF(COUNTIF(TASA_DESDE,"&lt;="&amp;B1714)=0,INDEX(TASA_EMP,1),INDEX(TASA_EMP,COUNTIF(TASA_DESDE,"&lt;="&amp;B1714))))</f>
        <v/>
      </c>
    </row>
    <row r="1715" customFormat="false" ht="15" hidden="false" customHeight="false" outlineLevel="0" collapsed="false">
      <c r="B1715" s="78"/>
      <c r="C1715" s="64"/>
      <c r="D1715" s="72" t="str">
        <f aca="false">IF(C1715="","",IFERROR(INDEX(T_NOMBRE,MATCH(C1715,T_ID,0)),"⚠ ID no existe"))</f>
        <v/>
      </c>
      <c r="E1715" s="69"/>
      <c r="F1715" s="67"/>
      <c r="G1715" s="67"/>
      <c r="H1715" s="67"/>
      <c r="I1715" s="67"/>
      <c r="J1715" s="67"/>
      <c r="K1715" s="85" t="str">
        <f aca="false">IF(AH1715="","",N(F1715)+N(G1715)+N(H1715)-N(I1715)+N(J1715))</f>
        <v/>
      </c>
      <c r="L1715" s="67"/>
      <c r="M1715" s="67"/>
      <c r="N1715" s="67"/>
      <c r="O1715" s="67"/>
      <c r="P1715" s="85" t="str">
        <f aca="false">IF(AH1715="","",K1715+N(L1715)+N(M1715)+N(N1715)+N(O1715))</f>
        <v/>
      </c>
      <c r="Q1715" s="67"/>
      <c r="R1715" s="67"/>
      <c r="S1715" s="67"/>
      <c r="T1715" s="67"/>
      <c r="U1715" s="67"/>
      <c r="V1715" s="67"/>
      <c r="W1715" s="85" t="str">
        <f aca="false">IF(AH1715="","",N(Q1715)+N(R1715)+N(S1715)+N(T1715)+N(U1715)+N(V1715))</f>
        <v/>
      </c>
      <c r="X1715" s="85" t="str">
        <f aca="false">IF(AH1715="","",P1715-W1715)</f>
        <v/>
      </c>
      <c r="Y1715" s="67"/>
      <c r="Z1715" s="70" t="str">
        <f aca="false">IF(OR(AH1715="",Y1715=""),"",IF(ABS(X1715-Y1715)&lt;=1,"✓ Cuadra","⚠ Diferencia $"&amp;FIXED(X1715-Y1715,0)))</f>
        <v/>
      </c>
      <c r="AA1715" s="72" t="str">
        <f aca="false">IF(AH1715="","",IFERROR(INDEX(C_TIPO,MATCH(C1715&amp;"-P"&amp;MAX(1,COUNTIFS(C_ID,C1715,C_DEFINE,"Sí",C_INICIO,"&lt;="&amp;EOMONTH(B1715,0))),C_CLAVE,0))&amp;"","Sin dato"))</f>
        <v/>
      </c>
      <c r="AB1715" s="71" t="str">
        <f aca="false">IF(AH1715="","",ROUND(MIN(K1715,TOPE_AFP_UF*AJ1715)*AK1715,0))</f>
        <v/>
      </c>
      <c r="AC1715" s="71" t="str">
        <f aca="false">IF(AH1715="","",ROUND(MIN(K1715,TOPE_AFC_UF*AJ1715)*IF(AA1715="Indefinido",AFC_EMP_INDEF,AFC_EMP_PF),0))</f>
        <v/>
      </c>
      <c r="AD1715" s="71" t="str">
        <f aca="false">IF(AH1715="","",ROUND(MIN(K1715,TOPE_AFP_UF*AJ1715)*(MUTUAL_BASICA+MUTUAL_ADIC+SANNA),0))</f>
        <v/>
      </c>
      <c r="AE1715" s="71" t="str">
        <f aca="false">IF(AH1715="","",P1715-N(N1715)+AB1715+AC1715+AD1715)</f>
        <v/>
      </c>
      <c r="AF1715" s="65"/>
      <c r="AG1715" s="64"/>
      <c r="AH1715" s="72" t="str">
        <f aca="false">IF(OR(B1715="",C1715=""),"",C1715&amp;"|"&amp;(YEAR(B1715)*100+MONTH(B1715)))</f>
        <v/>
      </c>
      <c r="AI1715" s="70" t="str">
        <f aca="false">IF(AH1715="","",IF(COUNTIF(L_CLAVE,AH1715)&gt;1,"⚠ Duplicado","OK"))</f>
        <v/>
      </c>
      <c r="AJ1715" s="86" t="str">
        <f aca="false">IF(AH1715="","",IF(SUMPRODUCT(MAX((IND_PER&lt;=B1715)*(IND_UF&lt;&gt;"")*IND_PER))=0,UF_HOY,INDEX(IND_UF,MATCH(SUMPRODUCT(MAX((IND_PER&lt;=B1715)*(IND_UF&lt;&gt;"")*IND_PER)),IND_PER,0))))</f>
        <v/>
      </c>
      <c r="AK1715" s="87" t="str">
        <f aca="false">IF(AH1715="","",IF(COUNTIF(TASA_DESDE,"&lt;="&amp;B1715)=0,INDEX(TASA_EMP,1),INDEX(TASA_EMP,COUNTIF(TASA_DESDE,"&lt;="&amp;B1715))))</f>
        <v/>
      </c>
    </row>
    <row r="1716" customFormat="false" ht="15" hidden="false" customHeight="false" outlineLevel="0" collapsed="false">
      <c r="B1716" s="78"/>
      <c r="C1716" s="64"/>
      <c r="D1716" s="72" t="str">
        <f aca="false">IF(C1716="","",IFERROR(INDEX(T_NOMBRE,MATCH(C1716,T_ID,0)),"⚠ ID no existe"))</f>
        <v/>
      </c>
      <c r="E1716" s="69"/>
      <c r="F1716" s="67"/>
      <c r="G1716" s="67"/>
      <c r="H1716" s="67"/>
      <c r="I1716" s="67"/>
      <c r="J1716" s="67"/>
      <c r="K1716" s="85" t="str">
        <f aca="false">IF(AH1716="","",N(F1716)+N(G1716)+N(H1716)-N(I1716)+N(J1716))</f>
        <v/>
      </c>
      <c r="L1716" s="67"/>
      <c r="M1716" s="67"/>
      <c r="N1716" s="67"/>
      <c r="O1716" s="67"/>
      <c r="P1716" s="85" t="str">
        <f aca="false">IF(AH1716="","",K1716+N(L1716)+N(M1716)+N(N1716)+N(O1716))</f>
        <v/>
      </c>
      <c r="Q1716" s="67"/>
      <c r="R1716" s="67"/>
      <c r="S1716" s="67"/>
      <c r="T1716" s="67"/>
      <c r="U1716" s="67"/>
      <c r="V1716" s="67"/>
      <c r="W1716" s="85" t="str">
        <f aca="false">IF(AH1716="","",N(Q1716)+N(R1716)+N(S1716)+N(T1716)+N(U1716)+N(V1716))</f>
        <v/>
      </c>
      <c r="X1716" s="85" t="str">
        <f aca="false">IF(AH1716="","",P1716-W1716)</f>
        <v/>
      </c>
      <c r="Y1716" s="67"/>
      <c r="Z1716" s="70" t="str">
        <f aca="false">IF(OR(AH1716="",Y1716=""),"",IF(ABS(X1716-Y1716)&lt;=1,"✓ Cuadra","⚠ Diferencia $"&amp;FIXED(X1716-Y1716,0)))</f>
        <v/>
      </c>
      <c r="AA1716" s="72" t="str">
        <f aca="false">IF(AH1716="","",IFERROR(INDEX(C_TIPO,MATCH(C1716&amp;"-P"&amp;MAX(1,COUNTIFS(C_ID,C1716,C_DEFINE,"Sí",C_INICIO,"&lt;="&amp;EOMONTH(B1716,0))),C_CLAVE,0))&amp;"","Sin dato"))</f>
        <v/>
      </c>
      <c r="AB1716" s="71" t="str">
        <f aca="false">IF(AH1716="","",ROUND(MIN(K1716,TOPE_AFP_UF*AJ1716)*AK1716,0))</f>
        <v/>
      </c>
      <c r="AC1716" s="71" t="str">
        <f aca="false">IF(AH1716="","",ROUND(MIN(K1716,TOPE_AFC_UF*AJ1716)*IF(AA1716="Indefinido",AFC_EMP_INDEF,AFC_EMP_PF),0))</f>
        <v/>
      </c>
      <c r="AD1716" s="71" t="str">
        <f aca="false">IF(AH1716="","",ROUND(MIN(K1716,TOPE_AFP_UF*AJ1716)*(MUTUAL_BASICA+MUTUAL_ADIC+SANNA),0))</f>
        <v/>
      </c>
      <c r="AE1716" s="71" t="str">
        <f aca="false">IF(AH1716="","",P1716-N(N1716)+AB1716+AC1716+AD1716)</f>
        <v/>
      </c>
      <c r="AF1716" s="65"/>
      <c r="AG1716" s="64"/>
      <c r="AH1716" s="72" t="str">
        <f aca="false">IF(OR(B1716="",C1716=""),"",C1716&amp;"|"&amp;(YEAR(B1716)*100+MONTH(B1716)))</f>
        <v/>
      </c>
      <c r="AI1716" s="70" t="str">
        <f aca="false">IF(AH1716="","",IF(COUNTIF(L_CLAVE,AH1716)&gt;1,"⚠ Duplicado","OK"))</f>
        <v/>
      </c>
      <c r="AJ1716" s="86" t="str">
        <f aca="false">IF(AH1716="","",IF(SUMPRODUCT(MAX((IND_PER&lt;=B1716)*(IND_UF&lt;&gt;"")*IND_PER))=0,UF_HOY,INDEX(IND_UF,MATCH(SUMPRODUCT(MAX((IND_PER&lt;=B1716)*(IND_UF&lt;&gt;"")*IND_PER)),IND_PER,0))))</f>
        <v/>
      </c>
      <c r="AK1716" s="87" t="str">
        <f aca="false">IF(AH1716="","",IF(COUNTIF(TASA_DESDE,"&lt;="&amp;B1716)=0,INDEX(TASA_EMP,1),INDEX(TASA_EMP,COUNTIF(TASA_DESDE,"&lt;="&amp;B1716))))</f>
        <v/>
      </c>
    </row>
    <row r="1717" customFormat="false" ht="15" hidden="false" customHeight="false" outlineLevel="0" collapsed="false">
      <c r="B1717" s="78"/>
      <c r="C1717" s="64"/>
      <c r="D1717" s="72" t="str">
        <f aca="false">IF(C1717="","",IFERROR(INDEX(T_NOMBRE,MATCH(C1717,T_ID,0)),"⚠ ID no existe"))</f>
        <v/>
      </c>
      <c r="E1717" s="69"/>
      <c r="F1717" s="67"/>
      <c r="G1717" s="67"/>
      <c r="H1717" s="67"/>
      <c r="I1717" s="67"/>
      <c r="J1717" s="67"/>
      <c r="K1717" s="85" t="str">
        <f aca="false">IF(AH1717="","",N(F1717)+N(G1717)+N(H1717)-N(I1717)+N(J1717))</f>
        <v/>
      </c>
      <c r="L1717" s="67"/>
      <c r="M1717" s="67"/>
      <c r="N1717" s="67"/>
      <c r="O1717" s="67"/>
      <c r="P1717" s="85" t="str">
        <f aca="false">IF(AH1717="","",K1717+N(L1717)+N(M1717)+N(N1717)+N(O1717))</f>
        <v/>
      </c>
      <c r="Q1717" s="67"/>
      <c r="R1717" s="67"/>
      <c r="S1717" s="67"/>
      <c r="T1717" s="67"/>
      <c r="U1717" s="67"/>
      <c r="V1717" s="67"/>
      <c r="W1717" s="85" t="str">
        <f aca="false">IF(AH1717="","",N(Q1717)+N(R1717)+N(S1717)+N(T1717)+N(U1717)+N(V1717))</f>
        <v/>
      </c>
      <c r="X1717" s="85" t="str">
        <f aca="false">IF(AH1717="","",P1717-W1717)</f>
        <v/>
      </c>
      <c r="Y1717" s="67"/>
      <c r="Z1717" s="70" t="str">
        <f aca="false">IF(OR(AH1717="",Y1717=""),"",IF(ABS(X1717-Y1717)&lt;=1,"✓ Cuadra","⚠ Diferencia $"&amp;FIXED(X1717-Y1717,0)))</f>
        <v/>
      </c>
      <c r="AA1717" s="72" t="str">
        <f aca="false">IF(AH1717="","",IFERROR(INDEX(C_TIPO,MATCH(C1717&amp;"-P"&amp;MAX(1,COUNTIFS(C_ID,C1717,C_DEFINE,"Sí",C_INICIO,"&lt;="&amp;EOMONTH(B1717,0))),C_CLAVE,0))&amp;"","Sin dato"))</f>
        <v/>
      </c>
      <c r="AB1717" s="71" t="str">
        <f aca="false">IF(AH1717="","",ROUND(MIN(K1717,TOPE_AFP_UF*AJ1717)*AK1717,0))</f>
        <v/>
      </c>
      <c r="AC1717" s="71" t="str">
        <f aca="false">IF(AH1717="","",ROUND(MIN(K1717,TOPE_AFC_UF*AJ1717)*IF(AA1717="Indefinido",AFC_EMP_INDEF,AFC_EMP_PF),0))</f>
        <v/>
      </c>
      <c r="AD1717" s="71" t="str">
        <f aca="false">IF(AH1717="","",ROUND(MIN(K1717,TOPE_AFP_UF*AJ1717)*(MUTUAL_BASICA+MUTUAL_ADIC+SANNA),0))</f>
        <v/>
      </c>
      <c r="AE1717" s="71" t="str">
        <f aca="false">IF(AH1717="","",P1717-N(N1717)+AB1717+AC1717+AD1717)</f>
        <v/>
      </c>
      <c r="AF1717" s="65"/>
      <c r="AG1717" s="64"/>
      <c r="AH1717" s="72" t="str">
        <f aca="false">IF(OR(B1717="",C1717=""),"",C1717&amp;"|"&amp;(YEAR(B1717)*100+MONTH(B1717)))</f>
        <v/>
      </c>
      <c r="AI1717" s="70" t="str">
        <f aca="false">IF(AH1717="","",IF(COUNTIF(L_CLAVE,AH1717)&gt;1,"⚠ Duplicado","OK"))</f>
        <v/>
      </c>
      <c r="AJ1717" s="86" t="str">
        <f aca="false">IF(AH1717="","",IF(SUMPRODUCT(MAX((IND_PER&lt;=B1717)*(IND_UF&lt;&gt;"")*IND_PER))=0,UF_HOY,INDEX(IND_UF,MATCH(SUMPRODUCT(MAX((IND_PER&lt;=B1717)*(IND_UF&lt;&gt;"")*IND_PER)),IND_PER,0))))</f>
        <v/>
      </c>
      <c r="AK1717" s="87" t="str">
        <f aca="false">IF(AH1717="","",IF(COUNTIF(TASA_DESDE,"&lt;="&amp;B1717)=0,INDEX(TASA_EMP,1),INDEX(TASA_EMP,COUNTIF(TASA_DESDE,"&lt;="&amp;B1717))))</f>
        <v/>
      </c>
    </row>
    <row r="1718" customFormat="false" ht="15" hidden="false" customHeight="false" outlineLevel="0" collapsed="false">
      <c r="B1718" s="78"/>
      <c r="C1718" s="64"/>
      <c r="D1718" s="72" t="str">
        <f aca="false">IF(C1718="","",IFERROR(INDEX(T_NOMBRE,MATCH(C1718,T_ID,0)),"⚠ ID no existe"))</f>
        <v/>
      </c>
      <c r="E1718" s="69"/>
      <c r="F1718" s="67"/>
      <c r="G1718" s="67"/>
      <c r="H1718" s="67"/>
      <c r="I1718" s="67"/>
      <c r="J1718" s="67"/>
      <c r="K1718" s="85" t="str">
        <f aca="false">IF(AH1718="","",N(F1718)+N(G1718)+N(H1718)-N(I1718)+N(J1718))</f>
        <v/>
      </c>
      <c r="L1718" s="67"/>
      <c r="M1718" s="67"/>
      <c r="N1718" s="67"/>
      <c r="O1718" s="67"/>
      <c r="P1718" s="85" t="str">
        <f aca="false">IF(AH1718="","",K1718+N(L1718)+N(M1718)+N(N1718)+N(O1718))</f>
        <v/>
      </c>
      <c r="Q1718" s="67"/>
      <c r="R1718" s="67"/>
      <c r="S1718" s="67"/>
      <c r="T1718" s="67"/>
      <c r="U1718" s="67"/>
      <c r="V1718" s="67"/>
      <c r="W1718" s="85" t="str">
        <f aca="false">IF(AH1718="","",N(Q1718)+N(R1718)+N(S1718)+N(T1718)+N(U1718)+N(V1718))</f>
        <v/>
      </c>
      <c r="X1718" s="85" t="str">
        <f aca="false">IF(AH1718="","",P1718-W1718)</f>
        <v/>
      </c>
      <c r="Y1718" s="67"/>
      <c r="Z1718" s="70" t="str">
        <f aca="false">IF(OR(AH1718="",Y1718=""),"",IF(ABS(X1718-Y1718)&lt;=1,"✓ Cuadra","⚠ Diferencia $"&amp;FIXED(X1718-Y1718,0)))</f>
        <v/>
      </c>
      <c r="AA1718" s="72" t="str">
        <f aca="false">IF(AH1718="","",IFERROR(INDEX(C_TIPO,MATCH(C1718&amp;"-P"&amp;MAX(1,COUNTIFS(C_ID,C1718,C_DEFINE,"Sí",C_INICIO,"&lt;="&amp;EOMONTH(B1718,0))),C_CLAVE,0))&amp;"","Sin dato"))</f>
        <v/>
      </c>
      <c r="AB1718" s="71" t="str">
        <f aca="false">IF(AH1718="","",ROUND(MIN(K1718,TOPE_AFP_UF*AJ1718)*AK1718,0))</f>
        <v/>
      </c>
      <c r="AC1718" s="71" t="str">
        <f aca="false">IF(AH1718="","",ROUND(MIN(K1718,TOPE_AFC_UF*AJ1718)*IF(AA1718="Indefinido",AFC_EMP_INDEF,AFC_EMP_PF),0))</f>
        <v/>
      </c>
      <c r="AD1718" s="71" t="str">
        <f aca="false">IF(AH1718="","",ROUND(MIN(K1718,TOPE_AFP_UF*AJ1718)*(MUTUAL_BASICA+MUTUAL_ADIC+SANNA),0))</f>
        <v/>
      </c>
      <c r="AE1718" s="71" t="str">
        <f aca="false">IF(AH1718="","",P1718-N(N1718)+AB1718+AC1718+AD1718)</f>
        <v/>
      </c>
      <c r="AF1718" s="65"/>
      <c r="AG1718" s="64"/>
      <c r="AH1718" s="72" t="str">
        <f aca="false">IF(OR(B1718="",C1718=""),"",C1718&amp;"|"&amp;(YEAR(B1718)*100+MONTH(B1718)))</f>
        <v/>
      </c>
      <c r="AI1718" s="70" t="str">
        <f aca="false">IF(AH1718="","",IF(COUNTIF(L_CLAVE,AH1718)&gt;1,"⚠ Duplicado","OK"))</f>
        <v/>
      </c>
      <c r="AJ1718" s="86" t="str">
        <f aca="false">IF(AH1718="","",IF(SUMPRODUCT(MAX((IND_PER&lt;=B1718)*(IND_UF&lt;&gt;"")*IND_PER))=0,UF_HOY,INDEX(IND_UF,MATCH(SUMPRODUCT(MAX((IND_PER&lt;=B1718)*(IND_UF&lt;&gt;"")*IND_PER)),IND_PER,0))))</f>
        <v/>
      </c>
      <c r="AK1718" s="87" t="str">
        <f aca="false">IF(AH1718="","",IF(COUNTIF(TASA_DESDE,"&lt;="&amp;B1718)=0,INDEX(TASA_EMP,1),INDEX(TASA_EMP,COUNTIF(TASA_DESDE,"&lt;="&amp;B1718))))</f>
        <v/>
      </c>
    </row>
    <row r="1719" customFormat="false" ht="15" hidden="false" customHeight="false" outlineLevel="0" collapsed="false">
      <c r="B1719" s="78"/>
      <c r="C1719" s="64"/>
      <c r="D1719" s="72" t="str">
        <f aca="false">IF(C1719="","",IFERROR(INDEX(T_NOMBRE,MATCH(C1719,T_ID,0)),"⚠ ID no existe"))</f>
        <v/>
      </c>
      <c r="E1719" s="69"/>
      <c r="F1719" s="67"/>
      <c r="G1719" s="67"/>
      <c r="H1719" s="67"/>
      <c r="I1719" s="67"/>
      <c r="J1719" s="67"/>
      <c r="K1719" s="85" t="str">
        <f aca="false">IF(AH1719="","",N(F1719)+N(G1719)+N(H1719)-N(I1719)+N(J1719))</f>
        <v/>
      </c>
      <c r="L1719" s="67"/>
      <c r="M1719" s="67"/>
      <c r="N1719" s="67"/>
      <c r="O1719" s="67"/>
      <c r="P1719" s="85" t="str">
        <f aca="false">IF(AH1719="","",K1719+N(L1719)+N(M1719)+N(N1719)+N(O1719))</f>
        <v/>
      </c>
      <c r="Q1719" s="67"/>
      <c r="R1719" s="67"/>
      <c r="S1719" s="67"/>
      <c r="T1719" s="67"/>
      <c r="U1719" s="67"/>
      <c r="V1719" s="67"/>
      <c r="W1719" s="85" t="str">
        <f aca="false">IF(AH1719="","",N(Q1719)+N(R1719)+N(S1719)+N(T1719)+N(U1719)+N(V1719))</f>
        <v/>
      </c>
      <c r="X1719" s="85" t="str">
        <f aca="false">IF(AH1719="","",P1719-W1719)</f>
        <v/>
      </c>
      <c r="Y1719" s="67"/>
      <c r="Z1719" s="70" t="str">
        <f aca="false">IF(OR(AH1719="",Y1719=""),"",IF(ABS(X1719-Y1719)&lt;=1,"✓ Cuadra","⚠ Diferencia $"&amp;FIXED(X1719-Y1719,0)))</f>
        <v/>
      </c>
      <c r="AA1719" s="72" t="str">
        <f aca="false">IF(AH1719="","",IFERROR(INDEX(C_TIPO,MATCH(C1719&amp;"-P"&amp;MAX(1,COUNTIFS(C_ID,C1719,C_DEFINE,"Sí",C_INICIO,"&lt;="&amp;EOMONTH(B1719,0))),C_CLAVE,0))&amp;"","Sin dato"))</f>
        <v/>
      </c>
      <c r="AB1719" s="71" t="str">
        <f aca="false">IF(AH1719="","",ROUND(MIN(K1719,TOPE_AFP_UF*AJ1719)*AK1719,0))</f>
        <v/>
      </c>
      <c r="AC1719" s="71" t="str">
        <f aca="false">IF(AH1719="","",ROUND(MIN(K1719,TOPE_AFC_UF*AJ1719)*IF(AA1719="Indefinido",AFC_EMP_INDEF,AFC_EMP_PF),0))</f>
        <v/>
      </c>
      <c r="AD1719" s="71" t="str">
        <f aca="false">IF(AH1719="","",ROUND(MIN(K1719,TOPE_AFP_UF*AJ1719)*(MUTUAL_BASICA+MUTUAL_ADIC+SANNA),0))</f>
        <v/>
      </c>
      <c r="AE1719" s="71" t="str">
        <f aca="false">IF(AH1719="","",P1719-N(N1719)+AB1719+AC1719+AD1719)</f>
        <v/>
      </c>
      <c r="AF1719" s="65"/>
      <c r="AG1719" s="64"/>
      <c r="AH1719" s="72" t="str">
        <f aca="false">IF(OR(B1719="",C1719=""),"",C1719&amp;"|"&amp;(YEAR(B1719)*100+MONTH(B1719)))</f>
        <v/>
      </c>
      <c r="AI1719" s="70" t="str">
        <f aca="false">IF(AH1719="","",IF(COUNTIF(L_CLAVE,AH1719)&gt;1,"⚠ Duplicado","OK"))</f>
        <v/>
      </c>
      <c r="AJ1719" s="86" t="str">
        <f aca="false">IF(AH1719="","",IF(SUMPRODUCT(MAX((IND_PER&lt;=B1719)*(IND_UF&lt;&gt;"")*IND_PER))=0,UF_HOY,INDEX(IND_UF,MATCH(SUMPRODUCT(MAX((IND_PER&lt;=B1719)*(IND_UF&lt;&gt;"")*IND_PER)),IND_PER,0))))</f>
        <v/>
      </c>
      <c r="AK1719" s="87" t="str">
        <f aca="false">IF(AH1719="","",IF(COUNTIF(TASA_DESDE,"&lt;="&amp;B1719)=0,INDEX(TASA_EMP,1),INDEX(TASA_EMP,COUNTIF(TASA_DESDE,"&lt;="&amp;B1719))))</f>
        <v/>
      </c>
    </row>
    <row r="1720" customFormat="false" ht="15" hidden="false" customHeight="false" outlineLevel="0" collapsed="false">
      <c r="B1720" s="78"/>
      <c r="C1720" s="64"/>
      <c r="D1720" s="72" t="str">
        <f aca="false">IF(C1720="","",IFERROR(INDEX(T_NOMBRE,MATCH(C1720,T_ID,0)),"⚠ ID no existe"))</f>
        <v/>
      </c>
      <c r="E1720" s="69"/>
      <c r="F1720" s="67"/>
      <c r="G1720" s="67"/>
      <c r="H1720" s="67"/>
      <c r="I1720" s="67"/>
      <c r="J1720" s="67"/>
      <c r="K1720" s="85" t="str">
        <f aca="false">IF(AH1720="","",N(F1720)+N(G1720)+N(H1720)-N(I1720)+N(J1720))</f>
        <v/>
      </c>
      <c r="L1720" s="67"/>
      <c r="M1720" s="67"/>
      <c r="N1720" s="67"/>
      <c r="O1720" s="67"/>
      <c r="P1720" s="85" t="str">
        <f aca="false">IF(AH1720="","",K1720+N(L1720)+N(M1720)+N(N1720)+N(O1720))</f>
        <v/>
      </c>
      <c r="Q1720" s="67"/>
      <c r="R1720" s="67"/>
      <c r="S1720" s="67"/>
      <c r="T1720" s="67"/>
      <c r="U1720" s="67"/>
      <c r="V1720" s="67"/>
      <c r="W1720" s="85" t="str">
        <f aca="false">IF(AH1720="","",N(Q1720)+N(R1720)+N(S1720)+N(T1720)+N(U1720)+N(V1720))</f>
        <v/>
      </c>
      <c r="X1720" s="85" t="str">
        <f aca="false">IF(AH1720="","",P1720-W1720)</f>
        <v/>
      </c>
      <c r="Y1720" s="67"/>
      <c r="Z1720" s="70" t="str">
        <f aca="false">IF(OR(AH1720="",Y1720=""),"",IF(ABS(X1720-Y1720)&lt;=1,"✓ Cuadra","⚠ Diferencia $"&amp;FIXED(X1720-Y1720,0)))</f>
        <v/>
      </c>
      <c r="AA1720" s="72" t="str">
        <f aca="false">IF(AH1720="","",IFERROR(INDEX(C_TIPO,MATCH(C1720&amp;"-P"&amp;MAX(1,COUNTIFS(C_ID,C1720,C_DEFINE,"Sí",C_INICIO,"&lt;="&amp;EOMONTH(B1720,0))),C_CLAVE,0))&amp;"","Sin dato"))</f>
        <v/>
      </c>
      <c r="AB1720" s="71" t="str">
        <f aca="false">IF(AH1720="","",ROUND(MIN(K1720,TOPE_AFP_UF*AJ1720)*AK1720,0))</f>
        <v/>
      </c>
      <c r="AC1720" s="71" t="str">
        <f aca="false">IF(AH1720="","",ROUND(MIN(K1720,TOPE_AFC_UF*AJ1720)*IF(AA1720="Indefinido",AFC_EMP_INDEF,AFC_EMP_PF),0))</f>
        <v/>
      </c>
      <c r="AD1720" s="71" t="str">
        <f aca="false">IF(AH1720="","",ROUND(MIN(K1720,TOPE_AFP_UF*AJ1720)*(MUTUAL_BASICA+MUTUAL_ADIC+SANNA),0))</f>
        <v/>
      </c>
      <c r="AE1720" s="71" t="str">
        <f aca="false">IF(AH1720="","",P1720-N(N1720)+AB1720+AC1720+AD1720)</f>
        <v/>
      </c>
      <c r="AF1720" s="65"/>
      <c r="AG1720" s="64"/>
      <c r="AH1720" s="72" t="str">
        <f aca="false">IF(OR(B1720="",C1720=""),"",C1720&amp;"|"&amp;(YEAR(B1720)*100+MONTH(B1720)))</f>
        <v/>
      </c>
      <c r="AI1720" s="70" t="str">
        <f aca="false">IF(AH1720="","",IF(COUNTIF(L_CLAVE,AH1720)&gt;1,"⚠ Duplicado","OK"))</f>
        <v/>
      </c>
      <c r="AJ1720" s="86" t="str">
        <f aca="false">IF(AH1720="","",IF(SUMPRODUCT(MAX((IND_PER&lt;=B1720)*(IND_UF&lt;&gt;"")*IND_PER))=0,UF_HOY,INDEX(IND_UF,MATCH(SUMPRODUCT(MAX((IND_PER&lt;=B1720)*(IND_UF&lt;&gt;"")*IND_PER)),IND_PER,0))))</f>
        <v/>
      </c>
      <c r="AK1720" s="87" t="str">
        <f aca="false">IF(AH1720="","",IF(COUNTIF(TASA_DESDE,"&lt;="&amp;B1720)=0,INDEX(TASA_EMP,1),INDEX(TASA_EMP,COUNTIF(TASA_DESDE,"&lt;="&amp;B1720))))</f>
        <v/>
      </c>
    </row>
    <row r="1721" customFormat="false" ht="15" hidden="false" customHeight="false" outlineLevel="0" collapsed="false">
      <c r="B1721" s="78"/>
      <c r="C1721" s="64"/>
      <c r="D1721" s="72" t="str">
        <f aca="false">IF(C1721="","",IFERROR(INDEX(T_NOMBRE,MATCH(C1721,T_ID,0)),"⚠ ID no existe"))</f>
        <v/>
      </c>
      <c r="E1721" s="69"/>
      <c r="F1721" s="67"/>
      <c r="G1721" s="67"/>
      <c r="H1721" s="67"/>
      <c r="I1721" s="67"/>
      <c r="J1721" s="67"/>
      <c r="K1721" s="85" t="str">
        <f aca="false">IF(AH1721="","",N(F1721)+N(G1721)+N(H1721)-N(I1721)+N(J1721))</f>
        <v/>
      </c>
      <c r="L1721" s="67"/>
      <c r="M1721" s="67"/>
      <c r="N1721" s="67"/>
      <c r="O1721" s="67"/>
      <c r="P1721" s="85" t="str">
        <f aca="false">IF(AH1721="","",K1721+N(L1721)+N(M1721)+N(N1721)+N(O1721))</f>
        <v/>
      </c>
      <c r="Q1721" s="67"/>
      <c r="R1721" s="67"/>
      <c r="S1721" s="67"/>
      <c r="T1721" s="67"/>
      <c r="U1721" s="67"/>
      <c r="V1721" s="67"/>
      <c r="W1721" s="85" t="str">
        <f aca="false">IF(AH1721="","",N(Q1721)+N(R1721)+N(S1721)+N(T1721)+N(U1721)+N(V1721))</f>
        <v/>
      </c>
      <c r="X1721" s="85" t="str">
        <f aca="false">IF(AH1721="","",P1721-W1721)</f>
        <v/>
      </c>
      <c r="Y1721" s="67"/>
      <c r="Z1721" s="70" t="str">
        <f aca="false">IF(OR(AH1721="",Y1721=""),"",IF(ABS(X1721-Y1721)&lt;=1,"✓ Cuadra","⚠ Diferencia $"&amp;FIXED(X1721-Y1721,0)))</f>
        <v/>
      </c>
      <c r="AA1721" s="72" t="str">
        <f aca="false">IF(AH1721="","",IFERROR(INDEX(C_TIPO,MATCH(C1721&amp;"-P"&amp;MAX(1,COUNTIFS(C_ID,C1721,C_DEFINE,"Sí",C_INICIO,"&lt;="&amp;EOMONTH(B1721,0))),C_CLAVE,0))&amp;"","Sin dato"))</f>
        <v/>
      </c>
      <c r="AB1721" s="71" t="str">
        <f aca="false">IF(AH1721="","",ROUND(MIN(K1721,TOPE_AFP_UF*AJ1721)*AK1721,0))</f>
        <v/>
      </c>
      <c r="AC1721" s="71" t="str">
        <f aca="false">IF(AH1721="","",ROUND(MIN(K1721,TOPE_AFC_UF*AJ1721)*IF(AA1721="Indefinido",AFC_EMP_INDEF,AFC_EMP_PF),0))</f>
        <v/>
      </c>
      <c r="AD1721" s="71" t="str">
        <f aca="false">IF(AH1721="","",ROUND(MIN(K1721,TOPE_AFP_UF*AJ1721)*(MUTUAL_BASICA+MUTUAL_ADIC+SANNA),0))</f>
        <v/>
      </c>
      <c r="AE1721" s="71" t="str">
        <f aca="false">IF(AH1721="","",P1721-N(N1721)+AB1721+AC1721+AD1721)</f>
        <v/>
      </c>
      <c r="AF1721" s="65"/>
      <c r="AG1721" s="64"/>
      <c r="AH1721" s="72" t="str">
        <f aca="false">IF(OR(B1721="",C1721=""),"",C1721&amp;"|"&amp;(YEAR(B1721)*100+MONTH(B1721)))</f>
        <v/>
      </c>
      <c r="AI1721" s="70" t="str">
        <f aca="false">IF(AH1721="","",IF(COUNTIF(L_CLAVE,AH1721)&gt;1,"⚠ Duplicado","OK"))</f>
        <v/>
      </c>
      <c r="AJ1721" s="86" t="str">
        <f aca="false">IF(AH1721="","",IF(SUMPRODUCT(MAX((IND_PER&lt;=B1721)*(IND_UF&lt;&gt;"")*IND_PER))=0,UF_HOY,INDEX(IND_UF,MATCH(SUMPRODUCT(MAX((IND_PER&lt;=B1721)*(IND_UF&lt;&gt;"")*IND_PER)),IND_PER,0))))</f>
        <v/>
      </c>
      <c r="AK1721" s="87" t="str">
        <f aca="false">IF(AH1721="","",IF(COUNTIF(TASA_DESDE,"&lt;="&amp;B1721)=0,INDEX(TASA_EMP,1),INDEX(TASA_EMP,COUNTIF(TASA_DESDE,"&lt;="&amp;B1721))))</f>
        <v/>
      </c>
    </row>
    <row r="1722" customFormat="false" ht="15" hidden="false" customHeight="false" outlineLevel="0" collapsed="false">
      <c r="B1722" s="78"/>
      <c r="C1722" s="64"/>
      <c r="D1722" s="72" t="str">
        <f aca="false">IF(C1722="","",IFERROR(INDEX(T_NOMBRE,MATCH(C1722,T_ID,0)),"⚠ ID no existe"))</f>
        <v/>
      </c>
      <c r="E1722" s="69"/>
      <c r="F1722" s="67"/>
      <c r="G1722" s="67"/>
      <c r="H1722" s="67"/>
      <c r="I1722" s="67"/>
      <c r="J1722" s="67"/>
      <c r="K1722" s="85" t="str">
        <f aca="false">IF(AH1722="","",N(F1722)+N(G1722)+N(H1722)-N(I1722)+N(J1722))</f>
        <v/>
      </c>
      <c r="L1722" s="67"/>
      <c r="M1722" s="67"/>
      <c r="N1722" s="67"/>
      <c r="O1722" s="67"/>
      <c r="P1722" s="85" t="str">
        <f aca="false">IF(AH1722="","",K1722+N(L1722)+N(M1722)+N(N1722)+N(O1722))</f>
        <v/>
      </c>
      <c r="Q1722" s="67"/>
      <c r="R1722" s="67"/>
      <c r="S1722" s="67"/>
      <c r="T1722" s="67"/>
      <c r="U1722" s="67"/>
      <c r="V1722" s="67"/>
      <c r="W1722" s="85" t="str">
        <f aca="false">IF(AH1722="","",N(Q1722)+N(R1722)+N(S1722)+N(T1722)+N(U1722)+N(V1722))</f>
        <v/>
      </c>
      <c r="X1722" s="85" t="str">
        <f aca="false">IF(AH1722="","",P1722-W1722)</f>
        <v/>
      </c>
      <c r="Y1722" s="67"/>
      <c r="Z1722" s="70" t="str">
        <f aca="false">IF(OR(AH1722="",Y1722=""),"",IF(ABS(X1722-Y1722)&lt;=1,"✓ Cuadra","⚠ Diferencia $"&amp;FIXED(X1722-Y1722,0)))</f>
        <v/>
      </c>
      <c r="AA1722" s="72" t="str">
        <f aca="false">IF(AH1722="","",IFERROR(INDEX(C_TIPO,MATCH(C1722&amp;"-P"&amp;MAX(1,COUNTIFS(C_ID,C1722,C_DEFINE,"Sí",C_INICIO,"&lt;="&amp;EOMONTH(B1722,0))),C_CLAVE,0))&amp;"","Sin dato"))</f>
        <v/>
      </c>
      <c r="AB1722" s="71" t="str">
        <f aca="false">IF(AH1722="","",ROUND(MIN(K1722,TOPE_AFP_UF*AJ1722)*AK1722,0))</f>
        <v/>
      </c>
      <c r="AC1722" s="71" t="str">
        <f aca="false">IF(AH1722="","",ROUND(MIN(K1722,TOPE_AFC_UF*AJ1722)*IF(AA1722="Indefinido",AFC_EMP_INDEF,AFC_EMP_PF),0))</f>
        <v/>
      </c>
      <c r="AD1722" s="71" t="str">
        <f aca="false">IF(AH1722="","",ROUND(MIN(K1722,TOPE_AFP_UF*AJ1722)*(MUTUAL_BASICA+MUTUAL_ADIC+SANNA),0))</f>
        <v/>
      </c>
      <c r="AE1722" s="71" t="str">
        <f aca="false">IF(AH1722="","",P1722-N(N1722)+AB1722+AC1722+AD1722)</f>
        <v/>
      </c>
      <c r="AF1722" s="65"/>
      <c r="AG1722" s="64"/>
      <c r="AH1722" s="72" t="str">
        <f aca="false">IF(OR(B1722="",C1722=""),"",C1722&amp;"|"&amp;(YEAR(B1722)*100+MONTH(B1722)))</f>
        <v/>
      </c>
      <c r="AI1722" s="70" t="str">
        <f aca="false">IF(AH1722="","",IF(COUNTIF(L_CLAVE,AH1722)&gt;1,"⚠ Duplicado","OK"))</f>
        <v/>
      </c>
      <c r="AJ1722" s="86" t="str">
        <f aca="false">IF(AH1722="","",IF(SUMPRODUCT(MAX((IND_PER&lt;=B1722)*(IND_UF&lt;&gt;"")*IND_PER))=0,UF_HOY,INDEX(IND_UF,MATCH(SUMPRODUCT(MAX((IND_PER&lt;=B1722)*(IND_UF&lt;&gt;"")*IND_PER)),IND_PER,0))))</f>
        <v/>
      </c>
      <c r="AK1722" s="87" t="str">
        <f aca="false">IF(AH1722="","",IF(COUNTIF(TASA_DESDE,"&lt;="&amp;B1722)=0,INDEX(TASA_EMP,1),INDEX(TASA_EMP,COUNTIF(TASA_DESDE,"&lt;="&amp;B1722))))</f>
        <v/>
      </c>
    </row>
    <row r="1723" customFormat="false" ht="15" hidden="false" customHeight="false" outlineLevel="0" collapsed="false">
      <c r="B1723" s="78"/>
      <c r="C1723" s="64"/>
      <c r="D1723" s="72" t="str">
        <f aca="false">IF(C1723="","",IFERROR(INDEX(T_NOMBRE,MATCH(C1723,T_ID,0)),"⚠ ID no existe"))</f>
        <v/>
      </c>
      <c r="E1723" s="69"/>
      <c r="F1723" s="67"/>
      <c r="G1723" s="67"/>
      <c r="H1723" s="67"/>
      <c r="I1723" s="67"/>
      <c r="J1723" s="67"/>
      <c r="K1723" s="85" t="str">
        <f aca="false">IF(AH1723="","",N(F1723)+N(G1723)+N(H1723)-N(I1723)+N(J1723))</f>
        <v/>
      </c>
      <c r="L1723" s="67"/>
      <c r="M1723" s="67"/>
      <c r="N1723" s="67"/>
      <c r="O1723" s="67"/>
      <c r="P1723" s="85" t="str">
        <f aca="false">IF(AH1723="","",K1723+N(L1723)+N(M1723)+N(N1723)+N(O1723))</f>
        <v/>
      </c>
      <c r="Q1723" s="67"/>
      <c r="R1723" s="67"/>
      <c r="S1723" s="67"/>
      <c r="T1723" s="67"/>
      <c r="U1723" s="67"/>
      <c r="V1723" s="67"/>
      <c r="W1723" s="85" t="str">
        <f aca="false">IF(AH1723="","",N(Q1723)+N(R1723)+N(S1723)+N(T1723)+N(U1723)+N(V1723))</f>
        <v/>
      </c>
      <c r="X1723" s="85" t="str">
        <f aca="false">IF(AH1723="","",P1723-W1723)</f>
        <v/>
      </c>
      <c r="Y1723" s="67"/>
      <c r="Z1723" s="70" t="str">
        <f aca="false">IF(OR(AH1723="",Y1723=""),"",IF(ABS(X1723-Y1723)&lt;=1,"✓ Cuadra","⚠ Diferencia $"&amp;FIXED(X1723-Y1723,0)))</f>
        <v/>
      </c>
      <c r="AA1723" s="72" t="str">
        <f aca="false">IF(AH1723="","",IFERROR(INDEX(C_TIPO,MATCH(C1723&amp;"-P"&amp;MAX(1,COUNTIFS(C_ID,C1723,C_DEFINE,"Sí",C_INICIO,"&lt;="&amp;EOMONTH(B1723,0))),C_CLAVE,0))&amp;"","Sin dato"))</f>
        <v/>
      </c>
      <c r="AB1723" s="71" t="str">
        <f aca="false">IF(AH1723="","",ROUND(MIN(K1723,TOPE_AFP_UF*AJ1723)*AK1723,0))</f>
        <v/>
      </c>
      <c r="AC1723" s="71" t="str">
        <f aca="false">IF(AH1723="","",ROUND(MIN(K1723,TOPE_AFC_UF*AJ1723)*IF(AA1723="Indefinido",AFC_EMP_INDEF,AFC_EMP_PF),0))</f>
        <v/>
      </c>
      <c r="AD1723" s="71" t="str">
        <f aca="false">IF(AH1723="","",ROUND(MIN(K1723,TOPE_AFP_UF*AJ1723)*(MUTUAL_BASICA+MUTUAL_ADIC+SANNA),0))</f>
        <v/>
      </c>
      <c r="AE1723" s="71" t="str">
        <f aca="false">IF(AH1723="","",P1723-N(N1723)+AB1723+AC1723+AD1723)</f>
        <v/>
      </c>
      <c r="AF1723" s="65"/>
      <c r="AG1723" s="64"/>
      <c r="AH1723" s="72" t="str">
        <f aca="false">IF(OR(B1723="",C1723=""),"",C1723&amp;"|"&amp;(YEAR(B1723)*100+MONTH(B1723)))</f>
        <v/>
      </c>
      <c r="AI1723" s="70" t="str">
        <f aca="false">IF(AH1723="","",IF(COUNTIF(L_CLAVE,AH1723)&gt;1,"⚠ Duplicado","OK"))</f>
        <v/>
      </c>
      <c r="AJ1723" s="86" t="str">
        <f aca="false">IF(AH1723="","",IF(SUMPRODUCT(MAX((IND_PER&lt;=B1723)*(IND_UF&lt;&gt;"")*IND_PER))=0,UF_HOY,INDEX(IND_UF,MATCH(SUMPRODUCT(MAX((IND_PER&lt;=B1723)*(IND_UF&lt;&gt;"")*IND_PER)),IND_PER,0))))</f>
        <v/>
      </c>
      <c r="AK1723" s="87" t="str">
        <f aca="false">IF(AH1723="","",IF(COUNTIF(TASA_DESDE,"&lt;="&amp;B1723)=0,INDEX(TASA_EMP,1),INDEX(TASA_EMP,COUNTIF(TASA_DESDE,"&lt;="&amp;B1723))))</f>
        <v/>
      </c>
    </row>
    <row r="1724" customFormat="false" ht="15" hidden="false" customHeight="false" outlineLevel="0" collapsed="false">
      <c r="B1724" s="78"/>
      <c r="C1724" s="64"/>
      <c r="D1724" s="72" t="str">
        <f aca="false">IF(C1724="","",IFERROR(INDEX(T_NOMBRE,MATCH(C1724,T_ID,0)),"⚠ ID no existe"))</f>
        <v/>
      </c>
      <c r="E1724" s="69"/>
      <c r="F1724" s="67"/>
      <c r="G1724" s="67"/>
      <c r="H1724" s="67"/>
      <c r="I1724" s="67"/>
      <c r="J1724" s="67"/>
      <c r="K1724" s="85" t="str">
        <f aca="false">IF(AH1724="","",N(F1724)+N(G1724)+N(H1724)-N(I1724)+N(J1724))</f>
        <v/>
      </c>
      <c r="L1724" s="67"/>
      <c r="M1724" s="67"/>
      <c r="N1724" s="67"/>
      <c r="O1724" s="67"/>
      <c r="P1724" s="85" t="str">
        <f aca="false">IF(AH1724="","",K1724+N(L1724)+N(M1724)+N(N1724)+N(O1724))</f>
        <v/>
      </c>
      <c r="Q1724" s="67"/>
      <c r="R1724" s="67"/>
      <c r="S1724" s="67"/>
      <c r="T1724" s="67"/>
      <c r="U1724" s="67"/>
      <c r="V1724" s="67"/>
      <c r="W1724" s="85" t="str">
        <f aca="false">IF(AH1724="","",N(Q1724)+N(R1724)+N(S1724)+N(T1724)+N(U1724)+N(V1724))</f>
        <v/>
      </c>
      <c r="X1724" s="85" t="str">
        <f aca="false">IF(AH1724="","",P1724-W1724)</f>
        <v/>
      </c>
      <c r="Y1724" s="67"/>
      <c r="Z1724" s="70" t="str">
        <f aca="false">IF(OR(AH1724="",Y1724=""),"",IF(ABS(X1724-Y1724)&lt;=1,"✓ Cuadra","⚠ Diferencia $"&amp;FIXED(X1724-Y1724,0)))</f>
        <v/>
      </c>
      <c r="AA1724" s="72" t="str">
        <f aca="false">IF(AH1724="","",IFERROR(INDEX(C_TIPO,MATCH(C1724&amp;"-P"&amp;MAX(1,COUNTIFS(C_ID,C1724,C_DEFINE,"Sí",C_INICIO,"&lt;="&amp;EOMONTH(B1724,0))),C_CLAVE,0))&amp;"","Sin dato"))</f>
        <v/>
      </c>
      <c r="AB1724" s="71" t="str">
        <f aca="false">IF(AH1724="","",ROUND(MIN(K1724,TOPE_AFP_UF*AJ1724)*AK1724,0))</f>
        <v/>
      </c>
      <c r="AC1724" s="71" t="str">
        <f aca="false">IF(AH1724="","",ROUND(MIN(K1724,TOPE_AFC_UF*AJ1724)*IF(AA1724="Indefinido",AFC_EMP_INDEF,AFC_EMP_PF),0))</f>
        <v/>
      </c>
      <c r="AD1724" s="71" t="str">
        <f aca="false">IF(AH1724="","",ROUND(MIN(K1724,TOPE_AFP_UF*AJ1724)*(MUTUAL_BASICA+MUTUAL_ADIC+SANNA),0))</f>
        <v/>
      </c>
      <c r="AE1724" s="71" t="str">
        <f aca="false">IF(AH1724="","",P1724-N(N1724)+AB1724+AC1724+AD1724)</f>
        <v/>
      </c>
      <c r="AF1724" s="65"/>
      <c r="AG1724" s="64"/>
      <c r="AH1724" s="72" t="str">
        <f aca="false">IF(OR(B1724="",C1724=""),"",C1724&amp;"|"&amp;(YEAR(B1724)*100+MONTH(B1724)))</f>
        <v/>
      </c>
      <c r="AI1724" s="70" t="str">
        <f aca="false">IF(AH1724="","",IF(COUNTIF(L_CLAVE,AH1724)&gt;1,"⚠ Duplicado","OK"))</f>
        <v/>
      </c>
      <c r="AJ1724" s="86" t="str">
        <f aca="false">IF(AH1724="","",IF(SUMPRODUCT(MAX((IND_PER&lt;=B1724)*(IND_UF&lt;&gt;"")*IND_PER))=0,UF_HOY,INDEX(IND_UF,MATCH(SUMPRODUCT(MAX((IND_PER&lt;=B1724)*(IND_UF&lt;&gt;"")*IND_PER)),IND_PER,0))))</f>
        <v/>
      </c>
      <c r="AK1724" s="87" t="str">
        <f aca="false">IF(AH1724="","",IF(COUNTIF(TASA_DESDE,"&lt;="&amp;B1724)=0,INDEX(TASA_EMP,1),INDEX(TASA_EMP,COUNTIF(TASA_DESDE,"&lt;="&amp;B1724))))</f>
        <v/>
      </c>
    </row>
    <row r="1725" customFormat="false" ht="15" hidden="false" customHeight="false" outlineLevel="0" collapsed="false">
      <c r="B1725" s="78"/>
      <c r="C1725" s="64"/>
      <c r="D1725" s="72" t="str">
        <f aca="false">IF(C1725="","",IFERROR(INDEX(T_NOMBRE,MATCH(C1725,T_ID,0)),"⚠ ID no existe"))</f>
        <v/>
      </c>
      <c r="E1725" s="69"/>
      <c r="F1725" s="67"/>
      <c r="G1725" s="67"/>
      <c r="H1725" s="67"/>
      <c r="I1725" s="67"/>
      <c r="J1725" s="67"/>
      <c r="K1725" s="85" t="str">
        <f aca="false">IF(AH1725="","",N(F1725)+N(G1725)+N(H1725)-N(I1725)+N(J1725))</f>
        <v/>
      </c>
      <c r="L1725" s="67"/>
      <c r="M1725" s="67"/>
      <c r="N1725" s="67"/>
      <c r="O1725" s="67"/>
      <c r="P1725" s="85" t="str">
        <f aca="false">IF(AH1725="","",K1725+N(L1725)+N(M1725)+N(N1725)+N(O1725))</f>
        <v/>
      </c>
      <c r="Q1725" s="67"/>
      <c r="R1725" s="67"/>
      <c r="S1725" s="67"/>
      <c r="T1725" s="67"/>
      <c r="U1725" s="67"/>
      <c r="V1725" s="67"/>
      <c r="W1725" s="85" t="str">
        <f aca="false">IF(AH1725="","",N(Q1725)+N(R1725)+N(S1725)+N(T1725)+N(U1725)+N(V1725))</f>
        <v/>
      </c>
      <c r="X1725" s="85" t="str">
        <f aca="false">IF(AH1725="","",P1725-W1725)</f>
        <v/>
      </c>
      <c r="Y1725" s="67"/>
      <c r="Z1725" s="70" t="str">
        <f aca="false">IF(OR(AH1725="",Y1725=""),"",IF(ABS(X1725-Y1725)&lt;=1,"✓ Cuadra","⚠ Diferencia $"&amp;FIXED(X1725-Y1725,0)))</f>
        <v/>
      </c>
      <c r="AA1725" s="72" t="str">
        <f aca="false">IF(AH1725="","",IFERROR(INDEX(C_TIPO,MATCH(C1725&amp;"-P"&amp;MAX(1,COUNTIFS(C_ID,C1725,C_DEFINE,"Sí",C_INICIO,"&lt;="&amp;EOMONTH(B1725,0))),C_CLAVE,0))&amp;"","Sin dato"))</f>
        <v/>
      </c>
      <c r="AB1725" s="71" t="str">
        <f aca="false">IF(AH1725="","",ROUND(MIN(K1725,TOPE_AFP_UF*AJ1725)*AK1725,0))</f>
        <v/>
      </c>
      <c r="AC1725" s="71" t="str">
        <f aca="false">IF(AH1725="","",ROUND(MIN(K1725,TOPE_AFC_UF*AJ1725)*IF(AA1725="Indefinido",AFC_EMP_INDEF,AFC_EMP_PF),0))</f>
        <v/>
      </c>
      <c r="AD1725" s="71" t="str">
        <f aca="false">IF(AH1725="","",ROUND(MIN(K1725,TOPE_AFP_UF*AJ1725)*(MUTUAL_BASICA+MUTUAL_ADIC+SANNA),0))</f>
        <v/>
      </c>
      <c r="AE1725" s="71" t="str">
        <f aca="false">IF(AH1725="","",P1725-N(N1725)+AB1725+AC1725+AD1725)</f>
        <v/>
      </c>
      <c r="AF1725" s="65"/>
      <c r="AG1725" s="64"/>
      <c r="AH1725" s="72" t="str">
        <f aca="false">IF(OR(B1725="",C1725=""),"",C1725&amp;"|"&amp;(YEAR(B1725)*100+MONTH(B1725)))</f>
        <v/>
      </c>
      <c r="AI1725" s="70" t="str">
        <f aca="false">IF(AH1725="","",IF(COUNTIF(L_CLAVE,AH1725)&gt;1,"⚠ Duplicado","OK"))</f>
        <v/>
      </c>
      <c r="AJ1725" s="86" t="str">
        <f aca="false">IF(AH1725="","",IF(SUMPRODUCT(MAX((IND_PER&lt;=B1725)*(IND_UF&lt;&gt;"")*IND_PER))=0,UF_HOY,INDEX(IND_UF,MATCH(SUMPRODUCT(MAX((IND_PER&lt;=B1725)*(IND_UF&lt;&gt;"")*IND_PER)),IND_PER,0))))</f>
        <v/>
      </c>
      <c r="AK1725" s="87" t="str">
        <f aca="false">IF(AH1725="","",IF(COUNTIF(TASA_DESDE,"&lt;="&amp;B1725)=0,INDEX(TASA_EMP,1),INDEX(TASA_EMP,COUNTIF(TASA_DESDE,"&lt;="&amp;B1725))))</f>
        <v/>
      </c>
    </row>
    <row r="1726" customFormat="false" ht="15" hidden="false" customHeight="false" outlineLevel="0" collapsed="false">
      <c r="B1726" s="78"/>
      <c r="C1726" s="64"/>
      <c r="D1726" s="72" t="str">
        <f aca="false">IF(C1726="","",IFERROR(INDEX(T_NOMBRE,MATCH(C1726,T_ID,0)),"⚠ ID no existe"))</f>
        <v/>
      </c>
      <c r="E1726" s="69"/>
      <c r="F1726" s="67"/>
      <c r="G1726" s="67"/>
      <c r="H1726" s="67"/>
      <c r="I1726" s="67"/>
      <c r="J1726" s="67"/>
      <c r="K1726" s="85" t="str">
        <f aca="false">IF(AH1726="","",N(F1726)+N(G1726)+N(H1726)-N(I1726)+N(J1726))</f>
        <v/>
      </c>
      <c r="L1726" s="67"/>
      <c r="M1726" s="67"/>
      <c r="N1726" s="67"/>
      <c r="O1726" s="67"/>
      <c r="P1726" s="85" t="str">
        <f aca="false">IF(AH1726="","",K1726+N(L1726)+N(M1726)+N(N1726)+N(O1726))</f>
        <v/>
      </c>
      <c r="Q1726" s="67"/>
      <c r="R1726" s="67"/>
      <c r="S1726" s="67"/>
      <c r="T1726" s="67"/>
      <c r="U1726" s="67"/>
      <c r="V1726" s="67"/>
      <c r="W1726" s="85" t="str">
        <f aca="false">IF(AH1726="","",N(Q1726)+N(R1726)+N(S1726)+N(T1726)+N(U1726)+N(V1726))</f>
        <v/>
      </c>
      <c r="X1726" s="85" t="str">
        <f aca="false">IF(AH1726="","",P1726-W1726)</f>
        <v/>
      </c>
      <c r="Y1726" s="67"/>
      <c r="Z1726" s="70" t="str">
        <f aca="false">IF(OR(AH1726="",Y1726=""),"",IF(ABS(X1726-Y1726)&lt;=1,"✓ Cuadra","⚠ Diferencia $"&amp;FIXED(X1726-Y1726,0)))</f>
        <v/>
      </c>
      <c r="AA1726" s="72" t="str">
        <f aca="false">IF(AH1726="","",IFERROR(INDEX(C_TIPO,MATCH(C1726&amp;"-P"&amp;MAX(1,COUNTIFS(C_ID,C1726,C_DEFINE,"Sí",C_INICIO,"&lt;="&amp;EOMONTH(B1726,0))),C_CLAVE,0))&amp;"","Sin dato"))</f>
        <v/>
      </c>
      <c r="AB1726" s="71" t="str">
        <f aca="false">IF(AH1726="","",ROUND(MIN(K1726,TOPE_AFP_UF*AJ1726)*AK1726,0))</f>
        <v/>
      </c>
      <c r="AC1726" s="71" t="str">
        <f aca="false">IF(AH1726="","",ROUND(MIN(K1726,TOPE_AFC_UF*AJ1726)*IF(AA1726="Indefinido",AFC_EMP_INDEF,AFC_EMP_PF),0))</f>
        <v/>
      </c>
      <c r="AD1726" s="71" t="str">
        <f aca="false">IF(AH1726="","",ROUND(MIN(K1726,TOPE_AFP_UF*AJ1726)*(MUTUAL_BASICA+MUTUAL_ADIC+SANNA),0))</f>
        <v/>
      </c>
      <c r="AE1726" s="71" t="str">
        <f aca="false">IF(AH1726="","",P1726-N(N1726)+AB1726+AC1726+AD1726)</f>
        <v/>
      </c>
      <c r="AF1726" s="65"/>
      <c r="AG1726" s="64"/>
      <c r="AH1726" s="72" t="str">
        <f aca="false">IF(OR(B1726="",C1726=""),"",C1726&amp;"|"&amp;(YEAR(B1726)*100+MONTH(B1726)))</f>
        <v/>
      </c>
      <c r="AI1726" s="70" t="str">
        <f aca="false">IF(AH1726="","",IF(COUNTIF(L_CLAVE,AH1726)&gt;1,"⚠ Duplicado","OK"))</f>
        <v/>
      </c>
      <c r="AJ1726" s="86" t="str">
        <f aca="false">IF(AH1726="","",IF(SUMPRODUCT(MAX((IND_PER&lt;=B1726)*(IND_UF&lt;&gt;"")*IND_PER))=0,UF_HOY,INDEX(IND_UF,MATCH(SUMPRODUCT(MAX((IND_PER&lt;=B1726)*(IND_UF&lt;&gt;"")*IND_PER)),IND_PER,0))))</f>
        <v/>
      </c>
      <c r="AK1726" s="87" t="str">
        <f aca="false">IF(AH1726="","",IF(COUNTIF(TASA_DESDE,"&lt;="&amp;B1726)=0,INDEX(TASA_EMP,1),INDEX(TASA_EMP,COUNTIF(TASA_DESDE,"&lt;="&amp;B1726))))</f>
        <v/>
      </c>
    </row>
    <row r="1727" customFormat="false" ht="15" hidden="false" customHeight="false" outlineLevel="0" collapsed="false">
      <c r="B1727" s="78"/>
      <c r="C1727" s="64"/>
      <c r="D1727" s="72" t="str">
        <f aca="false">IF(C1727="","",IFERROR(INDEX(T_NOMBRE,MATCH(C1727,T_ID,0)),"⚠ ID no existe"))</f>
        <v/>
      </c>
      <c r="E1727" s="69"/>
      <c r="F1727" s="67"/>
      <c r="G1727" s="67"/>
      <c r="H1727" s="67"/>
      <c r="I1727" s="67"/>
      <c r="J1727" s="67"/>
      <c r="K1727" s="85" t="str">
        <f aca="false">IF(AH1727="","",N(F1727)+N(G1727)+N(H1727)-N(I1727)+N(J1727))</f>
        <v/>
      </c>
      <c r="L1727" s="67"/>
      <c r="M1727" s="67"/>
      <c r="N1727" s="67"/>
      <c r="O1727" s="67"/>
      <c r="P1727" s="85" t="str">
        <f aca="false">IF(AH1727="","",K1727+N(L1727)+N(M1727)+N(N1727)+N(O1727))</f>
        <v/>
      </c>
      <c r="Q1727" s="67"/>
      <c r="R1727" s="67"/>
      <c r="S1727" s="67"/>
      <c r="T1727" s="67"/>
      <c r="U1727" s="67"/>
      <c r="V1727" s="67"/>
      <c r="W1727" s="85" t="str">
        <f aca="false">IF(AH1727="","",N(Q1727)+N(R1727)+N(S1727)+N(T1727)+N(U1727)+N(V1727))</f>
        <v/>
      </c>
      <c r="X1727" s="85" t="str">
        <f aca="false">IF(AH1727="","",P1727-W1727)</f>
        <v/>
      </c>
      <c r="Y1727" s="67"/>
      <c r="Z1727" s="70" t="str">
        <f aca="false">IF(OR(AH1727="",Y1727=""),"",IF(ABS(X1727-Y1727)&lt;=1,"✓ Cuadra","⚠ Diferencia $"&amp;FIXED(X1727-Y1727,0)))</f>
        <v/>
      </c>
      <c r="AA1727" s="72" t="str">
        <f aca="false">IF(AH1727="","",IFERROR(INDEX(C_TIPO,MATCH(C1727&amp;"-P"&amp;MAX(1,COUNTIFS(C_ID,C1727,C_DEFINE,"Sí",C_INICIO,"&lt;="&amp;EOMONTH(B1727,0))),C_CLAVE,0))&amp;"","Sin dato"))</f>
        <v/>
      </c>
      <c r="AB1727" s="71" t="str">
        <f aca="false">IF(AH1727="","",ROUND(MIN(K1727,TOPE_AFP_UF*AJ1727)*AK1727,0))</f>
        <v/>
      </c>
      <c r="AC1727" s="71" t="str">
        <f aca="false">IF(AH1727="","",ROUND(MIN(K1727,TOPE_AFC_UF*AJ1727)*IF(AA1727="Indefinido",AFC_EMP_INDEF,AFC_EMP_PF),0))</f>
        <v/>
      </c>
      <c r="AD1727" s="71" t="str">
        <f aca="false">IF(AH1727="","",ROUND(MIN(K1727,TOPE_AFP_UF*AJ1727)*(MUTUAL_BASICA+MUTUAL_ADIC+SANNA),0))</f>
        <v/>
      </c>
      <c r="AE1727" s="71" t="str">
        <f aca="false">IF(AH1727="","",P1727-N(N1727)+AB1727+AC1727+AD1727)</f>
        <v/>
      </c>
      <c r="AF1727" s="65"/>
      <c r="AG1727" s="64"/>
      <c r="AH1727" s="72" t="str">
        <f aca="false">IF(OR(B1727="",C1727=""),"",C1727&amp;"|"&amp;(YEAR(B1727)*100+MONTH(B1727)))</f>
        <v/>
      </c>
      <c r="AI1727" s="70" t="str">
        <f aca="false">IF(AH1727="","",IF(COUNTIF(L_CLAVE,AH1727)&gt;1,"⚠ Duplicado","OK"))</f>
        <v/>
      </c>
      <c r="AJ1727" s="86" t="str">
        <f aca="false">IF(AH1727="","",IF(SUMPRODUCT(MAX((IND_PER&lt;=B1727)*(IND_UF&lt;&gt;"")*IND_PER))=0,UF_HOY,INDEX(IND_UF,MATCH(SUMPRODUCT(MAX((IND_PER&lt;=B1727)*(IND_UF&lt;&gt;"")*IND_PER)),IND_PER,0))))</f>
        <v/>
      </c>
      <c r="AK1727" s="87" t="str">
        <f aca="false">IF(AH1727="","",IF(COUNTIF(TASA_DESDE,"&lt;="&amp;B1727)=0,INDEX(TASA_EMP,1),INDEX(TASA_EMP,COUNTIF(TASA_DESDE,"&lt;="&amp;B1727))))</f>
        <v/>
      </c>
    </row>
    <row r="1728" customFormat="false" ht="15" hidden="false" customHeight="false" outlineLevel="0" collapsed="false">
      <c r="B1728" s="78"/>
      <c r="C1728" s="64"/>
      <c r="D1728" s="72" t="str">
        <f aca="false">IF(C1728="","",IFERROR(INDEX(T_NOMBRE,MATCH(C1728,T_ID,0)),"⚠ ID no existe"))</f>
        <v/>
      </c>
      <c r="E1728" s="69"/>
      <c r="F1728" s="67"/>
      <c r="G1728" s="67"/>
      <c r="H1728" s="67"/>
      <c r="I1728" s="67"/>
      <c r="J1728" s="67"/>
      <c r="K1728" s="85" t="str">
        <f aca="false">IF(AH1728="","",N(F1728)+N(G1728)+N(H1728)-N(I1728)+N(J1728))</f>
        <v/>
      </c>
      <c r="L1728" s="67"/>
      <c r="M1728" s="67"/>
      <c r="N1728" s="67"/>
      <c r="O1728" s="67"/>
      <c r="P1728" s="85" t="str">
        <f aca="false">IF(AH1728="","",K1728+N(L1728)+N(M1728)+N(N1728)+N(O1728))</f>
        <v/>
      </c>
      <c r="Q1728" s="67"/>
      <c r="R1728" s="67"/>
      <c r="S1728" s="67"/>
      <c r="T1728" s="67"/>
      <c r="U1728" s="67"/>
      <c r="V1728" s="67"/>
      <c r="W1728" s="85" t="str">
        <f aca="false">IF(AH1728="","",N(Q1728)+N(R1728)+N(S1728)+N(T1728)+N(U1728)+N(V1728))</f>
        <v/>
      </c>
      <c r="X1728" s="85" t="str">
        <f aca="false">IF(AH1728="","",P1728-W1728)</f>
        <v/>
      </c>
      <c r="Y1728" s="67"/>
      <c r="Z1728" s="70" t="str">
        <f aca="false">IF(OR(AH1728="",Y1728=""),"",IF(ABS(X1728-Y1728)&lt;=1,"✓ Cuadra","⚠ Diferencia $"&amp;FIXED(X1728-Y1728,0)))</f>
        <v/>
      </c>
      <c r="AA1728" s="72" t="str">
        <f aca="false">IF(AH1728="","",IFERROR(INDEX(C_TIPO,MATCH(C1728&amp;"-P"&amp;MAX(1,COUNTIFS(C_ID,C1728,C_DEFINE,"Sí",C_INICIO,"&lt;="&amp;EOMONTH(B1728,0))),C_CLAVE,0))&amp;"","Sin dato"))</f>
        <v/>
      </c>
      <c r="AB1728" s="71" t="str">
        <f aca="false">IF(AH1728="","",ROUND(MIN(K1728,TOPE_AFP_UF*AJ1728)*AK1728,0))</f>
        <v/>
      </c>
      <c r="AC1728" s="71" t="str">
        <f aca="false">IF(AH1728="","",ROUND(MIN(K1728,TOPE_AFC_UF*AJ1728)*IF(AA1728="Indefinido",AFC_EMP_INDEF,AFC_EMP_PF),0))</f>
        <v/>
      </c>
      <c r="AD1728" s="71" t="str">
        <f aca="false">IF(AH1728="","",ROUND(MIN(K1728,TOPE_AFP_UF*AJ1728)*(MUTUAL_BASICA+MUTUAL_ADIC+SANNA),0))</f>
        <v/>
      </c>
      <c r="AE1728" s="71" t="str">
        <f aca="false">IF(AH1728="","",P1728-N(N1728)+AB1728+AC1728+AD1728)</f>
        <v/>
      </c>
      <c r="AF1728" s="65"/>
      <c r="AG1728" s="64"/>
      <c r="AH1728" s="72" t="str">
        <f aca="false">IF(OR(B1728="",C1728=""),"",C1728&amp;"|"&amp;(YEAR(B1728)*100+MONTH(B1728)))</f>
        <v/>
      </c>
      <c r="AI1728" s="70" t="str">
        <f aca="false">IF(AH1728="","",IF(COUNTIF(L_CLAVE,AH1728)&gt;1,"⚠ Duplicado","OK"))</f>
        <v/>
      </c>
      <c r="AJ1728" s="86" t="str">
        <f aca="false">IF(AH1728="","",IF(SUMPRODUCT(MAX((IND_PER&lt;=B1728)*(IND_UF&lt;&gt;"")*IND_PER))=0,UF_HOY,INDEX(IND_UF,MATCH(SUMPRODUCT(MAX((IND_PER&lt;=B1728)*(IND_UF&lt;&gt;"")*IND_PER)),IND_PER,0))))</f>
        <v/>
      </c>
      <c r="AK1728" s="87" t="str">
        <f aca="false">IF(AH1728="","",IF(COUNTIF(TASA_DESDE,"&lt;="&amp;B1728)=0,INDEX(TASA_EMP,1),INDEX(TASA_EMP,COUNTIF(TASA_DESDE,"&lt;="&amp;B1728))))</f>
        <v/>
      </c>
    </row>
    <row r="1729" customFormat="false" ht="15" hidden="false" customHeight="false" outlineLevel="0" collapsed="false">
      <c r="B1729" s="78"/>
      <c r="C1729" s="64"/>
      <c r="D1729" s="72" t="str">
        <f aca="false">IF(C1729="","",IFERROR(INDEX(T_NOMBRE,MATCH(C1729,T_ID,0)),"⚠ ID no existe"))</f>
        <v/>
      </c>
      <c r="E1729" s="69"/>
      <c r="F1729" s="67"/>
      <c r="G1729" s="67"/>
      <c r="H1729" s="67"/>
      <c r="I1729" s="67"/>
      <c r="J1729" s="67"/>
      <c r="K1729" s="85" t="str">
        <f aca="false">IF(AH1729="","",N(F1729)+N(G1729)+N(H1729)-N(I1729)+N(J1729))</f>
        <v/>
      </c>
      <c r="L1729" s="67"/>
      <c r="M1729" s="67"/>
      <c r="N1729" s="67"/>
      <c r="O1729" s="67"/>
      <c r="P1729" s="85" t="str">
        <f aca="false">IF(AH1729="","",K1729+N(L1729)+N(M1729)+N(N1729)+N(O1729))</f>
        <v/>
      </c>
      <c r="Q1729" s="67"/>
      <c r="R1729" s="67"/>
      <c r="S1729" s="67"/>
      <c r="T1729" s="67"/>
      <c r="U1729" s="67"/>
      <c r="V1729" s="67"/>
      <c r="W1729" s="85" t="str">
        <f aca="false">IF(AH1729="","",N(Q1729)+N(R1729)+N(S1729)+N(T1729)+N(U1729)+N(V1729))</f>
        <v/>
      </c>
      <c r="X1729" s="85" t="str">
        <f aca="false">IF(AH1729="","",P1729-W1729)</f>
        <v/>
      </c>
      <c r="Y1729" s="67"/>
      <c r="Z1729" s="70" t="str">
        <f aca="false">IF(OR(AH1729="",Y1729=""),"",IF(ABS(X1729-Y1729)&lt;=1,"✓ Cuadra","⚠ Diferencia $"&amp;FIXED(X1729-Y1729,0)))</f>
        <v/>
      </c>
      <c r="AA1729" s="72" t="str">
        <f aca="false">IF(AH1729="","",IFERROR(INDEX(C_TIPO,MATCH(C1729&amp;"-P"&amp;MAX(1,COUNTIFS(C_ID,C1729,C_DEFINE,"Sí",C_INICIO,"&lt;="&amp;EOMONTH(B1729,0))),C_CLAVE,0))&amp;"","Sin dato"))</f>
        <v/>
      </c>
      <c r="AB1729" s="71" t="str">
        <f aca="false">IF(AH1729="","",ROUND(MIN(K1729,TOPE_AFP_UF*AJ1729)*AK1729,0))</f>
        <v/>
      </c>
      <c r="AC1729" s="71" t="str">
        <f aca="false">IF(AH1729="","",ROUND(MIN(K1729,TOPE_AFC_UF*AJ1729)*IF(AA1729="Indefinido",AFC_EMP_INDEF,AFC_EMP_PF),0))</f>
        <v/>
      </c>
      <c r="AD1729" s="71" t="str">
        <f aca="false">IF(AH1729="","",ROUND(MIN(K1729,TOPE_AFP_UF*AJ1729)*(MUTUAL_BASICA+MUTUAL_ADIC+SANNA),0))</f>
        <v/>
      </c>
      <c r="AE1729" s="71" t="str">
        <f aca="false">IF(AH1729="","",P1729-N(N1729)+AB1729+AC1729+AD1729)</f>
        <v/>
      </c>
      <c r="AF1729" s="65"/>
      <c r="AG1729" s="64"/>
      <c r="AH1729" s="72" t="str">
        <f aca="false">IF(OR(B1729="",C1729=""),"",C1729&amp;"|"&amp;(YEAR(B1729)*100+MONTH(B1729)))</f>
        <v/>
      </c>
      <c r="AI1729" s="70" t="str">
        <f aca="false">IF(AH1729="","",IF(COUNTIF(L_CLAVE,AH1729)&gt;1,"⚠ Duplicado","OK"))</f>
        <v/>
      </c>
      <c r="AJ1729" s="86" t="str">
        <f aca="false">IF(AH1729="","",IF(SUMPRODUCT(MAX((IND_PER&lt;=B1729)*(IND_UF&lt;&gt;"")*IND_PER))=0,UF_HOY,INDEX(IND_UF,MATCH(SUMPRODUCT(MAX((IND_PER&lt;=B1729)*(IND_UF&lt;&gt;"")*IND_PER)),IND_PER,0))))</f>
        <v/>
      </c>
      <c r="AK1729" s="87" t="str">
        <f aca="false">IF(AH1729="","",IF(COUNTIF(TASA_DESDE,"&lt;="&amp;B1729)=0,INDEX(TASA_EMP,1),INDEX(TASA_EMP,COUNTIF(TASA_DESDE,"&lt;="&amp;B1729))))</f>
        <v/>
      </c>
    </row>
    <row r="1730" customFormat="false" ht="15" hidden="false" customHeight="false" outlineLevel="0" collapsed="false">
      <c r="B1730" s="78"/>
      <c r="C1730" s="64"/>
      <c r="D1730" s="72" t="str">
        <f aca="false">IF(C1730="","",IFERROR(INDEX(T_NOMBRE,MATCH(C1730,T_ID,0)),"⚠ ID no existe"))</f>
        <v/>
      </c>
      <c r="E1730" s="69"/>
      <c r="F1730" s="67"/>
      <c r="G1730" s="67"/>
      <c r="H1730" s="67"/>
      <c r="I1730" s="67"/>
      <c r="J1730" s="67"/>
      <c r="K1730" s="85" t="str">
        <f aca="false">IF(AH1730="","",N(F1730)+N(G1730)+N(H1730)-N(I1730)+N(J1730))</f>
        <v/>
      </c>
      <c r="L1730" s="67"/>
      <c r="M1730" s="67"/>
      <c r="N1730" s="67"/>
      <c r="O1730" s="67"/>
      <c r="P1730" s="85" t="str">
        <f aca="false">IF(AH1730="","",K1730+N(L1730)+N(M1730)+N(N1730)+N(O1730))</f>
        <v/>
      </c>
      <c r="Q1730" s="67"/>
      <c r="R1730" s="67"/>
      <c r="S1730" s="67"/>
      <c r="T1730" s="67"/>
      <c r="U1730" s="67"/>
      <c r="V1730" s="67"/>
      <c r="W1730" s="85" t="str">
        <f aca="false">IF(AH1730="","",N(Q1730)+N(R1730)+N(S1730)+N(T1730)+N(U1730)+N(V1730))</f>
        <v/>
      </c>
      <c r="X1730" s="85" t="str">
        <f aca="false">IF(AH1730="","",P1730-W1730)</f>
        <v/>
      </c>
      <c r="Y1730" s="67"/>
      <c r="Z1730" s="70" t="str">
        <f aca="false">IF(OR(AH1730="",Y1730=""),"",IF(ABS(X1730-Y1730)&lt;=1,"✓ Cuadra","⚠ Diferencia $"&amp;FIXED(X1730-Y1730,0)))</f>
        <v/>
      </c>
      <c r="AA1730" s="72" t="str">
        <f aca="false">IF(AH1730="","",IFERROR(INDEX(C_TIPO,MATCH(C1730&amp;"-P"&amp;MAX(1,COUNTIFS(C_ID,C1730,C_DEFINE,"Sí",C_INICIO,"&lt;="&amp;EOMONTH(B1730,0))),C_CLAVE,0))&amp;"","Sin dato"))</f>
        <v/>
      </c>
      <c r="AB1730" s="71" t="str">
        <f aca="false">IF(AH1730="","",ROUND(MIN(K1730,TOPE_AFP_UF*AJ1730)*AK1730,0))</f>
        <v/>
      </c>
      <c r="AC1730" s="71" t="str">
        <f aca="false">IF(AH1730="","",ROUND(MIN(K1730,TOPE_AFC_UF*AJ1730)*IF(AA1730="Indefinido",AFC_EMP_INDEF,AFC_EMP_PF),0))</f>
        <v/>
      </c>
      <c r="AD1730" s="71" t="str">
        <f aca="false">IF(AH1730="","",ROUND(MIN(K1730,TOPE_AFP_UF*AJ1730)*(MUTUAL_BASICA+MUTUAL_ADIC+SANNA),0))</f>
        <v/>
      </c>
      <c r="AE1730" s="71" t="str">
        <f aca="false">IF(AH1730="","",P1730-N(N1730)+AB1730+AC1730+AD1730)</f>
        <v/>
      </c>
      <c r="AF1730" s="65"/>
      <c r="AG1730" s="64"/>
      <c r="AH1730" s="72" t="str">
        <f aca="false">IF(OR(B1730="",C1730=""),"",C1730&amp;"|"&amp;(YEAR(B1730)*100+MONTH(B1730)))</f>
        <v/>
      </c>
      <c r="AI1730" s="70" t="str">
        <f aca="false">IF(AH1730="","",IF(COUNTIF(L_CLAVE,AH1730)&gt;1,"⚠ Duplicado","OK"))</f>
        <v/>
      </c>
      <c r="AJ1730" s="86" t="str">
        <f aca="false">IF(AH1730="","",IF(SUMPRODUCT(MAX((IND_PER&lt;=B1730)*(IND_UF&lt;&gt;"")*IND_PER))=0,UF_HOY,INDEX(IND_UF,MATCH(SUMPRODUCT(MAX((IND_PER&lt;=B1730)*(IND_UF&lt;&gt;"")*IND_PER)),IND_PER,0))))</f>
        <v/>
      </c>
      <c r="AK1730" s="87" t="str">
        <f aca="false">IF(AH1730="","",IF(COUNTIF(TASA_DESDE,"&lt;="&amp;B1730)=0,INDEX(TASA_EMP,1),INDEX(TASA_EMP,COUNTIF(TASA_DESDE,"&lt;="&amp;B1730))))</f>
        <v/>
      </c>
    </row>
    <row r="1731" customFormat="false" ht="15" hidden="false" customHeight="false" outlineLevel="0" collapsed="false">
      <c r="B1731" s="78"/>
      <c r="C1731" s="64"/>
      <c r="D1731" s="72" t="str">
        <f aca="false">IF(C1731="","",IFERROR(INDEX(T_NOMBRE,MATCH(C1731,T_ID,0)),"⚠ ID no existe"))</f>
        <v/>
      </c>
      <c r="E1731" s="69"/>
      <c r="F1731" s="67"/>
      <c r="G1731" s="67"/>
      <c r="H1731" s="67"/>
      <c r="I1731" s="67"/>
      <c r="J1731" s="67"/>
      <c r="K1731" s="85" t="str">
        <f aca="false">IF(AH1731="","",N(F1731)+N(G1731)+N(H1731)-N(I1731)+N(J1731))</f>
        <v/>
      </c>
      <c r="L1731" s="67"/>
      <c r="M1731" s="67"/>
      <c r="N1731" s="67"/>
      <c r="O1731" s="67"/>
      <c r="P1731" s="85" t="str">
        <f aca="false">IF(AH1731="","",K1731+N(L1731)+N(M1731)+N(N1731)+N(O1731))</f>
        <v/>
      </c>
      <c r="Q1731" s="67"/>
      <c r="R1731" s="67"/>
      <c r="S1731" s="67"/>
      <c r="T1731" s="67"/>
      <c r="U1731" s="67"/>
      <c r="V1731" s="67"/>
      <c r="W1731" s="85" t="str">
        <f aca="false">IF(AH1731="","",N(Q1731)+N(R1731)+N(S1731)+N(T1731)+N(U1731)+N(V1731))</f>
        <v/>
      </c>
      <c r="X1731" s="85" t="str">
        <f aca="false">IF(AH1731="","",P1731-W1731)</f>
        <v/>
      </c>
      <c r="Y1731" s="67"/>
      <c r="Z1731" s="70" t="str">
        <f aca="false">IF(OR(AH1731="",Y1731=""),"",IF(ABS(X1731-Y1731)&lt;=1,"✓ Cuadra","⚠ Diferencia $"&amp;FIXED(X1731-Y1731,0)))</f>
        <v/>
      </c>
      <c r="AA1731" s="72" t="str">
        <f aca="false">IF(AH1731="","",IFERROR(INDEX(C_TIPO,MATCH(C1731&amp;"-P"&amp;MAX(1,COUNTIFS(C_ID,C1731,C_DEFINE,"Sí",C_INICIO,"&lt;="&amp;EOMONTH(B1731,0))),C_CLAVE,0))&amp;"","Sin dato"))</f>
        <v/>
      </c>
      <c r="AB1731" s="71" t="str">
        <f aca="false">IF(AH1731="","",ROUND(MIN(K1731,TOPE_AFP_UF*AJ1731)*AK1731,0))</f>
        <v/>
      </c>
      <c r="AC1731" s="71" t="str">
        <f aca="false">IF(AH1731="","",ROUND(MIN(K1731,TOPE_AFC_UF*AJ1731)*IF(AA1731="Indefinido",AFC_EMP_INDEF,AFC_EMP_PF),0))</f>
        <v/>
      </c>
      <c r="AD1731" s="71" t="str">
        <f aca="false">IF(AH1731="","",ROUND(MIN(K1731,TOPE_AFP_UF*AJ1731)*(MUTUAL_BASICA+MUTUAL_ADIC+SANNA),0))</f>
        <v/>
      </c>
      <c r="AE1731" s="71" t="str">
        <f aca="false">IF(AH1731="","",P1731-N(N1731)+AB1731+AC1731+AD1731)</f>
        <v/>
      </c>
      <c r="AF1731" s="65"/>
      <c r="AG1731" s="64"/>
      <c r="AH1731" s="72" t="str">
        <f aca="false">IF(OR(B1731="",C1731=""),"",C1731&amp;"|"&amp;(YEAR(B1731)*100+MONTH(B1731)))</f>
        <v/>
      </c>
      <c r="AI1731" s="70" t="str">
        <f aca="false">IF(AH1731="","",IF(COUNTIF(L_CLAVE,AH1731)&gt;1,"⚠ Duplicado","OK"))</f>
        <v/>
      </c>
      <c r="AJ1731" s="86" t="str">
        <f aca="false">IF(AH1731="","",IF(SUMPRODUCT(MAX((IND_PER&lt;=B1731)*(IND_UF&lt;&gt;"")*IND_PER))=0,UF_HOY,INDEX(IND_UF,MATCH(SUMPRODUCT(MAX((IND_PER&lt;=B1731)*(IND_UF&lt;&gt;"")*IND_PER)),IND_PER,0))))</f>
        <v/>
      </c>
      <c r="AK1731" s="87" t="str">
        <f aca="false">IF(AH1731="","",IF(COUNTIF(TASA_DESDE,"&lt;="&amp;B1731)=0,INDEX(TASA_EMP,1),INDEX(TASA_EMP,COUNTIF(TASA_DESDE,"&lt;="&amp;B1731))))</f>
        <v/>
      </c>
    </row>
    <row r="1732" customFormat="false" ht="15" hidden="false" customHeight="false" outlineLevel="0" collapsed="false">
      <c r="B1732" s="78"/>
      <c r="C1732" s="64"/>
      <c r="D1732" s="72" t="str">
        <f aca="false">IF(C1732="","",IFERROR(INDEX(T_NOMBRE,MATCH(C1732,T_ID,0)),"⚠ ID no existe"))</f>
        <v/>
      </c>
      <c r="E1732" s="69"/>
      <c r="F1732" s="67"/>
      <c r="G1732" s="67"/>
      <c r="H1732" s="67"/>
      <c r="I1732" s="67"/>
      <c r="J1732" s="67"/>
      <c r="K1732" s="85" t="str">
        <f aca="false">IF(AH1732="","",N(F1732)+N(G1732)+N(H1732)-N(I1732)+N(J1732))</f>
        <v/>
      </c>
      <c r="L1732" s="67"/>
      <c r="M1732" s="67"/>
      <c r="N1732" s="67"/>
      <c r="O1732" s="67"/>
      <c r="P1732" s="85" t="str">
        <f aca="false">IF(AH1732="","",K1732+N(L1732)+N(M1732)+N(N1732)+N(O1732))</f>
        <v/>
      </c>
      <c r="Q1732" s="67"/>
      <c r="R1732" s="67"/>
      <c r="S1732" s="67"/>
      <c r="T1732" s="67"/>
      <c r="U1732" s="67"/>
      <c r="V1732" s="67"/>
      <c r="W1732" s="85" t="str">
        <f aca="false">IF(AH1732="","",N(Q1732)+N(R1732)+N(S1732)+N(T1732)+N(U1732)+N(V1732))</f>
        <v/>
      </c>
      <c r="X1732" s="85" t="str">
        <f aca="false">IF(AH1732="","",P1732-W1732)</f>
        <v/>
      </c>
      <c r="Y1732" s="67"/>
      <c r="Z1732" s="70" t="str">
        <f aca="false">IF(OR(AH1732="",Y1732=""),"",IF(ABS(X1732-Y1732)&lt;=1,"✓ Cuadra","⚠ Diferencia $"&amp;FIXED(X1732-Y1732,0)))</f>
        <v/>
      </c>
      <c r="AA1732" s="72" t="str">
        <f aca="false">IF(AH1732="","",IFERROR(INDEX(C_TIPO,MATCH(C1732&amp;"-P"&amp;MAX(1,COUNTIFS(C_ID,C1732,C_DEFINE,"Sí",C_INICIO,"&lt;="&amp;EOMONTH(B1732,0))),C_CLAVE,0))&amp;"","Sin dato"))</f>
        <v/>
      </c>
      <c r="AB1732" s="71" t="str">
        <f aca="false">IF(AH1732="","",ROUND(MIN(K1732,TOPE_AFP_UF*AJ1732)*AK1732,0))</f>
        <v/>
      </c>
      <c r="AC1732" s="71" t="str">
        <f aca="false">IF(AH1732="","",ROUND(MIN(K1732,TOPE_AFC_UF*AJ1732)*IF(AA1732="Indefinido",AFC_EMP_INDEF,AFC_EMP_PF),0))</f>
        <v/>
      </c>
      <c r="AD1732" s="71" t="str">
        <f aca="false">IF(AH1732="","",ROUND(MIN(K1732,TOPE_AFP_UF*AJ1732)*(MUTUAL_BASICA+MUTUAL_ADIC+SANNA),0))</f>
        <v/>
      </c>
      <c r="AE1732" s="71" t="str">
        <f aca="false">IF(AH1732="","",P1732-N(N1732)+AB1732+AC1732+AD1732)</f>
        <v/>
      </c>
      <c r="AF1732" s="65"/>
      <c r="AG1732" s="64"/>
      <c r="AH1732" s="72" t="str">
        <f aca="false">IF(OR(B1732="",C1732=""),"",C1732&amp;"|"&amp;(YEAR(B1732)*100+MONTH(B1732)))</f>
        <v/>
      </c>
      <c r="AI1732" s="70" t="str">
        <f aca="false">IF(AH1732="","",IF(COUNTIF(L_CLAVE,AH1732)&gt;1,"⚠ Duplicado","OK"))</f>
        <v/>
      </c>
      <c r="AJ1732" s="86" t="str">
        <f aca="false">IF(AH1732="","",IF(SUMPRODUCT(MAX((IND_PER&lt;=B1732)*(IND_UF&lt;&gt;"")*IND_PER))=0,UF_HOY,INDEX(IND_UF,MATCH(SUMPRODUCT(MAX((IND_PER&lt;=B1732)*(IND_UF&lt;&gt;"")*IND_PER)),IND_PER,0))))</f>
        <v/>
      </c>
      <c r="AK1732" s="87" t="str">
        <f aca="false">IF(AH1732="","",IF(COUNTIF(TASA_DESDE,"&lt;="&amp;B1732)=0,INDEX(TASA_EMP,1),INDEX(TASA_EMP,COUNTIF(TASA_DESDE,"&lt;="&amp;B1732))))</f>
        <v/>
      </c>
    </row>
    <row r="1733" customFormat="false" ht="15" hidden="false" customHeight="false" outlineLevel="0" collapsed="false">
      <c r="B1733" s="78"/>
      <c r="C1733" s="64"/>
      <c r="D1733" s="72" t="str">
        <f aca="false">IF(C1733="","",IFERROR(INDEX(T_NOMBRE,MATCH(C1733,T_ID,0)),"⚠ ID no existe"))</f>
        <v/>
      </c>
      <c r="E1733" s="69"/>
      <c r="F1733" s="67"/>
      <c r="G1733" s="67"/>
      <c r="H1733" s="67"/>
      <c r="I1733" s="67"/>
      <c r="J1733" s="67"/>
      <c r="K1733" s="85" t="str">
        <f aca="false">IF(AH1733="","",N(F1733)+N(G1733)+N(H1733)-N(I1733)+N(J1733))</f>
        <v/>
      </c>
      <c r="L1733" s="67"/>
      <c r="M1733" s="67"/>
      <c r="N1733" s="67"/>
      <c r="O1733" s="67"/>
      <c r="P1733" s="85" t="str">
        <f aca="false">IF(AH1733="","",K1733+N(L1733)+N(M1733)+N(N1733)+N(O1733))</f>
        <v/>
      </c>
      <c r="Q1733" s="67"/>
      <c r="R1733" s="67"/>
      <c r="S1733" s="67"/>
      <c r="T1733" s="67"/>
      <c r="U1733" s="67"/>
      <c r="V1733" s="67"/>
      <c r="W1733" s="85" t="str">
        <f aca="false">IF(AH1733="","",N(Q1733)+N(R1733)+N(S1733)+N(T1733)+N(U1733)+N(V1733))</f>
        <v/>
      </c>
      <c r="X1733" s="85" t="str">
        <f aca="false">IF(AH1733="","",P1733-W1733)</f>
        <v/>
      </c>
      <c r="Y1733" s="67"/>
      <c r="Z1733" s="70" t="str">
        <f aca="false">IF(OR(AH1733="",Y1733=""),"",IF(ABS(X1733-Y1733)&lt;=1,"✓ Cuadra","⚠ Diferencia $"&amp;FIXED(X1733-Y1733,0)))</f>
        <v/>
      </c>
      <c r="AA1733" s="72" t="str">
        <f aca="false">IF(AH1733="","",IFERROR(INDEX(C_TIPO,MATCH(C1733&amp;"-P"&amp;MAX(1,COUNTIFS(C_ID,C1733,C_DEFINE,"Sí",C_INICIO,"&lt;="&amp;EOMONTH(B1733,0))),C_CLAVE,0))&amp;"","Sin dato"))</f>
        <v/>
      </c>
      <c r="AB1733" s="71" t="str">
        <f aca="false">IF(AH1733="","",ROUND(MIN(K1733,TOPE_AFP_UF*AJ1733)*AK1733,0))</f>
        <v/>
      </c>
      <c r="AC1733" s="71" t="str">
        <f aca="false">IF(AH1733="","",ROUND(MIN(K1733,TOPE_AFC_UF*AJ1733)*IF(AA1733="Indefinido",AFC_EMP_INDEF,AFC_EMP_PF),0))</f>
        <v/>
      </c>
      <c r="AD1733" s="71" t="str">
        <f aca="false">IF(AH1733="","",ROUND(MIN(K1733,TOPE_AFP_UF*AJ1733)*(MUTUAL_BASICA+MUTUAL_ADIC+SANNA),0))</f>
        <v/>
      </c>
      <c r="AE1733" s="71" t="str">
        <f aca="false">IF(AH1733="","",P1733-N(N1733)+AB1733+AC1733+AD1733)</f>
        <v/>
      </c>
      <c r="AF1733" s="65"/>
      <c r="AG1733" s="64"/>
      <c r="AH1733" s="72" t="str">
        <f aca="false">IF(OR(B1733="",C1733=""),"",C1733&amp;"|"&amp;(YEAR(B1733)*100+MONTH(B1733)))</f>
        <v/>
      </c>
      <c r="AI1733" s="70" t="str">
        <f aca="false">IF(AH1733="","",IF(COUNTIF(L_CLAVE,AH1733)&gt;1,"⚠ Duplicado","OK"))</f>
        <v/>
      </c>
      <c r="AJ1733" s="86" t="str">
        <f aca="false">IF(AH1733="","",IF(SUMPRODUCT(MAX((IND_PER&lt;=B1733)*(IND_UF&lt;&gt;"")*IND_PER))=0,UF_HOY,INDEX(IND_UF,MATCH(SUMPRODUCT(MAX((IND_PER&lt;=B1733)*(IND_UF&lt;&gt;"")*IND_PER)),IND_PER,0))))</f>
        <v/>
      </c>
      <c r="AK1733" s="87" t="str">
        <f aca="false">IF(AH1733="","",IF(COUNTIF(TASA_DESDE,"&lt;="&amp;B1733)=0,INDEX(TASA_EMP,1),INDEX(TASA_EMP,COUNTIF(TASA_DESDE,"&lt;="&amp;B1733))))</f>
        <v/>
      </c>
    </row>
    <row r="1734" customFormat="false" ht="15" hidden="false" customHeight="false" outlineLevel="0" collapsed="false">
      <c r="B1734" s="78"/>
      <c r="C1734" s="64"/>
      <c r="D1734" s="72" t="str">
        <f aca="false">IF(C1734="","",IFERROR(INDEX(T_NOMBRE,MATCH(C1734,T_ID,0)),"⚠ ID no existe"))</f>
        <v/>
      </c>
      <c r="E1734" s="69"/>
      <c r="F1734" s="67"/>
      <c r="G1734" s="67"/>
      <c r="H1734" s="67"/>
      <c r="I1734" s="67"/>
      <c r="J1734" s="67"/>
      <c r="K1734" s="85" t="str">
        <f aca="false">IF(AH1734="","",N(F1734)+N(G1734)+N(H1734)-N(I1734)+N(J1734))</f>
        <v/>
      </c>
      <c r="L1734" s="67"/>
      <c r="M1734" s="67"/>
      <c r="N1734" s="67"/>
      <c r="O1734" s="67"/>
      <c r="P1734" s="85" t="str">
        <f aca="false">IF(AH1734="","",K1734+N(L1734)+N(M1734)+N(N1734)+N(O1734))</f>
        <v/>
      </c>
      <c r="Q1734" s="67"/>
      <c r="R1734" s="67"/>
      <c r="S1734" s="67"/>
      <c r="T1734" s="67"/>
      <c r="U1734" s="67"/>
      <c r="V1734" s="67"/>
      <c r="W1734" s="85" t="str">
        <f aca="false">IF(AH1734="","",N(Q1734)+N(R1734)+N(S1734)+N(T1734)+N(U1734)+N(V1734))</f>
        <v/>
      </c>
      <c r="X1734" s="85" t="str">
        <f aca="false">IF(AH1734="","",P1734-W1734)</f>
        <v/>
      </c>
      <c r="Y1734" s="67"/>
      <c r="Z1734" s="70" t="str">
        <f aca="false">IF(OR(AH1734="",Y1734=""),"",IF(ABS(X1734-Y1734)&lt;=1,"✓ Cuadra","⚠ Diferencia $"&amp;FIXED(X1734-Y1734,0)))</f>
        <v/>
      </c>
      <c r="AA1734" s="72" t="str">
        <f aca="false">IF(AH1734="","",IFERROR(INDEX(C_TIPO,MATCH(C1734&amp;"-P"&amp;MAX(1,COUNTIFS(C_ID,C1734,C_DEFINE,"Sí",C_INICIO,"&lt;="&amp;EOMONTH(B1734,0))),C_CLAVE,0))&amp;"","Sin dato"))</f>
        <v/>
      </c>
      <c r="AB1734" s="71" t="str">
        <f aca="false">IF(AH1734="","",ROUND(MIN(K1734,TOPE_AFP_UF*AJ1734)*AK1734,0))</f>
        <v/>
      </c>
      <c r="AC1734" s="71" t="str">
        <f aca="false">IF(AH1734="","",ROUND(MIN(K1734,TOPE_AFC_UF*AJ1734)*IF(AA1734="Indefinido",AFC_EMP_INDEF,AFC_EMP_PF),0))</f>
        <v/>
      </c>
      <c r="AD1734" s="71" t="str">
        <f aca="false">IF(AH1734="","",ROUND(MIN(K1734,TOPE_AFP_UF*AJ1734)*(MUTUAL_BASICA+MUTUAL_ADIC+SANNA),0))</f>
        <v/>
      </c>
      <c r="AE1734" s="71" t="str">
        <f aca="false">IF(AH1734="","",P1734-N(N1734)+AB1734+AC1734+AD1734)</f>
        <v/>
      </c>
      <c r="AF1734" s="65"/>
      <c r="AG1734" s="64"/>
      <c r="AH1734" s="72" t="str">
        <f aca="false">IF(OR(B1734="",C1734=""),"",C1734&amp;"|"&amp;(YEAR(B1734)*100+MONTH(B1734)))</f>
        <v/>
      </c>
      <c r="AI1734" s="70" t="str">
        <f aca="false">IF(AH1734="","",IF(COUNTIF(L_CLAVE,AH1734)&gt;1,"⚠ Duplicado","OK"))</f>
        <v/>
      </c>
      <c r="AJ1734" s="86" t="str">
        <f aca="false">IF(AH1734="","",IF(SUMPRODUCT(MAX((IND_PER&lt;=B1734)*(IND_UF&lt;&gt;"")*IND_PER))=0,UF_HOY,INDEX(IND_UF,MATCH(SUMPRODUCT(MAX((IND_PER&lt;=B1734)*(IND_UF&lt;&gt;"")*IND_PER)),IND_PER,0))))</f>
        <v/>
      </c>
      <c r="AK1734" s="87" t="str">
        <f aca="false">IF(AH1734="","",IF(COUNTIF(TASA_DESDE,"&lt;="&amp;B1734)=0,INDEX(TASA_EMP,1),INDEX(TASA_EMP,COUNTIF(TASA_DESDE,"&lt;="&amp;B1734))))</f>
        <v/>
      </c>
    </row>
    <row r="1735" customFormat="false" ht="15" hidden="false" customHeight="false" outlineLevel="0" collapsed="false">
      <c r="B1735" s="78"/>
      <c r="C1735" s="64"/>
      <c r="D1735" s="72" t="str">
        <f aca="false">IF(C1735="","",IFERROR(INDEX(T_NOMBRE,MATCH(C1735,T_ID,0)),"⚠ ID no existe"))</f>
        <v/>
      </c>
      <c r="E1735" s="69"/>
      <c r="F1735" s="67"/>
      <c r="G1735" s="67"/>
      <c r="H1735" s="67"/>
      <c r="I1735" s="67"/>
      <c r="J1735" s="67"/>
      <c r="K1735" s="85" t="str">
        <f aca="false">IF(AH1735="","",N(F1735)+N(G1735)+N(H1735)-N(I1735)+N(J1735))</f>
        <v/>
      </c>
      <c r="L1735" s="67"/>
      <c r="M1735" s="67"/>
      <c r="N1735" s="67"/>
      <c r="O1735" s="67"/>
      <c r="P1735" s="85" t="str">
        <f aca="false">IF(AH1735="","",K1735+N(L1735)+N(M1735)+N(N1735)+N(O1735))</f>
        <v/>
      </c>
      <c r="Q1735" s="67"/>
      <c r="R1735" s="67"/>
      <c r="S1735" s="67"/>
      <c r="T1735" s="67"/>
      <c r="U1735" s="67"/>
      <c r="V1735" s="67"/>
      <c r="W1735" s="85" t="str">
        <f aca="false">IF(AH1735="","",N(Q1735)+N(R1735)+N(S1735)+N(T1735)+N(U1735)+N(V1735))</f>
        <v/>
      </c>
      <c r="X1735" s="85" t="str">
        <f aca="false">IF(AH1735="","",P1735-W1735)</f>
        <v/>
      </c>
      <c r="Y1735" s="67"/>
      <c r="Z1735" s="70" t="str">
        <f aca="false">IF(OR(AH1735="",Y1735=""),"",IF(ABS(X1735-Y1735)&lt;=1,"✓ Cuadra","⚠ Diferencia $"&amp;FIXED(X1735-Y1735,0)))</f>
        <v/>
      </c>
      <c r="AA1735" s="72" t="str">
        <f aca="false">IF(AH1735="","",IFERROR(INDEX(C_TIPO,MATCH(C1735&amp;"-P"&amp;MAX(1,COUNTIFS(C_ID,C1735,C_DEFINE,"Sí",C_INICIO,"&lt;="&amp;EOMONTH(B1735,0))),C_CLAVE,0))&amp;"","Sin dato"))</f>
        <v/>
      </c>
      <c r="AB1735" s="71" t="str">
        <f aca="false">IF(AH1735="","",ROUND(MIN(K1735,TOPE_AFP_UF*AJ1735)*AK1735,0))</f>
        <v/>
      </c>
      <c r="AC1735" s="71" t="str">
        <f aca="false">IF(AH1735="","",ROUND(MIN(K1735,TOPE_AFC_UF*AJ1735)*IF(AA1735="Indefinido",AFC_EMP_INDEF,AFC_EMP_PF),0))</f>
        <v/>
      </c>
      <c r="AD1735" s="71" t="str">
        <f aca="false">IF(AH1735="","",ROUND(MIN(K1735,TOPE_AFP_UF*AJ1735)*(MUTUAL_BASICA+MUTUAL_ADIC+SANNA),0))</f>
        <v/>
      </c>
      <c r="AE1735" s="71" t="str">
        <f aca="false">IF(AH1735="","",P1735-N(N1735)+AB1735+AC1735+AD1735)</f>
        <v/>
      </c>
      <c r="AF1735" s="65"/>
      <c r="AG1735" s="64"/>
      <c r="AH1735" s="72" t="str">
        <f aca="false">IF(OR(B1735="",C1735=""),"",C1735&amp;"|"&amp;(YEAR(B1735)*100+MONTH(B1735)))</f>
        <v/>
      </c>
      <c r="AI1735" s="70" t="str">
        <f aca="false">IF(AH1735="","",IF(COUNTIF(L_CLAVE,AH1735)&gt;1,"⚠ Duplicado","OK"))</f>
        <v/>
      </c>
      <c r="AJ1735" s="86" t="str">
        <f aca="false">IF(AH1735="","",IF(SUMPRODUCT(MAX((IND_PER&lt;=B1735)*(IND_UF&lt;&gt;"")*IND_PER))=0,UF_HOY,INDEX(IND_UF,MATCH(SUMPRODUCT(MAX((IND_PER&lt;=B1735)*(IND_UF&lt;&gt;"")*IND_PER)),IND_PER,0))))</f>
        <v/>
      </c>
      <c r="AK1735" s="87" t="str">
        <f aca="false">IF(AH1735="","",IF(COUNTIF(TASA_DESDE,"&lt;="&amp;B1735)=0,INDEX(TASA_EMP,1),INDEX(TASA_EMP,COUNTIF(TASA_DESDE,"&lt;="&amp;B1735))))</f>
        <v/>
      </c>
    </row>
    <row r="1736" customFormat="false" ht="15" hidden="false" customHeight="false" outlineLevel="0" collapsed="false">
      <c r="B1736" s="78"/>
      <c r="C1736" s="64"/>
      <c r="D1736" s="72" t="str">
        <f aca="false">IF(C1736="","",IFERROR(INDEX(T_NOMBRE,MATCH(C1736,T_ID,0)),"⚠ ID no existe"))</f>
        <v/>
      </c>
      <c r="E1736" s="69"/>
      <c r="F1736" s="67"/>
      <c r="G1736" s="67"/>
      <c r="H1736" s="67"/>
      <c r="I1736" s="67"/>
      <c r="J1736" s="67"/>
      <c r="K1736" s="85" t="str">
        <f aca="false">IF(AH1736="","",N(F1736)+N(G1736)+N(H1736)-N(I1736)+N(J1736))</f>
        <v/>
      </c>
      <c r="L1736" s="67"/>
      <c r="M1736" s="67"/>
      <c r="N1736" s="67"/>
      <c r="O1736" s="67"/>
      <c r="P1736" s="85" t="str">
        <f aca="false">IF(AH1736="","",K1736+N(L1736)+N(M1736)+N(N1736)+N(O1736))</f>
        <v/>
      </c>
      <c r="Q1736" s="67"/>
      <c r="R1736" s="67"/>
      <c r="S1736" s="67"/>
      <c r="T1736" s="67"/>
      <c r="U1736" s="67"/>
      <c r="V1736" s="67"/>
      <c r="W1736" s="85" t="str">
        <f aca="false">IF(AH1736="","",N(Q1736)+N(R1736)+N(S1736)+N(T1736)+N(U1736)+N(V1736))</f>
        <v/>
      </c>
      <c r="X1736" s="85" t="str">
        <f aca="false">IF(AH1736="","",P1736-W1736)</f>
        <v/>
      </c>
      <c r="Y1736" s="67"/>
      <c r="Z1736" s="70" t="str">
        <f aca="false">IF(OR(AH1736="",Y1736=""),"",IF(ABS(X1736-Y1736)&lt;=1,"✓ Cuadra","⚠ Diferencia $"&amp;FIXED(X1736-Y1736,0)))</f>
        <v/>
      </c>
      <c r="AA1736" s="72" t="str">
        <f aca="false">IF(AH1736="","",IFERROR(INDEX(C_TIPO,MATCH(C1736&amp;"-P"&amp;MAX(1,COUNTIFS(C_ID,C1736,C_DEFINE,"Sí",C_INICIO,"&lt;="&amp;EOMONTH(B1736,0))),C_CLAVE,0))&amp;"","Sin dato"))</f>
        <v/>
      </c>
      <c r="AB1736" s="71" t="str">
        <f aca="false">IF(AH1736="","",ROUND(MIN(K1736,TOPE_AFP_UF*AJ1736)*AK1736,0))</f>
        <v/>
      </c>
      <c r="AC1736" s="71" t="str">
        <f aca="false">IF(AH1736="","",ROUND(MIN(K1736,TOPE_AFC_UF*AJ1736)*IF(AA1736="Indefinido",AFC_EMP_INDEF,AFC_EMP_PF),0))</f>
        <v/>
      </c>
      <c r="AD1736" s="71" t="str">
        <f aca="false">IF(AH1736="","",ROUND(MIN(K1736,TOPE_AFP_UF*AJ1736)*(MUTUAL_BASICA+MUTUAL_ADIC+SANNA),0))</f>
        <v/>
      </c>
      <c r="AE1736" s="71" t="str">
        <f aca="false">IF(AH1736="","",P1736-N(N1736)+AB1736+AC1736+AD1736)</f>
        <v/>
      </c>
      <c r="AF1736" s="65"/>
      <c r="AG1736" s="64"/>
      <c r="AH1736" s="72" t="str">
        <f aca="false">IF(OR(B1736="",C1736=""),"",C1736&amp;"|"&amp;(YEAR(B1736)*100+MONTH(B1736)))</f>
        <v/>
      </c>
      <c r="AI1736" s="70" t="str">
        <f aca="false">IF(AH1736="","",IF(COUNTIF(L_CLAVE,AH1736)&gt;1,"⚠ Duplicado","OK"))</f>
        <v/>
      </c>
      <c r="AJ1736" s="86" t="str">
        <f aca="false">IF(AH1736="","",IF(SUMPRODUCT(MAX((IND_PER&lt;=B1736)*(IND_UF&lt;&gt;"")*IND_PER))=0,UF_HOY,INDEX(IND_UF,MATCH(SUMPRODUCT(MAX((IND_PER&lt;=B1736)*(IND_UF&lt;&gt;"")*IND_PER)),IND_PER,0))))</f>
        <v/>
      </c>
      <c r="AK1736" s="87" t="str">
        <f aca="false">IF(AH1736="","",IF(COUNTIF(TASA_DESDE,"&lt;="&amp;B1736)=0,INDEX(TASA_EMP,1),INDEX(TASA_EMP,COUNTIF(TASA_DESDE,"&lt;="&amp;B1736))))</f>
        <v/>
      </c>
    </row>
    <row r="1737" customFormat="false" ht="15" hidden="false" customHeight="false" outlineLevel="0" collapsed="false">
      <c r="B1737" s="78"/>
      <c r="C1737" s="64"/>
      <c r="D1737" s="72" t="str">
        <f aca="false">IF(C1737="","",IFERROR(INDEX(T_NOMBRE,MATCH(C1737,T_ID,0)),"⚠ ID no existe"))</f>
        <v/>
      </c>
      <c r="E1737" s="69"/>
      <c r="F1737" s="67"/>
      <c r="G1737" s="67"/>
      <c r="H1737" s="67"/>
      <c r="I1737" s="67"/>
      <c r="J1737" s="67"/>
      <c r="K1737" s="85" t="str">
        <f aca="false">IF(AH1737="","",N(F1737)+N(G1737)+N(H1737)-N(I1737)+N(J1737))</f>
        <v/>
      </c>
      <c r="L1737" s="67"/>
      <c r="M1737" s="67"/>
      <c r="N1737" s="67"/>
      <c r="O1737" s="67"/>
      <c r="P1737" s="85" t="str">
        <f aca="false">IF(AH1737="","",K1737+N(L1737)+N(M1737)+N(N1737)+N(O1737))</f>
        <v/>
      </c>
      <c r="Q1737" s="67"/>
      <c r="R1737" s="67"/>
      <c r="S1737" s="67"/>
      <c r="T1737" s="67"/>
      <c r="U1737" s="67"/>
      <c r="V1737" s="67"/>
      <c r="W1737" s="85" t="str">
        <f aca="false">IF(AH1737="","",N(Q1737)+N(R1737)+N(S1737)+N(T1737)+N(U1737)+N(V1737))</f>
        <v/>
      </c>
      <c r="X1737" s="85" t="str">
        <f aca="false">IF(AH1737="","",P1737-W1737)</f>
        <v/>
      </c>
      <c r="Y1737" s="67"/>
      <c r="Z1737" s="70" t="str">
        <f aca="false">IF(OR(AH1737="",Y1737=""),"",IF(ABS(X1737-Y1737)&lt;=1,"✓ Cuadra","⚠ Diferencia $"&amp;FIXED(X1737-Y1737,0)))</f>
        <v/>
      </c>
      <c r="AA1737" s="72" t="str">
        <f aca="false">IF(AH1737="","",IFERROR(INDEX(C_TIPO,MATCH(C1737&amp;"-P"&amp;MAX(1,COUNTIFS(C_ID,C1737,C_DEFINE,"Sí",C_INICIO,"&lt;="&amp;EOMONTH(B1737,0))),C_CLAVE,0))&amp;"","Sin dato"))</f>
        <v/>
      </c>
      <c r="AB1737" s="71" t="str">
        <f aca="false">IF(AH1737="","",ROUND(MIN(K1737,TOPE_AFP_UF*AJ1737)*AK1737,0))</f>
        <v/>
      </c>
      <c r="AC1737" s="71" t="str">
        <f aca="false">IF(AH1737="","",ROUND(MIN(K1737,TOPE_AFC_UF*AJ1737)*IF(AA1737="Indefinido",AFC_EMP_INDEF,AFC_EMP_PF),0))</f>
        <v/>
      </c>
      <c r="AD1737" s="71" t="str">
        <f aca="false">IF(AH1737="","",ROUND(MIN(K1737,TOPE_AFP_UF*AJ1737)*(MUTUAL_BASICA+MUTUAL_ADIC+SANNA),0))</f>
        <v/>
      </c>
      <c r="AE1737" s="71" t="str">
        <f aca="false">IF(AH1737="","",P1737-N(N1737)+AB1737+AC1737+AD1737)</f>
        <v/>
      </c>
      <c r="AF1737" s="65"/>
      <c r="AG1737" s="64"/>
      <c r="AH1737" s="72" t="str">
        <f aca="false">IF(OR(B1737="",C1737=""),"",C1737&amp;"|"&amp;(YEAR(B1737)*100+MONTH(B1737)))</f>
        <v/>
      </c>
      <c r="AI1737" s="70" t="str">
        <f aca="false">IF(AH1737="","",IF(COUNTIF(L_CLAVE,AH1737)&gt;1,"⚠ Duplicado","OK"))</f>
        <v/>
      </c>
      <c r="AJ1737" s="86" t="str">
        <f aca="false">IF(AH1737="","",IF(SUMPRODUCT(MAX((IND_PER&lt;=B1737)*(IND_UF&lt;&gt;"")*IND_PER))=0,UF_HOY,INDEX(IND_UF,MATCH(SUMPRODUCT(MAX((IND_PER&lt;=B1737)*(IND_UF&lt;&gt;"")*IND_PER)),IND_PER,0))))</f>
        <v/>
      </c>
      <c r="AK1737" s="87" t="str">
        <f aca="false">IF(AH1737="","",IF(COUNTIF(TASA_DESDE,"&lt;="&amp;B1737)=0,INDEX(TASA_EMP,1),INDEX(TASA_EMP,COUNTIF(TASA_DESDE,"&lt;="&amp;B1737))))</f>
        <v/>
      </c>
    </row>
    <row r="1738" customFormat="false" ht="15" hidden="false" customHeight="false" outlineLevel="0" collapsed="false">
      <c r="B1738" s="78"/>
      <c r="C1738" s="64"/>
      <c r="D1738" s="72" t="str">
        <f aca="false">IF(C1738="","",IFERROR(INDEX(T_NOMBRE,MATCH(C1738,T_ID,0)),"⚠ ID no existe"))</f>
        <v/>
      </c>
      <c r="E1738" s="69"/>
      <c r="F1738" s="67"/>
      <c r="G1738" s="67"/>
      <c r="H1738" s="67"/>
      <c r="I1738" s="67"/>
      <c r="J1738" s="67"/>
      <c r="K1738" s="85" t="str">
        <f aca="false">IF(AH1738="","",N(F1738)+N(G1738)+N(H1738)-N(I1738)+N(J1738))</f>
        <v/>
      </c>
      <c r="L1738" s="67"/>
      <c r="M1738" s="67"/>
      <c r="N1738" s="67"/>
      <c r="O1738" s="67"/>
      <c r="P1738" s="85" t="str">
        <f aca="false">IF(AH1738="","",K1738+N(L1738)+N(M1738)+N(N1738)+N(O1738))</f>
        <v/>
      </c>
      <c r="Q1738" s="67"/>
      <c r="R1738" s="67"/>
      <c r="S1738" s="67"/>
      <c r="T1738" s="67"/>
      <c r="U1738" s="67"/>
      <c r="V1738" s="67"/>
      <c r="W1738" s="85" t="str">
        <f aca="false">IF(AH1738="","",N(Q1738)+N(R1738)+N(S1738)+N(T1738)+N(U1738)+N(V1738))</f>
        <v/>
      </c>
      <c r="X1738" s="85" t="str">
        <f aca="false">IF(AH1738="","",P1738-W1738)</f>
        <v/>
      </c>
      <c r="Y1738" s="67"/>
      <c r="Z1738" s="70" t="str">
        <f aca="false">IF(OR(AH1738="",Y1738=""),"",IF(ABS(X1738-Y1738)&lt;=1,"✓ Cuadra","⚠ Diferencia $"&amp;FIXED(X1738-Y1738,0)))</f>
        <v/>
      </c>
      <c r="AA1738" s="72" t="str">
        <f aca="false">IF(AH1738="","",IFERROR(INDEX(C_TIPO,MATCH(C1738&amp;"-P"&amp;MAX(1,COUNTIFS(C_ID,C1738,C_DEFINE,"Sí",C_INICIO,"&lt;="&amp;EOMONTH(B1738,0))),C_CLAVE,0))&amp;"","Sin dato"))</f>
        <v/>
      </c>
      <c r="AB1738" s="71" t="str">
        <f aca="false">IF(AH1738="","",ROUND(MIN(K1738,TOPE_AFP_UF*AJ1738)*AK1738,0))</f>
        <v/>
      </c>
      <c r="AC1738" s="71" t="str">
        <f aca="false">IF(AH1738="","",ROUND(MIN(K1738,TOPE_AFC_UF*AJ1738)*IF(AA1738="Indefinido",AFC_EMP_INDEF,AFC_EMP_PF),0))</f>
        <v/>
      </c>
      <c r="AD1738" s="71" t="str">
        <f aca="false">IF(AH1738="","",ROUND(MIN(K1738,TOPE_AFP_UF*AJ1738)*(MUTUAL_BASICA+MUTUAL_ADIC+SANNA),0))</f>
        <v/>
      </c>
      <c r="AE1738" s="71" t="str">
        <f aca="false">IF(AH1738="","",P1738-N(N1738)+AB1738+AC1738+AD1738)</f>
        <v/>
      </c>
      <c r="AF1738" s="65"/>
      <c r="AG1738" s="64"/>
      <c r="AH1738" s="72" t="str">
        <f aca="false">IF(OR(B1738="",C1738=""),"",C1738&amp;"|"&amp;(YEAR(B1738)*100+MONTH(B1738)))</f>
        <v/>
      </c>
      <c r="AI1738" s="70" t="str">
        <f aca="false">IF(AH1738="","",IF(COUNTIF(L_CLAVE,AH1738)&gt;1,"⚠ Duplicado","OK"))</f>
        <v/>
      </c>
      <c r="AJ1738" s="86" t="str">
        <f aca="false">IF(AH1738="","",IF(SUMPRODUCT(MAX((IND_PER&lt;=B1738)*(IND_UF&lt;&gt;"")*IND_PER))=0,UF_HOY,INDEX(IND_UF,MATCH(SUMPRODUCT(MAX((IND_PER&lt;=B1738)*(IND_UF&lt;&gt;"")*IND_PER)),IND_PER,0))))</f>
        <v/>
      </c>
      <c r="AK1738" s="87" t="str">
        <f aca="false">IF(AH1738="","",IF(COUNTIF(TASA_DESDE,"&lt;="&amp;B1738)=0,INDEX(TASA_EMP,1),INDEX(TASA_EMP,COUNTIF(TASA_DESDE,"&lt;="&amp;B1738))))</f>
        <v/>
      </c>
    </row>
    <row r="1739" customFormat="false" ht="15" hidden="false" customHeight="false" outlineLevel="0" collapsed="false">
      <c r="B1739" s="78"/>
      <c r="C1739" s="64"/>
      <c r="D1739" s="72" t="str">
        <f aca="false">IF(C1739="","",IFERROR(INDEX(T_NOMBRE,MATCH(C1739,T_ID,0)),"⚠ ID no existe"))</f>
        <v/>
      </c>
      <c r="E1739" s="69"/>
      <c r="F1739" s="67"/>
      <c r="G1739" s="67"/>
      <c r="H1739" s="67"/>
      <c r="I1739" s="67"/>
      <c r="J1739" s="67"/>
      <c r="K1739" s="85" t="str">
        <f aca="false">IF(AH1739="","",N(F1739)+N(G1739)+N(H1739)-N(I1739)+N(J1739))</f>
        <v/>
      </c>
      <c r="L1739" s="67"/>
      <c r="M1739" s="67"/>
      <c r="N1739" s="67"/>
      <c r="O1739" s="67"/>
      <c r="P1739" s="85" t="str">
        <f aca="false">IF(AH1739="","",K1739+N(L1739)+N(M1739)+N(N1739)+N(O1739))</f>
        <v/>
      </c>
      <c r="Q1739" s="67"/>
      <c r="R1739" s="67"/>
      <c r="S1739" s="67"/>
      <c r="T1739" s="67"/>
      <c r="U1739" s="67"/>
      <c r="V1739" s="67"/>
      <c r="W1739" s="85" t="str">
        <f aca="false">IF(AH1739="","",N(Q1739)+N(R1739)+N(S1739)+N(T1739)+N(U1739)+N(V1739))</f>
        <v/>
      </c>
      <c r="X1739" s="85" t="str">
        <f aca="false">IF(AH1739="","",P1739-W1739)</f>
        <v/>
      </c>
      <c r="Y1739" s="67"/>
      <c r="Z1739" s="70" t="str">
        <f aca="false">IF(OR(AH1739="",Y1739=""),"",IF(ABS(X1739-Y1739)&lt;=1,"✓ Cuadra","⚠ Diferencia $"&amp;FIXED(X1739-Y1739,0)))</f>
        <v/>
      </c>
      <c r="AA1739" s="72" t="str">
        <f aca="false">IF(AH1739="","",IFERROR(INDEX(C_TIPO,MATCH(C1739&amp;"-P"&amp;MAX(1,COUNTIFS(C_ID,C1739,C_DEFINE,"Sí",C_INICIO,"&lt;="&amp;EOMONTH(B1739,0))),C_CLAVE,0))&amp;"","Sin dato"))</f>
        <v/>
      </c>
      <c r="AB1739" s="71" t="str">
        <f aca="false">IF(AH1739="","",ROUND(MIN(K1739,TOPE_AFP_UF*AJ1739)*AK1739,0))</f>
        <v/>
      </c>
      <c r="AC1739" s="71" t="str">
        <f aca="false">IF(AH1739="","",ROUND(MIN(K1739,TOPE_AFC_UF*AJ1739)*IF(AA1739="Indefinido",AFC_EMP_INDEF,AFC_EMP_PF),0))</f>
        <v/>
      </c>
      <c r="AD1739" s="71" t="str">
        <f aca="false">IF(AH1739="","",ROUND(MIN(K1739,TOPE_AFP_UF*AJ1739)*(MUTUAL_BASICA+MUTUAL_ADIC+SANNA),0))</f>
        <v/>
      </c>
      <c r="AE1739" s="71" t="str">
        <f aca="false">IF(AH1739="","",P1739-N(N1739)+AB1739+AC1739+AD1739)</f>
        <v/>
      </c>
      <c r="AF1739" s="65"/>
      <c r="AG1739" s="64"/>
      <c r="AH1739" s="72" t="str">
        <f aca="false">IF(OR(B1739="",C1739=""),"",C1739&amp;"|"&amp;(YEAR(B1739)*100+MONTH(B1739)))</f>
        <v/>
      </c>
      <c r="AI1739" s="70" t="str">
        <f aca="false">IF(AH1739="","",IF(COUNTIF(L_CLAVE,AH1739)&gt;1,"⚠ Duplicado","OK"))</f>
        <v/>
      </c>
      <c r="AJ1739" s="86" t="str">
        <f aca="false">IF(AH1739="","",IF(SUMPRODUCT(MAX((IND_PER&lt;=B1739)*(IND_UF&lt;&gt;"")*IND_PER))=0,UF_HOY,INDEX(IND_UF,MATCH(SUMPRODUCT(MAX((IND_PER&lt;=B1739)*(IND_UF&lt;&gt;"")*IND_PER)),IND_PER,0))))</f>
        <v/>
      </c>
      <c r="AK1739" s="87" t="str">
        <f aca="false">IF(AH1739="","",IF(COUNTIF(TASA_DESDE,"&lt;="&amp;B1739)=0,INDEX(TASA_EMP,1),INDEX(TASA_EMP,COUNTIF(TASA_DESDE,"&lt;="&amp;B1739))))</f>
        <v/>
      </c>
    </row>
    <row r="1740" customFormat="false" ht="15" hidden="false" customHeight="false" outlineLevel="0" collapsed="false">
      <c r="B1740" s="78"/>
      <c r="C1740" s="64"/>
      <c r="D1740" s="72" t="str">
        <f aca="false">IF(C1740="","",IFERROR(INDEX(T_NOMBRE,MATCH(C1740,T_ID,0)),"⚠ ID no existe"))</f>
        <v/>
      </c>
      <c r="E1740" s="69"/>
      <c r="F1740" s="67"/>
      <c r="G1740" s="67"/>
      <c r="H1740" s="67"/>
      <c r="I1740" s="67"/>
      <c r="J1740" s="67"/>
      <c r="K1740" s="85" t="str">
        <f aca="false">IF(AH1740="","",N(F1740)+N(G1740)+N(H1740)-N(I1740)+N(J1740))</f>
        <v/>
      </c>
      <c r="L1740" s="67"/>
      <c r="M1740" s="67"/>
      <c r="N1740" s="67"/>
      <c r="O1740" s="67"/>
      <c r="P1740" s="85" t="str">
        <f aca="false">IF(AH1740="","",K1740+N(L1740)+N(M1740)+N(N1740)+N(O1740))</f>
        <v/>
      </c>
      <c r="Q1740" s="67"/>
      <c r="R1740" s="67"/>
      <c r="S1740" s="67"/>
      <c r="T1740" s="67"/>
      <c r="U1740" s="67"/>
      <c r="V1740" s="67"/>
      <c r="W1740" s="85" t="str">
        <f aca="false">IF(AH1740="","",N(Q1740)+N(R1740)+N(S1740)+N(T1740)+N(U1740)+N(V1740))</f>
        <v/>
      </c>
      <c r="X1740" s="85" t="str">
        <f aca="false">IF(AH1740="","",P1740-W1740)</f>
        <v/>
      </c>
      <c r="Y1740" s="67"/>
      <c r="Z1740" s="70" t="str">
        <f aca="false">IF(OR(AH1740="",Y1740=""),"",IF(ABS(X1740-Y1740)&lt;=1,"✓ Cuadra","⚠ Diferencia $"&amp;FIXED(X1740-Y1740,0)))</f>
        <v/>
      </c>
      <c r="AA1740" s="72" t="str">
        <f aca="false">IF(AH1740="","",IFERROR(INDEX(C_TIPO,MATCH(C1740&amp;"-P"&amp;MAX(1,COUNTIFS(C_ID,C1740,C_DEFINE,"Sí",C_INICIO,"&lt;="&amp;EOMONTH(B1740,0))),C_CLAVE,0))&amp;"","Sin dato"))</f>
        <v/>
      </c>
      <c r="AB1740" s="71" t="str">
        <f aca="false">IF(AH1740="","",ROUND(MIN(K1740,TOPE_AFP_UF*AJ1740)*AK1740,0))</f>
        <v/>
      </c>
      <c r="AC1740" s="71" t="str">
        <f aca="false">IF(AH1740="","",ROUND(MIN(K1740,TOPE_AFC_UF*AJ1740)*IF(AA1740="Indefinido",AFC_EMP_INDEF,AFC_EMP_PF),0))</f>
        <v/>
      </c>
      <c r="AD1740" s="71" t="str">
        <f aca="false">IF(AH1740="","",ROUND(MIN(K1740,TOPE_AFP_UF*AJ1740)*(MUTUAL_BASICA+MUTUAL_ADIC+SANNA),0))</f>
        <v/>
      </c>
      <c r="AE1740" s="71" t="str">
        <f aca="false">IF(AH1740="","",P1740-N(N1740)+AB1740+AC1740+AD1740)</f>
        <v/>
      </c>
      <c r="AF1740" s="65"/>
      <c r="AG1740" s="64"/>
      <c r="AH1740" s="72" t="str">
        <f aca="false">IF(OR(B1740="",C1740=""),"",C1740&amp;"|"&amp;(YEAR(B1740)*100+MONTH(B1740)))</f>
        <v/>
      </c>
      <c r="AI1740" s="70" t="str">
        <f aca="false">IF(AH1740="","",IF(COUNTIF(L_CLAVE,AH1740)&gt;1,"⚠ Duplicado","OK"))</f>
        <v/>
      </c>
      <c r="AJ1740" s="86" t="str">
        <f aca="false">IF(AH1740="","",IF(SUMPRODUCT(MAX((IND_PER&lt;=B1740)*(IND_UF&lt;&gt;"")*IND_PER))=0,UF_HOY,INDEX(IND_UF,MATCH(SUMPRODUCT(MAX((IND_PER&lt;=B1740)*(IND_UF&lt;&gt;"")*IND_PER)),IND_PER,0))))</f>
        <v/>
      </c>
      <c r="AK1740" s="87" t="str">
        <f aca="false">IF(AH1740="","",IF(COUNTIF(TASA_DESDE,"&lt;="&amp;B1740)=0,INDEX(TASA_EMP,1),INDEX(TASA_EMP,COUNTIF(TASA_DESDE,"&lt;="&amp;B1740))))</f>
        <v/>
      </c>
    </row>
    <row r="1741" customFormat="false" ht="15" hidden="false" customHeight="false" outlineLevel="0" collapsed="false">
      <c r="B1741" s="78"/>
      <c r="C1741" s="64"/>
      <c r="D1741" s="72" t="str">
        <f aca="false">IF(C1741="","",IFERROR(INDEX(T_NOMBRE,MATCH(C1741,T_ID,0)),"⚠ ID no existe"))</f>
        <v/>
      </c>
      <c r="E1741" s="69"/>
      <c r="F1741" s="67"/>
      <c r="G1741" s="67"/>
      <c r="H1741" s="67"/>
      <c r="I1741" s="67"/>
      <c r="J1741" s="67"/>
      <c r="K1741" s="85" t="str">
        <f aca="false">IF(AH1741="","",N(F1741)+N(G1741)+N(H1741)-N(I1741)+N(J1741))</f>
        <v/>
      </c>
      <c r="L1741" s="67"/>
      <c r="M1741" s="67"/>
      <c r="N1741" s="67"/>
      <c r="O1741" s="67"/>
      <c r="P1741" s="85" t="str">
        <f aca="false">IF(AH1741="","",K1741+N(L1741)+N(M1741)+N(N1741)+N(O1741))</f>
        <v/>
      </c>
      <c r="Q1741" s="67"/>
      <c r="R1741" s="67"/>
      <c r="S1741" s="67"/>
      <c r="T1741" s="67"/>
      <c r="U1741" s="67"/>
      <c r="V1741" s="67"/>
      <c r="W1741" s="85" t="str">
        <f aca="false">IF(AH1741="","",N(Q1741)+N(R1741)+N(S1741)+N(T1741)+N(U1741)+N(V1741))</f>
        <v/>
      </c>
      <c r="X1741" s="85" t="str">
        <f aca="false">IF(AH1741="","",P1741-W1741)</f>
        <v/>
      </c>
      <c r="Y1741" s="67"/>
      <c r="Z1741" s="70" t="str">
        <f aca="false">IF(OR(AH1741="",Y1741=""),"",IF(ABS(X1741-Y1741)&lt;=1,"✓ Cuadra","⚠ Diferencia $"&amp;FIXED(X1741-Y1741,0)))</f>
        <v/>
      </c>
      <c r="AA1741" s="72" t="str">
        <f aca="false">IF(AH1741="","",IFERROR(INDEX(C_TIPO,MATCH(C1741&amp;"-P"&amp;MAX(1,COUNTIFS(C_ID,C1741,C_DEFINE,"Sí",C_INICIO,"&lt;="&amp;EOMONTH(B1741,0))),C_CLAVE,0))&amp;"","Sin dato"))</f>
        <v/>
      </c>
      <c r="AB1741" s="71" t="str">
        <f aca="false">IF(AH1741="","",ROUND(MIN(K1741,TOPE_AFP_UF*AJ1741)*AK1741,0))</f>
        <v/>
      </c>
      <c r="AC1741" s="71" t="str">
        <f aca="false">IF(AH1741="","",ROUND(MIN(K1741,TOPE_AFC_UF*AJ1741)*IF(AA1741="Indefinido",AFC_EMP_INDEF,AFC_EMP_PF),0))</f>
        <v/>
      </c>
      <c r="AD1741" s="71" t="str">
        <f aca="false">IF(AH1741="","",ROUND(MIN(K1741,TOPE_AFP_UF*AJ1741)*(MUTUAL_BASICA+MUTUAL_ADIC+SANNA),0))</f>
        <v/>
      </c>
      <c r="AE1741" s="71" t="str">
        <f aca="false">IF(AH1741="","",P1741-N(N1741)+AB1741+AC1741+AD1741)</f>
        <v/>
      </c>
      <c r="AF1741" s="65"/>
      <c r="AG1741" s="64"/>
      <c r="AH1741" s="72" t="str">
        <f aca="false">IF(OR(B1741="",C1741=""),"",C1741&amp;"|"&amp;(YEAR(B1741)*100+MONTH(B1741)))</f>
        <v/>
      </c>
      <c r="AI1741" s="70" t="str">
        <f aca="false">IF(AH1741="","",IF(COUNTIF(L_CLAVE,AH1741)&gt;1,"⚠ Duplicado","OK"))</f>
        <v/>
      </c>
      <c r="AJ1741" s="86" t="str">
        <f aca="false">IF(AH1741="","",IF(SUMPRODUCT(MAX((IND_PER&lt;=B1741)*(IND_UF&lt;&gt;"")*IND_PER))=0,UF_HOY,INDEX(IND_UF,MATCH(SUMPRODUCT(MAX((IND_PER&lt;=B1741)*(IND_UF&lt;&gt;"")*IND_PER)),IND_PER,0))))</f>
        <v/>
      </c>
      <c r="AK1741" s="87" t="str">
        <f aca="false">IF(AH1741="","",IF(COUNTIF(TASA_DESDE,"&lt;="&amp;B1741)=0,INDEX(TASA_EMP,1),INDEX(TASA_EMP,COUNTIF(TASA_DESDE,"&lt;="&amp;B1741))))</f>
        <v/>
      </c>
    </row>
    <row r="1742" customFormat="false" ht="15" hidden="false" customHeight="false" outlineLevel="0" collapsed="false">
      <c r="B1742" s="78"/>
      <c r="C1742" s="64"/>
      <c r="D1742" s="72" t="str">
        <f aca="false">IF(C1742="","",IFERROR(INDEX(T_NOMBRE,MATCH(C1742,T_ID,0)),"⚠ ID no existe"))</f>
        <v/>
      </c>
      <c r="E1742" s="69"/>
      <c r="F1742" s="67"/>
      <c r="G1742" s="67"/>
      <c r="H1742" s="67"/>
      <c r="I1742" s="67"/>
      <c r="J1742" s="67"/>
      <c r="K1742" s="85" t="str">
        <f aca="false">IF(AH1742="","",N(F1742)+N(G1742)+N(H1742)-N(I1742)+N(J1742))</f>
        <v/>
      </c>
      <c r="L1742" s="67"/>
      <c r="M1742" s="67"/>
      <c r="N1742" s="67"/>
      <c r="O1742" s="67"/>
      <c r="P1742" s="85" t="str">
        <f aca="false">IF(AH1742="","",K1742+N(L1742)+N(M1742)+N(N1742)+N(O1742))</f>
        <v/>
      </c>
      <c r="Q1742" s="67"/>
      <c r="R1742" s="67"/>
      <c r="S1742" s="67"/>
      <c r="T1742" s="67"/>
      <c r="U1742" s="67"/>
      <c r="V1742" s="67"/>
      <c r="W1742" s="85" t="str">
        <f aca="false">IF(AH1742="","",N(Q1742)+N(R1742)+N(S1742)+N(T1742)+N(U1742)+N(V1742))</f>
        <v/>
      </c>
      <c r="X1742" s="85" t="str">
        <f aca="false">IF(AH1742="","",P1742-W1742)</f>
        <v/>
      </c>
      <c r="Y1742" s="67"/>
      <c r="Z1742" s="70" t="str">
        <f aca="false">IF(OR(AH1742="",Y1742=""),"",IF(ABS(X1742-Y1742)&lt;=1,"✓ Cuadra","⚠ Diferencia $"&amp;FIXED(X1742-Y1742,0)))</f>
        <v/>
      </c>
      <c r="AA1742" s="72" t="str">
        <f aca="false">IF(AH1742="","",IFERROR(INDEX(C_TIPO,MATCH(C1742&amp;"-P"&amp;MAX(1,COUNTIFS(C_ID,C1742,C_DEFINE,"Sí",C_INICIO,"&lt;="&amp;EOMONTH(B1742,0))),C_CLAVE,0))&amp;"","Sin dato"))</f>
        <v/>
      </c>
      <c r="AB1742" s="71" t="str">
        <f aca="false">IF(AH1742="","",ROUND(MIN(K1742,TOPE_AFP_UF*AJ1742)*AK1742,0))</f>
        <v/>
      </c>
      <c r="AC1742" s="71" t="str">
        <f aca="false">IF(AH1742="","",ROUND(MIN(K1742,TOPE_AFC_UF*AJ1742)*IF(AA1742="Indefinido",AFC_EMP_INDEF,AFC_EMP_PF),0))</f>
        <v/>
      </c>
      <c r="AD1742" s="71" t="str">
        <f aca="false">IF(AH1742="","",ROUND(MIN(K1742,TOPE_AFP_UF*AJ1742)*(MUTUAL_BASICA+MUTUAL_ADIC+SANNA),0))</f>
        <v/>
      </c>
      <c r="AE1742" s="71" t="str">
        <f aca="false">IF(AH1742="","",P1742-N(N1742)+AB1742+AC1742+AD1742)</f>
        <v/>
      </c>
      <c r="AF1742" s="65"/>
      <c r="AG1742" s="64"/>
      <c r="AH1742" s="72" t="str">
        <f aca="false">IF(OR(B1742="",C1742=""),"",C1742&amp;"|"&amp;(YEAR(B1742)*100+MONTH(B1742)))</f>
        <v/>
      </c>
      <c r="AI1742" s="70" t="str">
        <f aca="false">IF(AH1742="","",IF(COUNTIF(L_CLAVE,AH1742)&gt;1,"⚠ Duplicado","OK"))</f>
        <v/>
      </c>
      <c r="AJ1742" s="86" t="str">
        <f aca="false">IF(AH1742="","",IF(SUMPRODUCT(MAX((IND_PER&lt;=B1742)*(IND_UF&lt;&gt;"")*IND_PER))=0,UF_HOY,INDEX(IND_UF,MATCH(SUMPRODUCT(MAX((IND_PER&lt;=B1742)*(IND_UF&lt;&gt;"")*IND_PER)),IND_PER,0))))</f>
        <v/>
      </c>
      <c r="AK1742" s="87" t="str">
        <f aca="false">IF(AH1742="","",IF(COUNTIF(TASA_DESDE,"&lt;="&amp;B1742)=0,INDEX(TASA_EMP,1),INDEX(TASA_EMP,COUNTIF(TASA_DESDE,"&lt;="&amp;B1742))))</f>
        <v/>
      </c>
    </row>
    <row r="1743" customFormat="false" ht="15" hidden="false" customHeight="false" outlineLevel="0" collapsed="false">
      <c r="B1743" s="78"/>
      <c r="C1743" s="64"/>
      <c r="D1743" s="72" t="str">
        <f aca="false">IF(C1743="","",IFERROR(INDEX(T_NOMBRE,MATCH(C1743,T_ID,0)),"⚠ ID no existe"))</f>
        <v/>
      </c>
      <c r="E1743" s="69"/>
      <c r="F1743" s="67"/>
      <c r="G1743" s="67"/>
      <c r="H1743" s="67"/>
      <c r="I1743" s="67"/>
      <c r="J1743" s="67"/>
      <c r="K1743" s="85" t="str">
        <f aca="false">IF(AH1743="","",N(F1743)+N(G1743)+N(H1743)-N(I1743)+N(J1743))</f>
        <v/>
      </c>
      <c r="L1743" s="67"/>
      <c r="M1743" s="67"/>
      <c r="N1743" s="67"/>
      <c r="O1743" s="67"/>
      <c r="P1743" s="85" t="str">
        <f aca="false">IF(AH1743="","",K1743+N(L1743)+N(M1743)+N(N1743)+N(O1743))</f>
        <v/>
      </c>
      <c r="Q1743" s="67"/>
      <c r="R1743" s="67"/>
      <c r="S1743" s="67"/>
      <c r="T1743" s="67"/>
      <c r="U1743" s="67"/>
      <c r="V1743" s="67"/>
      <c r="W1743" s="85" t="str">
        <f aca="false">IF(AH1743="","",N(Q1743)+N(R1743)+N(S1743)+N(T1743)+N(U1743)+N(V1743))</f>
        <v/>
      </c>
      <c r="X1743" s="85" t="str">
        <f aca="false">IF(AH1743="","",P1743-W1743)</f>
        <v/>
      </c>
      <c r="Y1743" s="67"/>
      <c r="Z1743" s="70" t="str">
        <f aca="false">IF(OR(AH1743="",Y1743=""),"",IF(ABS(X1743-Y1743)&lt;=1,"✓ Cuadra","⚠ Diferencia $"&amp;FIXED(X1743-Y1743,0)))</f>
        <v/>
      </c>
      <c r="AA1743" s="72" t="str">
        <f aca="false">IF(AH1743="","",IFERROR(INDEX(C_TIPO,MATCH(C1743&amp;"-P"&amp;MAX(1,COUNTIFS(C_ID,C1743,C_DEFINE,"Sí",C_INICIO,"&lt;="&amp;EOMONTH(B1743,0))),C_CLAVE,0))&amp;"","Sin dato"))</f>
        <v/>
      </c>
      <c r="AB1743" s="71" t="str">
        <f aca="false">IF(AH1743="","",ROUND(MIN(K1743,TOPE_AFP_UF*AJ1743)*AK1743,0))</f>
        <v/>
      </c>
      <c r="AC1743" s="71" t="str">
        <f aca="false">IF(AH1743="","",ROUND(MIN(K1743,TOPE_AFC_UF*AJ1743)*IF(AA1743="Indefinido",AFC_EMP_INDEF,AFC_EMP_PF),0))</f>
        <v/>
      </c>
      <c r="AD1743" s="71" t="str">
        <f aca="false">IF(AH1743="","",ROUND(MIN(K1743,TOPE_AFP_UF*AJ1743)*(MUTUAL_BASICA+MUTUAL_ADIC+SANNA),0))</f>
        <v/>
      </c>
      <c r="AE1743" s="71" t="str">
        <f aca="false">IF(AH1743="","",P1743-N(N1743)+AB1743+AC1743+AD1743)</f>
        <v/>
      </c>
      <c r="AF1743" s="65"/>
      <c r="AG1743" s="64"/>
      <c r="AH1743" s="72" t="str">
        <f aca="false">IF(OR(B1743="",C1743=""),"",C1743&amp;"|"&amp;(YEAR(B1743)*100+MONTH(B1743)))</f>
        <v/>
      </c>
      <c r="AI1743" s="70" t="str">
        <f aca="false">IF(AH1743="","",IF(COUNTIF(L_CLAVE,AH1743)&gt;1,"⚠ Duplicado","OK"))</f>
        <v/>
      </c>
      <c r="AJ1743" s="86" t="str">
        <f aca="false">IF(AH1743="","",IF(SUMPRODUCT(MAX((IND_PER&lt;=B1743)*(IND_UF&lt;&gt;"")*IND_PER))=0,UF_HOY,INDEX(IND_UF,MATCH(SUMPRODUCT(MAX((IND_PER&lt;=B1743)*(IND_UF&lt;&gt;"")*IND_PER)),IND_PER,0))))</f>
        <v/>
      </c>
      <c r="AK1743" s="87" t="str">
        <f aca="false">IF(AH1743="","",IF(COUNTIF(TASA_DESDE,"&lt;="&amp;B1743)=0,INDEX(TASA_EMP,1),INDEX(TASA_EMP,COUNTIF(TASA_DESDE,"&lt;="&amp;B1743))))</f>
        <v/>
      </c>
    </row>
    <row r="1744" customFormat="false" ht="15" hidden="false" customHeight="false" outlineLevel="0" collapsed="false">
      <c r="B1744" s="78"/>
      <c r="C1744" s="64"/>
      <c r="D1744" s="72" t="str">
        <f aca="false">IF(C1744="","",IFERROR(INDEX(T_NOMBRE,MATCH(C1744,T_ID,0)),"⚠ ID no existe"))</f>
        <v/>
      </c>
      <c r="E1744" s="69"/>
      <c r="F1744" s="67"/>
      <c r="G1744" s="67"/>
      <c r="H1744" s="67"/>
      <c r="I1744" s="67"/>
      <c r="J1744" s="67"/>
      <c r="K1744" s="85" t="str">
        <f aca="false">IF(AH1744="","",N(F1744)+N(G1744)+N(H1744)-N(I1744)+N(J1744))</f>
        <v/>
      </c>
      <c r="L1744" s="67"/>
      <c r="M1744" s="67"/>
      <c r="N1744" s="67"/>
      <c r="O1744" s="67"/>
      <c r="P1744" s="85" t="str">
        <f aca="false">IF(AH1744="","",K1744+N(L1744)+N(M1744)+N(N1744)+N(O1744))</f>
        <v/>
      </c>
      <c r="Q1744" s="67"/>
      <c r="R1744" s="67"/>
      <c r="S1744" s="67"/>
      <c r="T1744" s="67"/>
      <c r="U1744" s="67"/>
      <c r="V1744" s="67"/>
      <c r="W1744" s="85" t="str">
        <f aca="false">IF(AH1744="","",N(Q1744)+N(R1744)+N(S1744)+N(T1744)+N(U1744)+N(V1744))</f>
        <v/>
      </c>
      <c r="X1744" s="85" t="str">
        <f aca="false">IF(AH1744="","",P1744-W1744)</f>
        <v/>
      </c>
      <c r="Y1744" s="67"/>
      <c r="Z1744" s="70" t="str">
        <f aca="false">IF(OR(AH1744="",Y1744=""),"",IF(ABS(X1744-Y1744)&lt;=1,"✓ Cuadra","⚠ Diferencia $"&amp;FIXED(X1744-Y1744,0)))</f>
        <v/>
      </c>
      <c r="AA1744" s="72" t="str">
        <f aca="false">IF(AH1744="","",IFERROR(INDEX(C_TIPO,MATCH(C1744&amp;"-P"&amp;MAX(1,COUNTIFS(C_ID,C1744,C_DEFINE,"Sí",C_INICIO,"&lt;="&amp;EOMONTH(B1744,0))),C_CLAVE,0))&amp;"","Sin dato"))</f>
        <v/>
      </c>
      <c r="AB1744" s="71" t="str">
        <f aca="false">IF(AH1744="","",ROUND(MIN(K1744,TOPE_AFP_UF*AJ1744)*AK1744,0))</f>
        <v/>
      </c>
      <c r="AC1744" s="71" t="str">
        <f aca="false">IF(AH1744="","",ROUND(MIN(K1744,TOPE_AFC_UF*AJ1744)*IF(AA1744="Indefinido",AFC_EMP_INDEF,AFC_EMP_PF),0))</f>
        <v/>
      </c>
      <c r="AD1744" s="71" t="str">
        <f aca="false">IF(AH1744="","",ROUND(MIN(K1744,TOPE_AFP_UF*AJ1744)*(MUTUAL_BASICA+MUTUAL_ADIC+SANNA),0))</f>
        <v/>
      </c>
      <c r="AE1744" s="71" t="str">
        <f aca="false">IF(AH1744="","",P1744-N(N1744)+AB1744+AC1744+AD1744)</f>
        <v/>
      </c>
      <c r="AF1744" s="65"/>
      <c r="AG1744" s="64"/>
      <c r="AH1744" s="72" t="str">
        <f aca="false">IF(OR(B1744="",C1744=""),"",C1744&amp;"|"&amp;(YEAR(B1744)*100+MONTH(B1744)))</f>
        <v/>
      </c>
      <c r="AI1744" s="70" t="str">
        <f aca="false">IF(AH1744="","",IF(COUNTIF(L_CLAVE,AH1744)&gt;1,"⚠ Duplicado","OK"))</f>
        <v/>
      </c>
      <c r="AJ1744" s="86" t="str">
        <f aca="false">IF(AH1744="","",IF(SUMPRODUCT(MAX((IND_PER&lt;=B1744)*(IND_UF&lt;&gt;"")*IND_PER))=0,UF_HOY,INDEX(IND_UF,MATCH(SUMPRODUCT(MAX((IND_PER&lt;=B1744)*(IND_UF&lt;&gt;"")*IND_PER)),IND_PER,0))))</f>
        <v/>
      </c>
      <c r="AK1744" s="87" t="str">
        <f aca="false">IF(AH1744="","",IF(COUNTIF(TASA_DESDE,"&lt;="&amp;B1744)=0,INDEX(TASA_EMP,1),INDEX(TASA_EMP,COUNTIF(TASA_DESDE,"&lt;="&amp;B1744))))</f>
        <v/>
      </c>
    </row>
    <row r="1745" customFormat="false" ht="15" hidden="false" customHeight="false" outlineLevel="0" collapsed="false">
      <c r="B1745" s="78"/>
      <c r="C1745" s="64"/>
      <c r="D1745" s="72" t="str">
        <f aca="false">IF(C1745="","",IFERROR(INDEX(T_NOMBRE,MATCH(C1745,T_ID,0)),"⚠ ID no existe"))</f>
        <v/>
      </c>
      <c r="E1745" s="69"/>
      <c r="F1745" s="67"/>
      <c r="G1745" s="67"/>
      <c r="H1745" s="67"/>
      <c r="I1745" s="67"/>
      <c r="J1745" s="67"/>
      <c r="K1745" s="85" t="str">
        <f aca="false">IF(AH1745="","",N(F1745)+N(G1745)+N(H1745)-N(I1745)+N(J1745))</f>
        <v/>
      </c>
      <c r="L1745" s="67"/>
      <c r="M1745" s="67"/>
      <c r="N1745" s="67"/>
      <c r="O1745" s="67"/>
      <c r="P1745" s="85" t="str">
        <f aca="false">IF(AH1745="","",K1745+N(L1745)+N(M1745)+N(N1745)+N(O1745))</f>
        <v/>
      </c>
      <c r="Q1745" s="67"/>
      <c r="R1745" s="67"/>
      <c r="S1745" s="67"/>
      <c r="T1745" s="67"/>
      <c r="U1745" s="67"/>
      <c r="V1745" s="67"/>
      <c r="W1745" s="85" t="str">
        <f aca="false">IF(AH1745="","",N(Q1745)+N(R1745)+N(S1745)+N(T1745)+N(U1745)+N(V1745))</f>
        <v/>
      </c>
      <c r="X1745" s="85" t="str">
        <f aca="false">IF(AH1745="","",P1745-W1745)</f>
        <v/>
      </c>
      <c r="Y1745" s="67"/>
      <c r="Z1745" s="70" t="str">
        <f aca="false">IF(OR(AH1745="",Y1745=""),"",IF(ABS(X1745-Y1745)&lt;=1,"✓ Cuadra","⚠ Diferencia $"&amp;FIXED(X1745-Y1745,0)))</f>
        <v/>
      </c>
      <c r="AA1745" s="72" t="str">
        <f aca="false">IF(AH1745="","",IFERROR(INDEX(C_TIPO,MATCH(C1745&amp;"-P"&amp;MAX(1,COUNTIFS(C_ID,C1745,C_DEFINE,"Sí",C_INICIO,"&lt;="&amp;EOMONTH(B1745,0))),C_CLAVE,0))&amp;"","Sin dato"))</f>
        <v/>
      </c>
      <c r="AB1745" s="71" t="str">
        <f aca="false">IF(AH1745="","",ROUND(MIN(K1745,TOPE_AFP_UF*AJ1745)*AK1745,0))</f>
        <v/>
      </c>
      <c r="AC1745" s="71" t="str">
        <f aca="false">IF(AH1745="","",ROUND(MIN(K1745,TOPE_AFC_UF*AJ1745)*IF(AA1745="Indefinido",AFC_EMP_INDEF,AFC_EMP_PF),0))</f>
        <v/>
      </c>
      <c r="AD1745" s="71" t="str">
        <f aca="false">IF(AH1745="","",ROUND(MIN(K1745,TOPE_AFP_UF*AJ1745)*(MUTUAL_BASICA+MUTUAL_ADIC+SANNA),0))</f>
        <v/>
      </c>
      <c r="AE1745" s="71" t="str">
        <f aca="false">IF(AH1745="","",P1745-N(N1745)+AB1745+AC1745+AD1745)</f>
        <v/>
      </c>
      <c r="AF1745" s="65"/>
      <c r="AG1745" s="64"/>
      <c r="AH1745" s="72" t="str">
        <f aca="false">IF(OR(B1745="",C1745=""),"",C1745&amp;"|"&amp;(YEAR(B1745)*100+MONTH(B1745)))</f>
        <v/>
      </c>
      <c r="AI1745" s="70" t="str">
        <f aca="false">IF(AH1745="","",IF(COUNTIF(L_CLAVE,AH1745)&gt;1,"⚠ Duplicado","OK"))</f>
        <v/>
      </c>
      <c r="AJ1745" s="86" t="str">
        <f aca="false">IF(AH1745="","",IF(SUMPRODUCT(MAX((IND_PER&lt;=B1745)*(IND_UF&lt;&gt;"")*IND_PER))=0,UF_HOY,INDEX(IND_UF,MATCH(SUMPRODUCT(MAX((IND_PER&lt;=B1745)*(IND_UF&lt;&gt;"")*IND_PER)),IND_PER,0))))</f>
        <v/>
      </c>
      <c r="AK1745" s="87" t="str">
        <f aca="false">IF(AH1745="","",IF(COUNTIF(TASA_DESDE,"&lt;="&amp;B1745)=0,INDEX(TASA_EMP,1),INDEX(TASA_EMP,COUNTIF(TASA_DESDE,"&lt;="&amp;B1745))))</f>
        <v/>
      </c>
    </row>
    <row r="1746" customFormat="false" ht="15" hidden="false" customHeight="false" outlineLevel="0" collapsed="false">
      <c r="B1746" s="78"/>
      <c r="C1746" s="64"/>
      <c r="D1746" s="72" t="str">
        <f aca="false">IF(C1746="","",IFERROR(INDEX(T_NOMBRE,MATCH(C1746,T_ID,0)),"⚠ ID no existe"))</f>
        <v/>
      </c>
      <c r="E1746" s="69"/>
      <c r="F1746" s="67"/>
      <c r="G1746" s="67"/>
      <c r="H1746" s="67"/>
      <c r="I1746" s="67"/>
      <c r="J1746" s="67"/>
      <c r="K1746" s="85" t="str">
        <f aca="false">IF(AH1746="","",N(F1746)+N(G1746)+N(H1746)-N(I1746)+N(J1746))</f>
        <v/>
      </c>
      <c r="L1746" s="67"/>
      <c r="M1746" s="67"/>
      <c r="N1746" s="67"/>
      <c r="O1746" s="67"/>
      <c r="P1746" s="85" t="str">
        <f aca="false">IF(AH1746="","",K1746+N(L1746)+N(M1746)+N(N1746)+N(O1746))</f>
        <v/>
      </c>
      <c r="Q1746" s="67"/>
      <c r="R1746" s="67"/>
      <c r="S1746" s="67"/>
      <c r="T1746" s="67"/>
      <c r="U1746" s="67"/>
      <c r="V1746" s="67"/>
      <c r="W1746" s="85" t="str">
        <f aca="false">IF(AH1746="","",N(Q1746)+N(R1746)+N(S1746)+N(T1746)+N(U1746)+N(V1746))</f>
        <v/>
      </c>
      <c r="X1746" s="85" t="str">
        <f aca="false">IF(AH1746="","",P1746-W1746)</f>
        <v/>
      </c>
      <c r="Y1746" s="67"/>
      <c r="Z1746" s="70" t="str">
        <f aca="false">IF(OR(AH1746="",Y1746=""),"",IF(ABS(X1746-Y1746)&lt;=1,"✓ Cuadra","⚠ Diferencia $"&amp;FIXED(X1746-Y1746,0)))</f>
        <v/>
      </c>
      <c r="AA1746" s="72" t="str">
        <f aca="false">IF(AH1746="","",IFERROR(INDEX(C_TIPO,MATCH(C1746&amp;"-P"&amp;MAX(1,COUNTIFS(C_ID,C1746,C_DEFINE,"Sí",C_INICIO,"&lt;="&amp;EOMONTH(B1746,0))),C_CLAVE,0))&amp;"","Sin dato"))</f>
        <v/>
      </c>
      <c r="AB1746" s="71" t="str">
        <f aca="false">IF(AH1746="","",ROUND(MIN(K1746,TOPE_AFP_UF*AJ1746)*AK1746,0))</f>
        <v/>
      </c>
      <c r="AC1746" s="71" t="str">
        <f aca="false">IF(AH1746="","",ROUND(MIN(K1746,TOPE_AFC_UF*AJ1746)*IF(AA1746="Indefinido",AFC_EMP_INDEF,AFC_EMP_PF),0))</f>
        <v/>
      </c>
      <c r="AD1746" s="71" t="str">
        <f aca="false">IF(AH1746="","",ROUND(MIN(K1746,TOPE_AFP_UF*AJ1746)*(MUTUAL_BASICA+MUTUAL_ADIC+SANNA),0))</f>
        <v/>
      </c>
      <c r="AE1746" s="71" t="str">
        <f aca="false">IF(AH1746="","",P1746-N(N1746)+AB1746+AC1746+AD1746)</f>
        <v/>
      </c>
      <c r="AF1746" s="65"/>
      <c r="AG1746" s="64"/>
      <c r="AH1746" s="72" t="str">
        <f aca="false">IF(OR(B1746="",C1746=""),"",C1746&amp;"|"&amp;(YEAR(B1746)*100+MONTH(B1746)))</f>
        <v/>
      </c>
      <c r="AI1746" s="70" t="str">
        <f aca="false">IF(AH1746="","",IF(COUNTIF(L_CLAVE,AH1746)&gt;1,"⚠ Duplicado","OK"))</f>
        <v/>
      </c>
      <c r="AJ1746" s="86" t="str">
        <f aca="false">IF(AH1746="","",IF(SUMPRODUCT(MAX((IND_PER&lt;=B1746)*(IND_UF&lt;&gt;"")*IND_PER))=0,UF_HOY,INDEX(IND_UF,MATCH(SUMPRODUCT(MAX((IND_PER&lt;=B1746)*(IND_UF&lt;&gt;"")*IND_PER)),IND_PER,0))))</f>
        <v/>
      </c>
      <c r="AK1746" s="87" t="str">
        <f aca="false">IF(AH1746="","",IF(COUNTIF(TASA_DESDE,"&lt;="&amp;B1746)=0,INDEX(TASA_EMP,1),INDEX(TASA_EMP,COUNTIF(TASA_DESDE,"&lt;="&amp;B1746))))</f>
        <v/>
      </c>
    </row>
    <row r="1747" customFormat="false" ht="15" hidden="false" customHeight="false" outlineLevel="0" collapsed="false">
      <c r="B1747" s="78"/>
      <c r="C1747" s="64"/>
      <c r="D1747" s="72" t="str">
        <f aca="false">IF(C1747="","",IFERROR(INDEX(T_NOMBRE,MATCH(C1747,T_ID,0)),"⚠ ID no existe"))</f>
        <v/>
      </c>
      <c r="E1747" s="69"/>
      <c r="F1747" s="67"/>
      <c r="G1747" s="67"/>
      <c r="H1747" s="67"/>
      <c r="I1747" s="67"/>
      <c r="J1747" s="67"/>
      <c r="K1747" s="85" t="str">
        <f aca="false">IF(AH1747="","",N(F1747)+N(G1747)+N(H1747)-N(I1747)+N(J1747))</f>
        <v/>
      </c>
      <c r="L1747" s="67"/>
      <c r="M1747" s="67"/>
      <c r="N1747" s="67"/>
      <c r="O1747" s="67"/>
      <c r="P1747" s="85" t="str">
        <f aca="false">IF(AH1747="","",K1747+N(L1747)+N(M1747)+N(N1747)+N(O1747))</f>
        <v/>
      </c>
      <c r="Q1747" s="67"/>
      <c r="R1747" s="67"/>
      <c r="S1747" s="67"/>
      <c r="T1747" s="67"/>
      <c r="U1747" s="67"/>
      <c r="V1747" s="67"/>
      <c r="W1747" s="85" t="str">
        <f aca="false">IF(AH1747="","",N(Q1747)+N(R1747)+N(S1747)+N(T1747)+N(U1747)+N(V1747))</f>
        <v/>
      </c>
      <c r="X1747" s="85" t="str">
        <f aca="false">IF(AH1747="","",P1747-W1747)</f>
        <v/>
      </c>
      <c r="Y1747" s="67"/>
      <c r="Z1747" s="70" t="str">
        <f aca="false">IF(OR(AH1747="",Y1747=""),"",IF(ABS(X1747-Y1747)&lt;=1,"✓ Cuadra","⚠ Diferencia $"&amp;FIXED(X1747-Y1747,0)))</f>
        <v/>
      </c>
      <c r="AA1747" s="72" t="str">
        <f aca="false">IF(AH1747="","",IFERROR(INDEX(C_TIPO,MATCH(C1747&amp;"-P"&amp;MAX(1,COUNTIFS(C_ID,C1747,C_DEFINE,"Sí",C_INICIO,"&lt;="&amp;EOMONTH(B1747,0))),C_CLAVE,0))&amp;"","Sin dato"))</f>
        <v/>
      </c>
      <c r="AB1747" s="71" t="str">
        <f aca="false">IF(AH1747="","",ROUND(MIN(K1747,TOPE_AFP_UF*AJ1747)*AK1747,0))</f>
        <v/>
      </c>
      <c r="AC1747" s="71" t="str">
        <f aca="false">IF(AH1747="","",ROUND(MIN(K1747,TOPE_AFC_UF*AJ1747)*IF(AA1747="Indefinido",AFC_EMP_INDEF,AFC_EMP_PF),0))</f>
        <v/>
      </c>
      <c r="AD1747" s="71" t="str">
        <f aca="false">IF(AH1747="","",ROUND(MIN(K1747,TOPE_AFP_UF*AJ1747)*(MUTUAL_BASICA+MUTUAL_ADIC+SANNA),0))</f>
        <v/>
      </c>
      <c r="AE1747" s="71" t="str">
        <f aca="false">IF(AH1747="","",P1747-N(N1747)+AB1747+AC1747+AD1747)</f>
        <v/>
      </c>
      <c r="AF1747" s="65"/>
      <c r="AG1747" s="64"/>
      <c r="AH1747" s="72" t="str">
        <f aca="false">IF(OR(B1747="",C1747=""),"",C1747&amp;"|"&amp;(YEAR(B1747)*100+MONTH(B1747)))</f>
        <v/>
      </c>
      <c r="AI1747" s="70" t="str">
        <f aca="false">IF(AH1747="","",IF(COUNTIF(L_CLAVE,AH1747)&gt;1,"⚠ Duplicado","OK"))</f>
        <v/>
      </c>
      <c r="AJ1747" s="86" t="str">
        <f aca="false">IF(AH1747="","",IF(SUMPRODUCT(MAX((IND_PER&lt;=B1747)*(IND_UF&lt;&gt;"")*IND_PER))=0,UF_HOY,INDEX(IND_UF,MATCH(SUMPRODUCT(MAX((IND_PER&lt;=B1747)*(IND_UF&lt;&gt;"")*IND_PER)),IND_PER,0))))</f>
        <v/>
      </c>
      <c r="AK1747" s="87" t="str">
        <f aca="false">IF(AH1747="","",IF(COUNTIF(TASA_DESDE,"&lt;="&amp;B1747)=0,INDEX(TASA_EMP,1),INDEX(TASA_EMP,COUNTIF(TASA_DESDE,"&lt;="&amp;B1747))))</f>
        <v/>
      </c>
    </row>
    <row r="1748" customFormat="false" ht="15" hidden="false" customHeight="false" outlineLevel="0" collapsed="false">
      <c r="B1748" s="78"/>
      <c r="C1748" s="64"/>
      <c r="D1748" s="72" t="str">
        <f aca="false">IF(C1748="","",IFERROR(INDEX(T_NOMBRE,MATCH(C1748,T_ID,0)),"⚠ ID no existe"))</f>
        <v/>
      </c>
      <c r="E1748" s="69"/>
      <c r="F1748" s="67"/>
      <c r="G1748" s="67"/>
      <c r="H1748" s="67"/>
      <c r="I1748" s="67"/>
      <c r="J1748" s="67"/>
      <c r="K1748" s="85" t="str">
        <f aca="false">IF(AH1748="","",N(F1748)+N(G1748)+N(H1748)-N(I1748)+N(J1748))</f>
        <v/>
      </c>
      <c r="L1748" s="67"/>
      <c r="M1748" s="67"/>
      <c r="N1748" s="67"/>
      <c r="O1748" s="67"/>
      <c r="P1748" s="85" t="str">
        <f aca="false">IF(AH1748="","",K1748+N(L1748)+N(M1748)+N(N1748)+N(O1748))</f>
        <v/>
      </c>
      <c r="Q1748" s="67"/>
      <c r="R1748" s="67"/>
      <c r="S1748" s="67"/>
      <c r="T1748" s="67"/>
      <c r="U1748" s="67"/>
      <c r="V1748" s="67"/>
      <c r="W1748" s="85" t="str">
        <f aca="false">IF(AH1748="","",N(Q1748)+N(R1748)+N(S1748)+N(T1748)+N(U1748)+N(V1748))</f>
        <v/>
      </c>
      <c r="X1748" s="85" t="str">
        <f aca="false">IF(AH1748="","",P1748-W1748)</f>
        <v/>
      </c>
      <c r="Y1748" s="67"/>
      <c r="Z1748" s="70" t="str">
        <f aca="false">IF(OR(AH1748="",Y1748=""),"",IF(ABS(X1748-Y1748)&lt;=1,"✓ Cuadra","⚠ Diferencia $"&amp;FIXED(X1748-Y1748,0)))</f>
        <v/>
      </c>
      <c r="AA1748" s="72" t="str">
        <f aca="false">IF(AH1748="","",IFERROR(INDEX(C_TIPO,MATCH(C1748&amp;"-P"&amp;MAX(1,COUNTIFS(C_ID,C1748,C_DEFINE,"Sí",C_INICIO,"&lt;="&amp;EOMONTH(B1748,0))),C_CLAVE,0))&amp;"","Sin dato"))</f>
        <v/>
      </c>
      <c r="AB1748" s="71" t="str">
        <f aca="false">IF(AH1748="","",ROUND(MIN(K1748,TOPE_AFP_UF*AJ1748)*AK1748,0))</f>
        <v/>
      </c>
      <c r="AC1748" s="71" t="str">
        <f aca="false">IF(AH1748="","",ROUND(MIN(K1748,TOPE_AFC_UF*AJ1748)*IF(AA1748="Indefinido",AFC_EMP_INDEF,AFC_EMP_PF),0))</f>
        <v/>
      </c>
      <c r="AD1748" s="71" t="str">
        <f aca="false">IF(AH1748="","",ROUND(MIN(K1748,TOPE_AFP_UF*AJ1748)*(MUTUAL_BASICA+MUTUAL_ADIC+SANNA),0))</f>
        <v/>
      </c>
      <c r="AE1748" s="71" t="str">
        <f aca="false">IF(AH1748="","",P1748-N(N1748)+AB1748+AC1748+AD1748)</f>
        <v/>
      </c>
      <c r="AF1748" s="65"/>
      <c r="AG1748" s="64"/>
      <c r="AH1748" s="72" t="str">
        <f aca="false">IF(OR(B1748="",C1748=""),"",C1748&amp;"|"&amp;(YEAR(B1748)*100+MONTH(B1748)))</f>
        <v/>
      </c>
      <c r="AI1748" s="70" t="str">
        <f aca="false">IF(AH1748="","",IF(COUNTIF(L_CLAVE,AH1748)&gt;1,"⚠ Duplicado","OK"))</f>
        <v/>
      </c>
      <c r="AJ1748" s="86" t="str">
        <f aca="false">IF(AH1748="","",IF(SUMPRODUCT(MAX((IND_PER&lt;=B1748)*(IND_UF&lt;&gt;"")*IND_PER))=0,UF_HOY,INDEX(IND_UF,MATCH(SUMPRODUCT(MAX((IND_PER&lt;=B1748)*(IND_UF&lt;&gt;"")*IND_PER)),IND_PER,0))))</f>
        <v/>
      </c>
      <c r="AK1748" s="87" t="str">
        <f aca="false">IF(AH1748="","",IF(COUNTIF(TASA_DESDE,"&lt;="&amp;B1748)=0,INDEX(TASA_EMP,1),INDEX(TASA_EMP,COUNTIF(TASA_DESDE,"&lt;="&amp;B1748))))</f>
        <v/>
      </c>
    </row>
    <row r="1749" customFormat="false" ht="15" hidden="false" customHeight="false" outlineLevel="0" collapsed="false">
      <c r="B1749" s="78"/>
      <c r="C1749" s="64"/>
      <c r="D1749" s="72" t="str">
        <f aca="false">IF(C1749="","",IFERROR(INDEX(T_NOMBRE,MATCH(C1749,T_ID,0)),"⚠ ID no existe"))</f>
        <v/>
      </c>
      <c r="E1749" s="69"/>
      <c r="F1749" s="67"/>
      <c r="G1749" s="67"/>
      <c r="H1749" s="67"/>
      <c r="I1749" s="67"/>
      <c r="J1749" s="67"/>
      <c r="K1749" s="85" t="str">
        <f aca="false">IF(AH1749="","",N(F1749)+N(G1749)+N(H1749)-N(I1749)+N(J1749))</f>
        <v/>
      </c>
      <c r="L1749" s="67"/>
      <c r="M1749" s="67"/>
      <c r="N1749" s="67"/>
      <c r="O1749" s="67"/>
      <c r="P1749" s="85" t="str">
        <f aca="false">IF(AH1749="","",K1749+N(L1749)+N(M1749)+N(N1749)+N(O1749))</f>
        <v/>
      </c>
      <c r="Q1749" s="67"/>
      <c r="R1749" s="67"/>
      <c r="S1749" s="67"/>
      <c r="T1749" s="67"/>
      <c r="U1749" s="67"/>
      <c r="V1749" s="67"/>
      <c r="W1749" s="85" t="str">
        <f aca="false">IF(AH1749="","",N(Q1749)+N(R1749)+N(S1749)+N(T1749)+N(U1749)+N(V1749))</f>
        <v/>
      </c>
      <c r="X1749" s="85" t="str">
        <f aca="false">IF(AH1749="","",P1749-W1749)</f>
        <v/>
      </c>
      <c r="Y1749" s="67"/>
      <c r="Z1749" s="70" t="str">
        <f aca="false">IF(OR(AH1749="",Y1749=""),"",IF(ABS(X1749-Y1749)&lt;=1,"✓ Cuadra","⚠ Diferencia $"&amp;FIXED(X1749-Y1749,0)))</f>
        <v/>
      </c>
      <c r="AA1749" s="72" t="str">
        <f aca="false">IF(AH1749="","",IFERROR(INDEX(C_TIPO,MATCH(C1749&amp;"-P"&amp;MAX(1,COUNTIFS(C_ID,C1749,C_DEFINE,"Sí",C_INICIO,"&lt;="&amp;EOMONTH(B1749,0))),C_CLAVE,0))&amp;"","Sin dato"))</f>
        <v/>
      </c>
      <c r="AB1749" s="71" t="str">
        <f aca="false">IF(AH1749="","",ROUND(MIN(K1749,TOPE_AFP_UF*AJ1749)*AK1749,0))</f>
        <v/>
      </c>
      <c r="AC1749" s="71" t="str">
        <f aca="false">IF(AH1749="","",ROUND(MIN(K1749,TOPE_AFC_UF*AJ1749)*IF(AA1749="Indefinido",AFC_EMP_INDEF,AFC_EMP_PF),0))</f>
        <v/>
      </c>
      <c r="AD1749" s="71" t="str">
        <f aca="false">IF(AH1749="","",ROUND(MIN(K1749,TOPE_AFP_UF*AJ1749)*(MUTUAL_BASICA+MUTUAL_ADIC+SANNA),0))</f>
        <v/>
      </c>
      <c r="AE1749" s="71" t="str">
        <f aca="false">IF(AH1749="","",P1749-N(N1749)+AB1749+AC1749+AD1749)</f>
        <v/>
      </c>
      <c r="AF1749" s="65"/>
      <c r="AG1749" s="64"/>
      <c r="AH1749" s="72" t="str">
        <f aca="false">IF(OR(B1749="",C1749=""),"",C1749&amp;"|"&amp;(YEAR(B1749)*100+MONTH(B1749)))</f>
        <v/>
      </c>
      <c r="AI1749" s="70" t="str">
        <f aca="false">IF(AH1749="","",IF(COUNTIF(L_CLAVE,AH1749)&gt;1,"⚠ Duplicado","OK"))</f>
        <v/>
      </c>
      <c r="AJ1749" s="86" t="str">
        <f aca="false">IF(AH1749="","",IF(SUMPRODUCT(MAX((IND_PER&lt;=B1749)*(IND_UF&lt;&gt;"")*IND_PER))=0,UF_HOY,INDEX(IND_UF,MATCH(SUMPRODUCT(MAX((IND_PER&lt;=B1749)*(IND_UF&lt;&gt;"")*IND_PER)),IND_PER,0))))</f>
        <v/>
      </c>
      <c r="AK1749" s="87" t="str">
        <f aca="false">IF(AH1749="","",IF(COUNTIF(TASA_DESDE,"&lt;="&amp;B1749)=0,INDEX(TASA_EMP,1),INDEX(TASA_EMP,COUNTIF(TASA_DESDE,"&lt;="&amp;B1749))))</f>
        <v/>
      </c>
    </row>
    <row r="1750" customFormat="false" ht="15" hidden="false" customHeight="false" outlineLevel="0" collapsed="false">
      <c r="B1750" s="78"/>
      <c r="C1750" s="64"/>
      <c r="D1750" s="72" t="str">
        <f aca="false">IF(C1750="","",IFERROR(INDEX(T_NOMBRE,MATCH(C1750,T_ID,0)),"⚠ ID no existe"))</f>
        <v/>
      </c>
      <c r="E1750" s="69"/>
      <c r="F1750" s="67"/>
      <c r="G1750" s="67"/>
      <c r="H1750" s="67"/>
      <c r="I1750" s="67"/>
      <c r="J1750" s="67"/>
      <c r="K1750" s="85" t="str">
        <f aca="false">IF(AH1750="","",N(F1750)+N(G1750)+N(H1750)-N(I1750)+N(J1750))</f>
        <v/>
      </c>
      <c r="L1750" s="67"/>
      <c r="M1750" s="67"/>
      <c r="N1750" s="67"/>
      <c r="O1750" s="67"/>
      <c r="P1750" s="85" t="str">
        <f aca="false">IF(AH1750="","",K1750+N(L1750)+N(M1750)+N(N1750)+N(O1750))</f>
        <v/>
      </c>
      <c r="Q1750" s="67"/>
      <c r="R1750" s="67"/>
      <c r="S1750" s="67"/>
      <c r="T1750" s="67"/>
      <c r="U1750" s="67"/>
      <c r="V1750" s="67"/>
      <c r="W1750" s="85" t="str">
        <f aca="false">IF(AH1750="","",N(Q1750)+N(R1750)+N(S1750)+N(T1750)+N(U1750)+N(V1750))</f>
        <v/>
      </c>
      <c r="X1750" s="85" t="str">
        <f aca="false">IF(AH1750="","",P1750-W1750)</f>
        <v/>
      </c>
      <c r="Y1750" s="67"/>
      <c r="Z1750" s="70" t="str">
        <f aca="false">IF(OR(AH1750="",Y1750=""),"",IF(ABS(X1750-Y1750)&lt;=1,"✓ Cuadra","⚠ Diferencia $"&amp;FIXED(X1750-Y1750,0)))</f>
        <v/>
      </c>
      <c r="AA1750" s="72" t="str">
        <f aca="false">IF(AH1750="","",IFERROR(INDEX(C_TIPO,MATCH(C1750&amp;"-P"&amp;MAX(1,COUNTIFS(C_ID,C1750,C_DEFINE,"Sí",C_INICIO,"&lt;="&amp;EOMONTH(B1750,0))),C_CLAVE,0))&amp;"","Sin dato"))</f>
        <v/>
      </c>
      <c r="AB1750" s="71" t="str">
        <f aca="false">IF(AH1750="","",ROUND(MIN(K1750,TOPE_AFP_UF*AJ1750)*AK1750,0))</f>
        <v/>
      </c>
      <c r="AC1750" s="71" t="str">
        <f aca="false">IF(AH1750="","",ROUND(MIN(K1750,TOPE_AFC_UF*AJ1750)*IF(AA1750="Indefinido",AFC_EMP_INDEF,AFC_EMP_PF),0))</f>
        <v/>
      </c>
      <c r="AD1750" s="71" t="str">
        <f aca="false">IF(AH1750="","",ROUND(MIN(K1750,TOPE_AFP_UF*AJ1750)*(MUTUAL_BASICA+MUTUAL_ADIC+SANNA),0))</f>
        <v/>
      </c>
      <c r="AE1750" s="71" t="str">
        <f aca="false">IF(AH1750="","",P1750-N(N1750)+AB1750+AC1750+AD1750)</f>
        <v/>
      </c>
      <c r="AF1750" s="65"/>
      <c r="AG1750" s="64"/>
      <c r="AH1750" s="72" t="str">
        <f aca="false">IF(OR(B1750="",C1750=""),"",C1750&amp;"|"&amp;(YEAR(B1750)*100+MONTH(B1750)))</f>
        <v/>
      </c>
      <c r="AI1750" s="70" t="str">
        <f aca="false">IF(AH1750="","",IF(COUNTIF(L_CLAVE,AH1750)&gt;1,"⚠ Duplicado","OK"))</f>
        <v/>
      </c>
      <c r="AJ1750" s="86" t="str">
        <f aca="false">IF(AH1750="","",IF(SUMPRODUCT(MAX((IND_PER&lt;=B1750)*(IND_UF&lt;&gt;"")*IND_PER))=0,UF_HOY,INDEX(IND_UF,MATCH(SUMPRODUCT(MAX((IND_PER&lt;=B1750)*(IND_UF&lt;&gt;"")*IND_PER)),IND_PER,0))))</f>
        <v/>
      </c>
      <c r="AK1750" s="87" t="str">
        <f aca="false">IF(AH1750="","",IF(COUNTIF(TASA_DESDE,"&lt;="&amp;B1750)=0,INDEX(TASA_EMP,1),INDEX(TASA_EMP,COUNTIF(TASA_DESDE,"&lt;="&amp;B1750))))</f>
        <v/>
      </c>
    </row>
    <row r="1751" customFormat="false" ht="15" hidden="false" customHeight="false" outlineLevel="0" collapsed="false">
      <c r="B1751" s="78"/>
      <c r="C1751" s="64"/>
      <c r="D1751" s="72" t="str">
        <f aca="false">IF(C1751="","",IFERROR(INDEX(T_NOMBRE,MATCH(C1751,T_ID,0)),"⚠ ID no existe"))</f>
        <v/>
      </c>
      <c r="E1751" s="69"/>
      <c r="F1751" s="67"/>
      <c r="G1751" s="67"/>
      <c r="H1751" s="67"/>
      <c r="I1751" s="67"/>
      <c r="J1751" s="67"/>
      <c r="K1751" s="85" t="str">
        <f aca="false">IF(AH1751="","",N(F1751)+N(G1751)+N(H1751)-N(I1751)+N(J1751))</f>
        <v/>
      </c>
      <c r="L1751" s="67"/>
      <c r="M1751" s="67"/>
      <c r="N1751" s="67"/>
      <c r="O1751" s="67"/>
      <c r="P1751" s="85" t="str">
        <f aca="false">IF(AH1751="","",K1751+N(L1751)+N(M1751)+N(N1751)+N(O1751))</f>
        <v/>
      </c>
      <c r="Q1751" s="67"/>
      <c r="R1751" s="67"/>
      <c r="S1751" s="67"/>
      <c r="T1751" s="67"/>
      <c r="U1751" s="67"/>
      <c r="V1751" s="67"/>
      <c r="W1751" s="85" t="str">
        <f aca="false">IF(AH1751="","",N(Q1751)+N(R1751)+N(S1751)+N(T1751)+N(U1751)+N(V1751))</f>
        <v/>
      </c>
      <c r="X1751" s="85" t="str">
        <f aca="false">IF(AH1751="","",P1751-W1751)</f>
        <v/>
      </c>
      <c r="Y1751" s="67"/>
      <c r="Z1751" s="70" t="str">
        <f aca="false">IF(OR(AH1751="",Y1751=""),"",IF(ABS(X1751-Y1751)&lt;=1,"✓ Cuadra","⚠ Diferencia $"&amp;FIXED(X1751-Y1751,0)))</f>
        <v/>
      </c>
      <c r="AA1751" s="72" t="str">
        <f aca="false">IF(AH1751="","",IFERROR(INDEX(C_TIPO,MATCH(C1751&amp;"-P"&amp;MAX(1,COUNTIFS(C_ID,C1751,C_DEFINE,"Sí",C_INICIO,"&lt;="&amp;EOMONTH(B1751,0))),C_CLAVE,0))&amp;"","Sin dato"))</f>
        <v/>
      </c>
      <c r="AB1751" s="71" t="str">
        <f aca="false">IF(AH1751="","",ROUND(MIN(K1751,TOPE_AFP_UF*AJ1751)*AK1751,0))</f>
        <v/>
      </c>
      <c r="AC1751" s="71" t="str">
        <f aca="false">IF(AH1751="","",ROUND(MIN(K1751,TOPE_AFC_UF*AJ1751)*IF(AA1751="Indefinido",AFC_EMP_INDEF,AFC_EMP_PF),0))</f>
        <v/>
      </c>
      <c r="AD1751" s="71" t="str">
        <f aca="false">IF(AH1751="","",ROUND(MIN(K1751,TOPE_AFP_UF*AJ1751)*(MUTUAL_BASICA+MUTUAL_ADIC+SANNA),0))</f>
        <v/>
      </c>
      <c r="AE1751" s="71" t="str">
        <f aca="false">IF(AH1751="","",P1751-N(N1751)+AB1751+AC1751+AD1751)</f>
        <v/>
      </c>
      <c r="AF1751" s="65"/>
      <c r="AG1751" s="64"/>
      <c r="AH1751" s="72" t="str">
        <f aca="false">IF(OR(B1751="",C1751=""),"",C1751&amp;"|"&amp;(YEAR(B1751)*100+MONTH(B1751)))</f>
        <v/>
      </c>
      <c r="AI1751" s="70" t="str">
        <f aca="false">IF(AH1751="","",IF(COUNTIF(L_CLAVE,AH1751)&gt;1,"⚠ Duplicado","OK"))</f>
        <v/>
      </c>
      <c r="AJ1751" s="86" t="str">
        <f aca="false">IF(AH1751="","",IF(SUMPRODUCT(MAX((IND_PER&lt;=B1751)*(IND_UF&lt;&gt;"")*IND_PER))=0,UF_HOY,INDEX(IND_UF,MATCH(SUMPRODUCT(MAX((IND_PER&lt;=B1751)*(IND_UF&lt;&gt;"")*IND_PER)),IND_PER,0))))</f>
        <v/>
      </c>
      <c r="AK1751" s="87" t="str">
        <f aca="false">IF(AH1751="","",IF(COUNTIF(TASA_DESDE,"&lt;="&amp;B1751)=0,INDEX(TASA_EMP,1),INDEX(TASA_EMP,COUNTIF(TASA_DESDE,"&lt;="&amp;B1751))))</f>
        <v/>
      </c>
    </row>
    <row r="1752" customFormat="false" ht="15" hidden="false" customHeight="false" outlineLevel="0" collapsed="false">
      <c r="B1752" s="78"/>
      <c r="C1752" s="64"/>
      <c r="D1752" s="72" t="str">
        <f aca="false">IF(C1752="","",IFERROR(INDEX(T_NOMBRE,MATCH(C1752,T_ID,0)),"⚠ ID no existe"))</f>
        <v/>
      </c>
      <c r="E1752" s="69"/>
      <c r="F1752" s="67"/>
      <c r="G1752" s="67"/>
      <c r="H1752" s="67"/>
      <c r="I1752" s="67"/>
      <c r="J1752" s="67"/>
      <c r="K1752" s="85" t="str">
        <f aca="false">IF(AH1752="","",N(F1752)+N(G1752)+N(H1752)-N(I1752)+N(J1752))</f>
        <v/>
      </c>
      <c r="L1752" s="67"/>
      <c r="M1752" s="67"/>
      <c r="N1752" s="67"/>
      <c r="O1752" s="67"/>
      <c r="P1752" s="85" t="str">
        <f aca="false">IF(AH1752="","",K1752+N(L1752)+N(M1752)+N(N1752)+N(O1752))</f>
        <v/>
      </c>
      <c r="Q1752" s="67"/>
      <c r="R1752" s="67"/>
      <c r="S1752" s="67"/>
      <c r="T1752" s="67"/>
      <c r="U1752" s="67"/>
      <c r="V1752" s="67"/>
      <c r="W1752" s="85" t="str">
        <f aca="false">IF(AH1752="","",N(Q1752)+N(R1752)+N(S1752)+N(T1752)+N(U1752)+N(V1752))</f>
        <v/>
      </c>
      <c r="X1752" s="85" t="str">
        <f aca="false">IF(AH1752="","",P1752-W1752)</f>
        <v/>
      </c>
      <c r="Y1752" s="67"/>
      <c r="Z1752" s="70" t="str">
        <f aca="false">IF(OR(AH1752="",Y1752=""),"",IF(ABS(X1752-Y1752)&lt;=1,"✓ Cuadra","⚠ Diferencia $"&amp;FIXED(X1752-Y1752,0)))</f>
        <v/>
      </c>
      <c r="AA1752" s="72" t="str">
        <f aca="false">IF(AH1752="","",IFERROR(INDEX(C_TIPO,MATCH(C1752&amp;"-P"&amp;MAX(1,COUNTIFS(C_ID,C1752,C_DEFINE,"Sí",C_INICIO,"&lt;="&amp;EOMONTH(B1752,0))),C_CLAVE,0))&amp;"","Sin dato"))</f>
        <v/>
      </c>
      <c r="AB1752" s="71" t="str">
        <f aca="false">IF(AH1752="","",ROUND(MIN(K1752,TOPE_AFP_UF*AJ1752)*AK1752,0))</f>
        <v/>
      </c>
      <c r="AC1752" s="71" t="str">
        <f aca="false">IF(AH1752="","",ROUND(MIN(K1752,TOPE_AFC_UF*AJ1752)*IF(AA1752="Indefinido",AFC_EMP_INDEF,AFC_EMP_PF),0))</f>
        <v/>
      </c>
      <c r="AD1752" s="71" t="str">
        <f aca="false">IF(AH1752="","",ROUND(MIN(K1752,TOPE_AFP_UF*AJ1752)*(MUTUAL_BASICA+MUTUAL_ADIC+SANNA),0))</f>
        <v/>
      </c>
      <c r="AE1752" s="71" t="str">
        <f aca="false">IF(AH1752="","",P1752-N(N1752)+AB1752+AC1752+AD1752)</f>
        <v/>
      </c>
      <c r="AF1752" s="65"/>
      <c r="AG1752" s="64"/>
      <c r="AH1752" s="72" t="str">
        <f aca="false">IF(OR(B1752="",C1752=""),"",C1752&amp;"|"&amp;(YEAR(B1752)*100+MONTH(B1752)))</f>
        <v/>
      </c>
      <c r="AI1752" s="70" t="str">
        <f aca="false">IF(AH1752="","",IF(COUNTIF(L_CLAVE,AH1752)&gt;1,"⚠ Duplicado","OK"))</f>
        <v/>
      </c>
      <c r="AJ1752" s="86" t="str">
        <f aca="false">IF(AH1752="","",IF(SUMPRODUCT(MAX((IND_PER&lt;=B1752)*(IND_UF&lt;&gt;"")*IND_PER))=0,UF_HOY,INDEX(IND_UF,MATCH(SUMPRODUCT(MAX((IND_PER&lt;=B1752)*(IND_UF&lt;&gt;"")*IND_PER)),IND_PER,0))))</f>
        <v/>
      </c>
      <c r="AK1752" s="87" t="str">
        <f aca="false">IF(AH1752="","",IF(COUNTIF(TASA_DESDE,"&lt;="&amp;B1752)=0,INDEX(TASA_EMP,1),INDEX(TASA_EMP,COUNTIF(TASA_DESDE,"&lt;="&amp;B1752))))</f>
        <v/>
      </c>
    </row>
    <row r="1753" customFormat="false" ht="15" hidden="false" customHeight="false" outlineLevel="0" collapsed="false">
      <c r="B1753" s="78"/>
      <c r="C1753" s="64"/>
      <c r="D1753" s="72" t="str">
        <f aca="false">IF(C1753="","",IFERROR(INDEX(T_NOMBRE,MATCH(C1753,T_ID,0)),"⚠ ID no existe"))</f>
        <v/>
      </c>
      <c r="E1753" s="69"/>
      <c r="F1753" s="67"/>
      <c r="G1753" s="67"/>
      <c r="H1753" s="67"/>
      <c r="I1753" s="67"/>
      <c r="J1753" s="67"/>
      <c r="K1753" s="85" t="str">
        <f aca="false">IF(AH1753="","",N(F1753)+N(G1753)+N(H1753)-N(I1753)+N(J1753))</f>
        <v/>
      </c>
      <c r="L1753" s="67"/>
      <c r="M1753" s="67"/>
      <c r="N1753" s="67"/>
      <c r="O1753" s="67"/>
      <c r="P1753" s="85" t="str">
        <f aca="false">IF(AH1753="","",K1753+N(L1753)+N(M1753)+N(N1753)+N(O1753))</f>
        <v/>
      </c>
      <c r="Q1753" s="67"/>
      <c r="R1753" s="67"/>
      <c r="S1753" s="67"/>
      <c r="T1753" s="67"/>
      <c r="U1753" s="67"/>
      <c r="V1753" s="67"/>
      <c r="W1753" s="85" t="str">
        <f aca="false">IF(AH1753="","",N(Q1753)+N(R1753)+N(S1753)+N(T1753)+N(U1753)+N(V1753))</f>
        <v/>
      </c>
      <c r="X1753" s="85" t="str">
        <f aca="false">IF(AH1753="","",P1753-W1753)</f>
        <v/>
      </c>
      <c r="Y1753" s="67"/>
      <c r="Z1753" s="70" t="str">
        <f aca="false">IF(OR(AH1753="",Y1753=""),"",IF(ABS(X1753-Y1753)&lt;=1,"✓ Cuadra","⚠ Diferencia $"&amp;FIXED(X1753-Y1753,0)))</f>
        <v/>
      </c>
      <c r="AA1753" s="72" t="str">
        <f aca="false">IF(AH1753="","",IFERROR(INDEX(C_TIPO,MATCH(C1753&amp;"-P"&amp;MAX(1,COUNTIFS(C_ID,C1753,C_DEFINE,"Sí",C_INICIO,"&lt;="&amp;EOMONTH(B1753,0))),C_CLAVE,0))&amp;"","Sin dato"))</f>
        <v/>
      </c>
      <c r="AB1753" s="71" t="str">
        <f aca="false">IF(AH1753="","",ROUND(MIN(K1753,TOPE_AFP_UF*AJ1753)*AK1753,0))</f>
        <v/>
      </c>
      <c r="AC1753" s="71" t="str">
        <f aca="false">IF(AH1753="","",ROUND(MIN(K1753,TOPE_AFC_UF*AJ1753)*IF(AA1753="Indefinido",AFC_EMP_INDEF,AFC_EMP_PF),0))</f>
        <v/>
      </c>
      <c r="AD1753" s="71" t="str">
        <f aca="false">IF(AH1753="","",ROUND(MIN(K1753,TOPE_AFP_UF*AJ1753)*(MUTUAL_BASICA+MUTUAL_ADIC+SANNA),0))</f>
        <v/>
      </c>
      <c r="AE1753" s="71" t="str">
        <f aca="false">IF(AH1753="","",P1753-N(N1753)+AB1753+AC1753+AD1753)</f>
        <v/>
      </c>
      <c r="AF1753" s="65"/>
      <c r="AG1753" s="64"/>
      <c r="AH1753" s="72" t="str">
        <f aca="false">IF(OR(B1753="",C1753=""),"",C1753&amp;"|"&amp;(YEAR(B1753)*100+MONTH(B1753)))</f>
        <v/>
      </c>
      <c r="AI1753" s="70" t="str">
        <f aca="false">IF(AH1753="","",IF(COUNTIF(L_CLAVE,AH1753)&gt;1,"⚠ Duplicado","OK"))</f>
        <v/>
      </c>
      <c r="AJ1753" s="86" t="str">
        <f aca="false">IF(AH1753="","",IF(SUMPRODUCT(MAX((IND_PER&lt;=B1753)*(IND_UF&lt;&gt;"")*IND_PER))=0,UF_HOY,INDEX(IND_UF,MATCH(SUMPRODUCT(MAX((IND_PER&lt;=B1753)*(IND_UF&lt;&gt;"")*IND_PER)),IND_PER,0))))</f>
        <v/>
      </c>
      <c r="AK1753" s="87" t="str">
        <f aca="false">IF(AH1753="","",IF(COUNTIF(TASA_DESDE,"&lt;="&amp;B1753)=0,INDEX(TASA_EMP,1),INDEX(TASA_EMP,COUNTIF(TASA_DESDE,"&lt;="&amp;B1753))))</f>
        <v/>
      </c>
    </row>
    <row r="1754" customFormat="false" ht="15" hidden="false" customHeight="false" outlineLevel="0" collapsed="false">
      <c r="B1754" s="78"/>
      <c r="C1754" s="64"/>
      <c r="D1754" s="72" t="str">
        <f aca="false">IF(C1754="","",IFERROR(INDEX(T_NOMBRE,MATCH(C1754,T_ID,0)),"⚠ ID no existe"))</f>
        <v/>
      </c>
      <c r="E1754" s="69"/>
      <c r="F1754" s="67"/>
      <c r="G1754" s="67"/>
      <c r="H1754" s="67"/>
      <c r="I1754" s="67"/>
      <c r="J1754" s="67"/>
      <c r="K1754" s="85" t="str">
        <f aca="false">IF(AH1754="","",N(F1754)+N(G1754)+N(H1754)-N(I1754)+N(J1754))</f>
        <v/>
      </c>
      <c r="L1754" s="67"/>
      <c r="M1754" s="67"/>
      <c r="N1754" s="67"/>
      <c r="O1754" s="67"/>
      <c r="P1754" s="85" t="str">
        <f aca="false">IF(AH1754="","",K1754+N(L1754)+N(M1754)+N(N1754)+N(O1754))</f>
        <v/>
      </c>
      <c r="Q1754" s="67"/>
      <c r="R1754" s="67"/>
      <c r="S1754" s="67"/>
      <c r="T1754" s="67"/>
      <c r="U1754" s="67"/>
      <c r="V1754" s="67"/>
      <c r="W1754" s="85" t="str">
        <f aca="false">IF(AH1754="","",N(Q1754)+N(R1754)+N(S1754)+N(T1754)+N(U1754)+N(V1754))</f>
        <v/>
      </c>
      <c r="X1754" s="85" t="str">
        <f aca="false">IF(AH1754="","",P1754-W1754)</f>
        <v/>
      </c>
      <c r="Y1754" s="67"/>
      <c r="Z1754" s="70" t="str">
        <f aca="false">IF(OR(AH1754="",Y1754=""),"",IF(ABS(X1754-Y1754)&lt;=1,"✓ Cuadra","⚠ Diferencia $"&amp;FIXED(X1754-Y1754,0)))</f>
        <v/>
      </c>
      <c r="AA1754" s="72" t="str">
        <f aca="false">IF(AH1754="","",IFERROR(INDEX(C_TIPO,MATCH(C1754&amp;"-P"&amp;MAX(1,COUNTIFS(C_ID,C1754,C_DEFINE,"Sí",C_INICIO,"&lt;="&amp;EOMONTH(B1754,0))),C_CLAVE,0))&amp;"","Sin dato"))</f>
        <v/>
      </c>
      <c r="AB1754" s="71" t="str">
        <f aca="false">IF(AH1754="","",ROUND(MIN(K1754,TOPE_AFP_UF*AJ1754)*AK1754,0))</f>
        <v/>
      </c>
      <c r="AC1754" s="71" t="str">
        <f aca="false">IF(AH1754="","",ROUND(MIN(K1754,TOPE_AFC_UF*AJ1754)*IF(AA1754="Indefinido",AFC_EMP_INDEF,AFC_EMP_PF),0))</f>
        <v/>
      </c>
      <c r="AD1754" s="71" t="str">
        <f aca="false">IF(AH1754="","",ROUND(MIN(K1754,TOPE_AFP_UF*AJ1754)*(MUTUAL_BASICA+MUTUAL_ADIC+SANNA),0))</f>
        <v/>
      </c>
      <c r="AE1754" s="71" t="str">
        <f aca="false">IF(AH1754="","",P1754-N(N1754)+AB1754+AC1754+AD1754)</f>
        <v/>
      </c>
      <c r="AF1754" s="65"/>
      <c r="AG1754" s="64"/>
      <c r="AH1754" s="72" t="str">
        <f aca="false">IF(OR(B1754="",C1754=""),"",C1754&amp;"|"&amp;(YEAR(B1754)*100+MONTH(B1754)))</f>
        <v/>
      </c>
      <c r="AI1754" s="70" t="str">
        <f aca="false">IF(AH1754="","",IF(COUNTIF(L_CLAVE,AH1754)&gt;1,"⚠ Duplicado","OK"))</f>
        <v/>
      </c>
      <c r="AJ1754" s="86" t="str">
        <f aca="false">IF(AH1754="","",IF(SUMPRODUCT(MAX((IND_PER&lt;=B1754)*(IND_UF&lt;&gt;"")*IND_PER))=0,UF_HOY,INDEX(IND_UF,MATCH(SUMPRODUCT(MAX((IND_PER&lt;=B1754)*(IND_UF&lt;&gt;"")*IND_PER)),IND_PER,0))))</f>
        <v/>
      </c>
      <c r="AK1754" s="87" t="str">
        <f aca="false">IF(AH1754="","",IF(COUNTIF(TASA_DESDE,"&lt;="&amp;B1754)=0,INDEX(TASA_EMP,1),INDEX(TASA_EMP,COUNTIF(TASA_DESDE,"&lt;="&amp;B1754))))</f>
        <v/>
      </c>
    </row>
    <row r="1755" customFormat="false" ht="15" hidden="false" customHeight="false" outlineLevel="0" collapsed="false">
      <c r="B1755" s="78"/>
      <c r="C1755" s="64"/>
      <c r="D1755" s="72" t="str">
        <f aca="false">IF(C1755="","",IFERROR(INDEX(T_NOMBRE,MATCH(C1755,T_ID,0)),"⚠ ID no existe"))</f>
        <v/>
      </c>
      <c r="E1755" s="69"/>
      <c r="F1755" s="67"/>
      <c r="G1755" s="67"/>
      <c r="H1755" s="67"/>
      <c r="I1755" s="67"/>
      <c r="J1755" s="67"/>
      <c r="K1755" s="85" t="str">
        <f aca="false">IF(AH1755="","",N(F1755)+N(G1755)+N(H1755)-N(I1755)+N(J1755))</f>
        <v/>
      </c>
      <c r="L1755" s="67"/>
      <c r="M1755" s="67"/>
      <c r="N1755" s="67"/>
      <c r="O1755" s="67"/>
      <c r="P1755" s="85" t="str">
        <f aca="false">IF(AH1755="","",K1755+N(L1755)+N(M1755)+N(N1755)+N(O1755))</f>
        <v/>
      </c>
      <c r="Q1755" s="67"/>
      <c r="R1755" s="67"/>
      <c r="S1755" s="67"/>
      <c r="T1755" s="67"/>
      <c r="U1755" s="67"/>
      <c r="V1755" s="67"/>
      <c r="W1755" s="85" t="str">
        <f aca="false">IF(AH1755="","",N(Q1755)+N(R1755)+N(S1755)+N(T1755)+N(U1755)+N(V1755))</f>
        <v/>
      </c>
      <c r="X1755" s="85" t="str">
        <f aca="false">IF(AH1755="","",P1755-W1755)</f>
        <v/>
      </c>
      <c r="Y1755" s="67"/>
      <c r="Z1755" s="70" t="str">
        <f aca="false">IF(OR(AH1755="",Y1755=""),"",IF(ABS(X1755-Y1755)&lt;=1,"✓ Cuadra","⚠ Diferencia $"&amp;FIXED(X1755-Y1755,0)))</f>
        <v/>
      </c>
      <c r="AA1755" s="72" t="str">
        <f aca="false">IF(AH1755="","",IFERROR(INDEX(C_TIPO,MATCH(C1755&amp;"-P"&amp;MAX(1,COUNTIFS(C_ID,C1755,C_DEFINE,"Sí",C_INICIO,"&lt;="&amp;EOMONTH(B1755,0))),C_CLAVE,0))&amp;"","Sin dato"))</f>
        <v/>
      </c>
      <c r="AB1755" s="71" t="str">
        <f aca="false">IF(AH1755="","",ROUND(MIN(K1755,TOPE_AFP_UF*AJ1755)*AK1755,0))</f>
        <v/>
      </c>
      <c r="AC1755" s="71" t="str">
        <f aca="false">IF(AH1755="","",ROUND(MIN(K1755,TOPE_AFC_UF*AJ1755)*IF(AA1755="Indefinido",AFC_EMP_INDEF,AFC_EMP_PF),0))</f>
        <v/>
      </c>
      <c r="AD1755" s="71" t="str">
        <f aca="false">IF(AH1755="","",ROUND(MIN(K1755,TOPE_AFP_UF*AJ1755)*(MUTUAL_BASICA+MUTUAL_ADIC+SANNA),0))</f>
        <v/>
      </c>
      <c r="AE1755" s="71" t="str">
        <f aca="false">IF(AH1755="","",P1755-N(N1755)+AB1755+AC1755+AD1755)</f>
        <v/>
      </c>
      <c r="AF1755" s="65"/>
      <c r="AG1755" s="64"/>
      <c r="AH1755" s="72" t="str">
        <f aca="false">IF(OR(B1755="",C1755=""),"",C1755&amp;"|"&amp;(YEAR(B1755)*100+MONTH(B1755)))</f>
        <v/>
      </c>
      <c r="AI1755" s="70" t="str">
        <f aca="false">IF(AH1755="","",IF(COUNTIF(L_CLAVE,AH1755)&gt;1,"⚠ Duplicado","OK"))</f>
        <v/>
      </c>
      <c r="AJ1755" s="86" t="str">
        <f aca="false">IF(AH1755="","",IF(SUMPRODUCT(MAX((IND_PER&lt;=B1755)*(IND_UF&lt;&gt;"")*IND_PER))=0,UF_HOY,INDEX(IND_UF,MATCH(SUMPRODUCT(MAX((IND_PER&lt;=B1755)*(IND_UF&lt;&gt;"")*IND_PER)),IND_PER,0))))</f>
        <v/>
      </c>
      <c r="AK1755" s="87" t="str">
        <f aca="false">IF(AH1755="","",IF(COUNTIF(TASA_DESDE,"&lt;="&amp;B1755)=0,INDEX(TASA_EMP,1),INDEX(TASA_EMP,COUNTIF(TASA_DESDE,"&lt;="&amp;B1755))))</f>
        <v/>
      </c>
    </row>
    <row r="1756" customFormat="false" ht="15" hidden="false" customHeight="false" outlineLevel="0" collapsed="false">
      <c r="B1756" s="78"/>
      <c r="C1756" s="64"/>
      <c r="D1756" s="72" t="str">
        <f aca="false">IF(C1756="","",IFERROR(INDEX(T_NOMBRE,MATCH(C1756,T_ID,0)),"⚠ ID no existe"))</f>
        <v/>
      </c>
      <c r="E1756" s="69"/>
      <c r="F1756" s="67"/>
      <c r="G1756" s="67"/>
      <c r="H1756" s="67"/>
      <c r="I1756" s="67"/>
      <c r="J1756" s="67"/>
      <c r="K1756" s="85" t="str">
        <f aca="false">IF(AH1756="","",N(F1756)+N(G1756)+N(H1756)-N(I1756)+N(J1756))</f>
        <v/>
      </c>
      <c r="L1756" s="67"/>
      <c r="M1756" s="67"/>
      <c r="N1756" s="67"/>
      <c r="O1756" s="67"/>
      <c r="P1756" s="85" t="str">
        <f aca="false">IF(AH1756="","",K1756+N(L1756)+N(M1756)+N(N1756)+N(O1756))</f>
        <v/>
      </c>
      <c r="Q1756" s="67"/>
      <c r="R1756" s="67"/>
      <c r="S1756" s="67"/>
      <c r="T1756" s="67"/>
      <c r="U1756" s="67"/>
      <c r="V1756" s="67"/>
      <c r="W1756" s="85" t="str">
        <f aca="false">IF(AH1756="","",N(Q1756)+N(R1756)+N(S1756)+N(T1756)+N(U1756)+N(V1756))</f>
        <v/>
      </c>
      <c r="X1756" s="85" t="str">
        <f aca="false">IF(AH1756="","",P1756-W1756)</f>
        <v/>
      </c>
      <c r="Y1756" s="67"/>
      <c r="Z1756" s="70" t="str">
        <f aca="false">IF(OR(AH1756="",Y1756=""),"",IF(ABS(X1756-Y1756)&lt;=1,"✓ Cuadra","⚠ Diferencia $"&amp;FIXED(X1756-Y1756,0)))</f>
        <v/>
      </c>
      <c r="AA1756" s="72" t="str">
        <f aca="false">IF(AH1756="","",IFERROR(INDEX(C_TIPO,MATCH(C1756&amp;"-P"&amp;MAX(1,COUNTIFS(C_ID,C1756,C_DEFINE,"Sí",C_INICIO,"&lt;="&amp;EOMONTH(B1756,0))),C_CLAVE,0))&amp;"","Sin dato"))</f>
        <v/>
      </c>
      <c r="AB1756" s="71" t="str">
        <f aca="false">IF(AH1756="","",ROUND(MIN(K1756,TOPE_AFP_UF*AJ1756)*AK1756,0))</f>
        <v/>
      </c>
      <c r="AC1756" s="71" t="str">
        <f aca="false">IF(AH1756="","",ROUND(MIN(K1756,TOPE_AFC_UF*AJ1756)*IF(AA1756="Indefinido",AFC_EMP_INDEF,AFC_EMP_PF),0))</f>
        <v/>
      </c>
      <c r="AD1756" s="71" t="str">
        <f aca="false">IF(AH1756="","",ROUND(MIN(K1756,TOPE_AFP_UF*AJ1756)*(MUTUAL_BASICA+MUTUAL_ADIC+SANNA),0))</f>
        <v/>
      </c>
      <c r="AE1756" s="71" t="str">
        <f aca="false">IF(AH1756="","",P1756-N(N1756)+AB1756+AC1756+AD1756)</f>
        <v/>
      </c>
      <c r="AF1756" s="65"/>
      <c r="AG1756" s="64"/>
      <c r="AH1756" s="72" t="str">
        <f aca="false">IF(OR(B1756="",C1756=""),"",C1756&amp;"|"&amp;(YEAR(B1756)*100+MONTH(B1756)))</f>
        <v/>
      </c>
      <c r="AI1756" s="70" t="str">
        <f aca="false">IF(AH1756="","",IF(COUNTIF(L_CLAVE,AH1756)&gt;1,"⚠ Duplicado","OK"))</f>
        <v/>
      </c>
      <c r="AJ1756" s="86" t="str">
        <f aca="false">IF(AH1756="","",IF(SUMPRODUCT(MAX((IND_PER&lt;=B1756)*(IND_UF&lt;&gt;"")*IND_PER))=0,UF_HOY,INDEX(IND_UF,MATCH(SUMPRODUCT(MAX((IND_PER&lt;=B1756)*(IND_UF&lt;&gt;"")*IND_PER)),IND_PER,0))))</f>
        <v/>
      </c>
      <c r="AK1756" s="87" t="str">
        <f aca="false">IF(AH1756="","",IF(COUNTIF(TASA_DESDE,"&lt;="&amp;B1756)=0,INDEX(TASA_EMP,1),INDEX(TASA_EMP,COUNTIF(TASA_DESDE,"&lt;="&amp;B1756))))</f>
        <v/>
      </c>
    </row>
    <row r="1757" customFormat="false" ht="15" hidden="false" customHeight="false" outlineLevel="0" collapsed="false">
      <c r="B1757" s="78"/>
      <c r="C1757" s="64"/>
      <c r="D1757" s="72" t="str">
        <f aca="false">IF(C1757="","",IFERROR(INDEX(T_NOMBRE,MATCH(C1757,T_ID,0)),"⚠ ID no existe"))</f>
        <v/>
      </c>
      <c r="E1757" s="69"/>
      <c r="F1757" s="67"/>
      <c r="G1757" s="67"/>
      <c r="H1757" s="67"/>
      <c r="I1757" s="67"/>
      <c r="J1757" s="67"/>
      <c r="K1757" s="85" t="str">
        <f aca="false">IF(AH1757="","",N(F1757)+N(G1757)+N(H1757)-N(I1757)+N(J1757))</f>
        <v/>
      </c>
      <c r="L1757" s="67"/>
      <c r="M1757" s="67"/>
      <c r="N1757" s="67"/>
      <c r="O1757" s="67"/>
      <c r="P1757" s="85" t="str">
        <f aca="false">IF(AH1757="","",K1757+N(L1757)+N(M1757)+N(N1757)+N(O1757))</f>
        <v/>
      </c>
      <c r="Q1757" s="67"/>
      <c r="R1757" s="67"/>
      <c r="S1757" s="67"/>
      <c r="T1757" s="67"/>
      <c r="U1757" s="67"/>
      <c r="V1757" s="67"/>
      <c r="W1757" s="85" t="str">
        <f aca="false">IF(AH1757="","",N(Q1757)+N(R1757)+N(S1757)+N(T1757)+N(U1757)+N(V1757))</f>
        <v/>
      </c>
      <c r="X1757" s="85" t="str">
        <f aca="false">IF(AH1757="","",P1757-W1757)</f>
        <v/>
      </c>
      <c r="Y1757" s="67"/>
      <c r="Z1757" s="70" t="str">
        <f aca="false">IF(OR(AH1757="",Y1757=""),"",IF(ABS(X1757-Y1757)&lt;=1,"✓ Cuadra","⚠ Diferencia $"&amp;FIXED(X1757-Y1757,0)))</f>
        <v/>
      </c>
      <c r="AA1757" s="72" t="str">
        <f aca="false">IF(AH1757="","",IFERROR(INDEX(C_TIPO,MATCH(C1757&amp;"-P"&amp;MAX(1,COUNTIFS(C_ID,C1757,C_DEFINE,"Sí",C_INICIO,"&lt;="&amp;EOMONTH(B1757,0))),C_CLAVE,0))&amp;"","Sin dato"))</f>
        <v/>
      </c>
      <c r="AB1757" s="71" t="str">
        <f aca="false">IF(AH1757="","",ROUND(MIN(K1757,TOPE_AFP_UF*AJ1757)*AK1757,0))</f>
        <v/>
      </c>
      <c r="AC1757" s="71" t="str">
        <f aca="false">IF(AH1757="","",ROUND(MIN(K1757,TOPE_AFC_UF*AJ1757)*IF(AA1757="Indefinido",AFC_EMP_INDEF,AFC_EMP_PF),0))</f>
        <v/>
      </c>
      <c r="AD1757" s="71" t="str">
        <f aca="false">IF(AH1757="","",ROUND(MIN(K1757,TOPE_AFP_UF*AJ1757)*(MUTUAL_BASICA+MUTUAL_ADIC+SANNA),0))</f>
        <v/>
      </c>
      <c r="AE1757" s="71" t="str">
        <f aca="false">IF(AH1757="","",P1757-N(N1757)+AB1757+AC1757+AD1757)</f>
        <v/>
      </c>
      <c r="AF1757" s="65"/>
      <c r="AG1757" s="64"/>
      <c r="AH1757" s="72" t="str">
        <f aca="false">IF(OR(B1757="",C1757=""),"",C1757&amp;"|"&amp;(YEAR(B1757)*100+MONTH(B1757)))</f>
        <v/>
      </c>
      <c r="AI1757" s="70" t="str">
        <f aca="false">IF(AH1757="","",IF(COUNTIF(L_CLAVE,AH1757)&gt;1,"⚠ Duplicado","OK"))</f>
        <v/>
      </c>
      <c r="AJ1757" s="86" t="str">
        <f aca="false">IF(AH1757="","",IF(SUMPRODUCT(MAX((IND_PER&lt;=B1757)*(IND_UF&lt;&gt;"")*IND_PER))=0,UF_HOY,INDEX(IND_UF,MATCH(SUMPRODUCT(MAX((IND_PER&lt;=B1757)*(IND_UF&lt;&gt;"")*IND_PER)),IND_PER,0))))</f>
        <v/>
      </c>
      <c r="AK1757" s="87" t="str">
        <f aca="false">IF(AH1757="","",IF(COUNTIF(TASA_DESDE,"&lt;="&amp;B1757)=0,INDEX(TASA_EMP,1),INDEX(TASA_EMP,COUNTIF(TASA_DESDE,"&lt;="&amp;B1757))))</f>
        <v/>
      </c>
    </row>
    <row r="1758" customFormat="false" ht="15" hidden="false" customHeight="false" outlineLevel="0" collapsed="false">
      <c r="B1758" s="78"/>
      <c r="C1758" s="64"/>
      <c r="D1758" s="72" t="str">
        <f aca="false">IF(C1758="","",IFERROR(INDEX(T_NOMBRE,MATCH(C1758,T_ID,0)),"⚠ ID no existe"))</f>
        <v/>
      </c>
      <c r="E1758" s="69"/>
      <c r="F1758" s="67"/>
      <c r="G1758" s="67"/>
      <c r="H1758" s="67"/>
      <c r="I1758" s="67"/>
      <c r="J1758" s="67"/>
      <c r="K1758" s="85" t="str">
        <f aca="false">IF(AH1758="","",N(F1758)+N(G1758)+N(H1758)-N(I1758)+N(J1758))</f>
        <v/>
      </c>
      <c r="L1758" s="67"/>
      <c r="M1758" s="67"/>
      <c r="N1758" s="67"/>
      <c r="O1758" s="67"/>
      <c r="P1758" s="85" t="str">
        <f aca="false">IF(AH1758="","",K1758+N(L1758)+N(M1758)+N(N1758)+N(O1758))</f>
        <v/>
      </c>
      <c r="Q1758" s="67"/>
      <c r="R1758" s="67"/>
      <c r="S1758" s="67"/>
      <c r="T1758" s="67"/>
      <c r="U1758" s="67"/>
      <c r="V1758" s="67"/>
      <c r="W1758" s="85" t="str">
        <f aca="false">IF(AH1758="","",N(Q1758)+N(R1758)+N(S1758)+N(T1758)+N(U1758)+N(V1758))</f>
        <v/>
      </c>
      <c r="X1758" s="85" t="str">
        <f aca="false">IF(AH1758="","",P1758-W1758)</f>
        <v/>
      </c>
      <c r="Y1758" s="67"/>
      <c r="Z1758" s="70" t="str">
        <f aca="false">IF(OR(AH1758="",Y1758=""),"",IF(ABS(X1758-Y1758)&lt;=1,"✓ Cuadra","⚠ Diferencia $"&amp;FIXED(X1758-Y1758,0)))</f>
        <v/>
      </c>
      <c r="AA1758" s="72" t="str">
        <f aca="false">IF(AH1758="","",IFERROR(INDEX(C_TIPO,MATCH(C1758&amp;"-P"&amp;MAX(1,COUNTIFS(C_ID,C1758,C_DEFINE,"Sí",C_INICIO,"&lt;="&amp;EOMONTH(B1758,0))),C_CLAVE,0))&amp;"","Sin dato"))</f>
        <v/>
      </c>
      <c r="AB1758" s="71" t="str">
        <f aca="false">IF(AH1758="","",ROUND(MIN(K1758,TOPE_AFP_UF*AJ1758)*AK1758,0))</f>
        <v/>
      </c>
      <c r="AC1758" s="71" t="str">
        <f aca="false">IF(AH1758="","",ROUND(MIN(K1758,TOPE_AFC_UF*AJ1758)*IF(AA1758="Indefinido",AFC_EMP_INDEF,AFC_EMP_PF),0))</f>
        <v/>
      </c>
      <c r="AD1758" s="71" t="str">
        <f aca="false">IF(AH1758="","",ROUND(MIN(K1758,TOPE_AFP_UF*AJ1758)*(MUTUAL_BASICA+MUTUAL_ADIC+SANNA),0))</f>
        <v/>
      </c>
      <c r="AE1758" s="71" t="str">
        <f aca="false">IF(AH1758="","",P1758-N(N1758)+AB1758+AC1758+AD1758)</f>
        <v/>
      </c>
      <c r="AF1758" s="65"/>
      <c r="AG1758" s="64"/>
      <c r="AH1758" s="72" t="str">
        <f aca="false">IF(OR(B1758="",C1758=""),"",C1758&amp;"|"&amp;(YEAR(B1758)*100+MONTH(B1758)))</f>
        <v/>
      </c>
      <c r="AI1758" s="70" t="str">
        <f aca="false">IF(AH1758="","",IF(COUNTIF(L_CLAVE,AH1758)&gt;1,"⚠ Duplicado","OK"))</f>
        <v/>
      </c>
      <c r="AJ1758" s="86" t="str">
        <f aca="false">IF(AH1758="","",IF(SUMPRODUCT(MAX((IND_PER&lt;=B1758)*(IND_UF&lt;&gt;"")*IND_PER))=0,UF_HOY,INDEX(IND_UF,MATCH(SUMPRODUCT(MAX((IND_PER&lt;=B1758)*(IND_UF&lt;&gt;"")*IND_PER)),IND_PER,0))))</f>
        <v/>
      </c>
      <c r="AK1758" s="87" t="str">
        <f aca="false">IF(AH1758="","",IF(COUNTIF(TASA_DESDE,"&lt;="&amp;B1758)=0,INDEX(TASA_EMP,1),INDEX(TASA_EMP,COUNTIF(TASA_DESDE,"&lt;="&amp;B1758))))</f>
        <v/>
      </c>
    </row>
    <row r="1759" customFormat="false" ht="15" hidden="false" customHeight="false" outlineLevel="0" collapsed="false">
      <c r="B1759" s="78"/>
      <c r="C1759" s="64"/>
      <c r="D1759" s="72" t="str">
        <f aca="false">IF(C1759="","",IFERROR(INDEX(T_NOMBRE,MATCH(C1759,T_ID,0)),"⚠ ID no existe"))</f>
        <v/>
      </c>
      <c r="E1759" s="69"/>
      <c r="F1759" s="67"/>
      <c r="G1759" s="67"/>
      <c r="H1759" s="67"/>
      <c r="I1759" s="67"/>
      <c r="J1759" s="67"/>
      <c r="K1759" s="85" t="str">
        <f aca="false">IF(AH1759="","",N(F1759)+N(G1759)+N(H1759)-N(I1759)+N(J1759))</f>
        <v/>
      </c>
      <c r="L1759" s="67"/>
      <c r="M1759" s="67"/>
      <c r="N1759" s="67"/>
      <c r="O1759" s="67"/>
      <c r="P1759" s="85" t="str">
        <f aca="false">IF(AH1759="","",K1759+N(L1759)+N(M1759)+N(N1759)+N(O1759))</f>
        <v/>
      </c>
      <c r="Q1759" s="67"/>
      <c r="R1759" s="67"/>
      <c r="S1759" s="67"/>
      <c r="T1759" s="67"/>
      <c r="U1759" s="67"/>
      <c r="V1759" s="67"/>
      <c r="W1759" s="85" t="str">
        <f aca="false">IF(AH1759="","",N(Q1759)+N(R1759)+N(S1759)+N(T1759)+N(U1759)+N(V1759))</f>
        <v/>
      </c>
      <c r="X1759" s="85" t="str">
        <f aca="false">IF(AH1759="","",P1759-W1759)</f>
        <v/>
      </c>
      <c r="Y1759" s="67"/>
      <c r="Z1759" s="70" t="str">
        <f aca="false">IF(OR(AH1759="",Y1759=""),"",IF(ABS(X1759-Y1759)&lt;=1,"✓ Cuadra","⚠ Diferencia $"&amp;FIXED(X1759-Y1759,0)))</f>
        <v/>
      </c>
      <c r="AA1759" s="72" t="str">
        <f aca="false">IF(AH1759="","",IFERROR(INDEX(C_TIPO,MATCH(C1759&amp;"-P"&amp;MAX(1,COUNTIFS(C_ID,C1759,C_DEFINE,"Sí",C_INICIO,"&lt;="&amp;EOMONTH(B1759,0))),C_CLAVE,0))&amp;"","Sin dato"))</f>
        <v/>
      </c>
      <c r="AB1759" s="71" t="str">
        <f aca="false">IF(AH1759="","",ROUND(MIN(K1759,TOPE_AFP_UF*AJ1759)*AK1759,0))</f>
        <v/>
      </c>
      <c r="AC1759" s="71" t="str">
        <f aca="false">IF(AH1759="","",ROUND(MIN(K1759,TOPE_AFC_UF*AJ1759)*IF(AA1759="Indefinido",AFC_EMP_INDEF,AFC_EMP_PF),0))</f>
        <v/>
      </c>
      <c r="AD1759" s="71" t="str">
        <f aca="false">IF(AH1759="","",ROUND(MIN(K1759,TOPE_AFP_UF*AJ1759)*(MUTUAL_BASICA+MUTUAL_ADIC+SANNA),0))</f>
        <v/>
      </c>
      <c r="AE1759" s="71" t="str">
        <f aca="false">IF(AH1759="","",P1759-N(N1759)+AB1759+AC1759+AD1759)</f>
        <v/>
      </c>
      <c r="AF1759" s="65"/>
      <c r="AG1759" s="64"/>
      <c r="AH1759" s="72" t="str">
        <f aca="false">IF(OR(B1759="",C1759=""),"",C1759&amp;"|"&amp;(YEAR(B1759)*100+MONTH(B1759)))</f>
        <v/>
      </c>
      <c r="AI1759" s="70" t="str">
        <f aca="false">IF(AH1759="","",IF(COUNTIF(L_CLAVE,AH1759)&gt;1,"⚠ Duplicado","OK"))</f>
        <v/>
      </c>
      <c r="AJ1759" s="86" t="str">
        <f aca="false">IF(AH1759="","",IF(SUMPRODUCT(MAX((IND_PER&lt;=B1759)*(IND_UF&lt;&gt;"")*IND_PER))=0,UF_HOY,INDEX(IND_UF,MATCH(SUMPRODUCT(MAX((IND_PER&lt;=B1759)*(IND_UF&lt;&gt;"")*IND_PER)),IND_PER,0))))</f>
        <v/>
      </c>
      <c r="AK1759" s="87" t="str">
        <f aca="false">IF(AH1759="","",IF(COUNTIF(TASA_DESDE,"&lt;="&amp;B1759)=0,INDEX(TASA_EMP,1),INDEX(TASA_EMP,COUNTIF(TASA_DESDE,"&lt;="&amp;B1759))))</f>
        <v/>
      </c>
    </row>
    <row r="1760" customFormat="false" ht="15" hidden="false" customHeight="false" outlineLevel="0" collapsed="false">
      <c r="B1760" s="78"/>
      <c r="C1760" s="64"/>
      <c r="D1760" s="72" t="str">
        <f aca="false">IF(C1760="","",IFERROR(INDEX(T_NOMBRE,MATCH(C1760,T_ID,0)),"⚠ ID no existe"))</f>
        <v/>
      </c>
      <c r="E1760" s="69"/>
      <c r="F1760" s="67"/>
      <c r="G1760" s="67"/>
      <c r="H1760" s="67"/>
      <c r="I1760" s="67"/>
      <c r="J1760" s="67"/>
      <c r="K1760" s="85" t="str">
        <f aca="false">IF(AH1760="","",N(F1760)+N(G1760)+N(H1760)-N(I1760)+N(J1760))</f>
        <v/>
      </c>
      <c r="L1760" s="67"/>
      <c r="M1760" s="67"/>
      <c r="N1760" s="67"/>
      <c r="O1760" s="67"/>
      <c r="P1760" s="85" t="str">
        <f aca="false">IF(AH1760="","",K1760+N(L1760)+N(M1760)+N(N1760)+N(O1760))</f>
        <v/>
      </c>
      <c r="Q1760" s="67"/>
      <c r="R1760" s="67"/>
      <c r="S1760" s="67"/>
      <c r="T1760" s="67"/>
      <c r="U1760" s="67"/>
      <c r="V1760" s="67"/>
      <c r="W1760" s="85" t="str">
        <f aca="false">IF(AH1760="","",N(Q1760)+N(R1760)+N(S1760)+N(T1760)+N(U1760)+N(V1760))</f>
        <v/>
      </c>
      <c r="X1760" s="85" t="str">
        <f aca="false">IF(AH1760="","",P1760-W1760)</f>
        <v/>
      </c>
      <c r="Y1760" s="67"/>
      <c r="Z1760" s="70" t="str">
        <f aca="false">IF(OR(AH1760="",Y1760=""),"",IF(ABS(X1760-Y1760)&lt;=1,"✓ Cuadra","⚠ Diferencia $"&amp;FIXED(X1760-Y1760,0)))</f>
        <v/>
      </c>
      <c r="AA1760" s="72" t="str">
        <f aca="false">IF(AH1760="","",IFERROR(INDEX(C_TIPO,MATCH(C1760&amp;"-P"&amp;MAX(1,COUNTIFS(C_ID,C1760,C_DEFINE,"Sí",C_INICIO,"&lt;="&amp;EOMONTH(B1760,0))),C_CLAVE,0))&amp;"","Sin dato"))</f>
        <v/>
      </c>
      <c r="AB1760" s="71" t="str">
        <f aca="false">IF(AH1760="","",ROUND(MIN(K1760,TOPE_AFP_UF*AJ1760)*AK1760,0))</f>
        <v/>
      </c>
      <c r="AC1760" s="71" t="str">
        <f aca="false">IF(AH1760="","",ROUND(MIN(K1760,TOPE_AFC_UF*AJ1760)*IF(AA1760="Indefinido",AFC_EMP_INDEF,AFC_EMP_PF),0))</f>
        <v/>
      </c>
      <c r="AD1760" s="71" t="str">
        <f aca="false">IF(AH1760="","",ROUND(MIN(K1760,TOPE_AFP_UF*AJ1760)*(MUTUAL_BASICA+MUTUAL_ADIC+SANNA),0))</f>
        <v/>
      </c>
      <c r="AE1760" s="71" t="str">
        <f aca="false">IF(AH1760="","",P1760-N(N1760)+AB1760+AC1760+AD1760)</f>
        <v/>
      </c>
      <c r="AF1760" s="65"/>
      <c r="AG1760" s="64"/>
      <c r="AH1760" s="72" t="str">
        <f aca="false">IF(OR(B1760="",C1760=""),"",C1760&amp;"|"&amp;(YEAR(B1760)*100+MONTH(B1760)))</f>
        <v/>
      </c>
      <c r="AI1760" s="70" t="str">
        <f aca="false">IF(AH1760="","",IF(COUNTIF(L_CLAVE,AH1760)&gt;1,"⚠ Duplicado","OK"))</f>
        <v/>
      </c>
      <c r="AJ1760" s="86" t="str">
        <f aca="false">IF(AH1760="","",IF(SUMPRODUCT(MAX((IND_PER&lt;=B1760)*(IND_UF&lt;&gt;"")*IND_PER))=0,UF_HOY,INDEX(IND_UF,MATCH(SUMPRODUCT(MAX((IND_PER&lt;=B1760)*(IND_UF&lt;&gt;"")*IND_PER)),IND_PER,0))))</f>
        <v/>
      </c>
      <c r="AK1760" s="87" t="str">
        <f aca="false">IF(AH1760="","",IF(COUNTIF(TASA_DESDE,"&lt;="&amp;B1760)=0,INDEX(TASA_EMP,1),INDEX(TASA_EMP,COUNTIF(TASA_DESDE,"&lt;="&amp;B1760))))</f>
        <v/>
      </c>
    </row>
    <row r="1761" customFormat="false" ht="15" hidden="false" customHeight="false" outlineLevel="0" collapsed="false">
      <c r="B1761" s="78"/>
      <c r="C1761" s="64"/>
      <c r="D1761" s="72" t="str">
        <f aca="false">IF(C1761="","",IFERROR(INDEX(T_NOMBRE,MATCH(C1761,T_ID,0)),"⚠ ID no existe"))</f>
        <v/>
      </c>
      <c r="E1761" s="69"/>
      <c r="F1761" s="67"/>
      <c r="G1761" s="67"/>
      <c r="H1761" s="67"/>
      <c r="I1761" s="67"/>
      <c r="J1761" s="67"/>
      <c r="K1761" s="85" t="str">
        <f aca="false">IF(AH1761="","",N(F1761)+N(G1761)+N(H1761)-N(I1761)+N(J1761))</f>
        <v/>
      </c>
      <c r="L1761" s="67"/>
      <c r="M1761" s="67"/>
      <c r="N1761" s="67"/>
      <c r="O1761" s="67"/>
      <c r="P1761" s="85" t="str">
        <f aca="false">IF(AH1761="","",K1761+N(L1761)+N(M1761)+N(N1761)+N(O1761))</f>
        <v/>
      </c>
      <c r="Q1761" s="67"/>
      <c r="R1761" s="67"/>
      <c r="S1761" s="67"/>
      <c r="T1761" s="67"/>
      <c r="U1761" s="67"/>
      <c r="V1761" s="67"/>
      <c r="W1761" s="85" t="str">
        <f aca="false">IF(AH1761="","",N(Q1761)+N(R1761)+N(S1761)+N(T1761)+N(U1761)+N(V1761))</f>
        <v/>
      </c>
      <c r="X1761" s="85" t="str">
        <f aca="false">IF(AH1761="","",P1761-W1761)</f>
        <v/>
      </c>
      <c r="Y1761" s="67"/>
      <c r="Z1761" s="70" t="str">
        <f aca="false">IF(OR(AH1761="",Y1761=""),"",IF(ABS(X1761-Y1761)&lt;=1,"✓ Cuadra","⚠ Diferencia $"&amp;FIXED(X1761-Y1761,0)))</f>
        <v/>
      </c>
      <c r="AA1761" s="72" t="str">
        <f aca="false">IF(AH1761="","",IFERROR(INDEX(C_TIPO,MATCH(C1761&amp;"-P"&amp;MAX(1,COUNTIFS(C_ID,C1761,C_DEFINE,"Sí",C_INICIO,"&lt;="&amp;EOMONTH(B1761,0))),C_CLAVE,0))&amp;"","Sin dato"))</f>
        <v/>
      </c>
      <c r="AB1761" s="71" t="str">
        <f aca="false">IF(AH1761="","",ROUND(MIN(K1761,TOPE_AFP_UF*AJ1761)*AK1761,0))</f>
        <v/>
      </c>
      <c r="AC1761" s="71" t="str">
        <f aca="false">IF(AH1761="","",ROUND(MIN(K1761,TOPE_AFC_UF*AJ1761)*IF(AA1761="Indefinido",AFC_EMP_INDEF,AFC_EMP_PF),0))</f>
        <v/>
      </c>
      <c r="AD1761" s="71" t="str">
        <f aca="false">IF(AH1761="","",ROUND(MIN(K1761,TOPE_AFP_UF*AJ1761)*(MUTUAL_BASICA+MUTUAL_ADIC+SANNA),0))</f>
        <v/>
      </c>
      <c r="AE1761" s="71" t="str">
        <f aca="false">IF(AH1761="","",P1761-N(N1761)+AB1761+AC1761+AD1761)</f>
        <v/>
      </c>
      <c r="AF1761" s="65"/>
      <c r="AG1761" s="64"/>
      <c r="AH1761" s="72" t="str">
        <f aca="false">IF(OR(B1761="",C1761=""),"",C1761&amp;"|"&amp;(YEAR(B1761)*100+MONTH(B1761)))</f>
        <v/>
      </c>
      <c r="AI1761" s="70" t="str">
        <f aca="false">IF(AH1761="","",IF(COUNTIF(L_CLAVE,AH1761)&gt;1,"⚠ Duplicado","OK"))</f>
        <v/>
      </c>
      <c r="AJ1761" s="86" t="str">
        <f aca="false">IF(AH1761="","",IF(SUMPRODUCT(MAX((IND_PER&lt;=B1761)*(IND_UF&lt;&gt;"")*IND_PER))=0,UF_HOY,INDEX(IND_UF,MATCH(SUMPRODUCT(MAX((IND_PER&lt;=B1761)*(IND_UF&lt;&gt;"")*IND_PER)),IND_PER,0))))</f>
        <v/>
      </c>
      <c r="AK1761" s="87" t="str">
        <f aca="false">IF(AH1761="","",IF(COUNTIF(TASA_DESDE,"&lt;="&amp;B1761)=0,INDEX(TASA_EMP,1),INDEX(TASA_EMP,COUNTIF(TASA_DESDE,"&lt;="&amp;B1761))))</f>
        <v/>
      </c>
    </row>
    <row r="1762" customFormat="false" ht="15" hidden="false" customHeight="false" outlineLevel="0" collapsed="false">
      <c r="B1762" s="78"/>
      <c r="C1762" s="64"/>
      <c r="D1762" s="72" t="str">
        <f aca="false">IF(C1762="","",IFERROR(INDEX(T_NOMBRE,MATCH(C1762,T_ID,0)),"⚠ ID no existe"))</f>
        <v/>
      </c>
      <c r="E1762" s="69"/>
      <c r="F1762" s="67"/>
      <c r="G1762" s="67"/>
      <c r="H1762" s="67"/>
      <c r="I1762" s="67"/>
      <c r="J1762" s="67"/>
      <c r="K1762" s="85" t="str">
        <f aca="false">IF(AH1762="","",N(F1762)+N(G1762)+N(H1762)-N(I1762)+N(J1762))</f>
        <v/>
      </c>
      <c r="L1762" s="67"/>
      <c r="M1762" s="67"/>
      <c r="N1762" s="67"/>
      <c r="O1762" s="67"/>
      <c r="P1762" s="85" t="str">
        <f aca="false">IF(AH1762="","",K1762+N(L1762)+N(M1762)+N(N1762)+N(O1762))</f>
        <v/>
      </c>
      <c r="Q1762" s="67"/>
      <c r="R1762" s="67"/>
      <c r="S1762" s="67"/>
      <c r="T1762" s="67"/>
      <c r="U1762" s="67"/>
      <c r="V1762" s="67"/>
      <c r="W1762" s="85" t="str">
        <f aca="false">IF(AH1762="","",N(Q1762)+N(R1762)+N(S1762)+N(T1762)+N(U1762)+N(V1762))</f>
        <v/>
      </c>
      <c r="X1762" s="85" t="str">
        <f aca="false">IF(AH1762="","",P1762-W1762)</f>
        <v/>
      </c>
      <c r="Y1762" s="67"/>
      <c r="Z1762" s="70" t="str">
        <f aca="false">IF(OR(AH1762="",Y1762=""),"",IF(ABS(X1762-Y1762)&lt;=1,"✓ Cuadra","⚠ Diferencia $"&amp;FIXED(X1762-Y1762,0)))</f>
        <v/>
      </c>
      <c r="AA1762" s="72" t="str">
        <f aca="false">IF(AH1762="","",IFERROR(INDEX(C_TIPO,MATCH(C1762&amp;"-P"&amp;MAX(1,COUNTIFS(C_ID,C1762,C_DEFINE,"Sí",C_INICIO,"&lt;="&amp;EOMONTH(B1762,0))),C_CLAVE,0))&amp;"","Sin dato"))</f>
        <v/>
      </c>
      <c r="AB1762" s="71" t="str">
        <f aca="false">IF(AH1762="","",ROUND(MIN(K1762,TOPE_AFP_UF*AJ1762)*AK1762,0))</f>
        <v/>
      </c>
      <c r="AC1762" s="71" t="str">
        <f aca="false">IF(AH1762="","",ROUND(MIN(K1762,TOPE_AFC_UF*AJ1762)*IF(AA1762="Indefinido",AFC_EMP_INDEF,AFC_EMP_PF),0))</f>
        <v/>
      </c>
      <c r="AD1762" s="71" t="str">
        <f aca="false">IF(AH1762="","",ROUND(MIN(K1762,TOPE_AFP_UF*AJ1762)*(MUTUAL_BASICA+MUTUAL_ADIC+SANNA),0))</f>
        <v/>
      </c>
      <c r="AE1762" s="71" t="str">
        <f aca="false">IF(AH1762="","",P1762-N(N1762)+AB1762+AC1762+AD1762)</f>
        <v/>
      </c>
      <c r="AF1762" s="65"/>
      <c r="AG1762" s="64"/>
      <c r="AH1762" s="72" t="str">
        <f aca="false">IF(OR(B1762="",C1762=""),"",C1762&amp;"|"&amp;(YEAR(B1762)*100+MONTH(B1762)))</f>
        <v/>
      </c>
      <c r="AI1762" s="70" t="str">
        <f aca="false">IF(AH1762="","",IF(COUNTIF(L_CLAVE,AH1762)&gt;1,"⚠ Duplicado","OK"))</f>
        <v/>
      </c>
      <c r="AJ1762" s="86" t="str">
        <f aca="false">IF(AH1762="","",IF(SUMPRODUCT(MAX((IND_PER&lt;=B1762)*(IND_UF&lt;&gt;"")*IND_PER))=0,UF_HOY,INDEX(IND_UF,MATCH(SUMPRODUCT(MAX((IND_PER&lt;=B1762)*(IND_UF&lt;&gt;"")*IND_PER)),IND_PER,0))))</f>
        <v/>
      </c>
      <c r="AK1762" s="87" t="str">
        <f aca="false">IF(AH1762="","",IF(COUNTIF(TASA_DESDE,"&lt;="&amp;B1762)=0,INDEX(TASA_EMP,1),INDEX(TASA_EMP,COUNTIF(TASA_DESDE,"&lt;="&amp;B1762))))</f>
        <v/>
      </c>
    </row>
    <row r="1763" customFormat="false" ht="15" hidden="false" customHeight="false" outlineLevel="0" collapsed="false">
      <c r="B1763" s="78"/>
      <c r="C1763" s="64"/>
      <c r="D1763" s="72" t="str">
        <f aca="false">IF(C1763="","",IFERROR(INDEX(T_NOMBRE,MATCH(C1763,T_ID,0)),"⚠ ID no existe"))</f>
        <v/>
      </c>
      <c r="E1763" s="69"/>
      <c r="F1763" s="67"/>
      <c r="G1763" s="67"/>
      <c r="H1763" s="67"/>
      <c r="I1763" s="67"/>
      <c r="J1763" s="67"/>
      <c r="K1763" s="85" t="str">
        <f aca="false">IF(AH1763="","",N(F1763)+N(G1763)+N(H1763)-N(I1763)+N(J1763))</f>
        <v/>
      </c>
      <c r="L1763" s="67"/>
      <c r="M1763" s="67"/>
      <c r="N1763" s="67"/>
      <c r="O1763" s="67"/>
      <c r="P1763" s="85" t="str">
        <f aca="false">IF(AH1763="","",K1763+N(L1763)+N(M1763)+N(N1763)+N(O1763))</f>
        <v/>
      </c>
      <c r="Q1763" s="67"/>
      <c r="R1763" s="67"/>
      <c r="S1763" s="67"/>
      <c r="T1763" s="67"/>
      <c r="U1763" s="67"/>
      <c r="V1763" s="67"/>
      <c r="W1763" s="85" t="str">
        <f aca="false">IF(AH1763="","",N(Q1763)+N(R1763)+N(S1763)+N(T1763)+N(U1763)+N(V1763))</f>
        <v/>
      </c>
      <c r="X1763" s="85" t="str">
        <f aca="false">IF(AH1763="","",P1763-W1763)</f>
        <v/>
      </c>
      <c r="Y1763" s="67"/>
      <c r="Z1763" s="70" t="str">
        <f aca="false">IF(OR(AH1763="",Y1763=""),"",IF(ABS(X1763-Y1763)&lt;=1,"✓ Cuadra","⚠ Diferencia $"&amp;FIXED(X1763-Y1763,0)))</f>
        <v/>
      </c>
      <c r="AA1763" s="72" t="str">
        <f aca="false">IF(AH1763="","",IFERROR(INDEX(C_TIPO,MATCH(C1763&amp;"-P"&amp;MAX(1,COUNTIFS(C_ID,C1763,C_DEFINE,"Sí",C_INICIO,"&lt;="&amp;EOMONTH(B1763,0))),C_CLAVE,0))&amp;"","Sin dato"))</f>
        <v/>
      </c>
      <c r="AB1763" s="71" t="str">
        <f aca="false">IF(AH1763="","",ROUND(MIN(K1763,TOPE_AFP_UF*AJ1763)*AK1763,0))</f>
        <v/>
      </c>
      <c r="AC1763" s="71" t="str">
        <f aca="false">IF(AH1763="","",ROUND(MIN(K1763,TOPE_AFC_UF*AJ1763)*IF(AA1763="Indefinido",AFC_EMP_INDEF,AFC_EMP_PF),0))</f>
        <v/>
      </c>
      <c r="AD1763" s="71" t="str">
        <f aca="false">IF(AH1763="","",ROUND(MIN(K1763,TOPE_AFP_UF*AJ1763)*(MUTUAL_BASICA+MUTUAL_ADIC+SANNA),0))</f>
        <v/>
      </c>
      <c r="AE1763" s="71" t="str">
        <f aca="false">IF(AH1763="","",P1763-N(N1763)+AB1763+AC1763+AD1763)</f>
        <v/>
      </c>
      <c r="AF1763" s="65"/>
      <c r="AG1763" s="64"/>
      <c r="AH1763" s="72" t="str">
        <f aca="false">IF(OR(B1763="",C1763=""),"",C1763&amp;"|"&amp;(YEAR(B1763)*100+MONTH(B1763)))</f>
        <v/>
      </c>
      <c r="AI1763" s="70" t="str">
        <f aca="false">IF(AH1763="","",IF(COUNTIF(L_CLAVE,AH1763)&gt;1,"⚠ Duplicado","OK"))</f>
        <v/>
      </c>
      <c r="AJ1763" s="86" t="str">
        <f aca="false">IF(AH1763="","",IF(SUMPRODUCT(MAX((IND_PER&lt;=B1763)*(IND_UF&lt;&gt;"")*IND_PER))=0,UF_HOY,INDEX(IND_UF,MATCH(SUMPRODUCT(MAX((IND_PER&lt;=B1763)*(IND_UF&lt;&gt;"")*IND_PER)),IND_PER,0))))</f>
        <v/>
      </c>
      <c r="AK1763" s="87" t="str">
        <f aca="false">IF(AH1763="","",IF(COUNTIF(TASA_DESDE,"&lt;="&amp;B1763)=0,INDEX(TASA_EMP,1),INDEX(TASA_EMP,COUNTIF(TASA_DESDE,"&lt;="&amp;B1763))))</f>
        <v/>
      </c>
    </row>
    <row r="1764" customFormat="false" ht="15" hidden="false" customHeight="false" outlineLevel="0" collapsed="false">
      <c r="B1764" s="78"/>
      <c r="C1764" s="64"/>
      <c r="D1764" s="72" t="str">
        <f aca="false">IF(C1764="","",IFERROR(INDEX(T_NOMBRE,MATCH(C1764,T_ID,0)),"⚠ ID no existe"))</f>
        <v/>
      </c>
      <c r="E1764" s="69"/>
      <c r="F1764" s="67"/>
      <c r="G1764" s="67"/>
      <c r="H1764" s="67"/>
      <c r="I1764" s="67"/>
      <c r="J1764" s="67"/>
      <c r="K1764" s="85" t="str">
        <f aca="false">IF(AH1764="","",N(F1764)+N(G1764)+N(H1764)-N(I1764)+N(J1764))</f>
        <v/>
      </c>
      <c r="L1764" s="67"/>
      <c r="M1764" s="67"/>
      <c r="N1764" s="67"/>
      <c r="O1764" s="67"/>
      <c r="P1764" s="85" t="str">
        <f aca="false">IF(AH1764="","",K1764+N(L1764)+N(M1764)+N(N1764)+N(O1764))</f>
        <v/>
      </c>
      <c r="Q1764" s="67"/>
      <c r="R1764" s="67"/>
      <c r="S1764" s="67"/>
      <c r="T1764" s="67"/>
      <c r="U1764" s="67"/>
      <c r="V1764" s="67"/>
      <c r="W1764" s="85" t="str">
        <f aca="false">IF(AH1764="","",N(Q1764)+N(R1764)+N(S1764)+N(T1764)+N(U1764)+N(V1764))</f>
        <v/>
      </c>
      <c r="X1764" s="85" t="str">
        <f aca="false">IF(AH1764="","",P1764-W1764)</f>
        <v/>
      </c>
      <c r="Y1764" s="67"/>
      <c r="Z1764" s="70" t="str">
        <f aca="false">IF(OR(AH1764="",Y1764=""),"",IF(ABS(X1764-Y1764)&lt;=1,"✓ Cuadra","⚠ Diferencia $"&amp;FIXED(X1764-Y1764,0)))</f>
        <v/>
      </c>
      <c r="AA1764" s="72" t="str">
        <f aca="false">IF(AH1764="","",IFERROR(INDEX(C_TIPO,MATCH(C1764&amp;"-P"&amp;MAX(1,COUNTIFS(C_ID,C1764,C_DEFINE,"Sí",C_INICIO,"&lt;="&amp;EOMONTH(B1764,0))),C_CLAVE,0))&amp;"","Sin dato"))</f>
        <v/>
      </c>
      <c r="AB1764" s="71" t="str">
        <f aca="false">IF(AH1764="","",ROUND(MIN(K1764,TOPE_AFP_UF*AJ1764)*AK1764,0))</f>
        <v/>
      </c>
      <c r="AC1764" s="71" t="str">
        <f aca="false">IF(AH1764="","",ROUND(MIN(K1764,TOPE_AFC_UF*AJ1764)*IF(AA1764="Indefinido",AFC_EMP_INDEF,AFC_EMP_PF),0))</f>
        <v/>
      </c>
      <c r="AD1764" s="71" t="str">
        <f aca="false">IF(AH1764="","",ROUND(MIN(K1764,TOPE_AFP_UF*AJ1764)*(MUTUAL_BASICA+MUTUAL_ADIC+SANNA),0))</f>
        <v/>
      </c>
      <c r="AE1764" s="71" t="str">
        <f aca="false">IF(AH1764="","",P1764-N(N1764)+AB1764+AC1764+AD1764)</f>
        <v/>
      </c>
      <c r="AF1764" s="65"/>
      <c r="AG1764" s="64"/>
      <c r="AH1764" s="72" t="str">
        <f aca="false">IF(OR(B1764="",C1764=""),"",C1764&amp;"|"&amp;(YEAR(B1764)*100+MONTH(B1764)))</f>
        <v/>
      </c>
      <c r="AI1764" s="70" t="str">
        <f aca="false">IF(AH1764="","",IF(COUNTIF(L_CLAVE,AH1764)&gt;1,"⚠ Duplicado","OK"))</f>
        <v/>
      </c>
      <c r="AJ1764" s="86" t="str">
        <f aca="false">IF(AH1764="","",IF(SUMPRODUCT(MAX((IND_PER&lt;=B1764)*(IND_UF&lt;&gt;"")*IND_PER))=0,UF_HOY,INDEX(IND_UF,MATCH(SUMPRODUCT(MAX((IND_PER&lt;=B1764)*(IND_UF&lt;&gt;"")*IND_PER)),IND_PER,0))))</f>
        <v/>
      </c>
      <c r="AK1764" s="87" t="str">
        <f aca="false">IF(AH1764="","",IF(COUNTIF(TASA_DESDE,"&lt;="&amp;B1764)=0,INDEX(TASA_EMP,1),INDEX(TASA_EMP,COUNTIF(TASA_DESDE,"&lt;="&amp;B1764))))</f>
        <v/>
      </c>
    </row>
    <row r="1765" customFormat="false" ht="15" hidden="false" customHeight="false" outlineLevel="0" collapsed="false">
      <c r="B1765" s="78"/>
      <c r="C1765" s="64"/>
      <c r="D1765" s="72" t="str">
        <f aca="false">IF(C1765="","",IFERROR(INDEX(T_NOMBRE,MATCH(C1765,T_ID,0)),"⚠ ID no existe"))</f>
        <v/>
      </c>
      <c r="E1765" s="69"/>
      <c r="F1765" s="67"/>
      <c r="G1765" s="67"/>
      <c r="H1765" s="67"/>
      <c r="I1765" s="67"/>
      <c r="J1765" s="67"/>
      <c r="K1765" s="85" t="str">
        <f aca="false">IF(AH1765="","",N(F1765)+N(G1765)+N(H1765)-N(I1765)+N(J1765))</f>
        <v/>
      </c>
      <c r="L1765" s="67"/>
      <c r="M1765" s="67"/>
      <c r="N1765" s="67"/>
      <c r="O1765" s="67"/>
      <c r="P1765" s="85" t="str">
        <f aca="false">IF(AH1765="","",K1765+N(L1765)+N(M1765)+N(N1765)+N(O1765))</f>
        <v/>
      </c>
      <c r="Q1765" s="67"/>
      <c r="R1765" s="67"/>
      <c r="S1765" s="67"/>
      <c r="T1765" s="67"/>
      <c r="U1765" s="67"/>
      <c r="V1765" s="67"/>
      <c r="W1765" s="85" t="str">
        <f aca="false">IF(AH1765="","",N(Q1765)+N(R1765)+N(S1765)+N(T1765)+N(U1765)+N(V1765))</f>
        <v/>
      </c>
      <c r="X1765" s="85" t="str">
        <f aca="false">IF(AH1765="","",P1765-W1765)</f>
        <v/>
      </c>
      <c r="Y1765" s="67"/>
      <c r="Z1765" s="70" t="str">
        <f aca="false">IF(OR(AH1765="",Y1765=""),"",IF(ABS(X1765-Y1765)&lt;=1,"✓ Cuadra","⚠ Diferencia $"&amp;FIXED(X1765-Y1765,0)))</f>
        <v/>
      </c>
      <c r="AA1765" s="72" t="str">
        <f aca="false">IF(AH1765="","",IFERROR(INDEX(C_TIPO,MATCH(C1765&amp;"-P"&amp;MAX(1,COUNTIFS(C_ID,C1765,C_DEFINE,"Sí",C_INICIO,"&lt;="&amp;EOMONTH(B1765,0))),C_CLAVE,0))&amp;"","Sin dato"))</f>
        <v/>
      </c>
      <c r="AB1765" s="71" t="str">
        <f aca="false">IF(AH1765="","",ROUND(MIN(K1765,TOPE_AFP_UF*AJ1765)*AK1765,0))</f>
        <v/>
      </c>
      <c r="AC1765" s="71" t="str">
        <f aca="false">IF(AH1765="","",ROUND(MIN(K1765,TOPE_AFC_UF*AJ1765)*IF(AA1765="Indefinido",AFC_EMP_INDEF,AFC_EMP_PF),0))</f>
        <v/>
      </c>
      <c r="AD1765" s="71" t="str">
        <f aca="false">IF(AH1765="","",ROUND(MIN(K1765,TOPE_AFP_UF*AJ1765)*(MUTUAL_BASICA+MUTUAL_ADIC+SANNA),0))</f>
        <v/>
      </c>
      <c r="AE1765" s="71" t="str">
        <f aca="false">IF(AH1765="","",P1765-N(N1765)+AB1765+AC1765+AD1765)</f>
        <v/>
      </c>
      <c r="AF1765" s="65"/>
      <c r="AG1765" s="64"/>
      <c r="AH1765" s="72" t="str">
        <f aca="false">IF(OR(B1765="",C1765=""),"",C1765&amp;"|"&amp;(YEAR(B1765)*100+MONTH(B1765)))</f>
        <v/>
      </c>
      <c r="AI1765" s="70" t="str">
        <f aca="false">IF(AH1765="","",IF(COUNTIF(L_CLAVE,AH1765)&gt;1,"⚠ Duplicado","OK"))</f>
        <v/>
      </c>
      <c r="AJ1765" s="86" t="str">
        <f aca="false">IF(AH1765="","",IF(SUMPRODUCT(MAX((IND_PER&lt;=B1765)*(IND_UF&lt;&gt;"")*IND_PER))=0,UF_HOY,INDEX(IND_UF,MATCH(SUMPRODUCT(MAX((IND_PER&lt;=B1765)*(IND_UF&lt;&gt;"")*IND_PER)),IND_PER,0))))</f>
        <v/>
      </c>
      <c r="AK1765" s="87" t="str">
        <f aca="false">IF(AH1765="","",IF(COUNTIF(TASA_DESDE,"&lt;="&amp;B1765)=0,INDEX(TASA_EMP,1),INDEX(TASA_EMP,COUNTIF(TASA_DESDE,"&lt;="&amp;B1765))))</f>
        <v/>
      </c>
    </row>
    <row r="1766" customFormat="false" ht="15" hidden="false" customHeight="false" outlineLevel="0" collapsed="false">
      <c r="B1766" s="78"/>
      <c r="C1766" s="64"/>
      <c r="D1766" s="72" t="str">
        <f aca="false">IF(C1766="","",IFERROR(INDEX(T_NOMBRE,MATCH(C1766,T_ID,0)),"⚠ ID no existe"))</f>
        <v/>
      </c>
      <c r="E1766" s="69"/>
      <c r="F1766" s="67"/>
      <c r="G1766" s="67"/>
      <c r="H1766" s="67"/>
      <c r="I1766" s="67"/>
      <c r="J1766" s="67"/>
      <c r="K1766" s="85" t="str">
        <f aca="false">IF(AH1766="","",N(F1766)+N(G1766)+N(H1766)-N(I1766)+N(J1766))</f>
        <v/>
      </c>
      <c r="L1766" s="67"/>
      <c r="M1766" s="67"/>
      <c r="N1766" s="67"/>
      <c r="O1766" s="67"/>
      <c r="P1766" s="85" t="str">
        <f aca="false">IF(AH1766="","",K1766+N(L1766)+N(M1766)+N(N1766)+N(O1766))</f>
        <v/>
      </c>
      <c r="Q1766" s="67"/>
      <c r="R1766" s="67"/>
      <c r="S1766" s="67"/>
      <c r="T1766" s="67"/>
      <c r="U1766" s="67"/>
      <c r="V1766" s="67"/>
      <c r="W1766" s="85" t="str">
        <f aca="false">IF(AH1766="","",N(Q1766)+N(R1766)+N(S1766)+N(T1766)+N(U1766)+N(V1766))</f>
        <v/>
      </c>
      <c r="X1766" s="85" t="str">
        <f aca="false">IF(AH1766="","",P1766-W1766)</f>
        <v/>
      </c>
      <c r="Y1766" s="67"/>
      <c r="Z1766" s="70" t="str">
        <f aca="false">IF(OR(AH1766="",Y1766=""),"",IF(ABS(X1766-Y1766)&lt;=1,"✓ Cuadra","⚠ Diferencia $"&amp;FIXED(X1766-Y1766,0)))</f>
        <v/>
      </c>
      <c r="AA1766" s="72" t="str">
        <f aca="false">IF(AH1766="","",IFERROR(INDEX(C_TIPO,MATCH(C1766&amp;"-P"&amp;MAX(1,COUNTIFS(C_ID,C1766,C_DEFINE,"Sí",C_INICIO,"&lt;="&amp;EOMONTH(B1766,0))),C_CLAVE,0))&amp;"","Sin dato"))</f>
        <v/>
      </c>
      <c r="AB1766" s="71" t="str">
        <f aca="false">IF(AH1766="","",ROUND(MIN(K1766,TOPE_AFP_UF*AJ1766)*AK1766,0))</f>
        <v/>
      </c>
      <c r="AC1766" s="71" t="str">
        <f aca="false">IF(AH1766="","",ROUND(MIN(K1766,TOPE_AFC_UF*AJ1766)*IF(AA1766="Indefinido",AFC_EMP_INDEF,AFC_EMP_PF),0))</f>
        <v/>
      </c>
      <c r="AD1766" s="71" t="str">
        <f aca="false">IF(AH1766="","",ROUND(MIN(K1766,TOPE_AFP_UF*AJ1766)*(MUTUAL_BASICA+MUTUAL_ADIC+SANNA),0))</f>
        <v/>
      </c>
      <c r="AE1766" s="71" t="str">
        <f aca="false">IF(AH1766="","",P1766-N(N1766)+AB1766+AC1766+AD1766)</f>
        <v/>
      </c>
      <c r="AF1766" s="65"/>
      <c r="AG1766" s="64"/>
      <c r="AH1766" s="72" t="str">
        <f aca="false">IF(OR(B1766="",C1766=""),"",C1766&amp;"|"&amp;(YEAR(B1766)*100+MONTH(B1766)))</f>
        <v/>
      </c>
      <c r="AI1766" s="70" t="str">
        <f aca="false">IF(AH1766="","",IF(COUNTIF(L_CLAVE,AH1766)&gt;1,"⚠ Duplicado","OK"))</f>
        <v/>
      </c>
      <c r="AJ1766" s="86" t="str">
        <f aca="false">IF(AH1766="","",IF(SUMPRODUCT(MAX((IND_PER&lt;=B1766)*(IND_UF&lt;&gt;"")*IND_PER))=0,UF_HOY,INDEX(IND_UF,MATCH(SUMPRODUCT(MAX((IND_PER&lt;=B1766)*(IND_UF&lt;&gt;"")*IND_PER)),IND_PER,0))))</f>
        <v/>
      </c>
      <c r="AK1766" s="87" t="str">
        <f aca="false">IF(AH1766="","",IF(COUNTIF(TASA_DESDE,"&lt;="&amp;B1766)=0,INDEX(TASA_EMP,1),INDEX(TASA_EMP,COUNTIF(TASA_DESDE,"&lt;="&amp;B1766))))</f>
        <v/>
      </c>
    </row>
    <row r="1767" customFormat="false" ht="15" hidden="false" customHeight="false" outlineLevel="0" collapsed="false">
      <c r="B1767" s="78"/>
      <c r="C1767" s="64"/>
      <c r="D1767" s="72" t="str">
        <f aca="false">IF(C1767="","",IFERROR(INDEX(T_NOMBRE,MATCH(C1767,T_ID,0)),"⚠ ID no existe"))</f>
        <v/>
      </c>
      <c r="E1767" s="69"/>
      <c r="F1767" s="67"/>
      <c r="G1767" s="67"/>
      <c r="H1767" s="67"/>
      <c r="I1767" s="67"/>
      <c r="J1767" s="67"/>
      <c r="K1767" s="85" t="str">
        <f aca="false">IF(AH1767="","",N(F1767)+N(G1767)+N(H1767)-N(I1767)+N(J1767))</f>
        <v/>
      </c>
      <c r="L1767" s="67"/>
      <c r="M1767" s="67"/>
      <c r="N1767" s="67"/>
      <c r="O1767" s="67"/>
      <c r="P1767" s="85" t="str">
        <f aca="false">IF(AH1767="","",K1767+N(L1767)+N(M1767)+N(N1767)+N(O1767))</f>
        <v/>
      </c>
      <c r="Q1767" s="67"/>
      <c r="R1767" s="67"/>
      <c r="S1767" s="67"/>
      <c r="T1767" s="67"/>
      <c r="U1767" s="67"/>
      <c r="V1767" s="67"/>
      <c r="W1767" s="85" t="str">
        <f aca="false">IF(AH1767="","",N(Q1767)+N(R1767)+N(S1767)+N(T1767)+N(U1767)+N(V1767))</f>
        <v/>
      </c>
      <c r="X1767" s="85" t="str">
        <f aca="false">IF(AH1767="","",P1767-W1767)</f>
        <v/>
      </c>
      <c r="Y1767" s="67"/>
      <c r="Z1767" s="70" t="str">
        <f aca="false">IF(OR(AH1767="",Y1767=""),"",IF(ABS(X1767-Y1767)&lt;=1,"✓ Cuadra","⚠ Diferencia $"&amp;FIXED(X1767-Y1767,0)))</f>
        <v/>
      </c>
      <c r="AA1767" s="72" t="str">
        <f aca="false">IF(AH1767="","",IFERROR(INDEX(C_TIPO,MATCH(C1767&amp;"-P"&amp;MAX(1,COUNTIFS(C_ID,C1767,C_DEFINE,"Sí",C_INICIO,"&lt;="&amp;EOMONTH(B1767,0))),C_CLAVE,0))&amp;"","Sin dato"))</f>
        <v/>
      </c>
      <c r="AB1767" s="71" t="str">
        <f aca="false">IF(AH1767="","",ROUND(MIN(K1767,TOPE_AFP_UF*AJ1767)*AK1767,0))</f>
        <v/>
      </c>
      <c r="AC1767" s="71" t="str">
        <f aca="false">IF(AH1767="","",ROUND(MIN(K1767,TOPE_AFC_UF*AJ1767)*IF(AA1767="Indefinido",AFC_EMP_INDEF,AFC_EMP_PF),0))</f>
        <v/>
      </c>
      <c r="AD1767" s="71" t="str">
        <f aca="false">IF(AH1767="","",ROUND(MIN(K1767,TOPE_AFP_UF*AJ1767)*(MUTUAL_BASICA+MUTUAL_ADIC+SANNA),0))</f>
        <v/>
      </c>
      <c r="AE1767" s="71" t="str">
        <f aca="false">IF(AH1767="","",P1767-N(N1767)+AB1767+AC1767+AD1767)</f>
        <v/>
      </c>
      <c r="AF1767" s="65"/>
      <c r="AG1767" s="64"/>
      <c r="AH1767" s="72" t="str">
        <f aca="false">IF(OR(B1767="",C1767=""),"",C1767&amp;"|"&amp;(YEAR(B1767)*100+MONTH(B1767)))</f>
        <v/>
      </c>
      <c r="AI1767" s="70" t="str">
        <f aca="false">IF(AH1767="","",IF(COUNTIF(L_CLAVE,AH1767)&gt;1,"⚠ Duplicado","OK"))</f>
        <v/>
      </c>
      <c r="AJ1767" s="86" t="str">
        <f aca="false">IF(AH1767="","",IF(SUMPRODUCT(MAX((IND_PER&lt;=B1767)*(IND_UF&lt;&gt;"")*IND_PER))=0,UF_HOY,INDEX(IND_UF,MATCH(SUMPRODUCT(MAX((IND_PER&lt;=B1767)*(IND_UF&lt;&gt;"")*IND_PER)),IND_PER,0))))</f>
        <v/>
      </c>
      <c r="AK1767" s="87" t="str">
        <f aca="false">IF(AH1767="","",IF(COUNTIF(TASA_DESDE,"&lt;="&amp;B1767)=0,INDEX(TASA_EMP,1),INDEX(TASA_EMP,COUNTIF(TASA_DESDE,"&lt;="&amp;B1767))))</f>
        <v/>
      </c>
    </row>
    <row r="1768" customFormat="false" ht="15" hidden="false" customHeight="false" outlineLevel="0" collapsed="false">
      <c r="B1768" s="78"/>
      <c r="C1768" s="64"/>
      <c r="D1768" s="72" t="str">
        <f aca="false">IF(C1768="","",IFERROR(INDEX(T_NOMBRE,MATCH(C1768,T_ID,0)),"⚠ ID no existe"))</f>
        <v/>
      </c>
      <c r="E1768" s="69"/>
      <c r="F1768" s="67"/>
      <c r="G1768" s="67"/>
      <c r="H1768" s="67"/>
      <c r="I1768" s="67"/>
      <c r="J1768" s="67"/>
      <c r="K1768" s="85" t="str">
        <f aca="false">IF(AH1768="","",N(F1768)+N(G1768)+N(H1768)-N(I1768)+N(J1768))</f>
        <v/>
      </c>
      <c r="L1768" s="67"/>
      <c r="M1768" s="67"/>
      <c r="N1768" s="67"/>
      <c r="O1768" s="67"/>
      <c r="P1768" s="85" t="str">
        <f aca="false">IF(AH1768="","",K1768+N(L1768)+N(M1768)+N(N1768)+N(O1768))</f>
        <v/>
      </c>
      <c r="Q1768" s="67"/>
      <c r="R1768" s="67"/>
      <c r="S1768" s="67"/>
      <c r="T1768" s="67"/>
      <c r="U1768" s="67"/>
      <c r="V1768" s="67"/>
      <c r="W1768" s="85" t="str">
        <f aca="false">IF(AH1768="","",N(Q1768)+N(R1768)+N(S1768)+N(T1768)+N(U1768)+N(V1768))</f>
        <v/>
      </c>
      <c r="X1768" s="85" t="str">
        <f aca="false">IF(AH1768="","",P1768-W1768)</f>
        <v/>
      </c>
      <c r="Y1768" s="67"/>
      <c r="Z1768" s="70" t="str">
        <f aca="false">IF(OR(AH1768="",Y1768=""),"",IF(ABS(X1768-Y1768)&lt;=1,"✓ Cuadra","⚠ Diferencia $"&amp;FIXED(X1768-Y1768,0)))</f>
        <v/>
      </c>
      <c r="AA1768" s="72" t="str">
        <f aca="false">IF(AH1768="","",IFERROR(INDEX(C_TIPO,MATCH(C1768&amp;"-P"&amp;MAX(1,COUNTIFS(C_ID,C1768,C_DEFINE,"Sí",C_INICIO,"&lt;="&amp;EOMONTH(B1768,0))),C_CLAVE,0))&amp;"","Sin dato"))</f>
        <v/>
      </c>
      <c r="AB1768" s="71" t="str">
        <f aca="false">IF(AH1768="","",ROUND(MIN(K1768,TOPE_AFP_UF*AJ1768)*AK1768,0))</f>
        <v/>
      </c>
      <c r="AC1768" s="71" t="str">
        <f aca="false">IF(AH1768="","",ROUND(MIN(K1768,TOPE_AFC_UF*AJ1768)*IF(AA1768="Indefinido",AFC_EMP_INDEF,AFC_EMP_PF),0))</f>
        <v/>
      </c>
      <c r="AD1768" s="71" t="str">
        <f aca="false">IF(AH1768="","",ROUND(MIN(K1768,TOPE_AFP_UF*AJ1768)*(MUTUAL_BASICA+MUTUAL_ADIC+SANNA),0))</f>
        <v/>
      </c>
      <c r="AE1768" s="71" t="str">
        <f aca="false">IF(AH1768="","",P1768-N(N1768)+AB1768+AC1768+AD1768)</f>
        <v/>
      </c>
      <c r="AF1768" s="65"/>
      <c r="AG1768" s="64"/>
      <c r="AH1768" s="72" t="str">
        <f aca="false">IF(OR(B1768="",C1768=""),"",C1768&amp;"|"&amp;(YEAR(B1768)*100+MONTH(B1768)))</f>
        <v/>
      </c>
      <c r="AI1768" s="70" t="str">
        <f aca="false">IF(AH1768="","",IF(COUNTIF(L_CLAVE,AH1768)&gt;1,"⚠ Duplicado","OK"))</f>
        <v/>
      </c>
      <c r="AJ1768" s="86" t="str">
        <f aca="false">IF(AH1768="","",IF(SUMPRODUCT(MAX((IND_PER&lt;=B1768)*(IND_UF&lt;&gt;"")*IND_PER))=0,UF_HOY,INDEX(IND_UF,MATCH(SUMPRODUCT(MAX((IND_PER&lt;=B1768)*(IND_UF&lt;&gt;"")*IND_PER)),IND_PER,0))))</f>
        <v/>
      </c>
      <c r="AK1768" s="87" t="str">
        <f aca="false">IF(AH1768="","",IF(COUNTIF(TASA_DESDE,"&lt;="&amp;B1768)=0,INDEX(TASA_EMP,1),INDEX(TASA_EMP,COUNTIF(TASA_DESDE,"&lt;="&amp;B1768))))</f>
        <v/>
      </c>
    </row>
    <row r="1769" customFormat="false" ht="15" hidden="false" customHeight="false" outlineLevel="0" collapsed="false">
      <c r="B1769" s="78"/>
      <c r="C1769" s="64"/>
      <c r="D1769" s="72" t="str">
        <f aca="false">IF(C1769="","",IFERROR(INDEX(T_NOMBRE,MATCH(C1769,T_ID,0)),"⚠ ID no existe"))</f>
        <v/>
      </c>
      <c r="E1769" s="69"/>
      <c r="F1769" s="67"/>
      <c r="G1769" s="67"/>
      <c r="H1769" s="67"/>
      <c r="I1769" s="67"/>
      <c r="J1769" s="67"/>
      <c r="K1769" s="85" t="str">
        <f aca="false">IF(AH1769="","",N(F1769)+N(G1769)+N(H1769)-N(I1769)+N(J1769))</f>
        <v/>
      </c>
      <c r="L1769" s="67"/>
      <c r="M1769" s="67"/>
      <c r="N1769" s="67"/>
      <c r="O1769" s="67"/>
      <c r="P1769" s="85" t="str">
        <f aca="false">IF(AH1769="","",K1769+N(L1769)+N(M1769)+N(N1769)+N(O1769))</f>
        <v/>
      </c>
      <c r="Q1769" s="67"/>
      <c r="R1769" s="67"/>
      <c r="S1769" s="67"/>
      <c r="T1769" s="67"/>
      <c r="U1769" s="67"/>
      <c r="V1769" s="67"/>
      <c r="W1769" s="85" t="str">
        <f aca="false">IF(AH1769="","",N(Q1769)+N(R1769)+N(S1769)+N(T1769)+N(U1769)+N(V1769))</f>
        <v/>
      </c>
      <c r="X1769" s="85" t="str">
        <f aca="false">IF(AH1769="","",P1769-W1769)</f>
        <v/>
      </c>
      <c r="Y1769" s="67"/>
      <c r="Z1769" s="70" t="str">
        <f aca="false">IF(OR(AH1769="",Y1769=""),"",IF(ABS(X1769-Y1769)&lt;=1,"✓ Cuadra","⚠ Diferencia $"&amp;FIXED(X1769-Y1769,0)))</f>
        <v/>
      </c>
      <c r="AA1769" s="72" t="str">
        <f aca="false">IF(AH1769="","",IFERROR(INDEX(C_TIPO,MATCH(C1769&amp;"-P"&amp;MAX(1,COUNTIFS(C_ID,C1769,C_DEFINE,"Sí",C_INICIO,"&lt;="&amp;EOMONTH(B1769,0))),C_CLAVE,0))&amp;"","Sin dato"))</f>
        <v/>
      </c>
      <c r="AB1769" s="71" t="str">
        <f aca="false">IF(AH1769="","",ROUND(MIN(K1769,TOPE_AFP_UF*AJ1769)*AK1769,0))</f>
        <v/>
      </c>
      <c r="AC1769" s="71" t="str">
        <f aca="false">IF(AH1769="","",ROUND(MIN(K1769,TOPE_AFC_UF*AJ1769)*IF(AA1769="Indefinido",AFC_EMP_INDEF,AFC_EMP_PF),0))</f>
        <v/>
      </c>
      <c r="AD1769" s="71" t="str">
        <f aca="false">IF(AH1769="","",ROUND(MIN(K1769,TOPE_AFP_UF*AJ1769)*(MUTUAL_BASICA+MUTUAL_ADIC+SANNA),0))</f>
        <v/>
      </c>
      <c r="AE1769" s="71" t="str">
        <f aca="false">IF(AH1769="","",P1769-N(N1769)+AB1769+AC1769+AD1769)</f>
        <v/>
      </c>
      <c r="AF1769" s="65"/>
      <c r="AG1769" s="64"/>
      <c r="AH1769" s="72" t="str">
        <f aca="false">IF(OR(B1769="",C1769=""),"",C1769&amp;"|"&amp;(YEAR(B1769)*100+MONTH(B1769)))</f>
        <v/>
      </c>
      <c r="AI1769" s="70" t="str">
        <f aca="false">IF(AH1769="","",IF(COUNTIF(L_CLAVE,AH1769)&gt;1,"⚠ Duplicado","OK"))</f>
        <v/>
      </c>
      <c r="AJ1769" s="86" t="str">
        <f aca="false">IF(AH1769="","",IF(SUMPRODUCT(MAX((IND_PER&lt;=B1769)*(IND_UF&lt;&gt;"")*IND_PER))=0,UF_HOY,INDEX(IND_UF,MATCH(SUMPRODUCT(MAX((IND_PER&lt;=B1769)*(IND_UF&lt;&gt;"")*IND_PER)),IND_PER,0))))</f>
        <v/>
      </c>
      <c r="AK1769" s="87" t="str">
        <f aca="false">IF(AH1769="","",IF(COUNTIF(TASA_DESDE,"&lt;="&amp;B1769)=0,INDEX(TASA_EMP,1),INDEX(TASA_EMP,COUNTIF(TASA_DESDE,"&lt;="&amp;B1769))))</f>
        <v/>
      </c>
    </row>
    <row r="1770" customFormat="false" ht="15" hidden="false" customHeight="false" outlineLevel="0" collapsed="false">
      <c r="B1770" s="78"/>
      <c r="C1770" s="64"/>
      <c r="D1770" s="72" t="str">
        <f aca="false">IF(C1770="","",IFERROR(INDEX(T_NOMBRE,MATCH(C1770,T_ID,0)),"⚠ ID no existe"))</f>
        <v/>
      </c>
      <c r="E1770" s="69"/>
      <c r="F1770" s="67"/>
      <c r="G1770" s="67"/>
      <c r="H1770" s="67"/>
      <c r="I1770" s="67"/>
      <c r="J1770" s="67"/>
      <c r="K1770" s="85" t="str">
        <f aca="false">IF(AH1770="","",N(F1770)+N(G1770)+N(H1770)-N(I1770)+N(J1770))</f>
        <v/>
      </c>
      <c r="L1770" s="67"/>
      <c r="M1770" s="67"/>
      <c r="N1770" s="67"/>
      <c r="O1770" s="67"/>
      <c r="P1770" s="85" t="str">
        <f aca="false">IF(AH1770="","",K1770+N(L1770)+N(M1770)+N(N1770)+N(O1770))</f>
        <v/>
      </c>
      <c r="Q1770" s="67"/>
      <c r="R1770" s="67"/>
      <c r="S1770" s="67"/>
      <c r="T1770" s="67"/>
      <c r="U1770" s="67"/>
      <c r="V1770" s="67"/>
      <c r="W1770" s="85" t="str">
        <f aca="false">IF(AH1770="","",N(Q1770)+N(R1770)+N(S1770)+N(T1770)+N(U1770)+N(V1770))</f>
        <v/>
      </c>
      <c r="X1770" s="85" t="str">
        <f aca="false">IF(AH1770="","",P1770-W1770)</f>
        <v/>
      </c>
      <c r="Y1770" s="67"/>
      <c r="Z1770" s="70" t="str">
        <f aca="false">IF(OR(AH1770="",Y1770=""),"",IF(ABS(X1770-Y1770)&lt;=1,"✓ Cuadra","⚠ Diferencia $"&amp;FIXED(X1770-Y1770,0)))</f>
        <v/>
      </c>
      <c r="AA1770" s="72" t="str">
        <f aca="false">IF(AH1770="","",IFERROR(INDEX(C_TIPO,MATCH(C1770&amp;"-P"&amp;MAX(1,COUNTIFS(C_ID,C1770,C_DEFINE,"Sí",C_INICIO,"&lt;="&amp;EOMONTH(B1770,0))),C_CLAVE,0))&amp;"","Sin dato"))</f>
        <v/>
      </c>
      <c r="AB1770" s="71" t="str">
        <f aca="false">IF(AH1770="","",ROUND(MIN(K1770,TOPE_AFP_UF*AJ1770)*AK1770,0))</f>
        <v/>
      </c>
      <c r="AC1770" s="71" t="str">
        <f aca="false">IF(AH1770="","",ROUND(MIN(K1770,TOPE_AFC_UF*AJ1770)*IF(AA1770="Indefinido",AFC_EMP_INDEF,AFC_EMP_PF),0))</f>
        <v/>
      </c>
      <c r="AD1770" s="71" t="str">
        <f aca="false">IF(AH1770="","",ROUND(MIN(K1770,TOPE_AFP_UF*AJ1770)*(MUTUAL_BASICA+MUTUAL_ADIC+SANNA),0))</f>
        <v/>
      </c>
      <c r="AE1770" s="71" t="str">
        <f aca="false">IF(AH1770="","",P1770-N(N1770)+AB1770+AC1770+AD1770)</f>
        <v/>
      </c>
      <c r="AF1770" s="65"/>
      <c r="AG1770" s="64"/>
      <c r="AH1770" s="72" t="str">
        <f aca="false">IF(OR(B1770="",C1770=""),"",C1770&amp;"|"&amp;(YEAR(B1770)*100+MONTH(B1770)))</f>
        <v/>
      </c>
      <c r="AI1770" s="70" t="str">
        <f aca="false">IF(AH1770="","",IF(COUNTIF(L_CLAVE,AH1770)&gt;1,"⚠ Duplicado","OK"))</f>
        <v/>
      </c>
      <c r="AJ1770" s="86" t="str">
        <f aca="false">IF(AH1770="","",IF(SUMPRODUCT(MAX((IND_PER&lt;=B1770)*(IND_UF&lt;&gt;"")*IND_PER))=0,UF_HOY,INDEX(IND_UF,MATCH(SUMPRODUCT(MAX((IND_PER&lt;=B1770)*(IND_UF&lt;&gt;"")*IND_PER)),IND_PER,0))))</f>
        <v/>
      </c>
      <c r="AK1770" s="87" t="str">
        <f aca="false">IF(AH1770="","",IF(COUNTIF(TASA_DESDE,"&lt;="&amp;B1770)=0,INDEX(TASA_EMP,1),INDEX(TASA_EMP,COUNTIF(TASA_DESDE,"&lt;="&amp;B1770))))</f>
        <v/>
      </c>
    </row>
    <row r="1771" customFormat="false" ht="15" hidden="false" customHeight="false" outlineLevel="0" collapsed="false">
      <c r="B1771" s="78"/>
      <c r="C1771" s="64"/>
      <c r="D1771" s="72" t="str">
        <f aca="false">IF(C1771="","",IFERROR(INDEX(T_NOMBRE,MATCH(C1771,T_ID,0)),"⚠ ID no existe"))</f>
        <v/>
      </c>
      <c r="E1771" s="69"/>
      <c r="F1771" s="67"/>
      <c r="G1771" s="67"/>
      <c r="H1771" s="67"/>
      <c r="I1771" s="67"/>
      <c r="J1771" s="67"/>
      <c r="K1771" s="85" t="str">
        <f aca="false">IF(AH1771="","",N(F1771)+N(G1771)+N(H1771)-N(I1771)+N(J1771))</f>
        <v/>
      </c>
      <c r="L1771" s="67"/>
      <c r="M1771" s="67"/>
      <c r="N1771" s="67"/>
      <c r="O1771" s="67"/>
      <c r="P1771" s="85" t="str">
        <f aca="false">IF(AH1771="","",K1771+N(L1771)+N(M1771)+N(N1771)+N(O1771))</f>
        <v/>
      </c>
      <c r="Q1771" s="67"/>
      <c r="R1771" s="67"/>
      <c r="S1771" s="67"/>
      <c r="T1771" s="67"/>
      <c r="U1771" s="67"/>
      <c r="V1771" s="67"/>
      <c r="W1771" s="85" t="str">
        <f aca="false">IF(AH1771="","",N(Q1771)+N(R1771)+N(S1771)+N(T1771)+N(U1771)+N(V1771))</f>
        <v/>
      </c>
      <c r="X1771" s="85" t="str">
        <f aca="false">IF(AH1771="","",P1771-W1771)</f>
        <v/>
      </c>
      <c r="Y1771" s="67"/>
      <c r="Z1771" s="70" t="str">
        <f aca="false">IF(OR(AH1771="",Y1771=""),"",IF(ABS(X1771-Y1771)&lt;=1,"✓ Cuadra","⚠ Diferencia $"&amp;FIXED(X1771-Y1771,0)))</f>
        <v/>
      </c>
      <c r="AA1771" s="72" t="str">
        <f aca="false">IF(AH1771="","",IFERROR(INDEX(C_TIPO,MATCH(C1771&amp;"-P"&amp;MAX(1,COUNTIFS(C_ID,C1771,C_DEFINE,"Sí",C_INICIO,"&lt;="&amp;EOMONTH(B1771,0))),C_CLAVE,0))&amp;"","Sin dato"))</f>
        <v/>
      </c>
      <c r="AB1771" s="71" t="str">
        <f aca="false">IF(AH1771="","",ROUND(MIN(K1771,TOPE_AFP_UF*AJ1771)*AK1771,0))</f>
        <v/>
      </c>
      <c r="AC1771" s="71" t="str">
        <f aca="false">IF(AH1771="","",ROUND(MIN(K1771,TOPE_AFC_UF*AJ1771)*IF(AA1771="Indefinido",AFC_EMP_INDEF,AFC_EMP_PF),0))</f>
        <v/>
      </c>
      <c r="AD1771" s="71" t="str">
        <f aca="false">IF(AH1771="","",ROUND(MIN(K1771,TOPE_AFP_UF*AJ1771)*(MUTUAL_BASICA+MUTUAL_ADIC+SANNA),0))</f>
        <v/>
      </c>
      <c r="AE1771" s="71" t="str">
        <f aca="false">IF(AH1771="","",P1771-N(N1771)+AB1771+AC1771+AD1771)</f>
        <v/>
      </c>
      <c r="AF1771" s="65"/>
      <c r="AG1771" s="64"/>
      <c r="AH1771" s="72" t="str">
        <f aca="false">IF(OR(B1771="",C1771=""),"",C1771&amp;"|"&amp;(YEAR(B1771)*100+MONTH(B1771)))</f>
        <v/>
      </c>
      <c r="AI1771" s="70" t="str">
        <f aca="false">IF(AH1771="","",IF(COUNTIF(L_CLAVE,AH1771)&gt;1,"⚠ Duplicado","OK"))</f>
        <v/>
      </c>
      <c r="AJ1771" s="86" t="str">
        <f aca="false">IF(AH1771="","",IF(SUMPRODUCT(MAX((IND_PER&lt;=B1771)*(IND_UF&lt;&gt;"")*IND_PER))=0,UF_HOY,INDEX(IND_UF,MATCH(SUMPRODUCT(MAX((IND_PER&lt;=B1771)*(IND_UF&lt;&gt;"")*IND_PER)),IND_PER,0))))</f>
        <v/>
      </c>
      <c r="AK1771" s="87" t="str">
        <f aca="false">IF(AH1771="","",IF(COUNTIF(TASA_DESDE,"&lt;="&amp;B1771)=0,INDEX(TASA_EMP,1),INDEX(TASA_EMP,COUNTIF(TASA_DESDE,"&lt;="&amp;B1771))))</f>
        <v/>
      </c>
    </row>
    <row r="1772" customFormat="false" ht="15" hidden="false" customHeight="false" outlineLevel="0" collapsed="false">
      <c r="B1772" s="78"/>
      <c r="C1772" s="64"/>
      <c r="D1772" s="72" t="str">
        <f aca="false">IF(C1772="","",IFERROR(INDEX(T_NOMBRE,MATCH(C1772,T_ID,0)),"⚠ ID no existe"))</f>
        <v/>
      </c>
      <c r="E1772" s="69"/>
      <c r="F1772" s="67"/>
      <c r="G1772" s="67"/>
      <c r="H1772" s="67"/>
      <c r="I1772" s="67"/>
      <c r="J1772" s="67"/>
      <c r="K1772" s="85" t="str">
        <f aca="false">IF(AH1772="","",N(F1772)+N(G1772)+N(H1772)-N(I1772)+N(J1772))</f>
        <v/>
      </c>
      <c r="L1772" s="67"/>
      <c r="M1772" s="67"/>
      <c r="N1772" s="67"/>
      <c r="O1772" s="67"/>
      <c r="P1772" s="85" t="str">
        <f aca="false">IF(AH1772="","",K1772+N(L1772)+N(M1772)+N(N1772)+N(O1772))</f>
        <v/>
      </c>
      <c r="Q1772" s="67"/>
      <c r="R1772" s="67"/>
      <c r="S1772" s="67"/>
      <c r="T1772" s="67"/>
      <c r="U1772" s="67"/>
      <c r="V1772" s="67"/>
      <c r="W1772" s="85" t="str">
        <f aca="false">IF(AH1772="","",N(Q1772)+N(R1772)+N(S1772)+N(T1772)+N(U1772)+N(V1772))</f>
        <v/>
      </c>
      <c r="X1772" s="85" t="str">
        <f aca="false">IF(AH1772="","",P1772-W1772)</f>
        <v/>
      </c>
      <c r="Y1772" s="67"/>
      <c r="Z1772" s="70" t="str">
        <f aca="false">IF(OR(AH1772="",Y1772=""),"",IF(ABS(X1772-Y1772)&lt;=1,"✓ Cuadra","⚠ Diferencia $"&amp;FIXED(X1772-Y1772,0)))</f>
        <v/>
      </c>
      <c r="AA1772" s="72" t="str">
        <f aca="false">IF(AH1772="","",IFERROR(INDEX(C_TIPO,MATCH(C1772&amp;"-P"&amp;MAX(1,COUNTIFS(C_ID,C1772,C_DEFINE,"Sí",C_INICIO,"&lt;="&amp;EOMONTH(B1772,0))),C_CLAVE,0))&amp;"","Sin dato"))</f>
        <v/>
      </c>
      <c r="AB1772" s="71" t="str">
        <f aca="false">IF(AH1772="","",ROUND(MIN(K1772,TOPE_AFP_UF*AJ1772)*AK1772,0))</f>
        <v/>
      </c>
      <c r="AC1772" s="71" t="str">
        <f aca="false">IF(AH1772="","",ROUND(MIN(K1772,TOPE_AFC_UF*AJ1772)*IF(AA1772="Indefinido",AFC_EMP_INDEF,AFC_EMP_PF),0))</f>
        <v/>
      </c>
      <c r="AD1772" s="71" t="str">
        <f aca="false">IF(AH1772="","",ROUND(MIN(K1772,TOPE_AFP_UF*AJ1772)*(MUTUAL_BASICA+MUTUAL_ADIC+SANNA),0))</f>
        <v/>
      </c>
      <c r="AE1772" s="71" t="str">
        <f aca="false">IF(AH1772="","",P1772-N(N1772)+AB1772+AC1772+AD1772)</f>
        <v/>
      </c>
      <c r="AF1772" s="65"/>
      <c r="AG1772" s="64"/>
      <c r="AH1772" s="72" t="str">
        <f aca="false">IF(OR(B1772="",C1772=""),"",C1772&amp;"|"&amp;(YEAR(B1772)*100+MONTH(B1772)))</f>
        <v/>
      </c>
      <c r="AI1772" s="70" t="str">
        <f aca="false">IF(AH1772="","",IF(COUNTIF(L_CLAVE,AH1772)&gt;1,"⚠ Duplicado","OK"))</f>
        <v/>
      </c>
      <c r="AJ1772" s="86" t="str">
        <f aca="false">IF(AH1772="","",IF(SUMPRODUCT(MAX((IND_PER&lt;=B1772)*(IND_UF&lt;&gt;"")*IND_PER))=0,UF_HOY,INDEX(IND_UF,MATCH(SUMPRODUCT(MAX((IND_PER&lt;=B1772)*(IND_UF&lt;&gt;"")*IND_PER)),IND_PER,0))))</f>
        <v/>
      </c>
      <c r="AK1772" s="87" t="str">
        <f aca="false">IF(AH1772="","",IF(COUNTIF(TASA_DESDE,"&lt;="&amp;B1772)=0,INDEX(TASA_EMP,1),INDEX(TASA_EMP,COUNTIF(TASA_DESDE,"&lt;="&amp;B1772))))</f>
        <v/>
      </c>
    </row>
    <row r="1773" customFormat="false" ht="15" hidden="false" customHeight="false" outlineLevel="0" collapsed="false">
      <c r="B1773" s="78"/>
      <c r="C1773" s="64"/>
      <c r="D1773" s="72" t="str">
        <f aca="false">IF(C1773="","",IFERROR(INDEX(T_NOMBRE,MATCH(C1773,T_ID,0)),"⚠ ID no existe"))</f>
        <v/>
      </c>
      <c r="E1773" s="69"/>
      <c r="F1773" s="67"/>
      <c r="G1773" s="67"/>
      <c r="H1773" s="67"/>
      <c r="I1773" s="67"/>
      <c r="J1773" s="67"/>
      <c r="K1773" s="85" t="str">
        <f aca="false">IF(AH1773="","",N(F1773)+N(G1773)+N(H1773)-N(I1773)+N(J1773))</f>
        <v/>
      </c>
      <c r="L1773" s="67"/>
      <c r="M1773" s="67"/>
      <c r="N1773" s="67"/>
      <c r="O1773" s="67"/>
      <c r="P1773" s="85" t="str">
        <f aca="false">IF(AH1773="","",K1773+N(L1773)+N(M1773)+N(N1773)+N(O1773))</f>
        <v/>
      </c>
      <c r="Q1773" s="67"/>
      <c r="R1773" s="67"/>
      <c r="S1773" s="67"/>
      <c r="T1773" s="67"/>
      <c r="U1773" s="67"/>
      <c r="V1773" s="67"/>
      <c r="W1773" s="85" t="str">
        <f aca="false">IF(AH1773="","",N(Q1773)+N(R1773)+N(S1773)+N(T1773)+N(U1773)+N(V1773))</f>
        <v/>
      </c>
      <c r="X1773" s="85" t="str">
        <f aca="false">IF(AH1773="","",P1773-W1773)</f>
        <v/>
      </c>
      <c r="Y1773" s="67"/>
      <c r="Z1773" s="70" t="str">
        <f aca="false">IF(OR(AH1773="",Y1773=""),"",IF(ABS(X1773-Y1773)&lt;=1,"✓ Cuadra","⚠ Diferencia $"&amp;FIXED(X1773-Y1773,0)))</f>
        <v/>
      </c>
      <c r="AA1773" s="72" t="str">
        <f aca="false">IF(AH1773="","",IFERROR(INDEX(C_TIPO,MATCH(C1773&amp;"-P"&amp;MAX(1,COUNTIFS(C_ID,C1773,C_DEFINE,"Sí",C_INICIO,"&lt;="&amp;EOMONTH(B1773,0))),C_CLAVE,0))&amp;"","Sin dato"))</f>
        <v/>
      </c>
      <c r="AB1773" s="71" t="str">
        <f aca="false">IF(AH1773="","",ROUND(MIN(K1773,TOPE_AFP_UF*AJ1773)*AK1773,0))</f>
        <v/>
      </c>
      <c r="AC1773" s="71" t="str">
        <f aca="false">IF(AH1773="","",ROUND(MIN(K1773,TOPE_AFC_UF*AJ1773)*IF(AA1773="Indefinido",AFC_EMP_INDEF,AFC_EMP_PF),0))</f>
        <v/>
      </c>
      <c r="AD1773" s="71" t="str">
        <f aca="false">IF(AH1773="","",ROUND(MIN(K1773,TOPE_AFP_UF*AJ1773)*(MUTUAL_BASICA+MUTUAL_ADIC+SANNA),0))</f>
        <v/>
      </c>
      <c r="AE1773" s="71" t="str">
        <f aca="false">IF(AH1773="","",P1773-N(N1773)+AB1773+AC1773+AD1773)</f>
        <v/>
      </c>
      <c r="AF1773" s="65"/>
      <c r="AG1773" s="64"/>
      <c r="AH1773" s="72" t="str">
        <f aca="false">IF(OR(B1773="",C1773=""),"",C1773&amp;"|"&amp;(YEAR(B1773)*100+MONTH(B1773)))</f>
        <v/>
      </c>
      <c r="AI1773" s="70" t="str">
        <f aca="false">IF(AH1773="","",IF(COUNTIF(L_CLAVE,AH1773)&gt;1,"⚠ Duplicado","OK"))</f>
        <v/>
      </c>
      <c r="AJ1773" s="86" t="str">
        <f aca="false">IF(AH1773="","",IF(SUMPRODUCT(MAX((IND_PER&lt;=B1773)*(IND_UF&lt;&gt;"")*IND_PER))=0,UF_HOY,INDEX(IND_UF,MATCH(SUMPRODUCT(MAX((IND_PER&lt;=B1773)*(IND_UF&lt;&gt;"")*IND_PER)),IND_PER,0))))</f>
        <v/>
      </c>
      <c r="AK1773" s="87" t="str">
        <f aca="false">IF(AH1773="","",IF(COUNTIF(TASA_DESDE,"&lt;="&amp;B1773)=0,INDEX(TASA_EMP,1),INDEX(TASA_EMP,COUNTIF(TASA_DESDE,"&lt;="&amp;B1773))))</f>
        <v/>
      </c>
    </row>
    <row r="1774" customFormat="false" ht="15" hidden="false" customHeight="false" outlineLevel="0" collapsed="false">
      <c r="B1774" s="78"/>
      <c r="C1774" s="64"/>
      <c r="D1774" s="72" t="str">
        <f aca="false">IF(C1774="","",IFERROR(INDEX(T_NOMBRE,MATCH(C1774,T_ID,0)),"⚠ ID no existe"))</f>
        <v/>
      </c>
      <c r="E1774" s="69"/>
      <c r="F1774" s="67"/>
      <c r="G1774" s="67"/>
      <c r="H1774" s="67"/>
      <c r="I1774" s="67"/>
      <c r="J1774" s="67"/>
      <c r="K1774" s="85" t="str">
        <f aca="false">IF(AH1774="","",N(F1774)+N(G1774)+N(H1774)-N(I1774)+N(J1774))</f>
        <v/>
      </c>
      <c r="L1774" s="67"/>
      <c r="M1774" s="67"/>
      <c r="N1774" s="67"/>
      <c r="O1774" s="67"/>
      <c r="P1774" s="85" t="str">
        <f aca="false">IF(AH1774="","",K1774+N(L1774)+N(M1774)+N(N1774)+N(O1774))</f>
        <v/>
      </c>
      <c r="Q1774" s="67"/>
      <c r="R1774" s="67"/>
      <c r="S1774" s="67"/>
      <c r="T1774" s="67"/>
      <c r="U1774" s="67"/>
      <c r="V1774" s="67"/>
      <c r="W1774" s="85" t="str">
        <f aca="false">IF(AH1774="","",N(Q1774)+N(R1774)+N(S1774)+N(T1774)+N(U1774)+N(V1774))</f>
        <v/>
      </c>
      <c r="X1774" s="85" t="str">
        <f aca="false">IF(AH1774="","",P1774-W1774)</f>
        <v/>
      </c>
      <c r="Y1774" s="67"/>
      <c r="Z1774" s="70" t="str">
        <f aca="false">IF(OR(AH1774="",Y1774=""),"",IF(ABS(X1774-Y1774)&lt;=1,"✓ Cuadra","⚠ Diferencia $"&amp;FIXED(X1774-Y1774,0)))</f>
        <v/>
      </c>
      <c r="AA1774" s="72" t="str">
        <f aca="false">IF(AH1774="","",IFERROR(INDEX(C_TIPO,MATCH(C1774&amp;"-P"&amp;MAX(1,COUNTIFS(C_ID,C1774,C_DEFINE,"Sí",C_INICIO,"&lt;="&amp;EOMONTH(B1774,0))),C_CLAVE,0))&amp;"","Sin dato"))</f>
        <v/>
      </c>
      <c r="AB1774" s="71" t="str">
        <f aca="false">IF(AH1774="","",ROUND(MIN(K1774,TOPE_AFP_UF*AJ1774)*AK1774,0))</f>
        <v/>
      </c>
      <c r="AC1774" s="71" t="str">
        <f aca="false">IF(AH1774="","",ROUND(MIN(K1774,TOPE_AFC_UF*AJ1774)*IF(AA1774="Indefinido",AFC_EMP_INDEF,AFC_EMP_PF),0))</f>
        <v/>
      </c>
      <c r="AD1774" s="71" t="str">
        <f aca="false">IF(AH1774="","",ROUND(MIN(K1774,TOPE_AFP_UF*AJ1774)*(MUTUAL_BASICA+MUTUAL_ADIC+SANNA),0))</f>
        <v/>
      </c>
      <c r="AE1774" s="71" t="str">
        <f aca="false">IF(AH1774="","",P1774-N(N1774)+AB1774+AC1774+AD1774)</f>
        <v/>
      </c>
      <c r="AF1774" s="65"/>
      <c r="AG1774" s="64"/>
      <c r="AH1774" s="72" t="str">
        <f aca="false">IF(OR(B1774="",C1774=""),"",C1774&amp;"|"&amp;(YEAR(B1774)*100+MONTH(B1774)))</f>
        <v/>
      </c>
      <c r="AI1774" s="70" t="str">
        <f aca="false">IF(AH1774="","",IF(COUNTIF(L_CLAVE,AH1774)&gt;1,"⚠ Duplicado","OK"))</f>
        <v/>
      </c>
      <c r="AJ1774" s="86" t="str">
        <f aca="false">IF(AH1774="","",IF(SUMPRODUCT(MAX((IND_PER&lt;=B1774)*(IND_UF&lt;&gt;"")*IND_PER))=0,UF_HOY,INDEX(IND_UF,MATCH(SUMPRODUCT(MAX((IND_PER&lt;=B1774)*(IND_UF&lt;&gt;"")*IND_PER)),IND_PER,0))))</f>
        <v/>
      </c>
      <c r="AK1774" s="87" t="str">
        <f aca="false">IF(AH1774="","",IF(COUNTIF(TASA_DESDE,"&lt;="&amp;B1774)=0,INDEX(TASA_EMP,1),INDEX(TASA_EMP,COUNTIF(TASA_DESDE,"&lt;="&amp;B1774))))</f>
        <v/>
      </c>
    </row>
    <row r="1775" customFormat="false" ht="15" hidden="false" customHeight="false" outlineLevel="0" collapsed="false">
      <c r="B1775" s="78"/>
      <c r="C1775" s="64"/>
      <c r="D1775" s="72" t="str">
        <f aca="false">IF(C1775="","",IFERROR(INDEX(T_NOMBRE,MATCH(C1775,T_ID,0)),"⚠ ID no existe"))</f>
        <v/>
      </c>
      <c r="E1775" s="69"/>
      <c r="F1775" s="67"/>
      <c r="G1775" s="67"/>
      <c r="H1775" s="67"/>
      <c r="I1775" s="67"/>
      <c r="J1775" s="67"/>
      <c r="K1775" s="85" t="str">
        <f aca="false">IF(AH1775="","",N(F1775)+N(G1775)+N(H1775)-N(I1775)+N(J1775))</f>
        <v/>
      </c>
      <c r="L1775" s="67"/>
      <c r="M1775" s="67"/>
      <c r="N1775" s="67"/>
      <c r="O1775" s="67"/>
      <c r="P1775" s="85" t="str">
        <f aca="false">IF(AH1775="","",K1775+N(L1775)+N(M1775)+N(N1775)+N(O1775))</f>
        <v/>
      </c>
      <c r="Q1775" s="67"/>
      <c r="R1775" s="67"/>
      <c r="S1775" s="67"/>
      <c r="T1775" s="67"/>
      <c r="U1775" s="67"/>
      <c r="V1775" s="67"/>
      <c r="W1775" s="85" t="str">
        <f aca="false">IF(AH1775="","",N(Q1775)+N(R1775)+N(S1775)+N(T1775)+N(U1775)+N(V1775))</f>
        <v/>
      </c>
      <c r="X1775" s="85" t="str">
        <f aca="false">IF(AH1775="","",P1775-W1775)</f>
        <v/>
      </c>
      <c r="Y1775" s="67"/>
      <c r="Z1775" s="70" t="str">
        <f aca="false">IF(OR(AH1775="",Y1775=""),"",IF(ABS(X1775-Y1775)&lt;=1,"✓ Cuadra","⚠ Diferencia $"&amp;FIXED(X1775-Y1775,0)))</f>
        <v/>
      </c>
      <c r="AA1775" s="72" t="str">
        <f aca="false">IF(AH1775="","",IFERROR(INDEX(C_TIPO,MATCH(C1775&amp;"-P"&amp;MAX(1,COUNTIFS(C_ID,C1775,C_DEFINE,"Sí",C_INICIO,"&lt;="&amp;EOMONTH(B1775,0))),C_CLAVE,0))&amp;"","Sin dato"))</f>
        <v/>
      </c>
      <c r="AB1775" s="71" t="str">
        <f aca="false">IF(AH1775="","",ROUND(MIN(K1775,TOPE_AFP_UF*AJ1775)*AK1775,0))</f>
        <v/>
      </c>
      <c r="AC1775" s="71" t="str">
        <f aca="false">IF(AH1775="","",ROUND(MIN(K1775,TOPE_AFC_UF*AJ1775)*IF(AA1775="Indefinido",AFC_EMP_INDEF,AFC_EMP_PF),0))</f>
        <v/>
      </c>
      <c r="AD1775" s="71" t="str">
        <f aca="false">IF(AH1775="","",ROUND(MIN(K1775,TOPE_AFP_UF*AJ1775)*(MUTUAL_BASICA+MUTUAL_ADIC+SANNA),0))</f>
        <v/>
      </c>
      <c r="AE1775" s="71" t="str">
        <f aca="false">IF(AH1775="","",P1775-N(N1775)+AB1775+AC1775+AD1775)</f>
        <v/>
      </c>
      <c r="AF1775" s="65"/>
      <c r="AG1775" s="64"/>
      <c r="AH1775" s="72" t="str">
        <f aca="false">IF(OR(B1775="",C1775=""),"",C1775&amp;"|"&amp;(YEAR(B1775)*100+MONTH(B1775)))</f>
        <v/>
      </c>
      <c r="AI1775" s="70" t="str">
        <f aca="false">IF(AH1775="","",IF(COUNTIF(L_CLAVE,AH1775)&gt;1,"⚠ Duplicado","OK"))</f>
        <v/>
      </c>
      <c r="AJ1775" s="86" t="str">
        <f aca="false">IF(AH1775="","",IF(SUMPRODUCT(MAX((IND_PER&lt;=B1775)*(IND_UF&lt;&gt;"")*IND_PER))=0,UF_HOY,INDEX(IND_UF,MATCH(SUMPRODUCT(MAX((IND_PER&lt;=B1775)*(IND_UF&lt;&gt;"")*IND_PER)),IND_PER,0))))</f>
        <v/>
      </c>
      <c r="AK1775" s="87" t="str">
        <f aca="false">IF(AH1775="","",IF(COUNTIF(TASA_DESDE,"&lt;="&amp;B1775)=0,INDEX(TASA_EMP,1),INDEX(TASA_EMP,COUNTIF(TASA_DESDE,"&lt;="&amp;B1775))))</f>
        <v/>
      </c>
    </row>
    <row r="1776" customFormat="false" ht="15" hidden="false" customHeight="false" outlineLevel="0" collapsed="false">
      <c r="B1776" s="78"/>
      <c r="C1776" s="64"/>
      <c r="D1776" s="72" t="str">
        <f aca="false">IF(C1776="","",IFERROR(INDEX(T_NOMBRE,MATCH(C1776,T_ID,0)),"⚠ ID no existe"))</f>
        <v/>
      </c>
      <c r="E1776" s="69"/>
      <c r="F1776" s="67"/>
      <c r="G1776" s="67"/>
      <c r="H1776" s="67"/>
      <c r="I1776" s="67"/>
      <c r="J1776" s="67"/>
      <c r="K1776" s="85" t="str">
        <f aca="false">IF(AH1776="","",N(F1776)+N(G1776)+N(H1776)-N(I1776)+N(J1776))</f>
        <v/>
      </c>
      <c r="L1776" s="67"/>
      <c r="M1776" s="67"/>
      <c r="N1776" s="67"/>
      <c r="O1776" s="67"/>
      <c r="P1776" s="85" t="str">
        <f aca="false">IF(AH1776="","",K1776+N(L1776)+N(M1776)+N(N1776)+N(O1776))</f>
        <v/>
      </c>
      <c r="Q1776" s="67"/>
      <c r="R1776" s="67"/>
      <c r="S1776" s="67"/>
      <c r="T1776" s="67"/>
      <c r="U1776" s="67"/>
      <c r="V1776" s="67"/>
      <c r="W1776" s="85" t="str">
        <f aca="false">IF(AH1776="","",N(Q1776)+N(R1776)+N(S1776)+N(T1776)+N(U1776)+N(V1776))</f>
        <v/>
      </c>
      <c r="X1776" s="85" t="str">
        <f aca="false">IF(AH1776="","",P1776-W1776)</f>
        <v/>
      </c>
      <c r="Y1776" s="67"/>
      <c r="Z1776" s="70" t="str">
        <f aca="false">IF(OR(AH1776="",Y1776=""),"",IF(ABS(X1776-Y1776)&lt;=1,"✓ Cuadra","⚠ Diferencia $"&amp;FIXED(X1776-Y1776,0)))</f>
        <v/>
      </c>
      <c r="AA1776" s="72" t="str">
        <f aca="false">IF(AH1776="","",IFERROR(INDEX(C_TIPO,MATCH(C1776&amp;"-P"&amp;MAX(1,COUNTIFS(C_ID,C1776,C_DEFINE,"Sí",C_INICIO,"&lt;="&amp;EOMONTH(B1776,0))),C_CLAVE,0))&amp;"","Sin dato"))</f>
        <v/>
      </c>
      <c r="AB1776" s="71" t="str">
        <f aca="false">IF(AH1776="","",ROUND(MIN(K1776,TOPE_AFP_UF*AJ1776)*AK1776,0))</f>
        <v/>
      </c>
      <c r="AC1776" s="71" t="str">
        <f aca="false">IF(AH1776="","",ROUND(MIN(K1776,TOPE_AFC_UF*AJ1776)*IF(AA1776="Indefinido",AFC_EMP_INDEF,AFC_EMP_PF),0))</f>
        <v/>
      </c>
      <c r="AD1776" s="71" t="str">
        <f aca="false">IF(AH1776="","",ROUND(MIN(K1776,TOPE_AFP_UF*AJ1776)*(MUTUAL_BASICA+MUTUAL_ADIC+SANNA),0))</f>
        <v/>
      </c>
      <c r="AE1776" s="71" t="str">
        <f aca="false">IF(AH1776="","",P1776-N(N1776)+AB1776+AC1776+AD1776)</f>
        <v/>
      </c>
      <c r="AF1776" s="65"/>
      <c r="AG1776" s="64"/>
      <c r="AH1776" s="72" t="str">
        <f aca="false">IF(OR(B1776="",C1776=""),"",C1776&amp;"|"&amp;(YEAR(B1776)*100+MONTH(B1776)))</f>
        <v/>
      </c>
      <c r="AI1776" s="70" t="str">
        <f aca="false">IF(AH1776="","",IF(COUNTIF(L_CLAVE,AH1776)&gt;1,"⚠ Duplicado","OK"))</f>
        <v/>
      </c>
      <c r="AJ1776" s="86" t="str">
        <f aca="false">IF(AH1776="","",IF(SUMPRODUCT(MAX((IND_PER&lt;=B1776)*(IND_UF&lt;&gt;"")*IND_PER))=0,UF_HOY,INDEX(IND_UF,MATCH(SUMPRODUCT(MAX((IND_PER&lt;=B1776)*(IND_UF&lt;&gt;"")*IND_PER)),IND_PER,0))))</f>
        <v/>
      </c>
      <c r="AK1776" s="87" t="str">
        <f aca="false">IF(AH1776="","",IF(COUNTIF(TASA_DESDE,"&lt;="&amp;B1776)=0,INDEX(TASA_EMP,1),INDEX(TASA_EMP,COUNTIF(TASA_DESDE,"&lt;="&amp;B1776))))</f>
        <v/>
      </c>
    </row>
    <row r="1777" customFormat="false" ht="15" hidden="false" customHeight="false" outlineLevel="0" collapsed="false">
      <c r="B1777" s="78"/>
      <c r="C1777" s="64"/>
      <c r="D1777" s="72" t="str">
        <f aca="false">IF(C1777="","",IFERROR(INDEX(T_NOMBRE,MATCH(C1777,T_ID,0)),"⚠ ID no existe"))</f>
        <v/>
      </c>
      <c r="E1777" s="69"/>
      <c r="F1777" s="67"/>
      <c r="G1777" s="67"/>
      <c r="H1777" s="67"/>
      <c r="I1777" s="67"/>
      <c r="J1777" s="67"/>
      <c r="K1777" s="85" t="str">
        <f aca="false">IF(AH1777="","",N(F1777)+N(G1777)+N(H1777)-N(I1777)+N(J1777))</f>
        <v/>
      </c>
      <c r="L1777" s="67"/>
      <c r="M1777" s="67"/>
      <c r="N1777" s="67"/>
      <c r="O1777" s="67"/>
      <c r="P1777" s="85" t="str">
        <f aca="false">IF(AH1777="","",K1777+N(L1777)+N(M1777)+N(N1777)+N(O1777))</f>
        <v/>
      </c>
      <c r="Q1777" s="67"/>
      <c r="R1777" s="67"/>
      <c r="S1777" s="67"/>
      <c r="T1777" s="67"/>
      <c r="U1777" s="67"/>
      <c r="V1777" s="67"/>
      <c r="W1777" s="85" t="str">
        <f aca="false">IF(AH1777="","",N(Q1777)+N(R1777)+N(S1777)+N(T1777)+N(U1777)+N(V1777))</f>
        <v/>
      </c>
      <c r="X1777" s="85" t="str">
        <f aca="false">IF(AH1777="","",P1777-W1777)</f>
        <v/>
      </c>
      <c r="Y1777" s="67"/>
      <c r="Z1777" s="70" t="str">
        <f aca="false">IF(OR(AH1777="",Y1777=""),"",IF(ABS(X1777-Y1777)&lt;=1,"✓ Cuadra","⚠ Diferencia $"&amp;FIXED(X1777-Y1777,0)))</f>
        <v/>
      </c>
      <c r="AA1777" s="72" t="str">
        <f aca="false">IF(AH1777="","",IFERROR(INDEX(C_TIPO,MATCH(C1777&amp;"-P"&amp;MAX(1,COUNTIFS(C_ID,C1777,C_DEFINE,"Sí",C_INICIO,"&lt;="&amp;EOMONTH(B1777,0))),C_CLAVE,0))&amp;"","Sin dato"))</f>
        <v/>
      </c>
      <c r="AB1777" s="71" t="str">
        <f aca="false">IF(AH1777="","",ROUND(MIN(K1777,TOPE_AFP_UF*AJ1777)*AK1777,0))</f>
        <v/>
      </c>
      <c r="AC1777" s="71" t="str">
        <f aca="false">IF(AH1777="","",ROUND(MIN(K1777,TOPE_AFC_UF*AJ1777)*IF(AA1777="Indefinido",AFC_EMP_INDEF,AFC_EMP_PF),0))</f>
        <v/>
      </c>
      <c r="AD1777" s="71" t="str">
        <f aca="false">IF(AH1777="","",ROUND(MIN(K1777,TOPE_AFP_UF*AJ1777)*(MUTUAL_BASICA+MUTUAL_ADIC+SANNA),0))</f>
        <v/>
      </c>
      <c r="AE1777" s="71" t="str">
        <f aca="false">IF(AH1777="","",P1777-N(N1777)+AB1777+AC1777+AD1777)</f>
        <v/>
      </c>
      <c r="AF1777" s="65"/>
      <c r="AG1777" s="64"/>
      <c r="AH1777" s="72" t="str">
        <f aca="false">IF(OR(B1777="",C1777=""),"",C1777&amp;"|"&amp;(YEAR(B1777)*100+MONTH(B1777)))</f>
        <v/>
      </c>
      <c r="AI1777" s="70" t="str">
        <f aca="false">IF(AH1777="","",IF(COUNTIF(L_CLAVE,AH1777)&gt;1,"⚠ Duplicado","OK"))</f>
        <v/>
      </c>
      <c r="AJ1777" s="86" t="str">
        <f aca="false">IF(AH1777="","",IF(SUMPRODUCT(MAX((IND_PER&lt;=B1777)*(IND_UF&lt;&gt;"")*IND_PER))=0,UF_HOY,INDEX(IND_UF,MATCH(SUMPRODUCT(MAX((IND_PER&lt;=B1777)*(IND_UF&lt;&gt;"")*IND_PER)),IND_PER,0))))</f>
        <v/>
      </c>
      <c r="AK1777" s="87" t="str">
        <f aca="false">IF(AH1777="","",IF(COUNTIF(TASA_DESDE,"&lt;="&amp;B1777)=0,INDEX(TASA_EMP,1),INDEX(TASA_EMP,COUNTIF(TASA_DESDE,"&lt;="&amp;B1777))))</f>
        <v/>
      </c>
    </row>
    <row r="1778" customFormat="false" ht="15" hidden="false" customHeight="false" outlineLevel="0" collapsed="false">
      <c r="B1778" s="78"/>
      <c r="C1778" s="64"/>
      <c r="D1778" s="72" t="str">
        <f aca="false">IF(C1778="","",IFERROR(INDEX(T_NOMBRE,MATCH(C1778,T_ID,0)),"⚠ ID no existe"))</f>
        <v/>
      </c>
      <c r="E1778" s="69"/>
      <c r="F1778" s="67"/>
      <c r="G1778" s="67"/>
      <c r="H1778" s="67"/>
      <c r="I1778" s="67"/>
      <c r="J1778" s="67"/>
      <c r="K1778" s="85" t="str">
        <f aca="false">IF(AH1778="","",N(F1778)+N(G1778)+N(H1778)-N(I1778)+N(J1778))</f>
        <v/>
      </c>
      <c r="L1778" s="67"/>
      <c r="M1778" s="67"/>
      <c r="N1778" s="67"/>
      <c r="O1778" s="67"/>
      <c r="P1778" s="85" t="str">
        <f aca="false">IF(AH1778="","",K1778+N(L1778)+N(M1778)+N(N1778)+N(O1778))</f>
        <v/>
      </c>
      <c r="Q1778" s="67"/>
      <c r="R1778" s="67"/>
      <c r="S1778" s="67"/>
      <c r="T1778" s="67"/>
      <c r="U1778" s="67"/>
      <c r="V1778" s="67"/>
      <c r="W1778" s="85" t="str">
        <f aca="false">IF(AH1778="","",N(Q1778)+N(R1778)+N(S1778)+N(T1778)+N(U1778)+N(V1778))</f>
        <v/>
      </c>
      <c r="X1778" s="85" t="str">
        <f aca="false">IF(AH1778="","",P1778-W1778)</f>
        <v/>
      </c>
      <c r="Y1778" s="67"/>
      <c r="Z1778" s="70" t="str">
        <f aca="false">IF(OR(AH1778="",Y1778=""),"",IF(ABS(X1778-Y1778)&lt;=1,"✓ Cuadra","⚠ Diferencia $"&amp;FIXED(X1778-Y1778,0)))</f>
        <v/>
      </c>
      <c r="AA1778" s="72" t="str">
        <f aca="false">IF(AH1778="","",IFERROR(INDEX(C_TIPO,MATCH(C1778&amp;"-P"&amp;MAX(1,COUNTIFS(C_ID,C1778,C_DEFINE,"Sí",C_INICIO,"&lt;="&amp;EOMONTH(B1778,0))),C_CLAVE,0))&amp;"","Sin dato"))</f>
        <v/>
      </c>
      <c r="AB1778" s="71" t="str">
        <f aca="false">IF(AH1778="","",ROUND(MIN(K1778,TOPE_AFP_UF*AJ1778)*AK1778,0))</f>
        <v/>
      </c>
      <c r="AC1778" s="71" t="str">
        <f aca="false">IF(AH1778="","",ROUND(MIN(K1778,TOPE_AFC_UF*AJ1778)*IF(AA1778="Indefinido",AFC_EMP_INDEF,AFC_EMP_PF),0))</f>
        <v/>
      </c>
      <c r="AD1778" s="71" t="str">
        <f aca="false">IF(AH1778="","",ROUND(MIN(K1778,TOPE_AFP_UF*AJ1778)*(MUTUAL_BASICA+MUTUAL_ADIC+SANNA),0))</f>
        <v/>
      </c>
      <c r="AE1778" s="71" t="str">
        <f aca="false">IF(AH1778="","",P1778-N(N1778)+AB1778+AC1778+AD1778)</f>
        <v/>
      </c>
      <c r="AF1778" s="65"/>
      <c r="AG1778" s="64"/>
      <c r="AH1778" s="72" t="str">
        <f aca="false">IF(OR(B1778="",C1778=""),"",C1778&amp;"|"&amp;(YEAR(B1778)*100+MONTH(B1778)))</f>
        <v/>
      </c>
      <c r="AI1778" s="70" t="str">
        <f aca="false">IF(AH1778="","",IF(COUNTIF(L_CLAVE,AH1778)&gt;1,"⚠ Duplicado","OK"))</f>
        <v/>
      </c>
      <c r="AJ1778" s="86" t="str">
        <f aca="false">IF(AH1778="","",IF(SUMPRODUCT(MAX((IND_PER&lt;=B1778)*(IND_UF&lt;&gt;"")*IND_PER))=0,UF_HOY,INDEX(IND_UF,MATCH(SUMPRODUCT(MAX((IND_PER&lt;=B1778)*(IND_UF&lt;&gt;"")*IND_PER)),IND_PER,0))))</f>
        <v/>
      </c>
      <c r="AK1778" s="87" t="str">
        <f aca="false">IF(AH1778="","",IF(COUNTIF(TASA_DESDE,"&lt;="&amp;B1778)=0,INDEX(TASA_EMP,1),INDEX(TASA_EMP,COUNTIF(TASA_DESDE,"&lt;="&amp;B1778))))</f>
        <v/>
      </c>
    </row>
    <row r="1779" customFormat="false" ht="15" hidden="false" customHeight="false" outlineLevel="0" collapsed="false">
      <c r="B1779" s="78"/>
      <c r="C1779" s="64"/>
      <c r="D1779" s="72" t="str">
        <f aca="false">IF(C1779="","",IFERROR(INDEX(T_NOMBRE,MATCH(C1779,T_ID,0)),"⚠ ID no existe"))</f>
        <v/>
      </c>
      <c r="E1779" s="69"/>
      <c r="F1779" s="67"/>
      <c r="G1779" s="67"/>
      <c r="H1779" s="67"/>
      <c r="I1779" s="67"/>
      <c r="J1779" s="67"/>
      <c r="K1779" s="85" t="str">
        <f aca="false">IF(AH1779="","",N(F1779)+N(G1779)+N(H1779)-N(I1779)+N(J1779))</f>
        <v/>
      </c>
      <c r="L1779" s="67"/>
      <c r="M1779" s="67"/>
      <c r="N1779" s="67"/>
      <c r="O1779" s="67"/>
      <c r="P1779" s="85" t="str">
        <f aca="false">IF(AH1779="","",K1779+N(L1779)+N(M1779)+N(N1779)+N(O1779))</f>
        <v/>
      </c>
      <c r="Q1779" s="67"/>
      <c r="R1779" s="67"/>
      <c r="S1779" s="67"/>
      <c r="T1779" s="67"/>
      <c r="U1779" s="67"/>
      <c r="V1779" s="67"/>
      <c r="W1779" s="85" t="str">
        <f aca="false">IF(AH1779="","",N(Q1779)+N(R1779)+N(S1779)+N(T1779)+N(U1779)+N(V1779))</f>
        <v/>
      </c>
      <c r="X1779" s="85" t="str">
        <f aca="false">IF(AH1779="","",P1779-W1779)</f>
        <v/>
      </c>
      <c r="Y1779" s="67"/>
      <c r="Z1779" s="70" t="str">
        <f aca="false">IF(OR(AH1779="",Y1779=""),"",IF(ABS(X1779-Y1779)&lt;=1,"✓ Cuadra","⚠ Diferencia $"&amp;FIXED(X1779-Y1779,0)))</f>
        <v/>
      </c>
      <c r="AA1779" s="72" t="str">
        <f aca="false">IF(AH1779="","",IFERROR(INDEX(C_TIPO,MATCH(C1779&amp;"-P"&amp;MAX(1,COUNTIFS(C_ID,C1779,C_DEFINE,"Sí",C_INICIO,"&lt;="&amp;EOMONTH(B1779,0))),C_CLAVE,0))&amp;"","Sin dato"))</f>
        <v/>
      </c>
      <c r="AB1779" s="71" t="str">
        <f aca="false">IF(AH1779="","",ROUND(MIN(K1779,TOPE_AFP_UF*AJ1779)*AK1779,0))</f>
        <v/>
      </c>
      <c r="AC1779" s="71" t="str">
        <f aca="false">IF(AH1779="","",ROUND(MIN(K1779,TOPE_AFC_UF*AJ1779)*IF(AA1779="Indefinido",AFC_EMP_INDEF,AFC_EMP_PF),0))</f>
        <v/>
      </c>
      <c r="AD1779" s="71" t="str">
        <f aca="false">IF(AH1779="","",ROUND(MIN(K1779,TOPE_AFP_UF*AJ1779)*(MUTUAL_BASICA+MUTUAL_ADIC+SANNA),0))</f>
        <v/>
      </c>
      <c r="AE1779" s="71" t="str">
        <f aca="false">IF(AH1779="","",P1779-N(N1779)+AB1779+AC1779+AD1779)</f>
        <v/>
      </c>
      <c r="AF1779" s="65"/>
      <c r="AG1779" s="64"/>
      <c r="AH1779" s="72" t="str">
        <f aca="false">IF(OR(B1779="",C1779=""),"",C1779&amp;"|"&amp;(YEAR(B1779)*100+MONTH(B1779)))</f>
        <v/>
      </c>
      <c r="AI1779" s="70" t="str">
        <f aca="false">IF(AH1779="","",IF(COUNTIF(L_CLAVE,AH1779)&gt;1,"⚠ Duplicado","OK"))</f>
        <v/>
      </c>
      <c r="AJ1779" s="86" t="str">
        <f aca="false">IF(AH1779="","",IF(SUMPRODUCT(MAX((IND_PER&lt;=B1779)*(IND_UF&lt;&gt;"")*IND_PER))=0,UF_HOY,INDEX(IND_UF,MATCH(SUMPRODUCT(MAX((IND_PER&lt;=B1779)*(IND_UF&lt;&gt;"")*IND_PER)),IND_PER,0))))</f>
        <v/>
      </c>
      <c r="AK1779" s="87" t="str">
        <f aca="false">IF(AH1779="","",IF(COUNTIF(TASA_DESDE,"&lt;="&amp;B1779)=0,INDEX(TASA_EMP,1),INDEX(TASA_EMP,COUNTIF(TASA_DESDE,"&lt;="&amp;B1779))))</f>
        <v/>
      </c>
    </row>
    <row r="1780" customFormat="false" ht="15" hidden="false" customHeight="false" outlineLevel="0" collapsed="false">
      <c r="B1780" s="78"/>
      <c r="C1780" s="64"/>
      <c r="D1780" s="72" t="str">
        <f aca="false">IF(C1780="","",IFERROR(INDEX(T_NOMBRE,MATCH(C1780,T_ID,0)),"⚠ ID no existe"))</f>
        <v/>
      </c>
      <c r="E1780" s="69"/>
      <c r="F1780" s="67"/>
      <c r="G1780" s="67"/>
      <c r="H1780" s="67"/>
      <c r="I1780" s="67"/>
      <c r="J1780" s="67"/>
      <c r="K1780" s="85" t="str">
        <f aca="false">IF(AH1780="","",N(F1780)+N(G1780)+N(H1780)-N(I1780)+N(J1780))</f>
        <v/>
      </c>
      <c r="L1780" s="67"/>
      <c r="M1780" s="67"/>
      <c r="N1780" s="67"/>
      <c r="O1780" s="67"/>
      <c r="P1780" s="85" t="str">
        <f aca="false">IF(AH1780="","",K1780+N(L1780)+N(M1780)+N(N1780)+N(O1780))</f>
        <v/>
      </c>
      <c r="Q1780" s="67"/>
      <c r="R1780" s="67"/>
      <c r="S1780" s="67"/>
      <c r="T1780" s="67"/>
      <c r="U1780" s="67"/>
      <c r="V1780" s="67"/>
      <c r="W1780" s="85" t="str">
        <f aca="false">IF(AH1780="","",N(Q1780)+N(R1780)+N(S1780)+N(T1780)+N(U1780)+N(V1780))</f>
        <v/>
      </c>
      <c r="X1780" s="85" t="str">
        <f aca="false">IF(AH1780="","",P1780-W1780)</f>
        <v/>
      </c>
      <c r="Y1780" s="67"/>
      <c r="Z1780" s="70" t="str">
        <f aca="false">IF(OR(AH1780="",Y1780=""),"",IF(ABS(X1780-Y1780)&lt;=1,"✓ Cuadra","⚠ Diferencia $"&amp;FIXED(X1780-Y1780,0)))</f>
        <v/>
      </c>
      <c r="AA1780" s="72" t="str">
        <f aca="false">IF(AH1780="","",IFERROR(INDEX(C_TIPO,MATCH(C1780&amp;"-P"&amp;MAX(1,COUNTIFS(C_ID,C1780,C_DEFINE,"Sí",C_INICIO,"&lt;="&amp;EOMONTH(B1780,0))),C_CLAVE,0))&amp;"","Sin dato"))</f>
        <v/>
      </c>
      <c r="AB1780" s="71" t="str">
        <f aca="false">IF(AH1780="","",ROUND(MIN(K1780,TOPE_AFP_UF*AJ1780)*AK1780,0))</f>
        <v/>
      </c>
      <c r="AC1780" s="71" t="str">
        <f aca="false">IF(AH1780="","",ROUND(MIN(K1780,TOPE_AFC_UF*AJ1780)*IF(AA1780="Indefinido",AFC_EMP_INDEF,AFC_EMP_PF),0))</f>
        <v/>
      </c>
      <c r="AD1780" s="71" t="str">
        <f aca="false">IF(AH1780="","",ROUND(MIN(K1780,TOPE_AFP_UF*AJ1780)*(MUTUAL_BASICA+MUTUAL_ADIC+SANNA),0))</f>
        <v/>
      </c>
      <c r="AE1780" s="71" t="str">
        <f aca="false">IF(AH1780="","",P1780-N(N1780)+AB1780+AC1780+AD1780)</f>
        <v/>
      </c>
      <c r="AF1780" s="65"/>
      <c r="AG1780" s="64"/>
      <c r="AH1780" s="72" t="str">
        <f aca="false">IF(OR(B1780="",C1780=""),"",C1780&amp;"|"&amp;(YEAR(B1780)*100+MONTH(B1780)))</f>
        <v/>
      </c>
      <c r="AI1780" s="70" t="str">
        <f aca="false">IF(AH1780="","",IF(COUNTIF(L_CLAVE,AH1780)&gt;1,"⚠ Duplicado","OK"))</f>
        <v/>
      </c>
      <c r="AJ1780" s="86" t="str">
        <f aca="false">IF(AH1780="","",IF(SUMPRODUCT(MAX((IND_PER&lt;=B1780)*(IND_UF&lt;&gt;"")*IND_PER))=0,UF_HOY,INDEX(IND_UF,MATCH(SUMPRODUCT(MAX((IND_PER&lt;=B1780)*(IND_UF&lt;&gt;"")*IND_PER)),IND_PER,0))))</f>
        <v/>
      </c>
      <c r="AK1780" s="87" t="str">
        <f aca="false">IF(AH1780="","",IF(COUNTIF(TASA_DESDE,"&lt;="&amp;B1780)=0,INDEX(TASA_EMP,1),INDEX(TASA_EMP,COUNTIF(TASA_DESDE,"&lt;="&amp;B1780))))</f>
        <v/>
      </c>
    </row>
    <row r="1781" customFormat="false" ht="15" hidden="false" customHeight="false" outlineLevel="0" collapsed="false">
      <c r="B1781" s="78"/>
      <c r="C1781" s="64"/>
      <c r="D1781" s="72" t="str">
        <f aca="false">IF(C1781="","",IFERROR(INDEX(T_NOMBRE,MATCH(C1781,T_ID,0)),"⚠ ID no existe"))</f>
        <v/>
      </c>
      <c r="E1781" s="69"/>
      <c r="F1781" s="67"/>
      <c r="G1781" s="67"/>
      <c r="H1781" s="67"/>
      <c r="I1781" s="67"/>
      <c r="J1781" s="67"/>
      <c r="K1781" s="85" t="str">
        <f aca="false">IF(AH1781="","",N(F1781)+N(G1781)+N(H1781)-N(I1781)+N(J1781))</f>
        <v/>
      </c>
      <c r="L1781" s="67"/>
      <c r="M1781" s="67"/>
      <c r="N1781" s="67"/>
      <c r="O1781" s="67"/>
      <c r="P1781" s="85" t="str">
        <f aca="false">IF(AH1781="","",K1781+N(L1781)+N(M1781)+N(N1781)+N(O1781))</f>
        <v/>
      </c>
      <c r="Q1781" s="67"/>
      <c r="R1781" s="67"/>
      <c r="S1781" s="67"/>
      <c r="T1781" s="67"/>
      <c r="U1781" s="67"/>
      <c r="V1781" s="67"/>
      <c r="W1781" s="85" t="str">
        <f aca="false">IF(AH1781="","",N(Q1781)+N(R1781)+N(S1781)+N(T1781)+N(U1781)+N(V1781))</f>
        <v/>
      </c>
      <c r="X1781" s="85" t="str">
        <f aca="false">IF(AH1781="","",P1781-W1781)</f>
        <v/>
      </c>
      <c r="Y1781" s="67"/>
      <c r="Z1781" s="70" t="str">
        <f aca="false">IF(OR(AH1781="",Y1781=""),"",IF(ABS(X1781-Y1781)&lt;=1,"✓ Cuadra","⚠ Diferencia $"&amp;FIXED(X1781-Y1781,0)))</f>
        <v/>
      </c>
      <c r="AA1781" s="72" t="str">
        <f aca="false">IF(AH1781="","",IFERROR(INDEX(C_TIPO,MATCH(C1781&amp;"-P"&amp;MAX(1,COUNTIFS(C_ID,C1781,C_DEFINE,"Sí",C_INICIO,"&lt;="&amp;EOMONTH(B1781,0))),C_CLAVE,0))&amp;"","Sin dato"))</f>
        <v/>
      </c>
      <c r="AB1781" s="71" t="str">
        <f aca="false">IF(AH1781="","",ROUND(MIN(K1781,TOPE_AFP_UF*AJ1781)*AK1781,0))</f>
        <v/>
      </c>
      <c r="AC1781" s="71" t="str">
        <f aca="false">IF(AH1781="","",ROUND(MIN(K1781,TOPE_AFC_UF*AJ1781)*IF(AA1781="Indefinido",AFC_EMP_INDEF,AFC_EMP_PF),0))</f>
        <v/>
      </c>
      <c r="AD1781" s="71" t="str">
        <f aca="false">IF(AH1781="","",ROUND(MIN(K1781,TOPE_AFP_UF*AJ1781)*(MUTUAL_BASICA+MUTUAL_ADIC+SANNA),0))</f>
        <v/>
      </c>
      <c r="AE1781" s="71" t="str">
        <f aca="false">IF(AH1781="","",P1781-N(N1781)+AB1781+AC1781+AD1781)</f>
        <v/>
      </c>
      <c r="AF1781" s="65"/>
      <c r="AG1781" s="64"/>
      <c r="AH1781" s="72" t="str">
        <f aca="false">IF(OR(B1781="",C1781=""),"",C1781&amp;"|"&amp;(YEAR(B1781)*100+MONTH(B1781)))</f>
        <v/>
      </c>
      <c r="AI1781" s="70" t="str">
        <f aca="false">IF(AH1781="","",IF(COUNTIF(L_CLAVE,AH1781)&gt;1,"⚠ Duplicado","OK"))</f>
        <v/>
      </c>
      <c r="AJ1781" s="86" t="str">
        <f aca="false">IF(AH1781="","",IF(SUMPRODUCT(MAX((IND_PER&lt;=B1781)*(IND_UF&lt;&gt;"")*IND_PER))=0,UF_HOY,INDEX(IND_UF,MATCH(SUMPRODUCT(MAX((IND_PER&lt;=B1781)*(IND_UF&lt;&gt;"")*IND_PER)),IND_PER,0))))</f>
        <v/>
      </c>
      <c r="AK1781" s="87" t="str">
        <f aca="false">IF(AH1781="","",IF(COUNTIF(TASA_DESDE,"&lt;="&amp;B1781)=0,INDEX(TASA_EMP,1),INDEX(TASA_EMP,COUNTIF(TASA_DESDE,"&lt;="&amp;B1781))))</f>
        <v/>
      </c>
    </row>
    <row r="1782" customFormat="false" ht="15" hidden="false" customHeight="false" outlineLevel="0" collapsed="false">
      <c r="B1782" s="78"/>
      <c r="C1782" s="64"/>
      <c r="D1782" s="72" t="str">
        <f aca="false">IF(C1782="","",IFERROR(INDEX(T_NOMBRE,MATCH(C1782,T_ID,0)),"⚠ ID no existe"))</f>
        <v/>
      </c>
      <c r="E1782" s="69"/>
      <c r="F1782" s="67"/>
      <c r="G1782" s="67"/>
      <c r="H1782" s="67"/>
      <c r="I1782" s="67"/>
      <c r="J1782" s="67"/>
      <c r="K1782" s="85" t="str">
        <f aca="false">IF(AH1782="","",N(F1782)+N(G1782)+N(H1782)-N(I1782)+N(J1782))</f>
        <v/>
      </c>
      <c r="L1782" s="67"/>
      <c r="M1782" s="67"/>
      <c r="N1782" s="67"/>
      <c r="O1782" s="67"/>
      <c r="P1782" s="85" t="str">
        <f aca="false">IF(AH1782="","",K1782+N(L1782)+N(M1782)+N(N1782)+N(O1782))</f>
        <v/>
      </c>
      <c r="Q1782" s="67"/>
      <c r="R1782" s="67"/>
      <c r="S1782" s="67"/>
      <c r="T1782" s="67"/>
      <c r="U1782" s="67"/>
      <c r="V1782" s="67"/>
      <c r="W1782" s="85" t="str">
        <f aca="false">IF(AH1782="","",N(Q1782)+N(R1782)+N(S1782)+N(T1782)+N(U1782)+N(V1782))</f>
        <v/>
      </c>
      <c r="X1782" s="85" t="str">
        <f aca="false">IF(AH1782="","",P1782-W1782)</f>
        <v/>
      </c>
      <c r="Y1782" s="67"/>
      <c r="Z1782" s="70" t="str">
        <f aca="false">IF(OR(AH1782="",Y1782=""),"",IF(ABS(X1782-Y1782)&lt;=1,"✓ Cuadra","⚠ Diferencia $"&amp;FIXED(X1782-Y1782,0)))</f>
        <v/>
      </c>
      <c r="AA1782" s="72" t="str">
        <f aca="false">IF(AH1782="","",IFERROR(INDEX(C_TIPO,MATCH(C1782&amp;"-P"&amp;MAX(1,COUNTIFS(C_ID,C1782,C_DEFINE,"Sí",C_INICIO,"&lt;="&amp;EOMONTH(B1782,0))),C_CLAVE,0))&amp;"","Sin dato"))</f>
        <v/>
      </c>
      <c r="AB1782" s="71" t="str">
        <f aca="false">IF(AH1782="","",ROUND(MIN(K1782,TOPE_AFP_UF*AJ1782)*AK1782,0))</f>
        <v/>
      </c>
      <c r="AC1782" s="71" t="str">
        <f aca="false">IF(AH1782="","",ROUND(MIN(K1782,TOPE_AFC_UF*AJ1782)*IF(AA1782="Indefinido",AFC_EMP_INDEF,AFC_EMP_PF),0))</f>
        <v/>
      </c>
      <c r="AD1782" s="71" t="str">
        <f aca="false">IF(AH1782="","",ROUND(MIN(K1782,TOPE_AFP_UF*AJ1782)*(MUTUAL_BASICA+MUTUAL_ADIC+SANNA),0))</f>
        <v/>
      </c>
      <c r="AE1782" s="71" t="str">
        <f aca="false">IF(AH1782="","",P1782-N(N1782)+AB1782+AC1782+AD1782)</f>
        <v/>
      </c>
      <c r="AF1782" s="65"/>
      <c r="AG1782" s="64"/>
      <c r="AH1782" s="72" t="str">
        <f aca="false">IF(OR(B1782="",C1782=""),"",C1782&amp;"|"&amp;(YEAR(B1782)*100+MONTH(B1782)))</f>
        <v/>
      </c>
      <c r="AI1782" s="70" t="str">
        <f aca="false">IF(AH1782="","",IF(COUNTIF(L_CLAVE,AH1782)&gt;1,"⚠ Duplicado","OK"))</f>
        <v/>
      </c>
      <c r="AJ1782" s="86" t="str">
        <f aca="false">IF(AH1782="","",IF(SUMPRODUCT(MAX((IND_PER&lt;=B1782)*(IND_UF&lt;&gt;"")*IND_PER))=0,UF_HOY,INDEX(IND_UF,MATCH(SUMPRODUCT(MAX((IND_PER&lt;=B1782)*(IND_UF&lt;&gt;"")*IND_PER)),IND_PER,0))))</f>
        <v/>
      </c>
      <c r="AK1782" s="87" t="str">
        <f aca="false">IF(AH1782="","",IF(COUNTIF(TASA_DESDE,"&lt;="&amp;B1782)=0,INDEX(TASA_EMP,1),INDEX(TASA_EMP,COUNTIF(TASA_DESDE,"&lt;="&amp;B1782))))</f>
        <v/>
      </c>
    </row>
    <row r="1783" customFormat="false" ht="15" hidden="false" customHeight="false" outlineLevel="0" collapsed="false">
      <c r="B1783" s="78"/>
      <c r="C1783" s="64"/>
      <c r="D1783" s="72" t="str">
        <f aca="false">IF(C1783="","",IFERROR(INDEX(T_NOMBRE,MATCH(C1783,T_ID,0)),"⚠ ID no existe"))</f>
        <v/>
      </c>
      <c r="E1783" s="69"/>
      <c r="F1783" s="67"/>
      <c r="G1783" s="67"/>
      <c r="H1783" s="67"/>
      <c r="I1783" s="67"/>
      <c r="J1783" s="67"/>
      <c r="K1783" s="85" t="str">
        <f aca="false">IF(AH1783="","",N(F1783)+N(G1783)+N(H1783)-N(I1783)+N(J1783))</f>
        <v/>
      </c>
      <c r="L1783" s="67"/>
      <c r="M1783" s="67"/>
      <c r="N1783" s="67"/>
      <c r="O1783" s="67"/>
      <c r="P1783" s="85" t="str">
        <f aca="false">IF(AH1783="","",K1783+N(L1783)+N(M1783)+N(N1783)+N(O1783))</f>
        <v/>
      </c>
      <c r="Q1783" s="67"/>
      <c r="R1783" s="67"/>
      <c r="S1783" s="67"/>
      <c r="T1783" s="67"/>
      <c r="U1783" s="67"/>
      <c r="V1783" s="67"/>
      <c r="W1783" s="85" t="str">
        <f aca="false">IF(AH1783="","",N(Q1783)+N(R1783)+N(S1783)+N(T1783)+N(U1783)+N(V1783))</f>
        <v/>
      </c>
      <c r="X1783" s="85" t="str">
        <f aca="false">IF(AH1783="","",P1783-W1783)</f>
        <v/>
      </c>
      <c r="Y1783" s="67"/>
      <c r="Z1783" s="70" t="str">
        <f aca="false">IF(OR(AH1783="",Y1783=""),"",IF(ABS(X1783-Y1783)&lt;=1,"✓ Cuadra","⚠ Diferencia $"&amp;FIXED(X1783-Y1783,0)))</f>
        <v/>
      </c>
      <c r="AA1783" s="72" t="str">
        <f aca="false">IF(AH1783="","",IFERROR(INDEX(C_TIPO,MATCH(C1783&amp;"-P"&amp;MAX(1,COUNTIFS(C_ID,C1783,C_DEFINE,"Sí",C_INICIO,"&lt;="&amp;EOMONTH(B1783,0))),C_CLAVE,0))&amp;"","Sin dato"))</f>
        <v/>
      </c>
      <c r="AB1783" s="71" t="str">
        <f aca="false">IF(AH1783="","",ROUND(MIN(K1783,TOPE_AFP_UF*AJ1783)*AK1783,0))</f>
        <v/>
      </c>
      <c r="AC1783" s="71" t="str">
        <f aca="false">IF(AH1783="","",ROUND(MIN(K1783,TOPE_AFC_UF*AJ1783)*IF(AA1783="Indefinido",AFC_EMP_INDEF,AFC_EMP_PF),0))</f>
        <v/>
      </c>
      <c r="AD1783" s="71" t="str">
        <f aca="false">IF(AH1783="","",ROUND(MIN(K1783,TOPE_AFP_UF*AJ1783)*(MUTUAL_BASICA+MUTUAL_ADIC+SANNA),0))</f>
        <v/>
      </c>
      <c r="AE1783" s="71" t="str">
        <f aca="false">IF(AH1783="","",P1783-N(N1783)+AB1783+AC1783+AD1783)</f>
        <v/>
      </c>
      <c r="AF1783" s="65"/>
      <c r="AG1783" s="64"/>
      <c r="AH1783" s="72" t="str">
        <f aca="false">IF(OR(B1783="",C1783=""),"",C1783&amp;"|"&amp;(YEAR(B1783)*100+MONTH(B1783)))</f>
        <v/>
      </c>
      <c r="AI1783" s="70" t="str">
        <f aca="false">IF(AH1783="","",IF(COUNTIF(L_CLAVE,AH1783)&gt;1,"⚠ Duplicado","OK"))</f>
        <v/>
      </c>
      <c r="AJ1783" s="86" t="str">
        <f aca="false">IF(AH1783="","",IF(SUMPRODUCT(MAX((IND_PER&lt;=B1783)*(IND_UF&lt;&gt;"")*IND_PER))=0,UF_HOY,INDEX(IND_UF,MATCH(SUMPRODUCT(MAX((IND_PER&lt;=B1783)*(IND_UF&lt;&gt;"")*IND_PER)),IND_PER,0))))</f>
        <v/>
      </c>
      <c r="AK1783" s="87" t="str">
        <f aca="false">IF(AH1783="","",IF(COUNTIF(TASA_DESDE,"&lt;="&amp;B1783)=0,INDEX(TASA_EMP,1),INDEX(TASA_EMP,COUNTIF(TASA_DESDE,"&lt;="&amp;B1783))))</f>
        <v/>
      </c>
    </row>
    <row r="1784" customFormat="false" ht="15" hidden="false" customHeight="false" outlineLevel="0" collapsed="false">
      <c r="B1784" s="78"/>
      <c r="C1784" s="64"/>
      <c r="D1784" s="72" t="str">
        <f aca="false">IF(C1784="","",IFERROR(INDEX(T_NOMBRE,MATCH(C1784,T_ID,0)),"⚠ ID no existe"))</f>
        <v/>
      </c>
      <c r="E1784" s="69"/>
      <c r="F1784" s="67"/>
      <c r="G1784" s="67"/>
      <c r="H1784" s="67"/>
      <c r="I1784" s="67"/>
      <c r="J1784" s="67"/>
      <c r="K1784" s="85" t="str">
        <f aca="false">IF(AH1784="","",N(F1784)+N(G1784)+N(H1784)-N(I1784)+N(J1784))</f>
        <v/>
      </c>
      <c r="L1784" s="67"/>
      <c r="M1784" s="67"/>
      <c r="N1784" s="67"/>
      <c r="O1784" s="67"/>
      <c r="P1784" s="85" t="str">
        <f aca="false">IF(AH1784="","",K1784+N(L1784)+N(M1784)+N(N1784)+N(O1784))</f>
        <v/>
      </c>
      <c r="Q1784" s="67"/>
      <c r="R1784" s="67"/>
      <c r="S1784" s="67"/>
      <c r="T1784" s="67"/>
      <c r="U1784" s="67"/>
      <c r="V1784" s="67"/>
      <c r="W1784" s="85" t="str">
        <f aca="false">IF(AH1784="","",N(Q1784)+N(R1784)+N(S1784)+N(T1784)+N(U1784)+N(V1784))</f>
        <v/>
      </c>
      <c r="X1784" s="85" t="str">
        <f aca="false">IF(AH1784="","",P1784-W1784)</f>
        <v/>
      </c>
      <c r="Y1784" s="67"/>
      <c r="Z1784" s="70" t="str">
        <f aca="false">IF(OR(AH1784="",Y1784=""),"",IF(ABS(X1784-Y1784)&lt;=1,"✓ Cuadra","⚠ Diferencia $"&amp;FIXED(X1784-Y1784,0)))</f>
        <v/>
      </c>
      <c r="AA1784" s="72" t="str">
        <f aca="false">IF(AH1784="","",IFERROR(INDEX(C_TIPO,MATCH(C1784&amp;"-P"&amp;MAX(1,COUNTIFS(C_ID,C1784,C_DEFINE,"Sí",C_INICIO,"&lt;="&amp;EOMONTH(B1784,0))),C_CLAVE,0))&amp;"","Sin dato"))</f>
        <v/>
      </c>
      <c r="AB1784" s="71" t="str">
        <f aca="false">IF(AH1784="","",ROUND(MIN(K1784,TOPE_AFP_UF*AJ1784)*AK1784,0))</f>
        <v/>
      </c>
      <c r="AC1784" s="71" t="str">
        <f aca="false">IF(AH1784="","",ROUND(MIN(K1784,TOPE_AFC_UF*AJ1784)*IF(AA1784="Indefinido",AFC_EMP_INDEF,AFC_EMP_PF),0))</f>
        <v/>
      </c>
      <c r="AD1784" s="71" t="str">
        <f aca="false">IF(AH1784="","",ROUND(MIN(K1784,TOPE_AFP_UF*AJ1784)*(MUTUAL_BASICA+MUTUAL_ADIC+SANNA),0))</f>
        <v/>
      </c>
      <c r="AE1784" s="71" t="str">
        <f aca="false">IF(AH1784="","",P1784-N(N1784)+AB1784+AC1784+AD1784)</f>
        <v/>
      </c>
      <c r="AF1784" s="65"/>
      <c r="AG1784" s="64"/>
      <c r="AH1784" s="72" t="str">
        <f aca="false">IF(OR(B1784="",C1784=""),"",C1784&amp;"|"&amp;(YEAR(B1784)*100+MONTH(B1784)))</f>
        <v/>
      </c>
      <c r="AI1784" s="70" t="str">
        <f aca="false">IF(AH1784="","",IF(COUNTIF(L_CLAVE,AH1784)&gt;1,"⚠ Duplicado","OK"))</f>
        <v/>
      </c>
      <c r="AJ1784" s="86" t="str">
        <f aca="false">IF(AH1784="","",IF(SUMPRODUCT(MAX((IND_PER&lt;=B1784)*(IND_UF&lt;&gt;"")*IND_PER))=0,UF_HOY,INDEX(IND_UF,MATCH(SUMPRODUCT(MAX((IND_PER&lt;=B1784)*(IND_UF&lt;&gt;"")*IND_PER)),IND_PER,0))))</f>
        <v/>
      </c>
      <c r="AK1784" s="87" t="str">
        <f aca="false">IF(AH1784="","",IF(COUNTIF(TASA_DESDE,"&lt;="&amp;B1784)=0,INDEX(TASA_EMP,1),INDEX(TASA_EMP,COUNTIF(TASA_DESDE,"&lt;="&amp;B1784))))</f>
        <v/>
      </c>
    </row>
    <row r="1785" customFormat="false" ht="15" hidden="false" customHeight="false" outlineLevel="0" collapsed="false">
      <c r="B1785" s="78"/>
      <c r="C1785" s="64"/>
      <c r="D1785" s="72" t="str">
        <f aca="false">IF(C1785="","",IFERROR(INDEX(T_NOMBRE,MATCH(C1785,T_ID,0)),"⚠ ID no existe"))</f>
        <v/>
      </c>
      <c r="E1785" s="69"/>
      <c r="F1785" s="67"/>
      <c r="G1785" s="67"/>
      <c r="H1785" s="67"/>
      <c r="I1785" s="67"/>
      <c r="J1785" s="67"/>
      <c r="K1785" s="85" t="str">
        <f aca="false">IF(AH1785="","",N(F1785)+N(G1785)+N(H1785)-N(I1785)+N(J1785))</f>
        <v/>
      </c>
      <c r="L1785" s="67"/>
      <c r="M1785" s="67"/>
      <c r="N1785" s="67"/>
      <c r="O1785" s="67"/>
      <c r="P1785" s="85" t="str">
        <f aca="false">IF(AH1785="","",K1785+N(L1785)+N(M1785)+N(N1785)+N(O1785))</f>
        <v/>
      </c>
      <c r="Q1785" s="67"/>
      <c r="R1785" s="67"/>
      <c r="S1785" s="67"/>
      <c r="T1785" s="67"/>
      <c r="U1785" s="67"/>
      <c r="V1785" s="67"/>
      <c r="W1785" s="85" t="str">
        <f aca="false">IF(AH1785="","",N(Q1785)+N(R1785)+N(S1785)+N(T1785)+N(U1785)+N(V1785))</f>
        <v/>
      </c>
      <c r="X1785" s="85" t="str">
        <f aca="false">IF(AH1785="","",P1785-W1785)</f>
        <v/>
      </c>
      <c r="Y1785" s="67"/>
      <c r="Z1785" s="70" t="str">
        <f aca="false">IF(OR(AH1785="",Y1785=""),"",IF(ABS(X1785-Y1785)&lt;=1,"✓ Cuadra","⚠ Diferencia $"&amp;FIXED(X1785-Y1785,0)))</f>
        <v/>
      </c>
      <c r="AA1785" s="72" t="str">
        <f aca="false">IF(AH1785="","",IFERROR(INDEX(C_TIPO,MATCH(C1785&amp;"-P"&amp;MAX(1,COUNTIFS(C_ID,C1785,C_DEFINE,"Sí",C_INICIO,"&lt;="&amp;EOMONTH(B1785,0))),C_CLAVE,0))&amp;"","Sin dato"))</f>
        <v/>
      </c>
      <c r="AB1785" s="71" t="str">
        <f aca="false">IF(AH1785="","",ROUND(MIN(K1785,TOPE_AFP_UF*AJ1785)*AK1785,0))</f>
        <v/>
      </c>
      <c r="AC1785" s="71" t="str">
        <f aca="false">IF(AH1785="","",ROUND(MIN(K1785,TOPE_AFC_UF*AJ1785)*IF(AA1785="Indefinido",AFC_EMP_INDEF,AFC_EMP_PF),0))</f>
        <v/>
      </c>
      <c r="AD1785" s="71" t="str">
        <f aca="false">IF(AH1785="","",ROUND(MIN(K1785,TOPE_AFP_UF*AJ1785)*(MUTUAL_BASICA+MUTUAL_ADIC+SANNA),0))</f>
        <v/>
      </c>
      <c r="AE1785" s="71" t="str">
        <f aca="false">IF(AH1785="","",P1785-N(N1785)+AB1785+AC1785+AD1785)</f>
        <v/>
      </c>
      <c r="AF1785" s="65"/>
      <c r="AG1785" s="64"/>
      <c r="AH1785" s="72" t="str">
        <f aca="false">IF(OR(B1785="",C1785=""),"",C1785&amp;"|"&amp;(YEAR(B1785)*100+MONTH(B1785)))</f>
        <v/>
      </c>
      <c r="AI1785" s="70" t="str">
        <f aca="false">IF(AH1785="","",IF(COUNTIF(L_CLAVE,AH1785)&gt;1,"⚠ Duplicado","OK"))</f>
        <v/>
      </c>
      <c r="AJ1785" s="86" t="str">
        <f aca="false">IF(AH1785="","",IF(SUMPRODUCT(MAX((IND_PER&lt;=B1785)*(IND_UF&lt;&gt;"")*IND_PER))=0,UF_HOY,INDEX(IND_UF,MATCH(SUMPRODUCT(MAX((IND_PER&lt;=B1785)*(IND_UF&lt;&gt;"")*IND_PER)),IND_PER,0))))</f>
        <v/>
      </c>
      <c r="AK1785" s="87" t="str">
        <f aca="false">IF(AH1785="","",IF(COUNTIF(TASA_DESDE,"&lt;="&amp;B1785)=0,INDEX(TASA_EMP,1),INDEX(TASA_EMP,COUNTIF(TASA_DESDE,"&lt;="&amp;B1785))))</f>
        <v/>
      </c>
    </row>
    <row r="1786" customFormat="false" ht="15" hidden="false" customHeight="false" outlineLevel="0" collapsed="false">
      <c r="B1786" s="78"/>
      <c r="C1786" s="64"/>
      <c r="D1786" s="72" t="str">
        <f aca="false">IF(C1786="","",IFERROR(INDEX(T_NOMBRE,MATCH(C1786,T_ID,0)),"⚠ ID no existe"))</f>
        <v/>
      </c>
      <c r="E1786" s="69"/>
      <c r="F1786" s="67"/>
      <c r="G1786" s="67"/>
      <c r="H1786" s="67"/>
      <c r="I1786" s="67"/>
      <c r="J1786" s="67"/>
      <c r="K1786" s="85" t="str">
        <f aca="false">IF(AH1786="","",N(F1786)+N(G1786)+N(H1786)-N(I1786)+N(J1786))</f>
        <v/>
      </c>
      <c r="L1786" s="67"/>
      <c r="M1786" s="67"/>
      <c r="N1786" s="67"/>
      <c r="O1786" s="67"/>
      <c r="P1786" s="85" t="str">
        <f aca="false">IF(AH1786="","",K1786+N(L1786)+N(M1786)+N(N1786)+N(O1786))</f>
        <v/>
      </c>
      <c r="Q1786" s="67"/>
      <c r="R1786" s="67"/>
      <c r="S1786" s="67"/>
      <c r="T1786" s="67"/>
      <c r="U1786" s="67"/>
      <c r="V1786" s="67"/>
      <c r="W1786" s="85" t="str">
        <f aca="false">IF(AH1786="","",N(Q1786)+N(R1786)+N(S1786)+N(T1786)+N(U1786)+N(V1786))</f>
        <v/>
      </c>
      <c r="X1786" s="85" t="str">
        <f aca="false">IF(AH1786="","",P1786-W1786)</f>
        <v/>
      </c>
      <c r="Y1786" s="67"/>
      <c r="Z1786" s="70" t="str">
        <f aca="false">IF(OR(AH1786="",Y1786=""),"",IF(ABS(X1786-Y1786)&lt;=1,"✓ Cuadra","⚠ Diferencia $"&amp;FIXED(X1786-Y1786,0)))</f>
        <v/>
      </c>
      <c r="AA1786" s="72" t="str">
        <f aca="false">IF(AH1786="","",IFERROR(INDEX(C_TIPO,MATCH(C1786&amp;"-P"&amp;MAX(1,COUNTIFS(C_ID,C1786,C_DEFINE,"Sí",C_INICIO,"&lt;="&amp;EOMONTH(B1786,0))),C_CLAVE,0))&amp;"","Sin dato"))</f>
        <v/>
      </c>
      <c r="AB1786" s="71" t="str">
        <f aca="false">IF(AH1786="","",ROUND(MIN(K1786,TOPE_AFP_UF*AJ1786)*AK1786,0))</f>
        <v/>
      </c>
      <c r="AC1786" s="71" t="str">
        <f aca="false">IF(AH1786="","",ROUND(MIN(K1786,TOPE_AFC_UF*AJ1786)*IF(AA1786="Indefinido",AFC_EMP_INDEF,AFC_EMP_PF),0))</f>
        <v/>
      </c>
      <c r="AD1786" s="71" t="str">
        <f aca="false">IF(AH1786="","",ROUND(MIN(K1786,TOPE_AFP_UF*AJ1786)*(MUTUAL_BASICA+MUTUAL_ADIC+SANNA),0))</f>
        <v/>
      </c>
      <c r="AE1786" s="71" t="str">
        <f aca="false">IF(AH1786="","",P1786-N(N1786)+AB1786+AC1786+AD1786)</f>
        <v/>
      </c>
      <c r="AF1786" s="65"/>
      <c r="AG1786" s="64"/>
      <c r="AH1786" s="72" t="str">
        <f aca="false">IF(OR(B1786="",C1786=""),"",C1786&amp;"|"&amp;(YEAR(B1786)*100+MONTH(B1786)))</f>
        <v/>
      </c>
      <c r="AI1786" s="70" t="str">
        <f aca="false">IF(AH1786="","",IF(COUNTIF(L_CLAVE,AH1786)&gt;1,"⚠ Duplicado","OK"))</f>
        <v/>
      </c>
      <c r="AJ1786" s="86" t="str">
        <f aca="false">IF(AH1786="","",IF(SUMPRODUCT(MAX((IND_PER&lt;=B1786)*(IND_UF&lt;&gt;"")*IND_PER))=0,UF_HOY,INDEX(IND_UF,MATCH(SUMPRODUCT(MAX((IND_PER&lt;=B1786)*(IND_UF&lt;&gt;"")*IND_PER)),IND_PER,0))))</f>
        <v/>
      </c>
      <c r="AK1786" s="87" t="str">
        <f aca="false">IF(AH1786="","",IF(COUNTIF(TASA_DESDE,"&lt;="&amp;B1786)=0,INDEX(TASA_EMP,1),INDEX(TASA_EMP,COUNTIF(TASA_DESDE,"&lt;="&amp;B1786))))</f>
        <v/>
      </c>
    </row>
    <row r="1787" customFormat="false" ht="15" hidden="false" customHeight="false" outlineLevel="0" collapsed="false">
      <c r="B1787" s="78"/>
      <c r="C1787" s="64"/>
      <c r="D1787" s="72" t="str">
        <f aca="false">IF(C1787="","",IFERROR(INDEX(T_NOMBRE,MATCH(C1787,T_ID,0)),"⚠ ID no existe"))</f>
        <v/>
      </c>
      <c r="E1787" s="69"/>
      <c r="F1787" s="67"/>
      <c r="G1787" s="67"/>
      <c r="H1787" s="67"/>
      <c r="I1787" s="67"/>
      <c r="J1787" s="67"/>
      <c r="K1787" s="85" t="str">
        <f aca="false">IF(AH1787="","",N(F1787)+N(G1787)+N(H1787)-N(I1787)+N(J1787))</f>
        <v/>
      </c>
      <c r="L1787" s="67"/>
      <c r="M1787" s="67"/>
      <c r="N1787" s="67"/>
      <c r="O1787" s="67"/>
      <c r="P1787" s="85" t="str">
        <f aca="false">IF(AH1787="","",K1787+N(L1787)+N(M1787)+N(N1787)+N(O1787))</f>
        <v/>
      </c>
      <c r="Q1787" s="67"/>
      <c r="R1787" s="67"/>
      <c r="S1787" s="67"/>
      <c r="T1787" s="67"/>
      <c r="U1787" s="67"/>
      <c r="V1787" s="67"/>
      <c r="W1787" s="85" t="str">
        <f aca="false">IF(AH1787="","",N(Q1787)+N(R1787)+N(S1787)+N(T1787)+N(U1787)+N(V1787))</f>
        <v/>
      </c>
      <c r="X1787" s="85" t="str">
        <f aca="false">IF(AH1787="","",P1787-W1787)</f>
        <v/>
      </c>
      <c r="Y1787" s="67"/>
      <c r="Z1787" s="70" t="str">
        <f aca="false">IF(OR(AH1787="",Y1787=""),"",IF(ABS(X1787-Y1787)&lt;=1,"✓ Cuadra","⚠ Diferencia $"&amp;FIXED(X1787-Y1787,0)))</f>
        <v/>
      </c>
      <c r="AA1787" s="72" t="str">
        <f aca="false">IF(AH1787="","",IFERROR(INDEX(C_TIPO,MATCH(C1787&amp;"-P"&amp;MAX(1,COUNTIFS(C_ID,C1787,C_DEFINE,"Sí",C_INICIO,"&lt;="&amp;EOMONTH(B1787,0))),C_CLAVE,0))&amp;"","Sin dato"))</f>
        <v/>
      </c>
      <c r="AB1787" s="71" t="str">
        <f aca="false">IF(AH1787="","",ROUND(MIN(K1787,TOPE_AFP_UF*AJ1787)*AK1787,0))</f>
        <v/>
      </c>
      <c r="AC1787" s="71" t="str">
        <f aca="false">IF(AH1787="","",ROUND(MIN(K1787,TOPE_AFC_UF*AJ1787)*IF(AA1787="Indefinido",AFC_EMP_INDEF,AFC_EMP_PF),0))</f>
        <v/>
      </c>
      <c r="AD1787" s="71" t="str">
        <f aca="false">IF(AH1787="","",ROUND(MIN(K1787,TOPE_AFP_UF*AJ1787)*(MUTUAL_BASICA+MUTUAL_ADIC+SANNA),0))</f>
        <v/>
      </c>
      <c r="AE1787" s="71" t="str">
        <f aca="false">IF(AH1787="","",P1787-N(N1787)+AB1787+AC1787+AD1787)</f>
        <v/>
      </c>
      <c r="AF1787" s="65"/>
      <c r="AG1787" s="64"/>
      <c r="AH1787" s="72" t="str">
        <f aca="false">IF(OR(B1787="",C1787=""),"",C1787&amp;"|"&amp;(YEAR(B1787)*100+MONTH(B1787)))</f>
        <v/>
      </c>
      <c r="AI1787" s="70" t="str">
        <f aca="false">IF(AH1787="","",IF(COUNTIF(L_CLAVE,AH1787)&gt;1,"⚠ Duplicado","OK"))</f>
        <v/>
      </c>
      <c r="AJ1787" s="86" t="str">
        <f aca="false">IF(AH1787="","",IF(SUMPRODUCT(MAX((IND_PER&lt;=B1787)*(IND_UF&lt;&gt;"")*IND_PER))=0,UF_HOY,INDEX(IND_UF,MATCH(SUMPRODUCT(MAX((IND_PER&lt;=B1787)*(IND_UF&lt;&gt;"")*IND_PER)),IND_PER,0))))</f>
        <v/>
      </c>
      <c r="AK1787" s="87" t="str">
        <f aca="false">IF(AH1787="","",IF(COUNTIF(TASA_DESDE,"&lt;="&amp;B1787)=0,INDEX(TASA_EMP,1),INDEX(TASA_EMP,COUNTIF(TASA_DESDE,"&lt;="&amp;B1787))))</f>
        <v/>
      </c>
    </row>
    <row r="1788" customFormat="false" ht="15" hidden="false" customHeight="false" outlineLevel="0" collapsed="false">
      <c r="B1788" s="78"/>
      <c r="C1788" s="64"/>
      <c r="D1788" s="72" t="str">
        <f aca="false">IF(C1788="","",IFERROR(INDEX(T_NOMBRE,MATCH(C1788,T_ID,0)),"⚠ ID no existe"))</f>
        <v/>
      </c>
      <c r="E1788" s="69"/>
      <c r="F1788" s="67"/>
      <c r="G1788" s="67"/>
      <c r="H1788" s="67"/>
      <c r="I1788" s="67"/>
      <c r="J1788" s="67"/>
      <c r="K1788" s="85" t="str">
        <f aca="false">IF(AH1788="","",N(F1788)+N(G1788)+N(H1788)-N(I1788)+N(J1788))</f>
        <v/>
      </c>
      <c r="L1788" s="67"/>
      <c r="M1788" s="67"/>
      <c r="N1788" s="67"/>
      <c r="O1788" s="67"/>
      <c r="P1788" s="85" t="str">
        <f aca="false">IF(AH1788="","",K1788+N(L1788)+N(M1788)+N(N1788)+N(O1788))</f>
        <v/>
      </c>
      <c r="Q1788" s="67"/>
      <c r="R1788" s="67"/>
      <c r="S1788" s="67"/>
      <c r="T1788" s="67"/>
      <c r="U1788" s="67"/>
      <c r="V1788" s="67"/>
      <c r="W1788" s="85" t="str">
        <f aca="false">IF(AH1788="","",N(Q1788)+N(R1788)+N(S1788)+N(T1788)+N(U1788)+N(V1788))</f>
        <v/>
      </c>
      <c r="X1788" s="85" t="str">
        <f aca="false">IF(AH1788="","",P1788-W1788)</f>
        <v/>
      </c>
      <c r="Y1788" s="67"/>
      <c r="Z1788" s="70" t="str">
        <f aca="false">IF(OR(AH1788="",Y1788=""),"",IF(ABS(X1788-Y1788)&lt;=1,"✓ Cuadra","⚠ Diferencia $"&amp;FIXED(X1788-Y1788,0)))</f>
        <v/>
      </c>
      <c r="AA1788" s="72" t="str">
        <f aca="false">IF(AH1788="","",IFERROR(INDEX(C_TIPO,MATCH(C1788&amp;"-P"&amp;MAX(1,COUNTIFS(C_ID,C1788,C_DEFINE,"Sí",C_INICIO,"&lt;="&amp;EOMONTH(B1788,0))),C_CLAVE,0))&amp;"","Sin dato"))</f>
        <v/>
      </c>
      <c r="AB1788" s="71" t="str">
        <f aca="false">IF(AH1788="","",ROUND(MIN(K1788,TOPE_AFP_UF*AJ1788)*AK1788,0))</f>
        <v/>
      </c>
      <c r="AC1788" s="71" t="str">
        <f aca="false">IF(AH1788="","",ROUND(MIN(K1788,TOPE_AFC_UF*AJ1788)*IF(AA1788="Indefinido",AFC_EMP_INDEF,AFC_EMP_PF),0))</f>
        <v/>
      </c>
      <c r="AD1788" s="71" t="str">
        <f aca="false">IF(AH1788="","",ROUND(MIN(K1788,TOPE_AFP_UF*AJ1788)*(MUTUAL_BASICA+MUTUAL_ADIC+SANNA),0))</f>
        <v/>
      </c>
      <c r="AE1788" s="71" t="str">
        <f aca="false">IF(AH1788="","",P1788-N(N1788)+AB1788+AC1788+AD1788)</f>
        <v/>
      </c>
      <c r="AF1788" s="65"/>
      <c r="AG1788" s="64"/>
      <c r="AH1788" s="72" t="str">
        <f aca="false">IF(OR(B1788="",C1788=""),"",C1788&amp;"|"&amp;(YEAR(B1788)*100+MONTH(B1788)))</f>
        <v/>
      </c>
      <c r="AI1788" s="70" t="str">
        <f aca="false">IF(AH1788="","",IF(COUNTIF(L_CLAVE,AH1788)&gt;1,"⚠ Duplicado","OK"))</f>
        <v/>
      </c>
      <c r="AJ1788" s="86" t="str">
        <f aca="false">IF(AH1788="","",IF(SUMPRODUCT(MAX((IND_PER&lt;=B1788)*(IND_UF&lt;&gt;"")*IND_PER))=0,UF_HOY,INDEX(IND_UF,MATCH(SUMPRODUCT(MAX((IND_PER&lt;=B1788)*(IND_UF&lt;&gt;"")*IND_PER)),IND_PER,0))))</f>
        <v/>
      </c>
      <c r="AK1788" s="87" t="str">
        <f aca="false">IF(AH1788="","",IF(COUNTIF(TASA_DESDE,"&lt;="&amp;B1788)=0,INDEX(TASA_EMP,1),INDEX(TASA_EMP,COUNTIF(TASA_DESDE,"&lt;="&amp;B1788))))</f>
        <v/>
      </c>
    </row>
    <row r="1789" customFormat="false" ht="15" hidden="false" customHeight="false" outlineLevel="0" collapsed="false">
      <c r="B1789" s="78"/>
      <c r="C1789" s="64"/>
      <c r="D1789" s="72" t="str">
        <f aca="false">IF(C1789="","",IFERROR(INDEX(T_NOMBRE,MATCH(C1789,T_ID,0)),"⚠ ID no existe"))</f>
        <v/>
      </c>
      <c r="E1789" s="69"/>
      <c r="F1789" s="67"/>
      <c r="G1789" s="67"/>
      <c r="H1789" s="67"/>
      <c r="I1789" s="67"/>
      <c r="J1789" s="67"/>
      <c r="K1789" s="85" t="str">
        <f aca="false">IF(AH1789="","",N(F1789)+N(G1789)+N(H1789)-N(I1789)+N(J1789))</f>
        <v/>
      </c>
      <c r="L1789" s="67"/>
      <c r="M1789" s="67"/>
      <c r="N1789" s="67"/>
      <c r="O1789" s="67"/>
      <c r="P1789" s="85" t="str">
        <f aca="false">IF(AH1789="","",K1789+N(L1789)+N(M1789)+N(N1789)+N(O1789))</f>
        <v/>
      </c>
      <c r="Q1789" s="67"/>
      <c r="R1789" s="67"/>
      <c r="S1789" s="67"/>
      <c r="T1789" s="67"/>
      <c r="U1789" s="67"/>
      <c r="V1789" s="67"/>
      <c r="W1789" s="85" t="str">
        <f aca="false">IF(AH1789="","",N(Q1789)+N(R1789)+N(S1789)+N(T1789)+N(U1789)+N(V1789))</f>
        <v/>
      </c>
      <c r="X1789" s="85" t="str">
        <f aca="false">IF(AH1789="","",P1789-W1789)</f>
        <v/>
      </c>
      <c r="Y1789" s="67"/>
      <c r="Z1789" s="70" t="str">
        <f aca="false">IF(OR(AH1789="",Y1789=""),"",IF(ABS(X1789-Y1789)&lt;=1,"✓ Cuadra","⚠ Diferencia $"&amp;FIXED(X1789-Y1789,0)))</f>
        <v/>
      </c>
      <c r="AA1789" s="72" t="str">
        <f aca="false">IF(AH1789="","",IFERROR(INDEX(C_TIPO,MATCH(C1789&amp;"-P"&amp;MAX(1,COUNTIFS(C_ID,C1789,C_DEFINE,"Sí",C_INICIO,"&lt;="&amp;EOMONTH(B1789,0))),C_CLAVE,0))&amp;"","Sin dato"))</f>
        <v/>
      </c>
      <c r="AB1789" s="71" t="str">
        <f aca="false">IF(AH1789="","",ROUND(MIN(K1789,TOPE_AFP_UF*AJ1789)*AK1789,0))</f>
        <v/>
      </c>
      <c r="AC1789" s="71" t="str">
        <f aca="false">IF(AH1789="","",ROUND(MIN(K1789,TOPE_AFC_UF*AJ1789)*IF(AA1789="Indefinido",AFC_EMP_INDEF,AFC_EMP_PF),0))</f>
        <v/>
      </c>
      <c r="AD1789" s="71" t="str">
        <f aca="false">IF(AH1789="","",ROUND(MIN(K1789,TOPE_AFP_UF*AJ1789)*(MUTUAL_BASICA+MUTUAL_ADIC+SANNA),0))</f>
        <v/>
      </c>
      <c r="AE1789" s="71" t="str">
        <f aca="false">IF(AH1789="","",P1789-N(N1789)+AB1789+AC1789+AD1789)</f>
        <v/>
      </c>
      <c r="AF1789" s="65"/>
      <c r="AG1789" s="64"/>
      <c r="AH1789" s="72" t="str">
        <f aca="false">IF(OR(B1789="",C1789=""),"",C1789&amp;"|"&amp;(YEAR(B1789)*100+MONTH(B1789)))</f>
        <v/>
      </c>
      <c r="AI1789" s="70" t="str">
        <f aca="false">IF(AH1789="","",IF(COUNTIF(L_CLAVE,AH1789)&gt;1,"⚠ Duplicado","OK"))</f>
        <v/>
      </c>
      <c r="AJ1789" s="86" t="str">
        <f aca="false">IF(AH1789="","",IF(SUMPRODUCT(MAX((IND_PER&lt;=B1789)*(IND_UF&lt;&gt;"")*IND_PER))=0,UF_HOY,INDEX(IND_UF,MATCH(SUMPRODUCT(MAX((IND_PER&lt;=B1789)*(IND_UF&lt;&gt;"")*IND_PER)),IND_PER,0))))</f>
        <v/>
      </c>
      <c r="AK1789" s="87" t="str">
        <f aca="false">IF(AH1789="","",IF(COUNTIF(TASA_DESDE,"&lt;="&amp;B1789)=0,INDEX(TASA_EMP,1),INDEX(TASA_EMP,COUNTIF(TASA_DESDE,"&lt;="&amp;B1789))))</f>
        <v/>
      </c>
    </row>
    <row r="1790" customFormat="false" ht="15" hidden="false" customHeight="false" outlineLevel="0" collapsed="false">
      <c r="B1790" s="78"/>
      <c r="C1790" s="64"/>
      <c r="D1790" s="72" t="str">
        <f aca="false">IF(C1790="","",IFERROR(INDEX(T_NOMBRE,MATCH(C1790,T_ID,0)),"⚠ ID no existe"))</f>
        <v/>
      </c>
      <c r="E1790" s="69"/>
      <c r="F1790" s="67"/>
      <c r="G1790" s="67"/>
      <c r="H1790" s="67"/>
      <c r="I1790" s="67"/>
      <c r="J1790" s="67"/>
      <c r="K1790" s="85" t="str">
        <f aca="false">IF(AH1790="","",N(F1790)+N(G1790)+N(H1790)-N(I1790)+N(J1790))</f>
        <v/>
      </c>
      <c r="L1790" s="67"/>
      <c r="M1790" s="67"/>
      <c r="N1790" s="67"/>
      <c r="O1790" s="67"/>
      <c r="P1790" s="85" t="str">
        <f aca="false">IF(AH1790="","",K1790+N(L1790)+N(M1790)+N(N1790)+N(O1790))</f>
        <v/>
      </c>
      <c r="Q1790" s="67"/>
      <c r="R1790" s="67"/>
      <c r="S1790" s="67"/>
      <c r="T1790" s="67"/>
      <c r="U1790" s="67"/>
      <c r="V1790" s="67"/>
      <c r="W1790" s="85" t="str">
        <f aca="false">IF(AH1790="","",N(Q1790)+N(R1790)+N(S1790)+N(T1790)+N(U1790)+N(V1790))</f>
        <v/>
      </c>
      <c r="X1790" s="85" t="str">
        <f aca="false">IF(AH1790="","",P1790-W1790)</f>
        <v/>
      </c>
      <c r="Y1790" s="67"/>
      <c r="Z1790" s="70" t="str">
        <f aca="false">IF(OR(AH1790="",Y1790=""),"",IF(ABS(X1790-Y1790)&lt;=1,"✓ Cuadra","⚠ Diferencia $"&amp;FIXED(X1790-Y1790,0)))</f>
        <v/>
      </c>
      <c r="AA1790" s="72" t="str">
        <f aca="false">IF(AH1790="","",IFERROR(INDEX(C_TIPO,MATCH(C1790&amp;"-P"&amp;MAX(1,COUNTIFS(C_ID,C1790,C_DEFINE,"Sí",C_INICIO,"&lt;="&amp;EOMONTH(B1790,0))),C_CLAVE,0))&amp;"","Sin dato"))</f>
        <v/>
      </c>
      <c r="AB1790" s="71" t="str">
        <f aca="false">IF(AH1790="","",ROUND(MIN(K1790,TOPE_AFP_UF*AJ1790)*AK1790,0))</f>
        <v/>
      </c>
      <c r="AC1790" s="71" t="str">
        <f aca="false">IF(AH1790="","",ROUND(MIN(K1790,TOPE_AFC_UF*AJ1790)*IF(AA1790="Indefinido",AFC_EMP_INDEF,AFC_EMP_PF),0))</f>
        <v/>
      </c>
      <c r="AD1790" s="71" t="str">
        <f aca="false">IF(AH1790="","",ROUND(MIN(K1790,TOPE_AFP_UF*AJ1790)*(MUTUAL_BASICA+MUTUAL_ADIC+SANNA),0))</f>
        <v/>
      </c>
      <c r="AE1790" s="71" t="str">
        <f aca="false">IF(AH1790="","",P1790-N(N1790)+AB1790+AC1790+AD1790)</f>
        <v/>
      </c>
      <c r="AF1790" s="65"/>
      <c r="AG1790" s="64"/>
      <c r="AH1790" s="72" t="str">
        <f aca="false">IF(OR(B1790="",C1790=""),"",C1790&amp;"|"&amp;(YEAR(B1790)*100+MONTH(B1790)))</f>
        <v/>
      </c>
      <c r="AI1790" s="70" t="str">
        <f aca="false">IF(AH1790="","",IF(COUNTIF(L_CLAVE,AH1790)&gt;1,"⚠ Duplicado","OK"))</f>
        <v/>
      </c>
      <c r="AJ1790" s="86" t="str">
        <f aca="false">IF(AH1790="","",IF(SUMPRODUCT(MAX((IND_PER&lt;=B1790)*(IND_UF&lt;&gt;"")*IND_PER))=0,UF_HOY,INDEX(IND_UF,MATCH(SUMPRODUCT(MAX((IND_PER&lt;=B1790)*(IND_UF&lt;&gt;"")*IND_PER)),IND_PER,0))))</f>
        <v/>
      </c>
      <c r="AK1790" s="87" t="str">
        <f aca="false">IF(AH1790="","",IF(COUNTIF(TASA_DESDE,"&lt;="&amp;B1790)=0,INDEX(TASA_EMP,1),INDEX(TASA_EMP,COUNTIF(TASA_DESDE,"&lt;="&amp;B1790))))</f>
        <v/>
      </c>
    </row>
    <row r="1791" customFormat="false" ht="15" hidden="false" customHeight="false" outlineLevel="0" collapsed="false">
      <c r="B1791" s="78"/>
      <c r="C1791" s="64"/>
      <c r="D1791" s="72" t="str">
        <f aca="false">IF(C1791="","",IFERROR(INDEX(T_NOMBRE,MATCH(C1791,T_ID,0)),"⚠ ID no existe"))</f>
        <v/>
      </c>
      <c r="E1791" s="69"/>
      <c r="F1791" s="67"/>
      <c r="G1791" s="67"/>
      <c r="H1791" s="67"/>
      <c r="I1791" s="67"/>
      <c r="J1791" s="67"/>
      <c r="K1791" s="85" t="str">
        <f aca="false">IF(AH1791="","",N(F1791)+N(G1791)+N(H1791)-N(I1791)+N(J1791))</f>
        <v/>
      </c>
      <c r="L1791" s="67"/>
      <c r="M1791" s="67"/>
      <c r="N1791" s="67"/>
      <c r="O1791" s="67"/>
      <c r="P1791" s="85" t="str">
        <f aca="false">IF(AH1791="","",K1791+N(L1791)+N(M1791)+N(N1791)+N(O1791))</f>
        <v/>
      </c>
      <c r="Q1791" s="67"/>
      <c r="R1791" s="67"/>
      <c r="S1791" s="67"/>
      <c r="T1791" s="67"/>
      <c r="U1791" s="67"/>
      <c r="V1791" s="67"/>
      <c r="W1791" s="85" t="str">
        <f aca="false">IF(AH1791="","",N(Q1791)+N(R1791)+N(S1791)+N(T1791)+N(U1791)+N(V1791))</f>
        <v/>
      </c>
      <c r="X1791" s="85" t="str">
        <f aca="false">IF(AH1791="","",P1791-W1791)</f>
        <v/>
      </c>
      <c r="Y1791" s="67"/>
      <c r="Z1791" s="70" t="str">
        <f aca="false">IF(OR(AH1791="",Y1791=""),"",IF(ABS(X1791-Y1791)&lt;=1,"✓ Cuadra","⚠ Diferencia $"&amp;FIXED(X1791-Y1791,0)))</f>
        <v/>
      </c>
      <c r="AA1791" s="72" t="str">
        <f aca="false">IF(AH1791="","",IFERROR(INDEX(C_TIPO,MATCH(C1791&amp;"-P"&amp;MAX(1,COUNTIFS(C_ID,C1791,C_DEFINE,"Sí",C_INICIO,"&lt;="&amp;EOMONTH(B1791,0))),C_CLAVE,0))&amp;"","Sin dato"))</f>
        <v/>
      </c>
      <c r="AB1791" s="71" t="str">
        <f aca="false">IF(AH1791="","",ROUND(MIN(K1791,TOPE_AFP_UF*AJ1791)*AK1791,0))</f>
        <v/>
      </c>
      <c r="AC1791" s="71" t="str">
        <f aca="false">IF(AH1791="","",ROUND(MIN(K1791,TOPE_AFC_UF*AJ1791)*IF(AA1791="Indefinido",AFC_EMP_INDEF,AFC_EMP_PF),0))</f>
        <v/>
      </c>
      <c r="AD1791" s="71" t="str">
        <f aca="false">IF(AH1791="","",ROUND(MIN(K1791,TOPE_AFP_UF*AJ1791)*(MUTUAL_BASICA+MUTUAL_ADIC+SANNA),0))</f>
        <v/>
      </c>
      <c r="AE1791" s="71" t="str">
        <f aca="false">IF(AH1791="","",P1791-N(N1791)+AB1791+AC1791+AD1791)</f>
        <v/>
      </c>
      <c r="AF1791" s="65"/>
      <c r="AG1791" s="64"/>
      <c r="AH1791" s="72" t="str">
        <f aca="false">IF(OR(B1791="",C1791=""),"",C1791&amp;"|"&amp;(YEAR(B1791)*100+MONTH(B1791)))</f>
        <v/>
      </c>
      <c r="AI1791" s="70" t="str">
        <f aca="false">IF(AH1791="","",IF(COUNTIF(L_CLAVE,AH1791)&gt;1,"⚠ Duplicado","OK"))</f>
        <v/>
      </c>
      <c r="AJ1791" s="86" t="str">
        <f aca="false">IF(AH1791="","",IF(SUMPRODUCT(MAX((IND_PER&lt;=B1791)*(IND_UF&lt;&gt;"")*IND_PER))=0,UF_HOY,INDEX(IND_UF,MATCH(SUMPRODUCT(MAX((IND_PER&lt;=B1791)*(IND_UF&lt;&gt;"")*IND_PER)),IND_PER,0))))</f>
        <v/>
      </c>
      <c r="AK1791" s="87" t="str">
        <f aca="false">IF(AH1791="","",IF(COUNTIF(TASA_DESDE,"&lt;="&amp;B1791)=0,INDEX(TASA_EMP,1),INDEX(TASA_EMP,COUNTIF(TASA_DESDE,"&lt;="&amp;B1791))))</f>
        <v/>
      </c>
    </row>
    <row r="1792" customFormat="false" ht="15" hidden="false" customHeight="false" outlineLevel="0" collapsed="false">
      <c r="B1792" s="78"/>
      <c r="C1792" s="64"/>
      <c r="D1792" s="72" t="str">
        <f aca="false">IF(C1792="","",IFERROR(INDEX(T_NOMBRE,MATCH(C1792,T_ID,0)),"⚠ ID no existe"))</f>
        <v/>
      </c>
      <c r="E1792" s="69"/>
      <c r="F1792" s="67"/>
      <c r="G1792" s="67"/>
      <c r="H1792" s="67"/>
      <c r="I1792" s="67"/>
      <c r="J1792" s="67"/>
      <c r="K1792" s="85" t="str">
        <f aca="false">IF(AH1792="","",N(F1792)+N(G1792)+N(H1792)-N(I1792)+N(J1792))</f>
        <v/>
      </c>
      <c r="L1792" s="67"/>
      <c r="M1792" s="67"/>
      <c r="N1792" s="67"/>
      <c r="O1792" s="67"/>
      <c r="P1792" s="85" t="str">
        <f aca="false">IF(AH1792="","",K1792+N(L1792)+N(M1792)+N(N1792)+N(O1792))</f>
        <v/>
      </c>
      <c r="Q1792" s="67"/>
      <c r="R1792" s="67"/>
      <c r="S1792" s="67"/>
      <c r="T1792" s="67"/>
      <c r="U1792" s="67"/>
      <c r="V1792" s="67"/>
      <c r="W1792" s="85" t="str">
        <f aca="false">IF(AH1792="","",N(Q1792)+N(R1792)+N(S1792)+N(T1792)+N(U1792)+N(V1792))</f>
        <v/>
      </c>
      <c r="X1792" s="85" t="str">
        <f aca="false">IF(AH1792="","",P1792-W1792)</f>
        <v/>
      </c>
      <c r="Y1792" s="67"/>
      <c r="Z1792" s="70" t="str">
        <f aca="false">IF(OR(AH1792="",Y1792=""),"",IF(ABS(X1792-Y1792)&lt;=1,"✓ Cuadra","⚠ Diferencia $"&amp;FIXED(X1792-Y1792,0)))</f>
        <v/>
      </c>
      <c r="AA1792" s="72" t="str">
        <f aca="false">IF(AH1792="","",IFERROR(INDEX(C_TIPO,MATCH(C1792&amp;"-P"&amp;MAX(1,COUNTIFS(C_ID,C1792,C_DEFINE,"Sí",C_INICIO,"&lt;="&amp;EOMONTH(B1792,0))),C_CLAVE,0))&amp;"","Sin dato"))</f>
        <v/>
      </c>
      <c r="AB1792" s="71" t="str">
        <f aca="false">IF(AH1792="","",ROUND(MIN(K1792,TOPE_AFP_UF*AJ1792)*AK1792,0))</f>
        <v/>
      </c>
      <c r="AC1792" s="71" t="str">
        <f aca="false">IF(AH1792="","",ROUND(MIN(K1792,TOPE_AFC_UF*AJ1792)*IF(AA1792="Indefinido",AFC_EMP_INDEF,AFC_EMP_PF),0))</f>
        <v/>
      </c>
      <c r="AD1792" s="71" t="str">
        <f aca="false">IF(AH1792="","",ROUND(MIN(K1792,TOPE_AFP_UF*AJ1792)*(MUTUAL_BASICA+MUTUAL_ADIC+SANNA),0))</f>
        <v/>
      </c>
      <c r="AE1792" s="71" t="str">
        <f aca="false">IF(AH1792="","",P1792-N(N1792)+AB1792+AC1792+AD1792)</f>
        <v/>
      </c>
      <c r="AF1792" s="65"/>
      <c r="AG1792" s="64"/>
      <c r="AH1792" s="72" t="str">
        <f aca="false">IF(OR(B1792="",C1792=""),"",C1792&amp;"|"&amp;(YEAR(B1792)*100+MONTH(B1792)))</f>
        <v/>
      </c>
      <c r="AI1792" s="70" t="str">
        <f aca="false">IF(AH1792="","",IF(COUNTIF(L_CLAVE,AH1792)&gt;1,"⚠ Duplicado","OK"))</f>
        <v/>
      </c>
      <c r="AJ1792" s="86" t="str">
        <f aca="false">IF(AH1792="","",IF(SUMPRODUCT(MAX((IND_PER&lt;=B1792)*(IND_UF&lt;&gt;"")*IND_PER))=0,UF_HOY,INDEX(IND_UF,MATCH(SUMPRODUCT(MAX((IND_PER&lt;=B1792)*(IND_UF&lt;&gt;"")*IND_PER)),IND_PER,0))))</f>
        <v/>
      </c>
      <c r="AK1792" s="87" t="str">
        <f aca="false">IF(AH1792="","",IF(COUNTIF(TASA_DESDE,"&lt;="&amp;B1792)=0,INDEX(TASA_EMP,1),INDEX(TASA_EMP,COUNTIF(TASA_DESDE,"&lt;="&amp;B1792))))</f>
        <v/>
      </c>
    </row>
    <row r="1793" customFormat="false" ht="15" hidden="false" customHeight="false" outlineLevel="0" collapsed="false">
      <c r="B1793" s="78"/>
      <c r="C1793" s="64"/>
      <c r="D1793" s="72" t="str">
        <f aca="false">IF(C1793="","",IFERROR(INDEX(T_NOMBRE,MATCH(C1793,T_ID,0)),"⚠ ID no existe"))</f>
        <v/>
      </c>
      <c r="E1793" s="69"/>
      <c r="F1793" s="67"/>
      <c r="G1793" s="67"/>
      <c r="H1793" s="67"/>
      <c r="I1793" s="67"/>
      <c r="J1793" s="67"/>
      <c r="K1793" s="85" t="str">
        <f aca="false">IF(AH1793="","",N(F1793)+N(G1793)+N(H1793)-N(I1793)+N(J1793))</f>
        <v/>
      </c>
      <c r="L1793" s="67"/>
      <c r="M1793" s="67"/>
      <c r="N1793" s="67"/>
      <c r="O1793" s="67"/>
      <c r="P1793" s="85" t="str">
        <f aca="false">IF(AH1793="","",K1793+N(L1793)+N(M1793)+N(N1793)+N(O1793))</f>
        <v/>
      </c>
      <c r="Q1793" s="67"/>
      <c r="R1793" s="67"/>
      <c r="S1793" s="67"/>
      <c r="T1793" s="67"/>
      <c r="U1793" s="67"/>
      <c r="V1793" s="67"/>
      <c r="W1793" s="85" t="str">
        <f aca="false">IF(AH1793="","",N(Q1793)+N(R1793)+N(S1793)+N(T1793)+N(U1793)+N(V1793))</f>
        <v/>
      </c>
      <c r="X1793" s="85" t="str">
        <f aca="false">IF(AH1793="","",P1793-W1793)</f>
        <v/>
      </c>
      <c r="Y1793" s="67"/>
      <c r="Z1793" s="70" t="str">
        <f aca="false">IF(OR(AH1793="",Y1793=""),"",IF(ABS(X1793-Y1793)&lt;=1,"✓ Cuadra","⚠ Diferencia $"&amp;FIXED(X1793-Y1793,0)))</f>
        <v/>
      </c>
      <c r="AA1793" s="72" t="str">
        <f aca="false">IF(AH1793="","",IFERROR(INDEX(C_TIPO,MATCH(C1793&amp;"-P"&amp;MAX(1,COUNTIFS(C_ID,C1793,C_DEFINE,"Sí",C_INICIO,"&lt;="&amp;EOMONTH(B1793,0))),C_CLAVE,0))&amp;"","Sin dato"))</f>
        <v/>
      </c>
      <c r="AB1793" s="71" t="str">
        <f aca="false">IF(AH1793="","",ROUND(MIN(K1793,TOPE_AFP_UF*AJ1793)*AK1793,0))</f>
        <v/>
      </c>
      <c r="AC1793" s="71" t="str">
        <f aca="false">IF(AH1793="","",ROUND(MIN(K1793,TOPE_AFC_UF*AJ1793)*IF(AA1793="Indefinido",AFC_EMP_INDEF,AFC_EMP_PF),0))</f>
        <v/>
      </c>
      <c r="AD1793" s="71" t="str">
        <f aca="false">IF(AH1793="","",ROUND(MIN(K1793,TOPE_AFP_UF*AJ1793)*(MUTUAL_BASICA+MUTUAL_ADIC+SANNA),0))</f>
        <v/>
      </c>
      <c r="AE1793" s="71" t="str">
        <f aca="false">IF(AH1793="","",P1793-N(N1793)+AB1793+AC1793+AD1793)</f>
        <v/>
      </c>
      <c r="AF1793" s="65"/>
      <c r="AG1793" s="64"/>
      <c r="AH1793" s="72" t="str">
        <f aca="false">IF(OR(B1793="",C1793=""),"",C1793&amp;"|"&amp;(YEAR(B1793)*100+MONTH(B1793)))</f>
        <v/>
      </c>
      <c r="AI1793" s="70" t="str">
        <f aca="false">IF(AH1793="","",IF(COUNTIF(L_CLAVE,AH1793)&gt;1,"⚠ Duplicado","OK"))</f>
        <v/>
      </c>
      <c r="AJ1793" s="86" t="str">
        <f aca="false">IF(AH1793="","",IF(SUMPRODUCT(MAX((IND_PER&lt;=B1793)*(IND_UF&lt;&gt;"")*IND_PER))=0,UF_HOY,INDEX(IND_UF,MATCH(SUMPRODUCT(MAX((IND_PER&lt;=B1793)*(IND_UF&lt;&gt;"")*IND_PER)),IND_PER,0))))</f>
        <v/>
      </c>
      <c r="AK1793" s="87" t="str">
        <f aca="false">IF(AH1793="","",IF(COUNTIF(TASA_DESDE,"&lt;="&amp;B1793)=0,INDEX(TASA_EMP,1),INDEX(TASA_EMP,COUNTIF(TASA_DESDE,"&lt;="&amp;B1793))))</f>
        <v/>
      </c>
    </row>
    <row r="1794" customFormat="false" ht="15" hidden="false" customHeight="false" outlineLevel="0" collapsed="false">
      <c r="B1794" s="78"/>
      <c r="C1794" s="64"/>
      <c r="D1794" s="72" t="str">
        <f aca="false">IF(C1794="","",IFERROR(INDEX(T_NOMBRE,MATCH(C1794,T_ID,0)),"⚠ ID no existe"))</f>
        <v/>
      </c>
      <c r="E1794" s="69"/>
      <c r="F1794" s="67"/>
      <c r="G1794" s="67"/>
      <c r="H1794" s="67"/>
      <c r="I1794" s="67"/>
      <c r="J1794" s="67"/>
      <c r="K1794" s="85" t="str">
        <f aca="false">IF(AH1794="","",N(F1794)+N(G1794)+N(H1794)-N(I1794)+N(J1794))</f>
        <v/>
      </c>
      <c r="L1794" s="67"/>
      <c r="M1794" s="67"/>
      <c r="N1794" s="67"/>
      <c r="O1794" s="67"/>
      <c r="P1794" s="85" t="str">
        <f aca="false">IF(AH1794="","",K1794+N(L1794)+N(M1794)+N(N1794)+N(O1794))</f>
        <v/>
      </c>
      <c r="Q1794" s="67"/>
      <c r="R1794" s="67"/>
      <c r="S1794" s="67"/>
      <c r="T1794" s="67"/>
      <c r="U1794" s="67"/>
      <c r="V1794" s="67"/>
      <c r="W1794" s="85" t="str">
        <f aca="false">IF(AH1794="","",N(Q1794)+N(R1794)+N(S1794)+N(T1794)+N(U1794)+N(V1794))</f>
        <v/>
      </c>
      <c r="X1794" s="85" t="str">
        <f aca="false">IF(AH1794="","",P1794-W1794)</f>
        <v/>
      </c>
      <c r="Y1794" s="67"/>
      <c r="Z1794" s="70" t="str">
        <f aca="false">IF(OR(AH1794="",Y1794=""),"",IF(ABS(X1794-Y1794)&lt;=1,"✓ Cuadra","⚠ Diferencia $"&amp;FIXED(X1794-Y1794,0)))</f>
        <v/>
      </c>
      <c r="AA1794" s="72" t="str">
        <f aca="false">IF(AH1794="","",IFERROR(INDEX(C_TIPO,MATCH(C1794&amp;"-P"&amp;MAX(1,COUNTIFS(C_ID,C1794,C_DEFINE,"Sí",C_INICIO,"&lt;="&amp;EOMONTH(B1794,0))),C_CLAVE,0))&amp;"","Sin dato"))</f>
        <v/>
      </c>
      <c r="AB1794" s="71" t="str">
        <f aca="false">IF(AH1794="","",ROUND(MIN(K1794,TOPE_AFP_UF*AJ1794)*AK1794,0))</f>
        <v/>
      </c>
      <c r="AC1794" s="71" t="str">
        <f aca="false">IF(AH1794="","",ROUND(MIN(K1794,TOPE_AFC_UF*AJ1794)*IF(AA1794="Indefinido",AFC_EMP_INDEF,AFC_EMP_PF),0))</f>
        <v/>
      </c>
      <c r="AD1794" s="71" t="str">
        <f aca="false">IF(AH1794="","",ROUND(MIN(K1794,TOPE_AFP_UF*AJ1794)*(MUTUAL_BASICA+MUTUAL_ADIC+SANNA),0))</f>
        <v/>
      </c>
      <c r="AE1794" s="71" t="str">
        <f aca="false">IF(AH1794="","",P1794-N(N1794)+AB1794+AC1794+AD1794)</f>
        <v/>
      </c>
      <c r="AF1794" s="65"/>
      <c r="AG1794" s="64"/>
      <c r="AH1794" s="72" t="str">
        <f aca="false">IF(OR(B1794="",C1794=""),"",C1794&amp;"|"&amp;(YEAR(B1794)*100+MONTH(B1794)))</f>
        <v/>
      </c>
      <c r="AI1794" s="70" t="str">
        <f aca="false">IF(AH1794="","",IF(COUNTIF(L_CLAVE,AH1794)&gt;1,"⚠ Duplicado","OK"))</f>
        <v/>
      </c>
      <c r="AJ1794" s="86" t="str">
        <f aca="false">IF(AH1794="","",IF(SUMPRODUCT(MAX((IND_PER&lt;=B1794)*(IND_UF&lt;&gt;"")*IND_PER))=0,UF_HOY,INDEX(IND_UF,MATCH(SUMPRODUCT(MAX((IND_PER&lt;=B1794)*(IND_UF&lt;&gt;"")*IND_PER)),IND_PER,0))))</f>
        <v/>
      </c>
      <c r="AK1794" s="87" t="str">
        <f aca="false">IF(AH1794="","",IF(COUNTIF(TASA_DESDE,"&lt;="&amp;B1794)=0,INDEX(TASA_EMP,1),INDEX(TASA_EMP,COUNTIF(TASA_DESDE,"&lt;="&amp;B1794))))</f>
        <v/>
      </c>
    </row>
    <row r="1795" customFormat="false" ht="15" hidden="false" customHeight="false" outlineLevel="0" collapsed="false">
      <c r="B1795" s="78"/>
      <c r="C1795" s="64"/>
      <c r="D1795" s="72" t="str">
        <f aca="false">IF(C1795="","",IFERROR(INDEX(T_NOMBRE,MATCH(C1795,T_ID,0)),"⚠ ID no existe"))</f>
        <v/>
      </c>
      <c r="E1795" s="69"/>
      <c r="F1795" s="67"/>
      <c r="G1795" s="67"/>
      <c r="H1795" s="67"/>
      <c r="I1795" s="67"/>
      <c r="J1795" s="67"/>
      <c r="K1795" s="85" t="str">
        <f aca="false">IF(AH1795="","",N(F1795)+N(G1795)+N(H1795)-N(I1795)+N(J1795))</f>
        <v/>
      </c>
      <c r="L1795" s="67"/>
      <c r="M1795" s="67"/>
      <c r="N1795" s="67"/>
      <c r="O1795" s="67"/>
      <c r="P1795" s="85" t="str">
        <f aca="false">IF(AH1795="","",K1795+N(L1795)+N(M1795)+N(N1795)+N(O1795))</f>
        <v/>
      </c>
      <c r="Q1795" s="67"/>
      <c r="R1795" s="67"/>
      <c r="S1795" s="67"/>
      <c r="T1795" s="67"/>
      <c r="U1795" s="67"/>
      <c r="V1795" s="67"/>
      <c r="W1795" s="85" t="str">
        <f aca="false">IF(AH1795="","",N(Q1795)+N(R1795)+N(S1795)+N(T1795)+N(U1795)+N(V1795))</f>
        <v/>
      </c>
      <c r="X1795" s="85" t="str">
        <f aca="false">IF(AH1795="","",P1795-W1795)</f>
        <v/>
      </c>
      <c r="Y1795" s="67"/>
      <c r="Z1795" s="70" t="str">
        <f aca="false">IF(OR(AH1795="",Y1795=""),"",IF(ABS(X1795-Y1795)&lt;=1,"✓ Cuadra","⚠ Diferencia $"&amp;FIXED(X1795-Y1795,0)))</f>
        <v/>
      </c>
      <c r="AA1795" s="72" t="str">
        <f aca="false">IF(AH1795="","",IFERROR(INDEX(C_TIPO,MATCH(C1795&amp;"-P"&amp;MAX(1,COUNTIFS(C_ID,C1795,C_DEFINE,"Sí",C_INICIO,"&lt;="&amp;EOMONTH(B1795,0))),C_CLAVE,0))&amp;"","Sin dato"))</f>
        <v/>
      </c>
      <c r="AB1795" s="71" t="str">
        <f aca="false">IF(AH1795="","",ROUND(MIN(K1795,TOPE_AFP_UF*AJ1795)*AK1795,0))</f>
        <v/>
      </c>
      <c r="AC1795" s="71" t="str">
        <f aca="false">IF(AH1795="","",ROUND(MIN(K1795,TOPE_AFC_UF*AJ1795)*IF(AA1795="Indefinido",AFC_EMP_INDEF,AFC_EMP_PF),0))</f>
        <v/>
      </c>
      <c r="AD1795" s="71" t="str">
        <f aca="false">IF(AH1795="","",ROUND(MIN(K1795,TOPE_AFP_UF*AJ1795)*(MUTUAL_BASICA+MUTUAL_ADIC+SANNA),0))</f>
        <v/>
      </c>
      <c r="AE1795" s="71" t="str">
        <f aca="false">IF(AH1795="","",P1795-N(N1795)+AB1795+AC1795+AD1795)</f>
        <v/>
      </c>
      <c r="AF1795" s="65"/>
      <c r="AG1795" s="64"/>
      <c r="AH1795" s="72" t="str">
        <f aca="false">IF(OR(B1795="",C1795=""),"",C1795&amp;"|"&amp;(YEAR(B1795)*100+MONTH(B1795)))</f>
        <v/>
      </c>
      <c r="AI1795" s="70" t="str">
        <f aca="false">IF(AH1795="","",IF(COUNTIF(L_CLAVE,AH1795)&gt;1,"⚠ Duplicado","OK"))</f>
        <v/>
      </c>
      <c r="AJ1795" s="86" t="str">
        <f aca="false">IF(AH1795="","",IF(SUMPRODUCT(MAX((IND_PER&lt;=B1795)*(IND_UF&lt;&gt;"")*IND_PER))=0,UF_HOY,INDEX(IND_UF,MATCH(SUMPRODUCT(MAX((IND_PER&lt;=B1795)*(IND_UF&lt;&gt;"")*IND_PER)),IND_PER,0))))</f>
        <v/>
      </c>
      <c r="AK1795" s="87" t="str">
        <f aca="false">IF(AH1795="","",IF(COUNTIF(TASA_DESDE,"&lt;="&amp;B1795)=0,INDEX(TASA_EMP,1),INDEX(TASA_EMP,COUNTIF(TASA_DESDE,"&lt;="&amp;B1795))))</f>
        <v/>
      </c>
    </row>
    <row r="1796" customFormat="false" ht="15" hidden="false" customHeight="false" outlineLevel="0" collapsed="false">
      <c r="B1796" s="78"/>
      <c r="C1796" s="64"/>
      <c r="D1796" s="72" t="str">
        <f aca="false">IF(C1796="","",IFERROR(INDEX(T_NOMBRE,MATCH(C1796,T_ID,0)),"⚠ ID no existe"))</f>
        <v/>
      </c>
      <c r="E1796" s="69"/>
      <c r="F1796" s="67"/>
      <c r="G1796" s="67"/>
      <c r="H1796" s="67"/>
      <c r="I1796" s="67"/>
      <c r="J1796" s="67"/>
      <c r="K1796" s="85" t="str">
        <f aca="false">IF(AH1796="","",N(F1796)+N(G1796)+N(H1796)-N(I1796)+N(J1796))</f>
        <v/>
      </c>
      <c r="L1796" s="67"/>
      <c r="M1796" s="67"/>
      <c r="N1796" s="67"/>
      <c r="O1796" s="67"/>
      <c r="P1796" s="85" t="str">
        <f aca="false">IF(AH1796="","",K1796+N(L1796)+N(M1796)+N(N1796)+N(O1796))</f>
        <v/>
      </c>
      <c r="Q1796" s="67"/>
      <c r="R1796" s="67"/>
      <c r="S1796" s="67"/>
      <c r="T1796" s="67"/>
      <c r="U1796" s="67"/>
      <c r="V1796" s="67"/>
      <c r="W1796" s="85" t="str">
        <f aca="false">IF(AH1796="","",N(Q1796)+N(R1796)+N(S1796)+N(T1796)+N(U1796)+N(V1796))</f>
        <v/>
      </c>
      <c r="X1796" s="85" t="str">
        <f aca="false">IF(AH1796="","",P1796-W1796)</f>
        <v/>
      </c>
      <c r="Y1796" s="67"/>
      <c r="Z1796" s="70" t="str">
        <f aca="false">IF(OR(AH1796="",Y1796=""),"",IF(ABS(X1796-Y1796)&lt;=1,"✓ Cuadra","⚠ Diferencia $"&amp;FIXED(X1796-Y1796,0)))</f>
        <v/>
      </c>
      <c r="AA1796" s="72" t="str">
        <f aca="false">IF(AH1796="","",IFERROR(INDEX(C_TIPO,MATCH(C1796&amp;"-P"&amp;MAX(1,COUNTIFS(C_ID,C1796,C_DEFINE,"Sí",C_INICIO,"&lt;="&amp;EOMONTH(B1796,0))),C_CLAVE,0))&amp;"","Sin dato"))</f>
        <v/>
      </c>
      <c r="AB1796" s="71" t="str">
        <f aca="false">IF(AH1796="","",ROUND(MIN(K1796,TOPE_AFP_UF*AJ1796)*AK1796,0))</f>
        <v/>
      </c>
      <c r="AC1796" s="71" t="str">
        <f aca="false">IF(AH1796="","",ROUND(MIN(K1796,TOPE_AFC_UF*AJ1796)*IF(AA1796="Indefinido",AFC_EMP_INDEF,AFC_EMP_PF),0))</f>
        <v/>
      </c>
      <c r="AD1796" s="71" t="str">
        <f aca="false">IF(AH1796="","",ROUND(MIN(K1796,TOPE_AFP_UF*AJ1796)*(MUTUAL_BASICA+MUTUAL_ADIC+SANNA),0))</f>
        <v/>
      </c>
      <c r="AE1796" s="71" t="str">
        <f aca="false">IF(AH1796="","",P1796-N(N1796)+AB1796+AC1796+AD1796)</f>
        <v/>
      </c>
      <c r="AF1796" s="65"/>
      <c r="AG1796" s="64"/>
      <c r="AH1796" s="72" t="str">
        <f aca="false">IF(OR(B1796="",C1796=""),"",C1796&amp;"|"&amp;(YEAR(B1796)*100+MONTH(B1796)))</f>
        <v/>
      </c>
      <c r="AI1796" s="70" t="str">
        <f aca="false">IF(AH1796="","",IF(COUNTIF(L_CLAVE,AH1796)&gt;1,"⚠ Duplicado","OK"))</f>
        <v/>
      </c>
      <c r="AJ1796" s="86" t="str">
        <f aca="false">IF(AH1796="","",IF(SUMPRODUCT(MAX((IND_PER&lt;=B1796)*(IND_UF&lt;&gt;"")*IND_PER))=0,UF_HOY,INDEX(IND_UF,MATCH(SUMPRODUCT(MAX((IND_PER&lt;=B1796)*(IND_UF&lt;&gt;"")*IND_PER)),IND_PER,0))))</f>
        <v/>
      </c>
      <c r="AK1796" s="87" t="str">
        <f aca="false">IF(AH1796="","",IF(COUNTIF(TASA_DESDE,"&lt;="&amp;B1796)=0,INDEX(TASA_EMP,1),INDEX(TASA_EMP,COUNTIF(TASA_DESDE,"&lt;="&amp;B1796))))</f>
        <v/>
      </c>
    </row>
    <row r="1797" customFormat="false" ht="15" hidden="false" customHeight="false" outlineLevel="0" collapsed="false">
      <c r="B1797" s="78"/>
      <c r="C1797" s="64"/>
      <c r="D1797" s="72" t="str">
        <f aca="false">IF(C1797="","",IFERROR(INDEX(T_NOMBRE,MATCH(C1797,T_ID,0)),"⚠ ID no existe"))</f>
        <v/>
      </c>
      <c r="E1797" s="69"/>
      <c r="F1797" s="67"/>
      <c r="G1797" s="67"/>
      <c r="H1797" s="67"/>
      <c r="I1797" s="67"/>
      <c r="J1797" s="67"/>
      <c r="K1797" s="85" t="str">
        <f aca="false">IF(AH1797="","",N(F1797)+N(G1797)+N(H1797)-N(I1797)+N(J1797))</f>
        <v/>
      </c>
      <c r="L1797" s="67"/>
      <c r="M1797" s="67"/>
      <c r="N1797" s="67"/>
      <c r="O1797" s="67"/>
      <c r="P1797" s="85" t="str">
        <f aca="false">IF(AH1797="","",K1797+N(L1797)+N(M1797)+N(N1797)+N(O1797))</f>
        <v/>
      </c>
      <c r="Q1797" s="67"/>
      <c r="R1797" s="67"/>
      <c r="S1797" s="67"/>
      <c r="T1797" s="67"/>
      <c r="U1797" s="67"/>
      <c r="V1797" s="67"/>
      <c r="W1797" s="85" t="str">
        <f aca="false">IF(AH1797="","",N(Q1797)+N(R1797)+N(S1797)+N(T1797)+N(U1797)+N(V1797))</f>
        <v/>
      </c>
      <c r="X1797" s="85" t="str">
        <f aca="false">IF(AH1797="","",P1797-W1797)</f>
        <v/>
      </c>
      <c r="Y1797" s="67"/>
      <c r="Z1797" s="70" t="str">
        <f aca="false">IF(OR(AH1797="",Y1797=""),"",IF(ABS(X1797-Y1797)&lt;=1,"✓ Cuadra","⚠ Diferencia $"&amp;FIXED(X1797-Y1797,0)))</f>
        <v/>
      </c>
      <c r="AA1797" s="72" t="str">
        <f aca="false">IF(AH1797="","",IFERROR(INDEX(C_TIPO,MATCH(C1797&amp;"-P"&amp;MAX(1,COUNTIFS(C_ID,C1797,C_DEFINE,"Sí",C_INICIO,"&lt;="&amp;EOMONTH(B1797,0))),C_CLAVE,0))&amp;"","Sin dato"))</f>
        <v/>
      </c>
      <c r="AB1797" s="71" t="str">
        <f aca="false">IF(AH1797="","",ROUND(MIN(K1797,TOPE_AFP_UF*AJ1797)*AK1797,0))</f>
        <v/>
      </c>
      <c r="AC1797" s="71" t="str">
        <f aca="false">IF(AH1797="","",ROUND(MIN(K1797,TOPE_AFC_UF*AJ1797)*IF(AA1797="Indefinido",AFC_EMP_INDEF,AFC_EMP_PF),0))</f>
        <v/>
      </c>
      <c r="AD1797" s="71" t="str">
        <f aca="false">IF(AH1797="","",ROUND(MIN(K1797,TOPE_AFP_UF*AJ1797)*(MUTUAL_BASICA+MUTUAL_ADIC+SANNA),0))</f>
        <v/>
      </c>
      <c r="AE1797" s="71" t="str">
        <f aca="false">IF(AH1797="","",P1797-N(N1797)+AB1797+AC1797+AD1797)</f>
        <v/>
      </c>
      <c r="AF1797" s="65"/>
      <c r="AG1797" s="64"/>
      <c r="AH1797" s="72" t="str">
        <f aca="false">IF(OR(B1797="",C1797=""),"",C1797&amp;"|"&amp;(YEAR(B1797)*100+MONTH(B1797)))</f>
        <v/>
      </c>
      <c r="AI1797" s="70" t="str">
        <f aca="false">IF(AH1797="","",IF(COUNTIF(L_CLAVE,AH1797)&gt;1,"⚠ Duplicado","OK"))</f>
        <v/>
      </c>
      <c r="AJ1797" s="86" t="str">
        <f aca="false">IF(AH1797="","",IF(SUMPRODUCT(MAX((IND_PER&lt;=B1797)*(IND_UF&lt;&gt;"")*IND_PER))=0,UF_HOY,INDEX(IND_UF,MATCH(SUMPRODUCT(MAX((IND_PER&lt;=B1797)*(IND_UF&lt;&gt;"")*IND_PER)),IND_PER,0))))</f>
        <v/>
      </c>
      <c r="AK1797" s="87" t="str">
        <f aca="false">IF(AH1797="","",IF(COUNTIF(TASA_DESDE,"&lt;="&amp;B1797)=0,INDEX(TASA_EMP,1),INDEX(TASA_EMP,COUNTIF(TASA_DESDE,"&lt;="&amp;B1797))))</f>
        <v/>
      </c>
    </row>
    <row r="1798" customFormat="false" ht="15" hidden="false" customHeight="false" outlineLevel="0" collapsed="false">
      <c r="B1798" s="78"/>
      <c r="C1798" s="64"/>
      <c r="D1798" s="72" t="str">
        <f aca="false">IF(C1798="","",IFERROR(INDEX(T_NOMBRE,MATCH(C1798,T_ID,0)),"⚠ ID no existe"))</f>
        <v/>
      </c>
      <c r="E1798" s="69"/>
      <c r="F1798" s="67"/>
      <c r="G1798" s="67"/>
      <c r="H1798" s="67"/>
      <c r="I1798" s="67"/>
      <c r="J1798" s="67"/>
      <c r="K1798" s="85" t="str">
        <f aca="false">IF(AH1798="","",N(F1798)+N(G1798)+N(H1798)-N(I1798)+N(J1798))</f>
        <v/>
      </c>
      <c r="L1798" s="67"/>
      <c r="M1798" s="67"/>
      <c r="N1798" s="67"/>
      <c r="O1798" s="67"/>
      <c r="P1798" s="85" t="str">
        <f aca="false">IF(AH1798="","",K1798+N(L1798)+N(M1798)+N(N1798)+N(O1798))</f>
        <v/>
      </c>
      <c r="Q1798" s="67"/>
      <c r="R1798" s="67"/>
      <c r="S1798" s="67"/>
      <c r="T1798" s="67"/>
      <c r="U1798" s="67"/>
      <c r="V1798" s="67"/>
      <c r="W1798" s="85" t="str">
        <f aca="false">IF(AH1798="","",N(Q1798)+N(R1798)+N(S1798)+N(T1798)+N(U1798)+N(V1798))</f>
        <v/>
      </c>
      <c r="X1798" s="85" t="str">
        <f aca="false">IF(AH1798="","",P1798-W1798)</f>
        <v/>
      </c>
      <c r="Y1798" s="67"/>
      <c r="Z1798" s="70" t="str">
        <f aca="false">IF(OR(AH1798="",Y1798=""),"",IF(ABS(X1798-Y1798)&lt;=1,"✓ Cuadra","⚠ Diferencia $"&amp;FIXED(X1798-Y1798,0)))</f>
        <v/>
      </c>
      <c r="AA1798" s="72" t="str">
        <f aca="false">IF(AH1798="","",IFERROR(INDEX(C_TIPO,MATCH(C1798&amp;"-P"&amp;MAX(1,COUNTIFS(C_ID,C1798,C_DEFINE,"Sí",C_INICIO,"&lt;="&amp;EOMONTH(B1798,0))),C_CLAVE,0))&amp;"","Sin dato"))</f>
        <v/>
      </c>
      <c r="AB1798" s="71" t="str">
        <f aca="false">IF(AH1798="","",ROUND(MIN(K1798,TOPE_AFP_UF*AJ1798)*AK1798,0))</f>
        <v/>
      </c>
      <c r="AC1798" s="71" t="str">
        <f aca="false">IF(AH1798="","",ROUND(MIN(K1798,TOPE_AFC_UF*AJ1798)*IF(AA1798="Indefinido",AFC_EMP_INDEF,AFC_EMP_PF),0))</f>
        <v/>
      </c>
      <c r="AD1798" s="71" t="str">
        <f aca="false">IF(AH1798="","",ROUND(MIN(K1798,TOPE_AFP_UF*AJ1798)*(MUTUAL_BASICA+MUTUAL_ADIC+SANNA),0))</f>
        <v/>
      </c>
      <c r="AE1798" s="71" t="str">
        <f aca="false">IF(AH1798="","",P1798-N(N1798)+AB1798+AC1798+AD1798)</f>
        <v/>
      </c>
      <c r="AF1798" s="65"/>
      <c r="AG1798" s="64"/>
      <c r="AH1798" s="72" t="str">
        <f aca="false">IF(OR(B1798="",C1798=""),"",C1798&amp;"|"&amp;(YEAR(B1798)*100+MONTH(B1798)))</f>
        <v/>
      </c>
      <c r="AI1798" s="70" t="str">
        <f aca="false">IF(AH1798="","",IF(COUNTIF(L_CLAVE,AH1798)&gt;1,"⚠ Duplicado","OK"))</f>
        <v/>
      </c>
      <c r="AJ1798" s="86" t="str">
        <f aca="false">IF(AH1798="","",IF(SUMPRODUCT(MAX((IND_PER&lt;=B1798)*(IND_UF&lt;&gt;"")*IND_PER))=0,UF_HOY,INDEX(IND_UF,MATCH(SUMPRODUCT(MAX((IND_PER&lt;=B1798)*(IND_UF&lt;&gt;"")*IND_PER)),IND_PER,0))))</f>
        <v/>
      </c>
      <c r="AK1798" s="87" t="str">
        <f aca="false">IF(AH1798="","",IF(COUNTIF(TASA_DESDE,"&lt;="&amp;B1798)=0,INDEX(TASA_EMP,1),INDEX(TASA_EMP,COUNTIF(TASA_DESDE,"&lt;="&amp;B1798))))</f>
        <v/>
      </c>
    </row>
    <row r="1799" customFormat="false" ht="15" hidden="false" customHeight="false" outlineLevel="0" collapsed="false">
      <c r="B1799" s="78"/>
      <c r="C1799" s="64"/>
      <c r="D1799" s="72" t="str">
        <f aca="false">IF(C1799="","",IFERROR(INDEX(T_NOMBRE,MATCH(C1799,T_ID,0)),"⚠ ID no existe"))</f>
        <v/>
      </c>
      <c r="E1799" s="69"/>
      <c r="F1799" s="67"/>
      <c r="G1799" s="67"/>
      <c r="H1799" s="67"/>
      <c r="I1799" s="67"/>
      <c r="J1799" s="67"/>
      <c r="K1799" s="85" t="str">
        <f aca="false">IF(AH1799="","",N(F1799)+N(G1799)+N(H1799)-N(I1799)+N(J1799))</f>
        <v/>
      </c>
      <c r="L1799" s="67"/>
      <c r="M1799" s="67"/>
      <c r="N1799" s="67"/>
      <c r="O1799" s="67"/>
      <c r="P1799" s="85" t="str">
        <f aca="false">IF(AH1799="","",K1799+N(L1799)+N(M1799)+N(N1799)+N(O1799))</f>
        <v/>
      </c>
      <c r="Q1799" s="67"/>
      <c r="R1799" s="67"/>
      <c r="S1799" s="67"/>
      <c r="T1799" s="67"/>
      <c r="U1799" s="67"/>
      <c r="V1799" s="67"/>
      <c r="W1799" s="85" t="str">
        <f aca="false">IF(AH1799="","",N(Q1799)+N(R1799)+N(S1799)+N(T1799)+N(U1799)+N(V1799))</f>
        <v/>
      </c>
      <c r="X1799" s="85" t="str">
        <f aca="false">IF(AH1799="","",P1799-W1799)</f>
        <v/>
      </c>
      <c r="Y1799" s="67"/>
      <c r="Z1799" s="70" t="str">
        <f aca="false">IF(OR(AH1799="",Y1799=""),"",IF(ABS(X1799-Y1799)&lt;=1,"✓ Cuadra","⚠ Diferencia $"&amp;FIXED(X1799-Y1799,0)))</f>
        <v/>
      </c>
      <c r="AA1799" s="72" t="str">
        <f aca="false">IF(AH1799="","",IFERROR(INDEX(C_TIPO,MATCH(C1799&amp;"-P"&amp;MAX(1,COUNTIFS(C_ID,C1799,C_DEFINE,"Sí",C_INICIO,"&lt;="&amp;EOMONTH(B1799,0))),C_CLAVE,0))&amp;"","Sin dato"))</f>
        <v/>
      </c>
      <c r="AB1799" s="71" t="str">
        <f aca="false">IF(AH1799="","",ROUND(MIN(K1799,TOPE_AFP_UF*AJ1799)*AK1799,0))</f>
        <v/>
      </c>
      <c r="AC1799" s="71" t="str">
        <f aca="false">IF(AH1799="","",ROUND(MIN(K1799,TOPE_AFC_UF*AJ1799)*IF(AA1799="Indefinido",AFC_EMP_INDEF,AFC_EMP_PF),0))</f>
        <v/>
      </c>
      <c r="AD1799" s="71" t="str">
        <f aca="false">IF(AH1799="","",ROUND(MIN(K1799,TOPE_AFP_UF*AJ1799)*(MUTUAL_BASICA+MUTUAL_ADIC+SANNA),0))</f>
        <v/>
      </c>
      <c r="AE1799" s="71" t="str">
        <f aca="false">IF(AH1799="","",P1799-N(N1799)+AB1799+AC1799+AD1799)</f>
        <v/>
      </c>
      <c r="AF1799" s="65"/>
      <c r="AG1799" s="64"/>
      <c r="AH1799" s="72" t="str">
        <f aca="false">IF(OR(B1799="",C1799=""),"",C1799&amp;"|"&amp;(YEAR(B1799)*100+MONTH(B1799)))</f>
        <v/>
      </c>
      <c r="AI1799" s="70" t="str">
        <f aca="false">IF(AH1799="","",IF(COUNTIF(L_CLAVE,AH1799)&gt;1,"⚠ Duplicado","OK"))</f>
        <v/>
      </c>
      <c r="AJ1799" s="86" t="str">
        <f aca="false">IF(AH1799="","",IF(SUMPRODUCT(MAX((IND_PER&lt;=B1799)*(IND_UF&lt;&gt;"")*IND_PER))=0,UF_HOY,INDEX(IND_UF,MATCH(SUMPRODUCT(MAX((IND_PER&lt;=B1799)*(IND_UF&lt;&gt;"")*IND_PER)),IND_PER,0))))</f>
        <v/>
      </c>
      <c r="AK1799" s="87" t="str">
        <f aca="false">IF(AH1799="","",IF(COUNTIF(TASA_DESDE,"&lt;="&amp;B1799)=0,INDEX(TASA_EMP,1),INDEX(TASA_EMP,COUNTIF(TASA_DESDE,"&lt;="&amp;B1799))))</f>
        <v/>
      </c>
    </row>
    <row r="1800" customFormat="false" ht="15" hidden="false" customHeight="false" outlineLevel="0" collapsed="false">
      <c r="B1800" s="78"/>
      <c r="C1800" s="64"/>
      <c r="D1800" s="72" t="str">
        <f aca="false">IF(C1800="","",IFERROR(INDEX(T_NOMBRE,MATCH(C1800,T_ID,0)),"⚠ ID no existe"))</f>
        <v/>
      </c>
      <c r="E1800" s="69"/>
      <c r="F1800" s="67"/>
      <c r="G1800" s="67"/>
      <c r="H1800" s="67"/>
      <c r="I1800" s="67"/>
      <c r="J1800" s="67"/>
      <c r="K1800" s="85" t="str">
        <f aca="false">IF(AH1800="","",N(F1800)+N(G1800)+N(H1800)-N(I1800)+N(J1800))</f>
        <v/>
      </c>
      <c r="L1800" s="67"/>
      <c r="M1800" s="67"/>
      <c r="N1800" s="67"/>
      <c r="O1800" s="67"/>
      <c r="P1800" s="85" t="str">
        <f aca="false">IF(AH1800="","",K1800+N(L1800)+N(M1800)+N(N1800)+N(O1800))</f>
        <v/>
      </c>
      <c r="Q1800" s="67"/>
      <c r="R1800" s="67"/>
      <c r="S1800" s="67"/>
      <c r="T1800" s="67"/>
      <c r="U1800" s="67"/>
      <c r="V1800" s="67"/>
      <c r="W1800" s="85" t="str">
        <f aca="false">IF(AH1800="","",N(Q1800)+N(R1800)+N(S1800)+N(T1800)+N(U1800)+N(V1800))</f>
        <v/>
      </c>
      <c r="X1800" s="85" t="str">
        <f aca="false">IF(AH1800="","",P1800-W1800)</f>
        <v/>
      </c>
      <c r="Y1800" s="67"/>
      <c r="Z1800" s="70" t="str">
        <f aca="false">IF(OR(AH1800="",Y1800=""),"",IF(ABS(X1800-Y1800)&lt;=1,"✓ Cuadra","⚠ Diferencia $"&amp;FIXED(X1800-Y1800,0)))</f>
        <v/>
      </c>
      <c r="AA1800" s="72" t="str">
        <f aca="false">IF(AH1800="","",IFERROR(INDEX(C_TIPO,MATCH(C1800&amp;"-P"&amp;MAX(1,COUNTIFS(C_ID,C1800,C_DEFINE,"Sí",C_INICIO,"&lt;="&amp;EOMONTH(B1800,0))),C_CLAVE,0))&amp;"","Sin dato"))</f>
        <v/>
      </c>
      <c r="AB1800" s="71" t="str">
        <f aca="false">IF(AH1800="","",ROUND(MIN(K1800,TOPE_AFP_UF*AJ1800)*AK1800,0))</f>
        <v/>
      </c>
      <c r="AC1800" s="71" t="str">
        <f aca="false">IF(AH1800="","",ROUND(MIN(K1800,TOPE_AFC_UF*AJ1800)*IF(AA1800="Indefinido",AFC_EMP_INDEF,AFC_EMP_PF),0))</f>
        <v/>
      </c>
      <c r="AD1800" s="71" t="str">
        <f aca="false">IF(AH1800="","",ROUND(MIN(K1800,TOPE_AFP_UF*AJ1800)*(MUTUAL_BASICA+MUTUAL_ADIC+SANNA),0))</f>
        <v/>
      </c>
      <c r="AE1800" s="71" t="str">
        <f aca="false">IF(AH1800="","",P1800-N(N1800)+AB1800+AC1800+AD1800)</f>
        <v/>
      </c>
      <c r="AF1800" s="65"/>
      <c r="AG1800" s="64"/>
      <c r="AH1800" s="72" t="str">
        <f aca="false">IF(OR(B1800="",C1800=""),"",C1800&amp;"|"&amp;(YEAR(B1800)*100+MONTH(B1800)))</f>
        <v/>
      </c>
      <c r="AI1800" s="70" t="str">
        <f aca="false">IF(AH1800="","",IF(COUNTIF(L_CLAVE,AH1800)&gt;1,"⚠ Duplicado","OK"))</f>
        <v/>
      </c>
      <c r="AJ1800" s="86" t="str">
        <f aca="false">IF(AH1800="","",IF(SUMPRODUCT(MAX((IND_PER&lt;=B1800)*(IND_UF&lt;&gt;"")*IND_PER))=0,UF_HOY,INDEX(IND_UF,MATCH(SUMPRODUCT(MAX((IND_PER&lt;=B1800)*(IND_UF&lt;&gt;"")*IND_PER)),IND_PER,0))))</f>
        <v/>
      </c>
      <c r="AK1800" s="87" t="str">
        <f aca="false">IF(AH1800="","",IF(COUNTIF(TASA_DESDE,"&lt;="&amp;B1800)=0,INDEX(TASA_EMP,1),INDEX(TASA_EMP,COUNTIF(TASA_DESDE,"&lt;="&amp;B1800))))</f>
        <v/>
      </c>
    </row>
    <row r="1801" customFormat="false" ht="15" hidden="false" customHeight="false" outlineLevel="0" collapsed="false">
      <c r="B1801" s="78"/>
      <c r="C1801" s="64"/>
      <c r="D1801" s="72" t="str">
        <f aca="false">IF(C1801="","",IFERROR(INDEX(T_NOMBRE,MATCH(C1801,T_ID,0)),"⚠ ID no existe"))</f>
        <v/>
      </c>
      <c r="E1801" s="69"/>
      <c r="F1801" s="67"/>
      <c r="G1801" s="67"/>
      <c r="H1801" s="67"/>
      <c r="I1801" s="67"/>
      <c r="J1801" s="67"/>
      <c r="K1801" s="85" t="str">
        <f aca="false">IF(AH1801="","",N(F1801)+N(G1801)+N(H1801)-N(I1801)+N(J1801))</f>
        <v/>
      </c>
      <c r="L1801" s="67"/>
      <c r="M1801" s="67"/>
      <c r="N1801" s="67"/>
      <c r="O1801" s="67"/>
      <c r="P1801" s="85" t="str">
        <f aca="false">IF(AH1801="","",K1801+N(L1801)+N(M1801)+N(N1801)+N(O1801))</f>
        <v/>
      </c>
      <c r="Q1801" s="67"/>
      <c r="R1801" s="67"/>
      <c r="S1801" s="67"/>
      <c r="T1801" s="67"/>
      <c r="U1801" s="67"/>
      <c r="V1801" s="67"/>
      <c r="W1801" s="85" t="str">
        <f aca="false">IF(AH1801="","",N(Q1801)+N(R1801)+N(S1801)+N(T1801)+N(U1801)+N(V1801))</f>
        <v/>
      </c>
      <c r="X1801" s="85" t="str">
        <f aca="false">IF(AH1801="","",P1801-W1801)</f>
        <v/>
      </c>
      <c r="Y1801" s="67"/>
      <c r="Z1801" s="70" t="str">
        <f aca="false">IF(OR(AH1801="",Y1801=""),"",IF(ABS(X1801-Y1801)&lt;=1,"✓ Cuadra","⚠ Diferencia $"&amp;FIXED(X1801-Y1801,0)))</f>
        <v/>
      </c>
      <c r="AA1801" s="72" t="str">
        <f aca="false">IF(AH1801="","",IFERROR(INDEX(C_TIPO,MATCH(C1801&amp;"-P"&amp;MAX(1,COUNTIFS(C_ID,C1801,C_DEFINE,"Sí",C_INICIO,"&lt;="&amp;EOMONTH(B1801,0))),C_CLAVE,0))&amp;"","Sin dato"))</f>
        <v/>
      </c>
      <c r="AB1801" s="71" t="str">
        <f aca="false">IF(AH1801="","",ROUND(MIN(K1801,TOPE_AFP_UF*AJ1801)*AK1801,0))</f>
        <v/>
      </c>
      <c r="AC1801" s="71" t="str">
        <f aca="false">IF(AH1801="","",ROUND(MIN(K1801,TOPE_AFC_UF*AJ1801)*IF(AA1801="Indefinido",AFC_EMP_INDEF,AFC_EMP_PF),0))</f>
        <v/>
      </c>
      <c r="AD1801" s="71" t="str">
        <f aca="false">IF(AH1801="","",ROUND(MIN(K1801,TOPE_AFP_UF*AJ1801)*(MUTUAL_BASICA+MUTUAL_ADIC+SANNA),0))</f>
        <v/>
      </c>
      <c r="AE1801" s="71" t="str">
        <f aca="false">IF(AH1801="","",P1801-N(N1801)+AB1801+AC1801+AD1801)</f>
        <v/>
      </c>
      <c r="AF1801" s="65"/>
      <c r="AG1801" s="64"/>
      <c r="AH1801" s="72" t="str">
        <f aca="false">IF(OR(B1801="",C1801=""),"",C1801&amp;"|"&amp;(YEAR(B1801)*100+MONTH(B1801)))</f>
        <v/>
      </c>
      <c r="AI1801" s="70" t="str">
        <f aca="false">IF(AH1801="","",IF(COUNTIF(L_CLAVE,AH1801)&gt;1,"⚠ Duplicado","OK"))</f>
        <v/>
      </c>
      <c r="AJ1801" s="86" t="str">
        <f aca="false">IF(AH1801="","",IF(SUMPRODUCT(MAX((IND_PER&lt;=B1801)*(IND_UF&lt;&gt;"")*IND_PER))=0,UF_HOY,INDEX(IND_UF,MATCH(SUMPRODUCT(MAX((IND_PER&lt;=B1801)*(IND_UF&lt;&gt;"")*IND_PER)),IND_PER,0))))</f>
        <v/>
      </c>
      <c r="AK1801" s="87" t="str">
        <f aca="false">IF(AH1801="","",IF(COUNTIF(TASA_DESDE,"&lt;="&amp;B1801)=0,INDEX(TASA_EMP,1),INDEX(TASA_EMP,COUNTIF(TASA_DESDE,"&lt;="&amp;B1801))))</f>
        <v/>
      </c>
    </row>
    <row r="1802" customFormat="false" ht="15" hidden="false" customHeight="false" outlineLevel="0" collapsed="false">
      <c r="B1802" s="78"/>
      <c r="C1802" s="64"/>
      <c r="D1802" s="72" t="str">
        <f aca="false">IF(C1802="","",IFERROR(INDEX(T_NOMBRE,MATCH(C1802,T_ID,0)),"⚠ ID no existe"))</f>
        <v/>
      </c>
      <c r="E1802" s="69"/>
      <c r="F1802" s="67"/>
      <c r="G1802" s="67"/>
      <c r="H1802" s="67"/>
      <c r="I1802" s="67"/>
      <c r="J1802" s="67"/>
      <c r="K1802" s="85" t="str">
        <f aca="false">IF(AH1802="","",N(F1802)+N(G1802)+N(H1802)-N(I1802)+N(J1802))</f>
        <v/>
      </c>
      <c r="L1802" s="67"/>
      <c r="M1802" s="67"/>
      <c r="N1802" s="67"/>
      <c r="O1802" s="67"/>
      <c r="P1802" s="85" t="str">
        <f aca="false">IF(AH1802="","",K1802+N(L1802)+N(M1802)+N(N1802)+N(O1802))</f>
        <v/>
      </c>
      <c r="Q1802" s="67"/>
      <c r="R1802" s="67"/>
      <c r="S1802" s="67"/>
      <c r="T1802" s="67"/>
      <c r="U1802" s="67"/>
      <c r="V1802" s="67"/>
      <c r="W1802" s="85" t="str">
        <f aca="false">IF(AH1802="","",N(Q1802)+N(R1802)+N(S1802)+N(T1802)+N(U1802)+N(V1802))</f>
        <v/>
      </c>
      <c r="X1802" s="85" t="str">
        <f aca="false">IF(AH1802="","",P1802-W1802)</f>
        <v/>
      </c>
      <c r="Y1802" s="67"/>
      <c r="Z1802" s="70" t="str">
        <f aca="false">IF(OR(AH1802="",Y1802=""),"",IF(ABS(X1802-Y1802)&lt;=1,"✓ Cuadra","⚠ Diferencia $"&amp;FIXED(X1802-Y1802,0)))</f>
        <v/>
      </c>
      <c r="AA1802" s="72" t="str">
        <f aca="false">IF(AH1802="","",IFERROR(INDEX(C_TIPO,MATCH(C1802&amp;"-P"&amp;MAX(1,COUNTIFS(C_ID,C1802,C_DEFINE,"Sí",C_INICIO,"&lt;="&amp;EOMONTH(B1802,0))),C_CLAVE,0))&amp;"","Sin dato"))</f>
        <v/>
      </c>
      <c r="AB1802" s="71" t="str">
        <f aca="false">IF(AH1802="","",ROUND(MIN(K1802,TOPE_AFP_UF*AJ1802)*AK1802,0))</f>
        <v/>
      </c>
      <c r="AC1802" s="71" t="str">
        <f aca="false">IF(AH1802="","",ROUND(MIN(K1802,TOPE_AFC_UF*AJ1802)*IF(AA1802="Indefinido",AFC_EMP_INDEF,AFC_EMP_PF),0))</f>
        <v/>
      </c>
      <c r="AD1802" s="71" t="str">
        <f aca="false">IF(AH1802="","",ROUND(MIN(K1802,TOPE_AFP_UF*AJ1802)*(MUTUAL_BASICA+MUTUAL_ADIC+SANNA),0))</f>
        <v/>
      </c>
      <c r="AE1802" s="71" t="str">
        <f aca="false">IF(AH1802="","",P1802-N(N1802)+AB1802+AC1802+AD1802)</f>
        <v/>
      </c>
      <c r="AF1802" s="65"/>
      <c r="AG1802" s="64"/>
      <c r="AH1802" s="72" t="str">
        <f aca="false">IF(OR(B1802="",C1802=""),"",C1802&amp;"|"&amp;(YEAR(B1802)*100+MONTH(B1802)))</f>
        <v/>
      </c>
      <c r="AI1802" s="70" t="str">
        <f aca="false">IF(AH1802="","",IF(COUNTIF(L_CLAVE,AH1802)&gt;1,"⚠ Duplicado","OK"))</f>
        <v/>
      </c>
      <c r="AJ1802" s="86" t="str">
        <f aca="false">IF(AH1802="","",IF(SUMPRODUCT(MAX((IND_PER&lt;=B1802)*(IND_UF&lt;&gt;"")*IND_PER))=0,UF_HOY,INDEX(IND_UF,MATCH(SUMPRODUCT(MAX((IND_PER&lt;=B1802)*(IND_UF&lt;&gt;"")*IND_PER)),IND_PER,0))))</f>
        <v/>
      </c>
      <c r="AK1802" s="87" t="str">
        <f aca="false">IF(AH1802="","",IF(COUNTIF(TASA_DESDE,"&lt;="&amp;B1802)=0,INDEX(TASA_EMP,1),INDEX(TASA_EMP,COUNTIF(TASA_DESDE,"&lt;="&amp;B1802))))</f>
        <v/>
      </c>
    </row>
    <row r="1803" customFormat="false" ht="15" hidden="false" customHeight="false" outlineLevel="0" collapsed="false">
      <c r="B1803" s="78"/>
      <c r="C1803" s="64"/>
      <c r="D1803" s="72" t="str">
        <f aca="false">IF(C1803="","",IFERROR(INDEX(T_NOMBRE,MATCH(C1803,T_ID,0)),"⚠ ID no existe"))</f>
        <v/>
      </c>
      <c r="E1803" s="69"/>
      <c r="F1803" s="67"/>
      <c r="G1803" s="67"/>
      <c r="H1803" s="67"/>
      <c r="I1803" s="67"/>
      <c r="J1803" s="67"/>
      <c r="K1803" s="85" t="str">
        <f aca="false">IF(AH1803="","",N(F1803)+N(G1803)+N(H1803)-N(I1803)+N(J1803))</f>
        <v/>
      </c>
      <c r="L1803" s="67"/>
      <c r="M1803" s="67"/>
      <c r="N1803" s="67"/>
      <c r="O1803" s="67"/>
      <c r="P1803" s="85" t="str">
        <f aca="false">IF(AH1803="","",K1803+N(L1803)+N(M1803)+N(N1803)+N(O1803))</f>
        <v/>
      </c>
      <c r="Q1803" s="67"/>
      <c r="R1803" s="67"/>
      <c r="S1803" s="67"/>
      <c r="T1803" s="67"/>
      <c r="U1803" s="67"/>
      <c r="V1803" s="67"/>
      <c r="W1803" s="85" t="str">
        <f aca="false">IF(AH1803="","",N(Q1803)+N(R1803)+N(S1803)+N(T1803)+N(U1803)+N(V1803))</f>
        <v/>
      </c>
      <c r="X1803" s="85" t="str">
        <f aca="false">IF(AH1803="","",P1803-W1803)</f>
        <v/>
      </c>
      <c r="Y1803" s="67"/>
      <c r="Z1803" s="70" t="str">
        <f aca="false">IF(OR(AH1803="",Y1803=""),"",IF(ABS(X1803-Y1803)&lt;=1,"✓ Cuadra","⚠ Diferencia $"&amp;FIXED(X1803-Y1803,0)))</f>
        <v/>
      </c>
      <c r="AA1803" s="72" t="str">
        <f aca="false">IF(AH1803="","",IFERROR(INDEX(C_TIPO,MATCH(C1803&amp;"-P"&amp;MAX(1,COUNTIFS(C_ID,C1803,C_DEFINE,"Sí",C_INICIO,"&lt;="&amp;EOMONTH(B1803,0))),C_CLAVE,0))&amp;"","Sin dato"))</f>
        <v/>
      </c>
      <c r="AB1803" s="71" t="str">
        <f aca="false">IF(AH1803="","",ROUND(MIN(K1803,TOPE_AFP_UF*AJ1803)*AK1803,0))</f>
        <v/>
      </c>
      <c r="AC1803" s="71" t="str">
        <f aca="false">IF(AH1803="","",ROUND(MIN(K1803,TOPE_AFC_UF*AJ1803)*IF(AA1803="Indefinido",AFC_EMP_INDEF,AFC_EMP_PF),0))</f>
        <v/>
      </c>
      <c r="AD1803" s="71" t="str">
        <f aca="false">IF(AH1803="","",ROUND(MIN(K1803,TOPE_AFP_UF*AJ1803)*(MUTUAL_BASICA+MUTUAL_ADIC+SANNA),0))</f>
        <v/>
      </c>
      <c r="AE1803" s="71" t="str">
        <f aca="false">IF(AH1803="","",P1803-N(N1803)+AB1803+AC1803+AD1803)</f>
        <v/>
      </c>
      <c r="AF1803" s="65"/>
      <c r="AG1803" s="64"/>
      <c r="AH1803" s="72" t="str">
        <f aca="false">IF(OR(B1803="",C1803=""),"",C1803&amp;"|"&amp;(YEAR(B1803)*100+MONTH(B1803)))</f>
        <v/>
      </c>
      <c r="AI1803" s="70" t="str">
        <f aca="false">IF(AH1803="","",IF(COUNTIF(L_CLAVE,AH1803)&gt;1,"⚠ Duplicado","OK"))</f>
        <v/>
      </c>
      <c r="AJ1803" s="86" t="str">
        <f aca="false">IF(AH1803="","",IF(SUMPRODUCT(MAX((IND_PER&lt;=B1803)*(IND_UF&lt;&gt;"")*IND_PER))=0,UF_HOY,INDEX(IND_UF,MATCH(SUMPRODUCT(MAX((IND_PER&lt;=B1803)*(IND_UF&lt;&gt;"")*IND_PER)),IND_PER,0))))</f>
        <v/>
      </c>
      <c r="AK1803" s="87" t="str">
        <f aca="false">IF(AH1803="","",IF(COUNTIF(TASA_DESDE,"&lt;="&amp;B1803)=0,INDEX(TASA_EMP,1),INDEX(TASA_EMP,COUNTIF(TASA_DESDE,"&lt;="&amp;B1803))))</f>
        <v/>
      </c>
    </row>
    <row r="1804" customFormat="false" ht="15" hidden="false" customHeight="false" outlineLevel="0" collapsed="false">
      <c r="B1804" s="78"/>
      <c r="C1804" s="64"/>
      <c r="D1804" s="72" t="str">
        <f aca="false">IF(C1804="","",IFERROR(INDEX(T_NOMBRE,MATCH(C1804,T_ID,0)),"⚠ ID no existe"))</f>
        <v/>
      </c>
      <c r="E1804" s="69"/>
      <c r="F1804" s="67"/>
      <c r="G1804" s="67"/>
      <c r="H1804" s="67"/>
      <c r="I1804" s="67"/>
      <c r="J1804" s="67"/>
      <c r="K1804" s="85" t="str">
        <f aca="false">IF(AH1804="","",N(F1804)+N(G1804)+N(H1804)-N(I1804)+N(J1804))</f>
        <v/>
      </c>
      <c r="L1804" s="67"/>
      <c r="M1804" s="67"/>
      <c r="N1804" s="67"/>
      <c r="O1804" s="67"/>
      <c r="P1804" s="85" t="str">
        <f aca="false">IF(AH1804="","",K1804+N(L1804)+N(M1804)+N(N1804)+N(O1804))</f>
        <v/>
      </c>
      <c r="Q1804" s="67"/>
      <c r="R1804" s="67"/>
      <c r="S1804" s="67"/>
      <c r="T1804" s="67"/>
      <c r="U1804" s="67"/>
      <c r="V1804" s="67"/>
      <c r="W1804" s="85" t="str">
        <f aca="false">IF(AH1804="","",N(Q1804)+N(R1804)+N(S1804)+N(T1804)+N(U1804)+N(V1804))</f>
        <v/>
      </c>
      <c r="X1804" s="85" t="str">
        <f aca="false">IF(AH1804="","",P1804-W1804)</f>
        <v/>
      </c>
      <c r="Y1804" s="67"/>
      <c r="Z1804" s="70" t="str">
        <f aca="false">IF(OR(AH1804="",Y1804=""),"",IF(ABS(X1804-Y1804)&lt;=1,"✓ Cuadra","⚠ Diferencia $"&amp;FIXED(X1804-Y1804,0)))</f>
        <v/>
      </c>
      <c r="AA1804" s="72" t="str">
        <f aca="false">IF(AH1804="","",IFERROR(INDEX(C_TIPO,MATCH(C1804&amp;"-P"&amp;MAX(1,COUNTIFS(C_ID,C1804,C_DEFINE,"Sí",C_INICIO,"&lt;="&amp;EOMONTH(B1804,0))),C_CLAVE,0))&amp;"","Sin dato"))</f>
        <v/>
      </c>
      <c r="AB1804" s="71" t="str">
        <f aca="false">IF(AH1804="","",ROUND(MIN(K1804,TOPE_AFP_UF*AJ1804)*AK1804,0))</f>
        <v/>
      </c>
      <c r="AC1804" s="71" t="str">
        <f aca="false">IF(AH1804="","",ROUND(MIN(K1804,TOPE_AFC_UF*AJ1804)*IF(AA1804="Indefinido",AFC_EMP_INDEF,AFC_EMP_PF),0))</f>
        <v/>
      </c>
      <c r="AD1804" s="71" t="str">
        <f aca="false">IF(AH1804="","",ROUND(MIN(K1804,TOPE_AFP_UF*AJ1804)*(MUTUAL_BASICA+MUTUAL_ADIC+SANNA),0))</f>
        <v/>
      </c>
      <c r="AE1804" s="71" t="str">
        <f aca="false">IF(AH1804="","",P1804-N(N1804)+AB1804+AC1804+AD1804)</f>
        <v/>
      </c>
      <c r="AF1804" s="65"/>
      <c r="AG1804" s="64"/>
      <c r="AH1804" s="72" t="str">
        <f aca="false">IF(OR(B1804="",C1804=""),"",C1804&amp;"|"&amp;(YEAR(B1804)*100+MONTH(B1804)))</f>
        <v/>
      </c>
      <c r="AI1804" s="70" t="str">
        <f aca="false">IF(AH1804="","",IF(COUNTIF(L_CLAVE,AH1804)&gt;1,"⚠ Duplicado","OK"))</f>
        <v/>
      </c>
      <c r="AJ1804" s="86" t="str">
        <f aca="false">IF(AH1804="","",IF(SUMPRODUCT(MAX((IND_PER&lt;=B1804)*(IND_UF&lt;&gt;"")*IND_PER))=0,UF_HOY,INDEX(IND_UF,MATCH(SUMPRODUCT(MAX((IND_PER&lt;=B1804)*(IND_UF&lt;&gt;"")*IND_PER)),IND_PER,0))))</f>
        <v/>
      </c>
      <c r="AK1804" s="87" t="str">
        <f aca="false">IF(AH1804="","",IF(COUNTIF(TASA_DESDE,"&lt;="&amp;B1804)=0,INDEX(TASA_EMP,1),INDEX(TASA_EMP,COUNTIF(TASA_DESDE,"&lt;="&amp;B1804))))</f>
        <v/>
      </c>
    </row>
    <row r="1805" customFormat="false" ht="15" hidden="false" customHeight="false" outlineLevel="0" collapsed="false">
      <c r="B1805" s="78"/>
      <c r="C1805" s="64"/>
      <c r="D1805" s="72" t="str">
        <f aca="false">IF(C1805="","",IFERROR(INDEX(T_NOMBRE,MATCH(C1805,T_ID,0)),"⚠ ID no existe"))</f>
        <v/>
      </c>
      <c r="E1805" s="69"/>
      <c r="F1805" s="67"/>
      <c r="G1805" s="67"/>
      <c r="H1805" s="67"/>
      <c r="I1805" s="67"/>
      <c r="J1805" s="67"/>
      <c r="K1805" s="85" t="str">
        <f aca="false">IF(AH1805="","",N(F1805)+N(G1805)+N(H1805)-N(I1805)+N(J1805))</f>
        <v/>
      </c>
      <c r="L1805" s="67"/>
      <c r="M1805" s="67"/>
      <c r="N1805" s="67"/>
      <c r="O1805" s="67"/>
      <c r="P1805" s="85" t="str">
        <f aca="false">IF(AH1805="","",K1805+N(L1805)+N(M1805)+N(N1805)+N(O1805))</f>
        <v/>
      </c>
      <c r="Q1805" s="67"/>
      <c r="R1805" s="67"/>
      <c r="S1805" s="67"/>
      <c r="T1805" s="67"/>
      <c r="U1805" s="67"/>
      <c r="V1805" s="67"/>
      <c r="W1805" s="85" t="str">
        <f aca="false">IF(AH1805="","",N(Q1805)+N(R1805)+N(S1805)+N(T1805)+N(U1805)+N(V1805))</f>
        <v/>
      </c>
      <c r="X1805" s="85" t="str">
        <f aca="false">IF(AH1805="","",P1805-W1805)</f>
        <v/>
      </c>
      <c r="Y1805" s="67"/>
      <c r="Z1805" s="70" t="str">
        <f aca="false">IF(OR(AH1805="",Y1805=""),"",IF(ABS(X1805-Y1805)&lt;=1,"✓ Cuadra","⚠ Diferencia $"&amp;FIXED(X1805-Y1805,0)))</f>
        <v/>
      </c>
      <c r="AA1805" s="72" t="str">
        <f aca="false">IF(AH1805="","",IFERROR(INDEX(C_TIPO,MATCH(C1805&amp;"-P"&amp;MAX(1,COUNTIFS(C_ID,C1805,C_DEFINE,"Sí",C_INICIO,"&lt;="&amp;EOMONTH(B1805,0))),C_CLAVE,0))&amp;"","Sin dato"))</f>
        <v/>
      </c>
      <c r="AB1805" s="71" t="str">
        <f aca="false">IF(AH1805="","",ROUND(MIN(K1805,TOPE_AFP_UF*AJ1805)*AK1805,0))</f>
        <v/>
      </c>
      <c r="AC1805" s="71" t="str">
        <f aca="false">IF(AH1805="","",ROUND(MIN(K1805,TOPE_AFC_UF*AJ1805)*IF(AA1805="Indefinido",AFC_EMP_INDEF,AFC_EMP_PF),0))</f>
        <v/>
      </c>
      <c r="AD1805" s="71" t="str">
        <f aca="false">IF(AH1805="","",ROUND(MIN(K1805,TOPE_AFP_UF*AJ1805)*(MUTUAL_BASICA+MUTUAL_ADIC+SANNA),0))</f>
        <v/>
      </c>
      <c r="AE1805" s="71" t="str">
        <f aca="false">IF(AH1805="","",P1805-N(N1805)+AB1805+AC1805+AD1805)</f>
        <v/>
      </c>
      <c r="AF1805" s="65"/>
      <c r="AG1805" s="64"/>
      <c r="AH1805" s="72" t="str">
        <f aca="false">IF(OR(B1805="",C1805=""),"",C1805&amp;"|"&amp;(YEAR(B1805)*100+MONTH(B1805)))</f>
        <v/>
      </c>
      <c r="AI1805" s="70" t="str">
        <f aca="false">IF(AH1805="","",IF(COUNTIF(L_CLAVE,AH1805)&gt;1,"⚠ Duplicado","OK"))</f>
        <v/>
      </c>
      <c r="AJ1805" s="86" t="str">
        <f aca="false">IF(AH1805="","",IF(SUMPRODUCT(MAX((IND_PER&lt;=B1805)*(IND_UF&lt;&gt;"")*IND_PER))=0,UF_HOY,INDEX(IND_UF,MATCH(SUMPRODUCT(MAX((IND_PER&lt;=B1805)*(IND_UF&lt;&gt;"")*IND_PER)),IND_PER,0))))</f>
        <v/>
      </c>
      <c r="AK1805" s="87" t="str">
        <f aca="false">IF(AH1805="","",IF(COUNTIF(TASA_DESDE,"&lt;="&amp;B1805)=0,INDEX(TASA_EMP,1),INDEX(TASA_EMP,COUNTIF(TASA_DESDE,"&lt;="&amp;B1805))))</f>
        <v/>
      </c>
    </row>
    <row r="1806" customFormat="false" ht="15" hidden="false" customHeight="false" outlineLevel="0" collapsed="false">
      <c r="B1806" s="78"/>
      <c r="C1806" s="64"/>
      <c r="D1806" s="72" t="str">
        <f aca="false">IF(C1806="","",IFERROR(INDEX(T_NOMBRE,MATCH(C1806,T_ID,0)),"⚠ ID no existe"))</f>
        <v/>
      </c>
      <c r="E1806" s="69"/>
      <c r="F1806" s="67"/>
      <c r="G1806" s="67"/>
      <c r="H1806" s="67"/>
      <c r="I1806" s="67"/>
      <c r="J1806" s="67"/>
      <c r="K1806" s="85" t="str">
        <f aca="false">IF(AH1806="","",N(F1806)+N(G1806)+N(H1806)-N(I1806)+N(J1806))</f>
        <v/>
      </c>
      <c r="L1806" s="67"/>
      <c r="M1806" s="67"/>
      <c r="N1806" s="67"/>
      <c r="O1806" s="67"/>
      <c r="P1806" s="85" t="str">
        <f aca="false">IF(AH1806="","",K1806+N(L1806)+N(M1806)+N(N1806)+N(O1806))</f>
        <v/>
      </c>
      <c r="Q1806" s="67"/>
      <c r="R1806" s="67"/>
      <c r="S1806" s="67"/>
      <c r="T1806" s="67"/>
      <c r="U1806" s="67"/>
      <c r="V1806" s="67"/>
      <c r="W1806" s="85" t="str">
        <f aca="false">IF(AH1806="","",N(Q1806)+N(R1806)+N(S1806)+N(T1806)+N(U1806)+N(V1806))</f>
        <v/>
      </c>
      <c r="X1806" s="85" t="str">
        <f aca="false">IF(AH1806="","",P1806-W1806)</f>
        <v/>
      </c>
      <c r="Y1806" s="67"/>
      <c r="Z1806" s="70" t="str">
        <f aca="false">IF(OR(AH1806="",Y1806=""),"",IF(ABS(X1806-Y1806)&lt;=1,"✓ Cuadra","⚠ Diferencia $"&amp;FIXED(X1806-Y1806,0)))</f>
        <v/>
      </c>
      <c r="AA1806" s="72" t="str">
        <f aca="false">IF(AH1806="","",IFERROR(INDEX(C_TIPO,MATCH(C1806&amp;"-P"&amp;MAX(1,COUNTIFS(C_ID,C1806,C_DEFINE,"Sí",C_INICIO,"&lt;="&amp;EOMONTH(B1806,0))),C_CLAVE,0))&amp;"","Sin dato"))</f>
        <v/>
      </c>
      <c r="AB1806" s="71" t="str">
        <f aca="false">IF(AH1806="","",ROUND(MIN(K1806,TOPE_AFP_UF*AJ1806)*AK1806,0))</f>
        <v/>
      </c>
      <c r="AC1806" s="71" t="str">
        <f aca="false">IF(AH1806="","",ROUND(MIN(K1806,TOPE_AFC_UF*AJ1806)*IF(AA1806="Indefinido",AFC_EMP_INDEF,AFC_EMP_PF),0))</f>
        <v/>
      </c>
      <c r="AD1806" s="71" t="str">
        <f aca="false">IF(AH1806="","",ROUND(MIN(K1806,TOPE_AFP_UF*AJ1806)*(MUTUAL_BASICA+MUTUAL_ADIC+SANNA),0))</f>
        <v/>
      </c>
      <c r="AE1806" s="71" t="str">
        <f aca="false">IF(AH1806="","",P1806-N(N1806)+AB1806+AC1806+AD1806)</f>
        <v/>
      </c>
      <c r="AF1806" s="65"/>
      <c r="AG1806" s="64"/>
      <c r="AH1806" s="72" t="str">
        <f aca="false">IF(OR(B1806="",C1806=""),"",C1806&amp;"|"&amp;(YEAR(B1806)*100+MONTH(B1806)))</f>
        <v/>
      </c>
      <c r="AI1806" s="70" t="str">
        <f aca="false">IF(AH1806="","",IF(COUNTIF(L_CLAVE,AH1806)&gt;1,"⚠ Duplicado","OK"))</f>
        <v/>
      </c>
      <c r="AJ1806" s="86" t="str">
        <f aca="false">IF(AH1806="","",IF(SUMPRODUCT(MAX((IND_PER&lt;=B1806)*(IND_UF&lt;&gt;"")*IND_PER))=0,UF_HOY,INDEX(IND_UF,MATCH(SUMPRODUCT(MAX((IND_PER&lt;=B1806)*(IND_UF&lt;&gt;"")*IND_PER)),IND_PER,0))))</f>
        <v/>
      </c>
      <c r="AK1806" s="87" t="str">
        <f aca="false">IF(AH1806="","",IF(COUNTIF(TASA_DESDE,"&lt;="&amp;B1806)=0,INDEX(TASA_EMP,1),INDEX(TASA_EMP,COUNTIF(TASA_DESDE,"&lt;="&amp;B1806))))</f>
        <v/>
      </c>
    </row>
    <row r="1807" customFormat="false" ht="15" hidden="false" customHeight="false" outlineLevel="0" collapsed="false">
      <c r="B1807" s="78"/>
      <c r="C1807" s="64"/>
      <c r="D1807" s="72" t="str">
        <f aca="false">IF(C1807="","",IFERROR(INDEX(T_NOMBRE,MATCH(C1807,T_ID,0)),"⚠ ID no existe"))</f>
        <v/>
      </c>
      <c r="E1807" s="69"/>
      <c r="F1807" s="67"/>
      <c r="G1807" s="67"/>
      <c r="H1807" s="67"/>
      <c r="I1807" s="67"/>
      <c r="J1807" s="67"/>
      <c r="K1807" s="85" t="str">
        <f aca="false">IF(AH1807="","",N(F1807)+N(G1807)+N(H1807)-N(I1807)+N(J1807))</f>
        <v/>
      </c>
      <c r="L1807" s="67"/>
      <c r="M1807" s="67"/>
      <c r="N1807" s="67"/>
      <c r="O1807" s="67"/>
      <c r="P1807" s="85" t="str">
        <f aca="false">IF(AH1807="","",K1807+N(L1807)+N(M1807)+N(N1807)+N(O1807))</f>
        <v/>
      </c>
      <c r="Q1807" s="67"/>
      <c r="R1807" s="67"/>
      <c r="S1807" s="67"/>
      <c r="T1807" s="67"/>
      <c r="U1807" s="67"/>
      <c r="V1807" s="67"/>
      <c r="W1807" s="85" t="str">
        <f aca="false">IF(AH1807="","",N(Q1807)+N(R1807)+N(S1807)+N(T1807)+N(U1807)+N(V1807))</f>
        <v/>
      </c>
      <c r="X1807" s="85" t="str">
        <f aca="false">IF(AH1807="","",P1807-W1807)</f>
        <v/>
      </c>
      <c r="Y1807" s="67"/>
      <c r="Z1807" s="70" t="str">
        <f aca="false">IF(OR(AH1807="",Y1807=""),"",IF(ABS(X1807-Y1807)&lt;=1,"✓ Cuadra","⚠ Diferencia $"&amp;FIXED(X1807-Y1807,0)))</f>
        <v/>
      </c>
      <c r="AA1807" s="72" t="str">
        <f aca="false">IF(AH1807="","",IFERROR(INDEX(C_TIPO,MATCH(C1807&amp;"-P"&amp;MAX(1,COUNTIFS(C_ID,C1807,C_DEFINE,"Sí",C_INICIO,"&lt;="&amp;EOMONTH(B1807,0))),C_CLAVE,0))&amp;"","Sin dato"))</f>
        <v/>
      </c>
      <c r="AB1807" s="71" t="str">
        <f aca="false">IF(AH1807="","",ROUND(MIN(K1807,TOPE_AFP_UF*AJ1807)*AK1807,0))</f>
        <v/>
      </c>
      <c r="AC1807" s="71" t="str">
        <f aca="false">IF(AH1807="","",ROUND(MIN(K1807,TOPE_AFC_UF*AJ1807)*IF(AA1807="Indefinido",AFC_EMP_INDEF,AFC_EMP_PF),0))</f>
        <v/>
      </c>
      <c r="AD1807" s="71" t="str">
        <f aca="false">IF(AH1807="","",ROUND(MIN(K1807,TOPE_AFP_UF*AJ1807)*(MUTUAL_BASICA+MUTUAL_ADIC+SANNA),0))</f>
        <v/>
      </c>
      <c r="AE1807" s="71" t="str">
        <f aca="false">IF(AH1807="","",P1807-N(N1807)+AB1807+AC1807+AD1807)</f>
        <v/>
      </c>
      <c r="AF1807" s="65"/>
      <c r="AG1807" s="64"/>
      <c r="AH1807" s="72" t="str">
        <f aca="false">IF(OR(B1807="",C1807=""),"",C1807&amp;"|"&amp;(YEAR(B1807)*100+MONTH(B1807)))</f>
        <v/>
      </c>
      <c r="AI1807" s="70" t="str">
        <f aca="false">IF(AH1807="","",IF(COUNTIF(L_CLAVE,AH1807)&gt;1,"⚠ Duplicado","OK"))</f>
        <v/>
      </c>
      <c r="AJ1807" s="86" t="str">
        <f aca="false">IF(AH1807="","",IF(SUMPRODUCT(MAX((IND_PER&lt;=B1807)*(IND_UF&lt;&gt;"")*IND_PER))=0,UF_HOY,INDEX(IND_UF,MATCH(SUMPRODUCT(MAX((IND_PER&lt;=B1807)*(IND_UF&lt;&gt;"")*IND_PER)),IND_PER,0))))</f>
        <v/>
      </c>
      <c r="AK1807" s="87" t="str">
        <f aca="false">IF(AH1807="","",IF(COUNTIF(TASA_DESDE,"&lt;="&amp;B1807)=0,INDEX(TASA_EMP,1),INDEX(TASA_EMP,COUNTIF(TASA_DESDE,"&lt;="&amp;B1807))))</f>
        <v/>
      </c>
    </row>
    <row r="1808" customFormat="false" ht="15" hidden="false" customHeight="false" outlineLevel="0" collapsed="false">
      <c r="B1808" s="78"/>
      <c r="C1808" s="64"/>
      <c r="D1808" s="72" t="str">
        <f aca="false">IF(C1808="","",IFERROR(INDEX(T_NOMBRE,MATCH(C1808,T_ID,0)),"⚠ ID no existe"))</f>
        <v/>
      </c>
      <c r="E1808" s="69"/>
      <c r="F1808" s="67"/>
      <c r="G1808" s="67"/>
      <c r="H1808" s="67"/>
      <c r="I1808" s="67"/>
      <c r="J1808" s="67"/>
      <c r="K1808" s="85" t="str">
        <f aca="false">IF(AH1808="","",N(F1808)+N(G1808)+N(H1808)-N(I1808)+N(J1808))</f>
        <v/>
      </c>
      <c r="L1808" s="67"/>
      <c r="M1808" s="67"/>
      <c r="N1808" s="67"/>
      <c r="O1808" s="67"/>
      <c r="P1808" s="85" t="str">
        <f aca="false">IF(AH1808="","",K1808+N(L1808)+N(M1808)+N(N1808)+N(O1808))</f>
        <v/>
      </c>
      <c r="Q1808" s="67"/>
      <c r="R1808" s="67"/>
      <c r="S1808" s="67"/>
      <c r="T1808" s="67"/>
      <c r="U1808" s="67"/>
      <c r="V1808" s="67"/>
      <c r="W1808" s="85" t="str">
        <f aca="false">IF(AH1808="","",N(Q1808)+N(R1808)+N(S1808)+N(T1808)+N(U1808)+N(V1808))</f>
        <v/>
      </c>
      <c r="X1808" s="85" t="str">
        <f aca="false">IF(AH1808="","",P1808-W1808)</f>
        <v/>
      </c>
      <c r="Y1808" s="67"/>
      <c r="Z1808" s="70" t="str">
        <f aca="false">IF(OR(AH1808="",Y1808=""),"",IF(ABS(X1808-Y1808)&lt;=1,"✓ Cuadra","⚠ Diferencia $"&amp;FIXED(X1808-Y1808,0)))</f>
        <v/>
      </c>
      <c r="AA1808" s="72" t="str">
        <f aca="false">IF(AH1808="","",IFERROR(INDEX(C_TIPO,MATCH(C1808&amp;"-P"&amp;MAX(1,COUNTIFS(C_ID,C1808,C_DEFINE,"Sí",C_INICIO,"&lt;="&amp;EOMONTH(B1808,0))),C_CLAVE,0))&amp;"","Sin dato"))</f>
        <v/>
      </c>
      <c r="AB1808" s="71" t="str">
        <f aca="false">IF(AH1808="","",ROUND(MIN(K1808,TOPE_AFP_UF*AJ1808)*AK1808,0))</f>
        <v/>
      </c>
      <c r="AC1808" s="71" t="str">
        <f aca="false">IF(AH1808="","",ROUND(MIN(K1808,TOPE_AFC_UF*AJ1808)*IF(AA1808="Indefinido",AFC_EMP_INDEF,AFC_EMP_PF),0))</f>
        <v/>
      </c>
      <c r="AD1808" s="71" t="str">
        <f aca="false">IF(AH1808="","",ROUND(MIN(K1808,TOPE_AFP_UF*AJ1808)*(MUTUAL_BASICA+MUTUAL_ADIC+SANNA),0))</f>
        <v/>
      </c>
      <c r="AE1808" s="71" t="str">
        <f aca="false">IF(AH1808="","",P1808-N(N1808)+AB1808+AC1808+AD1808)</f>
        <v/>
      </c>
      <c r="AF1808" s="65"/>
      <c r="AG1808" s="64"/>
      <c r="AH1808" s="72" t="str">
        <f aca="false">IF(OR(B1808="",C1808=""),"",C1808&amp;"|"&amp;(YEAR(B1808)*100+MONTH(B1808)))</f>
        <v/>
      </c>
      <c r="AI1808" s="70" t="str">
        <f aca="false">IF(AH1808="","",IF(COUNTIF(L_CLAVE,AH1808)&gt;1,"⚠ Duplicado","OK"))</f>
        <v/>
      </c>
      <c r="AJ1808" s="86" t="str">
        <f aca="false">IF(AH1808="","",IF(SUMPRODUCT(MAX((IND_PER&lt;=B1808)*(IND_UF&lt;&gt;"")*IND_PER))=0,UF_HOY,INDEX(IND_UF,MATCH(SUMPRODUCT(MAX((IND_PER&lt;=B1808)*(IND_UF&lt;&gt;"")*IND_PER)),IND_PER,0))))</f>
        <v/>
      </c>
      <c r="AK1808" s="87" t="str">
        <f aca="false">IF(AH1808="","",IF(COUNTIF(TASA_DESDE,"&lt;="&amp;B1808)=0,INDEX(TASA_EMP,1),INDEX(TASA_EMP,COUNTIF(TASA_DESDE,"&lt;="&amp;B1808))))</f>
        <v/>
      </c>
    </row>
    <row r="1809" customFormat="false" ht="15" hidden="false" customHeight="false" outlineLevel="0" collapsed="false">
      <c r="B1809" s="78"/>
      <c r="C1809" s="64"/>
      <c r="D1809" s="72" t="str">
        <f aca="false">IF(C1809="","",IFERROR(INDEX(T_NOMBRE,MATCH(C1809,T_ID,0)),"⚠ ID no existe"))</f>
        <v/>
      </c>
      <c r="E1809" s="69"/>
      <c r="F1809" s="67"/>
      <c r="G1809" s="67"/>
      <c r="H1809" s="67"/>
      <c r="I1809" s="67"/>
      <c r="J1809" s="67"/>
      <c r="K1809" s="85" t="str">
        <f aca="false">IF(AH1809="","",N(F1809)+N(G1809)+N(H1809)-N(I1809)+N(J1809))</f>
        <v/>
      </c>
      <c r="L1809" s="67"/>
      <c r="M1809" s="67"/>
      <c r="N1809" s="67"/>
      <c r="O1809" s="67"/>
      <c r="P1809" s="85" t="str">
        <f aca="false">IF(AH1809="","",K1809+N(L1809)+N(M1809)+N(N1809)+N(O1809))</f>
        <v/>
      </c>
      <c r="Q1809" s="67"/>
      <c r="R1809" s="67"/>
      <c r="S1809" s="67"/>
      <c r="T1809" s="67"/>
      <c r="U1809" s="67"/>
      <c r="V1809" s="67"/>
      <c r="W1809" s="85" t="str">
        <f aca="false">IF(AH1809="","",N(Q1809)+N(R1809)+N(S1809)+N(T1809)+N(U1809)+N(V1809))</f>
        <v/>
      </c>
      <c r="X1809" s="85" t="str">
        <f aca="false">IF(AH1809="","",P1809-W1809)</f>
        <v/>
      </c>
      <c r="Y1809" s="67"/>
      <c r="Z1809" s="70" t="str">
        <f aca="false">IF(OR(AH1809="",Y1809=""),"",IF(ABS(X1809-Y1809)&lt;=1,"✓ Cuadra","⚠ Diferencia $"&amp;FIXED(X1809-Y1809,0)))</f>
        <v/>
      </c>
      <c r="AA1809" s="72" t="str">
        <f aca="false">IF(AH1809="","",IFERROR(INDEX(C_TIPO,MATCH(C1809&amp;"-P"&amp;MAX(1,COUNTIFS(C_ID,C1809,C_DEFINE,"Sí",C_INICIO,"&lt;="&amp;EOMONTH(B1809,0))),C_CLAVE,0))&amp;"","Sin dato"))</f>
        <v/>
      </c>
      <c r="AB1809" s="71" t="str">
        <f aca="false">IF(AH1809="","",ROUND(MIN(K1809,TOPE_AFP_UF*AJ1809)*AK1809,0))</f>
        <v/>
      </c>
      <c r="AC1809" s="71" t="str">
        <f aca="false">IF(AH1809="","",ROUND(MIN(K1809,TOPE_AFC_UF*AJ1809)*IF(AA1809="Indefinido",AFC_EMP_INDEF,AFC_EMP_PF),0))</f>
        <v/>
      </c>
      <c r="AD1809" s="71" t="str">
        <f aca="false">IF(AH1809="","",ROUND(MIN(K1809,TOPE_AFP_UF*AJ1809)*(MUTUAL_BASICA+MUTUAL_ADIC+SANNA),0))</f>
        <v/>
      </c>
      <c r="AE1809" s="71" t="str">
        <f aca="false">IF(AH1809="","",P1809-N(N1809)+AB1809+AC1809+AD1809)</f>
        <v/>
      </c>
      <c r="AF1809" s="65"/>
      <c r="AG1809" s="64"/>
      <c r="AH1809" s="72" t="str">
        <f aca="false">IF(OR(B1809="",C1809=""),"",C1809&amp;"|"&amp;(YEAR(B1809)*100+MONTH(B1809)))</f>
        <v/>
      </c>
      <c r="AI1809" s="70" t="str">
        <f aca="false">IF(AH1809="","",IF(COUNTIF(L_CLAVE,AH1809)&gt;1,"⚠ Duplicado","OK"))</f>
        <v/>
      </c>
      <c r="AJ1809" s="86" t="str">
        <f aca="false">IF(AH1809="","",IF(SUMPRODUCT(MAX((IND_PER&lt;=B1809)*(IND_UF&lt;&gt;"")*IND_PER))=0,UF_HOY,INDEX(IND_UF,MATCH(SUMPRODUCT(MAX((IND_PER&lt;=B1809)*(IND_UF&lt;&gt;"")*IND_PER)),IND_PER,0))))</f>
        <v/>
      </c>
      <c r="AK1809" s="87" t="str">
        <f aca="false">IF(AH1809="","",IF(COUNTIF(TASA_DESDE,"&lt;="&amp;B1809)=0,INDEX(TASA_EMP,1),INDEX(TASA_EMP,COUNTIF(TASA_DESDE,"&lt;="&amp;B1809))))</f>
        <v/>
      </c>
    </row>
    <row r="1810" customFormat="false" ht="15" hidden="false" customHeight="false" outlineLevel="0" collapsed="false">
      <c r="B1810" s="78"/>
      <c r="C1810" s="64"/>
      <c r="D1810" s="72" t="str">
        <f aca="false">IF(C1810="","",IFERROR(INDEX(T_NOMBRE,MATCH(C1810,T_ID,0)),"⚠ ID no existe"))</f>
        <v/>
      </c>
      <c r="E1810" s="69"/>
      <c r="F1810" s="67"/>
      <c r="G1810" s="67"/>
      <c r="H1810" s="67"/>
      <c r="I1810" s="67"/>
      <c r="J1810" s="67"/>
      <c r="K1810" s="85" t="str">
        <f aca="false">IF(AH1810="","",N(F1810)+N(G1810)+N(H1810)-N(I1810)+N(J1810))</f>
        <v/>
      </c>
      <c r="L1810" s="67"/>
      <c r="M1810" s="67"/>
      <c r="N1810" s="67"/>
      <c r="O1810" s="67"/>
      <c r="P1810" s="85" t="str">
        <f aca="false">IF(AH1810="","",K1810+N(L1810)+N(M1810)+N(N1810)+N(O1810))</f>
        <v/>
      </c>
      <c r="Q1810" s="67"/>
      <c r="R1810" s="67"/>
      <c r="S1810" s="67"/>
      <c r="T1810" s="67"/>
      <c r="U1810" s="67"/>
      <c r="V1810" s="67"/>
      <c r="W1810" s="85" t="str">
        <f aca="false">IF(AH1810="","",N(Q1810)+N(R1810)+N(S1810)+N(T1810)+N(U1810)+N(V1810))</f>
        <v/>
      </c>
      <c r="X1810" s="85" t="str">
        <f aca="false">IF(AH1810="","",P1810-W1810)</f>
        <v/>
      </c>
      <c r="Y1810" s="67"/>
      <c r="Z1810" s="70" t="str">
        <f aca="false">IF(OR(AH1810="",Y1810=""),"",IF(ABS(X1810-Y1810)&lt;=1,"✓ Cuadra","⚠ Diferencia $"&amp;FIXED(X1810-Y1810,0)))</f>
        <v/>
      </c>
      <c r="AA1810" s="72" t="str">
        <f aca="false">IF(AH1810="","",IFERROR(INDEX(C_TIPO,MATCH(C1810&amp;"-P"&amp;MAX(1,COUNTIFS(C_ID,C1810,C_DEFINE,"Sí",C_INICIO,"&lt;="&amp;EOMONTH(B1810,0))),C_CLAVE,0))&amp;"","Sin dato"))</f>
        <v/>
      </c>
      <c r="AB1810" s="71" t="str">
        <f aca="false">IF(AH1810="","",ROUND(MIN(K1810,TOPE_AFP_UF*AJ1810)*AK1810,0))</f>
        <v/>
      </c>
      <c r="AC1810" s="71" t="str">
        <f aca="false">IF(AH1810="","",ROUND(MIN(K1810,TOPE_AFC_UF*AJ1810)*IF(AA1810="Indefinido",AFC_EMP_INDEF,AFC_EMP_PF),0))</f>
        <v/>
      </c>
      <c r="AD1810" s="71" t="str">
        <f aca="false">IF(AH1810="","",ROUND(MIN(K1810,TOPE_AFP_UF*AJ1810)*(MUTUAL_BASICA+MUTUAL_ADIC+SANNA),0))</f>
        <v/>
      </c>
      <c r="AE1810" s="71" t="str">
        <f aca="false">IF(AH1810="","",P1810-N(N1810)+AB1810+AC1810+AD1810)</f>
        <v/>
      </c>
      <c r="AF1810" s="65"/>
      <c r="AG1810" s="64"/>
      <c r="AH1810" s="72" t="str">
        <f aca="false">IF(OR(B1810="",C1810=""),"",C1810&amp;"|"&amp;(YEAR(B1810)*100+MONTH(B1810)))</f>
        <v/>
      </c>
      <c r="AI1810" s="70" t="str">
        <f aca="false">IF(AH1810="","",IF(COUNTIF(L_CLAVE,AH1810)&gt;1,"⚠ Duplicado","OK"))</f>
        <v/>
      </c>
      <c r="AJ1810" s="86" t="str">
        <f aca="false">IF(AH1810="","",IF(SUMPRODUCT(MAX((IND_PER&lt;=B1810)*(IND_UF&lt;&gt;"")*IND_PER))=0,UF_HOY,INDEX(IND_UF,MATCH(SUMPRODUCT(MAX((IND_PER&lt;=B1810)*(IND_UF&lt;&gt;"")*IND_PER)),IND_PER,0))))</f>
        <v/>
      </c>
      <c r="AK1810" s="87" t="str">
        <f aca="false">IF(AH1810="","",IF(COUNTIF(TASA_DESDE,"&lt;="&amp;B1810)=0,INDEX(TASA_EMP,1),INDEX(TASA_EMP,COUNTIF(TASA_DESDE,"&lt;="&amp;B1810))))</f>
        <v/>
      </c>
    </row>
    <row r="1811" customFormat="false" ht="15" hidden="false" customHeight="false" outlineLevel="0" collapsed="false">
      <c r="B1811" s="78"/>
      <c r="C1811" s="64"/>
      <c r="D1811" s="72" t="str">
        <f aca="false">IF(C1811="","",IFERROR(INDEX(T_NOMBRE,MATCH(C1811,T_ID,0)),"⚠ ID no existe"))</f>
        <v/>
      </c>
      <c r="E1811" s="69"/>
      <c r="F1811" s="67"/>
      <c r="G1811" s="67"/>
      <c r="H1811" s="67"/>
      <c r="I1811" s="67"/>
      <c r="J1811" s="67"/>
      <c r="K1811" s="85" t="str">
        <f aca="false">IF(AH1811="","",N(F1811)+N(G1811)+N(H1811)-N(I1811)+N(J1811))</f>
        <v/>
      </c>
      <c r="L1811" s="67"/>
      <c r="M1811" s="67"/>
      <c r="N1811" s="67"/>
      <c r="O1811" s="67"/>
      <c r="P1811" s="85" t="str">
        <f aca="false">IF(AH1811="","",K1811+N(L1811)+N(M1811)+N(N1811)+N(O1811))</f>
        <v/>
      </c>
      <c r="Q1811" s="67"/>
      <c r="R1811" s="67"/>
      <c r="S1811" s="67"/>
      <c r="T1811" s="67"/>
      <c r="U1811" s="67"/>
      <c r="V1811" s="67"/>
      <c r="W1811" s="85" t="str">
        <f aca="false">IF(AH1811="","",N(Q1811)+N(R1811)+N(S1811)+N(T1811)+N(U1811)+N(V1811))</f>
        <v/>
      </c>
      <c r="X1811" s="85" t="str">
        <f aca="false">IF(AH1811="","",P1811-W1811)</f>
        <v/>
      </c>
      <c r="Y1811" s="67"/>
      <c r="Z1811" s="70" t="str">
        <f aca="false">IF(OR(AH1811="",Y1811=""),"",IF(ABS(X1811-Y1811)&lt;=1,"✓ Cuadra","⚠ Diferencia $"&amp;FIXED(X1811-Y1811,0)))</f>
        <v/>
      </c>
      <c r="AA1811" s="72" t="str">
        <f aca="false">IF(AH1811="","",IFERROR(INDEX(C_TIPO,MATCH(C1811&amp;"-P"&amp;MAX(1,COUNTIFS(C_ID,C1811,C_DEFINE,"Sí",C_INICIO,"&lt;="&amp;EOMONTH(B1811,0))),C_CLAVE,0))&amp;"","Sin dato"))</f>
        <v/>
      </c>
      <c r="AB1811" s="71" t="str">
        <f aca="false">IF(AH1811="","",ROUND(MIN(K1811,TOPE_AFP_UF*AJ1811)*AK1811,0))</f>
        <v/>
      </c>
      <c r="AC1811" s="71" t="str">
        <f aca="false">IF(AH1811="","",ROUND(MIN(K1811,TOPE_AFC_UF*AJ1811)*IF(AA1811="Indefinido",AFC_EMP_INDEF,AFC_EMP_PF),0))</f>
        <v/>
      </c>
      <c r="AD1811" s="71" t="str">
        <f aca="false">IF(AH1811="","",ROUND(MIN(K1811,TOPE_AFP_UF*AJ1811)*(MUTUAL_BASICA+MUTUAL_ADIC+SANNA),0))</f>
        <v/>
      </c>
      <c r="AE1811" s="71" t="str">
        <f aca="false">IF(AH1811="","",P1811-N(N1811)+AB1811+AC1811+AD1811)</f>
        <v/>
      </c>
      <c r="AF1811" s="65"/>
      <c r="AG1811" s="64"/>
      <c r="AH1811" s="72" t="str">
        <f aca="false">IF(OR(B1811="",C1811=""),"",C1811&amp;"|"&amp;(YEAR(B1811)*100+MONTH(B1811)))</f>
        <v/>
      </c>
      <c r="AI1811" s="70" t="str">
        <f aca="false">IF(AH1811="","",IF(COUNTIF(L_CLAVE,AH1811)&gt;1,"⚠ Duplicado","OK"))</f>
        <v/>
      </c>
      <c r="AJ1811" s="86" t="str">
        <f aca="false">IF(AH1811="","",IF(SUMPRODUCT(MAX((IND_PER&lt;=B1811)*(IND_UF&lt;&gt;"")*IND_PER))=0,UF_HOY,INDEX(IND_UF,MATCH(SUMPRODUCT(MAX((IND_PER&lt;=B1811)*(IND_UF&lt;&gt;"")*IND_PER)),IND_PER,0))))</f>
        <v/>
      </c>
      <c r="AK1811" s="87" t="str">
        <f aca="false">IF(AH1811="","",IF(COUNTIF(TASA_DESDE,"&lt;="&amp;B1811)=0,INDEX(TASA_EMP,1),INDEX(TASA_EMP,COUNTIF(TASA_DESDE,"&lt;="&amp;B1811))))</f>
        <v/>
      </c>
    </row>
    <row r="1812" customFormat="false" ht="15" hidden="false" customHeight="false" outlineLevel="0" collapsed="false">
      <c r="B1812" s="78"/>
      <c r="C1812" s="64"/>
      <c r="D1812" s="72" t="str">
        <f aca="false">IF(C1812="","",IFERROR(INDEX(T_NOMBRE,MATCH(C1812,T_ID,0)),"⚠ ID no existe"))</f>
        <v/>
      </c>
      <c r="E1812" s="69"/>
      <c r="F1812" s="67"/>
      <c r="G1812" s="67"/>
      <c r="H1812" s="67"/>
      <c r="I1812" s="67"/>
      <c r="J1812" s="67"/>
      <c r="K1812" s="85" t="str">
        <f aca="false">IF(AH1812="","",N(F1812)+N(G1812)+N(H1812)-N(I1812)+N(J1812))</f>
        <v/>
      </c>
      <c r="L1812" s="67"/>
      <c r="M1812" s="67"/>
      <c r="N1812" s="67"/>
      <c r="O1812" s="67"/>
      <c r="P1812" s="85" t="str">
        <f aca="false">IF(AH1812="","",K1812+N(L1812)+N(M1812)+N(N1812)+N(O1812))</f>
        <v/>
      </c>
      <c r="Q1812" s="67"/>
      <c r="R1812" s="67"/>
      <c r="S1812" s="67"/>
      <c r="T1812" s="67"/>
      <c r="U1812" s="67"/>
      <c r="V1812" s="67"/>
      <c r="W1812" s="85" t="str">
        <f aca="false">IF(AH1812="","",N(Q1812)+N(R1812)+N(S1812)+N(T1812)+N(U1812)+N(V1812))</f>
        <v/>
      </c>
      <c r="X1812" s="85" t="str">
        <f aca="false">IF(AH1812="","",P1812-W1812)</f>
        <v/>
      </c>
      <c r="Y1812" s="67"/>
      <c r="Z1812" s="70" t="str">
        <f aca="false">IF(OR(AH1812="",Y1812=""),"",IF(ABS(X1812-Y1812)&lt;=1,"✓ Cuadra","⚠ Diferencia $"&amp;FIXED(X1812-Y1812,0)))</f>
        <v/>
      </c>
      <c r="AA1812" s="72" t="str">
        <f aca="false">IF(AH1812="","",IFERROR(INDEX(C_TIPO,MATCH(C1812&amp;"-P"&amp;MAX(1,COUNTIFS(C_ID,C1812,C_DEFINE,"Sí",C_INICIO,"&lt;="&amp;EOMONTH(B1812,0))),C_CLAVE,0))&amp;"","Sin dato"))</f>
        <v/>
      </c>
      <c r="AB1812" s="71" t="str">
        <f aca="false">IF(AH1812="","",ROUND(MIN(K1812,TOPE_AFP_UF*AJ1812)*AK1812,0))</f>
        <v/>
      </c>
      <c r="AC1812" s="71" t="str">
        <f aca="false">IF(AH1812="","",ROUND(MIN(K1812,TOPE_AFC_UF*AJ1812)*IF(AA1812="Indefinido",AFC_EMP_INDEF,AFC_EMP_PF),0))</f>
        <v/>
      </c>
      <c r="AD1812" s="71" t="str">
        <f aca="false">IF(AH1812="","",ROUND(MIN(K1812,TOPE_AFP_UF*AJ1812)*(MUTUAL_BASICA+MUTUAL_ADIC+SANNA),0))</f>
        <v/>
      </c>
      <c r="AE1812" s="71" t="str">
        <f aca="false">IF(AH1812="","",P1812-N(N1812)+AB1812+AC1812+AD1812)</f>
        <v/>
      </c>
      <c r="AF1812" s="65"/>
      <c r="AG1812" s="64"/>
      <c r="AH1812" s="72" t="str">
        <f aca="false">IF(OR(B1812="",C1812=""),"",C1812&amp;"|"&amp;(YEAR(B1812)*100+MONTH(B1812)))</f>
        <v/>
      </c>
      <c r="AI1812" s="70" t="str">
        <f aca="false">IF(AH1812="","",IF(COUNTIF(L_CLAVE,AH1812)&gt;1,"⚠ Duplicado","OK"))</f>
        <v/>
      </c>
      <c r="AJ1812" s="86" t="str">
        <f aca="false">IF(AH1812="","",IF(SUMPRODUCT(MAX((IND_PER&lt;=B1812)*(IND_UF&lt;&gt;"")*IND_PER))=0,UF_HOY,INDEX(IND_UF,MATCH(SUMPRODUCT(MAX((IND_PER&lt;=B1812)*(IND_UF&lt;&gt;"")*IND_PER)),IND_PER,0))))</f>
        <v/>
      </c>
      <c r="AK1812" s="87" t="str">
        <f aca="false">IF(AH1812="","",IF(COUNTIF(TASA_DESDE,"&lt;="&amp;B1812)=0,INDEX(TASA_EMP,1),INDEX(TASA_EMP,COUNTIF(TASA_DESDE,"&lt;="&amp;B1812))))</f>
        <v/>
      </c>
    </row>
    <row r="1813" customFormat="false" ht="15" hidden="false" customHeight="false" outlineLevel="0" collapsed="false">
      <c r="B1813" s="78"/>
      <c r="C1813" s="64"/>
      <c r="D1813" s="72" t="str">
        <f aca="false">IF(C1813="","",IFERROR(INDEX(T_NOMBRE,MATCH(C1813,T_ID,0)),"⚠ ID no existe"))</f>
        <v/>
      </c>
      <c r="E1813" s="69"/>
      <c r="F1813" s="67"/>
      <c r="G1813" s="67"/>
      <c r="H1813" s="67"/>
      <c r="I1813" s="67"/>
      <c r="J1813" s="67"/>
      <c r="K1813" s="85" t="str">
        <f aca="false">IF(AH1813="","",N(F1813)+N(G1813)+N(H1813)-N(I1813)+N(J1813))</f>
        <v/>
      </c>
      <c r="L1813" s="67"/>
      <c r="M1813" s="67"/>
      <c r="N1813" s="67"/>
      <c r="O1813" s="67"/>
      <c r="P1813" s="85" t="str">
        <f aca="false">IF(AH1813="","",K1813+N(L1813)+N(M1813)+N(N1813)+N(O1813))</f>
        <v/>
      </c>
      <c r="Q1813" s="67"/>
      <c r="R1813" s="67"/>
      <c r="S1813" s="67"/>
      <c r="T1813" s="67"/>
      <c r="U1813" s="67"/>
      <c r="V1813" s="67"/>
      <c r="W1813" s="85" t="str">
        <f aca="false">IF(AH1813="","",N(Q1813)+N(R1813)+N(S1813)+N(T1813)+N(U1813)+N(V1813))</f>
        <v/>
      </c>
      <c r="X1813" s="85" t="str">
        <f aca="false">IF(AH1813="","",P1813-W1813)</f>
        <v/>
      </c>
      <c r="Y1813" s="67"/>
      <c r="Z1813" s="70" t="str">
        <f aca="false">IF(OR(AH1813="",Y1813=""),"",IF(ABS(X1813-Y1813)&lt;=1,"✓ Cuadra","⚠ Diferencia $"&amp;FIXED(X1813-Y1813,0)))</f>
        <v/>
      </c>
      <c r="AA1813" s="72" t="str">
        <f aca="false">IF(AH1813="","",IFERROR(INDEX(C_TIPO,MATCH(C1813&amp;"-P"&amp;MAX(1,COUNTIFS(C_ID,C1813,C_DEFINE,"Sí",C_INICIO,"&lt;="&amp;EOMONTH(B1813,0))),C_CLAVE,0))&amp;"","Sin dato"))</f>
        <v/>
      </c>
      <c r="AB1813" s="71" t="str">
        <f aca="false">IF(AH1813="","",ROUND(MIN(K1813,TOPE_AFP_UF*AJ1813)*AK1813,0))</f>
        <v/>
      </c>
      <c r="AC1813" s="71" t="str">
        <f aca="false">IF(AH1813="","",ROUND(MIN(K1813,TOPE_AFC_UF*AJ1813)*IF(AA1813="Indefinido",AFC_EMP_INDEF,AFC_EMP_PF),0))</f>
        <v/>
      </c>
      <c r="AD1813" s="71" t="str">
        <f aca="false">IF(AH1813="","",ROUND(MIN(K1813,TOPE_AFP_UF*AJ1813)*(MUTUAL_BASICA+MUTUAL_ADIC+SANNA),0))</f>
        <v/>
      </c>
      <c r="AE1813" s="71" t="str">
        <f aca="false">IF(AH1813="","",P1813-N(N1813)+AB1813+AC1813+AD1813)</f>
        <v/>
      </c>
      <c r="AF1813" s="65"/>
      <c r="AG1813" s="64"/>
      <c r="AH1813" s="72" t="str">
        <f aca="false">IF(OR(B1813="",C1813=""),"",C1813&amp;"|"&amp;(YEAR(B1813)*100+MONTH(B1813)))</f>
        <v/>
      </c>
      <c r="AI1813" s="70" t="str">
        <f aca="false">IF(AH1813="","",IF(COUNTIF(L_CLAVE,AH1813)&gt;1,"⚠ Duplicado","OK"))</f>
        <v/>
      </c>
      <c r="AJ1813" s="86" t="str">
        <f aca="false">IF(AH1813="","",IF(SUMPRODUCT(MAX((IND_PER&lt;=B1813)*(IND_UF&lt;&gt;"")*IND_PER))=0,UF_HOY,INDEX(IND_UF,MATCH(SUMPRODUCT(MAX((IND_PER&lt;=B1813)*(IND_UF&lt;&gt;"")*IND_PER)),IND_PER,0))))</f>
        <v/>
      </c>
      <c r="AK1813" s="87" t="str">
        <f aca="false">IF(AH1813="","",IF(COUNTIF(TASA_DESDE,"&lt;="&amp;B1813)=0,INDEX(TASA_EMP,1),INDEX(TASA_EMP,COUNTIF(TASA_DESDE,"&lt;="&amp;B1813))))</f>
        <v/>
      </c>
    </row>
    <row r="1814" customFormat="false" ht="15" hidden="false" customHeight="false" outlineLevel="0" collapsed="false">
      <c r="B1814" s="78"/>
      <c r="C1814" s="64"/>
      <c r="D1814" s="72" t="str">
        <f aca="false">IF(C1814="","",IFERROR(INDEX(T_NOMBRE,MATCH(C1814,T_ID,0)),"⚠ ID no existe"))</f>
        <v/>
      </c>
      <c r="E1814" s="69"/>
      <c r="F1814" s="67"/>
      <c r="G1814" s="67"/>
      <c r="H1814" s="67"/>
      <c r="I1814" s="67"/>
      <c r="J1814" s="67"/>
      <c r="K1814" s="85" t="str">
        <f aca="false">IF(AH1814="","",N(F1814)+N(G1814)+N(H1814)-N(I1814)+N(J1814))</f>
        <v/>
      </c>
      <c r="L1814" s="67"/>
      <c r="M1814" s="67"/>
      <c r="N1814" s="67"/>
      <c r="O1814" s="67"/>
      <c r="P1814" s="85" t="str">
        <f aca="false">IF(AH1814="","",K1814+N(L1814)+N(M1814)+N(N1814)+N(O1814))</f>
        <v/>
      </c>
      <c r="Q1814" s="67"/>
      <c r="R1814" s="67"/>
      <c r="S1814" s="67"/>
      <c r="T1814" s="67"/>
      <c r="U1814" s="67"/>
      <c r="V1814" s="67"/>
      <c r="W1814" s="85" t="str">
        <f aca="false">IF(AH1814="","",N(Q1814)+N(R1814)+N(S1814)+N(T1814)+N(U1814)+N(V1814))</f>
        <v/>
      </c>
      <c r="X1814" s="85" t="str">
        <f aca="false">IF(AH1814="","",P1814-W1814)</f>
        <v/>
      </c>
      <c r="Y1814" s="67"/>
      <c r="Z1814" s="70" t="str">
        <f aca="false">IF(OR(AH1814="",Y1814=""),"",IF(ABS(X1814-Y1814)&lt;=1,"✓ Cuadra","⚠ Diferencia $"&amp;FIXED(X1814-Y1814,0)))</f>
        <v/>
      </c>
      <c r="AA1814" s="72" t="str">
        <f aca="false">IF(AH1814="","",IFERROR(INDEX(C_TIPO,MATCH(C1814&amp;"-P"&amp;MAX(1,COUNTIFS(C_ID,C1814,C_DEFINE,"Sí",C_INICIO,"&lt;="&amp;EOMONTH(B1814,0))),C_CLAVE,0))&amp;"","Sin dato"))</f>
        <v/>
      </c>
      <c r="AB1814" s="71" t="str">
        <f aca="false">IF(AH1814="","",ROUND(MIN(K1814,TOPE_AFP_UF*AJ1814)*AK1814,0))</f>
        <v/>
      </c>
      <c r="AC1814" s="71" t="str">
        <f aca="false">IF(AH1814="","",ROUND(MIN(K1814,TOPE_AFC_UF*AJ1814)*IF(AA1814="Indefinido",AFC_EMP_INDEF,AFC_EMP_PF),0))</f>
        <v/>
      </c>
      <c r="AD1814" s="71" t="str">
        <f aca="false">IF(AH1814="","",ROUND(MIN(K1814,TOPE_AFP_UF*AJ1814)*(MUTUAL_BASICA+MUTUAL_ADIC+SANNA),0))</f>
        <v/>
      </c>
      <c r="AE1814" s="71" t="str">
        <f aca="false">IF(AH1814="","",P1814-N(N1814)+AB1814+AC1814+AD1814)</f>
        <v/>
      </c>
      <c r="AF1814" s="65"/>
      <c r="AG1814" s="64"/>
      <c r="AH1814" s="72" t="str">
        <f aca="false">IF(OR(B1814="",C1814=""),"",C1814&amp;"|"&amp;(YEAR(B1814)*100+MONTH(B1814)))</f>
        <v/>
      </c>
      <c r="AI1814" s="70" t="str">
        <f aca="false">IF(AH1814="","",IF(COUNTIF(L_CLAVE,AH1814)&gt;1,"⚠ Duplicado","OK"))</f>
        <v/>
      </c>
      <c r="AJ1814" s="86" t="str">
        <f aca="false">IF(AH1814="","",IF(SUMPRODUCT(MAX((IND_PER&lt;=B1814)*(IND_UF&lt;&gt;"")*IND_PER))=0,UF_HOY,INDEX(IND_UF,MATCH(SUMPRODUCT(MAX((IND_PER&lt;=B1814)*(IND_UF&lt;&gt;"")*IND_PER)),IND_PER,0))))</f>
        <v/>
      </c>
      <c r="AK1814" s="87" t="str">
        <f aca="false">IF(AH1814="","",IF(COUNTIF(TASA_DESDE,"&lt;="&amp;B1814)=0,INDEX(TASA_EMP,1),INDEX(TASA_EMP,COUNTIF(TASA_DESDE,"&lt;="&amp;B1814))))</f>
        <v/>
      </c>
    </row>
    <row r="1815" customFormat="false" ht="15" hidden="false" customHeight="false" outlineLevel="0" collapsed="false">
      <c r="B1815" s="78"/>
      <c r="C1815" s="64"/>
      <c r="D1815" s="72" t="str">
        <f aca="false">IF(C1815="","",IFERROR(INDEX(T_NOMBRE,MATCH(C1815,T_ID,0)),"⚠ ID no existe"))</f>
        <v/>
      </c>
      <c r="E1815" s="69"/>
      <c r="F1815" s="67"/>
      <c r="G1815" s="67"/>
      <c r="H1815" s="67"/>
      <c r="I1815" s="67"/>
      <c r="J1815" s="67"/>
      <c r="K1815" s="85" t="str">
        <f aca="false">IF(AH1815="","",N(F1815)+N(G1815)+N(H1815)-N(I1815)+N(J1815))</f>
        <v/>
      </c>
      <c r="L1815" s="67"/>
      <c r="M1815" s="67"/>
      <c r="N1815" s="67"/>
      <c r="O1815" s="67"/>
      <c r="P1815" s="85" t="str">
        <f aca="false">IF(AH1815="","",K1815+N(L1815)+N(M1815)+N(N1815)+N(O1815))</f>
        <v/>
      </c>
      <c r="Q1815" s="67"/>
      <c r="R1815" s="67"/>
      <c r="S1815" s="67"/>
      <c r="T1815" s="67"/>
      <c r="U1815" s="67"/>
      <c r="V1815" s="67"/>
      <c r="W1815" s="85" t="str">
        <f aca="false">IF(AH1815="","",N(Q1815)+N(R1815)+N(S1815)+N(T1815)+N(U1815)+N(V1815))</f>
        <v/>
      </c>
      <c r="X1815" s="85" t="str">
        <f aca="false">IF(AH1815="","",P1815-W1815)</f>
        <v/>
      </c>
      <c r="Y1815" s="67"/>
      <c r="Z1815" s="70" t="str">
        <f aca="false">IF(OR(AH1815="",Y1815=""),"",IF(ABS(X1815-Y1815)&lt;=1,"✓ Cuadra","⚠ Diferencia $"&amp;FIXED(X1815-Y1815,0)))</f>
        <v/>
      </c>
      <c r="AA1815" s="72" t="str">
        <f aca="false">IF(AH1815="","",IFERROR(INDEX(C_TIPO,MATCH(C1815&amp;"-P"&amp;MAX(1,COUNTIFS(C_ID,C1815,C_DEFINE,"Sí",C_INICIO,"&lt;="&amp;EOMONTH(B1815,0))),C_CLAVE,0))&amp;"","Sin dato"))</f>
        <v/>
      </c>
      <c r="AB1815" s="71" t="str">
        <f aca="false">IF(AH1815="","",ROUND(MIN(K1815,TOPE_AFP_UF*AJ1815)*AK1815,0))</f>
        <v/>
      </c>
      <c r="AC1815" s="71" t="str">
        <f aca="false">IF(AH1815="","",ROUND(MIN(K1815,TOPE_AFC_UF*AJ1815)*IF(AA1815="Indefinido",AFC_EMP_INDEF,AFC_EMP_PF),0))</f>
        <v/>
      </c>
      <c r="AD1815" s="71" t="str">
        <f aca="false">IF(AH1815="","",ROUND(MIN(K1815,TOPE_AFP_UF*AJ1815)*(MUTUAL_BASICA+MUTUAL_ADIC+SANNA),0))</f>
        <v/>
      </c>
      <c r="AE1815" s="71" t="str">
        <f aca="false">IF(AH1815="","",P1815-N(N1815)+AB1815+AC1815+AD1815)</f>
        <v/>
      </c>
      <c r="AF1815" s="65"/>
      <c r="AG1815" s="64"/>
      <c r="AH1815" s="72" t="str">
        <f aca="false">IF(OR(B1815="",C1815=""),"",C1815&amp;"|"&amp;(YEAR(B1815)*100+MONTH(B1815)))</f>
        <v/>
      </c>
      <c r="AI1815" s="70" t="str">
        <f aca="false">IF(AH1815="","",IF(COUNTIF(L_CLAVE,AH1815)&gt;1,"⚠ Duplicado","OK"))</f>
        <v/>
      </c>
      <c r="AJ1815" s="86" t="str">
        <f aca="false">IF(AH1815="","",IF(SUMPRODUCT(MAX((IND_PER&lt;=B1815)*(IND_UF&lt;&gt;"")*IND_PER))=0,UF_HOY,INDEX(IND_UF,MATCH(SUMPRODUCT(MAX((IND_PER&lt;=B1815)*(IND_UF&lt;&gt;"")*IND_PER)),IND_PER,0))))</f>
        <v/>
      </c>
      <c r="AK1815" s="87" t="str">
        <f aca="false">IF(AH1815="","",IF(COUNTIF(TASA_DESDE,"&lt;="&amp;B1815)=0,INDEX(TASA_EMP,1),INDEX(TASA_EMP,COUNTIF(TASA_DESDE,"&lt;="&amp;B1815))))</f>
        <v/>
      </c>
    </row>
    <row r="1816" customFormat="false" ht="15" hidden="false" customHeight="false" outlineLevel="0" collapsed="false">
      <c r="B1816" s="78"/>
      <c r="C1816" s="64"/>
      <c r="D1816" s="72" t="str">
        <f aca="false">IF(C1816="","",IFERROR(INDEX(T_NOMBRE,MATCH(C1816,T_ID,0)),"⚠ ID no existe"))</f>
        <v/>
      </c>
      <c r="E1816" s="69"/>
      <c r="F1816" s="67"/>
      <c r="G1816" s="67"/>
      <c r="H1816" s="67"/>
      <c r="I1816" s="67"/>
      <c r="J1816" s="67"/>
      <c r="K1816" s="85" t="str">
        <f aca="false">IF(AH1816="","",N(F1816)+N(G1816)+N(H1816)-N(I1816)+N(J1816))</f>
        <v/>
      </c>
      <c r="L1816" s="67"/>
      <c r="M1816" s="67"/>
      <c r="N1816" s="67"/>
      <c r="O1816" s="67"/>
      <c r="P1816" s="85" t="str">
        <f aca="false">IF(AH1816="","",K1816+N(L1816)+N(M1816)+N(N1816)+N(O1816))</f>
        <v/>
      </c>
      <c r="Q1816" s="67"/>
      <c r="R1816" s="67"/>
      <c r="S1816" s="67"/>
      <c r="T1816" s="67"/>
      <c r="U1816" s="67"/>
      <c r="V1816" s="67"/>
      <c r="W1816" s="85" t="str">
        <f aca="false">IF(AH1816="","",N(Q1816)+N(R1816)+N(S1816)+N(T1816)+N(U1816)+N(V1816))</f>
        <v/>
      </c>
      <c r="X1816" s="85" t="str">
        <f aca="false">IF(AH1816="","",P1816-W1816)</f>
        <v/>
      </c>
      <c r="Y1816" s="67"/>
      <c r="Z1816" s="70" t="str">
        <f aca="false">IF(OR(AH1816="",Y1816=""),"",IF(ABS(X1816-Y1816)&lt;=1,"✓ Cuadra","⚠ Diferencia $"&amp;FIXED(X1816-Y1816,0)))</f>
        <v/>
      </c>
      <c r="AA1816" s="72" t="str">
        <f aca="false">IF(AH1816="","",IFERROR(INDEX(C_TIPO,MATCH(C1816&amp;"-P"&amp;MAX(1,COUNTIFS(C_ID,C1816,C_DEFINE,"Sí",C_INICIO,"&lt;="&amp;EOMONTH(B1816,0))),C_CLAVE,0))&amp;"","Sin dato"))</f>
        <v/>
      </c>
      <c r="AB1816" s="71" t="str">
        <f aca="false">IF(AH1816="","",ROUND(MIN(K1816,TOPE_AFP_UF*AJ1816)*AK1816,0))</f>
        <v/>
      </c>
      <c r="AC1816" s="71" t="str">
        <f aca="false">IF(AH1816="","",ROUND(MIN(K1816,TOPE_AFC_UF*AJ1816)*IF(AA1816="Indefinido",AFC_EMP_INDEF,AFC_EMP_PF),0))</f>
        <v/>
      </c>
      <c r="AD1816" s="71" t="str">
        <f aca="false">IF(AH1816="","",ROUND(MIN(K1816,TOPE_AFP_UF*AJ1816)*(MUTUAL_BASICA+MUTUAL_ADIC+SANNA),0))</f>
        <v/>
      </c>
      <c r="AE1816" s="71" t="str">
        <f aca="false">IF(AH1816="","",P1816-N(N1816)+AB1816+AC1816+AD1816)</f>
        <v/>
      </c>
      <c r="AF1816" s="65"/>
      <c r="AG1816" s="64"/>
      <c r="AH1816" s="72" t="str">
        <f aca="false">IF(OR(B1816="",C1816=""),"",C1816&amp;"|"&amp;(YEAR(B1816)*100+MONTH(B1816)))</f>
        <v/>
      </c>
      <c r="AI1816" s="70" t="str">
        <f aca="false">IF(AH1816="","",IF(COUNTIF(L_CLAVE,AH1816)&gt;1,"⚠ Duplicado","OK"))</f>
        <v/>
      </c>
      <c r="AJ1816" s="86" t="str">
        <f aca="false">IF(AH1816="","",IF(SUMPRODUCT(MAX((IND_PER&lt;=B1816)*(IND_UF&lt;&gt;"")*IND_PER))=0,UF_HOY,INDEX(IND_UF,MATCH(SUMPRODUCT(MAX((IND_PER&lt;=B1816)*(IND_UF&lt;&gt;"")*IND_PER)),IND_PER,0))))</f>
        <v/>
      </c>
      <c r="AK1816" s="87" t="str">
        <f aca="false">IF(AH1816="","",IF(COUNTIF(TASA_DESDE,"&lt;="&amp;B1816)=0,INDEX(TASA_EMP,1),INDEX(TASA_EMP,COUNTIF(TASA_DESDE,"&lt;="&amp;B1816))))</f>
        <v/>
      </c>
    </row>
    <row r="1817" customFormat="false" ht="15" hidden="false" customHeight="false" outlineLevel="0" collapsed="false">
      <c r="B1817" s="78"/>
      <c r="C1817" s="64"/>
      <c r="D1817" s="72" t="str">
        <f aca="false">IF(C1817="","",IFERROR(INDEX(T_NOMBRE,MATCH(C1817,T_ID,0)),"⚠ ID no existe"))</f>
        <v/>
      </c>
      <c r="E1817" s="69"/>
      <c r="F1817" s="67"/>
      <c r="G1817" s="67"/>
      <c r="H1817" s="67"/>
      <c r="I1817" s="67"/>
      <c r="J1817" s="67"/>
      <c r="K1817" s="85" t="str">
        <f aca="false">IF(AH1817="","",N(F1817)+N(G1817)+N(H1817)-N(I1817)+N(J1817))</f>
        <v/>
      </c>
      <c r="L1817" s="67"/>
      <c r="M1817" s="67"/>
      <c r="N1817" s="67"/>
      <c r="O1817" s="67"/>
      <c r="P1817" s="85" t="str">
        <f aca="false">IF(AH1817="","",K1817+N(L1817)+N(M1817)+N(N1817)+N(O1817))</f>
        <v/>
      </c>
      <c r="Q1817" s="67"/>
      <c r="R1817" s="67"/>
      <c r="S1817" s="67"/>
      <c r="T1817" s="67"/>
      <c r="U1817" s="67"/>
      <c r="V1817" s="67"/>
      <c r="W1817" s="85" t="str">
        <f aca="false">IF(AH1817="","",N(Q1817)+N(R1817)+N(S1817)+N(T1817)+N(U1817)+N(V1817))</f>
        <v/>
      </c>
      <c r="X1817" s="85" t="str">
        <f aca="false">IF(AH1817="","",P1817-W1817)</f>
        <v/>
      </c>
      <c r="Y1817" s="67"/>
      <c r="Z1817" s="70" t="str">
        <f aca="false">IF(OR(AH1817="",Y1817=""),"",IF(ABS(X1817-Y1817)&lt;=1,"✓ Cuadra","⚠ Diferencia $"&amp;FIXED(X1817-Y1817,0)))</f>
        <v/>
      </c>
      <c r="AA1817" s="72" t="str">
        <f aca="false">IF(AH1817="","",IFERROR(INDEX(C_TIPO,MATCH(C1817&amp;"-P"&amp;MAX(1,COUNTIFS(C_ID,C1817,C_DEFINE,"Sí",C_INICIO,"&lt;="&amp;EOMONTH(B1817,0))),C_CLAVE,0))&amp;"","Sin dato"))</f>
        <v/>
      </c>
      <c r="AB1817" s="71" t="str">
        <f aca="false">IF(AH1817="","",ROUND(MIN(K1817,TOPE_AFP_UF*AJ1817)*AK1817,0))</f>
        <v/>
      </c>
      <c r="AC1817" s="71" t="str">
        <f aca="false">IF(AH1817="","",ROUND(MIN(K1817,TOPE_AFC_UF*AJ1817)*IF(AA1817="Indefinido",AFC_EMP_INDEF,AFC_EMP_PF),0))</f>
        <v/>
      </c>
      <c r="AD1817" s="71" t="str">
        <f aca="false">IF(AH1817="","",ROUND(MIN(K1817,TOPE_AFP_UF*AJ1817)*(MUTUAL_BASICA+MUTUAL_ADIC+SANNA),0))</f>
        <v/>
      </c>
      <c r="AE1817" s="71" t="str">
        <f aca="false">IF(AH1817="","",P1817-N(N1817)+AB1817+AC1817+AD1817)</f>
        <v/>
      </c>
      <c r="AF1817" s="65"/>
      <c r="AG1817" s="64"/>
      <c r="AH1817" s="72" t="str">
        <f aca="false">IF(OR(B1817="",C1817=""),"",C1817&amp;"|"&amp;(YEAR(B1817)*100+MONTH(B1817)))</f>
        <v/>
      </c>
      <c r="AI1817" s="70" t="str">
        <f aca="false">IF(AH1817="","",IF(COUNTIF(L_CLAVE,AH1817)&gt;1,"⚠ Duplicado","OK"))</f>
        <v/>
      </c>
      <c r="AJ1817" s="86" t="str">
        <f aca="false">IF(AH1817="","",IF(SUMPRODUCT(MAX((IND_PER&lt;=B1817)*(IND_UF&lt;&gt;"")*IND_PER))=0,UF_HOY,INDEX(IND_UF,MATCH(SUMPRODUCT(MAX((IND_PER&lt;=B1817)*(IND_UF&lt;&gt;"")*IND_PER)),IND_PER,0))))</f>
        <v/>
      </c>
      <c r="AK1817" s="87" t="str">
        <f aca="false">IF(AH1817="","",IF(COUNTIF(TASA_DESDE,"&lt;="&amp;B1817)=0,INDEX(TASA_EMP,1),INDEX(TASA_EMP,COUNTIF(TASA_DESDE,"&lt;="&amp;B1817))))</f>
        <v/>
      </c>
    </row>
    <row r="1818" customFormat="false" ht="15" hidden="false" customHeight="false" outlineLevel="0" collapsed="false">
      <c r="B1818" s="78"/>
      <c r="C1818" s="64"/>
      <c r="D1818" s="72" t="str">
        <f aca="false">IF(C1818="","",IFERROR(INDEX(T_NOMBRE,MATCH(C1818,T_ID,0)),"⚠ ID no existe"))</f>
        <v/>
      </c>
      <c r="E1818" s="69"/>
      <c r="F1818" s="67"/>
      <c r="G1818" s="67"/>
      <c r="H1818" s="67"/>
      <c r="I1818" s="67"/>
      <c r="J1818" s="67"/>
      <c r="K1818" s="85" t="str">
        <f aca="false">IF(AH1818="","",N(F1818)+N(G1818)+N(H1818)-N(I1818)+N(J1818))</f>
        <v/>
      </c>
      <c r="L1818" s="67"/>
      <c r="M1818" s="67"/>
      <c r="N1818" s="67"/>
      <c r="O1818" s="67"/>
      <c r="P1818" s="85" t="str">
        <f aca="false">IF(AH1818="","",K1818+N(L1818)+N(M1818)+N(N1818)+N(O1818))</f>
        <v/>
      </c>
      <c r="Q1818" s="67"/>
      <c r="R1818" s="67"/>
      <c r="S1818" s="67"/>
      <c r="T1818" s="67"/>
      <c r="U1818" s="67"/>
      <c r="V1818" s="67"/>
      <c r="W1818" s="85" t="str">
        <f aca="false">IF(AH1818="","",N(Q1818)+N(R1818)+N(S1818)+N(T1818)+N(U1818)+N(V1818))</f>
        <v/>
      </c>
      <c r="X1818" s="85" t="str">
        <f aca="false">IF(AH1818="","",P1818-W1818)</f>
        <v/>
      </c>
      <c r="Y1818" s="67"/>
      <c r="Z1818" s="70" t="str">
        <f aca="false">IF(OR(AH1818="",Y1818=""),"",IF(ABS(X1818-Y1818)&lt;=1,"✓ Cuadra","⚠ Diferencia $"&amp;FIXED(X1818-Y1818,0)))</f>
        <v/>
      </c>
      <c r="AA1818" s="72" t="str">
        <f aca="false">IF(AH1818="","",IFERROR(INDEX(C_TIPO,MATCH(C1818&amp;"-P"&amp;MAX(1,COUNTIFS(C_ID,C1818,C_DEFINE,"Sí",C_INICIO,"&lt;="&amp;EOMONTH(B1818,0))),C_CLAVE,0))&amp;"","Sin dato"))</f>
        <v/>
      </c>
      <c r="AB1818" s="71" t="str">
        <f aca="false">IF(AH1818="","",ROUND(MIN(K1818,TOPE_AFP_UF*AJ1818)*AK1818,0))</f>
        <v/>
      </c>
      <c r="AC1818" s="71" t="str">
        <f aca="false">IF(AH1818="","",ROUND(MIN(K1818,TOPE_AFC_UF*AJ1818)*IF(AA1818="Indefinido",AFC_EMP_INDEF,AFC_EMP_PF),0))</f>
        <v/>
      </c>
      <c r="AD1818" s="71" t="str">
        <f aca="false">IF(AH1818="","",ROUND(MIN(K1818,TOPE_AFP_UF*AJ1818)*(MUTUAL_BASICA+MUTUAL_ADIC+SANNA),0))</f>
        <v/>
      </c>
      <c r="AE1818" s="71" t="str">
        <f aca="false">IF(AH1818="","",P1818-N(N1818)+AB1818+AC1818+AD1818)</f>
        <v/>
      </c>
      <c r="AF1818" s="65"/>
      <c r="AG1818" s="64"/>
      <c r="AH1818" s="72" t="str">
        <f aca="false">IF(OR(B1818="",C1818=""),"",C1818&amp;"|"&amp;(YEAR(B1818)*100+MONTH(B1818)))</f>
        <v/>
      </c>
      <c r="AI1818" s="70" t="str">
        <f aca="false">IF(AH1818="","",IF(COUNTIF(L_CLAVE,AH1818)&gt;1,"⚠ Duplicado","OK"))</f>
        <v/>
      </c>
      <c r="AJ1818" s="86" t="str">
        <f aca="false">IF(AH1818="","",IF(SUMPRODUCT(MAX((IND_PER&lt;=B1818)*(IND_UF&lt;&gt;"")*IND_PER))=0,UF_HOY,INDEX(IND_UF,MATCH(SUMPRODUCT(MAX((IND_PER&lt;=B1818)*(IND_UF&lt;&gt;"")*IND_PER)),IND_PER,0))))</f>
        <v/>
      </c>
      <c r="AK1818" s="87" t="str">
        <f aca="false">IF(AH1818="","",IF(COUNTIF(TASA_DESDE,"&lt;="&amp;B1818)=0,INDEX(TASA_EMP,1),INDEX(TASA_EMP,COUNTIF(TASA_DESDE,"&lt;="&amp;B1818))))</f>
        <v/>
      </c>
    </row>
    <row r="1819" customFormat="false" ht="15" hidden="false" customHeight="false" outlineLevel="0" collapsed="false">
      <c r="B1819" s="78"/>
      <c r="C1819" s="64"/>
      <c r="D1819" s="72" t="str">
        <f aca="false">IF(C1819="","",IFERROR(INDEX(T_NOMBRE,MATCH(C1819,T_ID,0)),"⚠ ID no existe"))</f>
        <v/>
      </c>
      <c r="E1819" s="69"/>
      <c r="F1819" s="67"/>
      <c r="G1819" s="67"/>
      <c r="H1819" s="67"/>
      <c r="I1819" s="67"/>
      <c r="J1819" s="67"/>
      <c r="K1819" s="85" t="str">
        <f aca="false">IF(AH1819="","",N(F1819)+N(G1819)+N(H1819)-N(I1819)+N(J1819))</f>
        <v/>
      </c>
      <c r="L1819" s="67"/>
      <c r="M1819" s="67"/>
      <c r="N1819" s="67"/>
      <c r="O1819" s="67"/>
      <c r="P1819" s="85" t="str">
        <f aca="false">IF(AH1819="","",K1819+N(L1819)+N(M1819)+N(N1819)+N(O1819))</f>
        <v/>
      </c>
      <c r="Q1819" s="67"/>
      <c r="R1819" s="67"/>
      <c r="S1819" s="67"/>
      <c r="T1819" s="67"/>
      <c r="U1819" s="67"/>
      <c r="V1819" s="67"/>
      <c r="W1819" s="85" t="str">
        <f aca="false">IF(AH1819="","",N(Q1819)+N(R1819)+N(S1819)+N(T1819)+N(U1819)+N(V1819))</f>
        <v/>
      </c>
      <c r="X1819" s="85" t="str">
        <f aca="false">IF(AH1819="","",P1819-W1819)</f>
        <v/>
      </c>
      <c r="Y1819" s="67"/>
      <c r="Z1819" s="70" t="str">
        <f aca="false">IF(OR(AH1819="",Y1819=""),"",IF(ABS(X1819-Y1819)&lt;=1,"✓ Cuadra","⚠ Diferencia $"&amp;FIXED(X1819-Y1819,0)))</f>
        <v/>
      </c>
      <c r="AA1819" s="72" t="str">
        <f aca="false">IF(AH1819="","",IFERROR(INDEX(C_TIPO,MATCH(C1819&amp;"-P"&amp;MAX(1,COUNTIFS(C_ID,C1819,C_DEFINE,"Sí",C_INICIO,"&lt;="&amp;EOMONTH(B1819,0))),C_CLAVE,0))&amp;"","Sin dato"))</f>
        <v/>
      </c>
      <c r="AB1819" s="71" t="str">
        <f aca="false">IF(AH1819="","",ROUND(MIN(K1819,TOPE_AFP_UF*AJ1819)*AK1819,0))</f>
        <v/>
      </c>
      <c r="AC1819" s="71" t="str">
        <f aca="false">IF(AH1819="","",ROUND(MIN(K1819,TOPE_AFC_UF*AJ1819)*IF(AA1819="Indefinido",AFC_EMP_INDEF,AFC_EMP_PF),0))</f>
        <v/>
      </c>
      <c r="AD1819" s="71" t="str">
        <f aca="false">IF(AH1819="","",ROUND(MIN(K1819,TOPE_AFP_UF*AJ1819)*(MUTUAL_BASICA+MUTUAL_ADIC+SANNA),0))</f>
        <v/>
      </c>
      <c r="AE1819" s="71" t="str">
        <f aca="false">IF(AH1819="","",P1819-N(N1819)+AB1819+AC1819+AD1819)</f>
        <v/>
      </c>
      <c r="AF1819" s="65"/>
      <c r="AG1819" s="64"/>
      <c r="AH1819" s="72" t="str">
        <f aca="false">IF(OR(B1819="",C1819=""),"",C1819&amp;"|"&amp;(YEAR(B1819)*100+MONTH(B1819)))</f>
        <v/>
      </c>
      <c r="AI1819" s="70" t="str">
        <f aca="false">IF(AH1819="","",IF(COUNTIF(L_CLAVE,AH1819)&gt;1,"⚠ Duplicado","OK"))</f>
        <v/>
      </c>
      <c r="AJ1819" s="86" t="str">
        <f aca="false">IF(AH1819="","",IF(SUMPRODUCT(MAX((IND_PER&lt;=B1819)*(IND_UF&lt;&gt;"")*IND_PER))=0,UF_HOY,INDEX(IND_UF,MATCH(SUMPRODUCT(MAX((IND_PER&lt;=B1819)*(IND_UF&lt;&gt;"")*IND_PER)),IND_PER,0))))</f>
        <v/>
      </c>
      <c r="AK1819" s="87" t="str">
        <f aca="false">IF(AH1819="","",IF(COUNTIF(TASA_DESDE,"&lt;="&amp;B1819)=0,INDEX(TASA_EMP,1),INDEX(TASA_EMP,COUNTIF(TASA_DESDE,"&lt;="&amp;B1819))))</f>
        <v/>
      </c>
    </row>
    <row r="1820" customFormat="false" ht="15" hidden="false" customHeight="false" outlineLevel="0" collapsed="false">
      <c r="B1820" s="78"/>
      <c r="C1820" s="64"/>
      <c r="D1820" s="72" t="str">
        <f aca="false">IF(C1820="","",IFERROR(INDEX(T_NOMBRE,MATCH(C1820,T_ID,0)),"⚠ ID no existe"))</f>
        <v/>
      </c>
      <c r="E1820" s="69"/>
      <c r="F1820" s="67"/>
      <c r="G1820" s="67"/>
      <c r="H1820" s="67"/>
      <c r="I1820" s="67"/>
      <c r="J1820" s="67"/>
      <c r="K1820" s="85" t="str">
        <f aca="false">IF(AH1820="","",N(F1820)+N(G1820)+N(H1820)-N(I1820)+N(J1820))</f>
        <v/>
      </c>
      <c r="L1820" s="67"/>
      <c r="M1820" s="67"/>
      <c r="N1820" s="67"/>
      <c r="O1820" s="67"/>
      <c r="P1820" s="85" t="str">
        <f aca="false">IF(AH1820="","",K1820+N(L1820)+N(M1820)+N(N1820)+N(O1820))</f>
        <v/>
      </c>
      <c r="Q1820" s="67"/>
      <c r="R1820" s="67"/>
      <c r="S1820" s="67"/>
      <c r="T1820" s="67"/>
      <c r="U1820" s="67"/>
      <c r="V1820" s="67"/>
      <c r="W1820" s="85" t="str">
        <f aca="false">IF(AH1820="","",N(Q1820)+N(R1820)+N(S1820)+N(T1820)+N(U1820)+N(V1820))</f>
        <v/>
      </c>
      <c r="X1820" s="85" t="str">
        <f aca="false">IF(AH1820="","",P1820-W1820)</f>
        <v/>
      </c>
      <c r="Y1820" s="67"/>
      <c r="Z1820" s="70" t="str">
        <f aca="false">IF(OR(AH1820="",Y1820=""),"",IF(ABS(X1820-Y1820)&lt;=1,"✓ Cuadra","⚠ Diferencia $"&amp;FIXED(X1820-Y1820,0)))</f>
        <v/>
      </c>
      <c r="AA1820" s="72" t="str">
        <f aca="false">IF(AH1820="","",IFERROR(INDEX(C_TIPO,MATCH(C1820&amp;"-P"&amp;MAX(1,COUNTIFS(C_ID,C1820,C_DEFINE,"Sí",C_INICIO,"&lt;="&amp;EOMONTH(B1820,0))),C_CLAVE,0))&amp;"","Sin dato"))</f>
        <v/>
      </c>
      <c r="AB1820" s="71" t="str">
        <f aca="false">IF(AH1820="","",ROUND(MIN(K1820,TOPE_AFP_UF*AJ1820)*AK1820,0))</f>
        <v/>
      </c>
      <c r="AC1820" s="71" t="str">
        <f aca="false">IF(AH1820="","",ROUND(MIN(K1820,TOPE_AFC_UF*AJ1820)*IF(AA1820="Indefinido",AFC_EMP_INDEF,AFC_EMP_PF),0))</f>
        <v/>
      </c>
      <c r="AD1820" s="71" t="str">
        <f aca="false">IF(AH1820="","",ROUND(MIN(K1820,TOPE_AFP_UF*AJ1820)*(MUTUAL_BASICA+MUTUAL_ADIC+SANNA),0))</f>
        <v/>
      </c>
      <c r="AE1820" s="71" t="str">
        <f aca="false">IF(AH1820="","",P1820-N(N1820)+AB1820+AC1820+AD1820)</f>
        <v/>
      </c>
      <c r="AF1820" s="65"/>
      <c r="AG1820" s="64"/>
      <c r="AH1820" s="72" t="str">
        <f aca="false">IF(OR(B1820="",C1820=""),"",C1820&amp;"|"&amp;(YEAR(B1820)*100+MONTH(B1820)))</f>
        <v/>
      </c>
      <c r="AI1820" s="70" t="str">
        <f aca="false">IF(AH1820="","",IF(COUNTIF(L_CLAVE,AH1820)&gt;1,"⚠ Duplicado","OK"))</f>
        <v/>
      </c>
      <c r="AJ1820" s="86" t="str">
        <f aca="false">IF(AH1820="","",IF(SUMPRODUCT(MAX((IND_PER&lt;=B1820)*(IND_UF&lt;&gt;"")*IND_PER))=0,UF_HOY,INDEX(IND_UF,MATCH(SUMPRODUCT(MAX((IND_PER&lt;=B1820)*(IND_UF&lt;&gt;"")*IND_PER)),IND_PER,0))))</f>
        <v/>
      </c>
      <c r="AK1820" s="87" t="str">
        <f aca="false">IF(AH1820="","",IF(COUNTIF(TASA_DESDE,"&lt;="&amp;B1820)=0,INDEX(TASA_EMP,1),INDEX(TASA_EMP,COUNTIF(TASA_DESDE,"&lt;="&amp;B1820))))</f>
        <v/>
      </c>
    </row>
    <row r="1821" customFormat="false" ht="15" hidden="false" customHeight="false" outlineLevel="0" collapsed="false">
      <c r="B1821" s="78"/>
      <c r="C1821" s="64"/>
      <c r="D1821" s="72" t="str">
        <f aca="false">IF(C1821="","",IFERROR(INDEX(T_NOMBRE,MATCH(C1821,T_ID,0)),"⚠ ID no existe"))</f>
        <v/>
      </c>
      <c r="E1821" s="69"/>
      <c r="F1821" s="67"/>
      <c r="G1821" s="67"/>
      <c r="H1821" s="67"/>
      <c r="I1821" s="67"/>
      <c r="J1821" s="67"/>
      <c r="K1821" s="85" t="str">
        <f aca="false">IF(AH1821="","",N(F1821)+N(G1821)+N(H1821)-N(I1821)+N(J1821))</f>
        <v/>
      </c>
      <c r="L1821" s="67"/>
      <c r="M1821" s="67"/>
      <c r="N1821" s="67"/>
      <c r="O1821" s="67"/>
      <c r="P1821" s="85" t="str">
        <f aca="false">IF(AH1821="","",K1821+N(L1821)+N(M1821)+N(N1821)+N(O1821))</f>
        <v/>
      </c>
      <c r="Q1821" s="67"/>
      <c r="R1821" s="67"/>
      <c r="S1821" s="67"/>
      <c r="T1821" s="67"/>
      <c r="U1821" s="67"/>
      <c r="V1821" s="67"/>
      <c r="W1821" s="85" t="str">
        <f aca="false">IF(AH1821="","",N(Q1821)+N(R1821)+N(S1821)+N(T1821)+N(U1821)+N(V1821))</f>
        <v/>
      </c>
      <c r="X1821" s="85" t="str">
        <f aca="false">IF(AH1821="","",P1821-W1821)</f>
        <v/>
      </c>
      <c r="Y1821" s="67"/>
      <c r="Z1821" s="70" t="str">
        <f aca="false">IF(OR(AH1821="",Y1821=""),"",IF(ABS(X1821-Y1821)&lt;=1,"✓ Cuadra","⚠ Diferencia $"&amp;FIXED(X1821-Y1821,0)))</f>
        <v/>
      </c>
      <c r="AA1821" s="72" t="str">
        <f aca="false">IF(AH1821="","",IFERROR(INDEX(C_TIPO,MATCH(C1821&amp;"-P"&amp;MAX(1,COUNTIFS(C_ID,C1821,C_DEFINE,"Sí",C_INICIO,"&lt;="&amp;EOMONTH(B1821,0))),C_CLAVE,0))&amp;"","Sin dato"))</f>
        <v/>
      </c>
      <c r="AB1821" s="71" t="str">
        <f aca="false">IF(AH1821="","",ROUND(MIN(K1821,TOPE_AFP_UF*AJ1821)*AK1821,0))</f>
        <v/>
      </c>
      <c r="AC1821" s="71" t="str">
        <f aca="false">IF(AH1821="","",ROUND(MIN(K1821,TOPE_AFC_UF*AJ1821)*IF(AA1821="Indefinido",AFC_EMP_INDEF,AFC_EMP_PF),0))</f>
        <v/>
      </c>
      <c r="AD1821" s="71" t="str">
        <f aca="false">IF(AH1821="","",ROUND(MIN(K1821,TOPE_AFP_UF*AJ1821)*(MUTUAL_BASICA+MUTUAL_ADIC+SANNA),0))</f>
        <v/>
      </c>
      <c r="AE1821" s="71" t="str">
        <f aca="false">IF(AH1821="","",P1821-N(N1821)+AB1821+AC1821+AD1821)</f>
        <v/>
      </c>
      <c r="AF1821" s="65"/>
      <c r="AG1821" s="64"/>
      <c r="AH1821" s="72" t="str">
        <f aca="false">IF(OR(B1821="",C1821=""),"",C1821&amp;"|"&amp;(YEAR(B1821)*100+MONTH(B1821)))</f>
        <v/>
      </c>
      <c r="AI1821" s="70" t="str">
        <f aca="false">IF(AH1821="","",IF(COUNTIF(L_CLAVE,AH1821)&gt;1,"⚠ Duplicado","OK"))</f>
        <v/>
      </c>
      <c r="AJ1821" s="86" t="str">
        <f aca="false">IF(AH1821="","",IF(SUMPRODUCT(MAX((IND_PER&lt;=B1821)*(IND_UF&lt;&gt;"")*IND_PER))=0,UF_HOY,INDEX(IND_UF,MATCH(SUMPRODUCT(MAX((IND_PER&lt;=B1821)*(IND_UF&lt;&gt;"")*IND_PER)),IND_PER,0))))</f>
        <v/>
      </c>
      <c r="AK1821" s="87" t="str">
        <f aca="false">IF(AH1821="","",IF(COUNTIF(TASA_DESDE,"&lt;="&amp;B1821)=0,INDEX(TASA_EMP,1),INDEX(TASA_EMP,COUNTIF(TASA_DESDE,"&lt;="&amp;B1821))))</f>
        <v/>
      </c>
    </row>
    <row r="1822" customFormat="false" ht="15" hidden="false" customHeight="false" outlineLevel="0" collapsed="false">
      <c r="B1822" s="78"/>
      <c r="C1822" s="64"/>
      <c r="D1822" s="72" t="str">
        <f aca="false">IF(C1822="","",IFERROR(INDEX(T_NOMBRE,MATCH(C1822,T_ID,0)),"⚠ ID no existe"))</f>
        <v/>
      </c>
      <c r="E1822" s="69"/>
      <c r="F1822" s="67"/>
      <c r="G1822" s="67"/>
      <c r="H1822" s="67"/>
      <c r="I1822" s="67"/>
      <c r="J1822" s="67"/>
      <c r="K1822" s="85" t="str">
        <f aca="false">IF(AH1822="","",N(F1822)+N(G1822)+N(H1822)-N(I1822)+N(J1822))</f>
        <v/>
      </c>
      <c r="L1822" s="67"/>
      <c r="M1822" s="67"/>
      <c r="N1822" s="67"/>
      <c r="O1822" s="67"/>
      <c r="P1822" s="85" t="str">
        <f aca="false">IF(AH1822="","",K1822+N(L1822)+N(M1822)+N(N1822)+N(O1822))</f>
        <v/>
      </c>
      <c r="Q1822" s="67"/>
      <c r="R1822" s="67"/>
      <c r="S1822" s="67"/>
      <c r="T1822" s="67"/>
      <c r="U1822" s="67"/>
      <c r="V1822" s="67"/>
      <c r="W1822" s="85" t="str">
        <f aca="false">IF(AH1822="","",N(Q1822)+N(R1822)+N(S1822)+N(T1822)+N(U1822)+N(V1822))</f>
        <v/>
      </c>
      <c r="X1822" s="85" t="str">
        <f aca="false">IF(AH1822="","",P1822-W1822)</f>
        <v/>
      </c>
      <c r="Y1822" s="67"/>
      <c r="Z1822" s="70" t="str">
        <f aca="false">IF(OR(AH1822="",Y1822=""),"",IF(ABS(X1822-Y1822)&lt;=1,"✓ Cuadra","⚠ Diferencia $"&amp;FIXED(X1822-Y1822,0)))</f>
        <v/>
      </c>
      <c r="AA1822" s="72" t="str">
        <f aca="false">IF(AH1822="","",IFERROR(INDEX(C_TIPO,MATCH(C1822&amp;"-P"&amp;MAX(1,COUNTIFS(C_ID,C1822,C_DEFINE,"Sí",C_INICIO,"&lt;="&amp;EOMONTH(B1822,0))),C_CLAVE,0))&amp;"","Sin dato"))</f>
        <v/>
      </c>
      <c r="AB1822" s="71" t="str">
        <f aca="false">IF(AH1822="","",ROUND(MIN(K1822,TOPE_AFP_UF*AJ1822)*AK1822,0))</f>
        <v/>
      </c>
      <c r="AC1822" s="71" t="str">
        <f aca="false">IF(AH1822="","",ROUND(MIN(K1822,TOPE_AFC_UF*AJ1822)*IF(AA1822="Indefinido",AFC_EMP_INDEF,AFC_EMP_PF),0))</f>
        <v/>
      </c>
      <c r="AD1822" s="71" t="str">
        <f aca="false">IF(AH1822="","",ROUND(MIN(K1822,TOPE_AFP_UF*AJ1822)*(MUTUAL_BASICA+MUTUAL_ADIC+SANNA),0))</f>
        <v/>
      </c>
      <c r="AE1822" s="71" t="str">
        <f aca="false">IF(AH1822="","",P1822-N(N1822)+AB1822+AC1822+AD1822)</f>
        <v/>
      </c>
      <c r="AF1822" s="65"/>
      <c r="AG1822" s="64"/>
      <c r="AH1822" s="72" t="str">
        <f aca="false">IF(OR(B1822="",C1822=""),"",C1822&amp;"|"&amp;(YEAR(B1822)*100+MONTH(B1822)))</f>
        <v/>
      </c>
      <c r="AI1822" s="70" t="str">
        <f aca="false">IF(AH1822="","",IF(COUNTIF(L_CLAVE,AH1822)&gt;1,"⚠ Duplicado","OK"))</f>
        <v/>
      </c>
      <c r="AJ1822" s="86" t="str">
        <f aca="false">IF(AH1822="","",IF(SUMPRODUCT(MAX((IND_PER&lt;=B1822)*(IND_UF&lt;&gt;"")*IND_PER))=0,UF_HOY,INDEX(IND_UF,MATCH(SUMPRODUCT(MAX((IND_PER&lt;=B1822)*(IND_UF&lt;&gt;"")*IND_PER)),IND_PER,0))))</f>
        <v/>
      </c>
      <c r="AK1822" s="87" t="str">
        <f aca="false">IF(AH1822="","",IF(COUNTIF(TASA_DESDE,"&lt;="&amp;B1822)=0,INDEX(TASA_EMP,1),INDEX(TASA_EMP,COUNTIF(TASA_DESDE,"&lt;="&amp;B1822))))</f>
        <v/>
      </c>
    </row>
    <row r="1823" customFormat="false" ht="15" hidden="false" customHeight="false" outlineLevel="0" collapsed="false">
      <c r="B1823" s="78"/>
      <c r="C1823" s="64"/>
      <c r="D1823" s="72" t="str">
        <f aca="false">IF(C1823="","",IFERROR(INDEX(T_NOMBRE,MATCH(C1823,T_ID,0)),"⚠ ID no existe"))</f>
        <v/>
      </c>
      <c r="E1823" s="69"/>
      <c r="F1823" s="67"/>
      <c r="G1823" s="67"/>
      <c r="H1823" s="67"/>
      <c r="I1823" s="67"/>
      <c r="J1823" s="67"/>
      <c r="K1823" s="85" t="str">
        <f aca="false">IF(AH1823="","",N(F1823)+N(G1823)+N(H1823)-N(I1823)+N(J1823))</f>
        <v/>
      </c>
      <c r="L1823" s="67"/>
      <c r="M1823" s="67"/>
      <c r="N1823" s="67"/>
      <c r="O1823" s="67"/>
      <c r="P1823" s="85" t="str">
        <f aca="false">IF(AH1823="","",K1823+N(L1823)+N(M1823)+N(N1823)+N(O1823))</f>
        <v/>
      </c>
      <c r="Q1823" s="67"/>
      <c r="R1823" s="67"/>
      <c r="S1823" s="67"/>
      <c r="T1823" s="67"/>
      <c r="U1823" s="67"/>
      <c r="V1823" s="67"/>
      <c r="W1823" s="85" t="str">
        <f aca="false">IF(AH1823="","",N(Q1823)+N(R1823)+N(S1823)+N(T1823)+N(U1823)+N(V1823))</f>
        <v/>
      </c>
      <c r="X1823" s="85" t="str">
        <f aca="false">IF(AH1823="","",P1823-W1823)</f>
        <v/>
      </c>
      <c r="Y1823" s="67"/>
      <c r="Z1823" s="70" t="str">
        <f aca="false">IF(OR(AH1823="",Y1823=""),"",IF(ABS(X1823-Y1823)&lt;=1,"✓ Cuadra","⚠ Diferencia $"&amp;FIXED(X1823-Y1823,0)))</f>
        <v/>
      </c>
      <c r="AA1823" s="72" t="str">
        <f aca="false">IF(AH1823="","",IFERROR(INDEX(C_TIPO,MATCH(C1823&amp;"-P"&amp;MAX(1,COUNTIFS(C_ID,C1823,C_DEFINE,"Sí",C_INICIO,"&lt;="&amp;EOMONTH(B1823,0))),C_CLAVE,0))&amp;"","Sin dato"))</f>
        <v/>
      </c>
      <c r="AB1823" s="71" t="str">
        <f aca="false">IF(AH1823="","",ROUND(MIN(K1823,TOPE_AFP_UF*AJ1823)*AK1823,0))</f>
        <v/>
      </c>
      <c r="AC1823" s="71" t="str">
        <f aca="false">IF(AH1823="","",ROUND(MIN(K1823,TOPE_AFC_UF*AJ1823)*IF(AA1823="Indefinido",AFC_EMP_INDEF,AFC_EMP_PF),0))</f>
        <v/>
      </c>
      <c r="AD1823" s="71" t="str">
        <f aca="false">IF(AH1823="","",ROUND(MIN(K1823,TOPE_AFP_UF*AJ1823)*(MUTUAL_BASICA+MUTUAL_ADIC+SANNA),0))</f>
        <v/>
      </c>
      <c r="AE1823" s="71" t="str">
        <f aca="false">IF(AH1823="","",P1823-N(N1823)+AB1823+AC1823+AD1823)</f>
        <v/>
      </c>
      <c r="AF1823" s="65"/>
      <c r="AG1823" s="64"/>
      <c r="AH1823" s="72" t="str">
        <f aca="false">IF(OR(B1823="",C1823=""),"",C1823&amp;"|"&amp;(YEAR(B1823)*100+MONTH(B1823)))</f>
        <v/>
      </c>
      <c r="AI1823" s="70" t="str">
        <f aca="false">IF(AH1823="","",IF(COUNTIF(L_CLAVE,AH1823)&gt;1,"⚠ Duplicado","OK"))</f>
        <v/>
      </c>
      <c r="AJ1823" s="86" t="str">
        <f aca="false">IF(AH1823="","",IF(SUMPRODUCT(MAX((IND_PER&lt;=B1823)*(IND_UF&lt;&gt;"")*IND_PER))=0,UF_HOY,INDEX(IND_UF,MATCH(SUMPRODUCT(MAX((IND_PER&lt;=B1823)*(IND_UF&lt;&gt;"")*IND_PER)),IND_PER,0))))</f>
        <v/>
      </c>
      <c r="AK1823" s="87" t="str">
        <f aca="false">IF(AH1823="","",IF(COUNTIF(TASA_DESDE,"&lt;="&amp;B1823)=0,INDEX(TASA_EMP,1),INDEX(TASA_EMP,COUNTIF(TASA_DESDE,"&lt;="&amp;B1823))))</f>
        <v/>
      </c>
    </row>
    <row r="1824" customFormat="false" ht="15" hidden="false" customHeight="false" outlineLevel="0" collapsed="false">
      <c r="B1824" s="78"/>
      <c r="C1824" s="64"/>
      <c r="D1824" s="72" t="str">
        <f aca="false">IF(C1824="","",IFERROR(INDEX(T_NOMBRE,MATCH(C1824,T_ID,0)),"⚠ ID no existe"))</f>
        <v/>
      </c>
      <c r="E1824" s="69"/>
      <c r="F1824" s="67"/>
      <c r="G1824" s="67"/>
      <c r="H1824" s="67"/>
      <c r="I1824" s="67"/>
      <c r="J1824" s="67"/>
      <c r="K1824" s="85" t="str">
        <f aca="false">IF(AH1824="","",N(F1824)+N(G1824)+N(H1824)-N(I1824)+N(J1824))</f>
        <v/>
      </c>
      <c r="L1824" s="67"/>
      <c r="M1824" s="67"/>
      <c r="N1824" s="67"/>
      <c r="O1824" s="67"/>
      <c r="P1824" s="85" t="str">
        <f aca="false">IF(AH1824="","",K1824+N(L1824)+N(M1824)+N(N1824)+N(O1824))</f>
        <v/>
      </c>
      <c r="Q1824" s="67"/>
      <c r="R1824" s="67"/>
      <c r="S1824" s="67"/>
      <c r="T1824" s="67"/>
      <c r="U1824" s="67"/>
      <c r="V1824" s="67"/>
      <c r="W1824" s="85" t="str">
        <f aca="false">IF(AH1824="","",N(Q1824)+N(R1824)+N(S1824)+N(T1824)+N(U1824)+N(V1824))</f>
        <v/>
      </c>
      <c r="X1824" s="85" t="str">
        <f aca="false">IF(AH1824="","",P1824-W1824)</f>
        <v/>
      </c>
      <c r="Y1824" s="67"/>
      <c r="Z1824" s="70" t="str">
        <f aca="false">IF(OR(AH1824="",Y1824=""),"",IF(ABS(X1824-Y1824)&lt;=1,"✓ Cuadra","⚠ Diferencia $"&amp;FIXED(X1824-Y1824,0)))</f>
        <v/>
      </c>
      <c r="AA1824" s="72" t="str">
        <f aca="false">IF(AH1824="","",IFERROR(INDEX(C_TIPO,MATCH(C1824&amp;"-P"&amp;MAX(1,COUNTIFS(C_ID,C1824,C_DEFINE,"Sí",C_INICIO,"&lt;="&amp;EOMONTH(B1824,0))),C_CLAVE,0))&amp;"","Sin dato"))</f>
        <v/>
      </c>
      <c r="AB1824" s="71" t="str">
        <f aca="false">IF(AH1824="","",ROUND(MIN(K1824,TOPE_AFP_UF*AJ1824)*AK1824,0))</f>
        <v/>
      </c>
      <c r="AC1824" s="71" t="str">
        <f aca="false">IF(AH1824="","",ROUND(MIN(K1824,TOPE_AFC_UF*AJ1824)*IF(AA1824="Indefinido",AFC_EMP_INDEF,AFC_EMP_PF),0))</f>
        <v/>
      </c>
      <c r="AD1824" s="71" t="str">
        <f aca="false">IF(AH1824="","",ROUND(MIN(K1824,TOPE_AFP_UF*AJ1824)*(MUTUAL_BASICA+MUTUAL_ADIC+SANNA),0))</f>
        <v/>
      </c>
      <c r="AE1824" s="71" t="str">
        <f aca="false">IF(AH1824="","",P1824-N(N1824)+AB1824+AC1824+AD1824)</f>
        <v/>
      </c>
      <c r="AF1824" s="65"/>
      <c r="AG1824" s="64"/>
      <c r="AH1824" s="72" t="str">
        <f aca="false">IF(OR(B1824="",C1824=""),"",C1824&amp;"|"&amp;(YEAR(B1824)*100+MONTH(B1824)))</f>
        <v/>
      </c>
      <c r="AI1824" s="70" t="str">
        <f aca="false">IF(AH1824="","",IF(COUNTIF(L_CLAVE,AH1824)&gt;1,"⚠ Duplicado","OK"))</f>
        <v/>
      </c>
      <c r="AJ1824" s="86" t="str">
        <f aca="false">IF(AH1824="","",IF(SUMPRODUCT(MAX((IND_PER&lt;=B1824)*(IND_UF&lt;&gt;"")*IND_PER))=0,UF_HOY,INDEX(IND_UF,MATCH(SUMPRODUCT(MAX((IND_PER&lt;=B1824)*(IND_UF&lt;&gt;"")*IND_PER)),IND_PER,0))))</f>
        <v/>
      </c>
      <c r="AK1824" s="87" t="str">
        <f aca="false">IF(AH1824="","",IF(COUNTIF(TASA_DESDE,"&lt;="&amp;B1824)=0,INDEX(TASA_EMP,1),INDEX(TASA_EMP,COUNTIF(TASA_DESDE,"&lt;="&amp;B1824))))</f>
        <v/>
      </c>
    </row>
    <row r="1825" customFormat="false" ht="15" hidden="false" customHeight="false" outlineLevel="0" collapsed="false">
      <c r="B1825" s="78"/>
      <c r="C1825" s="64"/>
      <c r="D1825" s="72" t="str">
        <f aca="false">IF(C1825="","",IFERROR(INDEX(T_NOMBRE,MATCH(C1825,T_ID,0)),"⚠ ID no existe"))</f>
        <v/>
      </c>
      <c r="E1825" s="69"/>
      <c r="F1825" s="67"/>
      <c r="G1825" s="67"/>
      <c r="H1825" s="67"/>
      <c r="I1825" s="67"/>
      <c r="J1825" s="67"/>
      <c r="K1825" s="85" t="str">
        <f aca="false">IF(AH1825="","",N(F1825)+N(G1825)+N(H1825)-N(I1825)+N(J1825))</f>
        <v/>
      </c>
      <c r="L1825" s="67"/>
      <c r="M1825" s="67"/>
      <c r="N1825" s="67"/>
      <c r="O1825" s="67"/>
      <c r="P1825" s="85" t="str">
        <f aca="false">IF(AH1825="","",K1825+N(L1825)+N(M1825)+N(N1825)+N(O1825))</f>
        <v/>
      </c>
      <c r="Q1825" s="67"/>
      <c r="R1825" s="67"/>
      <c r="S1825" s="67"/>
      <c r="T1825" s="67"/>
      <c r="U1825" s="67"/>
      <c r="V1825" s="67"/>
      <c r="W1825" s="85" t="str">
        <f aca="false">IF(AH1825="","",N(Q1825)+N(R1825)+N(S1825)+N(T1825)+N(U1825)+N(V1825))</f>
        <v/>
      </c>
      <c r="X1825" s="85" t="str">
        <f aca="false">IF(AH1825="","",P1825-W1825)</f>
        <v/>
      </c>
      <c r="Y1825" s="67"/>
      <c r="Z1825" s="70" t="str">
        <f aca="false">IF(OR(AH1825="",Y1825=""),"",IF(ABS(X1825-Y1825)&lt;=1,"✓ Cuadra","⚠ Diferencia $"&amp;FIXED(X1825-Y1825,0)))</f>
        <v/>
      </c>
      <c r="AA1825" s="72" t="str">
        <f aca="false">IF(AH1825="","",IFERROR(INDEX(C_TIPO,MATCH(C1825&amp;"-P"&amp;MAX(1,COUNTIFS(C_ID,C1825,C_DEFINE,"Sí",C_INICIO,"&lt;="&amp;EOMONTH(B1825,0))),C_CLAVE,0))&amp;"","Sin dato"))</f>
        <v/>
      </c>
      <c r="AB1825" s="71" t="str">
        <f aca="false">IF(AH1825="","",ROUND(MIN(K1825,TOPE_AFP_UF*AJ1825)*AK1825,0))</f>
        <v/>
      </c>
      <c r="AC1825" s="71" t="str">
        <f aca="false">IF(AH1825="","",ROUND(MIN(K1825,TOPE_AFC_UF*AJ1825)*IF(AA1825="Indefinido",AFC_EMP_INDEF,AFC_EMP_PF),0))</f>
        <v/>
      </c>
      <c r="AD1825" s="71" t="str">
        <f aca="false">IF(AH1825="","",ROUND(MIN(K1825,TOPE_AFP_UF*AJ1825)*(MUTUAL_BASICA+MUTUAL_ADIC+SANNA),0))</f>
        <v/>
      </c>
      <c r="AE1825" s="71" t="str">
        <f aca="false">IF(AH1825="","",P1825-N(N1825)+AB1825+AC1825+AD1825)</f>
        <v/>
      </c>
      <c r="AF1825" s="65"/>
      <c r="AG1825" s="64"/>
      <c r="AH1825" s="72" t="str">
        <f aca="false">IF(OR(B1825="",C1825=""),"",C1825&amp;"|"&amp;(YEAR(B1825)*100+MONTH(B1825)))</f>
        <v/>
      </c>
      <c r="AI1825" s="70" t="str">
        <f aca="false">IF(AH1825="","",IF(COUNTIF(L_CLAVE,AH1825)&gt;1,"⚠ Duplicado","OK"))</f>
        <v/>
      </c>
      <c r="AJ1825" s="86" t="str">
        <f aca="false">IF(AH1825="","",IF(SUMPRODUCT(MAX((IND_PER&lt;=B1825)*(IND_UF&lt;&gt;"")*IND_PER))=0,UF_HOY,INDEX(IND_UF,MATCH(SUMPRODUCT(MAX((IND_PER&lt;=B1825)*(IND_UF&lt;&gt;"")*IND_PER)),IND_PER,0))))</f>
        <v/>
      </c>
      <c r="AK1825" s="87" t="str">
        <f aca="false">IF(AH1825="","",IF(COUNTIF(TASA_DESDE,"&lt;="&amp;B1825)=0,INDEX(TASA_EMP,1),INDEX(TASA_EMP,COUNTIF(TASA_DESDE,"&lt;="&amp;B1825))))</f>
        <v/>
      </c>
    </row>
    <row r="1826" customFormat="false" ht="15" hidden="false" customHeight="false" outlineLevel="0" collapsed="false">
      <c r="B1826" s="78"/>
      <c r="C1826" s="64"/>
      <c r="D1826" s="72" t="str">
        <f aca="false">IF(C1826="","",IFERROR(INDEX(T_NOMBRE,MATCH(C1826,T_ID,0)),"⚠ ID no existe"))</f>
        <v/>
      </c>
      <c r="E1826" s="69"/>
      <c r="F1826" s="67"/>
      <c r="G1826" s="67"/>
      <c r="H1826" s="67"/>
      <c r="I1826" s="67"/>
      <c r="J1826" s="67"/>
      <c r="K1826" s="85" t="str">
        <f aca="false">IF(AH1826="","",N(F1826)+N(G1826)+N(H1826)-N(I1826)+N(J1826))</f>
        <v/>
      </c>
      <c r="L1826" s="67"/>
      <c r="M1826" s="67"/>
      <c r="N1826" s="67"/>
      <c r="O1826" s="67"/>
      <c r="P1826" s="85" t="str">
        <f aca="false">IF(AH1826="","",K1826+N(L1826)+N(M1826)+N(N1826)+N(O1826))</f>
        <v/>
      </c>
      <c r="Q1826" s="67"/>
      <c r="R1826" s="67"/>
      <c r="S1826" s="67"/>
      <c r="T1826" s="67"/>
      <c r="U1826" s="67"/>
      <c r="V1826" s="67"/>
      <c r="W1826" s="85" t="str">
        <f aca="false">IF(AH1826="","",N(Q1826)+N(R1826)+N(S1826)+N(T1826)+N(U1826)+N(V1826))</f>
        <v/>
      </c>
      <c r="X1826" s="85" t="str">
        <f aca="false">IF(AH1826="","",P1826-W1826)</f>
        <v/>
      </c>
      <c r="Y1826" s="67"/>
      <c r="Z1826" s="70" t="str">
        <f aca="false">IF(OR(AH1826="",Y1826=""),"",IF(ABS(X1826-Y1826)&lt;=1,"✓ Cuadra","⚠ Diferencia $"&amp;FIXED(X1826-Y1826,0)))</f>
        <v/>
      </c>
      <c r="AA1826" s="72" t="str">
        <f aca="false">IF(AH1826="","",IFERROR(INDEX(C_TIPO,MATCH(C1826&amp;"-P"&amp;MAX(1,COUNTIFS(C_ID,C1826,C_DEFINE,"Sí",C_INICIO,"&lt;="&amp;EOMONTH(B1826,0))),C_CLAVE,0))&amp;"","Sin dato"))</f>
        <v/>
      </c>
      <c r="AB1826" s="71" t="str">
        <f aca="false">IF(AH1826="","",ROUND(MIN(K1826,TOPE_AFP_UF*AJ1826)*AK1826,0))</f>
        <v/>
      </c>
      <c r="AC1826" s="71" t="str">
        <f aca="false">IF(AH1826="","",ROUND(MIN(K1826,TOPE_AFC_UF*AJ1826)*IF(AA1826="Indefinido",AFC_EMP_INDEF,AFC_EMP_PF),0))</f>
        <v/>
      </c>
      <c r="AD1826" s="71" t="str">
        <f aca="false">IF(AH1826="","",ROUND(MIN(K1826,TOPE_AFP_UF*AJ1826)*(MUTUAL_BASICA+MUTUAL_ADIC+SANNA),0))</f>
        <v/>
      </c>
      <c r="AE1826" s="71" t="str">
        <f aca="false">IF(AH1826="","",P1826-N(N1826)+AB1826+AC1826+AD1826)</f>
        <v/>
      </c>
      <c r="AF1826" s="65"/>
      <c r="AG1826" s="64"/>
      <c r="AH1826" s="72" t="str">
        <f aca="false">IF(OR(B1826="",C1826=""),"",C1826&amp;"|"&amp;(YEAR(B1826)*100+MONTH(B1826)))</f>
        <v/>
      </c>
      <c r="AI1826" s="70" t="str">
        <f aca="false">IF(AH1826="","",IF(COUNTIF(L_CLAVE,AH1826)&gt;1,"⚠ Duplicado","OK"))</f>
        <v/>
      </c>
      <c r="AJ1826" s="86" t="str">
        <f aca="false">IF(AH1826="","",IF(SUMPRODUCT(MAX((IND_PER&lt;=B1826)*(IND_UF&lt;&gt;"")*IND_PER))=0,UF_HOY,INDEX(IND_UF,MATCH(SUMPRODUCT(MAX((IND_PER&lt;=B1826)*(IND_UF&lt;&gt;"")*IND_PER)),IND_PER,0))))</f>
        <v/>
      </c>
      <c r="AK1826" s="87" t="str">
        <f aca="false">IF(AH1826="","",IF(COUNTIF(TASA_DESDE,"&lt;="&amp;B1826)=0,INDEX(TASA_EMP,1),INDEX(TASA_EMP,COUNTIF(TASA_DESDE,"&lt;="&amp;B1826))))</f>
        <v/>
      </c>
    </row>
    <row r="1827" customFormat="false" ht="15" hidden="false" customHeight="false" outlineLevel="0" collapsed="false">
      <c r="B1827" s="78"/>
      <c r="C1827" s="64"/>
      <c r="D1827" s="72" t="str">
        <f aca="false">IF(C1827="","",IFERROR(INDEX(T_NOMBRE,MATCH(C1827,T_ID,0)),"⚠ ID no existe"))</f>
        <v/>
      </c>
      <c r="E1827" s="69"/>
      <c r="F1827" s="67"/>
      <c r="G1827" s="67"/>
      <c r="H1827" s="67"/>
      <c r="I1827" s="67"/>
      <c r="J1827" s="67"/>
      <c r="K1827" s="85" t="str">
        <f aca="false">IF(AH1827="","",N(F1827)+N(G1827)+N(H1827)-N(I1827)+N(J1827))</f>
        <v/>
      </c>
      <c r="L1827" s="67"/>
      <c r="M1827" s="67"/>
      <c r="N1827" s="67"/>
      <c r="O1827" s="67"/>
      <c r="P1827" s="85" t="str">
        <f aca="false">IF(AH1827="","",K1827+N(L1827)+N(M1827)+N(N1827)+N(O1827))</f>
        <v/>
      </c>
      <c r="Q1827" s="67"/>
      <c r="R1827" s="67"/>
      <c r="S1827" s="67"/>
      <c r="T1827" s="67"/>
      <c r="U1827" s="67"/>
      <c r="V1827" s="67"/>
      <c r="W1827" s="85" t="str">
        <f aca="false">IF(AH1827="","",N(Q1827)+N(R1827)+N(S1827)+N(T1827)+N(U1827)+N(V1827))</f>
        <v/>
      </c>
      <c r="X1827" s="85" t="str">
        <f aca="false">IF(AH1827="","",P1827-W1827)</f>
        <v/>
      </c>
      <c r="Y1827" s="67"/>
      <c r="Z1827" s="70" t="str">
        <f aca="false">IF(OR(AH1827="",Y1827=""),"",IF(ABS(X1827-Y1827)&lt;=1,"✓ Cuadra","⚠ Diferencia $"&amp;FIXED(X1827-Y1827,0)))</f>
        <v/>
      </c>
      <c r="AA1827" s="72" t="str">
        <f aca="false">IF(AH1827="","",IFERROR(INDEX(C_TIPO,MATCH(C1827&amp;"-P"&amp;MAX(1,COUNTIFS(C_ID,C1827,C_DEFINE,"Sí",C_INICIO,"&lt;="&amp;EOMONTH(B1827,0))),C_CLAVE,0))&amp;"","Sin dato"))</f>
        <v/>
      </c>
      <c r="AB1827" s="71" t="str">
        <f aca="false">IF(AH1827="","",ROUND(MIN(K1827,TOPE_AFP_UF*AJ1827)*AK1827,0))</f>
        <v/>
      </c>
      <c r="AC1827" s="71" t="str">
        <f aca="false">IF(AH1827="","",ROUND(MIN(K1827,TOPE_AFC_UF*AJ1827)*IF(AA1827="Indefinido",AFC_EMP_INDEF,AFC_EMP_PF),0))</f>
        <v/>
      </c>
      <c r="AD1827" s="71" t="str">
        <f aca="false">IF(AH1827="","",ROUND(MIN(K1827,TOPE_AFP_UF*AJ1827)*(MUTUAL_BASICA+MUTUAL_ADIC+SANNA),0))</f>
        <v/>
      </c>
      <c r="AE1827" s="71" t="str">
        <f aca="false">IF(AH1827="","",P1827-N(N1827)+AB1827+AC1827+AD1827)</f>
        <v/>
      </c>
      <c r="AF1827" s="65"/>
      <c r="AG1827" s="64"/>
      <c r="AH1827" s="72" t="str">
        <f aca="false">IF(OR(B1827="",C1827=""),"",C1827&amp;"|"&amp;(YEAR(B1827)*100+MONTH(B1827)))</f>
        <v/>
      </c>
      <c r="AI1827" s="70" t="str">
        <f aca="false">IF(AH1827="","",IF(COUNTIF(L_CLAVE,AH1827)&gt;1,"⚠ Duplicado","OK"))</f>
        <v/>
      </c>
      <c r="AJ1827" s="86" t="str">
        <f aca="false">IF(AH1827="","",IF(SUMPRODUCT(MAX((IND_PER&lt;=B1827)*(IND_UF&lt;&gt;"")*IND_PER))=0,UF_HOY,INDEX(IND_UF,MATCH(SUMPRODUCT(MAX((IND_PER&lt;=B1827)*(IND_UF&lt;&gt;"")*IND_PER)),IND_PER,0))))</f>
        <v/>
      </c>
      <c r="AK1827" s="87" t="str">
        <f aca="false">IF(AH1827="","",IF(COUNTIF(TASA_DESDE,"&lt;="&amp;B1827)=0,INDEX(TASA_EMP,1),INDEX(TASA_EMP,COUNTIF(TASA_DESDE,"&lt;="&amp;B1827))))</f>
        <v/>
      </c>
    </row>
    <row r="1828" customFormat="false" ht="15" hidden="false" customHeight="false" outlineLevel="0" collapsed="false">
      <c r="B1828" s="78"/>
      <c r="C1828" s="64"/>
      <c r="D1828" s="72" t="str">
        <f aca="false">IF(C1828="","",IFERROR(INDEX(T_NOMBRE,MATCH(C1828,T_ID,0)),"⚠ ID no existe"))</f>
        <v/>
      </c>
      <c r="E1828" s="69"/>
      <c r="F1828" s="67"/>
      <c r="G1828" s="67"/>
      <c r="H1828" s="67"/>
      <c r="I1828" s="67"/>
      <c r="J1828" s="67"/>
      <c r="K1828" s="85" t="str">
        <f aca="false">IF(AH1828="","",N(F1828)+N(G1828)+N(H1828)-N(I1828)+N(J1828))</f>
        <v/>
      </c>
      <c r="L1828" s="67"/>
      <c r="M1828" s="67"/>
      <c r="N1828" s="67"/>
      <c r="O1828" s="67"/>
      <c r="P1828" s="85" t="str">
        <f aca="false">IF(AH1828="","",K1828+N(L1828)+N(M1828)+N(N1828)+N(O1828))</f>
        <v/>
      </c>
      <c r="Q1828" s="67"/>
      <c r="R1828" s="67"/>
      <c r="S1828" s="67"/>
      <c r="T1828" s="67"/>
      <c r="U1828" s="67"/>
      <c r="V1828" s="67"/>
      <c r="W1828" s="85" t="str">
        <f aca="false">IF(AH1828="","",N(Q1828)+N(R1828)+N(S1828)+N(T1828)+N(U1828)+N(V1828))</f>
        <v/>
      </c>
      <c r="X1828" s="85" t="str">
        <f aca="false">IF(AH1828="","",P1828-W1828)</f>
        <v/>
      </c>
      <c r="Y1828" s="67"/>
      <c r="Z1828" s="70" t="str">
        <f aca="false">IF(OR(AH1828="",Y1828=""),"",IF(ABS(X1828-Y1828)&lt;=1,"✓ Cuadra","⚠ Diferencia $"&amp;FIXED(X1828-Y1828,0)))</f>
        <v/>
      </c>
      <c r="AA1828" s="72" t="str">
        <f aca="false">IF(AH1828="","",IFERROR(INDEX(C_TIPO,MATCH(C1828&amp;"-P"&amp;MAX(1,COUNTIFS(C_ID,C1828,C_DEFINE,"Sí",C_INICIO,"&lt;="&amp;EOMONTH(B1828,0))),C_CLAVE,0))&amp;"","Sin dato"))</f>
        <v/>
      </c>
      <c r="AB1828" s="71" t="str">
        <f aca="false">IF(AH1828="","",ROUND(MIN(K1828,TOPE_AFP_UF*AJ1828)*AK1828,0))</f>
        <v/>
      </c>
      <c r="AC1828" s="71" t="str">
        <f aca="false">IF(AH1828="","",ROUND(MIN(K1828,TOPE_AFC_UF*AJ1828)*IF(AA1828="Indefinido",AFC_EMP_INDEF,AFC_EMP_PF),0))</f>
        <v/>
      </c>
      <c r="AD1828" s="71" t="str">
        <f aca="false">IF(AH1828="","",ROUND(MIN(K1828,TOPE_AFP_UF*AJ1828)*(MUTUAL_BASICA+MUTUAL_ADIC+SANNA),0))</f>
        <v/>
      </c>
      <c r="AE1828" s="71" t="str">
        <f aca="false">IF(AH1828="","",P1828-N(N1828)+AB1828+AC1828+AD1828)</f>
        <v/>
      </c>
      <c r="AF1828" s="65"/>
      <c r="AG1828" s="64"/>
      <c r="AH1828" s="72" t="str">
        <f aca="false">IF(OR(B1828="",C1828=""),"",C1828&amp;"|"&amp;(YEAR(B1828)*100+MONTH(B1828)))</f>
        <v/>
      </c>
      <c r="AI1828" s="70" t="str">
        <f aca="false">IF(AH1828="","",IF(COUNTIF(L_CLAVE,AH1828)&gt;1,"⚠ Duplicado","OK"))</f>
        <v/>
      </c>
      <c r="AJ1828" s="86" t="str">
        <f aca="false">IF(AH1828="","",IF(SUMPRODUCT(MAX((IND_PER&lt;=B1828)*(IND_UF&lt;&gt;"")*IND_PER))=0,UF_HOY,INDEX(IND_UF,MATCH(SUMPRODUCT(MAX((IND_PER&lt;=B1828)*(IND_UF&lt;&gt;"")*IND_PER)),IND_PER,0))))</f>
        <v/>
      </c>
      <c r="AK1828" s="87" t="str">
        <f aca="false">IF(AH1828="","",IF(COUNTIF(TASA_DESDE,"&lt;="&amp;B1828)=0,INDEX(TASA_EMP,1),INDEX(TASA_EMP,COUNTIF(TASA_DESDE,"&lt;="&amp;B1828))))</f>
        <v/>
      </c>
    </row>
    <row r="1829" customFormat="false" ht="15" hidden="false" customHeight="false" outlineLevel="0" collapsed="false">
      <c r="B1829" s="78"/>
      <c r="C1829" s="64"/>
      <c r="D1829" s="72" t="str">
        <f aca="false">IF(C1829="","",IFERROR(INDEX(T_NOMBRE,MATCH(C1829,T_ID,0)),"⚠ ID no existe"))</f>
        <v/>
      </c>
      <c r="E1829" s="69"/>
      <c r="F1829" s="67"/>
      <c r="G1829" s="67"/>
      <c r="H1829" s="67"/>
      <c r="I1829" s="67"/>
      <c r="J1829" s="67"/>
      <c r="K1829" s="85" t="str">
        <f aca="false">IF(AH1829="","",N(F1829)+N(G1829)+N(H1829)-N(I1829)+N(J1829))</f>
        <v/>
      </c>
      <c r="L1829" s="67"/>
      <c r="M1829" s="67"/>
      <c r="N1829" s="67"/>
      <c r="O1829" s="67"/>
      <c r="P1829" s="85" t="str">
        <f aca="false">IF(AH1829="","",K1829+N(L1829)+N(M1829)+N(N1829)+N(O1829))</f>
        <v/>
      </c>
      <c r="Q1829" s="67"/>
      <c r="R1829" s="67"/>
      <c r="S1829" s="67"/>
      <c r="T1829" s="67"/>
      <c r="U1829" s="67"/>
      <c r="V1829" s="67"/>
      <c r="W1829" s="85" t="str">
        <f aca="false">IF(AH1829="","",N(Q1829)+N(R1829)+N(S1829)+N(T1829)+N(U1829)+N(V1829))</f>
        <v/>
      </c>
      <c r="X1829" s="85" t="str">
        <f aca="false">IF(AH1829="","",P1829-W1829)</f>
        <v/>
      </c>
      <c r="Y1829" s="67"/>
      <c r="Z1829" s="70" t="str">
        <f aca="false">IF(OR(AH1829="",Y1829=""),"",IF(ABS(X1829-Y1829)&lt;=1,"✓ Cuadra","⚠ Diferencia $"&amp;FIXED(X1829-Y1829,0)))</f>
        <v/>
      </c>
      <c r="AA1829" s="72" t="str">
        <f aca="false">IF(AH1829="","",IFERROR(INDEX(C_TIPO,MATCH(C1829&amp;"-P"&amp;MAX(1,COUNTIFS(C_ID,C1829,C_DEFINE,"Sí",C_INICIO,"&lt;="&amp;EOMONTH(B1829,0))),C_CLAVE,0))&amp;"","Sin dato"))</f>
        <v/>
      </c>
      <c r="AB1829" s="71" t="str">
        <f aca="false">IF(AH1829="","",ROUND(MIN(K1829,TOPE_AFP_UF*AJ1829)*AK1829,0))</f>
        <v/>
      </c>
      <c r="AC1829" s="71" t="str">
        <f aca="false">IF(AH1829="","",ROUND(MIN(K1829,TOPE_AFC_UF*AJ1829)*IF(AA1829="Indefinido",AFC_EMP_INDEF,AFC_EMP_PF),0))</f>
        <v/>
      </c>
      <c r="AD1829" s="71" t="str">
        <f aca="false">IF(AH1829="","",ROUND(MIN(K1829,TOPE_AFP_UF*AJ1829)*(MUTUAL_BASICA+MUTUAL_ADIC+SANNA),0))</f>
        <v/>
      </c>
      <c r="AE1829" s="71" t="str">
        <f aca="false">IF(AH1829="","",P1829-N(N1829)+AB1829+AC1829+AD1829)</f>
        <v/>
      </c>
      <c r="AF1829" s="65"/>
      <c r="AG1829" s="64"/>
      <c r="AH1829" s="72" t="str">
        <f aca="false">IF(OR(B1829="",C1829=""),"",C1829&amp;"|"&amp;(YEAR(B1829)*100+MONTH(B1829)))</f>
        <v/>
      </c>
      <c r="AI1829" s="70" t="str">
        <f aca="false">IF(AH1829="","",IF(COUNTIF(L_CLAVE,AH1829)&gt;1,"⚠ Duplicado","OK"))</f>
        <v/>
      </c>
      <c r="AJ1829" s="86" t="str">
        <f aca="false">IF(AH1829="","",IF(SUMPRODUCT(MAX((IND_PER&lt;=B1829)*(IND_UF&lt;&gt;"")*IND_PER))=0,UF_HOY,INDEX(IND_UF,MATCH(SUMPRODUCT(MAX((IND_PER&lt;=B1829)*(IND_UF&lt;&gt;"")*IND_PER)),IND_PER,0))))</f>
        <v/>
      </c>
      <c r="AK1829" s="87" t="str">
        <f aca="false">IF(AH1829="","",IF(COUNTIF(TASA_DESDE,"&lt;="&amp;B1829)=0,INDEX(TASA_EMP,1),INDEX(TASA_EMP,COUNTIF(TASA_DESDE,"&lt;="&amp;B1829))))</f>
        <v/>
      </c>
    </row>
    <row r="1830" customFormat="false" ht="15" hidden="false" customHeight="false" outlineLevel="0" collapsed="false">
      <c r="B1830" s="78"/>
      <c r="C1830" s="64"/>
      <c r="D1830" s="72" t="str">
        <f aca="false">IF(C1830="","",IFERROR(INDEX(T_NOMBRE,MATCH(C1830,T_ID,0)),"⚠ ID no existe"))</f>
        <v/>
      </c>
      <c r="E1830" s="69"/>
      <c r="F1830" s="67"/>
      <c r="G1830" s="67"/>
      <c r="H1830" s="67"/>
      <c r="I1830" s="67"/>
      <c r="J1830" s="67"/>
      <c r="K1830" s="85" t="str">
        <f aca="false">IF(AH1830="","",N(F1830)+N(G1830)+N(H1830)-N(I1830)+N(J1830))</f>
        <v/>
      </c>
      <c r="L1830" s="67"/>
      <c r="M1830" s="67"/>
      <c r="N1830" s="67"/>
      <c r="O1830" s="67"/>
      <c r="P1830" s="85" t="str">
        <f aca="false">IF(AH1830="","",K1830+N(L1830)+N(M1830)+N(N1830)+N(O1830))</f>
        <v/>
      </c>
      <c r="Q1830" s="67"/>
      <c r="R1830" s="67"/>
      <c r="S1830" s="67"/>
      <c r="T1830" s="67"/>
      <c r="U1830" s="67"/>
      <c r="V1830" s="67"/>
      <c r="W1830" s="85" t="str">
        <f aca="false">IF(AH1830="","",N(Q1830)+N(R1830)+N(S1830)+N(T1830)+N(U1830)+N(V1830))</f>
        <v/>
      </c>
      <c r="X1830" s="85" t="str">
        <f aca="false">IF(AH1830="","",P1830-W1830)</f>
        <v/>
      </c>
      <c r="Y1830" s="67"/>
      <c r="Z1830" s="70" t="str">
        <f aca="false">IF(OR(AH1830="",Y1830=""),"",IF(ABS(X1830-Y1830)&lt;=1,"✓ Cuadra","⚠ Diferencia $"&amp;FIXED(X1830-Y1830,0)))</f>
        <v/>
      </c>
      <c r="AA1830" s="72" t="str">
        <f aca="false">IF(AH1830="","",IFERROR(INDEX(C_TIPO,MATCH(C1830&amp;"-P"&amp;MAX(1,COUNTIFS(C_ID,C1830,C_DEFINE,"Sí",C_INICIO,"&lt;="&amp;EOMONTH(B1830,0))),C_CLAVE,0))&amp;"","Sin dato"))</f>
        <v/>
      </c>
      <c r="AB1830" s="71" t="str">
        <f aca="false">IF(AH1830="","",ROUND(MIN(K1830,TOPE_AFP_UF*AJ1830)*AK1830,0))</f>
        <v/>
      </c>
      <c r="AC1830" s="71" t="str">
        <f aca="false">IF(AH1830="","",ROUND(MIN(K1830,TOPE_AFC_UF*AJ1830)*IF(AA1830="Indefinido",AFC_EMP_INDEF,AFC_EMP_PF),0))</f>
        <v/>
      </c>
      <c r="AD1830" s="71" t="str">
        <f aca="false">IF(AH1830="","",ROUND(MIN(K1830,TOPE_AFP_UF*AJ1830)*(MUTUAL_BASICA+MUTUAL_ADIC+SANNA),0))</f>
        <v/>
      </c>
      <c r="AE1830" s="71" t="str">
        <f aca="false">IF(AH1830="","",P1830-N(N1830)+AB1830+AC1830+AD1830)</f>
        <v/>
      </c>
      <c r="AF1830" s="65"/>
      <c r="AG1830" s="64"/>
      <c r="AH1830" s="72" t="str">
        <f aca="false">IF(OR(B1830="",C1830=""),"",C1830&amp;"|"&amp;(YEAR(B1830)*100+MONTH(B1830)))</f>
        <v/>
      </c>
      <c r="AI1830" s="70" t="str">
        <f aca="false">IF(AH1830="","",IF(COUNTIF(L_CLAVE,AH1830)&gt;1,"⚠ Duplicado","OK"))</f>
        <v/>
      </c>
      <c r="AJ1830" s="86" t="str">
        <f aca="false">IF(AH1830="","",IF(SUMPRODUCT(MAX((IND_PER&lt;=B1830)*(IND_UF&lt;&gt;"")*IND_PER))=0,UF_HOY,INDEX(IND_UF,MATCH(SUMPRODUCT(MAX((IND_PER&lt;=B1830)*(IND_UF&lt;&gt;"")*IND_PER)),IND_PER,0))))</f>
        <v/>
      </c>
      <c r="AK1830" s="87" t="str">
        <f aca="false">IF(AH1830="","",IF(COUNTIF(TASA_DESDE,"&lt;="&amp;B1830)=0,INDEX(TASA_EMP,1),INDEX(TASA_EMP,COUNTIF(TASA_DESDE,"&lt;="&amp;B1830))))</f>
        <v/>
      </c>
    </row>
    <row r="1831" customFormat="false" ht="15" hidden="false" customHeight="false" outlineLevel="0" collapsed="false">
      <c r="B1831" s="78"/>
      <c r="C1831" s="64"/>
      <c r="D1831" s="72" t="str">
        <f aca="false">IF(C1831="","",IFERROR(INDEX(T_NOMBRE,MATCH(C1831,T_ID,0)),"⚠ ID no existe"))</f>
        <v/>
      </c>
      <c r="E1831" s="69"/>
      <c r="F1831" s="67"/>
      <c r="G1831" s="67"/>
      <c r="H1831" s="67"/>
      <c r="I1831" s="67"/>
      <c r="J1831" s="67"/>
      <c r="K1831" s="85" t="str">
        <f aca="false">IF(AH1831="","",N(F1831)+N(G1831)+N(H1831)-N(I1831)+N(J1831))</f>
        <v/>
      </c>
      <c r="L1831" s="67"/>
      <c r="M1831" s="67"/>
      <c r="N1831" s="67"/>
      <c r="O1831" s="67"/>
      <c r="P1831" s="85" t="str">
        <f aca="false">IF(AH1831="","",K1831+N(L1831)+N(M1831)+N(N1831)+N(O1831))</f>
        <v/>
      </c>
      <c r="Q1831" s="67"/>
      <c r="R1831" s="67"/>
      <c r="S1831" s="67"/>
      <c r="T1831" s="67"/>
      <c r="U1831" s="67"/>
      <c r="V1831" s="67"/>
      <c r="W1831" s="85" t="str">
        <f aca="false">IF(AH1831="","",N(Q1831)+N(R1831)+N(S1831)+N(T1831)+N(U1831)+N(V1831))</f>
        <v/>
      </c>
      <c r="X1831" s="85" t="str">
        <f aca="false">IF(AH1831="","",P1831-W1831)</f>
        <v/>
      </c>
      <c r="Y1831" s="67"/>
      <c r="Z1831" s="70" t="str">
        <f aca="false">IF(OR(AH1831="",Y1831=""),"",IF(ABS(X1831-Y1831)&lt;=1,"✓ Cuadra","⚠ Diferencia $"&amp;FIXED(X1831-Y1831,0)))</f>
        <v/>
      </c>
      <c r="AA1831" s="72" t="str">
        <f aca="false">IF(AH1831="","",IFERROR(INDEX(C_TIPO,MATCH(C1831&amp;"-P"&amp;MAX(1,COUNTIFS(C_ID,C1831,C_DEFINE,"Sí",C_INICIO,"&lt;="&amp;EOMONTH(B1831,0))),C_CLAVE,0))&amp;"","Sin dato"))</f>
        <v/>
      </c>
      <c r="AB1831" s="71" t="str">
        <f aca="false">IF(AH1831="","",ROUND(MIN(K1831,TOPE_AFP_UF*AJ1831)*AK1831,0))</f>
        <v/>
      </c>
      <c r="AC1831" s="71" t="str">
        <f aca="false">IF(AH1831="","",ROUND(MIN(K1831,TOPE_AFC_UF*AJ1831)*IF(AA1831="Indefinido",AFC_EMP_INDEF,AFC_EMP_PF),0))</f>
        <v/>
      </c>
      <c r="AD1831" s="71" t="str">
        <f aca="false">IF(AH1831="","",ROUND(MIN(K1831,TOPE_AFP_UF*AJ1831)*(MUTUAL_BASICA+MUTUAL_ADIC+SANNA),0))</f>
        <v/>
      </c>
      <c r="AE1831" s="71" t="str">
        <f aca="false">IF(AH1831="","",P1831-N(N1831)+AB1831+AC1831+AD1831)</f>
        <v/>
      </c>
      <c r="AF1831" s="65"/>
      <c r="AG1831" s="64"/>
      <c r="AH1831" s="72" t="str">
        <f aca="false">IF(OR(B1831="",C1831=""),"",C1831&amp;"|"&amp;(YEAR(B1831)*100+MONTH(B1831)))</f>
        <v/>
      </c>
      <c r="AI1831" s="70" t="str">
        <f aca="false">IF(AH1831="","",IF(COUNTIF(L_CLAVE,AH1831)&gt;1,"⚠ Duplicado","OK"))</f>
        <v/>
      </c>
      <c r="AJ1831" s="86" t="str">
        <f aca="false">IF(AH1831="","",IF(SUMPRODUCT(MAX((IND_PER&lt;=B1831)*(IND_UF&lt;&gt;"")*IND_PER))=0,UF_HOY,INDEX(IND_UF,MATCH(SUMPRODUCT(MAX((IND_PER&lt;=B1831)*(IND_UF&lt;&gt;"")*IND_PER)),IND_PER,0))))</f>
        <v/>
      </c>
      <c r="AK1831" s="87" t="str">
        <f aca="false">IF(AH1831="","",IF(COUNTIF(TASA_DESDE,"&lt;="&amp;B1831)=0,INDEX(TASA_EMP,1),INDEX(TASA_EMP,COUNTIF(TASA_DESDE,"&lt;="&amp;B1831))))</f>
        <v/>
      </c>
    </row>
    <row r="1832" customFormat="false" ht="15" hidden="false" customHeight="false" outlineLevel="0" collapsed="false">
      <c r="B1832" s="78"/>
      <c r="C1832" s="64"/>
      <c r="D1832" s="72" t="str">
        <f aca="false">IF(C1832="","",IFERROR(INDEX(T_NOMBRE,MATCH(C1832,T_ID,0)),"⚠ ID no existe"))</f>
        <v/>
      </c>
      <c r="E1832" s="69"/>
      <c r="F1832" s="67"/>
      <c r="G1832" s="67"/>
      <c r="H1832" s="67"/>
      <c r="I1832" s="67"/>
      <c r="J1832" s="67"/>
      <c r="K1832" s="85" t="str">
        <f aca="false">IF(AH1832="","",N(F1832)+N(G1832)+N(H1832)-N(I1832)+N(J1832))</f>
        <v/>
      </c>
      <c r="L1832" s="67"/>
      <c r="M1832" s="67"/>
      <c r="N1832" s="67"/>
      <c r="O1832" s="67"/>
      <c r="P1832" s="85" t="str">
        <f aca="false">IF(AH1832="","",K1832+N(L1832)+N(M1832)+N(N1832)+N(O1832))</f>
        <v/>
      </c>
      <c r="Q1832" s="67"/>
      <c r="R1832" s="67"/>
      <c r="S1832" s="67"/>
      <c r="T1832" s="67"/>
      <c r="U1832" s="67"/>
      <c r="V1832" s="67"/>
      <c r="W1832" s="85" t="str">
        <f aca="false">IF(AH1832="","",N(Q1832)+N(R1832)+N(S1832)+N(T1832)+N(U1832)+N(V1832))</f>
        <v/>
      </c>
      <c r="X1832" s="85" t="str">
        <f aca="false">IF(AH1832="","",P1832-W1832)</f>
        <v/>
      </c>
      <c r="Y1832" s="67"/>
      <c r="Z1832" s="70" t="str">
        <f aca="false">IF(OR(AH1832="",Y1832=""),"",IF(ABS(X1832-Y1832)&lt;=1,"✓ Cuadra","⚠ Diferencia $"&amp;FIXED(X1832-Y1832,0)))</f>
        <v/>
      </c>
      <c r="AA1832" s="72" t="str">
        <f aca="false">IF(AH1832="","",IFERROR(INDEX(C_TIPO,MATCH(C1832&amp;"-P"&amp;MAX(1,COUNTIFS(C_ID,C1832,C_DEFINE,"Sí",C_INICIO,"&lt;="&amp;EOMONTH(B1832,0))),C_CLAVE,0))&amp;"","Sin dato"))</f>
        <v/>
      </c>
      <c r="AB1832" s="71" t="str">
        <f aca="false">IF(AH1832="","",ROUND(MIN(K1832,TOPE_AFP_UF*AJ1832)*AK1832,0))</f>
        <v/>
      </c>
      <c r="AC1832" s="71" t="str">
        <f aca="false">IF(AH1832="","",ROUND(MIN(K1832,TOPE_AFC_UF*AJ1832)*IF(AA1832="Indefinido",AFC_EMP_INDEF,AFC_EMP_PF),0))</f>
        <v/>
      </c>
      <c r="AD1832" s="71" t="str">
        <f aca="false">IF(AH1832="","",ROUND(MIN(K1832,TOPE_AFP_UF*AJ1832)*(MUTUAL_BASICA+MUTUAL_ADIC+SANNA),0))</f>
        <v/>
      </c>
      <c r="AE1832" s="71" t="str">
        <f aca="false">IF(AH1832="","",P1832-N(N1832)+AB1832+AC1832+AD1832)</f>
        <v/>
      </c>
      <c r="AF1832" s="65"/>
      <c r="AG1832" s="64"/>
      <c r="AH1832" s="72" t="str">
        <f aca="false">IF(OR(B1832="",C1832=""),"",C1832&amp;"|"&amp;(YEAR(B1832)*100+MONTH(B1832)))</f>
        <v/>
      </c>
      <c r="AI1832" s="70" t="str">
        <f aca="false">IF(AH1832="","",IF(COUNTIF(L_CLAVE,AH1832)&gt;1,"⚠ Duplicado","OK"))</f>
        <v/>
      </c>
      <c r="AJ1832" s="86" t="str">
        <f aca="false">IF(AH1832="","",IF(SUMPRODUCT(MAX((IND_PER&lt;=B1832)*(IND_UF&lt;&gt;"")*IND_PER))=0,UF_HOY,INDEX(IND_UF,MATCH(SUMPRODUCT(MAX((IND_PER&lt;=B1832)*(IND_UF&lt;&gt;"")*IND_PER)),IND_PER,0))))</f>
        <v/>
      </c>
      <c r="AK1832" s="87" t="str">
        <f aca="false">IF(AH1832="","",IF(COUNTIF(TASA_DESDE,"&lt;="&amp;B1832)=0,INDEX(TASA_EMP,1),INDEX(TASA_EMP,COUNTIF(TASA_DESDE,"&lt;="&amp;B1832))))</f>
        <v/>
      </c>
    </row>
    <row r="1833" customFormat="false" ht="15" hidden="false" customHeight="false" outlineLevel="0" collapsed="false">
      <c r="B1833" s="78"/>
      <c r="C1833" s="64"/>
      <c r="D1833" s="72" t="str">
        <f aca="false">IF(C1833="","",IFERROR(INDEX(T_NOMBRE,MATCH(C1833,T_ID,0)),"⚠ ID no existe"))</f>
        <v/>
      </c>
      <c r="E1833" s="69"/>
      <c r="F1833" s="67"/>
      <c r="G1833" s="67"/>
      <c r="H1833" s="67"/>
      <c r="I1833" s="67"/>
      <c r="J1833" s="67"/>
      <c r="K1833" s="85" t="str">
        <f aca="false">IF(AH1833="","",N(F1833)+N(G1833)+N(H1833)-N(I1833)+N(J1833))</f>
        <v/>
      </c>
      <c r="L1833" s="67"/>
      <c r="M1833" s="67"/>
      <c r="N1833" s="67"/>
      <c r="O1833" s="67"/>
      <c r="P1833" s="85" t="str">
        <f aca="false">IF(AH1833="","",K1833+N(L1833)+N(M1833)+N(N1833)+N(O1833))</f>
        <v/>
      </c>
      <c r="Q1833" s="67"/>
      <c r="R1833" s="67"/>
      <c r="S1833" s="67"/>
      <c r="T1833" s="67"/>
      <c r="U1833" s="67"/>
      <c r="V1833" s="67"/>
      <c r="W1833" s="85" t="str">
        <f aca="false">IF(AH1833="","",N(Q1833)+N(R1833)+N(S1833)+N(T1833)+N(U1833)+N(V1833))</f>
        <v/>
      </c>
      <c r="X1833" s="85" t="str">
        <f aca="false">IF(AH1833="","",P1833-W1833)</f>
        <v/>
      </c>
      <c r="Y1833" s="67"/>
      <c r="Z1833" s="70" t="str">
        <f aca="false">IF(OR(AH1833="",Y1833=""),"",IF(ABS(X1833-Y1833)&lt;=1,"✓ Cuadra","⚠ Diferencia $"&amp;FIXED(X1833-Y1833,0)))</f>
        <v/>
      </c>
      <c r="AA1833" s="72" t="str">
        <f aca="false">IF(AH1833="","",IFERROR(INDEX(C_TIPO,MATCH(C1833&amp;"-P"&amp;MAX(1,COUNTIFS(C_ID,C1833,C_DEFINE,"Sí",C_INICIO,"&lt;="&amp;EOMONTH(B1833,0))),C_CLAVE,0))&amp;"","Sin dato"))</f>
        <v/>
      </c>
      <c r="AB1833" s="71" t="str">
        <f aca="false">IF(AH1833="","",ROUND(MIN(K1833,TOPE_AFP_UF*AJ1833)*AK1833,0))</f>
        <v/>
      </c>
      <c r="AC1833" s="71" t="str">
        <f aca="false">IF(AH1833="","",ROUND(MIN(K1833,TOPE_AFC_UF*AJ1833)*IF(AA1833="Indefinido",AFC_EMP_INDEF,AFC_EMP_PF),0))</f>
        <v/>
      </c>
      <c r="AD1833" s="71" t="str">
        <f aca="false">IF(AH1833="","",ROUND(MIN(K1833,TOPE_AFP_UF*AJ1833)*(MUTUAL_BASICA+MUTUAL_ADIC+SANNA),0))</f>
        <v/>
      </c>
      <c r="AE1833" s="71" t="str">
        <f aca="false">IF(AH1833="","",P1833-N(N1833)+AB1833+AC1833+AD1833)</f>
        <v/>
      </c>
      <c r="AF1833" s="65"/>
      <c r="AG1833" s="64"/>
      <c r="AH1833" s="72" t="str">
        <f aca="false">IF(OR(B1833="",C1833=""),"",C1833&amp;"|"&amp;(YEAR(B1833)*100+MONTH(B1833)))</f>
        <v/>
      </c>
      <c r="AI1833" s="70" t="str">
        <f aca="false">IF(AH1833="","",IF(COUNTIF(L_CLAVE,AH1833)&gt;1,"⚠ Duplicado","OK"))</f>
        <v/>
      </c>
      <c r="AJ1833" s="86" t="str">
        <f aca="false">IF(AH1833="","",IF(SUMPRODUCT(MAX((IND_PER&lt;=B1833)*(IND_UF&lt;&gt;"")*IND_PER))=0,UF_HOY,INDEX(IND_UF,MATCH(SUMPRODUCT(MAX((IND_PER&lt;=B1833)*(IND_UF&lt;&gt;"")*IND_PER)),IND_PER,0))))</f>
        <v/>
      </c>
      <c r="AK1833" s="87" t="str">
        <f aca="false">IF(AH1833="","",IF(COUNTIF(TASA_DESDE,"&lt;="&amp;B1833)=0,INDEX(TASA_EMP,1),INDEX(TASA_EMP,COUNTIF(TASA_DESDE,"&lt;="&amp;B1833))))</f>
        <v/>
      </c>
    </row>
    <row r="1834" customFormat="false" ht="15" hidden="false" customHeight="false" outlineLevel="0" collapsed="false">
      <c r="B1834" s="78"/>
      <c r="C1834" s="64"/>
      <c r="D1834" s="72" t="str">
        <f aca="false">IF(C1834="","",IFERROR(INDEX(T_NOMBRE,MATCH(C1834,T_ID,0)),"⚠ ID no existe"))</f>
        <v/>
      </c>
      <c r="E1834" s="69"/>
      <c r="F1834" s="67"/>
      <c r="G1834" s="67"/>
      <c r="H1834" s="67"/>
      <c r="I1834" s="67"/>
      <c r="J1834" s="67"/>
      <c r="K1834" s="85" t="str">
        <f aca="false">IF(AH1834="","",N(F1834)+N(G1834)+N(H1834)-N(I1834)+N(J1834))</f>
        <v/>
      </c>
      <c r="L1834" s="67"/>
      <c r="M1834" s="67"/>
      <c r="N1834" s="67"/>
      <c r="O1834" s="67"/>
      <c r="P1834" s="85" t="str">
        <f aca="false">IF(AH1834="","",K1834+N(L1834)+N(M1834)+N(N1834)+N(O1834))</f>
        <v/>
      </c>
      <c r="Q1834" s="67"/>
      <c r="R1834" s="67"/>
      <c r="S1834" s="67"/>
      <c r="T1834" s="67"/>
      <c r="U1834" s="67"/>
      <c r="V1834" s="67"/>
      <c r="W1834" s="85" t="str">
        <f aca="false">IF(AH1834="","",N(Q1834)+N(R1834)+N(S1834)+N(T1834)+N(U1834)+N(V1834))</f>
        <v/>
      </c>
      <c r="X1834" s="85" t="str">
        <f aca="false">IF(AH1834="","",P1834-W1834)</f>
        <v/>
      </c>
      <c r="Y1834" s="67"/>
      <c r="Z1834" s="70" t="str">
        <f aca="false">IF(OR(AH1834="",Y1834=""),"",IF(ABS(X1834-Y1834)&lt;=1,"✓ Cuadra","⚠ Diferencia $"&amp;FIXED(X1834-Y1834,0)))</f>
        <v/>
      </c>
      <c r="AA1834" s="72" t="str">
        <f aca="false">IF(AH1834="","",IFERROR(INDEX(C_TIPO,MATCH(C1834&amp;"-P"&amp;MAX(1,COUNTIFS(C_ID,C1834,C_DEFINE,"Sí",C_INICIO,"&lt;="&amp;EOMONTH(B1834,0))),C_CLAVE,0))&amp;"","Sin dato"))</f>
        <v/>
      </c>
      <c r="AB1834" s="71" t="str">
        <f aca="false">IF(AH1834="","",ROUND(MIN(K1834,TOPE_AFP_UF*AJ1834)*AK1834,0))</f>
        <v/>
      </c>
      <c r="AC1834" s="71" t="str">
        <f aca="false">IF(AH1834="","",ROUND(MIN(K1834,TOPE_AFC_UF*AJ1834)*IF(AA1834="Indefinido",AFC_EMP_INDEF,AFC_EMP_PF),0))</f>
        <v/>
      </c>
      <c r="AD1834" s="71" t="str">
        <f aca="false">IF(AH1834="","",ROUND(MIN(K1834,TOPE_AFP_UF*AJ1834)*(MUTUAL_BASICA+MUTUAL_ADIC+SANNA),0))</f>
        <v/>
      </c>
      <c r="AE1834" s="71" t="str">
        <f aca="false">IF(AH1834="","",P1834-N(N1834)+AB1834+AC1834+AD1834)</f>
        <v/>
      </c>
      <c r="AF1834" s="65"/>
      <c r="AG1834" s="64"/>
      <c r="AH1834" s="72" t="str">
        <f aca="false">IF(OR(B1834="",C1834=""),"",C1834&amp;"|"&amp;(YEAR(B1834)*100+MONTH(B1834)))</f>
        <v/>
      </c>
      <c r="AI1834" s="70" t="str">
        <f aca="false">IF(AH1834="","",IF(COUNTIF(L_CLAVE,AH1834)&gt;1,"⚠ Duplicado","OK"))</f>
        <v/>
      </c>
      <c r="AJ1834" s="86" t="str">
        <f aca="false">IF(AH1834="","",IF(SUMPRODUCT(MAX((IND_PER&lt;=B1834)*(IND_UF&lt;&gt;"")*IND_PER))=0,UF_HOY,INDEX(IND_UF,MATCH(SUMPRODUCT(MAX((IND_PER&lt;=B1834)*(IND_UF&lt;&gt;"")*IND_PER)),IND_PER,0))))</f>
        <v/>
      </c>
      <c r="AK1834" s="87" t="str">
        <f aca="false">IF(AH1834="","",IF(COUNTIF(TASA_DESDE,"&lt;="&amp;B1834)=0,INDEX(TASA_EMP,1),INDEX(TASA_EMP,COUNTIF(TASA_DESDE,"&lt;="&amp;B1834))))</f>
        <v/>
      </c>
    </row>
    <row r="1835" customFormat="false" ht="15" hidden="false" customHeight="false" outlineLevel="0" collapsed="false">
      <c r="B1835" s="78"/>
      <c r="C1835" s="64"/>
      <c r="D1835" s="72" t="str">
        <f aca="false">IF(C1835="","",IFERROR(INDEX(T_NOMBRE,MATCH(C1835,T_ID,0)),"⚠ ID no existe"))</f>
        <v/>
      </c>
      <c r="E1835" s="69"/>
      <c r="F1835" s="67"/>
      <c r="G1835" s="67"/>
      <c r="H1835" s="67"/>
      <c r="I1835" s="67"/>
      <c r="J1835" s="67"/>
      <c r="K1835" s="85" t="str">
        <f aca="false">IF(AH1835="","",N(F1835)+N(G1835)+N(H1835)-N(I1835)+N(J1835))</f>
        <v/>
      </c>
      <c r="L1835" s="67"/>
      <c r="M1835" s="67"/>
      <c r="N1835" s="67"/>
      <c r="O1835" s="67"/>
      <c r="P1835" s="85" t="str">
        <f aca="false">IF(AH1835="","",K1835+N(L1835)+N(M1835)+N(N1835)+N(O1835))</f>
        <v/>
      </c>
      <c r="Q1835" s="67"/>
      <c r="R1835" s="67"/>
      <c r="S1835" s="67"/>
      <c r="T1835" s="67"/>
      <c r="U1835" s="67"/>
      <c r="V1835" s="67"/>
      <c r="W1835" s="85" t="str">
        <f aca="false">IF(AH1835="","",N(Q1835)+N(R1835)+N(S1835)+N(T1835)+N(U1835)+N(V1835))</f>
        <v/>
      </c>
      <c r="X1835" s="85" t="str">
        <f aca="false">IF(AH1835="","",P1835-W1835)</f>
        <v/>
      </c>
      <c r="Y1835" s="67"/>
      <c r="Z1835" s="70" t="str">
        <f aca="false">IF(OR(AH1835="",Y1835=""),"",IF(ABS(X1835-Y1835)&lt;=1,"✓ Cuadra","⚠ Diferencia $"&amp;FIXED(X1835-Y1835,0)))</f>
        <v/>
      </c>
      <c r="AA1835" s="72" t="str">
        <f aca="false">IF(AH1835="","",IFERROR(INDEX(C_TIPO,MATCH(C1835&amp;"-P"&amp;MAX(1,COUNTIFS(C_ID,C1835,C_DEFINE,"Sí",C_INICIO,"&lt;="&amp;EOMONTH(B1835,0))),C_CLAVE,0))&amp;"","Sin dato"))</f>
        <v/>
      </c>
      <c r="AB1835" s="71" t="str">
        <f aca="false">IF(AH1835="","",ROUND(MIN(K1835,TOPE_AFP_UF*AJ1835)*AK1835,0))</f>
        <v/>
      </c>
      <c r="AC1835" s="71" t="str">
        <f aca="false">IF(AH1835="","",ROUND(MIN(K1835,TOPE_AFC_UF*AJ1835)*IF(AA1835="Indefinido",AFC_EMP_INDEF,AFC_EMP_PF),0))</f>
        <v/>
      </c>
      <c r="AD1835" s="71" t="str">
        <f aca="false">IF(AH1835="","",ROUND(MIN(K1835,TOPE_AFP_UF*AJ1835)*(MUTUAL_BASICA+MUTUAL_ADIC+SANNA),0))</f>
        <v/>
      </c>
      <c r="AE1835" s="71" t="str">
        <f aca="false">IF(AH1835="","",P1835-N(N1835)+AB1835+AC1835+AD1835)</f>
        <v/>
      </c>
      <c r="AF1835" s="65"/>
      <c r="AG1835" s="64"/>
      <c r="AH1835" s="72" t="str">
        <f aca="false">IF(OR(B1835="",C1835=""),"",C1835&amp;"|"&amp;(YEAR(B1835)*100+MONTH(B1835)))</f>
        <v/>
      </c>
      <c r="AI1835" s="70" t="str">
        <f aca="false">IF(AH1835="","",IF(COUNTIF(L_CLAVE,AH1835)&gt;1,"⚠ Duplicado","OK"))</f>
        <v/>
      </c>
      <c r="AJ1835" s="86" t="str">
        <f aca="false">IF(AH1835="","",IF(SUMPRODUCT(MAX((IND_PER&lt;=B1835)*(IND_UF&lt;&gt;"")*IND_PER))=0,UF_HOY,INDEX(IND_UF,MATCH(SUMPRODUCT(MAX((IND_PER&lt;=B1835)*(IND_UF&lt;&gt;"")*IND_PER)),IND_PER,0))))</f>
        <v/>
      </c>
      <c r="AK1835" s="87" t="str">
        <f aca="false">IF(AH1835="","",IF(COUNTIF(TASA_DESDE,"&lt;="&amp;B1835)=0,INDEX(TASA_EMP,1),INDEX(TASA_EMP,COUNTIF(TASA_DESDE,"&lt;="&amp;B1835))))</f>
        <v/>
      </c>
    </row>
    <row r="1836" customFormat="false" ht="15" hidden="false" customHeight="false" outlineLevel="0" collapsed="false">
      <c r="B1836" s="78"/>
      <c r="C1836" s="64"/>
      <c r="D1836" s="72" t="str">
        <f aca="false">IF(C1836="","",IFERROR(INDEX(T_NOMBRE,MATCH(C1836,T_ID,0)),"⚠ ID no existe"))</f>
        <v/>
      </c>
      <c r="E1836" s="69"/>
      <c r="F1836" s="67"/>
      <c r="G1836" s="67"/>
      <c r="H1836" s="67"/>
      <c r="I1836" s="67"/>
      <c r="J1836" s="67"/>
      <c r="K1836" s="85" t="str">
        <f aca="false">IF(AH1836="","",N(F1836)+N(G1836)+N(H1836)-N(I1836)+N(J1836))</f>
        <v/>
      </c>
      <c r="L1836" s="67"/>
      <c r="M1836" s="67"/>
      <c r="N1836" s="67"/>
      <c r="O1836" s="67"/>
      <c r="P1836" s="85" t="str">
        <f aca="false">IF(AH1836="","",K1836+N(L1836)+N(M1836)+N(N1836)+N(O1836))</f>
        <v/>
      </c>
      <c r="Q1836" s="67"/>
      <c r="R1836" s="67"/>
      <c r="S1836" s="67"/>
      <c r="T1836" s="67"/>
      <c r="U1836" s="67"/>
      <c r="V1836" s="67"/>
      <c r="W1836" s="85" t="str">
        <f aca="false">IF(AH1836="","",N(Q1836)+N(R1836)+N(S1836)+N(T1836)+N(U1836)+N(V1836))</f>
        <v/>
      </c>
      <c r="X1836" s="85" t="str">
        <f aca="false">IF(AH1836="","",P1836-W1836)</f>
        <v/>
      </c>
      <c r="Y1836" s="67"/>
      <c r="Z1836" s="70" t="str">
        <f aca="false">IF(OR(AH1836="",Y1836=""),"",IF(ABS(X1836-Y1836)&lt;=1,"✓ Cuadra","⚠ Diferencia $"&amp;FIXED(X1836-Y1836,0)))</f>
        <v/>
      </c>
      <c r="AA1836" s="72" t="str">
        <f aca="false">IF(AH1836="","",IFERROR(INDEX(C_TIPO,MATCH(C1836&amp;"-P"&amp;MAX(1,COUNTIFS(C_ID,C1836,C_DEFINE,"Sí",C_INICIO,"&lt;="&amp;EOMONTH(B1836,0))),C_CLAVE,0))&amp;"","Sin dato"))</f>
        <v/>
      </c>
      <c r="AB1836" s="71" t="str">
        <f aca="false">IF(AH1836="","",ROUND(MIN(K1836,TOPE_AFP_UF*AJ1836)*AK1836,0))</f>
        <v/>
      </c>
      <c r="AC1836" s="71" t="str">
        <f aca="false">IF(AH1836="","",ROUND(MIN(K1836,TOPE_AFC_UF*AJ1836)*IF(AA1836="Indefinido",AFC_EMP_INDEF,AFC_EMP_PF),0))</f>
        <v/>
      </c>
      <c r="AD1836" s="71" t="str">
        <f aca="false">IF(AH1836="","",ROUND(MIN(K1836,TOPE_AFP_UF*AJ1836)*(MUTUAL_BASICA+MUTUAL_ADIC+SANNA),0))</f>
        <v/>
      </c>
      <c r="AE1836" s="71" t="str">
        <f aca="false">IF(AH1836="","",P1836-N(N1836)+AB1836+AC1836+AD1836)</f>
        <v/>
      </c>
      <c r="AF1836" s="65"/>
      <c r="AG1836" s="64"/>
      <c r="AH1836" s="72" t="str">
        <f aca="false">IF(OR(B1836="",C1836=""),"",C1836&amp;"|"&amp;(YEAR(B1836)*100+MONTH(B1836)))</f>
        <v/>
      </c>
      <c r="AI1836" s="70" t="str">
        <f aca="false">IF(AH1836="","",IF(COUNTIF(L_CLAVE,AH1836)&gt;1,"⚠ Duplicado","OK"))</f>
        <v/>
      </c>
      <c r="AJ1836" s="86" t="str">
        <f aca="false">IF(AH1836="","",IF(SUMPRODUCT(MAX((IND_PER&lt;=B1836)*(IND_UF&lt;&gt;"")*IND_PER))=0,UF_HOY,INDEX(IND_UF,MATCH(SUMPRODUCT(MAX((IND_PER&lt;=B1836)*(IND_UF&lt;&gt;"")*IND_PER)),IND_PER,0))))</f>
        <v/>
      </c>
      <c r="AK1836" s="87" t="str">
        <f aca="false">IF(AH1836="","",IF(COUNTIF(TASA_DESDE,"&lt;="&amp;B1836)=0,INDEX(TASA_EMP,1),INDEX(TASA_EMP,COUNTIF(TASA_DESDE,"&lt;="&amp;B1836))))</f>
        <v/>
      </c>
    </row>
    <row r="1837" customFormat="false" ht="15" hidden="false" customHeight="false" outlineLevel="0" collapsed="false">
      <c r="B1837" s="78"/>
      <c r="C1837" s="64"/>
      <c r="D1837" s="72" t="str">
        <f aca="false">IF(C1837="","",IFERROR(INDEX(T_NOMBRE,MATCH(C1837,T_ID,0)),"⚠ ID no existe"))</f>
        <v/>
      </c>
      <c r="E1837" s="69"/>
      <c r="F1837" s="67"/>
      <c r="G1837" s="67"/>
      <c r="H1837" s="67"/>
      <c r="I1837" s="67"/>
      <c r="J1837" s="67"/>
      <c r="K1837" s="85" t="str">
        <f aca="false">IF(AH1837="","",N(F1837)+N(G1837)+N(H1837)-N(I1837)+N(J1837))</f>
        <v/>
      </c>
      <c r="L1837" s="67"/>
      <c r="M1837" s="67"/>
      <c r="N1837" s="67"/>
      <c r="O1837" s="67"/>
      <c r="P1837" s="85" t="str">
        <f aca="false">IF(AH1837="","",K1837+N(L1837)+N(M1837)+N(N1837)+N(O1837))</f>
        <v/>
      </c>
      <c r="Q1837" s="67"/>
      <c r="R1837" s="67"/>
      <c r="S1837" s="67"/>
      <c r="T1837" s="67"/>
      <c r="U1837" s="67"/>
      <c r="V1837" s="67"/>
      <c r="W1837" s="85" t="str">
        <f aca="false">IF(AH1837="","",N(Q1837)+N(R1837)+N(S1837)+N(T1837)+N(U1837)+N(V1837))</f>
        <v/>
      </c>
      <c r="X1837" s="85" t="str">
        <f aca="false">IF(AH1837="","",P1837-W1837)</f>
        <v/>
      </c>
      <c r="Y1837" s="67"/>
      <c r="Z1837" s="70" t="str">
        <f aca="false">IF(OR(AH1837="",Y1837=""),"",IF(ABS(X1837-Y1837)&lt;=1,"✓ Cuadra","⚠ Diferencia $"&amp;FIXED(X1837-Y1837,0)))</f>
        <v/>
      </c>
      <c r="AA1837" s="72" t="str">
        <f aca="false">IF(AH1837="","",IFERROR(INDEX(C_TIPO,MATCH(C1837&amp;"-P"&amp;MAX(1,COUNTIFS(C_ID,C1837,C_DEFINE,"Sí",C_INICIO,"&lt;="&amp;EOMONTH(B1837,0))),C_CLAVE,0))&amp;"","Sin dato"))</f>
        <v/>
      </c>
      <c r="AB1837" s="71" t="str">
        <f aca="false">IF(AH1837="","",ROUND(MIN(K1837,TOPE_AFP_UF*AJ1837)*AK1837,0))</f>
        <v/>
      </c>
      <c r="AC1837" s="71" t="str">
        <f aca="false">IF(AH1837="","",ROUND(MIN(K1837,TOPE_AFC_UF*AJ1837)*IF(AA1837="Indefinido",AFC_EMP_INDEF,AFC_EMP_PF),0))</f>
        <v/>
      </c>
      <c r="AD1837" s="71" t="str">
        <f aca="false">IF(AH1837="","",ROUND(MIN(K1837,TOPE_AFP_UF*AJ1837)*(MUTUAL_BASICA+MUTUAL_ADIC+SANNA),0))</f>
        <v/>
      </c>
      <c r="AE1837" s="71" t="str">
        <f aca="false">IF(AH1837="","",P1837-N(N1837)+AB1837+AC1837+AD1837)</f>
        <v/>
      </c>
      <c r="AF1837" s="65"/>
      <c r="AG1837" s="64"/>
      <c r="AH1837" s="72" t="str">
        <f aca="false">IF(OR(B1837="",C1837=""),"",C1837&amp;"|"&amp;(YEAR(B1837)*100+MONTH(B1837)))</f>
        <v/>
      </c>
      <c r="AI1837" s="70" t="str">
        <f aca="false">IF(AH1837="","",IF(COUNTIF(L_CLAVE,AH1837)&gt;1,"⚠ Duplicado","OK"))</f>
        <v/>
      </c>
      <c r="AJ1837" s="86" t="str">
        <f aca="false">IF(AH1837="","",IF(SUMPRODUCT(MAX((IND_PER&lt;=B1837)*(IND_UF&lt;&gt;"")*IND_PER))=0,UF_HOY,INDEX(IND_UF,MATCH(SUMPRODUCT(MAX((IND_PER&lt;=B1837)*(IND_UF&lt;&gt;"")*IND_PER)),IND_PER,0))))</f>
        <v/>
      </c>
      <c r="AK1837" s="87" t="str">
        <f aca="false">IF(AH1837="","",IF(COUNTIF(TASA_DESDE,"&lt;="&amp;B1837)=0,INDEX(TASA_EMP,1),INDEX(TASA_EMP,COUNTIF(TASA_DESDE,"&lt;="&amp;B1837))))</f>
        <v/>
      </c>
    </row>
    <row r="1838" customFormat="false" ht="15" hidden="false" customHeight="false" outlineLevel="0" collapsed="false">
      <c r="B1838" s="78"/>
      <c r="C1838" s="64"/>
      <c r="D1838" s="72" t="str">
        <f aca="false">IF(C1838="","",IFERROR(INDEX(T_NOMBRE,MATCH(C1838,T_ID,0)),"⚠ ID no existe"))</f>
        <v/>
      </c>
      <c r="E1838" s="69"/>
      <c r="F1838" s="67"/>
      <c r="G1838" s="67"/>
      <c r="H1838" s="67"/>
      <c r="I1838" s="67"/>
      <c r="J1838" s="67"/>
      <c r="K1838" s="85" t="str">
        <f aca="false">IF(AH1838="","",N(F1838)+N(G1838)+N(H1838)-N(I1838)+N(J1838))</f>
        <v/>
      </c>
      <c r="L1838" s="67"/>
      <c r="M1838" s="67"/>
      <c r="N1838" s="67"/>
      <c r="O1838" s="67"/>
      <c r="P1838" s="85" t="str">
        <f aca="false">IF(AH1838="","",K1838+N(L1838)+N(M1838)+N(N1838)+N(O1838))</f>
        <v/>
      </c>
      <c r="Q1838" s="67"/>
      <c r="R1838" s="67"/>
      <c r="S1838" s="67"/>
      <c r="T1838" s="67"/>
      <c r="U1838" s="67"/>
      <c r="V1838" s="67"/>
      <c r="W1838" s="85" t="str">
        <f aca="false">IF(AH1838="","",N(Q1838)+N(R1838)+N(S1838)+N(T1838)+N(U1838)+N(V1838))</f>
        <v/>
      </c>
      <c r="X1838" s="85" t="str">
        <f aca="false">IF(AH1838="","",P1838-W1838)</f>
        <v/>
      </c>
      <c r="Y1838" s="67"/>
      <c r="Z1838" s="70" t="str">
        <f aca="false">IF(OR(AH1838="",Y1838=""),"",IF(ABS(X1838-Y1838)&lt;=1,"✓ Cuadra","⚠ Diferencia $"&amp;FIXED(X1838-Y1838,0)))</f>
        <v/>
      </c>
      <c r="AA1838" s="72" t="str">
        <f aca="false">IF(AH1838="","",IFERROR(INDEX(C_TIPO,MATCH(C1838&amp;"-P"&amp;MAX(1,COUNTIFS(C_ID,C1838,C_DEFINE,"Sí",C_INICIO,"&lt;="&amp;EOMONTH(B1838,0))),C_CLAVE,0))&amp;"","Sin dato"))</f>
        <v/>
      </c>
      <c r="AB1838" s="71" t="str">
        <f aca="false">IF(AH1838="","",ROUND(MIN(K1838,TOPE_AFP_UF*AJ1838)*AK1838,0))</f>
        <v/>
      </c>
      <c r="AC1838" s="71" t="str">
        <f aca="false">IF(AH1838="","",ROUND(MIN(K1838,TOPE_AFC_UF*AJ1838)*IF(AA1838="Indefinido",AFC_EMP_INDEF,AFC_EMP_PF),0))</f>
        <v/>
      </c>
      <c r="AD1838" s="71" t="str">
        <f aca="false">IF(AH1838="","",ROUND(MIN(K1838,TOPE_AFP_UF*AJ1838)*(MUTUAL_BASICA+MUTUAL_ADIC+SANNA),0))</f>
        <v/>
      </c>
      <c r="AE1838" s="71" t="str">
        <f aca="false">IF(AH1838="","",P1838-N(N1838)+AB1838+AC1838+AD1838)</f>
        <v/>
      </c>
      <c r="AF1838" s="65"/>
      <c r="AG1838" s="64"/>
      <c r="AH1838" s="72" t="str">
        <f aca="false">IF(OR(B1838="",C1838=""),"",C1838&amp;"|"&amp;(YEAR(B1838)*100+MONTH(B1838)))</f>
        <v/>
      </c>
      <c r="AI1838" s="70" t="str">
        <f aca="false">IF(AH1838="","",IF(COUNTIF(L_CLAVE,AH1838)&gt;1,"⚠ Duplicado","OK"))</f>
        <v/>
      </c>
      <c r="AJ1838" s="86" t="str">
        <f aca="false">IF(AH1838="","",IF(SUMPRODUCT(MAX((IND_PER&lt;=B1838)*(IND_UF&lt;&gt;"")*IND_PER))=0,UF_HOY,INDEX(IND_UF,MATCH(SUMPRODUCT(MAX((IND_PER&lt;=B1838)*(IND_UF&lt;&gt;"")*IND_PER)),IND_PER,0))))</f>
        <v/>
      </c>
      <c r="AK1838" s="87" t="str">
        <f aca="false">IF(AH1838="","",IF(COUNTIF(TASA_DESDE,"&lt;="&amp;B1838)=0,INDEX(TASA_EMP,1),INDEX(TASA_EMP,COUNTIF(TASA_DESDE,"&lt;="&amp;B1838))))</f>
        <v/>
      </c>
    </row>
    <row r="1839" customFormat="false" ht="15" hidden="false" customHeight="false" outlineLevel="0" collapsed="false">
      <c r="B1839" s="78"/>
      <c r="C1839" s="64"/>
      <c r="D1839" s="72" t="str">
        <f aca="false">IF(C1839="","",IFERROR(INDEX(T_NOMBRE,MATCH(C1839,T_ID,0)),"⚠ ID no existe"))</f>
        <v/>
      </c>
      <c r="E1839" s="69"/>
      <c r="F1839" s="67"/>
      <c r="G1839" s="67"/>
      <c r="H1839" s="67"/>
      <c r="I1839" s="67"/>
      <c r="J1839" s="67"/>
      <c r="K1839" s="85" t="str">
        <f aca="false">IF(AH1839="","",N(F1839)+N(G1839)+N(H1839)-N(I1839)+N(J1839))</f>
        <v/>
      </c>
      <c r="L1839" s="67"/>
      <c r="M1839" s="67"/>
      <c r="N1839" s="67"/>
      <c r="O1839" s="67"/>
      <c r="P1839" s="85" t="str">
        <f aca="false">IF(AH1839="","",K1839+N(L1839)+N(M1839)+N(N1839)+N(O1839))</f>
        <v/>
      </c>
      <c r="Q1839" s="67"/>
      <c r="R1839" s="67"/>
      <c r="S1839" s="67"/>
      <c r="T1839" s="67"/>
      <c r="U1839" s="67"/>
      <c r="V1839" s="67"/>
      <c r="W1839" s="85" t="str">
        <f aca="false">IF(AH1839="","",N(Q1839)+N(R1839)+N(S1839)+N(T1839)+N(U1839)+N(V1839))</f>
        <v/>
      </c>
      <c r="X1839" s="85" t="str">
        <f aca="false">IF(AH1839="","",P1839-W1839)</f>
        <v/>
      </c>
      <c r="Y1839" s="67"/>
      <c r="Z1839" s="70" t="str">
        <f aca="false">IF(OR(AH1839="",Y1839=""),"",IF(ABS(X1839-Y1839)&lt;=1,"✓ Cuadra","⚠ Diferencia $"&amp;FIXED(X1839-Y1839,0)))</f>
        <v/>
      </c>
      <c r="AA1839" s="72" t="str">
        <f aca="false">IF(AH1839="","",IFERROR(INDEX(C_TIPO,MATCH(C1839&amp;"-P"&amp;MAX(1,COUNTIFS(C_ID,C1839,C_DEFINE,"Sí",C_INICIO,"&lt;="&amp;EOMONTH(B1839,0))),C_CLAVE,0))&amp;"","Sin dato"))</f>
        <v/>
      </c>
      <c r="AB1839" s="71" t="str">
        <f aca="false">IF(AH1839="","",ROUND(MIN(K1839,TOPE_AFP_UF*AJ1839)*AK1839,0))</f>
        <v/>
      </c>
      <c r="AC1839" s="71" t="str">
        <f aca="false">IF(AH1839="","",ROUND(MIN(K1839,TOPE_AFC_UF*AJ1839)*IF(AA1839="Indefinido",AFC_EMP_INDEF,AFC_EMP_PF),0))</f>
        <v/>
      </c>
      <c r="AD1839" s="71" t="str">
        <f aca="false">IF(AH1839="","",ROUND(MIN(K1839,TOPE_AFP_UF*AJ1839)*(MUTUAL_BASICA+MUTUAL_ADIC+SANNA),0))</f>
        <v/>
      </c>
      <c r="AE1839" s="71" t="str">
        <f aca="false">IF(AH1839="","",P1839-N(N1839)+AB1839+AC1839+AD1839)</f>
        <v/>
      </c>
      <c r="AF1839" s="65"/>
      <c r="AG1839" s="64"/>
      <c r="AH1839" s="72" t="str">
        <f aca="false">IF(OR(B1839="",C1839=""),"",C1839&amp;"|"&amp;(YEAR(B1839)*100+MONTH(B1839)))</f>
        <v/>
      </c>
      <c r="AI1839" s="70" t="str">
        <f aca="false">IF(AH1839="","",IF(COUNTIF(L_CLAVE,AH1839)&gt;1,"⚠ Duplicado","OK"))</f>
        <v/>
      </c>
      <c r="AJ1839" s="86" t="str">
        <f aca="false">IF(AH1839="","",IF(SUMPRODUCT(MAX((IND_PER&lt;=B1839)*(IND_UF&lt;&gt;"")*IND_PER))=0,UF_HOY,INDEX(IND_UF,MATCH(SUMPRODUCT(MAX((IND_PER&lt;=B1839)*(IND_UF&lt;&gt;"")*IND_PER)),IND_PER,0))))</f>
        <v/>
      </c>
      <c r="AK1839" s="87" t="str">
        <f aca="false">IF(AH1839="","",IF(COUNTIF(TASA_DESDE,"&lt;="&amp;B1839)=0,INDEX(TASA_EMP,1),INDEX(TASA_EMP,COUNTIF(TASA_DESDE,"&lt;="&amp;B1839))))</f>
        <v/>
      </c>
    </row>
    <row r="1840" customFormat="false" ht="15" hidden="false" customHeight="false" outlineLevel="0" collapsed="false">
      <c r="B1840" s="78"/>
      <c r="C1840" s="64"/>
      <c r="D1840" s="72" t="str">
        <f aca="false">IF(C1840="","",IFERROR(INDEX(T_NOMBRE,MATCH(C1840,T_ID,0)),"⚠ ID no existe"))</f>
        <v/>
      </c>
      <c r="E1840" s="69"/>
      <c r="F1840" s="67"/>
      <c r="G1840" s="67"/>
      <c r="H1840" s="67"/>
      <c r="I1840" s="67"/>
      <c r="J1840" s="67"/>
      <c r="K1840" s="85" t="str">
        <f aca="false">IF(AH1840="","",N(F1840)+N(G1840)+N(H1840)-N(I1840)+N(J1840))</f>
        <v/>
      </c>
      <c r="L1840" s="67"/>
      <c r="M1840" s="67"/>
      <c r="N1840" s="67"/>
      <c r="O1840" s="67"/>
      <c r="P1840" s="85" t="str">
        <f aca="false">IF(AH1840="","",K1840+N(L1840)+N(M1840)+N(N1840)+N(O1840))</f>
        <v/>
      </c>
      <c r="Q1840" s="67"/>
      <c r="R1840" s="67"/>
      <c r="S1840" s="67"/>
      <c r="T1840" s="67"/>
      <c r="U1840" s="67"/>
      <c r="V1840" s="67"/>
      <c r="W1840" s="85" t="str">
        <f aca="false">IF(AH1840="","",N(Q1840)+N(R1840)+N(S1840)+N(T1840)+N(U1840)+N(V1840))</f>
        <v/>
      </c>
      <c r="X1840" s="85" t="str">
        <f aca="false">IF(AH1840="","",P1840-W1840)</f>
        <v/>
      </c>
      <c r="Y1840" s="67"/>
      <c r="Z1840" s="70" t="str">
        <f aca="false">IF(OR(AH1840="",Y1840=""),"",IF(ABS(X1840-Y1840)&lt;=1,"✓ Cuadra","⚠ Diferencia $"&amp;FIXED(X1840-Y1840,0)))</f>
        <v/>
      </c>
      <c r="AA1840" s="72" t="str">
        <f aca="false">IF(AH1840="","",IFERROR(INDEX(C_TIPO,MATCH(C1840&amp;"-P"&amp;MAX(1,COUNTIFS(C_ID,C1840,C_DEFINE,"Sí",C_INICIO,"&lt;="&amp;EOMONTH(B1840,0))),C_CLAVE,0))&amp;"","Sin dato"))</f>
        <v/>
      </c>
      <c r="AB1840" s="71" t="str">
        <f aca="false">IF(AH1840="","",ROUND(MIN(K1840,TOPE_AFP_UF*AJ1840)*AK1840,0))</f>
        <v/>
      </c>
      <c r="AC1840" s="71" t="str">
        <f aca="false">IF(AH1840="","",ROUND(MIN(K1840,TOPE_AFC_UF*AJ1840)*IF(AA1840="Indefinido",AFC_EMP_INDEF,AFC_EMP_PF),0))</f>
        <v/>
      </c>
      <c r="AD1840" s="71" t="str">
        <f aca="false">IF(AH1840="","",ROUND(MIN(K1840,TOPE_AFP_UF*AJ1840)*(MUTUAL_BASICA+MUTUAL_ADIC+SANNA),0))</f>
        <v/>
      </c>
      <c r="AE1840" s="71" t="str">
        <f aca="false">IF(AH1840="","",P1840-N(N1840)+AB1840+AC1840+AD1840)</f>
        <v/>
      </c>
      <c r="AF1840" s="65"/>
      <c r="AG1840" s="64"/>
      <c r="AH1840" s="72" t="str">
        <f aca="false">IF(OR(B1840="",C1840=""),"",C1840&amp;"|"&amp;(YEAR(B1840)*100+MONTH(B1840)))</f>
        <v/>
      </c>
      <c r="AI1840" s="70" t="str">
        <f aca="false">IF(AH1840="","",IF(COUNTIF(L_CLAVE,AH1840)&gt;1,"⚠ Duplicado","OK"))</f>
        <v/>
      </c>
      <c r="AJ1840" s="86" t="str">
        <f aca="false">IF(AH1840="","",IF(SUMPRODUCT(MAX((IND_PER&lt;=B1840)*(IND_UF&lt;&gt;"")*IND_PER))=0,UF_HOY,INDEX(IND_UF,MATCH(SUMPRODUCT(MAX((IND_PER&lt;=B1840)*(IND_UF&lt;&gt;"")*IND_PER)),IND_PER,0))))</f>
        <v/>
      </c>
      <c r="AK1840" s="87" t="str">
        <f aca="false">IF(AH1840="","",IF(COUNTIF(TASA_DESDE,"&lt;="&amp;B1840)=0,INDEX(TASA_EMP,1),INDEX(TASA_EMP,COUNTIF(TASA_DESDE,"&lt;="&amp;B1840))))</f>
        <v/>
      </c>
    </row>
    <row r="1841" customFormat="false" ht="15" hidden="false" customHeight="false" outlineLevel="0" collapsed="false">
      <c r="B1841" s="78"/>
      <c r="C1841" s="64"/>
      <c r="D1841" s="72" t="str">
        <f aca="false">IF(C1841="","",IFERROR(INDEX(T_NOMBRE,MATCH(C1841,T_ID,0)),"⚠ ID no existe"))</f>
        <v/>
      </c>
      <c r="E1841" s="69"/>
      <c r="F1841" s="67"/>
      <c r="G1841" s="67"/>
      <c r="H1841" s="67"/>
      <c r="I1841" s="67"/>
      <c r="J1841" s="67"/>
      <c r="K1841" s="85" t="str">
        <f aca="false">IF(AH1841="","",N(F1841)+N(G1841)+N(H1841)-N(I1841)+N(J1841))</f>
        <v/>
      </c>
      <c r="L1841" s="67"/>
      <c r="M1841" s="67"/>
      <c r="N1841" s="67"/>
      <c r="O1841" s="67"/>
      <c r="P1841" s="85" t="str">
        <f aca="false">IF(AH1841="","",K1841+N(L1841)+N(M1841)+N(N1841)+N(O1841))</f>
        <v/>
      </c>
      <c r="Q1841" s="67"/>
      <c r="R1841" s="67"/>
      <c r="S1841" s="67"/>
      <c r="T1841" s="67"/>
      <c r="U1841" s="67"/>
      <c r="V1841" s="67"/>
      <c r="W1841" s="85" t="str">
        <f aca="false">IF(AH1841="","",N(Q1841)+N(R1841)+N(S1841)+N(T1841)+N(U1841)+N(V1841))</f>
        <v/>
      </c>
      <c r="X1841" s="85" t="str">
        <f aca="false">IF(AH1841="","",P1841-W1841)</f>
        <v/>
      </c>
      <c r="Y1841" s="67"/>
      <c r="Z1841" s="70" t="str">
        <f aca="false">IF(OR(AH1841="",Y1841=""),"",IF(ABS(X1841-Y1841)&lt;=1,"✓ Cuadra","⚠ Diferencia $"&amp;FIXED(X1841-Y1841,0)))</f>
        <v/>
      </c>
      <c r="AA1841" s="72" t="str">
        <f aca="false">IF(AH1841="","",IFERROR(INDEX(C_TIPO,MATCH(C1841&amp;"-P"&amp;MAX(1,COUNTIFS(C_ID,C1841,C_DEFINE,"Sí",C_INICIO,"&lt;="&amp;EOMONTH(B1841,0))),C_CLAVE,0))&amp;"","Sin dato"))</f>
        <v/>
      </c>
      <c r="AB1841" s="71" t="str">
        <f aca="false">IF(AH1841="","",ROUND(MIN(K1841,TOPE_AFP_UF*AJ1841)*AK1841,0))</f>
        <v/>
      </c>
      <c r="AC1841" s="71" t="str">
        <f aca="false">IF(AH1841="","",ROUND(MIN(K1841,TOPE_AFC_UF*AJ1841)*IF(AA1841="Indefinido",AFC_EMP_INDEF,AFC_EMP_PF),0))</f>
        <v/>
      </c>
      <c r="AD1841" s="71" t="str">
        <f aca="false">IF(AH1841="","",ROUND(MIN(K1841,TOPE_AFP_UF*AJ1841)*(MUTUAL_BASICA+MUTUAL_ADIC+SANNA),0))</f>
        <v/>
      </c>
      <c r="AE1841" s="71" t="str">
        <f aca="false">IF(AH1841="","",P1841-N(N1841)+AB1841+AC1841+AD1841)</f>
        <v/>
      </c>
      <c r="AF1841" s="65"/>
      <c r="AG1841" s="64"/>
      <c r="AH1841" s="72" t="str">
        <f aca="false">IF(OR(B1841="",C1841=""),"",C1841&amp;"|"&amp;(YEAR(B1841)*100+MONTH(B1841)))</f>
        <v/>
      </c>
      <c r="AI1841" s="70" t="str">
        <f aca="false">IF(AH1841="","",IF(COUNTIF(L_CLAVE,AH1841)&gt;1,"⚠ Duplicado","OK"))</f>
        <v/>
      </c>
      <c r="AJ1841" s="86" t="str">
        <f aca="false">IF(AH1841="","",IF(SUMPRODUCT(MAX((IND_PER&lt;=B1841)*(IND_UF&lt;&gt;"")*IND_PER))=0,UF_HOY,INDEX(IND_UF,MATCH(SUMPRODUCT(MAX((IND_PER&lt;=B1841)*(IND_UF&lt;&gt;"")*IND_PER)),IND_PER,0))))</f>
        <v/>
      </c>
      <c r="AK1841" s="87" t="str">
        <f aca="false">IF(AH1841="","",IF(COUNTIF(TASA_DESDE,"&lt;="&amp;B1841)=0,INDEX(TASA_EMP,1),INDEX(TASA_EMP,COUNTIF(TASA_DESDE,"&lt;="&amp;B1841))))</f>
        <v/>
      </c>
    </row>
    <row r="1842" customFormat="false" ht="15" hidden="false" customHeight="false" outlineLevel="0" collapsed="false">
      <c r="B1842" s="78"/>
      <c r="C1842" s="64"/>
      <c r="D1842" s="72" t="str">
        <f aca="false">IF(C1842="","",IFERROR(INDEX(T_NOMBRE,MATCH(C1842,T_ID,0)),"⚠ ID no existe"))</f>
        <v/>
      </c>
      <c r="E1842" s="69"/>
      <c r="F1842" s="67"/>
      <c r="G1842" s="67"/>
      <c r="H1842" s="67"/>
      <c r="I1842" s="67"/>
      <c r="J1842" s="67"/>
      <c r="K1842" s="85" t="str">
        <f aca="false">IF(AH1842="","",N(F1842)+N(G1842)+N(H1842)-N(I1842)+N(J1842))</f>
        <v/>
      </c>
      <c r="L1842" s="67"/>
      <c r="M1842" s="67"/>
      <c r="N1842" s="67"/>
      <c r="O1842" s="67"/>
      <c r="P1842" s="85" t="str">
        <f aca="false">IF(AH1842="","",K1842+N(L1842)+N(M1842)+N(N1842)+N(O1842))</f>
        <v/>
      </c>
      <c r="Q1842" s="67"/>
      <c r="R1842" s="67"/>
      <c r="S1842" s="67"/>
      <c r="T1842" s="67"/>
      <c r="U1842" s="67"/>
      <c r="V1842" s="67"/>
      <c r="W1842" s="85" t="str">
        <f aca="false">IF(AH1842="","",N(Q1842)+N(R1842)+N(S1842)+N(T1842)+N(U1842)+N(V1842))</f>
        <v/>
      </c>
      <c r="X1842" s="85" t="str">
        <f aca="false">IF(AH1842="","",P1842-W1842)</f>
        <v/>
      </c>
      <c r="Y1842" s="67"/>
      <c r="Z1842" s="70" t="str">
        <f aca="false">IF(OR(AH1842="",Y1842=""),"",IF(ABS(X1842-Y1842)&lt;=1,"✓ Cuadra","⚠ Diferencia $"&amp;FIXED(X1842-Y1842,0)))</f>
        <v/>
      </c>
      <c r="AA1842" s="72" t="str">
        <f aca="false">IF(AH1842="","",IFERROR(INDEX(C_TIPO,MATCH(C1842&amp;"-P"&amp;MAX(1,COUNTIFS(C_ID,C1842,C_DEFINE,"Sí",C_INICIO,"&lt;="&amp;EOMONTH(B1842,0))),C_CLAVE,0))&amp;"","Sin dato"))</f>
        <v/>
      </c>
      <c r="AB1842" s="71" t="str">
        <f aca="false">IF(AH1842="","",ROUND(MIN(K1842,TOPE_AFP_UF*AJ1842)*AK1842,0))</f>
        <v/>
      </c>
      <c r="AC1842" s="71" t="str">
        <f aca="false">IF(AH1842="","",ROUND(MIN(K1842,TOPE_AFC_UF*AJ1842)*IF(AA1842="Indefinido",AFC_EMP_INDEF,AFC_EMP_PF),0))</f>
        <v/>
      </c>
      <c r="AD1842" s="71" t="str">
        <f aca="false">IF(AH1842="","",ROUND(MIN(K1842,TOPE_AFP_UF*AJ1842)*(MUTUAL_BASICA+MUTUAL_ADIC+SANNA),0))</f>
        <v/>
      </c>
      <c r="AE1842" s="71" t="str">
        <f aca="false">IF(AH1842="","",P1842-N(N1842)+AB1842+AC1842+AD1842)</f>
        <v/>
      </c>
      <c r="AF1842" s="65"/>
      <c r="AG1842" s="64"/>
      <c r="AH1842" s="72" t="str">
        <f aca="false">IF(OR(B1842="",C1842=""),"",C1842&amp;"|"&amp;(YEAR(B1842)*100+MONTH(B1842)))</f>
        <v/>
      </c>
      <c r="AI1842" s="70" t="str">
        <f aca="false">IF(AH1842="","",IF(COUNTIF(L_CLAVE,AH1842)&gt;1,"⚠ Duplicado","OK"))</f>
        <v/>
      </c>
      <c r="AJ1842" s="86" t="str">
        <f aca="false">IF(AH1842="","",IF(SUMPRODUCT(MAX((IND_PER&lt;=B1842)*(IND_UF&lt;&gt;"")*IND_PER))=0,UF_HOY,INDEX(IND_UF,MATCH(SUMPRODUCT(MAX((IND_PER&lt;=B1842)*(IND_UF&lt;&gt;"")*IND_PER)),IND_PER,0))))</f>
        <v/>
      </c>
      <c r="AK1842" s="87" t="str">
        <f aca="false">IF(AH1842="","",IF(COUNTIF(TASA_DESDE,"&lt;="&amp;B1842)=0,INDEX(TASA_EMP,1),INDEX(TASA_EMP,COUNTIF(TASA_DESDE,"&lt;="&amp;B1842))))</f>
        <v/>
      </c>
    </row>
    <row r="1843" customFormat="false" ht="15" hidden="false" customHeight="false" outlineLevel="0" collapsed="false">
      <c r="B1843" s="78"/>
      <c r="C1843" s="64"/>
      <c r="D1843" s="72" t="str">
        <f aca="false">IF(C1843="","",IFERROR(INDEX(T_NOMBRE,MATCH(C1843,T_ID,0)),"⚠ ID no existe"))</f>
        <v/>
      </c>
      <c r="E1843" s="69"/>
      <c r="F1843" s="67"/>
      <c r="G1843" s="67"/>
      <c r="H1843" s="67"/>
      <c r="I1843" s="67"/>
      <c r="J1843" s="67"/>
      <c r="K1843" s="85" t="str">
        <f aca="false">IF(AH1843="","",N(F1843)+N(G1843)+N(H1843)-N(I1843)+N(J1843))</f>
        <v/>
      </c>
      <c r="L1843" s="67"/>
      <c r="M1843" s="67"/>
      <c r="N1843" s="67"/>
      <c r="O1843" s="67"/>
      <c r="P1843" s="85" t="str">
        <f aca="false">IF(AH1843="","",K1843+N(L1843)+N(M1843)+N(N1843)+N(O1843))</f>
        <v/>
      </c>
      <c r="Q1843" s="67"/>
      <c r="R1843" s="67"/>
      <c r="S1843" s="67"/>
      <c r="T1843" s="67"/>
      <c r="U1843" s="67"/>
      <c r="V1843" s="67"/>
      <c r="W1843" s="85" t="str">
        <f aca="false">IF(AH1843="","",N(Q1843)+N(R1843)+N(S1843)+N(T1843)+N(U1843)+N(V1843))</f>
        <v/>
      </c>
      <c r="X1843" s="85" t="str">
        <f aca="false">IF(AH1843="","",P1843-W1843)</f>
        <v/>
      </c>
      <c r="Y1843" s="67"/>
      <c r="Z1843" s="70" t="str">
        <f aca="false">IF(OR(AH1843="",Y1843=""),"",IF(ABS(X1843-Y1843)&lt;=1,"✓ Cuadra","⚠ Diferencia $"&amp;FIXED(X1843-Y1843,0)))</f>
        <v/>
      </c>
      <c r="AA1843" s="72" t="str">
        <f aca="false">IF(AH1843="","",IFERROR(INDEX(C_TIPO,MATCH(C1843&amp;"-P"&amp;MAX(1,COUNTIFS(C_ID,C1843,C_DEFINE,"Sí",C_INICIO,"&lt;="&amp;EOMONTH(B1843,0))),C_CLAVE,0))&amp;"","Sin dato"))</f>
        <v/>
      </c>
      <c r="AB1843" s="71" t="str">
        <f aca="false">IF(AH1843="","",ROUND(MIN(K1843,TOPE_AFP_UF*AJ1843)*AK1843,0))</f>
        <v/>
      </c>
      <c r="AC1843" s="71" t="str">
        <f aca="false">IF(AH1843="","",ROUND(MIN(K1843,TOPE_AFC_UF*AJ1843)*IF(AA1843="Indefinido",AFC_EMP_INDEF,AFC_EMP_PF),0))</f>
        <v/>
      </c>
      <c r="AD1843" s="71" t="str">
        <f aca="false">IF(AH1843="","",ROUND(MIN(K1843,TOPE_AFP_UF*AJ1843)*(MUTUAL_BASICA+MUTUAL_ADIC+SANNA),0))</f>
        <v/>
      </c>
      <c r="AE1843" s="71" t="str">
        <f aca="false">IF(AH1843="","",P1843-N(N1843)+AB1843+AC1843+AD1843)</f>
        <v/>
      </c>
      <c r="AF1843" s="65"/>
      <c r="AG1843" s="64"/>
      <c r="AH1843" s="72" t="str">
        <f aca="false">IF(OR(B1843="",C1843=""),"",C1843&amp;"|"&amp;(YEAR(B1843)*100+MONTH(B1843)))</f>
        <v/>
      </c>
      <c r="AI1843" s="70" t="str">
        <f aca="false">IF(AH1843="","",IF(COUNTIF(L_CLAVE,AH1843)&gt;1,"⚠ Duplicado","OK"))</f>
        <v/>
      </c>
      <c r="AJ1843" s="86" t="str">
        <f aca="false">IF(AH1843="","",IF(SUMPRODUCT(MAX((IND_PER&lt;=B1843)*(IND_UF&lt;&gt;"")*IND_PER))=0,UF_HOY,INDEX(IND_UF,MATCH(SUMPRODUCT(MAX((IND_PER&lt;=B1843)*(IND_UF&lt;&gt;"")*IND_PER)),IND_PER,0))))</f>
        <v/>
      </c>
      <c r="AK1843" s="87" t="str">
        <f aca="false">IF(AH1843="","",IF(COUNTIF(TASA_DESDE,"&lt;="&amp;B1843)=0,INDEX(TASA_EMP,1),INDEX(TASA_EMP,COUNTIF(TASA_DESDE,"&lt;="&amp;B1843))))</f>
        <v/>
      </c>
    </row>
    <row r="1844" customFormat="false" ht="15" hidden="false" customHeight="false" outlineLevel="0" collapsed="false">
      <c r="B1844" s="78"/>
      <c r="C1844" s="64"/>
      <c r="D1844" s="72" t="str">
        <f aca="false">IF(C1844="","",IFERROR(INDEX(T_NOMBRE,MATCH(C1844,T_ID,0)),"⚠ ID no existe"))</f>
        <v/>
      </c>
      <c r="E1844" s="69"/>
      <c r="F1844" s="67"/>
      <c r="G1844" s="67"/>
      <c r="H1844" s="67"/>
      <c r="I1844" s="67"/>
      <c r="J1844" s="67"/>
      <c r="K1844" s="85" t="str">
        <f aca="false">IF(AH1844="","",N(F1844)+N(G1844)+N(H1844)-N(I1844)+N(J1844))</f>
        <v/>
      </c>
      <c r="L1844" s="67"/>
      <c r="M1844" s="67"/>
      <c r="N1844" s="67"/>
      <c r="O1844" s="67"/>
      <c r="P1844" s="85" t="str">
        <f aca="false">IF(AH1844="","",K1844+N(L1844)+N(M1844)+N(N1844)+N(O1844))</f>
        <v/>
      </c>
      <c r="Q1844" s="67"/>
      <c r="R1844" s="67"/>
      <c r="S1844" s="67"/>
      <c r="T1844" s="67"/>
      <c r="U1844" s="67"/>
      <c r="V1844" s="67"/>
      <c r="W1844" s="85" t="str">
        <f aca="false">IF(AH1844="","",N(Q1844)+N(R1844)+N(S1844)+N(T1844)+N(U1844)+N(V1844))</f>
        <v/>
      </c>
      <c r="X1844" s="85" t="str">
        <f aca="false">IF(AH1844="","",P1844-W1844)</f>
        <v/>
      </c>
      <c r="Y1844" s="67"/>
      <c r="Z1844" s="70" t="str">
        <f aca="false">IF(OR(AH1844="",Y1844=""),"",IF(ABS(X1844-Y1844)&lt;=1,"✓ Cuadra","⚠ Diferencia $"&amp;FIXED(X1844-Y1844,0)))</f>
        <v/>
      </c>
      <c r="AA1844" s="72" t="str">
        <f aca="false">IF(AH1844="","",IFERROR(INDEX(C_TIPO,MATCH(C1844&amp;"-P"&amp;MAX(1,COUNTIFS(C_ID,C1844,C_DEFINE,"Sí",C_INICIO,"&lt;="&amp;EOMONTH(B1844,0))),C_CLAVE,0))&amp;"","Sin dato"))</f>
        <v/>
      </c>
      <c r="AB1844" s="71" t="str">
        <f aca="false">IF(AH1844="","",ROUND(MIN(K1844,TOPE_AFP_UF*AJ1844)*AK1844,0))</f>
        <v/>
      </c>
      <c r="AC1844" s="71" t="str">
        <f aca="false">IF(AH1844="","",ROUND(MIN(K1844,TOPE_AFC_UF*AJ1844)*IF(AA1844="Indefinido",AFC_EMP_INDEF,AFC_EMP_PF),0))</f>
        <v/>
      </c>
      <c r="AD1844" s="71" t="str">
        <f aca="false">IF(AH1844="","",ROUND(MIN(K1844,TOPE_AFP_UF*AJ1844)*(MUTUAL_BASICA+MUTUAL_ADIC+SANNA),0))</f>
        <v/>
      </c>
      <c r="AE1844" s="71" t="str">
        <f aca="false">IF(AH1844="","",P1844-N(N1844)+AB1844+AC1844+AD1844)</f>
        <v/>
      </c>
      <c r="AF1844" s="65"/>
      <c r="AG1844" s="64"/>
      <c r="AH1844" s="72" t="str">
        <f aca="false">IF(OR(B1844="",C1844=""),"",C1844&amp;"|"&amp;(YEAR(B1844)*100+MONTH(B1844)))</f>
        <v/>
      </c>
      <c r="AI1844" s="70" t="str">
        <f aca="false">IF(AH1844="","",IF(COUNTIF(L_CLAVE,AH1844)&gt;1,"⚠ Duplicado","OK"))</f>
        <v/>
      </c>
      <c r="AJ1844" s="86" t="str">
        <f aca="false">IF(AH1844="","",IF(SUMPRODUCT(MAX((IND_PER&lt;=B1844)*(IND_UF&lt;&gt;"")*IND_PER))=0,UF_HOY,INDEX(IND_UF,MATCH(SUMPRODUCT(MAX((IND_PER&lt;=B1844)*(IND_UF&lt;&gt;"")*IND_PER)),IND_PER,0))))</f>
        <v/>
      </c>
      <c r="AK1844" s="87" t="str">
        <f aca="false">IF(AH1844="","",IF(COUNTIF(TASA_DESDE,"&lt;="&amp;B1844)=0,INDEX(TASA_EMP,1),INDEX(TASA_EMP,COUNTIF(TASA_DESDE,"&lt;="&amp;B1844))))</f>
        <v/>
      </c>
    </row>
    <row r="1845" customFormat="false" ht="15" hidden="false" customHeight="false" outlineLevel="0" collapsed="false">
      <c r="B1845" s="78"/>
      <c r="C1845" s="64"/>
      <c r="D1845" s="72" t="str">
        <f aca="false">IF(C1845="","",IFERROR(INDEX(T_NOMBRE,MATCH(C1845,T_ID,0)),"⚠ ID no existe"))</f>
        <v/>
      </c>
      <c r="E1845" s="69"/>
      <c r="F1845" s="67"/>
      <c r="G1845" s="67"/>
      <c r="H1845" s="67"/>
      <c r="I1845" s="67"/>
      <c r="J1845" s="67"/>
      <c r="K1845" s="85" t="str">
        <f aca="false">IF(AH1845="","",N(F1845)+N(G1845)+N(H1845)-N(I1845)+N(J1845))</f>
        <v/>
      </c>
      <c r="L1845" s="67"/>
      <c r="M1845" s="67"/>
      <c r="N1845" s="67"/>
      <c r="O1845" s="67"/>
      <c r="P1845" s="85" t="str">
        <f aca="false">IF(AH1845="","",K1845+N(L1845)+N(M1845)+N(N1845)+N(O1845))</f>
        <v/>
      </c>
      <c r="Q1845" s="67"/>
      <c r="R1845" s="67"/>
      <c r="S1845" s="67"/>
      <c r="T1845" s="67"/>
      <c r="U1845" s="67"/>
      <c r="V1845" s="67"/>
      <c r="W1845" s="85" t="str">
        <f aca="false">IF(AH1845="","",N(Q1845)+N(R1845)+N(S1845)+N(T1845)+N(U1845)+N(V1845))</f>
        <v/>
      </c>
      <c r="X1845" s="85" t="str">
        <f aca="false">IF(AH1845="","",P1845-W1845)</f>
        <v/>
      </c>
      <c r="Y1845" s="67"/>
      <c r="Z1845" s="70" t="str">
        <f aca="false">IF(OR(AH1845="",Y1845=""),"",IF(ABS(X1845-Y1845)&lt;=1,"✓ Cuadra","⚠ Diferencia $"&amp;FIXED(X1845-Y1845,0)))</f>
        <v/>
      </c>
      <c r="AA1845" s="72" t="str">
        <f aca="false">IF(AH1845="","",IFERROR(INDEX(C_TIPO,MATCH(C1845&amp;"-P"&amp;MAX(1,COUNTIFS(C_ID,C1845,C_DEFINE,"Sí",C_INICIO,"&lt;="&amp;EOMONTH(B1845,0))),C_CLAVE,0))&amp;"","Sin dato"))</f>
        <v/>
      </c>
      <c r="AB1845" s="71" t="str">
        <f aca="false">IF(AH1845="","",ROUND(MIN(K1845,TOPE_AFP_UF*AJ1845)*AK1845,0))</f>
        <v/>
      </c>
      <c r="AC1845" s="71" t="str">
        <f aca="false">IF(AH1845="","",ROUND(MIN(K1845,TOPE_AFC_UF*AJ1845)*IF(AA1845="Indefinido",AFC_EMP_INDEF,AFC_EMP_PF),0))</f>
        <v/>
      </c>
      <c r="AD1845" s="71" t="str">
        <f aca="false">IF(AH1845="","",ROUND(MIN(K1845,TOPE_AFP_UF*AJ1845)*(MUTUAL_BASICA+MUTUAL_ADIC+SANNA),0))</f>
        <v/>
      </c>
      <c r="AE1845" s="71" t="str">
        <f aca="false">IF(AH1845="","",P1845-N(N1845)+AB1845+AC1845+AD1845)</f>
        <v/>
      </c>
      <c r="AF1845" s="65"/>
      <c r="AG1845" s="64"/>
      <c r="AH1845" s="72" t="str">
        <f aca="false">IF(OR(B1845="",C1845=""),"",C1845&amp;"|"&amp;(YEAR(B1845)*100+MONTH(B1845)))</f>
        <v/>
      </c>
      <c r="AI1845" s="70" t="str">
        <f aca="false">IF(AH1845="","",IF(COUNTIF(L_CLAVE,AH1845)&gt;1,"⚠ Duplicado","OK"))</f>
        <v/>
      </c>
      <c r="AJ1845" s="86" t="str">
        <f aca="false">IF(AH1845="","",IF(SUMPRODUCT(MAX((IND_PER&lt;=B1845)*(IND_UF&lt;&gt;"")*IND_PER))=0,UF_HOY,INDEX(IND_UF,MATCH(SUMPRODUCT(MAX((IND_PER&lt;=B1845)*(IND_UF&lt;&gt;"")*IND_PER)),IND_PER,0))))</f>
        <v/>
      </c>
      <c r="AK1845" s="87" t="str">
        <f aca="false">IF(AH1845="","",IF(COUNTIF(TASA_DESDE,"&lt;="&amp;B1845)=0,INDEX(TASA_EMP,1),INDEX(TASA_EMP,COUNTIF(TASA_DESDE,"&lt;="&amp;B1845))))</f>
        <v/>
      </c>
    </row>
    <row r="1846" customFormat="false" ht="15" hidden="false" customHeight="false" outlineLevel="0" collapsed="false">
      <c r="B1846" s="78"/>
      <c r="C1846" s="64"/>
      <c r="D1846" s="72" t="str">
        <f aca="false">IF(C1846="","",IFERROR(INDEX(T_NOMBRE,MATCH(C1846,T_ID,0)),"⚠ ID no existe"))</f>
        <v/>
      </c>
      <c r="E1846" s="69"/>
      <c r="F1846" s="67"/>
      <c r="G1846" s="67"/>
      <c r="H1846" s="67"/>
      <c r="I1846" s="67"/>
      <c r="J1846" s="67"/>
      <c r="K1846" s="85" t="str">
        <f aca="false">IF(AH1846="","",N(F1846)+N(G1846)+N(H1846)-N(I1846)+N(J1846))</f>
        <v/>
      </c>
      <c r="L1846" s="67"/>
      <c r="M1846" s="67"/>
      <c r="N1846" s="67"/>
      <c r="O1846" s="67"/>
      <c r="P1846" s="85" t="str">
        <f aca="false">IF(AH1846="","",K1846+N(L1846)+N(M1846)+N(N1846)+N(O1846))</f>
        <v/>
      </c>
      <c r="Q1846" s="67"/>
      <c r="R1846" s="67"/>
      <c r="S1846" s="67"/>
      <c r="T1846" s="67"/>
      <c r="U1846" s="67"/>
      <c r="V1846" s="67"/>
      <c r="W1846" s="85" t="str">
        <f aca="false">IF(AH1846="","",N(Q1846)+N(R1846)+N(S1846)+N(T1846)+N(U1846)+N(V1846))</f>
        <v/>
      </c>
      <c r="X1846" s="85" t="str">
        <f aca="false">IF(AH1846="","",P1846-W1846)</f>
        <v/>
      </c>
      <c r="Y1846" s="67"/>
      <c r="Z1846" s="70" t="str">
        <f aca="false">IF(OR(AH1846="",Y1846=""),"",IF(ABS(X1846-Y1846)&lt;=1,"✓ Cuadra","⚠ Diferencia $"&amp;FIXED(X1846-Y1846,0)))</f>
        <v/>
      </c>
      <c r="AA1846" s="72" t="str">
        <f aca="false">IF(AH1846="","",IFERROR(INDEX(C_TIPO,MATCH(C1846&amp;"-P"&amp;MAX(1,COUNTIFS(C_ID,C1846,C_DEFINE,"Sí",C_INICIO,"&lt;="&amp;EOMONTH(B1846,0))),C_CLAVE,0))&amp;"","Sin dato"))</f>
        <v/>
      </c>
      <c r="AB1846" s="71" t="str">
        <f aca="false">IF(AH1846="","",ROUND(MIN(K1846,TOPE_AFP_UF*AJ1846)*AK1846,0))</f>
        <v/>
      </c>
      <c r="AC1846" s="71" t="str">
        <f aca="false">IF(AH1846="","",ROUND(MIN(K1846,TOPE_AFC_UF*AJ1846)*IF(AA1846="Indefinido",AFC_EMP_INDEF,AFC_EMP_PF),0))</f>
        <v/>
      </c>
      <c r="AD1846" s="71" t="str">
        <f aca="false">IF(AH1846="","",ROUND(MIN(K1846,TOPE_AFP_UF*AJ1846)*(MUTUAL_BASICA+MUTUAL_ADIC+SANNA),0))</f>
        <v/>
      </c>
      <c r="AE1846" s="71" t="str">
        <f aca="false">IF(AH1846="","",P1846-N(N1846)+AB1846+AC1846+AD1846)</f>
        <v/>
      </c>
      <c r="AF1846" s="65"/>
      <c r="AG1846" s="64"/>
      <c r="AH1846" s="72" t="str">
        <f aca="false">IF(OR(B1846="",C1846=""),"",C1846&amp;"|"&amp;(YEAR(B1846)*100+MONTH(B1846)))</f>
        <v/>
      </c>
      <c r="AI1846" s="70" t="str">
        <f aca="false">IF(AH1846="","",IF(COUNTIF(L_CLAVE,AH1846)&gt;1,"⚠ Duplicado","OK"))</f>
        <v/>
      </c>
      <c r="AJ1846" s="86" t="str">
        <f aca="false">IF(AH1846="","",IF(SUMPRODUCT(MAX((IND_PER&lt;=B1846)*(IND_UF&lt;&gt;"")*IND_PER))=0,UF_HOY,INDEX(IND_UF,MATCH(SUMPRODUCT(MAX((IND_PER&lt;=B1846)*(IND_UF&lt;&gt;"")*IND_PER)),IND_PER,0))))</f>
        <v/>
      </c>
      <c r="AK1846" s="87" t="str">
        <f aca="false">IF(AH1846="","",IF(COUNTIF(TASA_DESDE,"&lt;="&amp;B1846)=0,INDEX(TASA_EMP,1),INDEX(TASA_EMP,COUNTIF(TASA_DESDE,"&lt;="&amp;B1846))))</f>
        <v/>
      </c>
    </row>
    <row r="1847" customFormat="false" ht="15" hidden="false" customHeight="false" outlineLevel="0" collapsed="false">
      <c r="B1847" s="78"/>
      <c r="C1847" s="64"/>
      <c r="D1847" s="72" t="str">
        <f aca="false">IF(C1847="","",IFERROR(INDEX(T_NOMBRE,MATCH(C1847,T_ID,0)),"⚠ ID no existe"))</f>
        <v/>
      </c>
      <c r="E1847" s="69"/>
      <c r="F1847" s="67"/>
      <c r="G1847" s="67"/>
      <c r="H1847" s="67"/>
      <c r="I1847" s="67"/>
      <c r="J1847" s="67"/>
      <c r="K1847" s="85" t="str">
        <f aca="false">IF(AH1847="","",N(F1847)+N(G1847)+N(H1847)-N(I1847)+N(J1847))</f>
        <v/>
      </c>
      <c r="L1847" s="67"/>
      <c r="M1847" s="67"/>
      <c r="N1847" s="67"/>
      <c r="O1847" s="67"/>
      <c r="P1847" s="85" t="str">
        <f aca="false">IF(AH1847="","",K1847+N(L1847)+N(M1847)+N(N1847)+N(O1847))</f>
        <v/>
      </c>
      <c r="Q1847" s="67"/>
      <c r="R1847" s="67"/>
      <c r="S1847" s="67"/>
      <c r="T1847" s="67"/>
      <c r="U1847" s="67"/>
      <c r="V1847" s="67"/>
      <c r="W1847" s="85" t="str">
        <f aca="false">IF(AH1847="","",N(Q1847)+N(R1847)+N(S1847)+N(T1847)+N(U1847)+N(V1847))</f>
        <v/>
      </c>
      <c r="X1847" s="85" t="str">
        <f aca="false">IF(AH1847="","",P1847-W1847)</f>
        <v/>
      </c>
      <c r="Y1847" s="67"/>
      <c r="Z1847" s="70" t="str">
        <f aca="false">IF(OR(AH1847="",Y1847=""),"",IF(ABS(X1847-Y1847)&lt;=1,"✓ Cuadra","⚠ Diferencia $"&amp;FIXED(X1847-Y1847,0)))</f>
        <v/>
      </c>
      <c r="AA1847" s="72" t="str">
        <f aca="false">IF(AH1847="","",IFERROR(INDEX(C_TIPO,MATCH(C1847&amp;"-P"&amp;MAX(1,COUNTIFS(C_ID,C1847,C_DEFINE,"Sí",C_INICIO,"&lt;="&amp;EOMONTH(B1847,0))),C_CLAVE,0))&amp;"","Sin dato"))</f>
        <v/>
      </c>
      <c r="AB1847" s="71" t="str">
        <f aca="false">IF(AH1847="","",ROUND(MIN(K1847,TOPE_AFP_UF*AJ1847)*AK1847,0))</f>
        <v/>
      </c>
      <c r="AC1847" s="71" t="str">
        <f aca="false">IF(AH1847="","",ROUND(MIN(K1847,TOPE_AFC_UF*AJ1847)*IF(AA1847="Indefinido",AFC_EMP_INDEF,AFC_EMP_PF),0))</f>
        <v/>
      </c>
      <c r="AD1847" s="71" t="str">
        <f aca="false">IF(AH1847="","",ROUND(MIN(K1847,TOPE_AFP_UF*AJ1847)*(MUTUAL_BASICA+MUTUAL_ADIC+SANNA),0))</f>
        <v/>
      </c>
      <c r="AE1847" s="71" t="str">
        <f aca="false">IF(AH1847="","",P1847-N(N1847)+AB1847+AC1847+AD1847)</f>
        <v/>
      </c>
      <c r="AF1847" s="65"/>
      <c r="AG1847" s="64"/>
      <c r="AH1847" s="72" t="str">
        <f aca="false">IF(OR(B1847="",C1847=""),"",C1847&amp;"|"&amp;(YEAR(B1847)*100+MONTH(B1847)))</f>
        <v/>
      </c>
      <c r="AI1847" s="70" t="str">
        <f aca="false">IF(AH1847="","",IF(COUNTIF(L_CLAVE,AH1847)&gt;1,"⚠ Duplicado","OK"))</f>
        <v/>
      </c>
      <c r="AJ1847" s="86" t="str">
        <f aca="false">IF(AH1847="","",IF(SUMPRODUCT(MAX((IND_PER&lt;=B1847)*(IND_UF&lt;&gt;"")*IND_PER))=0,UF_HOY,INDEX(IND_UF,MATCH(SUMPRODUCT(MAX((IND_PER&lt;=B1847)*(IND_UF&lt;&gt;"")*IND_PER)),IND_PER,0))))</f>
        <v/>
      </c>
      <c r="AK1847" s="87" t="str">
        <f aca="false">IF(AH1847="","",IF(COUNTIF(TASA_DESDE,"&lt;="&amp;B1847)=0,INDEX(TASA_EMP,1),INDEX(TASA_EMP,COUNTIF(TASA_DESDE,"&lt;="&amp;B1847))))</f>
        <v/>
      </c>
    </row>
    <row r="1848" customFormat="false" ht="15" hidden="false" customHeight="false" outlineLevel="0" collapsed="false">
      <c r="B1848" s="78"/>
      <c r="C1848" s="64"/>
      <c r="D1848" s="72" t="str">
        <f aca="false">IF(C1848="","",IFERROR(INDEX(T_NOMBRE,MATCH(C1848,T_ID,0)),"⚠ ID no existe"))</f>
        <v/>
      </c>
      <c r="E1848" s="69"/>
      <c r="F1848" s="67"/>
      <c r="G1848" s="67"/>
      <c r="H1848" s="67"/>
      <c r="I1848" s="67"/>
      <c r="J1848" s="67"/>
      <c r="K1848" s="85" t="str">
        <f aca="false">IF(AH1848="","",N(F1848)+N(G1848)+N(H1848)-N(I1848)+N(J1848))</f>
        <v/>
      </c>
      <c r="L1848" s="67"/>
      <c r="M1848" s="67"/>
      <c r="N1848" s="67"/>
      <c r="O1848" s="67"/>
      <c r="P1848" s="85" t="str">
        <f aca="false">IF(AH1848="","",K1848+N(L1848)+N(M1848)+N(N1848)+N(O1848))</f>
        <v/>
      </c>
      <c r="Q1848" s="67"/>
      <c r="R1848" s="67"/>
      <c r="S1848" s="67"/>
      <c r="T1848" s="67"/>
      <c r="U1848" s="67"/>
      <c r="V1848" s="67"/>
      <c r="W1848" s="85" t="str">
        <f aca="false">IF(AH1848="","",N(Q1848)+N(R1848)+N(S1848)+N(T1848)+N(U1848)+N(V1848))</f>
        <v/>
      </c>
      <c r="X1848" s="85" t="str">
        <f aca="false">IF(AH1848="","",P1848-W1848)</f>
        <v/>
      </c>
      <c r="Y1848" s="67"/>
      <c r="Z1848" s="70" t="str">
        <f aca="false">IF(OR(AH1848="",Y1848=""),"",IF(ABS(X1848-Y1848)&lt;=1,"✓ Cuadra","⚠ Diferencia $"&amp;FIXED(X1848-Y1848,0)))</f>
        <v/>
      </c>
      <c r="AA1848" s="72" t="str">
        <f aca="false">IF(AH1848="","",IFERROR(INDEX(C_TIPO,MATCH(C1848&amp;"-P"&amp;MAX(1,COUNTIFS(C_ID,C1848,C_DEFINE,"Sí",C_INICIO,"&lt;="&amp;EOMONTH(B1848,0))),C_CLAVE,0))&amp;"","Sin dato"))</f>
        <v/>
      </c>
      <c r="AB1848" s="71" t="str">
        <f aca="false">IF(AH1848="","",ROUND(MIN(K1848,TOPE_AFP_UF*AJ1848)*AK1848,0))</f>
        <v/>
      </c>
      <c r="AC1848" s="71" t="str">
        <f aca="false">IF(AH1848="","",ROUND(MIN(K1848,TOPE_AFC_UF*AJ1848)*IF(AA1848="Indefinido",AFC_EMP_INDEF,AFC_EMP_PF),0))</f>
        <v/>
      </c>
      <c r="AD1848" s="71" t="str">
        <f aca="false">IF(AH1848="","",ROUND(MIN(K1848,TOPE_AFP_UF*AJ1848)*(MUTUAL_BASICA+MUTUAL_ADIC+SANNA),0))</f>
        <v/>
      </c>
      <c r="AE1848" s="71" t="str">
        <f aca="false">IF(AH1848="","",P1848-N(N1848)+AB1848+AC1848+AD1848)</f>
        <v/>
      </c>
      <c r="AF1848" s="65"/>
      <c r="AG1848" s="64"/>
      <c r="AH1848" s="72" t="str">
        <f aca="false">IF(OR(B1848="",C1848=""),"",C1848&amp;"|"&amp;(YEAR(B1848)*100+MONTH(B1848)))</f>
        <v/>
      </c>
      <c r="AI1848" s="70" t="str">
        <f aca="false">IF(AH1848="","",IF(COUNTIF(L_CLAVE,AH1848)&gt;1,"⚠ Duplicado","OK"))</f>
        <v/>
      </c>
      <c r="AJ1848" s="86" t="str">
        <f aca="false">IF(AH1848="","",IF(SUMPRODUCT(MAX((IND_PER&lt;=B1848)*(IND_UF&lt;&gt;"")*IND_PER))=0,UF_HOY,INDEX(IND_UF,MATCH(SUMPRODUCT(MAX((IND_PER&lt;=B1848)*(IND_UF&lt;&gt;"")*IND_PER)),IND_PER,0))))</f>
        <v/>
      </c>
      <c r="AK1848" s="87" t="str">
        <f aca="false">IF(AH1848="","",IF(COUNTIF(TASA_DESDE,"&lt;="&amp;B1848)=0,INDEX(TASA_EMP,1),INDEX(TASA_EMP,COUNTIF(TASA_DESDE,"&lt;="&amp;B1848))))</f>
        <v/>
      </c>
    </row>
    <row r="1849" customFormat="false" ht="15" hidden="false" customHeight="false" outlineLevel="0" collapsed="false">
      <c r="B1849" s="78"/>
      <c r="C1849" s="64"/>
      <c r="D1849" s="72" t="str">
        <f aca="false">IF(C1849="","",IFERROR(INDEX(T_NOMBRE,MATCH(C1849,T_ID,0)),"⚠ ID no existe"))</f>
        <v/>
      </c>
      <c r="E1849" s="69"/>
      <c r="F1849" s="67"/>
      <c r="G1849" s="67"/>
      <c r="H1849" s="67"/>
      <c r="I1849" s="67"/>
      <c r="J1849" s="67"/>
      <c r="K1849" s="85" t="str">
        <f aca="false">IF(AH1849="","",N(F1849)+N(G1849)+N(H1849)-N(I1849)+N(J1849))</f>
        <v/>
      </c>
      <c r="L1849" s="67"/>
      <c r="M1849" s="67"/>
      <c r="N1849" s="67"/>
      <c r="O1849" s="67"/>
      <c r="P1849" s="85" t="str">
        <f aca="false">IF(AH1849="","",K1849+N(L1849)+N(M1849)+N(N1849)+N(O1849))</f>
        <v/>
      </c>
      <c r="Q1849" s="67"/>
      <c r="R1849" s="67"/>
      <c r="S1849" s="67"/>
      <c r="T1849" s="67"/>
      <c r="U1849" s="67"/>
      <c r="V1849" s="67"/>
      <c r="W1849" s="85" t="str">
        <f aca="false">IF(AH1849="","",N(Q1849)+N(R1849)+N(S1849)+N(T1849)+N(U1849)+N(V1849))</f>
        <v/>
      </c>
      <c r="X1849" s="85" t="str">
        <f aca="false">IF(AH1849="","",P1849-W1849)</f>
        <v/>
      </c>
      <c r="Y1849" s="67"/>
      <c r="Z1849" s="70" t="str">
        <f aca="false">IF(OR(AH1849="",Y1849=""),"",IF(ABS(X1849-Y1849)&lt;=1,"✓ Cuadra","⚠ Diferencia $"&amp;FIXED(X1849-Y1849,0)))</f>
        <v/>
      </c>
      <c r="AA1849" s="72" t="str">
        <f aca="false">IF(AH1849="","",IFERROR(INDEX(C_TIPO,MATCH(C1849&amp;"-P"&amp;MAX(1,COUNTIFS(C_ID,C1849,C_DEFINE,"Sí",C_INICIO,"&lt;="&amp;EOMONTH(B1849,0))),C_CLAVE,0))&amp;"","Sin dato"))</f>
        <v/>
      </c>
      <c r="AB1849" s="71" t="str">
        <f aca="false">IF(AH1849="","",ROUND(MIN(K1849,TOPE_AFP_UF*AJ1849)*AK1849,0))</f>
        <v/>
      </c>
      <c r="AC1849" s="71" t="str">
        <f aca="false">IF(AH1849="","",ROUND(MIN(K1849,TOPE_AFC_UF*AJ1849)*IF(AA1849="Indefinido",AFC_EMP_INDEF,AFC_EMP_PF),0))</f>
        <v/>
      </c>
      <c r="AD1849" s="71" t="str">
        <f aca="false">IF(AH1849="","",ROUND(MIN(K1849,TOPE_AFP_UF*AJ1849)*(MUTUAL_BASICA+MUTUAL_ADIC+SANNA),0))</f>
        <v/>
      </c>
      <c r="AE1849" s="71" t="str">
        <f aca="false">IF(AH1849="","",P1849-N(N1849)+AB1849+AC1849+AD1849)</f>
        <v/>
      </c>
      <c r="AF1849" s="65"/>
      <c r="AG1849" s="64"/>
      <c r="AH1849" s="72" t="str">
        <f aca="false">IF(OR(B1849="",C1849=""),"",C1849&amp;"|"&amp;(YEAR(B1849)*100+MONTH(B1849)))</f>
        <v/>
      </c>
      <c r="AI1849" s="70" t="str">
        <f aca="false">IF(AH1849="","",IF(COUNTIF(L_CLAVE,AH1849)&gt;1,"⚠ Duplicado","OK"))</f>
        <v/>
      </c>
      <c r="AJ1849" s="86" t="str">
        <f aca="false">IF(AH1849="","",IF(SUMPRODUCT(MAX((IND_PER&lt;=B1849)*(IND_UF&lt;&gt;"")*IND_PER))=0,UF_HOY,INDEX(IND_UF,MATCH(SUMPRODUCT(MAX((IND_PER&lt;=B1849)*(IND_UF&lt;&gt;"")*IND_PER)),IND_PER,0))))</f>
        <v/>
      </c>
      <c r="AK1849" s="87" t="str">
        <f aca="false">IF(AH1849="","",IF(COUNTIF(TASA_DESDE,"&lt;="&amp;B1849)=0,INDEX(TASA_EMP,1),INDEX(TASA_EMP,COUNTIF(TASA_DESDE,"&lt;="&amp;B1849))))</f>
        <v/>
      </c>
    </row>
    <row r="1850" customFormat="false" ht="15" hidden="false" customHeight="false" outlineLevel="0" collapsed="false">
      <c r="B1850" s="78"/>
      <c r="C1850" s="64"/>
      <c r="D1850" s="72" t="str">
        <f aca="false">IF(C1850="","",IFERROR(INDEX(T_NOMBRE,MATCH(C1850,T_ID,0)),"⚠ ID no existe"))</f>
        <v/>
      </c>
      <c r="E1850" s="69"/>
      <c r="F1850" s="67"/>
      <c r="G1850" s="67"/>
      <c r="H1850" s="67"/>
      <c r="I1850" s="67"/>
      <c r="J1850" s="67"/>
      <c r="K1850" s="85" t="str">
        <f aca="false">IF(AH1850="","",N(F1850)+N(G1850)+N(H1850)-N(I1850)+N(J1850))</f>
        <v/>
      </c>
      <c r="L1850" s="67"/>
      <c r="M1850" s="67"/>
      <c r="N1850" s="67"/>
      <c r="O1850" s="67"/>
      <c r="P1850" s="85" t="str">
        <f aca="false">IF(AH1850="","",K1850+N(L1850)+N(M1850)+N(N1850)+N(O1850))</f>
        <v/>
      </c>
      <c r="Q1850" s="67"/>
      <c r="R1850" s="67"/>
      <c r="S1850" s="67"/>
      <c r="T1850" s="67"/>
      <c r="U1850" s="67"/>
      <c r="V1850" s="67"/>
      <c r="W1850" s="85" t="str">
        <f aca="false">IF(AH1850="","",N(Q1850)+N(R1850)+N(S1850)+N(T1850)+N(U1850)+N(V1850))</f>
        <v/>
      </c>
      <c r="X1850" s="85" t="str">
        <f aca="false">IF(AH1850="","",P1850-W1850)</f>
        <v/>
      </c>
      <c r="Y1850" s="67"/>
      <c r="Z1850" s="70" t="str">
        <f aca="false">IF(OR(AH1850="",Y1850=""),"",IF(ABS(X1850-Y1850)&lt;=1,"✓ Cuadra","⚠ Diferencia $"&amp;FIXED(X1850-Y1850,0)))</f>
        <v/>
      </c>
      <c r="AA1850" s="72" t="str">
        <f aca="false">IF(AH1850="","",IFERROR(INDEX(C_TIPO,MATCH(C1850&amp;"-P"&amp;MAX(1,COUNTIFS(C_ID,C1850,C_DEFINE,"Sí",C_INICIO,"&lt;="&amp;EOMONTH(B1850,0))),C_CLAVE,0))&amp;"","Sin dato"))</f>
        <v/>
      </c>
      <c r="AB1850" s="71" t="str">
        <f aca="false">IF(AH1850="","",ROUND(MIN(K1850,TOPE_AFP_UF*AJ1850)*AK1850,0))</f>
        <v/>
      </c>
      <c r="AC1850" s="71" t="str">
        <f aca="false">IF(AH1850="","",ROUND(MIN(K1850,TOPE_AFC_UF*AJ1850)*IF(AA1850="Indefinido",AFC_EMP_INDEF,AFC_EMP_PF),0))</f>
        <v/>
      </c>
      <c r="AD1850" s="71" t="str">
        <f aca="false">IF(AH1850="","",ROUND(MIN(K1850,TOPE_AFP_UF*AJ1850)*(MUTUAL_BASICA+MUTUAL_ADIC+SANNA),0))</f>
        <v/>
      </c>
      <c r="AE1850" s="71" t="str">
        <f aca="false">IF(AH1850="","",P1850-N(N1850)+AB1850+AC1850+AD1850)</f>
        <v/>
      </c>
      <c r="AF1850" s="65"/>
      <c r="AG1850" s="64"/>
      <c r="AH1850" s="72" t="str">
        <f aca="false">IF(OR(B1850="",C1850=""),"",C1850&amp;"|"&amp;(YEAR(B1850)*100+MONTH(B1850)))</f>
        <v/>
      </c>
      <c r="AI1850" s="70" t="str">
        <f aca="false">IF(AH1850="","",IF(COUNTIF(L_CLAVE,AH1850)&gt;1,"⚠ Duplicado","OK"))</f>
        <v/>
      </c>
      <c r="AJ1850" s="86" t="str">
        <f aca="false">IF(AH1850="","",IF(SUMPRODUCT(MAX((IND_PER&lt;=B1850)*(IND_UF&lt;&gt;"")*IND_PER))=0,UF_HOY,INDEX(IND_UF,MATCH(SUMPRODUCT(MAX((IND_PER&lt;=B1850)*(IND_UF&lt;&gt;"")*IND_PER)),IND_PER,0))))</f>
        <v/>
      </c>
      <c r="AK1850" s="87" t="str">
        <f aca="false">IF(AH1850="","",IF(COUNTIF(TASA_DESDE,"&lt;="&amp;B1850)=0,INDEX(TASA_EMP,1),INDEX(TASA_EMP,COUNTIF(TASA_DESDE,"&lt;="&amp;B1850))))</f>
        <v/>
      </c>
    </row>
    <row r="1851" customFormat="false" ht="15" hidden="false" customHeight="false" outlineLevel="0" collapsed="false">
      <c r="B1851" s="78"/>
      <c r="C1851" s="64"/>
      <c r="D1851" s="72" t="str">
        <f aca="false">IF(C1851="","",IFERROR(INDEX(T_NOMBRE,MATCH(C1851,T_ID,0)),"⚠ ID no existe"))</f>
        <v/>
      </c>
      <c r="E1851" s="69"/>
      <c r="F1851" s="67"/>
      <c r="G1851" s="67"/>
      <c r="H1851" s="67"/>
      <c r="I1851" s="67"/>
      <c r="J1851" s="67"/>
      <c r="K1851" s="85" t="str">
        <f aca="false">IF(AH1851="","",N(F1851)+N(G1851)+N(H1851)-N(I1851)+N(J1851))</f>
        <v/>
      </c>
      <c r="L1851" s="67"/>
      <c r="M1851" s="67"/>
      <c r="N1851" s="67"/>
      <c r="O1851" s="67"/>
      <c r="P1851" s="85" t="str">
        <f aca="false">IF(AH1851="","",K1851+N(L1851)+N(M1851)+N(N1851)+N(O1851))</f>
        <v/>
      </c>
      <c r="Q1851" s="67"/>
      <c r="R1851" s="67"/>
      <c r="S1851" s="67"/>
      <c r="T1851" s="67"/>
      <c r="U1851" s="67"/>
      <c r="V1851" s="67"/>
      <c r="W1851" s="85" t="str">
        <f aca="false">IF(AH1851="","",N(Q1851)+N(R1851)+N(S1851)+N(T1851)+N(U1851)+N(V1851))</f>
        <v/>
      </c>
      <c r="X1851" s="85" t="str">
        <f aca="false">IF(AH1851="","",P1851-W1851)</f>
        <v/>
      </c>
      <c r="Y1851" s="67"/>
      <c r="Z1851" s="70" t="str">
        <f aca="false">IF(OR(AH1851="",Y1851=""),"",IF(ABS(X1851-Y1851)&lt;=1,"✓ Cuadra","⚠ Diferencia $"&amp;FIXED(X1851-Y1851,0)))</f>
        <v/>
      </c>
      <c r="AA1851" s="72" t="str">
        <f aca="false">IF(AH1851="","",IFERROR(INDEX(C_TIPO,MATCH(C1851&amp;"-P"&amp;MAX(1,COUNTIFS(C_ID,C1851,C_DEFINE,"Sí",C_INICIO,"&lt;="&amp;EOMONTH(B1851,0))),C_CLAVE,0))&amp;"","Sin dato"))</f>
        <v/>
      </c>
      <c r="AB1851" s="71" t="str">
        <f aca="false">IF(AH1851="","",ROUND(MIN(K1851,TOPE_AFP_UF*AJ1851)*AK1851,0))</f>
        <v/>
      </c>
      <c r="AC1851" s="71" t="str">
        <f aca="false">IF(AH1851="","",ROUND(MIN(K1851,TOPE_AFC_UF*AJ1851)*IF(AA1851="Indefinido",AFC_EMP_INDEF,AFC_EMP_PF),0))</f>
        <v/>
      </c>
      <c r="AD1851" s="71" t="str">
        <f aca="false">IF(AH1851="","",ROUND(MIN(K1851,TOPE_AFP_UF*AJ1851)*(MUTUAL_BASICA+MUTUAL_ADIC+SANNA),0))</f>
        <v/>
      </c>
      <c r="AE1851" s="71" t="str">
        <f aca="false">IF(AH1851="","",P1851-N(N1851)+AB1851+AC1851+AD1851)</f>
        <v/>
      </c>
      <c r="AF1851" s="65"/>
      <c r="AG1851" s="64"/>
      <c r="AH1851" s="72" t="str">
        <f aca="false">IF(OR(B1851="",C1851=""),"",C1851&amp;"|"&amp;(YEAR(B1851)*100+MONTH(B1851)))</f>
        <v/>
      </c>
      <c r="AI1851" s="70" t="str">
        <f aca="false">IF(AH1851="","",IF(COUNTIF(L_CLAVE,AH1851)&gt;1,"⚠ Duplicado","OK"))</f>
        <v/>
      </c>
      <c r="AJ1851" s="86" t="str">
        <f aca="false">IF(AH1851="","",IF(SUMPRODUCT(MAX((IND_PER&lt;=B1851)*(IND_UF&lt;&gt;"")*IND_PER))=0,UF_HOY,INDEX(IND_UF,MATCH(SUMPRODUCT(MAX((IND_PER&lt;=B1851)*(IND_UF&lt;&gt;"")*IND_PER)),IND_PER,0))))</f>
        <v/>
      </c>
      <c r="AK1851" s="87" t="str">
        <f aca="false">IF(AH1851="","",IF(COUNTIF(TASA_DESDE,"&lt;="&amp;B1851)=0,INDEX(TASA_EMP,1),INDEX(TASA_EMP,COUNTIF(TASA_DESDE,"&lt;="&amp;B1851))))</f>
        <v/>
      </c>
    </row>
    <row r="1852" customFormat="false" ht="15" hidden="false" customHeight="false" outlineLevel="0" collapsed="false">
      <c r="B1852" s="78"/>
      <c r="C1852" s="64"/>
      <c r="D1852" s="72" t="str">
        <f aca="false">IF(C1852="","",IFERROR(INDEX(T_NOMBRE,MATCH(C1852,T_ID,0)),"⚠ ID no existe"))</f>
        <v/>
      </c>
      <c r="E1852" s="69"/>
      <c r="F1852" s="67"/>
      <c r="G1852" s="67"/>
      <c r="H1852" s="67"/>
      <c r="I1852" s="67"/>
      <c r="J1852" s="67"/>
      <c r="K1852" s="85" t="str">
        <f aca="false">IF(AH1852="","",N(F1852)+N(G1852)+N(H1852)-N(I1852)+N(J1852))</f>
        <v/>
      </c>
      <c r="L1852" s="67"/>
      <c r="M1852" s="67"/>
      <c r="N1852" s="67"/>
      <c r="O1852" s="67"/>
      <c r="P1852" s="85" t="str">
        <f aca="false">IF(AH1852="","",K1852+N(L1852)+N(M1852)+N(N1852)+N(O1852))</f>
        <v/>
      </c>
      <c r="Q1852" s="67"/>
      <c r="R1852" s="67"/>
      <c r="S1852" s="67"/>
      <c r="T1852" s="67"/>
      <c r="U1852" s="67"/>
      <c r="V1852" s="67"/>
      <c r="W1852" s="85" t="str">
        <f aca="false">IF(AH1852="","",N(Q1852)+N(R1852)+N(S1852)+N(T1852)+N(U1852)+N(V1852))</f>
        <v/>
      </c>
      <c r="X1852" s="85" t="str">
        <f aca="false">IF(AH1852="","",P1852-W1852)</f>
        <v/>
      </c>
      <c r="Y1852" s="67"/>
      <c r="Z1852" s="70" t="str">
        <f aca="false">IF(OR(AH1852="",Y1852=""),"",IF(ABS(X1852-Y1852)&lt;=1,"✓ Cuadra","⚠ Diferencia $"&amp;FIXED(X1852-Y1852,0)))</f>
        <v/>
      </c>
      <c r="AA1852" s="72" t="str">
        <f aca="false">IF(AH1852="","",IFERROR(INDEX(C_TIPO,MATCH(C1852&amp;"-P"&amp;MAX(1,COUNTIFS(C_ID,C1852,C_DEFINE,"Sí",C_INICIO,"&lt;="&amp;EOMONTH(B1852,0))),C_CLAVE,0))&amp;"","Sin dato"))</f>
        <v/>
      </c>
      <c r="AB1852" s="71" t="str">
        <f aca="false">IF(AH1852="","",ROUND(MIN(K1852,TOPE_AFP_UF*AJ1852)*AK1852,0))</f>
        <v/>
      </c>
      <c r="AC1852" s="71" t="str">
        <f aca="false">IF(AH1852="","",ROUND(MIN(K1852,TOPE_AFC_UF*AJ1852)*IF(AA1852="Indefinido",AFC_EMP_INDEF,AFC_EMP_PF),0))</f>
        <v/>
      </c>
      <c r="AD1852" s="71" t="str">
        <f aca="false">IF(AH1852="","",ROUND(MIN(K1852,TOPE_AFP_UF*AJ1852)*(MUTUAL_BASICA+MUTUAL_ADIC+SANNA),0))</f>
        <v/>
      </c>
      <c r="AE1852" s="71" t="str">
        <f aca="false">IF(AH1852="","",P1852-N(N1852)+AB1852+AC1852+AD1852)</f>
        <v/>
      </c>
      <c r="AF1852" s="65"/>
      <c r="AG1852" s="64"/>
      <c r="AH1852" s="72" t="str">
        <f aca="false">IF(OR(B1852="",C1852=""),"",C1852&amp;"|"&amp;(YEAR(B1852)*100+MONTH(B1852)))</f>
        <v/>
      </c>
      <c r="AI1852" s="70" t="str">
        <f aca="false">IF(AH1852="","",IF(COUNTIF(L_CLAVE,AH1852)&gt;1,"⚠ Duplicado","OK"))</f>
        <v/>
      </c>
      <c r="AJ1852" s="86" t="str">
        <f aca="false">IF(AH1852="","",IF(SUMPRODUCT(MAX((IND_PER&lt;=B1852)*(IND_UF&lt;&gt;"")*IND_PER))=0,UF_HOY,INDEX(IND_UF,MATCH(SUMPRODUCT(MAX((IND_PER&lt;=B1852)*(IND_UF&lt;&gt;"")*IND_PER)),IND_PER,0))))</f>
        <v/>
      </c>
      <c r="AK1852" s="87" t="str">
        <f aca="false">IF(AH1852="","",IF(COUNTIF(TASA_DESDE,"&lt;="&amp;B1852)=0,INDEX(TASA_EMP,1),INDEX(TASA_EMP,COUNTIF(TASA_DESDE,"&lt;="&amp;B1852))))</f>
        <v/>
      </c>
    </row>
    <row r="1853" customFormat="false" ht="15" hidden="false" customHeight="false" outlineLevel="0" collapsed="false">
      <c r="B1853" s="78"/>
      <c r="C1853" s="64"/>
      <c r="D1853" s="72" t="str">
        <f aca="false">IF(C1853="","",IFERROR(INDEX(T_NOMBRE,MATCH(C1853,T_ID,0)),"⚠ ID no existe"))</f>
        <v/>
      </c>
      <c r="E1853" s="69"/>
      <c r="F1853" s="67"/>
      <c r="G1853" s="67"/>
      <c r="H1853" s="67"/>
      <c r="I1853" s="67"/>
      <c r="J1853" s="67"/>
      <c r="K1853" s="85" t="str">
        <f aca="false">IF(AH1853="","",N(F1853)+N(G1853)+N(H1853)-N(I1853)+N(J1853))</f>
        <v/>
      </c>
      <c r="L1853" s="67"/>
      <c r="M1853" s="67"/>
      <c r="N1853" s="67"/>
      <c r="O1853" s="67"/>
      <c r="P1853" s="85" t="str">
        <f aca="false">IF(AH1853="","",K1853+N(L1853)+N(M1853)+N(N1853)+N(O1853))</f>
        <v/>
      </c>
      <c r="Q1853" s="67"/>
      <c r="R1853" s="67"/>
      <c r="S1853" s="67"/>
      <c r="T1853" s="67"/>
      <c r="U1853" s="67"/>
      <c r="V1853" s="67"/>
      <c r="W1853" s="85" t="str">
        <f aca="false">IF(AH1853="","",N(Q1853)+N(R1853)+N(S1853)+N(T1853)+N(U1853)+N(V1853))</f>
        <v/>
      </c>
      <c r="X1853" s="85" t="str">
        <f aca="false">IF(AH1853="","",P1853-W1853)</f>
        <v/>
      </c>
      <c r="Y1853" s="67"/>
      <c r="Z1853" s="70" t="str">
        <f aca="false">IF(OR(AH1853="",Y1853=""),"",IF(ABS(X1853-Y1853)&lt;=1,"✓ Cuadra","⚠ Diferencia $"&amp;FIXED(X1853-Y1853,0)))</f>
        <v/>
      </c>
      <c r="AA1853" s="72" t="str">
        <f aca="false">IF(AH1853="","",IFERROR(INDEX(C_TIPO,MATCH(C1853&amp;"-P"&amp;MAX(1,COUNTIFS(C_ID,C1853,C_DEFINE,"Sí",C_INICIO,"&lt;="&amp;EOMONTH(B1853,0))),C_CLAVE,0))&amp;"","Sin dato"))</f>
        <v/>
      </c>
      <c r="AB1853" s="71" t="str">
        <f aca="false">IF(AH1853="","",ROUND(MIN(K1853,TOPE_AFP_UF*AJ1853)*AK1853,0))</f>
        <v/>
      </c>
      <c r="AC1853" s="71" t="str">
        <f aca="false">IF(AH1853="","",ROUND(MIN(K1853,TOPE_AFC_UF*AJ1853)*IF(AA1853="Indefinido",AFC_EMP_INDEF,AFC_EMP_PF),0))</f>
        <v/>
      </c>
      <c r="AD1853" s="71" t="str">
        <f aca="false">IF(AH1853="","",ROUND(MIN(K1853,TOPE_AFP_UF*AJ1853)*(MUTUAL_BASICA+MUTUAL_ADIC+SANNA),0))</f>
        <v/>
      </c>
      <c r="AE1853" s="71" t="str">
        <f aca="false">IF(AH1853="","",P1853-N(N1853)+AB1853+AC1853+AD1853)</f>
        <v/>
      </c>
      <c r="AF1853" s="65"/>
      <c r="AG1853" s="64"/>
      <c r="AH1853" s="72" t="str">
        <f aca="false">IF(OR(B1853="",C1853=""),"",C1853&amp;"|"&amp;(YEAR(B1853)*100+MONTH(B1853)))</f>
        <v/>
      </c>
      <c r="AI1853" s="70" t="str">
        <f aca="false">IF(AH1853="","",IF(COUNTIF(L_CLAVE,AH1853)&gt;1,"⚠ Duplicado","OK"))</f>
        <v/>
      </c>
      <c r="AJ1853" s="86" t="str">
        <f aca="false">IF(AH1853="","",IF(SUMPRODUCT(MAX((IND_PER&lt;=B1853)*(IND_UF&lt;&gt;"")*IND_PER))=0,UF_HOY,INDEX(IND_UF,MATCH(SUMPRODUCT(MAX((IND_PER&lt;=B1853)*(IND_UF&lt;&gt;"")*IND_PER)),IND_PER,0))))</f>
        <v/>
      </c>
      <c r="AK1853" s="87" t="str">
        <f aca="false">IF(AH1853="","",IF(COUNTIF(TASA_DESDE,"&lt;="&amp;B1853)=0,INDEX(TASA_EMP,1),INDEX(TASA_EMP,COUNTIF(TASA_DESDE,"&lt;="&amp;B1853))))</f>
        <v/>
      </c>
    </row>
    <row r="1854" customFormat="false" ht="15" hidden="false" customHeight="false" outlineLevel="0" collapsed="false">
      <c r="B1854" s="78"/>
      <c r="C1854" s="64"/>
      <c r="D1854" s="72" t="str">
        <f aca="false">IF(C1854="","",IFERROR(INDEX(T_NOMBRE,MATCH(C1854,T_ID,0)),"⚠ ID no existe"))</f>
        <v/>
      </c>
      <c r="E1854" s="69"/>
      <c r="F1854" s="67"/>
      <c r="G1854" s="67"/>
      <c r="H1854" s="67"/>
      <c r="I1854" s="67"/>
      <c r="J1854" s="67"/>
      <c r="K1854" s="85" t="str">
        <f aca="false">IF(AH1854="","",N(F1854)+N(G1854)+N(H1854)-N(I1854)+N(J1854))</f>
        <v/>
      </c>
      <c r="L1854" s="67"/>
      <c r="M1854" s="67"/>
      <c r="N1854" s="67"/>
      <c r="O1854" s="67"/>
      <c r="P1854" s="85" t="str">
        <f aca="false">IF(AH1854="","",K1854+N(L1854)+N(M1854)+N(N1854)+N(O1854))</f>
        <v/>
      </c>
      <c r="Q1854" s="67"/>
      <c r="R1854" s="67"/>
      <c r="S1854" s="67"/>
      <c r="T1854" s="67"/>
      <c r="U1854" s="67"/>
      <c r="V1854" s="67"/>
      <c r="W1854" s="85" t="str">
        <f aca="false">IF(AH1854="","",N(Q1854)+N(R1854)+N(S1854)+N(T1854)+N(U1854)+N(V1854))</f>
        <v/>
      </c>
      <c r="X1854" s="85" t="str">
        <f aca="false">IF(AH1854="","",P1854-W1854)</f>
        <v/>
      </c>
      <c r="Y1854" s="67"/>
      <c r="Z1854" s="70" t="str">
        <f aca="false">IF(OR(AH1854="",Y1854=""),"",IF(ABS(X1854-Y1854)&lt;=1,"✓ Cuadra","⚠ Diferencia $"&amp;FIXED(X1854-Y1854,0)))</f>
        <v/>
      </c>
      <c r="AA1854" s="72" t="str">
        <f aca="false">IF(AH1854="","",IFERROR(INDEX(C_TIPO,MATCH(C1854&amp;"-P"&amp;MAX(1,COUNTIFS(C_ID,C1854,C_DEFINE,"Sí",C_INICIO,"&lt;="&amp;EOMONTH(B1854,0))),C_CLAVE,0))&amp;"","Sin dato"))</f>
        <v/>
      </c>
      <c r="AB1854" s="71" t="str">
        <f aca="false">IF(AH1854="","",ROUND(MIN(K1854,TOPE_AFP_UF*AJ1854)*AK1854,0))</f>
        <v/>
      </c>
      <c r="AC1854" s="71" t="str">
        <f aca="false">IF(AH1854="","",ROUND(MIN(K1854,TOPE_AFC_UF*AJ1854)*IF(AA1854="Indefinido",AFC_EMP_INDEF,AFC_EMP_PF),0))</f>
        <v/>
      </c>
      <c r="AD1854" s="71" t="str">
        <f aca="false">IF(AH1854="","",ROUND(MIN(K1854,TOPE_AFP_UF*AJ1854)*(MUTUAL_BASICA+MUTUAL_ADIC+SANNA),0))</f>
        <v/>
      </c>
      <c r="AE1854" s="71" t="str">
        <f aca="false">IF(AH1854="","",P1854-N(N1854)+AB1854+AC1854+AD1854)</f>
        <v/>
      </c>
      <c r="AF1854" s="65"/>
      <c r="AG1854" s="64"/>
      <c r="AH1854" s="72" t="str">
        <f aca="false">IF(OR(B1854="",C1854=""),"",C1854&amp;"|"&amp;(YEAR(B1854)*100+MONTH(B1854)))</f>
        <v/>
      </c>
      <c r="AI1854" s="70" t="str">
        <f aca="false">IF(AH1854="","",IF(COUNTIF(L_CLAVE,AH1854)&gt;1,"⚠ Duplicado","OK"))</f>
        <v/>
      </c>
      <c r="AJ1854" s="86" t="str">
        <f aca="false">IF(AH1854="","",IF(SUMPRODUCT(MAX((IND_PER&lt;=B1854)*(IND_UF&lt;&gt;"")*IND_PER))=0,UF_HOY,INDEX(IND_UF,MATCH(SUMPRODUCT(MAX((IND_PER&lt;=B1854)*(IND_UF&lt;&gt;"")*IND_PER)),IND_PER,0))))</f>
        <v/>
      </c>
      <c r="AK1854" s="87" t="str">
        <f aca="false">IF(AH1854="","",IF(COUNTIF(TASA_DESDE,"&lt;="&amp;B1854)=0,INDEX(TASA_EMP,1),INDEX(TASA_EMP,COUNTIF(TASA_DESDE,"&lt;="&amp;B1854))))</f>
        <v/>
      </c>
    </row>
    <row r="1855" customFormat="false" ht="15" hidden="false" customHeight="false" outlineLevel="0" collapsed="false">
      <c r="B1855" s="78"/>
      <c r="C1855" s="64"/>
      <c r="D1855" s="72" t="str">
        <f aca="false">IF(C1855="","",IFERROR(INDEX(T_NOMBRE,MATCH(C1855,T_ID,0)),"⚠ ID no existe"))</f>
        <v/>
      </c>
      <c r="E1855" s="69"/>
      <c r="F1855" s="67"/>
      <c r="G1855" s="67"/>
      <c r="H1855" s="67"/>
      <c r="I1855" s="67"/>
      <c r="J1855" s="67"/>
      <c r="K1855" s="85" t="str">
        <f aca="false">IF(AH1855="","",N(F1855)+N(G1855)+N(H1855)-N(I1855)+N(J1855))</f>
        <v/>
      </c>
      <c r="L1855" s="67"/>
      <c r="M1855" s="67"/>
      <c r="N1855" s="67"/>
      <c r="O1855" s="67"/>
      <c r="P1855" s="85" t="str">
        <f aca="false">IF(AH1855="","",K1855+N(L1855)+N(M1855)+N(N1855)+N(O1855))</f>
        <v/>
      </c>
      <c r="Q1855" s="67"/>
      <c r="R1855" s="67"/>
      <c r="S1855" s="67"/>
      <c r="T1855" s="67"/>
      <c r="U1855" s="67"/>
      <c r="V1855" s="67"/>
      <c r="W1855" s="85" t="str">
        <f aca="false">IF(AH1855="","",N(Q1855)+N(R1855)+N(S1855)+N(T1855)+N(U1855)+N(V1855))</f>
        <v/>
      </c>
      <c r="X1855" s="85" t="str">
        <f aca="false">IF(AH1855="","",P1855-W1855)</f>
        <v/>
      </c>
      <c r="Y1855" s="67"/>
      <c r="Z1855" s="70" t="str">
        <f aca="false">IF(OR(AH1855="",Y1855=""),"",IF(ABS(X1855-Y1855)&lt;=1,"✓ Cuadra","⚠ Diferencia $"&amp;FIXED(X1855-Y1855,0)))</f>
        <v/>
      </c>
      <c r="AA1855" s="72" t="str">
        <f aca="false">IF(AH1855="","",IFERROR(INDEX(C_TIPO,MATCH(C1855&amp;"-P"&amp;MAX(1,COUNTIFS(C_ID,C1855,C_DEFINE,"Sí",C_INICIO,"&lt;="&amp;EOMONTH(B1855,0))),C_CLAVE,0))&amp;"","Sin dato"))</f>
        <v/>
      </c>
      <c r="AB1855" s="71" t="str">
        <f aca="false">IF(AH1855="","",ROUND(MIN(K1855,TOPE_AFP_UF*AJ1855)*AK1855,0))</f>
        <v/>
      </c>
      <c r="AC1855" s="71" t="str">
        <f aca="false">IF(AH1855="","",ROUND(MIN(K1855,TOPE_AFC_UF*AJ1855)*IF(AA1855="Indefinido",AFC_EMP_INDEF,AFC_EMP_PF),0))</f>
        <v/>
      </c>
      <c r="AD1855" s="71" t="str">
        <f aca="false">IF(AH1855="","",ROUND(MIN(K1855,TOPE_AFP_UF*AJ1855)*(MUTUAL_BASICA+MUTUAL_ADIC+SANNA),0))</f>
        <v/>
      </c>
      <c r="AE1855" s="71" t="str">
        <f aca="false">IF(AH1855="","",P1855-N(N1855)+AB1855+AC1855+AD1855)</f>
        <v/>
      </c>
      <c r="AF1855" s="65"/>
      <c r="AG1855" s="64"/>
      <c r="AH1855" s="72" t="str">
        <f aca="false">IF(OR(B1855="",C1855=""),"",C1855&amp;"|"&amp;(YEAR(B1855)*100+MONTH(B1855)))</f>
        <v/>
      </c>
      <c r="AI1855" s="70" t="str">
        <f aca="false">IF(AH1855="","",IF(COUNTIF(L_CLAVE,AH1855)&gt;1,"⚠ Duplicado","OK"))</f>
        <v/>
      </c>
      <c r="AJ1855" s="86" t="str">
        <f aca="false">IF(AH1855="","",IF(SUMPRODUCT(MAX((IND_PER&lt;=B1855)*(IND_UF&lt;&gt;"")*IND_PER))=0,UF_HOY,INDEX(IND_UF,MATCH(SUMPRODUCT(MAX((IND_PER&lt;=B1855)*(IND_UF&lt;&gt;"")*IND_PER)),IND_PER,0))))</f>
        <v/>
      </c>
      <c r="AK1855" s="87" t="str">
        <f aca="false">IF(AH1855="","",IF(COUNTIF(TASA_DESDE,"&lt;="&amp;B1855)=0,INDEX(TASA_EMP,1),INDEX(TASA_EMP,COUNTIF(TASA_DESDE,"&lt;="&amp;B1855))))</f>
        <v/>
      </c>
    </row>
    <row r="1856" customFormat="false" ht="15" hidden="false" customHeight="false" outlineLevel="0" collapsed="false">
      <c r="B1856" s="78"/>
      <c r="C1856" s="64"/>
      <c r="D1856" s="72" t="str">
        <f aca="false">IF(C1856="","",IFERROR(INDEX(T_NOMBRE,MATCH(C1856,T_ID,0)),"⚠ ID no existe"))</f>
        <v/>
      </c>
      <c r="E1856" s="69"/>
      <c r="F1856" s="67"/>
      <c r="G1856" s="67"/>
      <c r="H1856" s="67"/>
      <c r="I1856" s="67"/>
      <c r="J1856" s="67"/>
      <c r="K1856" s="85" t="str">
        <f aca="false">IF(AH1856="","",N(F1856)+N(G1856)+N(H1856)-N(I1856)+N(J1856))</f>
        <v/>
      </c>
      <c r="L1856" s="67"/>
      <c r="M1856" s="67"/>
      <c r="N1856" s="67"/>
      <c r="O1856" s="67"/>
      <c r="P1856" s="85" t="str">
        <f aca="false">IF(AH1856="","",K1856+N(L1856)+N(M1856)+N(N1856)+N(O1856))</f>
        <v/>
      </c>
      <c r="Q1856" s="67"/>
      <c r="R1856" s="67"/>
      <c r="S1856" s="67"/>
      <c r="T1856" s="67"/>
      <c r="U1856" s="67"/>
      <c r="V1856" s="67"/>
      <c r="W1856" s="85" t="str">
        <f aca="false">IF(AH1856="","",N(Q1856)+N(R1856)+N(S1856)+N(T1856)+N(U1856)+N(V1856))</f>
        <v/>
      </c>
      <c r="X1856" s="85" t="str">
        <f aca="false">IF(AH1856="","",P1856-W1856)</f>
        <v/>
      </c>
      <c r="Y1856" s="67"/>
      <c r="Z1856" s="70" t="str">
        <f aca="false">IF(OR(AH1856="",Y1856=""),"",IF(ABS(X1856-Y1856)&lt;=1,"✓ Cuadra","⚠ Diferencia $"&amp;FIXED(X1856-Y1856,0)))</f>
        <v/>
      </c>
      <c r="AA1856" s="72" t="str">
        <f aca="false">IF(AH1856="","",IFERROR(INDEX(C_TIPO,MATCH(C1856&amp;"-P"&amp;MAX(1,COUNTIFS(C_ID,C1856,C_DEFINE,"Sí",C_INICIO,"&lt;="&amp;EOMONTH(B1856,0))),C_CLAVE,0))&amp;"","Sin dato"))</f>
        <v/>
      </c>
      <c r="AB1856" s="71" t="str">
        <f aca="false">IF(AH1856="","",ROUND(MIN(K1856,TOPE_AFP_UF*AJ1856)*AK1856,0))</f>
        <v/>
      </c>
      <c r="AC1856" s="71" t="str">
        <f aca="false">IF(AH1856="","",ROUND(MIN(K1856,TOPE_AFC_UF*AJ1856)*IF(AA1856="Indefinido",AFC_EMP_INDEF,AFC_EMP_PF),0))</f>
        <v/>
      </c>
      <c r="AD1856" s="71" t="str">
        <f aca="false">IF(AH1856="","",ROUND(MIN(K1856,TOPE_AFP_UF*AJ1856)*(MUTUAL_BASICA+MUTUAL_ADIC+SANNA),0))</f>
        <v/>
      </c>
      <c r="AE1856" s="71" t="str">
        <f aca="false">IF(AH1856="","",P1856-N(N1856)+AB1856+AC1856+AD1856)</f>
        <v/>
      </c>
      <c r="AF1856" s="65"/>
      <c r="AG1856" s="64"/>
      <c r="AH1856" s="72" t="str">
        <f aca="false">IF(OR(B1856="",C1856=""),"",C1856&amp;"|"&amp;(YEAR(B1856)*100+MONTH(B1856)))</f>
        <v/>
      </c>
      <c r="AI1856" s="70" t="str">
        <f aca="false">IF(AH1856="","",IF(COUNTIF(L_CLAVE,AH1856)&gt;1,"⚠ Duplicado","OK"))</f>
        <v/>
      </c>
      <c r="AJ1856" s="86" t="str">
        <f aca="false">IF(AH1856="","",IF(SUMPRODUCT(MAX((IND_PER&lt;=B1856)*(IND_UF&lt;&gt;"")*IND_PER))=0,UF_HOY,INDEX(IND_UF,MATCH(SUMPRODUCT(MAX((IND_PER&lt;=B1856)*(IND_UF&lt;&gt;"")*IND_PER)),IND_PER,0))))</f>
        <v/>
      </c>
      <c r="AK1856" s="87" t="str">
        <f aca="false">IF(AH1856="","",IF(COUNTIF(TASA_DESDE,"&lt;="&amp;B1856)=0,INDEX(TASA_EMP,1),INDEX(TASA_EMP,COUNTIF(TASA_DESDE,"&lt;="&amp;B1856))))</f>
        <v/>
      </c>
    </row>
    <row r="1857" customFormat="false" ht="15" hidden="false" customHeight="false" outlineLevel="0" collapsed="false">
      <c r="B1857" s="78"/>
      <c r="C1857" s="64"/>
      <c r="D1857" s="72" t="str">
        <f aca="false">IF(C1857="","",IFERROR(INDEX(T_NOMBRE,MATCH(C1857,T_ID,0)),"⚠ ID no existe"))</f>
        <v/>
      </c>
      <c r="E1857" s="69"/>
      <c r="F1857" s="67"/>
      <c r="G1857" s="67"/>
      <c r="H1857" s="67"/>
      <c r="I1857" s="67"/>
      <c r="J1857" s="67"/>
      <c r="K1857" s="85" t="str">
        <f aca="false">IF(AH1857="","",N(F1857)+N(G1857)+N(H1857)-N(I1857)+N(J1857))</f>
        <v/>
      </c>
      <c r="L1857" s="67"/>
      <c r="M1857" s="67"/>
      <c r="N1857" s="67"/>
      <c r="O1857" s="67"/>
      <c r="P1857" s="85" t="str">
        <f aca="false">IF(AH1857="","",K1857+N(L1857)+N(M1857)+N(N1857)+N(O1857))</f>
        <v/>
      </c>
      <c r="Q1857" s="67"/>
      <c r="R1857" s="67"/>
      <c r="S1857" s="67"/>
      <c r="T1857" s="67"/>
      <c r="U1857" s="67"/>
      <c r="V1857" s="67"/>
      <c r="W1857" s="85" t="str">
        <f aca="false">IF(AH1857="","",N(Q1857)+N(R1857)+N(S1857)+N(T1857)+N(U1857)+N(V1857))</f>
        <v/>
      </c>
      <c r="X1857" s="85" t="str">
        <f aca="false">IF(AH1857="","",P1857-W1857)</f>
        <v/>
      </c>
      <c r="Y1857" s="67"/>
      <c r="Z1857" s="70" t="str">
        <f aca="false">IF(OR(AH1857="",Y1857=""),"",IF(ABS(X1857-Y1857)&lt;=1,"✓ Cuadra","⚠ Diferencia $"&amp;FIXED(X1857-Y1857,0)))</f>
        <v/>
      </c>
      <c r="AA1857" s="72" t="str">
        <f aca="false">IF(AH1857="","",IFERROR(INDEX(C_TIPO,MATCH(C1857&amp;"-P"&amp;MAX(1,COUNTIFS(C_ID,C1857,C_DEFINE,"Sí",C_INICIO,"&lt;="&amp;EOMONTH(B1857,0))),C_CLAVE,0))&amp;"","Sin dato"))</f>
        <v/>
      </c>
      <c r="AB1857" s="71" t="str">
        <f aca="false">IF(AH1857="","",ROUND(MIN(K1857,TOPE_AFP_UF*AJ1857)*AK1857,0))</f>
        <v/>
      </c>
      <c r="AC1857" s="71" t="str">
        <f aca="false">IF(AH1857="","",ROUND(MIN(K1857,TOPE_AFC_UF*AJ1857)*IF(AA1857="Indefinido",AFC_EMP_INDEF,AFC_EMP_PF),0))</f>
        <v/>
      </c>
      <c r="AD1857" s="71" t="str">
        <f aca="false">IF(AH1857="","",ROUND(MIN(K1857,TOPE_AFP_UF*AJ1857)*(MUTUAL_BASICA+MUTUAL_ADIC+SANNA),0))</f>
        <v/>
      </c>
      <c r="AE1857" s="71" t="str">
        <f aca="false">IF(AH1857="","",P1857-N(N1857)+AB1857+AC1857+AD1857)</f>
        <v/>
      </c>
      <c r="AF1857" s="65"/>
      <c r="AG1857" s="64"/>
      <c r="AH1857" s="72" t="str">
        <f aca="false">IF(OR(B1857="",C1857=""),"",C1857&amp;"|"&amp;(YEAR(B1857)*100+MONTH(B1857)))</f>
        <v/>
      </c>
      <c r="AI1857" s="70" t="str">
        <f aca="false">IF(AH1857="","",IF(COUNTIF(L_CLAVE,AH1857)&gt;1,"⚠ Duplicado","OK"))</f>
        <v/>
      </c>
      <c r="AJ1857" s="86" t="str">
        <f aca="false">IF(AH1857="","",IF(SUMPRODUCT(MAX((IND_PER&lt;=B1857)*(IND_UF&lt;&gt;"")*IND_PER))=0,UF_HOY,INDEX(IND_UF,MATCH(SUMPRODUCT(MAX((IND_PER&lt;=B1857)*(IND_UF&lt;&gt;"")*IND_PER)),IND_PER,0))))</f>
        <v/>
      </c>
      <c r="AK1857" s="87" t="str">
        <f aca="false">IF(AH1857="","",IF(COUNTIF(TASA_DESDE,"&lt;="&amp;B1857)=0,INDEX(TASA_EMP,1),INDEX(TASA_EMP,COUNTIF(TASA_DESDE,"&lt;="&amp;B1857))))</f>
        <v/>
      </c>
    </row>
    <row r="1858" customFormat="false" ht="15" hidden="false" customHeight="false" outlineLevel="0" collapsed="false">
      <c r="B1858" s="78"/>
      <c r="C1858" s="64"/>
      <c r="D1858" s="72" t="str">
        <f aca="false">IF(C1858="","",IFERROR(INDEX(T_NOMBRE,MATCH(C1858,T_ID,0)),"⚠ ID no existe"))</f>
        <v/>
      </c>
      <c r="E1858" s="69"/>
      <c r="F1858" s="67"/>
      <c r="G1858" s="67"/>
      <c r="H1858" s="67"/>
      <c r="I1858" s="67"/>
      <c r="J1858" s="67"/>
      <c r="K1858" s="85" t="str">
        <f aca="false">IF(AH1858="","",N(F1858)+N(G1858)+N(H1858)-N(I1858)+N(J1858))</f>
        <v/>
      </c>
      <c r="L1858" s="67"/>
      <c r="M1858" s="67"/>
      <c r="N1858" s="67"/>
      <c r="O1858" s="67"/>
      <c r="P1858" s="85" t="str">
        <f aca="false">IF(AH1858="","",K1858+N(L1858)+N(M1858)+N(N1858)+N(O1858))</f>
        <v/>
      </c>
      <c r="Q1858" s="67"/>
      <c r="R1858" s="67"/>
      <c r="S1858" s="67"/>
      <c r="T1858" s="67"/>
      <c r="U1858" s="67"/>
      <c r="V1858" s="67"/>
      <c r="W1858" s="85" t="str">
        <f aca="false">IF(AH1858="","",N(Q1858)+N(R1858)+N(S1858)+N(T1858)+N(U1858)+N(V1858))</f>
        <v/>
      </c>
      <c r="X1858" s="85" t="str">
        <f aca="false">IF(AH1858="","",P1858-W1858)</f>
        <v/>
      </c>
      <c r="Y1858" s="67"/>
      <c r="Z1858" s="70" t="str">
        <f aca="false">IF(OR(AH1858="",Y1858=""),"",IF(ABS(X1858-Y1858)&lt;=1,"✓ Cuadra","⚠ Diferencia $"&amp;FIXED(X1858-Y1858,0)))</f>
        <v/>
      </c>
      <c r="AA1858" s="72" t="str">
        <f aca="false">IF(AH1858="","",IFERROR(INDEX(C_TIPO,MATCH(C1858&amp;"-P"&amp;MAX(1,COUNTIFS(C_ID,C1858,C_DEFINE,"Sí",C_INICIO,"&lt;="&amp;EOMONTH(B1858,0))),C_CLAVE,0))&amp;"","Sin dato"))</f>
        <v/>
      </c>
      <c r="AB1858" s="71" t="str">
        <f aca="false">IF(AH1858="","",ROUND(MIN(K1858,TOPE_AFP_UF*AJ1858)*AK1858,0))</f>
        <v/>
      </c>
      <c r="AC1858" s="71" t="str">
        <f aca="false">IF(AH1858="","",ROUND(MIN(K1858,TOPE_AFC_UF*AJ1858)*IF(AA1858="Indefinido",AFC_EMP_INDEF,AFC_EMP_PF),0))</f>
        <v/>
      </c>
      <c r="AD1858" s="71" t="str">
        <f aca="false">IF(AH1858="","",ROUND(MIN(K1858,TOPE_AFP_UF*AJ1858)*(MUTUAL_BASICA+MUTUAL_ADIC+SANNA),0))</f>
        <v/>
      </c>
      <c r="AE1858" s="71" t="str">
        <f aca="false">IF(AH1858="","",P1858-N(N1858)+AB1858+AC1858+AD1858)</f>
        <v/>
      </c>
      <c r="AF1858" s="65"/>
      <c r="AG1858" s="64"/>
      <c r="AH1858" s="72" t="str">
        <f aca="false">IF(OR(B1858="",C1858=""),"",C1858&amp;"|"&amp;(YEAR(B1858)*100+MONTH(B1858)))</f>
        <v/>
      </c>
      <c r="AI1858" s="70" t="str">
        <f aca="false">IF(AH1858="","",IF(COUNTIF(L_CLAVE,AH1858)&gt;1,"⚠ Duplicado","OK"))</f>
        <v/>
      </c>
      <c r="AJ1858" s="86" t="str">
        <f aca="false">IF(AH1858="","",IF(SUMPRODUCT(MAX((IND_PER&lt;=B1858)*(IND_UF&lt;&gt;"")*IND_PER))=0,UF_HOY,INDEX(IND_UF,MATCH(SUMPRODUCT(MAX((IND_PER&lt;=B1858)*(IND_UF&lt;&gt;"")*IND_PER)),IND_PER,0))))</f>
        <v/>
      </c>
      <c r="AK1858" s="87" t="str">
        <f aca="false">IF(AH1858="","",IF(COUNTIF(TASA_DESDE,"&lt;="&amp;B1858)=0,INDEX(TASA_EMP,1),INDEX(TASA_EMP,COUNTIF(TASA_DESDE,"&lt;="&amp;B1858))))</f>
        <v/>
      </c>
    </row>
    <row r="1859" customFormat="false" ht="15" hidden="false" customHeight="false" outlineLevel="0" collapsed="false">
      <c r="B1859" s="78"/>
      <c r="C1859" s="64"/>
      <c r="D1859" s="72" t="str">
        <f aca="false">IF(C1859="","",IFERROR(INDEX(T_NOMBRE,MATCH(C1859,T_ID,0)),"⚠ ID no existe"))</f>
        <v/>
      </c>
      <c r="E1859" s="69"/>
      <c r="F1859" s="67"/>
      <c r="G1859" s="67"/>
      <c r="H1859" s="67"/>
      <c r="I1859" s="67"/>
      <c r="J1859" s="67"/>
      <c r="K1859" s="85" t="str">
        <f aca="false">IF(AH1859="","",N(F1859)+N(G1859)+N(H1859)-N(I1859)+N(J1859))</f>
        <v/>
      </c>
      <c r="L1859" s="67"/>
      <c r="M1859" s="67"/>
      <c r="N1859" s="67"/>
      <c r="O1859" s="67"/>
      <c r="P1859" s="85" t="str">
        <f aca="false">IF(AH1859="","",K1859+N(L1859)+N(M1859)+N(N1859)+N(O1859))</f>
        <v/>
      </c>
      <c r="Q1859" s="67"/>
      <c r="R1859" s="67"/>
      <c r="S1859" s="67"/>
      <c r="T1859" s="67"/>
      <c r="U1859" s="67"/>
      <c r="V1859" s="67"/>
      <c r="W1859" s="85" t="str">
        <f aca="false">IF(AH1859="","",N(Q1859)+N(R1859)+N(S1859)+N(T1859)+N(U1859)+N(V1859))</f>
        <v/>
      </c>
      <c r="X1859" s="85" t="str">
        <f aca="false">IF(AH1859="","",P1859-W1859)</f>
        <v/>
      </c>
      <c r="Y1859" s="67"/>
      <c r="Z1859" s="70" t="str">
        <f aca="false">IF(OR(AH1859="",Y1859=""),"",IF(ABS(X1859-Y1859)&lt;=1,"✓ Cuadra","⚠ Diferencia $"&amp;FIXED(X1859-Y1859,0)))</f>
        <v/>
      </c>
      <c r="AA1859" s="72" t="str">
        <f aca="false">IF(AH1859="","",IFERROR(INDEX(C_TIPO,MATCH(C1859&amp;"-P"&amp;MAX(1,COUNTIFS(C_ID,C1859,C_DEFINE,"Sí",C_INICIO,"&lt;="&amp;EOMONTH(B1859,0))),C_CLAVE,0))&amp;"","Sin dato"))</f>
        <v/>
      </c>
      <c r="AB1859" s="71" t="str">
        <f aca="false">IF(AH1859="","",ROUND(MIN(K1859,TOPE_AFP_UF*AJ1859)*AK1859,0))</f>
        <v/>
      </c>
      <c r="AC1859" s="71" t="str">
        <f aca="false">IF(AH1859="","",ROUND(MIN(K1859,TOPE_AFC_UF*AJ1859)*IF(AA1859="Indefinido",AFC_EMP_INDEF,AFC_EMP_PF),0))</f>
        <v/>
      </c>
      <c r="AD1859" s="71" t="str">
        <f aca="false">IF(AH1859="","",ROUND(MIN(K1859,TOPE_AFP_UF*AJ1859)*(MUTUAL_BASICA+MUTUAL_ADIC+SANNA),0))</f>
        <v/>
      </c>
      <c r="AE1859" s="71" t="str">
        <f aca="false">IF(AH1859="","",P1859-N(N1859)+AB1859+AC1859+AD1859)</f>
        <v/>
      </c>
      <c r="AF1859" s="65"/>
      <c r="AG1859" s="64"/>
      <c r="AH1859" s="72" t="str">
        <f aca="false">IF(OR(B1859="",C1859=""),"",C1859&amp;"|"&amp;(YEAR(B1859)*100+MONTH(B1859)))</f>
        <v/>
      </c>
      <c r="AI1859" s="70" t="str">
        <f aca="false">IF(AH1859="","",IF(COUNTIF(L_CLAVE,AH1859)&gt;1,"⚠ Duplicado","OK"))</f>
        <v/>
      </c>
      <c r="AJ1859" s="86" t="str">
        <f aca="false">IF(AH1859="","",IF(SUMPRODUCT(MAX((IND_PER&lt;=B1859)*(IND_UF&lt;&gt;"")*IND_PER))=0,UF_HOY,INDEX(IND_UF,MATCH(SUMPRODUCT(MAX((IND_PER&lt;=B1859)*(IND_UF&lt;&gt;"")*IND_PER)),IND_PER,0))))</f>
        <v/>
      </c>
      <c r="AK1859" s="87" t="str">
        <f aca="false">IF(AH1859="","",IF(COUNTIF(TASA_DESDE,"&lt;="&amp;B1859)=0,INDEX(TASA_EMP,1),INDEX(TASA_EMP,COUNTIF(TASA_DESDE,"&lt;="&amp;B1859))))</f>
        <v/>
      </c>
    </row>
    <row r="1860" customFormat="false" ht="15" hidden="false" customHeight="false" outlineLevel="0" collapsed="false">
      <c r="B1860" s="78"/>
      <c r="C1860" s="64"/>
      <c r="D1860" s="72" t="str">
        <f aca="false">IF(C1860="","",IFERROR(INDEX(T_NOMBRE,MATCH(C1860,T_ID,0)),"⚠ ID no existe"))</f>
        <v/>
      </c>
      <c r="E1860" s="69"/>
      <c r="F1860" s="67"/>
      <c r="G1860" s="67"/>
      <c r="H1860" s="67"/>
      <c r="I1860" s="67"/>
      <c r="J1860" s="67"/>
      <c r="K1860" s="85" t="str">
        <f aca="false">IF(AH1860="","",N(F1860)+N(G1860)+N(H1860)-N(I1860)+N(J1860))</f>
        <v/>
      </c>
      <c r="L1860" s="67"/>
      <c r="M1860" s="67"/>
      <c r="N1860" s="67"/>
      <c r="O1860" s="67"/>
      <c r="P1860" s="85" t="str">
        <f aca="false">IF(AH1860="","",K1860+N(L1860)+N(M1860)+N(N1860)+N(O1860))</f>
        <v/>
      </c>
      <c r="Q1860" s="67"/>
      <c r="R1860" s="67"/>
      <c r="S1860" s="67"/>
      <c r="T1860" s="67"/>
      <c r="U1860" s="67"/>
      <c r="V1860" s="67"/>
      <c r="W1860" s="85" t="str">
        <f aca="false">IF(AH1860="","",N(Q1860)+N(R1860)+N(S1860)+N(T1860)+N(U1860)+N(V1860))</f>
        <v/>
      </c>
      <c r="X1860" s="85" t="str">
        <f aca="false">IF(AH1860="","",P1860-W1860)</f>
        <v/>
      </c>
      <c r="Y1860" s="67"/>
      <c r="Z1860" s="70" t="str">
        <f aca="false">IF(OR(AH1860="",Y1860=""),"",IF(ABS(X1860-Y1860)&lt;=1,"✓ Cuadra","⚠ Diferencia $"&amp;FIXED(X1860-Y1860,0)))</f>
        <v/>
      </c>
      <c r="AA1860" s="72" t="str">
        <f aca="false">IF(AH1860="","",IFERROR(INDEX(C_TIPO,MATCH(C1860&amp;"-P"&amp;MAX(1,COUNTIFS(C_ID,C1860,C_DEFINE,"Sí",C_INICIO,"&lt;="&amp;EOMONTH(B1860,0))),C_CLAVE,0))&amp;"","Sin dato"))</f>
        <v/>
      </c>
      <c r="AB1860" s="71" t="str">
        <f aca="false">IF(AH1860="","",ROUND(MIN(K1860,TOPE_AFP_UF*AJ1860)*AK1860,0))</f>
        <v/>
      </c>
      <c r="AC1860" s="71" t="str">
        <f aca="false">IF(AH1860="","",ROUND(MIN(K1860,TOPE_AFC_UF*AJ1860)*IF(AA1860="Indefinido",AFC_EMP_INDEF,AFC_EMP_PF),0))</f>
        <v/>
      </c>
      <c r="AD1860" s="71" t="str">
        <f aca="false">IF(AH1860="","",ROUND(MIN(K1860,TOPE_AFP_UF*AJ1860)*(MUTUAL_BASICA+MUTUAL_ADIC+SANNA),0))</f>
        <v/>
      </c>
      <c r="AE1860" s="71" t="str">
        <f aca="false">IF(AH1860="","",P1860-N(N1860)+AB1860+AC1860+AD1860)</f>
        <v/>
      </c>
      <c r="AF1860" s="65"/>
      <c r="AG1860" s="64"/>
      <c r="AH1860" s="72" t="str">
        <f aca="false">IF(OR(B1860="",C1860=""),"",C1860&amp;"|"&amp;(YEAR(B1860)*100+MONTH(B1860)))</f>
        <v/>
      </c>
      <c r="AI1860" s="70" t="str">
        <f aca="false">IF(AH1860="","",IF(COUNTIF(L_CLAVE,AH1860)&gt;1,"⚠ Duplicado","OK"))</f>
        <v/>
      </c>
      <c r="AJ1860" s="86" t="str">
        <f aca="false">IF(AH1860="","",IF(SUMPRODUCT(MAX((IND_PER&lt;=B1860)*(IND_UF&lt;&gt;"")*IND_PER))=0,UF_HOY,INDEX(IND_UF,MATCH(SUMPRODUCT(MAX((IND_PER&lt;=B1860)*(IND_UF&lt;&gt;"")*IND_PER)),IND_PER,0))))</f>
        <v/>
      </c>
      <c r="AK1860" s="87" t="str">
        <f aca="false">IF(AH1860="","",IF(COUNTIF(TASA_DESDE,"&lt;="&amp;B1860)=0,INDEX(TASA_EMP,1),INDEX(TASA_EMP,COUNTIF(TASA_DESDE,"&lt;="&amp;B1860))))</f>
        <v/>
      </c>
    </row>
    <row r="1861" customFormat="false" ht="15" hidden="false" customHeight="false" outlineLevel="0" collapsed="false">
      <c r="B1861" s="78"/>
      <c r="C1861" s="64"/>
      <c r="D1861" s="72" t="str">
        <f aca="false">IF(C1861="","",IFERROR(INDEX(T_NOMBRE,MATCH(C1861,T_ID,0)),"⚠ ID no existe"))</f>
        <v/>
      </c>
      <c r="E1861" s="69"/>
      <c r="F1861" s="67"/>
      <c r="G1861" s="67"/>
      <c r="H1861" s="67"/>
      <c r="I1861" s="67"/>
      <c r="J1861" s="67"/>
      <c r="K1861" s="85" t="str">
        <f aca="false">IF(AH1861="","",N(F1861)+N(G1861)+N(H1861)-N(I1861)+N(J1861))</f>
        <v/>
      </c>
      <c r="L1861" s="67"/>
      <c r="M1861" s="67"/>
      <c r="N1861" s="67"/>
      <c r="O1861" s="67"/>
      <c r="P1861" s="85" t="str">
        <f aca="false">IF(AH1861="","",K1861+N(L1861)+N(M1861)+N(N1861)+N(O1861))</f>
        <v/>
      </c>
      <c r="Q1861" s="67"/>
      <c r="R1861" s="67"/>
      <c r="S1861" s="67"/>
      <c r="T1861" s="67"/>
      <c r="U1861" s="67"/>
      <c r="V1861" s="67"/>
      <c r="W1861" s="85" t="str">
        <f aca="false">IF(AH1861="","",N(Q1861)+N(R1861)+N(S1861)+N(T1861)+N(U1861)+N(V1861))</f>
        <v/>
      </c>
      <c r="X1861" s="85" t="str">
        <f aca="false">IF(AH1861="","",P1861-W1861)</f>
        <v/>
      </c>
      <c r="Y1861" s="67"/>
      <c r="Z1861" s="70" t="str">
        <f aca="false">IF(OR(AH1861="",Y1861=""),"",IF(ABS(X1861-Y1861)&lt;=1,"✓ Cuadra","⚠ Diferencia $"&amp;FIXED(X1861-Y1861,0)))</f>
        <v/>
      </c>
      <c r="AA1861" s="72" t="str">
        <f aca="false">IF(AH1861="","",IFERROR(INDEX(C_TIPO,MATCH(C1861&amp;"-P"&amp;MAX(1,COUNTIFS(C_ID,C1861,C_DEFINE,"Sí",C_INICIO,"&lt;="&amp;EOMONTH(B1861,0))),C_CLAVE,0))&amp;"","Sin dato"))</f>
        <v/>
      </c>
      <c r="AB1861" s="71" t="str">
        <f aca="false">IF(AH1861="","",ROUND(MIN(K1861,TOPE_AFP_UF*AJ1861)*AK1861,0))</f>
        <v/>
      </c>
      <c r="AC1861" s="71" t="str">
        <f aca="false">IF(AH1861="","",ROUND(MIN(K1861,TOPE_AFC_UF*AJ1861)*IF(AA1861="Indefinido",AFC_EMP_INDEF,AFC_EMP_PF),0))</f>
        <v/>
      </c>
      <c r="AD1861" s="71" t="str">
        <f aca="false">IF(AH1861="","",ROUND(MIN(K1861,TOPE_AFP_UF*AJ1861)*(MUTUAL_BASICA+MUTUAL_ADIC+SANNA),0))</f>
        <v/>
      </c>
      <c r="AE1861" s="71" t="str">
        <f aca="false">IF(AH1861="","",P1861-N(N1861)+AB1861+AC1861+AD1861)</f>
        <v/>
      </c>
      <c r="AF1861" s="65"/>
      <c r="AG1861" s="64"/>
      <c r="AH1861" s="72" t="str">
        <f aca="false">IF(OR(B1861="",C1861=""),"",C1861&amp;"|"&amp;(YEAR(B1861)*100+MONTH(B1861)))</f>
        <v/>
      </c>
      <c r="AI1861" s="70" t="str">
        <f aca="false">IF(AH1861="","",IF(COUNTIF(L_CLAVE,AH1861)&gt;1,"⚠ Duplicado","OK"))</f>
        <v/>
      </c>
      <c r="AJ1861" s="86" t="str">
        <f aca="false">IF(AH1861="","",IF(SUMPRODUCT(MAX((IND_PER&lt;=B1861)*(IND_UF&lt;&gt;"")*IND_PER))=0,UF_HOY,INDEX(IND_UF,MATCH(SUMPRODUCT(MAX((IND_PER&lt;=B1861)*(IND_UF&lt;&gt;"")*IND_PER)),IND_PER,0))))</f>
        <v/>
      </c>
      <c r="AK1861" s="87" t="str">
        <f aca="false">IF(AH1861="","",IF(COUNTIF(TASA_DESDE,"&lt;="&amp;B1861)=0,INDEX(TASA_EMP,1),INDEX(TASA_EMP,COUNTIF(TASA_DESDE,"&lt;="&amp;B1861))))</f>
        <v/>
      </c>
    </row>
    <row r="1862" customFormat="false" ht="15" hidden="false" customHeight="false" outlineLevel="0" collapsed="false">
      <c r="B1862" s="78"/>
      <c r="C1862" s="64"/>
      <c r="D1862" s="72" t="str">
        <f aca="false">IF(C1862="","",IFERROR(INDEX(T_NOMBRE,MATCH(C1862,T_ID,0)),"⚠ ID no existe"))</f>
        <v/>
      </c>
      <c r="E1862" s="69"/>
      <c r="F1862" s="67"/>
      <c r="G1862" s="67"/>
      <c r="H1862" s="67"/>
      <c r="I1862" s="67"/>
      <c r="J1862" s="67"/>
      <c r="K1862" s="85" t="str">
        <f aca="false">IF(AH1862="","",N(F1862)+N(G1862)+N(H1862)-N(I1862)+N(J1862))</f>
        <v/>
      </c>
      <c r="L1862" s="67"/>
      <c r="M1862" s="67"/>
      <c r="N1862" s="67"/>
      <c r="O1862" s="67"/>
      <c r="P1862" s="85" t="str">
        <f aca="false">IF(AH1862="","",K1862+N(L1862)+N(M1862)+N(N1862)+N(O1862))</f>
        <v/>
      </c>
      <c r="Q1862" s="67"/>
      <c r="R1862" s="67"/>
      <c r="S1862" s="67"/>
      <c r="T1862" s="67"/>
      <c r="U1862" s="67"/>
      <c r="V1862" s="67"/>
      <c r="W1862" s="85" t="str">
        <f aca="false">IF(AH1862="","",N(Q1862)+N(R1862)+N(S1862)+N(T1862)+N(U1862)+N(V1862))</f>
        <v/>
      </c>
      <c r="X1862" s="85" t="str">
        <f aca="false">IF(AH1862="","",P1862-W1862)</f>
        <v/>
      </c>
      <c r="Y1862" s="67"/>
      <c r="Z1862" s="70" t="str">
        <f aca="false">IF(OR(AH1862="",Y1862=""),"",IF(ABS(X1862-Y1862)&lt;=1,"✓ Cuadra","⚠ Diferencia $"&amp;FIXED(X1862-Y1862,0)))</f>
        <v/>
      </c>
      <c r="AA1862" s="72" t="str">
        <f aca="false">IF(AH1862="","",IFERROR(INDEX(C_TIPO,MATCH(C1862&amp;"-P"&amp;MAX(1,COUNTIFS(C_ID,C1862,C_DEFINE,"Sí",C_INICIO,"&lt;="&amp;EOMONTH(B1862,0))),C_CLAVE,0))&amp;"","Sin dato"))</f>
        <v/>
      </c>
      <c r="AB1862" s="71" t="str">
        <f aca="false">IF(AH1862="","",ROUND(MIN(K1862,TOPE_AFP_UF*AJ1862)*AK1862,0))</f>
        <v/>
      </c>
      <c r="AC1862" s="71" t="str">
        <f aca="false">IF(AH1862="","",ROUND(MIN(K1862,TOPE_AFC_UF*AJ1862)*IF(AA1862="Indefinido",AFC_EMP_INDEF,AFC_EMP_PF),0))</f>
        <v/>
      </c>
      <c r="AD1862" s="71" t="str">
        <f aca="false">IF(AH1862="","",ROUND(MIN(K1862,TOPE_AFP_UF*AJ1862)*(MUTUAL_BASICA+MUTUAL_ADIC+SANNA),0))</f>
        <v/>
      </c>
      <c r="AE1862" s="71" t="str">
        <f aca="false">IF(AH1862="","",P1862-N(N1862)+AB1862+AC1862+AD1862)</f>
        <v/>
      </c>
      <c r="AF1862" s="65"/>
      <c r="AG1862" s="64"/>
      <c r="AH1862" s="72" t="str">
        <f aca="false">IF(OR(B1862="",C1862=""),"",C1862&amp;"|"&amp;(YEAR(B1862)*100+MONTH(B1862)))</f>
        <v/>
      </c>
      <c r="AI1862" s="70" t="str">
        <f aca="false">IF(AH1862="","",IF(COUNTIF(L_CLAVE,AH1862)&gt;1,"⚠ Duplicado","OK"))</f>
        <v/>
      </c>
      <c r="AJ1862" s="86" t="str">
        <f aca="false">IF(AH1862="","",IF(SUMPRODUCT(MAX((IND_PER&lt;=B1862)*(IND_UF&lt;&gt;"")*IND_PER))=0,UF_HOY,INDEX(IND_UF,MATCH(SUMPRODUCT(MAX((IND_PER&lt;=B1862)*(IND_UF&lt;&gt;"")*IND_PER)),IND_PER,0))))</f>
        <v/>
      </c>
      <c r="AK1862" s="87" t="str">
        <f aca="false">IF(AH1862="","",IF(COUNTIF(TASA_DESDE,"&lt;="&amp;B1862)=0,INDEX(TASA_EMP,1),INDEX(TASA_EMP,COUNTIF(TASA_DESDE,"&lt;="&amp;B1862))))</f>
        <v/>
      </c>
    </row>
    <row r="1863" customFormat="false" ht="15" hidden="false" customHeight="false" outlineLevel="0" collapsed="false">
      <c r="B1863" s="78"/>
      <c r="C1863" s="64"/>
      <c r="D1863" s="72" t="str">
        <f aca="false">IF(C1863="","",IFERROR(INDEX(T_NOMBRE,MATCH(C1863,T_ID,0)),"⚠ ID no existe"))</f>
        <v/>
      </c>
      <c r="E1863" s="69"/>
      <c r="F1863" s="67"/>
      <c r="G1863" s="67"/>
      <c r="H1863" s="67"/>
      <c r="I1863" s="67"/>
      <c r="J1863" s="67"/>
      <c r="K1863" s="85" t="str">
        <f aca="false">IF(AH1863="","",N(F1863)+N(G1863)+N(H1863)-N(I1863)+N(J1863))</f>
        <v/>
      </c>
      <c r="L1863" s="67"/>
      <c r="M1863" s="67"/>
      <c r="N1863" s="67"/>
      <c r="O1863" s="67"/>
      <c r="P1863" s="85" t="str">
        <f aca="false">IF(AH1863="","",K1863+N(L1863)+N(M1863)+N(N1863)+N(O1863))</f>
        <v/>
      </c>
      <c r="Q1863" s="67"/>
      <c r="R1863" s="67"/>
      <c r="S1863" s="67"/>
      <c r="T1863" s="67"/>
      <c r="U1863" s="67"/>
      <c r="V1863" s="67"/>
      <c r="W1863" s="85" t="str">
        <f aca="false">IF(AH1863="","",N(Q1863)+N(R1863)+N(S1863)+N(T1863)+N(U1863)+N(V1863))</f>
        <v/>
      </c>
      <c r="X1863" s="85" t="str">
        <f aca="false">IF(AH1863="","",P1863-W1863)</f>
        <v/>
      </c>
      <c r="Y1863" s="67"/>
      <c r="Z1863" s="70" t="str">
        <f aca="false">IF(OR(AH1863="",Y1863=""),"",IF(ABS(X1863-Y1863)&lt;=1,"✓ Cuadra","⚠ Diferencia $"&amp;FIXED(X1863-Y1863,0)))</f>
        <v/>
      </c>
      <c r="AA1863" s="72" t="str">
        <f aca="false">IF(AH1863="","",IFERROR(INDEX(C_TIPO,MATCH(C1863&amp;"-P"&amp;MAX(1,COUNTIFS(C_ID,C1863,C_DEFINE,"Sí",C_INICIO,"&lt;="&amp;EOMONTH(B1863,0))),C_CLAVE,0))&amp;"","Sin dato"))</f>
        <v/>
      </c>
      <c r="AB1863" s="71" t="str">
        <f aca="false">IF(AH1863="","",ROUND(MIN(K1863,TOPE_AFP_UF*AJ1863)*AK1863,0))</f>
        <v/>
      </c>
      <c r="AC1863" s="71" t="str">
        <f aca="false">IF(AH1863="","",ROUND(MIN(K1863,TOPE_AFC_UF*AJ1863)*IF(AA1863="Indefinido",AFC_EMP_INDEF,AFC_EMP_PF),0))</f>
        <v/>
      </c>
      <c r="AD1863" s="71" t="str">
        <f aca="false">IF(AH1863="","",ROUND(MIN(K1863,TOPE_AFP_UF*AJ1863)*(MUTUAL_BASICA+MUTUAL_ADIC+SANNA),0))</f>
        <v/>
      </c>
      <c r="AE1863" s="71" t="str">
        <f aca="false">IF(AH1863="","",P1863-N(N1863)+AB1863+AC1863+AD1863)</f>
        <v/>
      </c>
      <c r="AF1863" s="65"/>
      <c r="AG1863" s="64"/>
      <c r="AH1863" s="72" t="str">
        <f aca="false">IF(OR(B1863="",C1863=""),"",C1863&amp;"|"&amp;(YEAR(B1863)*100+MONTH(B1863)))</f>
        <v/>
      </c>
      <c r="AI1863" s="70" t="str">
        <f aca="false">IF(AH1863="","",IF(COUNTIF(L_CLAVE,AH1863)&gt;1,"⚠ Duplicado","OK"))</f>
        <v/>
      </c>
      <c r="AJ1863" s="86" t="str">
        <f aca="false">IF(AH1863="","",IF(SUMPRODUCT(MAX((IND_PER&lt;=B1863)*(IND_UF&lt;&gt;"")*IND_PER))=0,UF_HOY,INDEX(IND_UF,MATCH(SUMPRODUCT(MAX((IND_PER&lt;=B1863)*(IND_UF&lt;&gt;"")*IND_PER)),IND_PER,0))))</f>
        <v/>
      </c>
      <c r="AK1863" s="87" t="str">
        <f aca="false">IF(AH1863="","",IF(COUNTIF(TASA_DESDE,"&lt;="&amp;B1863)=0,INDEX(TASA_EMP,1),INDEX(TASA_EMP,COUNTIF(TASA_DESDE,"&lt;="&amp;B1863))))</f>
        <v/>
      </c>
    </row>
    <row r="1864" customFormat="false" ht="15" hidden="false" customHeight="false" outlineLevel="0" collapsed="false">
      <c r="B1864" s="78"/>
      <c r="C1864" s="64"/>
      <c r="D1864" s="72" t="str">
        <f aca="false">IF(C1864="","",IFERROR(INDEX(T_NOMBRE,MATCH(C1864,T_ID,0)),"⚠ ID no existe"))</f>
        <v/>
      </c>
      <c r="E1864" s="69"/>
      <c r="F1864" s="67"/>
      <c r="G1864" s="67"/>
      <c r="H1864" s="67"/>
      <c r="I1864" s="67"/>
      <c r="J1864" s="67"/>
      <c r="K1864" s="85" t="str">
        <f aca="false">IF(AH1864="","",N(F1864)+N(G1864)+N(H1864)-N(I1864)+N(J1864))</f>
        <v/>
      </c>
      <c r="L1864" s="67"/>
      <c r="M1864" s="67"/>
      <c r="N1864" s="67"/>
      <c r="O1864" s="67"/>
      <c r="P1864" s="85" t="str">
        <f aca="false">IF(AH1864="","",K1864+N(L1864)+N(M1864)+N(N1864)+N(O1864))</f>
        <v/>
      </c>
      <c r="Q1864" s="67"/>
      <c r="R1864" s="67"/>
      <c r="S1864" s="67"/>
      <c r="T1864" s="67"/>
      <c r="U1864" s="67"/>
      <c r="V1864" s="67"/>
      <c r="W1864" s="85" t="str">
        <f aca="false">IF(AH1864="","",N(Q1864)+N(R1864)+N(S1864)+N(T1864)+N(U1864)+N(V1864))</f>
        <v/>
      </c>
      <c r="X1864" s="85" t="str">
        <f aca="false">IF(AH1864="","",P1864-W1864)</f>
        <v/>
      </c>
      <c r="Y1864" s="67"/>
      <c r="Z1864" s="70" t="str">
        <f aca="false">IF(OR(AH1864="",Y1864=""),"",IF(ABS(X1864-Y1864)&lt;=1,"✓ Cuadra","⚠ Diferencia $"&amp;FIXED(X1864-Y1864,0)))</f>
        <v/>
      </c>
      <c r="AA1864" s="72" t="str">
        <f aca="false">IF(AH1864="","",IFERROR(INDEX(C_TIPO,MATCH(C1864&amp;"-P"&amp;MAX(1,COUNTIFS(C_ID,C1864,C_DEFINE,"Sí",C_INICIO,"&lt;="&amp;EOMONTH(B1864,0))),C_CLAVE,0))&amp;"","Sin dato"))</f>
        <v/>
      </c>
      <c r="AB1864" s="71" t="str">
        <f aca="false">IF(AH1864="","",ROUND(MIN(K1864,TOPE_AFP_UF*AJ1864)*AK1864,0))</f>
        <v/>
      </c>
      <c r="AC1864" s="71" t="str">
        <f aca="false">IF(AH1864="","",ROUND(MIN(K1864,TOPE_AFC_UF*AJ1864)*IF(AA1864="Indefinido",AFC_EMP_INDEF,AFC_EMP_PF),0))</f>
        <v/>
      </c>
      <c r="AD1864" s="71" t="str">
        <f aca="false">IF(AH1864="","",ROUND(MIN(K1864,TOPE_AFP_UF*AJ1864)*(MUTUAL_BASICA+MUTUAL_ADIC+SANNA),0))</f>
        <v/>
      </c>
      <c r="AE1864" s="71" t="str">
        <f aca="false">IF(AH1864="","",P1864-N(N1864)+AB1864+AC1864+AD1864)</f>
        <v/>
      </c>
      <c r="AF1864" s="65"/>
      <c r="AG1864" s="64"/>
      <c r="AH1864" s="72" t="str">
        <f aca="false">IF(OR(B1864="",C1864=""),"",C1864&amp;"|"&amp;(YEAR(B1864)*100+MONTH(B1864)))</f>
        <v/>
      </c>
      <c r="AI1864" s="70" t="str">
        <f aca="false">IF(AH1864="","",IF(COUNTIF(L_CLAVE,AH1864)&gt;1,"⚠ Duplicado","OK"))</f>
        <v/>
      </c>
      <c r="AJ1864" s="86" t="str">
        <f aca="false">IF(AH1864="","",IF(SUMPRODUCT(MAX((IND_PER&lt;=B1864)*(IND_UF&lt;&gt;"")*IND_PER))=0,UF_HOY,INDEX(IND_UF,MATCH(SUMPRODUCT(MAX((IND_PER&lt;=B1864)*(IND_UF&lt;&gt;"")*IND_PER)),IND_PER,0))))</f>
        <v/>
      </c>
      <c r="AK1864" s="87" t="str">
        <f aca="false">IF(AH1864="","",IF(COUNTIF(TASA_DESDE,"&lt;="&amp;B1864)=0,INDEX(TASA_EMP,1),INDEX(TASA_EMP,COUNTIF(TASA_DESDE,"&lt;="&amp;B1864))))</f>
        <v/>
      </c>
    </row>
    <row r="1865" customFormat="false" ht="15" hidden="false" customHeight="false" outlineLevel="0" collapsed="false">
      <c r="B1865" s="78"/>
      <c r="C1865" s="64"/>
      <c r="D1865" s="72" t="str">
        <f aca="false">IF(C1865="","",IFERROR(INDEX(T_NOMBRE,MATCH(C1865,T_ID,0)),"⚠ ID no existe"))</f>
        <v/>
      </c>
      <c r="E1865" s="69"/>
      <c r="F1865" s="67"/>
      <c r="G1865" s="67"/>
      <c r="H1865" s="67"/>
      <c r="I1865" s="67"/>
      <c r="J1865" s="67"/>
      <c r="K1865" s="85" t="str">
        <f aca="false">IF(AH1865="","",N(F1865)+N(G1865)+N(H1865)-N(I1865)+N(J1865))</f>
        <v/>
      </c>
      <c r="L1865" s="67"/>
      <c r="M1865" s="67"/>
      <c r="N1865" s="67"/>
      <c r="O1865" s="67"/>
      <c r="P1865" s="85" t="str">
        <f aca="false">IF(AH1865="","",K1865+N(L1865)+N(M1865)+N(N1865)+N(O1865))</f>
        <v/>
      </c>
      <c r="Q1865" s="67"/>
      <c r="R1865" s="67"/>
      <c r="S1865" s="67"/>
      <c r="T1865" s="67"/>
      <c r="U1865" s="67"/>
      <c r="V1865" s="67"/>
      <c r="W1865" s="85" t="str">
        <f aca="false">IF(AH1865="","",N(Q1865)+N(R1865)+N(S1865)+N(T1865)+N(U1865)+N(V1865))</f>
        <v/>
      </c>
      <c r="X1865" s="85" t="str">
        <f aca="false">IF(AH1865="","",P1865-W1865)</f>
        <v/>
      </c>
      <c r="Y1865" s="67"/>
      <c r="Z1865" s="70" t="str">
        <f aca="false">IF(OR(AH1865="",Y1865=""),"",IF(ABS(X1865-Y1865)&lt;=1,"✓ Cuadra","⚠ Diferencia $"&amp;FIXED(X1865-Y1865,0)))</f>
        <v/>
      </c>
      <c r="AA1865" s="72" t="str">
        <f aca="false">IF(AH1865="","",IFERROR(INDEX(C_TIPO,MATCH(C1865&amp;"-P"&amp;MAX(1,COUNTIFS(C_ID,C1865,C_DEFINE,"Sí",C_INICIO,"&lt;="&amp;EOMONTH(B1865,0))),C_CLAVE,0))&amp;"","Sin dato"))</f>
        <v/>
      </c>
      <c r="AB1865" s="71" t="str">
        <f aca="false">IF(AH1865="","",ROUND(MIN(K1865,TOPE_AFP_UF*AJ1865)*AK1865,0))</f>
        <v/>
      </c>
      <c r="AC1865" s="71" t="str">
        <f aca="false">IF(AH1865="","",ROUND(MIN(K1865,TOPE_AFC_UF*AJ1865)*IF(AA1865="Indefinido",AFC_EMP_INDEF,AFC_EMP_PF),0))</f>
        <v/>
      </c>
      <c r="AD1865" s="71" t="str">
        <f aca="false">IF(AH1865="","",ROUND(MIN(K1865,TOPE_AFP_UF*AJ1865)*(MUTUAL_BASICA+MUTUAL_ADIC+SANNA),0))</f>
        <v/>
      </c>
      <c r="AE1865" s="71" t="str">
        <f aca="false">IF(AH1865="","",P1865-N(N1865)+AB1865+AC1865+AD1865)</f>
        <v/>
      </c>
      <c r="AF1865" s="65"/>
      <c r="AG1865" s="64"/>
      <c r="AH1865" s="72" t="str">
        <f aca="false">IF(OR(B1865="",C1865=""),"",C1865&amp;"|"&amp;(YEAR(B1865)*100+MONTH(B1865)))</f>
        <v/>
      </c>
      <c r="AI1865" s="70" t="str">
        <f aca="false">IF(AH1865="","",IF(COUNTIF(L_CLAVE,AH1865)&gt;1,"⚠ Duplicado","OK"))</f>
        <v/>
      </c>
      <c r="AJ1865" s="86" t="str">
        <f aca="false">IF(AH1865="","",IF(SUMPRODUCT(MAX((IND_PER&lt;=B1865)*(IND_UF&lt;&gt;"")*IND_PER))=0,UF_HOY,INDEX(IND_UF,MATCH(SUMPRODUCT(MAX((IND_PER&lt;=B1865)*(IND_UF&lt;&gt;"")*IND_PER)),IND_PER,0))))</f>
        <v/>
      </c>
      <c r="AK1865" s="87" t="str">
        <f aca="false">IF(AH1865="","",IF(COUNTIF(TASA_DESDE,"&lt;="&amp;B1865)=0,INDEX(TASA_EMP,1),INDEX(TASA_EMP,COUNTIF(TASA_DESDE,"&lt;="&amp;B1865))))</f>
        <v/>
      </c>
    </row>
    <row r="1866" customFormat="false" ht="15" hidden="false" customHeight="false" outlineLevel="0" collapsed="false">
      <c r="B1866" s="78"/>
      <c r="C1866" s="64"/>
      <c r="D1866" s="72" t="str">
        <f aca="false">IF(C1866="","",IFERROR(INDEX(T_NOMBRE,MATCH(C1866,T_ID,0)),"⚠ ID no existe"))</f>
        <v/>
      </c>
      <c r="E1866" s="69"/>
      <c r="F1866" s="67"/>
      <c r="G1866" s="67"/>
      <c r="H1866" s="67"/>
      <c r="I1866" s="67"/>
      <c r="J1866" s="67"/>
      <c r="K1866" s="85" t="str">
        <f aca="false">IF(AH1866="","",N(F1866)+N(G1866)+N(H1866)-N(I1866)+N(J1866))</f>
        <v/>
      </c>
      <c r="L1866" s="67"/>
      <c r="M1866" s="67"/>
      <c r="N1866" s="67"/>
      <c r="O1866" s="67"/>
      <c r="P1866" s="85" t="str">
        <f aca="false">IF(AH1866="","",K1866+N(L1866)+N(M1866)+N(N1866)+N(O1866))</f>
        <v/>
      </c>
      <c r="Q1866" s="67"/>
      <c r="R1866" s="67"/>
      <c r="S1866" s="67"/>
      <c r="T1866" s="67"/>
      <c r="U1866" s="67"/>
      <c r="V1866" s="67"/>
      <c r="W1866" s="85" t="str">
        <f aca="false">IF(AH1866="","",N(Q1866)+N(R1866)+N(S1866)+N(T1866)+N(U1866)+N(V1866))</f>
        <v/>
      </c>
      <c r="X1866" s="85" t="str">
        <f aca="false">IF(AH1866="","",P1866-W1866)</f>
        <v/>
      </c>
      <c r="Y1866" s="67"/>
      <c r="Z1866" s="70" t="str">
        <f aca="false">IF(OR(AH1866="",Y1866=""),"",IF(ABS(X1866-Y1866)&lt;=1,"✓ Cuadra","⚠ Diferencia $"&amp;FIXED(X1866-Y1866,0)))</f>
        <v/>
      </c>
      <c r="AA1866" s="72" t="str">
        <f aca="false">IF(AH1866="","",IFERROR(INDEX(C_TIPO,MATCH(C1866&amp;"-P"&amp;MAX(1,COUNTIFS(C_ID,C1866,C_DEFINE,"Sí",C_INICIO,"&lt;="&amp;EOMONTH(B1866,0))),C_CLAVE,0))&amp;"","Sin dato"))</f>
        <v/>
      </c>
      <c r="AB1866" s="71" t="str">
        <f aca="false">IF(AH1866="","",ROUND(MIN(K1866,TOPE_AFP_UF*AJ1866)*AK1866,0))</f>
        <v/>
      </c>
      <c r="AC1866" s="71" t="str">
        <f aca="false">IF(AH1866="","",ROUND(MIN(K1866,TOPE_AFC_UF*AJ1866)*IF(AA1866="Indefinido",AFC_EMP_INDEF,AFC_EMP_PF),0))</f>
        <v/>
      </c>
      <c r="AD1866" s="71" t="str">
        <f aca="false">IF(AH1866="","",ROUND(MIN(K1866,TOPE_AFP_UF*AJ1866)*(MUTUAL_BASICA+MUTUAL_ADIC+SANNA),0))</f>
        <v/>
      </c>
      <c r="AE1866" s="71" t="str">
        <f aca="false">IF(AH1866="","",P1866-N(N1866)+AB1866+AC1866+AD1866)</f>
        <v/>
      </c>
      <c r="AF1866" s="65"/>
      <c r="AG1866" s="64"/>
      <c r="AH1866" s="72" t="str">
        <f aca="false">IF(OR(B1866="",C1866=""),"",C1866&amp;"|"&amp;(YEAR(B1866)*100+MONTH(B1866)))</f>
        <v/>
      </c>
      <c r="AI1866" s="70" t="str">
        <f aca="false">IF(AH1866="","",IF(COUNTIF(L_CLAVE,AH1866)&gt;1,"⚠ Duplicado","OK"))</f>
        <v/>
      </c>
      <c r="AJ1866" s="86" t="str">
        <f aca="false">IF(AH1866="","",IF(SUMPRODUCT(MAX((IND_PER&lt;=B1866)*(IND_UF&lt;&gt;"")*IND_PER))=0,UF_HOY,INDEX(IND_UF,MATCH(SUMPRODUCT(MAX((IND_PER&lt;=B1866)*(IND_UF&lt;&gt;"")*IND_PER)),IND_PER,0))))</f>
        <v/>
      </c>
      <c r="AK1866" s="87" t="str">
        <f aca="false">IF(AH1866="","",IF(COUNTIF(TASA_DESDE,"&lt;="&amp;B1866)=0,INDEX(TASA_EMP,1),INDEX(TASA_EMP,COUNTIF(TASA_DESDE,"&lt;="&amp;B1866))))</f>
        <v/>
      </c>
    </row>
    <row r="1867" customFormat="false" ht="15" hidden="false" customHeight="false" outlineLevel="0" collapsed="false">
      <c r="B1867" s="78"/>
      <c r="C1867" s="64"/>
      <c r="D1867" s="72" t="str">
        <f aca="false">IF(C1867="","",IFERROR(INDEX(T_NOMBRE,MATCH(C1867,T_ID,0)),"⚠ ID no existe"))</f>
        <v/>
      </c>
      <c r="E1867" s="69"/>
      <c r="F1867" s="67"/>
      <c r="G1867" s="67"/>
      <c r="H1867" s="67"/>
      <c r="I1867" s="67"/>
      <c r="J1867" s="67"/>
      <c r="K1867" s="85" t="str">
        <f aca="false">IF(AH1867="","",N(F1867)+N(G1867)+N(H1867)-N(I1867)+N(J1867))</f>
        <v/>
      </c>
      <c r="L1867" s="67"/>
      <c r="M1867" s="67"/>
      <c r="N1867" s="67"/>
      <c r="O1867" s="67"/>
      <c r="P1867" s="85" t="str">
        <f aca="false">IF(AH1867="","",K1867+N(L1867)+N(M1867)+N(N1867)+N(O1867))</f>
        <v/>
      </c>
      <c r="Q1867" s="67"/>
      <c r="R1867" s="67"/>
      <c r="S1867" s="67"/>
      <c r="T1867" s="67"/>
      <c r="U1867" s="67"/>
      <c r="V1867" s="67"/>
      <c r="W1867" s="85" t="str">
        <f aca="false">IF(AH1867="","",N(Q1867)+N(R1867)+N(S1867)+N(T1867)+N(U1867)+N(V1867))</f>
        <v/>
      </c>
      <c r="X1867" s="85" t="str">
        <f aca="false">IF(AH1867="","",P1867-W1867)</f>
        <v/>
      </c>
      <c r="Y1867" s="67"/>
      <c r="Z1867" s="70" t="str">
        <f aca="false">IF(OR(AH1867="",Y1867=""),"",IF(ABS(X1867-Y1867)&lt;=1,"✓ Cuadra","⚠ Diferencia $"&amp;FIXED(X1867-Y1867,0)))</f>
        <v/>
      </c>
      <c r="AA1867" s="72" t="str">
        <f aca="false">IF(AH1867="","",IFERROR(INDEX(C_TIPO,MATCH(C1867&amp;"-P"&amp;MAX(1,COUNTIFS(C_ID,C1867,C_DEFINE,"Sí",C_INICIO,"&lt;="&amp;EOMONTH(B1867,0))),C_CLAVE,0))&amp;"","Sin dato"))</f>
        <v/>
      </c>
      <c r="AB1867" s="71" t="str">
        <f aca="false">IF(AH1867="","",ROUND(MIN(K1867,TOPE_AFP_UF*AJ1867)*AK1867,0))</f>
        <v/>
      </c>
      <c r="AC1867" s="71" t="str">
        <f aca="false">IF(AH1867="","",ROUND(MIN(K1867,TOPE_AFC_UF*AJ1867)*IF(AA1867="Indefinido",AFC_EMP_INDEF,AFC_EMP_PF),0))</f>
        <v/>
      </c>
      <c r="AD1867" s="71" t="str">
        <f aca="false">IF(AH1867="","",ROUND(MIN(K1867,TOPE_AFP_UF*AJ1867)*(MUTUAL_BASICA+MUTUAL_ADIC+SANNA),0))</f>
        <v/>
      </c>
      <c r="AE1867" s="71" t="str">
        <f aca="false">IF(AH1867="","",P1867-N(N1867)+AB1867+AC1867+AD1867)</f>
        <v/>
      </c>
      <c r="AF1867" s="65"/>
      <c r="AG1867" s="64"/>
      <c r="AH1867" s="72" t="str">
        <f aca="false">IF(OR(B1867="",C1867=""),"",C1867&amp;"|"&amp;(YEAR(B1867)*100+MONTH(B1867)))</f>
        <v/>
      </c>
      <c r="AI1867" s="70" t="str">
        <f aca="false">IF(AH1867="","",IF(COUNTIF(L_CLAVE,AH1867)&gt;1,"⚠ Duplicado","OK"))</f>
        <v/>
      </c>
      <c r="AJ1867" s="86" t="str">
        <f aca="false">IF(AH1867="","",IF(SUMPRODUCT(MAX((IND_PER&lt;=B1867)*(IND_UF&lt;&gt;"")*IND_PER))=0,UF_HOY,INDEX(IND_UF,MATCH(SUMPRODUCT(MAX((IND_PER&lt;=B1867)*(IND_UF&lt;&gt;"")*IND_PER)),IND_PER,0))))</f>
        <v/>
      </c>
      <c r="AK1867" s="87" t="str">
        <f aca="false">IF(AH1867="","",IF(COUNTIF(TASA_DESDE,"&lt;="&amp;B1867)=0,INDEX(TASA_EMP,1),INDEX(TASA_EMP,COUNTIF(TASA_DESDE,"&lt;="&amp;B1867))))</f>
        <v/>
      </c>
    </row>
    <row r="1868" customFormat="false" ht="15" hidden="false" customHeight="false" outlineLevel="0" collapsed="false">
      <c r="B1868" s="78"/>
      <c r="C1868" s="64"/>
      <c r="D1868" s="72" t="str">
        <f aca="false">IF(C1868="","",IFERROR(INDEX(T_NOMBRE,MATCH(C1868,T_ID,0)),"⚠ ID no existe"))</f>
        <v/>
      </c>
      <c r="E1868" s="69"/>
      <c r="F1868" s="67"/>
      <c r="G1868" s="67"/>
      <c r="H1868" s="67"/>
      <c r="I1868" s="67"/>
      <c r="J1868" s="67"/>
      <c r="K1868" s="85" t="str">
        <f aca="false">IF(AH1868="","",N(F1868)+N(G1868)+N(H1868)-N(I1868)+N(J1868))</f>
        <v/>
      </c>
      <c r="L1868" s="67"/>
      <c r="M1868" s="67"/>
      <c r="N1868" s="67"/>
      <c r="O1868" s="67"/>
      <c r="P1868" s="85" t="str">
        <f aca="false">IF(AH1868="","",K1868+N(L1868)+N(M1868)+N(N1868)+N(O1868))</f>
        <v/>
      </c>
      <c r="Q1868" s="67"/>
      <c r="R1868" s="67"/>
      <c r="S1868" s="67"/>
      <c r="T1868" s="67"/>
      <c r="U1868" s="67"/>
      <c r="V1868" s="67"/>
      <c r="W1868" s="85" t="str">
        <f aca="false">IF(AH1868="","",N(Q1868)+N(R1868)+N(S1868)+N(T1868)+N(U1868)+N(V1868))</f>
        <v/>
      </c>
      <c r="X1868" s="85" t="str">
        <f aca="false">IF(AH1868="","",P1868-W1868)</f>
        <v/>
      </c>
      <c r="Y1868" s="67"/>
      <c r="Z1868" s="70" t="str">
        <f aca="false">IF(OR(AH1868="",Y1868=""),"",IF(ABS(X1868-Y1868)&lt;=1,"✓ Cuadra","⚠ Diferencia $"&amp;FIXED(X1868-Y1868,0)))</f>
        <v/>
      </c>
      <c r="AA1868" s="72" t="str">
        <f aca="false">IF(AH1868="","",IFERROR(INDEX(C_TIPO,MATCH(C1868&amp;"-P"&amp;MAX(1,COUNTIFS(C_ID,C1868,C_DEFINE,"Sí",C_INICIO,"&lt;="&amp;EOMONTH(B1868,0))),C_CLAVE,0))&amp;"","Sin dato"))</f>
        <v/>
      </c>
      <c r="AB1868" s="71" t="str">
        <f aca="false">IF(AH1868="","",ROUND(MIN(K1868,TOPE_AFP_UF*AJ1868)*AK1868,0))</f>
        <v/>
      </c>
      <c r="AC1868" s="71" t="str">
        <f aca="false">IF(AH1868="","",ROUND(MIN(K1868,TOPE_AFC_UF*AJ1868)*IF(AA1868="Indefinido",AFC_EMP_INDEF,AFC_EMP_PF),0))</f>
        <v/>
      </c>
      <c r="AD1868" s="71" t="str">
        <f aca="false">IF(AH1868="","",ROUND(MIN(K1868,TOPE_AFP_UF*AJ1868)*(MUTUAL_BASICA+MUTUAL_ADIC+SANNA),0))</f>
        <v/>
      </c>
      <c r="AE1868" s="71" t="str">
        <f aca="false">IF(AH1868="","",P1868-N(N1868)+AB1868+AC1868+AD1868)</f>
        <v/>
      </c>
      <c r="AF1868" s="65"/>
      <c r="AG1868" s="64"/>
      <c r="AH1868" s="72" t="str">
        <f aca="false">IF(OR(B1868="",C1868=""),"",C1868&amp;"|"&amp;(YEAR(B1868)*100+MONTH(B1868)))</f>
        <v/>
      </c>
      <c r="AI1868" s="70" t="str">
        <f aca="false">IF(AH1868="","",IF(COUNTIF(L_CLAVE,AH1868)&gt;1,"⚠ Duplicado","OK"))</f>
        <v/>
      </c>
      <c r="AJ1868" s="86" t="str">
        <f aca="false">IF(AH1868="","",IF(SUMPRODUCT(MAX((IND_PER&lt;=B1868)*(IND_UF&lt;&gt;"")*IND_PER))=0,UF_HOY,INDEX(IND_UF,MATCH(SUMPRODUCT(MAX((IND_PER&lt;=B1868)*(IND_UF&lt;&gt;"")*IND_PER)),IND_PER,0))))</f>
        <v/>
      </c>
      <c r="AK1868" s="87" t="str">
        <f aca="false">IF(AH1868="","",IF(COUNTIF(TASA_DESDE,"&lt;="&amp;B1868)=0,INDEX(TASA_EMP,1),INDEX(TASA_EMP,COUNTIF(TASA_DESDE,"&lt;="&amp;B1868))))</f>
        <v/>
      </c>
    </row>
    <row r="1869" customFormat="false" ht="15" hidden="false" customHeight="false" outlineLevel="0" collapsed="false">
      <c r="B1869" s="78"/>
      <c r="C1869" s="64"/>
      <c r="D1869" s="72" t="str">
        <f aca="false">IF(C1869="","",IFERROR(INDEX(T_NOMBRE,MATCH(C1869,T_ID,0)),"⚠ ID no existe"))</f>
        <v/>
      </c>
      <c r="E1869" s="69"/>
      <c r="F1869" s="67"/>
      <c r="G1869" s="67"/>
      <c r="H1869" s="67"/>
      <c r="I1869" s="67"/>
      <c r="J1869" s="67"/>
      <c r="K1869" s="85" t="str">
        <f aca="false">IF(AH1869="","",N(F1869)+N(G1869)+N(H1869)-N(I1869)+N(J1869))</f>
        <v/>
      </c>
      <c r="L1869" s="67"/>
      <c r="M1869" s="67"/>
      <c r="N1869" s="67"/>
      <c r="O1869" s="67"/>
      <c r="P1869" s="85" t="str">
        <f aca="false">IF(AH1869="","",K1869+N(L1869)+N(M1869)+N(N1869)+N(O1869))</f>
        <v/>
      </c>
      <c r="Q1869" s="67"/>
      <c r="R1869" s="67"/>
      <c r="S1869" s="67"/>
      <c r="T1869" s="67"/>
      <c r="U1869" s="67"/>
      <c r="V1869" s="67"/>
      <c r="W1869" s="85" t="str">
        <f aca="false">IF(AH1869="","",N(Q1869)+N(R1869)+N(S1869)+N(T1869)+N(U1869)+N(V1869))</f>
        <v/>
      </c>
      <c r="X1869" s="85" t="str">
        <f aca="false">IF(AH1869="","",P1869-W1869)</f>
        <v/>
      </c>
      <c r="Y1869" s="67"/>
      <c r="Z1869" s="70" t="str">
        <f aca="false">IF(OR(AH1869="",Y1869=""),"",IF(ABS(X1869-Y1869)&lt;=1,"✓ Cuadra","⚠ Diferencia $"&amp;FIXED(X1869-Y1869,0)))</f>
        <v/>
      </c>
      <c r="AA1869" s="72" t="str">
        <f aca="false">IF(AH1869="","",IFERROR(INDEX(C_TIPO,MATCH(C1869&amp;"-P"&amp;MAX(1,COUNTIFS(C_ID,C1869,C_DEFINE,"Sí",C_INICIO,"&lt;="&amp;EOMONTH(B1869,0))),C_CLAVE,0))&amp;"","Sin dato"))</f>
        <v/>
      </c>
      <c r="AB1869" s="71" t="str">
        <f aca="false">IF(AH1869="","",ROUND(MIN(K1869,TOPE_AFP_UF*AJ1869)*AK1869,0))</f>
        <v/>
      </c>
      <c r="AC1869" s="71" t="str">
        <f aca="false">IF(AH1869="","",ROUND(MIN(K1869,TOPE_AFC_UF*AJ1869)*IF(AA1869="Indefinido",AFC_EMP_INDEF,AFC_EMP_PF),0))</f>
        <v/>
      </c>
      <c r="AD1869" s="71" t="str">
        <f aca="false">IF(AH1869="","",ROUND(MIN(K1869,TOPE_AFP_UF*AJ1869)*(MUTUAL_BASICA+MUTUAL_ADIC+SANNA),0))</f>
        <v/>
      </c>
      <c r="AE1869" s="71" t="str">
        <f aca="false">IF(AH1869="","",P1869-N(N1869)+AB1869+AC1869+AD1869)</f>
        <v/>
      </c>
      <c r="AF1869" s="65"/>
      <c r="AG1869" s="64"/>
      <c r="AH1869" s="72" t="str">
        <f aca="false">IF(OR(B1869="",C1869=""),"",C1869&amp;"|"&amp;(YEAR(B1869)*100+MONTH(B1869)))</f>
        <v/>
      </c>
      <c r="AI1869" s="70" t="str">
        <f aca="false">IF(AH1869="","",IF(COUNTIF(L_CLAVE,AH1869)&gt;1,"⚠ Duplicado","OK"))</f>
        <v/>
      </c>
      <c r="AJ1869" s="86" t="str">
        <f aca="false">IF(AH1869="","",IF(SUMPRODUCT(MAX((IND_PER&lt;=B1869)*(IND_UF&lt;&gt;"")*IND_PER))=0,UF_HOY,INDEX(IND_UF,MATCH(SUMPRODUCT(MAX((IND_PER&lt;=B1869)*(IND_UF&lt;&gt;"")*IND_PER)),IND_PER,0))))</f>
        <v/>
      </c>
      <c r="AK1869" s="87" t="str">
        <f aca="false">IF(AH1869="","",IF(COUNTIF(TASA_DESDE,"&lt;="&amp;B1869)=0,INDEX(TASA_EMP,1),INDEX(TASA_EMP,COUNTIF(TASA_DESDE,"&lt;="&amp;B1869))))</f>
        <v/>
      </c>
    </row>
    <row r="1870" customFormat="false" ht="15" hidden="false" customHeight="false" outlineLevel="0" collapsed="false">
      <c r="B1870" s="78"/>
      <c r="C1870" s="64"/>
      <c r="D1870" s="72" t="str">
        <f aca="false">IF(C1870="","",IFERROR(INDEX(T_NOMBRE,MATCH(C1870,T_ID,0)),"⚠ ID no existe"))</f>
        <v/>
      </c>
      <c r="E1870" s="69"/>
      <c r="F1870" s="67"/>
      <c r="G1870" s="67"/>
      <c r="H1870" s="67"/>
      <c r="I1870" s="67"/>
      <c r="J1870" s="67"/>
      <c r="K1870" s="85" t="str">
        <f aca="false">IF(AH1870="","",N(F1870)+N(G1870)+N(H1870)-N(I1870)+N(J1870))</f>
        <v/>
      </c>
      <c r="L1870" s="67"/>
      <c r="M1870" s="67"/>
      <c r="N1870" s="67"/>
      <c r="O1870" s="67"/>
      <c r="P1870" s="85" t="str">
        <f aca="false">IF(AH1870="","",K1870+N(L1870)+N(M1870)+N(N1870)+N(O1870))</f>
        <v/>
      </c>
      <c r="Q1870" s="67"/>
      <c r="R1870" s="67"/>
      <c r="S1870" s="67"/>
      <c r="T1870" s="67"/>
      <c r="U1870" s="67"/>
      <c r="V1870" s="67"/>
      <c r="W1870" s="85" t="str">
        <f aca="false">IF(AH1870="","",N(Q1870)+N(R1870)+N(S1870)+N(T1870)+N(U1870)+N(V1870))</f>
        <v/>
      </c>
      <c r="X1870" s="85" t="str">
        <f aca="false">IF(AH1870="","",P1870-W1870)</f>
        <v/>
      </c>
      <c r="Y1870" s="67"/>
      <c r="Z1870" s="70" t="str">
        <f aca="false">IF(OR(AH1870="",Y1870=""),"",IF(ABS(X1870-Y1870)&lt;=1,"✓ Cuadra","⚠ Diferencia $"&amp;FIXED(X1870-Y1870,0)))</f>
        <v/>
      </c>
      <c r="AA1870" s="72" t="str">
        <f aca="false">IF(AH1870="","",IFERROR(INDEX(C_TIPO,MATCH(C1870&amp;"-P"&amp;MAX(1,COUNTIFS(C_ID,C1870,C_DEFINE,"Sí",C_INICIO,"&lt;="&amp;EOMONTH(B1870,0))),C_CLAVE,0))&amp;"","Sin dato"))</f>
        <v/>
      </c>
      <c r="AB1870" s="71" t="str">
        <f aca="false">IF(AH1870="","",ROUND(MIN(K1870,TOPE_AFP_UF*AJ1870)*AK1870,0))</f>
        <v/>
      </c>
      <c r="AC1870" s="71" t="str">
        <f aca="false">IF(AH1870="","",ROUND(MIN(K1870,TOPE_AFC_UF*AJ1870)*IF(AA1870="Indefinido",AFC_EMP_INDEF,AFC_EMP_PF),0))</f>
        <v/>
      </c>
      <c r="AD1870" s="71" t="str">
        <f aca="false">IF(AH1870="","",ROUND(MIN(K1870,TOPE_AFP_UF*AJ1870)*(MUTUAL_BASICA+MUTUAL_ADIC+SANNA),0))</f>
        <v/>
      </c>
      <c r="AE1870" s="71" t="str">
        <f aca="false">IF(AH1870="","",P1870-N(N1870)+AB1870+AC1870+AD1870)</f>
        <v/>
      </c>
      <c r="AF1870" s="65"/>
      <c r="AG1870" s="64"/>
      <c r="AH1870" s="72" t="str">
        <f aca="false">IF(OR(B1870="",C1870=""),"",C1870&amp;"|"&amp;(YEAR(B1870)*100+MONTH(B1870)))</f>
        <v/>
      </c>
      <c r="AI1870" s="70" t="str">
        <f aca="false">IF(AH1870="","",IF(COUNTIF(L_CLAVE,AH1870)&gt;1,"⚠ Duplicado","OK"))</f>
        <v/>
      </c>
      <c r="AJ1870" s="86" t="str">
        <f aca="false">IF(AH1870="","",IF(SUMPRODUCT(MAX((IND_PER&lt;=B1870)*(IND_UF&lt;&gt;"")*IND_PER))=0,UF_HOY,INDEX(IND_UF,MATCH(SUMPRODUCT(MAX((IND_PER&lt;=B1870)*(IND_UF&lt;&gt;"")*IND_PER)),IND_PER,0))))</f>
        <v/>
      </c>
      <c r="AK1870" s="87" t="str">
        <f aca="false">IF(AH1870="","",IF(COUNTIF(TASA_DESDE,"&lt;="&amp;B1870)=0,INDEX(TASA_EMP,1),INDEX(TASA_EMP,COUNTIF(TASA_DESDE,"&lt;="&amp;B1870))))</f>
        <v/>
      </c>
    </row>
    <row r="1871" customFormat="false" ht="15" hidden="false" customHeight="false" outlineLevel="0" collapsed="false">
      <c r="B1871" s="78"/>
      <c r="C1871" s="64"/>
      <c r="D1871" s="72" t="str">
        <f aca="false">IF(C1871="","",IFERROR(INDEX(T_NOMBRE,MATCH(C1871,T_ID,0)),"⚠ ID no existe"))</f>
        <v/>
      </c>
      <c r="E1871" s="69"/>
      <c r="F1871" s="67"/>
      <c r="G1871" s="67"/>
      <c r="H1871" s="67"/>
      <c r="I1871" s="67"/>
      <c r="J1871" s="67"/>
      <c r="K1871" s="85" t="str">
        <f aca="false">IF(AH1871="","",N(F1871)+N(G1871)+N(H1871)-N(I1871)+N(J1871))</f>
        <v/>
      </c>
      <c r="L1871" s="67"/>
      <c r="M1871" s="67"/>
      <c r="N1871" s="67"/>
      <c r="O1871" s="67"/>
      <c r="P1871" s="85" t="str">
        <f aca="false">IF(AH1871="","",K1871+N(L1871)+N(M1871)+N(N1871)+N(O1871))</f>
        <v/>
      </c>
      <c r="Q1871" s="67"/>
      <c r="R1871" s="67"/>
      <c r="S1871" s="67"/>
      <c r="T1871" s="67"/>
      <c r="U1871" s="67"/>
      <c r="V1871" s="67"/>
      <c r="W1871" s="85" t="str">
        <f aca="false">IF(AH1871="","",N(Q1871)+N(R1871)+N(S1871)+N(T1871)+N(U1871)+N(V1871))</f>
        <v/>
      </c>
      <c r="X1871" s="85" t="str">
        <f aca="false">IF(AH1871="","",P1871-W1871)</f>
        <v/>
      </c>
      <c r="Y1871" s="67"/>
      <c r="Z1871" s="70" t="str">
        <f aca="false">IF(OR(AH1871="",Y1871=""),"",IF(ABS(X1871-Y1871)&lt;=1,"✓ Cuadra","⚠ Diferencia $"&amp;FIXED(X1871-Y1871,0)))</f>
        <v/>
      </c>
      <c r="AA1871" s="72" t="str">
        <f aca="false">IF(AH1871="","",IFERROR(INDEX(C_TIPO,MATCH(C1871&amp;"-P"&amp;MAX(1,COUNTIFS(C_ID,C1871,C_DEFINE,"Sí",C_INICIO,"&lt;="&amp;EOMONTH(B1871,0))),C_CLAVE,0))&amp;"","Sin dato"))</f>
        <v/>
      </c>
      <c r="AB1871" s="71" t="str">
        <f aca="false">IF(AH1871="","",ROUND(MIN(K1871,TOPE_AFP_UF*AJ1871)*AK1871,0))</f>
        <v/>
      </c>
      <c r="AC1871" s="71" t="str">
        <f aca="false">IF(AH1871="","",ROUND(MIN(K1871,TOPE_AFC_UF*AJ1871)*IF(AA1871="Indefinido",AFC_EMP_INDEF,AFC_EMP_PF),0))</f>
        <v/>
      </c>
      <c r="AD1871" s="71" t="str">
        <f aca="false">IF(AH1871="","",ROUND(MIN(K1871,TOPE_AFP_UF*AJ1871)*(MUTUAL_BASICA+MUTUAL_ADIC+SANNA),0))</f>
        <v/>
      </c>
      <c r="AE1871" s="71" t="str">
        <f aca="false">IF(AH1871="","",P1871-N(N1871)+AB1871+AC1871+AD1871)</f>
        <v/>
      </c>
      <c r="AF1871" s="65"/>
      <c r="AG1871" s="64"/>
      <c r="AH1871" s="72" t="str">
        <f aca="false">IF(OR(B1871="",C1871=""),"",C1871&amp;"|"&amp;(YEAR(B1871)*100+MONTH(B1871)))</f>
        <v/>
      </c>
      <c r="AI1871" s="70" t="str">
        <f aca="false">IF(AH1871="","",IF(COUNTIF(L_CLAVE,AH1871)&gt;1,"⚠ Duplicado","OK"))</f>
        <v/>
      </c>
      <c r="AJ1871" s="86" t="str">
        <f aca="false">IF(AH1871="","",IF(SUMPRODUCT(MAX((IND_PER&lt;=B1871)*(IND_UF&lt;&gt;"")*IND_PER))=0,UF_HOY,INDEX(IND_UF,MATCH(SUMPRODUCT(MAX((IND_PER&lt;=B1871)*(IND_UF&lt;&gt;"")*IND_PER)),IND_PER,0))))</f>
        <v/>
      </c>
      <c r="AK1871" s="87" t="str">
        <f aca="false">IF(AH1871="","",IF(COUNTIF(TASA_DESDE,"&lt;="&amp;B1871)=0,INDEX(TASA_EMP,1),INDEX(TASA_EMP,COUNTIF(TASA_DESDE,"&lt;="&amp;B1871))))</f>
        <v/>
      </c>
    </row>
    <row r="1872" customFormat="false" ht="15" hidden="false" customHeight="false" outlineLevel="0" collapsed="false">
      <c r="B1872" s="78"/>
      <c r="C1872" s="64"/>
      <c r="D1872" s="72" t="str">
        <f aca="false">IF(C1872="","",IFERROR(INDEX(T_NOMBRE,MATCH(C1872,T_ID,0)),"⚠ ID no existe"))</f>
        <v/>
      </c>
      <c r="E1872" s="69"/>
      <c r="F1872" s="67"/>
      <c r="G1872" s="67"/>
      <c r="H1872" s="67"/>
      <c r="I1872" s="67"/>
      <c r="J1872" s="67"/>
      <c r="K1872" s="85" t="str">
        <f aca="false">IF(AH1872="","",N(F1872)+N(G1872)+N(H1872)-N(I1872)+N(J1872))</f>
        <v/>
      </c>
      <c r="L1872" s="67"/>
      <c r="M1872" s="67"/>
      <c r="N1872" s="67"/>
      <c r="O1872" s="67"/>
      <c r="P1872" s="85" t="str">
        <f aca="false">IF(AH1872="","",K1872+N(L1872)+N(M1872)+N(N1872)+N(O1872))</f>
        <v/>
      </c>
      <c r="Q1872" s="67"/>
      <c r="R1872" s="67"/>
      <c r="S1872" s="67"/>
      <c r="T1872" s="67"/>
      <c r="U1872" s="67"/>
      <c r="V1872" s="67"/>
      <c r="W1872" s="85" t="str">
        <f aca="false">IF(AH1872="","",N(Q1872)+N(R1872)+N(S1872)+N(T1872)+N(U1872)+N(V1872))</f>
        <v/>
      </c>
      <c r="X1872" s="85" t="str">
        <f aca="false">IF(AH1872="","",P1872-W1872)</f>
        <v/>
      </c>
      <c r="Y1872" s="67"/>
      <c r="Z1872" s="70" t="str">
        <f aca="false">IF(OR(AH1872="",Y1872=""),"",IF(ABS(X1872-Y1872)&lt;=1,"✓ Cuadra","⚠ Diferencia $"&amp;FIXED(X1872-Y1872,0)))</f>
        <v/>
      </c>
      <c r="AA1872" s="72" t="str">
        <f aca="false">IF(AH1872="","",IFERROR(INDEX(C_TIPO,MATCH(C1872&amp;"-P"&amp;MAX(1,COUNTIFS(C_ID,C1872,C_DEFINE,"Sí",C_INICIO,"&lt;="&amp;EOMONTH(B1872,0))),C_CLAVE,0))&amp;"","Sin dato"))</f>
        <v/>
      </c>
      <c r="AB1872" s="71" t="str">
        <f aca="false">IF(AH1872="","",ROUND(MIN(K1872,TOPE_AFP_UF*AJ1872)*AK1872,0))</f>
        <v/>
      </c>
      <c r="AC1872" s="71" t="str">
        <f aca="false">IF(AH1872="","",ROUND(MIN(K1872,TOPE_AFC_UF*AJ1872)*IF(AA1872="Indefinido",AFC_EMP_INDEF,AFC_EMP_PF),0))</f>
        <v/>
      </c>
      <c r="AD1872" s="71" t="str">
        <f aca="false">IF(AH1872="","",ROUND(MIN(K1872,TOPE_AFP_UF*AJ1872)*(MUTUAL_BASICA+MUTUAL_ADIC+SANNA),0))</f>
        <v/>
      </c>
      <c r="AE1872" s="71" t="str">
        <f aca="false">IF(AH1872="","",P1872-N(N1872)+AB1872+AC1872+AD1872)</f>
        <v/>
      </c>
      <c r="AF1872" s="65"/>
      <c r="AG1872" s="64"/>
      <c r="AH1872" s="72" t="str">
        <f aca="false">IF(OR(B1872="",C1872=""),"",C1872&amp;"|"&amp;(YEAR(B1872)*100+MONTH(B1872)))</f>
        <v/>
      </c>
      <c r="AI1872" s="70" t="str">
        <f aca="false">IF(AH1872="","",IF(COUNTIF(L_CLAVE,AH1872)&gt;1,"⚠ Duplicado","OK"))</f>
        <v/>
      </c>
      <c r="AJ1872" s="86" t="str">
        <f aca="false">IF(AH1872="","",IF(SUMPRODUCT(MAX((IND_PER&lt;=B1872)*(IND_UF&lt;&gt;"")*IND_PER))=0,UF_HOY,INDEX(IND_UF,MATCH(SUMPRODUCT(MAX((IND_PER&lt;=B1872)*(IND_UF&lt;&gt;"")*IND_PER)),IND_PER,0))))</f>
        <v/>
      </c>
      <c r="AK1872" s="87" t="str">
        <f aca="false">IF(AH1872="","",IF(COUNTIF(TASA_DESDE,"&lt;="&amp;B1872)=0,INDEX(TASA_EMP,1),INDEX(TASA_EMP,COUNTIF(TASA_DESDE,"&lt;="&amp;B1872))))</f>
        <v/>
      </c>
    </row>
    <row r="1873" customFormat="false" ht="15" hidden="false" customHeight="false" outlineLevel="0" collapsed="false">
      <c r="B1873" s="78"/>
      <c r="C1873" s="64"/>
      <c r="D1873" s="72" t="str">
        <f aca="false">IF(C1873="","",IFERROR(INDEX(T_NOMBRE,MATCH(C1873,T_ID,0)),"⚠ ID no existe"))</f>
        <v/>
      </c>
      <c r="E1873" s="69"/>
      <c r="F1873" s="67"/>
      <c r="G1873" s="67"/>
      <c r="H1873" s="67"/>
      <c r="I1873" s="67"/>
      <c r="J1873" s="67"/>
      <c r="K1873" s="85" t="str">
        <f aca="false">IF(AH1873="","",N(F1873)+N(G1873)+N(H1873)-N(I1873)+N(J1873))</f>
        <v/>
      </c>
      <c r="L1873" s="67"/>
      <c r="M1873" s="67"/>
      <c r="N1873" s="67"/>
      <c r="O1873" s="67"/>
      <c r="P1873" s="85" t="str">
        <f aca="false">IF(AH1873="","",K1873+N(L1873)+N(M1873)+N(N1873)+N(O1873))</f>
        <v/>
      </c>
      <c r="Q1873" s="67"/>
      <c r="R1873" s="67"/>
      <c r="S1873" s="67"/>
      <c r="T1873" s="67"/>
      <c r="U1873" s="67"/>
      <c r="V1873" s="67"/>
      <c r="W1873" s="85" t="str">
        <f aca="false">IF(AH1873="","",N(Q1873)+N(R1873)+N(S1873)+N(T1873)+N(U1873)+N(V1873))</f>
        <v/>
      </c>
      <c r="X1873" s="85" t="str">
        <f aca="false">IF(AH1873="","",P1873-W1873)</f>
        <v/>
      </c>
      <c r="Y1873" s="67"/>
      <c r="Z1873" s="70" t="str">
        <f aca="false">IF(OR(AH1873="",Y1873=""),"",IF(ABS(X1873-Y1873)&lt;=1,"✓ Cuadra","⚠ Diferencia $"&amp;FIXED(X1873-Y1873,0)))</f>
        <v/>
      </c>
      <c r="AA1873" s="72" t="str">
        <f aca="false">IF(AH1873="","",IFERROR(INDEX(C_TIPO,MATCH(C1873&amp;"-P"&amp;MAX(1,COUNTIFS(C_ID,C1873,C_DEFINE,"Sí",C_INICIO,"&lt;="&amp;EOMONTH(B1873,0))),C_CLAVE,0))&amp;"","Sin dato"))</f>
        <v/>
      </c>
      <c r="AB1873" s="71" t="str">
        <f aca="false">IF(AH1873="","",ROUND(MIN(K1873,TOPE_AFP_UF*AJ1873)*AK1873,0))</f>
        <v/>
      </c>
      <c r="AC1873" s="71" t="str">
        <f aca="false">IF(AH1873="","",ROUND(MIN(K1873,TOPE_AFC_UF*AJ1873)*IF(AA1873="Indefinido",AFC_EMP_INDEF,AFC_EMP_PF),0))</f>
        <v/>
      </c>
      <c r="AD1873" s="71" t="str">
        <f aca="false">IF(AH1873="","",ROUND(MIN(K1873,TOPE_AFP_UF*AJ1873)*(MUTUAL_BASICA+MUTUAL_ADIC+SANNA),0))</f>
        <v/>
      </c>
      <c r="AE1873" s="71" t="str">
        <f aca="false">IF(AH1873="","",P1873-N(N1873)+AB1873+AC1873+AD1873)</f>
        <v/>
      </c>
      <c r="AF1873" s="65"/>
      <c r="AG1873" s="64"/>
      <c r="AH1873" s="72" t="str">
        <f aca="false">IF(OR(B1873="",C1873=""),"",C1873&amp;"|"&amp;(YEAR(B1873)*100+MONTH(B1873)))</f>
        <v/>
      </c>
      <c r="AI1873" s="70" t="str">
        <f aca="false">IF(AH1873="","",IF(COUNTIF(L_CLAVE,AH1873)&gt;1,"⚠ Duplicado","OK"))</f>
        <v/>
      </c>
      <c r="AJ1873" s="86" t="str">
        <f aca="false">IF(AH1873="","",IF(SUMPRODUCT(MAX((IND_PER&lt;=B1873)*(IND_UF&lt;&gt;"")*IND_PER))=0,UF_HOY,INDEX(IND_UF,MATCH(SUMPRODUCT(MAX((IND_PER&lt;=B1873)*(IND_UF&lt;&gt;"")*IND_PER)),IND_PER,0))))</f>
        <v/>
      </c>
      <c r="AK1873" s="87" t="str">
        <f aca="false">IF(AH1873="","",IF(COUNTIF(TASA_DESDE,"&lt;="&amp;B1873)=0,INDEX(TASA_EMP,1),INDEX(TASA_EMP,COUNTIF(TASA_DESDE,"&lt;="&amp;B1873))))</f>
        <v/>
      </c>
    </row>
    <row r="1874" customFormat="false" ht="15" hidden="false" customHeight="false" outlineLevel="0" collapsed="false">
      <c r="B1874" s="78"/>
      <c r="C1874" s="64"/>
      <c r="D1874" s="72" t="str">
        <f aca="false">IF(C1874="","",IFERROR(INDEX(T_NOMBRE,MATCH(C1874,T_ID,0)),"⚠ ID no existe"))</f>
        <v/>
      </c>
      <c r="E1874" s="69"/>
      <c r="F1874" s="67"/>
      <c r="G1874" s="67"/>
      <c r="H1874" s="67"/>
      <c r="I1874" s="67"/>
      <c r="J1874" s="67"/>
      <c r="K1874" s="85" t="str">
        <f aca="false">IF(AH1874="","",N(F1874)+N(G1874)+N(H1874)-N(I1874)+N(J1874))</f>
        <v/>
      </c>
      <c r="L1874" s="67"/>
      <c r="M1874" s="67"/>
      <c r="N1874" s="67"/>
      <c r="O1874" s="67"/>
      <c r="P1874" s="85" t="str">
        <f aca="false">IF(AH1874="","",K1874+N(L1874)+N(M1874)+N(N1874)+N(O1874))</f>
        <v/>
      </c>
      <c r="Q1874" s="67"/>
      <c r="R1874" s="67"/>
      <c r="S1874" s="67"/>
      <c r="T1874" s="67"/>
      <c r="U1874" s="67"/>
      <c r="V1874" s="67"/>
      <c r="W1874" s="85" t="str">
        <f aca="false">IF(AH1874="","",N(Q1874)+N(R1874)+N(S1874)+N(T1874)+N(U1874)+N(V1874))</f>
        <v/>
      </c>
      <c r="X1874" s="85" t="str">
        <f aca="false">IF(AH1874="","",P1874-W1874)</f>
        <v/>
      </c>
      <c r="Y1874" s="67"/>
      <c r="Z1874" s="70" t="str">
        <f aca="false">IF(OR(AH1874="",Y1874=""),"",IF(ABS(X1874-Y1874)&lt;=1,"✓ Cuadra","⚠ Diferencia $"&amp;FIXED(X1874-Y1874,0)))</f>
        <v/>
      </c>
      <c r="AA1874" s="72" t="str">
        <f aca="false">IF(AH1874="","",IFERROR(INDEX(C_TIPO,MATCH(C1874&amp;"-P"&amp;MAX(1,COUNTIFS(C_ID,C1874,C_DEFINE,"Sí",C_INICIO,"&lt;="&amp;EOMONTH(B1874,0))),C_CLAVE,0))&amp;"","Sin dato"))</f>
        <v/>
      </c>
      <c r="AB1874" s="71" t="str">
        <f aca="false">IF(AH1874="","",ROUND(MIN(K1874,TOPE_AFP_UF*AJ1874)*AK1874,0))</f>
        <v/>
      </c>
      <c r="AC1874" s="71" t="str">
        <f aca="false">IF(AH1874="","",ROUND(MIN(K1874,TOPE_AFC_UF*AJ1874)*IF(AA1874="Indefinido",AFC_EMP_INDEF,AFC_EMP_PF),0))</f>
        <v/>
      </c>
      <c r="AD1874" s="71" t="str">
        <f aca="false">IF(AH1874="","",ROUND(MIN(K1874,TOPE_AFP_UF*AJ1874)*(MUTUAL_BASICA+MUTUAL_ADIC+SANNA),0))</f>
        <v/>
      </c>
      <c r="AE1874" s="71" t="str">
        <f aca="false">IF(AH1874="","",P1874-N(N1874)+AB1874+AC1874+AD1874)</f>
        <v/>
      </c>
      <c r="AF1874" s="65"/>
      <c r="AG1874" s="64"/>
      <c r="AH1874" s="72" t="str">
        <f aca="false">IF(OR(B1874="",C1874=""),"",C1874&amp;"|"&amp;(YEAR(B1874)*100+MONTH(B1874)))</f>
        <v/>
      </c>
      <c r="AI1874" s="70" t="str">
        <f aca="false">IF(AH1874="","",IF(COUNTIF(L_CLAVE,AH1874)&gt;1,"⚠ Duplicado","OK"))</f>
        <v/>
      </c>
      <c r="AJ1874" s="86" t="str">
        <f aca="false">IF(AH1874="","",IF(SUMPRODUCT(MAX((IND_PER&lt;=B1874)*(IND_UF&lt;&gt;"")*IND_PER))=0,UF_HOY,INDEX(IND_UF,MATCH(SUMPRODUCT(MAX((IND_PER&lt;=B1874)*(IND_UF&lt;&gt;"")*IND_PER)),IND_PER,0))))</f>
        <v/>
      </c>
      <c r="AK1874" s="87" t="str">
        <f aca="false">IF(AH1874="","",IF(COUNTIF(TASA_DESDE,"&lt;="&amp;B1874)=0,INDEX(TASA_EMP,1),INDEX(TASA_EMP,COUNTIF(TASA_DESDE,"&lt;="&amp;B1874))))</f>
        <v/>
      </c>
    </row>
    <row r="1875" customFormat="false" ht="15" hidden="false" customHeight="false" outlineLevel="0" collapsed="false">
      <c r="B1875" s="78"/>
      <c r="C1875" s="64"/>
      <c r="D1875" s="72" t="str">
        <f aca="false">IF(C1875="","",IFERROR(INDEX(T_NOMBRE,MATCH(C1875,T_ID,0)),"⚠ ID no existe"))</f>
        <v/>
      </c>
      <c r="E1875" s="69"/>
      <c r="F1875" s="67"/>
      <c r="G1875" s="67"/>
      <c r="H1875" s="67"/>
      <c r="I1875" s="67"/>
      <c r="J1875" s="67"/>
      <c r="K1875" s="85" t="str">
        <f aca="false">IF(AH1875="","",N(F1875)+N(G1875)+N(H1875)-N(I1875)+N(J1875))</f>
        <v/>
      </c>
      <c r="L1875" s="67"/>
      <c r="M1875" s="67"/>
      <c r="N1875" s="67"/>
      <c r="O1875" s="67"/>
      <c r="P1875" s="85" t="str">
        <f aca="false">IF(AH1875="","",K1875+N(L1875)+N(M1875)+N(N1875)+N(O1875))</f>
        <v/>
      </c>
      <c r="Q1875" s="67"/>
      <c r="R1875" s="67"/>
      <c r="S1875" s="67"/>
      <c r="T1875" s="67"/>
      <c r="U1875" s="67"/>
      <c r="V1875" s="67"/>
      <c r="W1875" s="85" t="str">
        <f aca="false">IF(AH1875="","",N(Q1875)+N(R1875)+N(S1875)+N(T1875)+N(U1875)+N(V1875))</f>
        <v/>
      </c>
      <c r="X1875" s="85" t="str">
        <f aca="false">IF(AH1875="","",P1875-W1875)</f>
        <v/>
      </c>
      <c r="Y1875" s="67"/>
      <c r="Z1875" s="70" t="str">
        <f aca="false">IF(OR(AH1875="",Y1875=""),"",IF(ABS(X1875-Y1875)&lt;=1,"✓ Cuadra","⚠ Diferencia $"&amp;FIXED(X1875-Y1875,0)))</f>
        <v/>
      </c>
      <c r="AA1875" s="72" t="str">
        <f aca="false">IF(AH1875="","",IFERROR(INDEX(C_TIPO,MATCH(C1875&amp;"-P"&amp;MAX(1,COUNTIFS(C_ID,C1875,C_DEFINE,"Sí",C_INICIO,"&lt;="&amp;EOMONTH(B1875,0))),C_CLAVE,0))&amp;"","Sin dato"))</f>
        <v/>
      </c>
      <c r="AB1875" s="71" t="str">
        <f aca="false">IF(AH1875="","",ROUND(MIN(K1875,TOPE_AFP_UF*AJ1875)*AK1875,0))</f>
        <v/>
      </c>
      <c r="AC1875" s="71" t="str">
        <f aca="false">IF(AH1875="","",ROUND(MIN(K1875,TOPE_AFC_UF*AJ1875)*IF(AA1875="Indefinido",AFC_EMP_INDEF,AFC_EMP_PF),0))</f>
        <v/>
      </c>
      <c r="AD1875" s="71" t="str">
        <f aca="false">IF(AH1875="","",ROUND(MIN(K1875,TOPE_AFP_UF*AJ1875)*(MUTUAL_BASICA+MUTUAL_ADIC+SANNA),0))</f>
        <v/>
      </c>
      <c r="AE1875" s="71" t="str">
        <f aca="false">IF(AH1875="","",P1875-N(N1875)+AB1875+AC1875+AD1875)</f>
        <v/>
      </c>
      <c r="AF1875" s="65"/>
      <c r="AG1875" s="64"/>
      <c r="AH1875" s="72" t="str">
        <f aca="false">IF(OR(B1875="",C1875=""),"",C1875&amp;"|"&amp;(YEAR(B1875)*100+MONTH(B1875)))</f>
        <v/>
      </c>
      <c r="AI1875" s="70" t="str">
        <f aca="false">IF(AH1875="","",IF(COUNTIF(L_CLAVE,AH1875)&gt;1,"⚠ Duplicado","OK"))</f>
        <v/>
      </c>
      <c r="AJ1875" s="86" t="str">
        <f aca="false">IF(AH1875="","",IF(SUMPRODUCT(MAX((IND_PER&lt;=B1875)*(IND_UF&lt;&gt;"")*IND_PER))=0,UF_HOY,INDEX(IND_UF,MATCH(SUMPRODUCT(MAX((IND_PER&lt;=B1875)*(IND_UF&lt;&gt;"")*IND_PER)),IND_PER,0))))</f>
        <v/>
      </c>
      <c r="AK1875" s="87" t="str">
        <f aca="false">IF(AH1875="","",IF(COUNTIF(TASA_DESDE,"&lt;="&amp;B1875)=0,INDEX(TASA_EMP,1),INDEX(TASA_EMP,COUNTIF(TASA_DESDE,"&lt;="&amp;B1875))))</f>
        <v/>
      </c>
    </row>
    <row r="1876" customFormat="false" ht="15" hidden="false" customHeight="false" outlineLevel="0" collapsed="false">
      <c r="B1876" s="78"/>
      <c r="C1876" s="64"/>
      <c r="D1876" s="72" t="str">
        <f aca="false">IF(C1876="","",IFERROR(INDEX(T_NOMBRE,MATCH(C1876,T_ID,0)),"⚠ ID no existe"))</f>
        <v/>
      </c>
      <c r="E1876" s="69"/>
      <c r="F1876" s="67"/>
      <c r="G1876" s="67"/>
      <c r="H1876" s="67"/>
      <c r="I1876" s="67"/>
      <c r="J1876" s="67"/>
      <c r="K1876" s="85" t="str">
        <f aca="false">IF(AH1876="","",N(F1876)+N(G1876)+N(H1876)-N(I1876)+N(J1876))</f>
        <v/>
      </c>
      <c r="L1876" s="67"/>
      <c r="M1876" s="67"/>
      <c r="N1876" s="67"/>
      <c r="O1876" s="67"/>
      <c r="P1876" s="85" t="str">
        <f aca="false">IF(AH1876="","",K1876+N(L1876)+N(M1876)+N(N1876)+N(O1876))</f>
        <v/>
      </c>
      <c r="Q1876" s="67"/>
      <c r="R1876" s="67"/>
      <c r="S1876" s="67"/>
      <c r="T1876" s="67"/>
      <c r="U1876" s="67"/>
      <c r="V1876" s="67"/>
      <c r="W1876" s="85" t="str">
        <f aca="false">IF(AH1876="","",N(Q1876)+N(R1876)+N(S1876)+N(T1876)+N(U1876)+N(V1876))</f>
        <v/>
      </c>
      <c r="X1876" s="85" t="str">
        <f aca="false">IF(AH1876="","",P1876-W1876)</f>
        <v/>
      </c>
      <c r="Y1876" s="67"/>
      <c r="Z1876" s="70" t="str">
        <f aca="false">IF(OR(AH1876="",Y1876=""),"",IF(ABS(X1876-Y1876)&lt;=1,"✓ Cuadra","⚠ Diferencia $"&amp;FIXED(X1876-Y1876,0)))</f>
        <v/>
      </c>
      <c r="AA1876" s="72" t="str">
        <f aca="false">IF(AH1876="","",IFERROR(INDEX(C_TIPO,MATCH(C1876&amp;"-P"&amp;MAX(1,COUNTIFS(C_ID,C1876,C_DEFINE,"Sí",C_INICIO,"&lt;="&amp;EOMONTH(B1876,0))),C_CLAVE,0))&amp;"","Sin dato"))</f>
        <v/>
      </c>
      <c r="AB1876" s="71" t="str">
        <f aca="false">IF(AH1876="","",ROUND(MIN(K1876,TOPE_AFP_UF*AJ1876)*AK1876,0))</f>
        <v/>
      </c>
      <c r="AC1876" s="71" t="str">
        <f aca="false">IF(AH1876="","",ROUND(MIN(K1876,TOPE_AFC_UF*AJ1876)*IF(AA1876="Indefinido",AFC_EMP_INDEF,AFC_EMP_PF),0))</f>
        <v/>
      </c>
      <c r="AD1876" s="71" t="str">
        <f aca="false">IF(AH1876="","",ROUND(MIN(K1876,TOPE_AFP_UF*AJ1876)*(MUTUAL_BASICA+MUTUAL_ADIC+SANNA),0))</f>
        <v/>
      </c>
      <c r="AE1876" s="71" t="str">
        <f aca="false">IF(AH1876="","",P1876-N(N1876)+AB1876+AC1876+AD1876)</f>
        <v/>
      </c>
      <c r="AF1876" s="65"/>
      <c r="AG1876" s="64"/>
      <c r="AH1876" s="72" t="str">
        <f aca="false">IF(OR(B1876="",C1876=""),"",C1876&amp;"|"&amp;(YEAR(B1876)*100+MONTH(B1876)))</f>
        <v/>
      </c>
      <c r="AI1876" s="70" t="str">
        <f aca="false">IF(AH1876="","",IF(COUNTIF(L_CLAVE,AH1876)&gt;1,"⚠ Duplicado","OK"))</f>
        <v/>
      </c>
      <c r="AJ1876" s="86" t="str">
        <f aca="false">IF(AH1876="","",IF(SUMPRODUCT(MAX((IND_PER&lt;=B1876)*(IND_UF&lt;&gt;"")*IND_PER))=0,UF_HOY,INDEX(IND_UF,MATCH(SUMPRODUCT(MAX((IND_PER&lt;=B1876)*(IND_UF&lt;&gt;"")*IND_PER)),IND_PER,0))))</f>
        <v/>
      </c>
      <c r="AK1876" s="87" t="str">
        <f aca="false">IF(AH1876="","",IF(COUNTIF(TASA_DESDE,"&lt;="&amp;B1876)=0,INDEX(TASA_EMP,1),INDEX(TASA_EMP,COUNTIF(TASA_DESDE,"&lt;="&amp;B1876))))</f>
        <v/>
      </c>
    </row>
    <row r="1877" customFormat="false" ht="15" hidden="false" customHeight="false" outlineLevel="0" collapsed="false">
      <c r="B1877" s="78"/>
      <c r="C1877" s="64"/>
      <c r="D1877" s="72" t="str">
        <f aca="false">IF(C1877="","",IFERROR(INDEX(T_NOMBRE,MATCH(C1877,T_ID,0)),"⚠ ID no existe"))</f>
        <v/>
      </c>
      <c r="E1877" s="69"/>
      <c r="F1877" s="67"/>
      <c r="G1877" s="67"/>
      <c r="H1877" s="67"/>
      <c r="I1877" s="67"/>
      <c r="J1877" s="67"/>
      <c r="K1877" s="85" t="str">
        <f aca="false">IF(AH1877="","",N(F1877)+N(G1877)+N(H1877)-N(I1877)+N(J1877))</f>
        <v/>
      </c>
      <c r="L1877" s="67"/>
      <c r="M1877" s="67"/>
      <c r="N1877" s="67"/>
      <c r="O1877" s="67"/>
      <c r="P1877" s="85" t="str">
        <f aca="false">IF(AH1877="","",K1877+N(L1877)+N(M1877)+N(N1877)+N(O1877))</f>
        <v/>
      </c>
      <c r="Q1877" s="67"/>
      <c r="R1877" s="67"/>
      <c r="S1877" s="67"/>
      <c r="T1877" s="67"/>
      <c r="U1877" s="67"/>
      <c r="V1877" s="67"/>
      <c r="W1877" s="85" t="str">
        <f aca="false">IF(AH1877="","",N(Q1877)+N(R1877)+N(S1877)+N(T1877)+N(U1877)+N(V1877))</f>
        <v/>
      </c>
      <c r="X1877" s="85" t="str">
        <f aca="false">IF(AH1877="","",P1877-W1877)</f>
        <v/>
      </c>
      <c r="Y1877" s="67"/>
      <c r="Z1877" s="70" t="str">
        <f aca="false">IF(OR(AH1877="",Y1877=""),"",IF(ABS(X1877-Y1877)&lt;=1,"✓ Cuadra","⚠ Diferencia $"&amp;FIXED(X1877-Y1877,0)))</f>
        <v/>
      </c>
      <c r="AA1877" s="72" t="str">
        <f aca="false">IF(AH1877="","",IFERROR(INDEX(C_TIPO,MATCH(C1877&amp;"-P"&amp;MAX(1,COUNTIFS(C_ID,C1877,C_DEFINE,"Sí",C_INICIO,"&lt;="&amp;EOMONTH(B1877,0))),C_CLAVE,0))&amp;"","Sin dato"))</f>
        <v/>
      </c>
      <c r="AB1877" s="71" t="str">
        <f aca="false">IF(AH1877="","",ROUND(MIN(K1877,TOPE_AFP_UF*AJ1877)*AK1877,0))</f>
        <v/>
      </c>
      <c r="AC1877" s="71" t="str">
        <f aca="false">IF(AH1877="","",ROUND(MIN(K1877,TOPE_AFC_UF*AJ1877)*IF(AA1877="Indefinido",AFC_EMP_INDEF,AFC_EMP_PF),0))</f>
        <v/>
      </c>
      <c r="AD1877" s="71" t="str">
        <f aca="false">IF(AH1877="","",ROUND(MIN(K1877,TOPE_AFP_UF*AJ1877)*(MUTUAL_BASICA+MUTUAL_ADIC+SANNA),0))</f>
        <v/>
      </c>
      <c r="AE1877" s="71" t="str">
        <f aca="false">IF(AH1877="","",P1877-N(N1877)+AB1877+AC1877+AD1877)</f>
        <v/>
      </c>
      <c r="AF1877" s="65"/>
      <c r="AG1877" s="64"/>
      <c r="AH1877" s="72" t="str">
        <f aca="false">IF(OR(B1877="",C1877=""),"",C1877&amp;"|"&amp;(YEAR(B1877)*100+MONTH(B1877)))</f>
        <v/>
      </c>
      <c r="AI1877" s="70" t="str">
        <f aca="false">IF(AH1877="","",IF(COUNTIF(L_CLAVE,AH1877)&gt;1,"⚠ Duplicado","OK"))</f>
        <v/>
      </c>
      <c r="AJ1877" s="86" t="str">
        <f aca="false">IF(AH1877="","",IF(SUMPRODUCT(MAX((IND_PER&lt;=B1877)*(IND_UF&lt;&gt;"")*IND_PER))=0,UF_HOY,INDEX(IND_UF,MATCH(SUMPRODUCT(MAX((IND_PER&lt;=B1877)*(IND_UF&lt;&gt;"")*IND_PER)),IND_PER,0))))</f>
        <v/>
      </c>
      <c r="AK1877" s="87" t="str">
        <f aca="false">IF(AH1877="","",IF(COUNTIF(TASA_DESDE,"&lt;="&amp;B1877)=0,INDEX(TASA_EMP,1),INDEX(TASA_EMP,COUNTIF(TASA_DESDE,"&lt;="&amp;B1877))))</f>
        <v/>
      </c>
    </row>
    <row r="1878" customFormat="false" ht="15" hidden="false" customHeight="false" outlineLevel="0" collapsed="false">
      <c r="B1878" s="78"/>
      <c r="C1878" s="64"/>
      <c r="D1878" s="72" t="str">
        <f aca="false">IF(C1878="","",IFERROR(INDEX(T_NOMBRE,MATCH(C1878,T_ID,0)),"⚠ ID no existe"))</f>
        <v/>
      </c>
      <c r="E1878" s="69"/>
      <c r="F1878" s="67"/>
      <c r="G1878" s="67"/>
      <c r="H1878" s="67"/>
      <c r="I1878" s="67"/>
      <c r="J1878" s="67"/>
      <c r="K1878" s="85" t="str">
        <f aca="false">IF(AH1878="","",N(F1878)+N(G1878)+N(H1878)-N(I1878)+N(J1878))</f>
        <v/>
      </c>
      <c r="L1878" s="67"/>
      <c r="M1878" s="67"/>
      <c r="N1878" s="67"/>
      <c r="O1878" s="67"/>
      <c r="P1878" s="85" t="str">
        <f aca="false">IF(AH1878="","",K1878+N(L1878)+N(M1878)+N(N1878)+N(O1878))</f>
        <v/>
      </c>
      <c r="Q1878" s="67"/>
      <c r="R1878" s="67"/>
      <c r="S1878" s="67"/>
      <c r="T1878" s="67"/>
      <c r="U1878" s="67"/>
      <c r="V1878" s="67"/>
      <c r="W1878" s="85" t="str">
        <f aca="false">IF(AH1878="","",N(Q1878)+N(R1878)+N(S1878)+N(T1878)+N(U1878)+N(V1878))</f>
        <v/>
      </c>
      <c r="X1878" s="85" t="str">
        <f aca="false">IF(AH1878="","",P1878-W1878)</f>
        <v/>
      </c>
      <c r="Y1878" s="67"/>
      <c r="Z1878" s="70" t="str">
        <f aca="false">IF(OR(AH1878="",Y1878=""),"",IF(ABS(X1878-Y1878)&lt;=1,"✓ Cuadra","⚠ Diferencia $"&amp;FIXED(X1878-Y1878,0)))</f>
        <v/>
      </c>
      <c r="AA1878" s="72" t="str">
        <f aca="false">IF(AH1878="","",IFERROR(INDEX(C_TIPO,MATCH(C1878&amp;"-P"&amp;MAX(1,COUNTIFS(C_ID,C1878,C_DEFINE,"Sí",C_INICIO,"&lt;="&amp;EOMONTH(B1878,0))),C_CLAVE,0))&amp;"","Sin dato"))</f>
        <v/>
      </c>
      <c r="AB1878" s="71" t="str">
        <f aca="false">IF(AH1878="","",ROUND(MIN(K1878,TOPE_AFP_UF*AJ1878)*AK1878,0))</f>
        <v/>
      </c>
      <c r="AC1878" s="71" t="str">
        <f aca="false">IF(AH1878="","",ROUND(MIN(K1878,TOPE_AFC_UF*AJ1878)*IF(AA1878="Indefinido",AFC_EMP_INDEF,AFC_EMP_PF),0))</f>
        <v/>
      </c>
      <c r="AD1878" s="71" t="str">
        <f aca="false">IF(AH1878="","",ROUND(MIN(K1878,TOPE_AFP_UF*AJ1878)*(MUTUAL_BASICA+MUTUAL_ADIC+SANNA),0))</f>
        <v/>
      </c>
      <c r="AE1878" s="71" t="str">
        <f aca="false">IF(AH1878="","",P1878-N(N1878)+AB1878+AC1878+AD1878)</f>
        <v/>
      </c>
      <c r="AF1878" s="65"/>
      <c r="AG1878" s="64"/>
      <c r="AH1878" s="72" t="str">
        <f aca="false">IF(OR(B1878="",C1878=""),"",C1878&amp;"|"&amp;(YEAR(B1878)*100+MONTH(B1878)))</f>
        <v/>
      </c>
      <c r="AI1878" s="70" t="str">
        <f aca="false">IF(AH1878="","",IF(COUNTIF(L_CLAVE,AH1878)&gt;1,"⚠ Duplicado","OK"))</f>
        <v/>
      </c>
      <c r="AJ1878" s="86" t="str">
        <f aca="false">IF(AH1878="","",IF(SUMPRODUCT(MAX((IND_PER&lt;=B1878)*(IND_UF&lt;&gt;"")*IND_PER))=0,UF_HOY,INDEX(IND_UF,MATCH(SUMPRODUCT(MAX((IND_PER&lt;=B1878)*(IND_UF&lt;&gt;"")*IND_PER)),IND_PER,0))))</f>
        <v/>
      </c>
      <c r="AK1878" s="87" t="str">
        <f aca="false">IF(AH1878="","",IF(COUNTIF(TASA_DESDE,"&lt;="&amp;B1878)=0,INDEX(TASA_EMP,1),INDEX(TASA_EMP,COUNTIF(TASA_DESDE,"&lt;="&amp;B1878))))</f>
        <v/>
      </c>
    </row>
    <row r="1879" customFormat="false" ht="15" hidden="false" customHeight="false" outlineLevel="0" collapsed="false">
      <c r="B1879" s="78"/>
      <c r="C1879" s="64"/>
      <c r="D1879" s="72" t="str">
        <f aca="false">IF(C1879="","",IFERROR(INDEX(T_NOMBRE,MATCH(C1879,T_ID,0)),"⚠ ID no existe"))</f>
        <v/>
      </c>
      <c r="E1879" s="69"/>
      <c r="F1879" s="67"/>
      <c r="G1879" s="67"/>
      <c r="H1879" s="67"/>
      <c r="I1879" s="67"/>
      <c r="J1879" s="67"/>
      <c r="K1879" s="85" t="str">
        <f aca="false">IF(AH1879="","",N(F1879)+N(G1879)+N(H1879)-N(I1879)+N(J1879))</f>
        <v/>
      </c>
      <c r="L1879" s="67"/>
      <c r="M1879" s="67"/>
      <c r="N1879" s="67"/>
      <c r="O1879" s="67"/>
      <c r="P1879" s="85" t="str">
        <f aca="false">IF(AH1879="","",K1879+N(L1879)+N(M1879)+N(N1879)+N(O1879))</f>
        <v/>
      </c>
      <c r="Q1879" s="67"/>
      <c r="R1879" s="67"/>
      <c r="S1879" s="67"/>
      <c r="T1879" s="67"/>
      <c r="U1879" s="67"/>
      <c r="V1879" s="67"/>
      <c r="W1879" s="85" t="str">
        <f aca="false">IF(AH1879="","",N(Q1879)+N(R1879)+N(S1879)+N(T1879)+N(U1879)+N(V1879))</f>
        <v/>
      </c>
      <c r="X1879" s="85" t="str">
        <f aca="false">IF(AH1879="","",P1879-W1879)</f>
        <v/>
      </c>
      <c r="Y1879" s="67"/>
      <c r="Z1879" s="70" t="str">
        <f aca="false">IF(OR(AH1879="",Y1879=""),"",IF(ABS(X1879-Y1879)&lt;=1,"✓ Cuadra","⚠ Diferencia $"&amp;FIXED(X1879-Y1879,0)))</f>
        <v/>
      </c>
      <c r="AA1879" s="72" t="str">
        <f aca="false">IF(AH1879="","",IFERROR(INDEX(C_TIPO,MATCH(C1879&amp;"-P"&amp;MAX(1,COUNTIFS(C_ID,C1879,C_DEFINE,"Sí",C_INICIO,"&lt;="&amp;EOMONTH(B1879,0))),C_CLAVE,0))&amp;"","Sin dato"))</f>
        <v/>
      </c>
      <c r="AB1879" s="71" t="str">
        <f aca="false">IF(AH1879="","",ROUND(MIN(K1879,TOPE_AFP_UF*AJ1879)*AK1879,0))</f>
        <v/>
      </c>
      <c r="AC1879" s="71" t="str">
        <f aca="false">IF(AH1879="","",ROUND(MIN(K1879,TOPE_AFC_UF*AJ1879)*IF(AA1879="Indefinido",AFC_EMP_INDEF,AFC_EMP_PF),0))</f>
        <v/>
      </c>
      <c r="AD1879" s="71" t="str">
        <f aca="false">IF(AH1879="","",ROUND(MIN(K1879,TOPE_AFP_UF*AJ1879)*(MUTUAL_BASICA+MUTUAL_ADIC+SANNA),0))</f>
        <v/>
      </c>
      <c r="AE1879" s="71" t="str">
        <f aca="false">IF(AH1879="","",P1879-N(N1879)+AB1879+AC1879+AD1879)</f>
        <v/>
      </c>
      <c r="AF1879" s="65"/>
      <c r="AG1879" s="64"/>
      <c r="AH1879" s="72" t="str">
        <f aca="false">IF(OR(B1879="",C1879=""),"",C1879&amp;"|"&amp;(YEAR(B1879)*100+MONTH(B1879)))</f>
        <v/>
      </c>
      <c r="AI1879" s="70" t="str">
        <f aca="false">IF(AH1879="","",IF(COUNTIF(L_CLAVE,AH1879)&gt;1,"⚠ Duplicado","OK"))</f>
        <v/>
      </c>
      <c r="AJ1879" s="86" t="str">
        <f aca="false">IF(AH1879="","",IF(SUMPRODUCT(MAX((IND_PER&lt;=B1879)*(IND_UF&lt;&gt;"")*IND_PER))=0,UF_HOY,INDEX(IND_UF,MATCH(SUMPRODUCT(MAX((IND_PER&lt;=B1879)*(IND_UF&lt;&gt;"")*IND_PER)),IND_PER,0))))</f>
        <v/>
      </c>
      <c r="AK1879" s="87" t="str">
        <f aca="false">IF(AH1879="","",IF(COUNTIF(TASA_DESDE,"&lt;="&amp;B1879)=0,INDEX(TASA_EMP,1),INDEX(TASA_EMP,COUNTIF(TASA_DESDE,"&lt;="&amp;B1879))))</f>
        <v/>
      </c>
    </row>
    <row r="1880" customFormat="false" ht="15" hidden="false" customHeight="false" outlineLevel="0" collapsed="false">
      <c r="B1880" s="78"/>
      <c r="C1880" s="64"/>
      <c r="D1880" s="72" t="str">
        <f aca="false">IF(C1880="","",IFERROR(INDEX(T_NOMBRE,MATCH(C1880,T_ID,0)),"⚠ ID no existe"))</f>
        <v/>
      </c>
      <c r="E1880" s="69"/>
      <c r="F1880" s="67"/>
      <c r="G1880" s="67"/>
      <c r="H1880" s="67"/>
      <c r="I1880" s="67"/>
      <c r="J1880" s="67"/>
      <c r="K1880" s="85" t="str">
        <f aca="false">IF(AH1880="","",N(F1880)+N(G1880)+N(H1880)-N(I1880)+N(J1880))</f>
        <v/>
      </c>
      <c r="L1880" s="67"/>
      <c r="M1880" s="67"/>
      <c r="N1880" s="67"/>
      <c r="O1880" s="67"/>
      <c r="P1880" s="85" t="str">
        <f aca="false">IF(AH1880="","",K1880+N(L1880)+N(M1880)+N(N1880)+N(O1880))</f>
        <v/>
      </c>
      <c r="Q1880" s="67"/>
      <c r="R1880" s="67"/>
      <c r="S1880" s="67"/>
      <c r="T1880" s="67"/>
      <c r="U1880" s="67"/>
      <c r="V1880" s="67"/>
      <c r="W1880" s="85" t="str">
        <f aca="false">IF(AH1880="","",N(Q1880)+N(R1880)+N(S1880)+N(T1880)+N(U1880)+N(V1880))</f>
        <v/>
      </c>
      <c r="X1880" s="85" t="str">
        <f aca="false">IF(AH1880="","",P1880-W1880)</f>
        <v/>
      </c>
      <c r="Y1880" s="67"/>
      <c r="Z1880" s="70" t="str">
        <f aca="false">IF(OR(AH1880="",Y1880=""),"",IF(ABS(X1880-Y1880)&lt;=1,"✓ Cuadra","⚠ Diferencia $"&amp;FIXED(X1880-Y1880,0)))</f>
        <v/>
      </c>
      <c r="AA1880" s="72" t="str">
        <f aca="false">IF(AH1880="","",IFERROR(INDEX(C_TIPO,MATCH(C1880&amp;"-P"&amp;MAX(1,COUNTIFS(C_ID,C1880,C_DEFINE,"Sí",C_INICIO,"&lt;="&amp;EOMONTH(B1880,0))),C_CLAVE,0))&amp;"","Sin dato"))</f>
        <v/>
      </c>
      <c r="AB1880" s="71" t="str">
        <f aca="false">IF(AH1880="","",ROUND(MIN(K1880,TOPE_AFP_UF*AJ1880)*AK1880,0))</f>
        <v/>
      </c>
      <c r="AC1880" s="71" t="str">
        <f aca="false">IF(AH1880="","",ROUND(MIN(K1880,TOPE_AFC_UF*AJ1880)*IF(AA1880="Indefinido",AFC_EMP_INDEF,AFC_EMP_PF),0))</f>
        <v/>
      </c>
      <c r="AD1880" s="71" t="str">
        <f aca="false">IF(AH1880="","",ROUND(MIN(K1880,TOPE_AFP_UF*AJ1880)*(MUTUAL_BASICA+MUTUAL_ADIC+SANNA),0))</f>
        <v/>
      </c>
      <c r="AE1880" s="71" t="str">
        <f aca="false">IF(AH1880="","",P1880-N(N1880)+AB1880+AC1880+AD1880)</f>
        <v/>
      </c>
      <c r="AF1880" s="65"/>
      <c r="AG1880" s="64"/>
      <c r="AH1880" s="72" t="str">
        <f aca="false">IF(OR(B1880="",C1880=""),"",C1880&amp;"|"&amp;(YEAR(B1880)*100+MONTH(B1880)))</f>
        <v/>
      </c>
      <c r="AI1880" s="70" t="str">
        <f aca="false">IF(AH1880="","",IF(COUNTIF(L_CLAVE,AH1880)&gt;1,"⚠ Duplicado","OK"))</f>
        <v/>
      </c>
      <c r="AJ1880" s="86" t="str">
        <f aca="false">IF(AH1880="","",IF(SUMPRODUCT(MAX((IND_PER&lt;=B1880)*(IND_UF&lt;&gt;"")*IND_PER))=0,UF_HOY,INDEX(IND_UF,MATCH(SUMPRODUCT(MAX((IND_PER&lt;=B1880)*(IND_UF&lt;&gt;"")*IND_PER)),IND_PER,0))))</f>
        <v/>
      </c>
      <c r="AK1880" s="87" t="str">
        <f aca="false">IF(AH1880="","",IF(COUNTIF(TASA_DESDE,"&lt;="&amp;B1880)=0,INDEX(TASA_EMP,1),INDEX(TASA_EMP,COUNTIF(TASA_DESDE,"&lt;="&amp;B1880))))</f>
        <v/>
      </c>
    </row>
    <row r="1881" customFormat="false" ht="15" hidden="false" customHeight="false" outlineLevel="0" collapsed="false">
      <c r="B1881" s="78"/>
      <c r="C1881" s="64"/>
      <c r="D1881" s="72" t="str">
        <f aca="false">IF(C1881="","",IFERROR(INDEX(T_NOMBRE,MATCH(C1881,T_ID,0)),"⚠ ID no existe"))</f>
        <v/>
      </c>
      <c r="E1881" s="69"/>
      <c r="F1881" s="67"/>
      <c r="G1881" s="67"/>
      <c r="H1881" s="67"/>
      <c r="I1881" s="67"/>
      <c r="J1881" s="67"/>
      <c r="K1881" s="85" t="str">
        <f aca="false">IF(AH1881="","",N(F1881)+N(G1881)+N(H1881)-N(I1881)+N(J1881))</f>
        <v/>
      </c>
      <c r="L1881" s="67"/>
      <c r="M1881" s="67"/>
      <c r="N1881" s="67"/>
      <c r="O1881" s="67"/>
      <c r="P1881" s="85" t="str">
        <f aca="false">IF(AH1881="","",K1881+N(L1881)+N(M1881)+N(N1881)+N(O1881))</f>
        <v/>
      </c>
      <c r="Q1881" s="67"/>
      <c r="R1881" s="67"/>
      <c r="S1881" s="67"/>
      <c r="T1881" s="67"/>
      <c r="U1881" s="67"/>
      <c r="V1881" s="67"/>
      <c r="W1881" s="85" t="str">
        <f aca="false">IF(AH1881="","",N(Q1881)+N(R1881)+N(S1881)+N(T1881)+N(U1881)+N(V1881))</f>
        <v/>
      </c>
      <c r="X1881" s="85" t="str">
        <f aca="false">IF(AH1881="","",P1881-W1881)</f>
        <v/>
      </c>
      <c r="Y1881" s="67"/>
      <c r="Z1881" s="70" t="str">
        <f aca="false">IF(OR(AH1881="",Y1881=""),"",IF(ABS(X1881-Y1881)&lt;=1,"✓ Cuadra","⚠ Diferencia $"&amp;FIXED(X1881-Y1881,0)))</f>
        <v/>
      </c>
      <c r="AA1881" s="72" t="str">
        <f aca="false">IF(AH1881="","",IFERROR(INDEX(C_TIPO,MATCH(C1881&amp;"-P"&amp;MAX(1,COUNTIFS(C_ID,C1881,C_DEFINE,"Sí",C_INICIO,"&lt;="&amp;EOMONTH(B1881,0))),C_CLAVE,0))&amp;"","Sin dato"))</f>
        <v/>
      </c>
      <c r="AB1881" s="71" t="str">
        <f aca="false">IF(AH1881="","",ROUND(MIN(K1881,TOPE_AFP_UF*AJ1881)*AK1881,0))</f>
        <v/>
      </c>
      <c r="AC1881" s="71" t="str">
        <f aca="false">IF(AH1881="","",ROUND(MIN(K1881,TOPE_AFC_UF*AJ1881)*IF(AA1881="Indefinido",AFC_EMP_INDEF,AFC_EMP_PF),0))</f>
        <v/>
      </c>
      <c r="AD1881" s="71" t="str">
        <f aca="false">IF(AH1881="","",ROUND(MIN(K1881,TOPE_AFP_UF*AJ1881)*(MUTUAL_BASICA+MUTUAL_ADIC+SANNA),0))</f>
        <v/>
      </c>
      <c r="AE1881" s="71" t="str">
        <f aca="false">IF(AH1881="","",P1881-N(N1881)+AB1881+AC1881+AD1881)</f>
        <v/>
      </c>
      <c r="AF1881" s="65"/>
      <c r="AG1881" s="64"/>
      <c r="AH1881" s="72" t="str">
        <f aca="false">IF(OR(B1881="",C1881=""),"",C1881&amp;"|"&amp;(YEAR(B1881)*100+MONTH(B1881)))</f>
        <v/>
      </c>
      <c r="AI1881" s="70" t="str">
        <f aca="false">IF(AH1881="","",IF(COUNTIF(L_CLAVE,AH1881)&gt;1,"⚠ Duplicado","OK"))</f>
        <v/>
      </c>
      <c r="AJ1881" s="86" t="str">
        <f aca="false">IF(AH1881="","",IF(SUMPRODUCT(MAX((IND_PER&lt;=B1881)*(IND_UF&lt;&gt;"")*IND_PER))=0,UF_HOY,INDEX(IND_UF,MATCH(SUMPRODUCT(MAX((IND_PER&lt;=B1881)*(IND_UF&lt;&gt;"")*IND_PER)),IND_PER,0))))</f>
        <v/>
      </c>
      <c r="AK1881" s="87" t="str">
        <f aca="false">IF(AH1881="","",IF(COUNTIF(TASA_DESDE,"&lt;="&amp;B1881)=0,INDEX(TASA_EMP,1),INDEX(TASA_EMP,COUNTIF(TASA_DESDE,"&lt;="&amp;B1881))))</f>
        <v/>
      </c>
    </row>
    <row r="1882" customFormat="false" ht="15" hidden="false" customHeight="false" outlineLevel="0" collapsed="false">
      <c r="B1882" s="78"/>
      <c r="C1882" s="64"/>
      <c r="D1882" s="72" t="str">
        <f aca="false">IF(C1882="","",IFERROR(INDEX(T_NOMBRE,MATCH(C1882,T_ID,0)),"⚠ ID no existe"))</f>
        <v/>
      </c>
      <c r="E1882" s="69"/>
      <c r="F1882" s="67"/>
      <c r="G1882" s="67"/>
      <c r="H1882" s="67"/>
      <c r="I1882" s="67"/>
      <c r="J1882" s="67"/>
      <c r="K1882" s="85" t="str">
        <f aca="false">IF(AH1882="","",N(F1882)+N(G1882)+N(H1882)-N(I1882)+N(J1882))</f>
        <v/>
      </c>
      <c r="L1882" s="67"/>
      <c r="M1882" s="67"/>
      <c r="N1882" s="67"/>
      <c r="O1882" s="67"/>
      <c r="P1882" s="85" t="str">
        <f aca="false">IF(AH1882="","",K1882+N(L1882)+N(M1882)+N(N1882)+N(O1882))</f>
        <v/>
      </c>
      <c r="Q1882" s="67"/>
      <c r="R1882" s="67"/>
      <c r="S1882" s="67"/>
      <c r="T1882" s="67"/>
      <c r="U1882" s="67"/>
      <c r="V1882" s="67"/>
      <c r="W1882" s="85" t="str">
        <f aca="false">IF(AH1882="","",N(Q1882)+N(R1882)+N(S1882)+N(T1882)+N(U1882)+N(V1882))</f>
        <v/>
      </c>
      <c r="X1882" s="85" t="str">
        <f aca="false">IF(AH1882="","",P1882-W1882)</f>
        <v/>
      </c>
      <c r="Y1882" s="67"/>
      <c r="Z1882" s="70" t="str">
        <f aca="false">IF(OR(AH1882="",Y1882=""),"",IF(ABS(X1882-Y1882)&lt;=1,"✓ Cuadra","⚠ Diferencia $"&amp;FIXED(X1882-Y1882,0)))</f>
        <v/>
      </c>
      <c r="AA1882" s="72" t="str">
        <f aca="false">IF(AH1882="","",IFERROR(INDEX(C_TIPO,MATCH(C1882&amp;"-P"&amp;MAX(1,COUNTIFS(C_ID,C1882,C_DEFINE,"Sí",C_INICIO,"&lt;="&amp;EOMONTH(B1882,0))),C_CLAVE,0))&amp;"","Sin dato"))</f>
        <v/>
      </c>
      <c r="AB1882" s="71" t="str">
        <f aca="false">IF(AH1882="","",ROUND(MIN(K1882,TOPE_AFP_UF*AJ1882)*AK1882,0))</f>
        <v/>
      </c>
      <c r="AC1882" s="71" t="str">
        <f aca="false">IF(AH1882="","",ROUND(MIN(K1882,TOPE_AFC_UF*AJ1882)*IF(AA1882="Indefinido",AFC_EMP_INDEF,AFC_EMP_PF),0))</f>
        <v/>
      </c>
      <c r="AD1882" s="71" t="str">
        <f aca="false">IF(AH1882="","",ROUND(MIN(K1882,TOPE_AFP_UF*AJ1882)*(MUTUAL_BASICA+MUTUAL_ADIC+SANNA),0))</f>
        <v/>
      </c>
      <c r="AE1882" s="71" t="str">
        <f aca="false">IF(AH1882="","",P1882-N(N1882)+AB1882+AC1882+AD1882)</f>
        <v/>
      </c>
      <c r="AF1882" s="65"/>
      <c r="AG1882" s="64"/>
      <c r="AH1882" s="72" t="str">
        <f aca="false">IF(OR(B1882="",C1882=""),"",C1882&amp;"|"&amp;(YEAR(B1882)*100+MONTH(B1882)))</f>
        <v/>
      </c>
      <c r="AI1882" s="70" t="str">
        <f aca="false">IF(AH1882="","",IF(COUNTIF(L_CLAVE,AH1882)&gt;1,"⚠ Duplicado","OK"))</f>
        <v/>
      </c>
      <c r="AJ1882" s="86" t="str">
        <f aca="false">IF(AH1882="","",IF(SUMPRODUCT(MAX((IND_PER&lt;=B1882)*(IND_UF&lt;&gt;"")*IND_PER))=0,UF_HOY,INDEX(IND_UF,MATCH(SUMPRODUCT(MAX((IND_PER&lt;=B1882)*(IND_UF&lt;&gt;"")*IND_PER)),IND_PER,0))))</f>
        <v/>
      </c>
      <c r="AK1882" s="87" t="str">
        <f aca="false">IF(AH1882="","",IF(COUNTIF(TASA_DESDE,"&lt;="&amp;B1882)=0,INDEX(TASA_EMP,1),INDEX(TASA_EMP,COUNTIF(TASA_DESDE,"&lt;="&amp;B1882))))</f>
        <v/>
      </c>
    </row>
    <row r="1883" customFormat="false" ht="15" hidden="false" customHeight="false" outlineLevel="0" collapsed="false">
      <c r="B1883" s="78"/>
      <c r="C1883" s="64"/>
      <c r="D1883" s="72" t="str">
        <f aca="false">IF(C1883="","",IFERROR(INDEX(T_NOMBRE,MATCH(C1883,T_ID,0)),"⚠ ID no existe"))</f>
        <v/>
      </c>
      <c r="E1883" s="69"/>
      <c r="F1883" s="67"/>
      <c r="G1883" s="67"/>
      <c r="H1883" s="67"/>
      <c r="I1883" s="67"/>
      <c r="J1883" s="67"/>
      <c r="K1883" s="85" t="str">
        <f aca="false">IF(AH1883="","",N(F1883)+N(G1883)+N(H1883)-N(I1883)+N(J1883))</f>
        <v/>
      </c>
      <c r="L1883" s="67"/>
      <c r="M1883" s="67"/>
      <c r="N1883" s="67"/>
      <c r="O1883" s="67"/>
      <c r="P1883" s="85" t="str">
        <f aca="false">IF(AH1883="","",K1883+N(L1883)+N(M1883)+N(N1883)+N(O1883))</f>
        <v/>
      </c>
      <c r="Q1883" s="67"/>
      <c r="R1883" s="67"/>
      <c r="S1883" s="67"/>
      <c r="T1883" s="67"/>
      <c r="U1883" s="67"/>
      <c r="V1883" s="67"/>
      <c r="W1883" s="85" t="str">
        <f aca="false">IF(AH1883="","",N(Q1883)+N(R1883)+N(S1883)+N(T1883)+N(U1883)+N(V1883))</f>
        <v/>
      </c>
      <c r="X1883" s="85" t="str">
        <f aca="false">IF(AH1883="","",P1883-W1883)</f>
        <v/>
      </c>
      <c r="Y1883" s="67"/>
      <c r="Z1883" s="70" t="str">
        <f aca="false">IF(OR(AH1883="",Y1883=""),"",IF(ABS(X1883-Y1883)&lt;=1,"✓ Cuadra","⚠ Diferencia $"&amp;FIXED(X1883-Y1883,0)))</f>
        <v/>
      </c>
      <c r="AA1883" s="72" t="str">
        <f aca="false">IF(AH1883="","",IFERROR(INDEX(C_TIPO,MATCH(C1883&amp;"-P"&amp;MAX(1,COUNTIFS(C_ID,C1883,C_DEFINE,"Sí",C_INICIO,"&lt;="&amp;EOMONTH(B1883,0))),C_CLAVE,0))&amp;"","Sin dato"))</f>
        <v/>
      </c>
      <c r="AB1883" s="71" t="str">
        <f aca="false">IF(AH1883="","",ROUND(MIN(K1883,TOPE_AFP_UF*AJ1883)*AK1883,0))</f>
        <v/>
      </c>
      <c r="AC1883" s="71" t="str">
        <f aca="false">IF(AH1883="","",ROUND(MIN(K1883,TOPE_AFC_UF*AJ1883)*IF(AA1883="Indefinido",AFC_EMP_INDEF,AFC_EMP_PF),0))</f>
        <v/>
      </c>
      <c r="AD1883" s="71" t="str">
        <f aca="false">IF(AH1883="","",ROUND(MIN(K1883,TOPE_AFP_UF*AJ1883)*(MUTUAL_BASICA+MUTUAL_ADIC+SANNA),0))</f>
        <v/>
      </c>
      <c r="AE1883" s="71" t="str">
        <f aca="false">IF(AH1883="","",P1883-N(N1883)+AB1883+AC1883+AD1883)</f>
        <v/>
      </c>
      <c r="AF1883" s="65"/>
      <c r="AG1883" s="64"/>
      <c r="AH1883" s="72" t="str">
        <f aca="false">IF(OR(B1883="",C1883=""),"",C1883&amp;"|"&amp;(YEAR(B1883)*100+MONTH(B1883)))</f>
        <v/>
      </c>
      <c r="AI1883" s="70" t="str">
        <f aca="false">IF(AH1883="","",IF(COUNTIF(L_CLAVE,AH1883)&gt;1,"⚠ Duplicado","OK"))</f>
        <v/>
      </c>
      <c r="AJ1883" s="86" t="str">
        <f aca="false">IF(AH1883="","",IF(SUMPRODUCT(MAX((IND_PER&lt;=B1883)*(IND_UF&lt;&gt;"")*IND_PER))=0,UF_HOY,INDEX(IND_UF,MATCH(SUMPRODUCT(MAX((IND_PER&lt;=B1883)*(IND_UF&lt;&gt;"")*IND_PER)),IND_PER,0))))</f>
        <v/>
      </c>
      <c r="AK1883" s="87" t="str">
        <f aca="false">IF(AH1883="","",IF(COUNTIF(TASA_DESDE,"&lt;="&amp;B1883)=0,INDEX(TASA_EMP,1),INDEX(TASA_EMP,COUNTIF(TASA_DESDE,"&lt;="&amp;B1883))))</f>
        <v/>
      </c>
    </row>
    <row r="1884" customFormat="false" ht="15" hidden="false" customHeight="false" outlineLevel="0" collapsed="false">
      <c r="B1884" s="78"/>
      <c r="C1884" s="64"/>
      <c r="D1884" s="72" t="str">
        <f aca="false">IF(C1884="","",IFERROR(INDEX(T_NOMBRE,MATCH(C1884,T_ID,0)),"⚠ ID no existe"))</f>
        <v/>
      </c>
      <c r="E1884" s="69"/>
      <c r="F1884" s="67"/>
      <c r="G1884" s="67"/>
      <c r="H1884" s="67"/>
      <c r="I1884" s="67"/>
      <c r="J1884" s="67"/>
      <c r="K1884" s="85" t="str">
        <f aca="false">IF(AH1884="","",N(F1884)+N(G1884)+N(H1884)-N(I1884)+N(J1884))</f>
        <v/>
      </c>
      <c r="L1884" s="67"/>
      <c r="M1884" s="67"/>
      <c r="N1884" s="67"/>
      <c r="O1884" s="67"/>
      <c r="P1884" s="85" t="str">
        <f aca="false">IF(AH1884="","",K1884+N(L1884)+N(M1884)+N(N1884)+N(O1884))</f>
        <v/>
      </c>
      <c r="Q1884" s="67"/>
      <c r="R1884" s="67"/>
      <c r="S1884" s="67"/>
      <c r="T1884" s="67"/>
      <c r="U1884" s="67"/>
      <c r="V1884" s="67"/>
      <c r="W1884" s="85" t="str">
        <f aca="false">IF(AH1884="","",N(Q1884)+N(R1884)+N(S1884)+N(T1884)+N(U1884)+N(V1884))</f>
        <v/>
      </c>
      <c r="X1884" s="85" t="str">
        <f aca="false">IF(AH1884="","",P1884-W1884)</f>
        <v/>
      </c>
      <c r="Y1884" s="67"/>
      <c r="Z1884" s="70" t="str">
        <f aca="false">IF(OR(AH1884="",Y1884=""),"",IF(ABS(X1884-Y1884)&lt;=1,"✓ Cuadra","⚠ Diferencia $"&amp;FIXED(X1884-Y1884,0)))</f>
        <v/>
      </c>
      <c r="AA1884" s="72" t="str">
        <f aca="false">IF(AH1884="","",IFERROR(INDEX(C_TIPO,MATCH(C1884&amp;"-P"&amp;MAX(1,COUNTIFS(C_ID,C1884,C_DEFINE,"Sí",C_INICIO,"&lt;="&amp;EOMONTH(B1884,0))),C_CLAVE,0))&amp;"","Sin dato"))</f>
        <v/>
      </c>
      <c r="AB1884" s="71" t="str">
        <f aca="false">IF(AH1884="","",ROUND(MIN(K1884,TOPE_AFP_UF*AJ1884)*AK1884,0))</f>
        <v/>
      </c>
      <c r="AC1884" s="71" t="str">
        <f aca="false">IF(AH1884="","",ROUND(MIN(K1884,TOPE_AFC_UF*AJ1884)*IF(AA1884="Indefinido",AFC_EMP_INDEF,AFC_EMP_PF),0))</f>
        <v/>
      </c>
      <c r="AD1884" s="71" t="str">
        <f aca="false">IF(AH1884="","",ROUND(MIN(K1884,TOPE_AFP_UF*AJ1884)*(MUTUAL_BASICA+MUTUAL_ADIC+SANNA),0))</f>
        <v/>
      </c>
      <c r="AE1884" s="71" t="str">
        <f aca="false">IF(AH1884="","",P1884-N(N1884)+AB1884+AC1884+AD1884)</f>
        <v/>
      </c>
      <c r="AF1884" s="65"/>
      <c r="AG1884" s="64"/>
      <c r="AH1884" s="72" t="str">
        <f aca="false">IF(OR(B1884="",C1884=""),"",C1884&amp;"|"&amp;(YEAR(B1884)*100+MONTH(B1884)))</f>
        <v/>
      </c>
      <c r="AI1884" s="70" t="str">
        <f aca="false">IF(AH1884="","",IF(COUNTIF(L_CLAVE,AH1884)&gt;1,"⚠ Duplicado","OK"))</f>
        <v/>
      </c>
      <c r="AJ1884" s="86" t="str">
        <f aca="false">IF(AH1884="","",IF(SUMPRODUCT(MAX((IND_PER&lt;=B1884)*(IND_UF&lt;&gt;"")*IND_PER))=0,UF_HOY,INDEX(IND_UF,MATCH(SUMPRODUCT(MAX((IND_PER&lt;=B1884)*(IND_UF&lt;&gt;"")*IND_PER)),IND_PER,0))))</f>
        <v/>
      </c>
      <c r="AK1884" s="87" t="str">
        <f aca="false">IF(AH1884="","",IF(COUNTIF(TASA_DESDE,"&lt;="&amp;B1884)=0,INDEX(TASA_EMP,1),INDEX(TASA_EMP,COUNTIF(TASA_DESDE,"&lt;="&amp;B1884))))</f>
        <v/>
      </c>
    </row>
    <row r="1885" customFormat="false" ht="15" hidden="false" customHeight="false" outlineLevel="0" collapsed="false">
      <c r="B1885" s="78"/>
      <c r="C1885" s="64"/>
      <c r="D1885" s="72" t="str">
        <f aca="false">IF(C1885="","",IFERROR(INDEX(T_NOMBRE,MATCH(C1885,T_ID,0)),"⚠ ID no existe"))</f>
        <v/>
      </c>
      <c r="E1885" s="69"/>
      <c r="F1885" s="67"/>
      <c r="G1885" s="67"/>
      <c r="H1885" s="67"/>
      <c r="I1885" s="67"/>
      <c r="J1885" s="67"/>
      <c r="K1885" s="85" t="str">
        <f aca="false">IF(AH1885="","",N(F1885)+N(G1885)+N(H1885)-N(I1885)+N(J1885))</f>
        <v/>
      </c>
      <c r="L1885" s="67"/>
      <c r="M1885" s="67"/>
      <c r="N1885" s="67"/>
      <c r="O1885" s="67"/>
      <c r="P1885" s="85" t="str">
        <f aca="false">IF(AH1885="","",K1885+N(L1885)+N(M1885)+N(N1885)+N(O1885))</f>
        <v/>
      </c>
      <c r="Q1885" s="67"/>
      <c r="R1885" s="67"/>
      <c r="S1885" s="67"/>
      <c r="T1885" s="67"/>
      <c r="U1885" s="67"/>
      <c r="V1885" s="67"/>
      <c r="W1885" s="85" t="str">
        <f aca="false">IF(AH1885="","",N(Q1885)+N(R1885)+N(S1885)+N(T1885)+N(U1885)+N(V1885))</f>
        <v/>
      </c>
      <c r="X1885" s="85" t="str">
        <f aca="false">IF(AH1885="","",P1885-W1885)</f>
        <v/>
      </c>
      <c r="Y1885" s="67"/>
      <c r="Z1885" s="70" t="str">
        <f aca="false">IF(OR(AH1885="",Y1885=""),"",IF(ABS(X1885-Y1885)&lt;=1,"✓ Cuadra","⚠ Diferencia $"&amp;FIXED(X1885-Y1885,0)))</f>
        <v/>
      </c>
      <c r="AA1885" s="72" t="str">
        <f aca="false">IF(AH1885="","",IFERROR(INDEX(C_TIPO,MATCH(C1885&amp;"-P"&amp;MAX(1,COUNTIFS(C_ID,C1885,C_DEFINE,"Sí",C_INICIO,"&lt;="&amp;EOMONTH(B1885,0))),C_CLAVE,0))&amp;"","Sin dato"))</f>
        <v/>
      </c>
      <c r="AB1885" s="71" t="str">
        <f aca="false">IF(AH1885="","",ROUND(MIN(K1885,TOPE_AFP_UF*AJ1885)*AK1885,0))</f>
        <v/>
      </c>
      <c r="AC1885" s="71" t="str">
        <f aca="false">IF(AH1885="","",ROUND(MIN(K1885,TOPE_AFC_UF*AJ1885)*IF(AA1885="Indefinido",AFC_EMP_INDEF,AFC_EMP_PF),0))</f>
        <v/>
      </c>
      <c r="AD1885" s="71" t="str">
        <f aca="false">IF(AH1885="","",ROUND(MIN(K1885,TOPE_AFP_UF*AJ1885)*(MUTUAL_BASICA+MUTUAL_ADIC+SANNA),0))</f>
        <v/>
      </c>
      <c r="AE1885" s="71" t="str">
        <f aca="false">IF(AH1885="","",P1885-N(N1885)+AB1885+AC1885+AD1885)</f>
        <v/>
      </c>
      <c r="AF1885" s="65"/>
      <c r="AG1885" s="64"/>
      <c r="AH1885" s="72" t="str">
        <f aca="false">IF(OR(B1885="",C1885=""),"",C1885&amp;"|"&amp;(YEAR(B1885)*100+MONTH(B1885)))</f>
        <v/>
      </c>
      <c r="AI1885" s="70" t="str">
        <f aca="false">IF(AH1885="","",IF(COUNTIF(L_CLAVE,AH1885)&gt;1,"⚠ Duplicado","OK"))</f>
        <v/>
      </c>
      <c r="AJ1885" s="86" t="str">
        <f aca="false">IF(AH1885="","",IF(SUMPRODUCT(MAX((IND_PER&lt;=B1885)*(IND_UF&lt;&gt;"")*IND_PER))=0,UF_HOY,INDEX(IND_UF,MATCH(SUMPRODUCT(MAX((IND_PER&lt;=B1885)*(IND_UF&lt;&gt;"")*IND_PER)),IND_PER,0))))</f>
        <v/>
      </c>
      <c r="AK1885" s="87" t="str">
        <f aca="false">IF(AH1885="","",IF(COUNTIF(TASA_DESDE,"&lt;="&amp;B1885)=0,INDEX(TASA_EMP,1),INDEX(TASA_EMP,COUNTIF(TASA_DESDE,"&lt;="&amp;B1885))))</f>
        <v/>
      </c>
    </row>
    <row r="1886" customFormat="false" ht="15" hidden="false" customHeight="false" outlineLevel="0" collapsed="false">
      <c r="B1886" s="78"/>
      <c r="C1886" s="64"/>
      <c r="D1886" s="72" t="str">
        <f aca="false">IF(C1886="","",IFERROR(INDEX(T_NOMBRE,MATCH(C1886,T_ID,0)),"⚠ ID no existe"))</f>
        <v/>
      </c>
      <c r="E1886" s="69"/>
      <c r="F1886" s="67"/>
      <c r="G1886" s="67"/>
      <c r="H1886" s="67"/>
      <c r="I1886" s="67"/>
      <c r="J1886" s="67"/>
      <c r="K1886" s="85" t="str">
        <f aca="false">IF(AH1886="","",N(F1886)+N(G1886)+N(H1886)-N(I1886)+N(J1886))</f>
        <v/>
      </c>
      <c r="L1886" s="67"/>
      <c r="M1886" s="67"/>
      <c r="N1886" s="67"/>
      <c r="O1886" s="67"/>
      <c r="P1886" s="85" t="str">
        <f aca="false">IF(AH1886="","",K1886+N(L1886)+N(M1886)+N(N1886)+N(O1886))</f>
        <v/>
      </c>
      <c r="Q1886" s="67"/>
      <c r="R1886" s="67"/>
      <c r="S1886" s="67"/>
      <c r="T1886" s="67"/>
      <c r="U1886" s="67"/>
      <c r="V1886" s="67"/>
      <c r="W1886" s="85" t="str">
        <f aca="false">IF(AH1886="","",N(Q1886)+N(R1886)+N(S1886)+N(T1886)+N(U1886)+N(V1886))</f>
        <v/>
      </c>
      <c r="X1886" s="85" t="str">
        <f aca="false">IF(AH1886="","",P1886-W1886)</f>
        <v/>
      </c>
      <c r="Y1886" s="67"/>
      <c r="Z1886" s="70" t="str">
        <f aca="false">IF(OR(AH1886="",Y1886=""),"",IF(ABS(X1886-Y1886)&lt;=1,"✓ Cuadra","⚠ Diferencia $"&amp;FIXED(X1886-Y1886,0)))</f>
        <v/>
      </c>
      <c r="AA1886" s="72" t="str">
        <f aca="false">IF(AH1886="","",IFERROR(INDEX(C_TIPO,MATCH(C1886&amp;"-P"&amp;MAX(1,COUNTIFS(C_ID,C1886,C_DEFINE,"Sí",C_INICIO,"&lt;="&amp;EOMONTH(B1886,0))),C_CLAVE,0))&amp;"","Sin dato"))</f>
        <v/>
      </c>
      <c r="AB1886" s="71" t="str">
        <f aca="false">IF(AH1886="","",ROUND(MIN(K1886,TOPE_AFP_UF*AJ1886)*AK1886,0))</f>
        <v/>
      </c>
      <c r="AC1886" s="71" t="str">
        <f aca="false">IF(AH1886="","",ROUND(MIN(K1886,TOPE_AFC_UF*AJ1886)*IF(AA1886="Indefinido",AFC_EMP_INDEF,AFC_EMP_PF),0))</f>
        <v/>
      </c>
      <c r="AD1886" s="71" t="str">
        <f aca="false">IF(AH1886="","",ROUND(MIN(K1886,TOPE_AFP_UF*AJ1886)*(MUTUAL_BASICA+MUTUAL_ADIC+SANNA),0))</f>
        <v/>
      </c>
      <c r="AE1886" s="71" t="str">
        <f aca="false">IF(AH1886="","",P1886-N(N1886)+AB1886+AC1886+AD1886)</f>
        <v/>
      </c>
      <c r="AF1886" s="65"/>
      <c r="AG1886" s="64"/>
      <c r="AH1886" s="72" t="str">
        <f aca="false">IF(OR(B1886="",C1886=""),"",C1886&amp;"|"&amp;(YEAR(B1886)*100+MONTH(B1886)))</f>
        <v/>
      </c>
      <c r="AI1886" s="70" t="str">
        <f aca="false">IF(AH1886="","",IF(COUNTIF(L_CLAVE,AH1886)&gt;1,"⚠ Duplicado","OK"))</f>
        <v/>
      </c>
      <c r="AJ1886" s="86" t="str">
        <f aca="false">IF(AH1886="","",IF(SUMPRODUCT(MAX((IND_PER&lt;=B1886)*(IND_UF&lt;&gt;"")*IND_PER))=0,UF_HOY,INDEX(IND_UF,MATCH(SUMPRODUCT(MAX((IND_PER&lt;=B1886)*(IND_UF&lt;&gt;"")*IND_PER)),IND_PER,0))))</f>
        <v/>
      </c>
      <c r="AK1886" s="87" t="str">
        <f aca="false">IF(AH1886="","",IF(COUNTIF(TASA_DESDE,"&lt;="&amp;B1886)=0,INDEX(TASA_EMP,1),INDEX(TASA_EMP,COUNTIF(TASA_DESDE,"&lt;="&amp;B1886))))</f>
        <v/>
      </c>
    </row>
    <row r="1887" customFormat="false" ht="15" hidden="false" customHeight="false" outlineLevel="0" collapsed="false">
      <c r="B1887" s="78"/>
      <c r="C1887" s="64"/>
      <c r="D1887" s="72" t="str">
        <f aca="false">IF(C1887="","",IFERROR(INDEX(T_NOMBRE,MATCH(C1887,T_ID,0)),"⚠ ID no existe"))</f>
        <v/>
      </c>
      <c r="E1887" s="69"/>
      <c r="F1887" s="67"/>
      <c r="G1887" s="67"/>
      <c r="H1887" s="67"/>
      <c r="I1887" s="67"/>
      <c r="J1887" s="67"/>
      <c r="K1887" s="85" t="str">
        <f aca="false">IF(AH1887="","",N(F1887)+N(G1887)+N(H1887)-N(I1887)+N(J1887))</f>
        <v/>
      </c>
      <c r="L1887" s="67"/>
      <c r="M1887" s="67"/>
      <c r="N1887" s="67"/>
      <c r="O1887" s="67"/>
      <c r="P1887" s="85" t="str">
        <f aca="false">IF(AH1887="","",K1887+N(L1887)+N(M1887)+N(N1887)+N(O1887))</f>
        <v/>
      </c>
      <c r="Q1887" s="67"/>
      <c r="R1887" s="67"/>
      <c r="S1887" s="67"/>
      <c r="T1887" s="67"/>
      <c r="U1887" s="67"/>
      <c r="V1887" s="67"/>
      <c r="W1887" s="85" t="str">
        <f aca="false">IF(AH1887="","",N(Q1887)+N(R1887)+N(S1887)+N(T1887)+N(U1887)+N(V1887))</f>
        <v/>
      </c>
      <c r="X1887" s="85" t="str">
        <f aca="false">IF(AH1887="","",P1887-W1887)</f>
        <v/>
      </c>
      <c r="Y1887" s="67"/>
      <c r="Z1887" s="70" t="str">
        <f aca="false">IF(OR(AH1887="",Y1887=""),"",IF(ABS(X1887-Y1887)&lt;=1,"✓ Cuadra","⚠ Diferencia $"&amp;FIXED(X1887-Y1887,0)))</f>
        <v/>
      </c>
      <c r="AA1887" s="72" t="str">
        <f aca="false">IF(AH1887="","",IFERROR(INDEX(C_TIPO,MATCH(C1887&amp;"-P"&amp;MAX(1,COUNTIFS(C_ID,C1887,C_DEFINE,"Sí",C_INICIO,"&lt;="&amp;EOMONTH(B1887,0))),C_CLAVE,0))&amp;"","Sin dato"))</f>
        <v/>
      </c>
      <c r="AB1887" s="71" t="str">
        <f aca="false">IF(AH1887="","",ROUND(MIN(K1887,TOPE_AFP_UF*AJ1887)*AK1887,0))</f>
        <v/>
      </c>
      <c r="AC1887" s="71" t="str">
        <f aca="false">IF(AH1887="","",ROUND(MIN(K1887,TOPE_AFC_UF*AJ1887)*IF(AA1887="Indefinido",AFC_EMP_INDEF,AFC_EMP_PF),0))</f>
        <v/>
      </c>
      <c r="AD1887" s="71" t="str">
        <f aca="false">IF(AH1887="","",ROUND(MIN(K1887,TOPE_AFP_UF*AJ1887)*(MUTUAL_BASICA+MUTUAL_ADIC+SANNA),0))</f>
        <v/>
      </c>
      <c r="AE1887" s="71" t="str">
        <f aca="false">IF(AH1887="","",P1887-N(N1887)+AB1887+AC1887+AD1887)</f>
        <v/>
      </c>
      <c r="AF1887" s="65"/>
      <c r="AG1887" s="64"/>
      <c r="AH1887" s="72" t="str">
        <f aca="false">IF(OR(B1887="",C1887=""),"",C1887&amp;"|"&amp;(YEAR(B1887)*100+MONTH(B1887)))</f>
        <v/>
      </c>
      <c r="AI1887" s="70" t="str">
        <f aca="false">IF(AH1887="","",IF(COUNTIF(L_CLAVE,AH1887)&gt;1,"⚠ Duplicado","OK"))</f>
        <v/>
      </c>
      <c r="AJ1887" s="86" t="str">
        <f aca="false">IF(AH1887="","",IF(SUMPRODUCT(MAX((IND_PER&lt;=B1887)*(IND_UF&lt;&gt;"")*IND_PER))=0,UF_HOY,INDEX(IND_UF,MATCH(SUMPRODUCT(MAX((IND_PER&lt;=B1887)*(IND_UF&lt;&gt;"")*IND_PER)),IND_PER,0))))</f>
        <v/>
      </c>
      <c r="AK1887" s="87" t="str">
        <f aca="false">IF(AH1887="","",IF(COUNTIF(TASA_DESDE,"&lt;="&amp;B1887)=0,INDEX(TASA_EMP,1),INDEX(TASA_EMP,COUNTIF(TASA_DESDE,"&lt;="&amp;B1887))))</f>
        <v/>
      </c>
    </row>
    <row r="1888" customFormat="false" ht="15" hidden="false" customHeight="false" outlineLevel="0" collapsed="false">
      <c r="B1888" s="78"/>
      <c r="C1888" s="64"/>
      <c r="D1888" s="72" t="str">
        <f aca="false">IF(C1888="","",IFERROR(INDEX(T_NOMBRE,MATCH(C1888,T_ID,0)),"⚠ ID no existe"))</f>
        <v/>
      </c>
      <c r="E1888" s="69"/>
      <c r="F1888" s="67"/>
      <c r="G1888" s="67"/>
      <c r="H1888" s="67"/>
      <c r="I1888" s="67"/>
      <c r="J1888" s="67"/>
      <c r="K1888" s="85" t="str">
        <f aca="false">IF(AH1888="","",N(F1888)+N(G1888)+N(H1888)-N(I1888)+N(J1888))</f>
        <v/>
      </c>
      <c r="L1888" s="67"/>
      <c r="M1888" s="67"/>
      <c r="N1888" s="67"/>
      <c r="O1888" s="67"/>
      <c r="P1888" s="85" t="str">
        <f aca="false">IF(AH1888="","",K1888+N(L1888)+N(M1888)+N(N1888)+N(O1888))</f>
        <v/>
      </c>
      <c r="Q1888" s="67"/>
      <c r="R1888" s="67"/>
      <c r="S1888" s="67"/>
      <c r="T1888" s="67"/>
      <c r="U1888" s="67"/>
      <c r="V1888" s="67"/>
      <c r="W1888" s="85" t="str">
        <f aca="false">IF(AH1888="","",N(Q1888)+N(R1888)+N(S1888)+N(T1888)+N(U1888)+N(V1888))</f>
        <v/>
      </c>
      <c r="X1888" s="85" t="str">
        <f aca="false">IF(AH1888="","",P1888-W1888)</f>
        <v/>
      </c>
      <c r="Y1888" s="67"/>
      <c r="Z1888" s="70" t="str">
        <f aca="false">IF(OR(AH1888="",Y1888=""),"",IF(ABS(X1888-Y1888)&lt;=1,"✓ Cuadra","⚠ Diferencia $"&amp;FIXED(X1888-Y1888,0)))</f>
        <v/>
      </c>
      <c r="AA1888" s="72" t="str">
        <f aca="false">IF(AH1888="","",IFERROR(INDEX(C_TIPO,MATCH(C1888&amp;"-P"&amp;MAX(1,COUNTIFS(C_ID,C1888,C_DEFINE,"Sí",C_INICIO,"&lt;="&amp;EOMONTH(B1888,0))),C_CLAVE,0))&amp;"","Sin dato"))</f>
        <v/>
      </c>
      <c r="AB1888" s="71" t="str">
        <f aca="false">IF(AH1888="","",ROUND(MIN(K1888,TOPE_AFP_UF*AJ1888)*AK1888,0))</f>
        <v/>
      </c>
      <c r="AC1888" s="71" t="str">
        <f aca="false">IF(AH1888="","",ROUND(MIN(K1888,TOPE_AFC_UF*AJ1888)*IF(AA1888="Indefinido",AFC_EMP_INDEF,AFC_EMP_PF),0))</f>
        <v/>
      </c>
      <c r="AD1888" s="71" t="str">
        <f aca="false">IF(AH1888="","",ROUND(MIN(K1888,TOPE_AFP_UF*AJ1888)*(MUTUAL_BASICA+MUTUAL_ADIC+SANNA),0))</f>
        <v/>
      </c>
      <c r="AE1888" s="71" t="str">
        <f aca="false">IF(AH1888="","",P1888-N(N1888)+AB1888+AC1888+AD1888)</f>
        <v/>
      </c>
      <c r="AF1888" s="65"/>
      <c r="AG1888" s="64"/>
      <c r="AH1888" s="72" t="str">
        <f aca="false">IF(OR(B1888="",C1888=""),"",C1888&amp;"|"&amp;(YEAR(B1888)*100+MONTH(B1888)))</f>
        <v/>
      </c>
      <c r="AI1888" s="70" t="str">
        <f aca="false">IF(AH1888="","",IF(COUNTIF(L_CLAVE,AH1888)&gt;1,"⚠ Duplicado","OK"))</f>
        <v/>
      </c>
      <c r="AJ1888" s="86" t="str">
        <f aca="false">IF(AH1888="","",IF(SUMPRODUCT(MAX((IND_PER&lt;=B1888)*(IND_UF&lt;&gt;"")*IND_PER))=0,UF_HOY,INDEX(IND_UF,MATCH(SUMPRODUCT(MAX((IND_PER&lt;=B1888)*(IND_UF&lt;&gt;"")*IND_PER)),IND_PER,0))))</f>
        <v/>
      </c>
      <c r="AK1888" s="87" t="str">
        <f aca="false">IF(AH1888="","",IF(COUNTIF(TASA_DESDE,"&lt;="&amp;B1888)=0,INDEX(TASA_EMP,1),INDEX(TASA_EMP,COUNTIF(TASA_DESDE,"&lt;="&amp;B1888))))</f>
        <v/>
      </c>
    </row>
    <row r="1889" customFormat="false" ht="15" hidden="false" customHeight="false" outlineLevel="0" collapsed="false">
      <c r="B1889" s="78"/>
      <c r="C1889" s="64"/>
      <c r="D1889" s="72" t="str">
        <f aca="false">IF(C1889="","",IFERROR(INDEX(T_NOMBRE,MATCH(C1889,T_ID,0)),"⚠ ID no existe"))</f>
        <v/>
      </c>
      <c r="E1889" s="69"/>
      <c r="F1889" s="67"/>
      <c r="G1889" s="67"/>
      <c r="H1889" s="67"/>
      <c r="I1889" s="67"/>
      <c r="J1889" s="67"/>
      <c r="K1889" s="85" t="str">
        <f aca="false">IF(AH1889="","",N(F1889)+N(G1889)+N(H1889)-N(I1889)+N(J1889))</f>
        <v/>
      </c>
      <c r="L1889" s="67"/>
      <c r="M1889" s="67"/>
      <c r="N1889" s="67"/>
      <c r="O1889" s="67"/>
      <c r="P1889" s="85" t="str">
        <f aca="false">IF(AH1889="","",K1889+N(L1889)+N(M1889)+N(N1889)+N(O1889))</f>
        <v/>
      </c>
      <c r="Q1889" s="67"/>
      <c r="R1889" s="67"/>
      <c r="S1889" s="67"/>
      <c r="T1889" s="67"/>
      <c r="U1889" s="67"/>
      <c r="V1889" s="67"/>
      <c r="W1889" s="85" t="str">
        <f aca="false">IF(AH1889="","",N(Q1889)+N(R1889)+N(S1889)+N(T1889)+N(U1889)+N(V1889))</f>
        <v/>
      </c>
      <c r="X1889" s="85" t="str">
        <f aca="false">IF(AH1889="","",P1889-W1889)</f>
        <v/>
      </c>
      <c r="Y1889" s="67"/>
      <c r="Z1889" s="70" t="str">
        <f aca="false">IF(OR(AH1889="",Y1889=""),"",IF(ABS(X1889-Y1889)&lt;=1,"✓ Cuadra","⚠ Diferencia $"&amp;FIXED(X1889-Y1889,0)))</f>
        <v/>
      </c>
      <c r="AA1889" s="72" t="str">
        <f aca="false">IF(AH1889="","",IFERROR(INDEX(C_TIPO,MATCH(C1889&amp;"-P"&amp;MAX(1,COUNTIFS(C_ID,C1889,C_DEFINE,"Sí",C_INICIO,"&lt;="&amp;EOMONTH(B1889,0))),C_CLAVE,0))&amp;"","Sin dato"))</f>
        <v/>
      </c>
      <c r="AB1889" s="71" t="str">
        <f aca="false">IF(AH1889="","",ROUND(MIN(K1889,TOPE_AFP_UF*AJ1889)*AK1889,0))</f>
        <v/>
      </c>
      <c r="AC1889" s="71" t="str">
        <f aca="false">IF(AH1889="","",ROUND(MIN(K1889,TOPE_AFC_UF*AJ1889)*IF(AA1889="Indefinido",AFC_EMP_INDEF,AFC_EMP_PF),0))</f>
        <v/>
      </c>
      <c r="AD1889" s="71" t="str">
        <f aca="false">IF(AH1889="","",ROUND(MIN(K1889,TOPE_AFP_UF*AJ1889)*(MUTUAL_BASICA+MUTUAL_ADIC+SANNA),0))</f>
        <v/>
      </c>
      <c r="AE1889" s="71" t="str">
        <f aca="false">IF(AH1889="","",P1889-N(N1889)+AB1889+AC1889+AD1889)</f>
        <v/>
      </c>
      <c r="AF1889" s="65"/>
      <c r="AG1889" s="64"/>
      <c r="AH1889" s="72" t="str">
        <f aca="false">IF(OR(B1889="",C1889=""),"",C1889&amp;"|"&amp;(YEAR(B1889)*100+MONTH(B1889)))</f>
        <v/>
      </c>
      <c r="AI1889" s="70" t="str">
        <f aca="false">IF(AH1889="","",IF(COUNTIF(L_CLAVE,AH1889)&gt;1,"⚠ Duplicado","OK"))</f>
        <v/>
      </c>
      <c r="AJ1889" s="86" t="str">
        <f aca="false">IF(AH1889="","",IF(SUMPRODUCT(MAX((IND_PER&lt;=B1889)*(IND_UF&lt;&gt;"")*IND_PER))=0,UF_HOY,INDEX(IND_UF,MATCH(SUMPRODUCT(MAX((IND_PER&lt;=B1889)*(IND_UF&lt;&gt;"")*IND_PER)),IND_PER,0))))</f>
        <v/>
      </c>
      <c r="AK1889" s="87" t="str">
        <f aca="false">IF(AH1889="","",IF(COUNTIF(TASA_DESDE,"&lt;="&amp;B1889)=0,INDEX(TASA_EMP,1),INDEX(TASA_EMP,COUNTIF(TASA_DESDE,"&lt;="&amp;B1889))))</f>
        <v/>
      </c>
    </row>
    <row r="1890" customFormat="false" ht="15" hidden="false" customHeight="false" outlineLevel="0" collapsed="false">
      <c r="B1890" s="78"/>
      <c r="C1890" s="64"/>
      <c r="D1890" s="72" t="str">
        <f aca="false">IF(C1890="","",IFERROR(INDEX(T_NOMBRE,MATCH(C1890,T_ID,0)),"⚠ ID no existe"))</f>
        <v/>
      </c>
      <c r="E1890" s="69"/>
      <c r="F1890" s="67"/>
      <c r="G1890" s="67"/>
      <c r="H1890" s="67"/>
      <c r="I1890" s="67"/>
      <c r="J1890" s="67"/>
      <c r="K1890" s="85" t="str">
        <f aca="false">IF(AH1890="","",N(F1890)+N(G1890)+N(H1890)-N(I1890)+N(J1890))</f>
        <v/>
      </c>
      <c r="L1890" s="67"/>
      <c r="M1890" s="67"/>
      <c r="N1890" s="67"/>
      <c r="O1890" s="67"/>
      <c r="P1890" s="85" t="str">
        <f aca="false">IF(AH1890="","",K1890+N(L1890)+N(M1890)+N(N1890)+N(O1890))</f>
        <v/>
      </c>
      <c r="Q1890" s="67"/>
      <c r="R1890" s="67"/>
      <c r="S1890" s="67"/>
      <c r="T1890" s="67"/>
      <c r="U1890" s="67"/>
      <c r="V1890" s="67"/>
      <c r="W1890" s="85" t="str">
        <f aca="false">IF(AH1890="","",N(Q1890)+N(R1890)+N(S1890)+N(T1890)+N(U1890)+N(V1890))</f>
        <v/>
      </c>
      <c r="X1890" s="85" t="str">
        <f aca="false">IF(AH1890="","",P1890-W1890)</f>
        <v/>
      </c>
      <c r="Y1890" s="67"/>
      <c r="Z1890" s="70" t="str">
        <f aca="false">IF(OR(AH1890="",Y1890=""),"",IF(ABS(X1890-Y1890)&lt;=1,"✓ Cuadra","⚠ Diferencia $"&amp;FIXED(X1890-Y1890,0)))</f>
        <v/>
      </c>
      <c r="AA1890" s="72" t="str">
        <f aca="false">IF(AH1890="","",IFERROR(INDEX(C_TIPO,MATCH(C1890&amp;"-P"&amp;MAX(1,COUNTIFS(C_ID,C1890,C_DEFINE,"Sí",C_INICIO,"&lt;="&amp;EOMONTH(B1890,0))),C_CLAVE,0))&amp;"","Sin dato"))</f>
        <v/>
      </c>
      <c r="AB1890" s="71" t="str">
        <f aca="false">IF(AH1890="","",ROUND(MIN(K1890,TOPE_AFP_UF*AJ1890)*AK1890,0))</f>
        <v/>
      </c>
      <c r="AC1890" s="71" t="str">
        <f aca="false">IF(AH1890="","",ROUND(MIN(K1890,TOPE_AFC_UF*AJ1890)*IF(AA1890="Indefinido",AFC_EMP_INDEF,AFC_EMP_PF),0))</f>
        <v/>
      </c>
      <c r="AD1890" s="71" t="str">
        <f aca="false">IF(AH1890="","",ROUND(MIN(K1890,TOPE_AFP_UF*AJ1890)*(MUTUAL_BASICA+MUTUAL_ADIC+SANNA),0))</f>
        <v/>
      </c>
      <c r="AE1890" s="71" t="str">
        <f aca="false">IF(AH1890="","",P1890-N(N1890)+AB1890+AC1890+AD1890)</f>
        <v/>
      </c>
      <c r="AF1890" s="65"/>
      <c r="AG1890" s="64"/>
      <c r="AH1890" s="72" t="str">
        <f aca="false">IF(OR(B1890="",C1890=""),"",C1890&amp;"|"&amp;(YEAR(B1890)*100+MONTH(B1890)))</f>
        <v/>
      </c>
      <c r="AI1890" s="70" t="str">
        <f aca="false">IF(AH1890="","",IF(COUNTIF(L_CLAVE,AH1890)&gt;1,"⚠ Duplicado","OK"))</f>
        <v/>
      </c>
      <c r="AJ1890" s="86" t="str">
        <f aca="false">IF(AH1890="","",IF(SUMPRODUCT(MAX((IND_PER&lt;=B1890)*(IND_UF&lt;&gt;"")*IND_PER))=0,UF_HOY,INDEX(IND_UF,MATCH(SUMPRODUCT(MAX((IND_PER&lt;=B1890)*(IND_UF&lt;&gt;"")*IND_PER)),IND_PER,0))))</f>
        <v/>
      </c>
      <c r="AK1890" s="87" t="str">
        <f aca="false">IF(AH1890="","",IF(COUNTIF(TASA_DESDE,"&lt;="&amp;B1890)=0,INDEX(TASA_EMP,1),INDEX(TASA_EMP,COUNTIF(TASA_DESDE,"&lt;="&amp;B1890))))</f>
        <v/>
      </c>
    </row>
    <row r="1891" customFormat="false" ht="15" hidden="false" customHeight="false" outlineLevel="0" collapsed="false">
      <c r="B1891" s="78"/>
      <c r="C1891" s="64"/>
      <c r="D1891" s="72" t="str">
        <f aca="false">IF(C1891="","",IFERROR(INDEX(T_NOMBRE,MATCH(C1891,T_ID,0)),"⚠ ID no existe"))</f>
        <v/>
      </c>
      <c r="E1891" s="69"/>
      <c r="F1891" s="67"/>
      <c r="G1891" s="67"/>
      <c r="H1891" s="67"/>
      <c r="I1891" s="67"/>
      <c r="J1891" s="67"/>
      <c r="K1891" s="85" t="str">
        <f aca="false">IF(AH1891="","",N(F1891)+N(G1891)+N(H1891)-N(I1891)+N(J1891))</f>
        <v/>
      </c>
      <c r="L1891" s="67"/>
      <c r="M1891" s="67"/>
      <c r="N1891" s="67"/>
      <c r="O1891" s="67"/>
      <c r="P1891" s="85" t="str">
        <f aca="false">IF(AH1891="","",K1891+N(L1891)+N(M1891)+N(N1891)+N(O1891))</f>
        <v/>
      </c>
      <c r="Q1891" s="67"/>
      <c r="R1891" s="67"/>
      <c r="S1891" s="67"/>
      <c r="T1891" s="67"/>
      <c r="U1891" s="67"/>
      <c r="V1891" s="67"/>
      <c r="W1891" s="85" t="str">
        <f aca="false">IF(AH1891="","",N(Q1891)+N(R1891)+N(S1891)+N(T1891)+N(U1891)+N(V1891))</f>
        <v/>
      </c>
      <c r="X1891" s="85" t="str">
        <f aca="false">IF(AH1891="","",P1891-W1891)</f>
        <v/>
      </c>
      <c r="Y1891" s="67"/>
      <c r="Z1891" s="70" t="str">
        <f aca="false">IF(OR(AH1891="",Y1891=""),"",IF(ABS(X1891-Y1891)&lt;=1,"✓ Cuadra","⚠ Diferencia $"&amp;FIXED(X1891-Y1891,0)))</f>
        <v/>
      </c>
      <c r="AA1891" s="72" t="str">
        <f aca="false">IF(AH1891="","",IFERROR(INDEX(C_TIPO,MATCH(C1891&amp;"-P"&amp;MAX(1,COUNTIFS(C_ID,C1891,C_DEFINE,"Sí",C_INICIO,"&lt;="&amp;EOMONTH(B1891,0))),C_CLAVE,0))&amp;"","Sin dato"))</f>
        <v/>
      </c>
      <c r="AB1891" s="71" t="str">
        <f aca="false">IF(AH1891="","",ROUND(MIN(K1891,TOPE_AFP_UF*AJ1891)*AK1891,0))</f>
        <v/>
      </c>
      <c r="AC1891" s="71" t="str">
        <f aca="false">IF(AH1891="","",ROUND(MIN(K1891,TOPE_AFC_UF*AJ1891)*IF(AA1891="Indefinido",AFC_EMP_INDEF,AFC_EMP_PF),0))</f>
        <v/>
      </c>
      <c r="AD1891" s="71" t="str">
        <f aca="false">IF(AH1891="","",ROUND(MIN(K1891,TOPE_AFP_UF*AJ1891)*(MUTUAL_BASICA+MUTUAL_ADIC+SANNA),0))</f>
        <v/>
      </c>
      <c r="AE1891" s="71" t="str">
        <f aca="false">IF(AH1891="","",P1891-N(N1891)+AB1891+AC1891+AD1891)</f>
        <v/>
      </c>
      <c r="AF1891" s="65"/>
      <c r="AG1891" s="64"/>
      <c r="AH1891" s="72" t="str">
        <f aca="false">IF(OR(B1891="",C1891=""),"",C1891&amp;"|"&amp;(YEAR(B1891)*100+MONTH(B1891)))</f>
        <v/>
      </c>
      <c r="AI1891" s="70" t="str">
        <f aca="false">IF(AH1891="","",IF(COUNTIF(L_CLAVE,AH1891)&gt;1,"⚠ Duplicado","OK"))</f>
        <v/>
      </c>
      <c r="AJ1891" s="86" t="str">
        <f aca="false">IF(AH1891="","",IF(SUMPRODUCT(MAX((IND_PER&lt;=B1891)*(IND_UF&lt;&gt;"")*IND_PER))=0,UF_HOY,INDEX(IND_UF,MATCH(SUMPRODUCT(MAX((IND_PER&lt;=B1891)*(IND_UF&lt;&gt;"")*IND_PER)),IND_PER,0))))</f>
        <v/>
      </c>
      <c r="AK1891" s="87" t="str">
        <f aca="false">IF(AH1891="","",IF(COUNTIF(TASA_DESDE,"&lt;="&amp;B1891)=0,INDEX(TASA_EMP,1),INDEX(TASA_EMP,COUNTIF(TASA_DESDE,"&lt;="&amp;B1891))))</f>
        <v/>
      </c>
    </row>
    <row r="1892" customFormat="false" ht="15" hidden="false" customHeight="false" outlineLevel="0" collapsed="false">
      <c r="B1892" s="78"/>
      <c r="C1892" s="64"/>
      <c r="D1892" s="72" t="str">
        <f aca="false">IF(C1892="","",IFERROR(INDEX(T_NOMBRE,MATCH(C1892,T_ID,0)),"⚠ ID no existe"))</f>
        <v/>
      </c>
      <c r="E1892" s="69"/>
      <c r="F1892" s="67"/>
      <c r="G1892" s="67"/>
      <c r="H1892" s="67"/>
      <c r="I1892" s="67"/>
      <c r="J1892" s="67"/>
      <c r="K1892" s="85" t="str">
        <f aca="false">IF(AH1892="","",N(F1892)+N(G1892)+N(H1892)-N(I1892)+N(J1892))</f>
        <v/>
      </c>
      <c r="L1892" s="67"/>
      <c r="M1892" s="67"/>
      <c r="N1892" s="67"/>
      <c r="O1892" s="67"/>
      <c r="P1892" s="85" t="str">
        <f aca="false">IF(AH1892="","",K1892+N(L1892)+N(M1892)+N(N1892)+N(O1892))</f>
        <v/>
      </c>
      <c r="Q1892" s="67"/>
      <c r="R1892" s="67"/>
      <c r="S1892" s="67"/>
      <c r="T1892" s="67"/>
      <c r="U1892" s="67"/>
      <c r="V1892" s="67"/>
      <c r="W1892" s="85" t="str">
        <f aca="false">IF(AH1892="","",N(Q1892)+N(R1892)+N(S1892)+N(T1892)+N(U1892)+N(V1892))</f>
        <v/>
      </c>
      <c r="X1892" s="85" t="str">
        <f aca="false">IF(AH1892="","",P1892-W1892)</f>
        <v/>
      </c>
      <c r="Y1892" s="67"/>
      <c r="Z1892" s="70" t="str">
        <f aca="false">IF(OR(AH1892="",Y1892=""),"",IF(ABS(X1892-Y1892)&lt;=1,"✓ Cuadra","⚠ Diferencia $"&amp;FIXED(X1892-Y1892,0)))</f>
        <v/>
      </c>
      <c r="AA1892" s="72" t="str">
        <f aca="false">IF(AH1892="","",IFERROR(INDEX(C_TIPO,MATCH(C1892&amp;"-P"&amp;MAX(1,COUNTIFS(C_ID,C1892,C_DEFINE,"Sí",C_INICIO,"&lt;="&amp;EOMONTH(B1892,0))),C_CLAVE,0))&amp;"","Sin dato"))</f>
        <v/>
      </c>
      <c r="AB1892" s="71" t="str">
        <f aca="false">IF(AH1892="","",ROUND(MIN(K1892,TOPE_AFP_UF*AJ1892)*AK1892,0))</f>
        <v/>
      </c>
      <c r="AC1892" s="71" t="str">
        <f aca="false">IF(AH1892="","",ROUND(MIN(K1892,TOPE_AFC_UF*AJ1892)*IF(AA1892="Indefinido",AFC_EMP_INDEF,AFC_EMP_PF),0))</f>
        <v/>
      </c>
      <c r="AD1892" s="71" t="str">
        <f aca="false">IF(AH1892="","",ROUND(MIN(K1892,TOPE_AFP_UF*AJ1892)*(MUTUAL_BASICA+MUTUAL_ADIC+SANNA),0))</f>
        <v/>
      </c>
      <c r="AE1892" s="71" t="str">
        <f aca="false">IF(AH1892="","",P1892-N(N1892)+AB1892+AC1892+AD1892)</f>
        <v/>
      </c>
      <c r="AF1892" s="65"/>
      <c r="AG1892" s="64"/>
      <c r="AH1892" s="72" t="str">
        <f aca="false">IF(OR(B1892="",C1892=""),"",C1892&amp;"|"&amp;(YEAR(B1892)*100+MONTH(B1892)))</f>
        <v/>
      </c>
      <c r="AI1892" s="70" t="str">
        <f aca="false">IF(AH1892="","",IF(COUNTIF(L_CLAVE,AH1892)&gt;1,"⚠ Duplicado","OK"))</f>
        <v/>
      </c>
      <c r="AJ1892" s="86" t="str">
        <f aca="false">IF(AH1892="","",IF(SUMPRODUCT(MAX((IND_PER&lt;=B1892)*(IND_UF&lt;&gt;"")*IND_PER))=0,UF_HOY,INDEX(IND_UF,MATCH(SUMPRODUCT(MAX((IND_PER&lt;=B1892)*(IND_UF&lt;&gt;"")*IND_PER)),IND_PER,0))))</f>
        <v/>
      </c>
      <c r="AK1892" s="87" t="str">
        <f aca="false">IF(AH1892="","",IF(COUNTIF(TASA_DESDE,"&lt;="&amp;B1892)=0,INDEX(TASA_EMP,1),INDEX(TASA_EMP,COUNTIF(TASA_DESDE,"&lt;="&amp;B1892))))</f>
        <v/>
      </c>
    </row>
    <row r="1893" customFormat="false" ht="15" hidden="false" customHeight="false" outlineLevel="0" collapsed="false">
      <c r="B1893" s="78"/>
      <c r="C1893" s="64"/>
      <c r="D1893" s="72" t="str">
        <f aca="false">IF(C1893="","",IFERROR(INDEX(T_NOMBRE,MATCH(C1893,T_ID,0)),"⚠ ID no existe"))</f>
        <v/>
      </c>
      <c r="E1893" s="69"/>
      <c r="F1893" s="67"/>
      <c r="G1893" s="67"/>
      <c r="H1893" s="67"/>
      <c r="I1893" s="67"/>
      <c r="J1893" s="67"/>
      <c r="K1893" s="85" t="str">
        <f aca="false">IF(AH1893="","",N(F1893)+N(G1893)+N(H1893)-N(I1893)+N(J1893))</f>
        <v/>
      </c>
      <c r="L1893" s="67"/>
      <c r="M1893" s="67"/>
      <c r="N1893" s="67"/>
      <c r="O1893" s="67"/>
      <c r="P1893" s="85" t="str">
        <f aca="false">IF(AH1893="","",K1893+N(L1893)+N(M1893)+N(N1893)+N(O1893))</f>
        <v/>
      </c>
      <c r="Q1893" s="67"/>
      <c r="R1893" s="67"/>
      <c r="S1893" s="67"/>
      <c r="T1893" s="67"/>
      <c r="U1893" s="67"/>
      <c r="V1893" s="67"/>
      <c r="W1893" s="85" t="str">
        <f aca="false">IF(AH1893="","",N(Q1893)+N(R1893)+N(S1893)+N(T1893)+N(U1893)+N(V1893))</f>
        <v/>
      </c>
      <c r="X1893" s="85" t="str">
        <f aca="false">IF(AH1893="","",P1893-W1893)</f>
        <v/>
      </c>
      <c r="Y1893" s="67"/>
      <c r="Z1893" s="70" t="str">
        <f aca="false">IF(OR(AH1893="",Y1893=""),"",IF(ABS(X1893-Y1893)&lt;=1,"✓ Cuadra","⚠ Diferencia $"&amp;FIXED(X1893-Y1893,0)))</f>
        <v/>
      </c>
      <c r="AA1893" s="72" t="str">
        <f aca="false">IF(AH1893="","",IFERROR(INDEX(C_TIPO,MATCH(C1893&amp;"-P"&amp;MAX(1,COUNTIFS(C_ID,C1893,C_DEFINE,"Sí",C_INICIO,"&lt;="&amp;EOMONTH(B1893,0))),C_CLAVE,0))&amp;"","Sin dato"))</f>
        <v/>
      </c>
      <c r="AB1893" s="71" t="str">
        <f aca="false">IF(AH1893="","",ROUND(MIN(K1893,TOPE_AFP_UF*AJ1893)*AK1893,0))</f>
        <v/>
      </c>
      <c r="AC1893" s="71" t="str">
        <f aca="false">IF(AH1893="","",ROUND(MIN(K1893,TOPE_AFC_UF*AJ1893)*IF(AA1893="Indefinido",AFC_EMP_INDEF,AFC_EMP_PF),0))</f>
        <v/>
      </c>
      <c r="AD1893" s="71" t="str">
        <f aca="false">IF(AH1893="","",ROUND(MIN(K1893,TOPE_AFP_UF*AJ1893)*(MUTUAL_BASICA+MUTUAL_ADIC+SANNA),0))</f>
        <v/>
      </c>
      <c r="AE1893" s="71" t="str">
        <f aca="false">IF(AH1893="","",P1893-N(N1893)+AB1893+AC1893+AD1893)</f>
        <v/>
      </c>
      <c r="AF1893" s="65"/>
      <c r="AG1893" s="64"/>
      <c r="AH1893" s="72" t="str">
        <f aca="false">IF(OR(B1893="",C1893=""),"",C1893&amp;"|"&amp;(YEAR(B1893)*100+MONTH(B1893)))</f>
        <v/>
      </c>
      <c r="AI1893" s="70" t="str">
        <f aca="false">IF(AH1893="","",IF(COUNTIF(L_CLAVE,AH1893)&gt;1,"⚠ Duplicado","OK"))</f>
        <v/>
      </c>
      <c r="AJ1893" s="86" t="str">
        <f aca="false">IF(AH1893="","",IF(SUMPRODUCT(MAX((IND_PER&lt;=B1893)*(IND_UF&lt;&gt;"")*IND_PER))=0,UF_HOY,INDEX(IND_UF,MATCH(SUMPRODUCT(MAX((IND_PER&lt;=B1893)*(IND_UF&lt;&gt;"")*IND_PER)),IND_PER,0))))</f>
        <v/>
      </c>
      <c r="AK1893" s="87" t="str">
        <f aca="false">IF(AH1893="","",IF(COUNTIF(TASA_DESDE,"&lt;="&amp;B1893)=0,INDEX(TASA_EMP,1),INDEX(TASA_EMP,COUNTIF(TASA_DESDE,"&lt;="&amp;B1893))))</f>
        <v/>
      </c>
    </row>
    <row r="1894" customFormat="false" ht="15" hidden="false" customHeight="false" outlineLevel="0" collapsed="false">
      <c r="B1894" s="78"/>
      <c r="C1894" s="64"/>
      <c r="D1894" s="72" t="str">
        <f aca="false">IF(C1894="","",IFERROR(INDEX(T_NOMBRE,MATCH(C1894,T_ID,0)),"⚠ ID no existe"))</f>
        <v/>
      </c>
      <c r="E1894" s="69"/>
      <c r="F1894" s="67"/>
      <c r="G1894" s="67"/>
      <c r="H1894" s="67"/>
      <c r="I1894" s="67"/>
      <c r="J1894" s="67"/>
      <c r="K1894" s="85" t="str">
        <f aca="false">IF(AH1894="","",N(F1894)+N(G1894)+N(H1894)-N(I1894)+N(J1894))</f>
        <v/>
      </c>
      <c r="L1894" s="67"/>
      <c r="M1894" s="67"/>
      <c r="N1894" s="67"/>
      <c r="O1894" s="67"/>
      <c r="P1894" s="85" t="str">
        <f aca="false">IF(AH1894="","",K1894+N(L1894)+N(M1894)+N(N1894)+N(O1894))</f>
        <v/>
      </c>
      <c r="Q1894" s="67"/>
      <c r="R1894" s="67"/>
      <c r="S1894" s="67"/>
      <c r="T1894" s="67"/>
      <c r="U1894" s="67"/>
      <c r="V1894" s="67"/>
      <c r="W1894" s="85" t="str">
        <f aca="false">IF(AH1894="","",N(Q1894)+N(R1894)+N(S1894)+N(T1894)+N(U1894)+N(V1894))</f>
        <v/>
      </c>
      <c r="X1894" s="85" t="str">
        <f aca="false">IF(AH1894="","",P1894-W1894)</f>
        <v/>
      </c>
      <c r="Y1894" s="67"/>
      <c r="Z1894" s="70" t="str">
        <f aca="false">IF(OR(AH1894="",Y1894=""),"",IF(ABS(X1894-Y1894)&lt;=1,"✓ Cuadra","⚠ Diferencia $"&amp;FIXED(X1894-Y1894,0)))</f>
        <v/>
      </c>
      <c r="AA1894" s="72" t="str">
        <f aca="false">IF(AH1894="","",IFERROR(INDEX(C_TIPO,MATCH(C1894&amp;"-P"&amp;MAX(1,COUNTIFS(C_ID,C1894,C_DEFINE,"Sí",C_INICIO,"&lt;="&amp;EOMONTH(B1894,0))),C_CLAVE,0))&amp;"","Sin dato"))</f>
        <v/>
      </c>
      <c r="AB1894" s="71" t="str">
        <f aca="false">IF(AH1894="","",ROUND(MIN(K1894,TOPE_AFP_UF*AJ1894)*AK1894,0))</f>
        <v/>
      </c>
      <c r="AC1894" s="71" t="str">
        <f aca="false">IF(AH1894="","",ROUND(MIN(K1894,TOPE_AFC_UF*AJ1894)*IF(AA1894="Indefinido",AFC_EMP_INDEF,AFC_EMP_PF),0))</f>
        <v/>
      </c>
      <c r="AD1894" s="71" t="str">
        <f aca="false">IF(AH1894="","",ROUND(MIN(K1894,TOPE_AFP_UF*AJ1894)*(MUTUAL_BASICA+MUTUAL_ADIC+SANNA),0))</f>
        <v/>
      </c>
      <c r="AE1894" s="71" t="str">
        <f aca="false">IF(AH1894="","",P1894-N(N1894)+AB1894+AC1894+AD1894)</f>
        <v/>
      </c>
      <c r="AF1894" s="65"/>
      <c r="AG1894" s="64"/>
      <c r="AH1894" s="72" t="str">
        <f aca="false">IF(OR(B1894="",C1894=""),"",C1894&amp;"|"&amp;(YEAR(B1894)*100+MONTH(B1894)))</f>
        <v/>
      </c>
      <c r="AI1894" s="70" t="str">
        <f aca="false">IF(AH1894="","",IF(COUNTIF(L_CLAVE,AH1894)&gt;1,"⚠ Duplicado","OK"))</f>
        <v/>
      </c>
      <c r="AJ1894" s="86" t="str">
        <f aca="false">IF(AH1894="","",IF(SUMPRODUCT(MAX((IND_PER&lt;=B1894)*(IND_UF&lt;&gt;"")*IND_PER))=0,UF_HOY,INDEX(IND_UF,MATCH(SUMPRODUCT(MAX((IND_PER&lt;=B1894)*(IND_UF&lt;&gt;"")*IND_PER)),IND_PER,0))))</f>
        <v/>
      </c>
      <c r="AK1894" s="87" t="str">
        <f aca="false">IF(AH1894="","",IF(COUNTIF(TASA_DESDE,"&lt;="&amp;B1894)=0,INDEX(TASA_EMP,1),INDEX(TASA_EMP,COUNTIF(TASA_DESDE,"&lt;="&amp;B1894))))</f>
        <v/>
      </c>
    </row>
    <row r="1895" customFormat="false" ht="15" hidden="false" customHeight="false" outlineLevel="0" collapsed="false">
      <c r="B1895" s="78"/>
      <c r="C1895" s="64"/>
      <c r="D1895" s="72" t="str">
        <f aca="false">IF(C1895="","",IFERROR(INDEX(T_NOMBRE,MATCH(C1895,T_ID,0)),"⚠ ID no existe"))</f>
        <v/>
      </c>
      <c r="E1895" s="69"/>
      <c r="F1895" s="67"/>
      <c r="G1895" s="67"/>
      <c r="H1895" s="67"/>
      <c r="I1895" s="67"/>
      <c r="J1895" s="67"/>
      <c r="K1895" s="85" t="str">
        <f aca="false">IF(AH1895="","",N(F1895)+N(G1895)+N(H1895)-N(I1895)+N(J1895))</f>
        <v/>
      </c>
      <c r="L1895" s="67"/>
      <c r="M1895" s="67"/>
      <c r="N1895" s="67"/>
      <c r="O1895" s="67"/>
      <c r="P1895" s="85" t="str">
        <f aca="false">IF(AH1895="","",K1895+N(L1895)+N(M1895)+N(N1895)+N(O1895))</f>
        <v/>
      </c>
      <c r="Q1895" s="67"/>
      <c r="R1895" s="67"/>
      <c r="S1895" s="67"/>
      <c r="T1895" s="67"/>
      <c r="U1895" s="67"/>
      <c r="V1895" s="67"/>
      <c r="W1895" s="85" t="str">
        <f aca="false">IF(AH1895="","",N(Q1895)+N(R1895)+N(S1895)+N(T1895)+N(U1895)+N(V1895))</f>
        <v/>
      </c>
      <c r="X1895" s="85" t="str">
        <f aca="false">IF(AH1895="","",P1895-W1895)</f>
        <v/>
      </c>
      <c r="Y1895" s="67"/>
      <c r="Z1895" s="70" t="str">
        <f aca="false">IF(OR(AH1895="",Y1895=""),"",IF(ABS(X1895-Y1895)&lt;=1,"✓ Cuadra","⚠ Diferencia $"&amp;FIXED(X1895-Y1895,0)))</f>
        <v/>
      </c>
      <c r="AA1895" s="72" t="str">
        <f aca="false">IF(AH1895="","",IFERROR(INDEX(C_TIPO,MATCH(C1895&amp;"-P"&amp;MAX(1,COUNTIFS(C_ID,C1895,C_DEFINE,"Sí",C_INICIO,"&lt;="&amp;EOMONTH(B1895,0))),C_CLAVE,0))&amp;"","Sin dato"))</f>
        <v/>
      </c>
      <c r="AB1895" s="71" t="str">
        <f aca="false">IF(AH1895="","",ROUND(MIN(K1895,TOPE_AFP_UF*AJ1895)*AK1895,0))</f>
        <v/>
      </c>
      <c r="AC1895" s="71" t="str">
        <f aca="false">IF(AH1895="","",ROUND(MIN(K1895,TOPE_AFC_UF*AJ1895)*IF(AA1895="Indefinido",AFC_EMP_INDEF,AFC_EMP_PF),0))</f>
        <v/>
      </c>
      <c r="AD1895" s="71" t="str">
        <f aca="false">IF(AH1895="","",ROUND(MIN(K1895,TOPE_AFP_UF*AJ1895)*(MUTUAL_BASICA+MUTUAL_ADIC+SANNA),0))</f>
        <v/>
      </c>
      <c r="AE1895" s="71" t="str">
        <f aca="false">IF(AH1895="","",P1895-N(N1895)+AB1895+AC1895+AD1895)</f>
        <v/>
      </c>
      <c r="AF1895" s="65"/>
      <c r="AG1895" s="64"/>
      <c r="AH1895" s="72" t="str">
        <f aca="false">IF(OR(B1895="",C1895=""),"",C1895&amp;"|"&amp;(YEAR(B1895)*100+MONTH(B1895)))</f>
        <v/>
      </c>
      <c r="AI1895" s="70" t="str">
        <f aca="false">IF(AH1895="","",IF(COUNTIF(L_CLAVE,AH1895)&gt;1,"⚠ Duplicado","OK"))</f>
        <v/>
      </c>
      <c r="AJ1895" s="86" t="str">
        <f aca="false">IF(AH1895="","",IF(SUMPRODUCT(MAX((IND_PER&lt;=B1895)*(IND_UF&lt;&gt;"")*IND_PER))=0,UF_HOY,INDEX(IND_UF,MATCH(SUMPRODUCT(MAX((IND_PER&lt;=B1895)*(IND_UF&lt;&gt;"")*IND_PER)),IND_PER,0))))</f>
        <v/>
      </c>
      <c r="AK1895" s="87" t="str">
        <f aca="false">IF(AH1895="","",IF(COUNTIF(TASA_DESDE,"&lt;="&amp;B1895)=0,INDEX(TASA_EMP,1),INDEX(TASA_EMP,COUNTIF(TASA_DESDE,"&lt;="&amp;B1895))))</f>
        <v/>
      </c>
    </row>
    <row r="1896" customFormat="false" ht="15" hidden="false" customHeight="false" outlineLevel="0" collapsed="false">
      <c r="B1896" s="78"/>
      <c r="C1896" s="64"/>
      <c r="D1896" s="72" t="str">
        <f aca="false">IF(C1896="","",IFERROR(INDEX(T_NOMBRE,MATCH(C1896,T_ID,0)),"⚠ ID no existe"))</f>
        <v/>
      </c>
      <c r="E1896" s="69"/>
      <c r="F1896" s="67"/>
      <c r="G1896" s="67"/>
      <c r="H1896" s="67"/>
      <c r="I1896" s="67"/>
      <c r="J1896" s="67"/>
      <c r="K1896" s="85" t="str">
        <f aca="false">IF(AH1896="","",N(F1896)+N(G1896)+N(H1896)-N(I1896)+N(J1896))</f>
        <v/>
      </c>
      <c r="L1896" s="67"/>
      <c r="M1896" s="67"/>
      <c r="N1896" s="67"/>
      <c r="O1896" s="67"/>
      <c r="P1896" s="85" t="str">
        <f aca="false">IF(AH1896="","",K1896+N(L1896)+N(M1896)+N(N1896)+N(O1896))</f>
        <v/>
      </c>
      <c r="Q1896" s="67"/>
      <c r="R1896" s="67"/>
      <c r="S1896" s="67"/>
      <c r="T1896" s="67"/>
      <c r="U1896" s="67"/>
      <c r="V1896" s="67"/>
      <c r="W1896" s="85" t="str">
        <f aca="false">IF(AH1896="","",N(Q1896)+N(R1896)+N(S1896)+N(T1896)+N(U1896)+N(V1896))</f>
        <v/>
      </c>
      <c r="X1896" s="85" t="str">
        <f aca="false">IF(AH1896="","",P1896-W1896)</f>
        <v/>
      </c>
      <c r="Y1896" s="67"/>
      <c r="Z1896" s="70" t="str">
        <f aca="false">IF(OR(AH1896="",Y1896=""),"",IF(ABS(X1896-Y1896)&lt;=1,"✓ Cuadra","⚠ Diferencia $"&amp;FIXED(X1896-Y1896,0)))</f>
        <v/>
      </c>
      <c r="AA1896" s="72" t="str">
        <f aca="false">IF(AH1896="","",IFERROR(INDEX(C_TIPO,MATCH(C1896&amp;"-P"&amp;MAX(1,COUNTIFS(C_ID,C1896,C_DEFINE,"Sí",C_INICIO,"&lt;="&amp;EOMONTH(B1896,0))),C_CLAVE,0))&amp;"","Sin dato"))</f>
        <v/>
      </c>
      <c r="AB1896" s="71" t="str">
        <f aca="false">IF(AH1896="","",ROUND(MIN(K1896,TOPE_AFP_UF*AJ1896)*AK1896,0))</f>
        <v/>
      </c>
      <c r="AC1896" s="71" t="str">
        <f aca="false">IF(AH1896="","",ROUND(MIN(K1896,TOPE_AFC_UF*AJ1896)*IF(AA1896="Indefinido",AFC_EMP_INDEF,AFC_EMP_PF),0))</f>
        <v/>
      </c>
      <c r="AD1896" s="71" t="str">
        <f aca="false">IF(AH1896="","",ROUND(MIN(K1896,TOPE_AFP_UF*AJ1896)*(MUTUAL_BASICA+MUTUAL_ADIC+SANNA),0))</f>
        <v/>
      </c>
      <c r="AE1896" s="71" t="str">
        <f aca="false">IF(AH1896="","",P1896-N(N1896)+AB1896+AC1896+AD1896)</f>
        <v/>
      </c>
      <c r="AF1896" s="65"/>
      <c r="AG1896" s="64"/>
      <c r="AH1896" s="72" t="str">
        <f aca="false">IF(OR(B1896="",C1896=""),"",C1896&amp;"|"&amp;(YEAR(B1896)*100+MONTH(B1896)))</f>
        <v/>
      </c>
      <c r="AI1896" s="70" t="str">
        <f aca="false">IF(AH1896="","",IF(COUNTIF(L_CLAVE,AH1896)&gt;1,"⚠ Duplicado","OK"))</f>
        <v/>
      </c>
      <c r="AJ1896" s="86" t="str">
        <f aca="false">IF(AH1896="","",IF(SUMPRODUCT(MAX((IND_PER&lt;=B1896)*(IND_UF&lt;&gt;"")*IND_PER))=0,UF_HOY,INDEX(IND_UF,MATCH(SUMPRODUCT(MAX((IND_PER&lt;=B1896)*(IND_UF&lt;&gt;"")*IND_PER)),IND_PER,0))))</f>
        <v/>
      </c>
      <c r="AK1896" s="87" t="str">
        <f aca="false">IF(AH1896="","",IF(COUNTIF(TASA_DESDE,"&lt;="&amp;B1896)=0,INDEX(TASA_EMP,1),INDEX(TASA_EMP,COUNTIF(TASA_DESDE,"&lt;="&amp;B1896))))</f>
        <v/>
      </c>
    </row>
    <row r="1897" customFormat="false" ht="15" hidden="false" customHeight="false" outlineLevel="0" collapsed="false">
      <c r="B1897" s="78"/>
      <c r="C1897" s="64"/>
      <c r="D1897" s="72" t="str">
        <f aca="false">IF(C1897="","",IFERROR(INDEX(T_NOMBRE,MATCH(C1897,T_ID,0)),"⚠ ID no existe"))</f>
        <v/>
      </c>
      <c r="E1897" s="69"/>
      <c r="F1897" s="67"/>
      <c r="G1897" s="67"/>
      <c r="H1897" s="67"/>
      <c r="I1897" s="67"/>
      <c r="J1897" s="67"/>
      <c r="K1897" s="85" t="str">
        <f aca="false">IF(AH1897="","",N(F1897)+N(G1897)+N(H1897)-N(I1897)+N(J1897))</f>
        <v/>
      </c>
      <c r="L1897" s="67"/>
      <c r="M1897" s="67"/>
      <c r="N1897" s="67"/>
      <c r="O1897" s="67"/>
      <c r="P1897" s="85" t="str">
        <f aca="false">IF(AH1897="","",K1897+N(L1897)+N(M1897)+N(N1897)+N(O1897))</f>
        <v/>
      </c>
      <c r="Q1897" s="67"/>
      <c r="R1897" s="67"/>
      <c r="S1897" s="67"/>
      <c r="T1897" s="67"/>
      <c r="U1897" s="67"/>
      <c r="V1897" s="67"/>
      <c r="W1897" s="85" t="str">
        <f aca="false">IF(AH1897="","",N(Q1897)+N(R1897)+N(S1897)+N(T1897)+N(U1897)+N(V1897))</f>
        <v/>
      </c>
      <c r="X1897" s="85" t="str">
        <f aca="false">IF(AH1897="","",P1897-W1897)</f>
        <v/>
      </c>
      <c r="Y1897" s="67"/>
      <c r="Z1897" s="70" t="str">
        <f aca="false">IF(OR(AH1897="",Y1897=""),"",IF(ABS(X1897-Y1897)&lt;=1,"✓ Cuadra","⚠ Diferencia $"&amp;FIXED(X1897-Y1897,0)))</f>
        <v/>
      </c>
      <c r="AA1897" s="72" t="str">
        <f aca="false">IF(AH1897="","",IFERROR(INDEX(C_TIPO,MATCH(C1897&amp;"-P"&amp;MAX(1,COUNTIFS(C_ID,C1897,C_DEFINE,"Sí",C_INICIO,"&lt;="&amp;EOMONTH(B1897,0))),C_CLAVE,0))&amp;"","Sin dato"))</f>
        <v/>
      </c>
      <c r="AB1897" s="71" t="str">
        <f aca="false">IF(AH1897="","",ROUND(MIN(K1897,TOPE_AFP_UF*AJ1897)*AK1897,0))</f>
        <v/>
      </c>
      <c r="AC1897" s="71" t="str">
        <f aca="false">IF(AH1897="","",ROUND(MIN(K1897,TOPE_AFC_UF*AJ1897)*IF(AA1897="Indefinido",AFC_EMP_INDEF,AFC_EMP_PF),0))</f>
        <v/>
      </c>
      <c r="AD1897" s="71" t="str">
        <f aca="false">IF(AH1897="","",ROUND(MIN(K1897,TOPE_AFP_UF*AJ1897)*(MUTUAL_BASICA+MUTUAL_ADIC+SANNA),0))</f>
        <v/>
      </c>
      <c r="AE1897" s="71" t="str">
        <f aca="false">IF(AH1897="","",P1897-N(N1897)+AB1897+AC1897+AD1897)</f>
        <v/>
      </c>
      <c r="AF1897" s="65"/>
      <c r="AG1897" s="64"/>
      <c r="AH1897" s="72" t="str">
        <f aca="false">IF(OR(B1897="",C1897=""),"",C1897&amp;"|"&amp;(YEAR(B1897)*100+MONTH(B1897)))</f>
        <v/>
      </c>
      <c r="AI1897" s="70" t="str">
        <f aca="false">IF(AH1897="","",IF(COUNTIF(L_CLAVE,AH1897)&gt;1,"⚠ Duplicado","OK"))</f>
        <v/>
      </c>
      <c r="AJ1897" s="86" t="str">
        <f aca="false">IF(AH1897="","",IF(SUMPRODUCT(MAX((IND_PER&lt;=B1897)*(IND_UF&lt;&gt;"")*IND_PER))=0,UF_HOY,INDEX(IND_UF,MATCH(SUMPRODUCT(MAX((IND_PER&lt;=B1897)*(IND_UF&lt;&gt;"")*IND_PER)),IND_PER,0))))</f>
        <v/>
      </c>
      <c r="AK1897" s="87" t="str">
        <f aca="false">IF(AH1897="","",IF(COUNTIF(TASA_DESDE,"&lt;="&amp;B1897)=0,INDEX(TASA_EMP,1),INDEX(TASA_EMP,COUNTIF(TASA_DESDE,"&lt;="&amp;B1897))))</f>
        <v/>
      </c>
    </row>
    <row r="1898" customFormat="false" ht="15" hidden="false" customHeight="false" outlineLevel="0" collapsed="false">
      <c r="B1898" s="78"/>
      <c r="C1898" s="64"/>
      <c r="D1898" s="72" t="str">
        <f aca="false">IF(C1898="","",IFERROR(INDEX(T_NOMBRE,MATCH(C1898,T_ID,0)),"⚠ ID no existe"))</f>
        <v/>
      </c>
      <c r="E1898" s="69"/>
      <c r="F1898" s="67"/>
      <c r="G1898" s="67"/>
      <c r="H1898" s="67"/>
      <c r="I1898" s="67"/>
      <c r="J1898" s="67"/>
      <c r="K1898" s="85" t="str">
        <f aca="false">IF(AH1898="","",N(F1898)+N(G1898)+N(H1898)-N(I1898)+N(J1898))</f>
        <v/>
      </c>
      <c r="L1898" s="67"/>
      <c r="M1898" s="67"/>
      <c r="N1898" s="67"/>
      <c r="O1898" s="67"/>
      <c r="P1898" s="85" t="str">
        <f aca="false">IF(AH1898="","",K1898+N(L1898)+N(M1898)+N(N1898)+N(O1898))</f>
        <v/>
      </c>
      <c r="Q1898" s="67"/>
      <c r="R1898" s="67"/>
      <c r="S1898" s="67"/>
      <c r="T1898" s="67"/>
      <c r="U1898" s="67"/>
      <c r="V1898" s="67"/>
      <c r="W1898" s="85" t="str">
        <f aca="false">IF(AH1898="","",N(Q1898)+N(R1898)+N(S1898)+N(T1898)+N(U1898)+N(V1898))</f>
        <v/>
      </c>
      <c r="X1898" s="85" t="str">
        <f aca="false">IF(AH1898="","",P1898-W1898)</f>
        <v/>
      </c>
      <c r="Y1898" s="67"/>
      <c r="Z1898" s="70" t="str">
        <f aca="false">IF(OR(AH1898="",Y1898=""),"",IF(ABS(X1898-Y1898)&lt;=1,"✓ Cuadra","⚠ Diferencia $"&amp;FIXED(X1898-Y1898,0)))</f>
        <v/>
      </c>
      <c r="AA1898" s="72" t="str">
        <f aca="false">IF(AH1898="","",IFERROR(INDEX(C_TIPO,MATCH(C1898&amp;"-P"&amp;MAX(1,COUNTIFS(C_ID,C1898,C_DEFINE,"Sí",C_INICIO,"&lt;="&amp;EOMONTH(B1898,0))),C_CLAVE,0))&amp;"","Sin dato"))</f>
        <v/>
      </c>
      <c r="AB1898" s="71" t="str">
        <f aca="false">IF(AH1898="","",ROUND(MIN(K1898,TOPE_AFP_UF*AJ1898)*AK1898,0))</f>
        <v/>
      </c>
      <c r="AC1898" s="71" t="str">
        <f aca="false">IF(AH1898="","",ROUND(MIN(K1898,TOPE_AFC_UF*AJ1898)*IF(AA1898="Indefinido",AFC_EMP_INDEF,AFC_EMP_PF),0))</f>
        <v/>
      </c>
      <c r="AD1898" s="71" t="str">
        <f aca="false">IF(AH1898="","",ROUND(MIN(K1898,TOPE_AFP_UF*AJ1898)*(MUTUAL_BASICA+MUTUAL_ADIC+SANNA),0))</f>
        <v/>
      </c>
      <c r="AE1898" s="71" t="str">
        <f aca="false">IF(AH1898="","",P1898-N(N1898)+AB1898+AC1898+AD1898)</f>
        <v/>
      </c>
      <c r="AF1898" s="65"/>
      <c r="AG1898" s="64"/>
      <c r="AH1898" s="72" t="str">
        <f aca="false">IF(OR(B1898="",C1898=""),"",C1898&amp;"|"&amp;(YEAR(B1898)*100+MONTH(B1898)))</f>
        <v/>
      </c>
      <c r="AI1898" s="70" t="str">
        <f aca="false">IF(AH1898="","",IF(COUNTIF(L_CLAVE,AH1898)&gt;1,"⚠ Duplicado","OK"))</f>
        <v/>
      </c>
      <c r="AJ1898" s="86" t="str">
        <f aca="false">IF(AH1898="","",IF(SUMPRODUCT(MAX((IND_PER&lt;=B1898)*(IND_UF&lt;&gt;"")*IND_PER))=0,UF_HOY,INDEX(IND_UF,MATCH(SUMPRODUCT(MAX((IND_PER&lt;=B1898)*(IND_UF&lt;&gt;"")*IND_PER)),IND_PER,0))))</f>
        <v/>
      </c>
      <c r="AK1898" s="87" t="str">
        <f aca="false">IF(AH1898="","",IF(COUNTIF(TASA_DESDE,"&lt;="&amp;B1898)=0,INDEX(TASA_EMP,1),INDEX(TASA_EMP,COUNTIF(TASA_DESDE,"&lt;="&amp;B1898))))</f>
        <v/>
      </c>
    </row>
    <row r="1899" customFormat="false" ht="15" hidden="false" customHeight="false" outlineLevel="0" collapsed="false">
      <c r="B1899" s="78"/>
      <c r="C1899" s="64"/>
      <c r="D1899" s="72" t="str">
        <f aca="false">IF(C1899="","",IFERROR(INDEX(T_NOMBRE,MATCH(C1899,T_ID,0)),"⚠ ID no existe"))</f>
        <v/>
      </c>
      <c r="E1899" s="69"/>
      <c r="F1899" s="67"/>
      <c r="G1899" s="67"/>
      <c r="H1899" s="67"/>
      <c r="I1899" s="67"/>
      <c r="J1899" s="67"/>
      <c r="K1899" s="85" t="str">
        <f aca="false">IF(AH1899="","",N(F1899)+N(G1899)+N(H1899)-N(I1899)+N(J1899))</f>
        <v/>
      </c>
      <c r="L1899" s="67"/>
      <c r="M1899" s="67"/>
      <c r="N1899" s="67"/>
      <c r="O1899" s="67"/>
      <c r="P1899" s="85" t="str">
        <f aca="false">IF(AH1899="","",K1899+N(L1899)+N(M1899)+N(N1899)+N(O1899))</f>
        <v/>
      </c>
      <c r="Q1899" s="67"/>
      <c r="R1899" s="67"/>
      <c r="S1899" s="67"/>
      <c r="T1899" s="67"/>
      <c r="U1899" s="67"/>
      <c r="V1899" s="67"/>
      <c r="W1899" s="85" t="str">
        <f aca="false">IF(AH1899="","",N(Q1899)+N(R1899)+N(S1899)+N(T1899)+N(U1899)+N(V1899))</f>
        <v/>
      </c>
      <c r="X1899" s="85" t="str">
        <f aca="false">IF(AH1899="","",P1899-W1899)</f>
        <v/>
      </c>
      <c r="Y1899" s="67"/>
      <c r="Z1899" s="70" t="str">
        <f aca="false">IF(OR(AH1899="",Y1899=""),"",IF(ABS(X1899-Y1899)&lt;=1,"✓ Cuadra","⚠ Diferencia $"&amp;FIXED(X1899-Y1899,0)))</f>
        <v/>
      </c>
      <c r="AA1899" s="72" t="str">
        <f aca="false">IF(AH1899="","",IFERROR(INDEX(C_TIPO,MATCH(C1899&amp;"-P"&amp;MAX(1,COUNTIFS(C_ID,C1899,C_DEFINE,"Sí",C_INICIO,"&lt;="&amp;EOMONTH(B1899,0))),C_CLAVE,0))&amp;"","Sin dato"))</f>
        <v/>
      </c>
      <c r="AB1899" s="71" t="str">
        <f aca="false">IF(AH1899="","",ROUND(MIN(K1899,TOPE_AFP_UF*AJ1899)*AK1899,0))</f>
        <v/>
      </c>
      <c r="AC1899" s="71" t="str">
        <f aca="false">IF(AH1899="","",ROUND(MIN(K1899,TOPE_AFC_UF*AJ1899)*IF(AA1899="Indefinido",AFC_EMP_INDEF,AFC_EMP_PF),0))</f>
        <v/>
      </c>
      <c r="AD1899" s="71" t="str">
        <f aca="false">IF(AH1899="","",ROUND(MIN(K1899,TOPE_AFP_UF*AJ1899)*(MUTUAL_BASICA+MUTUAL_ADIC+SANNA),0))</f>
        <v/>
      </c>
      <c r="AE1899" s="71" t="str">
        <f aca="false">IF(AH1899="","",P1899-N(N1899)+AB1899+AC1899+AD1899)</f>
        <v/>
      </c>
      <c r="AF1899" s="65"/>
      <c r="AG1899" s="64"/>
      <c r="AH1899" s="72" t="str">
        <f aca="false">IF(OR(B1899="",C1899=""),"",C1899&amp;"|"&amp;(YEAR(B1899)*100+MONTH(B1899)))</f>
        <v/>
      </c>
      <c r="AI1899" s="70" t="str">
        <f aca="false">IF(AH1899="","",IF(COUNTIF(L_CLAVE,AH1899)&gt;1,"⚠ Duplicado","OK"))</f>
        <v/>
      </c>
      <c r="AJ1899" s="86" t="str">
        <f aca="false">IF(AH1899="","",IF(SUMPRODUCT(MAX((IND_PER&lt;=B1899)*(IND_UF&lt;&gt;"")*IND_PER))=0,UF_HOY,INDEX(IND_UF,MATCH(SUMPRODUCT(MAX((IND_PER&lt;=B1899)*(IND_UF&lt;&gt;"")*IND_PER)),IND_PER,0))))</f>
        <v/>
      </c>
      <c r="AK1899" s="87" t="str">
        <f aca="false">IF(AH1899="","",IF(COUNTIF(TASA_DESDE,"&lt;="&amp;B1899)=0,INDEX(TASA_EMP,1),INDEX(TASA_EMP,COUNTIF(TASA_DESDE,"&lt;="&amp;B1899))))</f>
        <v/>
      </c>
    </row>
    <row r="1900" customFormat="false" ht="15" hidden="false" customHeight="false" outlineLevel="0" collapsed="false">
      <c r="B1900" s="78"/>
      <c r="C1900" s="64"/>
      <c r="D1900" s="72" t="str">
        <f aca="false">IF(C1900="","",IFERROR(INDEX(T_NOMBRE,MATCH(C1900,T_ID,0)),"⚠ ID no existe"))</f>
        <v/>
      </c>
      <c r="E1900" s="69"/>
      <c r="F1900" s="67"/>
      <c r="G1900" s="67"/>
      <c r="H1900" s="67"/>
      <c r="I1900" s="67"/>
      <c r="J1900" s="67"/>
      <c r="K1900" s="85" t="str">
        <f aca="false">IF(AH1900="","",N(F1900)+N(G1900)+N(H1900)-N(I1900)+N(J1900))</f>
        <v/>
      </c>
      <c r="L1900" s="67"/>
      <c r="M1900" s="67"/>
      <c r="N1900" s="67"/>
      <c r="O1900" s="67"/>
      <c r="P1900" s="85" t="str">
        <f aca="false">IF(AH1900="","",K1900+N(L1900)+N(M1900)+N(N1900)+N(O1900))</f>
        <v/>
      </c>
      <c r="Q1900" s="67"/>
      <c r="R1900" s="67"/>
      <c r="S1900" s="67"/>
      <c r="T1900" s="67"/>
      <c r="U1900" s="67"/>
      <c r="V1900" s="67"/>
      <c r="W1900" s="85" t="str">
        <f aca="false">IF(AH1900="","",N(Q1900)+N(R1900)+N(S1900)+N(T1900)+N(U1900)+N(V1900))</f>
        <v/>
      </c>
      <c r="X1900" s="85" t="str">
        <f aca="false">IF(AH1900="","",P1900-W1900)</f>
        <v/>
      </c>
      <c r="Y1900" s="67"/>
      <c r="Z1900" s="70" t="str">
        <f aca="false">IF(OR(AH1900="",Y1900=""),"",IF(ABS(X1900-Y1900)&lt;=1,"✓ Cuadra","⚠ Diferencia $"&amp;FIXED(X1900-Y1900,0)))</f>
        <v/>
      </c>
      <c r="AA1900" s="72" t="str">
        <f aca="false">IF(AH1900="","",IFERROR(INDEX(C_TIPO,MATCH(C1900&amp;"-P"&amp;MAX(1,COUNTIFS(C_ID,C1900,C_DEFINE,"Sí",C_INICIO,"&lt;="&amp;EOMONTH(B1900,0))),C_CLAVE,0))&amp;"","Sin dato"))</f>
        <v/>
      </c>
      <c r="AB1900" s="71" t="str">
        <f aca="false">IF(AH1900="","",ROUND(MIN(K1900,TOPE_AFP_UF*AJ1900)*AK1900,0))</f>
        <v/>
      </c>
      <c r="AC1900" s="71" t="str">
        <f aca="false">IF(AH1900="","",ROUND(MIN(K1900,TOPE_AFC_UF*AJ1900)*IF(AA1900="Indefinido",AFC_EMP_INDEF,AFC_EMP_PF),0))</f>
        <v/>
      </c>
      <c r="AD1900" s="71" t="str">
        <f aca="false">IF(AH1900="","",ROUND(MIN(K1900,TOPE_AFP_UF*AJ1900)*(MUTUAL_BASICA+MUTUAL_ADIC+SANNA),0))</f>
        <v/>
      </c>
      <c r="AE1900" s="71" t="str">
        <f aca="false">IF(AH1900="","",P1900-N(N1900)+AB1900+AC1900+AD1900)</f>
        <v/>
      </c>
      <c r="AF1900" s="65"/>
      <c r="AG1900" s="64"/>
      <c r="AH1900" s="72" t="str">
        <f aca="false">IF(OR(B1900="",C1900=""),"",C1900&amp;"|"&amp;(YEAR(B1900)*100+MONTH(B1900)))</f>
        <v/>
      </c>
      <c r="AI1900" s="70" t="str">
        <f aca="false">IF(AH1900="","",IF(COUNTIF(L_CLAVE,AH1900)&gt;1,"⚠ Duplicado","OK"))</f>
        <v/>
      </c>
      <c r="AJ1900" s="86" t="str">
        <f aca="false">IF(AH1900="","",IF(SUMPRODUCT(MAX((IND_PER&lt;=B1900)*(IND_UF&lt;&gt;"")*IND_PER))=0,UF_HOY,INDEX(IND_UF,MATCH(SUMPRODUCT(MAX((IND_PER&lt;=B1900)*(IND_UF&lt;&gt;"")*IND_PER)),IND_PER,0))))</f>
        <v/>
      </c>
      <c r="AK1900" s="87" t="str">
        <f aca="false">IF(AH1900="","",IF(COUNTIF(TASA_DESDE,"&lt;="&amp;B1900)=0,INDEX(TASA_EMP,1),INDEX(TASA_EMP,COUNTIF(TASA_DESDE,"&lt;="&amp;B1900))))</f>
        <v/>
      </c>
    </row>
    <row r="1901" customFormat="false" ht="15" hidden="false" customHeight="false" outlineLevel="0" collapsed="false">
      <c r="B1901" s="78"/>
      <c r="C1901" s="64"/>
      <c r="D1901" s="72" t="str">
        <f aca="false">IF(C1901="","",IFERROR(INDEX(T_NOMBRE,MATCH(C1901,T_ID,0)),"⚠ ID no existe"))</f>
        <v/>
      </c>
      <c r="E1901" s="69"/>
      <c r="F1901" s="67"/>
      <c r="G1901" s="67"/>
      <c r="H1901" s="67"/>
      <c r="I1901" s="67"/>
      <c r="J1901" s="67"/>
      <c r="K1901" s="85" t="str">
        <f aca="false">IF(AH1901="","",N(F1901)+N(G1901)+N(H1901)-N(I1901)+N(J1901))</f>
        <v/>
      </c>
      <c r="L1901" s="67"/>
      <c r="M1901" s="67"/>
      <c r="N1901" s="67"/>
      <c r="O1901" s="67"/>
      <c r="P1901" s="85" t="str">
        <f aca="false">IF(AH1901="","",K1901+N(L1901)+N(M1901)+N(N1901)+N(O1901))</f>
        <v/>
      </c>
      <c r="Q1901" s="67"/>
      <c r="R1901" s="67"/>
      <c r="S1901" s="67"/>
      <c r="T1901" s="67"/>
      <c r="U1901" s="67"/>
      <c r="V1901" s="67"/>
      <c r="W1901" s="85" t="str">
        <f aca="false">IF(AH1901="","",N(Q1901)+N(R1901)+N(S1901)+N(T1901)+N(U1901)+N(V1901))</f>
        <v/>
      </c>
      <c r="X1901" s="85" t="str">
        <f aca="false">IF(AH1901="","",P1901-W1901)</f>
        <v/>
      </c>
      <c r="Y1901" s="67"/>
      <c r="Z1901" s="70" t="str">
        <f aca="false">IF(OR(AH1901="",Y1901=""),"",IF(ABS(X1901-Y1901)&lt;=1,"✓ Cuadra","⚠ Diferencia $"&amp;FIXED(X1901-Y1901,0)))</f>
        <v/>
      </c>
      <c r="AA1901" s="72" t="str">
        <f aca="false">IF(AH1901="","",IFERROR(INDEX(C_TIPO,MATCH(C1901&amp;"-P"&amp;MAX(1,COUNTIFS(C_ID,C1901,C_DEFINE,"Sí",C_INICIO,"&lt;="&amp;EOMONTH(B1901,0))),C_CLAVE,0))&amp;"","Sin dato"))</f>
        <v/>
      </c>
      <c r="AB1901" s="71" t="str">
        <f aca="false">IF(AH1901="","",ROUND(MIN(K1901,TOPE_AFP_UF*AJ1901)*AK1901,0))</f>
        <v/>
      </c>
      <c r="AC1901" s="71" t="str">
        <f aca="false">IF(AH1901="","",ROUND(MIN(K1901,TOPE_AFC_UF*AJ1901)*IF(AA1901="Indefinido",AFC_EMP_INDEF,AFC_EMP_PF),0))</f>
        <v/>
      </c>
      <c r="AD1901" s="71" t="str">
        <f aca="false">IF(AH1901="","",ROUND(MIN(K1901,TOPE_AFP_UF*AJ1901)*(MUTUAL_BASICA+MUTUAL_ADIC+SANNA),0))</f>
        <v/>
      </c>
      <c r="AE1901" s="71" t="str">
        <f aca="false">IF(AH1901="","",P1901-N(N1901)+AB1901+AC1901+AD1901)</f>
        <v/>
      </c>
      <c r="AF1901" s="65"/>
      <c r="AG1901" s="64"/>
      <c r="AH1901" s="72" t="str">
        <f aca="false">IF(OR(B1901="",C1901=""),"",C1901&amp;"|"&amp;(YEAR(B1901)*100+MONTH(B1901)))</f>
        <v/>
      </c>
      <c r="AI1901" s="70" t="str">
        <f aca="false">IF(AH1901="","",IF(COUNTIF(L_CLAVE,AH1901)&gt;1,"⚠ Duplicado","OK"))</f>
        <v/>
      </c>
      <c r="AJ1901" s="86" t="str">
        <f aca="false">IF(AH1901="","",IF(SUMPRODUCT(MAX((IND_PER&lt;=B1901)*(IND_UF&lt;&gt;"")*IND_PER))=0,UF_HOY,INDEX(IND_UF,MATCH(SUMPRODUCT(MAX((IND_PER&lt;=B1901)*(IND_UF&lt;&gt;"")*IND_PER)),IND_PER,0))))</f>
        <v/>
      </c>
      <c r="AK1901" s="87" t="str">
        <f aca="false">IF(AH1901="","",IF(COUNTIF(TASA_DESDE,"&lt;="&amp;B1901)=0,INDEX(TASA_EMP,1),INDEX(TASA_EMP,COUNTIF(TASA_DESDE,"&lt;="&amp;B1901))))</f>
        <v/>
      </c>
    </row>
    <row r="1902" customFormat="false" ht="15" hidden="false" customHeight="false" outlineLevel="0" collapsed="false">
      <c r="B1902" s="78"/>
      <c r="C1902" s="64"/>
      <c r="D1902" s="72" t="str">
        <f aca="false">IF(C1902="","",IFERROR(INDEX(T_NOMBRE,MATCH(C1902,T_ID,0)),"⚠ ID no existe"))</f>
        <v/>
      </c>
      <c r="E1902" s="69"/>
      <c r="F1902" s="67"/>
      <c r="G1902" s="67"/>
      <c r="H1902" s="67"/>
      <c r="I1902" s="67"/>
      <c r="J1902" s="67"/>
      <c r="K1902" s="85" t="str">
        <f aca="false">IF(AH1902="","",N(F1902)+N(G1902)+N(H1902)-N(I1902)+N(J1902))</f>
        <v/>
      </c>
      <c r="L1902" s="67"/>
      <c r="M1902" s="67"/>
      <c r="N1902" s="67"/>
      <c r="O1902" s="67"/>
      <c r="P1902" s="85" t="str">
        <f aca="false">IF(AH1902="","",K1902+N(L1902)+N(M1902)+N(N1902)+N(O1902))</f>
        <v/>
      </c>
      <c r="Q1902" s="67"/>
      <c r="R1902" s="67"/>
      <c r="S1902" s="67"/>
      <c r="T1902" s="67"/>
      <c r="U1902" s="67"/>
      <c r="V1902" s="67"/>
      <c r="W1902" s="85" t="str">
        <f aca="false">IF(AH1902="","",N(Q1902)+N(R1902)+N(S1902)+N(T1902)+N(U1902)+N(V1902))</f>
        <v/>
      </c>
      <c r="X1902" s="85" t="str">
        <f aca="false">IF(AH1902="","",P1902-W1902)</f>
        <v/>
      </c>
      <c r="Y1902" s="67"/>
      <c r="Z1902" s="70" t="str">
        <f aca="false">IF(OR(AH1902="",Y1902=""),"",IF(ABS(X1902-Y1902)&lt;=1,"✓ Cuadra","⚠ Diferencia $"&amp;FIXED(X1902-Y1902,0)))</f>
        <v/>
      </c>
      <c r="AA1902" s="72" t="str">
        <f aca="false">IF(AH1902="","",IFERROR(INDEX(C_TIPO,MATCH(C1902&amp;"-P"&amp;MAX(1,COUNTIFS(C_ID,C1902,C_DEFINE,"Sí",C_INICIO,"&lt;="&amp;EOMONTH(B1902,0))),C_CLAVE,0))&amp;"","Sin dato"))</f>
        <v/>
      </c>
      <c r="AB1902" s="71" t="str">
        <f aca="false">IF(AH1902="","",ROUND(MIN(K1902,TOPE_AFP_UF*AJ1902)*AK1902,0))</f>
        <v/>
      </c>
      <c r="AC1902" s="71" t="str">
        <f aca="false">IF(AH1902="","",ROUND(MIN(K1902,TOPE_AFC_UF*AJ1902)*IF(AA1902="Indefinido",AFC_EMP_INDEF,AFC_EMP_PF),0))</f>
        <v/>
      </c>
      <c r="AD1902" s="71" t="str">
        <f aca="false">IF(AH1902="","",ROUND(MIN(K1902,TOPE_AFP_UF*AJ1902)*(MUTUAL_BASICA+MUTUAL_ADIC+SANNA),0))</f>
        <v/>
      </c>
      <c r="AE1902" s="71" t="str">
        <f aca="false">IF(AH1902="","",P1902-N(N1902)+AB1902+AC1902+AD1902)</f>
        <v/>
      </c>
      <c r="AF1902" s="65"/>
      <c r="AG1902" s="64"/>
      <c r="AH1902" s="72" t="str">
        <f aca="false">IF(OR(B1902="",C1902=""),"",C1902&amp;"|"&amp;(YEAR(B1902)*100+MONTH(B1902)))</f>
        <v/>
      </c>
      <c r="AI1902" s="70" t="str">
        <f aca="false">IF(AH1902="","",IF(COUNTIF(L_CLAVE,AH1902)&gt;1,"⚠ Duplicado","OK"))</f>
        <v/>
      </c>
      <c r="AJ1902" s="86" t="str">
        <f aca="false">IF(AH1902="","",IF(SUMPRODUCT(MAX((IND_PER&lt;=B1902)*(IND_UF&lt;&gt;"")*IND_PER))=0,UF_HOY,INDEX(IND_UF,MATCH(SUMPRODUCT(MAX((IND_PER&lt;=B1902)*(IND_UF&lt;&gt;"")*IND_PER)),IND_PER,0))))</f>
        <v/>
      </c>
      <c r="AK1902" s="87" t="str">
        <f aca="false">IF(AH1902="","",IF(COUNTIF(TASA_DESDE,"&lt;="&amp;B1902)=0,INDEX(TASA_EMP,1),INDEX(TASA_EMP,COUNTIF(TASA_DESDE,"&lt;="&amp;B1902))))</f>
        <v/>
      </c>
    </row>
    <row r="1903" customFormat="false" ht="15" hidden="false" customHeight="false" outlineLevel="0" collapsed="false">
      <c r="B1903" s="78"/>
      <c r="C1903" s="64"/>
      <c r="D1903" s="72" t="str">
        <f aca="false">IF(C1903="","",IFERROR(INDEX(T_NOMBRE,MATCH(C1903,T_ID,0)),"⚠ ID no existe"))</f>
        <v/>
      </c>
      <c r="E1903" s="69"/>
      <c r="F1903" s="67"/>
      <c r="G1903" s="67"/>
      <c r="H1903" s="67"/>
      <c r="I1903" s="67"/>
      <c r="J1903" s="67"/>
      <c r="K1903" s="85" t="str">
        <f aca="false">IF(AH1903="","",N(F1903)+N(G1903)+N(H1903)-N(I1903)+N(J1903))</f>
        <v/>
      </c>
      <c r="L1903" s="67"/>
      <c r="M1903" s="67"/>
      <c r="N1903" s="67"/>
      <c r="O1903" s="67"/>
      <c r="P1903" s="85" t="str">
        <f aca="false">IF(AH1903="","",K1903+N(L1903)+N(M1903)+N(N1903)+N(O1903))</f>
        <v/>
      </c>
      <c r="Q1903" s="67"/>
      <c r="R1903" s="67"/>
      <c r="S1903" s="67"/>
      <c r="T1903" s="67"/>
      <c r="U1903" s="67"/>
      <c r="V1903" s="67"/>
      <c r="W1903" s="85" t="str">
        <f aca="false">IF(AH1903="","",N(Q1903)+N(R1903)+N(S1903)+N(T1903)+N(U1903)+N(V1903))</f>
        <v/>
      </c>
      <c r="X1903" s="85" t="str">
        <f aca="false">IF(AH1903="","",P1903-W1903)</f>
        <v/>
      </c>
      <c r="Y1903" s="67"/>
      <c r="Z1903" s="70" t="str">
        <f aca="false">IF(OR(AH1903="",Y1903=""),"",IF(ABS(X1903-Y1903)&lt;=1,"✓ Cuadra","⚠ Diferencia $"&amp;FIXED(X1903-Y1903,0)))</f>
        <v/>
      </c>
      <c r="AA1903" s="72" t="str">
        <f aca="false">IF(AH1903="","",IFERROR(INDEX(C_TIPO,MATCH(C1903&amp;"-P"&amp;MAX(1,COUNTIFS(C_ID,C1903,C_DEFINE,"Sí",C_INICIO,"&lt;="&amp;EOMONTH(B1903,0))),C_CLAVE,0))&amp;"","Sin dato"))</f>
        <v/>
      </c>
      <c r="AB1903" s="71" t="str">
        <f aca="false">IF(AH1903="","",ROUND(MIN(K1903,TOPE_AFP_UF*AJ1903)*AK1903,0))</f>
        <v/>
      </c>
      <c r="AC1903" s="71" t="str">
        <f aca="false">IF(AH1903="","",ROUND(MIN(K1903,TOPE_AFC_UF*AJ1903)*IF(AA1903="Indefinido",AFC_EMP_INDEF,AFC_EMP_PF),0))</f>
        <v/>
      </c>
      <c r="AD1903" s="71" t="str">
        <f aca="false">IF(AH1903="","",ROUND(MIN(K1903,TOPE_AFP_UF*AJ1903)*(MUTUAL_BASICA+MUTUAL_ADIC+SANNA),0))</f>
        <v/>
      </c>
      <c r="AE1903" s="71" t="str">
        <f aca="false">IF(AH1903="","",P1903-N(N1903)+AB1903+AC1903+AD1903)</f>
        <v/>
      </c>
      <c r="AF1903" s="65"/>
      <c r="AG1903" s="64"/>
      <c r="AH1903" s="72" t="str">
        <f aca="false">IF(OR(B1903="",C1903=""),"",C1903&amp;"|"&amp;(YEAR(B1903)*100+MONTH(B1903)))</f>
        <v/>
      </c>
      <c r="AI1903" s="70" t="str">
        <f aca="false">IF(AH1903="","",IF(COUNTIF(L_CLAVE,AH1903)&gt;1,"⚠ Duplicado","OK"))</f>
        <v/>
      </c>
      <c r="AJ1903" s="86" t="str">
        <f aca="false">IF(AH1903="","",IF(SUMPRODUCT(MAX((IND_PER&lt;=B1903)*(IND_UF&lt;&gt;"")*IND_PER))=0,UF_HOY,INDEX(IND_UF,MATCH(SUMPRODUCT(MAX((IND_PER&lt;=B1903)*(IND_UF&lt;&gt;"")*IND_PER)),IND_PER,0))))</f>
        <v/>
      </c>
      <c r="AK1903" s="87" t="str">
        <f aca="false">IF(AH1903="","",IF(COUNTIF(TASA_DESDE,"&lt;="&amp;B1903)=0,INDEX(TASA_EMP,1),INDEX(TASA_EMP,COUNTIF(TASA_DESDE,"&lt;="&amp;B1903))))</f>
        <v/>
      </c>
    </row>
    <row r="1904" customFormat="false" ht="15" hidden="false" customHeight="false" outlineLevel="0" collapsed="false">
      <c r="B1904" s="78"/>
      <c r="C1904" s="64"/>
      <c r="D1904" s="72" t="str">
        <f aca="false">IF(C1904="","",IFERROR(INDEX(T_NOMBRE,MATCH(C1904,T_ID,0)),"⚠ ID no existe"))</f>
        <v/>
      </c>
      <c r="E1904" s="69"/>
      <c r="F1904" s="67"/>
      <c r="G1904" s="67"/>
      <c r="H1904" s="67"/>
      <c r="I1904" s="67"/>
      <c r="J1904" s="67"/>
      <c r="K1904" s="85" t="str">
        <f aca="false">IF(AH1904="","",N(F1904)+N(G1904)+N(H1904)-N(I1904)+N(J1904))</f>
        <v/>
      </c>
      <c r="L1904" s="67"/>
      <c r="M1904" s="67"/>
      <c r="N1904" s="67"/>
      <c r="O1904" s="67"/>
      <c r="P1904" s="85" t="str">
        <f aca="false">IF(AH1904="","",K1904+N(L1904)+N(M1904)+N(N1904)+N(O1904))</f>
        <v/>
      </c>
      <c r="Q1904" s="67"/>
      <c r="R1904" s="67"/>
      <c r="S1904" s="67"/>
      <c r="T1904" s="67"/>
      <c r="U1904" s="67"/>
      <c r="V1904" s="67"/>
      <c r="W1904" s="85" t="str">
        <f aca="false">IF(AH1904="","",N(Q1904)+N(R1904)+N(S1904)+N(T1904)+N(U1904)+N(V1904))</f>
        <v/>
      </c>
      <c r="X1904" s="85" t="str">
        <f aca="false">IF(AH1904="","",P1904-W1904)</f>
        <v/>
      </c>
      <c r="Y1904" s="67"/>
      <c r="Z1904" s="70" t="str">
        <f aca="false">IF(OR(AH1904="",Y1904=""),"",IF(ABS(X1904-Y1904)&lt;=1,"✓ Cuadra","⚠ Diferencia $"&amp;FIXED(X1904-Y1904,0)))</f>
        <v/>
      </c>
      <c r="AA1904" s="72" t="str">
        <f aca="false">IF(AH1904="","",IFERROR(INDEX(C_TIPO,MATCH(C1904&amp;"-P"&amp;MAX(1,COUNTIFS(C_ID,C1904,C_DEFINE,"Sí",C_INICIO,"&lt;="&amp;EOMONTH(B1904,0))),C_CLAVE,0))&amp;"","Sin dato"))</f>
        <v/>
      </c>
      <c r="AB1904" s="71" t="str">
        <f aca="false">IF(AH1904="","",ROUND(MIN(K1904,TOPE_AFP_UF*AJ1904)*AK1904,0))</f>
        <v/>
      </c>
      <c r="AC1904" s="71" t="str">
        <f aca="false">IF(AH1904="","",ROUND(MIN(K1904,TOPE_AFC_UF*AJ1904)*IF(AA1904="Indefinido",AFC_EMP_INDEF,AFC_EMP_PF),0))</f>
        <v/>
      </c>
      <c r="AD1904" s="71" t="str">
        <f aca="false">IF(AH1904="","",ROUND(MIN(K1904,TOPE_AFP_UF*AJ1904)*(MUTUAL_BASICA+MUTUAL_ADIC+SANNA),0))</f>
        <v/>
      </c>
      <c r="AE1904" s="71" t="str">
        <f aca="false">IF(AH1904="","",P1904-N(N1904)+AB1904+AC1904+AD1904)</f>
        <v/>
      </c>
      <c r="AF1904" s="65"/>
      <c r="AG1904" s="64"/>
      <c r="AH1904" s="72" t="str">
        <f aca="false">IF(OR(B1904="",C1904=""),"",C1904&amp;"|"&amp;(YEAR(B1904)*100+MONTH(B1904)))</f>
        <v/>
      </c>
      <c r="AI1904" s="70" t="str">
        <f aca="false">IF(AH1904="","",IF(COUNTIF(L_CLAVE,AH1904)&gt;1,"⚠ Duplicado","OK"))</f>
        <v/>
      </c>
      <c r="AJ1904" s="86" t="str">
        <f aca="false">IF(AH1904="","",IF(SUMPRODUCT(MAX((IND_PER&lt;=B1904)*(IND_UF&lt;&gt;"")*IND_PER))=0,UF_HOY,INDEX(IND_UF,MATCH(SUMPRODUCT(MAX((IND_PER&lt;=B1904)*(IND_UF&lt;&gt;"")*IND_PER)),IND_PER,0))))</f>
        <v/>
      </c>
      <c r="AK1904" s="87" t="str">
        <f aca="false">IF(AH1904="","",IF(COUNTIF(TASA_DESDE,"&lt;="&amp;B1904)=0,INDEX(TASA_EMP,1),INDEX(TASA_EMP,COUNTIF(TASA_DESDE,"&lt;="&amp;B1904))))</f>
        <v/>
      </c>
    </row>
    <row r="1905" customFormat="false" ht="15" hidden="false" customHeight="false" outlineLevel="0" collapsed="false">
      <c r="B1905" s="78"/>
      <c r="C1905" s="64"/>
      <c r="D1905" s="72" t="str">
        <f aca="false">IF(C1905="","",IFERROR(INDEX(T_NOMBRE,MATCH(C1905,T_ID,0)),"⚠ ID no existe"))</f>
        <v/>
      </c>
      <c r="E1905" s="69"/>
      <c r="F1905" s="67"/>
      <c r="G1905" s="67"/>
      <c r="H1905" s="67"/>
      <c r="I1905" s="67"/>
      <c r="J1905" s="67"/>
      <c r="K1905" s="85" t="str">
        <f aca="false">IF(AH1905="","",N(F1905)+N(G1905)+N(H1905)-N(I1905)+N(J1905))</f>
        <v/>
      </c>
      <c r="L1905" s="67"/>
      <c r="M1905" s="67"/>
      <c r="N1905" s="67"/>
      <c r="O1905" s="67"/>
      <c r="P1905" s="85" t="str">
        <f aca="false">IF(AH1905="","",K1905+N(L1905)+N(M1905)+N(N1905)+N(O1905))</f>
        <v/>
      </c>
      <c r="Q1905" s="67"/>
      <c r="R1905" s="67"/>
      <c r="S1905" s="67"/>
      <c r="T1905" s="67"/>
      <c r="U1905" s="67"/>
      <c r="V1905" s="67"/>
      <c r="W1905" s="85" t="str">
        <f aca="false">IF(AH1905="","",N(Q1905)+N(R1905)+N(S1905)+N(T1905)+N(U1905)+N(V1905))</f>
        <v/>
      </c>
      <c r="X1905" s="85" t="str">
        <f aca="false">IF(AH1905="","",P1905-W1905)</f>
        <v/>
      </c>
      <c r="Y1905" s="67"/>
      <c r="Z1905" s="70" t="str">
        <f aca="false">IF(OR(AH1905="",Y1905=""),"",IF(ABS(X1905-Y1905)&lt;=1,"✓ Cuadra","⚠ Diferencia $"&amp;FIXED(X1905-Y1905,0)))</f>
        <v/>
      </c>
      <c r="AA1905" s="72" t="str">
        <f aca="false">IF(AH1905="","",IFERROR(INDEX(C_TIPO,MATCH(C1905&amp;"-P"&amp;MAX(1,COUNTIFS(C_ID,C1905,C_DEFINE,"Sí",C_INICIO,"&lt;="&amp;EOMONTH(B1905,0))),C_CLAVE,0))&amp;"","Sin dato"))</f>
        <v/>
      </c>
      <c r="AB1905" s="71" t="str">
        <f aca="false">IF(AH1905="","",ROUND(MIN(K1905,TOPE_AFP_UF*AJ1905)*AK1905,0))</f>
        <v/>
      </c>
      <c r="AC1905" s="71" t="str">
        <f aca="false">IF(AH1905="","",ROUND(MIN(K1905,TOPE_AFC_UF*AJ1905)*IF(AA1905="Indefinido",AFC_EMP_INDEF,AFC_EMP_PF),0))</f>
        <v/>
      </c>
      <c r="AD1905" s="71" t="str">
        <f aca="false">IF(AH1905="","",ROUND(MIN(K1905,TOPE_AFP_UF*AJ1905)*(MUTUAL_BASICA+MUTUAL_ADIC+SANNA),0))</f>
        <v/>
      </c>
      <c r="AE1905" s="71" t="str">
        <f aca="false">IF(AH1905="","",P1905-N(N1905)+AB1905+AC1905+AD1905)</f>
        <v/>
      </c>
      <c r="AF1905" s="65"/>
      <c r="AG1905" s="64"/>
      <c r="AH1905" s="72" t="str">
        <f aca="false">IF(OR(B1905="",C1905=""),"",C1905&amp;"|"&amp;(YEAR(B1905)*100+MONTH(B1905)))</f>
        <v/>
      </c>
      <c r="AI1905" s="70" t="str">
        <f aca="false">IF(AH1905="","",IF(COUNTIF(L_CLAVE,AH1905)&gt;1,"⚠ Duplicado","OK"))</f>
        <v/>
      </c>
      <c r="AJ1905" s="86" t="str">
        <f aca="false">IF(AH1905="","",IF(SUMPRODUCT(MAX((IND_PER&lt;=B1905)*(IND_UF&lt;&gt;"")*IND_PER))=0,UF_HOY,INDEX(IND_UF,MATCH(SUMPRODUCT(MAX((IND_PER&lt;=B1905)*(IND_UF&lt;&gt;"")*IND_PER)),IND_PER,0))))</f>
        <v/>
      </c>
      <c r="AK1905" s="87" t="str">
        <f aca="false">IF(AH1905="","",IF(COUNTIF(TASA_DESDE,"&lt;="&amp;B1905)=0,INDEX(TASA_EMP,1),INDEX(TASA_EMP,COUNTIF(TASA_DESDE,"&lt;="&amp;B1905))))</f>
        <v/>
      </c>
    </row>
    <row r="1906" customFormat="false" ht="15" hidden="false" customHeight="false" outlineLevel="0" collapsed="false">
      <c r="B1906" s="78"/>
      <c r="C1906" s="64"/>
      <c r="D1906" s="72" t="str">
        <f aca="false">IF(C1906="","",IFERROR(INDEX(T_NOMBRE,MATCH(C1906,T_ID,0)),"⚠ ID no existe"))</f>
        <v/>
      </c>
      <c r="E1906" s="69"/>
      <c r="F1906" s="67"/>
      <c r="G1906" s="67"/>
      <c r="H1906" s="67"/>
      <c r="I1906" s="67"/>
      <c r="J1906" s="67"/>
      <c r="K1906" s="85" t="str">
        <f aca="false">IF(AH1906="","",N(F1906)+N(G1906)+N(H1906)-N(I1906)+N(J1906))</f>
        <v/>
      </c>
      <c r="L1906" s="67"/>
      <c r="M1906" s="67"/>
      <c r="N1906" s="67"/>
      <c r="O1906" s="67"/>
      <c r="P1906" s="85" t="str">
        <f aca="false">IF(AH1906="","",K1906+N(L1906)+N(M1906)+N(N1906)+N(O1906))</f>
        <v/>
      </c>
      <c r="Q1906" s="67"/>
      <c r="R1906" s="67"/>
      <c r="S1906" s="67"/>
      <c r="T1906" s="67"/>
      <c r="U1906" s="67"/>
      <c r="V1906" s="67"/>
      <c r="W1906" s="85" t="str">
        <f aca="false">IF(AH1906="","",N(Q1906)+N(R1906)+N(S1906)+N(T1906)+N(U1906)+N(V1906))</f>
        <v/>
      </c>
      <c r="X1906" s="85" t="str">
        <f aca="false">IF(AH1906="","",P1906-W1906)</f>
        <v/>
      </c>
      <c r="Y1906" s="67"/>
      <c r="Z1906" s="70" t="str">
        <f aca="false">IF(OR(AH1906="",Y1906=""),"",IF(ABS(X1906-Y1906)&lt;=1,"✓ Cuadra","⚠ Diferencia $"&amp;FIXED(X1906-Y1906,0)))</f>
        <v/>
      </c>
      <c r="AA1906" s="72" t="str">
        <f aca="false">IF(AH1906="","",IFERROR(INDEX(C_TIPO,MATCH(C1906&amp;"-P"&amp;MAX(1,COUNTIFS(C_ID,C1906,C_DEFINE,"Sí",C_INICIO,"&lt;="&amp;EOMONTH(B1906,0))),C_CLAVE,0))&amp;"","Sin dato"))</f>
        <v/>
      </c>
      <c r="AB1906" s="71" t="str">
        <f aca="false">IF(AH1906="","",ROUND(MIN(K1906,TOPE_AFP_UF*AJ1906)*AK1906,0))</f>
        <v/>
      </c>
      <c r="AC1906" s="71" t="str">
        <f aca="false">IF(AH1906="","",ROUND(MIN(K1906,TOPE_AFC_UF*AJ1906)*IF(AA1906="Indefinido",AFC_EMP_INDEF,AFC_EMP_PF),0))</f>
        <v/>
      </c>
      <c r="AD1906" s="71" t="str">
        <f aca="false">IF(AH1906="","",ROUND(MIN(K1906,TOPE_AFP_UF*AJ1906)*(MUTUAL_BASICA+MUTUAL_ADIC+SANNA),0))</f>
        <v/>
      </c>
      <c r="AE1906" s="71" t="str">
        <f aca="false">IF(AH1906="","",P1906-N(N1906)+AB1906+AC1906+AD1906)</f>
        <v/>
      </c>
      <c r="AF1906" s="65"/>
      <c r="AG1906" s="64"/>
      <c r="AH1906" s="72" t="str">
        <f aca="false">IF(OR(B1906="",C1906=""),"",C1906&amp;"|"&amp;(YEAR(B1906)*100+MONTH(B1906)))</f>
        <v/>
      </c>
      <c r="AI1906" s="70" t="str">
        <f aca="false">IF(AH1906="","",IF(COUNTIF(L_CLAVE,AH1906)&gt;1,"⚠ Duplicado","OK"))</f>
        <v/>
      </c>
      <c r="AJ1906" s="86" t="str">
        <f aca="false">IF(AH1906="","",IF(SUMPRODUCT(MAX((IND_PER&lt;=B1906)*(IND_UF&lt;&gt;"")*IND_PER))=0,UF_HOY,INDEX(IND_UF,MATCH(SUMPRODUCT(MAX((IND_PER&lt;=B1906)*(IND_UF&lt;&gt;"")*IND_PER)),IND_PER,0))))</f>
        <v/>
      </c>
      <c r="AK1906" s="87" t="str">
        <f aca="false">IF(AH1906="","",IF(COUNTIF(TASA_DESDE,"&lt;="&amp;B1906)=0,INDEX(TASA_EMP,1),INDEX(TASA_EMP,COUNTIF(TASA_DESDE,"&lt;="&amp;B1906))))</f>
        <v/>
      </c>
    </row>
    <row r="1907" customFormat="false" ht="15" hidden="false" customHeight="false" outlineLevel="0" collapsed="false">
      <c r="B1907" s="78"/>
      <c r="C1907" s="64"/>
      <c r="D1907" s="72" t="str">
        <f aca="false">IF(C1907="","",IFERROR(INDEX(T_NOMBRE,MATCH(C1907,T_ID,0)),"⚠ ID no existe"))</f>
        <v/>
      </c>
      <c r="E1907" s="69"/>
      <c r="F1907" s="67"/>
      <c r="G1907" s="67"/>
      <c r="H1907" s="67"/>
      <c r="I1907" s="67"/>
      <c r="J1907" s="67"/>
      <c r="K1907" s="85" t="str">
        <f aca="false">IF(AH1907="","",N(F1907)+N(G1907)+N(H1907)-N(I1907)+N(J1907))</f>
        <v/>
      </c>
      <c r="L1907" s="67"/>
      <c r="M1907" s="67"/>
      <c r="N1907" s="67"/>
      <c r="O1907" s="67"/>
      <c r="P1907" s="85" t="str">
        <f aca="false">IF(AH1907="","",K1907+N(L1907)+N(M1907)+N(N1907)+N(O1907))</f>
        <v/>
      </c>
      <c r="Q1907" s="67"/>
      <c r="R1907" s="67"/>
      <c r="S1907" s="67"/>
      <c r="T1907" s="67"/>
      <c r="U1907" s="67"/>
      <c r="V1907" s="67"/>
      <c r="W1907" s="85" t="str">
        <f aca="false">IF(AH1907="","",N(Q1907)+N(R1907)+N(S1907)+N(T1907)+N(U1907)+N(V1907))</f>
        <v/>
      </c>
      <c r="X1907" s="85" t="str">
        <f aca="false">IF(AH1907="","",P1907-W1907)</f>
        <v/>
      </c>
      <c r="Y1907" s="67"/>
      <c r="Z1907" s="70" t="str">
        <f aca="false">IF(OR(AH1907="",Y1907=""),"",IF(ABS(X1907-Y1907)&lt;=1,"✓ Cuadra","⚠ Diferencia $"&amp;FIXED(X1907-Y1907,0)))</f>
        <v/>
      </c>
      <c r="AA1907" s="72" t="str">
        <f aca="false">IF(AH1907="","",IFERROR(INDEX(C_TIPO,MATCH(C1907&amp;"-P"&amp;MAX(1,COUNTIFS(C_ID,C1907,C_DEFINE,"Sí",C_INICIO,"&lt;="&amp;EOMONTH(B1907,0))),C_CLAVE,0))&amp;"","Sin dato"))</f>
        <v/>
      </c>
      <c r="AB1907" s="71" t="str">
        <f aca="false">IF(AH1907="","",ROUND(MIN(K1907,TOPE_AFP_UF*AJ1907)*AK1907,0))</f>
        <v/>
      </c>
      <c r="AC1907" s="71" t="str">
        <f aca="false">IF(AH1907="","",ROUND(MIN(K1907,TOPE_AFC_UF*AJ1907)*IF(AA1907="Indefinido",AFC_EMP_INDEF,AFC_EMP_PF),0))</f>
        <v/>
      </c>
      <c r="AD1907" s="71" t="str">
        <f aca="false">IF(AH1907="","",ROUND(MIN(K1907,TOPE_AFP_UF*AJ1907)*(MUTUAL_BASICA+MUTUAL_ADIC+SANNA),0))</f>
        <v/>
      </c>
      <c r="AE1907" s="71" t="str">
        <f aca="false">IF(AH1907="","",P1907-N(N1907)+AB1907+AC1907+AD1907)</f>
        <v/>
      </c>
      <c r="AF1907" s="65"/>
      <c r="AG1907" s="64"/>
      <c r="AH1907" s="72" t="str">
        <f aca="false">IF(OR(B1907="",C1907=""),"",C1907&amp;"|"&amp;(YEAR(B1907)*100+MONTH(B1907)))</f>
        <v/>
      </c>
      <c r="AI1907" s="70" t="str">
        <f aca="false">IF(AH1907="","",IF(COUNTIF(L_CLAVE,AH1907)&gt;1,"⚠ Duplicado","OK"))</f>
        <v/>
      </c>
      <c r="AJ1907" s="86" t="str">
        <f aca="false">IF(AH1907="","",IF(SUMPRODUCT(MAX((IND_PER&lt;=B1907)*(IND_UF&lt;&gt;"")*IND_PER))=0,UF_HOY,INDEX(IND_UF,MATCH(SUMPRODUCT(MAX((IND_PER&lt;=B1907)*(IND_UF&lt;&gt;"")*IND_PER)),IND_PER,0))))</f>
        <v/>
      </c>
      <c r="AK1907" s="87" t="str">
        <f aca="false">IF(AH1907="","",IF(COUNTIF(TASA_DESDE,"&lt;="&amp;B1907)=0,INDEX(TASA_EMP,1),INDEX(TASA_EMP,COUNTIF(TASA_DESDE,"&lt;="&amp;B1907))))</f>
        <v/>
      </c>
    </row>
    <row r="1908" customFormat="false" ht="15" hidden="false" customHeight="false" outlineLevel="0" collapsed="false">
      <c r="B1908" s="78"/>
      <c r="C1908" s="64"/>
      <c r="D1908" s="72" t="str">
        <f aca="false">IF(C1908="","",IFERROR(INDEX(T_NOMBRE,MATCH(C1908,T_ID,0)),"⚠ ID no existe"))</f>
        <v/>
      </c>
      <c r="E1908" s="69"/>
      <c r="F1908" s="67"/>
      <c r="G1908" s="67"/>
      <c r="H1908" s="67"/>
      <c r="I1908" s="67"/>
      <c r="J1908" s="67"/>
      <c r="K1908" s="85" t="str">
        <f aca="false">IF(AH1908="","",N(F1908)+N(G1908)+N(H1908)-N(I1908)+N(J1908))</f>
        <v/>
      </c>
      <c r="L1908" s="67"/>
      <c r="M1908" s="67"/>
      <c r="N1908" s="67"/>
      <c r="O1908" s="67"/>
      <c r="P1908" s="85" t="str">
        <f aca="false">IF(AH1908="","",K1908+N(L1908)+N(M1908)+N(N1908)+N(O1908))</f>
        <v/>
      </c>
      <c r="Q1908" s="67"/>
      <c r="R1908" s="67"/>
      <c r="S1908" s="67"/>
      <c r="T1908" s="67"/>
      <c r="U1908" s="67"/>
      <c r="V1908" s="67"/>
      <c r="W1908" s="85" t="str">
        <f aca="false">IF(AH1908="","",N(Q1908)+N(R1908)+N(S1908)+N(T1908)+N(U1908)+N(V1908))</f>
        <v/>
      </c>
      <c r="X1908" s="85" t="str">
        <f aca="false">IF(AH1908="","",P1908-W1908)</f>
        <v/>
      </c>
      <c r="Y1908" s="67"/>
      <c r="Z1908" s="70" t="str">
        <f aca="false">IF(OR(AH1908="",Y1908=""),"",IF(ABS(X1908-Y1908)&lt;=1,"✓ Cuadra","⚠ Diferencia $"&amp;FIXED(X1908-Y1908,0)))</f>
        <v/>
      </c>
      <c r="AA1908" s="72" t="str">
        <f aca="false">IF(AH1908="","",IFERROR(INDEX(C_TIPO,MATCH(C1908&amp;"-P"&amp;MAX(1,COUNTIFS(C_ID,C1908,C_DEFINE,"Sí",C_INICIO,"&lt;="&amp;EOMONTH(B1908,0))),C_CLAVE,0))&amp;"","Sin dato"))</f>
        <v/>
      </c>
      <c r="AB1908" s="71" t="str">
        <f aca="false">IF(AH1908="","",ROUND(MIN(K1908,TOPE_AFP_UF*AJ1908)*AK1908,0))</f>
        <v/>
      </c>
      <c r="AC1908" s="71" t="str">
        <f aca="false">IF(AH1908="","",ROUND(MIN(K1908,TOPE_AFC_UF*AJ1908)*IF(AA1908="Indefinido",AFC_EMP_INDEF,AFC_EMP_PF),0))</f>
        <v/>
      </c>
      <c r="AD1908" s="71" t="str">
        <f aca="false">IF(AH1908="","",ROUND(MIN(K1908,TOPE_AFP_UF*AJ1908)*(MUTUAL_BASICA+MUTUAL_ADIC+SANNA),0))</f>
        <v/>
      </c>
      <c r="AE1908" s="71" t="str">
        <f aca="false">IF(AH1908="","",P1908-N(N1908)+AB1908+AC1908+AD1908)</f>
        <v/>
      </c>
      <c r="AF1908" s="65"/>
      <c r="AG1908" s="64"/>
      <c r="AH1908" s="72" t="str">
        <f aca="false">IF(OR(B1908="",C1908=""),"",C1908&amp;"|"&amp;(YEAR(B1908)*100+MONTH(B1908)))</f>
        <v/>
      </c>
      <c r="AI1908" s="70" t="str">
        <f aca="false">IF(AH1908="","",IF(COUNTIF(L_CLAVE,AH1908)&gt;1,"⚠ Duplicado","OK"))</f>
        <v/>
      </c>
      <c r="AJ1908" s="86" t="str">
        <f aca="false">IF(AH1908="","",IF(SUMPRODUCT(MAX((IND_PER&lt;=B1908)*(IND_UF&lt;&gt;"")*IND_PER))=0,UF_HOY,INDEX(IND_UF,MATCH(SUMPRODUCT(MAX((IND_PER&lt;=B1908)*(IND_UF&lt;&gt;"")*IND_PER)),IND_PER,0))))</f>
        <v/>
      </c>
      <c r="AK1908" s="87" t="str">
        <f aca="false">IF(AH1908="","",IF(COUNTIF(TASA_DESDE,"&lt;="&amp;B1908)=0,INDEX(TASA_EMP,1),INDEX(TASA_EMP,COUNTIF(TASA_DESDE,"&lt;="&amp;B1908))))</f>
        <v/>
      </c>
    </row>
    <row r="1909" customFormat="false" ht="15" hidden="false" customHeight="false" outlineLevel="0" collapsed="false">
      <c r="B1909" s="78"/>
      <c r="C1909" s="64"/>
      <c r="D1909" s="72" t="str">
        <f aca="false">IF(C1909="","",IFERROR(INDEX(T_NOMBRE,MATCH(C1909,T_ID,0)),"⚠ ID no existe"))</f>
        <v/>
      </c>
      <c r="E1909" s="69"/>
      <c r="F1909" s="67"/>
      <c r="G1909" s="67"/>
      <c r="H1909" s="67"/>
      <c r="I1909" s="67"/>
      <c r="J1909" s="67"/>
      <c r="K1909" s="85" t="str">
        <f aca="false">IF(AH1909="","",N(F1909)+N(G1909)+N(H1909)-N(I1909)+N(J1909))</f>
        <v/>
      </c>
      <c r="L1909" s="67"/>
      <c r="M1909" s="67"/>
      <c r="N1909" s="67"/>
      <c r="O1909" s="67"/>
      <c r="P1909" s="85" t="str">
        <f aca="false">IF(AH1909="","",K1909+N(L1909)+N(M1909)+N(N1909)+N(O1909))</f>
        <v/>
      </c>
      <c r="Q1909" s="67"/>
      <c r="R1909" s="67"/>
      <c r="S1909" s="67"/>
      <c r="T1909" s="67"/>
      <c r="U1909" s="67"/>
      <c r="V1909" s="67"/>
      <c r="W1909" s="85" t="str">
        <f aca="false">IF(AH1909="","",N(Q1909)+N(R1909)+N(S1909)+N(T1909)+N(U1909)+N(V1909))</f>
        <v/>
      </c>
      <c r="X1909" s="85" t="str">
        <f aca="false">IF(AH1909="","",P1909-W1909)</f>
        <v/>
      </c>
      <c r="Y1909" s="67"/>
      <c r="Z1909" s="70" t="str">
        <f aca="false">IF(OR(AH1909="",Y1909=""),"",IF(ABS(X1909-Y1909)&lt;=1,"✓ Cuadra","⚠ Diferencia $"&amp;FIXED(X1909-Y1909,0)))</f>
        <v/>
      </c>
      <c r="AA1909" s="72" t="str">
        <f aca="false">IF(AH1909="","",IFERROR(INDEX(C_TIPO,MATCH(C1909&amp;"-P"&amp;MAX(1,COUNTIFS(C_ID,C1909,C_DEFINE,"Sí",C_INICIO,"&lt;="&amp;EOMONTH(B1909,0))),C_CLAVE,0))&amp;"","Sin dato"))</f>
        <v/>
      </c>
      <c r="AB1909" s="71" t="str">
        <f aca="false">IF(AH1909="","",ROUND(MIN(K1909,TOPE_AFP_UF*AJ1909)*AK1909,0))</f>
        <v/>
      </c>
      <c r="AC1909" s="71" t="str">
        <f aca="false">IF(AH1909="","",ROUND(MIN(K1909,TOPE_AFC_UF*AJ1909)*IF(AA1909="Indefinido",AFC_EMP_INDEF,AFC_EMP_PF),0))</f>
        <v/>
      </c>
      <c r="AD1909" s="71" t="str">
        <f aca="false">IF(AH1909="","",ROUND(MIN(K1909,TOPE_AFP_UF*AJ1909)*(MUTUAL_BASICA+MUTUAL_ADIC+SANNA),0))</f>
        <v/>
      </c>
      <c r="AE1909" s="71" t="str">
        <f aca="false">IF(AH1909="","",P1909-N(N1909)+AB1909+AC1909+AD1909)</f>
        <v/>
      </c>
      <c r="AF1909" s="65"/>
      <c r="AG1909" s="64"/>
      <c r="AH1909" s="72" t="str">
        <f aca="false">IF(OR(B1909="",C1909=""),"",C1909&amp;"|"&amp;(YEAR(B1909)*100+MONTH(B1909)))</f>
        <v/>
      </c>
      <c r="AI1909" s="70" t="str">
        <f aca="false">IF(AH1909="","",IF(COUNTIF(L_CLAVE,AH1909)&gt;1,"⚠ Duplicado","OK"))</f>
        <v/>
      </c>
      <c r="AJ1909" s="86" t="str">
        <f aca="false">IF(AH1909="","",IF(SUMPRODUCT(MAX((IND_PER&lt;=B1909)*(IND_UF&lt;&gt;"")*IND_PER))=0,UF_HOY,INDEX(IND_UF,MATCH(SUMPRODUCT(MAX((IND_PER&lt;=B1909)*(IND_UF&lt;&gt;"")*IND_PER)),IND_PER,0))))</f>
        <v/>
      </c>
      <c r="AK1909" s="87" t="str">
        <f aca="false">IF(AH1909="","",IF(COUNTIF(TASA_DESDE,"&lt;="&amp;B1909)=0,INDEX(TASA_EMP,1),INDEX(TASA_EMP,COUNTIF(TASA_DESDE,"&lt;="&amp;B1909))))</f>
        <v/>
      </c>
    </row>
    <row r="1910" customFormat="false" ht="15" hidden="false" customHeight="false" outlineLevel="0" collapsed="false">
      <c r="B1910" s="78"/>
      <c r="C1910" s="64"/>
      <c r="D1910" s="72" t="str">
        <f aca="false">IF(C1910="","",IFERROR(INDEX(T_NOMBRE,MATCH(C1910,T_ID,0)),"⚠ ID no existe"))</f>
        <v/>
      </c>
      <c r="E1910" s="69"/>
      <c r="F1910" s="67"/>
      <c r="G1910" s="67"/>
      <c r="H1910" s="67"/>
      <c r="I1910" s="67"/>
      <c r="J1910" s="67"/>
      <c r="K1910" s="85" t="str">
        <f aca="false">IF(AH1910="","",N(F1910)+N(G1910)+N(H1910)-N(I1910)+N(J1910))</f>
        <v/>
      </c>
      <c r="L1910" s="67"/>
      <c r="M1910" s="67"/>
      <c r="N1910" s="67"/>
      <c r="O1910" s="67"/>
      <c r="P1910" s="85" t="str">
        <f aca="false">IF(AH1910="","",K1910+N(L1910)+N(M1910)+N(N1910)+N(O1910))</f>
        <v/>
      </c>
      <c r="Q1910" s="67"/>
      <c r="R1910" s="67"/>
      <c r="S1910" s="67"/>
      <c r="T1910" s="67"/>
      <c r="U1910" s="67"/>
      <c r="V1910" s="67"/>
      <c r="W1910" s="85" t="str">
        <f aca="false">IF(AH1910="","",N(Q1910)+N(R1910)+N(S1910)+N(T1910)+N(U1910)+N(V1910))</f>
        <v/>
      </c>
      <c r="X1910" s="85" t="str">
        <f aca="false">IF(AH1910="","",P1910-W1910)</f>
        <v/>
      </c>
      <c r="Y1910" s="67"/>
      <c r="Z1910" s="70" t="str">
        <f aca="false">IF(OR(AH1910="",Y1910=""),"",IF(ABS(X1910-Y1910)&lt;=1,"✓ Cuadra","⚠ Diferencia $"&amp;FIXED(X1910-Y1910,0)))</f>
        <v/>
      </c>
      <c r="AA1910" s="72" t="str">
        <f aca="false">IF(AH1910="","",IFERROR(INDEX(C_TIPO,MATCH(C1910&amp;"-P"&amp;MAX(1,COUNTIFS(C_ID,C1910,C_DEFINE,"Sí",C_INICIO,"&lt;="&amp;EOMONTH(B1910,0))),C_CLAVE,0))&amp;"","Sin dato"))</f>
        <v/>
      </c>
      <c r="AB1910" s="71" t="str">
        <f aca="false">IF(AH1910="","",ROUND(MIN(K1910,TOPE_AFP_UF*AJ1910)*AK1910,0))</f>
        <v/>
      </c>
      <c r="AC1910" s="71" t="str">
        <f aca="false">IF(AH1910="","",ROUND(MIN(K1910,TOPE_AFC_UF*AJ1910)*IF(AA1910="Indefinido",AFC_EMP_INDEF,AFC_EMP_PF),0))</f>
        <v/>
      </c>
      <c r="AD1910" s="71" t="str">
        <f aca="false">IF(AH1910="","",ROUND(MIN(K1910,TOPE_AFP_UF*AJ1910)*(MUTUAL_BASICA+MUTUAL_ADIC+SANNA),0))</f>
        <v/>
      </c>
      <c r="AE1910" s="71" t="str">
        <f aca="false">IF(AH1910="","",P1910-N(N1910)+AB1910+AC1910+AD1910)</f>
        <v/>
      </c>
      <c r="AF1910" s="65"/>
      <c r="AG1910" s="64"/>
      <c r="AH1910" s="72" t="str">
        <f aca="false">IF(OR(B1910="",C1910=""),"",C1910&amp;"|"&amp;(YEAR(B1910)*100+MONTH(B1910)))</f>
        <v/>
      </c>
      <c r="AI1910" s="70" t="str">
        <f aca="false">IF(AH1910="","",IF(COUNTIF(L_CLAVE,AH1910)&gt;1,"⚠ Duplicado","OK"))</f>
        <v/>
      </c>
      <c r="AJ1910" s="86" t="str">
        <f aca="false">IF(AH1910="","",IF(SUMPRODUCT(MAX((IND_PER&lt;=B1910)*(IND_UF&lt;&gt;"")*IND_PER))=0,UF_HOY,INDEX(IND_UF,MATCH(SUMPRODUCT(MAX((IND_PER&lt;=B1910)*(IND_UF&lt;&gt;"")*IND_PER)),IND_PER,0))))</f>
        <v/>
      </c>
      <c r="AK1910" s="87" t="str">
        <f aca="false">IF(AH1910="","",IF(COUNTIF(TASA_DESDE,"&lt;="&amp;B1910)=0,INDEX(TASA_EMP,1),INDEX(TASA_EMP,COUNTIF(TASA_DESDE,"&lt;="&amp;B1910))))</f>
        <v/>
      </c>
    </row>
    <row r="1911" customFormat="false" ht="15" hidden="false" customHeight="false" outlineLevel="0" collapsed="false">
      <c r="B1911" s="78"/>
      <c r="C1911" s="64"/>
      <c r="D1911" s="72" t="str">
        <f aca="false">IF(C1911="","",IFERROR(INDEX(T_NOMBRE,MATCH(C1911,T_ID,0)),"⚠ ID no existe"))</f>
        <v/>
      </c>
      <c r="E1911" s="69"/>
      <c r="F1911" s="67"/>
      <c r="G1911" s="67"/>
      <c r="H1911" s="67"/>
      <c r="I1911" s="67"/>
      <c r="J1911" s="67"/>
      <c r="K1911" s="85" t="str">
        <f aca="false">IF(AH1911="","",N(F1911)+N(G1911)+N(H1911)-N(I1911)+N(J1911))</f>
        <v/>
      </c>
      <c r="L1911" s="67"/>
      <c r="M1911" s="67"/>
      <c r="N1911" s="67"/>
      <c r="O1911" s="67"/>
      <c r="P1911" s="85" t="str">
        <f aca="false">IF(AH1911="","",K1911+N(L1911)+N(M1911)+N(N1911)+N(O1911))</f>
        <v/>
      </c>
      <c r="Q1911" s="67"/>
      <c r="R1911" s="67"/>
      <c r="S1911" s="67"/>
      <c r="T1911" s="67"/>
      <c r="U1911" s="67"/>
      <c r="V1911" s="67"/>
      <c r="W1911" s="85" t="str">
        <f aca="false">IF(AH1911="","",N(Q1911)+N(R1911)+N(S1911)+N(T1911)+N(U1911)+N(V1911))</f>
        <v/>
      </c>
      <c r="X1911" s="85" t="str">
        <f aca="false">IF(AH1911="","",P1911-W1911)</f>
        <v/>
      </c>
      <c r="Y1911" s="67"/>
      <c r="Z1911" s="70" t="str">
        <f aca="false">IF(OR(AH1911="",Y1911=""),"",IF(ABS(X1911-Y1911)&lt;=1,"✓ Cuadra","⚠ Diferencia $"&amp;FIXED(X1911-Y1911,0)))</f>
        <v/>
      </c>
      <c r="AA1911" s="72" t="str">
        <f aca="false">IF(AH1911="","",IFERROR(INDEX(C_TIPO,MATCH(C1911&amp;"-P"&amp;MAX(1,COUNTIFS(C_ID,C1911,C_DEFINE,"Sí",C_INICIO,"&lt;="&amp;EOMONTH(B1911,0))),C_CLAVE,0))&amp;"","Sin dato"))</f>
        <v/>
      </c>
      <c r="AB1911" s="71" t="str">
        <f aca="false">IF(AH1911="","",ROUND(MIN(K1911,TOPE_AFP_UF*AJ1911)*AK1911,0))</f>
        <v/>
      </c>
      <c r="AC1911" s="71" t="str">
        <f aca="false">IF(AH1911="","",ROUND(MIN(K1911,TOPE_AFC_UF*AJ1911)*IF(AA1911="Indefinido",AFC_EMP_INDEF,AFC_EMP_PF),0))</f>
        <v/>
      </c>
      <c r="AD1911" s="71" t="str">
        <f aca="false">IF(AH1911="","",ROUND(MIN(K1911,TOPE_AFP_UF*AJ1911)*(MUTUAL_BASICA+MUTUAL_ADIC+SANNA),0))</f>
        <v/>
      </c>
      <c r="AE1911" s="71" t="str">
        <f aca="false">IF(AH1911="","",P1911-N(N1911)+AB1911+AC1911+AD1911)</f>
        <v/>
      </c>
      <c r="AF1911" s="65"/>
      <c r="AG1911" s="64"/>
      <c r="AH1911" s="72" t="str">
        <f aca="false">IF(OR(B1911="",C1911=""),"",C1911&amp;"|"&amp;(YEAR(B1911)*100+MONTH(B1911)))</f>
        <v/>
      </c>
      <c r="AI1911" s="70" t="str">
        <f aca="false">IF(AH1911="","",IF(COUNTIF(L_CLAVE,AH1911)&gt;1,"⚠ Duplicado","OK"))</f>
        <v/>
      </c>
      <c r="AJ1911" s="86" t="str">
        <f aca="false">IF(AH1911="","",IF(SUMPRODUCT(MAX((IND_PER&lt;=B1911)*(IND_UF&lt;&gt;"")*IND_PER))=0,UF_HOY,INDEX(IND_UF,MATCH(SUMPRODUCT(MAX((IND_PER&lt;=B1911)*(IND_UF&lt;&gt;"")*IND_PER)),IND_PER,0))))</f>
        <v/>
      </c>
      <c r="AK1911" s="87" t="str">
        <f aca="false">IF(AH1911="","",IF(COUNTIF(TASA_DESDE,"&lt;="&amp;B1911)=0,INDEX(TASA_EMP,1),INDEX(TASA_EMP,COUNTIF(TASA_DESDE,"&lt;="&amp;B1911))))</f>
        <v/>
      </c>
    </row>
    <row r="1912" customFormat="false" ht="15" hidden="false" customHeight="false" outlineLevel="0" collapsed="false">
      <c r="B1912" s="78"/>
      <c r="C1912" s="64"/>
      <c r="D1912" s="72" t="str">
        <f aca="false">IF(C1912="","",IFERROR(INDEX(T_NOMBRE,MATCH(C1912,T_ID,0)),"⚠ ID no existe"))</f>
        <v/>
      </c>
      <c r="E1912" s="69"/>
      <c r="F1912" s="67"/>
      <c r="G1912" s="67"/>
      <c r="H1912" s="67"/>
      <c r="I1912" s="67"/>
      <c r="J1912" s="67"/>
      <c r="K1912" s="85" t="str">
        <f aca="false">IF(AH1912="","",N(F1912)+N(G1912)+N(H1912)-N(I1912)+N(J1912))</f>
        <v/>
      </c>
      <c r="L1912" s="67"/>
      <c r="M1912" s="67"/>
      <c r="N1912" s="67"/>
      <c r="O1912" s="67"/>
      <c r="P1912" s="85" t="str">
        <f aca="false">IF(AH1912="","",K1912+N(L1912)+N(M1912)+N(N1912)+N(O1912))</f>
        <v/>
      </c>
      <c r="Q1912" s="67"/>
      <c r="R1912" s="67"/>
      <c r="S1912" s="67"/>
      <c r="T1912" s="67"/>
      <c r="U1912" s="67"/>
      <c r="V1912" s="67"/>
      <c r="W1912" s="85" t="str">
        <f aca="false">IF(AH1912="","",N(Q1912)+N(R1912)+N(S1912)+N(T1912)+N(U1912)+N(V1912))</f>
        <v/>
      </c>
      <c r="X1912" s="85" t="str">
        <f aca="false">IF(AH1912="","",P1912-W1912)</f>
        <v/>
      </c>
      <c r="Y1912" s="67"/>
      <c r="Z1912" s="70" t="str">
        <f aca="false">IF(OR(AH1912="",Y1912=""),"",IF(ABS(X1912-Y1912)&lt;=1,"✓ Cuadra","⚠ Diferencia $"&amp;FIXED(X1912-Y1912,0)))</f>
        <v/>
      </c>
      <c r="AA1912" s="72" t="str">
        <f aca="false">IF(AH1912="","",IFERROR(INDEX(C_TIPO,MATCH(C1912&amp;"-P"&amp;MAX(1,COUNTIFS(C_ID,C1912,C_DEFINE,"Sí",C_INICIO,"&lt;="&amp;EOMONTH(B1912,0))),C_CLAVE,0))&amp;"","Sin dato"))</f>
        <v/>
      </c>
      <c r="AB1912" s="71" t="str">
        <f aca="false">IF(AH1912="","",ROUND(MIN(K1912,TOPE_AFP_UF*AJ1912)*AK1912,0))</f>
        <v/>
      </c>
      <c r="AC1912" s="71" t="str">
        <f aca="false">IF(AH1912="","",ROUND(MIN(K1912,TOPE_AFC_UF*AJ1912)*IF(AA1912="Indefinido",AFC_EMP_INDEF,AFC_EMP_PF),0))</f>
        <v/>
      </c>
      <c r="AD1912" s="71" t="str">
        <f aca="false">IF(AH1912="","",ROUND(MIN(K1912,TOPE_AFP_UF*AJ1912)*(MUTUAL_BASICA+MUTUAL_ADIC+SANNA),0))</f>
        <v/>
      </c>
      <c r="AE1912" s="71" t="str">
        <f aca="false">IF(AH1912="","",P1912-N(N1912)+AB1912+AC1912+AD1912)</f>
        <v/>
      </c>
      <c r="AF1912" s="65"/>
      <c r="AG1912" s="64"/>
      <c r="AH1912" s="72" t="str">
        <f aca="false">IF(OR(B1912="",C1912=""),"",C1912&amp;"|"&amp;(YEAR(B1912)*100+MONTH(B1912)))</f>
        <v/>
      </c>
      <c r="AI1912" s="70" t="str">
        <f aca="false">IF(AH1912="","",IF(COUNTIF(L_CLAVE,AH1912)&gt;1,"⚠ Duplicado","OK"))</f>
        <v/>
      </c>
      <c r="AJ1912" s="86" t="str">
        <f aca="false">IF(AH1912="","",IF(SUMPRODUCT(MAX((IND_PER&lt;=B1912)*(IND_UF&lt;&gt;"")*IND_PER))=0,UF_HOY,INDEX(IND_UF,MATCH(SUMPRODUCT(MAX((IND_PER&lt;=B1912)*(IND_UF&lt;&gt;"")*IND_PER)),IND_PER,0))))</f>
        <v/>
      </c>
      <c r="AK1912" s="87" t="str">
        <f aca="false">IF(AH1912="","",IF(COUNTIF(TASA_DESDE,"&lt;="&amp;B1912)=0,INDEX(TASA_EMP,1),INDEX(TASA_EMP,COUNTIF(TASA_DESDE,"&lt;="&amp;B1912))))</f>
        <v/>
      </c>
    </row>
    <row r="1913" customFormat="false" ht="15" hidden="false" customHeight="false" outlineLevel="0" collapsed="false">
      <c r="B1913" s="78"/>
      <c r="C1913" s="64"/>
      <c r="D1913" s="72" t="str">
        <f aca="false">IF(C1913="","",IFERROR(INDEX(T_NOMBRE,MATCH(C1913,T_ID,0)),"⚠ ID no existe"))</f>
        <v/>
      </c>
      <c r="E1913" s="69"/>
      <c r="F1913" s="67"/>
      <c r="G1913" s="67"/>
      <c r="H1913" s="67"/>
      <c r="I1913" s="67"/>
      <c r="J1913" s="67"/>
      <c r="K1913" s="85" t="str">
        <f aca="false">IF(AH1913="","",N(F1913)+N(G1913)+N(H1913)-N(I1913)+N(J1913))</f>
        <v/>
      </c>
      <c r="L1913" s="67"/>
      <c r="M1913" s="67"/>
      <c r="N1913" s="67"/>
      <c r="O1913" s="67"/>
      <c r="P1913" s="85" t="str">
        <f aca="false">IF(AH1913="","",K1913+N(L1913)+N(M1913)+N(N1913)+N(O1913))</f>
        <v/>
      </c>
      <c r="Q1913" s="67"/>
      <c r="R1913" s="67"/>
      <c r="S1913" s="67"/>
      <c r="T1913" s="67"/>
      <c r="U1913" s="67"/>
      <c r="V1913" s="67"/>
      <c r="W1913" s="85" t="str">
        <f aca="false">IF(AH1913="","",N(Q1913)+N(R1913)+N(S1913)+N(T1913)+N(U1913)+N(V1913))</f>
        <v/>
      </c>
      <c r="X1913" s="85" t="str">
        <f aca="false">IF(AH1913="","",P1913-W1913)</f>
        <v/>
      </c>
      <c r="Y1913" s="67"/>
      <c r="Z1913" s="70" t="str">
        <f aca="false">IF(OR(AH1913="",Y1913=""),"",IF(ABS(X1913-Y1913)&lt;=1,"✓ Cuadra","⚠ Diferencia $"&amp;FIXED(X1913-Y1913,0)))</f>
        <v/>
      </c>
      <c r="AA1913" s="72" t="str">
        <f aca="false">IF(AH1913="","",IFERROR(INDEX(C_TIPO,MATCH(C1913&amp;"-P"&amp;MAX(1,COUNTIFS(C_ID,C1913,C_DEFINE,"Sí",C_INICIO,"&lt;="&amp;EOMONTH(B1913,0))),C_CLAVE,0))&amp;"","Sin dato"))</f>
        <v/>
      </c>
      <c r="AB1913" s="71" t="str">
        <f aca="false">IF(AH1913="","",ROUND(MIN(K1913,TOPE_AFP_UF*AJ1913)*AK1913,0))</f>
        <v/>
      </c>
      <c r="AC1913" s="71" t="str">
        <f aca="false">IF(AH1913="","",ROUND(MIN(K1913,TOPE_AFC_UF*AJ1913)*IF(AA1913="Indefinido",AFC_EMP_INDEF,AFC_EMP_PF),0))</f>
        <v/>
      </c>
      <c r="AD1913" s="71" t="str">
        <f aca="false">IF(AH1913="","",ROUND(MIN(K1913,TOPE_AFP_UF*AJ1913)*(MUTUAL_BASICA+MUTUAL_ADIC+SANNA),0))</f>
        <v/>
      </c>
      <c r="AE1913" s="71" t="str">
        <f aca="false">IF(AH1913="","",P1913-N(N1913)+AB1913+AC1913+AD1913)</f>
        <v/>
      </c>
      <c r="AF1913" s="65"/>
      <c r="AG1913" s="64"/>
      <c r="AH1913" s="72" t="str">
        <f aca="false">IF(OR(B1913="",C1913=""),"",C1913&amp;"|"&amp;(YEAR(B1913)*100+MONTH(B1913)))</f>
        <v/>
      </c>
      <c r="AI1913" s="70" t="str">
        <f aca="false">IF(AH1913="","",IF(COUNTIF(L_CLAVE,AH1913)&gt;1,"⚠ Duplicado","OK"))</f>
        <v/>
      </c>
      <c r="AJ1913" s="86" t="str">
        <f aca="false">IF(AH1913="","",IF(SUMPRODUCT(MAX((IND_PER&lt;=B1913)*(IND_UF&lt;&gt;"")*IND_PER))=0,UF_HOY,INDEX(IND_UF,MATCH(SUMPRODUCT(MAX((IND_PER&lt;=B1913)*(IND_UF&lt;&gt;"")*IND_PER)),IND_PER,0))))</f>
        <v/>
      </c>
      <c r="AK1913" s="87" t="str">
        <f aca="false">IF(AH1913="","",IF(COUNTIF(TASA_DESDE,"&lt;="&amp;B1913)=0,INDEX(TASA_EMP,1),INDEX(TASA_EMP,COUNTIF(TASA_DESDE,"&lt;="&amp;B1913))))</f>
        <v/>
      </c>
    </row>
    <row r="1914" customFormat="false" ht="15" hidden="false" customHeight="false" outlineLevel="0" collapsed="false">
      <c r="B1914" s="78"/>
      <c r="C1914" s="64"/>
      <c r="D1914" s="72" t="str">
        <f aca="false">IF(C1914="","",IFERROR(INDEX(T_NOMBRE,MATCH(C1914,T_ID,0)),"⚠ ID no existe"))</f>
        <v/>
      </c>
      <c r="E1914" s="69"/>
      <c r="F1914" s="67"/>
      <c r="G1914" s="67"/>
      <c r="H1914" s="67"/>
      <c r="I1914" s="67"/>
      <c r="J1914" s="67"/>
      <c r="K1914" s="85" t="str">
        <f aca="false">IF(AH1914="","",N(F1914)+N(G1914)+N(H1914)-N(I1914)+N(J1914))</f>
        <v/>
      </c>
      <c r="L1914" s="67"/>
      <c r="M1914" s="67"/>
      <c r="N1914" s="67"/>
      <c r="O1914" s="67"/>
      <c r="P1914" s="85" t="str">
        <f aca="false">IF(AH1914="","",K1914+N(L1914)+N(M1914)+N(N1914)+N(O1914))</f>
        <v/>
      </c>
      <c r="Q1914" s="67"/>
      <c r="R1914" s="67"/>
      <c r="S1914" s="67"/>
      <c r="T1914" s="67"/>
      <c r="U1914" s="67"/>
      <c r="V1914" s="67"/>
      <c r="W1914" s="85" t="str">
        <f aca="false">IF(AH1914="","",N(Q1914)+N(R1914)+N(S1914)+N(T1914)+N(U1914)+N(V1914))</f>
        <v/>
      </c>
      <c r="X1914" s="85" t="str">
        <f aca="false">IF(AH1914="","",P1914-W1914)</f>
        <v/>
      </c>
      <c r="Y1914" s="67"/>
      <c r="Z1914" s="70" t="str">
        <f aca="false">IF(OR(AH1914="",Y1914=""),"",IF(ABS(X1914-Y1914)&lt;=1,"✓ Cuadra","⚠ Diferencia $"&amp;FIXED(X1914-Y1914,0)))</f>
        <v/>
      </c>
      <c r="AA1914" s="72" t="str">
        <f aca="false">IF(AH1914="","",IFERROR(INDEX(C_TIPO,MATCH(C1914&amp;"-P"&amp;MAX(1,COUNTIFS(C_ID,C1914,C_DEFINE,"Sí",C_INICIO,"&lt;="&amp;EOMONTH(B1914,0))),C_CLAVE,0))&amp;"","Sin dato"))</f>
        <v/>
      </c>
      <c r="AB1914" s="71" t="str">
        <f aca="false">IF(AH1914="","",ROUND(MIN(K1914,TOPE_AFP_UF*AJ1914)*AK1914,0))</f>
        <v/>
      </c>
      <c r="AC1914" s="71" t="str">
        <f aca="false">IF(AH1914="","",ROUND(MIN(K1914,TOPE_AFC_UF*AJ1914)*IF(AA1914="Indefinido",AFC_EMP_INDEF,AFC_EMP_PF),0))</f>
        <v/>
      </c>
      <c r="AD1914" s="71" t="str">
        <f aca="false">IF(AH1914="","",ROUND(MIN(K1914,TOPE_AFP_UF*AJ1914)*(MUTUAL_BASICA+MUTUAL_ADIC+SANNA),0))</f>
        <v/>
      </c>
      <c r="AE1914" s="71" t="str">
        <f aca="false">IF(AH1914="","",P1914-N(N1914)+AB1914+AC1914+AD1914)</f>
        <v/>
      </c>
      <c r="AF1914" s="65"/>
      <c r="AG1914" s="64"/>
      <c r="AH1914" s="72" t="str">
        <f aca="false">IF(OR(B1914="",C1914=""),"",C1914&amp;"|"&amp;(YEAR(B1914)*100+MONTH(B1914)))</f>
        <v/>
      </c>
      <c r="AI1914" s="70" t="str">
        <f aca="false">IF(AH1914="","",IF(COUNTIF(L_CLAVE,AH1914)&gt;1,"⚠ Duplicado","OK"))</f>
        <v/>
      </c>
      <c r="AJ1914" s="86" t="str">
        <f aca="false">IF(AH1914="","",IF(SUMPRODUCT(MAX((IND_PER&lt;=B1914)*(IND_UF&lt;&gt;"")*IND_PER))=0,UF_HOY,INDEX(IND_UF,MATCH(SUMPRODUCT(MAX((IND_PER&lt;=B1914)*(IND_UF&lt;&gt;"")*IND_PER)),IND_PER,0))))</f>
        <v/>
      </c>
      <c r="AK1914" s="87" t="str">
        <f aca="false">IF(AH1914="","",IF(COUNTIF(TASA_DESDE,"&lt;="&amp;B1914)=0,INDEX(TASA_EMP,1),INDEX(TASA_EMP,COUNTIF(TASA_DESDE,"&lt;="&amp;B1914))))</f>
        <v/>
      </c>
    </row>
    <row r="1915" customFormat="false" ht="15" hidden="false" customHeight="false" outlineLevel="0" collapsed="false">
      <c r="B1915" s="78"/>
      <c r="C1915" s="64"/>
      <c r="D1915" s="72" t="str">
        <f aca="false">IF(C1915="","",IFERROR(INDEX(T_NOMBRE,MATCH(C1915,T_ID,0)),"⚠ ID no existe"))</f>
        <v/>
      </c>
      <c r="E1915" s="69"/>
      <c r="F1915" s="67"/>
      <c r="G1915" s="67"/>
      <c r="H1915" s="67"/>
      <c r="I1915" s="67"/>
      <c r="J1915" s="67"/>
      <c r="K1915" s="85" t="str">
        <f aca="false">IF(AH1915="","",N(F1915)+N(G1915)+N(H1915)-N(I1915)+N(J1915))</f>
        <v/>
      </c>
      <c r="L1915" s="67"/>
      <c r="M1915" s="67"/>
      <c r="N1915" s="67"/>
      <c r="O1915" s="67"/>
      <c r="P1915" s="85" t="str">
        <f aca="false">IF(AH1915="","",K1915+N(L1915)+N(M1915)+N(N1915)+N(O1915))</f>
        <v/>
      </c>
      <c r="Q1915" s="67"/>
      <c r="R1915" s="67"/>
      <c r="S1915" s="67"/>
      <c r="T1915" s="67"/>
      <c r="U1915" s="67"/>
      <c r="V1915" s="67"/>
      <c r="W1915" s="85" t="str">
        <f aca="false">IF(AH1915="","",N(Q1915)+N(R1915)+N(S1915)+N(T1915)+N(U1915)+N(V1915))</f>
        <v/>
      </c>
      <c r="X1915" s="85" t="str">
        <f aca="false">IF(AH1915="","",P1915-W1915)</f>
        <v/>
      </c>
      <c r="Y1915" s="67"/>
      <c r="Z1915" s="70" t="str">
        <f aca="false">IF(OR(AH1915="",Y1915=""),"",IF(ABS(X1915-Y1915)&lt;=1,"✓ Cuadra","⚠ Diferencia $"&amp;FIXED(X1915-Y1915,0)))</f>
        <v/>
      </c>
      <c r="AA1915" s="72" t="str">
        <f aca="false">IF(AH1915="","",IFERROR(INDEX(C_TIPO,MATCH(C1915&amp;"-P"&amp;MAX(1,COUNTIFS(C_ID,C1915,C_DEFINE,"Sí",C_INICIO,"&lt;="&amp;EOMONTH(B1915,0))),C_CLAVE,0))&amp;"","Sin dato"))</f>
        <v/>
      </c>
      <c r="AB1915" s="71" t="str">
        <f aca="false">IF(AH1915="","",ROUND(MIN(K1915,TOPE_AFP_UF*AJ1915)*AK1915,0))</f>
        <v/>
      </c>
      <c r="AC1915" s="71" t="str">
        <f aca="false">IF(AH1915="","",ROUND(MIN(K1915,TOPE_AFC_UF*AJ1915)*IF(AA1915="Indefinido",AFC_EMP_INDEF,AFC_EMP_PF),0))</f>
        <v/>
      </c>
      <c r="AD1915" s="71" t="str">
        <f aca="false">IF(AH1915="","",ROUND(MIN(K1915,TOPE_AFP_UF*AJ1915)*(MUTUAL_BASICA+MUTUAL_ADIC+SANNA),0))</f>
        <v/>
      </c>
      <c r="AE1915" s="71" t="str">
        <f aca="false">IF(AH1915="","",P1915-N(N1915)+AB1915+AC1915+AD1915)</f>
        <v/>
      </c>
      <c r="AF1915" s="65"/>
      <c r="AG1915" s="64"/>
      <c r="AH1915" s="72" t="str">
        <f aca="false">IF(OR(B1915="",C1915=""),"",C1915&amp;"|"&amp;(YEAR(B1915)*100+MONTH(B1915)))</f>
        <v/>
      </c>
      <c r="AI1915" s="70" t="str">
        <f aca="false">IF(AH1915="","",IF(COUNTIF(L_CLAVE,AH1915)&gt;1,"⚠ Duplicado","OK"))</f>
        <v/>
      </c>
      <c r="AJ1915" s="86" t="str">
        <f aca="false">IF(AH1915="","",IF(SUMPRODUCT(MAX((IND_PER&lt;=B1915)*(IND_UF&lt;&gt;"")*IND_PER))=0,UF_HOY,INDEX(IND_UF,MATCH(SUMPRODUCT(MAX((IND_PER&lt;=B1915)*(IND_UF&lt;&gt;"")*IND_PER)),IND_PER,0))))</f>
        <v/>
      </c>
      <c r="AK1915" s="87" t="str">
        <f aca="false">IF(AH1915="","",IF(COUNTIF(TASA_DESDE,"&lt;="&amp;B1915)=0,INDEX(TASA_EMP,1),INDEX(TASA_EMP,COUNTIF(TASA_DESDE,"&lt;="&amp;B1915))))</f>
        <v/>
      </c>
    </row>
    <row r="1916" customFormat="false" ht="15" hidden="false" customHeight="false" outlineLevel="0" collapsed="false">
      <c r="B1916" s="78"/>
      <c r="C1916" s="64"/>
      <c r="D1916" s="72" t="str">
        <f aca="false">IF(C1916="","",IFERROR(INDEX(T_NOMBRE,MATCH(C1916,T_ID,0)),"⚠ ID no existe"))</f>
        <v/>
      </c>
      <c r="E1916" s="69"/>
      <c r="F1916" s="67"/>
      <c r="G1916" s="67"/>
      <c r="H1916" s="67"/>
      <c r="I1916" s="67"/>
      <c r="J1916" s="67"/>
      <c r="K1916" s="85" t="str">
        <f aca="false">IF(AH1916="","",N(F1916)+N(G1916)+N(H1916)-N(I1916)+N(J1916))</f>
        <v/>
      </c>
      <c r="L1916" s="67"/>
      <c r="M1916" s="67"/>
      <c r="N1916" s="67"/>
      <c r="O1916" s="67"/>
      <c r="P1916" s="85" t="str">
        <f aca="false">IF(AH1916="","",K1916+N(L1916)+N(M1916)+N(N1916)+N(O1916))</f>
        <v/>
      </c>
      <c r="Q1916" s="67"/>
      <c r="R1916" s="67"/>
      <c r="S1916" s="67"/>
      <c r="T1916" s="67"/>
      <c r="U1916" s="67"/>
      <c r="V1916" s="67"/>
      <c r="W1916" s="85" t="str">
        <f aca="false">IF(AH1916="","",N(Q1916)+N(R1916)+N(S1916)+N(T1916)+N(U1916)+N(V1916))</f>
        <v/>
      </c>
      <c r="X1916" s="85" t="str">
        <f aca="false">IF(AH1916="","",P1916-W1916)</f>
        <v/>
      </c>
      <c r="Y1916" s="67"/>
      <c r="Z1916" s="70" t="str">
        <f aca="false">IF(OR(AH1916="",Y1916=""),"",IF(ABS(X1916-Y1916)&lt;=1,"✓ Cuadra","⚠ Diferencia $"&amp;FIXED(X1916-Y1916,0)))</f>
        <v/>
      </c>
      <c r="AA1916" s="72" t="str">
        <f aca="false">IF(AH1916="","",IFERROR(INDEX(C_TIPO,MATCH(C1916&amp;"-P"&amp;MAX(1,COUNTIFS(C_ID,C1916,C_DEFINE,"Sí",C_INICIO,"&lt;="&amp;EOMONTH(B1916,0))),C_CLAVE,0))&amp;"","Sin dato"))</f>
        <v/>
      </c>
      <c r="AB1916" s="71" t="str">
        <f aca="false">IF(AH1916="","",ROUND(MIN(K1916,TOPE_AFP_UF*AJ1916)*AK1916,0))</f>
        <v/>
      </c>
      <c r="AC1916" s="71" t="str">
        <f aca="false">IF(AH1916="","",ROUND(MIN(K1916,TOPE_AFC_UF*AJ1916)*IF(AA1916="Indefinido",AFC_EMP_INDEF,AFC_EMP_PF),0))</f>
        <v/>
      </c>
      <c r="AD1916" s="71" t="str">
        <f aca="false">IF(AH1916="","",ROUND(MIN(K1916,TOPE_AFP_UF*AJ1916)*(MUTUAL_BASICA+MUTUAL_ADIC+SANNA),0))</f>
        <v/>
      </c>
      <c r="AE1916" s="71" t="str">
        <f aca="false">IF(AH1916="","",P1916-N(N1916)+AB1916+AC1916+AD1916)</f>
        <v/>
      </c>
      <c r="AF1916" s="65"/>
      <c r="AG1916" s="64"/>
      <c r="AH1916" s="72" t="str">
        <f aca="false">IF(OR(B1916="",C1916=""),"",C1916&amp;"|"&amp;(YEAR(B1916)*100+MONTH(B1916)))</f>
        <v/>
      </c>
      <c r="AI1916" s="70" t="str">
        <f aca="false">IF(AH1916="","",IF(COUNTIF(L_CLAVE,AH1916)&gt;1,"⚠ Duplicado","OK"))</f>
        <v/>
      </c>
      <c r="AJ1916" s="86" t="str">
        <f aca="false">IF(AH1916="","",IF(SUMPRODUCT(MAX((IND_PER&lt;=B1916)*(IND_UF&lt;&gt;"")*IND_PER))=0,UF_HOY,INDEX(IND_UF,MATCH(SUMPRODUCT(MAX((IND_PER&lt;=B1916)*(IND_UF&lt;&gt;"")*IND_PER)),IND_PER,0))))</f>
        <v/>
      </c>
      <c r="AK1916" s="87" t="str">
        <f aca="false">IF(AH1916="","",IF(COUNTIF(TASA_DESDE,"&lt;="&amp;B1916)=0,INDEX(TASA_EMP,1),INDEX(TASA_EMP,COUNTIF(TASA_DESDE,"&lt;="&amp;B1916))))</f>
        <v/>
      </c>
    </row>
    <row r="1917" customFormat="false" ht="15" hidden="false" customHeight="false" outlineLevel="0" collapsed="false">
      <c r="B1917" s="78"/>
      <c r="C1917" s="64"/>
      <c r="D1917" s="72" t="str">
        <f aca="false">IF(C1917="","",IFERROR(INDEX(T_NOMBRE,MATCH(C1917,T_ID,0)),"⚠ ID no existe"))</f>
        <v/>
      </c>
      <c r="E1917" s="69"/>
      <c r="F1917" s="67"/>
      <c r="G1917" s="67"/>
      <c r="H1917" s="67"/>
      <c r="I1917" s="67"/>
      <c r="J1917" s="67"/>
      <c r="K1917" s="85" t="str">
        <f aca="false">IF(AH1917="","",N(F1917)+N(G1917)+N(H1917)-N(I1917)+N(J1917))</f>
        <v/>
      </c>
      <c r="L1917" s="67"/>
      <c r="M1917" s="67"/>
      <c r="N1917" s="67"/>
      <c r="O1917" s="67"/>
      <c r="P1917" s="85" t="str">
        <f aca="false">IF(AH1917="","",K1917+N(L1917)+N(M1917)+N(N1917)+N(O1917))</f>
        <v/>
      </c>
      <c r="Q1917" s="67"/>
      <c r="R1917" s="67"/>
      <c r="S1917" s="67"/>
      <c r="T1917" s="67"/>
      <c r="U1917" s="67"/>
      <c r="V1917" s="67"/>
      <c r="W1917" s="85" t="str">
        <f aca="false">IF(AH1917="","",N(Q1917)+N(R1917)+N(S1917)+N(T1917)+N(U1917)+N(V1917))</f>
        <v/>
      </c>
      <c r="X1917" s="85" t="str">
        <f aca="false">IF(AH1917="","",P1917-W1917)</f>
        <v/>
      </c>
      <c r="Y1917" s="67"/>
      <c r="Z1917" s="70" t="str">
        <f aca="false">IF(OR(AH1917="",Y1917=""),"",IF(ABS(X1917-Y1917)&lt;=1,"✓ Cuadra","⚠ Diferencia $"&amp;FIXED(X1917-Y1917,0)))</f>
        <v/>
      </c>
      <c r="AA1917" s="72" t="str">
        <f aca="false">IF(AH1917="","",IFERROR(INDEX(C_TIPO,MATCH(C1917&amp;"-P"&amp;MAX(1,COUNTIFS(C_ID,C1917,C_DEFINE,"Sí",C_INICIO,"&lt;="&amp;EOMONTH(B1917,0))),C_CLAVE,0))&amp;"","Sin dato"))</f>
        <v/>
      </c>
      <c r="AB1917" s="71" t="str">
        <f aca="false">IF(AH1917="","",ROUND(MIN(K1917,TOPE_AFP_UF*AJ1917)*AK1917,0))</f>
        <v/>
      </c>
      <c r="AC1917" s="71" t="str">
        <f aca="false">IF(AH1917="","",ROUND(MIN(K1917,TOPE_AFC_UF*AJ1917)*IF(AA1917="Indefinido",AFC_EMP_INDEF,AFC_EMP_PF),0))</f>
        <v/>
      </c>
      <c r="AD1917" s="71" t="str">
        <f aca="false">IF(AH1917="","",ROUND(MIN(K1917,TOPE_AFP_UF*AJ1917)*(MUTUAL_BASICA+MUTUAL_ADIC+SANNA),0))</f>
        <v/>
      </c>
      <c r="AE1917" s="71" t="str">
        <f aca="false">IF(AH1917="","",P1917-N(N1917)+AB1917+AC1917+AD1917)</f>
        <v/>
      </c>
      <c r="AF1917" s="65"/>
      <c r="AG1917" s="64"/>
      <c r="AH1917" s="72" t="str">
        <f aca="false">IF(OR(B1917="",C1917=""),"",C1917&amp;"|"&amp;(YEAR(B1917)*100+MONTH(B1917)))</f>
        <v/>
      </c>
      <c r="AI1917" s="70" t="str">
        <f aca="false">IF(AH1917="","",IF(COUNTIF(L_CLAVE,AH1917)&gt;1,"⚠ Duplicado","OK"))</f>
        <v/>
      </c>
      <c r="AJ1917" s="86" t="str">
        <f aca="false">IF(AH1917="","",IF(SUMPRODUCT(MAX((IND_PER&lt;=B1917)*(IND_UF&lt;&gt;"")*IND_PER))=0,UF_HOY,INDEX(IND_UF,MATCH(SUMPRODUCT(MAX((IND_PER&lt;=B1917)*(IND_UF&lt;&gt;"")*IND_PER)),IND_PER,0))))</f>
        <v/>
      </c>
      <c r="AK1917" s="87" t="str">
        <f aca="false">IF(AH1917="","",IF(COUNTIF(TASA_DESDE,"&lt;="&amp;B1917)=0,INDEX(TASA_EMP,1),INDEX(TASA_EMP,COUNTIF(TASA_DESDE,"&lt;="&amp;B1917))))</f>
        <v/>
      </c>
    </row>
    <row r="1918" customFormat="false" ht="15" hidden="false" customHeight="false" outlineLevel="0" collapsed="false">
      <c r="B1918" s="78"/>
      <c r="C1918" s="64"/>
      <c r="D1918" s="72" t="str">
        <f aca="false">IF(C1918="","",IFERROR(INDEX(T_NOMBRE,MATCH(C1918,T_ID,0)),"⚠ ID no existe"))</f>
        <v/>
      </c>
      <c r="E1918" s="69"/>
      <c r="F1918" s="67"/>
      <c r="G1918" s="67"/>
      <c r="H1918" s="67"/>
      <c r="I1918" s="67"/>
      <c r="J1918" s="67"/>
      <c r="K1918" s="85" t="str">
        <f aca="false">IF(AH1918="","",N(F1918)+N(G1918)+N(H1918)-N(I1918)+N(J1918))</f>
        <v/>
      </c>
      <c r="L1918" s="67"/>
      <c r="M1918" s="67"/>
      <c r="N1918" s="67"/>
      <c r="O1918" s="67"/>
      <c r="P1918" s="85" t="str">
        <f aca="false">IF(AH1918="","",K1918+N(L1918)+N(M1918)+N(N1918)+N(O1918))</f>
        <v/>
      </c>
      <c r="Q1918" s="67"/>
      <c r="R1918" s="67"/>
      <c r="S1918" s="67"/>
      <c r="T1918" s="67"/>
      <c r="U1918" s="67"/>
      <c r="V1918" s="67"/>
      <c r="W1918" s="85" t="str">
        <f aca="false">IF(AH1918="","",N(Q1918)+N(R1918)+N(S1918)+N(T1918)+N(U1918)+N(V1918))</f>
        <v/>
      </c>
      <c r="X1918" s="85" t="str">
        <f aca="false">IF(AH1918="","",P1918-W1918)</f>
        <v/>
      </c>
      <c r="Y1918" s="67"/>
      <c r="Z1918" s="70" t="str">
        <f aca="false">IF(OR(AH1918="",Y1918=""),"",IF(ABS(X1918-Y1918)&lt;=1,"✓ Cuadra","⚠ Diferencia $"&amp;FIXED(X1918-Y1918,0)))</f>
        <v/>
      </c>
      <c r="AA1918" s="72" t="str">
        <f aca="false">IF(AH1918="","",IFERROR(INDEX(C_TIPO,MATCH(C1918&amp;"-P"&amp;MAX(1,COUNTIFS(C_ID,C1918,C_DEFINE,"Sí",C_INICIO,"&lt;="&amp;EOMONTH(B1918,0))),C_CLAVE,0))&amp;"","Sin dato"))</f>
        <v/>
      </c>
      <c r="AB1918" s="71" t="str">
        <f aca="false">IF(AH1918="","",ROUND(MIN(K1918,TOPE_AFP_UF*AJ1918)*AK1918,0))</f>
        <v/>
      </c>
      <c r="AC1918" s="71" t="str">
        <f aca="false">IF(AH1918="","",ROUND(MIN(K1918,TOPE_AFC_UF*AJ1918)*IF(AA1918="Indefinido",AFC_EMP_INDEF,AFC_EMP_PF),0))</f>
        <v/>
      </c>
      <c r="AD1918" s="71" t="str">
        <f aca="false">IF(AH1918="","",ROUND(MIN(K1918,TOPE_AFP_UF*AJ1918)*(MUTUAL_BASICA+MUTUAL_ADIC+SANNA),0))</f>
        <v/>
      </c>
      <c r="AE1918" s="71" t="str">
        <f aca="false">IF(AH1918="","",P1918-N(N1918)+AB1918+AC1918+AD1918)</f>
        <v/>
      </c>
      <c r="AF1918" s="65"/>
      <c r="AG1918" s="64"/>
      <c r="AH1918" s="72" t="str">
        <f aca="false">IF(OR(B1918="",C1918=""),"",C1918&amp;"|"&amp;(YEAR(B1918)*100+MONTH(B1918)))</f>
        <v/>
      </c>
      <c r="AI1918" s="70" t="str">
        <f aca="false">IF(AH1918="","",IF(COUNTIF(L_CLAVE,AH1918)&gt;1,"⚠ Duplicado","OK"))</f>
        <v/>
      </c>
      <c r="AJ1918" s="86" t="str">
        <f aca="false">IF(AH1918="","",IF(SUMPRODUCT(MAX((IND_PER&lt;=B1918)*(IND_UF&lt;&gt;"")*IND_PER))=0,UF_HOY,INDEX(IND_UF,MATCH(SUMPRODUCT(MAX((IND_PER&lt;=B1918)*(IND_UF&lt;&gt;"")*IND_PER)),IND_PER,0))))</f>
        <v/>
      </c>
      <c r="AK1918" s="87" t="str">
        <f aca="false">IF(AH1918="","",IF(COUNTIF(TASA_DESDE,"&lt;="&amp;B1918)=0,INDEX(TASA_EMP,1),INDEX(TASA_EMP,COUNTIF(TASA_DESDE,"&lt;="&amp;B1918))))</f>
        <v/>
      </c>
    </row>
    <row r="1919" customFormat="false" ht="15" hidden="false" customHeight="false" outlineLevel="0" collapsed="false">
      <c r="B1919" s="78"/>
      <c r="C1919" s="64"/>
      <c r="D1919" s="72" t="str">
        <f aca="false">IF(C1919="","",IFERROR(INDEX(T_NOMBRE,MATCH(C1919,T_ID,0)),"⚠ ID no existe"))</f>
        <v/>
      </c>
      <c r="E1919" s="69"/>
      <c r="F1919" s="67"/>
      <c r="G1919" s="67"/>
      <c r="H1919" s="67"/>
      <c r="I1919" s="67"/>
      <c r="J1919" s="67"/>
      <c r="K1919" s="85" t="str">
        <f aca="false">IF(AH1919="","",N(F1919)+N(G1919)+N(H1919)-N(I1919)+N(J1919))</f>
        <v/>
      </c>
      <c r="L1919" s="67"/>
      <c r="M1919" s="67"/>
      <c r="N1919" s="67"/>
      <c r="O1919" s="67"/>
      <c r="P1919" s="85" t="str">
        <f aca="false">IF(AH1919="","",K1919+N(L1919)+N(M1919)+N(N1919)+N(O1919))</f>
        <v/>
      </c>
      <c r="Q1919" s="67"/>
      <c r="R1919" s="67"/>
      <c r="S1919" s="67"/>
      <c r="T1919" s="67"/>
      <c r="U1919" s="67"/>
      <c r="V1919" s="67"/>
      <c r="W1919" s="85" t="str">
        <f aca="false">IF(AH1919="","",N(Q1919)+N(R1919)+N(S1919)+N(T1919)+N(U1919)+N(V1919))</f>
        <v/>
      </c>
      <c r="X1919" s="85" t="str">
        <f aca="false">IF(AH1919="","",P1919-W1919)</f>
        <v/>
      </c>
      <c r="Y1919" s="67"/>
      <c r="Z1919" s="70" t="str">
        <f aca="false">IF(OR(AH1919="",Y1919=""),"",IF(ABS(X1919-Y1919)&lt;=1,"✓ Cuadra","⚠ Diferencia $"&amp;FIXED(X1919-Y1919,0)))</f>
        <v/>
      </c>
      <c r="AA1919" s="72" t="str">
        <f aca="false">IF(AH1919="","",IFERROR(INDEX(C_TIPO,MATCH(C1919&amp;"-P"&amp;MAX(1,COUNTIFS(C_ID,C1919,C_DEFINE,"Sí",C_INICIO,"&lt;="&amp;EOMONTH(B1919,0))),C_CLAVE,0))&amp;"","Sin dato"))</f>
        <v/>
      </c>
      <c r="AB1919" s="71" t="str">
        <f aca="false">IF(AH1919="","",ROUND(MIN(K1919,TOPE_AFP_UF*AJ1919)*AK1919,0))</f>
        <v/>
      </c>
      <c r="AC1919" s="71" t="str">
        <f aca="false">IF(AH1919="","",ROUND(MIN(K1919,TOPE_AFC_UF*AJ1919)*IF(AA1919="Indefinido",AFC_EMP_INDEF,AFC_EMP_PF),0))</f>
        <v/>
      </c>
      <c r="AD1919" s="71" t="str">
        <f aca="false">IF(AH1919="","",ROUND(MIN(K1919,TOPE_AFP_UF*AJ1919)*(MUTUAL_BASICA+MUTUAL_ADIC+SANNA),0))</f>
        <v/>
      </c>
      <c r="AE1919" s="71" t="str">
        <f aca="false">IF(AH1919="","",P1919-N(N1919)+AB1919+AC1919+AD1919)</f>
        <v/>
      </c>
      <c r="AF1919" s="65"/>
      <c r="AG1919" s="64"/>
      <c r="AH1919" s="72" t="str">
        <f aca="false">IF(OR(B1919="",C1919=""),"",C1919&amp;"|"&amp;(YEAR(B1919)*100+MONTH(B1919)))</f>
        <v/>
      </c>
      <c r="AI1919" s="70" t="str">
        <f aca="false">IF(AH1919="","",IF(COUNTIF(L_CLAVE,AH1919)&gt;1,"⚠ Duplicado","OK"))</f>
        <v/>
      </c>
      <c r="AJ1919" s="86" t="str">
        <f aca="false">IF(AH1919="","",IF(SUMPRODUCT(MAX((IND_PER&lt;=B1919)*(IND_UF&lt;&gt;"")*IND_PER))=0,UF_HOY,INDEX(IND_UF,MATCH(SUMPRODUCT(MAX((IND_PER&lt;=B1919)*(IND_UF&lt;&gt;"")*IND_PER)),IND_PER,0))))</f>
        <v/>
      </c>
      <c r="AK1919" s="87" t="str">
        <f aca="false">IF(AH1919="","",IF(COUNTIF(TASA_DESDE,"&lt;="&amp;B1919)=0,INDEX(TASA_EMP,1),INDEX(TASA_EMP,COUNTIF(TASA_DESDE,"&lt;="&amp;B1919))))</f>
        <v/>
      </c>
    </row>
    <row r="1920" customFormat="false" ht="15" hidden="false" customHeight="false" outlineLevel="0" collapsed="false">
      <c r="B1920" s="78"/>
      <c r="C1920" s="64"/>
      <c r="D1920" s="72" t="str">
        <f aca="false">IF(C1920="","",IFERROR(INDEX(T_NOMBRE,MATCH(C1920,T_ID,0)),"⚠ ID no existe"))</f>
        <v/>
      </c>
      <c r="E1920" s="69"/>
      <c r="F1920" s="67"/>
      <c r="G1920" s="67"/>
      <c r="H1920" s="67"/>
      <c r="I1920" s="67"/>
      <c r="J1920" s="67"/>
      <c r="K1920" s="85" t="str">
        <f aca="false">IF(AH1920="","",N(F1920)+N(G1920)+N(H1920)-N(I1920)+N(J1920))</f>
        <v/>
      </c>
      <c r="L1920" s="67"/>
      <c r="M1920" s="67"/>
      <c r="N1920" s="67"/>
      <c r="O1920" s="67"/>
      <c r="P1920" s="85" t="str">
        <f aca="false">IF(AH1920="","",K1920+N(L1920)+N(M1920)+N(N1920)+N(O1920))</f>
        <v/>
      </c>
      <c r="Q1920" s="67"/>
      <c r="R1920" s="67"/>
      <c r="S1920" s="67"/>
      <c r="T1920" s="67"/>
      <c r="U1920" s="67"/>
      <c r="V1920" s="67"/>
      <c r="W1920" s="85" t="str">
        <f aca="false">IF(AH1920="","",N(Q1920)+N(R1920)+N(S1920)+N(T1920)+N(U1920)+N(V1920))</f>
        <v/>
      </c>
      <c r="X1920" s="85" t="str">
        <f aca="false">IF(AH1920="","",P1920-W1920)</f>
        <v/>
      </c>
      <c r="Y1920" s="67"/>
      <c r="Z1920" s="70" t="str">
        <f aca="false">IF(OR(AH1920="",Y1920=""),"",IF(ABS(X1920-Y1920)&lt;=1,"✓ Cuadra","⚠ Diferencia $"&amp;FIXED(X1920-Y1920,0)))</f>
        <v/>
      </c>
      <c r="AA1920" s="72" t="str">
        <f aca="false">IF(AH1920="","",IFERROR(INDEX(C_TIPO,MATCH(C1920&amp;"-P"&amp;MAX(1,COUNTIFS(C_ID,C1920,C_DEFINE,"Sí",C_INICIO,"&lt;="&amp;EOMONTH(B1920,0))),C_CLAVE,0))&amp;"","Sin dato"))</f>
        <v/>
      </c>
      <c r="AB1920" s="71" t="str">
        <f aca="false">IF(AH1920="","",ROUND(MIN(K1920,TOPE_AFP_UF*AJ1920)*AK1920,0))</f>
        <v/>
      </c>
      <c r="AC1920" s="71" t="str">
        <f aca="false">IF(AH1920="","",ROUND(MIN(K1920,TOPE_AFC_UF*AJ1920)*IF(AA1920="Indefinido",AFC_EMP_INDEF,AFC_EMP_PF),0))</f>
        <v/>
      </c>
      <c r="AD1920" s="71" t="str">
        <f aca="false">IF(AH1920="","",ROUND(MIN(K1920,TOPE_AFP_UF*AJ1920)*(MUTUAL_BASICA+MUTUAL_ADIC+SANNA),0))</f>
        <v/>
      </c>
      <c r="AE1920" s="71" t="str">
        <f aca="false">IF(AH1920="","",P1920-N(N1920)+AB1920+AC1920+AD1920)</f>
        <v/>
      </c>
      <c r="AF1920" s="65"/>
      <c r="AG1920" s="64"/>
      <c r="AH1920" s="72" t="str">
        <f aca="false">IF(OR(B1920="",C1920=""),"",C1920&amp;"|"&amp;(YEAR(B1920)*100+MONTH(B1920)))</f>
        <v/>
      </c>
      <c r="AI1920" s="70" t="str">
        <f aca="false">IF(AH1920="","",IF(COUNTIF(L_CLAVE,AH1920)&gt;1,"⚠ Duplicado","OK"))</f>
        <v/>
      </c>
      <c r="AJ1920" s="86" t="str">
        <f aca="false">IF(AH1920="","",IF(SUMPRODUCT(MAX((IND_PER&lt;=B1920)*(IND_UF&lt;&gt;"")*IND_PER))=0,UF_HOY,INDEX(IND_UF,MATCH(SUMPRODUCT(MAX((IND_PER&lt;=B1920)*(IND_UF&lt;&gt;"")*IND_PER)),IND_PER,0))))</f>
        <v/>
      </c>
      <c r="AK1920" s="87" t="str">
        <f aca="false">IF(AH1920="","",IF(COUNTIF(TASA_DESDE,"&lt;="&amp;B1920)=0,INDEX(TASA_EMP,1),INDEX(TASA_EMP,COUNTIF(TASA_DESDE,"&lt;="&amp;B1920))))</f>
        <v/>
      </c>
    </row>
    <row r="1921" customFormat="false" ht="15" hidden="false" customHeight="false" outlineLevel="0" collapsed="false">
      <c r="B1921" s="78"/>
      <c r="C1921" s="64"/>
      <c r="D1921" s="72" t="str">
        <f aca="false">IF(C1921="","",IFERROR(INDEX(T_NOMBRE,MATCH(C1921,T_ID,0)),"⚠ ID no existe"))</f>
        <v/>
      </c>
      <c r="E1921" s="69"/>
      <c r="F1921" s="67"/>
      <c r="G1921" s="67"/>
      <c r="H1921" s="67"/>
      <c r="I1921" s="67"/>
      <c r="J1921" s="67"/>
      <c r="K1921" s="85" t="str">
        <f aca="false">IF(AH1921="","",N(F1921)+N(G1921)+N(H1921)-N(I1921)+N(J1921))</f>
        <v/>
      </c>
      <c r="L1921" s="67"/>
      <c r="M1921" s="67"/>
      <c r="N1921" s="67"/>
      <c r="O1921" s="67"/>
      <c r="P1921" s="85" t="str">
        <f aca="false">IF(AH1921="","",K1921+N(L1921)+N(M1921)+N(N1921)+N(O1921))</f>
        <v/>
      </c>
      <c r="Q1921" s="67"/>
      <c r="R1921" s="67"/>
      <c r="S1921" s="67"/>
      <c r="T1921" s="67"/>
      <c r="U1921" s="67"/>
      <c r="V1921" s="67"/>
      <c r="W1921" s="85" t="str">
        <f aca="false">IF(AH1921="","",N(Q1921)+N(R1921)+N(S1921)+N(T1921)+N(U1921)+N(V1921))</f>
        <v/>
      </c>
      <c r="X1921" s="85" t="str">
        <f aca="false">IF(AH1921="","",P1921-W1921)</f>
        <v/>
      </c>
      <c r="Y1921" s="67"/>
      <c r="Z1921" s="70" t="str">
        <f aca="false">IF(OR(AH1921="",Y1921=""),"",IF(ABS(X1921-Y1921)&lt;=1,"✓ Cuadra","⚠ Diferencia $"&amp;FIXED(X1921-Y1921,0)))</f>
        <v/>
      </c>
      <c r="AA1921" s="72" t="str">
        <f aca="false">IF(AH1921="","",IFERROR(INDEX(C_TIPO,MATCH(C1921&amp;"-P"&amp;MAX(1,COUNTIFS(C_ID,C1921,C_DEFINE,"Sí",C_INICIO,"&lt;="&amp;EOMONTH(B1921,0))),C_CLAVE,0))&amp;"","Sin dato"))</f>
        <v/>
      </c>
      <c r="AB1921" s="71" t="str">
        <f aca="false">IF(AH1921="","",ROUND(MIN(K1921,TOPE_AFP_UF*AJ1921)*AK1921,0))</f>
        <v/>
      </c>
      <c r="AC1921" s="71" t="str">
        <f aca="false">IF(AH1921="","",ROUND(MIN(K1921,TOPE_AFC_UF*AJ1921)*IF(AA1921="Indefinido",AFC_EMP_INDEF,AFC_EMP_PF),0))</f>
        <v/>
      </c>
      <c r="AD1921" s="71" t="str">
        <f aca="false">IF(AH1921="","",ROUND(MIN(K1921,TOPE_AFP_UF*AJ1921)*(MUTUAL_BASICA+MUTUAL_ADIC+SANNA),0))</f>
        <v/>
      </c>
      <c r="AE1921" s="71" t="str">
        <f aca="false">IF(AH1921="","",P1921-N(N1921)+AB1921+AC1921+AD1921)</f>
        <v/>
      </c>
      <c r="AF1921" s="65"/>
      <c r="AG1921" s="64"/>
      <c r="AH1921" s="72" t="str">
        <f aca="false">IF(OR(B1921="",C1921=""),"",C1921&amp;"|"&amp;(YEAR(B1921)*100+MONTH(B1921)))</f>
        <v/>
      </c>
      <c r="AI1921" s="70" t="str">
        <f aca="false">IF(AH1921="","",IF(COUNTIF(L_CLAVE,AH1921)&gt;1,"⚠ Duplicado","OK"))</f>
        <v/>
      </c>
      <c r="AJ1921" s="86" t="str">
        <f aca="false">IF(AH1921="","",IF(SUMPRODUCT(MAX((IND_PER&lt;=B1921)*(IND_UF&lt;&gt;"")*IND_PER))=0,UF_HOY,INDEX(IND_UF,MATCH(SUMPRODUCT(MAX((IND_PER&lt;=B1921)*(IND_UF&lt;&gt;"")*IND_PER)),IND_PER,0))))</f>
        <v/>
      </c>
      <c r="AK1921" s="87" t="str">
        <f aca="false">IF(AH1921="","",IF(COUNTIF(TASA_DESDE,"&lt;="&amp;B1921)=0,INDEX(TASA_EMP,1),INDEX(TASA_EMP,COUNTIF(TASA_DESDE,"&lt;="&amp;B1921))))</f>
        <v/>
      </c>
    </row>
    <row r="1922" customFormat="false" ht="15" hidden="false" customHeight="false" outlineLevel="0" collapsed="false">
      <c r="B1922" s="78"/>
      <c r="C1922" s="64"/>
      <c r="D1922" s="72" t="str">
        <f aca="false">IF(C1922="","",IFERROR(INDEX(T_NOMBRE,MATCH(C1922,T_ID,0)),"⚠ ID no existe"))</f>
        <v/>
      </c>
      <c r="E1922" s="69"/>
      <c r="F1922" s="67"/>
      <c r="G1922" s="67"/>
      <c r="H1922" s="67"/>
      <c r="I1922" s="67"/>
      <c r="J1922" s="67"/>
      <c r="K1922" s="85" t="str">
        <f aca="false">IF(AH1922="","",N(F1922)+N(G1922)+N(H1922)-N(I1922)+N(J1922))</f>
        <v/>
      </c>
      <c r="L1922" s="67"/>
      <c r="M1922" s="67"/>
      <c r="N1922" s="67"/>
      <c r="O1922" s="67"/>
      <c r="P1922" s="85" t="str">
        <f aca="false">IF(AH1922="","",K1922+N(L1922)+N(M1922)+N(N1922)+N(O1922))</f>
        <v/>
      </c>
      <c r="Q1922" s="67"/>
      <c r="R1922" s="67"/>
      <c r="S1922" s="67"/>
      <c r="T1922" s="67"/>
      <c r="U1922" s="67"/>
      <c r="V1922" s="67"/>
      <c r="W1922" s="85" t="str">
        <f aca="false">IF(AH1922="","",N(Q1922)+N(R1922)+N(S1922)+N(T1922)+N(U1922)+N(V1922))</f>
        <v/>
      </c>
      <c r="X1922" s="85" t="str">
        <f aca="false">IF(AH1922="","",P1922-W1922)</f>
        <v/>
      </c>
      <c r="Y1922" s="67"/>
      <c r="Z1922" s="70" t="str">
        <f aca="false">IF(OR(AH1922="",Y1922=""),"",IF(ABS(X1922-Y1922)&lt;=1,"✓ Cuadra","⚠ Diferencia $"&amp;FIXED(X1922-Y1922,0)))</f>
        <v/>
      </c>
      <c r="AA1922" s="72" t="str">
        <f aca="false">IF(AH1922="","",IFERROR(INDEX(C_TIPO,MATCH(C1922&amp;"-P"&amp;MAX(1,COUNTIFS(C_ID,C1922,C_DEFINE,"Sí",C_INICIO,"&lt;="&amp;EOMONTH(B1922,0))),C_CLAVE,0))&amp;"","Sin dato"))</f>
        <v/>
      </c>
      <c r="AB1922" s="71" t="str">
        <f aca="false">IF(AH1922="","",ROUND(MIN(K1922,TOPE_AFP_UF*AJ1922)*AK1922,0))</f>
        <v/>
      </c>
      <c r="AC1922" s="71" t="str">
        <f aca="false">IF(AH1922="","",ROUND(MIN(K1922,TOPE_AFC_UF*AJ1922)*IF(AA1922="Indefinido",AFC_EMP_INDEF,AFC_EMP_PF),0))</f>
        <v/>
      </c>
      <c r="AD1922" s="71" t="str">
        <f aca="false">IF(AH1922="","",ROUND(MIN(K1922,TOPE_AFP_UF*AJ1922)*(MUTUAL_BASICA+MUTUAL_ADIC+SANNA),0))</f>
        <v/>
      </c>
      <c r="AE1922" s="71" t="str">
        <f aca="false">IF(AH1922="","",P1922-N(N1922)+AB1922+AC1922+AD1922)</f>
        <v/>
      </c>
      <c r="AF1922" s="65"/>
      <c r="AG1922" s="64"/>
      <c r="AH1922" s="72" t="str">
        <f aca="false">IF(OR(B1922="",C1922=""),"",C1922&amp;"|"&amp;(YEAR(B1922)*100+MONTH(B1922)))</f>
        <v/>
      </c>
      <c r="AI1922" s="70" t="str">
        <f aca="false">IF(AH1922="","",IF(COUNTIF(L_CLAVE,AH1922)&gt;1,"⚠ Duplicado","OK"))</f>
        <v/>
      </c>
      <c r="AJ1922" s="86" t="str">
        <f aca="false">IF(AH1922="","",IF(SUMPRODUCT(MAX((IND_PER&lt;=B1922)*(IND_UF&lt;&gt;"")*IND_PER))=0,UF_HOY,INDEX(IND_UF,MATCH(SUMPRODUCT(MAX((IND_PER&lt;=B1922)*(IND_UF&lt;&gt;"")*IND_PER)),IND_PER,0))))</f>
        <v/>
      </c>
      <c r="AK1922" s="87" t="str">
        <f aca="false">IF(AH1922="","",IF(COUNTIF(TASA_DESDE,"&lt;="&amp;B1922)=0,INDEX(TASA_EMP,1),INDEX(TASA_EMP,COUNTIF(TASA_DESDE,"&lt;="&amp;B1922))))</f>
        <v/>
      </c>
    </row>
    <row r="1923" customFormat="false" ht="15" hidden="false" customHeight="false" outlineLevel="0" collapsed="false">
      <c r="B1923" s="78"/>
      <c r="C1923" s="64"/>
      <c r="D1923" s="72" t="str">
        <f aca="false">IF(C1923="","",IFERROR(INDEX(T_NOMBRE,MATCH(C1923,T_ID,0)),"⚠ ID no existe"))</f>
        <v/>
      </c>
      <c r="E1923" s="69"/>
      <c r="F1923" s="67"/>
      <c r="G1923" s="67"/>
      <c r="H1923" s="67"/>
      <c r="I1923" s="67"/>
      <c r="J1923" s="67"/>
      <c r="K1923" s="85" t="str">
        <f aca="false">IF(AH1923="","",N(F1923)+N(G1923)+N(H1923)-N(I1923)+N(J1923))</f>
        <v/>
      </c>
      <c r="L1923" s="67"/>
      <c r="M1923" s="67"/>
      <c r="N1923" s="67"/>
      <c r="O1923" s="67"/>
      <c r="P1923" s="85" t="str">
        <f aca="false">IF(AH1923="","",K1923+N(L1923)+N(M1923)+N(N1923)+N(O1923))</f>
        <v/>
      </c>
      <c r="Q1923" s="67"/>
      <c r="R1923" s="67"/>
      <c r="S1923" s="67"/>
      <c r="T1923" s="67"/>
      <c r="U1923" s="67"/>
      <c r="V1923" s="67"/>
      <c r="W1923" s="85" t="str">
        <f aca="false">IF(AH1923="","",N(Q1923)+N(R1923)+N(S1923)+N(T1923)+N(U1923)+N(V1923))</f>
        <v/>
      </c>
      <c r="X1923" s="85" t="str">
        <f aca="false">IF(AH1923="","",P1923-W1923)</f>
        <v/>
      </c>
      <c r="Y1923" s="67"/>
      <c r="Z1923" s="70" t="str">
        <f aca="false">IF(OR(AH1923="",Y1923=""),"",IF(ABS(X1923-Y1923)&lt;=1,"✓ Cuadra","⚠ Diferencia $"&amp;FIXED(X1923-Y1923,0)))</f>
        <v/>
      </c>
      <c r="AA1923" s="72" t="str">
        <f aca="false">IF(AH1923="","",IFERROR(INDEX(C_TIPO,MATCH(C1923&amp;"-P"&amp;MAX(1,COUNTIFS(C_ID,C1923,C_DEFINE,"Sí",C_INICIO,"&lt;="&amp;EOMONTH(B1923,0))),C_CLAVE,0))&amp;"","Sin dato"))</f>
        <v/>
      </c>
      <c r="AB1923" s="71" t="str">
        <f aca="false">IF(AH1923="","",ROUND(MIN(K1923,TOPE_AFP_UF*AJ1923)*AK1923,0))</f>
        <v/>
      </c>
      <c r="AC1923" s="71" t="str">
        <f aca="false">IF(AH1923="","",ROUND(MIN(K1923,TOPE_AFC_UF*AJ1923)*IF(AA1923="Indefinido",AFC_EMP_INDEF,AFC_EMP_PF),0))</f>
        <v/>
      </c>
      <c r="AD1923" s="71" t="str">
        <f aca="false">IF(AH1923="","",ROUND(MIN(K1923,TOPE_AFP_UF*AJ1923)*(MUTUAL_BASICA+MUTUAL_ADIC+SANNA),0))</f>
        <v/>
      </c>
      <c r="AE1923" s="71" t="str">
        <f aca="false">IF(AH1923="","",P1923-N(N1923)+AB1923+AC1923+AD1923)</f>
        <v/>
      </c>
      <c r="AF1923" s="65"/>
      <c r="AG1923" s="64"/>
      <c r="AH1923" s="72" t="str">
        <f aca="false">IF(OR(B1923="",C1923=""),"",C1923&amp;"|"&amp;(YEAR(B1923)*100+MONTH(B1923)))</f>
        <v/>
      </c>
      <c r="AI1923" s="70" t="str">
        <f aca="false">IF(AH1923="","",IF(COUNTIF(L_CLAVE,AH1923)&gt;1,"⚠ Duplicado","OK"))</f>
        <v/>
      </c>
      <c r="AJ1923" s="86" t="str">
        <f aca="false">IF(AH1923="","",IF(SUMPRODUCT(MAX((IND_PER&lt;=B1923)*(IND_UF&lt;&gt;"")*IND_PER))=0,UF_HOY,INDEX(IND_UF,MATCH(SUMPRODUCT(MAX((IND_PER&lt;=B1923)*(IND_UF&lt;&gt;"")*IND_PER)),IND_PER,0))))</f>
        <v/>
      </c>
      <c r="AK1923" s="87" t="str">
        <f aca="false">IF(AH1923="","",IF(COUNTIF(TASA_DESDE,"&lt;="&amp;B1923)=0,INDEX(TASA_EMP,1),INDEX(TASA_EMP,COUNTIF(TASA_DESDE,"&lt;="&amp;B1923))))</f>
        <v/>
      </c>
    </row>
    <row r="1924" customFormat="false" ht="15" hidden="false" customHeight="false" outlineLevel="0" collapsed="false">
      <c r="B1924" s="78"/>
      <c r="C1924" s="64"/>
      <c r="D1924" s="72" t="str">
        <f aca="false">IF(C1924="","",IFERROR(INDEX(T_NOMBRE,MATCH(C1924,T_ID,0)),"⚠ ID no existe"))</f>
        <v/>
      </c>
      <c r="E1924" s="69"/>
      <c r="F1924" s="67"/>
      <c r="G1924" s="67"/>
      <c r="H1924" s="67"/>
      <c r="I1924" s="67"/>
      <c r="J1924" s="67"/>
      <c r="K1924" s="85" t="str">
        <f aca="false">IF(AH1924="","",N(F1924)+N(G1924)+N(H1924)-N(I1924)+N(J1924))</f>
        <v/>
      </c>
      <c r="L1924" s="67"/>
      <c r="M1924" s="67"/>
      <c r="N1924" s="67"/>
      <c r="O1924" s="67"/>
      <c r="P1924" s="85" t="str">
        <f aca="false">IF(AH1924="","",K1924+N(L1924)+N(M1924)+N(N1924)+N(O1924))</f>
        <v/>
      </c>
      <c r="Q1924" s="67"/>
      <c r="R1924" s="67"/>
      <c r="S1924" s="67"/>
      <c r="T1924" s="67"/>
      <c r="U1924" s="67"/>
      <c r="V1924" s="67"/>
      <c r="W1924" s="85" t="str">
        <f aca="false">IF(AH1924="","",N(Q1924)+N(R1924)+N(S1924)+N(T1924)+N(U1924)+N(V1924))</f>
        <v/>
      </c>
      <c r="X1924" s="85" t="str">
        <f aca="false">IF(AH1924="","",P1924-W1924)</f>
        <v/>
      </c>
      <c r="Y1924" s="67"/>
      <c r="Z1924" s="70" t="str">
        <f aca="false">IF(OR(AH1924="",Y1924=""),"",IF(ABS(X1924-Y1924)&lt;=1,"✓ Cuadra","⚠ Diferencia $"&amp;FIXED(X1924-Y1924,0)))</f>
        <v/>
      </c>
      <c r="AA1924" s="72" t="str">
        <f aca="false">IF(AH1924="","",IFERROR(INDEX(C_TIPO,MATCH(C1924&amp;"-P"&amp;MAX(1,COUNTIFS(C_ID,C1924,C_DEFINE,"Sí",C_INICIO,"&lt;="&amp;EOMONTH(B1924,0))),C_CLAVE,0))&amp;"","Sin dato"))</f>
        <v/>
      </c>
      <c r="AB1924" s="71" t="str">
        <f aca="false">IF(AH1924="","",ROUND(MIN(K1924,TOPE_AFP_UF*AJ1924)*AK1924,0))</f>
        <v/>
      </c>
      <c r="AC1924" s="71" t="str">
        <f aca="false">IF(AH1924="","",ROUND(MIN(K1924,TOPE_AFC_UF*AJ1924)*IF(AA1924="Indefinido",AFC_EMP_INDEF,AFC_EMP_PF),0))</f>
        <v/>
      </c>
      <c r="AD1924" s="71" t="str">
        <f aca="false">IF(AH1924="","",ROUND(MIN(K1924,TOPE_AFP_UF*AJ1924)*(MUTUAL_BASICA+MUTUAL_ADIC+SANNA),0))</f>
        <v/>
      </c>
      <c r="AE1924" s="71" t="str">
        <f aca="false">IF(AH1924="","",P1924-N(N1924)+AB1924+AC1924+AD1924)</f>
        <v/>
      </c>
      <c r="AF1924" s="65"/>
      <c r="AG1924" s="64"/>
      <c r="AH1924" s="72" t="str">
        <f aca="false">IF(OR(B1924="",C1924=""),"",C1924&amp;"|"&amp;(YEAR(B1924)*100+MONTH(B1924)))</f>
        <v/>
      </c>
      <c r="AI1924" s="70" t="str">
        <f aca="false">IF(AH1924="","",IF(COUNTIF(L_CLAVE,AH1924)&gt;1,"⚠ Duplicado","OK"))</f>
        <v/>
      </c>
      <c r="AJ1924" s="86" t="str">
        <f aca="false">IF(AH1924="","",IF(SUMPRODUCT(MAX((IND_PER&lt;=B1924)*(IND_UF&lt;&gt;"")*IND_PER))=0,UF_HOY,INDEX(IND_UF,MATCH(SUMPRODUCT(MAX((IND_PER&lt;=B1924)*(IND_UF&lt;&gt;"")*IND_PER)),IND_PER,0))))</f>
        <v/>
      </c>
      <c r="AK1924" s="87" t="str">
        <f aca="false">IF(AH1924="","",IF(COUNTIF(TASA_DESDE,"&lt;="&amp;B1924)=0,INDEX(TASA_EMP,1),INDEX(TASA_EMP,COUNTIF(TASA_DESDE,"&lt;="&amp;B1924))))</f>
        <v/>
      </c>
    </row>
    <row r="1925" customFormat="false" ht="15" hidden="false" customHeight="false" outlineLevel="0" collapsed="false">
      <c r="B1925" s="78"/>
      <c r="C1925" s="64"/>
      <c r="D1925" s="72" t="str">
        <f aca="false">IF(C1925="","",IFERROR(INDEX(T_NOMBRE,MATCH(C1925,T_ID,0)),"⚠ ID no existe"))</f>
        <v/>
      </c>
      <c r="E1925" s="69"/>
      <c r="F1925" s="67"/>
      <c r="G1925" s="67"/>
      <c r="H1925" s="67"/>
      <c r="I1925" s="67"/>
      <c r="J1925" s="67"/>
      <c r="K1925" s="85" t="str">
        <f aca="false">IF(AH1925="","",N(F1925)+N(G1925)+N(H1925)-N(I1925)+N(J1925))</f>
        <v/>
      </c>
      <c r="L1925" s="67"/>
      <c r="M1925" s="67"/>
      <c r="N1925" s="67"/>
      <c r="O1925" s="67"/>
      <c r="P1925" s="85" t="str">
        <f aca="false">IF(AH1925="","",K1925+N(L1925)+N(M1925)+N(N1925)+N(O1925))</f>
        <v/>
      </c>
      <c r="Q1925" s="67"/>
      <c r="R1925" s="67"/>
      <c r="S1925" s="67"/>
      <c r="T1925" s="67"/>
      <c r="U1925" s="67"/>
      <c r="V1925" s="67"/>
      <c r="W1925" s="85" t="str">
        <f aca="false">IF(AH1925="","",N(Q1925)+N(R1925)+N(S1925)+N(T1925)+N(U1925)+N(V1925))</f>
        <v/>
      </c>
      <c r="X1925" s="85" t="str">
        <f aca="false">IF(AH1925="","",P1925-W1925)</f>
        <v/>
      </c>
      <c r="Y1925" s="67"/>
      <c r="Z1925" s="70" t="str">
        <f aca="false">IF(OR(AH1925="",Y1925=""),"",IF(ABS(X1925-Y1925)&lt;=1,"✓ Cuadra","⚠ Diferencia $"&amp;FIXED(X1925-Y1925,0)))</f>
        <v/>
      </c>
      <c r="AA1925" s="72" t="str">
        <f aca="false">IF(AH1925="","",IFERROR(INDEX(C_TIPO,MATCH(C1925&amp;"-P"&amp;MAX(1,COUNTIFS(C_ID,C1925,C_DEFINE,"Sí",C_INICIO,"&lt;="&amp;EOMONTH(B1925,0))),C_CLAVE,0))&amp;"","Sin dato"))</f>
        <v/>
      </c>
      <c r="AB1925" s="71" t="str">
        <f aca="false">IF(AH1925="","",ROUND(MIN(K1925,TOPE_AFP_UF*AJ1925)*AK1925,0))</f>
        <v/>
      </c>
      <c r="AC1925" s="71" t="str">
        <f aca="false">IF(AH1925="","",ROUND(MIN(K1925,TOPE_AFC_UF*AJ1925)*IF(AA1925="Indefinido",AFC_EMP_INDEF,AFC_EMP_PF),0))</f>
        <v/>
      </c>
      <c r="AD1925" s="71" t="str">
        <f aca="false">IF(AH1925="","",ROUND(MIN(K1925,TOPE_AFP_UF*AJ1925)*(MUTUAL_BASICA+MUTUAL_ADIC+SANNA),0))</f>
        <v/>
      </c>
      <c r="AE1925" s="71" t="str">
        <f aca="false">IF(AH1925="","",P1925-N(N1925)+AB1925+AC1925+AD1925)</f>
        <v/>
      </c>
      <c r="AF1925" s="65"/>
      <c r="AG1925" s="64"/>
      <c r="AH1925" s="72" t="str">
        <f aca="false">IF(OR(B1925="",C1925=""),"",C1925&amp;"|"&amp;(YEAR(B1925)*100+MONTH(B1925)))</f>
        <v/>
      </c>
      <c r="AI1925" s="70" t="str">
        <f aca="false">IF(AH1925="","",IF(COUNTIF(L_CLAVE,AH1925)&gt;1,"⚠ Duplicado","OK"))</f>
        <v/>
      </c>
      <c r="AJ1925" s="86" t="str">
        <f aca="false">IF(AH1925="","",IF(SUMPRODUCT(MAX((IND_PER&lt;=B1925)*(IND_UF&lt;&gt;"")*IND_PER))=0,UF_HOY,INDEX(IND_UF,MATCH(SUMPRODUCT(MAX((IND_PER&lt;=B1925)*(IND_UF&lt;&gt;"")*IND_PER)),IND_PER,0))))</f>
        <v/>
      </c>
      <c r="AK1925" s="87" t="str">
        <f aca="false">IF(AH1925="","",IF(COUNTIF(TASA_DESDE,"&lt;="&amp;B1925)=0,INDEX(TASA_EMP,1),INDEX(TASA_EMP,COUNTIF(TASA_DESDE,"&lt;="&amp;B1925))))</f>
        <v/>
      </c>
    </row>
    <row r="1926" customFormat="false" ht="15" hidden="false" customHeight="false" outlineLevel="0" collapsed="false">
      <c r="B1926" s="78"/>
      <c r="C1926" s="64"/>
      <c r="D1926" s="72" t="str">
        <f aca="false">IF(C1926="","",IFERROR(INDEX(T_NOMBRE,MATCH(C1926,T_ID,0)),"⚠ ID no existe"))</f>
        <v/>
      </c>
      <c r="E1926" s="69"/>
      <c r="F1926" s="67"/>
      <c r="G1926" s="67"/>
      <c r="H1926" s="67"/>
      <c r="I1926" s="67"/>
      <c r="J1926" s="67"/>
      <c r="K1926" s="85" t="str">
        <f aca="false">IF(AH1926="","",N(F1926)+N(G1926)+N(H1926)-N(I1926)+N(J1926))</f>
        <v/>
      </c>
      <c r="L1926" s="67"/>
      <c r="M1926" s="67"/>
      <c r="N1926" s="67"/>
      <c r="O1926" s="67"/>
      <c r="P1926" s="85" t="str">
        <f aca="false">IF(AH1926="","",K1926+N(L1926)+N(M1926)+N(N1926)+N(O1926))</f>
        <v/>
      </c>
      <c r="Q1926" s="67"/>
      <c r="R1926" s="67"/>
      <c r="S1926" s="67"/>
      <c r="T1926" s="67"/>
      <c r="U1926" s="67"/>
      <c r="V1926" s="67"/>
      <c r="W1926" s="85" t="str">
        <f aca="false">IF(AH1926="","",N(Q1926)+N(R1926)+N(S1926)+N(T1926)+N(U1926)+N(V1926))</f>
        <v/>
      </c>
      <c r="X1926" s="85" t="str">
        <f aca="false">IF(AH1926="","",P1926-W1926)</f>
        <v/>
      </c>
      <c r="Y1926" s="67"/>
      <c r="Z1926" s="70" t="str">
        <f aca="false">IF(OR(AH1926="",Y1926=""),"",IF(ABS(X1926-Y1926)&lt;=1,"✓ Cuadra","⚠ Diferencia $"&amp;FIXED(X1926-Y1926,0)))</f>
        <v/>
      </c>
      <c r="AA1926" s="72" t="str">
        <f aca="false">IF(AH1926="","",IFERROR(INDEX(C_TIPO,MATCH(C1926&amp;"-P"&amp;MAX(1,COUNTIFS(C_ID,C1926,C_DEFINE,"Sí",C_INICIO,"&lt;="&amp;EOMONTH(B1926,0))),C_CLAVE,0))&amp;"","Sin dato"))</f>
        <v/>
      </c>
      <c r="AB1926" s="71" t="str">
        <f aca="false">IF(AH1926="","",ROUND(MIN(K1926,TOPE_AFP_UF*AJ1926)*AK1926,0))</f>
        <v/>
      </c>
      <c r="AC1926" s="71" t="str">
        <f aca="false">IF(AH1926="","",ROUND(MIN(K1926,TOPE_AFC_UF*AJ1926)*IF(AA1926="Indefinido",AFC_EMP_INDEF,AFC_EMP_PF),0))</f>
        <v/>
      </c>
      <c r="AD1926" s="71" t="str">
        <f aca="false">IF(AH1926="","",ROUND(MIN(K1926,TOPE_AFP_UF*AJ1926)*(MUTUAL_BASICA+MUTUAL_ADIC+SANNA),0))</f>
        <v/>
      </c>
      <c r="AE1926" s="71" t="str">
        <f aca="false">IF(AH1926="","",P1926-N(N1926)+AB1926+AC1926+AD1926)</f>
        <v/>
      </c>
      <c r="AF1926" s="65"/>
      <c r="AG1926" s="64"/>
      <c r="AH1926" s="72" t="str">
        <f aca="false">IF(OR(B1926="",C1926=""),"",C1926&amp;"|"&amp;(YEAR(B1926)*100+MONTH(B1926)))</f>
        <v/>
      </c>
      <c r="AI1926" s="70" t="str">
        <f aca="false">IF(AH1926="","",IF(COUNTIF(L_CLAVE,AH1926)&gt;1,"⚠ Duplicado","OK"))</f>
        <v/>
      </c>
      <c r="AJ1926" s="86" t="str">
        <f aca="false">IF(AH1926="","",IF(SUMPRODUCT(MAX((IND_PER&lt;=B1926)*(IND_UF&lt;&gt;"")*IND_PER))=0,UF_HOY,INDEX(IND_UF,MATCH(SUMPRODUCT(MAX((IND_PER&lt;=B1926)*(IND_UF&lt;&gt;"")*IND_PER)),IND_PER,0))))</f>
        <v/>
      </c>
      <c r="AK1926" s="87" t="str">
        <f aca="false">IF(AH1926="","",IF(COUNTIF(TASA_DESDE,"&lt;="&amp;B1926)=0,INDEX(TASA_EMP,1),INDEX(TASA_EMP,COUNTIF(TASA_DESDE,"&lt;="&amp;B1926))))</f>
        <v/>
      </c>
    </row>
    <row r="1927" customFormat="false" ht="15" hidden="false" customHeight="false" outlineLevel="0" collapsed="false">
      <c r="B1927" s="78"/>
      <c r="C1927" s="64"/>
      <c r="D1927" s="72" t="str">
        <f aca="false">IF(C1927="","",IFERROR(INDEX(T_NOMBRE,MATCH(C1927,T_ID,0)),"⚠ ID no existe"))</f>
        <v/>
      </c>
      <c r="E1927" s="69"/>
      <c r="F1927" s="67"/>
      <c r="G1927" s="67"/>
      <c r="H1927" s="67"/>
      <c r="I1927" s="67"/>
      <c r="J1927" s="67"/>
      <c r="K1927" s="85" t="str">
        <f aca="false">IF(AH1927="","",N(F1927)+N(G1927)+N(H1927)-N(I1927)+N(J1927))</f>
        <v/>
      </c>
      <c r="L1927" s="67"/>
      <c r="M1927" s="67"/>
      <c r="N1927" s="67"/>
      <c r="O1927" s="67"/>
      <c r="P1927" s="85" t="str">
        <f aca="false">IF(AH1927="","",K1927+N(L1927)+N(M1927)+N(N1927)+N(O1927))</f>
        <v/>
      </c>
      <c r="Q1927" s="67"/>
      <c r="R1927" s="67"/>
      <c r="S1927" s="67"/>
      <c r="T1927" s="67"/>
      <c r="U1927" s="67"/>
      <c r="V1927" s="67"/>
      <c r="W1927" s="85" t="str">
        <f aca="false">IF(AH1927="","",N(Q1927)+N(R1927)+N(S1927)+N(T1927)+N(U1927)+N(V1927))</f>
        <v/>
      </c>
      <c r="X1927" s="85" t="str">
        <f aca="false">IF(AH1927="","",P1927-W1927)</f>
        <v/>
      </c>
      <c r="Y1927" s="67"/>
      <c r="Z1927" s="70" t="str">
        <f aca="false">IF(OR(AH1927="",Y1927=""),"",IF(ABS(X1927-Y1927)&lt;=1,"✓ Cuadra","⚠ Diferencia $"&amp;FIXED(X1927-Y1927,0)))</f>
        <v/>
      </c>
      <c r="AA1927" s="72" t="str">
        <f aca="false">IF(AH1927="","",IFERROR(INDEX(C_TIPO,MATCH(C1927&amp;"-P"&amp;MAX(1,COUNTIFS(C_ID,C1927,C_DEFINE,"Sí",C_INICIO,"&lt;="&amp;EOMONTH(B1927,0))),C_CLAVE,0))&amp;"","Sin dato"))</f>
        <v/>
      </c>
      <c r="AB1927" s="71" t="str">
        <f aca="false">IF(AH1927="","",ROUND(MIN(K1927,TOPE_AFP_UF*AJ1927)*AK1927,0))</f>
        <v/>
      </c>
      <c r="AC1927" s="71" t="str">
        <f aca="false">IF(AH1927="","",ROUND(MIN(K1927,TOPE_AFC_UF*AJ1927)*IF(AA1927="Indefinido",AFC_EMP_INDEF,AFC_EMP_PF),0))</f>
        <v/>
      </c>
      <c r="AD1927" s="71" t="str">
        <f aca="false">IF(AH1927="","",ROUND(MIN(K1927,TOPE_AFP_UF*AJ1927)*(MUTUAL_BASICA+MUTUAL_ADIC+SANNA),0))</f>
        <v/>
      </c>
      <c r="AE1927" s="71" t="str">
        <f aca="false">IF(AH1927="","",P1927-N(N1927)+AB1927+AC1927+AD1927)</f>
        <v/>
      </c>
      <c r="AF1927" s="65"/>
      <c r="AG1927" s="64"/>
      <c r="AH1927" s="72" t="str">
        <f aca="false">IF(OR(B1927="",C1927=""),"",C1927&amp;"|"&amp;(YEAR(B1927)*100+MONTH(B1927)))</f>
        <v/>
      </c>
      <c r="AI1927" s="70" t="str">
        <f aca="false">IF(AH1927="","",IF(COUNTIF(L_CLAVE,AH1927)&gt;1,"⚠ Duplicado","OK"))</f>
        <v/>
      </c>
      <c r="AJ1927" s="86" t="str">
        <f aca="false">IF(AH1927="","",IF(SUMPRODUCT(MAX((IND_PER&lt;=B1927)*(IND_UF&lt;&gt;"")*IND_PER))=0,UF_HOY,INDEX(IND_UF,MATCH(SUMPRODUCT(MAX((IND_PER&lt;=B1927)*(IND_UF&lt;&gt;"")*IND_PER)),IND_PER,0))))</f>
        <v/>
      </c>
      <c r="AK1927" s="87" t="str">
        <f aca="false">IF(AH1927="","",IF(COUNTIF(TASA_DESDE,"&lt;="&amp;B1927)=0,INDEX(TASA_EMP,1),INDEX(TASA_EMP,COUNTIF(TASA_DESDE,"&lt;="&amp;B1927))))</f>
        <v/>
      </c>
    </row>
    <row r="1928" customFormat="false" ht="15" hidden="false" customHeight="false" outlineLevel="0" collapsed="false">
      <c r="B1928" s="78"/>
      <c r="C1928" s="64"/>
      <c r="D1928" s="72" t="str">
        <f aca="false">IF(C1928="","",IFERROR(INDEX(T_NOMBRE,MATCH(C1928,T_ID,0)),"⚠ ID no existe"))</f>
        <v/>
      </c>
      <c r="E1928" s="69"/>
      <c r="F1928" s="67"/>
      <c r="G1928" s="67"/>
      <c r="H1928" s="67"/>
      <c r="I1928" s="67"/>
      <c r="J1928" s="67"/>
      <c r="K1928" s="85" t="str">
        <f aca="false">IF(AH1928="","",N(F1928)+N(G1928)+N(H1928)-N(I1928)+N(J1928))</f>
        <v/>
      </c>
      <c r="L1928" s="67"/>
      <c r="M1928" s="67"/>
      <c r="N1928" s="67"/>
      <c r="O1928" s="67"/>
      <c r="P1928" s="85" t="str">
        <f aca="false">IF(AH1928="","",K1928+N(L1928)+N(M1928)+N(N1928)+N(O1928))</f>
        <v/>
      </c>
      <c r="Q1928" s="67"/>
      <c r="R1928" s="67"/>
      <c r="S1928" s="67"/>
      <c r="T1928" s="67"/>
      <c r="U1928" s="67"/>
      <c r="V1928" s="67"/>
      <c r="W1928" s="85" t="str">
        <f aca="false">IF(AH1928="","",N(Q1928)+N(R1928)+N(S1928)+N(T1928)+N(U1928)+N(V1928))</f>
        <v/>
      </c>
      <c r="X1928" s="85" t="str">
        <f aca="false">IF(AH1928="","",P1928-W1928)</f>
        <v/>
      </c>
      <c r="Y1928" s="67"/>
      <c r="Z1928" s="70" t="str">
        <f aca="false">IF(OR(AH1928="",Y1928=""),"",IF(ABS(X1928-Y1928)&lt;=1,"✓ Cuadra","⚠ Diferencia $"&amp;FIXED(X1928-Y1928,0)))</f>
        <v/>
      </c>
      <c r="AA1928" s="72" t="str">
        <f aca="false">IF(AH1928="","",IFERROR(INDEX(C_TIPO,MATCH(C1928&amp;"-P"&amp;MAX(1,COUNTIFS(C_ID,C1928,C_DEFINE,"Sí",C_INICIO,"&lt;="&amp;EOMONTH(B1928,0))),C_CLAVE,0))&amp;"","Sin dato"))</f>
        <v/>
      </c>
      <c r="AB1928" s="71" t="str">
        <f aca="false">IF(AH1928="","",ROUND(MIN(K1928,TOPE_AFP_UF*AJ1928)*AK1928,0))</f>
        <v/>
      </c>
      <c r="AC1928" s="71" t="str">
        <f aca="false">IF(AH1928="","",ROUND(MIN(K1928,TOPE_AFC_UF*AJ1928)*IF(AA1928="Indefinido",AFC_EMP_INDEF,AFC_EMP_PF),0))</f>
        <v/>
      </c>
      <c r="AD1928" s="71" t="str">
        <f aca="false">IF(AH1928="","",ROUND(MIN(K1928,TOPE_AFP_UF*AJ1928)*(MUTUAL_BASICA+MUTUAL_ADIC+SANNA),0))</f>
        <v/>
      </c>
      <c r="AE1928" s="71" t="str">
        <f aca="false">IF(AH1928="","",P1928-N(N1928)+AB1928+AC1928+AD1928)</f>
        <v/>
      </c>
      <c r="AF1928" s="65"/>
      <c r="AG1928" s="64"/>
      <c r="AH1928" s="72" t="str">
        <f aca="false">IF(OR(B1928="",C1928=""),"",C1928&amp;"|"&amp;(YEAR(B1928)*100+MONTH(B1928)))</f>
        <v/>
      </c>
      <c r="AI1928" s="70" t="str">
        <f aca="false">IF(AH1928="","",IF(COUNTIF(L_CLAVE,AH1928)&gt;1,"⚠ Duplicado","OK"))</f>
        <v/>
      </c>
      <c r="AJ1928" s="86" t="str">
        <f aca="false">IF(AH1928="","",IF(SUMPRODUCT(MAX((IND_PER&lt;=B1928)*(IND_UF&lt;&gt;"")*IND_PER))=0,UF_HOY,INDEX(IND_UF,MATCH(SUMPRODUCT(MAX((IND_PER&lt;=B1928)*(IND_UF&lt;&gt;"")*IND_PER)),IND_PER,0))))</f>
        <v/>
      </c>
      <c r="AK1928" s="87" t="str">
        <f aca="false">IF(AH1928="","",IF(COUNTIF(TASA_DESDE,"&lt;="&amp;B1928)=0,INDEX(TASA_EMP,1),INDEX(TASA_EMP,COUNTIF(TASA_DESDE,"&lt;="&amp;B1928))))</f>
        <v/>
      </c>
    </row>
    <row r="1929" customFormat="false" ht="15" hidden="false" customHeight="false" outlineLevel="0" collapsed="false">
      <c r="B1929" s="78"/>
      <c r="C1929" s="64"/>
      <c r="D1929" s="72" t="str">
        <f aca="false">IF(C1929="","",IFERROR(INDEX(T_NOMBRE,MATCH(C1929,T_ID,0)),"⚠ ID no existe"))</f>
        <v/>
      </c>
      <c r="E1929" s="69"/>
      <c r="F1929" s="67"/>
      <c r="G1929" s="67"/>
      <c r="H1929" s="67"/>
      <c r="I1929" s="67"/>
      <c r="J1929" s="67"/>
      <c r="K1929" s="85" t="str">
        <f aca="false">IF(AH1929="","",N(F1929)+N(G1929)+N(H1929)-N(I1929)+N(J1929))</f>
        <v/>
      </c>
      <c r="L1929" s="67"/>
      <c r="M1929" s="67"/>
      <c r="N1929" s="67"/>
      <c r="O1929" s="67"/>
      <c r="P1929" s="85" t="str">
        <f aca="false">IF(AH1929="","",K1929+N(L1929)+N(M1929)+N(N1929)+N(O1929))</f>
        <v/>
      </c>
      <c r="Q1929" s="67"/>
      <c r="R1929" s="67"/>
      <c r="S1929" s="67"/>
      <c r="T1929" s="67"/>
      <c r="U1929" s="67"/>
      <c r="V1929" s="67"/>
      <c r="W1929" s="85" t="str">
        <f aca="false">IF(AH1929="","",N(Q1929)+N(R1929)+N(S1929)+N(T1929)+N(U1929)+N(V1929))</f>
        <v/>
      </c>
      <c r="X1929" s="85" t="str">
        <f aca="false">IF(AH1929="","",P1929-W1929)</f>
        <v/>
      </c>
      <c r="Y1929" s="67"/>
      <c r="Z1929" s="70" t="str">
        <f aca="false">IF(OR(AH1929="",Y1929=""),"",IF(ABS(X1929-Y1929)&lt;=1,"✓ Cuadra","⚠ Diferencia $"&amp;FIXED(X1929-Y1929,0)))</f>
        <v/>
      </c>
      <c r="AA1929" s="72" t="str">
        <f aca="false">IF(AH1929="","",IFERROR(INDEX(C_TIPO,MATCH(C1929&amp;"-P"&amp;MAX(1,COUNTIFS(C_ID,C1929,C_DEFINE,"Sí",C_INICIO,"&lt;="&amp;EOMONTH(B1929,0))),C_CLAVE,0))&amp;"","Sin dato"))</f>
        <v/>
      </c>
      <c r="AB1929" s="71" t="str">
        <f aca="false">IF(AH1929="","",ROUND(MIN(K1929,TOPE_AFP_UF*AJ1929)*AK1929,0))</f>
        <v/>
      </c>
      <c r="AC1929" s="71" t="str">
        <f aca="false">IF(AH1929="","",ROUND(MIN(K1929,TOPE_AFC_UF*AJ1929)*IF(AA1929="Indefinido",AFC_EMP_INDEF,AFC_EMP_PF),0))</f>
        <v/>
      </c>
      <c r="AD1929" s="71" t="str">
        <f aca="false">IF(AH1929="","",ROUND(MIN(K1929,TOPE_AFP_UF*AJ1929)*(MUTUAL_BASICA+MUTUAL_ADIC+SANNA),0))</f>
        <v/>
      </c>
      <c r="AE1929" s="71" t="str">
        <f aca="false">IF(AH1929="","",P1929-N(N1929)+AB1929+AC1929+AD1929)</f>
        <v/>
      </c>
      <c r="AF1929" s="65"/>
      <c r="AG1929" s="64"/>
      <c r="AH1929" s="72" t="str">
        <f aca="false">IF(OR(B1929="",C1929=""),"",C1929&amp;"|"&amp;(YEAR(B1929)*100+MONTH(B1929)))</f>
        <v/>
      </c>
      <c r="AI1929" s="70" t="str">
        <f aca="false">IF(AH1929="","",IF(COUNTIF(L_CLAVE,AH1929)&gt;1,"⚠ Duplicado","OK"))</f>
        <v/>
      </c>
      <c r="AJ1929" s="86" t="str">
        <f aca="false">IF(AH1929="","",IF(SUMPRODUCT(MAX((IND_PER&lt;=B1929)*(IND_UF&lt;&gt;"")*IND_PER))=0,UF_HOY,INDEX(IND_UF,MATCH(SUMPRODUCT(MAX((IND_PER&lt;=B1929)*(IND_UF&lt;&gt;"")*IND_PER)),IND_PER,0))))</f>
        <v/>
      </c>
      <c r="AK1929" s="87" t="str">
        <f aca="false">IF(AH1929="","",IF(COUNTIF(TASA_DESDE,"&lt;="&amp;B1929)=0,INDEX(TASA_EMP,1),INDEX(TASA_EMP,COUNTIF(TASA_DESDE,"&lt;="&amp;B1929))))</f>
        <v/>
      </c>
    </row>
    <row r="1930" customFormat="false" ht="15" hidden="false" customHeight="false" outlineLevel="0" collapsed="false">
      <c r="B1930" s="78"/>
      <c r="C1930" s="64"/>
      <c r="D1930" s="72" t="str">
        <f aca="false">IF(C1930="","",IFERROR(INDEX(T_NOMBRE,MATCH(C1930,T_ID,0)),"⚠ ID no existe"))</f>
        <v/>
      </c>
      <c r="E1930" s="69"/>
      <c r="F1930" s="67"/>
      <c r="G1930" s="67"/>
      <c r="H1930" s="67"/>
      <c r="I1930" s="67"/>
      <c r="J1930" s="67"/>
      <c r="K1930" s="85" t="str">
        <f aca="false">IF(AH1930="","",N(F1930)+N(G1930)+N(H1930)-N(I1930)+N(J1930))</f>
        <v/>
      </c>
      <c r="L1930" s="67"/>
      <c r="M1930" s="67"/>
      <c r="N1930" s="67"/>
      <c r="O1930" s="67"/>
      <c r="P1930" s="85" t="str">
        <f aca="false">IF(AH1930="","",K1930+N(L1930)+N(M1930)+N(N1930)+N(O1930))</f>
        <v/>
      </c>
      <c r="Q1930" s="67"/>
      <c r="R1930" s="67"/>
      <c r="S1930" s="67"/>
      <c r="T1930" s="67"/>
      <c r="U1930" s="67"/>
      <c r="V1930" s="67"/>
      <c r="W1930" s="85" t="str">
        <f aca="false">IF(AH1930="","",N(Q1930)+N(R1930)+N(S1930)+N(T1930)+N(U1930)+N(V1930))</f>
        <v/>
      </c>
      <c r="X1930" s="85" t="str">
        <f aca="false">IF(AH1930="","",P1930-W1930)</f>
        <v/>
      </c>
      <c r="Y1930" s="67"/>
      <c r="Z1930" s="70" t="str">
        <f aca="false">IF(OR(AH1930="",Y1930=""),"",IF(ABS(X1930-Y1930)&lt;=1,"✓ Cuadra","⚠ Diferencia $"&amp;FIXED(X1930-Y1930,0)))</f>
        <v/>
      </c>
      <c r="AA1930" s="72" t="str">
        <f aca="false">IF(AH1930="","",IFERROR(INDEX(C_TIPO,MATCH(C1930&amp;"-P"&amp;MAX(1,COUNTIFS(C_ID,C1930,C_DEFINE,"Sí",C_INICIO,"&lt;="&amp;EOMONTH(B1930,0))),C_CLAVE,0))&amp;"","Sin dato"))</f>
        <v/>
      </c>
      <c r="AB1930" s="71" t="str">
        <f aca="false">IF(AH1930="","",ROUND(MIN(K1930,TOPE_AFP_UF*AJ1930)*AK1930,0))</f>
        <v/>
      </c>
      <c r="AC1930" s="71" t="str">
        <f aca="false">IF(AH1930="","",ROUND(MIN(K1930,TOPE_AFC_UF*AJ1930)*IF(AA1930="Indefinido",AFC_EMP_INDEF,AFC_EMP_PF),0))</f>
        <v/>
      </c>
      <c r="AD1930" s="71" t="str">
        <f aca="false">IF(AH1930="","",ROUND(MIN(K1930,TOPE_AFP_UF*AJ1930)*(MUTUAL_BASICA+MUTUAL_ADIC+SANNA),0))</f>
        <v/>
      </c>
      <c r="AE1930" s="71" t="str">
        <f aca="false">IF(AH1930="","",P1930-N(N1930)+AB1930+AC1930+AD1930)</f>
        <v/>
      </c>
      <c r="AF1930" s="65"/>
      <c r="AG1930" s="64"/>
      <c r="AH1930" s="72" t="str">
        <f aca="false">IF(OR(B1930="",C1930=""),"",C1930&amp;"|"&amp;(YEAR(B1930)*100+MONTH(B1930)))</f>
        <v/>
      </c>
      <c r="AI1930" s="70" t="str">
        <f aca="false">IF(AH1930="","",IF(COUNTIF(L_CLAVE,AH1930)&gt;1,"⚠ Duplicado","OK"))</f>
        <v/>
      </c>
      <c r="AJ1930" s="86" t="str">
        <f aca="false">IF(AH1930="","",IF(SUMPRODUCT(MAX((IND_PER&lt;=B1930)*(IND_UF&lt;&gt;"")*IND_PER))=0,UF_HOY,INDEX(IND_UF,MATCH(SUMPRODUCT(MAX((IND_PER&lt;=B1930)*(IND_UF&lt;&gt;"")*IND_PER)),IND_PER,0))))</f>
        <v/>
      </c>
      <c r="AK1930" s="87" t="str">
        <f aca="false">IF(AH1930="","",IF(COUNTIF(TASA_DESDE,"&lt;="&amp;B1930)=0,INDEX(TASA_EMP,1),INDEX(TASA_EMP,COUNTIF(TASA_DESDE,"&lt;="&amp;B1930))))</f>
        <v/>
      </c>
    </row>
    <row r="1931" customFormat="false" ht="15" hidden="false" customHeight="false" outlineLevel="0" collapsed="false">
      <c r="B1931" s="78"/>
      <c r="C1931" s="64"/>
      <c r="D1931" s="72" t="str">
        <f aca="false">IF(C1931="","",IFERROR(INDEX(T_NOMBRE,MATCH(C1931,T_ID,0)),"⚠ ID no existe"))</f>
        <v/>
      </c>
      <c r="E1931" s="69"/>
      <c r="F1931" s="67"/>
      <c r="G1931" s="67"/>
      <c r="H1931" s="67"/>
      <c r="I1931" s="67"/>
      <c r="J1931" s="67"/>
      <c r="K1931" s="85" t="str">
        <f aca="false">IF(AH1931="","",N(F1931)+N(G1931)+N(H1931)-N(I1931)+N(J1931))</f>
        <v/>
      </c>
      <c r="L1931" s="67"/>
      <c r="M1931" s="67"/>
      <c r="N1931" s="67"/>
      <c r="O1931" s="67"/>
      <c r="P1931" s="85" t="str">
        <f aca="false">IF(AH1931="","",K1931+N(L1931)+N(M1931)+N(N1931)+N(O1931))</f>
        <v/>
      </c>
      <c r="Q1931" s="67"/>
      <c r="R1931" s="67"/>
      <c r="S1931" s="67"/>
      <c r="T1931" s="67"/>
      <c r="U1931" s="67"/>
      <c r="V1931" s="67"/>
      <c r="W1931" s="85" t="str">
        <f aca="false">IF(AH1931="","",N(Q1931)+N(R1931)+N(S1931)+N(T1931)+N(U1931)+N(V1931))</f>
        <v/>
      </c>
      <c r="X1931" s="85" t="str">
        <f aca="false">IF(AH1931="","",P1931-W1931)</f>
        <v/>
      </c>
      <c r="Y1931" s="67"/>
      <c r="Z1931" s="70" t="str">
        <f aca="false">IF(OR(AH1931="",Y1931=""),"",IF(ABS(X1931-Y1931)&lt;=1,"✓ Cuadra","⚠ Diferencia $"&amp;FIXED(X1931-Y1931,0)))</f>
        <v/>
      </c>
      <c r="AA1931" s="72" t="str">
        <f aca="false">IF(AH1931="","",IFERROR(INDEX(C_TIPO,MATCH(C1931&amp;"-P"&amp;MAX(1,COUNTIFS(C_ID,C1931,C_DEFINE,"Sí",C_INICIO,"&lt;="&amp;EOMONTH(B1931,0))),C_CLAVE,0))&amp;"","Sin dato"))</f>
        <v/>
      </c>
      <c r="AB1931" s="71" t="str">
        <f aca="false">IF(AH1931="","",ROUND(MIN(K1931,TOPE_AFP_UF*AJ1931)*AK1931,0))</f>
        <v/>
      </c>
      <c r="AC1931" s="71" t="str">
        <f aca="false">IF(AH1931="","",ROUND(MIN(K1931,TOPE_AFC_UF*AJ1931)*IF(AA1931="Indefinido",AFC_EMP_INDEF,AFC_EMP_PF),0))</f>
        <v/>
      </c>
      <c r="AD1931" s="71" t="str">
        <f aca="false">IF(AH1931="","",ROUND(MIN(K1931,TOPE_AFP_UF*AJ1931)*(MUTUAL_BASICA+MUTUAL_ADIC+SANNA),0))</f>
        <v/>
      </c>
      <c r="AE1931" s="71" t="str">
        <f aca="false">IF(AH1931="","",P1931-N(N1931)+AB1931+AC1931+AD1931)</f>
        <v/>
      </c>
      <c r="AF1931" s="65"/>
      <c r="AG1931" s="64"/>
      <c r="AH1931" s="72" t="str">
        <f aca="false">IF(OR(B1931="",C1931=""),"",C1931&amp;"|"&amp;(YEAR(B1931)*100+MONTH(B1931)))</f>
        <v/>
      </c>
      <c r="AI1931" s="70" t="str">
        <f aca="false">IF(AH1931="","",IF(COUNTIF(L_CLAVE,AH1931)&gt;1,"⚠ Duplicado","OK"))</f>
        <v/>
      </c>
      <c r="AJ1931" s="86" t="str">
        <f aca="false">IF(AH1931="","",IF(SUMPRODUCT(MAX((IND_PER&lt;=B1931)*(IND_UF&lt;&gt;"")*IND_PER))=0,UF_HOY,INDEX(IND_UF,MATCH(SUMPRODUCT(MAX((IND_PER&lt;=B1931)*(IND_UF&lt;&gt;"")*IND_PER)),IND_PER,0))))</f>
        <v/>
      </c>
      <c r="AK1931" s="87" t="str">
        <f aca="false">IF(AH1931="","",IF(COUNTIF(TASA_DESDE,"&lt;="&amp;B1931)=0,INDEX(TASA_EMP,1),INDEX(TASA_EMP,COUNTIF(TASA_DESDE,"&lt;="&amp;B1931))))</f>
        <v/>
      </c>
    </row>
    <row r="1932" customFormat="false" ht="15" hidden="false" customHeight="false" outlineLevel="0" collapsed="false">
      <c r="B1932" s="78"/>
      <c r="C1932" s="64"/>
      <c r="D1932" s="72" t="str">
        <f aca="false">IF(C1932="","",IFERROR(INDEX(T_NOMBRE,MATCH(C1932,T_ID,0)),"⚠ ID no existe"))</f>
        <v/>
      </c>
      <c r="E1932" s="69"/>
      <c r="F1932" s="67"/>
      <c r="G1932" s="67"/>
      <c r="H1932" s="67"/>
      <c r="I1932" s="67"/>
      <c r="J1932" s="67"/>
      <c r="K1932" s="85" t="str">
        <f aca="false">IF(AH1932="","",N(F1932)+N(G1932)+N(H1932)-N(I1932)+N(J1932))</f>
        <v/>
      </c>
      <c r="L1932" s="67"/>
      <c r="M1932" s="67"/>
      <c r="N1932" s="67"/>
      <c r="O1932" s="67"/>
      <c r="P1932" s="85" t="str">
        <f aca="false">IF(AH1932="","",K1932+N(L1932)+N(M1932)+N(N1932)+N(O1932))</f>
        <v/>
      </c>
      <c r="Q1932" s="67"/>
      <c r="R1932" s="67"/>
      <c r="S1932" s="67"/>
      <c r="T1932" s="67"/>
      <c r="U1932" s="67"/>
      <c r="V1932" s="67"/>
      <c r="W1932" s="85" t="str">
        <f aca="false">IF(AH1932="","",N(Q1932)+N(R1932)+N(S1932)+N(T1932)+N(U1932)+N(V1932))</f>
        <v/>
      </c>
      <c r="X1932" s="85" t="str">
        <f aca="false">IF(AH1932="","",P1932-W1932)</f>
        <v/>
      </c>
      <c r="Y1932" s="67"/>
      <c r="Z1932" s="70" t="str">
        <f aca="false">IF(OR(AH1932="",Y1932=""),"",IF(ABS(X1932-Y1932)&lt;=1,"✓ Cuadra","⚠ Diferencia $"&amp;FIXED(X1932-Y1932,0)))</f>
        <v/>
      </c>
      <c r="AA1932" s="72" t="str">
        <f aca="false">IF(AH1932="","",IFERROR(INDEX(C_TIPO,MATCH(C1932&amp;"-P"&amp;MAX(1,COUNTIFS(C_ID,C1932,C_DEFINE,"Sí",C_INICIO,"&lt;="&amp;EOMONTH(B1932,0))),C_CLAVE,0))&amp;"","Sin dato"))</f>
        <v/>
      </c>
      <c r="AB1932" s="71" t="str">
        <f aca="false">IF(AH1932="","",ROUND(MIN(K1932,TOPE_AFP_UF*AJ1932)*AK1932,0))</f>
        <v/>
      </c>
      <c r="AC1932" s="71" t="str">
        <f aca="false">IF(AH1932="","",ROUND(MIN(K1932,TOPE_AFC_UF*AJ1932)*IF(AA1932="Indefinido",AFC_EMP_INDEF,AFC_EMP_PF),0))</f>
        <v/>
      </c>
      <c r="AD1932" s="71" t="str">
        <f aca="false">IF(AH1932="","",ROUND(MIN(K1932,TOPE_AFP_UF*AJ1932)*(MUTUAL_BASICA+MUTUAL_ADIC+SANNA),0))</f>
        <v/>
      </c>
      <c r="AE1932" s="71" t="str">
        <f aca="false">IF(AH1932="","",P1932-N(N1932)+AB1932+AC1932+AD1932)</f>
        <v/>
      </c>
      <c r="AF1932" s="65"/>
      <c r="AG1932" s="64"/>
      <c r="AH1932" s="72" t="str">
        <f aca="false">IF(OR(B1932="",C1932=""),"",C1932&amp;"|"&amp;(YEAR(B1932)*100+MONTH(B1932)))</f>
        <v/>
      </c>
      <c r="AI1932" s="70" t="str">
        <f aca="false">IF(AH1932="","",IF(COUNTIF(L_CLAVE,AH1932)&gt;1,"⚠ Duplicado","OK"))</f>
        <v/>
      </c>
      <c r="AJ1932" s="86" t="str">
        <f aca="false">IF(AH1932="","",IF(SUMPRODUCT(MAX((IND_PER&lt;=B1932)*(IND_UF&lt;&gt;"")*IND_PER))=0,UF_HOY,INDEX(IND_UF,MATCH(SUMPRODUCT(MAX((IND_PER&lt;=B1932)*(IND_UF&lt;&gt;"")*IND_PER)),IND_PER,0))))</f>
        <v/>
      </c>
      <c r="AK1932" s="87" t="str">
        <f aca="false">IF(AH1932="","",IF(COUNTIF(TASA_DESDE,"&lt;="&amp;B1932)=0,INDEX(TASA_EMP,1),INDEX(TASA_EMP,COUNTIF(TASA_DESDE,"&lt;="&amp;B1932))))</f>
        <v/>
      </c>
    </row>
    <row r="1933" customFormat="false" ht="15" hidden="false" customHeight="false" outlineLevel="0" collapsed="false">
      <c r="B1933" s="78"/>
      <c r="C1933" s="64"/>
      <c r="D1933" s="72" t="str">
        <f aca="false">IF(C1933="","",IFERROR(INDEX(T_NOMBRE,MATCH(C1933,T_ID,0)),"⚠ ID no existe"))</f>
        <v/>
      </c>
      <c r="E1933" s="69"/>
      <c r="F1933" s="67"/>
      <c r="G1933" s="67"/>
      <c r="H1933" s="67"/>
      <c r="I1933" s="67"/>
      <c r="J1933" s="67"/>
      <c r="K1933" s="85" t="str">
        <f aca="false">IF(AH1933="","",N(F1933)+N(G1933)+N(H1933)-N(I1933)+N(J1933))</f>
        <v/>
      </c>
      <c r="L1933" s="67"/>
      <c r="M1933" s="67"/>
      <c r="N1933" s="67"/>
      <c r="O1933" s="67"/>
      <c r="P1933" s="85" t="str">
        <f aca="false">IF(AH1933="","",K1933+N(L1933)+N(M1933)+N(N1933)+N(O1933))</f>
        <v/>
      </c>
      <c r="Q1933" s="67"/>
      <c r="R1933" s="67"/>
      <c r="S1933" s="67"/>
      <c r="T1933" s="67"/>
      <c r="U1933" s="67"/>
      <c r="V1933" s="67"/>
      <c r="W1933" s="85" t="str">
        <f aca="false">IF(AH1933="","",N(Q1933)+N(R1933)+N(S1933)+N(T1933)+N(U1933)+N(V1933))</f>
        <v/>
      </c>
      <c r="X1933" s="85" t="str">
        <f aca="false">IF(AH1933="","",P1933-W1933)</f>
        <v/>
      </c>
      <c r="Y1933" s="67"/>
      <c r="Z1933" s="70" t="str">
        <f aca="false">IF(OR(AH1933="",Y1933=""),"",IF(ABS(X1933-Y1933)&lt;=1,"✓ Cuadra","⚠ Diferencia $"&amp;FIXED(X1933-Y1933,0)))</f>
        <v/>
      </c>
      <c r="AA1933" s="72" t="str">
        <f aca="false">IF(AH1933="","",IFERROR(INDEX(C_TIPO,MATCH(C1933&amp;"-P"&amp;MAX(1,COUNTIFS(C_ID,C1933,C_DEFINE,"Sí",C_INICIO,"&lt;="&amp;EOMONTH(B1933,0))),C_CLAVE,0))&amp;"","Sin dato"))</f>
        <v/>
      </c>
      <c r="AB1933" s="71" t="str">
        <f aca="false">IF(AH1933="","",ROUND(MIN(K1933,TOPE_AFP_UF*AJ1933)*AK1933,0))</f>
        <v/>
      </c>
      <c r="AC1933" s="71" t="str">
        <f aca="false">IF(AH1933="","",ROUND(MIN(K1933,TOPE_AFC_UF*AJ1933)*IF(AA1933="Indefinido",AFC_EMP_INDEF,AFC_EMP_PF),0))</f>
        <v/>
      </c>
      <c r="AD1933" s="71" t="str">
        <f aca="false">IF(AH1933="","",ROUND(MIN(K1933,TOPE_AFP_UF*AJ1933)*(MUTUAL_BASICA+MUTUAL_ADIC+SANNA),0))</f>
        <v/>
      </c>
      <c r="AE1933" s="71" t="str">
        <f aca="false">IF(AH1933="","",P1933-N(N1933)+AB1933+AC1933+AD1933)</f>
        <v/>
      </c>
      <c r="AF1933" s="65"/>
      <c r="AG1933" s="64"/>
      <c r="AH1933" s="72" t="str">
        <f aca="false">IF(OR(B1933="",C1933=""),"",C1933&amp;"|"&amp;(YEAR(B1933)*100+MONTH(B1933)))</f>
        <v/>
      </c>
      <c r="AI1933" s="70" t="str">
        <f aca="false">IF(AH1933="","",IF(COUNTIF(L_CLAVE,AH1933)&gt;1,"⚠ Duplicado","OK"))</f>
        <v/>
      </c>
      <c r="AJ1933" s="86" t="str">
        <f aca="false">IF(AH1933="","",IF(SUMPRODUCT(MAX((IND_PER&lt;=B1933)*(IND_UF&lt;&gt;"")*IND_PER))=0,UF_HOY,INDEX(IND_UF,MATCH(SUMPRODUCT(MAX((IND_PER&lt;=B1933)*(IND_UF&lt;&gt;"")*IND_PER)),IND_PER,0))))</f>
        <v/>
      </c>
      <c r="AK1933" s="87" t="str">
        <f aca="false">IF(AH1933="","",IF(COUNTIF(TASA_DESDE,"&lt;="&amp;B1933)=0,INDEX(TASA_EMP,1),INDEX(TASA_EMP,COUNTIF(TASA_DESDE,"&lt;="&amp;B1933))))</f>
        <v/>
      </c>
    </row>
    <row r="1934" customFormat="false" ht="15" hidden="false" customHeight="false" outlineLevel="0" collapsed="false">
      <c r="B1934" s="78"/>
      <c r="C1934" s="64"/>
      <c r="D1934" s="72" t="str">
        <f aca="false">IF(C1934="","",IFERROR(INDEX(T_NOMBRE,MATCH(C1934,T_ID,0)),"⚠ ID no existe"))</f>
        <v/>
      </c>
      <c r="E1934" s="69"/>
      <c r="F1934" s="67"/>
      <c r="G1934" s="67"/>
      <c r="H1934" s="67"/>
      <c r="I1934" s="67"/>
      <c r="J1934" s="67"/>
      <c r="K1934" s="85" t="str">
        <f aca="false">IF(AH1934="","",N(F1934)+N(G1934)+N(H1934)-N(I1934)+N(J1934))</f>
        <v/>
      </c>
      <c r="L1934" s="67"/>
      <c r="M1934" s="67"/>
      <c r="N1934" s="67"/>
      <c r="O1934" s="67"/>
      <c r="P1934" s="85" t="str">
        <f aca="false">IF(AH1934="","",K1934+N(L1934)+N(M1934)+N(N1934)+N(O1934))</f>
        <v/>
      </c>
      <c r="Q1934" s="67"/>
      <c r="R1934" s="67"/>
      <c r="S1934" s="67"/>
      <c r="T1934" s="67"/>
      <c r="U1934" s="67"/>
      <c r="V1934" s="67"/>
      <c r="W1934" s="85" t="str">
        <f aca="false">IF(AH1934="","",N(Q1934)+N(R1934)+N(S1934)+N(T1934)+N(U1934)+N(V1934))</f>
        <v/>
      </c>
      <c r="X1934" s="85" t="str">
        <f aca="false">IF(AH1934="","",P1934-W1934)</f>
        <v/>
      </c>
      <c r="Y1934" s="67"/>
      <c r="Z1934" s="70" t="str">
        <f aca="false">IF(OR(AH1934="",Y1934=""),"",IF(ABS(X1934-Y1934)&lt;=1,"✓ Cuadra","⚠ Diferencia $"&amp;FIXED(X1934-Y1934,0)))</f>
        <v/>
      </c>
      <c r="AA1934" s="72" t="str">
        <f aca="false">IF(AH1934="","",IFERROR(INDEX(C_TIPO,MATCH(C1934&amp;"-P"&amp;MAX(1,COUNTIFS(C_ID,C1934,C_DEFINE,"Sí",C_INICIO,"&lt;="&amp;EOMONTH(B1934,0))),C_CLAVE,0))&amp;"","Sin dato"))</f>
        <v/>
      </c>
      <c r="AB1934" s="71" t="str">
        <f aca="false">IF(AH1934="","",ROUND(MIN(K1934,TOPE_AFP_UF*AJ1934)*AK1934,0))</f>
        <v/>
      </c>
      <c r="AC1934" s="71" t="str">
        <f aca="false">IF(AH1934="","",ROUND(MIN(K1934,TOPE_AFC_UF*AJ1934)*IF(AA1934="Indefinido",AFC_EMP_INDEF,AFC_EMP_PF),0))</f>
        <v/>
      </c>
      <c r="AD1934" s="71" t="str">
        <f aca="false">IF(AH1934="","",ROUND(MIN(K1934,TOPE_AFP_UF*AJ1934)*(MUTUAL_BASICA+MUTUAL_ADIC+SANNA),0))</f>
        <v/>
      </c>
      <c r="AE1934" s="71" t="str">
        <f aca="false">IF(AH1934="","",P1934-N(N1934)+AB1934+AC1934+AD1934)</f>
        <v/>
      </c>
      <c r="AF1934" s="65"/>
      <c r="AG1934" s="64"/>
      <c r="AH1934" s="72" t="str">
        <f aca="false">IF(OR(B1934="",C1934=""),"",C1934&amp;"|"&amp;(YEAR(B1934)*100+MONTH(B1934)))</f>
        <v/>
      </c>
      <c r="AI1934" s="70" t="str">
        <f aca="false">IF(AH1934="","",IF(COUNTIF(L_CLAVE,AH1934)&gt;1,"⚠ Duplicado","OK"))</f>
        <v/>
      </c>
      <c r="AJ1934" s="86" t="str">
        <f aca="false">IF(AH1934="","",IF(SUMPRODUCT(MAX((IND_PER&lt;=B1934)*(IND_UF&lt;&gt;"")*IND_PER))=0,UF_HOY,INDEX(IND_UF,MATCH(SUMPRODUCT(MAX((IND_PER&lt;=B1934)*(IND_UF&lt;&gt;"")*IND_PER)),IND_PER,0))))</f>
        <v/>
      </c>
      <c r="AK1934" s="87" t="str">
        <f aca="false">IF(AH1934="","",IF(COUNTIF(TASA_DESDE,"&lt;="&amp;B1934)=0,INDEX(TASA_EMP,1),INDEX(TASA_EMP,COUNTIF(TASA_DESDE,"&lt;="&amp;B1934))))</f>
        <v/>
      </c>
    </row>
    <row r="1935" customFormat="false" ht="15" hidden="false" customHeight="false" outlineLevel="0" collapsed="false">
      <c r="B1935" s="78"/>
      <c r="C1935" s="64"/>
      <c r="D1935" s="72" t="str">
        <f aca="false">IF(C1935="","",IFERROR(INDEX(T_NOMBRE,MATCH(C1935,T_ID,0)),"⚠ ID no existe"))</f>
        <v/>
      </c>
      <c r="E1935" s="69"/>
      <c r="F1935" s="67"/>
      <c r="G1935" s="67"/>
      <c r="H1935" s="67"/>
      <c r="I1935" s="67"/>
      <c r="J1935" s="67"/>
      <c r="K1935" s="85" t="str">
        <f aca="false">IF(AH1935="","",N(F1935)+N(G1935)+N(H1935)-N(I1935)+N(J1935))</f>
        <v/>
      </c>
      <c r="L1935" s="67"/>
      <c r="M1935" s="67"/>
      <c r="N1935" s="67"/>
      <c r="O1935" s="67"/>
      <c r="P1935" s="85" t="str">
        <f aca="false">IF(AH1935="","",K1935+N(L1935)+N(M1935)+N(N1935)+N(O1935))</f>
        <v/>
      </c>
      <c r="Q1935" s="67"/>
      <c r="R1935" s="67"/>
      <c r="S1935" s="67"/>
      <c r="T1935" s="67"/>
      <c r="U1935" s="67"/>
      <c r="V1935" s="67"/>
      <c r="W1935" s="85" t="str">
        <f aca="false">IF(AH1935="","",N(Q1935)+N(R1935)+N(S1935)+N(T1935)+N(U1935)+N(V1935))</f>
        <v/>
      </c>
      <c r="X1935" s="85" t="str">
        <f aca="false">IF(AH1935="","",P1935-W1935)</f>
        <v/>
      </c>
      <c r="Y1935" s="67"/>
      <c r="Z1935" s="70" t="str">
        <f aca="false">IF(OR(AH1935="",Y1935=""),"",IF(ABS(X1935-Y1935)&lt;=1,"✓ Cuadra","⚠ Diferencia $"&amp;FIXED(X1935-Y1935,0)))</f>
        <v/>
      </c>
      <c r="AA1935" s="72" t="str">
        <f aca="false">IF(AH1935="","",IFERROR(INDEX(C_TIPO,MATCH(C1935&amp;"-P"&amp;MAX(1,COUNTIFS(C_ID,C1935,C_DEFINE,"Sí",C_INICIO,"&lt;="&amp;EOMONTH(B1935,0))),C_CLAVE,0))&amp;"","Sin dato"))</f>
        <v/>
      </c>
      <c r="AB1935" s="71" t="str">
        <f aca="false">IF(AH1935="","",ROUND(MIN(K1935,TOPE_AFP_UF*AJ1935)*AK1935,0))</f>
        <v/>
      </c>
      <c r="AC1935" s="71" t="str">
        <f aca="false">IF(AH1935="","",ROUND(MIN(K1935,TOPE_AFC_UF*AJ1935)*IF(AA1935="Indefinido",AFC_EMP_INDEF,AFC_EMP_PF),0))</f>
        <v/>
      </c>
      <c r="AD1935" s="71" t="str">
        <f aca="false">IF(AH1935="","",ROUND(MIN(K1935,TOPE_AFP_UF*AJ1935)*(MUTUAL_BASICA+MUTUAL_ADIC+SANNA),0))</f>
        <v/>
      </c>
      <c r="AE1935" s="71" t="str">
        <f aca="false">IF(AH1935="","",P1935-N(N1935)+AB1935+AC1935+AD1935)</f>
        <v/>
      </c>
      <c r="AF1935" s="65"/>
      <c r="AG1935" s="64"/>
      <c r="AH1935" s="72" t="str">
        <f aca="false">IF(OR(B1935="",C1935=""),"",C1935&amp;"|"&amp;(YEAR(B1935)*100+MONTH(B1935)))</f>
        <v/>
      </c>
      <c r="AI1935" s="70" t="str">
        <f aca="false">IF(AH1935="","",IF(COUNTIF(L_CLAVE,AH1935)&gt;1,"⚠ Duplicado","OK"))</f>
        <v/>
      </c>
      <c r="AJ1935" s="86" t="str">
        <f aca="false">IF(AH1935="","",IF(SUMPRODUCT(MAX((IND_PER&lt;=B1935)*(IND_UF&lt;&gt;"")*IND_PER))=0,UF_HOY,INDEX(IND_UF,MATCH(SUMPRODUCT(MAX((IND_PER&lt;=B1935)*(IND_UF&lt;&gt;"")*IND_PER)),IND_PER,0))))</f>
        <v/>
      </c>
      <c r="AK1935" s="87" t="str">
        <f aca="false">IF(AH1935="","",IF(COUNTIF(TASA_DESDE,"&lt;="&amp;B1935)=0,INDEX(TASA_EMP,1),INDEX(TASA_EMP,COUNTIF(TASA_DESDE,"&lt;="&amp;B1935))))</f>
        <v/>
      </c>
    </row>
    <row r="1936" customFormat="false" ht="15" hidden="false" customHeight="false" outlineLevel="0" collapsed="false">
      <c r="B1936" s="78"/>
      <c r="C1936" s="64"/>
      <c r="D1936" s="72" t="str">
        <f aca="false">IF(C1936="","",IFERROR(INDEX(T_NOMBRE,MATCH(C1936,T_ID,0)),"⚠ ID no existe"))</f>
        <v/>
      </c>
      <c r="E1936" s="69"/>
      <c r="F1936" s="67"/>
      <c r="G1936" s="67"/>
      <c r="H1936" s="67"/>
      <c r="I1936" s="67"/>
      <c r="J1936" s="67"/>
      <c r="K1936" s="85" t="str">
        <f aca="false">IF(AH1936="","",N(F1936)+N(G1936)+N(H1936)-N(I1936)+N(J1936))</f>
        <v/>
      </c>
      <c r="L1936" s="67"/>
      <c r="M1936" s="67"/>
      <c r="N1936" s="67"/>
      <c r="O1936" s="67"/>
      <c r="P1936" s="85" t="str">
        <f aca="false">IF(AH1936="","",K1936+N(L1936)+N(M1936)+N(N1936)+N(O1936))</f>
        <v/>
      </c>
      <c r="Q1936" s="67"/>
      <c r="R1936" s="67"/>
      <c r="S1936" s="67"/>
      <c r="T1936" s="67"/>
      <c r="U1936" s="67"/>
      <c r="V1936" s="67"/>
      <c r="W1936" s="85" t="str">
        <f aca="false">IF(AH1936="","",N(Q1936)+N(R1936)+N(S1936)+N(T1936)+N(U1936)+N(V1936))</f>
        <v/>
      </c>
      <c r="X1936" s="85" t="str">
        <f aca="false">IF(AH1936="","",P1936-W1936)</f>
        <v/>
      </c>
      <c r="Y1936" s="67"/>
      <c r="Z1936" s="70" t="str">
        <f aca="false">IF(OR(AH1936="",Y1936=""),"",IF(ABS(X1936-Y1936)&lt;=1,"✓ Cuadra","⚠ Diferencia $"&amp;FIXED(X1936-Y1936,0)))</f>
        <v/>
      </c>
      <c r="AA1936" s="72" t="str">
        <f aca="false">IF(AH1936="","",IFERROR(INDEX(C_TIPO,MATCH(C1936&amp;"-P"&amp;MAX(1,COUNTIFS(C_ID,C1936,C_DEFINE,"Sí",C_INICIO,"&lt;="&amp;EOMONTH(B1936,0))),C_CLAVE,0))&amp;"","Sin dato"))</f>
        <v/>
      </c>
      <c r="AB1936" s="71" t="str">
        <f aca="false">IF(AH1936="","",ROUND(MIN(K1936,TOPE_AFP_UF*AJ1936)*AK1936,0))</f>
        <v/>
      </c>
      <c r="AC1936" s="71" t="str">
        <f aca="false">IF(AH1936="","",ROUND(MIN(K1936,TOPE_AFC_UF*AJ1936)*IF(AA1936="Indefinido",AFC_EMP_INDEF,AFC_EMP_PF),0))</f>
        <v/>
      </c>
      <c r="AD1936" s="71" t="str">
        <f aca="false">IF(AH1936="","",ROUND(MIN(K1936,TOPE_AFP_UF*AJ1936)*(MUTUAL_BASICA+MUTUAL_ADIC+SANNA),0))</f>
        <v/>
      </c>
      <c r="AE1936" s="71" t="str">
        <f aca="false">IF(AH1936="","",P1936-N(N1936)+AB1936+AC1936+AD1936)</f>
        <v/>
      </c>
      <c r="AF1936" s="65"/>
      <c r="AG1936" s="64"/>
      <c r="AH1936" s="72" t="str">
        <f aca="false">IF(OR(B1936="",C1936=""),"",C1936&amp;"|"&amp;(YEAR(B1936)*100+MONTH(B1936)))</f>
        <v/>
      </c>
      <c r="AI1936" s="70" t="str">
        <f aca="false">IF(AH1936="","",IF(COUNTIF(L_CLAVE,AH1936)&gt;1,"⚠ Duplicado","OK"))</f>
        <v/>
      </c>
      <c r="AJ1936" s="86" t="str">
        <f aca="false">IF(AH1936="","",IF(SUMPRODUCT(MAX((IND_PER&lt;=B1936)*(IND_UF&lt;&gt;"")*IND_PER))=0,UF_HOY,INDEX(IND_UF,MATCH(SUMPRODUCT(MAX((IND_PER&lt;=B1936)*(IND_UF&lt;&gt;"")*IND_PER)),IND_PER,0))))</f>
        <v/>
      </c>
      <c r="AK1936" s="87" t="str">
        <f aca="false">IF(AH1936="","",IF(COUNTIF(TASA_DESDE,"&lt;="&amp;B1936)=0,INDEX(TASA_EMP,1),INDEX(TASA_EMP,COUNTIF(TASA_DESDE,"&lt;="&amp;B1936))))</f>
        <v/>
      </c>
    </row>
    <row r="1937" customFormat="false" ht="15" hidden="false" customHeight="false" outlineLevel="0" collapsed="false">
      <c r="B1937" s="78"/>
      <c r="C1937" s="64"/>
      <c r="D1937" s="72" t="str">
        <f aca="false">IF(C1937="","",IFERROR(INDEX(T_NOMBRE,MATCH(C1937,T_ID,0)),"⚠ ID no existe"))</f>
        <v/>
      </c>
      <c r="E1937" s="69"/>
      <c r="F1937" s="67"/>
      <c r="G1937" s="67"/>
      <c r="H1937" s="67"/>
      <c r="I1937" s="67"/>
      <c r="J1937" s="67"/>
      <c r="K1937" s="85" t="str">
        <f aca="false">IF(AH1937="","",N(F1937)+N(G1937)+N(H1937)-N(I1937)+N(J1937))</f>
        <v/>
      </c>
      <c r="L1937" s="67"/>
      <c r="M1937" s="67"/>
      <c r="N1937" s="67"/>
      <c r="O1937" s="67"/>
      <c r="P1937" s="85" t="str">
        <f aca="false">IF(AH1937="","",K1937+N(L1937)+N(M1937)+N(N1937)+N(O1937))</f>
        <v/>
      </c>
      <c r="Q1937" s="67"/>
      <c r="R1937" s="67"/>
      <c r="S1937" s="67"/>
      <c r="T1937" s="67"/>
      <c r="U1937" s="67"/>
      <c r="V1937" s="67"/>
      <c r="W1937" s="85" t="str">
        <f aca="false">IF(AH1937="","",N(Q1937)+N(R1937)+N(S1937)+N(T1937)+N(U1937)+N(V1937))</f>
        <v/>
      </c>
      <c r="X1937" s="85" t="str">
        <f aca="false">IF(AH1937="","",P1937-W1937)</f>
        <v/>
      </c>
      <c r="Y1937" s="67"/>
      <c r="Z1937" s="70" t="str">
        <f aca="false">IF(OR(AH1937="",Y1937=""),"",IF(ABS(X1937-Y1937)&lt;=1,"✓ Cuadra","⚠ Diferencia $"&amp;FIXED(X1937-Y1937,0)))</f>
        <v/>
      </c>
      <c r="AA1937" s="72" t="str">
        <f aca="false">IF(AH1937="","",IFERROR(INDEX(C_TIPO,MATCH(C1937&amp;"-P"&amp;MAX(1,COUNTIFS(C_ID,C1937,C_DEFINE,"Sí",C_INICIO,"&lt;="&amp;EOMONTH(B1937,0))),C_CLAVE,0))&amp;"","Sin dato"))</f>
        <v/>
      </c>
      <c r="AB1937" s="71" t="str">
        <f aca="false">IF(AH1937="","",ROUND(MIN(K1937,TOPE_AFP_UF*AJ1937)*AK1937,0))</f>
        <v/>
      </c>
      <c r="AC1937" s="71" t="str">
        <f aca="false">IF(AH1937="","",ROUND(MIN(K1937,TOPE_AFC_UF*AJ1937)*IF(AA1937="Indefinido",AFC_EMP_INDEF,AFC_EMP_PF),0))</f>
        <v/>
      </c>
      <c r="AD1937" s="71" t="str">
        <f aca="false">IF(AH1937="","",ROUND(MIN(K1937,TOPE_AFP_UF*AJ1937)*(MUTUAL_BASICA+MUTUAL_ADIC+SANNA),0))</f>
        <v/>
      </c>
      <c r="AE1937" s="71" t="str">
        <f aca="false">IF(AH1937="","",P1937-N(N1937)+AB1937+AC1937+AD1937)</f>
        <v/>
      </c>
      <c r="AF1937" s="65"/>
      <c r="AG1937" s="64"/>
      <c r="AH1937" s="72" t="str">
        <f aca="false">IF(OR(B1937="",C1937=""),"",C1937&amp;"|"&amp;(YEAR(B1937)*100+MONTH(B1937)))</f>
        <v/>
      </c>
      <c r="AI1937" s="70" t="str">
        <f aca="false">IF(AH1937="","",IF(COUNTIF(L_CLAVE,AH1937)&gt;1,"⚠ Duplicado","OK"))</f>
        <v/>
      </c>
      <c r="AJ1937" s="86" t="str">
        <f aca="false">IF(AH1937="","",IF(SUMPRODUCT(MAX((IND_PER&lt;=B1937)*(IND_UF&lt;&gt;"")*IND_PER))=0,UF_HOY,INDEX(IND_UF,MATCH(SUMPRODUCT(MAX((IND_PER&lt;=B1937)*(IND_UF&lt;&gt;"")*IND_PER)),IND_PER,0))))</f>
        <v/>
      </c>
      <c r="AK1937" s="87" t="str">
        <f aca="false">IF(AH1937="","",IF(COUNTIF(TASA_DESDE,"&lt;="&amp;B1937)=0,INDEX(TASA_EMP,1),INDEX(TASA_EMP,COUNTIF(TASA_DESDE,"&lt;="&amp;B1937))))</f>
        <v/>
      </c>
    </row>
    <row r="1938" customFormat="false" ht="15" hidden="false" customHeight="false" outlineLevel="0" collapsed="false">
      <c r="B1938" s="78"/>
      <c r="C1938" s="64"/>
      <c r="D1938" s="72" t="str">
        <f aca="false">IF(C1938="","",IFERROR(INDEX(T_NOMBRE,MATCH(C1938,T_ID,0)),"⚠ ID no existe"))</f>
        <v/>
      </c>
      <c r="E1938" s="69"/>
      <c r="F1938" s="67"/>
      <c r="G1938" s="67"/>
      <c r="H1938" s="67"/>
      <c r="I1938" s="67"/>
      <c r="J1938" s="67"/>
      <c r="K1938" s="85" t="str">
        <f aca="false">IF(AH1938="","",N(F1938)+N(G1938)+N(H1938)-N(I1938)+N(J1938))</f>
        <v/>
      </c>
      <c r="L1938" s="67"/>
      <c r="M1938" s="67"/>
      <c r="N1938" s="67"/>
      <c r="O1938" s="67"/>
      <c r="P1938" s="85" t="str">
        <f aca="false">IF(AH1938="","",K1938+N(L1938)+N(M1938)+N(N1938)+N(O1938))</f>
        <v/>
      </c>
      <c r="Q1938" s="67"/>
      <c r="R1938" s="67"/>
      <c r="S1938" s="67"/>
      <c r="T1938" s="67"/>
      <c r="U1938" s="67"/>
      <c r="V1938" s="67"/>
      <c r="W1938" s="85" t="str">
        <f aca="false">IF(AH1938="","",N(Q1938)+N(R1938)+N(S1938)+N(T1938)+N(U1938)+N(V1938))</f>
        <v/>
      </c>
      <c r="X1938" s="85" t="str">
        <f aca="false">IF(AH1938="","",P1938-W1938)</f>
        <v/>
      </c>
      <c r="Y1938" s="67"/>
      <c r="Z1938" s="70" t="str">
        <f aca="false">IF(OR(AH1938="",Y1938=""),"",IF(ABS(X1938-Y1938)&lt;=1,"✓ Cuadra","⚠ Diferencia $"&amp;FIXED(X1938-Y1938,0)))</f>
        <v/>
      </c>
      <c r="AA1938" s="72" t="str">
        <f aca="false">IF(AH1938="","",IFERROR(INDEX(C_TIPO,MATCH(C1938&amp;"-P"&amp;MAX(1,COUNTIFS(C_ID,C1938,C_DEFINE,"Sí",C_INICIO,"&lt;="&amp;EOMONTH(B1938,0))),C_CLAVE,0))&amp;"","Sin dato"))</f>
        <v/>
      </c>
      <c r="AB1938" s="71" t="str">
        <f aca="false">IF(AH1938="","",ROUND(MIN(K1938,TOPE_AFP_UF*AJ1938)*AK1938,0))</f>
        <v/>
      </c>
      <c r="AC1938" s="71" t="str">
        <f aca="false">IF(AH1938="","",ROUND(MIN(K1938,TOPE_AFC_UF*AJ1938)*IF(AA1938="Indefinido",AFC_EMP_INDEF,AFC_EMP_PF),0))</f>
        <v/>
      </c>
      <c r="AD1938" s="71" t="str">
        <f aca="false">IF(AH1938="","",ROUND(MIN(K1938,TOPE_AFP_UF*AJ1938)*(MUTUAL_BASICA+MUTUAL_ADIC+SANNA),0))</f>
        <v/>
      </c>
      <c r="AE1938" s="71" t="str">
        <f aca="false">IF(AH1938="","",P1938-N(N1938)+AB1938+AC1938+AD1938)</f>
        <v/>
      </c>
      <c r="AF1938" s="65"/>
      <c r="AG1938" s="64"/>
      <c r="AH1938" s="72" t="str">
        <f aca="false">IF(OR(B1938="",C1938=""),"",C1938&amp;"|"&amp;(YEAR(B1938)*100+MONTH(B1938)))</f>
        <v/>
      </c>
      <c r="AI1938" s="70" t="str">
        <f aca="false">IF(AH1938="","",IF(COUNTIF(L_CLAVE,AH1938)&gt;1,"⚠ Duplicado","OK"))</f>
        <v/>
      </c>
      <c r="AJ1938" s="86" t="str">
        <f aca="false">IF(AH1938="","",IF(SUMPRODUCT(MAX((IND_PER&lt;=B1938)*(IND_UF&lt;&gt;"")*IND_PER))=0,UF_HOY,INDEX(IND_UF,MATCH(SUMPRODUCT(MAX((IND_PER&lt;=B1938)*(IND_UF&lt;&gt;"")*IND_PER)),IND_PER,0))))</f>
        <v/>
      </c>
      <c r="AK1938" s="87" t="str">
        <f aca="false">IF(AH1938="","",IF(COUNTIF(TASA_DESDE,"&lt;="&amp;B1938)=0,INDEX(TASA_EMP,1),INDEX(TASA_EMP,COUNTIF(TASA_DESDE,"&lt;="&amp;B1938))))</f>
        <v/>
      </c>
    </row>
    <row r="1939" customFormat="false" ht="15" hidden="false" customHeight="false" outlineLevel="0" collapsed="false">
      <c r="B1939" s="78"/>
      <c r="C1939" s="64"/>
      <c r="D1939" s="72" t="str">
        <f aca="false">IF(C1939="","",IFERROR(INDEX(T_NOMBRE,MATCH(C1939,T_ID,0)),"⚠ ID no existe"))</f>
        <v/>
      </c>
      <c r="E1939" s="69"/>
      <c r="F1939" s="67"/>
      <c r="G1939" s="67"/>
      <c r="H1939" s="67"/>
      <c r="I1939" s="67"/>
      <c r="J1939" s="67"/>
      <c r="K1939" s="85" t="str">
        <f aca="false">IF(AH1939="","",N(F1939)+N(G1939)+N(H1939)-N(I1939)+N(J1939))</f>
        <v/>
      </c>
      <c r="L1939" s="67"/>
      <c r="M1939" s="67"/>
      <c r="N1939" s="67"/>
      <c r="O1939" s="67"/>
      <c r="P1939" s="85" t="str">
        <f aca="false">IF(AH1939="","",K1939+N(L1939)+N(M1939)+N(N1939)+N(O1939))</f>
        <v/>
      </c>
      <c r="Q1939" s="67"/>
      <c r="R1939" s="67"/>
      <c r="S1939" s="67"/>
      <c r="T1939" s="67"/>
      <c r="U1939" s="67"/>
      <c r="V1939" s="67"/>
      <c r="W1939" s="85" t="str">
        <f aca="false">IF(AH1939="","",N(Q1939)+N(R1939)+N(S1939)+N(T1939)+N(U1939)+N(V1939))</f>
        <v/>
      </c>
      <c r="X1939" s="85" t="str">
        <f aca="false">IF(AH1939="","",P1939-W1939)</f>
        <v/>
      </c>
      <c r="Y1939" s="67"/>
      <c r="Z1939" s="70" t="str">
        <f aca="false">IF(OR(AH1939="",Y1939=""),"",IF(ABS(X1939-Y1939)&lt;=1,"✓ Cuadra","⚠ Diferencia $"&amp;FIXED(X1939-Y1939,0)))</f>
        <v/>
      </c>
      <c r="AA1939" s="72" t="str">
        <f aca="false">IF(AH1939="","",IFERROR(INDEX(C_TIPO,MATCH(C1939&amp;"-P"&amp;MAX(1,COUNTIFS(C_ID,C1939,C_DEFINE,"Sí",C_INICIO,"&lt;="&amp;EOMONTH(B1939,0))),C_CLAVE,0))&amp;"","Sin dato"))</f>
        <v/>
      </c>
      <c r="AB1939" s="71" t="str">
        <f aca="false">IF(AH1939="","",ROUND(MIN(K1939,TOPE_AFP_UF*AJ1939)*AK1939,0))</f>
        <v/>
      </c>
      <c r="AC1939" s="71" t="str">
        <f aca="false">IF(AH1939="","",ROUND(MIN(K1939,TOPE_AFC_UF*AJ1939)*IF(AA1939="Indefinido",AFC_EMP_INDEF,AFC_EMP_PF),0))</f>
        <v/>
      </c>
      <c r="AD1939" s="71" t="str">
        <f aca="false">IF(AH1939="","",ROUND(MIN(K1939,TOPE_AFP_UF*AJ1939)*(MUTUAL_BASICA+MUTUAL_ADIC+SANNA),0))</f>
        <v/>
      </c>
      <c r="AE1939" s="71" t="str">
        <f aca="false">IF(AH1939="","",P1939-N(N1939)+AB1939+AC1939+AD1939)</f>
        <v/>
      </c>
      <c r="AF1939" s="65"/>
      <c r="AG1939" s="64"/>
      <c r="AH1939" s="72" t="str">
        <f aca="false">IF(OR(B1939="",C1939=""),"",C1939&amp;"|"&amp;(YEAR(B1939)*100+MONTH(B1939)))</f>
        <v/>
      </c>
      <c r="AI1939" s="70" t="str">
        <f aca="false">IF(AH1939="","",IF(COUNTIF(L_CLAVE,AH1939)&gt;1,"⚠ Duplicado","OK"))</f>
        <v/>
      </c>
      <c r="AJ1939" s="86" t="str">
        <f aca="false">IF(AH1939="","",IF(SUMPRODUCT(MAX((IND_PER&lt;=B1939)*(IND_UF&lt;&gt;"")*IND_PER))=0,UF_HOY,INDEX(IND_UF,MATCH(SUMPRODUCT(MAX((IND_PER&lt;=B1939)*(IND_UF&lt;&gt;"")*IND_PER)),IND_PER,0))))</f>
        <v/>
      </c>
      <c r="AK1939" s="87" t="str">
        <f aca="false">IF(AH1939="","",IF(COUNTIF(TASA_DESDE,"&lt;="&amp;B1939)=0,INDEX(TASA_EMP,1),INDEX(TASA_EMP,COUNTIF(TASA_DESDE,"&lt;="&amp;B1939))))</f>
        <v/>
      </c>
    </row>
    <row r="1940" customFormat="false" ht="15" hidden="false" customHeight="false" outlineLevel="0" collapsed="false">
      <c r="B1940" s="78"/>
      <c r="C1940" s="64"/>
      <c r="D1940" s="72" t="str">
        <f aca="false">IF(C1940="","",IFERROR(INDEX(T_NOMBRE,MATCH(C1940,T_ID,0)),"⚠ ID no existe"))</f>
        <v/>
      </c>
      <c r="E1940" s="69"/>
      <c r="F1940" s="67"/>
      <c r="G1940" s="67"/>
      <c r="H1940" s="67"/>
      <c r="I1940" s="67"/>
      <c r="J1940" s="67"/>
      <c r="K1940" s="85" t="str">
        <f aca="false">IF(AH1940="","",N(F1940)+N(G1940)+N(H1940)-N(I1940)+N(J1940))</f>
        <v/>
      </c>
      <c r="L1940" s="67"/>
      <c r="M1940" s="67"/>
      <c r="N1940" s="67"/>
      <c r="O1940" s="67"/>
      <c r="P1940" s="85" t="str">
        <f aca="false">IF(AH1940="","",K1940+N(L1940)+N(M1940)+N(N1940)+N(O1940))</f>
        <v/>
      </c>
      <c r="Q1940" s="67"/>
      <c r="R1940" s="67"/>
      <c r="S1940" s="67"/>
      <c r="T1940" s="67"/>
      <c r="U1940" s="67"/>
      <c r="V1940" s="67"/>
      <c r="W1940" s="85" t="str">
        <f aca="false">IF(AH1940="","",N(Q1940)+N(R1940)+N(S1940)+N(T1940)+N(U1940)+N(V1940))</f>
        <v/>
      </c>
      <c r="X1940" s="85" t="str">
        <f aca="false">IF(AH1940="","",P1940-W1940)</f>
        <v/>
      </c>
      <c r="Y1940" s="67"/>
      <c r="Z1940" s="70" t="str">
        <f aca="false">IF(OR(AH1940="",Y1940=""),"",IF(ABS(X1940-Y1940)&lt;=1,"✓ Cuadra","⚠ Diferencia $"&amp;FIXED(X1940-Y1940,0)))</f>
        <v/>
      </c>
      <c r="AA1940" s="72" t="str">
        <f aca="false">IF(AH1940="","",IFERROR(INDEX(C_TIPO,MATCH(C1940&amp;"-P"&amp;MAX(1,COUNTIFS(C_ID,C1940,C_DEFINE,"Sí",C_INICIO,"&lt;="&amp;EOMONTH(B1940,0))),C_CLAVE,0))&amp;"","Sin dato"))</f>
        <v/>
      </c>
      <c r="AB1940" s="71" t="str">
        <f aca="false">IF(AH1940="","",ROUND(MIN(K1940,TOPE_AFP_UF*AJ1940)*AK1940,0))</f>
        <v/>
      </c>
      <c r="AC1940" s="71" t="str">
        <f aca="false">IF(AH1940="","",ROUND(MIN(K1940,TOPE_AFC_UF*AJ1940)*IF(AA1940="Indefinido",AFC_EMP_INDEF,AFC_EMP_PF),0))</f>
        <v/>
      </c>
      <c r="AD1940" s="71" t="str">
        <f aca="false">IF(AH1940="","",ROUND(MIN(K1940,TOPE_AFP_UF*AJ1940)*(MUTUAL_BASICA+MUTUAL_ADIC+SANNA),0))</f>
        <v/>
      </c>
      <c r="AE1940" s="71" t="str">
        <f aca="false">IF(AH1940="","",P1940-N(N1940)+AB1940+AC1940+AD1940)</f>
        <v/>
      </c>
      <c r="AF1940" s="65"/>
      <c r="AG1940" s="64"/>
      <c r="AH1940" s="72" t="str">
        <f aca="false">IF(OR(B1940="",C1940=""),"",C1940&amp;"|"&amp;(YEAR(B1940)*100+MONTH(B1940)))</f>
        <v/>
      </c>
      <c r="AI1940" s="70" t="str">
        <f aca="false">IF(AH1940="","",IF(COUNTIF(L_CLAVE,AH1940)&gt;1,"⚠ Duplicado","OK"))</f>
        <v/>
      </c>
      <c r="AJ1940" s="86" t="str">
        <f aca="false">IF(AH1940="","",IF(SUMPRODUCT(MAX((IND_PER&lt;=B1940)*(IND_UF&lt;&gt;"")*IND_PER))=0,UF_HOY,INDEX(IND_UF,MATCH(SUMPRODUCT(MAX((IND_PER&lt;=B1940)*(IND_UF&lt;&gt;"")*IND_PER)),IND_PER,0))))</f>
        <v/>
      </c>
      <c r="AK1940" s="87" t="str">
        <f aca="false">IF(AH1940="","",IF(COUNTIF(TASA_DESDE,"&lt;="&amp;B1940)=0,INDEX(TASA_EMP,1),INDEX(TASA_EMP,COUNTIF(TASA_DESDE,"&lt;="&amp;B1940))))</f>
        <v/>
      </c>
    </row>
    <row r="1941" customFormat="false" ht="15" hidden="false" customHeight="false" outlineLevel="0" collapsed="false">
      <c r="B1941" s="78"/>
      <c r="C1941" s="64"/>
      <c r="D1941" s="72" t="str">
        <f aca="false">IF(C1941="","",IFERROR(INDEX(T_NOMBRE,MATCH(C1941,T_ID,0)),"⚠ ID no existe"))</f>
        <v/>
      </c>
      <c r="E1941" s="69"/>
      <c r="F1941" s="67"/>
      <c r="G1941" s="67"/>
      <c r="H1941" s="67"/>
      <c r="I1941" s="67"/>
      <c r="J1941" s="67"/>
      <c r="K1941" s="85" t="str">
        <f aca="false">IF(AH1941="","",N(F1941)+N(G1941)+N(H1941)-N(I1941)+N(J1941))</f>
        <v/>
      </c>
      <c r="L1941" s="67"/>
      <c r="M1941" s="67"/>
      <c r="N1941" s="67"/>
      <c r="O1941" s="67"/>
      <c r="P1941" s="85" t="str">
        <f aca="false">IF(AH1941="","",K1941+N(L1941)+N(M1941)+N(N1941)+N(O1941))</f>
        <v/>
      </c>
      <c r="Q1941" s="67"/>
      <c r="R1941" s="67"/>
      <c r="S1941" s="67"/>
      <c r="T1941" s="67"/>
      <c r="U1941" s="67"/>
      <c r="V1941" s="67"/>
      <c r="W1941" s="85" t="str">
        <f aca="false">IF(AH1941="","",N(Q1941)+N(R1941)+N(S1941)+N(T1941)+N(U1941)+N(V1941))</f>
        <v/>
      </c>
      <c r="X1941" s="85" t="str">
        <f aca="false">IF(AH1941="","",P1941-W1941)</f>
        <v/>
      </c>
      <c r="Y1941" s="67"/>
      <c r="Z1941" s="70" t="str">
        <f aca="false">IF(OR(AH1941="",Y1941=""),"",IF(ABS(X1941-Y1941)&lt;=1,"✓ Cuadra","⚠ Diferencia $"&amp;FIXED(X1941-Y1941,0)))</f>
        <v/>
      </c>
      <c r="AA1941" s="72" t="str">
        <f aca="false">IF(AH1941="","",IFERROR(INDEX(C_TIPO,MATCH(C1941&amp;"-P"&amp;MAX(1,COUNTIFS(C_ID,C1941,C_DEFINE,"Sí",C_INICIO,"&lt;="&amp;EOMONTH(B1941,0))),C_CLAVE,0))&amp;"","Sin dato"))</f>
        <v/>
      </c>
      <c r="AB1941" s="71" t="str">
        <f aca="false">IF(AH1941="","",ROUND(MIN(K1941,TOPE_AFP_UF*AJ1941)*AK1941,0))</f>
        <v/>
      </c>
      <c r="AC1941" s="71" t="str">
        <f aca="false">IF(AH1941="","",ROUND(MIN(K1941,TOPE_AFC_UF*AJ1941)*IF(AA1941="Indefinido",AFC_EMP_INDEF,AFC_EMP_PF),0))</f>
        <v/>
      </c>
      <c r="AD1941" s="71" t="str">
        <f aca="false">IF(AH1941="","",ROUND(MIN(K1941,TOPE_AFP_UF*AJ1941)*(MUTUAL_BASICA+MUTUAL_ADIC+SANNA),0))</f>
        <v/>
      </c>
      <c r="AE1941" s="71" t="str">
        <f aca="false">IF(AH1941="","",P1941-N(N1941)+AB1941+AC1941+AD1941)</f>
        <v/>
      </c>
      <c r="AF1941" s="65"/>
      <c r="AG1941" s="64"/>
      <c r="AH1941" s="72" t="str">
        <f aca="false">IF(OR(B1941="",C1941=""),"",C1941&amp;"|"&amp;(YEAR(B1941)*100+MONTH(B1941)))</f>
        <v/>
      </c>
      <c r="AI1941" s="70" t="str">
        <f aca="false">IF(AH1941="","",IF(COUNTIF(L_CLAVE,AH1941)&gt;1,"⚠ Duplicado","OK"))</f>
        <v/>
      </c>
      <c r="AJ1941" s="86" t="str">
        <f aca="false">IF(AH1941="","",IF(SUMPRODUCT(MAX((IND_PER&lt;=B1941)*(IND_UF&lt;&gt;"")*IND_PER))=0,UF_HOY,INDEX(IND_UF,MATCH(SUMPRODUCT(MAX((IND_PER&lt;=B1941)*(IND_UF&lt;&gt;"")*IND_PER)),IND_PER,0))))</f>
        <v/>
      </c>
      <c r="AK1941" s="87" t="str">
        <f aca="false">IF(AH1941="","",IF(COUNTIF(TASA_DESDE,"&lt;="&amp;B1941)=0,INDEX(TASA_EMP,1),INDEX(TASA_EMP,COUNTIF(TASA_DESDE,"&lt;="&amp;B1941))))</f>
        <v/>
      </c>
    </row>
    <row r="1942" customFormat="false" ht="15" hidden="false" customHeight="false" outlineLevel="0" collapsed="false">
      <c r="B1942" s="78"/>
      <c r="C1942" s="64"/>
      <c r="D1942" s="72" t="str">
        <f aca="false">IF(C1942="","",IFERROR(INDEX(T_NOMBRE,MATCH(C1942,T_ID,0)),"⚠ ID no existe"))</f>
        <v/>
      </c>
      <c r="E1942" s="69"/>
      <c r="F1942" s="67"/>
      <c r="G1942" s="67"/>
      <c r="H1942" s="67"/>
      <c r="I1942" s="67"/>
      <c r="J1942" s="67"/>
      <c r="K1942" s="85" t="str">
        <f aca="false">IF(AH1942="","",N(F1942)+N(G1942)+N(H1942)-N(I1942)+N(J1942))</f>
        <v/>
      </c>
      <c r="L1942" s="67"/>
      <c r="M1942" s="67"/>
      <c r="N1942" s="67"/>
      <c r="O1942" s="67"/>
      <c r="P1942" s="85" t="str">
        <f aca="false">IF(AH1942="","",K1942+N(L1942)+N(M1942)+N(N1942)+N(O1942))</f>
        <v/>
      </c>
      <c r="Q1942" s="67"/>
      <c r="R1942" s="67"/>
      <c r="S1942" s="67"/>
      <c r="T1942" s="67"/>
      <c r="U1942" s="67"/>
      <c r="V1942" s="67"/>
      <c r="W1942" s="85" t="str">
        <f aca="false">IF(AH1942="","",N(Q1942)+N(R1942)+N(S1942)+N(T1942)+N(U1942)+N(V1942))</f>
        <v/>
      </c>
      <c r="X1942" s="85" t="str">
        <f aca="false">IF(AH1942="","",P1942-W1942)</f>
        <v/>
      </c>
      <c r="Y1942" s="67"/>
      <c r="Z1942" s="70" t="str">
        <f aca="false">IF(OR(AH1942="",Y1942=""),"",IF(ABS(X1942-Y1942)&lt;=1,"✓ Cuadra","⚠ Diferencia $"&amp;FIXED(X1942-Y1942,0)))</f>
        <v/>
      </c>
      <c r="AA1942" s="72" t="str">
        <f aca="false">IF(AH1942="","",IFERROR(INDEX(C_TIPO,MATCH(C1942&amp;"-P"&amp;MAX(1,COUNTIFS(C_ID,C1942,C_DEFINE,"Sí",C_INICIO,"&lt;="&amp;EOMONTH(B1942,0))),C_CLAVE,0))&amp;"","Sin dato"))</f>
        <v/>
      </c>
      <c r="AB1942" s="71" t="str">
        <f aca="false">IF(AH1942="","",ROUND(MIN(K1942,TOPE_AFP_UF*AJ1942)*AK1942,0))</f>
        <v/>
      </c>
      <c r="AC1942" s="71" t="str">
        <f aca="false">IF(AH1942="","",ROUND(MIN(K1942,TOPE_AFC_UF*AJ1942)*IF(AA1942="Indefinido",AFC_EMP_INDEF,AFC_EMP_PF),0))</f>
        <v/>
      </c>
      <c r="AD1942" s="71" t="str">
        <f aca="false">IF(AH1942="","",ROUND(MIN(K1942,TOPE_AFP_UF*AJ1942)*(MUTUAL_BASICA+MUTUAL_ADIC+SANNA),0))</f>
        <v/>
      </c>
      <c r="AE1942" s="71" t="str">
        <f aca="false">IF(AH1942="","",P1942-N(N1942)+AB1942+AC1942+AD1942)</f>
        <v/>
      </c>
      <c r="AF1942" s="65"/>
      <c r="AG1942" s="64"/>
      <c r="AH1942" s="72" t="str">
        <f aca="false">IF(OR(B1942="",C1942=""),"",C1942&amp;"|"&amp;(YEAR(B1942)*100+MONTH(B1942)))</f>
        <v/>
      </c>
      <c r="AI1942" s="70" t="str">
        <f aca="false">IF(AH1942="","",IF(COUNTIF(L_CLAVE,AH1942)&gt;1,"⚠ Duplicado","OK"))</f>
        <v/>
      </c>
      <c r="AJ1942" s="86" t="str">
        <f aca="false">IF(AH1942="","",IF(SUMPRODUCT(MAX((IND_PER&lt;=B1942)*(IND_UF&lt;&gt;"")*IND_PER))=0,UF_HOY,INDEX(IND_UF,MATCH(SUMPRODUCT(MAX((IND_PER&lt;=B1942)*(IND_UF&lt;&gt;"")*IND_PER)),IND_PER,0))))</f>
        <v/>
      </c>
      <c r="AK1942" s="87" t="str">
        <f aca="false">IF(AH1942="","",IF(COUNTIF(TASA_DESDE,"&lt;="&amp;B1942)=0,INDEX(TASA_EMP,1),INDEX(TASA_EMP,COUNTIF(TASA_DESDE,"&lt;="&amp;B1942))))</f>
        <v/>
      </c>
    </row>
    <row r="1943" customFormat="false" ht="15" hidden="false" customHeight="false" outlineLevel="0" collapsed="false">
      <c r="B1943" s="78"/>
      <c r="C1943" s="64"/>
      <c r="D1943" s="72" t="str">
        <f aca="false">IF(C1943="","",IFERROR(INDEX(T_NOMBRE,MATCH(C1943,T_ID,0)),"⚠ ID no existe"))</f>
        <v/>
      </c>
      <c r="E1943" s="69"/>
      <c r="F1943" s="67"/>
      <c r="G1943" s="67"/>
      <c r="H1943" s="67"/>
      <c r="I1943" s="67"/>
      <c r="J1943" s="67"/>
      <c r="K1943" s="85" t="str">
        <f aca="false">IF(AH1943="","",N(F1943)+N(G1943)+N(H1943)-N(I1943)+N(J1943))</f>
        <v/>
      </c>
      <c r="L1943" s="67"/>
      <c r="M1943" s="67"/>
      <c r="N1943" s="67"/>
      <c r="O1943" s="67"/>
      <c r="P1943" s="85" t="str">
        <f aca="false">IF(AH1943="","",K1943+N(L1943)+N(M1943)+N(N1943)+N(O1943))</f>
        <v/>
      </c>
      <c r="Q1943" s="67"/>
      <c r="R1943" s="67"/>
      <c r="S1943" s="67"/>
      <c r="T1943" s="67"/>
      <c r="U1943" s="67"/>
      <c r="V1943" s="67"/>
      <c r="W1943" s="85" t="str">
        <f aca="false">IF(AH1943="","",N(Q1943)+N(R1943)+N(S1943)+N(T1943)+N(U1943)+N(V1943))</f>
        <v/>
      </c>
      <c r="X1943" s="85" t="str">
        <f aca="false">IF(AH1943="","",P1943-W1943)</f>
        <v/>
      </c>
      <c r="Y1943" s="67"/>
      <c r="Z1943" s="70" t="str">
        <f aca="false">IF(OR(AH1943="",Y1943=""),"",IF(ABS(X1943-Y1943)&lt;=1,"✓ Cuadra","⚠ Diferencia $"&amp;FIXED(X1943-Y1943,0)))</f>
        <v/>
      </c>
      <c r="AA1943" s="72" t="str">
        <f aca="false">IF(AH1943="","",IFERROR(INDEX(C_TIPO,MATCH(C1943&amp;"-P"&amp;MAX(1,COUNTIFS(C_ID,C1943,C_DEFINE,"Sí",C_INICIO,"&lt;="&amp;EOMONTH(B1943,0))),C_CLAVE,0))&amp;"","Sin dato"))</f>
        <v/>
      </c>
      <c r="AB1943" s="71" t="str">
        <f aca="false">IF(AH1943="","",ROUND(MIN(K1943,TOPE_AFP_UF*AJ1943)*AK1943,0))</f>
        <v/>
      </c>
      <c r="AC1943" s="71" t="str">
        <f aca="false">IF(AH1943="","",ROUND(MIN(K1943,TOPE_AFC_UF*AJ1943)*IF(AA1943="Indefinido",AFC_EMP_INDEF,AFC_EMP_PF),0))</f>
        <v/>
      </c>
      <c r="AD1943" s="71" t="str">
        <f aca="false">IF(AH1943="","",ROUND(MIN(K1943,TOPE_AFP_UF*AJ1943)*(MUTUAL_BASICA+MUTUAL_ADIC+SANNA),0))</f>
        <v/>
      </c>
      <c r="AE1943" s="71" t="str">
        <f aca="false">IF(AH1943="","",P1943-N(N1943)+AB1943+AC1943+AD1943)</f>
        <v/>
      </c>
      <c r="AF1943" s="65"/>
      <c r="AG1943" s="64"/>
      <c r="AH1943" s="72" t="str">
        <f aca="false">IF(OR(B1943="",C1943=""),"",C1943&amp;"|"&amp;(YEAR(B1943)*100+MONTH(B1943)))</f>
        <v/>
      </c>
      <c r="AI1943" s="70" t="str">
        <f aca="false">IF(AH1943="","",IF(COUNTIF(L_CLAVE,AH1943)&gt;1,"⚠ Duplicado","OK"))</f>
        <v/>
      </c>
      <c r="AJ1943" s="86" t="str">
        <f aca="false">IF(AH1943="","",IF(SUMPRODUCT(MAX((IND_PER&lt;=B1943)*(IND_UF&lt;&gt;"")*IND_PER))=0,UF_HOY,INDEX(IND_UF,MATCH(SUMPRODUCT(MAX((IND_PER&lt;=B1943)*(IND_UF&lt;&gt;"")*IND_PER)),IND_PER,0))))</f>
        <v/>
      </c>
      <c r="AK1943" s="87" t="str">
        <f aca="false">IF(AH1943="","",IF(COUNTIF(TASA_DESDE,"&lt;="&amp;B1943)=0,INDEX(TASA_EMP,1),INDEX(TASA_EMP,COUNTIF(TASA_DESDE,"&lt;="&amp;B1943))))</f>
        <v/>
      </c>
    </row>
    <row r="1944" customFormat="false" ht="15" hidden="false" customHeight="false" outlineLevel="0" collapsed="false">
      <c r="B1944" s="78"/>
      <c r="C1944" s="64"/>
      <c r="D1944" s="72" t="str">
        <f aca="false">IF(C1944="","",IFERROR(INDEX(T_NOMBRE,MATCH(C1944,T_ID,0)),"⚠ ID no existe"))</f>
        <v/>
      </c>
      <c r="E1944" s="69"/>
      <c r="F1944" s="67"/>
      <c r="G1944" s="67"/>
      <c r="H1944" s="67"/>
      <c r="I1944" s="67"/>
      <c r="J1944" s="67"/>
      <c r="K1944" s="85" t="str">
        <f aca="false">IF(AH1944="","",N(F1944)+N(G1944)+N(H1944)-N(I1944)+N(J1944))</f>
        <v/>
      </c>
      <c r="L1944" s="67"/>
      <c r="M1944" s="67"/>
      <c r="N1944" s="67"/>
      <c r="O1944" s="67"/>
      <c r="P1944" s="85" t="str">
        <f aca="false">IF(AH1944="","",K1944+N(L1944)+N(M1944)+N(N1944)+N(O1944))</f>
        <v/>
      </c>
      <c r="Q1944" s="67"/>
      <c r="R1944" s="67"/>
      <c r="S1944" s="67"/>
      <c r="T1944" s="67"/>
      <c r="U1944" s="67"/>
      <c r="V1944" s="67"/>
      <c r="W1944" s="85" t="str">
        <f aca="false">IF(AH1944="","",N(Q1944)+N(R1944)+N(S1944)+N(T1944)+N(U1944)+N(V1944))</f>
        <v/>
      </c>
      <c r="X1944" s="85" t="str">
        <f aca="false">IF(AH1944="","",P1944-W1944)</f>
        <v/>
      </c>
      <c r="Y1944" s="67"/>
      <c r="Z1944" s="70" t="str">
        <f aca="false">IF(OR(AH1944="",Y1944=""),"",IF(ABS(X1944-Y1944)&lt;=1,"✓ Cuadra","⚠ Diferencia $"&amp;FIXED(X1944-Y1944,0)))</f>
        <v/>
      </c>
      <c r="AA1944" s="72" t="str">
        <f aca="false">IF(AH1944="","",IFERROR(INDEX(C_TIPO,MATCH(C1944&amp;"-P"&amp;MAX(1,COUNTIFS(C_ID,C1944,C_DEFINE,"Sí",C_INICIO,"&lt;="&amp;EOMONTH(B1944,0))),C_CLAVE,0))&amp;"","Sin dato"))</f>
        <v/>
      </c>
      <c r="AB1944" s="71" t="str">
        <f aca="false">IF(AH1944="","",ROUND(MIN(K1944,TOPE_AFP_UF*AJ1944)*AK1944,0))</f>
        <v/>
      </c>
      <c r="AC1944" s="71" t="str">
        <f aca="false">IF(AH1944="","",ROUND(MIN(K1944,TOPE_AFC_UF*AJ1944)*IF(AA1944="Indefinido",AFC_EMP_INDEF,AFC_EMP_PF),0))</f>
        <v/>
      </c>
      <c r="AD1944" s="71" t="str">
        <f aca="false">IF(AH1944="","",ROUND(MIN(K1944,TOPE_AFP_UF*AJ1944)*(MUTUAL_BASICA+MUTUAL_ADIC+SANNA),0))</f>
        <v/>
      </c>
      <c r="AE1944" s="71" t="str">
        <f aca="false">IF(AH1944="","",P1944-N(N1944)+AB1944+AC1944+AD1944)</f>
        <v/>
      </c>
      <c r="AF1944" s="65"/>
      <c r="AG1944" s="64"/>
      <c r="AH1944" s="72" t="str">
        <f aca="false">IF(OR(B1944="",C1944=""),"",C1944&amp;"|"&amp;(YEAR(B1944)*100+MONTH(B1944)))</f>
        <v/>
      </c>
      <c r="AI1944" s="70" t="str">
        <f aca="false">IF(AH1944="","",IF(COUNTIF(L_CLAVE,AH1944)&gt;1,"⚠ Duplicado","OK"))</f>
        <v/>
      </c>
      <c r="AJ1944" s="86" t="str">
        <f aca="false">IF(AH1944="","",IF(SUMPRODUCT(MAX((IND_PER&lt;=B1944)*(IND_UF&lt;&gt;"")*IND_PER))=0,UF_HOY,INDEX(IND_UF,MATCH(SUMPRODUCT(MAX((IND_PER&lt;=B1944)*(IND_UF&lt;&gt;"")*IND_PER)),IND_PER,0))))</f>
        <v/>
      </c>
      <c r="AK1944" s="87" t="str">
        <f aca="false">IF(AH1944="","",IF(COUNTIF(TASA_DESDE,"&lt;="&amp;B1944)=0,INDEX(TASA_EMP,1),INDEX(TASA_EMP,COUNTIF(TASA_DESDE,"&lt;="&amp;B1944))))</f>
        <v/>
      </c>
    </row>
    <row r="1945" customFormat="false" ht="15" hidden="false" customHeight="false" outlineLevel="0" collapsed="false">
      <c r="B1945" s="78"/>
      <c r="C1945" s="64"/>
      <c r="D1945" s="72" t="str">
        <f aca="false">IF(C1945="","",IFERROR(INDEX(T_NOMBRE,MATCH(C1945,T_ID,0)),"⚠ ID no existe"))</f>
        <v/>
      </c>
      <c r="E1945" s="69"/>
      <c r="F1945" s="67"/>
      <c r="G1945" s="67"/>
      <c r="H1945" s="67"/>
      <c r="I1945" s="67"/>
      <c r="J1945" s="67"/>
      <c r="K1945" s="85" t="str">
        <f aca="false">IF(AH1945="","",N(F1945)+N(G1945)+N(H1945)-N(I1945)+N(J1945))</f>
        <v/>
      </c>
      <c r="L1945" s="67"/>
      <c r="M1945" s="67"/>
      <c r="N1945" s="67"/>
      <c r="O1945" s="67"/>
      <c r="P1945" s="85" t="str">
        <f aca="false">IF(AH1945="","",K1945+N(L1945)+N(M1945)+N(N1945)+N(O1945))</f>
        <v/>
      </c>
      <c r="Q1945" s="67"/>
      <c r="R1945" s="67"/>
      <c r="S1945" s="67"/>
      <c r="T1945" s="67"/>
      <c r="U1945" s="67"/>
      <c r="V1945" s="67"/>
      <c r="W1945" s="85" t="str">
        <f aca="false">IF(AH1945="","",N(Q1945)+N(R1945)+N(S1945)+N(T1945)+N(U1945)+N(V1945))</f>
        <v/>
      </c>
      <c r="X1945" s="85" t="str">
        <f aca="false">IF(AH1945="","",P1945-W1945)</f>
        <v/>
      </c>
      <c r="Y1945" s="67"/>
      <c r="Z1945" s="70" t="str">
        <f aca="false">IF(OR(AH1945="",Y1945=""),"",IF(ABS(X1945-Y1945)&lt;=1,"✓ Cuadra","⚠ Diferencia $"&amp;FIXED(X1945-Y1945,0)))</f>
        <v/>
      </c>
      <c r="AA1945" s="72" t="str">
        <f aca="false">IF(AH1945="","",IFERROR(INDEX(C_TIPO,MATCH(C1945&amp;"-P"&amp;MAX(1,COUNTIFS(C_ID,C1945,C_DEFINE,"Sí",C_INICIO,"&lt;="&amp;EOMONTH(B1945,0))),C_CLAVE,0))&amp;"","Sin dato"))</f>
        <v/>
      </c>
      <c r="AB1945" s="71" t="str">
        <f aca="false">IF(AH1945="","",ROUND(MIN(K1945,TOPE_AFP_UF*AJ1945)*AK1945,0))</f>
        <v/>
      </c>
      <c r="AC1945" s="71" t="str">
        <f aca="false">IF(AH1945="","",ROUND(MIN(K1945,TOPE_AFC_UF*AJ1945)*IF(AA1945="Indefinido",AFC_EMP_INDEF,AFC_EMP_PF),0))</f>
        <v/>
      </c>
      <c r="AD1945" s="71" t="str">
        <f aca="false">IF(AH1945="","",ROUND(MIN(K1945,TOPE_AFP_UF*AJ1945)*(MUTUAL_BASICA+MUTUAL_ADIC+SANNA),0))</f>
        <v/>
      </c>
      <c r="AE1945" s="71" t="str">
        <f aca="false">IF(AH1945="","",P1945-N(N1945)+AB1945+AC1945+AD1945)</f>
        <v/>
      </c>
      <c r="AF1945" s="65"/>
      <c r="AG1945" s="64"/>
      <c r="AH1945" s="72" t="str">
        <f aca="false">IF(OR(B1945="",C1945=""),"",C1945&amp;"|"&amp;(YEAR(B1945)*100+MONTH(B1945)))</f>
        <v/>
      </c>
      <c r="AI1945" s="70" t="str">
        <f aca="false">IF(AH1945="","",IF(COUNTIF(L_CLAVE,AH1945)&gt;1,"⚠ Duplicado","OK"))</f>
        <v/>
      </c>
      <c r="AJ1945" s="86" t="str">
        <f aca="false">IF(AH1945="","",IF(SUMPRODUCT(MAX((IND_PER&lt;=B1945)*(IND_UF&lt;&gt;"")*IND_PER))=0,UF_HOY,INDEX(IND_UF,MATCH(SUMPRODUCT(MAX((IND_PER&lt;=B1945)*(IND_UF&lt;&gt;"")*IND_PER)),IND_PER,0))))</f>
        <v/>
      </c>
      <c r="AK1945" s="87" t="str">
        <f aca="false">IF(AH1945="","",IF(COUNTIF(TASA_DESDE,"&lt;="&amp;B1945)=0,INDEX(TASA_EMP,1),INDEX(TASA_EMP,COUNTIF(TASA_DESDE,"&lt;="&amp;B1945))))</f>
        <v/>
      </c>
    </row>
    <row r="1946" customFormat="false" ht="15" hidden="false" customHeight="false" outlineLevel="0" collapsed="false">
      <c r="B1946" s="78"/>
      <c r="C1946" s="64"/>
      <c r="D1946" s="72" t="str">
        <f aca="false">IF(C1946="","",IFERROR(INDEX(T_NOMBRE,MATCH(C1946,T_ID,0)),"⚠ ID no existe"))</f>
        <v/>
      </c>
      <c r="E1946" s="69"/>
      <c r="F1946" s="67"/>
      <c r="G1946" s="67"/>
      <c r="H1946" s="67"/>
      <c r="I1946" s="67"/>
      <c r="J1946" s="67"/>
      <c r="K1946" s="85" t="str">
        <f aca="false">IF(AH1946="","",N(F1946)+N(G1946)+N(H1946)-N(I1946)+N(J1946))</f>
        <v/>
      </c>
      <c r="L1946" s="67"/>
      <c r="M1946" s="67"/>
      <c r="N1946" s="67"/>
      <c r="O1946" s="67"/>
      <c r="P1946" s="85" t="str">
        <f aca="false">IF(AH1946="","",K1946+N(L1946)+N(M1946)+N(N1946)+N(O1946))</f>
        <v/>
      </c>
      <c r="Q1946" s="67"/>
      <c r="R1946" s="67"/>
      <c r="S1946" s="67"/>
      <c r="T1946" s="67"/>
      <c r="U1946" s="67"/>
      <c r="V1946" s="67"/>
      <c r="W1946" s="85" t="str">
        <f aca="false">IF(AH1946="","",N(Q1946)+N(R1946)+N(S1946)+N(T1946)+N(U1946)+N(V1946))</f>
        <v/>
      </c>
      <c r="X1946" s="85" t="str">
        <f aca="false">IF(AH1946="","",P1946-W1946)</f>
        <v/>
      </c>
      <c r="Y1946" s="67"/>
      <c r="Z1946" s="70" t="str">
        <f aca="false">IF(OR(AH1946="",Y1946=""),"",IF(ABS(X1946-Y1946)&lt;=1,"✓ Cuadra","⚠ Diferencia $"&amp;FIXED(X1946-Y1946,0)))</f>
        <v/>
      </c>
      <c r="AA1946" s="72" t="str">
        <f aca="false">IF(AH1946="","",IFERROR(INDEX(C_TIPO,MATCH(C1946&amp;"-P"&amp;MAX(1,COUNTIFS(C_ID,C1946,C_DEFINE,"Sí",C_INICIO,"&lt;="&amp;EOMONTH(B1946,0))),C_CLAVE,0))&amp;"","Sin dato"))</f>
        <v/>
      </c>
      <c r="AB1946" s="71" t="str">
        <f aca="false">IF(AH1946="","",ROUND(MIN(K1946,TOPE_AFP_UF*AJ1946)*AK1946,0))</f>
        <v/>
      </c>
      <c r="AC1946" s="71" t="str">
        <f aca="false">IF(AH1946="","",ROUND(MIN(K1946,TOPE_AFC_UF*AJ1946)*IF(AA1946="Indefinido",AFC_EMP_INDEF,AFC_EMP_PF),0))</f>
        <v/>
      </c>
      <c r="AD1946" s="71" t="str">
        <f aca="false">IF(AH1946="","",ROUND(MIN(K1946,TOPE_AFP_UF*AJ1946)*(MUTUAL_BASICA+MUTUAL_ADIC+SANNA),0))</f>
        <v/>
      </c>
      <c r="AE1946" s="71" t="str">
        <f aca="false">IF(AH1946="","",P1946-N(N1946)+AB1946+AC1946+AD1946)</f>
        <v/>
      </c>
      <c r="AF1946" s="65"/>
      <c r="AG1946" s="64"/>
      <c r="AH1946" s="72" t="str">
        <f aca="false">IF(OR(B1946="",C1946=""),"",C1946&amp;"|"&amp;(YEAR(B1946)*100+MONTH(B1946)))</f>
        <v/>
      </c>
      <c r="AI1946" s="70" t="str">
        <f aca="false">IF(AH1946="","",IF(COUNTIF(L_CLAVE,AH1946)&gt;1,"⚠ Duplicado","OK"))</f>
        <v/>
      </c>
      <c r="AJ1946" s="86" t="str">
        <f aca="false">IF(AH1946="","",IF(SUMPRODUCT(MAX((IND_PER&lt;=B1946)*(IND_UF&lt;&gt;"")*IND_PER))=0,UF_HOY,INDEX(IND_UF,MATCH(SUMPRODUCT(MAX((IND_PER&lt;=B1946)*(IND_UF&lt;&gt;"")*IND_PER)),IND_PER,0))))</f>
        <v/>
      </c>
      <c r="AK1946" s="87" t="str">
        <f aca="false">IF(AH1946="","",IF(COUNTIF(TASA_DESDE,"&lt;="&amp;B1946)=0,INDEX(TASA_EMP,1),INDEX(TASA_EMP,COUNTIF(TASA_DESDE,"&lt;="&amp;B1946))))</f>
        <v/>
      </c>
    </row>
    <row r="1947" customFormat="false" ht="15" hidden="false" customHeight="false" outlineLevel="0" collapsed="false">
      <c r="B1947" s="78"/>
      <c r="C1947" s="64"/>
      <c r="D1947" s="72" t="str">
        <f aca="false">IF(C1947="","",IFERROR(INDEX(T_NOMBRE,MATCH(C1947,T_ID,0)),"⚠ ID no existe"))</f>
        <v/>
      </c>
      <c r="E1947" s="69"/>
      <c r="F1947" s="67"/>
      <c r="G1947" s="67"/>
      <c r="H1947" s="67"/>
      <c r="I1947" s="67"/>
      <c r="J1947" s="67"/>
      <c r="K1947" s="85" t="str">
        <f aca="false">IF(AH1947="","",N(F1947)+N(G1947)+N(H1947)-N(I1947)+N(J1947))</f>
        <v/>
      </c>
      <c r="L1947" s="67"/>
      <c r="M1947" s="67"/>
      <c r="N1947" s="67"/>
      <c r="O1947" s="67"/>
      <c r="P1947" s="85" t="str">
        <f aca="false">IF(AH1947="","",K1947+N(L1947)+N(M1947)+N(N1947)+N(O1947))</f>
        <v/>
      </c>
      <c r="Q1947" s="67"/>
      <c r="R1947" s="67"/>
      <c r="S1947" s="67"/>
      <c r="T1947" s="67"/>
      <c r="U1947" s="67"/>
      <c r="V1947" s="67"/>
      <c r="W1947" s="85" t="str">
        <f aca="false">IF(AH1947="","",N(Q1947)+N(R1947)+N(S1947)+N(T1947)+N(U1947)+N(V1947))</f>
        <v/>
      </c>
      <c r="X1947" s="85" t="str">
        <f aca="false">IF(AH1947="","",P1947-W1947)</f>
        <v/>
      </c>
      <c r="Y1947" s="67"/>
      <c r="Z1947" s="70" t="str">
        <f aca="false">IF(OR(AH1947="",Y1947=""),"",IF(ABS(X1947-Y1947)&lt;=1,"✓ Cuadra","⚠ Diferencia $"&amp;FIXED(X1947-Y1947,0)))</f>
        <v/>
      </c>
      <c r="AA1947" s="72" t="str">
        <f aca="false">IF(AH1947="","",IFERROR(INDEX(C_TIPO,MATCH(C1947&amp;"-P"&amp;MAX(1,COUNTIFS(C_ID,C1947,C_DEFINE,"Sí",C_INICIO,"&lt;="&amp;EOMONTH(B1947,0))),C_CLAVE,0))&amp;"","Sin dato"))</f>
        <v/>
      </c>
      <c r="AB1947" s="71" t="str">
        <f aca="false">IF(AH1947="","",ROUND(MIN(K1947,TOPE_AFP_UF*AJ1947)*AK1947,0))</f>
        <v/>
      </c>
      <c r="AC1947" s="71" t="str">
        <f aca="false">IF(AH1947="","",ROUND(MIN(K1947,TOPE_AFC_UF*AJ1947)*IF(AA1947="Indefinido",AFC_EMP_INDEF,AFC_EMP_PF),0))</f>
        <v/>
      </c>
      <c r="AD1947" s="71" t="str">
        <f aca="false">IF(AH1947="","",ROUND(MIN(K1947,TOPE_AFP_UF*AJ1947)*(MUTUAL_BASICA+MUTUAL_ADIC+SANNA),0))</f>
        <v/>
      </c>
      <c r="AE1947" s="71" t="str">
        <f aca="false">IF(AH1947="","",P1947-N(N1947)+AB1947+AC1947+AD1947)</f>
        <v/>
      </c>
      <c r="AF1947" s="65"/>
      <c r="AG1947" s="64"/>
      <c r="AH1947" s="72" t="str">
        <f aca="false">IF(OR(B1947="",C1947=""),"",C1947&amp;"|"&amp;(YEAR(B1947)*100+MONTH(B1947)))</f>
        <v/>
      </c>
      <c r="AI1947" s="70" t="str">
        <f aca="false">IF(AH1947="","",IF(COUNTIF(L_CLAVE,AH1947)&gt;1,"⚠ Duplicado","OK"))</f>
        <v/>
      </c>
      <c r="AJ1947" s="86" t="str">
        <f aca="false">IF(AH1947="","",IF(SUMPRODUCT(MAX((IND_PER&lt;=B1947)*(IND_UF&lt;&gt;"")*IND_PER))=0,UF_HOY,INDEX(IND_UF,MATCH(SUMPRODUCT(MAX((IND_PER&lt;=B1947)*(IND_UF&lt;&gt;"")*IND_PER)),IND_PER,0))))</f>
        <v/>
      </c>
      <c r="AK1947" s="87" t="str">
        <f aca="false">IF(AH1947="","",IF(COUNTIF(TASA_DESDE,"&lt;="&amp;B1947)=0,INDEX(TASA_EMP,1),INDEX(TASA_EMP,COUNTIF(TASA_DESDE,"&lt;="&amp;B1947))))</f>
        <v/>
      </c>
    </row>
    <row r="1948" customFormat="false" ht="15" hidden="false" customHeight="false" outlineLevel="0" collapsed="false">
      <c r="B1948" s="78"/>
      <c r="C1948" s="64"/>
      <c r="D1948" s="72" t="str">
        <f aca="false">IF(C1948="","",IFERROR(INDEX(T_NOMBRE,MATCH(C1948,T_ID,0)),"⚠ ID no existe"))</f>
        <v/>
      </c>
      <c r="E1948" s="69"/>
      <c r="F1948" s="67"/>
      <c r="G1948" s="67"/>
      <c r="H1948" s="67"/>
      <c r="I1948" s="67"/>
      <c r="J1948" s="67"/>
      <c r="K1948" s="85" t="str">
        <f aca="false">IF(AH1948="","",N(F1948)+N(G1948)+N(H1948)-N(I1948)+N(J1948))</f>
        <v/>
      </c>
      <c r="L1948" s="67"/>
      <c r="M1948" s="67"/>
      <c r="N1948" s="67"/>
      <c r="O1948" s="67"/>
      <c r="P1948" s="85" t="str">
        <f aca="false">IF(AH1948="","",K1948+N(L1948)+N(M1948)+N(N1948)+N(O1948))</f>
        <v/>
      </c>
      <c r="Q1948" s="67"/>
      <c r="R1948" s="67"/>
      <c r="S1948" s="67"/>
      <c r="T1948" s="67"/>
      <c r="U1948" s="67"/>
      <c r="V1948" s="67"/>
      <c r="W1948" s="85" t="str">
        <f aca="false">IF(AH1948="","",N(Q1948)+N(R1948)+N(S1948)+N(T1948)+N(U1948)+N(V1948))</f>
        <v/>
      </c>
      <c r="X1948" s="85" t="str">
        <f aca="false">IF(AH1948="","",P1948-W1948)</f>
        <v/>
      </c>
      <c r="Y1948" s="67"/>
      <c r="Z1948" s="70" t="str">
        <f aca="false">IF(OR(AH1948="",Y1948=""),"",IF(ABS(X1948-Y1948)&lt;=1,"✓ Cuadra","⚠ Diferencia $"&amp;FIXED(X1948-Y1948,0)))</f>
        <v/>
      </c>
      <c r="AA1948" s="72" t="str">
        <f aca="false">IF(AH1948="","",IFERROR(INDEX(C_TIPO,MATCH(C1948&amp;"-P"&amp;MAX(1,COUNTIFS(C_ID,C1948,C_DEFINE,"Sí",C_INICIO,"&lt;="&amp;EOMONTH(B1948,0))),C_CLAVE,0))&amp;"","Sin dato"))</f>
        <v/>
      </c>
      <c r="AB1948" s="71" t="str">
        <f aca="false">IF(AH1948="","",ROUND(MIN(K1948,TOPE_AFP_UF*AJ1948)*AK1948,0))</f>
        <v/>
      </c>
      <c r="AC1948" s="71" t="str">
        <f aca="false">IF(AH1948="","",ROUND(MIN(K1948,TOPE_AFC_UF*AJ1948)*IF(AA1948="Indefinido",AFC_EMP_INDEF,AFC_EMP_PF),0))</f>
        <v/>
      </c>
      <c r="AD1948" s="71" t="str">
        <f aca="false">IF(AH1948="","",ROUND(MIN(K1948,TOPE_AFP_UF*AJ1948)*(MUTUAL_BASICA+MUTUAL_ADIC+SANNA),0))</f>
        <v/>
      </c>
      <c r="AE1948" s="71" t="str">
        <f aca="false">IF(AH1948="","",P1948-N(N1948)+AB1948+AC1948+AD1948)</f>
        <v/>
      </c>
      <c r="AF1948" s="65"/>
      <c r="AG1948" s="64"/>
      <c r="AH1948" s="72" t="str">
        <f aca="false">IF(OR(B1948="",C1948=""),"",C1948&amp;"|"&amp;(YEAR(B1948)*100+MONTH(B1948)))</f>
        <v/>
      </c>
      <c r="AI1948" s="70" t="str">
        <f aca="false">IF(AH1948="","",IF(COUNTIF(L_CLAVE,AH1948)&gt;1,"⚠ Duplicado","OK"))</f>
        <v/>
      </c>
      <c r="AJ1948" s="86" t="str">
        <f aca="false">IF(AH1948="","",IF(SUMPRODUCT(MAX((IND_PER&lt;=B1948)*(IND_UF&lt;&gt;"")*IND_PER))=0,UF_HOY,INDEX(IND_UF,MATCH(SUMPRODUCT(MAX((IND_PER&lt;=B1948)*(IND_UF&lt;&gt;"")*IND_PER)),IND_PER,0))))</f>
        <v/>
      </c>
      <c r="AK1948" s="87" t="str">
        <f aca="false">IF(AH1948="","",IF(COUNTIF(TASA_DESDE,"&lt;="&amp;B1948)=0,INDEX(TASA_EMP,1),INDEX(TASA_EMP,COUNTIF(TASA_DESDE,"&lt;="&amp;B1948))))</f>
        <v/>
      </c>
    </row>
    <row r="1949" customFormat="false" ht="15" hidden="false" customHeight="false" outlineLevel="0" collapsed="false">
      <c r="B1949" s="78"/>
      <c r="C1949" s="64"/>
      <c r="D1949" s="72" t="str">
        <f aca="false">IF(C1949="","",IFERROR(INDEX(T_NOMBRE,MATCH(C1949,T_ID,0)),"⚠ ID no existe"))</f>
        <v/>
      </c>
      <c r="E1949" s="69"/>
      <c r="F1949" s="67"/>
      <c r="G1949" s="67"/>
      <c r="H1949" s="67"/>
      <c r="I1949" s="67"/>
      <c r="J1949" s="67"/>
      <c r="K1949" s="85" t="str">
        <f aca="false">IF(AH1949="","",N(F1949)+N(G1949)+N(H1949)-N(I1949)+N(J1949))</f>
        <v/>
      </c>
      <c r="L1949" s="67"/>
      <c r="M1949" s="67"/>
      <c r="N1949" s="67"/>
      <c r="O1949" s="67"/>
      <c r="P1949" s="85" t="str">
        <f aca="false">IF(AH1949="","",K1949+N(L1949)+N(M1949)+N(N1949)+N(O1949))</f>
        <v/>
      </c>
      <c r="Q1949" s="67"/>
      <c r="R1949" s="67"/>
      <c r="S1949" s="67"/>
      <c r="T1949" s="67"/>
      <c r="U1949" s="67"/>
      <c r="V1949" s="67"/>
      <c r="W1949" s="85" t="str">
        <f aca="false">IF(AH1949="","",N(Q1949)+N(R1949)+N(S1949)+N(T1949)+N(U1949)+N(V1949))</f>
        <v/>
      </c>
      <c r="X1949" s="85" t="str">
        <f aca="false">IF(AH1949="","",P1949-W1949)</f>
        <v/>
      </c>
      <c r="Y1949" s="67"/>
      <c r="Z1949" s="70" t="str">
        <f aca="false">IF(OR(AH1949="",Y1949=""),"",IF(ABS(X1949-Y1949)&lt;=1,"✓ Cuadra","⚠ Diferencia $"&amp;FIXED(X1949-Y1949,0)))</f>
        <v/>
      </c>
      <c r="AA1949" s="72" t="str">
        <f aca="false">IF(AH1949="","",IFERROR(INDEX(C_TIPO,MATCH(C1949&amp;"-P"&amp;MAX(1,COUNTIFS(C_ID,C1949,C_DEFINE,"Sí",C_INICIO,"&lt;="&amp;EOMONTH(B1949,0))),C_CLAVE,0))&amp;"","Sin dato"))</f>
        <v/>
      </c>
      <c r="AB1949" s="71" t="str">
        <f aca="false">IF(AH1949="","",ROUND(MIN(K1949,TOPE_AFP_UF*AJ1949)*AK1949,0))</f>
        <v/>
      </c>
      <c r="AC1949" s="71" t="str">
        <f aca="false">IF(AH1949="","",ROUND(MIN(K1949,TOPE_AFC_UF*AJ1949)*IF(AA1949="Indefinido",AFC_EMP_INDEF,AFC_EMP_PF),0))</f>
        <v/>
      </c>
      <c r="AD1949" s="71" t="str">
        <f aca="false">IF(AH1949="","",ROUND(MIN(K1949,TOPE_AFP_UF*AJ1949)*(MUTUAL_BASICA+MUTUAL_ADIC+SANNA),0))</f>
        <v/>
      </c>
      <c r="AE1949" s="71" t="str">
        <f aca="false">IF(AH1949="","",P1949-N(N1949)+AB1949+AC1949+AD1949)</f>
        <v/>
      </c>
      <c r="AF1949" s="65"/>
      <c r="AG1949" s="64"/>
      <c r="AH1949" s="72" t="str">
        <f aca="false">IF(OR(B1949="",C1949=""),"",C1949&amp;"|"&amp;(YEAR(B1949)*100+MONTH(B1949)))</f>
        <v/>
      </c>
      <c r="AI1949" s="70" t="str">
        <f aca="false">IF(AH1949="","",IF(COUNTIF(L_CLAVE,AH1949)&gt;1,"⚠ Duplicado","OK"))</f>
        <v/>
      </c>
      <c r="AJ1949" s="86" t="str">
        <f aca="false">IF(AH1949="","",IF(SUMPRODUCT(MAX((IND_PER&lt;=B1949)*(IND_UF&lt;&gt;"")*IND_PER))=0,UF_HOY,INDEX(IND_UF,MATCH(SUMPRODUCT(MAX((IND_PER&lt;=B1949)*(IND_UF&lt;&gt;"")*IND_PER)),IND_PER,0))))</f>
        <v/>
      </c>
      <c r="AK1949" s="87" t="str">
        <f aca="false">IF(AH1949="","",IF(COUNTIF(TASA_DESDE,"&lt;="&amp;B1949)=0,INDEX(TASA_EMP,1),INDEX(TASA_EMP,COUNTIF(TASA_DESDE,"&lt;="&amp;B1949))))</f>
        <v/>
      </c>
    </row>
    <row r="1950" customFormat="false" ht="15" hidden="false" customHeight="false" outlineLevel="0" collapsed="false">
      <c r="B1950" s="78"/>
      <c r="C1950" s="64"/>
      <c r="D1950" s="72" t="str">
        <f aca="false">IF(C1950="","",IFERROR(INDEX(T_NOMBRE,MATCH(C1950,T_ID,0)),"⚠ ID no existe"))</f>
        <v/>
      </c>
      <c r="E1950" s="69"/>
      <c r="F1950" s="67"/>
      <c r="G1950" s="67"/>
      <c r="H1950" s="67"/>
      <c r="I1950" s="67"/>
      <c r="J1950" s="67"/>
      <c r="K1950" s="85" t="str">
        <f aca="false">IF(AH1950="","",N(F1950)+N(G1950)+N(H1950)-N(I1950)+N(J1950))</f>
        <v/>
      </c>
      <c r="L1950" s="67"/>
      <c r="M1950" s="67"/>
      <c r="N1950" s="67"/>
      <c r="O1950" s="67"/>
      <c r="P1950" s="85" t="str">
        <f aca="false">IF(AH1950="","",K1950+N(L1950)+N(M1950)+N(N1950)+N(O1950))</f>
        <v/>
      </c>
      <c r="Q1950" s="67"/>
      <c r="R1950" s="67"/>
      <c r="S1950" s="67"/>
      <c r="T1950" s="67"/>
      <c r="U1950" s="67"/>
      <c r="V1950" s="67"/>
      <c r="W1950" s="85" t="str">
        <f aca="false">IF(AH1950="","",N(Q1950)+N(R1950)+N(S1950)+N(T1950)+N(U1950)+N(V1950))</f>
        <v/>
      </c>
      <c r="X1950" s="85" t="str">
        <f aca="false">IF(AH1950="","",P1950-W1950)</f>
        <v/>
      </c>
      <c r="Y1950" s="67"/>
      <c r="Z1950" s="70" t="str">
        <f aca="false">IF(OR(AH1950="",Y1950=""),"",IF(ABS(X1950-Y1950)&lt;=1,"✓ Cuadra","⚠ Diferencia $"&amp;FIXED(X1950-Y1950,0)))</f>
        <v/>
      </c>
      <c r="AA1950" s="72" t="str">
        <f aca="false">IF(AH1950="","",IFERROR(INDEX(C_TIPO,MATCH(C1950&amp;"-P"&amp;MAX(1,COUNTIFS(C_ID,C1950,C_DEFINE,"Sí",C_INICIO,"&lt;="&amp;EOMONTH(B1950,0))),C_CLAVE,0))&amp;"","Sin dato"))</f>
        <v/>
      </c>
      <c r="AB1950" s="71" t="str">
        <f aca="false">IF(AH1950="","",ROUND(MIN(K1950,TOPE_AFP_UF*AJ1950)*AK1950,0))</f>
        <v/>
      </c>
      <c r="AC1950" s="71" t="str">
        <f aca="false">IF(AH1950="","",ROUND(MIN(K1950,TOPE_AFC_UF*AJ1950)*IF(AA1950="Indefinido",AFC_EMP_INDEF,AFC_EMP_PF),0))</f>
        <v/>
      </c>
      <c r="AD1950" s="71" t="str">
        <f aca="false">IF(AH1950="","",ROUND(MIN(K1950,TOPE_AFP_UF*AJ1950)*(MUTUAL_BASICA+MUTUAL_ADIC+SANNA),0))</f>
        <v/>
      </c>
      <c r="AE1950" s="71" t="str">
        <f aca="false">IF(AH1950="","",P1950-N(N1950)+AB1950+AC1950+AD1950)</f>
        <v/>
      </c>
      <c r="AF1950" s="65"/>
      <c r="AG1950" s="64"/>
      <c r="AH1950" s="72" t="str">
        <f aca="false">IF(OR(B1950="",C1950=""),"",C1950&amp;"|"&amp;(YEAR(B1950)*100+MONTH(B1950)))</f>
        <v/>
      </c>
      <c r="AI1950" s="70" t="str">
        <f aca="false">IF(AH1950="","",IF(COUNTIF(L_CLAVE,AH1950)&gt;1,"⚠ Duplicado","OK"))</f>
        <v/>
      </c>
      <c r="AJ1950" s="86" t="str">
        <f aca="false">IF(AH1950="","",IF(SUMPRODUCT(MAX((IND_PER&lt;=B1950)*(IND_UF&lt;&gt;"")*IND_PER))=0,UF_HOY,INDEX(IND_UF,MATCH(SUMPRODUCT(MAX((IND_PER&lt;=B1950)*(IND_UF&lt;&gt;"")*IND_PER)),IND_PER,0))))</f>
        <v/>
      </c>
      <c r="AK1950" s="87" t="str">
        <f aca="false">IF(AH1950="","",IF(COUNTIF(TASA_DESDE,"&lt;="&amp;B1950)=0,INDEX(TASA_EMP,1),INDEX(TASA_EMP,COUNTIF(TASA_DESDE,"&lt;="&amp;B1950))))</f>
        <v/>
      </c>
    </row>
    <row r="1951" customFormat="false" ht="15" hidden="false" customHeight="false" outlineLevel="0" collapsed="false">
      <c r="B1951" s="78"/>
      <c r="C1951" s="64"/>
      <c r="D1951" s="72" t="str">
        <f aca="false">IF(C1951="","",IFERROR(INDEX(T_NOMBRE,MATCH(C1951,T_ID,0)),"⚠ ID no existe"))</f>
        <v/>
      </c>
      <c r="E1951" s="69"/>
      <c r="F1951" s="67"/>
      <c r="G1951" s="67"/>
      <c r="H1951" s="67"/>
      <c r="I1951" s="67"/>
      <c r="J1951" s="67"/>
      <c r="K1951" s="85" t="str">
        <f aca="false">IF(AH1951="","",N(F1951)+N(G1951)+N(H1951)-N(I1951)+N(J1951))</f>
        <v/>
      </c>
      <c r="L1951" s="67"/>
      <c r="M1951" s="67"/>
      <c r="N1951" s="67"/>
      <c r="O1951" s="67"/>
      <c r="P1951" s="85" t="str">
        <f aca="false">IF(AH1951="","",K1951+N(L1951)+N(M1951)+N(N1951)+N(O1951))</f>
        <v/>
      </c>
      <c r="Q1951" s="67"/>
      <c r="R1951" s="67"/>
      <c r="S1951" s="67"/>
      <c r="T1951" s="67"/>
      <c r="U1951" s="67"/>
      <c r="V1951" s="67"/>
      <c r="W1951" s="85" t="str">
        <f aca="false">IF(AH1951="","",N(Q1951)+N(R1951)+N(S1951)+N(T1951)+N(U1951)+N(V1951))</f>
        <v/>
      </c>
      <c r="X1951" s="85" t="str">
        <f aca="false">IF(AH1951="","",P1951-W1951)</f>
        <v/>
      </c>
      <c r="Y1951" s="67"/>
      <c r="Z1951" s="70" t="str">
        <f aca="false">IF(OR(AH1951="",Y1951=""),"",IF(ABS(X1951-Y1951)&lt;=1,"✓ Cuadra","⚠ Diferencia $"&amp;FIXED(X1951-Y1951,0)))</f>
        <v/>
      </c>
      <c r="AA1951" s="72" t="str">
        <f aca="false">IF(AH1951="","",IFERROR(INDEX(C_TIPO,MATCH(C1951&amp;"-P"&amp;MAX(1,COUNTIFS(C_ID,C1951,C_DEFINE,"Sí",C_INICIO,"&lt;="&amp;EOMONTH(B1951,0))),C_CLAVE,0))&amp;"","Sin dato"))</f>
        <v/>
      </c>
      <c r="AB1951" s="71" t="str">
        <f aca="false">IF(AH1951="","",ROUND(MIN(K1951,TOPE_AFP_UF*AJ1951)*AK1951,0))</f>
        <v/>
      </c>
      <c r="AC1951" s="71" t="str">
        <f aca="false">IF(AH1951="","",ROUND(MIN(K1951,TOPE_AFC_UF*AJ1951)*IF(AA1951="Indefinido",AFC_EMP_INDEF,AFC_EMP_PF),0))</f>
        <v/>
      </c>
      <c r="AD1951" s="71" t="str">
        <f aca="false">IF(AH1951="","",ROUND(MIN(K1951,TOPE_AFP_UF*AJ1951)*(MUTUAL_BASICA+MUTUAL_ADIC+SANNA),0))</f>
        <v/>
      </c>
      <c r="AE1951" s="71" t="str">
        <f aca="false">IF(AH1951="","",P1951-N(N1951)+AB1951+AC1951+AD1951)</f>
        <v/>
      </c>
      <c r="AF1951" s="65"/>
      <c r="AG1951" s="64"/>
      <c r="AH1951" s="72" t="str">
        <f aca="false">IF(OR(B1951="",C1951=""),"",C1951&amp;"|"&amp;(YEAR(B1951)*100+MONTH(B1951)))</f>
        <v/>
      </c>
      <c r="AI1951" s="70" t="str">
        <f aca="false">IF(AH1951="","",IF(COUNTIF(L_CLAVE,AH1951)&gt;1,"⚠ Duplicado","OK"))</f>
        <v/>
      </c>
      <c r="AJ1951" s="86" t="str">
        <f aca="false">IF(AH1951="","",IF(SUMPRODUCT(MAX((IND_PER&lt;=B1951)*(IND_UF&lt;&gt;"")*IND_PER))=0,UF_HOY,INDEX(IND_UF,MATCH(SUMPRODUCT(MAX((IND_PER&lt;=B1951)*(IND_UF&lt;&gt;"")*IND_PER)),IND_PER,0))))</f>
        <v/>
      </c>
      <c r="AK1951" s="87" t="str">
        <f aca="false">IF(AH1951="","",IF(COUNTIF(TASA_DESDE,"&lt;="&amp;B1951)=0,INDEX(TASA_EMP,1),INDEX(TASA_EMP,COUNTIF(TASA_DESDE,"&lt;="&amp;B1951))))</f>
        <v/>
      </c>
    </row>
    <row r="1952" customFormat="false" ht="15" hidden="false" customHeight="false" outlineLevel="0" collapsed="false">
      <c r="B1952" s="78"/>
      <c r="C1952" s="64"/>
      <c r="D1952" s="72" t="str">
        <f aca="false">IF(C1952="","",IFERROR(INDEX(T_NOMBRE,MATCH(C1952,T_ID,0)),"⚠ ID no existe"))</f>
        <v/>
      </c>
      <c r="E1952" s="69"/>
      <c r="F1952" s="67"/>
      <c r="G1952" s="67"/>
      <c r="H1952" s="67"/>
      <c r="I1952" s="67"/>
      <c r="J1952" s="67"/>
      <c r="K1952" s="85" t="str">
        <f aca="false">IF(AH1952="","",N(F1952)+N(G1952)+N(H1952)-N(I1952)+N(J1952))</f>
        <v/>
      </c>
      <c r="L1952" s="67"/>
      <c r="M1952" s="67"/>
      <c r="N1952" s="67"/>
      <c r="O1952" s="67"/>
      <c r="P1952" s="85" t="str">
        <f aca="false">IF(AH1952="","",K1952+N(L1952)+N(M1952)+N(N1952)+N(O1952))</f>
        <v/>
      </c>
      <c r="Q1952" s="67"/>
      <c r="R1952" s="67"/>
      <c r="S1952" s="67"/>
      <c r="T1952" s="67"/>
      <c r="U1952" s="67"/>
      <c r="V1952" s="67"/>
      <c r="W1952" s="85" t="str">
        <f aca="false">IF(AH1952="","",N(Q1952)+N(R1952)+N(S1952)+N(T1952)+N(U1952)+N(V1952))</f>
        <v/>
      </c>
      <c r="X1952" s="85" t="str">
        <f aca="false">IF(AH1952="","",P1952-W1952)</f>
        <v/>
      </c>
      <c r="Y1952" s="67"/>
      <c r="Z1952" s="70" t="str">
        <f aca="false">IF(OR(AH1952="",Y1952=""),"",IF(ABS(X1952-Y1952)&lt;=1,"✓ Cuadra","⚠ Diferencia $"&amp;FIXED(X1952-Y1952,0)))</f>
        <v/>
      </c>
      <c r="AA1952" s="72" t="str">
        <f aca="false">IF(AH1952="","",IFERROR(INDEX(C_TIPO,MATCH(C1952&amp;"-P"&amp;MAX(1,COUNTIFS(C_ID,C1952,C_DEFINE,"Sí",C_INICIO,"&lt;="&amp;EOMONTH(B1952,0))),C_CLAVE,0))&amp;"","Sin dato"))</f>
        <v/>
      </c>
      <c r="AB1952" s="71" t="str">
        <f aca="false">IF(AH1952="","",ROUND(MIN(K1952,TOPE_AFP_UF*AJ1952)*AK1952,0))</f>
        <v/>
      </c>
      <c r="AC1952" s="71" t="str">
        <f aca="false">IF(AH1952="","",ROUND(MIN(K1952,TOPE_AFC_UF*AJ1952)*IF(AA1952="Indefinido",AFC_EMP_INDEF,AFC_EMP_PF),0))</f>
        <v/>
      </c>
      <c r="AD1952" s="71" t="str">
        <f aca="false">IF(AH1952="","",ROUND(MIN(K1952,TOPE_AFP_UF*AJ1952)*(MUTUAL_BASICA+MUTUAL_ADIC+SANNA),0))</f>
        <v/>
      </c>
      <c r="AE1952" s="71" t="str">
        <f aca="false">IF(AH1952="","",P1952-N(N1952)+AB1952+AC1952+AD1952)</f>
        <v/>
      </c>
      <c r="AF1952" s="65"/>
      <c r="AG1952" s="64"/>
      <c r="AH1952" s="72" t="str">
        <f aca="false">IF(OR(B1952="",C1952=""),"",C1952&amp;"|"&amp;(YEAR(B1952)*100+MONTH(B1952)))</f>
        <v/>
      </c>
      <c r="AI1952" s="70" t="str">
        <f aca="false">IF(AH1952="","",IF(COUNTIF(L_CLAVE,AH1952)&gt;1,"⚠ Duplicado","OK"))</f>
        <v/>
      </c>
      <c r="AJ1952" s="86" t="str">
        <f aca="false">IF(AH1952="","",IF(SUMPRODUCT(MAX((IND_PER&lt;=B1952)*(IND_UF&lt;&gt;"")*IND_PER))=0,UF_HOY,INDEX(IND_UF,MATCH(SUMPRODUCT(MAX((IND_PER&lt;=B1952)*(IND_UF&lt;&gt;"")*IND_PER)),IND_PER,0))))</f>
        <v/>
      </c>
      <c r="AK1952" s="87" t="str">
        <f aca="false">IF(AH1952="","",IF(COUNTIF(TASA_DESDE,"&lt;="&amp;B1952)=0,INDEX(TASA_EMP,1),INDEX(TASA_EMP,COUNTIF(TASA_DESDE,"&lt;="&amp;B1952))))</f>
        <v/>
      </c>
    </row>
    <row r="1953" customFormat="false" ht="15" hidden="false" customHeight="false" outlineLevel="0" collapsed="false">
      <c r="B1953" s="78"/>
      <c r="C1953" s="64"/>
      <c r="D1953" s="72" t="str">
        <f aca="false">IF(C1953="","",IFERROR(INDEX(T_NOMBRE,MATCH(C1953,T_ID,0)),"⚠ ID no existe"))</f>
        <v/>
      </c>
      <c r="E1953" s="69"/>
      <c r="F1953" s="67"/>
      <c r="G1953" s="67"/>
      <c r="H1953" s="67"/>
      <c r="I1953" s="67"/>
      <c r="J1953" s="67"/>
      <c r="K1953" s="85" t="str">
        <f aca="false">IF(AH1953="","",N(F1953)+N(G1953)+N(H1953)-N(I1953)+N(J1953))</f>
        <v/>
      </c>
      <c r="L1953" s="67"/>
      <c r="M1953" s="67"/>
      <c r="N1953" s="67"/>
      <c r="O1953" s="67"/>
      <c r="P1953" s="85" t="str">
        <f aca="false">IF(AH1953="","",K1953+N(L1953)+N(M1953)+N(N1953)+N(O1953))</f>
        <v/>
      </c>
      <c r="Q1953" s="67"/>
      <c r="R1953" s="67"/>
      <c r="S1953" s="67"/>
      <c r="T1953" s="67"/>
      <c r="U1953" s="67"/>
      <c r="V1953" s="67"/>
      <c r="W1953" s="85" t="str">
        <f aca="false">IF(AH1953="","",N(Q1953)+N(R1953)+N(S1953)+N(T1953)+N(U1953)+N(V1953))</f>
        <v/>
      </c>
      <c r="X1953" s="85" t="str">
        <f aca="false">IF(AH1953="","",P1953-W1953)</f>
        <v/>
      </c>
      <c r="Y1953" s="67"/>
      <c r="Z1953" s="70" t="str">
        <f aca="false">IF(OR(AH1953="",Y1953=""),"",IF(ABS(X1953-Y1953)&lt;=1,"✓ Cuadra","⚠ Diferencia $"&amp;FIXED(X1953-Y1953,0)))</f>
        <v/>
      </c>
      <c r="AA1953" s="72" t="str">
        <f aca="false">IF(AH1953="","",IFERROR(INDEX(C_TIPO,MATCH(C1953&amp;"-P"&amp;MAX(1,COUNTIFS(C_ID,C1953,C_DEFINE,"Sí",C_INICIO,"&lt;="&amp;EOMONTH(B1953,0))),C_CLAVE,0))&amp;"","Sin dato"))</f>
        <v/>
      </c>
      <c r="AB1953" s="71" t="str">
        <f aca="false">IF(AH1953="","",ROUND(MIN(K1953,TOPE_AFP_UF*AJ1953)*AK1953,0))</f>
        <v/>
      </c>
      <c r="AC1953" s="71" t="str">
        <f aca="false">IF(AH1953="","",ROUND(MIN(K1953,TOPE_AFC_UF*AJ1953)*IF(AA1953="Indefinido",AFC_EMP_INDEF,AFC_EMP_PF),0))</f>
        <v/>
      </c>
      <c r="AD1953" s="71" t="str">
        <f aca="false">IF(AH1953="","",ROUND(MIN(K1953,TOPE_AFP_UF*AJ1953)*(MUTUAL_BASICA+MUTUAL_ADIC+SANNA),0))</f>
        <v/>
      </c>
      <c r="AE1953" s="71" t="str">
        <f aca="false">IF(AH1953="","",P1953-N(N1953)+AB1953+AC1953+AD1953)</f>
        <v/>
      </c>
      <c r="AF1953" s="65"/>
      <c r="AG1953" s="64"/>
      <c r="AH1953" s="72" t="str">
        <f aca="false">IF(OR(B1953="",C1953=""),"",C1953&amp;"|"&amp;(YEAR(B1953)*100+MONTH(B1953)))</f>
        <v/>
      </c>
      <c r="AI1953" s="70" t="str">
        <f aca="false">IF(AH1953="","",IF(COUNTIF(L_CLAVE,AH1953)&gt;1,"⚠ Duplicado","OK"))</f>
        <v/>
      </c>
      <c r="AJ1953" s="86" t="str">
        <f aca="false">IF(AH1953="","",IF(SUMPRODUCT(MAX((IND_PER&lt;=B1953)*(IND_UF&lt;&gt;"")*IND_PER))=0,UF_HOY,INDEX(IND_UF,MATCH(SUMPRODUCT(MAX((IND_PER&lt;=B1953)*(IND_UF&lt;&gt;"")*IND_PER)),IND_PER,0))))</f>
        <v/>
      </c>
      <c r="AK1953" s="87" t="str">
        <f aca="false">IF(AH1953="","",IF(COUNTIF(TASA_DESDE,"&lt;="&amp;B1953)=0,INDEX(TASA_EMP,1),INDEX(TASA_EMP,COUNTIF(TASA_DESDE,"&lt;="&amp;B1953))))</f>
        <v/>
      </c>
    </row>
    <row r="1954" customFormat="false" ht="15" hidden="false" customHeight="false" outlineLevel="0" collapsed="false">
      <c r="B1954" s="78"/>
      <c r="C1954" s="64"/>
      <c r="D1954" s="72" t="str">
        <f aca="false">IF(C1954="","",IFERROR(INDEX(T_NOMBRE,MATCH(C1954,T_ID,0)),"⚠ ID no existe"))</f>
        <v/>
      </c>
      <c r="E1954" s="69"/>
      <c r="F1954" s="67"/>
      <c r="G1954" s="67"/>
      <c r="H1954" s="67"/>
      <c r="I1954" s="67"/>
      <c r="J1954" s="67"/>
      <c r="K1954" s="85" t="str">
        <f aca="false">IF(AH1954="","",N(F1954)+N(G1954)+N(H1954)-N(I1954)+N(J1954))</f>
        <v/>
      </c>
      <c r="L1954" s="67"/>
      <c r="M1954" s="67"/>
      <c r="N1954" s="67"/>
      <c r="O1954" s="67"/>
      <c r="P1954" s="85" t="str">
        <f aca="false">IF(AH1954="","",K1954+N(L1954)+N(M1954)+N(N1954)+N(O1954))</f>
        <v/>
      </c>
      <c r="Q1954" s="67"/>
      <c r="R1954" s="67"/>
      <c r="S1954" s="67"/>
      <c r="T1954" s="67"/>
      <c r="U1954" s="67"/>
      <c r="V1954" s="67"/>
      <c r="W1954" s="85" t="str">
        <f aca="false">IF(AH1954="","",N(Q1954)+N(R1954)+N(S1954)+N(T1954)+N(U1954)+N(V1954))</f>
        <v/>
      </c>
      <c r="X1954" s="85" t="str">
        <f aca="false">IF(AH1954="","",P1954-W1954)</f>
        <v/>
      </c>
      <c r="Y1954" s="67"/>
      <c r="Z1954" s="70" t="str">
        <f aca="false">IF(OR(AH1954="",Y1954=""),"",IF(ABS(X1954-Y1954)&lt;=1,"✓ Cuadra","⚠ Diferencia $"&amp;FIXED(X1954-Y1954,0)))</f>
        <v/>
      </c>
      <c r="AA1954" s="72" t="str">
        <f aca="false">IF(AH1954="","",IFERROR(INDEX(C_TIPO,MATCH(C1954&amp;"-P"&amp;MAX(1,COUNTIFS(C_ID,C1954,C_DEFINE,"Sí",C_INICIO,"&lt;="&amp;EOMONTH(B1954,0))),C_CLAVE,0))&amp;"","Sin dato"))</f>
        <v/>
      </c>
      <c r="AB1954" s="71" t="str">
        <f aca="false">IF(AH1954="","",ROUND(MIN(K1954,TOPE_AFP_UF*AJ1954)*AK1954,0))</f>
        <v/>
      </c>
      <c r="AC1954" s="71" t="str">
        <f aca="false">IF(AH1954="","",ROUND(MIN(K1954,TOPE_AFC_UF*AJ1954)*IF(AA1954="Indefinido",AFC_EMP_INDEF,AFC_EMP_PF),0))</f>
        <v/>
      </c>
      <c r="AD1954" s="71" t="str">
        <f aca="false">IF(AH1954="","",ROUND(MIN(K1954,TOPE_AFP_UF*AJ1954)*(MUTUAL_BASICA+MUTUAL_ADIC+SANNA),0))</f>
        <v/>
      </c>
      <c r="AE1954" s="71" t="str">
        <f aca="false">IF(AH1954="","",P1954-N(N1954)+AB1954+AC1954+AD1954)</f>
        <v/>
      </c>
      <c r="AF1954" s="65"/>
      <c r="AG1954" s="64"/>
      <c r="AH1954" s="72" t="str">
        <f aca="false">IF(OR(B1954="",C1954=""),"",C1954&amp;"|"&amp;(YEAR(B1954)*100+MONTH(B1954)))</f>
        <v/>
      </c>
      <c r="AI1954" s="70" t="str">
        <f aca="false">IF(AH1954="","",IF(COUNTIF(L_CLAVE,AH1954)&gt;1,"⚠ Duplicado","OK"))</f>
        <v/>
      </c>
      <c r="AJ1954" s="86" t="str">
        <f aca="false">IF(AH1954="","",IF(SUMPRODUCT(MAX((IND_PER&lt;=B1954)*(IND_UF&lt;&gt;"")*IND_PER))=0,UF_HOY,INDEX(IND_UF,MATCH(SUMPRODUCT(MAX((IND_PER&lt;=B1954)*(IND_UF&lt;&gt;"")*IND_PER)),IND_PER,0))))</f>
        <v/>
      </c>
      <c r="AK1954" s="87" t="str">
        <f aca="false">IF(AH1954="","",IF(COUNTIF(TASA_DESDE,"&lt;="&amp;B1954)=0,INDEX(TASA_EMP,1),INDEX(TASA_EMP,COUNTIF(TASA_DESDE,"&lt;="&amp;B1954))))</f>
        <v/>
      </c>
    </row>
    <row r="1955" customFormat="false" ht="15" hidden="false" customHeight="false" outlineLevel="0" collapsed="false">
      <c r="B1955" s="78"/>
      <c r="C1955" s="64"/>
      <c r="D1955" s="72" t="str">
        <f aca="false">IF(C1955="","",IFERROR(INDEX(T_NOMBRE,MATCH(C1955,T_ID,0)),"⚠ ID no existe"))</f>
        <v/>
      </c>
      <c r="E1955" s="69"/>
      <c r="F1955" s="67"/>
      <c r="G1955" s="67"/>
      <c r="H1955" s="67"/>
      <c r="I1955" s="67"/>
      <c r="J1955" s="67"/>
      <c r="K1955" s="85" t="str">
        <f aca="false">IF(AH1955="","",N(F1955)+N(G1955)+N(H1955)-N(I1955)+N(J1955))</f>
        <v/>
      </c>
      <c r="L1955" s="67"/>
      <c r="M1955" s="67"/>
      <c r="N1955" s="67"/>
      <c r="O1955" s="67"/>
      <c r="P1955" s="85" t="str">
        <f aca="false">IF(AH1955="","",K1955+N(L1955)+N(M1955)+N(N1955)+N(O1955))</f>
        <v/>
      </c>
      <c r="Q1955" s="67"/>
      <c r="R1955" s="67"/>
      <c r="S1955" s="67"/>
      <c r="T1955" s="67"/>
      <c r="U1955" s="67"/>
      <c r="V1955" s="67"/>
      <c r="W1955" s="85" t="str">
        <f aca="false">IF(AH1955="","",N(Q1955)+N(R1955)+N(S1955)+N(T1955)+N(U1955)+N(V1955))</f>
        <v/>
      </c>
      <c r="X1955" s="85" t="str">
        <f aca="false">IF(AH1955="","",P1955-W1955)</f>
        <v/>
      </c>
      <c r="Y1955" s="67"/>
      <c r="Z1955" s="70" t="str">
        <f aca="false">IF(OR(AH1955="",Y1955=""),"",IF(ABS(X1955-Y1955)&lt;=1,"✓ Cuadra","⚠ Diferencia $"&amp;FIXED(X1955-Y1955,0)))</f>
        <v/>
      </c>
      <c r="AA1955" s="72" t="str">
        <f aca="false">IF(AH1955="","",IFERROR(INDEX(C_TIPO,MATCH(C1955&amp;"-P"&amp;MAX(1,COUNTIFS(C_ID,C1955,C_DEFINE,"Sí",C_INICIO,"&lt;="&amp;EOMONTH(B1955,0))),C_CLAVE,0))&amp;"","Sin dato"))</f>
        <v/>
      </c>
      <c r="AB1955" s="71" t="str">
        <f aca="false">IF(AH1955="","",ROUND(MIN(K1955,TOPE_AFP_UF*AJ1955)*AK1955,0))</f>
        <v/>
      </c>
      <c r="AC1955" s="71" t="str">
        <f aca="false">IF(AH1955="","",ROUND(MIN(K1955,TOPE_AFC_UF*AJ1955)*IF(AA1955="Indefinido",AFC_EMP_INDEF,AFC_EMP_PF),0))</f>
        <v/>
      </c>
      <c r="AD1955" s="71" t="str">
        <f aca="false">IF(AH1955="","",ROUND(MIN(K1955,TOPE_AFP_UF*AJ1955)*(MUTUAL_BASICA+MUTUAL_ADIC+SANNA),0))</f>
        <v/>
      </c>
      <c r="AE1955" s="71" t="str">
        <f aca="false">IF(AH1955="","",P1955-N(N1955)+AB1955+AC1955+AD1955)</f>
        <v/>
      </c>
      <c r="AF1955" s="65"/>
      <c r="AG1955" s="64"/>
      <c r="AH1955" s="72" t="str">
        <f aca="false">IF(OR(B1955="",C1955=""),"",C1955&amp;"|"&amp;(YEAR(B1955)*100+MONTH(B1955)))</f>
        <v/>
      </c>
      <c r="AI1955" s="70" t="str">
        <f aca="false">IF(AH1955="","",IF(COUNTIF(L_CLAVE,AH1955)&gt;1,"⚠ Duplicado","OK"))</f>
        <v/>
      </c>
      <c r="AJ1955" s="86" t="str">
        <f aca="false">IF(AH1955="","",IF(SUMPRODUCT(MAX((IND_PER&lt;=B1955)*(IND_UF&lt;&gt;"")*IND_PER))=0,UF_HOY,INDEX(IND_UF,MATCH(SUMPRODUCT(MAX((IND_PER&lt;=B1955)*(IND_UF&lt;&gt;"")*IND_PER)),IND_PER,0))))</f>
        <v/>
      </c>
      <c r="AK1955" s="87" t="str">
        <f aca="false">IF(AH1955="","",IF(COUNTIF(TASA_DESDE,"&lt;="&amp;B1955)=0,INDEX(TASA_EMP,1),INDEX(TASA_EMP,COUNTIF(TASA_DESDE,"&lt;="&amp;B1955))))</f>
        <v/>
      </c>
    </row>
    <row r="1956" customFormat="false" ht="15" hidden="false" customHeight="false" outlineLevel="0" collapsed="false">
      <c r="B1956" s="78"/>
      <c r="C1956" s="64"/>
      <c r="D1956" s="72" t="str">
        <f aca="false">IF(C1956="","",IFERROR(INDEX(T_NOMBRE,MATCH(C1956,T_ID,0)),"⚠ ID no existe"))</f>
        <v/>
      </c>
      <c r="E1956" s="69"/>
      <c r="F1956" s="67"/>
      <c r="G1956" s="67"/>
      <c r="H1956" s="67"/>
      <c r="I1956" s="67"/>
      <c r="J1956" s="67"/>
      <c r="K1956" s="85" t="str">
        <f aca="false">IF(AH1956="","",N(F1956)+N(G1956)+N(H1956)-N(I1956)+N(J1956))</f>
        <v/>
      </c>
      <c r="L1956" s="67"/>
      <c r="M1956" s="67"/>
      <c r="N1956" s="67"/>
      <c r="O1956" s="67"/>
      <c r="P1956" s="85" t="str">
        <f aca="false">IF(AH1956="","",K1956+N(L1956)+N(M1956)+N(N1956)+N(O1956))</f>
        <v/>
      </c>
      <c r="Q1956" s="67"/>
      <c r="R1956" s="67"/>
      <c r="S1956" s="67"/>
      <c r="T1956" s="67"/>
      <c r="U1956" s="67"/>
      <c r="V1956" s="67"/>
      <c r="W1956" s="85" t="str">
        <f aca="false">IF(AH1956="","",N(Q1956)+N(R1956)+N(S1956)+N(T1956)+N(U1956)+N(V1956))</f>
        <v/>
      </c>
      <c r="X1956" s="85" t="str">
        <f aca="false">IF(AH1956="","",P1956-W1956)</f>
        <v/>
      </c>
      <c r="Y1956" s="67"/>
      <c r="Z1956" s="70" t="str">
        <f aca="false">IF(OR(AH1956="",Y1956=""),"",IF(ABS(X1956-Y1956)&lt;=1,"✓ Cuadra","⚠ Diferencia $"&amp;FIXED(X1956-Y1956,0)))</f>
        <v/>
      </c>
      <c r="AA1956" s="72" t="str">
        <f aca="false">IF(AH1956="","",IFERROR(INDEX(C_TIPO,MATCH(C1956&amp;"-P"&amp;MAX(1,COUNTIFS(C_ID,C1956,C_DEFINE,"Sí",C_INICIO,"&lt;="&amp;EOMONTH(B1956,0))),C_CLAVE,0))&amp;"","Sin dato"))</f>
        <v/>
      </c>
      <c r="AB1956" s="71" t="str">
        <f aca="false">IF(AH1956="","",ROUND(MIN(K1956,TOPE_AFP_UF*AJ1956)*AK1956,0))</f>
        <v/>
      </c>
      <c r="AC1956" s="71" t="str">
        <f aca="false">IF(AH1956="","",ROUND(MIN(K1956,TOPE_AFC_UF*AJ1956)*IF(AA1956="Indefinido",AFC_EMP_INDEF,AFC_EMP_PF),0))</f>
        <v/>
      </c>
      <c r="AD1956" s="71" t="str">
        <f aca="false">IF(AH1956="","",ROUND(MIN(K1956,TOPE_AFP_UF*AJ1956)*(MUTUAL_BASICA+MUTUAL_ADIC+SANNA),0))</f>
        <v/>
      </c>
      <c r="AE1956" s="71" t="str">
        <f aca="false">IF(AH1956="","",P1956-N(N1956)+AB1956+AC1956+AD1956)</f>
        <v/>
      </c>
      <c r="AF1956" s="65"/>
      <c r="AG1956" s="64"/>
      <c r="AH1956" s="72" t="str">
        <f aca="false">IF(OR(B1956="",C1956=""),"",C1956&amp;"|"&amp;(YEAR(B1956)*100+MONTH(B1956)))</f>
        <v/>
      </c>
      <c r="AI1956" s="70" t="str">
        <f aca="false">IF(AH1956="","",IF(COUNTIF(L_CLAVE,AH1956)&gt;1,"⚠ Duplicado","OK"))</f>
        <v/>
      </c>
      <c r="AJ1956" s="86" t="str">
        <f aca="false">IF(AH1956="","",IF(SUMPRODUCT(MAX((IND_PER&lt;=B1956)*(IND_UF&lt;&gt;"")*IND_PER))=0,UF_HOY,INDEX(IND_UF,MATCH(SUMPRODUCT(MAX((IND_PER&lt;=B1956)*(IND_UF&lt;&gt;"")*IND_PER)),IND_PER,0))))</f>
        <v/>
      </c>
      <c r="AK1956" s="87" t="str">
        <f aca="false">IF(AH1956="","",IF(COUNTIF(TASA_DESDE,"&lt;="&amp;B1956)=0,INDEX(TASA_EMP,1),INDEX(TASA_EMP,COUNTIF(TASA_DESDE,"&lt;="&amp;B1956))))</f>
        <v/>
      </c>
    </row>
    <row r="1957" customFormat="false" ht="15" hidden="false" customHeight="false" outlineLevel="0" collapsed="false">
      <c r="B1957" s="78"/>
      <c r="C1957" s="64"/>
      <c r="D1957" s="72" t="str">
        <f aca="false">IF(C1957="","",IFERROR(INDEX(T_NOMBRE,MATCH(C1957,T_ID,0)),"⚠ ID no existe"))</f>
        <v/>
      </c>
      <c r="E1957" s="69"/>
      <c r="F1957" s="67"/>
      <c r="G1957" s="67"/>
      <c r="H1957" s="67"/>
      <c r="I1957" s="67"/>
      <c r="J1957" s="67"/>
      <c r="K1957" s="85" t="str">
        <f aca="false">IF(AH1957="","",N(F1957)+N(G1957)+N(H1957)-N(I1957)+N(J1957))</f>
        <v/>
      </c>
      <c r="L1957" s="67"/>
      <c r="M1957" s="67"/>
      <c r="N1957" s="67"/>
      <c r="O1957" s="67"/>
      <c r="P1957" s="85" t="str">
        <f aca="false">IF(AH1957="","",K1957+N(L1957)+N(M1957)+N(N1957)+N(O1957))</f>
        <v/>
      </c>
      <c r="Q1957" s="67"/>
      <c r="R1957" s="67"/>
      <c r="S1957" s="67"/>
      <c r="T1957" s="67"/>
      <c r="U1957" s="67"/>
      <c r="V1957" s="67"/>
      <c r="W1957" s="85" t="str">
        <f aca="false">IF(AH1957="","",N(Q1957)+N(R1957)+N(S1957)+N(T1957)+N(U1957)+N(V1957))</f>
        <v/>
      </c>
      <c r="X1957" s="85" t="str">
        <f aca="false">IF(AH1957="","",P1957-W1957)</f>
        <v/>
      </c>
      <c r="Y1957" s="67"/>
      <c r="Z1957" s="70" t="str">
        <f aca="false">IF(OR(AH1957="",Y1957=""),"",IF(ABS(X1957-Y1957)&lt;=1,"✓ Cuadra","⚠ Diferencia $"&amp;FIXED(X1957-Y1957,0)))</f>
        <v/>
      </c>
      <c r="AA1957" s="72" t="str">
        <f aca="false">IF(AH1957="","",IFERROR(INDEX(C_TIPO,MATCH(C1957&amp;"-P"&amp;MAX(1,COUNTIFS(C_ID,C1957,C_DEFINE,"Sí",C_INICIO,"&lt;="&amp;EOMONTH(B1957,0))),C_CLAVE,0))&amp;"","Sin dato"))</f>
        <v/>
      </c>
      <c r="AB1957" s="71" t="str">
        <f aca="false">IF(AH1957="","",ROUND(MIN(K1957,TOPE_AFP_UF*AJ1957)*AK1957,0))</f>
        <v/>
      </c>
      <c r="AC1957" s="71" t="str">
        <f aca="false">IF(AH1957="","",ROUND(MIN(K1957,TOPE_AFC_UF*AJ1957)*IF(AA1957="Indefinido",AFC_EMP_INDEF,AFC_EMP_PF),0))</f>
        <v/>
      </c>
      <c r="AD1957" s="71" t="str">
        <f aca="false">IF(AH1957="","",ROUND(MIN(K1957,TOPE_AFP_UF*AJ1957)*(MUTUAL_BASICA+MUTUAL_ADIC+SANNA),0))</f>
        <v/>
      </c>
      <c r="AE1957" s="71" t="str">
        <f aca="false">IF(AH1957="","",P1957-N(N1957)+AB1957+AC1957+AD1957)</f>
        <v/>
      </c>
      <c r="AF1957" s="65"/>
      <c r="AG1957" s="64"/>
      <c r="AH1957" s="72" t="str">
        <f aca="false">IF(OR(B1957="",C1957=""),"",C1957&amp;"|"&amp;(YEAR(B1957)*100+MONTH(B1957)))</f>
        <v/>
      </c>
      <c r="AI1957" s="70" t="str">
        <f aca="false">IF(AH1957="","",IF(COUNTIF(L_CLAVE,AH1957)&gt;1,"⚠ Duplicado","OK"))</f>
        <v/>
      </c>
      <c r="AJ1957" s="86" t="str">
        <f aca="false">IF(AH1957="","",IF(SUMPRODUCT(MAX((IND_PER&lt;=B1957)*(IND_UF&lt;&gt;"")*IND_PER))=0,UF_HOY,INDEX(IND_UF,MATCH(SUMPRODUCT(MAX((IND_PER&lt;=B1957)*(IND_UF&lt;&gt;"")*IND_PER)),IND_PER,0))))</f>
        <v/>
      </c>
      <c r="AK1957" s="87" t="str">
        <f aca="false">IF(AH1957="","",IF(COUNTIF(TASA_DESDE,"&lt;="&amp;B1957)=0,INDEX(TASA_EMP,1),INDEX(TASA_EMP,COUNTIF(TASA_DESDE,"&lt;="&amp;B1957))))</f>
        <v/>
      </c>
    </row>
    <row r="1958" customFormat="false" ht="15" hidden="false" customHeight="false" outlineLevel="0" collapsed="false">
      <c r="B1958" s="78"/>
      <c r="C1958" s="64"/>
      <c r="D1958" s="72" t="str">
        <f aca="false">IF(C1958="","",IFERROR(INDEX(T_NOMBRE,MATCH(C1958,T_ID,0)),"⚠ ID no existe"))</f>
        <v/>
      </c>
      <c r="E1958" s="69"/>
      <c r="F1958" s="67"/>
      <c r="G1958" s="67"/>
      <c r="H1958" s="67"/>
      <c r="I1958" s="67"/>
      <c r="J1958" s="67"/>
      <c r="K1958" s="85" t="str">
        <f aca="false">IF(AH1958="","",N(F1958)+N(G1958)+N(H1958)-N(I1958)+N(J1958))</f>
        <v/>
      </c>
      <c r="L1958" s="67"/>
      <c r="M1958" s="67"/>
      <c r="N1958" s="67"/>
      <c r="O1958" s="67"/>
      <c r="P1958" s="85" t="str">
        <f aca="false">IF(AH1958="","",K1958+N(L1958)+N(M1958)+N(N1958)+N(O1958))</f>
        <v/>
      </c>
      <c r="Q1958" s="67"/>
      <c r="R1958" s="67"/>
      <c r="S1958" s="67"/>
      <c r="T1958" s="67"/>
      <c r="U1958" s="67"/>
      <c r="V1958" s="67"/>
      <c r="W1958" s="85" t="str">
        <f aca="false">IF(AH1958="","",N(Q1958)+N(R1958)+N(S1958)+N(T1958)+N(U1958)+N(V1958))</f>
        <v/>
      </c>
      <c r="X1958" s="85" t="str">
        <f aca="false">IF(AH1958="","",P1958-W1958)</f>
        <v/>
      </c>
      <c r="Y1958" s="67"/>
      <c r="Z1958" s="70" t="str">
        <f aca="false">IF(OR(AH1958="",Y1958=""),"",IF(ABS(X1958-Y1958)&lt;=1,"✓ Cuadra","⚠ Diferencia $"&amp;FIXED(X1958-Y1958,0)))</f>
        <v/>
      </c>
      <c r="AA1958" s="72" t="str">
        <f aca="false">IF(AH1958="","",IFERROR(INDEX(C_TIPO,MATCH(C1958&amp;"-P"&amp;MAX(1,COUNTIFS(C_ID,C1958,C_DEFINE,"Sí",C_INICIO,"&lt;="&amp;EOMONTH(B1958,0))),C_CLAVE,0))&amp;"","Sin dato"))</f>
        <v/>
      </c>
      <c r="AB1958" s="71" t="str">
        <f aca="false">IF(AH1958="","",ROUND(MIN(K1958,TOPE_AFP_UF*AJ1958)*AK1958,0))</f>
        <v/>
      </c>
      <c r="AC1958" s="71" t="str">
        <f aca="false">IF(AH1958="","",ROUND(MIN(K1958,TOPE_AFC_UF*AJ1958)*IF(AA1958="Indefinido",AFC_EMP_INDEF,AFC_EMP_PF),0))</f>
        <v/>
      </c>
      <c r="AD1958" s="71" t="str">
        <f aca="false">IF(AH1958="","",ROUND(MIN(K1958,TOPE_AFP_UF*AJ1958)*(MUTUAL_BASICA+MUTUAL_ADIC+SANNA),0))</f>
        <v/>
      </c>
      <c r="AE1958" s="71" t="str">
        <f aca="false">IF(AH1958="","",P1958-N(N1958)+AB1958+AC1958+AD1958)</f>
        <v/>
      </c>
      <c r="AF1958" s="65"/>
      <c r="AG1958" s="64"/>
      <c r="AH1958" s="72" t="str">
        <f aca="false">IF(OR(B1958="",C1958=""),"",C1958&amp;"|"&amp;(YEAR(B1958)*100+MONTH(B1958)))</f>
        <v/>
      </c>
      <c r="AI1958" s="70" t="str">
        <f aca="false">IF(AH1958="","",IF(COUNTIF(L_CLAVE,AH1958)&gt;1,"⚠ Duplicado","OK"))</f>
        <v/>
      </c>
      <c r="AJ1958" s="86" t="str">
        <f aca="false">IF(AH1958="","",IF(SUMPRODUCT(MAX((IND_PER&lt;=B1958)*(IND_UF&lt;&gt;"")*IND_PER))=0,UF_HOY,INDEX(IND_UF,MATCH(SUMPRODUCT(MAX((IND_PER&lt;=B1958)*(IND_UF&lt;&gt;"")*IND_PER)),IND_PER,0))))</f>
        <v/>
      </c>
      <c r="AK1958" s="87" t="str">
        <f aca="false">IF(AH1958="","",IF(COUNTIF(TASA_DESDE,"&lt;="&amp;B1958)=0,INDEX(TASA_EMP,1),INDEX(TASA_EMP,COUNTIF(TASA_DESDE,"&lt;="&amp;B1958))))</f>
        <v/>
      </c>
    </row>
    <row r="1959" customFormat="false" ht="15" hidden="false" customHeight="false" outlineLevel="0" collapsed="false">
      <c r="B1959" s="78"/>
      <c r="C1959" s="64"/>
      <c r="D1959" s="72" t="str">
        <f aca="false">IF(C1959="","",IFERROR(INDEX(T_NOMBRE,MATCH(C1959,T_ID,0)),"⚠ ID no existe"))</f>
        <v/>
      </c>
      <c r="E1959" s="69"/>
      <c r="F1959" s="67"/>
      <c r="G1959" s="67"/>
      <c r="H1959" s="67"/>
      <c r="I1959" s="67"/>
      <c r="J1959" s="67"/>
      <c r="K1959" s="85" t="str">
        <f aca="false">IF(AH1959="","",N(F1959)+N(G1959)+N(H1959)-N(I1959)+N(J1959))</f>
        <v/>
      </c>
      <c r="L1959" s="67"/>
      <c r="M1959" s="67"/>
      <c r="N1959" s="67"/>
      <c r="O1959" s="67"/>
      <c r="P1959" s="85" t="str">
        <f aca="false">IF(AH1959="","",K1959+N(L1959)+N(M1959)+N(N1959)+N(O1959))</f>
        <v/>
      </c>
      <c r="Q1959" s="67"/>
      <c r="R1959" s="67"/>
      <c r="S1959" s="67"/>
      <c r="T1959" s="67"/>
      <c r="U1959" s="67"/>
      <c r="V1959" s="67"/>
      <c r="W1959" s="85" t="str">
        <f aca="false">IF(AH1959="","",N(Q1959)+N(R1959)+N(S1959)+N(T1959)+N(U1959)+N(V1959))</f>
        <v/>
      </c>
      <c r="X1959" s="85" t="str">
        <f aca="false">IF(AH1959="","",P1959-W1959)</f>
        <v/>
      </c>
      <c r="Y1959" s="67"/>
      <c r="Z1959" s="70" t="str">
        <f aca="false">IF(OR(AH1959="",Y1959=""),"",IF(ABS(X1959-Y1959)&lt;=1,"✓ Cuadra","⚠ Diferencia $"&amp;FIXED(X1959-Y1959,0)))</f>
        <v/>
      </c>
      <c r="AA1959" s="72" t="str">
        <f aca="false">IF(AH1959="","",IFERROR(INDEX(C_TIPO,MATCH(C1959&amp;"-P"&amp;MAX(1,COUNTIFS(C_ID,C1959,C_DEFINE,"Sí",C_INICIO,"&lt;="&amp;EOMONTH(B1959,0))),C_CLAVE,0))&amp;"","Sin dato"))</f>
        <v/>
      </c>
      <c r="AB1959" s="71" t="str">
        <f aca="false">IF(AH1959="","",ROUND(MIN(K1959,TOPE_AFP_UF*AJ1959)*AK1959,0))</f>
        <v/>
      </c>
      <c r="AC1959" s="71" t="str">
        <f aca="false">IF(AH1959="","",ROUND(MIN(K1959,TOPE_AFC_UF*AJ1959)*IF(AA1959="Indefinido",AFC_EMP_INDEF,AFC_EMP_PF),0))</f>
        <v/>
      </c>
      <c r="AD1959" s="71" t="str">
        <f aca="false">IF(AH1959="","",ROUND(MIN(K1959,TOPE_AFP_UF*AJ1959)*(MUTUAL_BASICA+MUTUAL_ADIC+SANNA),0))</f>
        <v/>
      </c>
      <c r="AE1959" s="71" t="str">
        <f aca="false">IF(AH1959="","",P1959-N(N1959)+AB1959+AC1959+AD1959)</f>
        <v/>
      </c>
      <c r="AF1959" s="65"/>
      <c r="AG1959" s="64"/>
      <c r="AH1959" s="72" t="str">
        <f aca="false">IF(OR(B1959="",C1959=""),"",C1959&amp;"|"&amp;(YEAR(B1959)*100+MONTH(B1959)))</f>
        <v/>
      </c>
      <c r="AI1959" s="70" t="str">
        <f aca="false">IF(AH1959="","",IF(COUNTIF(L_CLAVE,AH1959)&gt;1,"⚠ Duplicado","OK"))</f>
        <v/>
      </c>
      <c r="AJ1959" s="86" t="str">
        <f aca="false">IF(AH1959="","",IF(SUMPRODUCT(MAX((IND_PER&lt;=B1959)*(IND_UF&lt;&gt;"")*IND_PER))=0,UF_HOY,INDEX(IND_UF,MATCH(SUMPRODUCT(MAX((IND_PER&lt;=B1959)*(IND_UF&lt;&gt;"")*IND_PER)),IND_PER,0))))</f>
        <v/>
      </c>
      <c r="AK1959" s="87" t="str">
        <f aca="false">IF(AH1959="","",IF(COUNTIF(TASA_DESDE,"&lt;="&amp;B1959)=0,INDEX(TASA_EMP,1),INDEX(TASA_EMP,COUNTIF(TASA_DESDE,"&lt;="&amp;B1959))))</f>
        <v/>
      </c>
    </row>
    <row r="1960" customFormat="false" ht="15" hidden="false" customHeight="false" outlineLevel="0" collapsed="false">
      <c r="B1960" s="78"/>
      <c r="C1960" s="64"/>
      <c r="D1960" s="72" t="str">
        <f aca="false">IF(C1960="","",IFERROR(INDEX(T_NOMBRE,MATCH(C1960,T_ID,0)),"⚠ ID no existe"))</f>
        <v/>
      </c>
      <c r="E1960" s="69"/>
      <c r="F1960" s="67"/>
      <c r="G1960" s="67"/>
      <c r="H1960" s="67"/>
      <c r="I1960" s="67"/>
      <c r="J1960" s="67"/>
      <c r="K1960" s="85" t="str">
        <f aca="false">IF(AH1960="","",N(F1960)+N(G1960)+N(H1960)-N(I1960)+N(J1960))</f>
        <v/>
      </c>
      <c r="L1960" s="67"/>
      <c r="M1960" s="67"/>
      <c r="N1960" s="67"/>
      <c r="O1960" s="67"/>
      <c r="P1960" s="85" t="str">
        <f aca="false">IF(AH1960="","",K1960+N(L1960)+N(M1960)+N(N1960)+N(O1960))</f>
        <v/>
      </c>
      <c r="Q1960" s="67"/>
      <c r="R1960" s="67"/>
      <c r="S1960" s="67"/>
      <c r="T1960" s="67"/>
      <c r="U1960" s="67"/>
      <c r="V1960" s="67"/>
      <c r="W1960" s="85" t="str">
        <f aca="false">IF(AH1960="","",N(Q1960)+N(R1960)+N(S1960)+N(T1960)+N(U1960)+N(V1960))</f>
        <v/>
      </c>
      <c r="X1960" s="85" t="str">
        <f aca="false">IF(AH1960="","",P1960-W1960)</f>
        <v/>
      </c>
      <c r="Y1960" s="67"/>
      <c r="Z1960" s="70" t="str">
        <f aca="false">IF(OR(AH1960="",Y1960=""),"",IF(ABS(X1960-Y1960)&lt;=1,"✓ Cuadra","⚠ Diferencia $"&amp;FIXED(X1960-Y1960,0)))</f>
        <v/>
      </c>
      <c r="AA1960" s="72" t="str">
        <f aca="false">IF(AH1960="","",IFERROR(INDEX(C_TIPO,MATCH(C1960&amp;"-P"&amp;MAX(1,COUNTIFS(C_ID,C1960,C_DEFINE,"Sí",C_INICIO,"&lt;="&amp;EOMONTH(B1960,0))),C_CLAVE,0))&amp;"","Sin dato"))</f>
        <v/>
      </c>
      <c r="AB1960" s="71" t="str">
        <f aca="false">IF(AH1960="","",ROUND(MIN(K1960,TOPE_AFP_UF*AJ1960)*AK1960,0))</f>
        <v/>
      </c>
      <c r="AC1960" s="71" t="str">
        <f aca="false">IF(AH1960="","",ROUND(MIN(K1960,TOPE_AFC_UF*AJ1960)*IF(AA1960="Indefinido",AFC_EMP_INDEF,AFC_EMP_PF),0))</f>
        <v/>
      </c>
      <c r="AD1960" s="71" t="str">
        <f aca="false">IF(AH1960="","",ROUND(MIN(K1960,TOPE_AFP_UF*AJ1960)*(MUTUAL_BASICA+MUTUAL_ADIC+SANNA),0))</f>
        <v/>
      </c>
      <c r="AE1960" s="71" t="str">
        <f aca="false">IF(AH1960="","",P1960-N(N1960)+AB1960+AC1960+AD1960)</f>
        <v/>
      </c>
      <c r="AF1960" s="65"/>
      <c r="AG1960" s="64"/>
      <c r="AH1960" s="72" t="str">
        <f aca="false">IF(OR(B1960="",C1960=""),"",C1960&amp;"|"&amp;(YEAR(B1960)*100+MONTH(B1960)))</f>
        <v/>
      </c>
      <c r="AI1960" s="70" t="str">
        <f aca="false">IF(AH1960="","",IF(COUNTIF(L_CLAVE,AH1960)&gt;1,"⚠ Duplicado","OK"))</f>
        <v/>
      </c>
      <c r="AJ1960" s="86" t="str">
        <f aca="false">IF(AH1960="","",IF(SUMPRODUCT(MAX((IND_PER&lt;=B1960)*(IND_UF&lt;&gt;"")*IND_PER))=0,UF_HOY,INDEX(IND_UF,MATCH(SUMPRODUCT(MAX((IND_PER&lt;=B1960)*(IND_UF&lt;&gt;"")*IND_PER)),IND_PER,0))))</f>
        <v/>
      </c>
      <c r="AK1960" s="87" t="str">
        <f aca="false">IF(AH1960="","",IF(COUNTIF(TASA_DESDE,"&lt;="&amp;B1960)=0,INDEX(TASA_EMP,1),INDEX(TASA_EMP,COUNTIF(TASA_DESDE,"&lt;="&amp;B1960))))</f>
        <v/>
      </c>
    </row>
    <row r="1961" customFormat="false" ht="15" hidden="false" customHeight="false" outlineLevel="0" collapsed="false">
      <c r="B1961" s="78"/>
      <c r="C1961" s="64"/>
      <c r="D1961" s="72" t="str">
        <f aca="false">IF(C1961="","",IFERROR(INDEX(T_NOMBRE,MATCH(C1961,T_ID,0)),"⚠ ID no existe"))</f>
        <v/>
      </c>
      <c r="E1961" s="69"/>
      <c r="F1961" s="67"/>
      <c r="G1961" s="67"/>
      <c r="H1961" s="67"/>
      <c r="I1961" s="67"/>
      <c r="J1961" s="67"/>
      <c r="K1961" s="85" t="str">
        <f aca="false">IF(AH1961="","",N(F1961)+N(G1961)+N(H1961)-N(I1961)+N(J1961))</f>
        <v/>
      </c>
      <c r="L1961" s="67"/>
      <c r="M1961" s="67"/>
      <c r="N1961" s="67"/>
      <c r="O1961" s="67"/>
      <c r="P1961" s="85" t="str">
        <f aca="false">IF(AH1961="","",K1961+N(L1961)+N(M1961)+N(N1961)+N(O1961))</f>
        <v/>
      </c>
      <c r="Q1961" s="67"/>
      <c r="R1961" s="67"/>
      <c r="S1961" s="67"/>
      <c r="T1961" s="67"/>
      <c r="U1961" s="67"/>
      <c r="V1961" s="67"/>
      <c r="W1961" s="85" t="str">
        <f aca="false">IF(AH1961="","",N(Q1961)+N(R1961)+N(S1961)+N(T1961)+N(U1961)+N(V1961))</f>
        <v/>
      </c>
      <c r="X1961" s="85" t="str">
        <f aca="false">IF(AH1961="","",P1961-W1961)</f>
        <v/>
      </c>
      <c r="Y1961" s="67"/>
      <c r="Z1961" s="70" t="str">
        <f aca="false">IF(OR(AH1961="",Y1961=""),"",IF(ABS(X1961-Y1961)&lt;=1,"✓ Cuadra","⚠ Diferencia $"&amp;FIXED(X1961-Y1961,0)))</f>
        <v/>
      </c>
      <c r="AA1961" s="72" t="str">
        <f aca="false">IF(AH1961="","",IFERROR(INDEX(C_TIPO,MATCH(C1961&amp;"-P"&amp;MAX(1,COUNTIFS(C_ID,C1961,C_DEFINE,"Sí",C_INICIO,"&lt;="&amp;EOMONTH(B1961,0))),C_CLAVE,0))&amp;"","Sin dato"))</f>
        <v/>
      </c>
      <c r="AB1961" s="71" t="str">
        <f aca="false">IF(AH1961="","",ROUND(MIN(K1961,TOPE_AFP_UF*AJ1961)*AK1961,0))</f>
        <v/>
      </c>
      <c r="AC1961" s="71" t="str">
        <f aca="false">IF(AH1961="","",ROUND(MIN(K1961,TOPE_AFC_UF*AJ1961)*IF(AA1961="Indefinido",AFC_EMP_INDEF,AFC_EMP_PF),0))</f>
        <v/>
      </c>
      <c r="AD1961" s="71" t="str">
        <f aca="false">IF(AH1961="","",ROUND(MIN(K1961,TOPE_AFP_UF*AJ1961)*(MUTUAL_BASICA+MUTUAL_ADIC+SANNA),0))</f>
        <v/>
      </c>
      <c r="AE1961" s="71" t="str">
        <f aca="false">IF(AH1961="","",P1961-N(N1961)+AB1961+AC1961+AD1961)</f>
        <v/>
      </c>
      <c r="AF1961" s="65"/>
      <c r="AG1961" s="64"/>
      <c r="AH1961" s="72" t="str">
        <f aca="false">IF(OR(B1961="",C1961=""),"",C1961&amp;"|"&amp;(YEAR(B1961)*100+MONTH(B1961)))</f>
        <v/>
      </c>
      <c r="AI1961" s="70" t="str">
        <f aca="false">IF(AH1961="","",IF(COUNTIF(L_CLAVE,AH1961)&gt;1,"⚠ Duplicado","OK"))</f>
        <v/>
      </c>
      <c r="AJ1961" s="86" t="str">
        <f aca="false">IF(AH1961="","",IF(SUMPRODUCT(MAX((IND_PER&lt;=B1961)*(IND_UF&lt;&gt;"")*IND_PER))=0,UF_HOY,INDEX(IND_UF,MATCH(SUMPRODUCT(MAX((IND_PER&lt;=B1961)*(IND_UF&lt;&gt;"")*IND_PER)),IND_PER,0))))</f>
        <v/>
      </c>
      <c r="AK1961" s="87" t="str">
        <f aca="false">IF(AH1961="","",IF(COUNTIF(TASA_DESDE,"&lt;="&amp;B1961)=0,INDEX(TASA_EMP,1),INDEX(TASA_EMP,COUNTIF(TASA_DESDE,"&lt;="&amp;B1961))))</f>
        <v/>
      </c>
    </row>
    <row r="1962" customFormat="false" ht="15" hidden="false" customHeight="false" outlineLevel="0" collapsed="false">
      <c r="B1962" s="78"/>
      <c r="C1962" s="64"/>
      <c r="D1962" s="72" t="str">
        <f aca="false">IF(C1962="","",IFERROR(INDEX(T_NOMBRE,MATCH(C1962,T_ID,0)),"⚠ ID no existe"))</f>
        <v/>
      </c>
      <c r="E1962" s="69"/>
      <c r="F1962" s="67"/>
      <c r="G1962" s="67"/>
      <c r="H1962" s="67"/>
      <c r="I1962" s="67"/>
      <c r="J1962" s="67"/>
      <c r="K1962" s="85" t="str">
        <f aca="false">IF(AH1962="","",N(F1962)+N(G1962)+N(H1962)-N(I1962)+N(J1962))</f>
        <v/>
      </c>
      <c r="L1962" s="67"/>
      <c r="M1962" s="67"/>
      <c r="N1962" s="67"/>
      <c r="O1962" s="67"/>
      <c r="P1962" s="85" t="str">
        <f aca="false">IF(AH1962="","",K1962+N(L1962)+N(M1962)+N(N1962)+N(O1962))</f>
        <v/>
      </c>
      <c r="Q1962" s="67"/>
      <c r="R1962" s="67"/>
      <c r="S1962" s="67"/>
      <c r="T1962" s="67"/>
      <c r="U1962" s="67"/>
      <c r="V1962" s="67"/>
      <c r="W1962" s="85" t="str">
        <f aca="false">IF(AH1962="","",N(Q1962)+N(R1962)+N(S1962)+N(T1962)+N(U1962)+N(V1962))</f>
        <v/>
      </c>
      <c r="X1962" s="85" t="str">
        <f aca="false">IF(AH1962="","",P1962-W1962)</f>
        <v/>
      </c>
      <c r="Y1962" s="67"/>
      <c r="Z1962" s="70" t="str">
        <f aca="false">IF(OR(AH1962="",Y1962=""),"",IF(ABS(X1962-Y1962)&lt;=1,"✓ Cuadra","⚠ Diferencia $"&amp;FIXED(X1962-Y1962,0)))</f>
        <v/>
      </c>
      <c r="AA1962" s="72" t="str">
        <f aca="false">IF(AH1962="","",IFERROR(INDEX(C_TIPO,MATCH(C1962&amp;"-P"&amp;MAX(1,COUNTIFS(C_ID,C1962,C_DEFINE,"Sí",C_INICIO,"&lt;="&amp;EOMONTH(B1962,0))),C_CLAVE,0))&amp;"","Sin dato"))</f>
        <v/>
      </c>
      <c r="AB1962" s="71" t="str">
        <f aca="false">IF(AH1962="","",ROUND(MIN(K1962,TOPE_AFP_UF*AJ1962)*AK1962,0))</f>
        <v/>
      </c>
      <c r="AC1962" s="71" t="str">
        <f aca="false">IF(AH1962="","",ROUND(MIN(K1962,TOPE_AFC_UF*AJ1962)*IF(AA1962="Indefinido",AFC_EMP_INDEF,AFC_EMP_PF),0))</f>
        <v/>
      </c>
      <c r="AD1962" s="71" t="str">
        <f aca="false">IF(AH1962="","",ROUND(MIN(K1962,TOPE_AFP_UF*AJ1962)*(MUTUAL_BASICA+MUTUAL_ADIC+SANNA),0))</f>
        <v/>
      </c>
      <c r="AE1962" s="71" t="str">
        <f aca="false">IF(AH1962="","",P1962-N(N1962)+AB1962+AC1962+AD1962)</f>
        <v/>
      </c>
      <c r="AF1962" s="65"/>
      <c r="AG1962" s="64"/>
      <c r="AH1962" s="72" t="str">
        <f aca="false">IF(OR(B1962="",C1962=""),"",C1962&amp;"|"&amp;(YEAR(B1962)*100+MONTH(B1962)))</f>
        <v/>
      </c>
      <c r="AI1962" s="70" t="str">
        <f aca="false">IF(AH1962="","",IF(COUNTIF(L_CLAVE,AH1962)&gt;1,"⚠ Duplicado","OK"))</f>
        <v/>
      </c>
      <c r="AJ1962" s="86" t="str">
        <f aca="false">IF(AH1962="","",IF(SUMPRODUCT(MAX((IND_PER&lt;=B1962)*(IND_UF&lt;&gt;"")*IND_PER))=0,UF_HOY,INDEX(IND_UF,MATCH(SUMPRODUCT(MAX((IND_PER&lt;=B1962)*(IND_UF&lt;&gt;"")*IND_PER)),IND_PER,0))))</f>
        <v/>
      </c>
      <c r="AK1962" s="87" t="str">
        <f aca="false">IF(AH1962="","",IF(COUNTIF(TASA_DESDE,"&lt;="&amp;B1962)=0,INDEX(TASA_EMP,1),INDEX(TASA_EMP,COUNTIF(TASA_DESDE,"&lt;="&amp;B1962))))</f>
        <v/>
      </c>
    </row>
    <row r="1963" customFormat="false" ht="15" hidden="false" customHeight="false" outlineLevel="0" collapsed="false">
      <c r="B1963" s="78"/>
      <c r="C1963" s="64"/>
      <c r="D1963" s="72" t="str">
        <f aca="false">IF(C1963="","",IFERROR(INDEX(T_NOMBRE,MATCH(C1963,T_ID,0)),"⚠ ID no existe"))</f>
        <v/>
      </c>
      <c r="E1963" s="69"/>
      <c r="F1963" s="67"/>
      <c r="G1963" s="67"/>
      <c r="H1963" s="67"/>
      <c r="I1963" s="67"/>
      <c r="J1963" s="67"/>
      <c r="K1963" s="85" t="str">
        <f aca="false">IF(AH1963="","",N(F1963)+N(G1963)+N(H1963)-N(I1963)+N(J1963))</f>
        <v/>
      </c>
      <c r="L1963" s="67"/>
      <c r="M1963" s="67"/>
      <c r="N1963" s="67"/>
      <c r="O1963" s="67"/>
      <c r="P1963" s="85" t="str">
        <f aca="false">IF(AH1963="","",K1963+N(L1963)+N(M1963)+N(N1963)+N(O1963))</f>
        <v/>
      </c>
      <c r="Q1963" s="67"/>
      <c r="R1963" s="67"/>
      <c r="S1963" s="67"/>
      <c r="T1963" s="67"/>
      <c r="U1963" s="67"/>
      <c r="V1963" s="67"/>
      <c r="W1963" s="85" t="str">
        <f aca="false">IF(AH1963="","",N(Q1963)+N(R1963)+N(S1963)+N(T1963)+N(U1963)+N(V1963))</f>
        <v/>
      </c>
      <c r="X1963" s="85" t="str">
        <f aca="false">IF(AH1963="","",P1963-W1963)</f>
        <v/>
      </c>
      <c r="Y1963" s="67"/>
      <c r="Z1963" s="70" t="str">
        <f aca="false">IF(OR(AH1963="",Y1963=""),"",IF(ABS(X1963-Y1963)&lt;=1,"✓ Cuadra","⚠ Diferencia $"&amp;FIXED(X1963-Y1963,0)))</f>
        <v/>
      </c>
      <c r="AA1963" s="72" t="str">
        <f aca="false">IF(AH1963="","",IFERROR(INDEX(C_TIPO,MATCH(C1963&amp;"-P"&amp;MAX(1,COUNTIFS(C_ID,C1963,C_DEFINE,"Sí",C_INICIO,"&lt;="&amp;EOMONTH(B1963,0))),C_CLAVE,0))&amp;"","Sin dato"))</f>
        <v/>
      </c>
      <c r="AB1963" s="71" t="str">
        <f aca="false">IF(AH1963="","",ROUND(MIN(K1963,TOPE_AFP_UF*AJ1963)*AK1963,0))</f>
        <v/>
      </c>
      <c r="AC1963" s="71" t="str">
        <f aca="false">IF(AH1963="","",ROUND(MIN(K1963,TOPE_AFC_UF*AJ1963)*IF(AA1963="Indefinido",AFC_EMP_INDEF,AFC_EMP_PF),0))</f>
        <v/>
      </c>
      <c r="AD1963" s="71" t="str">
        <f aca="false">IF(AH1963="","",ROUND(MIN(K1963,TOPE_AFP_UF*AJ1963)*(MUTUAL_BASICA+MUTUAL_ADIC+SANNA),0))</f>
        <v/>
      </c>
      <c r="AE1963" s="71" t="str">
        <f aca="false">IF(AH1963="","",P1963-N(N1963)+AB1963+AC1963+AD1963)</f>
        <v/>
      </c>
      <c r="AF1963" s="65"/>
      <c r="AG1963" s="64"/>
      <c r="AH1963" s="72" t="str">
        <f aca="false">IF(OR(B1963="",C1963=""),"",C1963&amp;"|"&amp;(YEAR(B1963)*100+MONTH(B1963)))</f>
        <v/>
      </c>
      <c r="AI1963" s="70" t="str">
        <f aca="false">IF(AH1963="","",IF(COUNTIF(L_CLAVE,AH1963)&gt;1,"⚠ Duplicado","OK"))</f>
        <v/>
      </c>
      <c r="AJ1963" s="86" t="str">
        <f aca="false">IF(AH1963="","",IF(SUMPRODUCT(MAX((IND_PER&lt;=B1963)*(IND_UF&lt;&gt;"")*IND_PER))=0,UF_HOY,INDEX(IND_UF,MATCH(SUMPRODUCT(MAX((IND_PER&lt;=B1963)*(IND_UF&lt;&gt;"")*IND_PER)),IND_PER,0))))</f>
        <v/>
      </c>
      <c r="AK1963" s="87" t="str">
        <f aca="false">IF(AH1963="","",IF(COUNTIF(TASA_DESDE,"&lt;="&amp;B1963)=0,INDEX(TASA_EMP,1),INDEX(TASA_EMP,COUNTIF(TASA_DESDE,"&lt;="&amp;B1963))))</f>
        <v/>
      </c>
    </row>
    <row r="1964" customFormat="false" ht="15" hidden="false" customHeight="false" outlineLevel="0" collapsed="false">
      <c r="B1964" s="78"/>
      <c r="C1964" s="64"/>
      <c r="D1964" s="72" t="str">
        <f aca="false">IF(C1964="","",IFERROR(INDEX(T_NOMBRE,MATCH(C1964,T_ID,0)),"⚠ ID no existe"))</f>
        <v/>
      </c>
      <c r="E1964" s="69"/>
      <c r="F1964" s="67"/>
      <c r="G1964" s="67"/>
      <c r="H1964" s="67"/>
      <c r="I1964" s="67"/>
      <c r="J1964" s="67"/>
      <c r="K1964" s="85" t="str">
        <f aca="false">IF(AH1964="","",N(F1964)+N(G1964)+N(H1964)-N(I1964)+N(J1964))</f>
        <v/>
      </c>
      <c r="L1964" s="67"/>
      <c r="M1964" s="67"/>
      <c r="N1964" s="67"/>
      <c r="O1964" s="67"/>
      <c r="P1964" s="85" t="str">
        <f aca="false">IF(AH1964="","",K1964+N(L1964)+N(M1964)+N(N1964)+N(O1964))</f>
        <v/>
      </c>
      <c r="Q1964" s="67"/>
      <c r="R1964" s="67"/>
      <c r="S1964" s="67"/>
      <c r="T1964" s="67"/>
      <c r="U1964" s="67"/>
      <c r="V1964" s="67"/>
      <c r="W1964" s="85" t="str">
        <f aca="false">IF(AH1964="","",N(Q1964)+N(R1964)+N(S1964)+N(T1964)+N(U1964)+N(V1964))</f>
        <v/>
      </c>
      <c r="X1964" s="85" t="str">
        <f aca="false">IF(AH1964="","",P1964-W1964)</f>
        <v/>
      </c>
      <c r="Y1964" s="67"/>
      <c r="Z1964" s="70" t="str">
        <f aca="false">IF(OR(AH1964="",Y1964=""),"",IF(ABS(X1964-Y1964)&lt;=1,"✓ Cuadra","⚠ Diferencia $"&amp;FIXED(X1964-Y1964,0)))</f>
        <v/>
      </c>
      <c r="AA1964" s="72" t="str">
        <f aca="false">IF(AH1964="","",IFERROR(INDEX(C_TIPO,MATCH(C1964&amp;"-P"&amp;MAX(1,COUNTIFS(C_ID,C1964,C_DEFINE,"Sí",C_INICIO,"&lt;="&amp;EOMONTH(B1964,0))),C_CLAVE,0))&amp;"","Sin dato"))</f>
        <v/>
      </c>
      <c r="AB1964" s="71" t="str">
        <f aca="false">IF(AH1964="","",ROUND(MIN(K1964,TOPE_AFP_UF*AJ1964)*AK1964,0))</f>
        <v/>
      </c>
      <c r="AC1964" s="71" t="str">
        <f aca="false">IF(AH1964="","",ROUND(MIN(K1964,TOPE_AFC_UF*AJ1964)*IF(AA1964="Indefinido",AFC_EMP_INDEF,AFC_EMP_PF),0))</f>
        <v/>
      </c>
      <c r="AD1964" s="71" t="str">
        <f aca="false">IF(AH1964="","",ROUND(MIN(K1964,TOPE_AFP_UF*AJ1964)*(MUTUAL_BASICA+MUTUAL_ADIC+SANNA),0))</f>
        <v/>
      </c>
      <c r="AE1964" s="71" t="str">
        <f aca="false">IF(AH1964="","",P1964-N(N1964)+AB1964+AC1964+AD1964)</f>
        <v/>
      </c>
      <c r="AF1964" s="65"/>
      <c r="AG1964" s="64"/>
      <c r="AH1964" s="72" t="str">
        <f aca="false">IF(OR(B1964="",C1964=""),"",C1964&amp;"|"&amp;(YEAR(B1964)*100+MONTH(B1964)))</f>
        <v/>
      </c>
      <c r="AI1964" s="70" t="str">
        <f aca="false">IF(AH1964="","",IF(COUNTIF(L_CLAVE,AH1964)&gt;1,"⚠ Duplicado","OK"))</f>
        <v/>
      </c>
      <c r="AJ1964" s="86" t="str">
        <f aca="false">IF(AH1964="","",IF(SUMPRODUCT(MAX((IND_PER&lt;=B1964)*(IND_UF&lt;&gt;"")*IND_PER))=0,UF_HOY,INDEX(IND_UF,MATCH(SUMPRODUCT(MAX((IND_PER&lt;=B1964)*(IND_UF&lt;&gt;"")*IND_PER)),IND_PER,0))))</f>
        <v/>
      </c>
      <c r="AK1964" s="87" t="str">
        <f aca="false">IF(AH1964="","",IF(COUNTIF(TASA_DESDE,"&lt;="&amp;B1964)=0,INDEX(TASA_EMP,1),INDEX(TASA_EMP,COUNTIF(TASA_DESDE,"&lt;="&amp;B1964))))</f>
        <v/>
      </c>
    </row>
    <row r="1965" customFormat="false" ht="15" hidden="false" customHeight="false" outlineLevel="0" collapsed="false">
      <c r="B1965" s="78"/>
      <c r="C1965" s="64"/>
      <c r="D1965" s="72" t="str">
        <f aca="false">IF(C1965="","",IFERROR(INDEX(T_NOMBRE,MATCH(C1965,T_ID,0)),"⚠ ID no existe"))</f>
        <v/>
      </c>
      <c r="E1965" s="69"/>
      <c r="F1965" s="67"/>
      <c r="G1965" s="67"/>
      <c r="H1965" s="67"/>
      <c r="I1965" s="67"/>
      <c r="J1965" s="67"/>
      <c r="K1965" s="85" t="str">
        <f aca="false">IF(AH1965="","",N(F1965)+N(G1965)+N(H1965)-N(I1965)+N(J1965))</f>
        <v/>
      </c>
      <c r="L1965" s="67"/>
      <c r="M1965" s="67"/>
      <c r="N1965" s="67"/>
      <c r="O1965" s="67"/>
      <c r="P1965" s="85" t="str">
        <f aca="false">IF(AH1965="","",K1965+N(L1965)+N(M1965)+N(N1965)+N(O1965))</f>
        <v/>
      </c>
      <c r="Q1965" s="67"/>
      <c r="R1965" s="67"/>
      <c r="S1965" s="67"/>
      <c r="T1965" s="67"/>
      <c r="U1965" s="67"/>
      <c r="V1965" s="67"/>
      <c r="W1965" s="85" t="str">
        <f aca="false">IF(AH1965="","",N(Q1965)+N(R1965)+N(S1965)+N(T1965)+N(U1965)+N(V1965))</f>
        <v/>
      </c>
      <c r="X1965" s="85" t="str">
        <f aca="false">IF(AH1965="","",P1965-W1965)</f>
        <v/>
      </c>
      <c r="Y1965" s="67"/>
      <c r="Z1965" s="70" t="str">
        <f aca="false">IF(OR(AH1965="",Y1965=""),"",IF(ABS(X1965-Y1965)&lt;=1,"✓ Cuadra","⚠ Diferencia $"&amp;FIXED(X1965-Y1965,0)))</f>
        <v/>
      </c>
      <c r="AA1965" s="72" t="str">
        <f aca="false">IF(AH1965="","",IFERROR(INDEX(C_TIPO,MATCH(C1965&amp;"-P"&amp;MAX(1,COUNTIFS(C_ID,C1965,C_DEFINE,"Sí",C_INICIO,"&lt;="&amp;EOMONTH(B1965,0))),C_CLAVE,0))&amp;"","Sin dato"))</f>
        <v/>
      </c>
      <c r="AB1965" s="71" t="str">
        <f aca="false">IF(AH1965="","",ROUND(MIN(K1965,TOPE_AFP_UF*AJ1965)*AK1965,0))</f>
        <v/>
      </c>
      <c r="AC1965" s="71" t="str">
        <f aca="false">IF(AH1965="","",ROUND(MIN(K1965,TOPE_AFC_UF*AJ1965)*IF(AA1965="Indefinido",AFC_EMP_INDEF,AFC_EMP_PF),0))</f>
        <v/>
      </c>
      <c r="AD1965" s="71" t="str">
        <f aca="false">IF(AH1965="","",ROUND(MIN(K1965,TOPE_AFP_UF*AJ1965)*(MUTUAL_BASICA+MUTUAL_ADIC+SANNA),0))</f>
        <v/>
      </c>
      <c r="AE1965" s="71" t="str">
        <f aca="false">IF(AH1965="","",P1965-N(N1965)+AB1965+AC1965+AD1965)</f>
        <v/>
      </c>
      <c r="AF1965" s="65"/>
      <c r="AG1965" s="64"/>
      <c r="AH1965" s="72" t="str">
        <f aca="false">IF(OR(B1965="",C1965=""),"",C1965&amp;"|"&amp;(YEAR(B1965)*100+MONTH(B1965)))</f>
        <v/>
      </c>
      <c r="AI1965" s="70" t="str">
        <f aca="false">IF(AH1965="","",IF(COUNTIF(L_CLAVE,AH1965)&gt;1,"⚠ Duplicado","OK"))</f>
        <v/>
      </c>
      <c r="AJ1965" s="86" t="str">
        <f aca="false">IF(AH1965="","",IF(SUMPRODUCT(MAX((IND_PER&lt;=B1965)*(IND_UF&lt;&gt;"")*IND_PER))=0,UF_HOY,INDEX(IND_UF,MATCH(SUMPRODUCT(MAX((IND_PER&lt;=B1965)*(IND_UF&lt;&gt;"")*IND_PER)),IND_PER,0))))</f>
        <v/>
      </c>
      <c r="AK1965" s="87" t="str">
        <f aca="false">IF(AH1965="","",IF(COUNTIF(TASA_DESDE,"&lt;="&amp;B1965)=0,INDEX(TASA_EMP,1),INDEX(TASA_EMP,COUNTIF(TASA_DESDE,"&lt;="&amp;B1965))))</f>
        <v/>
      </c>
    </row>
    <row r="1966" customFormat="false" ht="15" hidden="false" customHeight="false" outlineLevel="0" collapsed="false">
      <c r="B1966" s="78"/>
      <c r="C1966" s="64"/>
      <c r="D1966" s="72" t="str">
        <f aca="false">IF(C1966="","",IFERROR(INDEX(T_NOMBRE,MATCH(C1966,T_ID,0)),"⚠ ID no existe"))</f>
        <v/>
      </c>
      <c r="E1966" s="69"/>
      <c r="F1966" s="67"/>
      <c r="G1966" s="67"/>
      <c r="H1966" s="67"/>
      <c r="I1966" s="67"/>
      <c r="J1966" s="67"/>
      <c r="K1966" s="85" t="str">
        <f aca="false">IF(AH1966="","",N(F1966)+N(G1966)+N(H1966)-N(I1966)+N(J1966))</f>
        <v/>
      </c>
      <c r="L1966" s="67"/>
      <c r="M1966" s="67"/>
      <c r="N1966" s="67"/>
      <c r="O1966" s="67"/>
      <c r="P1966" s="85" t="str">
        <f aca="false">IF(AH1966="","",K1966+N(L1966)+N(M1966)+N(N1966)+N(O1966))</f>
        <v/>
      </c>
      <c r="Q1966" s="67"/>
      <c r="R1966" s="67"/>
      <c r="S1966" s="67"/>
      <c r="T1966" s="67"/>
      <c r="U1966" s="67"/>
      <c r="V1966" s="67"/>
      <c r="W1966" s="85" t="str">
        <f aca="false">IF(AH1966="","",N(Q1966)+N(R1966)+N(S1966)+N(T1966)+N(U1966)+N(V1966))</f>
        <v/>
      </c>
      <c r="X1966" s="85" t="str">
        <f aca="false">IF(AH1966="","",P1966-W1966)</f>
        <v/>
      </c>
      <c r="Y1966" s="67"/>
      <c r="Z1966" s="70" t="str">
        <f aca="false">IF(OR(AH1966="",Y1966=""),"",IF(ABS(X1966-Y1966)&lt;=1,"✓ Cuadra","⚠ Diferencia $"&amp;FIXED(X1966-Y1966,0)))</f>
        <v/>
      </c>
      <c r="AA1966" s="72" t="str">
        <f aca="false">IF(AH1966="","",IFERROR(INDEX(C_TIPO,MATCH(C1966&amp;"-P"&amp;MAX(1,COUNTIFS(C_ID,C1966,C_DEFINE,"Sí",C_INICIO,"&lt;="&amp;EOMONTH(B1966,0))),C_CLAVE,0))&amp;"","Sin dato"))</f>
        <v/>
      </c>
      <c r="AB1966" s="71" t="str">
        <f aca="false">IF(AH1966="","",ROUND(MIN(K1966,TOPE_AFP_UF*AJ1966)*AK1966,0))</f>
        <v/>
      </c>
      <c r="AC1966" s="71" t="str">
        <f aca="false">IF(AH1966="","",ROUND(MIN(K1966,TOPE_AFC_UF*AJ1966)*IF(AA1966="Indefinido",AFC_EMP_INDEF,AFC_EMP_PF),0))</f>
        <v/>
      </c>
      <c r="AD1966" s="71" t="str">
        <f aca="false">IF(AH1966="","",ROUND(MIN(K1966,TOPE_AFP_UF*AJ1966)*(MUTUAL_BASICA+MUTUAL_ADIC+SANNA),0))</f>
        <v/>
      </c>
      <c r="AE1966" s="71" t="str">
        <f aca="false">IF(AH1966="","",P1966-N(N1966)+AB1966+AC1966+AD1966)</f>
        <v/>
      </c>
      <c r="AF1966" s="65"/>
      <c r="AG1966" s="64"/>
      <c r="AH1966" s="72" t="str">
        <f aca="false">IF(OR(B1966="",C1966=""),"",C1966&amp;"|"&amp;(YEAR(B1966)*100+MONTH(B1966)))</f>
        <v/>
      </c>
      <c r="AI1966" s="70" t="str">
        <f aca="false">IF(AH1966="","",IF(COUNTIF(L_CLAVE,AH1966)&gt;1,"⚠ Duplicado","OK"))</f>
        <v/>
      </c>
      <c r="AJ1966" s="86" t="str">
        <f aca="false">IF(AH1966="","",IF(SUMPRODUCT(MAX((IND_PER&lt;=B1966)*(IND_UF&lt;&gt;"")*IND_PER))=0,UF_HOY,INDEX(IND_UF,MATCH(SUMPRODUCT(MAX((IND_PER&lt;=B1966)*(IND_UF&lt;&gt;"")*IND_PER)),IND_PER,0))))</f>
        <v/>
      </c>
      <c r="AK1966" s="87" t="str">
        <f aca="false">IF(AH1966="","",IF(COUNTIF(TASA_DESDE,"&lt;="&amp;B1966)=0,INDEX(TASA_EMP,1),INDEX(TASA_EMP,COUNTIF(TASA_DESDE,"&lt;="&amp;B1966))))</f>
        <v/>
      </c>
    </row>
    <row r="1967" customFormat="false" ht="15" hidden="false" customHeight="false" outlineLevel="0" collapsed="false">
      <c r="B1967" s="78"/>
      <c r="C1967" s="64"/>
      <c r="D1967" s="72" t="str">
        <f aca="false">IF(C1967="","",IFERROR(INDEX(T_NOMBRE,MATCH(C1967,T_ID,0)),"⚠ ID no existe"))</f>
        <v/>
      </c>
      <c r="E1967" s="69"/>
      <c r="F1967" s="67"/>
      <c r="G1967" s="67"/>
      <c r="H1967" s="67"/>
      <c r="I1967" s="67"/>
      <c r="J1967" s="67"/>
      <c r="K1967" s="85" t="str">
        <f aca="false">IF(AH1967="","",N(F1967)+N(G1967)+N(H1967)-N(I1967)+N(J1967))</f>
        <v/>
      </c>
      <c r="L1967" s="67"/>
      <c r="M1967" s="67"/>
      <c r="N1967" s="67"/>
      <c r="O1967" s="67"/>
      <c r="P1967" s="85" t="str">
        <f aca="false">IF(AH1967="","",K1967+N(L1967)+N(M1967)+N(N1967)+N(O1967))</f>
        <v/>
      </c>
      <c r="Q1967" s="67"/>
      <c r="R1967" s="67"/>
      <c r="S1967" s="67"/>
      <c r="T1967" s="67"/>
      <c r="U1967" s="67"/>
      <c r="V1967" s="67"/>
      <c r="W1967" s="85" t="str">
        <f aca="false">IF(AH1967="","",N(Q1967)+N(R1967)+N(S1967)+N(T1967)+N(U1967)+N(V1967))</f>
        <v/>
      </c>
      <c r="X1967" s="85" t="str">
        <f aca="false">IF(AH1967="","",P1967-W1967)</f>
        <v/>
      </c>
      <c r="Y1967" s="67"/>
      <c r="Z1967" s="70" t="str">
        <f aca="false">IF(OR(AH1967="",Y1967=""),"",IF(ABS(X1967-Y1967)&lt;=1,"✓ Cuadra","⚠ Diferencia $"&amp;FIXED(X1967-Y1967,0)))</f>
        <v/>
      </c>
      <c r="AA1967" s="72" t="str">
        <f aca="false">IF(AH1967="","",IFERROR(INDEX(C_TIPO,MATCH(C1967&amp;"-P"&amp;MAX(1,COUNTIFS(C_ID,C1967,C_DEFINE,"Sí",C_INICIO,"&lt;="&amp;EOMONTH(B1967,0))),C_CLAVE,0))&amp;"","Sin dato"))</f>
        <v/>
      </c>
      <c r="AB1967" s="71" t="str">
        <f aca="false">IF(AH1967="","",ROUND(MIN(K1967,TOPE_AFP_UF*AJ1967)*AK1967,0))</f>
        <v/>
      </c>
      <c r="AC1967" s="71" t="str">
        <f aca="false">IF(AH1967="","",ROUND(MIN(K1967,TOPE_AFC_UF*AJ1967)*IF(AA1967="Indefinido",AFC_EMP_INDEF,AFC_EMP_PF),0))</f>
        <v/>
      </c>
      <c r="AD1967" s="71" t="str">
        <f aca="false">IF(AH1967="","",ROUND(MIN(K1967,TOPE_AFP_UF*AJ1967)*(MUTUAL_BASICA+MUTUAL_ADIC+SANNA),0))</f>
        <v/>
      </c>
      <c r="AE1967" s="71" t="str">
        <f aca="false">IF(AH1967="","",P1967-N(N1967)+AB1967+AC1967+AD1967)</f>
        <v/>
      </c>
      <c r="AF1967" s="65"/>
      <c r="AG1967" s="64"/>
      <c r="AH1967" s="72" t="str">
        <f aca="false">IF(OR(B1967="",C1967=""),"",C1967&amp;"|"&amp;(YEAR(B1967)*100+MONTH(B1967)))</f>
        <v/>
      </c>
      <c r="AI1967" s="70" t="str">
        <f aca="false">IF(AH1967="","",IF(COUNTIF(L_CLAVE,AH1967)&gt;1,"⚠ Duplicado","OK"))</f>
        <v/>
      </c>
      <c r="AJ1967" s="86" t="str">
        <f aca="false">IF(AH1967="","",IF(SUMPRODUCT(MAX((IND_PER&lt;=B1967)*(IND_UF&lt;&gt;"")*IND_PER))=0,UF_HOY,INDEX(IND_UF,MATCH(SUMPRODUCT(MAX((IND_PER&lt;=B1967)*(IND_UF&lt;&gt;"")*IND_PER)),IND_PER,0))))</f>
        <v/>
      </c>
      <c r="AK1967" s="87" t="str">
        <f aca="false">IF(AH1967="","",IF(COUNTIF(TASA_DESDE,"&lt;="&amp;B1967)=0,INDEX(TASA_EMP,1),INDEX(TASA_EMP,COUNTIF(TASA_DESDE,"&lt;="&amp;B1967))))</f>
        <v/>
      </c>
    </row>
    <row r="1968" customFormat="false" ht="15" hidden="false" customHeight="false" outlineLevel="0" collapsed="false">
      <c r="B1968" s="78"/>
      <c r="C1968" s="64"/>
      <c r="D1968" s="72" t="str">
        <f aca="false">IF(C1968="","",IFERROR(INDEX(T_NOMBRE,MATCH(C1968,T_ID,0)),"⚠ ID no existe"))</f>
        <v/>
      </c>
      <c r="E1968" s="69"/>
      <c r="F1968" s="67"/>
      <c r="G1968" s="67"/>
      <c r="H1968" s="67"/>
      <c r="I1968" s="67"/>
      <c r="J1968" s="67"/>
      <c r="K1968" s="85" t="str">
        <f aca="false">IF(AH1968="","",N(F1968)+N(G1968)+N(H1968)-N(I1968)+N(J1968))</f>
        <v/>
      </c>
      <c r="L1968" s="67"/>
      <c r="M1968" s="67"/>
      <c r="N1968" s="67"/>
      <c r="O1968" s="67"/>
      <c r="P1968" s="85" t="str">
        <f aca="false">IF(AH1968="","",K1968+N(L1968)+N(M1968)+N(N1968)+N(O1968))</f>
        <v/>
      </c>
      <c r="Q1968" s="67"/>
      <c r="R1968" s="67"/>
      <c r="S1968" s="67"/>
      <c r="T1968" s="67"/>
      <c r="U1968" s="67"/>
      <c r="V1968" s="67"/>
      <c r="W1968" s="85" t="str">
        <f aca="false">IF(AH1968="","",N(Q1968)+N(R1968)+N(S1968)+N(T1968)+N(U1968)+N(V1968))</f>
        <v/>
      </c>
      <c r="X1968" s="85" t="str">
        <f aca="false">IF(AH1968="","",P1968-W1968)</f>
        <v/>
      </c>
      <c r="Y1968" s="67"/>
      <c r="Z1968" s="70" t="str">
        <f aca="false">IF(OR(AH1968="",Y1968=""),"",IF(ABS(X1968-Y1968)&lt;=1,"✓ Cuadra","⚠ Diferencia $"&amp;FIXED(X1968-Y1968,0)))</f>
        <v/>
      </c>
      <c r="AA1968" s="72" t="str">
        <f aca="false">IF(AH1968="","",IFERROR(INDEX(C_TIPO,MATCH(C1968&amp;"-P"&amp;MAX(1,COUNTIFS(C_ID,C1968,C_DEFINE,"Sí",C_INICIO,"&lt;="&amp;EOMONTH(B1968,0))),C_CLAVE,0))&amp;"","Sin dato"))</f>
        <v/>
      </c>
      <c r="AB1968" s="71" t="str">
        <f aca="false">IF(AH1968="","",ROUND(MIN(K1968,TOPE_AFP_UF*AJ1968)*AK1968,0))</f>
        <v/>
      </c>
      <c r="AC1968" s="71" t="str">
        <f aca="false">IF(AH1968="","",ROUND(MIN(K1968,TOPE_AFC_UF*AJ1968)*IF(AA1968="Indefinido",AFC_EMP_INDEF,AFC_EMP_PF),0))</f>
        <v/>
      </c>
      <c r="AD1968" s="71" t="str">
        <f aca="false">IF(AH1968="","",ROUND(MIN(K1968,TOPE_AFP_UF*AJ1968)*(MUTUAL_BASICA+MUTUAL_ADIC+SANNA),0))</f>
        <v/>
      </c>
      <c r="AE1968" s="71" t="str">
        <f aca="false">IF(AH1968="","",P1968-N(N1968)+AB1968+AC1968+AD1968)</f>
        <v/>
      </c>
      <c r="AF1968" s="65"/>
      <c r="AG1968" s="64"/>
      <c r="AH1968" s="72" t="str">
        <f aca="false">IF(OR(B1968="",C1968=""),"",C1968&amp;"|"&amp;(YEAR(B1968)*100+MONTH(B1968)))</f>
        <v/>
      </c>
      <c r="AI1968" s="70" t="str">
        <f aca="false">IF(AH1968="","",IF(COUNTIF(L_CLAVE,AH1968)&gt;1,"⚠ Duplicado","OK"))</f>
        <v/>
      </c>
      <c r="AJ1968" s="86" t="str">
        <f aca="false">IF(AH1968="","",IF(SUMPRODUCT(MAX((IND_PER&lt;=B1968)*(IND_UF&lt;&gt;"")*IND_PER))=0,UF_HOY,INDEX(IND_UF,MATCH(SUMPRODUCT(MAX((IND_PER&lt;=B1968)*(IND_UF&lt;&gt;"")*IND_PER)),IND_PER,0))))</f>
        <v/>
      </c>
      <c r="AK1968" s="87" t="str">
        <f aca="false">IF(AH1968="","",IF(COUNTIF(TASA_DESDE,"&lt;="&amp;B1968)=0,INDEX(TASA_EMP,1),INDEX(TASA_EMP,COUNTIF(TASA_DESDE,"&lt;="&amp;B1968))))</f>
        <v/>
      </c>
    </row>
    <row r="1969" customFormat="false" ht="15" hidden="false" customHeight="false" outlineLevel="0" collapsed="false">
      <c r="B1969" s="78"/>
      <c r="C1969" s="64"/>
      <c r="D1969" s="72" t="str">
        <f aca="false">IF(C1969="","",IFERROR(INDEX(T_NOMBRE,MATCH(C1969,T_ID,0)),"⚠ ID no existe"))</f>
        <v/>
      </c>
      <c r="E1969" s="69"/>
      <c r="F1969" s="67"/>
      <c r="G1969" s="67"/>
      <c r="H1969" s="67"/>
      <c r="I1969" s="67"/>
      <c r="J1969" s="67"/>
      <c r="K1969" s="85" t="str">
        <f aca="false">IF(AH1969="","",N(F1969)+N(G1969)+N(H1969)-N(I1969)+N(J1969))</f>
        <v/>
      </c>
      <c r="L1969" s="67"/>
      <c r="M1969" s="67"/>
      <c r="N1969" s="67"/>
      <c r="O1969" s="67"/>
      <c r="P1969" s="85" t="str">
        <f aca="false">IF(AH1969="","",K1969+N(L1969)+N(M1969)+N(N1969)+N(O1969))</f>
        <v/>
      </c>
      <c r="Q1969" s="67"/>
      <c r="R1969" s="67"/>
      <c r="S1969" s="67"/>
      <c r="T1969" s="67"/>
      <c r="U1969" s="67"/>
      <c r="V1969" s="67"/>
      <c r="W1969" s="85" t="str">
        <f aca="false">IF(AH1969="","",N(Q1969)+N(R1969)+N(S1969)+N(T1969)+N(U1969)+N(V1969))</f>
        <v/>
      </c>
      <c r="X1969" s="85" t="str">
        <f aca="false">IF(AH1969="","",P1969-W1969)</f>
        <v/>
      </c>
      <c r="Y1969" s="67"/>
      <c r="Z1969" s="70" t="str">
        <f aca="false">IF(OR(AH1969="",Y1969=""),"",IF(ABS(X1969-Y1969)&lt;=1,"✓ Cuadra","⚠ Diferencia $"&amp;FIXED(X1969-Y1969,0)))</f>
        <v/>
      </c>
      <c r="AA1969" s="72" t="str">
        <f aca="false">IF(AH1969="","",IFERROR(INDEX(C_TIPO,MATCH(C1969&amp;"-P"&amp;MAX(1,COUNTIFS(C_ID,C1969,C_DEFINE,"Sí",C_INICIO,"&lt;="&amp;EOMONTH(B1969,0))),C_CLAVE,0))&amp;"","Sin dato"))</f>
        <v/>
      </c>
      <c r="AB1969" s="71" t="str">
        <f aca="false">IF(AH1969="","",ROUND(MIN(K1969,TOPE_AFP_UF*AJ1969)*AK1969,0))</f>
        <v/>
      </c>
      <c r="AC1969" s="71" t="str">
        <f aca="false">IF(AH1969="","",ROUND(MIN(K1969,TOPE_AFC_UF*AJ1969)*IF(AA1969="Indefinido",AFC_EMP_INDEF,AFC_EMP_PF),0))</f>
        <v/>
      </c>
      <c r="AD1969" s="71" t="str">
        <f aca="false">IF(AH1969="","",ROUND(MIN(K1969,TOPE_AFP_UF*AJ1969)*(MUTUAL_BASICA+MUTUAL_ADIC+SANNA),0))</f>
        <v/>
      </c>
      <c r="AE1969" s="71" t="str">
        <f aca="false">IF(AH1969="","",P1969-N(N1969)+AB1969+AC1969+AD1969)</f>
        <v/>
      </c>
      <c r="AF1969" s="65"/>
      <c r="AG1969" s="64"/>
      <c r="AH1969" s="72" t="str">
        <f aca="false">IF(OR(B1969="",C1969=""),"",C1969&amp;"|"&amp;(YEAR(B1969)*100+MONTH(B1969)))</f>
        <v/>
      </c>
      <c r="AI1969" s="70" t="str">
        <f aca="false">IF(AH1969="","",IF(COUNTIF(L_CLAVE,AH1969)&gt;1,"⚠ Duplicado","OK"))</f>
        <v/>
      </c>
      <c r="AJ1969" s="86" t="str">
        <f aca="false">IF(AH1969="","",IF(SUMPRODUCT(MAX((IND_PER&lt;=B1969)*(IND_UF&lt;&gt;"")*IND_PER))=0,UF_HOY,INDEX(IND_UF,MATCH(SUMPRODUCT(MAX((IND_PER&lt;=B1969)*(IND_UF&lt;&gt;"")*IND_PER)),IND_PER,0))))</f>
        <v/>
      </c>
      <c r="AK1969" s="87" t="str">
        <f aca="false">IF(AH1969="","",IF(COUNTIF(TASA_DESDE,"&lt;="&amp;B1969)=0,INDEX(TASA_EMP,1),INDEX(TASA_EMP,COUNTIF(TASA_DESDE,"&lt;="&amp;B1969))))</f>
        <v/>
      </c>
    </row>
    <row r="1970" customFormat="false" ht="15" hidden="false" customHeight="false" outlineLevel="0" collapsed="false">
      <c r="B1970" s="78"/>
      <c r="C1970" s="64"/>
      <c r="D1970" s="72" t="str">
        <f aca="false">IF(C1970="","",IFERROR(INDEX(T_NOMBRE,MATCH(C1970,T_ID,0)),"⚠ ID no existe"))</f>
        <v/>
      </c>
      <c r="E1970" s="69"/>
      <c r="F1970" s="67"/>
      <c r="G1970" s="67"/>
      <c r="H1970" s="67"/>
      <c r="I1970" s="67"/>
      <c r="J1970" s="67"/>
      <c r="K1970" s="85" t="str">
        <f aca="false">IF(AH1970="","",N(F1970)+N(G1970)+N(H1970)-N(I1970)+N(J1970))</f>
        <v/>
      </c>
      <c r="L1970" s="67"/>
      <c r="M1970" s="67"/>
      <c r="N1970" s="67"/>
      <c r="O1970" s="67"/>
      <c r="P1970" s="85" t="str">
        <f aca="false">IF(AH1970="","",K1970+N(L1970)+N(M1970)+N(N1970)+N(O1970))</f>
        <v/>
      </c>
      <c r="Q1970" s="67"/>
      <c r="R1970" s="67"/>
      <c r="S1970" s="67"/>
      <c r="T1970" s="67"/>
      <c r="U1970" s="67"/>
      <c r="V1970" s="67"/>
      <c r="W1970" s="85" t="str">
        <f aca="false">IF(AH1970="","",N(Q1970)+N(R1970)+N(S1970)+N(T1970)+N(U1970)+N(V1970))</f>
        <v/>
      </c>
      <c r="X1970" s="85" t="str">
        <f aca="false">IF(AH1970="","",P1970-W1970)</f>
        <v/>
      </c>
      <c r="Y1970" s="67"/>
      <c r="Z1970" s="70" t="str">
        <f aca="false">IF(OR(AH1970="",Y1970=""),"",IF(ABS(X1970-Y1970)&lt;=1,"✓ Cuadra","⚠ Diferencia $"&amp;FIXED(X1970-Y1970,0)))</f>
        <v/>
      </c>
      <c r="AA1970" s="72" t="str">
        <f aca="false">IF(AH1970="","",IFERROR(INDEX(C_TIPO,MATCH(C1970&amp;"-P"&amp;MAX(1,COUNTIFS(C_ID,C1970,C_DEFINE,"Sí",C_INICIO,"&lt;="&amp;EOMONTH(B1970,0))),C_CLAVE,0))&amp;"","Sin dato"))</f>
        <v/>
      </c>
      <c r="AB1970" s="71" t="str">
        <f aca="false">IF(AH1970="","",ROUND(MIN(K1970,TOPE_AFP_UF*AJ1970)*AK1970,0))</f>
        <v/>
      </c>
      <c r="AC1970" s="71" t="str">
        <f aca="false">IF(AH1970="","",ROUND(MIN(K1970,TOPE_AFC_UF*AJ1970)*IF(AA1970="Indefinido",AFC_EMP_INDEF,AFC_EMP_PF),0))</f>
        <v/>
      </c>
      <c r="AD1970" s="71" t="str">
        <f aca="false">IF(AH1970="","",ROUND(MIN(K1970,TOPE_AFP_UF*AJ1970)*(MUTUAL_BASICA+MUTUAL_ADIC+SANNA),0))</f>
        <v/>
      </c>
      <c r="AE1970" s="71" t="str">
        <f aca="false">IF(AH1970="","",P1970-N(N1970)+AB1970+AC1970+AD1970)</f>
        <v/>
      </c>
      <c r="AF1970" s="65"/>
      <c r="AG1970" s="64"/>
      <c r="AH1970" s="72" t="str">
        <f aca="false">IF(OR(B1970="",C1970=""),"",C1970&amp;"|"&amp;(YEAR(B1970)*100+MONTH(B1970)))</f>
        <v/>
      </c>
      <c r="AI1970" s="70" t="str">
        <f aca="false">IF(AH1970="","",IF(COUNTIF(L_CLAVE,AH1970)&gt;1,"⚠ Duplicado","OK"))</f>
        <v/>
      </c>
      <c r="AJ1970" s="86" t="str">
        <f aca="false">IF(AH1970="","",IF(SUMPRODUCT(MAX((IND_PER&lt;=B1970)*(IND_UF&lt;&gt;"")*IND_PER))=0,UF_HOY,INDEX(IND_UF,MATCH(SUMPRODUCT(MAX((IND_PER&lt;=B1970)*(IND_UF&lt;&gt;"")*IND_PER)),IND_PER,0))))</f>
        <v/>
      </c>
      <c r="AK1970" s="87" t="str">
        <f aca="false">IF(AH1970="","",IF(COUNTIF(TASA_DESDE,"&lt;="&amp;B1970)=0,INDEX(TASA_EMP,1),INDEX(TASA_EMP,COUNTIF(TASA_DESDE,"&lt;="&amp;B1970))))</f>
        <v/>
      </c>
    </row>
    <row r="1971" customFormat="false" ht="15" hidden="false" customHeight="false" outlineLevel="0" collapsed="false">
      <c r="B1971" s="78"/>
      <c r="C1971" s="64"/>
      <c r="D1971" s="72" t="str">
        <f aca="false">IF(C1971="","",IFERROR(INDEX(T_NOMBRE,MATCH(C1971,T_ID,0)),"⚠ ID no existe"))</f>
        <v/>
      </c>
      <c r="E1971" s="69"/>
      <c r="F1971" s="67"/>
      <c r="G1971" s="67"/>
      <c r="H1971" s="67"/>
      <c r="I1971" s="67"/>
      <c r="J1971" s="67"/>
      <c r="K1971" s="85" t="str">
        <f aca="false">IF(AH1971="","",N(F1971)+N(G1971)+N(H1971)-N(I1971)+N(J1971))</f>
        <v/>
      </c>
      <c r="L1971" s="67"/>
      <c r="M1971" s="67"/>
      <c r="N1971" s="67"/>
      <c r="O1971" s="67"/>
      <c r="P1971" s="85" t="str">
        <f aca="false">IF(AH1971="","",K1971+N(L1971)+N(M1971)+N(N1971)+N(O1971))</f>
        <v/>
      </c>
      <c r="Q1971" s="67"/>
      <c r="R1971" s="67"/>
      <c r="S1971" s="67"/>
      <c r="T1971" s="67"/>
      <c r="U1971" s="67"/>
      <c r="V1971" s="67"/>
      <c r="W1971" s="85" t="str">
        <f aca="false">IF(AH1971="","",N(Q1971)+N(R1971)+N(S1971)+N(T1971)+N(U1971)+N(V1971))</f>
        <v/>
      </c>
      <c r="X1971" s="85" t="str">
        <f aca="false">IF(AH1971="","",P1971-W1971)</f>
        <v/>
      </c>
      <c r="Y1971" s="67"/>
      <c r="Z1971" s="70" t="str">
        <f aca="false">IF(OR(AH1971="",Y1971=""),"",IF(ABS(X1971-Y1971)&lt;=1,"✓ Cuadra","⚠ Diferencia $"&amp;FIXED(X1971-Y1971,0)))</f>
        <v/>
      </c>
      <c r="AA1971" s="72" t="str">
        <f aca="false">IF(AH1971="","",IFERROR(INDEX(C_TIPO,MATCH(C1971&amp;"-P"&amp;MAX(1,COUNTIFS(C_ID,C1971,C_DEFINE,"Sí",C_INICIO,"&lt;="&amp;EOMONTH(B1971,0))),C_CLAVE,0))&amp;"","Sin dato"))</f>
        <v/>
      </c>
      <c r="AB1971" s="71" t="str">
        <f aca="false">IF(AH1971="","",ROUND(MIN(K1971,TOPE_AFP_UF*AJ1971)*AK1971,0))</f>
        <v/>
      </c>
      <c r="AC1971" s="71" t="str">
        <f aca="false">IF(AH1971="","",ROUND(MIN(K1971,TOPE_AFC_UF*AJ1971)*IF(AA1971="Indefinido",AFC_EMP_INDEF,AFC_EMP_PF),0))</f>
        <v/>
      </c>
      <c r="AD1971" s="71" t="str">
        <f aca="false">IF(AH1971="","",ROUND(MIN(K1971,TOPE_AFP_UF*AJ1971)*(MUTUAL_BASICA+MUTUAL_ADIC+SANNA),0))</f>
        <v/>
      </c>
      <c r="AE1971" s="71" t="str">
        <f aca="false">IF(AH1971="","",P1971-N(N1971)+AB1971+AC1971+AD1971)</f>
        <v/>
      </c>
      <c r="AF1971" s="65"/>
      <c r="AG1971" s="64"/>
      <c r="AH1971" s="72" t="str">
        <f aca="false">IF(OR(B1971="",C1971=""),"",C1971&amp;"|"&amp;(YEAR(B1971)*100+MONTH(B1971)))</f>
        <v/>
      </c>
      <c r="AI1971" s="70" t="str">
        <f aca="false">IF(AH1971="","",IF(COUNTIF(L_CLAVE,AH1971)&gt;1,"⚠ Duplicado","OK"))</f>
        <v/>
      </c>
      <c r="AJ1971" s="86" t="str">
        <f aca="false">IF(AH1971="","",IF(SUMPRODUCT(MAX((IND_PER&lt;=B1971)*(IND_UF&lt;&gt;"")*IND_PER))=0,UF_HOY,INDEX(IND_UF,MATCH(SUMPRODUCT(MAX((IND_PER&lt;=B1971)*(IND_UF&lt;&gt;"")*IND_PER)),IND_PER,0))))</f>
        <v/>
      </c>
      <c r="AK1971" s="87" t="str">
        <f aca="false">IF(AH1971="","",IF(COUNTIF(TASA_DESDE,"&lt;="&amp;B1971)=0,INDEX(TASA_EMP,1),INDEX(TASA_EMP,COUNTIF(TASA_DESDE,"&lt;="&amp;B1971))))</f>
        <v/>
      </c>
    </row>
    <row r="1972" customFormat="false" ht="15" hidden="false" customHeight="false" outlineLevel="0" collapsed="false">
      <c r="B1972" s="78"/>
      <c r="C1972" s="64"/>
      <c r="D1972" s="72" t="str">
        <f aca="false">IF(C1972="","",IFERROR(INDEX(T_NOMBRE,MATCH(C1972,T_ID,0)),"⚠ ID no existe"))</f>
        <v/>
      </c>
      <c r="E1972" s="69"/>
      <c r="F1972" s="67"/>
      <c r="G1972" s="67"/>
      <c r="H1972" s="67"/>
      <c r="I1972" s="67"/>
      <c r="J1972" s="67"/>
      <c r="K1972" s="85" t="str">
        <f aca="false">IF(AH1972="","",N(F1972)+N(G1972)+N(H1972)-N(I1972)+N(J1972))</f>
        <v/>
      </c>
      <c r="L1972" s="67"/>
      <c r="M1972" s="67"/>
      <c r="N1972" s="67"/>
      <c r="O1972" s="67"/>
      <c r="P1972" s="85" t="str">
        <f aca="false">IF(AH1972="","",K1972+N(L1972)+N(M1972)+N(N1972)+N(O1972))</f>
        <v/>
      </c>
      <c r="Q1972" s="67"/>
      <c r="R1972" s="67"/>
      <c r="S1972" s="67"/>
      <c r="T1972" s="67"/>
      <c r="U1972" s="67"/>
      <c r="V1972" s="67"/>
      <c r="W1972" s="85" t="str">
        <f aca="false">IF(AH1972="","",N(Q1972)+N(R1972)+N(S1972)+N(T1972)+N(U1972)+N(V1972))</f>
        <v/>
      </c>
      <c r="X1972" s="85" t="str">
        <f aca="false">IF(AH1972="","",P1972-W1972)</f>
        <v/>
      </c>
      <c r="Y1972" s="67"/>
      <c r="Z1972" s="70" t="str">
        <f aca="false">IF(OR(AH1972="",Y1972=""),"",IF(ABS(X1972-Y1972)&lt;=1,"✓ Cuadra","⚠ Diferencia $"&amp;FIXED(X1972-Y1972,0)))</f>
        <v/>
      </c>
      <c r="AA1972" s="72" t="str">
        <f aca="false">IF(AH1972="","",IFERROR(INDEX(C_TIPO,MATCH(C1972&amp;"-P"&amp;MAX(1,COUNTIFS(C_ID,C1972,C_DEFINE,"Sí",C_INICIO,"&lt;="&amp;EOMONTH(B1972,0))),C_CLAVE,0))&amp;"","Sin dato"))</f>
        <v/>
      </c>
      <c r="AB1972" s="71" t="str">
        <f aca="false">IF(AH1972="","",ROUND(MIN(K1972,TOPE_AFP_UF*AJ1972)*AK1972,0))</f>
        <v/>
      </c>
      <c r="AC1972" s="71" t="str">
        <f aca="false">IF(AH1972="","",ROUND(MIN(K1972,TOPE_AFC_UF*AJ1972)*IF(AA1972="Indefinido",AFC_EMP_INDEF,AFC_EMP_PF),0))</f>
        <v/>
      </c>
      <c r="AD1972" s="71" t="str">
        <f aca="false">IF(AH1972="","",ROUND(MIN(K1972,TOPE_AFP_UF*AJ1972)*(MUTUAL_BASICA+MUTUAL_ADIC+SANNA),0))</f>
        <v/>
      </c>
      <c r="AE1972" s="71" t="str">
        <f aca="false">IF(AH1972="","",P1972-N(N1972)+AB1972+AC1972+AD1972)</f>
        <v/>
      </c>
      <c r="AF1972" s="65"/>
      <c r="AG1972" s="64"/>
      <c r="AH1972" s="72" t="str">
        <f aca="false">IF(OR(B1972="",C1972=""),"",C1972&amp;"|"&amp;(YEAR(B1972)*100+MONTH(B1972)))</f>
        <v/>
      </c>
      <c r="AI1972" s="70" t="str">
        <f aca="false">IF(AH1972="","",IF(COUNTIF(L_CLAVE,AH1972)&gt;1,"⚠ Duplicado","OK"))</f>
        <v/>
      </c>
      <c r="AJ1972" s="86" t="str">
        <f aca="false">IF(AH1972="","",IF(SUMPRODUCT(MAX((IND_PER&lt;=B1972)*(IND_UF&lt;&gt;"")*IND_PER))=0,UF_HOY,INDEX(IND_UF,MATCH(SUMPRODUCT(MAX((IND_PER&lt;=B1972)*(IND_UF&lt;&gt;"")*IND_PER)),IND_PER,0))))</f>
        <v/>
      </c>
      <c r="AK1972" s="87" t="str">
        <f aca="false">IF(AH1972="","",IF(COUNTIF(TASA_DESDE,"&lt;="&amp;B1972)=0,INDEX(TASA_EMP,1),INDEX(TASA_EMP,COUNTIF(TASA_DESDE,"&lt;="&amp;B1972))))</f>
        <v/>
      </c>
    </row>
    <row r="1973" customFormat="false" ht="15" hidden="false" customHeight="false" outlineLevel="0" collapsed="false">
      <c r="B1973" s="78"/>
      <c r="C1973" s="64"/>
      <c r="D1973" s="72" t="str">
        <f aca="false">IF(C1973="","",IFERROR(INDEX(T_NOMBRE,MATCH(C1973,T_ID,0)),"⚠ ID no existe"))</f>
        <v/>
      </c>
      <c r="E1973" s="69"/>
      <c r="F1973" s="67"/>
      <c r="G1973" s="67"/>
      <c r="H1973" s="67"/>
      <c r="I1973" s="67"/>
      <c r="J1973" s="67"/>
      <c r="K1973" s="85" t="str">
        <f aca="false">IF(AH1973="","",N(F1973)+N(G1973)+N(H1973)-N(I1973)+N(J1973))</f>
        <v/>
      </c>
      <c r="L1973" s="67"/>
      <c r="M1973" s="67"/>
      <c r="N1973" s="67"/>
      <c r="O1973" s="67"/>
      <c r="P1973" s="85" t="str">
        <f aca="false">IF(AH1973="","",K1973+N(L1973)+N(M1973)+N(N1973)+N(O1973))</f>
        <v/>
      </c>
      <c r="Q1973" s="67"/>
      <c r="R1973" s="67"/>
      <c r="S1973" s="67"/>
      <c r="T1973" s="67"/>
      <c r="U1973" s="67"/>
      <c r="V1973" s="67"/>
      <c r="W1973" s="85" t="str">
        <f aca="false">IF(AH1973="","",N(Q1973)+N(R1973)+N(S1973)+N(T1973)+N(U1973)+N(V1973))</f>
        <v/>
      </c>
      <c r="X1973" s="85" t="str">
        <f aca="false">IF(AH1973="","",P1973-W1973)</f>
        <v/>
      </c>
      <c r="Y1973" s="67"/>
      <c r="Z1973" s="70" t="str">
        <f aca="false">IF(OR(AH1973="",Y1973=""),"",IF(ABS(X1973-Y1973)&lt;=1,"✓ Cuadra","⚠ Diferencia $"&amp;FIXED(X1973-Y1973,0)))</f>
        <v/>
      </c>
      <c r="AA1973" s="72" t="str">
        <f aca="false">IF(AH1973="","",IFERROR(INDEX(C_TIPO,MATCH(C1973&amp;"-P"&amp;MAX(1,COUNTIFS(C_ID,C1973,C_DEFINE,"Sí",C_INICIO,"&lt;="&amp;EOMONTH(B1973,0))),C_CLAVE,0))&amp;"","Sin dato"))</f>
        <v/>
      </c>
      <c r="AB1973" s="71" t="str">
        <f aca="false">IF(AH1973="","",ROUND(MIN(K1973,TOPE_AFP_UF*AJ1973)*AK1973,0))</f>
        <v/>
      </c>
      <c r="AC1973" s="71" t="str">
        <f aca="false">IF(AH1973="","",ROUND(MIN(K1973,TOPE_AFC_UF*AJ1973)*IF(AA1973="Indefinido",AFC_EMP_INDEF,AFC_EMP_PF),0))</f>
        <v/>
      </c>
      <c r="AD1973" s="71" t="str">
        <f aca="false">IF(AH1973="","",ROUND(MIN(K1973,TOPE_AFP_UF*AJ1973)*(MUTUAL_BASICA+MUTUAL_ADIC+SANNA),0))</f>
        <v/>
      </c>
      <c r="AE1973" s="71" t="str">
        <f aca="false">IF(AH1973="","",P1973-N(N1973)+AB1973+AC1973+AD1973)</f>
        <v/>
      </c>
      <c r="AF1973" s="65"/>
      <c r="AG1973" s="64"/>
      <c r="AH1973" s="72" t="str">
        <f aca="false">IF(OR(B1973="",C1973=""),"",C1973&amp;"|"&amp;(YEAR(B1973)*100+MONTH(B1973)))</f>
        <v/>
      </c>
      <c r="AI1973" s="70" t="str">
        <f aca="false">IF(AH1973="","",IF(COUNTIF(L_CLAVE,AH1973)&gt;1,"⚠ Duplicado","OK"))</f>
        <v/>
      </c>
      <c r="AJ1973" s="86" t="str">
        <f aca="false">IF(AH1973="","",IF(SUMPRODUCT(MAX((IND_PER&lt;=B1973)*(IND_UF&lt;&gt;"")*IND_PER))=0,UF_HOY,INDEX(IND_UF,MATCH(SUMPRODUCT(MAX((IND_PER&lt;=B1973)*(IND_UF&lt;&gt;"")*IND_PER)),IND_PER,0))))</f>
        <v/>
      </c>
      <c r="AK1973" s="87" t="str">
        <f aca="false">IF(AH1973="","",IF(COUNTIF(TASA_DESDE,"&lt;="&amp;B1973)=0,INDEX(TASA_EMP,1),INDEX(TASA_EMP,COUNTIF(TASA_DESDE,"&lt;="&amp;B1973))))</f>
        <v/>
      </c>
    </row>
    <row r="1974" customFormat="false" ht="15" hidden="false" customHeight="false" outlineLevel="0" collapsed="false">
      <c r="B1974" s="78"/>
      <c r="C1974" s="64"/>
      <c r="D1974" s="72" t="str">
        <f aca="false">IF(C1974="","",IFERROR(INDEX(T_NOMBRE,MATCH(C1974,T_ID,0)),"⚠ ID no existe"))</f>
        <v/>
      </c>
      <c r="E1974" s="69"/>
      <c r="F1974" s="67"/>
      <c r="G1974" s="67"/>
      <c r="H1974" s="67"/>
      <c r="I1974" s="67"/>
      <c r="J1974" s="67"/>
      <c r="K1974" s="85" t="str">
        <f aca="false">IF(AH1974="","",N(F1974)+N(G1974)+N(H1974)-N(I1974)+N(J1974))</f>
        <v/>
      </c>
      <c r="L1974" s="67"/>
      <c r="M1974" s="67"/>
      <c r="N1974" s="67"/>
      <c r="O1974" s="67"/>
      <c r="P1974" s="85" t="str">
        <f aca="false">IF(AH1974="","",K1974+N(L1974)+N(M1974)+N(N1974)+N(O1974))</f>
        <v/>
      </c>
      <c r="Q1974" s="67"/>
      <c r="R1974" s="67"/>
      <c r="S1974" s="67"/>
      <c r="T1974" s="67"/>
      <c r="U1974" s="67"/>
      <c r="V1974" s="67"/>
      <c r="W1974" s="85" t="str">
        <f aca="false">IF(AH1974="","",N(Q1974)+N(R1974)+N(S1974)+N(T1974)+N(U1974)+N(V1974))</f>
        <v/>
      </c>
      <c r="X1974" s="85" t="str">
        <f aca="false">IF(AH1974="","",P1974-W1974)</f>
        <v/>
      </c>
      <c r="Y1974" s="67"/>
      <c r="Z1974" s="70" t="str">
        <f aca="false">IF(OR(AH1974="",Y1974=""),"",IF(ABS(X1974-Y1974)&lt;=1,"✓ Cuadra","⚠ Diferencia $"&amp;FIXED(X1974-Y1974,0)))</f>
        <v/>
      </c>
      <c r="AA1974" s="72" t="str">
        <f aca="false">IF(AH1974="","",IFERROR(INDEX(C_TIPO,MATCH(C1974&amp;"-P"&amp;MAX(1,COUNTIFS(C_ID,C1974,C_DEFINE,"Sí",C_INICIO,"&lt;="&amp;EOMONTH(B1974,0))),C_CLAVE,0))&amp;"","Sin dato"))</f>
        <v/>
      </c>
      <c r="AB1974" s="71" t="str">
        <f aca="false">IF(AH1974="","",ROUND(MIN(K1974,TOPE_AFP_UF*AJ1974)*AK1974,0))</f>
        <v/>
      </c>
      <c r="AC1974" s="71" t="str">
        <f aca="false">IF(AH1974="","",ROUND(MIN(K1974,TOPE_AFC_UF*AJ1974)*IF(AA1974="Indefinido",AFC_EMP_INDEF,AFC_EMP_PF),0))</f>
        <v/>
      </c>
      <c r="AD1974" s="71" t="str">
        <f aca="false">IF(AH1974="","",ROUND(MIN(K1974,TOPE_AFP_UF*AJ1974)*(MUTUAL_BASICA+MUTUAL_ADIC+SANNA),0))</f>
        <v/>
      </c>
      <c r="AE1974" s="71" t="str">
        <f aca="false">IF(AH1974="","",P1974-N(N1974)+AB1974+AC1974+AD1974)</f>
        <v/>
      </c>
      <c r="AF1974" s="65"/>
      <c r="AG1974" s="64"/>
      <c r="AH1974" s="72" t="str">
        <f aca="false">IF(OR(B1974="",C1974=""),"",C1974&amp;"|"&amp;(YEAR(B1974)*100+MONTH(B1974)))</f>
        <v/>
      </c>
      <c r="AI1974" s="70" t="str">
        <f aca="false">IF(AH1974="","",IF(COUNTIF(L_CLAVE,AH1974)&gt;1,"⚠ Duplicado","OK"))</f>
        <v/>
      </c>
      <c r="AJ1974" s="86" t="str">
        <f aca="false">IF(AH1974="","",IF(SUMPRODUCT(MAX((IND_PER&lt;=B1974)*(IND_UF&lt;&gt;"")*IND_PER))=0,UF_HOY,INDEX(IND_UF,MATCH(SUMPRODUCT(MAX((IND_PER&lt;=B1974)*(IND_UF&lt;&gt;"")*IND_PER)),IND_PER,0))))</f>
        <v/>
      </c>
      <c r="AK1974" s="87" t="str">
        <f aca="false">IF(AH1974="","",IF(COUNTIF(TASA_DESDE,"&lt;="&amp;B1974)=0,INDEX(TASA_EMP,1),INDEX(TASA_EMP,COUNTIF(TASA_DESDE,"&lt;="&amp;B1974))))</f>
        <v/>
      </c>
    </row>
    <row r="1975" customFormat="false" ht="15" hidden="false" customHeight="false" outlineLevel="0" collapsed="false">
      <c r="B1975" s="78"/>
      <c r="C1975" s="64"/>
      <c r="D1975" s="72" t="str">
        <f aca="false">IF(C1975="","",IFERROR(INDEX(T_NOMBRE,MATCH(C1975,T_ID,0)),"⚠ ID no existe"))</f>
        <v/>
      </c>
      <c r="E1975" s="69"/>
      <c r="F1975" s="67"/>
      <c r="G1975" s="67"/>
      <c r="H1975" s="67"/>
      <c r="I1975" s="67"/>
      <c r="J1975" s="67"/>
      <c r="K1975" s="85" t="str">
        <f aca="false">IF(AH1975="","",N(F1975)+N(G1975)+N(H1975)-N(I1975)+N(J1975))</f>
        <v/>
      </c>
      <c r="L1975" s="67"/>
      <c r="M1975" s="67"/>
      <c r="N1975" s="67"/>
      <c r="O1975" s="67"/>
      <c r="P1975" s="85" t="str">
        <f aca="false">IF(AH1975="","",K1975+N(L1975)+N(M1975)+N(N1975)+N(O1975))</f>
        <v/>
      </c>
      <c r="Q1975" s="67"/>
      <c r="R1975" s="67"/>
      <c r="S1975" s="67"/>
      <c r="T1975" s="67"/>
      <c r="U1975" s="67"/>
      <c r="V1975" s="67"/>
      <c r="W1975" s="85" t="str">
        <f aca="false">IF(AH1975="","",N(Q1975)+N(R1975)+N(S1975)+N(T1975)+N(U1975)+N(V1975))</f>
        <v/>
      </c>
      <c r="X1975" s="85" t="str">
        <f aca="false">IF(AH1975="","",P1975-W1975)</f>
        <v/>
      </c>
      <c r="Y1975" s="67"/>
      <c r="Z1975" s="70" t="str">
        <f aca="false">IF(OR(AH1975="",Y1975=""),"",IF(ABS(X1975-Y1975)&lt;=1,"✓ Cuadra","⚠ Diferencia $"&amp;FIXED(X1975-Y1975,0)))</f>
        <v/>
      </c>
      <c r="AA1975" s="72" t="str">
        <f aca="false">IF(AH1975="","",IFERROR(INDEX(C_TIPO,MATCH(C1975&amp;"-P"&amp;MAX(1,COUNTIFS(C_ID,C1975,C_DEFINE,"Sí",C_INICIO,"&lt;="&amp;EOMONTH(B1975,0))),C_CLAVE,0))&amp;"","Sin dato"))</f>
        <v/>
      </c>
      <c r="AB1975" s="71" t="str">
        <f aca="false">IF(AH1975="","",ROUND(MIN(K1975,TOPE_AFP_UF*AJ1975)*AK1975,0))</f>
        <v/>
      </c>
      <c r="AC1975" s="71" t="str">
        <f aca="false">IF(AH1975="","",ROUND(MIN(K1975,TOPE_AFC_UF*AJ1975)*IF(AA1975="Indefinido",AFC_EMP_INDEF,AFC_EMP_PF),0))</f>
        <v/>
      </c>
      <c r="AD1975" s="71" t="str">
        <f aca="false">IF(AH1975="","",ROUND(MIN(K1975,TOPE_AFP_UF*AJ1975)*(MUTUAL_BASICA+MUTUAL_ADIC+SANNA),0))</f>
        <v/>
      </c>
      <c r="AE1975" s="71" t="str">
        <f aca="false">IF(AH1975="","",P1975-N(N1975)+AB1975+AC1975+AD1975)</f>
        <v/>
      </c>
      <c r="AF1975" s="65"/>
      <c r="AG1975" s="64"/>
      <c r="AH1975" s="72" t="str">
        <f aca="false">IF(OR(B1975="",C1975=""),"",C1975&amp;"|"&amp;(YEAR(B1975)*100+MONTH(B1975)))</f>
        <v/>
      </c>
      <c r="AI1975" s="70" t="str">
        <f aca="false">IF(AH1975="","",IF(COUNTIF(L_CLAVE,AH1975)&gt;1,"⚠ Duplicado","OK"))</f>
        <v/>
      </c>
      <c r="AJ1975" s="86" t="str">
        <f aca="false">IF(AH1975="","",IF(SUMPRODUCT(MAX((IND_PER&lt;=B1975)*(IND_UF&lt;&gt;"")*IND_PER))=0,UF_HOY,INDEX(IND_UF,MATCH(SUMPRODUCT(MAX((IND_PER&lt;=B1975)*(IND_UF&lt;&gt;"")*IND_PER)),IND_PER,0))))</f>
        <v/>
      </c>
      <c r="AK1975" s="87" t="str">
        <f aca="false">IF(AH1975="","",IF(COUNTIF(TASA_DESDE,"&lt;="&amp;B1975)=0,INDEX(TASA_EMP,1),INDEX(TASA_EMP,COUNTIF(TASA_DESDE,"&lt;="&amp;B1975))))</f>
        <v/>
      </c>
    </row>
    <row r="1976" customFormat="false" ht="15" hidden="false" customHeight="false" outlineLevel="0" collapsed="false">
      <c r="B1976" s="78"/>
      <c r="C1976" s="64"/>
      <c r="D1976" s="72" t="str">
        <f aca="false">IF(C1976="","",IFERROR(INDEX(T_NOMBRE,MATCH(C1976,T_ID,0)),"⚠ ID no existe"))</f>
        <v/>
      </c>
      <c r="E1976" s="69"/>
      <c r="F1976" s="67"/>
      <c r="G1976" s="67"/>
      <c r="H1976" s="67"/>
      <c r="I1976" s="67"/>
      <c r="J1976" s="67"/>
      <c r="K1976" s="85" t="str">
        <f aca="false">IF(AH1976="","",N(F1976)+N(G1976)+N(H1976)-N(I1976)+N(J1976))</f>
        <v/>
      </c>
      <c r="L1976" s="67"/>
      <c r="M1976" s="67"/>
      <c r="N1976" s="67"/>
      <c r="O1976" s="67"/>
      <c r="P1976" s="85" t="str">
        <f aca="false">IF(AH1976="","",K1976+N(L1976)+N(M1976)+N(N1976)+N(O1976))</f>
        <v/>
      </c>
      <c r="Q1976" s="67"/>
      <c r="R1976" s="67"/>
      <c r="S1976" s="67"/>
      <c r="T1976" s="67"/>
      <c r="U1976" s="67"/>
      <c r="V1976" s="67"/>
      <c r="W1976" s="85" t="str">
        <f aca="false">IF(AH1976="","",N(Q1976)+N(R1976)+N(S1976)+N(T1976)+N(U1976)+N(V1976))</f>
        <v/>
      </c>
      <c r="X1976" s="85" t="str">
        <f aca="false">IF(AH1976="","",P1976-W1976)</f>
        <v/>
      </c>
      <c r="Y1976" s="67"/>
      <c r="Z1976" s="70" t="str">
        <f aca="false">IF(OR(AH1976="",Y1976=""),"",IF(ABS(X1976-Y1976)&lt;=1,"✓ Cuadra","⚠ Diferencia $"&amp;FIXED(X1976-Y1976,0)))</f>
        <v/>
      </c>
      <c r="AA1976" s="72" t="str">
        <f aca="false">IF(AH1976="","",IFERROR(INDEX(C_TIPO,MATCH(C1976&amp;"-P"&amp;MAX(1,COUNTIFS(C_ID,C1976,C_DEFINE,"Sí",C_INICIO,"&lt;="&amp;EOMONTH(B1976,0))),C_CLAVE,0))&amp;"","Sin dato"))</f>
        <v/>
      </c>
      <c r="AB1976" s="71" t="str">
        <f aca="false">IF(AH1976="","",ROUND(MIN(K1976,TOPE_AFP_UF*AJ1976)*AK1976,0))</f>
        <v/>
      </c>
      <c r="AC1976" s="71" t="str">
        <f aca="false">IF(AH1976="","",ROUND(MIN(K1976,TOPE_AFC_UF*AJ1976)*IF(AA1976="Indefinido",AFC_EMP_INDEF,AFC_EMP_PF),0))</f>
        <v/>
      </c>
      <c r="AD1976" s="71" t="str">
        <f aca="false">IF(AH1976="","",ROUND(MIN(K1976,TOPE_AFP_UF*AJ1976)*(MUTUAL_BASICA+MUTUAL_ADIC+SANNA),0))</f>
        <v/>
      </c>
      <c r="AE1976" s="71" t="str">
        <f aca="false">IF(AH1976="","",P1976-N(N1976)+AB1976+AC1976+AD1976)</f>
        <v/>
      </c>
      <c r="AF1976" s="65"/>
      <c r="AG1976" s="64"/>
      <c r="AH1976" s="72" t="str">
        <f aca="false">IF(OR(B1976="",C1976=""),"",C1976&amp;"|"&amp;(YEAR(B1976)*100+MONTH(B1976)))</f>
        <v/>
      </c>
      <c r="AI1976" s="70" t="str">
        <f aca="false">IF(AH1976="","",IF(COUNTIF(L_CLAVE,AH1976)&gt;1,"⚠ Duplicado","OK"))</f>
        <v/>
      </c>
      <c r="AJ1976" s="86" t="str">
        <f aca="false">IF(AH1976="","",IF(SUMPRODUCT(MAX((IND_PER&lt;=B1976)*(IND_UF&lt;&gt;"")*IND_PER))=0,UF_HOY,INDEX(IND_UF,MATCH(SUMPRODUCT(MAX((IND_PER&lt;=B1976)*(IND_UF&lt;&gt;"")*IND_PER)),IND_PER,0))))</f>
        <v/>
      </c>
      <c r="AK1976" s="87" t="str">
        <f aca="false">IF(AH1976="","",IF(COUNTIF(TASA_DESDE,"&lt;="&amp;B1976)=0,INDEX(TASA_EMP,1),INDEX(TASA_EMP,COUNTIF(TASA_DESDE,"&lt;="&amp;B1976))))</f>
        <v/>
      </c>
    </row>
    <row r="1977" customFormat="false" ht="15" hidden="false" customHeight="false" outlineLevel="0" collapsed="false">
      <c r="B1977" s="78"/>
      <c r="C1977" s="64"/>
      <c r="D1977" s="72" t="str">
        <f aca="false">IF(C1977="","",IFERROR(INDEX(T_NOMBRE,MATCH(C1977,T_ID,0)),"⚠ ID no existe"))</f>
        <v/>
      </c>
      <c r="E1977" s="69"/>
      <c r="F1977" s="67"/>
      <c r="G1977" s="67"/>
      <c r="H1977" s="67"/>
      <c r="I1977" s="67"/>
      <c r="J1977" s="67"/>
      <c r="K1977" s="85" t="str">
        <f aca="false">IF(AH1977="","",N(F1977)+N(G1977)+N(H1977)-N(I1977)+N(J1977))</f>
        <v/>
      </c>
      <c r="L1977" s="67"/>
      <c r="M1977" s="67"/>
      <c r="N1977" s="67"/>
      <c r="O1977" s="67"/>
      <c r="P1977" s="85" t="str">
        <f aca="false">IF(AH1977="","",K1977+N(L1977)+N(M1977)+N(N1977)+N(O1977))</f>
        <v/>
      </c>
      <c r="Q1977" s="67"/>
      <c r="R1977" s="67"/>
      <c r="S1977" s="67"/>
      <c r="T1977" s="67"/>
      <c r="U1977" s="67"/>
      <c r="V1977" s="67"/>
      <c r="W1977" s="85" t="str">
        <f aca="false">IF(AH1977="","",N(Q1977)+N(R1977)+N(S1977)+N(T1977)+N(U1977)+N(V1977))</f>
        <v/>
      </c>
      <c r="X1977" s="85" t="str">
        <f aca="false">IF(AH1977="","",P1977-W1977)</f>
        <v/>
      </c>
      <c r="Y1977" s="67"/>
      <c r="Z1977" s="70" t="str">
        <f aca="false">IF(OR(AH1977="",Y1977=""),"",IF(ABS(X1977-Y1977)&lt;=1,"✓ Cuadra","⚠ Diferencia $"&amp;FIXED(X1977-Y1977,0)))</f>
        <v/>
      </c>
      <c r="AA1977" s="72" t="str">
        <f aca="false">IF(AH1977="","",IFERROR(INDEX(C_TIPO,MATCH(C1977&amp;"-P"&amp;MAX(1,COUNTIFS(C_ID,C1977,C_DEFINE,"Sí",C_INICIO,"&lt;="&amp;EOMONTH(B1977,0))),C_CLAVE,0))&amp;"","Sin dato"))</f>
        <v/>
      </c>
      <c r="AB1977" s="71" t="str">
        <f aca="false">IF(AH1977="","",ROUND(MIN(K1977,TOPE_AFP_UF*AJ1977)*AK1977,0))</f>
        <v/>
      </c>
      <c r="AC1977" s="71" t="str">
        <f aca="false">IF(AH1977="","",ROUND(MIN(K1977,TOPE_AFC_UF*AJ1977)*IF(AA1977="Indefinido",AFC_EMP_INDEF,AFC_EMP_PF),0))</f>
        <v/>
      </c>
      <c r="AD1977" s="71" t="str">
        <f aca="false">IF(AH1977="","",ROUND(MIN(K1977,TOPE_AFP_UF*AJ1977)*(MUTUAL_BASICA+MUTUAL_ADIC+SANNA),0))</f>
        <v/>
      </c>
      <c r="AE1977" s="71" t="str">
        <f aca="false">IF(AH1977="","",P1977-N(N1977)+AB1977+AC1977+AD1977)</f>
        <v/>
      </c>
      <c r="AF1977" s="65"/>
      <c r="AG1977" s="64"/>
      <c r="AH1977" s="72" t="str">
        <f aca="false">IF(OR(B1977="",C1977=""),"",C1977&amp;"|"&amp;(YEAR(B1977)*100+MONTH(B1977)))</f>
        <v/>
      </c>
      <c r="AI1977" s="70" t="str">
        <f aca="false">IF(AH1977="","",IF(COUNTIF(L_CLAVE,AH1977)&gt;1,"⚠ Duplicado","OK"))</f>
        <v/>
      </c>
      <c r="AJ1977" s="86" t="str">
        <f aca="false">IF(AH1977="","",IF(SUMPRODUCT(MAX((IND_PER&lt;=B1977)*(IND_UF&lt;&gt;"")*IND_PER))=0,UF_HOY,INDEX(IND_UF,MATCH(SUMPRODUCT(MAX((IND_PER&lt;=B1977)*(IND_UF&lt;&gt;"")*IND_PER)),IND_PER,0))))</f>
        <v/>
      </c>
      <c r="AK1977" s="87" t="str">
        <f aca="false">IF(AH1977="","",IF(COUNTIF(TASA_DESDE,"&lt;="&amp;B1977)=0,INDEX(TASA_EMP,1),INDEX(TASA_EMP,COUNTIF(TASA_DESDE,"&lt;="&amp;B1977))))</f>
        <v/>
      </c>
    </row>
    <row r="1978" customFormat="false" ht="15" hidden="false" customHeight="false" outlineLevel="0" collapsed="false">
      <c r="B1978" s="78"/>
      <c r="C1978" s="64"/>
      <c r="D1978" s="72" t="str">
        <f aca="false">IF(C1978="","",IFERROR(INDEX(T_NOMBRE,MATCH(C1978,T_ID,0)),"⚠ ID no existe"))</f>
        <v/>
      </c>
      <c r="E1978" s="69"/>
      <c r="F1978" s="67"/>
      <c r="G1978" s="67"/>
      <c r="H1978" s="67"/>
      <c r="I1978" s="67"/>
      <c r="J1978" s="67"/>
      <c r="K1978" s="85" t="str">
        <f aca="false">IF(AH1978="","",N(F1978)+N(G1978)+N(H1978)-N(I1978)+N(J1978))</f>
        <v/>
      </c>
      <c r="L1978" s="67"/>
      <c r="M1978" s="67"/>
      <c r="N1978" s="67"/>
      <c r="O1978" s="67"/>
      <c r="P1978" s="85" t="str">
        <f aca="false">IF(AH1978="","",K1978+N(L1978)+N(M1978)+N(N1978)+N(O1978))</f>
        <v/>
      </c>
      <c r="Q1978" s="67"/>
      <c r="R1978" s="67"/>
      <c r="S1978" s="67"/>
      <c r="T1978" s="67"/>
      <c r="U1978" s="67"/>
      <c r="V1978" s="67"/>
      <c r="W1978" s="85" t="str">
        <f aca="false">IF(AH1978="","",N(Q1978)+N(R1978)+N(S1978)+N(T1978)+N(U1978)+N(V1978))</f>
        <v/>
      </c>
      <c r="X1978" s="85" t="str">
        <f aca="false">IF(AH1978="","",P1978-W1978)</f>
        <v/>
      </c>
      <c r="Y1978" s="67"/>
      <c r="Z1978" s="70" t="str">
        <f aca="false">IF(OR(AH1978="",Y1978=""),"",IF(ABS(X1978-Y1978)&lt;=1,"✓ Cuadra","⚠ Diferencia $"&amp;FIXED(X1978-Y1978,0)))</f>
        <v/>
      </c>
      <c r="AA1978" s="72" t="str">
        <f aca="false">IF(AH1978="","",IFERROR(INDEX(C_TIPO,MATCH(C1978&amp;"-P"&amp;MAX(1,COUNTIFS(C_ID,C1978,C_DEFINE,"Sí",C_INICIO,"&lt;="&amp;EOMONTH(B1978,0))),C_CLAVE,0))&amp;"","Sin dato"))</f>
        <v/>
      </c>
      <c r="AB1978" s="71" t="str">
        <f aca="false">IF(AH1978="","",ROUND(MIN(K1978,TOPE_AFP_UF*AJ1978)*AK1978,0))</f>
        <v/>
      </c>
      <c r="AC1978" s="71" t="str">
        <f aca="false">IF(AH1978="","",ROUND(MIN(K1978,TOPE_AFC_UF*AJ1978)*IF(AA1978="Indefinido",AFC_EMP_INDEF,AFC_EMP_PF),0))</f>
        <v/>
      </c>
      <c r="AD1978" s="71" t="str">
        <f aca="false">IF(AH1978="","",ROUND(MIN(K1978,TOPE_AFP_UF*AJ1978)*(MUTUAL_BASICA+MUTUAL_ADIC+SANNA),0))</f>
        <v/>
      </c>
      <c r="AE1978" s="71" t="str">
        <f aca="false">IF(AH1978="","",P1978-N(N1978)+AB1978+AC1978+AD1978)</f>
        <v/>
      </c>
      <c r="AF1978" s="65"/>
      <c r="AG1978" s="64"/>
      <c r="AH1978" s="72" t="str">
        <f aca="false">IF(OR(B1978="",C1978=""),"",C1978&amp;"|"&amp;(YEAR(B1978)*100+MONTH(B1978)))</f>
        <v/>
      </c>
      <c r="AI1978" s="70" t="str">
        <f aca="false">IF(AH1978="","",IF(COUNTIF(L_CLAVE,AH1978)&gt;1,"⚠ Duplicado","OK"))</f>
        <v/>
      </c>
      <c r="AJ1978" s="86" t="str">
        <f aca="false">IF(AH1978="","",IF(SUMPRODUCT(MAX((IND_PER&lt;=B1978)*(IND_UF&lt;&gt;"")*IND_PER))=0,UF_HOY,INDEX(IND_UF,MATCH(SUMPRODUCT(MAX((IND_PER&lt;=B1978)*(IND_UF&lt;&gt;"")*IND_PER)),IND_PER,0))))</f>
        <v/>
      </c>
      <c r="AK1978" s="87" t="str">
        <f aca="false">IF(AH1978="","",IF(COUNTIF(TASA_DESDE,"&lt;="&amp;B1978)=0,INDEX(TASA_EMP,1),INDEX(TASA_EMP,COUNTIF(TASA_DESDE,"&lt;="&amp;B1978))))</f>
        <v/>
      </c>
    </row>
    <row r="1979" customFormat="false" ht="15" hidden="false" customHeight="false" outlineLevel="0" collapsed="false">
      <c r="B1979" s="78"/>
      <c r="C1979" s="64"/>
      <c r="D1979" s="72" t="str">
        <f aca="false">IF(C1979="","",IFERROR(INDEX(T_NOMBRE,MATCH(C1979,T_ID,0)),"⚠ ID no existe"))</f>
        <v/>
      </c>
      <c r="E1979" s="69"/>
      <c r="F1979" s="67"/>
      <c r="G1979" s="67"/>
      <c r="H1979" s="67"/>
      <c r="I1979" s="67"/>
      <c r="J1979" s="67"/>
      <c r="K1979" s="85" t="str">
        <f aca="false">IF(AH1979="","",N(F1979)+N(G1979)+N(H1979)-N(I1979)+N(J1979))</f>
        <v/>
      </c>
      <c r="L1979" s="67"/>
      <c r="M1979" s="67"/>
      <c r="N1979" s="67"/>
      <c r="O1979" s="67"/>
      <c r="P1979" s="85" t="str">
        <f aca="false">IF(AH1979="","",K1979+N(L1979)+N(M1979)+N(N1979)+N(O1979))</f>
        <v/>
      </c>
      <c r="Q1979" s="67"/>
      <c r="R1979" s="67"/>
      <c r="S1979" s="67"/>
      <c r="T1979" s="67"/>
      <c r="U1979" s="67"/>
      <c r="V1979" s="67"/>
      <c r="W1979" s="85" t="str">
        <f aca="false">IF(AH1979="","",N(Q1979)+N(R1979)+N(S1979)+N(T1979)+N(U1979)+N(V1979))</f>
        <v/>
      </c>
      <c r="X1979" s="85" t="str">
        <f aca="false">IF(AH1979="","",P1979-W1979)</f>
        <v/>
      </c>
      <c r="Y1979" s="67"/>
      <c r="Z1979" s="70" t="str">
        <f aca="false">IF(OR(AH1979="",Y1979=""),"",IF(ABS(X1979-Y1979)&lt;=1,"✓ Cuadra","⚠ Diferencia $"&amp;FIXED(X1979-Y1979,0)))</f>
        <v/>
      </c>
      <c r="AA1979" s="72" t="str">
        <f aca="false">IF(AH1979="","",IFERROR(INDEX(C_TIPO,MATCH(C1979&amp;"-P"&amp;MAX(1,COUNTIFS(C_ID,C1979,C_DEFINE,"Sí",C_INICIO,"&lt;="&amp;EOMONTH(B1979,0))),C_CLAVE,0))&amp;"","Sin dato"))</f>
        <v/>
      </c>
      <c r="AB1979" s="71" t="str">
        <f aca="false">IF(AH1979="","",ROUND(MIN(K1979,TOPE_AFP_UF*AJ1979)*AK1979,0))</f>
        <v/>
      </c>
      <c r="AC1979" s="71" t="str">
        <f aca="false">IF(AH1979="","",ROUND(MIN(K1979,TOPE_AFC_UF*AJ1979)*IF(AA1979="Indefinido",AFC_EMP_INDEF,AFC_EMP_PF),0))</f>
        <v/>
      </c>
      <c r="AD1979" s="71" t="str">
        <f aca="false">IF(AH1979="","",ROUND(MIN(K1979,TOPE_AFP_UF*AJ1979)*(MUTUAL_BASICA+MUTUAL_ADIC+SANNA),0))</f>
        <v/>
      </c>
      <c r="AE1979" s="71" t="str">
        <f aca="false">IF(AH1979="","",P1979-N(N1979)+AB1979+AC1979+AD1979)</f>
        <v/>
      </c>
      <c r="AF1979" s="65"/>
      <c r="AG1979" s="64"/>
      <c r="AH1979" s="72" t="str">
        <f aca="false">IF(OR(B1979="",C1979=""),"",C1979&amp;"|"&amp;(YEAR(B1979)*100+MONTH(B1979)))</f>
        <v/>
      </c>
      <c r="AI1979" s="70" t="str">
        <f aca="false">IF(AH1979="","",IF(COUNTIF(L_CLAVE,AH1979)&gt;1,"⚠ Duplicado","OK"))</f>
        <v/>
      </c>
      <c r="AJ1979" s="86" t="str">
        <f aca="false">IF(AH1979="","",IF(SUMPRODUCT(MAX((IND_PER&lt;=B1979)*(IND_UF&lt;&gt;"")*IND_PER))=0,UF_HOY,INDEX(IND_UF,MATCH(SUMPRODUCT(MAX((IND_PER&lt;=B1979)*(IND_UF&lt;&gt;"")*IND_PER)),IND_PER,0))))</f>
        <v/>
      </c>
      <c r="AK1979" s="87" t="str">
        <f aca="false">IF(AH1979="","",IF(COUNTIF(TASA_DESDE,"&lt;="&amp;B1979)=0,INDEX(TASA_EMP,1),INDEX(TASA_EMP,COUNTIF(TASA_DESDE,"&lt;="&amp;B1979))))</f>
        <v/>
      </c>
    </row>
    <row r="1980" customFormat="false" ht="15" hidden="false" customHeight="false" outlineLevel="0" collapsed="false">
      <c r="B1980" s="78"/>
      <c r="C1980" s="64"/>
      <c r="D1980" s="72" t="str">
        <f aca="false">IF(C1980="","",IFERROR(INDEX(T_NOMBRE,MATCH(C1980,T_ID,0)),"⚠ ID no existe"))</f>
        <v/>
      </c>
      <c r="E1980" s="69"/>
      <c r="F1980" s="67"/>
      <c r="G1980" s="67"/>
      <c r="H1980" s="67"/>
      <c r="I1980" s="67"/>
      <c r="J1980" s="67"/>
      <c r="K1980" s="85" t="str">
        <f aca="false">IF(AH1980="","",N(F1980)+N(G1980)+N(H1980)-N(I1980)+N(J1980))</f>
        <v/>
      </c>
      <c r="L1980" s="67"/>
      <c r="M1980" s="67"/>
      <c r="N1980" s="67"/>
      <c r="O1980" s="67"/>
      <c r="P1980" s="85" t="str">
        <f aca="false">IF(AH1980="","",K1980+N(L1980)+N(M1980)+N(N1980)+N(O1980))</f>
        <v/>
      </c>
      <c r="Q1980" s="67"/>
      <c r="R1980" s="67"/>
      <c r="S1980" s="67"/>
      <c r="T1980" s="67"/>
      <c r="U1980" s="67"/>
      <c r="V1980" s="67"/>
      <c r="W1980" s="85" t="str">
        <f aca="false">IF(AH1980="","",N(Q1980)+N(R1980)+N(S1980)+N(T1980)+N(U1980)+N(V1980))</f>
        <v/>
      </c>
      <c r="X1980" s="85" t="str">
        <f aca="false">IF(AH1980="","",P1980-W1980)</f>
        <v/>
      </c>
      <c r="Y1980" s="67"/>
      <c r="Z1980" s="70" t="str">
        <f aca="false">IF(OR(AH1980="",Y1980=""),"",IF(ABS(X1980-Y1980)&lt;=1,"✓ Cuadra","⚠ Diferencia $"&amp;FIXED(X1980-Y1980,0)))</f>
        <v/>
      </c>
      <c r="AA1980" s="72" t="str">
        <f aca="false">IF(AH1980="","",IFERROR(INDEX(C_TIPO,MATCH(C1980&amp;"-P"&amp;MAX(1,COUNTIFS(C_ID,C1980,C_DEFINE,"Sí",C_INICIO,"&lt;="&amp;EOMONTH(B1980,0))),C_CLAVE,0))&amp;"","Sin dato"))</f>
        <v/>
      </c>
      <c r="AB1980" s="71" t="str">
        <f aca="false">IF(AH1980="","",ROUND(MIN(K1980,TOPE_AFP_UF*AJ1980)*AK1980,0))</f>
        <v/>
      </c>
      <c r="AC1980" s="71" t="str">
        <f aca="false">IF(AH1980="","",ROUND(MIN(K1980,TOPE_AFC_UF*AJ1980)*IF(AA1980="Indefinido",AFC_EMP_INDEF,AFC_EMP_PF),0))</f>
        <v/>
      </c>
      <c r="AD1980" s="71" t="str">
        <f aca="false">IF(AH1980="","",ROUND(MIN(K1980,TOPE_AFP_UF*AJ1980)*(MUTUAL_BASICA+MUTUAL_ADIC+SANNA),0))</f>
        <v/>
      </c>
      <c r="AE1980" s="71" t="str">
        <f aca="false">IF(AH1980="","",P1980-N(N1980)+AB1980+AC1980+AD1980)</f>
        <v/>
      </c>
      <c r="AF1980" s="65"/>
      <c r="AG1980" s="64"/>
      <c r="AH1980" s="72" t="str">
        <f aca="false">IF(OR(B1980="",C1980=""),"",C1980&amp;"|"&amp;(YEAR(B1980)*100+MONTH(B1980)))</f>
        <v/>
      </c>
      <c r="AI1980" s="70" t="str">
        <f aca="false">IF(AH1980="","",IF(COUNTIF(L_CLAVE,AH1980)&gt;1,"⚠ Duplicado","OK"))</f>
        <v/>
      </c>
      <c r="AJ1980" s="86" t="str">
        <f aca="false">IF(AH1980="","",IF(SUMPRODUCT(MAX((IND_PER&lt;=B1980)*(IND_UF&lt;&gt;"")*IND_PER))=0,UF_HOY,INDEX(IND_UF,MATCH(SUMPRODUCT(MAX((IND_PER&lt;=B1980)*(IND_UF&lt;&gt;"")*IND_PER)),IND_PER,0))))</f>
        <v/>
      </c>
      <c r="AK1980" s="87" t="str">
        <f aca="false">IF(AH1980="","",IF(COUNTIF(TASA_DESDE,"&lt;="&amp;B1980)=0,INDEX(TASA_EMP,1),INDEX(TASA_EMP,COUNTIF(TASA_DESDE,"&lt;="&amp;B1980))))</f>
        <v/>
      </c>
    </row>
    <row r="1981" customFormat="false" ht="15" hidden="false" customHeight="false" outlineLevel="0" collapsed="false">
      <c r="B1981" s="78"/>
      <c r="C1981" s="64"/>
      <c r="D1981" s="72" t="str">
        <f aca="false">IF(C1981="","",IFERROR(INDEX(T_NOMBRE,MATCH(C1981,T_ID,0)),"⚠ ID no existe"))</f>
        <v/>
      </c>
      <c r="E1981" s="69"/>
      <c r="F1981" s="67"/>
      <c r="G1981" s="67"/>
      <c r="H1981" s="67"/>
      <c r="I1981" s="67"/>
      <c r="J1981" s="67"/>
      <c r="K1981" s="85" t="str">
        <f aca="false">IF(AH1981="","",N(F1981)+N(G1981)+N(H1981)-N(I1981)+N(J1981))</f>
        <v/>
      </c>
      <c r="L1981" s="67"/>
      <c r="M1981" s="67"/>
      <c r="N1981" s="67"/>
      <c r="O1981" s="67"/>
      <c r="P1981" s="85" t="str">
        <f aca="false">IF(AH1981="","",K1981+N(L1981)+N(M1981)+N(N1981)+N(O1981))</f>
        <v/>
      </c>
      <c r="Q1981" s="67"/>
      <c r="R1981" s="67"/>
      <c r="S1981" s="67"/>
      <c r="T1981" s="67"/>
      <c r="U1981" s="67"/>
      <c r="V1981" s="67"/>
      <c r="W1981" s="85" t="str">
        <f aca="false">IF(AH1981="","",N(Q1981)+N(R1981)+N(S1981)+N(T1981)+N(U1981)+N(V1981))</f>
        <v/>
      </c>
      <c r="X1981" s="85" t="str">
        <f aca="false">IF(AH1981="","",P1981-W1981)</f>
        <v/>
      </c>
      <c r="Y1981" s="67"/>
      <c r="Z1981" s="70" t="str">
        <f aca="false">IF(OR(AH1981="",Y1981=""),"",IF(ABS(X1981-Y1981)&lt;=1,"✓ Cuadra","⚠ Diferencia $"&amp;FIXED(X1981-Y1981,0)))</f>
        <v/>
      </c>
      <c r="AA1981" s="72" t="str">
        <f aca="false">IF(AH1981="","",IFERROR(INDEX(C_TIPO,MATCH(C1981&amp;"-P"&amp;MAX(1,COUNTIFS(C_ID,C1981,C_DEFINE,"Sí",C_INICIO,"&lt;="&amp;EOMONTH(B1981,0))),C_CLAVE,0))&amp;"","Sin dato"))</f>
        <v/>
      </c>
      <c r="AB1981" s="71" t="str">
        <f aca="false">IF(AH1981="","",ROUND(MIN(K1981,TOPE_AFP_UF*AJ1981)*AK1981,0))</f>
        <v/>
      </c>
      <c r="AC1981" s="71" t="str">
        <f aca="false">IF(AH1981="","",ROUND(MIN(K1981,TOPE_AFC_UF*AJ1981)*IF(AA1981="Indefinido",AFC_EMP_INDEF,AFC_EMP_PF),0))</f>
        <v/>
      </c>
      <c r="AD1981" s="71" t="str">
        <f aca="false">IF(AH1981="","",ROUND(MIN(K1981,TOPE_AFP_UF*AJ1981)*(MUTUAL_BASICA+MUTUAL_ADIC+SANNA),0))</f>
        <v/>
      </c>
      <c r="AE1981" s="71" t="str">
        <f aca="false">IF(AH1981="","",P1981-N(N1981)+AB1981+AC1981+AD1981)</f>
        <v/>
      </c>
      <c r="AF1981" s="65"/>
      <c r="AG1981" s="64"/>
      <c r="AH1981" s="72" t="str">
        <f aca="false">IF(OR(B1981="",C1981=""),"",C1981&amp;"|"&amp;(YEAR(B1981)*100+MONTH(B1981)))</f>
        <v/>
      </c>
      <c r="AI1981" s="70" t="str">
        <f aca="false">IF(AH1981="","",IF(COUNTIF(L_CLAVE,AH1981)&gt;1,"⚠ Duplicado","OK"))</f>
        <v/>
      </c>
      <c r="AJ1981" s="86" t="str">
        <f aca="false">IF(AH1981="","",IF(SUMPRODUCT(MAX((IND_PER&lt;=B1981)*(IND_UF&lt;&gt;"")*IND_PER))=0,UF_HOY,INDEX(IND_UF,MATCH(SUMPRODUCT(MAX((IND_PER&lt;=B1981)*(IND_UF&lt;&gt;"")*IND_PER)),IND_PER,0))))</f>
        <v/>
      </c>
      <c r="AK1981" s="87" t="str">
        <f aca="false">IF(AH1981="","",IF(COUNTIF(TASA_DESDE,"&lt;="&amp;B1981)=0,INDEX(TASA_EMP,1),INDEX(TASA_EMP,COUNTIF(TASA_DESDE,"&lt;="&amp;B1981))))</f>
        <v/>
      </c>
    </row>
    <row r="1982" customFormat="false" ht="15" hidden="false" customHeight="false" outlineLevel="0" collapsed="false">
      <c r="B1982" s="78"/>
      <c r="C1982" s="64"/>
      <c r="D1982" s="72" t="str">
        <f aca="false">IF(C1982="","",IFERROR(INDEX(T_NOMBRE,MATCH(C1982,T_ID,0)),"⚠ ID no existe"))</f>
        <v/>
      </c>
      <c r="E1982" s="69"/>
      <c r="F1982" s="67"/>
      <c r="G1982" s="67"/>
      <c r="H1982" s="67"/>
      <c r="I1982" s="67"/>
      <c r="J1982" s="67"/>
      <c r="K1982" s="85" t="str">
        <f aca="false">IF(AH1982="","",N(F1982)+N(G1982)+N(H1982)-N(I1982)+N(J1982))</f>
        <v/>
      </c>
      <c r="L1982" s="67"/>
      <c r="M1982" s="67"/>
      <c r="N1982" s="67"/>
      <c r="O1982" s="67"/>
      <c r="P1982" s="85" t="str">
        <f aca="false">IF(AH1982="","",K1982+N(L1982)+N(M1982)+N(N1982)+N(O1982))</f>
        <v/>
      </c>
      <c r="Q1982" s="67"/>
      <c r="R1982" s="67"/>
      <c r="S1982" s="67"/>
      <c r="T1982" s="67"/>
      <c r="U1982" s="67"/>
      <c r="V1982" s="67"/>
      <c r="W1982" s="85" t="str">
        <f aca="false">IF(AH1982="","",N(Q1982)+N(R1982)+N(S1982)+N(T1982)+N(U1982)+N(V1982))</f>
        <v/>
      </c>
      <c r="X1982" s="85" t="str">
        <f aca="false">IF(AH1982="","",P1982-W1982)</f>
        <v/>
      </c>
      <c r="Y1982" s="67"/>
      <c r="Z1982" s="70" t="str">
        <f aca="false">IF(OR(AH1982="",Y1982=""),"",IF(ABS(X1982-Y1982)&lt;=1,"✓ Cuadra","⚠ Diferencia $"&amp;FIXED(X1982-Y1982,0)))</f>
        <v/>
      </c>
      <c r="AA1982" s="72" t="str">
        <f aca="false">IF(AH1982="","",IFERROR(INDEX(C_TIPO,MATCH(C1982&amp;"-P"&amp;MAX(1,COUNTIFS(C_ID,C1982,C_DEFINE,"Sí",C_INICIO,"&lt;="&amp;EOMONTH(B1982,0))),C_CLAVE,0))&amp;"","Sin dato"))</f>
        <v/>
      </c>
      <c r="AB1982" s="71" t="str">
        <f aca="false">IF(AH1982="","",ROUND(MIN(K1982,TOPE_AFP_UF*AJ1982)*AK1982,0))</f>
        <v/>
      </c>
      <c r="AC1982" s="71" t="str">
        <f aca="false">IF(AH1982="","",ROUND(MIN(K1982,TOPE_AFC_UF*AJ1982)*IF(AA1982="Indefinido",AFC_EMP_INDEF,AFC_EMP_PF),0))</f>
        <v/>
      </c>
      <c r="AD1982" s="71" t="str">
        <f aca="false">IF(AH1982="","",ROUND(MIN(K1982,TOPE_AFP_UF*AJ1982)*(MUTUAL_BASICA+MUTUAL_ADIC+SANNA),0))</f>
        <v/>
      </c>
      <c r="AE1982" s="71" t="str">
        <f aca="false">IF(AH1982="","",P1982-N(N1982)+AB1982+AC1982+AD1982)</f>
        <v/>
      </c>
      <c r="AF1982" s="65"/>
      <c r="AG1982" s="64"/>
      <c r="AH1982" s="72" t="str">
        <f aca="false">IF(OR(B1982="",C1982=""),"",C1982&amp;"|"&amp;(YEAR(B1982)*100+MONTH(B1982)))</f>
        <v/>
      </c>
      <c r="AI1982" s="70" t="str">
        <f aca="false">IF(AH1982="","",IF(COUNTIF(L_CLAVE,AH1982)&gt;1,"⚠ Duplicado","OK"))</f>
        <v/>
      </c>
      <c r="AJ1982" s="86" t="str">
        <f aca="false">IF(AH1982="","",IF(SUMPRODUCT(MAX((IND_PER&lt;=B1982)*(IND_UF&lt;&gt;"")*IND_PER))=0,UF_HOY,INDEX(IND_UF,MATCH(SUMPRODUCT(MAX((IND_PER&lt;=B1982)*(IND_UF&lt;&gt;"")*IND_PER)),IND_PER,0))))</f>
        <v/>
      </c>
      <c r="AK1982" s="87" t="str">
        <f aca="false">IF(AH1982="","",IF(COUNTIF(TASA_DESDE,"&lt;="&amp;B1982)=0,INDEX(TASA_EMP,1),INDEX(TASA_EMP,COUNTIF(TASA_DESDE,"&lt;="&amp;B1982))))</f>
        <v/>
      </c>
    </row>
    <row r="1983" customFormat="false" ht="15" hidden="false" customHeight="false" outlineLevel="0" collapsed="false">
      <c r="B1983" s="78"/>
      <c r="C1983" s="64"/>
      <c r="D1983" s="72" t="str">
        <f aca="false">IF(C1983="","",IFERROR(INDEX(T_NOMBRE,MATCH(C1983,T_ID,0)),"⚠ ID no existe"))</f>
        <v/>
      </c>
      <c r="E1983" s="69"/>
      <c r="F1983" s="67"/>
      <c r="G1983" s="67"/>
      <c r="H1983" s="67"/>
      <c r="I1983" s="67"/>
      <c r="J1983" s="67"/>
      <c r="K1983" s="85" t="str">
        <f aca="false">IF(AH1983="","",N(F1983)+N(G1983)+N(H1983)-N(I1983)+N(J1983))</f>
        <v/>
      </c>
      <c r="L1983" s="67"/>
      <c r="M1983" s="67"/>
      <c r="N1983" s="67"/>
      <c r="O1983" s="67"/>
      <c r="P1983" s="85" t="str">
        <f aca="false">IF(AH1983="","",K1983+N(L1983)+N(M1983)+N(N1983)+N(O1983))</f>
        <v/>
      </c>
      <c r="Q1983" s="67"/>
      <c r="R1983" s="67"/>
      <c r="S1983" s="67"/>
      <c r="T1983" s="67"/>
      <c r="U1983" s="67"/>
      <c r="V1983" s="67"/>
      <c r="W1983" s="85" t="str">
        <f aca="false">IF(AH1983="","",N(Q1983)+N(R1983)+N(S1983)+N(T1983)+N(U1983)+N(V1983))</f>
        <v/>
      </c>
      <c r="X1983" s="85" t="str">
        <f aca="false">IF(AH1983="","",P1983-W1983)</f>
        <v/>
      </c>
      <c r="Y1983" s="67"/>
      <c r="Z1983" s="70" t="str">
        <f aca="false">IF(OR(AH1983="",Y1983=""),"",IF(ABS(X1983-Y1983)&lt;=1,"✓ Cuadra","⚠ Diferencia $"&amp;FIXED(X1983-Y1983,0)))</f>
        <v/>
      </c>
      <c r="AA1983" s="72" t="str">
        <f aca="false">IF(AH1983="","",IFERROR(INDEX(C_TIPO,MATCH(C1983&amp;"-P"&amp;MAX(1,COUNTIFS(C_ID,C1983,C_DEFINE,"Sí",C_INICIO,"&lt;="&amp;EOMONTH(B1983,0))),C_CLAVE,0))&amp;"","Sin dato"))</f>
        <v/>
      </c>
      <c r="AB1983" s="71" t="str">
        <f aca="false">IF(AH1983="","",ROUND(MIN(K1983,TOPE_AFP_UF*AJ1983)*AK1983,0))</f>
        <v/>
      </c>
      <c r="AC1983" s="71" t="str">
        <f aca="false">IF(AH1983="","",ROUND(MIN(K1983,TOPE_AFC_UF*AJ1983)*IF(AA1983="Indefinido",AFC_EMP_INDEF,AFC_EMP_PF),0))</f>
        <v/>
      </c>
      <c r="AD1983" s="71" t="str">
        <f aca="false">IF(AH1983="","",ROUND(MIN(K1983,TOPE_AFP_UF*AJ1983)*(MUTUAL_BASICA+MUTUAL_ADIC+SANNA),0))</f>
        <v/>
      </c>
      <c r="AE1983" s="71" t="str">
        <f aca="false">IF(AH1983="","",P1983-N(N1983)+AB1983+AC1983+AD1983)</f>
        <v/>
      </c>
      <c r="AF1983" s="65"/>
      <c r="AG1983" s="64"/>
      <c r="AH1983" s="72" t="str">
        <f aca="false">IF(OR(B1983="",C1983=""),"",C1983&amp;"|"&amp;(YEAR(B1983)*100+MONTH(B1983)))</f>
        <v/>
      </c>
      <c r="AI1983" s="70" t="str">
        <f aca="false">IF(AH1983="","",IF(COUNTIF(L_CLAVE,AH1983)&gt;1,"⚠ Duplicado","OK"))</f>
        <v/>
      </c>
      <c r="AJ1983" s="86" t="str">
        <f aca="false">IF(AH1983="","",IF(SUMPRODUCT(MAX((IND_PER&lt;=B1983)*(IND_UF&lt;&gt;"")*IND_PER))=0,UF_HOY,INDEX(IND_UF,MATCH(SUMPRODUCT(MAX((IND_PER&lt;=B1983)*(IND_UF&lt;&gt;"")*IND_PER)),IND_PER,0))))</f>
        <v/>
      </c>
      <c r="AK1983" s="87" t="str">
        <f aca="false">IF(AH1983="","",IF(COUNTIF(TASA_DESDE,"&lt;="&amp;B1983)=0,INDEX(TASA_EMP,1),INDEX(TASA_EMP,COUNTIF(TASA_DESDE,"&lt;="&amp;B1983))))</f>
        <v/>
      </c>
    </row>
    <row r="1984" customFormat="false" ht="15" hidden="false" customHeight="false" outlineLevel="0" collapsed="false">
      <c r="B1984" s="78"/>
      <c r="C1984" s="64"/>
      <c r="D1984" s="72" t="str">
        <f aca="false">IF(C1984="","",IFERROR(INDEX(T_NOMBRE,MATCH(C1984,T_ID,0)),"⚠ ID no existe"))</f>
        <v/>
      </c>
      <c r="E1984" s="69"/>
      <c r="F1984" s="67"/>
      <c r="G1984" s="67"/>
      <c r="H1984" s="67"/>
      <c r="I1984" s="67"/>
      <c r="J1984" s="67"/>
      <c r="K1984" s="85" t="str">
        <f aca="false">IF(AH1984="","",N(F1984)+N(G1984)+N(H1984)-N(I1984)+N(J1984))</f>
        <v/>
      </c>
      <c r="L1984" s="67"/>
      <c r="M1984" s="67"/>
      <c r="N1984" s="67"/>
      <c r="O1984" s="67"/>
      <c r="P1984" s="85" t="str">
        <f aca="false">IF(AH1984="","",K1984+N(L1984)+N(M1984)+N(N1984)+N(O1984))</f>
        <v/>
      </c>
      <c r="Q1984" s="67"/>
      <c r="R1984" s="67"/>
      <c r="S1984" s="67"/>
      <c r="T1984" s="67"/>
      <c r="U1984" s="67"/>
      <c r="V1984" s="67"/>
      <c r="W1984" s="85" t="str">
        <f aca="false">IF(AH1984="","",N(Q1984)+N(R1984)+N(S1984)+N(T1984)+N(U1984)+N(V1984))</f>
        <v/>
      </c>
      <c r="X1984" s="85" t="str">
        <f aca="false">IF(AH1984="","",P1984-W1984)</f>
        <v/>
      </c>
      <c r="Y1984" s="67"/>
      <c r="Z1984" s="70" t="str">
        <f aca="false">IF(OR(AH1984="",Y1984=""),"",IF(ABS(X1984-Y1984)&lt;=1,"✓ Cuadra","⚠ Diferencia $"&amp;FIXED(X1984-Y1984,0)))</f>
        <v/>
      </c>
      <c r="AA1984" s="72" t="str">
        <f aca="false">IF(AH1984="","",IFERROR(INDEX(C_TIPO,MATCH(C1984&amp;"-P"&amp;MAX(1,COUNTIFS(C_ID,C1984,C_DEFINE,"Sí",C_INICIO,"&lt;="&amp;EOMONTH(B1984,0))),C_CLAVE,0))&amp;"","Sin dato"))</f>
        <v/>
      </c>
      <c r="AB1984" s="71" t="str">
        <f aca="false">IF(AH1984="","",ROUND(MIN(K1984,TOPE_AFP_UF*AJ1984)*AK1984,0))</f>
        <v/>
      </c>
      <c r="AC1984" s="71" t="str">
        <f aca="false">IF(AH1984="","",ROUND(MIN(K1984,TOPE_AFC_UF*AJ1984)*IF(AA1984="Indefinido",AFC_EMP_INDEF,AFC_EMP_PF),0))</f>
        <v/>
      </c>
      <c r="AD1984" s="71" t="str">
        <f aca="false">IF(AH1984="","",ROUND(MIN(K1984,TOPE_AFP_UF*AJ1984)*(MUTUAL_BASICA+MUTUAL_ADIC+SANNA),0))</f>
        <v/>
      </c>
      <c r="AE1984" s="71" t="str">
        <f aca="false">IF(AH1984="","",P1984-N(N1984)+AB1984+AC1984+AD1984)</f>
        <v/>
      </c>
      <c r="AF1984" s="65"/>
      <c r="AG1984" s="64"/>
      <c r="AH1984" s="72" t="str">
        <f aca="false">IF(OR(B1984="",C1984=""),"",C1984&amp;"|"&amp;(YEAR(B1984)*100+MONTH(B1984)))</f>
        <v/>
      </c>
      <c r="AI1984" s="70" t="str">
        <f aca="false">IF(AH1984="","",IF(COUNTIF(L_CLAVE,AH1984)&gt;1,"⚠ Duplicado","OK"))</f>
        <v/>
      </c>
      <c r="AJ1984" s="86" t="str">
        <f aca="false">IF(AH1984="","",IF(SUMPRODUCT(MAX((IND_PER&lt;=B1984)*(IND_UF&lt;&gt;"")*IND_PER))=0,UF_HOY,INDEX(IND_UF,MATCH(SUMPRODUCT(MAX((IND_PER&lt;=B1984)*(IND_UF&lt;&gt;"")*IND_PER)),IND_PER,0))))</f>
        <v/>
      </c>
      <c r="AK1984" s="87" t="str">
        <f aca="false">IF(AH1984="","",IF(COUNTIF(TASA_DESDE,"&lt;="&amp;B1984)=0,INDEX(TASA_EMP,1),INDEX(TASA_EMP,COUNTIF(TASA_DESDE,"&lt;="&amp;B1984))))</f>
        <v/>
      </c>
    </row>
    <row r="1985" customFormat="false" ht="15" hidden="false" customHeight="false" outlineLevel="0" collapsed="false">
      <c r="B1985" s="78"/>
      <c r="C1985" s="64"/>
      <c r="D1985" s="72" t="str">
        <f aca="false">IF(C1985="","",IFERROR(INDEX(T_NOMBRE,MATCH(C1985,T_ID,0)),"⚠ ID no existe"))</f>
        <v/>
      </c>
      <c r="E1985" s="69"/>
      <c r="F1985" s="67"/>
      <c r="G1985" s="67"/>
      <c r="H1985" s="67"/>
      <c r="I1985" s="67"/>
      <c r="J1985" s="67"/>
      <c r="K1985" s="85" t="str">
        <f aca="false">IF(AH1985="","",N(F1985)+N(G1985)+N(H1985)-N(I1985)+N(J1985))</f>
        <v/>
      </c>
      <c r="L1985" s="67"/>
      <c r="M1985" s="67"/>
      <c r="N1985" s="67"/>
      <c r="O1985" s="67"/>
      <c r="P1985" s="85" t="str">
        <f aca="false">IF(AH1985="","",K1985+N(L1985)+N(M1985)+N(N1985)+N(O1985))</f>
        <v/>
      </c>
      <c r="Q1985" s="67"/>
      <c r="R1985" s="67"/>
      <c r="S1985" s="67"/>
      <c r="T1985" s="67"/>
      <c r="U1985" s="67"/>
      <c r="V1985" s="67"/>
      <c r="W1985" s="85" t="str">
        <f aca="false">IF(AH1985="","",N(Q1985)+N(R1985)+N(S1985)+N(T1985)+N(U1985)+N(V1985))</f>
        <v/>
      </c>
      <c r="X1985" s="85" t="str">
        <f aca="false">IF(AH1985="","",P1985-W1985)</f>
        <v/>
      </c>
      <c r="Y1985" s="67"/>
      <c r="Z1985" s="70" t="str">
        <f aca="false">IF(OR(AH1985="",Y1985=""),"",IF(ABS(X1985-Y1985)&lt;=1,"✓ Cuadra","⚠ Diferencia $"&amp;FIXED(X1985-Y1985,0)))</f>
        <v/>
      </c>
      <c r="AA1985" s="72" t="str">
        <f aca="false">IF(AH1985="","",IFERROR(INDEX(C_TIPO,MATCH(C1985&amp;"-P"&amp;MAX(1,COUNTIFS(C_ID,C1985,C_DEFINE,"Sí",C_INICIO,"&lt;="&amp;EOMONTH(B1985,0))),C_CLAVE,0))&amp;"","Sin dato"))</f>
        <v/>
      </c>
      <c r="AB1985" s="71" t="str">
        <f aca="false">IF(AH1985="","",ROUND(MIN(K1985,TOPE_AFP_UF*AJ1985)*AK1985,0))</f>
        <v/>
      </c>
      <c r="AC1985" s="71" t="str">
        <f aca="false">IF(AH1985="","",ROUND(MIN(K1985,TOPE_AFC_UF*AJ1985)*IF(AA1985="Indefinido",AFC_EMP_INDEF,AFC_EMP_PF),0))</f>
        <v/>
      </c>
      <c r="AD1985" s="71" t="str">
        <f aca="false">IF(AH1985="","",ROUND(MIN(K1985,TOPE_AFP_UF*AJ1985)*(MUTUAL_BASICA+MUTUAL_ADIC+SANNA),0))</f>
        <v/>
      </c>
      <c r="AE1985" s="71" t="str">
        <f aca="false">IF(AH1985="","",P1985-N(N1985)+AB1985+AC1985+AD1985)</f>
        <v/>
      </c>
      <c r="AF1985" s="65"/>
      <c r="AG1985" s="64"/>
      <c r="AH1985" s="72" t="str">
        <f aca="false">IF(OR(B1985="",C1985=""),"",C1985&amp;"|"&amp;(YEAR(B1985)*100+MONTH(B1985)))</f>
        <v/>
      </c>
      <c r="AI1985" s="70" t="str">
        <f aca="false">IF(AH1985="","",IF(COUNTIF(L_CLAVE,AH1985)&gt;1,"⚠ Duplicado","OK"))</f>
        <v/>
      </c>
      <c r="AJ1985" s="86" t="str">
        <f aca="false">IF(AH1985="","",IF(SUMPRODUCT(MAX((IND_PER&lt;=B1985)*(IND_UF&lt;&gt;"")*IND_PER))=0,UF_HOY,INDEX(IND_UF,MATCH(SUMPRODUCT(MAX((IND_PER&lt;=B1985)*(IND_UF&lt;&gt;"")*IND_PER)),IND_PER,0))))</f>
        <v/>
      </c>
      <c r="AK1985" s="87" t="str">
        <f aca="false">IF(AH1985="","",IF(COUNTIF(TASA_DESDE,"&lt;="&amp;B1985)=0,INDEX(TASA_EMP,1),INDEX(TASA_EMP,COUNTIF(TASA_DESDE,"&lt;="&amp;B1985))))</f>
        <v/>
      </c>
    </row>
    <row r="1986" customFormat="false" ht="15" hidden="false" customHeight="false" outlineLevel="0" collapsed="false">
      <c r="B1986" s="78"/>
      <c r="C1986" s="64"/>
      <c r="D1986" s="72" t="str">
        <f aca="false">IF(C1986="","",IFERROR(INDEX(T_NOMBRE,MATCH(C1986,T_ID,0)),"⚠ ID no existe"))</f>
        <v/>
      </c>
      <c r="E1986" s="69"/>
      <c r="F1986" s="67"/>
      <c r="G1986" s="67"/>
      <c r="H1986" s="67"/>
      <c r="I1986" s="67"/>
      <c r="J1986" s="67"/>
      <c r="K1986" s="85" t="str">
        <f aca="false">IF(AH1986="","",N(F1986)+N(G1986)+N(H1986)-N(I1986)+N(J1986))</f>
        <v/>
      </c>
      <c r="L1986" s="67"/>
      <c r="M1986" s="67"/>
      <c r="N1986" s="67"/>
      <c r="O1986" s="67"/>
      <c r="P1986" s="85" t="str">
        <f aca="false">IF(AH1986="","",K1986+N(L1986)+N(M1986)+N(N1986)+N(O1986))</f>
        <v/>
      </c>
      <c r="Q1986" s="67"/>
      <c r="R1986" s="67"/>
      <c r="S1986" s="67"/>
      <c r="T1986" s="67"/>
      <c r="U1986" s="67"/>
      <c r="V1986" s="67"/>
      <c r="W1986" s="85" t="str">
        <f aca="false">IF(AH1986="","",N(Q1986)+N(R1986)+N(S1986)+N(T1986)+N(U1986)+N(V1986))</f>
        <v/>
      </c>
      <c r="X1986" s="85" t="str">
        <f aca="false">IF(AH1986="","",P1986-W1986)</f>
        <v/>
      </c>
      <c r="Y1986" s="67"/>
      <c r="Z1986" s="70" t="str">
        <f aca="false">IF(OR(AH1986="",Y1986=""),"",IF(ABS(X1986-Y1986)&lt;=1,"✓ Cuadra","⚠ Diferencia $"&amp;FIXED(X1986-Y1986,0)))</f>
        <v/>
      </c>
      <c r="AA1986" s="72" t="str">
        <f aca="false">IF(AH1986="","",IFERROR(INDEX(C_TIPO,MATCH(C1986&amp;"-P"&amp;MAX(1,COUNTIFS(C_ID,C1986,C_DEFINE,"Sí",C_INICIO,"&lt;="&amp;EOMONTH(B1986,0))),C_CLAVE,0))&amp;"","Sin dato"))</f>
        <v/>
      </c>
      <c r="AB1986" s="71" t="str">
        <f aca="false">IF(AH1986="","",ROUND(MIN(K1986,TOPE_AFP_UF*AJ1986)*AK1986,0))</f>
        <v/>
      </c>
      <c r="AC1986" s="71" t="str">
        <f aca="false">IF(AH1986="","",ROUND(MIN(K1986,TOPE_AFC_UF*AJ1986)*IF(AA1986="Indefinido",AFC_EMP_INDEF,AFC_EMP_PF),0))</f>
        <v/>
      </c>
      <c r="AD1986" s="71" t="str">
        <f aca="false">IF(AH1986="","",ROUND(MIN(K1986,TOPE_AFP_UF*AJ1986)*(MUTUAL_BASICA+MUTUAL_ADIC+SANNA),0))</f>
        <v/>
      </c>
      <c r="AE1986" s="71" t="str">
        <f aca="false">IF(AH1986="","",P1986-N(N1986)+AB1986+AC1986+AD1986)</f>
        <v/>
      </c>
      <c r="AF1986" s="65"/>
      <c r="AG1986" s="64"/>
      <c r="AH1986" s="72" t="str">
        <f aca="false">IF(OR(B1986="",C1986=""),"",C1986&amp;"|"&amp;(YEAR(B1986)*100+MONTH(B1986)))</f>
        <v/>
      </c>
      <c r="AI1986" s="70" t="str">
        <f aca="false">IF(AH1986="","",IF(COUNTIF(L_CLAVE,AH1986)&gt;1,"⚠ Duplicado","OK"))</f>
        <v/>
      </c>
      <c r="AJ1986" s="86" t="str">
        <f aca="false">IF(AH1986="","",IF(SUMPRODUCT(MAX((IND_PER&lt;=B1986)*(IND_UF&lt;&gt;"")*IND_PER))=0,UF_HOY,INDEX(IND_UF,MATCH(SUMPRODUCT(MAX((IND_PER&lt;=B1986)*(IND_UF&lt;&gt;"")*IND_PER)),IND_PER,0))))</f>
        <v/>
      </c>
      <c r="AK1986" s="87" t="str">
        <f aca="false">IF(AH1986="","",IF(COUNTIF(TASA_DESDE,"&lt;="&amp;B1986)=0,INDEX(TASA_EMP,1),INDEX(TASA_EMP,COUNTIF(TASA_DESDE,"&lt;="&amp;B1986))))</f>
        <v/>
      </c>
    </row>
    <row r="1987" customFormat="false" ht="15" hidden="false" customHeight="false" outlineLevel="0" collapsed="false">
      <c r="B1987" s="78"/>
      <c r="C1987" s="64"/>
      <c r="D1987" s="72" t="str">
        <f aca="false">IF(C1987="","",IFERROR(INDEX(T_NOMBRE,MATCH(C1987,T_ID,0)),"⚠ ID no existe"))</f>
        <v/>
      </c>
      <c r="E1987" s="69"/>
      <c r="F1987" s="67"/>
      <c r="G1987" s="67"/>
      <c r="H1987" s="67"/>
      <c r="I1987" s="67"/>
      <c r="J1987" s="67"/>
      <c r="K1987" s="85" t="str">
        <f aca="false">IF(AH1987="","",N(F1987)+N(G1987)+N(H1987)-N(I1987)+N(J1987))</f>
        <v/>
      </c>
      <c r="L1987" s="67"/>
      <c r="M1987" s="67"/>
      <c r="N1987" s="67"/>
      <c r="O1987" s="67"/>
      <c r="P1987" s="85" t="str">
        <f aca="false">IF(AH1987="","",K1987+N(L1987)+N(M1987)+N(N1987)+N(O1987))</f>
        <v/>
      </c>
      <c r="Q1987" s="67"/>
      <c r="R1987" s="67"/>
      <c r="S1987" s="67"/>
      <c r="T1987" s="67"/>
      <c r="U1987" s="67"/>
      <c r="V1987" s="67"/>
      <c r="W1987" s="85" t="str">
        <f aca="false">IF(AH1987="","",N(Q1987)+N(R1987)+N(S1987)+N(T1987)+N(U1987)+N(V1987))</f>
        <v/>
      </c>
      <c r="X1987" s="85" t="str">
        <f aca="false">IF(AH1987="","",P1987-W1987)</f>
        <v/>
      </c>
      <c r="Y1987" s="67"/>
      <c r="Z1987" s="70" t="str">
        <f aca="false">IF(OR(AH1987="",Y1987=""),"",IF(ABS(X1987-Y1987)&lt;=1,"✓ Cuadra","⚠ Diferencia $"&amp;FIXED(X1987-Y1987,0)))</f>
        <v/>
      </c>
      <c r="AA1987" s="72" t="str">
        <f aca="false">IF(AH1987="","",IFERROR(INDEX(C_TIPO,MATCH(C1987&amp;"-P"&amp;MAX(1,COUNTIFS(C_ID,C1987,C_DEFINE,"Sí",C_INICIO,"&lt;="&amp;EOMONTH(B1987,0))),C_CLAVE,0))&amp;"","Sin dato"))</f>
        <v/>
      </c>
      <c r="AB1987" s="71" t="str">
        <f aca="false">IF(AH1987="","",ROUND(MIN(K1987,TOPE_AFP_UF*AJ1987)*AK1987,0))</f>
        <v/>
      </c>
      <c r="AC1987" s="71" t="str">
        <f aca="false">IF(AH1987="","",ROUND(MIN(K1987,TOPE_AFC_UF*AJ1987)*IF(AA1987="Indefinido",AFC_EMP_INDEF,AFC_EMP_PF),0))</f>
        <v/>
      </c>
      <c r="AD1987" s="71" t="str">
        <f aca="false">IF(AH1987="","",ROUND(MIN(K1987,TOPE_AFP_UF*AJ1987)*(MUTUAL_BASICA+MUTUAL_ADIC+SANNA),0))</f>
        <v/>
      </c>
      <c r="AE1987" s="71" t="str">
        <f aca="false">IF(AH1987="","",P1987-N(N1987)+AB1987+AC1987+AD1987)</f>
        <v/>
      </c>
      <c r="AF1987" s="65"/>
      <c r="AG1987" s="64"/>
      <c r="AH1987" s="72" t="str">
        <f aca="false">IF(OR(B1987="",C1987=""),"",C1987&amp;"|"&amp;(YEAR(B1987)*100+MONTH(B1987)))</f>
        <v/>
      </c>
      <c r="AI1987" s="70" t="str">
        <f aca="false">IF(AH1987="","",IF(COUNTIF(L_CLAVE,AH1987)&gt;1,"⚠ Duplicado","OK"))</f>
        <v/>
      </c>
      <c r="AJ1987" s="86" t="str">
        <f aca="false">IF(AH1987="","",IF(SUMPRODUCT(MAX((IND_PER&lt;=B1987)*(IND_UF&lt;&gt;"")*IND_PER))=0,UF_HOY,INDEX(IND_UF,MATCH(SUMPRODUCT(MAX((IND_PER&lt;=B1987)*(IND_UF&lt;&gt;"")*IND_PER)),IND_PER,0))))</f>
        <v/>
      </c>
      <c r="AK1987" s="87" t="str">
        <f aca="false">IF(AH1987="","",IF(COUNTIF(TASA_DESDE,"&lt;="&amp;B1987)=0,INDEX(TASA_EMP,1),INDEX(TASA_EMP,COUNTIF(TASA_DESDE,"&lt;="&amp;B1987))))</f>
        <v/>
      </c>
    </row>
    <row r="1988" customFormat="false" ht="15" hidden="false" customHeight="false" outlineLevel="0" collapsed="false">
      <c r="B1988" s="78"/>
      <c r="C1988" s="64"/>
      <c r="D1988" s="72" t="str">
        <f aca="false">IF(C1988="","",IFERROR(INDEX(T_NOMBRE,MATCH(C1988,T_ID,0)),"⚠ ID no existe"))</f>
        <v/>
      </c>
      <c r="E1988" s="69"/>
      <c r="F1988" s="67"/>
      <c r="G1988" s="67"/>
      <c r="H1988" s="67"/>
      <c r="I1988" s="67"/>
      <c r="J1988" s="67"/>
      <c r="K1988" s="85" t="str">
        <f aca="false">IF(AH1988="","",N(F1988)+N(G1988)+N(H1988)-N(I1988)+N(J1988))</f>
        <v/>
      </c>
      <c r="L1988" s="67"/>
      <c r="M1988" s="67"/>
      <c r="N1988" s="67"/>
      <c r="O1988" s="67"/>
      <c r="P1988" s="85" t="str">
        <f aca="false">IF(AH1988="","",K1988+N(L1988)+N(M1988)+N(N1988)+N(O1988))</f>
        <v/>
      </c>
      <c r="Q1988" s="67"/>
      <c r="R1988" s="67"/>
      <c r="S1988" s="67"/>
      <c r="T1988" s="67"/>
      <c r="U1988" s="67"/>
      <c r="V1988" s="67"/>
      <c r="W1988" s="85" t="str">
        <f aca="false">IF(AH1988="","",N(Q1988)+N(R1988)+N(S1988)+N(T1988)+N(U1988)+N(V1988))</f>
        <v/>
      </c>
      <c r="X1988" s="85" t="str">
        <f aca="false">IF(AH1988="","",P1988-W1988)</f>
        <v/>
      </c>
      <c r="Y1988" s="67"/>
      <c r="Z1988" s="70" t="str">
        <f aca="false">IF(OR(AH1988="",Y1988=""),"",IF(ABS(X1988-Y1988)&lt;=1,"✓ Cuadra","⚠ Diferencia $"&amp;FIXED(X1988-Y1988,0)))</f>
        <v/>
      </c>
      <c r="AA1988" s="72" t="str">
        <f aca="false">IF(AH1988="","",IFERROR(INDEX(C_TIPO,MATCH(C1988&amp;"-P"&amp;MAX(1,COUNTIFS(C_ID,C1988,C_DEFINE,"Sí",C_INICIO,"&lt;="&amp;EOMONTH(B1988,0))),C_CLAVE,0))&amp;"","Sin dato"))</f>
        <v/>
      </c>
      <c r="AB1988" s="71" t="str">
        <f aca="false">IF(AH1988="","",ROUND(MIN(K1988,TOPE_AFP_UF*AJ1988)*AK1988,0))</f>
        <v/>
      </c>
      <c r="AC1988" s="71" t="str">
        <f aca="false">IF(AH1988="","",ROUND(MIN(K1988,TOPE_AFC_UF*AJ1988)*IF(AA1988="Indefinido",AFC_EMP_INDEF,AFC_EMP_PF),0))</f>
        <v/>
      </c>
      <c r="AD1988" s="71" t="str">
        <f aca="false">IF(AH1988="","",ROUND(MIN(K1988,TOPE_AFP_UF*AJ1988)*(MUTUAL_BASICA+MUTUAL_ADIC+SANNA),0))</f>
        <v/>
      </c>
      <c r="AE1988" s="71" t="str">
        <f aca="false">IF(AH1988="","",P1988-N(N1988)+AB1988+AC1988+AD1988)</f>
        <v/>
      </c>
      <c r="AF1988" s="65"/>
      <c r="AG1988" s="64"/>
      <c r="AH1988" s="72" t="str">
        <f aca="false">IF(OR(B1988="",C1988=""),"",C1988&amp;"|"&amp;(YEAR(B1988)*100+MONTH(B1988)))</f>
        <v/>
      </c>
      <c r="AI1988" s="70" t="str">
        <f aca="false">IF(AH1988="","",IF(COUNTIF(L_CLAVE,AH1988)&gt;1,"⚠ Duplicado","OK"))</f>
        <v/>
      </c>
      <c r="AJ1988" s="86" t="str">
        <f aca="false">IF(AH1988="","",IF(SUMPRODUCT(MAX((IND_PER&lt;=B1988)*(IND_UF&lt;&gt;"")*IND_PER))=0,UF_HOY,INDEX(IND_UF,MATCH(SUMPRODUCT(MAX((IND_PER&lt;=B1988)*(IND_UF&lt;&gt;"")*IND_PER)),IND_PER,0))))</f>
        <v/>
      </c>
      <c r="AK1988" s="87" t="str">
        <f aca="false">IF(AH1988="","",IF(COUNTIF(TASA_DESDE,"&lt;="&amp;B1988)=0,INDEX(TASA_EMP,1),INDEX(TASA_EMP,COUNTIF(TASA_DESDE,"&lt;="&amp;B1988))))</f>
        <v/>
      </c>
    </row>
    <row r="1989" customFormat="false" ht="15" hidden="false" customHeight="false" outlineLevel="0" collapsed="false">
      <c r="B1989" s="78"/>
      <c r="C1989" s="64"/>
      <c r="D1989" s="72" t="str">
        <f aca="false">IF(C1989="","",IFERROR(INDEX(T_NOMBRE,MATCH(C1989,T_ID,0)),"⚠ ID no existe"))</f>
        <v/>
      </c>
      <c r="E1989" s="69"/>
      <c r="F1989" s="67"/>
      <c r="G1989" s="67"/>
      <c r="H1989" s="67"/>
      <c r="I1989" s="67"/>
      <c r="J1989" s="67"/>
      <c r="K1989" s="85" t="str">
        <f aca="false">IF(AH1989="","",N(F1989)+N(G1989)+N(H1989)-N(I1989)+N(J1989))</f>
        <v/>
      </c>
      <c r="L1989" s="67"/>
      <c r="M1989" s="67"/>
      <c r="N1989" s="67"/>
      <c r="O1989" s="67"/>
      <c r="P1989" s="85" t="str">
        <f aca="false">IF(AH1989="","",K1989+N(L1989)+N(M1989)+N(N1989)+N(O1989))</f>
        <v/>
      </c>
      <c r="Q1989" s="67"/>
      <c r="R1989" s="67"/>
      <c r="S1989" s="67"/>
      <c r="T1989" s="67"/>
      <c r="U1989" s="67"/>
      <c r="V1989" s="67"/>
      <c r="W1989" s="85" t="str">
        <f aca="false">IF(AH1989="","",N(Q1989)+N(R1989)+N(S1989)+N(T1989)+N(U1989)+N(V1989))</f>
        <v/>
      </c>
      <c r="X1989" s="85" t="str">
        <f aca="false">IF(AH1989="","",P1989-W1989)</f>
        <v/>
      </c>
      <c r="Y1989" s="67"/>
      <c r="Z1989" s="70" t="str">
        <f aca="false">IF(OR(AH1989="",Y1989=""),"",IF(ABS(X1989-Y1989)&lt;=1,"✓ Cuadra","⚠ Diferencia $"&amp;FIXED(X1989-Y1989,0)))</f>
        <v/>
      </c>
      <c r="AA1989" s="72" t="str">
        <f aca="false">IF(AH1989="","",IFERROR(INDEX(C_TIPO,MATCH(C1989&amp;"-P"&amp;MAX(1,COUNTIFS(C_ID,C1989,C_DEFINE,"Sí",C_INICIO,"&lt;="&amp;EOMONTH(B1989,0))),C_CLAVE,0))&amp;"","Sin dato"))</f>
        <v/>
      </c>
      <c r="AB1989" s="71" t="str">
        <f aca="false">IF(AH1989="","",ROUND(MIN(K1989,TOPE_AFP_UF*AJ1989)*AK1989,0))</f>
        <v/>
      </c>
      <c r="AC1989" s="71" t="str">
        <f aca="false">IF(AH1989="","",ROUND(MIN(K1989,TOPE_AFC_UF*AJ1989)*IF(AA1989="Indefinido",AFC_EMP_INDEF,AFC_EMP_PF),0))</f>
        <v/>
      </c>
      <c r="AD1989" s="71" t="str">
        <f aca="false">IF(AH1989="","",ROUND(MIN(K1989,TOPE_AFP_UF*AJ1989)*(MUTUAL_BASICA+MUTUAL_ADIC+SANNA),0))</f>
        <v/>
      </c>
      <c r="AE1989" s="71" t="str">
        <f aca="false">IF(AH1989="","",P1989-N(N1989)+AB1989+AC1989+AD1989)</f>
        <v/>
      </c>
      <c r="AF1989" s="65"/>
      <c r="AG1989" s="64"/>
      <c r="AH1989" s="72" t="str">
        <f aca="false">IF(OR(B1989="",C1989=""),"",C1989&amp;"|"&amp;(YEAR(B1989)*100+MONTH(B1989)))</f>
        <v/>
      </c>
      <c r="AI1989" s="70" t="str">
        <f aca="false">IF(AH1989="","",IF(COUNTIF(L_CLAVE,AH1989)&gt;1,"⚠ Duplicado","OK"))</f>
        <v/>
      </c>
      <c r="AJ1989" s="86" t="str">
        <f aca="false">IF(AH1989="","",IF(SUMPRODUCT(MAX((IND_PER&lt;=B1989)*(IND_UF&lt;&gt;"")*IND_PER))=0,UF_HOY,INDEX(IND_UF,MATCH(SUMPRODUCT(MAX((IND_PER&lt;=B1989)*(IND_UF&lt;&gt;"")*IND_PER)),IND_PER,0))))</f>
        <v/>
      </c>
      <c r="AK1989" s="87" t="str">
        <f aca="false">IF(AH1989="","",IF(COUNTIF(TASA_DESDE,"&lt;="&amp;B1989)=0,INDEX(TASA_EMP,1),INDEX(TASA_EMP,COUNTIF(TASA_DESDE,"&lt;="&amp;B1989))))</f>
        <v/>
      </c>
    </row>
    <row r="1990" customFormat="false" ht="15" hidden="false" customHeight="false" outlineLevel="0" collapsed="false">
      <c r="B1990" s="78"/>
      <c r="C1990" s="64"/>
      <c r="D1990" s="72" t="str">
        <f aca="false">IF(C1990="","",IFERROR(INDEX(T_NOMBRE,MATCH(C1990,T_ID,0)),"⚠ ID no existe"))</f>
        <v/>
      </c>
      <c r="E1990" s="69"/>
      <c r="F1990" s="67"/>
      <c r="G1990" s="67"/>
      <c r="H1990" s="67"/>
      <c r="I1990" s="67"/>
      <c r="J1990" s="67"/>
      <c r="K1990" s="85" t="str">
        <f aca="false">IF(AH1990="","",N(F1990)+N(G1990)+N(H1990)-N(I1990)+N(J1990))</f>
        <v/>
      </c>
      <c r="L1990" s="67"/>
      <c r="M1990" s="67"/>
      <c r="N1990" s="67"/>
      <c r="O1990" s="67"/>
      <c r="P1990" s="85" t="str">
        <f aca="false">IF(AH1990="","",K1990+N(L1990)+N(M1990)+N(N1990)+N(O1990))</f>
        <v/>
      </c>
      <c r="Q1990" s="67"/>
      <c r="R1990" s="67"/>
      <c r="S1990" s="67"/>
      <c r="T1990" s="67"/>
      <c r="U1990" s="67"/>
      <c r="V1990" s="67"/>
      <c r="W1990" s="85" t="str">
        <f aca="false">IF(AH1990="","",N(Q1990)+N(R1990)+N(S1990)+N(T1990)+N(U1990)+N(V1990))</f>
        <v/>
      </c>
      <c r="X1990" s="85" t="str">
        <f aca="false">IF(AH1990="","",P1990-W1990)</f>
        <v/>
      </c>
      <c r="Y1990" s="67"/>
      <c r="Z1990" s="70" t="str">
        <f aca="false">IF(OR(AH1990="",Y1990=""),"",IF(ABS(X1990-Y1990)&lt;=1,"✓ Cuadra","⚠ Diferencia $"&amp;FIXED(X1990-Y1990,0)))</f>
        <v/>
      </c>
      <c r="AA1990" s="72" t="str">
        <f aca="false">IF(AH1990="","",IFERROR(INDEX(C_TIPO,MATCH(C1990&amp;"-P"&amp;MAX(1,COUNTIFS(C_ID,C1990,C_DEFINE,"Sí",C_INICIO,"&lt;="&amp;EOMONTH(B1990,0))),C_CLAVE,0))&amp;"","Sin dato"))</f>
        <v/>
      </c>
      <c r="AB1990" s="71" t="str">
        <f aca="false">IF(AH1990="","",ROUND(MIN(K1990,TOPE_AFP_UF*AJ1990)*AK1990,0))</f>
        <v/>
      </c>
      <c r="AC1990" s="71" t="str">
        <f aca="false">IF(AH1990="","",ROUND(MIN(K1990,TOPE_AFC_UF*AJ1990)*IF(AA1990="Indefinido",AFC_EMP_INDEF,AFC_EMP_PF),0))</f>
        <v/>
      </c>
      <c r="AD1990" s="71" t="str">
        <f aca="false">IF(AH1990="","",ROUND(MIN(K1990,TOPE_AFP_UF*AJ1990)*(MUTUAL_BASICA+MUTUAL_ADIC+SANNA),0))</f>
        <v/>
      </c>
      <c r="AE1990" s="71" t="str">
        <f aca="false">IF(AH1990="","",P1990-N(N1990)+AB1990+AC1990+AD1990)</f>
        <v/>
      </c>
      <c r="AF1990" s="65"/>
      <c r="AG1990" s="64"/>
      <c r="AH1990" s="72" t="str">
        <f aca="false">IF(OR(B1990="",C1990=""),"",C1990&amp;"|"&amp;(YEAR(B1990)*100+MONTH(B1990)))</f>
        <v/>
      </c>
      <c r="AI1990" s="70" t="str">
        <f aca="false">IF(AH1990="","",IF(COUNTIF(L_CLAVE,AH1990)&gt;1,"⚠ Duplicado","OK"))</f>
        <v/>
      </c>
      <c r="AJ1990" s="86" t="str">
        <f aca="false">IF(AH1990="","",IF(SUMPRODUCT(MAX((IND_PER&lt;=B1990)*(IND_UF&lt;&gt;"")*IND_PER))=0,UF_HOY,INDEX(IND_UF,MATCH(SUMPRODUCT(MAX((IND_PER&lt;=B1990)*(IND_UF&lt;&gt;"")*IND_PER)),IND_PER,0))))</f>
        <v/>
      </c>
      <c r="AK1990" s="87" t="str">
        <f aca="false">IF(AH1990="","",IF(COUNTIF(TASA_DESDE,"&lt;="&amp;B1990)=0,INDEX(TASA_EMP,1),INDEX(TASA_EMP,COUNTIF(TASA_DESDE,"&lt;="&amp;B1990))))</f>
        <v/>
      </c>
    </row>
    <row r="1991" customFormat="false" ht="15" hidden="false" customHeight="false" outlineLevel="0" collapsed="false">
      <c r="B1991" s="78"/>
      <c r="C1991" s="64"/>
      <c r="D1991" s="72" t="str">
        <f aca="false">IF(C1991="","",IFERROR(INDEX(T_NOMBRE,MATCH(C1991,T_ID,0)),"⚠ ID no existe"))</f>
        <v/>
      </c>
      <c r="E1991" s="69"/>
      <c r="F1991" s="67"/>
      <c r="G1991" s="67"/>
      <c r="H1991" s="67"/>
      <c r="I1991" s="67"/>
      <c r="J1991" s="67"/>
      <c r="K1991" s="85" t="str">
        <f aca="false">IF(AH1991="","",N(F1991)+N(G1991)+N(H1991)-N(I1991)+N(J1991))</f>
        <v/>
      </c>
      <c r="L1991" s="67"/>
      <c r="M1991" s="67"/>
      <c r="N1991" s="67"/>
      <c r="O1991" s="67"/>
      <c r="P1991" s="85" t="str">
        <f aca="false">IF(AH1991="","",K1991+N(L1991)+N(M1991)+N(N1991)+N(O1991))</f>
        <v/>
      </c>
      <c r="Q1991" s="67"/>
      <c r="R1991" s="67"/>
      <c r="S1991" s="67"/>
      <c r="T1991" s="67"/>
      <c r="U1991" s="67"/>
      <c r="V1991" s="67"/>
      <c r="W1991" s="85" t="str">
        <f aca="false">IF(AH1991="","",N(Q1991)+N(R1991)+N(S1991)+N(T1991)+N(U1991)+N(V1991))</f>
        <v/>
      </c>
      <c r="X1991" s="85" t="str">
        <f aca="false">IF(AH1991="","",P1991-W1991)</f>
        <v/>
      </c>
      <c r="Y1991" s="67"/>
      <c r="Z1991" s="70" t="str">
        <f aca="false">IF(OR(AH1991="",Y1991=""),"",IF(ABS(X1991-Y1991)&lt;=1,"✓ Cuadra","⚠ Diferencia $"&amp;FIXED(X1991-Y1991,0)))</f>
        <v/>
      </c>
      <c r="AA1991" s="72" t="str">
        <f aca="false">IF(AH1991="","",IFERROR(INDEX(C_TIPO,MATCH(C1991&amp;"-P"&amp;MAX(1,COUNTIFS(C_ID,C1991,C_DEFINE,"Sí",C_INICIO,"&lt;="&amp;EOMONTH(B1991,0))),C_CLAVE,0))&amp;"","Sin dato"))</f>
        <v/>
      </c>
      <c r="AB1991" s="71" t="str">
        <f aca="false">IF(AH1991="","",ROUND(MIN(K1991,TOPE_AFP_UF*AJ1991)*AK1991,0))</f>
        <v/>
      </c>
      <c r="AC1991" s="71" t="str">
        <f aca="false">IF(AH1991="","",ROUND(MIN(K1991,TOPE_AFC_UF*AJ1991)*IF(AA1991="Indefinido",AFC_EMP_INDEF,AFC_EMP_PF),0))</f>
        <v/>
      </c>
      <c r="AD1991" s="71" t="str">
        <f aca="false">IF(AH1991="","",ROUND(MIN(K1991,TOPE_AFP_UF*AJ1991)*(MUTUAL_BASICA+MUTUAL_ADIC+SANNA),0))</f>
        <v/>
      </c>
      <c r="AE1991" s="71" t="str">
        <f aca="false">IF(AH1991="","",P1991-N(N1991)+AB1991+AC1991+AD1991)</f>
        <v/>
      </c>
      <c r="AF1991" s="65"/>
      <c r="AG1991" s="64"/>
      <c r="AH1991" s="72" t="str">
        <f aca="false">IF(OR(B1991="",C1991=""),"",C1991&amp;"|"&amp;(YEAR(B1991)*100+MONTH(B1991)))</f>
        <v/>
      </c>
      <c r="AI1991" s="70" t="str">
        <f aca="false">IF(AH1991="","",IF(COUNTIF(L_CLAVE,AH1991)&gt;1,"⚠ Duplicado","OK"))</f>
        <v/>
      </c>
      <c r="AJ1991" s="86" t="str">
        <f aca="false">IF(AH1991="","",IF(SUMPRODUCT(MAX((IND_PER&lt;=B1991)*(IND_UF&lt;&gt;"")*IND_PER))=0,UF_HOY,INDEX(IND_UF,MATCH(SUMPRODUCT(MAX((IND_PER&lt;=B1991)*(IND_UF&lt;&gt;"")*IND_PER)),IND_PER,0))))</f>
        <v/>
      </c>
      <c r="AK1991" s="87" t="str">
        <f aca="false">IF(AH1991="","",IF(COUNTIF(TASA_DESDE,"&lt;="&amp;B1991)=0,INDEX(TASA_EMP,1),INDEX(TASA_EMP,COUNTIF(TASA_DESDE,"&lt;="&amp;B1991))))</f>
        <v/>
      </c>
    </row>
    <row r="1992" customFormat="false" ht="15" hidden="false" customHeight="false" outlineLevel="0" collapsed="false">
      <c r="B1992" s="78"/>
      <c r="C1992" s="64"/>
      <c r="D1992" s="72" t="str">
        <f aca="false">IF(C1992="","",IFERROR(INDEX(T_NOMBRE,MATCH(C1992,T_ID,0)),"⚠ ID no existe"))</f>
        <v/>
      </c>
      <c r="E1992" s="69"/>
      <c r="F1992" s="67"/>
      <c r="G1992" s="67"/>
      <c r="H1992" s="67"/>
      <c r="I1992" s="67"/>
      <c r="J1992" s="67"/>
      <c r="K1992" s="85" t="str">
        <f aca="false">IF(AH1992="","",N(F1992)+N(G1992)+N(H1992)-N(I1992)+N(J1992))</f>
        <v/>
      </c>
      <c r="L1992" s="67"/>
      <c r="M1992" s="67"/>
      <c r="N1992" s="67"/>
      <c r="O1992" s="67"/>
      <c r="P1992" s="85" t="str">
        <f aca="false">IF(AH1992="","",K1992+N(L1992)+N(M1992)+N(N1992)+N(O1992))</f>
        <v/>
      </c>
      <c r="Q1992" s="67"/>
      <c r="R1992" s="67"/>
      <c r="S1992" s="67"/>
      <c r="T1992" s="67"/>
      <c r="U1992" s="67"/>
      <c r="V1992" s="67"/>
      <c r="W1992" s="85" t="str">
        <f aca="false">IF(AH1992="","",N(Q1992)+N(R1992)+N(S1992)+N(T1992)+N(U1992)+N(V1992))</f>
        <v/>
      </c>
      <c r="X1992" s="85" t="str">
        <f aca="false">IF(AH1992="","",P1992-W1992)</f>
        <v/>
      </c>
      <c r="Y1992" s="67"/>
      <c r="Z1992" s="70" t="str">
        <f aca="false">IF(OR(AH1992="",Y1992=""),"",IF(ABS(X1992-Y1992)&lt;=1,"✓ Cuadra","⚠ Diferencia $"&amp;FIXED(X1992-Y1992,0)))</f>
        <v/>
      </c>
      <c r="AA1992" s="72" t="str">
        <f aca="false">IF(AH1992="","",IFERROR(INDEX(C_TIPO,MATCH(C1992&amp;"-P"&amp;MAX(1,COUNTIFS(C_ID,C1992,C_DEFINE,"Sí",C_INICIO,"&lt;="&amp;EOMONTH(B1992,0))),C_CLAVE,0))&amp;"","Sin dato"))</f>
        <v/>
      </c>
      <c r="AB1992" s="71" t="str">
        <f aca="false">IF(AH1992="","",ROUND(MIN(K1992,TOPE_AFP_UF*AJ1992)*AK1992,0))</f>
        <v/>
      </c>
      <c r="AC1992" s="71" t="str">
        <f aca="false">IF(AH1992="","",ROUND(MIN(K1992,TOPE_AFC_UF*AJ1992)*IF(AA1992="Indefinido",AFC_EMP_INDEF,AFC_EMP_PF),0))</f>
        <v/>
      </c>
      <c r="AD1992" s="71" t="str">
        <f aca="false">IF(AH1992="","",ROUND(MIN(K1992,TOPE_AFP_UF*AJ1992)*(MUTUAL_BASICA+MUTUAL_ADIC+SANNA),0))</f>
        <v/>
      </c>
      <c r="AE1992" s="71" t="str">
        <f aca="false">IF(AH1992="","",P1992-N(N1992)+AB1992+AC1992+AD1992)</f>
        <v/>
      </c>
      <c r="AF1992" s="65"/>
      <c r="AG1992" s="64"/>
      <c r="AH1992" s="72" t="str">
        <f aca="false">IF(OR(B1992="",C1992=""),"",C1992&amp;"|"&amp;(YEAR(B1992)*100+MONTH(B1992)))</f>
        <v/>
      </c>
      <c r="AI1992" s="70" t="str">
        <f aca="false">IF(AH1992="","",IF(COUNTIF(L_CLAVE,AH1992)&gt;1,"⚠ Duplicado","OK"))</f>
        <v/>
      </c>
      <c r="AJ1992" s="86" t="str">
        <f aca="false">IF(AH1992="","",IF(SUMPRODUCT(MAX((IND_PER&lt;=B1992)*(IND_UF&lt;&gt;"")*IND_PER))=0,UF_HOY,INDEX(IND_UF,MATCH(SUMPRODUCT(MAX((IND_PER&lt;=B1992)*(IND_UF&lt;&gt;"")*IND_PER)),IND_PER,0))))</f>
        <v/>
      </c>
      <c r="AK1992" s="87" t="str">
        <f aca="false">IF(AH1992="","",IF(COUNTIF(TASA_DESDE,"&lt;="&amp;B1992)=0,INDEX(TASA_EMP,1),INDEX(TASA_EMP,COUNTIF(TASA_DESDE,"&lt;="&amp;B1992))))</f>
        <v/>
      </c>
    </row>
    <row r="1993" customFormat="false" ht="15" hidden="false" customHeight="false" outlineLevel="0" collapsed="false">
      <c r="B1993" s="78"/>
      <c r="C1993" s="64"/>
      <c r="D1993" s="72" t="str">
        <f aca="false">IF(C1993="","",IFERROR(INDEX(T_NOMBRE,MATCH(C1993,T_ID,0)),"⚠ ID no existe"))</f>
        <v/>
      </c>
      <c r="E1993" s="69"/>
      <c r="F1993" s="67"/>
      <c r="G1993" s="67"/>
      <c r="H1993" s="67"/>
      <c r="I1993" s="67"/>
      <c r="J1993" s="67"/>
      <c r="K1993" s="85" t="str">
        <f aca="false">IF(AH1993="","",N(F1993)+N(G1993)+N(H1993)-N(I1993)+N(J1993))</f>
        <v/>
      </c>
      <c r="L1993" s="67"/>
      <c r="M1993" s="67"/>
      <c r="N1993" s="67"/>
      <c r="O1993" s="67"/>
      <c r="P1993" s="85" t="str">
        <f aca="false">IF(AH1993="","",K1993+N(L1993)+N(M1993)+N(N1993)+N(O1993))</f>
        <v/>
      </c>
      <c r="Q1993" s="67"/>
      <c r="R1993" s="67"/>
      <c r="S1993" s="67"/>
      <c r="T1993" s="67"/>
      <c r="U1993" s="67"/>
      <c r="V1993" s="67"/>
      <c r="W1993" s="85" t="str">
        <f aca="false">IF(AH1993="","",N(Q1993)+N(R1993)+N(S1993)+N(T1993)+N(U1993)+N(V1993))</f>
        <v/>
      </c>
      <c r="X1993" s="85" t="str">
        <f aca="false">IF(AH1993="","",P1993-W1993)</f>
        <v/>
      </c>
      <c r="Y1993" s="67"/>
      <c r="Z1993" s="70" t="str">
        <f aca="false">IF(OR(AH1993="",Y1993=""),"",IF(ABS(X1993-Y1993)&lt;=1,"✓ Cuadra","⚠ Diferencia $"&amp;FIXED(X1993-Y1993,0)))</f>
        <v/>
      </c>
      <c r="AA1993" s="72" t="str">
        <f aca="false">IF(AH1993="","",IFERROR(INDEX(C_TIPO,MATCH(C1993&amp;"-P"&amp;MAX(1,COUNTIFS(C_ID,C1993,C_DEFINE,"Sí",C_INICIO,"&lt;="&amp;EOMONTH(B1993,0))),C_CLAVE,0))&amp;"","Sin dato"))</f>
        <v/>
      </c>
      <c r="AB1993" s="71" t="str">
        <f aca="false">IF(AH1993="","",ROUND(MIN(K1993,TOPE_AFP_UF*AJ1993)*AK1993,0))</f>
        <v/>
      </c>
      <c r="AC1993" s="71" t="str">
        <f aca="false">IF(AH1993="","",ROUND(MIN(K1993,TOPE_AFC_UF*AJ1993)*IF(AA1993="Indefinido",AFC_EMP_INDEF,AFC_EMP_PF),0))</f>
        <v/>
      </c>
      <c r="AD1993" s="71" t="str">
        <f aca="false">IF(AH1993="","",ROUND(MIN(K1993,TOPE_AFP_UF*AJ1993)*(MUTUAL_BASICA+MUTUAL_ADIC+SANNA),0))</f>
        <v/>
      </c>
      <c r="AE1993" s="71" t="str">
        <f aca="false">IF(AH1993="","",P1993-N(N1993)+AB1993+AC1993+AD1993)</f>
        <v/>
      </c>
      <c r="AF1993" s="65"/>
      <c r="AG1993" s="64"/>
      <c r="AH1993" s="72" t="str">
        <f aca="false">IF(OR(B1993="",C1993=""),"",C1993&amp;"|"&amp;(YEAR(B1993)*100+MONTH(B1993)))</f>
        <v/>
      </c>
      <c r="AI1993" s="70" t="str">
        <f aca="false">IF(AH1993="","",IF(COUNTIF(L_CLAVE,AH1993)&gt;1,"⚠ Duplicado","OK"))</f>
        <v/>
      </c>
      <c r="AJ1993" s="86" t="str">
        <f aca="false">IF(AH1993="","",IF(SUMPRODUCT(MAX((IND_PER&lt;=B1993)*(IND_UF&lt;&gt;"")*IND_PER))=0,UF_HOY,INDEX(IND_UF,MATCH(SUMPRODUCT(MAX((IND_PER&lt;=B1993)*(IND_UF&lt;&gt;"")*IND_PER)),IND_PER,0))))</f>
        <v/>
      </c>
      <c r="AK1993" s="87" t="str">
        <f aca="false">IF(AH1993="","",IF(COUNTIF(TASA_DESDE,"&lt;="&amp;B1993)=0,INDEX(TASA_EMP,1),INDEX(TASA_EMP,COUNTIF(TASA_DESDE,"&lt;="&amp;B1993))))</f>
        <v/>
      </c>
    </row>
    <row r="1994" customFormat="false" ht="15" hidden="false" customHeight="false" outlineLevel="0" collapsed="false">
      <c r="B1994" s="78"/>
      <c r="C1994" s="64"/>
      <c r="D1994" s="72" t="str">
        <f aca="false">IF(C1994="","",IFERROR(INDEX(T_NOMBRE,MATCH(C1994,T_ID,0)),"⚠ ID no existe"))</f>
        <v/>
      </c>
      <c r="E1994" s="69"/>
      <c r="F1994" s="67"/>
      <c r="G1994" s="67"/>
      <c r="H1994" s="67"/>
      <c r="I1994" s="67"/>
      <c r="J1994" s="67"/>
      <c r="K1994" s="85" t="str">
        <f aca="false">IF(AH1994="","",N(F1994)+N(G1994)+N(H1994)-N(I1994)+N(J1994))</f>
        <v/>
      </c>
      <c r="L1994" s="67"/>
      <c r="M1994" s="67"/>
      <c r="N1994" s="67"/>
      <c r="O1994" s="67"/>
      <c r="P1994" s="85" t="str">
        <f aca="false">IF(AH1994="","",K1994+N(L1994)+N(M1994)+N(N1994)+N(O1994))</f>
        <v/>
      </c>
      <c r="Q1994" s="67"/>
      <c r="R1994" s="67"/>
      <c r="S1994" s="67"/>
      <c r="T1994" s="67"/>
      <c r="U1994" s="67"/>
      <c r="V1994" s="67"/>
      <c r="W1994" s="85" t="str">
        <f aca="false">IF(AH1994="","",N(Q1994)+N(R1994)+N(S1994)+N(T1994)+N(U1994)+N(V1994))</f>
        <v/>
      </c>
      <c r="X1994" s="85" t="str">
        <f aca="false">IF(AH1994="","",P1994-W1994)</f>
        <v/>
      </c>
      <c r="Y1994" s="67"/>
      <c r="Z1994" s="70" t="str">
        <f aca="false">IF(OR(AH1994="",Y1994=""),"",IF(ABS(X1994-Y1994)&lt;=1,"✓ Cuadra","⚠ Diferencia $"&amp;FIXED(X1994-Y1994,0)))</f>
        <v/>
      </c>
      <c r="AA1994" s="72" t="str">
        <f aca="false">IF(AH1994="","",IFERROR(INDEX(C_TIPO,MATCH(C1994&amp;"-P"&amp;MAX(1,COUNTIFS(C_ID,C1994,C_DEFINE,"Sí",C_INICIO,"&lt;="&amp;EOMONTH(B1994,0))),C_CLAVE,0))&amp;"","Sin dato"))</f>
        <v/>
      </c>
      <c r="AB1994" s="71" t="str">
        <f aca="false">IF(AH1994="","",ROUND(MIN(K1994,TOPE_AFP_UF*AJ1994)*AK1994,0))</f>
        <v/>
      </c>
      <c r="AC1994" s="71" t="str">
        <f aca="false">IF(AH1994="","",ROUND(MIN(K1994,TOPE_AFC_UF*AJ1994)*IF(AA1994="Indefinido",AFC_EMP_INDEF,AFC_EMP_PF),0))</f>
        <v/>
      </c>
      <c r="AD1994" s="71" t="str">
        <f aca="false">IF(AH1994="","",ROUND(MIN(K1994,TOPE_AFP_UF*AJ1994)*(MUTUAL_BASICA+MUTUAL_ADIC+SANNA),0))</f>
        <v/>
      </c>
      <c r="AE1994" s="71" t="str">
        <f aca="false">IF(AH1994="","",P1994-N(N1994)+AB1994+AC1994+AD1994)</f>
        <v/>
      </c>
      <c r="AF1994" s="65"/>
      <c r="AG1994" s="64"/>
      <c r="AH1994" s="72" t="str">
        <f aca="false">IF(OR(B1994="",C1994=""),"",C1994&amp;"|"&amp;(YEAR(B1994)*100+MONTH(B1994)))</f>
        <v/>
      </c>
      <c r="AI1994" s="70" t="str">
        <f aca="false">IF(AH1994="","",IF(COUNTIF(L_CLAVE,AH1994)&gt;1,"⚠ Duplicado","OK"))</f>
        <v/>
      </c>
      <c r="AJ1994" s="86" t="str">
        <f aca="false">IF(AH1994="","",IF(SUMPRODUCT(MAX((IND_PER&lt;=B1994)*(IND_UF&lt;&gt;"")*IND_PER))=0,UF_HOY,INDEX(IND_UF,MATCH(SUMPRODUCT(MAX((IND_PER&lt;=B1994)*(IND_UF&lt;&gt;"")*IND_PER)),IND_PER,0))))</f>
        <v/>
      </c>
      <c r="AK1994" s="87" t="str">
        <f aca="false">IF(AH1994="","",IF(COUNTIF(TASA_DESDE,"&lt;="&amp;B1994)=0,INDEX(TASA_EMP,1),INDEX(TASA_EMP,COUNTIF(TASA_DESDE,"&lt;="&amp;B1994))))</f>
        <v/>
      </c>
    </row>
    <row r="1995" customFormat="false" ht="15" hidden="false" customHeight="false" outlineLevel="0" collapsed="false">
      <c r="B1995" s="78"/>
      <c r="C1995" s="64"/>
      <c r="D1995" s="72" t="str">
        <f aca="false">IF(C1995="","",IFERROR(INDEX(T_NOMBRE,MATCH(C1995,T_ID,0)),"⚠ ID no existe"))</f>
        <v/>
      </c>
      <c r="E1995" s="69"/>
      <c r="F1995" s="67"/>
      <c r="G1995" s="67"/>
      <c r="H1995" s="67"/>
      <c r="I1995" s="67"/>
      <c r="J1995" s="67"/>
      <c r="K1995" s="85" t="str">
        <f aca="false">IF(AH1995="","",N(F1995)+N(G1995)+N(H1995)-N(I1995)+N(J1995))</f>
        <v/>
      </c>
      <c r="L1995" s="67"/>
      <c r="M1995" s="67"/>
      <c r="N1995" s="67"/>
      <c r="O1995" s="67"/>
      <c r="P1995" s="85" t="str">
        <f aca="false">IF(AH1995="","",K1995+N(L1995)+N(M1995)+N(N1995)+N(O1995))</f>
        <v/>
      </c>
      <c r="Q1995" s="67"/>
      <c r="R1995" s="67"/>
      <c r="S1995" s="67"/>
      <c r="T1995" s="67"/>
      <c r="U1995" s="67"/>
      <c r="V1995" s="67"/>
      <c r="W1995" s="85" t="str">
        <f aca="false">IF(AH1995="","",N(Q1995)+N(R1995)+N(S1995)+N(T1995)+N(U1995)+N(V1995))</f>
        <v/>
      </c>
      <c r="X1995" s="85" t="str">
        <f aca="false">IF(AH1995="","",P1995-W1995)</f>
        <v/>
      </c>
      <c r="Y1995" s="67"/>
      <c r="Z1995" s="70" t="str">
        <f aca="false">IF(OR(AH1995="",Y1995=""),"",IF(ABS(X1995-Y1995)&lt;=1,"✓ Cuadra","⚠ Diferencia $"&amp;FIXED(X1995-Y1995,0)))</f>
        <v/>
      </c>
      <c r="AA1995" s="72" t="str">
        <f aca="false">IF(AH1995="","",IFERROR(INDEX(C_TIPO,MATCH(C1995&amp;"-P"&amp;MAX(1,COUNTIFS(C_ID,C1995,C_DEFINE,"Sí",C_INICIO,"&lt;="&amp;EOMONTH(B1995,0))),C_CLAVE,0))&amp;"","Sin dato"))</f>
        <v/>
      </c>
      <c r="AB1995" s="71" t="str">
        <f aca="false">IF(AH1995="","",ROUND(MIN(K1995,TOPE_AFP_UF*AJ1995)*AK1995,0))</f>
        <v/>
      </c>
      <c r="AC1995" s="71" t="str">
        <f aca="false">IF(AH1995="","",ROUND(MIN(K1995,TOPE_AFC_UF*AJ1995)*IF(AA1995="Indefinido",AFC_EMP_INDEF,AFC_EMP_PF),0))</f>
        <v/>
      </c>
      <c r="AD1995" s="71" t="str">
        <f aca="false">IF(AH1995="","",ROUND(MIN(K1995,TOPE_AFP_UF*AJ1995)*(MUTUAL_BASICA+MUTUAL_ADIC+SANNA),0))</f>
        <v/>
      </c>
      <c r="AE1995" s="71" t="str">
        <f aca="false">IF(AH1995="","",P1995-N(N1995)+AB1995+AC1995+AD1995)</f>
        <v/>
      </c>
      <c r="AF1995" s="65"/>
      <c r="AG1995" s="64"/>
      <c r="AH1995" s="72" t="str">
        <f aca="false">IF(OR(B1995="",C1995=""),"",C1995&amp;"|"&amp;(YEAR(B1995)*100+MONTH(B1995)))</f>
        <v/>
      </c>
      <c r="AI1995" s="70" t="str">
        <f aca="false">IF(AH1995="","",IF(COUNTIF(L_CLAVE,AH1995)&gt;1,"⚠ Duplicado","OK"))</f>
        <v/>
      </c>
      <c r="AJ1995" s="86" t="str">
        <f aca="false">IF(AH1995="","",IF(SUMPRODUCT(MAX((IND_PER&lt;=B1995)*(IND_UF&lt;&gt;"")*IND_PER))=0,UF_HOY,INDEX(IND_UF,MATCH(SUMPRODUCT(MAX((IND_PER&lt;=B1995)*(IND_UF&lt;&gt;"")*IND_PER)),IND_PER,0))))</f>
        <v/>
      </c>
      <c r="AK1995" s="87" t="str">
        <f aca="false">IF(AH1995="","",IF(COUNTIF(TASA_DESDE,"&lt;="&amp;B1995)=0,INDEX(TASA_EMP,1),INDEX(TASA_EMP,COUNTIF(TASA_DESDE,"&lt;="&amp;B1995))))</f>
        <v/>
      </c>
    </row>
    <row r="1996" customFormat="false" ht="15" hidden="false" customHeight="false" outlineLevel="0" collapsed="false">
      <c r="B1996" s="78"/>
      <c r="C1996" s="64"/>
      <c r="D1996" s="72" t="str">
        <f aca="false">IF(C1996="","",IFERROR(INDEX(T_NOMBRE,MATCH(C1996,T_ID,0)),"⚠ ID no existe"))</f>
        <v/>
      </c>
      <c r="E1996" s="69"/>
      <c r="F1996" s="67"/>
      <c r="G1996" s="67"/>
      <c r="H1996" s="67"/>
      <c r="I1996" s="67"/>
      <c r="J1996" s="67"/>
      <c r="K1996" s="85" t="str">
        <f aca="false">IF(AH1996="","",N(F1996)+N(G1996)+N(H1996)-N(I1996)+N(J1996))</f>
        <v/>
      </c>
      <c r="L1996" s="67"/>
      <c r="M1996" s="67"/>
      <c r="N1996" s="67"/>
      <c r="O1996" s="67"/>
      <c r="P1996" s="85" t="str">
        <f aca="false">IF(AH1996="","",K1996+N(L1996)+N(M1996)+N(N1996)+N(O1996))</f>
        <v/>
      </c>
      <c r="Q1996" s="67"/>
      <c r="R1996" s="67"/>
      <c r="S1996" s="67"/>
      <c r="T1996" s="67"/>
      <c r="U1996" s="67"/>
      <c r="V1996" s="67"/>
      <c r="W1996" s="85" t="str">
        <f aca="false">IF(AH1996="","",N(Q1996)+N(R1996)+N(S1996)+N(T1996)+N(U1996)+N(V1996))</f>
        <v/>
      </c>
      <c r="X1996" s="85" t="str">
        <f aca="false">IF(AH1996="","",P1996-W1996)</f>
        <v/>
      </c>
      <c r="Y1996" s="67"/>
      <c r="Z1996" s="70" t="str">
        <f aca="false">IF(OR(AH1996="",Y1996=""),"",IF(ABS(X1996-Y1996)&lt;=1,"✓ Cuadra","⚠ Diferencia $"&amp;FIXED(X1996-Y1996,0)))</f>
        <v/>
      </c>
      <c r="AA1996" s="72" t="str">
        <f aca="false">IF(AH1996="","",IFERROR(INDEX(C_TIPO,MATCH(C1996&amp;"-P"&amp;MAX(1,COUNTIFS(C_ID,C1996,C_DEFINE,"Sí",C_INICIO,"&lt;="&amp;EOMONTH(B1996,0))),C_CLAVE,0))&amp;"","Sin dato"))</f>
        <v/>
      </c>
      <c r="AB1996" s="71" t="str">
        <f aca="false">IF(AH1996="","",ROUND(MIN(K1996,TOPE_AFP_UF*AJ1996)*AK1996,0))</f>
        <v/>
      </c>
      <c r="AC1996" s="71" t="str">
        <f aca="false">IF(AH1996="","",ROUND(MIN(K1996,TOPE_AFC_UF*AJ1996)*IF(AA1996="Indefinido",AFC_EMP_INDEF,AFC_EMP_PF),0))</f>
        <v/>
      </c>
      <c r="AD1996" s="71" t="str">
        <f aca="false">IF(AH1996="","",ROUND(MIN(K1996,TOPE_AFP_UF*AJ1996)*(MUTUAL_BASICA+MUTUAL_ADIC+SANNA),0))</f>
        <v/>
      </c>
      <c r="AE1996" s="71" t="str">
        <f aca="false">IF(AH1996="","",P1996-N(N1996)+AB1996+AC1996+AD1996)</f>
        <v/>
      </c>
      <c r="AF1996" s="65"/>
      <c r="AG1996" s="64"/>
      <c r="AH1996" s="72" t="str">
        <f aca="false">IF(OR(B1996="",C1996=""),"",C1996&amp;"|"&amp;(YEAR(B1996)*100+MONTH(B1996)))</f>
        <v/>
      </c>
      <c r="AI1996" s="70" t="str">
        <f aca="false">IF(AH1996="","",IF(COUNTIF(L_CLAVE,AH1996)&gt;1,"⚠ Duplicado","OK"))</f>
        <v/>
      </c>
      <c r="AJ1996" s="86" t="str">
        <f aca="false">IF(AH1996="","",IF(SUMPRODUCT(MAX((IND_PER&lt;=B1996)*(IND_UF&lt;&gt;"")*IND_PER))=0,UF_HOY,INDEX(IND_UF,MATCH(SUMPRODUCT(MAX((IND_PER&lt;=B1996)*(IND_UF&lt;&gt;"")*IND_PER)),IND_PER,0))))</f>
        <v/>
      </c>
      <c r="AK1996" s="87" t="str">
        <f aca="false">IF(AH1996="","",IF(COUNTIF(TASA_DESDE,"&lt;="&amp;B1996)=0,INDEX(TASA_EMP,1),INDEX(TASA_EMP,COUNTIF(TASA_DESDE,"&lt;="&amp;B1996))))</f>
        <v/>
      </c>
    </row>
    <row r="1997" customFormat="false" ht="15" hidden="false" customHeight="false" outlineLevel="0" collapsed="false">
      <c r="B1997" s="78"/>
      <c r="C1997" s="64"/>
      <c r="D1997" s="72" t="str">
        <f aca="false">IF(C1997="","",IFERROR(INDEX(T_NOMBRE,MATCH(C1997,T_ID,0)),"⚠ ID no existe"))</f>
        <v/>
      </c>
      <c r="E1997" s="69"/>
      <c r="F1997" s="67"/>
      <c r="G1997" s="67"/>
      <c r="H1997" s="67"/>
      <c r="I1997" s="67"/>
      <c r="J1997" s="67"/>
      <c r="K1997" s="85" t="str">
        <f aca="false">IF(AH1997="","",N(F1997)+N(G1997)+N(H1997)-N(I1997)+N(J1997))</f>
        <v/>
      </c>
      <c r="L1997" s="67"/>
      <c r="M1997" s="67"/>
      <c r="N1997" s="67"/>
      <c r="O1997" s="67"/>
      <c r="P1997" s="85" t="str">
        <f aca="false">IF(AH1997="","",K1997+N(L1997)+N(M1997)+N(N1997)+N(O1997))</f>
        <v/>
      </c>
      <c r="Q1997" s="67"/>
      <c r="R1997" s="67"/>
      <c r="S1997" s="67"/>
      <c r="T1997" s="67"/>
      <c r="U1997" s="67"/>
      <c r="V1997" s="67"/>
      <c r="W1997" s="85" t="str">
        <f aca="false">IF(AH1997="","",N(Q1997)+N(R1997)+N(S1997)+N(T1997)+N(U1997)+N(V1997))</f>
        <v/>
      </c>
      <c r="X1997" s="85" t="str">
        <f aca="false">IF(AH1997="","",P1997-W1997)</f>
        <v/>
      </c>
      <c r="Y1997" s="67"/>
      <c r="Z1997" s="70" t="str">
        <f aca="false">IF(OR(AH1997="",Y1997=""),"",IF(ABS(X1997-Y1997)&lt;=1,"✓ Cuadra","⚠ Diferencia $"&amp;FIXED(X1997-Y1997,0)))</f>
        <v/>
      </c>
      <c r="AA1997" s="72" t="str">
        <f aca="false">IF(AH1997="","",IFERROR(INDEX(C_TIPO,MATCH(C1997&amp;"-P"&amp;MAX(1,COUNTIFS(C_ID,C1997,C_DEFINE,"Sí",C_INICIO,"&lt;="&amp;EOMONTH(B1997,0))),C_CLAVE,0))&amp;"","Sin dato"))</f>
        <v/>
      </c>
      <c r="AB1997" s="71" t="str">
        <f aca="false">IF(AH1997="","",ROUND(MIN(K1997,TOPE_AFP_UF*AJ1997)*AK1997,0))</f>
        <v/>
      </c>
      <c r="AC1997" s="71" t="str">
        <f aca="false">IF(AH1997="","",ROUND(MIN(K1997,TOPE_AFC_UF*AJ1997)*IF(AA1997="Indefinido",AFC_EMP_INDEF,AFC_EMP_PF),0))</f>
        <v/>
      </c>
      <c r="AD1997" s="71" t="str">
        <f aca="false">IF(AH1997="","",ROUND(MIN(K1997,TOPE_AFP_UF*AJ1997)*(MUTUAL_BASICA+MUTUAL_ADIC+SANNA),0))</f>
        <v/>
      </c>
      <c r="AE1997" s="71" t="str">
        <f aca="false">IF(AH1997="","",P1997-N(N1997)+AB1997+AC1997+AD1997)</f>
        <v/>
      </c>
      <c r="AF1997" s="65"/>
      <c r="AG1997" s="64"/>
      <c r="AH1997" s="72" t="str">
        <f aca="false">IF(OR(B1997="",C1997=""),"",C1997&amp;"|"&amp;(YEAR(B1997)*100+MONTH(B1997)))</f>
        <v/>
      </c>
      <c r="AI1997" s="70" t="str">
        <f aca="false">IF(AH1997="","",IF(COUNTIF(L_CLAVE,AH1997)&gt;1,"⚠ Duplicado","OK"))</f>
        <v/>
      </c>
      <c r="AJ1997" s="86" t="str">
        <f aca="false">IF(AH1997="","",IF(SUMPRODUCT(MAX((IND_PER&lt;=B1997)*(IND_UF&lt;&gt;"")*IND_PER))=0,UF_HOY,INDEX(IND_UF,MATCH(SUMPRODUCT(MAX((IND_PER&lt;=B1997)*(IND_UF&lt;&gt;"")*IND_PER)),IND_PER,0))))</f>
        <v/>
      </c>
      <c r="AK1997" s="87" t="str">
        <f aca="false">IF(AH1997="","",IF(COUNTIF(TASA_DESDE,"&lt;="&amp;B1997)=0,INDEX(TASA_EMP,1),INDEX(TASA_EMP,COUNTIF(TASA_DESDE,"&lt;="&amp;B1997))))</f>
        <v/>
      </c>
    </row>
    <row r="1998" customFormat="false" ht="15" hidden="false" customHeight="false" outlineLevel="0" collapsed="false">
      <c r="B1998" s="78"/>
      <c r="C1998" s="64"/>
      <c r="D1998" s="72" t="str">
        <f aca="false">IF(C1998="","",IFERROR(INDEX(T_NOMBRE,MATCH(C1998,T_ID,0)),"⚠ ID no existe"))</f>
        <v/>
      </c>
      <c r="E1998" s="69"/>
      <c r="F1998" s="67"/>
      <c r="G1998" s="67"/>
      <c r="H1998" s="67"/>
      <c r="I1998" s="67"/>
      <c r="J1998" s="67"/>
      <c r="K1998" s="85" t="str">
        <f aca="false">IF(AH1998="","",N(F1998)+N(G1998)+N(H1998)-N(I1998)+N(J1998))</f>
        <v/>
      </c>
      <c r="L1998" s="67"/>
      <c r="M1998" s="67"/>
      <c r="N1998" s="67"/>
      <c r="O1998" s="67"/>
      <c r="P1998" s="85" t="str">
        <f aca="false">IF(AH1998="","",K1998+N(L1998)+N(M1998)+N(N1998)+N(O1998))</f>
        <v/>
      </c>
      <c r="Q1998" s="67"/>
      <c r="R1998" s="67"/>
      <c r="S1998" s="67"/>
      <c r="T1998" s="67"/>
      <c r="U1998" s="67"/>
      <c r="V1998" s="67"/>
      <c r="W1998" s="85" t="str">
        <f aca="false">IF(AH1998="","",N(Q1998)+N(R1998)+N(S1998)+N(T1998)+N(U1998)+N(V1998))</f>
        <v/>
      </c>
      <c r="X1998" s="85" t="str">
        <f aca="false">IF(AH1998="","",P1998-W1998)</f>
        <v/>
      </c>
      <c r="Y1998" s="67"/>
      <c r="Z1998" s="70" t="str">
        <f aca="false">IF(OR(AH1998="",Y1998=""),"",IF(ABS(X1998-Y1998)&lt;=1,"✓ Cuadra","⚠ Diferencia $"&amp;FIXED(X1998-Y1998,0)))</f>
        <v/>
      </c>
      <c r="AA1998" s="72" t="str">
        <f aca="false">IF(AH1998="","",IFERROR(INDEX(C_TIPO,MATCH(C1998&amp;"-P"&amp;MAX(1,COUNTIFS(C_ID,C1998,C_DEFINE,"Sí",C_INICIO,"&lt;="&amp;EOMONTH(B1998,0))),C_CLAVE,0))&amp;"","Sin dato"))</f>
        <v/>
      </c>
      <c r="AB1998" s="71" t="str">
        <f aca="false">IF(AH1998="","",ROUND(MIN(K1998,TOPE_AFP_UF*AJ1998)*AK1998,0))</f>
        <v/>
      </c>
      <c r="AC1998" s="71" t="str">
        <f aca="false">IF(AH1998="","",ROUND(MIN(K1998,TOPE_AFC_UF*AJ1998)*IF(AA1998="Indefinido",AFC_EMP_INDEF,AFC_EMP_PF),0))</f>
        <v/>
      </c>
      <c r="AD1998" s="71" t="str">
        <f aca="false">IF(AH1998="","",ROUND(MIN(K1998,TOPE_AFP_UF*AJ1998)*(MUTUAL_BASICA+MUTUAL_ADIC+SANNA),0))</f>
        <v/>
      </c>
      <c r="AE1998" s="71" t="str">
        <f aca="false">IF(AH1998="","",P1998-N(N1998)+AB1998+AC1998+AD1998)</f>
        <v/>
      </c>
      <c r="AF1998" s="65"/>
      <c r="AG1998" s="64"/>
      <c r="AH1998" s="72" t="str">
        <f aca="false">IF(OR(B1998="",C1998=""),"",C1998&amp;"|"&amp;(YEAR(B1998)*100+MONTH(B1998)))</f>
        <v/>
      </c>
      <c r="AI1998" s="70" t="str">
        <f aca="false">IF(AH1998="","",IF(COUNTIF(L_CLAVE,AH1998)&gt;1,"⚠ Duplicado","OK"))</f>
        <v/>
      </c>
      <c r="AJ1998" s="86" t="str">
        <f aca="false">IF(AH1998="","",IF(SUMPRODUCT(MAX((IND_PER&lt;=B1998)*(IND_UF&lt;&gt;"")*IND_PER))=0,UF_HOY,INDEX(IND_UF,MATCH(SUMPRODUCT(MAX((IND_PER&lt;=B1998)*(IND_UF&lt;&gt;"")*IND_PER)),IND_PER,0))))</f>
        <v/>
      </c>
      <c r="AK1998" s="87" t="str">
        <f aca="false">IF(AH1998="","",IF(COUNTIF(TASA_DESDE,"&lt;="&amp;B1998)=0,INDEX(TASA_EMP,1),INDEX(TASA_EMP,COUNTIF(TASA_DESDE,"&lt;="&amp;B1998))))</f>
        <v/>
      </c>
    </row>
    <row r="1999" customFormat="false" ht="15" hidden="false" customHeight="false" outlineLevel="0" collapsed="false">
      <c r="B1999" s="78"/>
      <c r="C1999" s="64"/>
      <c r="D1999" s="72" t="str">
        <f aca="false">IF(C1999="","",IFERROR(INDEX(T_NOMBRE,MATCH(C1999,T_ID,0)),"⚠ ID no existe"))</f>
        <v/>
      </c>
      <c r="E1999" s="69"/>
      <c r="F1999" s="67"/>
      <c r="G1999" s="67"/>
      <c r="H1999" s="67"/>
      <c r="I1999" s="67"/>
      <c r="J1999" s="67"/>
      <c r="K1999" s="85" t="str">
        <f aca="false">IF(AH1999="","",N(F1999)+N(G1999)+N(H1999)-N(I1999)+N(J1999))</f>
        <v/>
      </c>
      <c r="L1999" s="67"/>
      <c r="M1999" s="67"/>
      <c r="N1999" s="67"/>
      <c r="O1999" s="67"/>
      <c r="P1999" s="85" t="str">
        <f aca="false">IF(AH1999="","",K1999+N(L1999)+N(M1999)+N(N1999)+N(O1999))</f>
        <v/>
      </c>
      <c r="Q1999" s="67"/>
      <c r="R1999" s="67"/>
      <c r="S1999" s="67"/>
      <c r="T1999" s="67"/>
      <c r="U1999" s="67"/>
      <c r="V1999" s="67"/>
      <c r="W1999" s="85" t="str">
        <f aca="false">IF(AH1999="","",N(Q1999)+N(R1999)+N(S1999)+N(T1999)+N(U1999)+N(V1999))</f>
        <v/>
      </c>
      <c r="X1999" s="85" t="str">
        <f aca="false">IF(AH1999="","",P1999-W1999)</f>
        <v/>
      </c>
      <c r="Y1999" s="67"/>
      <c r="Z1999" s="70" t="str">
        <f aca="false">IF(OR(AH1999="",Y1999=""),"",IF(ABS(X1999-Y1999)&lt;=1,"✓ Cuadra","⚠ Diferencia $"&amp;FIXED(X1999-Y1999,0)))</f>
        <v/>
      </c>
      <c r="AA1999" s="72" t="str">
        <f aca="false">IF(AH1999="","",IFERROR(INDEX(C_TIPO,MATCH(C1999&amp;"-P"&amp;MAX(1,COUNTIFS(C_ID,C1999,C_DEFINE,"Sí",C_INICIO,"&lt;="&amp;EOMONTH(B1999,0))),C_CLAVE,0))&amp;"","Sin dato"))</f>
        <v/>
      </c>
      <c r="AB1999" s="71" t="str">
        <f aca="false">IF(AH1999="","",ROUND(MIN(K1999,TOPE_AFP_UF*AJ1999)*AK1999,0))</f>
        <v/>
      </c>
      <c r="AC1999" s="71" t="str">
        <f aca="false">IF(AH1999="","",ROUND(MIN(K1999,TOPE_AFC_UF*AJ1999)*IF(AA1999="Indefinido",AFC_EMP_INDEF,AFC_EMP_PF),0))</f>
        <v/>
      </c>
      <c r="AD1999" s="71" t="str">
        <f aca="false">IF(AH1999="","",ROUND(MIN(K1999,TOPE_AFP_UF*AJ1999)*(MUTUAL_BASICA+MUTUAL_ADIC+SANNA),0))</f>
        <v/>
      </c>
      <c r="AE1999" s="71" t="str">
        <f aca="false">IF(AH1999="","",P1999-N(N1999)+AB1999+AC1999+AD1999)</f>
        <v/>
      </c>
      <c r="AF1999" s="65"/>
      <c r="AG1999" s="64"/>
      <c r="AH1999" s="72" t="str">
        <f aca="false">IF(OR(B1999="",C1999=""),"",C1999&amp;"|"&amp;(YEAR(B1999)*100+MONTH(B1999)))</f>
        <v/>
      </c>
      <c r="AI1999" s="70" t="str">
        <f aca="false">IF(AH1999="","",IF(COUNTIF(L_CLAVE,AH1999)&gt;1,"⚠ Duplicado","OK"))</f>
        <v/>
      </c>
      <c r="AJ1999" s="86" t="str">
        <f aca="false">IF(AH1999="","",IF(SUMPRODUCT(MAX((IND_PER&lt;=B1999)*(IND_UF&lt;&gt;"")*IND_PER))=0,UF_HOY,INDEX(IND_UF,MATCH(SUMPRODUCT(MAX((IND_PER&lt;=B1999)*(IND_UF&lt;&gt;"")*IND_PER)),IND_PER,0))))</f>
        <v/>
      </c>
      <c r="AK1999" s="87" t="str">
        <f aca="false">IF(AH1999="","",IF(COUNTIF(TASA_DESDE,"&lt;="&amp;B1999)=0,INDEX(TASA_EMP,1),INDEX(TASA_EMP,COUNTIF(TASA_DESDE,"&lt;="&amp;B1999))))</f>
        <v/>
      </c>
    </row>
    <row r="2000" customFormat="false" ht="15" hidden="false" customHeight="false" outlineLevel="0" collapsed="false">
      <c r="B2000" s="78"/>
      <c r="C2000" s="64"/>
      <c r="D2000" s="72" t="str">
        <f aca="false">IF(C2000="","",IFERROR(INDEX(T_NOMBRE,MATCH(C2000,T_ID,0)),"⚠ ID no existe"))</f>
        <v/>
      </c>
      <c r="E2000" s="69"/>
      <c r="F2000" s="67"/>
      <c r="G2000" s="67"/>
      <c r="H2000" s="67"/>
      <c r="I2000" s="67"/>
      <c r="J2000" s="67"/>
      <c r="K2000" s="85" t="str">
        <f aca="false">IF(AH2000="","",N(F2000)+N(G2000)+N(H2000)-N(I2000)+N(J2000))</f>
        <v/>
      </c>
      <c r="L2000" s="67"/>
      <c r="M2000" s="67"/>
      <c r="N2000" s="67"/>
      <c r="O2000" s="67"/>
      <c r="P2000" s="85" t="str">
        <f aca="false">IF(AH2000="","",K2000+N(L2000)+N(M2000)+N(N2000)+N(O2000))</f>
        <v/>
      </c>
      <c r="Q2000" s="67"/>
      <c r="R2000" s="67"/>
      <c r="S2000" s="67"/>
      <c r="T2000" s="67"/>
      <c r="U2000" s="67"/>
      <c r="V2000" s="67"/>
      <c r="W2000" s="85" t="str">
        <f aca="false">IF(AH2000="","",N(Q2000)+N(R2000)+N(S2000)+N(T2000)+N(U2000)+N(V2000))</f>
        <v/>
      </c>
      <c r="X2000" s="85" t="str">
        <f aca="false">IF(AH2000="","",P2000-W2000)</f>
        <v/>
      </c>
      <c r="Y2000" s="67"/>
      <c r="Z2000" s="70" t="str">
        <f aca="false">IF(OR(AH2000="",Y2000=""),"",IF(ABS(X2000-Y2000)&lt;=1,"✓ Cuadra","⚠ Diferencia $"&amp;FIXED(X2000-Y2000,0)))</f>
        <v/>
      </c>
      <c r="AA2000" s="72" t="str">
        <f aca="false">IF(AH2000="","",IFERROR(INDEX(C_TIPO,MATCH(C2000&amp;"-P"&amp;MAX(1,COUNTIFS(C_ID,C2000,C_DEFINE,"Sí",C_INICIO,"&lt;="&amp;EOMONTH(B2000,0))),C_CLAVE,0))&amp;"","Sin dato"))</f>
        <v/>
      </c>
      <c r="AB2000" s="71" t="str">
        <f aca="false">IF(AH2000="","",ROUND(MIN(K2000,TOPE_AFP_UF*AJ2000)*AK2000,0))</f>
        <v/>
      </c>
      <c r="AC2000" s="71" t="str">
        <f aca="false">IF(AH2000="","",ROUND(MIN(K2000,TOPE_AFC_UF*AJ2000)*IF(AA2000="Indefinido",AFC_EMP_INDEF,AFC_EMP_PF),0))</f>
        <v/>
      </c>
      <c r="AD2000" s="71" t="str">
        <f aca="false">IF(AH2000="","",ROUND(MIN(K2000,TOPE_AFP_UF*AJ2000)*(MUTUAL_BASICA+MUTUAL_ADIC+SANNA),0))</f>
        <v/>
      </c>
      <c r="AE2000" s="71" t="str">
        <f aca="false">IF(AH2000="","",P2000-N(N2000)+AB2000+AC2000+AD2000)</f>
        <v/>
      </c>
      <c r="AF2000" s="65"/>
      <c r="AG2000" s="64"/>
      <c r="AH2000" s="72" t="str">
        <f aca="false">IF(OR(B2000="",C2000=""),"",C2000&amp;"|"&amp;(YEAR(B2000)*100+MONTH(B2000)))</f>
        <v/>
      </c>
      <c r="AI2000" s="70" t="str">
        <f aca="false">IF(AH2000="","",IF(COUNTIF(L_CLAVE,AH2000)&gt;1,"⚠ Duplicado","OK"))</f>
        <v/>
      </c>
      <c r="AJ2000" s="86" t="str">
        <f aca="false">IF(AH2000="","",IF(SUMPRODUCT(MAX((IND_PER&lt;=B2000)*(IND_UF&lt;&gt;"")*IND_PER))=0,UF_HOY,INDEX(IND_UF,MATCH(SUMPRODUCT(MAX((IND_PER&lt;=B2000)*(IND_UF&lt;&gt;"")*IND_PER)),IND_PER,0))))</f>
        <v/>
      </c>
      <c r="AK2000" s="87" t="str">
        <f aca="false">IF(AH2000="","",IF(COUNTIF(TASA_DESDE,"&lt;="&amp;B2000)=0,INDEX(TASA_EMP,1),INDEX(TASA_EMP,COUNTIF(TASA_DESDE,"&lt;="&amp;B2000))))</f>
        <v/>
      </c>
    </row>
    <row r="2001" customFormat="false" ht="15" hidden="false" customHeight="false" outlineLevel="0" collapsed="false">
      <c r="B2001" s="78"/>
      <c r="C2001" s="64"/>
      <c r="D2001" s="72" t="str">
        <f aca="false">IF(C2001="","",IFERROR(INDEX(T_NOMBRE,MATCH(C2001,T_ID,0)),"⚠ ID no existe"))</f>
        <v/>
      </c>
      <c r="E2001" s="69"/>
      <c r="F2001" s="67"/>
      <c r="G2001" s="67"/>
      <c r="H2001" s="67"/>
      <c r="I2001" s="67"/>
      <c r="J2001" s="67"/>
      <c r="K2001" s="85" t="str">
        <f aca="false">IF(AH2001="","",N(F2001)+N(G2001)+N(H2001)-N(I2001)+N(J2001))</f>
        <v/>
      </c>
      <c r="L2001" s="67"/>
      <c r="M2001" s="67"/>
      <c r="N2001" s="67"/>
      <c r="O2001" s="67"/>
      <c r="P2001" s="85" t="str">
        <f aca="false">IF(AH2001="","",K2001+N(L2001)+N(M2001)+N(N2001)+N(O2001))</f>
        <v/>
      </c>
      <c r="Q2001" s="67"/>
      <c r="R2001" s="67"/>
      <c r="S2001" s="67"/>
      <c r="T2001" s="67"/>
      <c r="U2001" s="67"/>
      <c r="V2001" s="67"/>
      <c r="W2001" s="85" t="str">
        <f aca="false">IF(AH2001="","",N(Q2001)+N(R2001)+N(S2001)+N(T2001)+N(U2001)+N(V2001))</f>
        <v/>
      </c>
      <c r="X2001" s="85" t="str">
        <f aca="false">IF(AH2001="","",P2001-W2001)</f>
        <v/>
      </c>
      <c r="Y2001" s="67"/>
      <c r="Z2001" s="70" t="str">
        <f aca="false">IF(OR(AH2001="",Y2001=""),"",IF(ABS(X2001-Y2001)&lt;=1,"✓ Cuadra","⚠ Diferencia $"&amp;FIXED(X2001-Y2001,0)))</f>
        <v/>
      </c>
      <c r="AA2001" s="72" t="str">
        <f aca="false">IF(AH2001="","",IFERROR(INDEX(C_TIPO,MATCH(C2001&amp;"-P"&amp;MAX(1,COUNTIFS(C_ID,C2001,C_DEFINE,"Sí",C_INICIO,"&lt;="&amp;EOMONTH(B2001,0))),C_CLAVE,0))&amp;"","Sin dato"))</f>
        <v/>
      </c>
      <c r="AB2001" s="71" t="str">
        <f aca="false">IF(AH2001="","",ROUND(MIN(K2001,TOPE_AFP_UF*AJ2001)*AK2001,0))</f>
        <v/>
      </c>
      <c r="AC2001" s="71" t="str">
        <f aca="false">IF(AH2001="","",ROUND(MIN(K2001,TOPE_AFC_UF*AJ2001)*IF(AA2001="Indefinido",AFC_EMP_INDEF,AFC_EMP_PF),0))</f>
        <v/>
      </c>
      <c r="AD2001" s="71" t="str">
        <f aca="false">IF(AH2001="","",ROUND(MIN(K2001,TOPE_AFP_UF*AJ2001)*(MUTUAL_BASICA+MUTUAL_ADIC+SANNA),0))</f>
        <v/>
      </c>
      <c r="AE2001" s="71" t="str">
        <f aca="false">IF(AH2001="","",P2001-N(N2001)+AB2001+AC2001+AD2001)</f>
        <v/>
      </c>
      <c r="AF2001" s="65"/>
      <c r="AG2001" s="64"/>
      <c r="AH2001" s="72" t="str">
        <f aca="false">IF(OR(B2001="",C2001=""),"",C2001&amp;"|"&amp;(YEAR(B2001)*100+MONTH(B2001)))</f>
        <v/>
      </c>
      <c r="AI2001" s="70" t="str">
        <f aca="false">IF(AH2001="","",IF(COUNTIF(L_CLAVE,AH2001)&gt;1,"⚠ Duplicado","OK"))</f>
        <v/>
      </c>
      <c r="AJ2001" s="86" t="str">
        <f aca="false">IF(AH2001="","",IF(SUMPRODUCT(MAX((IND_PER&lt;=B2001)*(IND_UF&lt;&gt;"")*IND_PER))=0,UF_HOY,INDEX(IND_UF,MATCH(SUMPRODUCT(MAX((IND_PER&lt;=B2001)*(IND_UF&lt;&gt;"")*IND_PER)),IND_PER,0))))</f>
        <v/>
      </c>
      <c r="AK2001" s="87" t="str">
        <f aca="false">IF(AH2001="","",IF(COUNTIF(TASA_DESDE,"&lt;="&amp;B2001)=0,INDEX(TASA_EMP,1),INDEX(TASA_EMP,COUNTIF(TASA_DESDE,"&lt;="&amp;B2001))))</f>
        <v/>
      </c>
    </row>
    <row r="2002" customFormat="false" ht="15" hidden="false" customHeight="false" outlineLevel="0" collapsed="false">
      <c r="B2002" s="78"/>
      <c r="C2002" s="64"/>
      <c r="D2002" s="72" t="str">
        <f aca="false">IF(C2002="","",IFERROR(INDEX(T_NOMBRE,MATCH(C2002,T_ID,0)),"⚠ ID no existe"))</f>
        <v/>
      </c>
      <c r="E2002" s="69"/>
      <c r="F2002" s="67"/>
      <c r="G2002" s="67"/>
      <c r="H2002" s="67"/>
      <c r="I2002" s="67"/>
      <c r="J2002" s="67"/>
      <c r="K2002" s="85" t="str">
        <f aca="false">IF(AH2002="","",N(F2002)+N(G2002)+N(H2002)-N(I2002)+N(J2002))</f>
        <v/>
      </c>
      <c r="L2002" s="67"/>
      <c r="M2002" s="67"/>
      <c r="N2002" s="67"/>
      <c r="O2002" s="67"/>
      <c r="P2002" s="85" t="str">
        <f aca="false">IF(AH2002="","",K2002+N(L2002)+N(M2002)+N(N2002)+N(O2002))</f>
        <v/>
      </c>
      <c r="Q2002" s="67"/>
      <c r="R2002" s="67"/>
      <c r="S2002" s="67"/>
      <c r="T2002" s="67"/>
      <c r="U2002" s="67"/>
      <c r="V2002" s="67"/>
      <c r="W2002" s="85" t="str">
        <f aca="false">IF(AH2002="","",N(Q2002)+N(R2002)+N(S2002)+N(T2002)+N(U2002)+N(V2002))</f>
        <v/>
      </c>
      <c r="X2002" s="85" t="str">
        <f aca="false">IF(AH2002="","",P2002-W2002)</f>
        <v/>
      </c>
      <c r="Y2002" s="67"/>
      <c r="Z2002" s="70" t="str">
        <f aca="false">IF(OR(AH2002="",Y2002=""),"",IF(ABS(X2002-Y2002)&lt;=1,"✓ Cuadra","⚠ Diferencia $"&amp;FIXED(X2002-Y2002,0)))</f>
        <v/>
      </c>
      <c r="AA2002" s="72" t="str">
        <f aca="false">IF(AH2002="","",IFERROR(INDEX(C_TIPO,MATCH(C2002&amp;"-P"&amp;MAX(1,COUNTIFS(C_ID,C2002,C_DEFINE,"Sí",C_INICIO,"&lt;="&amp;EOMONTH(B2002,0))),C_CLAVE,0))&amp;"","Sin dato"))</f>
        <v/>
      </c>
      <c r="AB2002" s="71" t="str">
        <f aca="false">IF(AH2002="","",ROUND(MIN(K2002,TOPE_AFP_UF*AJ2002)*AK2002,0))</f>
        <v/>
      </c>
      <c r="AC2002" s="71" t="str">
        <f aca="false">IF(AH2002="","",ROUND(MIN(K2002,TOPE_AFC_UF*AJ2002)*IF(AA2002="Indefinido",AFC_EMP_INDEF,AFC_EMP_PF),0))</f>
        <v/>
      </c>
      <c r="AD2002" s="71" t="str">
        <f aca="false">IF(AH2002="","",ROUND(MIN(K2002,TOPE_AFP_UF*AJ2002)*(MUTUAL_BASICA+MUTUAL_ADIC+SANNA),0))</f>
        <v/>
      </c>
      <c r="AE2002" s="71" t="str">
        <f aca="false">IF(AH2002="","",P2002-N(N2002)+AB2002+AC2002+AD2002)</f>
        <v/>
      </c>
      <c r="AF2002" s="65"/>
      <c r="AG2002" s="64"/>
      <c r="AH2002" s="72" t="str">
        <f aca="false">IF(OR(B2002="",C2002=""),"",C2002&amp;"|"&amp;(YEAR(B2002)*100+MONTH(B2002)))</f>
        <v/>
      </c>
      <c r="AI2002" s="70" t="str">
        <f aca="false">IF(AH2002="","",IF(COUNTIF(L_CLAVE,AH2002)&gt;1,"⚠ Duplicado","OK"))</f>
        <v/>
      </c>
      <c r="AJ2002" s="86" t="str">
        <f aca="false">IF(AH2002="","",IF(SUMPRODUCT(MAX((IND_PER&lt;=B2002)*(IND_UF&lt;&gt;"")*IND_PER))=0,UF_HOY,INDEX(IND_UF,MATCH(SUMPRODUCT(MAX((IND_PER&lt;=B2002)*(IND_UF&lt;&gt;"")*IND_PER)),IND_PER,0))))</f>
        <v/>
      </c>
      <c r="AK2002" s="87" t="str">
        <f aca="false">IF(AH2002="","",IF(COUNTIF(TASA_DESDE,"&lt;="&amp;B2002)=0,INDEX(TASA_EMP,1),INDEX(TASA_EMP,COUNTIF(TASA_DESDE,"&lt;="&amp;B2002))))</f>
        <v/>
      </c>
    </row>
    <row r="2003" customFormat="false" ht="15" hidden="false" customHeight="false" outlineLevel="0" collapsed="false">
      <c r="B2003" s="78"/>
      <c r="C2003" s="64"/>
      <c r="D2003" s="72" t="str">
        <f aca="false">IF(C2003="","",IFERROR(INDEX(T_NOMBRE,MATCH(C2003,T_ID,0)),"⚠ ID no existe"))</f>
        <v/>
      </c>
      <c r="E2003" s="69"/>
      <c r="F2003" s="67"/>
      <c r="G2003" s="67"/>
      <c r="H2003" s="67"/>
      <c r="I2003" s="67"/>
      <c r="J2003" s="67"/>
      <c r="K2003" s="85" t="str">
        <f aca="false">IF(AH2003="","",N(F2003)+N(G2003)+N(H2003)-N(I2003)+N(J2003))</f>
        <v/>
      </c>
      <c r="L2003" s="67"/>
      <c r="M2003" s="67"/>
      <c r="N2003" s="67"/>
      <c r="O2003" s="67"/>
      <c r="P2003" s="85" t="str">
        <f aca="false">IF(AH2003="","",K2003+N(L2003)+N(M2003)+N(N2003)+N(O2003))</f>
        <v/>
      </c>
      <c r="Q2003" s="67"/>
      <c r="R2003" s="67"/>
      <c r="S2003" s="67"/>
      <c r="T2003" s="67"/>
      <c r="U2003" s="67"/>
      <c r="V2003" s="67"/>
      <c r="W2003" s="85" t="str">
        <f aca="false">IF(AH2003="","",N(Q2003)+N(R2003)+N(S2003)+N(T2003)+N(U2003)+N(V2003))</f>
        <v/>
      </c>
      <c r="X2003" s="85" t="str">
        <f aca="false">IF(AH2003="","",P2003-W2003)</f>
        <v/>
      </c>
      <c r="Y2003" s="67"/>
      <c r="Z2003" s="70" t="str">
        <f aca="false">IF(OR(AH2003="",Y2003=""),"",IF(ABS(X2003-Y2003)&lt;=1,"✓ Cuadra","⚠ Diferencia $"&amp;FIXED(X2003-Y2003,0)))</f>
        <v/>
      </c>
      <c r="AA2003" s="72" t="str">
        <f aca="false">IF(AH2003="","",IFERROR(INDEX(C_TIPO,MATCH(C2003&amp;"-P"&amp;MAX(1,COUNTIFS(C_ID,C2003,C_DEFINE,"Sí",C_INICIO,"&lt;="&amp;EOMONTH(B2003,0))),C_CLAVE,0))&amp;"","Sin dato"))</f>
        <v/>
      </c>
      <c r="AB2003" s="71" t="str">
        <f aca="false">IF(AH2003="","",ROUND(MIN(K2003,TOPE_AFP_UF*AJ2003)*AK2003,0))</f>
        <v/>
      </c>
      <c r="AC2003" s="71" t="str">
        <f aca="false">IF(AH2003="","",ROUND(MIN(K2003,TOPE_AFC_UF*AJ2003)*IF(AA2003="Indefinido",AFC_EMP_INDEF,AFC_EMP_PF),0))</f>
        <v/>
      </c>
      <c r="AD2003" s="71" t="str">
        <f aca="false">IF(AH2003="","",ROUND(MIN(K2003,TOPE_AFP_UF*AJ2003)*(MUTUAL_BASICA+MUTUAL_ADIC+SANNA),0))</f>
        <v/>
      </c>
      <c r="AE2003" s="71" t="str">
        <f aca="false">IF(AH2003="","",P2003-N(N2003)+AB2003+AC2003+AD2003)</f>
        <v/>
      </c>
      <c r="AF2003" s="65"/>
      <c r="AG2003" s="64"/>
      <c r="AH2003" s="72" t="str">
        <f aca="false">IF(OR(B2003="",C2003=""),"",C2003&amp;"|"&amp;(YEAR(B2003)*100+MONTH(B2003)))</f>
        <v/>
      </c>
      <c r="AI2003" s="70" t="str">
        <f aca="false">IF(AH2003="","",IF(COUNTIF(L_CLAVE,AH2003)&gt;1,"⚠ Duplicado","OK"))</f>
        <v/>
      </c>
      <c r="AJ2003" s="86" t="str">
        <f aca="false">IF(AH2003="","",IF(SUMPRODUCT(MAX((IND_PER&lt;=B2003)*(IND_UF&lt;&gt;"")*IND_PER))=0,UF_HOY,INDEX(IND_UF,MATCH(SUMPRODUCT(MAX((IND_PER&lt;=B2003)*(IND_UF&lt;&gt;"")*IND_PER)),IND_PER,0))))</f>
        <v/>
      </c>
      <c r="AK2003" s="87" t="str">
        <f aca="false">IF(AH2003="","",IF(COUNTIF(TASA_DESDE,"&lt;="&amp;B2003)=0,INDEX(TASA_EMP,1),INDEX(TASA_EMP,COUNTIF(TASA_DESDE,"&lt;="&amp;B2003))))</f>
        <v/>
      </c>
    </row>
    <row r="2004" customFormat="false" ht="15" hidden="false" customHeight="false" outlineLevel="0" collapsed="false">
      <c r="B2004" s="78"/>
      <c r="C2004" s="64"/>
      <c r="D2004" s="72" t="str">
        <f aca="false">IF(C2004="","",IFERROR(INDEX(T_NOMBRE,MATCH(C2004,T_ID,0)),"⚠ ID no existe"))</f>
        <v/>
      </c>
      <c r="E2004" s="69"/>
      <c r="F2004" s="67"/>
      <c r="G2004" s="67"/>
      <c r="H2004" s="67"/>
      <c r="I2004" s="67"/>
      <c r="J2004" s="67"/>
      <c r="K2004" s="85" t="str">
        <f aca="false">IF(AH2004="","",N(F2004)+N(G2004)+N(H2004)-N(I2004)+N(J2004))</f>
        <v/>
      </c>
      <c r="L2004" s="67"/>
      <c r="M2004" s="67"/>
      <c r="N2004" s="67"/>
      <c r="O2004" s="67"/>
      <c r="P2004" s="85" t="str">
        <f aca="false">IF(AH2004="","",K2004+N(L2004)+N(M2004)+N(N2004)+N(O2004))</f>
        <v/>
      </c>
      <c r="Q2004" s="67"/>
      <c r="R2004" s="67"/>
      <c r="S2004" s="67"/>
      <c r="T2004" s="67"/>
      <c r="U2004" s="67"/>
      <c r="V2004" s="67"/>
      <c r="W2004" s="85" t="str">
        <f aca="false">IF(AH2004="","",N(Q2004)+N(R2004)+N(S2004)+N(T2004)+N(U2004)+N(V2004))</f>
        <v/>
      </c>
      <c r="X2004" s="85" t="str">
        <f aca="false">IF(AH2004="","",P2004-W2004)</f>
        <v/>
      </c>
      <c r="Y2004" s="67"/>
      <c r="Z2004" s="70" t="str">
        <f aca="false">IF(OR(AH2004="",Y2004=""),"",IF(ABS(X2004-Y2004)&lt;=1,"✓ Cuadra","⚠ Diferencia $"&amp;FIXED(X2004-Y2004,0)))</f>
        <v/>
      </c>
      <c r="AA2004" s="72" t="str">
        <f aca="false">IF(AH2004="","",IFERROR(INDEX(C_TIPO,MATCH(C2004&amp;"-P"&amp;MAX(1,COUNTIFS(C_ID,C2004,C_DEFINE,"Sí",C_INICIO,"&lt;="&amp;EOMONTH(B2004,0))),C_CLAVE,0))&amp;"","Sin dato"))</f>
        <v/>
      </c>
      <c r="AB2004" s="71" t="str">
        <f aca="false">IF(AH2004="","",ROUND(MIN(K2004,TOPE_AFP_UF*AJ2004)*AK2004,0))</f>
        <v/>
      </c>
      <c r="AC2004" s="71" t="str">
        <f aca="false">IF(AH2004="","",ROUND(MIN(K2004,TOPE_AFC_UF*AJ2004)*IF(AA2004="Indefinido",AFC_EMP_INDEF,AFC_EMP_PF),0))</f>
        <v/>
      </c>
      <c r="AD2004" s="71" t="str">
        <f aca="false">IF(AH2004="","",ROUND(MIN(K2004,TOPE_AFP_UF*AJ2004)*(MUTUAL_BASICA+MUTUAL_ADIC+SANNA),0))</f>
        <v/>
      </c>
      <c r="AE2004" s="71" t="str">
        <f aca="false">IF(AH2004="","",P2004-N(N2004)+AB2004+AC2004+AD2004)</f>
        <v/>
      </c>
      <c r="AF2004" s="65"/>
      <c r="AG2004" s="64"/>
      <c r="AH2004" s="72" t="str">
        <f aca="false">IF(OR(B2004="",C2004=""),"",C2004&amp;"|"&amp;(YEAR(B2004)*100+MONTH(B2004)))</f>
        <v/>
      </c>
      <c r="AI2004" s="70" t="str">
        <f aca="false">IF(AH2004="","",IF(COUNTIF(L_CLAVE,AH2004)&gt;1,"⚠ Duplicado","OK"))</f>
        <v/>
      </c>
      <c r="AJ2004" s="86" t="str">
        <f aca="false">IF(AH2004="","",IF(SUMPRODUCT(MAX((IND_PER&lt;=B2004)*(IND_UF&lt;&gt;"")*IND_PER))=0,UF_HOY,INDEX(IND_UF,MATCH(SUMPRODUCT(MAX((IND_PER&lt;=B2004)*(IND_UF&lt;&gt;"")*IND_PER)),IND_PER,0))))</f>
        <v/>
      </c>
      <c r="AK2004" s="87" t="str">
        <f aca="false">IF(AH2004="","",IF(COUNTIF(TASA_DESDE,"&lt;="&amp;B2004)=0,INDEX(TASA_EMP,1),INDEX(TASA_EMP,COUNTIF(TASA_DESDE,"&lt;="&amp;B2004))))</f>
        <v/>
      </c>
    </row>
    <row r="2005" customFormat="false" ht="15" hidden="false" customHeight="false" outlineLevel="0" collapsed="false">
      <c r="B2005" s="78"/>
      <c r="C2005" s="64"/>
      <c r="D2005" s="72" t="str">
        <f aca="false">IF(C2005="","",IFERROR(INDEX(T_NOMBRE,MATCH(C2005,T_ID,0)),"⚠ ID no existe"))</f>
        <v/>
      </c>
      <c r="E2005" s="69"/>
      <c r="F2005" s="67"/>
      <c r="G2005" s="67"/>
      <c r="H2005" s="67"/>
      <c r="I2005" s="67"/>
      <c r="J2005" s="67"/>
      <c r="K2005" s="85" t="str">
        <f aca="false">IF(AH2005="","",N(F2005)+N(G2005)+N(H2005)-N(I2005)+N(J2005))</f>
        <v/>
      </c>
      <c r="L2005" s="67"/>
      <c r="M2005" s="67"/>
      <c r="N2005" s="67"/>
      <c r="O2005" s="67"/>
      <c r="P2005" s="85" t="str">
        <f aca="false">IF(AH2005="","",K2005+N(L2005)+N(M2005)+N(N2005)+N(O2005))</f>
        <v/>
      </c>
      <c r="Q2005" s="67"/>
      <c r="R2005" s="67"/>
      <c r="S2005" s="67"/>
      <c r="T2005" s="67"/>
      <c r="U2005" s="67"/>
      <c r="V2005" s="67"/>
      <c r="W2005" s="85" t="str">
        <f aca="false">IF(AH2005="","",N(Q2005)+N(R2005)+N(S2005)+N(T2005)+N(U2005)+N(V2005))</f>
        <v/>
      </c>
      <c r="X2005" s="85" t="str">
        <f aca="false">IF(AH2005="","",P2005-W2005)</f>
        <v/>
      </c>
      <c r="Y2005" s="67"/>
      <c r="Z2005" s="70" t="str">
        <f aca="false">IF(OR(AH2005="",Y2005=""),"",IF(ABS(X2005-Y2005)&lt;=1,"✓ Cuadra","⚠ Diferencia $"&amp;FIXED(X2005-Y2005,0)))</f>
        <v/>
      </c>
      <c r="AA2005" s="72" t="str">
        <f aca="false">IF(AH2005="","",IFERROR(INDEX(C_TIPO,MATCH(C2005&amp;"-P"&amp;MAX(1,COUNTIFS(C_ID,C2005,C_DEFINE,"Sí",C_INICIO,"&lt;="&amp;EOMONTH(B2005,0))),C_CLAVE,0))&amp;"","Sin dato"))</f>
        <v/>
      </c>
      <c r="AB2005" s="71" t="str">
        <f aca="false">IF(AH2005="","",ROUND(MIN(K2005,TOPE_AFP_UF*AJ2005)*AK2005,0))</f>
        <v/>
      </c>
      <c r="AC2005" s="71" t="str">
        <f aca="false">IF(AH2005="","",ROUND(MIN(K2005,TOPE_AFC_UF*AJ2005)*IF(AA2005="Indefinido",AFC_EMP_INDEF,AFC_EMP_PF),0))</f>
        <v/>
      </c>
      <c r="AD2005" s="71" t="str">
        <f aca="false">IF(AH2005="","",ROUND(MIN(K2005,TOPE_AFP_UF*AJ2005)*(MUTUAL_BASICA+MUTUAL_ADIC+SANNA),0))</f>
        <v/>
      </c>
      <c r="AE2005" s="71" t="str">
        <f aca="false">IF(AH2005="","",P2005-N(N2005)+AB2005+AC2005+AD2005)</f>
        <v/>
      </c>
      <c r="AF2005" s="65"/>
      <c r="AG2005" s="64"/>
      <c r="AH2005" s="72" t="str">
        <f aca="false">IF(OR(B2005="",C2005=""),"",C2005&amp;"|"&amp;(YEAR(B2005)*100+MONTH(B2005)))</f>
        <v/>
      </c>
      <c r="AI2005" s="70" t="str">
        <f aca="false">IF(AH2005="","",IF(COUNTIF(L_CLAVE,AH2005)&gt;1,"⚠ Duplicado","OK"))</f>
        <v/>
      </c>
      <c r="AJ2005" s="86" t="str">
        <f aca="false">IF(AH2005="","",IF(SUMPRODUCT(MAX((IND_PER&lt;=B2005)*(IND_UF&lt;&gt;"")*IND_PER))=0,UF_HOY,INDEX(IND_UF,MATCH(SUMPRODUCT(MAX((IND_PER&lt;=B2005)*(IND_UF&lt;&gt;"")*IND_PER)),IND_PER,0))))</f>
        <v/>
      </c>
      <c r="AK2005" s="87" t="str">
        <f aca="false">IF(AH2005="","",IF(COUNTIF(TASA_DESDE,"&lt;="&amp;B2005)=0,INDEX(TASA_EMP,1),INDEX(TASA_EMP,COUNTIF(TASA_DESDE,"&lt;="&amp;B2005))))</f>
        <v/>
      </c>
    </row>
    <row r="2006" customFormat="false" ht="15" hidden="false" customHeight="false" outlineLevel="0" collapsed="false">
      <c r="B2006" s="78"/>
      <c r="C2006" s="64"/>
      <c r="D2006" s="72" t="str">
        <f aca="false">IF(C2006="","",IFERROR(INDEX(T_NOMBRE,MATCH(C2006,T_ID,0)),"⚠ ID no existe"))</f>
        <v/>
      </c>
      <c r="E2006" s="69"/>
      <c r="F2006" s="67"/>
      <c r="G2006" s="67"/>
      <c r="H2006" s="67"/>
      <c r="I2006" s="67"/>
      <c r="J2006" s="67"/>
      <c r="K2006" s="85" t="str">
        <f aca="false">IF(AH2006="","",N(F2006)+N(G2006)+N(H2006)-N(I2006)+N(J2006))</f>
        <v/>
      </c>
      <c r="L2006" s="67"/>
      <c r="M2006" s="67"/>
      <c r="N2006" s="67"/>
      <c r="O2006" s="67"/>
      <c r="P2006" s="85" t="str">
        <f aca="false">IF(AH2006="","",K2006+N(L2006)+N(M2006)+N(N2006)+N(O2006))</f>
        <v/>
      </c>
      <c r="Q2006" s="67"/>
      <c r="R2006" s="67"/>
      <c r="S2006" s="67"/>
      <c r="T2006" s="67"/>
      <c r="U2006" s="67"/>
      <c r="V2006" s="67"/>
      <c r="W2006" s="85" t="str">
        <f aca="false">IF(AH2006="","",N(Q2006)+N(R2006)+N(S2006)+N(T2006)+N(U2006)+N(V2006))</f>
        <v/>
      </c>
      <c r="X2006" s="85" t="str">
        <f aca="false">IF(AH2006="","",P2006-W2006)</f>
        <v/>
      </c>
      <c r="Y2006" s="67"/>
      <c r="Z2006" s="70" t="str">
        <f aca="false">IF(OR(AH2006="",Y2006=""),"",IF(ABS(X2006-Y2006)&lt;=1,"✓ Cuadra","⚠ Diferencia $"&amp;FIXED(X2006-Y2006,0)))</f>
        <v/>
      </c>
      <c r="AA2006" s="72" t="str">
        <f aca="false">IF(AH2006="","",IFERROR(INDEX(C_TIPO,MATCH(C2006&amp;"-P"&amp;MAX(1,COUNTIFS(C_ID,C2006,C_DEFINE,"Sí",C_INICIO,"&lt;="&amp;EOMONTH(B2006,0))),C_CLAVE,0))&amp;"","Sin dato"))</f>
        <v/>
      </c>
      <c r="AB2006" s="71" t="str">
        <f aca="false">IF(AH2006="","",ROUND(MIN(K2006,TOPE_AFP_UF*AJ2006)*AK2006,0))</f>
        <v/>
      </c>
      <c r="AC2006" s="71" t="str">
        <f aca="false">IF(AH2006="","",ROUND(MIN(K2006,TOPE_AFC_UF*AJ2006)*IF(AA2006="Indefinido",AFC_EMP_INDEF,AFC_EMP_PF),0))</f>
        <v/>
      </c>
      <c r="AD2006" s="71" t="str">
        <f aca="false">IF(AH2006="","",ROUND(MIN(K2006,TOPE_AFP_UF*AJ2006)*(MUTUAL_BASICA+MUTUAL_ADIC+SANNA),0))</f>
        <v/>
      </c>
      <c r="AE2006" s="71" t="str">
        <f aca="false">IF(AH2006="","",P2006-N(N2006)+AB2006+AC2006+AD2006)</f>
        <v/>
      </c>
      <c r="AF2006" s="65"/>
      <c r="AG2006" s="64"/>
      <c r="AH2006" s="72" t="str">
        <f aca="false">IF(OR(B2006="",C2006=""),"",C2006&amp;"|"&amp;(YEAR(B2006)*100+MONTH(B2006)))</f>
        <v/>
      </c>
      <c r="AI2006" s="70" t="str">
        <f aca="false">IF(AH2006="","",IF(COUNTIF(L_CLAVE,AH2006)&gt;1,"⚠ Duplicado","OK"))</f>
        <v/>
      </c>
      <c r="AJ2006" s="86" t="str">
        <f aca="false">IF(AH2006="","",IF(SUMPRODUCT(MAX((IND_PER&lt;=B2006)*(IND_UF&lt;&gt;"")*IND_PER))=0,UF_HOY,INDEX(IND_UF,MATCH(SUMPRODUCT(MAX((IND_PER&lt;=B2006)*(IND_UF&lt;&gt;"")*IND_PER)),IND_PER,0))))</f>
        <v/>
      </c>
      <c r="AK2006" s="87" t="str">
        <f aca="false">IF(AH2006="","",IF(COUNTIF(TASA_DESDE,"&lt;="&amp;B2006)=0,INDEX(TASA_EMP,1),INDEX(TASA_EMP,COUNTIF(TASA_DESDE,"&lt;="&amp;B2006))))</f>
        <v/>
      </c>
    </row>
    <row r="2007" customFormat="false" ht="15" hidden="false" customHeight="false" outlineLevel="0" collapsed="false">
      <c r="B2007" s="78"/>
      <c r="C2007" s="64"/>
      <c r="D2007" s="72" t="str">
        <f aca="false">IF(C2007="","",IFERROR(INDEX(T_NOMBRE,MATCH(C2007,T_ID,0)),"⚠ ID no existe"))</f>
        <v/>
      </c>
      <c r="E2007" s="69"/>
      <c r="F2007" s="67"/>
      <c r="G2007" s="67"/>
      <c r="H2007" s="67"/>
      <c r="I2007" s="67"/>
      <c r="J2007" s="67"/>
      <c r="K2007" s="85" t="str">
        <f aca="false">IF(AH2007="","",N(F2007)+N(G2007)+N(H2007)-N(I2007)+N(J2007))</f>
        <v/>
      </c>
      <c r="L2007" s="67"/>
      <c r="M2007" s="67"/>
      <c r="N2007" s="67"/>
      <c r="O2007" s="67"/>
      <c r="P2007" s="85" t="str">
        <f aca="false">IF(AH2007="","",K2007+N(L2007)+N(M2007)+N(N2007)+N(O2007))</f>
        <v/>
      </c>
      <c r="Q2007" s="67"/>
      <c r="R2007" s="67"/>
      <c r="S2007" s="67"/>
      <c r="T2007" s="67"/>
      <c r="U2007" s="67"/>
      <c r="V2007" s="67"/>
      <c r="W2007" s="85" t="str">
        <f aca="false">IF(AH2007="","",N(Q2007)+N(R2007)+N(S2007)+N(T2007)+N(U2007)+N(V2007))</f>
        <v/>
      </c>
      <c r="X2007" s="85" t="str">
        <f aca="false">IF(AH2007="","",P2007-W2007)</f>
        <v/>
      </c>
      <c r="Y2007" s="67"/>
      <c r="Z2007" s="70" t="str">
        <f aca="false">IF(OR(AH2007="",Y2007=""),"",IF(ABS(X2007-Y2007)&lt;=1,"✓ Cuadra","⚠ Diferencia $"&amp;FIXED(X2007-Y2007,0)))</f>
        <v/>
      </c>
      <c r="AA2007" s="72" t="str">
        <f aca="false">IF(AH2007="","",IFERROR(INDEX(C_TIPO,MATCH(C2007&amp;"-P"&amp;MAX(1,COUNTIFS(C_ID,C2007,C_DEFINE,"Sí",C_INICIO,"&lt;="&amp;EOMONTH(B2007,0))),C_CLAVE,0))&amp;"","Sin dato"))</f>
        <v/>
      </c>
      <c r="AB2007" s="71" t="str">
        <f aca="false">IF(AH2007="","",ROUND(MIN(K2007,TOPE_AFP_UF*AJ2007)*AK2007,0))</f>
        <v/>
      </c>
      <c r="AC2007" s="71" t="str">
        <f aca="false">IF(AH2007="","",ROUND(MIN(K2007,TOPE_AFC_UF*AJ2007)*IF(AA2007="Indefinido",AFC_EMP_INDEF,AFC_EMP_PF),0))</f>
        <v/>
      </c>
      <c r="AD2007" s="71" t="str">
        <f aca="false">IF(AH2007="","",ROUND(MIN(K2007,TOPE_AFP_UF*AJ2007)*(MUTUAL_BASICA+MUTUAL_ADIC+SANNA),0))</f>
        <v/>
      </c>
      <c r="AE2007" s="71" t="str">
        <f aca="false">IF(AH2007="","",P2007-N(N2007)+AB2007+AC2007+AD2007)</f>
        <v/>
      </c>
      <c r="AF2007" s="65"/>
      <c r="AG2007" s="64"/>
      <c r="AH2007" s="72" t="str">
        <f aca="false">IF(OR(B2007="",C2007=""),"",C2007&amp;"|"&amp;(YEAR(B2007)*100+MONTH(B2007)))</f>
        <v/>
      </c>
      <c r="AI2007" s="70" t="str">
        <f aca="false">IF(AH2007="","",IF(COUNTIF(L_CLAVE,AH2007)&gt;1,"⚠ Duplicado","OK"))</f>
        <v/>
      </c>
      <c r="AJ2007" s="86" t="str">
        <f aca="false">IF(AH2007="","",IF(SUMPRODUCT(MAX((IND_PER&lt;=B2007)*(IND_UF&lt;&gt;"")*IND_PER))=0,UF_HOY,INDEX(IND_UF,MATCH(SUMPRODUCT(MAX((IND_PER&lt;=B2007)*(IND_UF&lt;&gt;"")*IND_PER)),IND_PER,0))))</f>
        <v/>
      </c>
      <c r="AK2007" s="87" t="str">
        <f aca="false">IF(AH2007="","",IF(COUNTIF(TASA_DESDE,"&lt;="&amp;B2007)=0,INDEX(TASA_EMP,1),INDEX(TASA_EMP,COUNTIF(TASA_DESDE,"&lt;="&amp;B2007))))</f>
        <v/>
      </c>
    </row>
    <row r="2008" customFormat="false" ht="15" hidden="false" customHeight="false" outlineLevel="0" collapsed="false">
      <c r="B2008" s="78"/>
      <c r="C2008" s="64"/>
      <c r="D2008" s="72" t="str">
        <f aca="false">IF(C2008="","",IFERROR(INDEX(T_NOMBRE,MATCH(C2008,T_ID,0)),"⚠ ID no existe"))</f>
        <v/>
      </c>
      <c r="E2008" s="69"/>
      <c r="F2008" s="67"/>
      <c r="G2008" s="67"/>
      <c r="H2008" s="67"/>
      <c r="I2008" s="67"/>
      <c r="J2008" s="67"/>
      <c r="K2008" s="85" t="str">
        <f aca="false">IF(AH2008="","",N(F2008)+N(G2008)+N(H2008)-N(I2008)+N(J2008))</f>
        <v/>
      </c>
      <c r="L2008" s="67"/>
      <c r="M2008" s="67"/>
      <c r="N2008" s="67"/>
      <c r="O2008" s="67"/>
      <c r="P2008" s="85" t="str">
        <f aca="false">IF(AH2008="","",K2008+N(L2008)+N(M2008)+N(N2008)+N(O2008))</f>
        <v/>
      </c>
      <c r="Q2008" s="67"/>
      <c r="R2008" s="67"/>
      <c r="S2008" s="67"/>
      <c r="T2008" s="67"/>
      <c r="U2008" s="67"/>
      <c r="V2008" s="67"/>
      <c r="W2008" s="85" t="str">
        <f aca="false">IF(AH2008="","",N(Q2008)+N(R2008)+N(S2008)+N(T2008)+N(U2008)+N(V2008))</f>
        <v/>
      </c>
      <c r="X2008" s="85" t="str">
        <f aca="false">IF(AH2008="","",P2008-W2008)</f>
        <v/>
      </c>
      <c r="Y2008" s="67"/>
      <c r="Z2008" s="70" t="str">
        <f aca="false">IF(OR(AH2008="",Y2008=""),"",IF(ABS(X2008-Y2008)&lt;=1,"✓ Cuadra","⚠ Diferencia $"&amp;FIXED(X2008-Y2008,0)))</f>
        <v/>
      </c>
      <c r="AA2008" s="72" t="str">
        <f aca="false">IF(AH2008="","",IFERROR(INDEX(C_TIPO,MATCH(C2008&amp;"-P"&amp;MAX(1,COUNTIFS(C_ID,C2008,C_DEFINE,"Sí",C_INICIO,"&lt;="&amp;EOMONTH(B2008,0))),C_CLAVE,0))&amp;"","Sin dato"))</f>
        <v/>
      </c>
      <c r="AB2008" s="71" t="str">
        <f aca="false">IF(AH2008="","",ROUND(MIN(K2008,TOPE_AFP_UF*AJ2008)*AK2008,0))</f>
        <v/>
      </c>
      <c r="AC2008" s="71" t="str">
        <f aca="false">IF(AH2008="","",ROUND(MIN(K2008,TOPE_AFC_UF*AJ2008)*IF(AA2008="Indefinido",AFC_EMP_INDEF,AFC_EMP_PF),0))</f>
        <v/>
      </c>
      <c r="AD2008" s="71" t="str">
        <f aca="false">IF(AH2008="","",ROUND(MIN(K2008,TOPE_AFP_UF*AJ2008)*(MUTUAL_BASICA+MUTUAL_ADIC+SANNA),0))</f>
        <v/>
      </c>
      <c r="AE2008" s="71" t="str">
        <f aca="false">IF(AH2008="","",P2008-N(N2008)+AB2008+AC2008+AD2008)</f>
        <v/>
      </c>
      <c r="AF2008" s="65"/>
      <c r="AG2008" s="64"/>
      <c r="AH2008" s="72" t="str">
        <f aca="false">IF(OR(B2008="",C2008=""),"",C2008&amp;"|"&amp;(YEAR(B2008)*100+MONTH(B2008)))</f>
        <v/>
      </c>
      <c r="AI2008" s="70" t="str">
        <f aca="false">IF(AH2008="","",IF(COUNTIF(L_CLAVE,AH2008)&gt;1,"⚠ Duplicado","OK"))</f>
        <v/>
      </c>
      <c r="AJ2008" s="86" t="str">
        <f aca="false">IF(AH2008="","",IF(SUMPRODUCT(MAX((IND_PER&lt;=B2008)*(IND_UF&lt;&gt;"")*IND_PER))=0,UF_HOY,INDEX(IND_UF,MATCH(SUMPRODUCT(MAX((IND_PER&lt;=B2008)*(IND_UF&lt;&gt;"")*IND_PER)),IND_PER,0))))</f>
        <v/>
      </c>
      <c r="AK2008" s="87" t="str">
        <f aca="false">IF(AH2008="","",IF(COUNTIF(TASA_DESDE,"&lt;="&amp;B2008)=0,INDEX(TASA_EMP,1),INDEX(TASA_EMP,COUNTIF(TASA_DESDE,"&lt;="&amp;B2008))))</f>
        <v/>
      </c>
    </row>
    <row r="2009" customFormat="false" ht="15" hidden="false" customHeight="false" outlineLevel="0" collapsed="false">
      <c r="B2009" s="78"/>
      <c r="C2009" s="64"/>
      <c r="D2009" s="72" t="str">
        <f aca="false">IF(C2009="","",IFERROR(INDEX(T_NOMBRE,MATCH(C2009,T_ID,0)),"⚠ ID no existe"))</f>
        <v/>
      </c>
      <c r="E2009" s="69"/>
      <c r="F2009" s="67"/>
      <c r="G2009" s="67"/>
      <c r="H2009" s="67"/>
      <c r="I2009" s="67"/>
      <c r="J2009" s="67"/>
      <c r="K2009" s="85" t="str">
        <f aca="false">IF(AH2009="","",N(F2009)+N(G2009)+N(H2009)-N(I2009)+N(J2009))</f>
        <v/>
      </c>
      <c r="L2009" s="67"/>
      <c r="M2009" s="67"/>
      <c r="N2009" s="67"/>
      <c r="O2009" s="67"/>
      <c r="P2009" s="85" t="str">
        <f aca="false">IF(AH2009="","",K2009+N(L2009)+N(M2009)+N(N2009)+N(O2009))</f>
        <v/>
      </c>
      <c r="Q2009" s="67"/>
      <c r="R2009" s="67"/>
      <c r="S2009" s="67"/>
      <c r="T2009" s="67"/>
      <c r="U2009" s="67"/>
      <c r="V2009" s="67"/>
      <c r="W2009" s="85" t="str">
        <f aca="false">IF(AH2009="","",N(Q2009)+N(R2009)+N(S2009)+N(T2009)+N(U2009)+N(V2009))</f>
        <v/>
      </c>
      <c r="X2009" s="85" t="str">
        <f aca="false">IF(AH2009="","",P2009-W2009)</f>
        <v/>
      </c>
      <c r="Y2009" s="67"/>
      <c r="Z2009" s="70" t="str">
        <f aca="false">IF(OR(AH2009="",Y2009=""),"",IF(ABS(X2009-Y2009)&lt;=1,"✓ Cuadra","⚠ Diferencia $"&amp;FIXED(X2009-Y2009,0)))</f>
        <v/>
      </c>
      <c r="AA2009" s="72" t="str">
        <f aca="false">IF(AH2009="","",IFERROR(INDEX(C_TIPO,MATCH(C2009&amp;"-P"&amp;MAX(1,COUNTIFS(C_ID,C2009,C_DEFINE,"Sí",C_INICIO,"&lt;="&amp;EOMONTH(B2009,0))),C_CLAVE,0))&amp;"","Sin dato"))</f>
        <v/>
      </c>
      <c r="AB2009" s="71" t="str">
        <f aca="false">IF(AH2009="","",ROUND(MIN(K2009,TOPE_AFP_UF*AJ2009)*AK2009,0))</f>
        <v/>
      </c>
      <c r="AC2009" s="71" t="str">
        <f aca="false">IF(AH2009="","",ROUND(MIN(K2009,TOPE_AFC_UF*AJ2009)*IF(AA2009="Indefinido",AFC_EMP_INDEF,AFC_EMP_PF),0))</f>
        <v/>
      </c>
      <c r="AD2009" s="71" t="str">
        <f aca="false">IF(AH2009="","",ROUND(MIN(K2009,TOPE_AFP_UF*AJ2009)*(MUTUAL_BASICA+MUTUAL_ADIC+SANNA),0))</f>
        <v/>
      </c>
      <c r="AE2009" s="71" t="str">
        <f aca="false">IF(AH2009="","",P2009-N(N2009)+AB2009+AC2009+AD2009)</f>
        <v/>
      </c>
      <c r="AF2009" s="65"/>
      <c r="AG2009" s="64"/>
      <c r="AH2009" s="72" t="str">
        <f aca="false">IF(OR(B2009="",C2009=""),"",C2009&amp;"|"&amp;(YEAR(B2009)*100+MONTH(B2009)))</f>
        <v/>
      </c>
      <c r="AI2009" s="70" t="str">
        <f aca="false">IF(AH2009="","",IF(COUNTIF(L_CLAVE,AH2009)&gt;1,"⚠ Duplicado","OK"))</f>
        <v/>
      </c>
      <c r="AJ2009" s="86" t="str">
        <f aca="false">IF(AH2009="","",IF(SUMPRODUCT(MAX((IND_PER&lt;=B2009)*(IND_UF&lt;&gt;"")*IND_PER))=0,UF_HOY,INDEX(IND_UF,MATCH(SUMPRODUCT(MAX((IND_PER&lt;=B2009)*(IND_UF&lt;&gt;"")*IND_PER)),IND_PER,0))))</f>
        <v/>
      </c>
      <c r="AK2009" s="87" t="str">
        <f aca="false">IF(AH2009="","",IF(COUNTIF(TASA_DESDE,"&lt;="&amp;B2009)=0,INDEX(TASA_EMP,1),INDEX(TASA_EMP,COUNTIF(TASA_DESDE,"&lt;="&amp;B2009))))</f>
        <v/>
      </c>
    </row>
    <row r="2010" customFormat="false" ht="15" hidden="false" customHeight="false" outlineLevel="0" collapsed="false">
      <c r="B2010" s="78"/>
      <c r="C2010" s="64"/>
      <c r="D2010" s="72" t="str">
        <f aca="false">IF(C2010="","",IFERROR(INDEX(T_NOMBRE,MATCH(C2010,T_ID,0)),"⚠ ID no existe"))</f>
        <v/>
      </c>
      <c r="E2010" s="69"/>
      <c r="F2010" s="67"/>
      <c r="G2010" s="67"/>
      <c r="H2010" s="67"/>
      <c r="I2010" s="67"/>
      <c r="J2010" s="67"/>
      <c r="K2010" s="85" t="str">
        <f aca="false">IF(AH2010="","",N(F2010)+N(G2010)+N(H2010)-N(I2010)+N(J2010))</f>
        <v/>
      </c>
      <c r="L2010" s="67"/>
      <c r="M2010" s="67"/>
      <c r="N2010" s="67"/>
      <c r="O2010" s="67"/>
      <c r="P2010" s="85" t="str">
        <f aca="false">IF(AH2010="","",K2010+N(L2010)+N(M2010)+N(N2010)+N(O2010))</f>
        <v/>
      </c>
      <c r="Q2010" s="67"/>
      <c r="R2010" s="67"/>
      <c r="S2010" s="67"/>
      <c r="T2010" s="67"/>
      <c r="U2010" s="67"/>
      <c r="V2010" s="67"/>
      <c r="W2010" s="85" t="str">
        <f aca="false">IF(AH2010="","",N(Q2010)+N(R2010)+N(S2010)+N(T2010)+N(U2010)+N(V2010))</f>
        <v/>
      </c>
      <c r="X2010" s="85" t="str">
        <f aca="false">IF(AH2010="","",P2010-W2010)</f>
        <v/>
      </c>
      <c r="Y2010" s="67"/>
      <c r="Z2010" s="70" t="str">
        <f aca="false">IF(OR(AH2010="",Y2010=""),"",IF(ABS(X2010-Y2010)&lt;=1,"✓ Cuadra","⚠ Diferencia $"&amp;FIXED(X2010-Y2010,0)))</f>
        <v/>
      </c>
      <c r="AA2010" s="72" t="str">
        <f aca="false">IF(AH2010="","",IFERROR(INDEX(C_TIPO,MATCH(C2010&amp;"-P"&amp;MAX(1,COUNTIFS(C_ID,C2010,C_DEFINE,"Sí",C_INICIO,"&lt;="&amp;EOMONTH(B2010,0))),C_CLAVE,0))&amp;"","Sin dato"))</f>
        <v/>
      </c>
      <c r="AB2010" s="71" t="str">
        <f aca="false">IF(AH2010="","",ROUND(MIN(K2010,TOPE_AFP_UF*AJ2010)*AK2010,0))</f>
        <v/>
      </c>
      <c r="AC2010" s="71" t="str">
        <f aca="false">IF(AH2010="","",ROUND(MIN(K2010,TOPE_AFC_UF*AJ2010)*IF(AA2010="Indefinido",AFC_EMP_INDEF,AFC_EMP_PF),0))</f>
        <v/>
      </c>
      <c r="AD2010" s="71" t="str">
        <f aca="false">IF(AH2010="","",ROUND(MIN(K2010,TOPE_AFP_UF*AJ2010)*(MUTUAL_BASICA+MUTUAL_ADIC+SANNA),0))</f>
        <v/>
      </c>
      <c r="AE2010" s="71" t="str">
        <f aca="false">IF(AH2010="","",P2010-N(N2010)+AB2010+AC2010+AD2010)</f>
        <v/>
      </c>
      <c r="AF2010" s="65"/>
      <c r="AG2010" s="64"/>
      <c r="AH2010" s="72" t="str">
        <f aca="false">IF(OR(B2010="",C2010=""),"",C2010&amp;"|"&amp;(YEAR(B2010)*100+MONTH(B2010)))</f>
        <v/>
      </c>
      <c r="AI2010" s="70" t="str">
        <f aca="false">IF(AH2010="","",IF(COUNTIF(L_CLAVE,AH2010)&gt;1,"⚠ Duplicado","OK"))</f>
        <v/>
      </c>
      <c r="AJ2010" s="86" t="str">
        <f aca="false">IF(AH2010="","",IF(SUMPRODUCT(MAX((IND_PER&lt;=B2010)*(IND_UF&lt;&gt;"")*IND_PER))=0,UF_HOY,INDEX(IND_UF,MATCH(SUMPRODUCT(MAX((IND_PER&lt;=B2010)*(IND_UF&lt;&gt;"")*IND_PER)),IND_PER,0))))</f>
        <v/>
      </c>
      <c r="AK2010" s="87" t="str">
        <f aca="false">IF(AH2010="","",IF(COUNTIF(TASA_DESDE,"&lt;="&amp;B2010)=0,INDEX(TASA_EMP,1),INDEX(TASA_EMP,COUNTIF(TASA_DESDE,"&lt;="&amp;B2010))))</f>
        <v/>
      </c>
    </row>
    <row r="2011" customFormat="false" ht="15" hidden="false" customHeight="false" outlineLevel="0" collapsed="false">
      <c r="B2011" s="78"/>
      <c r="C2011" s="64"/>
      <c r="D2011" s="72" t="str">
        <f aca="false">IF(C2011="","",IFERROR(INDEX(T_NOMBRE,MATCH(C2011,T_ID,0)),"⚠ ID no existe"))</f>
        <v/>
      </c>
      <c r="E2011" s="69"/>
      <c r="F2011" s="67"/>
      <c r="G2011" s="67"/>
      <c r="H2011" s="67"/>
      <c r="I2011" s="67"/>
      <c r="J2011" s="67"/>
      <c r="K2011" s="85" t="str">
        <f aca="false">IF(AH2011="","",N(F2011)+N(G2011)+N(H2011)-N(I2011)+N(J2011))</f>
        <v/>
      </c>
      <c r="L2011" s="67"/>
      <c r="M2011" s="67"/>
      <c r="N2011" s="67"/>
      <c r="O2011" s="67"/>
      <c r="P2011" s="85" t="str">
        <f aca="false">IF(AH2011="","",K2011+N(L2011)+N(M2011)+N(N2011)+N(O2011))</f>
        <v/>
      </c>
      <c r="Q2011" s="67"/>
      <c r="R2011" s="67"/>
      <c r="S2011" s="67"/>
      <c r="T2011" s="67"/>
      <c r="U2011" s="67"/>
      <c r="V2011" s="67"/>
      <c r="W2011" s="85" t="str">
        <f aca="false">IF(AH2011="","",N(Q2011)+N(R2011)+N(S2011)+N(T2011)+N(U2011)+N(V2011))</f>
        <v/>
      </c>
      <c r="X2011" s="85" t="str">
        <f aca="false">IF(AH2011="","",P2011-W2011)</f>
        <v/>
      </c>
      <c r="Y2011" s="67"/>
      <c r="Z2011" s="70" t="str">
        <f aca="false">IF(OR(AH2011="",Y2011=""),"",IF(ABS(X2011-Y2011)&lt;=1,"✓ Cuadra","⚠ Diferencia $"&amp;FIXED(X2011-Y2011,0)))</f>
        <v/>
      </c>
      <c r="AA2011" s="72" t="str">
        <f aca="false">IF(AH2011="","",IFERROR(INDEX(C_TIPO,MATCH(C2011&amp;"-P"&amp;MAX(1,COUNTIFS(C_ID,C2011,C_DEFINE,"Sí",C_INICIO,"&lt;="&amp;EOMONTH(B2011,0))),C_CLAVE,0))&amp;"","Sin dato"))</f>
        <v/>
      </c>
      <c r="AB2011" s="71" t="str">
        <f aca="false">IF(AH2011="","",ROUND(MIN(K2011,TOPE_AFP_UF*AJ2011)*AK2011,0))</f>
        <v/>
      </c>
      <c r="AC2011" s="71" t="str">
        <f aca="false">IF(AH2011="","",ROUND(MIN(K2011,TOPE_AFC_UF*AJ2011)*IF(AA2011="Indefinido",AFC_EMP_INDEF,AFC_EMP_PF),0))</f>
        <v/>
      </c>
      <c r="AD2011" s="71" t="str">
        <f aca="false">IF(AH2011="","",ROUND(MIN(K2011,TOPE_AFP_UF*AJ2011)*(MUTUAL_BASICA+MUTUAL_ADIC+SANNA),0))</f>
        <v/>
      </c>
      <c r="AE2011" s="71" t="str">
        <f aca="false">IF(AH2011="","",P2011-N(N2011)+AB2011+AC2011+AD2011)</f>
        <v/>
      </c>
      <c r="AF2011" s="65"/>
      <c r="AG2011" s="64"/>
      <c r="AH2011" s="72" t="str">
        <f aca="false">IF(OR(B2011="",C2011=""),"",C2011&amp;"|"&amp;(YEAR(B2011)*100+MONTH(B2011)))</f>
        <v/>
      </c>
      <c r="AI2011" s="70" t="str">
        <f aca="false">IF(AH2011="","",IF(COUNTIF(L_CLAVE,AH2011)&gt;1,"⚠ Duplicado","OK"))</f>
        <v/>
      </c>
      <c r="AJ2011" s="86" t="str">
        <f aca="false">IF(AH2011="","",IF(SUMPRODUCT(MAX((IND_PER&lt;=B2011)*(IND_UF&lt;&gt;"")*IND_PER))=0,UF_HOY,INDEX(IND_UF,MATCH(SUMPRODUCT(MAX((IND_PER&lt;=B2011)*(IND_UF&lt;&gt;"")*IND_PER)),IND_PER,0))))</f>
        <v/>
      </c>
      <c r="AK2011" s="87" t="str">
        <f aca="false">IF(AH2011="","",IF(COUNTIF(TASA_DESDE,"&lt;="&amp;B2011)=0,INDEX(TASA_EMP,1),INDEX(TASA_EMP,COUNTIF(TASA_DESDE,"&lt;="&amp;B2011))))</f>
        <v/>
      </c>
    </row>
    <row r="2012" customFormat="false" ht="15" hidden="false" customHeight="false" outlineLevel="0" collapsed="false">
      <c r="B2012" s="78"/>
      <c r="C2012" s="64"/>
      <c r="D2012" s="72" t="str">
        <f aca="false">IF(C2012="","",IFERROR(INDEX(T_NOMBRE,MATCH(C2012,T_ID,0)),"⚠ ID no existe"))</f>
        <v/>
      </c>
      <c r="E2012" s="69"/>
      <c r="F2012" s="67"/>
      <c r="G2012" s="67"/>
      <c r="H2012" s="67"/>
      <c r="I2012" s="67"/>
      <c r="J2012" s="67"/>
      <c r="K2012" s="85" t="str">
        <f aca="false">IF(AH2012="","",N(F2012)+N(G2012)+N(H2012)-N(I2012)+N(J2012))</f>
        <v/>
      </c>
      <c r="L2012" s="67"/>
      <c r="M2012" s="67"/>
      <c r="N2012" s="67"/>
      <c r="O2012" s="67"/>
      <c r="P2012" s="85" t="str">
        <f aca="false">IF(AH2012="","",K2012+N(L2012)+N(M2012)+N(N2012)+N(O2012))</f>
        <v/>
      </c>
      <c r="Q2012" s="67"/>
      <c r="R2012" s="67"/>
      <c r="S2012" s="67"/>
      <c r="T2012" s="67"/>
      <c r="U2012" s="67"/>
      <c r="V2012" s="67"/>
      <c r="W2012" s="85" t="str">
        <f aca="false">IF(AH2012="","",N(Q2012)+N(R2012)+N(S2012)+N(T2012)+N(U2012)+N(V2012))</f>
        <v/>
      </c>
      <c r="X2012" s="85" t="str">
        <f aca="false">IF(AH2012="","",P2012-W2012)</f>
        <v/>
      </c>
      <c r="Y2012" s="67"/>
      <c r="Z2012" s="70" t="str">
        <f aca="false">IF(OR(AH2012="",Y2012=""),"",IF(ABS(X2012-Y2012)&lt;=1,"✓ Cuadra","⚠ Diferencia $"&amp;FIXED(X2012-Y2012,0)))</f>
        <v/>
      </c>
      <c r="AA2012" s="72" t="str">
        <f aca="false">IF(AH2012="","",IFERROR(INDEX(C_TIPO,MATCH(C2012&amp;"-P"&amp;MAX(1,COUNTIFS(C_ID,C2012,C_DEFINE,"Sí",C_INICIO,"&lt;="&amp;EOMONTH(B2012,0))),C_CLAVE,0))&amp;"","Sin dato"))</f>
        <v/>
      </c>
      <c r="AB2012" s="71" t="str">
        <f aca="false">IF(AH2012="","",ROUND(MIN(K2012,TOPE_AFP_UF*AJ2012)*AK2012,0))</f>
        <v/>
      </c>
      <c r="AC2012" s="71" t="str">
        <f aca="false">IF(AH2012="","",ROUND(MIN(K2012,TOPE_AFC_UF*AJ2012)*IF(AA2012="Indefinido",AFC_EMP_INDEF,AFC_EMP_PF),0))</f>
        <v/>
      </c>
      <c r="AD2012" s="71" t="str">
        <f aca="false">IF(AH2012="","",ROUND(MIN(K2012,TOPE_AFP_UF*AJ2012)*(MUTUAL_BASICA+MUTUAL_ADIC+SANNA),0))</f>
        <v/>
      </c>
      <c r="AE2012" s="71" t="str">
        <f aca="false">IF(AH2012="","",P2012-N(N2012)+AB2012+AC2012+AD2012)</f>
        <v/>
      </c>
      <c r="AF2012" s="65"/>
      <c r="AG2012" s="64"/>
      <c r="AH2012" s="72" t="str">
        <f aca="false">IF(OR(B2012="",C2012=""),"",C2012&amp;"|"&amp;(YEAR(B2012)*100+MONTH(B2012)))</f>
        <v/>
      </c>
      <c r="AI2012" s="70" t="str">
        <f aca="false">IF(AH2012="","",IF(COUNTIF(L_CLAVE,AH2012)&gt;1,"⚠ Duplicado","OK"))</f>
        <v/>
      </c>
      <c r="AJ2012" s="86" t="str">
        <f aca="false">IF(AH2012="","",IF(SUMPRODUCT(MAX((IND_PER&lt;=B2012)*(IND_UF&lt;&gt;"")*IND_PER))=0,UF_HOY,INDEX(IND_UF,MATCH(SUMPRODUCT(MAX((IND_PER&lt;=B2012)*(IND_UF&lt;&gt;"")*IND_PER)),IND_PER,0))))</f>
        <v/>
      </c>
      <c r="AK2012" s="87" t="str">
        <f aca="false">IF(AH2012="","",IF(COUNTIF(TASA_DESDE,"&lt;="&amp;B2012)=0,INDEX(TASA_EMP,1),INDEX(TASA_EMP,COUNTIF(TASA_DESDE,"&lt;="&amp;B2012))))</f>
        <v/>
      </c>
    </row>
    <row r="2013" customFormat="false" ht="15" hidden="false" customHeight="false" outlineLevel="0" collapsed="false">
      <c r="B2013" s="78"/>
      <c r="C2013" s="64"/>
      <c r="D2013" s="72" t="str">
        <f aca="false">IF(C2013="","",IFERROR(INDEX(T_NOMBRE,MATCH(C2013,T_ID,0)),"⚠ ID no existe"))</f>
        <v/>
      </c>
      <c r="E2013" s="69"/>
      <c r="F2013" s="67"/>
      <c r="G2013" s="67"/>
      <c r="H2013" s="67"/>
      <c r="I2013" s="67"/>
      <c r="J2013" s="67"/>
      <c r="K2013" s="85" t="str">
        <f aca="false">IF(AH2013="","",N(F2013)+N(G2013)+N(H2013)-N(I2013)+N(J2013))</f>
        <v/>
      </c>
      <c r="L2013" s="67"/>
      <c r="M2013" s="67"/>
      <c r="N2013" s="67"/>
      <c r="O2013" s="67"/>
      <c r="P2013" s="85" t="str">
        <f aca="false">IF(AH2013="","",K2013+N(L2013)+N(M2013)+N(N2013)+N(O2013))</f>
        <v/>
      </c>
      <c r="Q2013" s="67"/>
      <c r="R2013" s="67"/>
      <c r="S2013" s="67"/>
      <c r="T2013" s="67"/>
      <c r="U2013" s="67"/>
      <c r="V2013" s="67"/>
      <c r="W2013" s="85" t="str">
        <f aca="false">IF(AH2013="","",N(Q2013)+N(R2013)+N(S2013)+N(T2013)+N(U2013)+N(V2013))</f>
        <v/>
      </c>
      <c r="X2013" s="85" t="str">
        <f aca="false">IF(AH2013="","",P2013-W2013)</f>
        <v/>
      </c>
      <c r="Y2013" s="67"/>
      <c r="Z2013" s="70" t="str">
        <f aca="false">IF(OR(AH2013="",Y2013=""),"",IF(ABS(X2013-Y2013)&lt;=1,"✓ Cuadra","⚠ Diferencia $"&amp;FIXED(X2013-Y2013,0)))</f>
        <v/>
      </c>
      <c r="AA2013" s="72" t="str">
        <f aca="false">IF(AH2013="","",IFERROR(INDEX(C_TIPO,MATCH(C2013&amp;"-P"&amp;MAX(1,COUNTIFS(C_ID,C2013,C_DEFINE,"Sí",C_INICIO,"&lt;="&amp;EOMONTH(B2013,0))),C_CLAVE,0))&amp;"","Sin dato"))</f>
        <v/>
      </c>
      <c r="AB2013" s="71" t="str">
        <f aca="false">IF(AH2013="","",ROUND(MIN(K2013,TOPE_AFP_UF*AJ2013)*AK2013,0))</f>
        <v/>
      </c>
      <c r="AC2013" s="71" t="str">
        <f aca="false">IF(AH2013="","",ROUND(MIN(K2013,TOPE_AFC_UF*AJ2013)*IF(AA2013="Indefinido",AFC_EMP_INDEF,AFC_EMP_PF),0))</f>
        <v/>
      </c>
      <c r="AD2013" s="71" t="str">
        <f aca="false">IF(AH2013="","",ROUND(MIN(K2013,TOPE_AFP_UF*AJ2013)*(MUTUAL_BASICA+MUTUAL_ADIC+SANNA),0))</f>
        <v/>
      </c>
      <c r="AE2013" s="71" t="str">
        <f aca="false">IF(AH2013="","",P2013-N(N2013)+AB2013+AC2013+AD2013)</f>
        <v/>
      </c>
      <c r="AF2013" s="65"/>
      <c r="AG2013" s="64"/>
      <c r="AH2013" s="72" t="str">
        <f aca="false">IF(OR(B2013="",C2013=""),"",C2013&amp;"|"&amp;(YEAR(B2013)*100+MONTH(B2013)))</f>
        <v/>
      </c>
      <c r="AI2013" s="70" t="str">
        <f aca="false">IF(AH2013="","",IF(COUNTIF(L_CLAVE,AH2013)&gt;1,"⚠ Duplicado","OK"))</f>
        <v/>
      </c>
      <c r="AJ2013" s="86" t="str">
        <f aca="false">IF(AH2013="","",IF(SUMPRODUCT(MAX((IND_PER&lt;=B2013)*(IND_UF&lt;&gt;"")*IND_PER))=0,UF_HOY,INDEX(IND_UF,MATCH(SUMPRODUCT(MAX((IND_PER&lt;=B2013)*(IND_UF&lt;&gt;"")*IND_PER)),IND_PER,0))))</f>
        <v/>
      </c>
      <c r="AK2013" s="87" t="str">
        <f aca="false">IF(AH2013="","",IF(COUNTIF(TASA_DESDE,"&lt;="&amp;B2013)=0,INDEX(TASA_EMP,1),INDEX(TASA_EMP,COUNTIF(TASA_DESDE,"&lt;="&amp;B2013))))</f>
        <v/>
      </c>
    </row>
    <row r="2014" customFormat="false" ht="15" hidden="false" customHeight="false" outlineLevel="0" collapsed="false">
      <c r="B2014" s="78"/>
      <c r="C2014" s="64"/>
      <c r="D2014" s="72" t="str">
        <f aca="false">IF(C2014="","",IFERROR(INDEX(T_NOMBRE,MATCH(C2014,T_ID,0)),"⚠ ID no existe"))</f>
        <v/>
      </c>
      <c r="E2014" s="69"/>
      <c r="F2014" s="67"/>
      <c r="G2014" s="67"/>
      <c r="H2014" s="67"/>
      <c r="I2014" s="67"/>
      <c r="J2014" s="67"/>
      <c r="K2014" s="85" t="str">
        <f aca="false">IF(AH2014="","",N(F2014)+N(G2014)+N(H2014)-N(I2014)+N(J2014))</f>
        <v/>
      </c>
      <c r="L2014" s="67"/>
      <c r="M2014" s="67"/>
      <c r="N2014" s="67"/>
      <c r="O2014" s="67"/>
      <c r="P2014" s="85" t="str">
        <f aca="false">IF(AH2014="","",K2014+N(L2014)+N(M2014)+N(N2014)+N(O2014))</f>
        <v/>
      </c>
      <c r="Q2014" s="67"/>
      <c r="R2014" s="67"/>
      <c r="S2014" s="67"/>
      <c r="T2014" s="67"/>
      <c r="U2014" s="67"/>
      <c r="V2014" s="67"/>
      <c r="W2014" s="85" t="str">
        <f aca="false">IF(AH2014="","",N(Q2014)+N(R2014)+N(S2014)+N(T2014)+N(U2014)+N(V2014))</f>
        <v/>
      </c>
      <c r="X2014" s="85" t="str">
        <f aca="false">IF(AH2014="","",P2014-W2014)</f>
        <v/>
      </c>
      <c r="Y2014" s="67"/>
      <c r="Z2014" s="70" t="str">
        <f aca="false">IF(OR(AH2014="",Y2014=""),"",IF(ABS(X2014-Y2014)&lt;=1,"✓ Cuadra","⚠ Diferencia $"&amp;FIXED(X2014-Y2014,0)))</f>
        <v/>
      </c>
      <c r="AA2014" s="72" t="str">
        <f aca="false">IF(AH2014="","",IFERROR(INDEX(C_TIPO,MATCH(C2014&amp;"-P"&amp;MAX(1,COUNTIFS(C_ID,C2014,C_DEFINE,"Sí",C_INICIO,"&lt;="&amp;EOMONTH(B2014,0))),C_CLAVE,0))&amp;"","Sin dato"))</f>
        <v/>
      </c>
      <c r="AB2014" s="71" t="str">
        <f aca="false">IF(AH2014="","",ROUND(MIN(K2014,TOPE_AFP_UF*AJ2014)*AK2014,0))</f>
        <v/>
      </c>
      <c r="AC2014" s="71" t="str">
        <f aca="false">IF(AH2014="","",ROUND(MIN(K2014,TOPE_AFC_UF*AJ2014)*IF(AA2014="Indefinido",AFC_EMP_INDEF,AFC_EMP_PF),0))</f>
        <v/>
      </c>
      <c r="AD2014" s="71" t="str">
        <f aca="false">IF(AH2014="","",ROUND(MIN(K2014,TOPE_AFP_UF*AJ2014)*(MUTUAL_BASICA+MUTUAL_ADIC+SANNA),0))</f>
        <v/>
      </c>
      <c r="AE2014" s="71" t="str">
        <f aca="false">IF(AH2014="","",P2014-N(N2014)+AB2014+AC2014+AD2014)</f>
        <v/>
      </c>
      <c r="AF2014" s="65"/>
      <c r="AG2014" s="64"/>
      <c r="AH2014" s="72" t="str">
        <f aca="false">IF(OR(B2014="",C2014=""),"",C2014&amp;"|"&amp;(YEAR(B2014)*100+MONTH(B2014)))</f>
        <v/>
      </c>
      <c r="AI2014" s="70" t="str">
        <f aca="false">IF(AH2014="","",IF(COUNTIF(L_CLAVE,AH2014)&gt;1,"⚠ Duplicado","OK"))</f>
        <v/>
      </c>
      <c r="AJ2014" s="86" t="str">
        <f aca="false">IF(AH2014="","",IF(SUMPRODUCT(MAX((IND_PER&lt;=B2014)*(IND_UF&lt;&gt;"")*IND_PER))=0,UF_HOY,INDEX(IND_UF,MATCH(SUMPRODUCT(MAX((IND_PER&lt;=B2014)*(IND_UF&lt;&gt;"")*IND_PER)),IND_PER,0))))</f>
        <v/>
      </c>
      <c r="AK2014" s="87" t="str">
        <f aca="false">IF(AH2014="","",IF(COUNTIF(TASA_DESDE,"&lt;="&amp;B2014)=0,INDEX(TASA_EMP,1),INDEX(TASA_EMP,COUNTIF(TASA_DESDE,"&lt;="&amp;B2014))))</f>
        <v/>
      </c>
    </row>
    <row r="2015" customFormat="false" ht="15" hidden="false" customHeight="false" outlineLevel="0" collapsed="false">
      <c r="B2015" s="78"/>
      <c r="C2015" s="64"/>
      <c r="D2015" s="72" t="str">
        <f aca="false">IF(C2015="","",IFERROR(INDEX(T_NOMBRE,MATCH(C2015,T_ID,0)),"⚠ ID no existe"))</f>
        <v/>
      </c>
      <c r="E2015" s="69"/>
      <c r="F2015" s="67"/>
      <c r="G2015" s="67"/>
      <c r="H2015" s="67"/>
      <c r="I2015" s="67"/>
      <c r="J2015" s="67"/>
      <c r="K2015" s="85" t="str">
        <f aca="false">IF(AH2015="","",N(F2015)+N(G2015)+N(H2015)-N(I2015)+N(J2015))</f>
        <v/>
      </c>
      <c r="L2015" s="67"/>
      <c r="M2015" s="67"/>
      <c r="N2015" s="67"/>
      <c r="O2015" s="67"/>
      <c r="P2015" s="85" t="str">
        <f aca="false">IF(AH2015="","",K2015+N(L2015)+N(M2015)+N(N2015)+N(O2015))</f>
        <v/>
      </c>
      <c r="Q2015" s="67"/>
      <c r="R2015" s="67"/>
      <c r="S2015" s="67"/>
      <c r="T2015" s="67"/>
      <c r="U2015" s="67"/>
      <c r="V2015" s="67"/>
      <c r="W2015" s="85" t="str">
        <f aca="false">IF(AH2015="","",N(Q2015)+N(R2015)+N(S2015)+N(T2015)+N(U2015)+N(V2015))</f>
        <v/>
      </c>
      <c r="X2015" s="85" t="str">
        <f aca="false">IF(AH2015="","",P2015-W2015)</f>
        <v/>
      </c>
      <c r="Y2015" s="67"/>
      <c r="Z2015" s="70" t="str">
        <f aca="false">IF(OR(AH2015="",Y2015=""),"",IF(ABS(X2015-Y2015)&lt;=1,"✓ Cuadra","⚠ Diferencia $"&amp;FIXED(X2015-Y2015,0)))</f>
        <v/>
      </c>
      <c r="AA2015" s="72" t="str">
        <f aca="false">IF(AH2015="","",IFERROR(INDEX(C_TIPO,MATCH(C2015&amp;"-P"&amp;MAX(1,COUNTIFS(C_ID,C2015,C_DEFINE,"Sí",C_INICIO,"&lt;="&amp;EOMONTH(B2015,0))),C_CLAVE,0))&amp;"","Sin dato"))</f>
        <v/>
      </c>
      <c r="AB2015" s="71" t="str">
        <f aca="false">IF(AH2015="","",ROUND(MIN(K2015,TOPE_AFP_UF*AJ2015)*AK2015,0))</f>
        <v/>
      </c>
      <c r="AC2015" s="71" t="str">
        <f aca="false">IF(AH2015="","",ROUND(MIN(K2015,TOPE_AFC_UF*AJ2015)*IF(AA2015="Indefinido",AFC_EMP_INDEF,AFC_EMP_PF),0))</f>
        <v/>
      </c>
      <c r="AD2015" s="71" t="str">
        <f aca="false">IF(AH2015="","",ROUND(MIN(K2015,TOPE_AFP_UF*AJ2015)*(MUTUAL_BASICA+MUTUAL_ADIC+SANNA),0))</f>
        <v/>
      </c>
      <c r="AE2015" s="71" t="str">
        <f aca="false">IF(AH2015="","",P2015-N(N2015)+AB2015+AC2015+AD2015)</f>
        <v/>
      </c>
      <c r="AF2015" s="65"/>
      <c r="AG2015" s="64"/>
      <c r="AH2015" s="72" t="str">
        <f aca="false">IF(OR(B2015="",C2015=""),"",C2015&amp;"|"&amp;(YEAR(B2015)*100+MONTH(B2015)))</f>
        <v/>
      </c>
      <c r="AI2015" s="70" t="str">
        <f aca="false">IF(AH2015="","",IF(COUNTIF(L_CLAVE,AH2015)&gt;1,"⚠ Duplicado","OK"))</f>
        <v/>
      </c>
      <c r="AJ2015" s="86" t="str">
        <f aca="false">IF(AH2015="","",IF(SUMPRODUCT(MAX((IND_PER&lt;=B2015)*(IND_UF&lt;&gt;"")*IND_PER))=0,UF_HOY,INDEX(IND_UF,MATCH(SUMPRODUCT(MAX((IND_PER&lt;=B2015)*(IND_UF&lt;&gt;"")*IND_PER)),IND_PER,0))))</f>
        <v/>
      </c>
      <c r="AK2015" s="87" t="str">
        <f aca="false">IF(AH2015="","",IF(COUNTIF(TASA_DESDE,"&lt;="&amp;B2015)=0,INDEX(TASA_EMP,1),INDEX(TASA_EMP,COUNTIF(TASA_DESDE,"&lt;="&amp;B2015))))</f>
        <v/>
      </c>
    </row>
    <row r="2016" customFormat="false" ht="15" hidden="false" customHeight="false" outlineLevel="0" collapsed="false">
      <c r="B2016" s="78"/>
      <c r="C2016" s="64"/>
      <c r="D2016" s="72" t="str">
        <f aca="false">IF(C2016="","",IFERROR(INDEX(T_NOMBRE,MATCH(C2016,T_ID,0)),"⚠ ID no existe"))</f>
        <v/>
      </c>
      <c r="E2016" s="69"/>
      <c r="F2016" s="67"/>
      <c r="G2016" s="67"/>
      <c r="H2016" s="67"/>
      <c r="I2016" s="67"/>
      <c r="J2016" s="67"/>
      <c r="K2016" s="85" t="str">
        <f aca="false">IF(AH2016="","",N(F2016)+N(G2016)+N(H2016)-N(I2016)+N(J2016))</f>
        <v/>
      </c>
      <c r="L2016" s="67"/>
      <c r="M2016" s="67"/>
      <c r="N2016" s="67"/>
      <c r="O2016" s="67"/>
      <c r="P2016" s="85" t="str">
        <f aca="false">IF(AH2016="","",K2016+N(L2016)+N(M2016)+N(N2016)+N(O2016))</f>
        <v/>
      </c>
      <c r="Q2016" s="67"/>
      <c r="R2016" s="67"/>
      <c r="S2016" s="67"/>
      <c r="T2016" s="67"/>
      <c r="U2016" s="67"/>
      <c r="V2016" s="67"/>
      <c r="W2016" s="85" t="str">
        <f aca="false">IF(AH2016="","",N(Q2016)+N(R2016)+N(S2016)+N(T2016)+N(U2016)+N(V2016))</f>
        <v/>
      </c>
      <c r="X2016" s="85" t="str">
        <f aca="false">IF(AH2016="","",P2016-W2016)</f>
        <v/>
      </c>
      <c r="Y2016" s="67"/>
      <c r="Z2016" s="70" t="str">
        <f aca="false">IF(OR(AH2016="",Y2016=""),"",IF(ABS(X2016-Y2016)&lt;=1,"✓ Cuadra","⚠ Diferencia $"&amp;FIXED(X2016-Y2016,0)))</f>
        <v/>
      </c>
      <c r="AA2016" s="72" t="str">
        <f aca="false">IF(AH2016="","",IFERROR(INDEX(C_TIPO,MATCH(C2016&amp;"-P"&amp;MAX(1,COUNTIFS(C_ID,C2016,C_DEFINE,"Sí",C_INICIO,"&lt;="&amp;EOMONTH(B2016,0))),C_CLAVE,0))&amp;"","Sin dato"))</f>
        <v/>
      </c>
      <c r="AB2016" s="71" t="str">
        <f aca="false">IF(AH2016="","",ROUND(MIN(K2016,TOPE_AFP_UF*AJ2016)*AK2016,0))</f>
        <v/>
      </c>
      <c r="AC2016" s="71" t="str">
        <f aca="false">IF(AH2016="","",ROUND(MIN(K2016,TOPE_AFC_UF*AJ2016)*IF(AA2016="Indefinido",AFC_EMP_INDEF,AFC_EMP_PF),0))</f>
        <v/>
      </c>
      <c r="AD2016" s="71" t="str">
        <f aca="false">IF(AH2016="","",ROUND(MIN(K2016,TOPE_AFP_UF*AJ2016)*(MUTUAL_BASICA+MUTUAL_ADIC+SANNA),0))</f>
        <v/>
      </c>
      <c r="AE2016" s="71" t="str">
        <f aca="false">IF(AH2016="","",P2016-N(N2016)+AB2016+AC2016+AD2016)</f>
        <v/>
      </c>
      <c r="AF2016" s="65"/>
      <c r="AG2016" s="64"/>
      <c r="AH2016" s="72" t="str">
        <f aca="false">IF(OR(B2016="",C2016=""),"",C2016&amp;"|"&amp;(YEAR(B2016)*100+MONTH(B2016)))</f>
        <v/>
      </c>
      <c r="AI2016" s="70" t="str">
        <f aca="false">IF(AH2016="","",IF(COUNTIF(L_CLAVE,AH2016)&gt;1,"⚠ Duplicado","OK"))</f>
        <v/>
      </c>
      <c r="AJ2016" s="86" t="str">
        <f aca="false">IF(AH2016="","",IF(SUMPRODUCT(MAX((IND_PER&lt;=B2016)*(IND_UF&lt;&gt;"")*IND_PER))=0,UF_HOY,INDEX(IND_UF,MATCH(SUMPRODUCT(MAX((IND_PER&lt;=B2016)*(IND_UF&lt;&gt;"")*IND_PER)),IND_PER,0))))</f>
        <v/>
      </c>
      <c r="AK2016" s="87" t="str">
        <f aca="false">IF(AH2016="","",IF(COUNTIF(TASA_DESDE,"&lt;="&amp;B2016)=0,INDEX(TASA_EMP,1),INDEX(TASA_EMP,COUNTIF(TASA_DESDE,"&lt;="&amp;B2016))))</f>
        <v/>
      </c>
    </row>
    <row r="2017" customFormat="false" ht="15" hidden="false" customHeight="false" outlineLevel="0" collapsed="false">
      <c r="B2017" s="78"/>
      <c r="C2017" s="64"/>
      <c r="D2017" s="72" t="str">
        <f aca="false">IF(C2017="","",IFERROR(INDEX(T_NOMBRE,MATCH(C2017,T_ID,0)),"⚠ ID no existe"))</f>
        <v/>
      </c>
      <c r="E2017" s="69"/>
      <c r="F2017" s="67"/>
      <c r="G2017" s="67"/>
      <c r="H2017" s="67"/>
      <c r="I2017" s="67"/>
      <c r="J2017" s="67"/>
      <c r="K2017" s="85" t="str">
        <f aca="false">IF(AH2017="","",N(F2017)+N(G2017)+N(H2017)-N(I2017)+N(J2017))</f>
        <v/>
      </c>
      <c r="L2017" s="67"/>
      <c r="M2017" s="67"/>
      <c r="N2017" s="67"/>
      <c r="O2017" s="67"/>
      <c r="P2017" s="85" t="str">
        <f aca="false">IF(AH2017="","",K2017+N(L2017)+N(M2017)+N(N2017)+N(O2017))</f>
        <v/>
      </c>
      <c r="Q2017" s="67"/>
      <c r="R2017" s="67"/>
      <c r="S2017" s="67"/>
      <c r="T2017" s="67"/>
      <c r="U2017" s="67"/>
      <c r="V2017" s="67"/>
      <c r="W2017" s="85" t="str">
        <f aca="false">IF(AH2017="","",N(Q2017)+N(R2017)+N(S2017)+N(T2017)+N(U2017)+N(V2017))</f>
        <v/>
      </c>
      <c r="X2017" s="85" t="str">
        <f aca="false">IF(AH2017="","",P2017-W2017)</f>
        <v/>
      </c>
      <c r="Y2017" s="67"/>
      <c r="Z2017" s="70" t="str">
        <f aca="false">IF(OR(AH2017="",Y2017=""),"",IF(ABS(X2017-Y2017)&lt;=1,"✓ Cuadra","⚠ Diferencia $"&amp;FIXED(X2017-Y2017,0)))</f>
        <v/>
      </c>
      <c r="AA2017" s="72" t="str">
        <f aca="false">IF(AH2017="","",IFERROR(INDEX(C_TIPO,MATCH(C2017&amp;"-P"&amp;MAX(1,COUNTIFS(C_ID,C2017,C_DEFINE,"Sí",C_INICIO,"&lt;="&amp;EOMONTH(B2017,0))),C_CLAVE,0))&amp;"","Sin dato"))</f>
        <v/>
      </c>
      <c r="AB2017" s="71" t="str">
        <f aca="false">IF(AH2017="","",ROUND(MIN(K2017,TOPE_AFP_UF*AJ2017)*AK2017,0))</f>
        <v/>
      </c>
      <c r="AC2017" s="71" t="str">
        <f aca="false">IF(AH2017="","",ROUND(MIN(K2017,TOPE_AFC_UF*AJ2017)*IF(AA2017="Indefinido",AFC_EMP_INDEF,AFC_EMP_PF),0))</f>
        <v/>
      </c>
      <c r="AD2017" s="71" t="str">
        <f aca="false">IF(AH2017="","",ROUND(MIN(K2017,TOPE_AFP_UF*AJ2017)*(MUTUAL_BASICA+MUTUAL_ADIC+SANNA),0))</f>
        <v/>
      </c>
      <c r="AE2017" s="71" t="str">
        <f aca="false">IF(AH2017="","",P2017-N(N2017)+AB2017+AC2017+AD2017)</f>
        <v/>
      </c>
      <c r="AF2017" s="65"/>
      <c r="AG2017" s="64"/>
      <c r="AH2017" s="72" t="str">
        <f aca="false">IF(OR(B2017="",C2017=""),"",C2017&amp;"|"&amp;(YEAR(B2017)*100+MONTH(B2017)))</f>
        <v/>
      </c>
      <c r="AI2017" s="70" t="str">
        <f aca="false">IF(AH2017="","",IF(COUNTIF(L_CLAVE,AH2017)&gt;1,"⚠ Duplicado","OK"))</f>
        <v/>
      </c>
      <c r="AJ2017" s="86" t="str">
        <f aca="false">IF(AH2017="","",IF(SUMPRODUCT(MAX((IND_PER&lt;=B2017)*(IND_UF&lt;&gt;"")*IND_PER))=0,UF_HOY,INDEX(IND_UF,MATCH(SUMPRODUCT(MAX((IND_PER&lt;=B2017)*(IND_UF&lt;&gt;"")*IND_PER)),IND_PER,0))))</f>
        <v/>
      </c>
      <c r="AK2017" s="87" t="str">
        <f aca="false">IF(AH2017="","",IF(COUNTIF(TASA_DESDE,"&lt;="&amp;B2017)=0,INDEX(TASA_EMP,1),INDEX(TASA_EMP,COUNTIF(TASA_DESDE,"&lt;="&amp;B2017))))</f>
        <v/>
      </c>
    </row>
    <row r="2018" customFormat="false" ht="15" hidden="false" customHeight="false" outlineLevel="0" collapsed="false">
      <c r="B2018" s="78"/>
      <c r="C2018" s="64"/>
      <c r="D2018" s="72" t="str">
        <f aca="false">IF(C2018="","",IFERROR(INDEX(T_NOMBRE,MATCH(C2018,T_ID,0)),"⚠ ID no existe"))</f>
        <v/>
      </c>
      <c r="E2018" s="69"/>
      <c r="F2018" s="67"/>
      <c r="G2018" s="67"/>
      <c r="H2018" s="67"/>
      <c r="I2018" s="67"/>
      <c r="J2018" s="67"/>
      <c r="K2018" s="85" t="str">
        <f aca="false">IF(AH2018="","",N(F2018)+N(G2018)+N(H2018)-N(I2018)+N(J2018))</f>
        <v/>
      </c>
      <c r="L2018" s="67"/>
      <c r="M2018" s="67"/>
      <c r="N2018" s="67"/>
      <c r="O2018" s="67"/>
      <c r="P2018" s="85" t="str">
        <f aca="false">IF(AH2018="","",K2018+N(L2018)+N(M2018)+N(N2018)+N(O2018))</f>
        <v/>
      </c>
      <c r="Q2018" s="67"/>
      <c r="R2018" s="67"/>
      <c r="S2018" s="67"/>
      <c r="T2018" s="67"/>
      <c r="U2018" s="67"/>
      <c r="V2018" s="67"/>
      <c r="W2018" s="85" t="str">
        <f aca="false">IF(AH2018="","",N(Q2018)+N(R2018)+N(S2018)+N(T2018)+N(U2018)+N(V2018))</f>
        <v/>
      </c>
      <c r="X2018" s="85" t="str">
        <f aca="false">IF(AH2018="","",P2018-W2018)</f>
        <v/>
      </c>
      <c r="Y2018" s="67"/>
      <c r="Z2018" s="70" t="str">
        <f aca="false">IF(OR(AH2018="",Y2018=""),"",IF(ABS(X2018-Y2018)&lt;=1,"✓ Cuadra","⚠ Diferencia $"&amp;FIXED(X2018-Y2018,0)))</f>
        <v/>
      </c>
      <c r="AA2018" s="72" t="str">
        <f aca="false">IF(AH2018="","",IFERROR(INDEX(C_TIPO,MATCH(C2018&amp;"-P"&amp;MAX(1,COUNTIFS(C_ID,C2018,C_DEFINE,"Sí",C_INICIO,"&lt;="&amp;EOMONTH(B2018,0))),C_CLAVE,0))&amp;"","Sin dato"))</f>
        <v/>
      </c>
      <c r="AB2018" s="71" t="str">
        <f aca="false">IF(AH2018="","",ROUND(MIN(K2018,TOPE_AFP_UF*AJ2018)*AK2018,0))</f>
        <v/>
      </c>
      <c r="AC2018" s="71" t="str">
        <f aca="false">IF(AH2018="","",ROUND(MIN(K2018,TOPE_AFC_UF*AJ2018)*IF(AA2018="Indefinido",AFC_EMP_INDEF,AFC_EMP_PF),0))</f>
        <v/>
      </c>
      <c r="AD2018" s="71" t="str">
        <f aca="false">IF(AH2018="","",ROUND(MIN(K2018,TOPE_AFP_UF*AJ2018)*(MUTUAL_BASICA+MUTUAL_ADIC+SANNA),0))</f>
        <v/>
      </c>
      <c r="AE2018" s="71" t="str">
        <f aca="false">IF(AH2018="","",P2018-N(N2018)+AB2018+AC2018+AD2018)</f>
        <v/>
      </c>
      <c r="AF2018" s="65"/>
      <c r="AG2018" s="64"/>
      <c r="AH2018" s="72" t="str">
        <f aca="false">IF(OR(B2018="",C2018=""),"",C2018&amp;"|"&amp;(YEAR(B2018)*100+MONTH(B2018)))</f>
        <v/>
      </c>
      <c r="AI2018" s="70" t="str">
        <f aca="false">IF(AH2018="","",IF(COUNTIF(L_CLAVE,AH2018)&gt;1,"⚠ Duplicado","OK"))</f>
        <v/>
      </c>
      <c r="AJ2018" s="86" t="str">
        <f aca="false">IF(AH2018="","",IF(SUMPRODUCT(MAX((IND_PER&lt;=B2018)*(IND_UF&lt;&gt;"")*IND_PER))=0,UF_HOY,INDEX(IND_UF,MATCH(SUMPRODUCT(MAX((IND_PER&lt;=B2018)*(IND_UF&lt;&gt;"")*IND_PER)),IND_PER,0))))</f>
        <v/>
      </c>
      <c r="AK2018" s="87" t="str">
        <f aca="false">IF(AH2018="","",IF(COUNTIF(TASA_DESDE,"&lt;="&amp;B2018)=0,INDEX(TASA_EMP,1),INDEX(TASA_EMP,COUNTIF(TASA_DESDE,"&lt;="&amp;B2018))))</f>
        <v/>
      </c>
    </row>
    <row r="2019" customFormat="false" ht="15" hidden="false" customHeight="false" outlineLevel="0" collapsed="false">
      <c r="B2019" s="78"/>
      <c r="C2019" s="64"/>
      <c r="D2019" s="72" t="str">
        <f aca="false">IF(C2019="","",IFERROR(INDEX(T_NOMBRE,MATCH(C2019,T_ID,0)),"⚠ ID no existe"))</f>
        <v/>
      </c>
      <c r="E2019" s="69"/>
      <c r="F2019" s="67"/>
      <c r="G2019" s="67"/>
      <c r="H2019" s="67"/>
      <c r="I2019" s="67"/>
      <c r="J2019" s="67"/>
      <c r="K2019" s="85" t="str">
        <f aca="false">IF(AH2019="","",N(F2019)+N(G2019)+N(H2019)-N(I2019)+N(J2019))</f>
        <v/>
      </c>
      <c r="L2019" s="67"/>
      <c r="M2019" s="67"/>
      <c r="N2019" s="67"/>
      <c r="O2019" s="67"/>
      <c r="P2019" s="85" t="str">
        <f aca="false">IF(AH2019="","",K2019+N(L2019)+N(M2019)+N(N2019)+N(O2019))</f>
        <v/>
      </c>
      <c r="Q2019" s="67"/>
      <c r="R2019" s="67"/>
      <c r="S2019" s="67"/>
      <c r="T2019" s="67"/>
      <c r="U2019" s="67"/>
      <c r="V2019" s="67"/>
      <c r="W2019" s="85" t="str">
        <f aca="false">IF(AH2019="","",N(Q2019)+N(R2019)+N(S2019)+N(T2019)+N(U2019)+N(V2019))</f>
        <v/>
      </c>
      <c r="X2019" s="85" t="str">
        <f aca="false">IF(AH2019="","",P2019-W2019)</f>
        <v/>
      </c>
      <c r="Y2019" s="67"/>
      <c r="Z2019" s="70" t="str">
        <f aca="false">IF(OR(AH2019="",Y2019=""),"",IF(ABS(X2019-Y2019)&lt;=1,"✓ Cuadra","⚠ Diferencia $"&amp;FIXED(X2019-Y2019,0)))</f>
        <v/>
      </c>
      <c r="AA2019" s="72" t="str">
        <f aca="false">IF(AH2019="","",IFERROR(INDEX(C_TIPO,MATCH(C2019&amp;"-P"&amp;MAX(1,COUNTIFS(C_ID,C2019,C_DEFINE,"Sí",C_INICIO,"&lt;="&amp;EOMONTH(B2019,0))),C_CLAVE,0))&amp;"","Sin dato"))</f>
        <v/>
      </c>
      <c r="AB2019" s="71" t="str">
        <f aca="false">IF(AH2019="","",ROUND(MIN(K2019,TOPE_AFP_UF*AJ2019)*AK2019,0))</f>
        <v/>
      </c>
      <c r="AC2019" s="71" t="str">
        <f aca="false">IF(AH2019="","",ROUND(MIN(K2019,TOPE_AFC_UF*AJ2019)*IF(AA2019="Indefinido",AFC_EMP_INDEF,AFC_EMP_PF),0))</f>
        <v/>
      </c>
      <c r="AD2019" s="71" t="str">
        <f aca="false">IF(AH2019="","",ROUND(MIN(K2019,TOPE_AFP_UF*AJ2019)*(MUTUAL_BASICA+MUTUAL_ADIC+SANNA),0))</f>
        <v/>
      </c>
      <c r="AE2019" s="71" t="str">
        <f aca="false">IF(AH2019="","",P2019-N(N2019)+AB2019+AC2019+AD2019)</f>
        <v/>
      </c>
      <c r="AF2019" s="65"/>
      <c r="AG2019" s="64"/>
      <c r="AH2019" s="72" t="str">
        <f aca="false">IF(OR(B2019="",C2019=""),"",C2019&amp;"|"&amp;(YEAR(B2019)*100+MONTH(B2019)))</f>
        <v/>
      </c>
      <c r="AI2019" s="70" t="str">
        <f aca="false">IF(AH2019="","",IF(COUNTIF(L_CLAVE,AH2019)&gt;1,"⚠ Duplicado","OK"))</f>
        <v/>
      </c>
      <c r="AJ2019" s="86" t="str">
        <f aca="false">IF(AH2019="","",IF(SUMPRODUCT(MAX((IND_PER&lt;=B2019)*(IND_UF&lt;&gt;"")*IND_PER))=0,UF_HOY,INDEX(IND_UF,MATCH(SUMPRODUCT(MAX((IND_PER&lt;=B2019)*(IND_UF&lt;&gt;"")*IND_PER)),IND_PER,0))))</f>
        <v/>
      </c>
      <c r="AK2019" s="87" t="str">
        <f aca="false">IF(AH2019="","",IF(COUNTIF(TASA_DESDE,"&lt;="&amp;B2019)=0,INDEX(TASA_EMP,1),INDEX(TASA_EMP,COUNTIF(TASA_DESDE,"&lt;="&amp;B2019))))</f>
        <v/>
      </c>
    </row>
    <row r="2020" customFormat="false" ht="15" hidden="false" customHeight="false" outlineLevel="0" collapsed="false">
      <c r="B2020" s="78"/>
      <c r="C2020" s="64"/>
      <c r="D2020" s="72" t="str">
        <f aca="false">IF(C2020="","",IFERROR(INDEX(T_NOMBRE,MATCH(C2020,T_ID,0)),"⚠ ID no existe"))</f>
        <v/>
      </c>
      <c r="E2020" s="69"/>
      <c r="F2020" s="67"/>
      <c r="G2020" s="67"/>
      <c r="H2020" s="67"/>
      <c r="I2020" s="67"/>
      <c r="J2020" s="67"/>
      <c r="K2020" s="85" t="str">
        <f aca="false">IF(AH2020="","",N(F2020)+N(G2020)+N(H2020)-N(I2020)+N(J2020))</f>
        <v/>
      </c>
      <c r="L2020" s="67"/>
      <c r="M2020" s="67"/>
      <c r="N2020" s="67"/>
      <c r="O2020" s="67"/>
      <c r="P2020" s="85" t="str">
        <f aca="false">IF(AH2020="","",K2020+N(L2020)+N(M2020)+N(N2020)+N(O2020))</f>
        <v/>
      </c>
      <c r="Q2020" s="67"/>
      <c r="R2020" s="67"/>
      <c r="S2020" s="67"/>
      <c r="T2020" s="67"/>
      <c r="U2020" s="67"/>
      <c r="V2020" s="67"/>
      <c r="W2020" s="85" t="str">
        <f aca="false">IF(AH2020="","",N(Q2020)+N(R2020)+N(S2020)+N(T2020)+N(U2020)+N(V2020))</f>
        <v/>
      </c>
      <c r="X2020" s="85" t="str">
        <f aca="false">IF(AH2020="","",P2020-W2020)</f>
        <v/>
      </c>
      <c r="Y2020" s="67"/>
      <c r="Z2020" s="70" t="str">
        <f aca="false">IF(OR(AH2020="",Y2020=""),"",IF(ABS(X2020-Y2020)&lt;=1,"✓ Cuadra","⚠ Diferencia $"&amp;FIXED(X2020-Y2020,0)))</f>
        <v/>
      </c>
      <c r="AA2020" s="72" t="str">
        <f aca="false">IF(AH2020="","",IFERROR(INDEX(C_TIPO,MATCH(C2020&amp;"-P"&amp;MAX(1,COUNTIFS(C_ID,C2020,C_DEFINE,"Sí",C_INICIO,"&lt;="&amp;EOMONTH(B2020,0))),C_CLAVE,0))&amp;"","Sin dato"))</f>
        <v/>
      </c>
      <c r="AB2020" s="71" t="str">
        <f aca="false">IF(AH2020="","",ROUND(MIN(K2020,TOPE_AFP_UF*AJ2020)*AK2020,0))</f>
        <v/>
      </c>
      <c r="AC2020" s="71" t="str">
        <f aca="false">IF(AH2020="","",ROUND(MIN(K2020,TOPE_AFC_UF*AJ2020)*IF(AA2020="Indefinido",AFC_EMP_INDEF,AFC_EMP_PF),0))</f>
        <v/>
      </c>
      <c r="AD2020" s="71" t="str">
        <f aca="false">IF(AH2020="","",ROUND(MIN(K2020,TOPE_AFP_UF*AJ2020)*(MUTUAL_BASICA+MUTUAL_ADIC+SANNA),0))</f>
        <v/>
      </c>
      <c r="AE2020" s="71" t="str">
        <f aca="false">IF(AH2020="","",P2020-N(N2020)+AB2020+AC2020+AD2020)</f>
        <v/>
      </c>
      <c r="AF2020" s="65"/>
      <c r="AG2020" s="64"/>
      <c r="AH2020" s="72" t="str">
        <f aca="false">IF(OR(B2020="",C2020=""),"",C2020&amp;"|"&amp;(YEAR(B2020)*100+MONTH(B2020)))</f>
        <v/>
      </c>
      <c r="AI2020" s="70" t="str">
        <f aca="false">IF(AH2020="","",IF(COUNTIF(L_CLAVE,AH2020)&gt;1,"⚠ Duplicado","OK"))</f>
        <v/>
      </c>
      <c r="AJ2020" s="86" t="str">
        <f aca="false">IF(AH2020="","",IF(SUMPRODUCT(MAX((IND_PER&lt;=B2020)*(IND_UF&lt;&gt;"")*IND_PER))=0,UF_HOY,INDEX(IND_UF,MATCH(SUMPRODUCT(MAX((IND_PER&lt;=B2020)*(IND_UF&lt;&gt;"")*IND_PER)),IND_PER,0))))</f>
        <v/>
      </c>
      <c r="AK2020" s="87" t="str">
        <f aca="false">IF(AH2020="","",IF(COUNTIF(TASA_DESDE,"&lt;="&amp;B2020)=0,INDEX(TASA_EMP,1),INDEX(TASA_EMP,COUNTIF(TASA_DESDE,"&lt;="&amp;B2020))))</f>
        <v/>
      </c>
    </row>
    <row r="2021" customFormat="false" ht="15" hidden="false" customHeight="false" outlineLevel="0" collapsed="false">
      <c r="B2021" s="78"/>
      <c r="C2021" s="64"/>
      <c r="D2021" s="72" t="str">
        <f aca="false">IF(C2021="","",IFERROR(INDEX(T_NOMBRE,MATCH(C2021,T_ID,0)),"⚠ ID no existe"))</f>
        <v/>
      </c>
      <c r="E2021" s="69"/>
      <c r="F2021" s="67"/>
      <c r="G2021" s="67"/>
      <c r="H2021" s="67"/>
      <c r="I2021" s="67"/>
      <c r="J2021" s="67"/>
      <c r="K2021" s="85" t="str">
        <f aca="false">IF(AH2021="","",N(F2021)+N(G2021)+N(H2021)-N(I2021)+N(J2021))</f>
        <v/>
      </c>
      <c r="L2021" s="67"/>
      <c r="M2021" s="67"/>
      <c r="N2021" s="67"/>
      <c r="O2021" s="67"/>
      <c r="P2021" s="85" t="str">
        <f aca="false">IF(AH2021="","",K2021+N(L2021)+N(M2021)+N(N2021)+N(O2021))</f>
        <v/>
      </c>
      <c r="Q2021" s="67"/>
      <c r="R2021" s="67"/>
      <c r="S2021" s="67"/>
      <c r="T2021" s="67"/>
      <c r="U2021" s="67"/>
      <c r="V2021" s="67"/>
      <c r="W2021" s="85" t="str">
        <f aca="false">IF(AH2021="","",N(Q2021)+N(R2021)+N(S2021)+N(T2021)+N(U2021)+N(V2021))</f>
        <v/>
      </c>
      <c r="X2021" s="85" t="str">
        <f aca="false">IF(AH2021="","",P2021-W2021)</f>
        <v/>
      </c>
      <c r="Y2021" s="67"/>
      <c r="Z2021" s="70" t="str">
        <f aca="false">IF(OR(AH2021="",Y2021=""),"",IF(ABS(X2021-Y2021)&lt;=1,"✓ Cuadra","⚠ Diferencia $"&amp;FIXED(X2021-Y2021,0)))</f>
        <v/>
      </c>
      <c r="AA2021" s="72" t="str">
        <f aca="false">IF(AH2021="","",IFERROR(INDEX(C_TIPO,MATCH(C2021&amp;"-P"&amp;MAX(1,COUNTIFS(C_ID,C2021,C_DEFINE,"Sí",C_INICIO,"&lt;="&amp;EOMONTH(B2021,0))),C_CLAVE,0))&amp;"","Sin dato"))</f>
        <v/>
      </c>
      <c r="AB2021" s="71" t="str">
        <f aca="false">IF(AH2021="","",ROUND(MIN(K2021,TOPE_AFP_UF*AJ2021)*AK2021,0))</f>
        <v/>
      </c>
      <c r="AC2021" s="71" t="str">
        <f aca="false">IF(AH2021="","",ROUND(MIN(K2021,TOPE_AFC_UF*AJ2021)*IF(AA2021="Indefinido",AFC_EMP_INDEF,AFC_EMP_PF),0))</f>
        <v/>
      </c>
      <c r="AD2021" s="71" t="str">
        <f aca="false">IF(AH2021="","",ROUND(MIN(K2021,TOPE_AFP_UF*AJ2021)*(MUTUAL_BASICA+MUTUAL_ADIC+SANNA),0))</f>
        <v/>
      </c>
      <c r="AE2021" s="71" t="str">
        <f aca="false">IF(AH2021="","",P2021-N(N2021)+AB2021+AC2021+AD2021)</f>
        <v/>
      </c>
      <c r="AF2021" s="65"/>
      <c r="AG2021" s="64"/>
      <c r="AH2021" s="72" t="str">
        <f aca="false">IF(OR(B2021="",C2021=""),"",C2021&amp;"|"&amp;(YEAR(B2021)*100+MONTH(B2021)))</f>
        <v/>
      </c>
      <c r="AI2021" s="70" t="str">
        <f aca="false">IF(AH2021="","",IF(COUNTIF(L_CLAVE,AH2021)&gt;1,"⚠ Duplicado","OK"))</f>
        <v/>
      </c>
      <c r="AJ2021" s="86" t="str">
        <f aca="false">IF(AH2021="","",IF(SUMPRODUCT(MAX((IND_PER&lt;=B2021)*(IND_UF&lt;&gt;"")*IND_PER))=0,UF_HOY,INDEX(IND_UF,MATCH(SUMPRODUCT(MAX((IND_PER&lt;=B2021)*(IND_UF&lt;&gt;"")*IND_PER)),IND_PER,0))))</f>
        <v/>
      </c>
      <c r="AK2021" s="87" t="str">
        <f aca="false">IF(AH2021="","",IF(COUNTIF(TASA_DESDE,"&lt;="&amp;B2021)=0,INDEX(TASA_EMP,1),INDEX(TASA_EMP,COUNTIF(TASA_DESDE,"&lt;="&amp;B2021))))</f>
        <v/>
      </c>
    </row>
    <row r="2022" customFormat="false" ht="15" hidden="false" customHeight="false" outlineLevel="0" collapsed="false">
      <c r="B2022" s="78"/>
      <c r="C2022" s="64"/>
      <c r="D2022" s="72" t="str">
        <f aca="false">IF(C2022="","",IFERROR(INDEX(T_NOMBRE,MATCH(C2022,T_ID,0)),"⚠ ID no existe"))</f>
        <v/>
      </c>
      <c r="E2022" s="69"/>
      <c r="F2022" s="67"/>
      <c r="G2022" s="67"/>
      <c r="H2022" s="67"/>
      <c r="I2022" s="67"/>
      <c r="J2022" s="67"/>
      <c r="K2022" s="85" t="str">
        <f aca="false">IF(AH2022="","",N(F2022)+N(G2022)+N(H2022)-N(I2022)+N(J2022))</f>
        <v/>
      </c>
      <c r="L2022" s="67"/>
      <c r="M2022" s="67"/>
      <c r="N2022" s="67"/>
      <c r="O2022" s="67"/>
      <c r="P2022" s="85" t="str">
        <f aca="false">IF(AH2022="","",K2022+N(L2022)+N(M2022)+N(N2022)+N(O2022))</f>
        <v/>
      </c>
      <c r="Q2022" s="67"/>
      <c r="R2022" s="67"/>
      <c r="S2022" s="67"/>
      <c r="T2022" s="67"/>
      <c r="U2022" s="67"/>
      <c r="V2022" s="67"/>
      <c r="W2022" s="85" t="str">
        <f aca="false">IF(AH2022="","",N(Q2022)+N(R2022)+N(S2022)+N(T2022)+N(U2022)+N(V2022))</f>
        <v/>
      </c>
      <c r="X2022" s="85" t="str">
        <f aca="false">IF(AH2022="","",P2022-W2022)</f>
        <v/>
      </c>
      <c r="Y2022" s="67"/>
      <c r="Z2022" s="70" t="str">
        <f aca="false">IF(OR(AH2022="",Y2022=""),"",IF(ABS(X2022-Y2022)&lt;=1,"✓ Cuadra","⚠ Diferencia $"&amp;FIXED(X2022-Y2022,0)))</f>
        <v/>
      </c>
      <c r="AA2022" s="72" t="str">
        <f aca="false">IF(AH2022="","",IFERROR(INDEX(C_TIPO,MATCH(C2022&amp;"-P"&amp;MAX(1,COUNTIFS(C_ID,C2022,C_DEFINE,"Sí",C_INICIO,"&lt;="&amp;EOMONTH(B2022,0))),C_CLAVE,0))&amp;"","Sin dato"))</f>
        <v/>
      </c>
      <c r="AB2022" s="71" t="str">
        <f aca="false">IF(AH2022="","",ROUND(MIN(K2022,TOPE_AFP_UF*AJ2022)*AK2022,0))</f>
        <v/>
      </c>
      <c r="AC2022" s="71" t="str">
        <f aca="false">IF(AH2022="","",ROUND(MIN(K2022,TOPE_AFC_UF*AJ2022)*IF(AA2022="Indefinido",AFC_EMP_INDEF,AFC_EMP_PF),0))</f>
        <v/>
      </c>
      <c r="AD2022" s="71" t="str">
        <f aca="false">IF(AH2022="","",ROUND(MIN(K2022,TOPE_AFP_UF*AJ2022)*(MUTUAL_BASICA+MUTUAL_ADIC+SANNA),0))</f>
        <v/>
      </c>
      <c r="AE2022" s="71" t="str">
        <f aca="false">IF(AH2022="","",P2022-N(N2022)+AB2022+AC2022+AD2022)</f>
        <v/>
      </c>
      <c r="AF2022" s="65"/>
      <c r="AG2022" s="64"/>
      <c r="AH2022" s="72" t="str">
        <f aca="false">IF(OR(B2022="",C2022=""),"",C2022&amp;"|"&amp;(YEAR(B2022)*100+MONTH(B2022)))</f>
        <v/>
      </c>
      <c r="AI2022" s="70" t="str">
        <f aca="false">IF(AH2022="","",IF(COUNTIF(L_CLAVE,AH2022)&gt;1,"⚠ Duplicado","OK"))</f>
        <v/>
      </c>
      <c r="AJ2022" s="86" t="str">
        <f aca="false">IF(AH2022="","",IF(SUMPRODUCT(MAX((IND_PER&lt;=B2022)*(IND_UF&lt;&gt;"")*IND_PER))=0,UF_HOY,INDEX(IND_UF,MATCH(SUMPRODUCT(MAX((IND_PER&lt;=B2022)*(IND_UF&lt;&gt;"")*IND_PER)),IND_PER,0))))</f>
        <v/>
      </c>
      <c r="AK2022" s="87" t="str">
        <f aca="false">IF(AH2022="","",IF(COUNTIF(TASA_DESDE,"&lt;="&amp;B2022)=0,INDEX(TASA_EMP,1),INDEX(TASA_EMP,COUNTIF(TASA_DESDE,"&lt;="&amp;B2022))))</f>
        <v/>
      </c>
    </row>
    <row r="2023" customFormat="false" ht="15" hidden="false" customHeight="false" outlineLevel="0" collapsed="false">
      <c r="B2023" s="78"/>
      <c r="C2023" s="64"/>
      <c r="D2023" s="72" t="str">
        <f aca="false">IF(C2023="","",IFERROR(INDEX(T_NOMBRE,MATCH(C2023,T_ID,0)),"⚠ ID no existe"))</f>
        <v/>
      </c>
      <c r="E2023" s="69"/>
      <c r="F2023" s="67"/>
      <c r="G2023" s="67"/>
      <c r="H2023" s="67"/>
      <c r="I2023" s="67"/>
      <c r="J2023" s="67"/>
      <c r="K2023" s="85" t="str">
        <f aca="false">IF(AH2023="","",N(F2023)+N(G2023)+N(H2023)-N(I2023)+N(J2023))</f>
        <v/>
      </c>
      <c r="L2023" s="67"/>
      <c r="M2023" s="67"/>
      <c r="N2023" s="67"/>
      <c r="O2023" s="67"/>
      <c r="P2023" s="85" t="str">
        <f aca="false">IF(AH2023="","",K2023+N(L2023)+N(M2023)+N(N2023)+N(O2023))</f>
        <v/>
      </c>
      <c r="Q2023" s="67"/>
      <c r="R2023" s="67"/>
      <c r="S2023" s="67"/>
      <c r="T2023" s="67"/>
      <c r="U2023" s="67"/>
      <c r="V2023" s="67"/>
      <c r="W2023" s="85" t="str">
        <f aca="false">IF(AH2023="","",N(Q2023)+N(R2023)+N(S2023)+N(T2023)+N(U2023)+N(V2023))</f>
        <v/>
      </c>
      <c r="X2023" s="85" t="str">
        <f aca="false">IF(AH2023="","",P2023-W2023)</f>
        <v/>
      </c>
      <c r="Y2023" s="67"/>
      <c r="Z2023" s="70" t="str">
        <f aca="false">IF(OR(AH2023="",Y2023=""),"",IF(ABS(X2023-Y2023)&lt;=1,"✓ Cuadra","⚠ Diferencia $"&amp;FIXED(X2023-Y2023,0)))</f>
        <v/>
      </c>
      <c r="AA2023" s="72" t="str">
        <f aca="false">IF(AH2023="","",IFERROR(INDEX(C_TIPO,MATCH(C2023&amp;"-P"&amp;MAX(1,COUNTIFS(C_ID,C2023,C_DEFINE,"Sí",C_INICIO,"&lt;="&amp;EOMONTH(B2023,0))),C_CLAVE,0))&amp;"","Sin dato"))</f>
        <v/>
      </c>
      <c r="AB2023" s="71" t="str">
        <f aca="false">IF(AH2023="","",ROUND(MIN(K2023,TOPE_AFP_UF*AJ2023)*AK2023,0))</f>
        <v/>
      </c>
      <c r="AC2023" s="71" t="str">
        <f aca="false">IF(AH2023="","",ROUND(MIN(K2023,TOPE_AFC_UF*AJ2023)*IF(AA2023="Indefinido",AFC_EMP_INDEF,AFC_EMP_PF),0))</f>
        <v/>
      </c>
      <c r="AD2023" s="71" t="str">
        <f aca="false">IF(AH2023="","",ROUND(MIN(K2023,TOPE_AFP_UF*AJ2023)*(MUTUAL_BASICA+MUTUAL_ADIC+SANNA),0))</f>
        <v/>
      </c>
      <c r="AE2023" s="71" t="str">
        <f aca="false">IF(AH2023="","",P2023-N(N2023)+AB2023+AC2023+AD2023)</f>
        <v/>
      </c>
      <c r="AF2023" s="65"/>
      <c r="AG2023" s="64"/>
      <c r="AH2023" s="72" t="str">
        <f aca="false">IF(OR(B2023="",C2023=""),"",C2023&amp;"|"&amp;(YEAR(B2023)*100+MONTH(B2023)))</f>
        <v/>
      </c>
      <c r="AI2023" s="70" t="str">
        <f aca="false">IF(AH2023="","",IF(COUNTIF(L_CLAVE,AH2023)&gt;1,"⚠ Duplicado","OK"))</f>
        <v/>
      </c>
      <c r="AJ2023" s="86" t="str">
        <f aca="false">IF(AH2023="","",IF(SUMPRODUCT(MAX((IND_PER&lt;=B2023)*(IND_UF&lt;&gt;"")*IND_PER))=0,UF_HOY,INDEX(IND_UF,MATCH(SUMPRODUCT(MAX((IND_PER&lt;=B2023)*(IND_UF&lt;&gt;"")*IND_PER)),IND_PER,0))))</f>
        <v/>
      </c>
      <c r="AK2023" s="87" t="str">
        <f aca="false">IF(AH2023="","",IF(COUNTIF(TASA_DESDE,"&lt;="&amp;B2023)=0,INDEX(TASA_EMP,1),INDEX(TASA_EMP,COUNTIF(TASA_DESDE,"&lt;="&amp;B2023))))</f>
        <v/>
      </c>
    </row>
    <row r="2024" customFormat="false" ht="15" hidden="false" customHeight="false" outlineLevel="0" collapsed="false">
      <c r="B2024" s="78"/>
      <c r="C2024" s="64"/>
      <c r="D2024" s="72" t="str">
        <f aca="false">IF(C2024="","",IFERROR(INDEX(T_NOMBRE,MATCH(C2024,T_ID,0)),"⚠ ID no existe"))</f>
        <v/>
      </c>
      <c r="E2024" s="69"/>
      <c r="F2024" s="67"/>
      <c r="G2024" s="67"/>
      <c r="H2024" s="67"/>
      <c r="I2024" s="67"/>
      <c r="J2024" s="67"/>
      <c r="K2024" s="85" t="str">
        <f aca="false">IF(AH2024="","",N(F2024)+N(G2024)+N(H2024)-N(I2024)+N(J2024))</f>
        <v/>
      </c>
      <c r="L2024" s="67"/>
      <c r="M2024" s="67"/>
      <c r="N2024" s="67"/>
      <c r="O2024" s="67"/>
      <c r="P2024" s="85" t="str">
        <f aca="false">IF(AH2024="","",K2024+N(L2024)+N(M2024)+N(N2024)+N(O2024))</f>
        <v/>
      </c>
      <c r="Q2024" s="67"/>
      <c r="R2024" s="67"/>
      <c r="S2024" s="67"/>
      <c r="T2024" s="67"/>
      <c r="U2024" s="67"/>
      <c r="V2024" s="67"/>
      <c r="W2024" s="85" t="str">
        <f aca="false">IF(AH2024="","",N(Q2024)+N(R2024)+N(S2024)+N(T2024)+N(U2024)+N(V2024))</f>
        <v/>
      </c>
      <c r="X2024" s="85" t="str">
        <f aca="false">IF(AH2024="","",P2024-W2024)</f>
        <v/>
      </c>
      <c r="Y2024" s="67"/>
      <c r="Z2024" s="70" t="str">
        <f aca="false">IF(OR(AH2024="",Y2024=""),"",IF(ABS(X2024-Y2024)&lt;=1,"✓ Cuadra","⚠ Diferencia $"&amp;FIXED(X2024-Y2024,0)))</f>
        <v/>
      </c>
      <c r="AA2024" s="72" t="str">
        <f aca="false">IF(AH2024="","",IFERROR(INDEX(C_TIPO,MATCH(C2024&amp;"-P"&amp;MAX(1,COUNTIFS(C_ID,C2024,C_DEFINE,"Sí",C_INICIO,"&lt;="&amp;EOMONTH(B2024,0))),C_CLAVE,0))&amp;"","Sin dato"))</f>
        <v/>
      </c>
      <c r="AB2024" s="71" t="str">
        <f aca="false">IF(AH2024="","",ROUND(MIN(K2024,TOPE_AFP_UF*AJ2024)*AK2024,0))</f>
        <v/>
      </c>
      <c r="AC2024" s="71" t="str">
        <f aca="false">IF(AH2024="","",ROUND(MIN(K2024,TOPE_AFC_UF*AJ2024)*IF(AA2024="Indefinido",AFC_EMP_INDEF,AFC_EMP_PF),0))</f>
        <v/>
      </c>
      <c r="AD2024" s="71" t="str">
        <f aca="false">IF(AH2024="","",ROUND(MIN(K2024,TOPE_AFP_UF*AJ2024)*(MUTUAL_BASICA+MUTUAL_ADIC+SANNA),0))</f>
        <v/>
      </c>
      <c r="AE2024" s="71" t="str">
        <f aca="false">IF(AH2024="","",P2024-N(N2024)+AB2024+AC2024+AD2024)</f>
        <v/>
      </c>
      <c r="AF2024" s="65"/>
      <c r="AG2024" s="64"/>
      <c r="AH2024" s="72" t="str">
        <f aca="false">IF(OR(B2024="",C2024=""),"",C2024&amp;"|"&amp;(YEAR(B2024)*100+MONTH(B2024)))</f>
        <v/>
      </c>
      <c r="AI2024" s="70" t="str">
        <f aca="false">IF(AH2024="","",IF(COUNTIF(L_CLAVE,AH2024)&gt;1,"⚠ Duplicado","OK"))</f>
        <v/>
      </c>
      <c r="AJ2024" s="86" t="str">
        <f aca="false">IF(AH2024="","",IF(SUMPRODUCT(MAX((IND_PER&lt;=B2024)*(IND_UF&lt;&gt;"")*IND_PER))=0,UF_HOY,INDEX(IND_UF,MATCH(SUMPRODUCT(MAX((IND_PER&lt;=B2024)*(IND_UF&lt;&gt;"")*IND_PER)),IND_PER,0))))</f>
        <v/>
      </c>
      <c r="AK2024" s="87" t="str">
        <f aca="false">IF(AH2024="","",IF(COUNTIF(TASA_DESDE,"&lt;="&amp;B2024)=0,INDEX(TASA_EMP,1),INDEX(TASA_EMP,COUNTIF(TASA_DESDE,"&lt;="&amp;B2024))))</f>
        <v/>
      </c>
    </row>
    <row r="2025" customFormat="false" ht="15" hidden="false" customHeight="false" outlineLevel="0" collapsed="false">
      <c r="B2025" s="78"/>
      <c r="C2025" s="64"/>
      <c r="D2025" s="72" t="str">
        <f aca="false">IF(C2025="","",IFERROR(INDEX(T_NOMBRE,MATCH(C2025,T_ID,0)),"⚠ ID no existe"))</f>
        <v/>
      </c>
      <c r="E2025" s="69"/>
      <c r="F2025" s="67"/>
      <c r="G2025" s="67"/>
      <c r="H2025" s="67"/>
      <c r="I2025" s="67"/>
      <c r="J2025" s="67"/>
      <c r="K2025" s="85" t="str">
        <f aca="false">IF(AH2025="","",N(F2025)+N(G2025)+N(H2025)-N(I2025)+N(J2025))</f>
        <v/>
      </c>
      <c r="L2025" s="67"/>
      <c r="M2025" s="67"/>
      <c r="N2025" s="67"/>
      <c r="O2025" s="67"/>
      <c r="P2025" s="85" t="str">
        <f aca="false">IF(AH2025="","",K2025+N(L2025)+N(M2025)+N(N2025)+N(O2025))</f>
        <v/>
      </c>
      <c r="Q2025" s="67"/>
      <c r="R2025" s="67"/>
      <c r="S2025" s="67"/>
      <c r="T2025" s="67"/>
      <c r="U2025" s="67"/>
      <c r="V2025" s="67"/>
      <c r="W2025" s="85" t="str">
        <f aca="false">IF(AH2025="","",N(Q2025)+N(R2025)+N(S2025)+N(T2025)+N(U2025)+N(V2025))</f>
        <v/>
      </c>
      <c r="X2025" s="85" t="str">
        <f aca="false">IF(AH2025="","",P2025-W2025)</f>
        <v/>
      </c>
      <c r="Y2025" s="67"/>
      <c r="Z2025" s="70" t="str">
        <f aca="false">IF(OR(AH2025="",Y2025=""),"",IF(ABS(X2025-Y2025)&lt;=1,"✓ Cuadra","⚠ Diferencia $"&amp;FIXED(X2025-Y2025,0)))</f>
        <v/>
      </c>
      <c r="AA2025" s="72" t="str">
        <f aca="false">IF(AH2025="","",IFERROR(INDEX(C_TIPO,MATCH(C2025&amp;"-P"&amp;MAX(1,COUNTIFS(C_ID,C2025,C_DEFINE,"Sí",C_INICIO,"&lt;="&amp;EOMONTH(B2025,0))),C_CLAVE,0))&amp;"","Sin dato"))</f>
        <v/>
      </c>
      <c r="AB2025" s="71" t="str">
        <f aca="false">IF(AH2025="","",ROUND(MIN(K2025,TOPE_AFP_UF*AJ2025)*AK2025,0))</f>
        <v/>
      </c>
      <c r="AC2025" s="71" t="str">
        <f aca="false">IF(AH2025="","",ROUND(MIN(K2025,TOPE_AFC_UF*AJ2025)*IF(AA2025="Indefinido",AFC_EMP_INDEF,AFC_EMP_PF),0))</f>
        <v/>
      </c>
      <c r="AD2025" s="71" t="str">
        <f aca="false">IF(AH2025="","",ROUND(MIN(K2025,TOPE_AFP_UF*AJ2025)*(MUTUAL_BASICA+MUTUAL_ADIC+SANNA),0))</f>
        <v/>
      </c>
      <c r="AE2025" s="71" t="str">
        <f aca="false">IF(AH2025="","",P2025-N(N2025)+AB2025+AC2025+AD2025)</f>
        <v/>
      </c>
      <c r="AF2025" s="65"/>
      <c r="AG2025" s="64"/>
      <c r="AH2025" s="72" t="str">
        <f aca="false">IF(OR(B2025="",C2025=""),"",C2025&amp;"|"&amp;(YEAR(B2025)*100+MONTH(B2025)))</f>
        <v/>
      </c>
      <c r="AI2025" s="70" t="str">
        <f aca="false">IF(AH2025="","",IF(COUNTIF(L_CLAVE,AH2025)&gt;1,"⚠ Duplicado","OK"))</f>
        <v/>
      </c>
      <c r="AJ2025" s="86" t="str">
        <f aca="false">IF(AH2025="","",IF(SUMPRODUCT(MAX((IND_PER&lt;=B2025)*(IND_UF&lt;&gt;"")*IND_PER))=0,UF_HOY,INDEX(IND_UF,MATCH(SUMPRODUCT(MAX((IND_PER&lt;=B2025)*(IND_UF&lt;&gt;"")*IND_PER)),IND_PER,0))))</f>
        <v/>
      </c>
      <c r="AK2025" s="87" t="str">
        <f aca="false">IF(AH2025="","",IF(COUNTIF(TASA_DESDE,"&lt;="&amp;B2025)=0,INDEX(TASA_EMP,1),INDEX(TASA_EMP,COUNTIF(TASA_DESDE,"&lt;="&amp;B2025))))</f>
        <v/>
      </c>
    </row>
    <row r="2026" customFormat="false" ht="15" hidden="false" customHeight="false" outlineLevel="0" collapsed="false">
      <c r="B2026" s="78"/>
      <c r="C2026" s="64"/>
      <c r="D2026" s="72" t="str">
        <f aca="false">IF(C2026="","",IFERROR(INDEX(T_NOMBRE,MATCH(C2026,T_ID,0)),"⚠ ID no existe"))</f>
        <v/>
      </c>
      <c r="E2026" s="69"/>
      <c r="F2026" s="67"/>
      <c r="G2026" s="67"/>
      <c r="H2026" s="67"/>
      <c r="I2026" s="67"/>
      <c r="J2026" s="67"/>
      <c r="K2026" s="85" t="str">
        <f aca="false">IF(AH2026="","",N(F2026)+N(G2026)+N(H2026)-N(I2026)+N(J2026))</f>
        <v/>
      </c>
      <c r="L2026" s="67"/>
      <c r="M2026" s="67"/>
      <c r="N2026" s="67"/>
      <c r="O2026" s="67"/>
      <c r="P2026" s="85" t="str">
        <f aca="false">IF(AH2026="","",K2026+N(L2026)+N(M2026)+N(N2026)+N(O2026))</f>
        <v/>
      </c>
      <c r="Q2026" s="67"/>
      <c r="R2026" s="67"/>
      <c r="S2026" s="67"/>
      <c r="T2026" s="67"/>
      <c r="U2026" s="67"/>
      <c r="V2026" s="67"/>
      <c r="W2026" s="85" t="str">
        <f aca="false">IF(AH2026="","",N(Q2026)+N(R2026)+N(S2026)+N(T2026)+N(U2026)+N(V2026))</f>
        <v/>
      </c>
      <c r="X2026" s="85" t="str">
        <f aca="false">IF(AH2026="","",P2026-W2026)</f>
        <v/>
      </c>
      <c r="Y2026" s="67"/>
      <c r="Z2026" s="70" t="str">
        <f aca="false">IF(OR(AH2026="",Y2026=""),"",IF(ABS(X2026-Y2026)&lt;=1,"✓ Cuadra","⚠ Diferencia $"&amp;FIXED(X2026-Y2026,0)))</f>
        <v/>
      </c>
      <c r="AA2026" s="72" t="str">
        <f aca="false">IF(AH2026="","",IFERROR(INDEX(C_TIPO,MATCH(C2026&amp;"-P"&amp;MAX(1,COUNTIFS(C_ID,C2026,C_DEFINE,"Sí",C_INICIO,"&lt;="&amp;EOMONTH(B2026,0))),C_CLAVE,0))&amp;"","Sin dato"))</f>
        <v/>
      </c>
      <c r="AB2026" s="71" t="str">
        <f aca="false">IF(AH2026="","",ROUND(MIN(K2026,TOPE_AFP_UF*AJ2026)*AK2026,0))</f>
        <v/>
      </c>
      <c r="AC2026" s="71" t="str">
        <f aca="false">IF(AH2026="","",ROUND(MIN(K2026,TOPE_AFC_UF*AJ2026)*IF(AA2026="Indefinido",AFC_EMP_INDEF,AFC_EMP_PF),0))</f>
        <v/>
      </c>
      <c r="AD2026" s="71" t="str">
        <f aca="false">IF(AH2026="","",ROUND(MIN(K2026,TOPE_AFP_UF*AJ2026)*(MUTUAL_BASICA+MUTUAL_ADIC+SANNA),0))</f>
        <v/>
      </c>
      <c r="AE2026" s="71" t="str">
        <f aca="false">IF(AH2026="","",P2026-N(N2026)+AB2026+AC2026+AD2026)</f>
        <v/>
      </c>
      <c r="AF2026" s="65"/>
      <c r="AG2026" s="64"/>
      <c r="AH2026" s="72" t="str">
        <f aca="false">IF(OR(B2026="",C2026=""),"",C2026&amp;"|"&amp;(YEAR(B2026)*100+MONTH(B2026)))</f>
        <v/>
      </c>
      <c r="AI2026" s="70" t="str">
        <f aca="false">IF(AH2026="","",IF(COUNTIF(L_CLAVE,AH2026)&gt;1,"⚠ Duplicado","OK"))</f>
        <v/>
      </c>
      <c r="AJ2026" s="86" t="str">
        <f aca="false">IF(AH2026="","",IF(SUMPRODUCT(MAX((IND_PER&lt;=B2026)*(IND_UF&lt;&gt;"")*IND_PER))=0,UF_HOY,INDEX(IND_UF,MATCH(SUMPRODUCT(MAX((IND_PER&lt;=B2026)*(IND_UF&lt;&gt;"")*IND_PER)),IND_PER,0))))</f>
        <v/>
      </c>
      <c r="AK2026" s="87" t="str">
        <f aca="false">IF(AH2026="","",IF(COUNTIF(TASA_DESDE,"&lt;="&amp;B2026)=0,INDEX(TASA_EMP,1),INDEX(TASA_EMP,COUNTIF(TASA_DESDE,"&lt;="&amp;B2026))))</f>
        <v/>
      </c>
    </row>
    <row r="2027" customFormat="false" ht="15" hidden="false" customHeight="false" outlineLevel="0" collapsed="false">
      <c r="B2027" s="78"/>
      <c r="C2027" s="64"/>
      <c r="D2027" s="72" t="str">
        <f aca="false">IF(C2027="","",IFERROR(INDEX(T_NOMBRE,MATCH(C2027,T_ID,0)),"⚠ ID no existe"))</f>
        <v/>
      </c>
      <c r="E2027" s="69"/>
      <c r="F2027" s="67"/>
      <c r="G2027" s="67"/>
      <c r="H2027" s="67"/>
      <c r="I2027" s="67"/>
      <c r="J2027" s="67"/>
      <c r="K2027" s="85" t="str">
        <f aca="false">IF(AH2027="","",N(F2027)+N(G2027)+N(H2027)-N(I2027)+N(J2027))</f>
        <v/>
      </c>
      <c r="L2027" s="67"/>
      <c r="M2027" s="67"/>
      <c r="N2027" s="67"/>
      <c r="O2027" s="67"/>
      <c r="P2027" s="85" t="str">
        <f aca="false">IF(AH2027="","",K2027+N(L2027)+N(M2027)+N(N2027)+N(O2027))</f>
        <v/>
      </c>
      <c r="Q2027" s="67"/>
      <c r="R2027" s="67"/>
      <c r="S2027" s="67"/>
      <c r="T2027" s="67"/>
      <c r="U2027" s="67"/>
      <c r="V2027" s="67"/>
      <c r="W2027" s="85" t="str">
        <f aca="false">IF(AH2027="","",N(Q2027)+N(R2027)+N(S2027)+N(T2027)+N(U2027)+N(V2027))</f>
        <v/>
      </c>
      <c r="X2027" s="85" t="str">
        <f aca="false">IF(AH2027="","",P2027-W2027)</f>
        <v/>
      </c>
      <c r="Y2027" s="67"/>
      <c r="Z2027" s="70" t="str">
        <f aca="false">IF(OR(AH2027="",Y2027=""),"",IF(ABS(X2027-Y2027)&lt;=1,"✓ Cuadra","⚠ Diferencia $"&amp;FIXED(X2027-Y2027,0)))</f>
        <v/>
      </c>
      <c r="AA2027" s="72" t="str">
        <f aca="false">IF(AH2027="","",IFERROR(INDEX(C_TIPO,MATCH(C2027&amp;"-P"&amp;MAX(1,COUNTIFS(C_ID,C2027,C_DEFINE,"Sí",C_INICIO,"&lt;="&amp;EOMONTH(B2027,0))),C_CLAVE,0))&amp;"","Sin dato"))</f>
        <v/>
      </c>
      <c r="AB2027" s="71" t="str">
        <f aca="false">IF(AH2027="","",ROUND(MIN(K2027,TOPE_AFP_UF*AJ2027)*AK2027,0))</f>
        <v/>
      </c>
      <c r="AC2027" s="71" t="str">
        <f aca="false">IF(AH2027="","",ROUND(MIN(K2027,TOPE_AFC_UF*AJ2027)*IF(AA2027="Indefinido",AFC_EMP_INDEF,AFC_EMP_PF),0))</f>
        <v/>
      </c>
      <c r="AD2027" s="71" t="str">
        <f aca="false">IF(AH2027="","",ROUND(MIN(K2027,TOPE_AFP_UF*AJ2027)*(MUTUAL_BASICA+MUTUAL_ADIC+SANNA),0))</f>
        <v/>
      </c>
      <c r="AE2027" s="71" t="str">
        <f aca="false">IF(AH2027="","",P2027-N(N2027)+AB2027+AC2027+AD2027)</f>
        <v/>
      </c>
      <c r="AF2027" s="65"/>
      <c r="AG2027" s="64"/>
      <c r="AH2027" s="72" t="str">
        <f aca="false">IF(OR(B2027="",C2027=""),"",C2027&amp;"|"&amp;(YEAR(B2027)*100+MONTH(B2027)))</f>
        <v/>
      </c>
      <c r="AI2027" s="70" t="str">
        <f aca="false">IF(AH2027="","",IF(COUNTIF(L_CLAVE,AH2027)&gt;1,"⚠ Duplicado","OK"))</f>
        <v/>
      </c>
      <c r="AJ2027" s="86" t="str">
        <f aca="false">IF(AH2027="","",IF(SUMPRODUCT(MAX((IND_PER&lt;=B2027)*(IND_UF&lt;&gt;"")*IND_PER))=0,UF_HOY,INDEX(IND_UF,MATCH(SUMPRODUCT(MAX((IND_PER&lt;=B2027)*(IND_UF&lt;&gt;"")*IND_PER)),IND_PER,0))))</f>
        <v/>
      </c>
      <c r="AK2027" s="87" t="str">
        <f aca="false">IF(AH2027="","",IF(COUNTIF(TASA_DESDE,"&lt;="&amp;B2027)=0,INDEX(TASA_EMP,1),INDEX(TASA_EMP,COUNTIF(TASA_DESDE,"&lt;="&amp;B2027))))</f>
        <v/>
      </c>
    </row>
    <row r="2028" customFormat="false" ht="15" hidden="false" customHeight="false" outlineLevel="0" collapsed="false">
      <c r="B2028" s="78"/>
      <c r="C2028" s="64"/>
      <c r="D2028" s="72" t="str">
        <f aca="false">IF(C2028="","",IFERROR(INDEX(T_NOMBRE,MATCH(C2028,T_ID,0)),"⚠ ID no existe"))</f>
        <v/>
      </c>
      <c r="E2028" s="69"/>
      <c r="F2028" s="67"/>
      <c r="G2028" s="67"/>
      <c r="H2028" s="67"/>
      <c r="I2028" s="67"/>
      <c r="J2028" s="67"/>
      <c r="K2028" s="85" t="str">
        <f aca="false">IF(AH2028="","",N(F2028)+N(G2028)+N(H2028)-N(I2028)+N(J2028))</f>
        <v/>
      </c>
      <c r="L2028" s="67"/>
      <c r="M2028" s="67"/>
      <c r="N2028" s="67"/>
      <c r="O2028" s="67"/>
      <c r="P2028" s="85" t="str">
        <f aca="false">IF(AH2028="","",K2028+N(L2028)+N(M2028)+N(N2028)+N(O2028))</f>
        <v/>
      </c>
      <c r="Q2028" s="67"/>
      <c r="R2028" s="67"/>
      <c r="S2028" s="67"/>
      <c r="T2028" s="67"/>
      <c r="U2028" s="67"/>
      <c r="V2028" s="67"/>
      <c r="W2028" s="85" t="str">
        <f aca="false">IF(AH2028="","",N(Q2028)+N(R2028)+N(S2028)+N(T2028)+N(U2028)+N(V2028))</f>
        <v/>
      </c>
      <c r="X2028" s="85" t="str">
        <f aca="false">IF(AH2028="","",P2028-W2028)</f>
        <v/>
      </c>
      <c r="Y2028" s="67"/>
      <c r="Z2028" s="70" t="str">
        <f aca="false">IF(OR(AH2028="",Y2028=""),"",IF(ABS(X2028-Y2028)&lt;=1,"✓ Cuadra","⚠ Diferencia $"&amp;FIXED(X2028-Y2028,0)))</f>
        <v/>
      </c>
      <c r="AA2028" s="72" t="str">
        <f aca="false">IF(AH2028="","",IFERROR(INDEX(C_TIPO,MATCH(C2028&amp;"-P"&amp;MAX(1,COUNTIFS(C_ID,C2028,C_DEFINE,"Sí",C_INICIO,"&lt;="&amp;EOMONTH(B2028,0))),C_CLAVE,0))&amp;"","Sin dato"))</f>
        <v/>
      </c>
      <c r="AB2028" s="71" t="str">
        <f aca="false">IF(AH2028="","",ROUND(MIN(K2028,TOPE_AFP_UF*AJ2028)*AK2028,0))</f>
        <v/>
      </c>
      <c r="AC2028" s="71" t="str">
        <f aca="false">IF(AH2028="","",ROUND(MIN(K2028,TOPE_AFC_UF*AJ2028)*IF(AA2028="Indefinido",AFC_EMP_INDEF,AFC_EMP_PF),0))</f>
        <v/>
      </c>
      <c r="AD2028" s="71" t="str">
        <f aca="false">IF(AH2028="","",ROUND(MIN(K2028,TOPE_AFP_UF*AJ2028)*(MUTUAL_BASICA+MUTUAL_ADIC+SANNA),0))</f>
        <v/>
      </c>
      <c r="AE2028" s="71" t="str">
        <f aca="false">IF(AH2028="","",P2028-N(N2028)+AB2028+AC2028+AD2028)</f>
        <v/>
      </c>
      <c r="AF2028" s="65"/>
      <c r="AG2028" s="64"/>
      <c r="AH2028" s="72" t="str">
        <f aca="false">IF(OR(B2028="",C2028=""),"",C2028&amp;"|"&amp;(YEAR(B2028)*100+MONTH(B2028)))</f>
        <v/>
      </c>
      <c r="AI2028" s="70" t="str">
        <f aca="false">IF(AH2028="","",IF(COUNTIF(L_CLAVE,AH2028)&gt;1,"⚠ Duplicado","OK"))</f>
        <v/>
      </c>
      <c r="AJ2028" s="86" t="str">
        <f aca="false">IF(AH2028="","",IF(SUMPRODUCT(MAX((IND_PER&lt;=B2028)*(IND_UF&lt;&gt;"")*IND_PER))=0,UF_HOY,INDEX(IND_UF,MATCH(SUMPRODUCT(MAX((IND_PER&lt;=B2028)*(IND_UF&lt;&gt;"")*IND_PER)),IND_PER,0))))</f>
        <v/>
      </c>
      <c r="AK2028" s="87" t="str">
        <f aca="false">IF(AH2028="","",IF(COUNTIF(TASA_DESDE,"&lt;="&amp;B2028)=0,INDEX(TASA_EMP,1),INDEX(TASA_EMP,COUNTIF(TASA_DESDE,"&lt;="&amp;B2028))))</f>
        <v/>
      </c>
    </row>
    <row r="2029" customFormat="false" ht="15" hidden="false" customHeight="false" outlineLevel="0" collapsed="false">
      <c r="B2029" s="78"/>
      <c r="C2029" s="64"/>
      <c r="D2029" s="72" t="str">
        <f aca="false">IF(C2029="","",IFERROR(INDEX(T_NOMBRE,MATCH(C2029,T_ID,0)),"⚠ ID no existe"))</f>
        <v/>
      </c>
      <c r="E2029" s="69"/>
      <c r="F2029" s="67"/>
      <c r="G2029" s="67"/>
      <c r="H2029" s="67"/>
      <c r="I2029" s="67"/>
      <c r="J2029" s="67"/>
      <c r="K2029" s="85" t="str">
        <f aca="false">IF(AH2029="","",N(F2029)+N(G2029)+N(H2029)-N(I2029)+N(J2029))</f>
        <v/>
      </c>
      <c r="L2029" s="67"/>
      <c r="M2029" s="67"/>
      <c r="N2029" s="67"/>
      <c r="O2029" s="67"/>
      <c r="P2029" s="85" t="str">
        <f aca="false">IF(AH2029="","",K2029+N(L2029)+N(M2029)+N(N2029)+N(O2029))</f>
        <v/>
      </c>
      <c r="Q2029" s="67"/>
      <c r="R2029" s="67"/>
      <c r="S2029" s="67"/>
      <c r="T2029" s="67"/>
      <c r="U2029" s="67"/>
      <c r="V2029" s="67"/>
      <c r="W2029" s="85" t="str">
        <f aca="false">IF(AH2029="","",N(Q2029)+N(R2029)+N(S2029)+N(T2029)+N(U2029)+N(V2029))</f>
        <v/>
      </c>
      <c r="X2029" s="85" t="str">
        <f aca="false">IF(AH2029="","",P2029-W2029)</f>
        <v/>
      </c>
      <c r="Y2029" s="67"/>
      <c r="Z2029" s="70" t="str">
        <f aca="false">IF(OR(AH2029="",Y2029=""),"",IF(ABS(X2029-Y2029)&lt;=1,"✓ Cuadra","⚠ Diferencia $"&amp;FIXED(X2029-Y2029,0)))</f>
        <v/>
      </c>
      <c r="AA2029" s="72" t="str">
        <f aca="false">IF(AH2029="","",IFERROR(INDEX(C_TIPO,MATCH(C2029&amp;"-P"&amp;MAX(1,COUNTIFS(C_ID,C2029,C_DEFINE,"Sí",C_INICIO,"&lt;="&amp;EOMONTH(B2029,0))),C_CLAVE,0))&amp;"","Sin dato"))</f>
        <v/>
      </c>
      <c r="AB2029" s="71" t="str">
        <f aca="false">IF(AH2029="","",ROUND(MIN(K2029,TOPE_AFP_UF*AJ2029)*AK2029,0))</f>
        <v/>
      </c>
      <c r="AC2029" s="71" t="str">
        <f aca="false">IF(AH2029="","",ROUND(MIN(K2029,TOPE_AFC_UF*AJ2029)*IF(AA2029="Indefinido",AFC_EMP_INDEF,AFC_EMP_PF),0))</f>
        <v/>
      </c>
      <c r="AD2029" s="71" t="str">
        <f aca="false">IF(AH2029="","",ROUND(MIN(K2029,TOPE_AFP_UF*AJ2029)*(MUTUAL_BASICA+MUTUAL_ADIC+SANNA),0))</f>
        <v/>
      </c>
      <c r="AE2029" s="71" t="str">
        <f aca="false">IF(AH2029="","",P2029-N(N2029)+AB2029+AC2029+AD2029)</f>
        <v/>
      </c>
      <c r="AF2029" s="65"/>
      <c r="AG2029" s="64"/>
      <c r="AH2029" s="72" t="str">
        <f aca="false">IF(OR(B2029="",C2029=""),"",C2029&amp;"|"&amp;(YEAR(B2029)*100+MONTH(B2029)))</f>
        <v/>
      </c>
      <c r="AI2029" s="70" t="str">
        <f aca="false">IF(AH2029="","",IF(COUNTIF(L_CLAVE,AH2029)&gt;1,"⚠ Duplicado","OK"))</f>
        <v/>
      </c>
      <c r="AJ2029" s="86" t="str">
        <f aca="false">IF(AH2029="","",IF(SUMPRODUCT(MAX((IND_PER&lt;=B2029)*(IND_UF&lt;&gt;"")*IND_PER))=0,UF_HOY,INDEX(IND_UF,MATCH(SUMPRODUCT(MAX((IND_PER&lt;=B2029)*(IND_UF&lt;&gt;"")*IND_PER)),IND_PER,0))))</f>
        <v/>
      </c>
      <c r="AK2029" s="87" t="str">
        <f aca="false">IF(AH2029="","",IF(COUNTIF(TASA_DESDE,"&lt;="&amp;B2029)=0,INDEX(TASA_EMP,1),INDEX(TASA_EMP,COUNTIF(TASA_DESDE,"&lt;="&amp;B2029))))</f>
        <v/>
      </c>
    </row>
    <row r="2030" customFormat="false" ht="15" hidden="false" customHeight="false" outlineLevel="0" collapsed="false">
      <c r="B2030" s="78"/>
      <c r="C2030" s="64"/>
      <c r="D2030" s="72" t="str">
        <f aca="false">IF(C2030="","",IFERROR(INDEX(T_NOMBRE,MATCH(C2030,T_ID,0)),"⚠ ID no existe"))</f>
        <v/>
      </c>
      <c r="E2030" s="69"/>
      <c r="F2030" s="67"/>
      <c r="G2030" s="67"/>
      <c r="H2030" s="67"/>
      <c r="I2030" s="67"/>
      <c r="J2030" s="67"/>
      <c r="K2030" s="85" t="str">
        <f aca="false">IF(AH2030="","",N(F2030)+N(G2030)+N(H2030)-N(I2030)+N(J2030))</f>
        <v/>
      </c>
      <c r="L2030" s="67"/>
      <c r="M2030" s="67"/>
      <c r="N2030" s="67"/>
      <c r="O2030" s="67"/>
      <c r="P2030" s="85" t="str">
        <f aca="false">IF(AH2030="","",K2030+N(L2030)+N(M2030)+N(N2030)+N(O2030))</f>
        <v/>
      </c>
      <c r="Q2030" s="67"/>
      <c r="R2030" s="67"/>
      <c r="S2030" s="67"/>
      <c r="T2030" s="67"/>
      <c r="U2030" s="67"/>
      <c r="V2030" s="67"/>
      <c r="W2030" s="85" t="str">
        <f aca="false">IF(AH2030="","",N(Q2030)+N(R2030)+N(S2030)+N(T2030)+N(U2030)+N(V2030))</f>
        <v/>
      </c>
      <c r="X2030" s="85" t="str">
        <f aca="false">IF(AH2030="","",P2030-W2030)</f>
        <v/>
      </c>
      <c r="Y2030" s="67"/>
      <c r="Z2030" s="70" t="str">
        <f aca="false">IF(OR(AH2030="",Y2030=""),"",IF(ABS(X2030-Y2030)&lt;=1,"✓ Cuadra","⚠ Diferencia $"&amp;FIXED(X2030-Y2030,0)))</f>
        <v/>
      </c>
      <c r="AA2030" s="72" t="str">
        <f aca="false">IF(AH2030="","",IFERROR(INDEX(C_TIPO,MATCH(C2030&amp;"-P"&amp;MAX(1,COUNTIFS(C_ID,C2030,C_DEFINE,"Sí",C_INICIO,"&lt;="&amp;EOMONTH(B2030,0))),C_CLAVE,0))&amp;"","Sin dato"))</f>
        <v/>
      </c>
      <c r="AB2030" s="71" t="str">
        <f aca="false">IF(AH2030="","",ROUND(MIN(K2030,TOPE_AFP_UF*AJ2030)*AK2030,0))</f>
        <v/>
      </c>
      <c r="AC2030" s="71" t="str">
        <f aca="false">IF(AH2030="","",ROUND(MIN(K2030,TOPE_AFC_UF*AJ2030)*IF(AA2030="Indefinido",AFC_EMP_INDEF,AFC_EMP_PF),0))</f>
        <v/>
      </c>
      <c r="AD2030" s="71" t="str">
        <f aca="false">IF(AH2030="","",ROUND(MIN(K2030,TOPE_AFP_UF*AJ2030)*(MUTUAL_BASICA+MUTUAL_ADIC+SANNA),0))</f>
        <v/>
      </c>
      <c r="AE2030" s="71" t="str">
        <f aca="false">IF(AH2030="","",P2030-N(N2030)+AB2030+AC2030+AD2030)</f>
        <v/>
      </c>
      <c r="AF2030" s="65"/>
      <c r="AG2030" s="64"/>
      <c r="AH2030" s="72" t="str">
        <f aca="false">IF(OR(B2030="",C2030=""),"",C2030&amp;"|"&amp;(YEAR(B2030)*100+MONTH(B2030)))</f>
        <v/>
      </c>
      <c r="AI2030" s="70" t="str">
        <f aca="false">IF(AH2030="","",IF(COUNTIF(L_CLAVE,AH2030)&gt;1,"⚠ Duplicado","OK"))</f>
        <v/>
      </c>
      <c r="AJ2030" s="86" t="str">
        <f aca="false">IF(AH2030="","",IF(SUMPRODUCT(MAX((IND_PER&lt;=B2030)*(IND_UF&lt;&gt;"")*IND_PER))=0,UF_HOY,INDEX(IND_UF,MATCH(SUMPRODUCT(MAX((IND_PER&lt;=B2030)*(IND_UF&lt;&gt;"")*IND_PER)),IND_PER,0))))</f>
        <v/>
      </c>
      <c r="AK2030" s="87" t="str">
        <f aca="false">IF(AH2030="","",IF(COUNTIF(TASA_DESDE,"&lt;="&amp;B2030)=0,INDEX(TASA_EMP,1),INDEX(TASA_EMP,COUNTIF(TASA_DESDE,"&lt;="&amp;B2030))))</f>
        <v/>
      </c>
    </row>
    <row r="2031" customFormat="false" ht="15" hidden="false" customHeight="false" outlineLevel="0" collapsed="false">
      <c r="B2031" s="78"/>
      <c r="C2031" s="64"/>
      <c r="D2031" s="72" t="str">
        <f aca="false">IF(C2031="","",IFERROR(INDEX(T_NOMBRE,MATCH(C2031,T_ID,0)),"⚠ ID no existe"))</f>
        <v/>
      </c>
      <c r="E2031" s="69"/>
      <c r="F2031" s="67"/>
      <c r="G2031" s="67"/>
      <c r="H2031" s="67"/>
      <c r="I2031" s="67"/>
      <c r="J2031" s="67"/>
      <c r="K2031" s="85" t="str">
        <f aca="false">IF(AH2031="","",N(F2031)+N(G2031)+N(H2031)-N(I2031)+N(J2031))</f>
        <v/>
      </c>
      <c r="L2031" s="67"/>
      <c r="M2031" s="67"/>
      <c r="N2031" s="67"/>
      <c r="O2031" s="67"/>
      <c r="P2031" s="85" t="str">
        <f aca="false">IF(AH2031="","",K2031+N(L2031)+N(M2031)+N(N2031)+N(O2031))</f>
        <v/>
      </c>
      <c r="Q2031" s="67"/>
      <c r="R2031" s="67"/>
      <c r="S2031" s="67"/>
      <c r="T2031" s="67"/>
      <c r="U2031" s="67"/>
      <c r="V2031" s="67"/>
      <c r="W2031" s="85" t="str">
        <f aca="false">IF(AH2031="","",N(Q2031)+N(R2031)+N(S2031)+N(T2031)+N(U2031)+N(V2031))</f>
        <v/>
      </c>
      <c r="X2031" s="85" t="str">
        <f aca="false">IF(AH2031="","",P2031-W2031)</f>
        <v/>
      </c>
      <c r="Y2031" s="67"/>
      <c r="Z2031" s="70" t="str">
        <f aca="false">IF(OR(AH2031="",Y2031=""),"",IF(ABS(X2031-Y2031)&lt;=1,"✓ Cuadra","⚠ Diferencia $"&amp;FIXED(X2031-Y2031,0)))</f>
        <v/>
      </c>
      <c r="AA2031" s="72" t="str">
        <f aca="false">IF(AH2031="","",IFERROR(INDEX(C_TIPO,MATCH(C2031&amp;"-P"&amp;MAX(1,COUNTIFS(C_ID,C2031,C_DEFINE,"Sí",C_INICIO,"&lt;="&amp;EOMONTH(B2031,0))),C_CLAVE,0))&amp;"","Sin dato"))</f>
        <v/>
      </c>
      <c r="AB2031" s="71" t="str">
        <f aca="false">IF(AH2031="","",ROUND(MIN(K2031,TOPE_AFP_UF*AJ2031)*AK2031,0))</f>
        <v/>
      </c>
      <c r="AC2031" s="71" t="str">
        <f aca="false">IF(AH2031="","",ROUND(MIN(K2031,TOPE_AFC_UF*AJ2031)*IF(AA2031="Indefinido",AFC_EMP_INDEF,AFC_EMP_PF),0))</f>
        <v/>
      </c>
      <c r="AD2031" s="71" t="str">
        <f aca="false">IF(AH2031="","",ROUND(MIN(K2031,TOPE_AFP_UF*AJ2031)*(MUTUAL_BASICA+MUTUAL_ADIC+SANNA),0))</f>
        <v/>
      </c>
      <c r="AE2031" s="71" t="str">
        <f aca="false">IF(AH2031="","",P2031-N(N2031)+AB2031+AC2031+AD2031)</f>
        <v/>
      </c>
      <c r="AF2031" s="65"/>
      <c r="AG2031" s="64"/>
      <c r="AH2031" s="72" t="str">
        <f aca="false">IF(OR(B2031="",C2031=""),"",C2031&amp;"|"&amp;(YEAR(B2031)*100+MONTH(B2031)))</f>
        <v/>
      </c>
      <c r="AI2031" s="70" t="str">
        <f aca="false">IF(AH2031="","",IF(COUNTIF(L_CLAVE,AH2031)&gt;1,"⚠ Duplicado","OK"))</f>
        <v/>
      </c>
      <c r="AJ2031" s="86" t="str">
        <f aca="false">IF(AH2031="","",IF(SUMPRODUCT(MAX((IND_PER&lt;=B2031)*(IND_UF&lt;&gt;"")*IND_PER))=0,UF_HOY,INDEX(IND_UF,MATCH(SUMPRODUCT(MAX((IND_PER&lt;=B2031)*(IND_UF&lt;&gt;"")*IND_PER)),IND_PER,0))))</f>
        <v/>
      </c>
      <c r="AK2031" s="87" t="str">
        <f aca="false">IF(AH2031="","",IF(COUNTIF(TASA_DESDE,"&lt;="&amp;B2031)=0,INDEX(TASA_EMP,1),INDEX(TASA_EMP,COUNTIF(TASA_DESDE,"&lt;="&amp;B2031))))</f>
        <v/>
      </c>
    </row>
    <row r="2032" customFormat="false" ht="15" hidden="false" customHeight="false" outlineLevel="0" collapsed="false">
      <c r="B2032" s="78"/>
      <c r="C2032" s="64"/>
      <c r="D2032" s="72" t="str">
        <f aca="false">IF(C2032="","",IFERROR(INDEX(T_NOMBRE,MATCH(C2032,T_ID,0)),"⚠ ID no existe"))</f>
        <v/>
      </c>
      <c r="E2032" s="69"/>
      <c r="F2032" s="67"/>
      <c r="G2032" s="67"/>
      <c r="H2032" s="67"/>
      <c r="I2032" s="67"/>
      <c r="J2032" s="67"/>
      <c r="K2032" s="85" t="str">
        <f aca="false">IF(AH2032="","",N(F2032)+N(G2032)+N(H2032)-N(I2032)+N(J2032))</f>
        <v/>
      </c>
      <c r="L2032" s="67"/>
      <c r="M2032" s="67"/>
      <c r="N2032" s="67"/>
      <c r="O2032" s="67"/>
      <c r="P2032" s="85" t="str">
        <f aca="false">IF(AH2032="","",K2032+N(L2032)+N(M2032)+N(N2032)+N(O2032))</f>
        <v/>
      </c>
      <c r="Q2032" s="67"/>
      <c r="R2032" s="67"/>
      <c r="S2032" s="67"/>
      <c r="T2032" s="67"/>
      <c r="U2032" s="67"/>
      <c r="V2032" s="67"/>
      <c r="W2032" s="85" t="str">
        <f aca="false">IF(AH2032="","",N(Q2032)+N(R2032)+N(S2032)+N(T2032)+N(U2032)+N(V2032))</f>
        <v/>
      </c>
      <c r="X2032" s="85" t="str">
        <f aca="false">IF(AH2032="","",P2032-W2032)</f>
        <v/>
      </c>
      <c r="Y2032" s="67"/>
      <c r="Z2032" s="70" t="str">
        <f aca="false">IF(OR(AH2032="",Y2032=""),"",IF(ABS(X2032-Y2032)&lt;=1,"✓ Cuadra","⚠ Diferencia $"&amp;FIXED(X2032-Y2032,0)))</f>
        <v/>
      </c>
      <c r="AA2032" s="72" t="str">
        <f aca="false">IF(AH2032="","",IFERROR(INDEX(C_TIPO,MATCH(C2032&amp;"-P"&amp;MAX(1,COUNTIFS(C_ID,C2032,C_DEFINE,"Sí",C_INICIO,"&lt;="&amp;EOMONTH(B2032,0))),C_CLAVE,0))&amp;"","Sin dato"))</f>
        <v/>
      </c>
      <c r="AB2032" s="71" t="str">
        <f aca="false">IF(AH2032="","",ROUND(MIN(K2032,TOPE_AFP_UF*AJ2032)*AK2032,0))</f>
        <v/>
      </c>
      <c r="AC2032" s="71" t="str">
        <f aca="false">IF(AH2032="","",ROUND(MIN(K2032,TOPE_AFC_UF*AJ2032)*IF(AA2032="Indefinido",AFC_EMP_INDEF,AFC_EMP_PF),0))</f>
        <v/>
      </c>
      <c r="AD2032" s="71" t="str">
        <f aca="false">IF(AH2032="","",ROUND(MIN(K2032,TOPE_AFP_UF*AJ2032)*(MUTUAL_BASICA+MUTUAL_ADIC+SANNA),0))</f>
        <v/>
      </c>
      <c r="AE2032" s="71" t="str">
        <f aca="false">IF(AH2032="","",P2032-N(N2032)+AB2032+AC2032+AD2032)</f>
        <v/>
      </c>
      <c r="AF2032" s="65"/>
      <c r="AG2032" s="64"/>
      <c r="AH2032" s="72" t="str">
        <f aca="false">IF(OR(B2032="",C2032=""),"",C2032&amp;"|"&amp;(YEAR(B2032)*100+MONTH(B2032)))</f>
        <v/>
      </c>
      <c r="AI2032" s="70" t="str">
        <f aca="false">IF(AH2032="","",IF(COUNTIF(L_CLAVE,AH2032)&gt;1,"⚠ Duplicado","OK"))</f>
        <v/>
      </c>
      <c r="AJ2032" s="86" t="str">
        <f aca="false">IF(AH2032="","",IF(SUMPRODUCT(MAX((IND_PER&lt;=B2032)*(IND_UF&lt;&gt;"")*IND_PER))=0,UF_HOY,INDEX(IND_UF,MATCH(SUMPRODUCT(MAX((IND_PER&lt;=B2032)*(IND_UF&lt;&gt;"")*IND_PER)),IND_PER,0))))</f>
        <v/>
      </c>
      <c r="AK2032" s="87" t="str">
        <f aca="false">IF(AH2032="","",IF(COUNTIF(TASA_DESDE,"&lt;="&amp;B2032)=0,INDEX(TASA_EMP,1),INDEX(TASA_EMP,COUNTIF(TASA_DESDE,"&lt;="&amp;B2032))))</f>
        <v/>
      </c>
    </row>
    <row r="2033" customFormat="false" ht="15" hidden="false" customHeight="false" outlineLevel="0" collapsed="false">
      <c r="B2033" s="78"/>
      <c r="C2033" s="64"/>
      <c r="D2033" s="72" t="str">
        <f aca="false">IF(C2033="","",IFERROR(INDEX(T_NOMBRE,MATCH(C2033,T_ID,0)),"⚠ ID no existe"))</f>
        <v/>
      </c>
      <c r="E2033" s="69"/>
      <c r="F2033" s="67"/>
      <c r="G2033" s="67"/>
      <c r="H2033" s="67"/>
      <c r="I2033" s="67"/>
      <c r="J2033" s="67"/>
      <c r="K2033" s="85" t="str">
        <f aca="false">IF(AH2033="","",N(F2033)+N(G2033)+N(H2033)-N(I2033)+N(J2033))</f>
        <v/>
      </c>
      <c r="L2033" s="67"/>
      <c r="M2033" s="67"/>
      <c r="N2033" s="67"/>
      <c r="O2033" s="67"/>
      <c r="P2033" s="85" t="str">
        <f aca="false">IF(AH2033="","",K2033+N(L2033)+N(M2033)+N(N2033)+N(O2033))</f>
        <v/>
      </c>
      <c r="Q2033" s="67"/>
      <c r="R2033" s="67"/>
      <c r="S2033" s="67"/>
      <c r="T2033" s="67"/>
      <c r="U2033" s="67"/>
      <c r="V2033" s="67"/>
      <c r="W2033" s="85" t="str">
        <f aca="false">IF(AH2033="","",N(Q2033)+N(R2033)+N(S2033)+N(T2033)+N(U2033)+N(V2033))</f>
        <v/>
      </c>
      <c r="X2033" s="85" t="str">
        <f aca="false">IF(AH2033="","",P2033-W2033)</f>
        <v/>
      </c>
      <c r="Y2033" s="67"/>
      <c r="Z2033" s="70" t="str">
        <f aca="false">IF(OR(AH2033="",Y2033=""),"",IF(ABS(X2033-Y2033)&lt;=1,"✓ Cuadra","⚠ Diferencia $"&amp;FIXED(X2033-Y2033,0)))</f>
        <v/>
      </c>
      <c r="AA2033" s="72" t="str">
        <f aca="false">IF(AH2033="","",IFERROR(INDEX(C_TIPO,MATCH(C2033&amp;"-P"&amp;MAX(1,COUNTIFS(C_ID,C2033,C_DEFINE,"Sí",C_INICIO,"&lt;="&amp;EOMONTH(B2033,0))),C_CLAVE,0))&amp;"","Sin dato"))</f>
        <v/>
      </c>
      <c r="AB2033" s="71" t="str">
        <f aca="false">IF(AH2033="","",ROUND(MIN(K2033,TOPE_AFP_UF*AJ2033)*AK2033,0))</f>
        <v/>
      </c>
      <c r="AC2033" s="71" t="str">
        <f aca="false">IF(AH2033="","",ROUND(MIN(K2033,TOPE_AFC_UF*AJ2033)*IF(AA2033="Indefinido",AFC_EMP_INDEF,AFC_EMP_PF),0))</f>
        <v/>
      </c>
      <c r="AD2033" s="71" t="str">
        <f aca="false">IF(AH2033="","",ROUND(MIN(K2033,TOPE_AFP_UF*AJ2033)*(MUTUAL_BASICA+MUTUAL_ADIC+SANNA),0))</f>
        <v/>
      </c>
      <c r="AE2033" s="71" t="str">
        <f aca="false">IF(AH2033="","",P2033-N(N2033)+AB2033+AC2033+AD2033)</f>
        <v/>
      </c>
      <c r="AF2033" s="65"/>
      <c r="AG2033" s="64"/>
      <c r="AH2033" s="72" t="str">
        <f aca="false">IF(OR(B2033="",C2033=""),"",C2033&amp;"|"&amp;(YEAR(B2033)*100+MONTH(B2033)))</f>
        <v/>
      </c>
      <c r="AI2033" s="70" t="str">
        <f aca="false">IF(AH2033="","",IF(COUNTIF(L_CLAVE,AH2033)&gt;1,"⚠ Duplicado","OK"))</f>
        <v/>
      </c>
      <c r="AJ2033" s="86" t="str">
        <f aca="false">IF(AH2033="","",IF(SUMPRODUCT(MAX((IND_PER&lt;=B2033)*(IND_UF&lt;&gt;"")*IND_PER))=0,UF_HOY,INDEX(IND_UF,MATCH(SUMPRODUCT(MAX((IND_PER&lt;=B2033)*(IND_UF&lt;&gt;"")*IND_PER)),IND_PER,0))))</f>
        <v/>
      </c>
      <c r="AK2033" s="87" t="str">
        <f aca="false">IF(AH2033="","",IF(COUNTIF(TASA_DESDE,"&lt;="&amp;B2033)=0,INDEX(TASA_EMP,1),INDEX(TASA_EMP,COUNTIF(TASA_DESDE,"&lt;="&amp;B2033))))</f>
        <v/>
      </c>
    </row>
    <row r="2034" customFormat="false" ht="15" hidden="false" customHeight="false" outlineLevel="0" collapsed="false">
      <c r="B2034" s="78"/>
      <c r="C2034" s="64"/>
      <c r="D2034" s="72" t="str">
        <f aca="false">IF(C2034="","",IFERROR(INDEX(T_NOMBRE,MATCH(C2034,T_ID,0)),"⚠ ID no existe"))</f>
        <v/>
      </c>
      <c r="E2034" s="69"/>
      <c r="F2034" s="67"/>
      <c r="G2034" s="67"/>
      <c r="H2034" s="67"/>
      <c r="I2034" s="67"/>
      <c r="J2034" s="67"/>
      <c r="K2034" s="85" t="str">
        <f aca="false">IF(AH2034="","",N(F2034)+N(G2034)+N(H2034)-N(I2034)+N(J2034))</f>
        <v/>
      </c>
      <c r="L2034" s="67"/>
      <c r="M2034" s="67"/>
      <c r="N2034" s="67"/>
      <c r="O2034" s="67"/>
      <c r="P2034" s="85" t="str">
        <f aca="false">IF(AH2034="","",K2034+N(L2034)+N(M2034)+N(N2034)+N(O2034))</f>
        <v/>
      </c>
      <c r="Q2034" s="67"/>
      <c r="R2034" s="67"/>
      <c r="S2034" s="67"/>
      <c r="T2034" s="67"/>
      <c r="U2034" s="67"/>
      <c r="V2034" s="67"/>
      <c r="W2034" s="85" t="str">
        <f aca="false">IF(AH2034="","",N(Q2034)+N(R2034)+N(S2034)+N(T2034)+N(U2034)+N(V2034))</f>
        <v/>
      </c>
      <c r="X2034" s="85" t="str">
        <f aca="false">IF(AH2034="","",P2034-W2034)</f>
        <v/>
      </c>
      <c r="Y2034" s="67"/>
      <c r="Z2034" s="70" t="str">
        <f aca="false">IF(OR(AH2034="",Y2034=""),"",IF(ABS(X2034-Y2034)&lt;=1,"✓ Cuadra","⚠ Diferencia $"&amp;FIXED(X2034-Y2034,0)))</f>
        <v/>
      </c>
      <c r="AA2034" s="72" t="str">
        <f aca="false">IF(AH2034="","",IFERROR(INDEX(C_TIPO,MATCH(C2034&amp;"-P"&amp;MAX(1,COUNTIFS(C_ID,C2034,C_DEFINE,"Sí",C_INICIO,"&lt;="&amp;EOMONTH(B2034,0))),C_CLAVE,0))&amp;"","Sin dato"))</f>
        <v/>
      </c>
      <c r="AB2034" s="71" t="str">
        <f aca="false">IF(AH2034="","",ROUND(MIN(K2034,TOPE_AFP_UF*AJ2034)*AK2034,0))</f>
        <v/>
      </c>
      <c r="AC2034" s="71" t="str">
        <f aca="false">IF(AH2034="","",ROUND(MIN(K2034,TOPE_AFC_UF*AJ2034)*IF(AA2034="Indefinido",AFC_EMP_INDEF,AFC_EMP_PF),0))</f>
        <v/>
      </c>
      <c r="AD2034" s="71" t="str">
        <f aca="false">IF(AH2034="","",ROUND(MIN(K2034,TOPE_AFP_UF*AJ2034)*(MUTUAL_BASICA+MUTUAL_ADIC+SANNA),0))</f>
        <v/>
      </c>
      <c r="AE2034" s="71" t="str">
        <f aca="false">IF(AH2034="","",P2034-N(N2034)+AB2034+AC2034+AD2034)</f>
        <v/>
      </c>
      <c r="AF2034" s="65"/>
      <c r="AG2034" s="64"/>
      <c r="AH2034" s="72" t="str">
        <f aca="false">IF(OR(B2034="",C2034=""),"",C2034&amp;"|"&amp;(YEAR(B2034)*100+MONTH(B2034)))</f>
        <v/>
      </c>
      <c r="AI2034" s="70" t="str">
        <f aca="false">IF(AH2034="","",IF(COUNTIF(L_CLAVE,AH2034)&gt;1,"⚠ Duplicado","OK"))</f>
        <v/>
      </c>
      <c r="AJ2034" s="86" t="str">
        <f aca="false">IF(AH2034="","",IF(SUMPRODUCT(MAX((IND_PER&lt;=B2034)*(IND_UF&lt;&gt;"")*IND_PER))=0,UF_HOY,INDEX(IND_UF,MATCH(SUMPRODUCT(MAX((IND_PER&lt;=B2034)*(IND_UF&lt;&gt;"")*IND_PER)),IND_PER,0))))</f>
        <v/>
      </c>
      <c r="AK2034" s="87" t="str">
        <f aca="false">IF(AH2034="","",IF(COUNTIF(TASA_DESDE,"&lt;="&amp;B2034)=0,INDEX(TASA_EMP,1),INDEX(TASA_EMP,COUNTIF(TASA_DESDE,"&lt;="&amp;B2034))))</f>
        <v/>
      </c>
    </row>
    <row r="2035" customFormat="false" ht="15" hidden="false" customHeight="false" outlineLevel="0" collapsed="false">
      <c r="B2035" s="78"/>
      <c r="C2035" s="64"/>
      <c r="D2035" s="72" t="str">
        <f aca="false">IF(C2035="","",IFERROR(INDEX(T_NOMBRE,MATCH(C2035,T_ID,0)),"⚠ ID no existe"))</f>
        <v/>
      </c>
      <c r="E2035" s="69"/>
      <c r="F2035" s="67"/>
      <c r="G2035" s="67"/>
      <c r="H2035" s="67"/>
      <c r="I2035" s="67"/>
      <c r="J2035" s="67"/>
      <c r="K2035" s="85" t="str">
        <f aca="false">IF(AH2035="","",N(F2035)+N(G2035)+N(H2035)-N(I2035)+N(J2035))</f>
        <v/>
      </c>
      <c r="L2035" s="67"/>
      <c r="M2035" s="67"/>
      <c r="N2035" s="67"/>
      <c r="O2035" s="67"/>
      <c r="P2035" s="85" t="str">
        <f aca="false">IF(AH2035="","",K2035+N(L2035)+N(M2035)+N(N2035)+N(O2035))</f>
        <v/>
      </c>
      <c r="Q2035" s="67"/>
      <c r="R2035" s="67"/>
      <c r="S2035" s="67"/>
      <c r="T2035" s="67"/>
      <c r="U2035" s="67"/>
      <c r="V2035" s="67"/>
      <c r="W2035" s="85" t="str">
        <f aca="false">IF(AH2035="","",N(Q2035)+N(R2035)+N(S2035)+N(T2035)+N(U2035)+N(V2035))</f>
        <v/>
      </c>
      <c r="X2035" s="85" t="str">
        <f aca="false">IF(AH2035="","",P2035-W2035)</f>
        <v/>
      </c>
      <c r="Y2035" s="67"/>
      <c r="Z2035" s="70" t="str">
        <f aca="false">IF(OR(AH2035="",Y2035=""),"",IF(ABS(X2035-Y2035)&lt;=1,"✓ Cuadra","⚠ Diferencia $"&amp;FIXED(X2035-Y2035,0)))</f>
        <v/>
      </c>
      <c r="AA2035" s="72" t="str">
        <f aca="false">IF(AH2035="","",IFERROR(INDEX(C_TIPO,MATCH(C2035&amp;"-P"&amp;MAX(1,COUNTIFS(C_ID,C2035,C_DEFINE,"Sí",C_INICIO,"&lt;="&amp;EOMONTH(B2035,0))),C_CLAVE,0))&amp;"","Sin dato"))</f>
        <v/>
      </c>
      <c r="AB2035" s="71" t="str">
        <f aca="false">IF(AH2035="","",ROUND(MIN(K2035,TOPE_AFP_UF*AJ2035)*AK2035,0))</f>
        <v/>
      </c>
      <c r="AC2035" s="71" t="str">
        <f aca="false">IF(AH2035="","",ROUND(MIN(K2035,TOPE_AFC_UF*AJ2035)*IF(AA2035="Indefinido",AFC_EMP_INDEF,AFC_EMP_PF),0))</f>
        <v/>
      </c>
      <c r="AD2035" s="71" t="str">
        <f aca="false">IF(AH2035="","",ROUND(MIN(K2035,TOPE_AFP_UF*AJ2035)*(MUTUAL_BASICA+MUTUAL_ADIC+SANNA),0))</f>
        <v/>
      </c>
      <c r="AE2035" s="71" t="str">
        <f aca="false">IF(AH2035="","",P2035-N(N2035)+AB2035+AC2035+AD2035)</f>
        <v/>
      </c>
      <c r="AF2035" s="65"/>
      <c r="AG2035" s="64"/>
      <c r="AH2035" s="72" t="str">
        <f aca="false">IF(OR(B2035="",C2035=""),"",C2035&amp;"|"&amp;(YEAR(B2035)*100+MONTH(B2035)))</f>
        <v/>
      </c>
      <c r="AI2035" s="70" t="str">
        <f aca="false">IF(AH2035="","",IF(COUNTIF(L_CLAVE,AH2035)&gt;1,"⚠ Duplicado","OK"))</f>
        <v/>
      </c>
      <c r="AJ2035" s="86" t="str">
        <f aca="false">IF(AH2035="","",IF(SUMPRODUCT(MAX((IND_PER&lt;=B2035)*(IND_UF&lt;&gt;"")*IND_PER))=0,UF_HOY,INDEX(IND_UF,MATCH(SUMPRODUCT(MAX((IND_PER&lt;=B2035)*(IND_UF&lt;&gt;"")*IND_PER)),IND_PER,0))))</f>
        <v/>
      </c>
      <c r="AK2035" s="87" t="str">
        <f aca="false">IF(AH2035="","",IF(COUNTIF(TASA_DESDE,"&lt;="&amp;B2035)=0,INDEX(TASA_EMP,1),INDEX(TASA_EMP,COUNTIF(TASA_DESDE,"&lt;="&amp;B2035))))</f>
        <v/>
      </c>
    </row>
    <row r="2036" customFormat="false" ht="15" hidden="false" customHeight="false" outlineLevel="0" collapsed="false">
      <c r="B2036" s="78"/>
      <c r="C2036" s="64"/>
      <c r="D2036" s="72" t="str">
        <f aca="false">IF(C2036="","",IFERROR(INDEX(T_NOMBRE,MATCH(C2036,T_ID,0)),"⚠ ID no existe"))</f>
        <v/>
      </c>
      <c r="E2036" s="69"/>
      <c r="F2036" s="67"/>
      <c r="G2036" s="67"/>
      <c r="H2036" s="67"/>
      <c r="I2036" s="67"/>
      <c r="J2036" s="67"/>
      <c r="K2036" s="85" t="str">
        <f aca="false">IF(AH2036="","",N(F2036)+N(G2036)+N(H2036)-N(I2036)+N(J2036))</f>
        <v/>
      </c>
      <c r="L2036" s="67"/>
      <c r="M2036" s="67"/>
      <c r="N2036" s="67"/>
      <c r="O2036" s="67"/>
      <c r="P2036" s="85" t="str">
        <f aca="false">IF(AH2036="","",K2036+N(L2036)+N(M2036)+N(N2036)+N(O2036))</f>
        <v/>
      </c>
      <c r="Q2036" s="67"/>
      <c r="R2036" s="67"/>
      <c r="S2036" s="67"/>
      <c r="T2036" s="67"/>
      <c r="U2036" s="67"/>
      <c r="V2036" s="67"/>
      <c r="W2036" s="85" t="str">
        <f aca="false">IF(AH2036="","",N(Q2036)+N(R2036)+N(S2036)+N(T2036)+N(U2036)+N(V2036))</f>
        <v/>
      </c>
      <c r="X2036" s="85" t="str">
        <f aca="false">IF(AH2036="","",P2036-W2036)</f>
        <v/>
      </c>
      <c r="Y2036" s="67"/>
      <c r="Z2036" s="70" t="str">
        <f aca="false">IF(OR(AH2036="",Y2036=""),"",IF(ABS(X2036-Y2036)&lt;=1,"✓ Cuadra","⚠ Diferencia $"&amp;FIXED(X2036-Y2036,0)))</f>
        <v/>
      </c>
      <c r="AA2036" s="72" t="str">
        <f aca="false">IF(AH2036="","",IFERROR(INDEX(C_TIPO,MATCH(C2036&amp;"-P"&amp;MAX(1,COUNTIFS(C_ID,C2036,C_DEFINE,"Sí",C_INICIO,"&lt;="&amp;EOMONTH(B2036,0))),C_CLAVE,0))&amp;"","Sin dato"))</f>
        <v/>
      </c>
      <c r="AB2036" s="71" t="str">
        <f aca="false">IF(AH2036="","",ROUND(MIN(K2036,TOPE_AFP_UF*AJ2036)*AK2036,0))</f>
        <v/>
      </c>
      <c r="AC2036" s="71" t="str">
        <f aca="false">IF(AH2036="","",ROUND(MIN(K2036,TOPE_AFC_UF*AJ2036)*IF(AA2036="Indefinido",AFC_EMP_INDEF,AFC_EMP_PF),0))</f>
        <v/>
      </c>
      <c r="AD2036" s="71" t="str">
        <f aca="false">IF(AH2036="","",ROUND(MIN(K2036,TOPE_AFP_UF*AJ2036)*(MUTUAL_BASICA+MUTUAL_ADIC+SANNA),0))</f>
        <v/>
      </c>
      <c r="AE2036" s="71" t="str">
        <f aca="false">IF(AH2036="","",P2036-N(N2036)+AB2036+AC2036+AD2036)</f>
        <v/>
      </c>
      <c r="AF2036" s="65"/>
      <c r="AG2036" s="64"/>
      <c r="AH2036" s="72" t="str">
        <f aca="false">IF(OR(B2036="",C2036=""),"",C2036&amp;"|"&amp;(YEAR(B2036)*100+MONTH(B2036)))</f>
        <v/>
      </c>
      <c r="AI2036" s="70" t="str">
        <f aca="false">IF(AH2036="","",IF(COUNTIF(L_CLAVE,AH2036)&gt;1,"⚠ Duplicado","OK"))</f>
        <v/>
      </c>
      <c r="AJ2036" s="86" t="str">
        <f aca="false">IF(AH2036="","",IF(SUMPRODUCT(MAX((IND_PER&lt;=B2036)*(IND_UF&lt;&gt;"")*IND_PER))=0,UF_HOY,INDEX(IND_UF,MATCH(SUMPRODUCT(MAX((IND_PER&lt;=B2036)*(IND_UF&lt;&gt;"")*IND_PER)),IND_PER,0))))</f>
        <v/>
      </c>
      <c r="AK2036" s="87" t="str">
        <f aca="false">IF(AH2036="","",IF(COUNTIF(TASA_DESDE,"&lt;="&amp;B2036)=0,INDEX(TASA_EMP,1),INDEX(TASA_EMP,COUNTIF(TASA_DESDE,"&lt;="&amp;B2036))))</f>
        <v/>
      </c>
    </row>
    <row r="2037" customFormat="false" ht="15" hidden="false" customHeight="false" outlineLevel="0" collapsed="false">
      <c r="B2037" s="78"/>
      <c r="C2037" s="64"/>
      <c r="D2037" s="72" t="str">
        <f aca="false">IF(C2037="","",IFERROR(INDEX(T_NOMBRE,MATCH(C2037,T_ID,0)),"⚠ ID no existe"))</f>
        <v/>
      </c>
      <c r="E2037" s="69"/>
      <c r="F2037" s="67"/>
      <c r="G2037" s="67"/>
      <c r="H2037" s="67"/>
      <c r="I2037" s="67"/>
      <c r="J2037" s="67"/>
      <c r="K2037" s="85" t="str">
        <f aca="false">IF(AH2037="","",N(F2037)+N(G2037)+N(H2037)-N(I2037)+N(J2037))</f>
        <v/>
      </c>
      <c r="L2037" s="67"/>
      <c r="M2037" s="67"/>
      <c r="N2037" s="67"/>
      <c r="O2037" s="67"/>
      <c r="P2037" s="85" t="str">
        <f aca="false">IF(AH2037="","",K2037+N(L2037)+N(M2037)+N(N2037)+N(O2037))</f>
        <v/>
      </c>
      <c r="Q2037" s="67"/>
      <c r="R2037" s="67"/>
      <c r="S2037" s="67"/>
      <c r="T2037" s="67"/>
      <c r="U2037" s="67"/>
      <c r="V2037" s="67"/>
      <c r="W2037" s="85" t="str">
        <f aca="false">IF(AH2037="","",N(Q2037)+N(R2037)+N(S2037)+N(T2037)+N(U2037)+N(V2037))</f>
        <v/>
      </c>
      <c r="X2037" s="85" t="str">
        <f aca="false">IF(AH2037="","",P2037-W2037)</f>
        <v/>
      </c>
      <c r="Y2037" s="67"/>
      <c r="Z2037" s="70" t="str">
        <f aca="false">IF(OR(AH2037="",Y2037=""),"",IF(ABS(X2037-Y2037)&lt;=1,"✓ Cuadra","⚠ Diferencia $"&amp;FIXED(X2037-Y2037,0)))</f>
        <v/>
      </c>
      <c r="AA2037" s="72" t="str">
        <f aca="false">IF(AH2037="","",IFERROR(INDEX(C_TIPO,MATCH(C2037&amp;"-P"&amp;MAX(1,COUNTIFS(C_ID,C2037,C_DEFINE,"Sí",C_INICIO,"&lt;="&amp;EOMONTH(B2037,0))),C_CLAVE,0))&amp;"","Sin dato"))</f>
        <v/>
      </c>
      <c r="AB2037" s="71" t="str">
        <f aca="false">IF(AH2037="","",ROUND(MIN(K2037,TOPE_AFP_UF*AJ2037)*AK2037,0))</f>
        <v/>
      </c>
      <c r="AC2037" s="71" t="str">
        <f aca="false">IF(AH2037="","",ROUND(MIN(K2037,TOPE_AFC_UF*AJ2037)*IF(AA2037="Indefinido",AFC_EMP_INDEF,AFC_EMP_PF),0))</f>
        <v/>
      </c>
      <c r="AD2037" s="71" t="str">
        <f aca="false">IF(AH2037="","",ROUND(MIN(K2037,TOPE_AFP_UF*AJ2037)*(MUTUAL_BASICA+MUTUAL_ADIC+SANNA),0))</f>
        <v/>
      </c>
      <c r="AE2037" s="71" t="str">
        <f aca="false">IF(AH2037="","",P2037-N(N2037)+AB2037+AC2037+AD2037)</f>
        <v/>
      </c>
      <c r="AF2037" s="65"/>
      <c r="AG2037" s="64"/>
      <c r="AH2037" s="72" t="str">
        <f aca="false">IF(OR(B2037="",C2037=""),"",C2037&amp;"|"&amp;(YEAR(B2037)*100+MONTH(B2037)))</f>
        <v/>
      </c>
      <c r="AI2037" s="70" t="str">
        <f aca="false">IF(AH2037="","",IF(COUNTIF(L_CLAVE,AH2037)&gt;1,"⚠ Duplicado","OK"))</f>
        <v/>
      </c>
      <c r="AJ2037" s="86" t="str">
        <f aca="false">IF(AH2037="","",IF(SUMPRODUCT(MAX((IND_PER&lt;=B2037)*(IND_UF&lt;&gt;"")*IND_PER))=0,UF_HOY,INDEX(IND_UF,MATCH(SUMPRODUCT(MAX((IND_PER&lt;=B2037)*(IND_UF&lt;&gt;"")*IND_PER)),IND_PER,0))))</f>
        <v/>
      </c>
      <c r="AK2037" s="87" t="str">
        <f aca="false">IF(AH2037="","",IF(COUNTIF(TASA_DESDE,"&lt;="&amp;B2037)=0,INDEX(TASA_EMP,1),INDEX(TASA_EMP,COUNTIF(TASA_DESDE,"&lt;="&amp;B2037))))</f>
        <v/>
      </c>
    </row>
    <row r="2038" customFormat="false" ht="15" hidden="false" customHeight="false" outlineLevel="0" collapsed="false">
      <c r="B2038" s="78"/>
      <c r="C2038" s="64"/>
      <c r="D2038" s="72" t="str">
        <f aca="false">IF(C2038="","",IFERROR(INDEX(T_NOMBRE,MATCH(C2038,T_ID,0)),"⚠ ID no existe"))</f>
        <v/>
      </c>
      <c r="E2038" s="69"/>
      <c r="F2038" s="67"/>
      <c r="G2038" s="67"/>
      <c r="H2038" s="67"/>
      <c r="I2038" s="67"/>
      <c r="J2038" s="67"/>
      <c r="K2038" s="85" t="str">
        <f aca="false">IF(AH2038="","",N(F2038)+N(G2038)+N(H2038)-N(I2038)+N(J2038))</f>
        <v/>
      </c>
      <c r="L2038" s="67"/>
      <c r="M2038" s="67"/>
      <c r="N2038" s="67"/>
      <c r="O2038" s="67"/>
      <c r="P2038" s="85" t="str">
        <f aca="false">IF(AH2038="","",K2038+N(L2038)+N(M2038)+N(N2038)+N(O2038))</f>
        <v/>
      </c>
      <c r="Q2038" s="67"/>
      <c r="R2038" s="67"/>
      <c r="S2038" s="67"/>
      <c r="T2038" s="67"/>
      <c r="U2038" s="67"/>
      <c r="V2038" s="67"/>
      <c r="W2038" s="85" t="str">
        <f aca="false">IF(AH2038="","",N(Q2038)+N(R2038)+N(S2038)+N(T2038)+N(U2038)+N(V2038))</f>
        <v/>
      </c>
      <c r="X2038" s="85" t="str">
        <f aca="false">IF(AH2038="","",P2038-W2038)</f>
        <v/>
      </c>
      <c r="Y2038" s="67"/>
      <c r="Z2038" s="70" t="str">
        <f aca="false">IF(OR(AH2038="",Y2038=""),"",IF(ABS(X2038-Y2038)&lt;=1,"✓ Cuadra","⚠ Diferencia $"&amp;FIXED(X2038-Y2038,0)))</f>
        <v/>
      </c>
      <c r="AA2038" s="72" t="str">
        <f aca="false">IF(AH2038="","",IFERROR(INDEX(C_TIPO,MATCH(C2038&amp;"-P"&amp;MAX(1,COUNTIFS(C_ID,C2038,C_DEFINE,"Sí",C_INICIO,"&lt;="&amp;EOMONTH(B2038,0))),C_CLAVE,0))&amp;"","Sin dato"))</f>
        <v/>
      </c>
      <c r="AB2038" s="71" t="str">
        <f aca="false">IF(AH2038="","",ROUND(MIN(K2038,TOPE_AFP_UF*AJ2038)*AK2038,0))</f>
        <v/>
      </c>
      <c r="AC2038" s="71" t="str">
        <f aca="false">IF(AH2038="","",ROUND(MIN(K2038,TOPE_AFC_UF*AJ2038)*IF(AA2038="Indefinido",AFC_EMP_INDEF,AFC_EMP_PF),0))</f>
        <v/>
      </c>
      <c r="AD2038" s="71" t="str">
        <f aca="false">IF(AH2038="","",ROUND(MIN(K2038,TOPE_AFP_UF*AJ2038)*(MUTUAL_BASICA+MUTUAL_ADIC+SANNA),0))</f>
        <v/>
      </c>
      <c r="AE2038" s="71" t="str">
        <f aca="false">IF(AH2038="","",P2038-N(N2038)+AB2038+AC2038+AD2038)</f>
        <v/>
      </c>
      <c r="AF2038" s="65"/>
      <c r="AG2038" s="64"/>
      <c r="AH2038" s="72" t="str">
        <f aca="false">IF(OR(B2038="",C2038=""),"",C2038&amp;"|"&amp;(YEAR(B2038)*100+MONTH(B2038)))</f>
        <v/>
      </c>
      <c r="AI2038" s="70" t="str">
        <f aca="false">IF(AH2038="","",IF(COUNTIF(L_CLAVE,AH2038)&gt;1,"⚠ Duplicado","OK"))</f>
        <v/>
      </c>
      <c r="AJ2038" s="86" t="str">
        <f aca="false">IF(AH2038="","",IF(SUMPRODUCT(MAX((IND_PER&lt;=B2038)*(IND_UF&lt;&gt;"")*IND_PER))=0,UF_HOY,INDEX(IND_UF,MATCH(SUMPRODUCT(MAX((IND_PER&lt;=B2038)*(IND_UF&lt;&gt;"")*IND_PER)),IND_PER,0))))</f>
        <v/>
      </c>
      <c r="AK2038" s="87" t="str">
        <f aca="false">IF(AH2038="","",IF(COUNTIF(TASA_DESDE,"&lt;="&amp;B2038)=0,INDEX(TASA_EMP,1),INDEX(TASA_EMP,COUNTIF(TASA_DESDE,"&lt;="&amp;B2038))))</f>
        <v/>
      </c>
    </row>
    <row r="2039" customFormat="false" ht="15" hidden="false" customHeight="false" outlineLevel="0" collapsed="false">
      <c r="B2039" s="78"/>
      <c r="C2039" s="64"/>
      <c r="D2039" s="72" t="str">
        <f aca="false">IF(C2039="","",IFERROR(INDEX(T_NOMBRE,MATCH(C2039,T_ID,0)),"⚠ ID no existe"))</f>
        <v/>
      </c>
      <c r="E2039" s="69"/>
      <c r="F2039" s="67"/>
      <c r="G2039" s="67"/>
      <c r="H2039" s="67"/>
      <c r="I2039" s="67"/>
      <c r="J2039" s="67"/>
      <c r="K2039" s="85" t="str">
        <f aca="false">IF(AH2039="","",N(F2039)+N(G2039)+N(H2039)-N(I2039)+N(J2039))</f>
        <v/>
      </c>
      <c r="L2039" s="67"/>
      <c r="M2039" s="67"/>
      <c r="N2039" s="67"/>
      <c r="O2039" s="67"/>
      <c r="P2039" s="85" t="str">
        <f aca="false">IF(AH2039="","",K2039+N(L2039)+N(M2039)+N(N2039)+N(O2039))</f>
        <v/>
      </c>
      <c r="Q2039" s="67"/>
      <c r="R2039" s="67"/>
      <c r="S2039" s="67"/>
      <c r="T2039" s="67"/>
      <c r="U2039" s="67"/>
      <c r="V2039" s="67"/>
      <c r="W2039" s="85" t="str">
        <f aca="false">IF(AH2039="","",N(Q2039)+N(R2039)+N(S2039)+N(T2039)+N(U2039)+N(V2039))</f>
        <v/>
      </c>
      <c r="X2039" s="85" t="str">
        <f aca="false">IF(AH2039="","",P2039-W2039)</f>
        <v/>
      </c>
      <c r="Y2039" s="67"/>
      <c r="Z2039" s="70" t="str">
        <f aca="false">IF(OR(AH2039="",Y2039=""),"",IF(ABS(X2039-Y2039)&lt;=1,"✓ Cuadra","⚠ Diferencia $"&amp;FIXED(X2039-Y2039,0)))</f>
        <v/>
      </c>
      <c r="AA2039" s="72" t="str">
        <f aca="false">IF(AH2039="","",IFERROR(INDEX(C_TIPO,MATCH(C2039&amp;"-P"&amp;MAX(1,COUNTIFS(C_ID,C2039,C_DEFINE,"Sí",C_INICIO,"&lt;="&amp;EOMONTH(B2039,0))),C_CLAVE,0))&amp;"","Sin dato"))</f>
        <v/>
      </c>
      <c r="AB2039" s="71" t="str">
        <f aca="false">IF(AH2039="","",ROUND(MIN(K2039,TOPE_AFP_UF*AJ2039)*AK2039,0))</f>
        <v/>
      </c>
      <c r="AC2039" s="71" t="str">
        <f aca="false">IF(AH2039="","",ROUND(MIN(K2039,TOPE_AFC_UF*AJ2039)*IF(AA2039="Indefinido",AFC_EMP_INDEF,AFC_EMP_PF),0))</f>
        <v/>
      </c>
      <c r="AD2039" s="71" t="str">
        <f aca="false">IF(AH2039="","",ROUND(MIN(K2039,TOPE_AFP_UF*AJ2039)*(MUTUAL_BASICA+MUTUAL_ADIC+SANNA),0))</f>
        <v/>
      </c>
      <c r="AE2039" s="71" t="str">
        <f aca="false">IF(AH2039="","",P2039-N(N2039)+AB2039+AC2039+AD2039)</f>
        <v/>
      </c>
      <c r="AF2039" s="65"/>
      <c r="AG2039" s="64"/>
      <c r="AH2039" s="72" t="str">
        <f aca="false">IF(OR(B2039="",C2039=""),"",C2039&amp;"|"&amp;(YEAR(B2039)*100+MONTH(B2039)))</f>
        <v/>
      </c>
      <c r="AI2039" s="70" t="str">
        <f aca="false">IF(AH2039="","",IF(COUNTIF(L_CLAVE,AH2039)&gt;1,"⚠ Duplicado","OK"))</f>
        <v/>
      </c>
      <c r="AJ2039" s="86" t="str">
        <f aca="false">IF(AH2039="","",IF(SUMPRODUCT(MAX((IND_PER&lt;=B2039)*(IND_UF&lt;&gt;"")*IND_PER))=0,UF_HOY,INDEX(IND_UF,MATCH(SUMPRODUCT(MAX((IND_PER&lt;=B2039)*(IND_UF&lt;&gt;"")*IND_PER)),IND_PER,0))))</f>
        <v/>
      </c>
      <c r="AK2039" s="87" t="str">
        <f aca="false">IF(AH2039="","",IF(COUNTIF(TASA_DESDE,"&lt;="&amp;B2039)=0,INDEX(TASA_EMP,1),INDEX(TASA_EMP,COUNTIF(TASA_DESDE,"&lt;="&amp;B2039))))</f>
        <v/>
      </c>
    </row>
    <row r="2040" customFormat="false" ht="15" hidden="false" customHeight="false" outlineLevel="0" collapsed="false">
      <c r="B2040" s="78"/>
      <c r="C2040" s="64"/>
      <c r="D2040" s="72" t="str">
        <f aca="false">IF(C2040="","",IFERROR(INDEX(T_NOMBRE,MATCH(C2040,T_ID,0)),"⚠ ID no existe"))</f>
        <v/>
      </c>
      <c r="E2040" s="69"/>
      <c r="F2040" s="67"/>
      <c r="G2040" s="67"/>
      <c r="H2040" s="67"/>
      <c r="I2040" s="67"/>
      <c r="J2040" s="67"/>
      <c r="K2040" s="85" t="str">
        <f aca="false">IF(AH2040="","",N(F2040)+N(G2040)+N(H2040)-N(I2040)+N(J2040))</f>
        <v/>
      </c>
      <c r="L2040" s="67"/>
      <c r="M2040" s="67"/>
      <c r="N2040" s="67"/>
      <c r="O2040" s="67"/>
      <c r="P2040" s="85" t="str">
        <f aca="false">IF(AH2040="","",K2040+N(L2040)+N(M2040)+N(N2040)+N(O2040))</f>
        <v/>
      </c>
      <c r="Q2040" s="67"/>
      <c r="R2040" s="67"/>
      <c r="S2040" s="67"/>
      <c r="T2040" s="67"/>
      <c r="U2040" s="67"/>
      <c r="V2040" s="67"/>
      <c r="W2040" s="85" t="str">
        <f aca="false">IF(AH2040="","",N(Q2040)+N(R2040)+N(S2040)+N(T2040)+N(U2040)+N(V2040))</f>
        <v/>
      </c>
      <c r="X2040" s="85" t="str">
        <f aca="false">IF(AH2040="","",P2040-W2040)</f>
        <v/>
      </c>
      <c r="Y2040" s="67"/>
      <c r="Z2040" s="70" t="str">
        <f aca="false">IF(OR(AH2040="",Y2040=""),"",IF(ABS(X2040-Y2040)&lt;=1,"✓ Cuadra","⚠ Diferencia $"&amp;FIXED(X2040-Y2040,0)))</f>
        <v/>
      </c>
      <c r="AA2040" s="72" t="str">
        <f aca="false">IF(AH2040="","",IFERROR(INDEX(C_TIPO,MATCH(C2040&amp;"-P"&amp;MAX(1,COUNTIFS(C_ID,C2040,C_DEFINE,"Sí",C_INICIO,"&lt;="&amp;EOMONTH(B2040,0))),C_CLAVE,0))&amp;"","Sin dato"))</f>
        <v/>
      </c>
      <c r="AB2040" s="71" t="str">
        <f aca="false">IF(AH2040="","",ROUND(MIN(K2040,TOPE_AFP_UF*AJ2040)*AK2040,0))</f>
        <v/>
      </c>
      <c r="AC2040" s="71" t="str">
        <f aca="false">IF(AH2040="","",ROUND(MIN(K2040,TOPE_AFC_UF*AJ2040)*IF(AA2040="Indefinido",AFC_EMP_INDEF,AFC_EMP_PF),0))</f>
        <v/>
      </c>
      <c r="AD2040" s="71" t="str">
        <f aca="false">IF(AH2040="","",ROUND(MIN(K2040,TOPE_AFP_UF*AJ2040)*(MUTUAL_BASICA+MUTUAL_ADIC+SANNA),0))</f>
        <v/>
      </c>
      <c r="AE2040" s="71" t="str">
        <f aca="false">IF(AH2040="","",P2040-N(N2040)+AB2040+AC2040+AD2040)</f>
        <v/>
      </c>
      <c r="AF2040" s="65"/>
      <c r="AG2040" s="64"/>
      <c r="AH2040" s="72" t="str">
        <f aca="false">IF(OR(B2040="",C2040=""),"",C2040&amp;"|"&amp;(YEAR(B2040)*100+MONTH(B2040)))</f>
        <v/>
      </c>
      <c r="AI2040" s="70" t="str">
        <f aca="false">IF(AH2040="","",IF(COUNTIF(L_CLAVE,AH2040)&gt;1,"⚠ Duplicado","OK"))</f>
        <v/>
      </c>
      <c r="AJ2040" s="86" t="str">
        <f aca="false">IF(AH2040="","",IF(SUMPRODUCT(MAX((IND_PER&lt;=B2040)*(IND_UF&lt;&gt;"")*IND_PER))=0,UF_HOY,INDEX(IND_UF,MATCH(SUMPRODUCT(MAX((IND_PER&lt;=B2040)*(IND_UF&lt;&gt;"")*IND_PER)),IND_PER,0))))</f>
        <v/>
      </c>
      <c r="AK2040" s="87" t="str">
        <f aca="false">IF(AH2040="","",IF(COUNTIF(TASA_DESDE,"&lt;="&amp;B2040)=0,INDEX(TASA_EMP,1),INDEX(TASA_EMP,COUNTIF(TASA_DESDE,"&lt;="&amp;B2040))))</f>
        <v/>
      </c>
    </row>
    <row r="2041" customFormat="false" ht="15" hidden="false" customHeight="false" outlineLevel="0" collapsed="false">
      <c r="B2041" s="78"/>
      <c r="C2041" s="64"/>
      <c r="D2041" s="72" t="str">
        <f aca="false">IF(C2041="","",IFERROR(INDEX(T_NOMBRE,MATCH(C2041,T_ID,0)),"⚠ ID no existe"))</f>
        <v/>
      </c>
      <c r="E2041" s="69"/>
      <c r="F2041" s="67"/>
      <c r="G2041" s="67"/>
      <c r="H2041" s="67"/>
      <c r="I2041" s="67"/>
      <c r="J2041" s="67"/>
      <c r="K2041" s="85" t="str">
        <f aca="false">IF(AH2041="","",N(F2041)+N(G2041)+N(H2041)-N(I2041)+N(J2041))</f>
        <v/>
      </c>
      <c r="L2041" s="67"/>
      <c r="M2041" s="67"/>
      <c r="N2041" s="67"/>
      <c r="O2041" s="67"/>
      <c r="P2041" s="85" t="str">
        <f aca="false">IF(AH2041="","",K2041+N(L2041)+N(M2041)+N(N2041)+N(O2041))</f>
        <v/>
      </c>
      <c r="Q2041" s="67"/>
      <c r="R2041" s="67"/>
      <c r="S2041" s="67"/>
      <c r="T2041" s="67"/>
      <c r="U2041" s="67"/>
      <c r="V2041" s="67"/>
      <c r="W2041" s="85" t="str">
        <f aca="false">IF(AH2041="","",N(Q2041)+N(R2041)+N(S2041)+N(T2041)+N(U2041)+N(V2041))</f>
        <v/>
      </c>
      <c r="X2041" s="85" t="str">
        <f aca="false">IF(AH2041="","",P2041-W2041)</f>
        <v/>
      </c>
      <c r="Y2041" s="67"/>
      <c r="Z2041" s="70" t="str">
        <f aca="false">IF(OR(AH2041="",Y2041=""),"",IF(ABS(X2041-Y2041)&lt;=1,"✓ Cuadra","⚠ Diferencia $"&amp;FIXED(X2041-Y2041,0)))</f>
        <v/>
      </c>
      <c r="AA2041" s="72" t="str">
        <f aca="false">IF(AH2041="","",IFERROR(INDEX(C_TIPO,MATCH(C2041&amp;"-P"&amp;MAX(1,COUNTIFS(C_ID,C2041,C_DEFINE,"Sí",C_INICIO,"&lt;="&amp;EOMONTH(B2041,0))),C_CLAVE,0))&amp;"","Sin dato"))</f>
        <v/>
      </c>
      <c r="AB2041" s="71" t="str">
        <f aca="false">IF(AH2041="","",ROUND(MIN(K2041,TOPE_AFP_UF*AJ2041)*AK2041,0))</f>
        <v/>
      </c>
      <c r="AC2041" s="71" t="str">
        <f aca="false">IF(AH2041="","",ROUND(MIN(K2041,TOPE_AFC_UF*AJ2041)*IF(AA2041="Indefinido",AFC_EMP_INDEF,AFC_EMP_PF),0))</f>
        <v/>
      </c>
      <c r="AD2041" s="71" t="str">
        <f aca="false">IF(AH2041="","",ROUND(MIN(K2041,TOPE_AFP_UF*AJ2041)*(MUTUAL_BASICA+MUTUAL_ADIC+SANNA),0))</f>
        <v/>
      </c>
      <c r="AE2041" s="71" t="str">
        <f aca="false">IF(AH2041="","",P2041-N(N2041)+AB2041+AC2041+AD2041)</f>
        <v/>
      </c>
      <c r="AF2041" s="65"/>
      <c r="AG2041" s="64"/>
      <c r="AH2041" s="72" t="str">
        <f aca="false">IF(OR(B2041="",C2041=""),"",C2041&amp;"|"&amp;(YEAR(B2041)*100+MONTH(B2041)))</f>
        <v/>
      </c>
      <c r="AI2041" s="70" t="str">
        <f aca="false">IF(AH2041="","",IF(COUNTIF(L_CLAVE,AH2041)&gt;1,"⚠ Duplicado","OK"))</f>
        <v/>
      </c>
      <c r="AJ2041" s="86" t="str">
        <f aca="false">IF(AH2041="","",IF(SUMPRODUCT(MAX((IND_PER&lt;=B2041)*(IND_UF&lt;&gt;"")*IND_PER))=0,UF_HOY,INDEX(IND_UF,MATCH(SUMPRODUCT(MAX((IND_PER&lt;=B2041)*(IND_UF&lt;&gt;"")*IND_PER)),IND_PER,0))))</f>
        <v/>
      </c>
      <c r="AK2041" s="87" t="str">
        <f aca="false">IF(AH2041="","",IF(COUNTIF(TASA_DESDE,"&lt;="&amp;B2041)=0,INDEX(TASA_EMP,1),INDEX(TASA_EMP,COUNTIF(TASA_DESDE,"&lt;="&amp;B2041))))</f>
        <v/>
      </c>
    </row>
    <row r="2042" customFormat="false" ht="15" hidden="false" customHeight="false" outlineLevel="0" collapsed="false">
      <c r="B2042" s="78"/>
      <c r="C2042" s="64"/>
      <c r="D2042" s="72" t="str">
        <f aca="false">IF(C2042="","",IFERROR(INDEX(T_NOMBRE,MATCH(C2042,T_ID,0)),"⚠ ID no existe"))</f>
        <v/>
      </c>
      <c r="E2042" s="69"/>
      <c r="F2042" s="67"/>
      <c r="G2042" s="67"/>
      <c r="H2042" s="67"/>
      <c r="I2042" s="67"/>
      <c r="J2042" s="67"/>
      <c r="K2042" s="85" t="str">
        <f aca="false">IF(AH2042="","",N(F2042)+N(G2042)+N(H2042)-N(I2042)+N(J2042))</f>
        <v/>
      </c>
      <c r="L2042" s="67"/>
      <c r="M2042" s="67"/>
      <c r="N2042" s="67"/>
      <c r="O2042" s="67"/>
      <c r="P2042" s="85" t="str">
        <f aca="false">IF(AH2042="","",K2042+N(L2042)+N(M2042)+N(N2042)+N(O2042))</f>
        <v/>
      </c>
      <c r="Q2042" s="67"/>
      <c r="R2042" s="67"/>
      <c r="S2042" s="67"/>
      <c r="T2042" s="67"/>
      <c r="U2042" s="67"/>
      <c r="V2042" s="67"/>
      <c r="W2042" s="85" t="str">
        <f aca="false">IF(AH2042="","",N(Q2042)+N(R2042)+N(S2042)+N(T2042)+N(U2042)+N(V2042))</f>
        <v/>
      </c>
      <c r="X2042" s="85" t="str">
        <f aca="false">IF(AH2042="","",P2042-W2042)</f>
        <v/>
      </c>
      <c r="Y2042" s="67"/>
      <c r="Z2042" s="70" t="str">
        <f aca="false">IF(OR(AH2042="",Y2042=""),"",IF(ABS(X2042-Y2042)&lt;=1,"✓ Cuadra","⚠ Diferencia $"&amp;FIXED(X2042-Y2042,0)))</f>
        <v/>
      </c>
      <c r="AA2042" s="72" t="str">
        <f aca="false">IF(AH2042="","",IFERROR(INDEX(C_TIPO,MATCH(C2042&amp;"-P"&amp;MAX(1,COUNTIFS(C_ID,C2042,C_DEFINE,"Sí",C_INICIO,"&lt;="&amp;EOMONTH(B2042,0))),C_CLAVE,0))&amp;"","Sin dato"))</f>
        <v/>
      </c>
      <c r="AB2042" s="71" t="str">
        <f aca="false">IF(AH2042="","",ROUND(MIN(K2042,TOPE_AFP_UF*AJ2042)*AK2042,0))</f>
        <v/>
      </c>
      <c r="AC2042" s="71" t="str">
        <f aca="false">IF(AH2042="","",ROUND(MIN(K2042,TOPE_AFC_UF*AJ2042)*IF(AA2042="Indefinido",AFC_EMP_INDEF,AFC_EMP_PF),0))</f>
        <v/>
      </c>
      <c r="AD2042" s="71" t="str">
        <f aca="false">IF(AH2042="","",ROUND(MIN(K2042,TOPE_AFP_UF*AJ2042)*(MUTUAL_BASICA+MUTUAL_ADIC+SANNA),0))</f>
        <v/>
      </c>
      <c r="AE2042" s="71" t="str">
        <f aca="false">IF(AH2042="","",P2042-N(N2042)+AB2042+AC2042+AD2042)</f>
        <v/>
      </c>
      <c r="AF2042" s="65"/>
      <c r="AG2042" s="64"/>
      <c r="AH2042" s="72" t="str">
        <f aca="false">IF(OR(B2042="",C2042=""),"",C2042&amp;"|"&amp;(YEAR(B2042)*100+MONTH(B2042)))</f>
        <v/>
      </c>
      <c r="AI2042" s="70" t="str">
        <f aca="false">IF(AH2042="","",IF(COUNTIF(L_CLAVE,AH2042)&gt;1,"⚠ Duplicado","OK"))</f>
        <v/>
      </c>
      <c r="AJ2042" s="86" t="str">
        <f aca="false">IF(AH2042="","",IF(SUMPRODUCT(MAX((IND_PER&lt;=B2042)*(IND_UF&lt;&gt;"")*IND_PER))=0,UF_HOY,INDEX(IND_UF,MATCH(SUMPRODUCT(MAX((IND_PER&lt;=B2042)*(IND_UF&lt;&gt;"")*IND_PER)),IND_PER,0))))</f>
        <v/>
      </c>
      <c r="AK2042" s="87" t="str">
        <f aca="false">IF(AH2042="","",IF(COUNTIF(TASA_DESDE,"&lt;="&amp;B2042)=0,INDEX(TASA_EMP,1),INDEX(TASA_EMP,COUNTIF(TASA_DESDE,"&lt;="&amp;B2042))))</f>
        <v/>
      </c>
    </row>
    <row r="2043" customFormat="false" ht="15" hidden="false" customHeight="false" outlineLevel="0" collapsed="false">
      <c r="B2043" s="78"/>
      <c r="C2043" s="64"/>
      <c r="D2043" s="72" t="str">
        <f aca="false">IF(C2043="","",IFERROR(INDEX(T_NOMBRE,MATCH(C2043,T_ID,0)),"⚠ ID no existe"))</f>
        <v/>
      </c>
      <c r="E2043" s="69"/>
      <c r="F2043" s="67"/>
      <c r="G2043" s="67"/>
      <c r="H2043" s="67"/>
      <c r="I2043" s="67"/>
      <c r="J2043" s="67"/>
      <c r="K2043" s="85" t="str">
        <f aca="false">IF(AH2043="","",N(F2043)+N(G2043)+N(H2043)-N(I2043)+N(J2043))</f>
        <v/>
      </c>
      <c r="L2043" s="67"/>
      <c r="M2043" s="67"/>
      <c r="N2043" s="67"/>
      <c r="O2043" s="67"/>
      <c r="P2043" s="85" t="str">
        <f aca="false">IF(AH2043="","",K2043+N(L2043)+N(M2043)+N(N2043)+N(O2043))</f>
        <v/>
      </c>
      <c r="Q2043" s="67"/>
      <c r="R2043" s="67"/>
      <c r="S2043" s="67"/>
      <c r="T2043" s="67"/>
      <c r="U2043" s="67"/>
      <c r="V2043" s="67"/>
      <c r="W2043" s="85" t="str">
        <f aca="false">IF(AH2043="","",N(Q2043)+N(R2043)+N(S2043)+N(T2043)+N(U2043)+N(V2043))</f>
        <v/>
      </c>
      <c r="X2043" s="85" t="str">
        <f aca="false">IF(AH2043="","",P2043-W2043)</f>
        <v/>
      </c>
      <c r="Y2043" s="67"/>
      <c r="Z2043" s="70" t="str">
        <f aca="false">IF(OR(AH2043="",Y2043=""),"",IF(ABS(X2043-Y2043)&lt;=1,"✓ Cuadra","⚠ Diferencia $"&amp;FIXED(X2043-Y2043,0)))</f>
        <v/>
      </c>
      <c r="AA2043" s="72" t="str">
        <f aca="false">IF(AH2043="","",IFERROR(INDEX(C_TIPO,MATCH(C2043&amp;"-P"&amp;MAX(1,COUNTIFS(C_ID,C2043,C_DEFINE,"Sí",C_INICIO,"&lt;="&amp;EOMONTH(B2043,0))),C_CLAVE,0))&amp;"","Sin dato"))</f>
        <v/>
      </c>
      <c r="AB2043" s="71" t="str">
        <f aca="false">IF(AH2043="","",ROUND(MIN(K2043,TOPE_AFP_UF*AJ2043)*AK2043,0))</f>
        <v/>
      </c>
      <c r="AC2043" s="71" t="str">
        <f aca="false">IF(AH2043="","",ROUND(MIN(K2043,TOPE_AFC_UF*AJ2043)*IF(AA2043="Indefinido",AFC_EMP_INDEF,AFC_EMP_PF),0))</f>
        <v/>
      </c>
      <c r="AD2043" s="71" t="str">
        <f aca="false">IF(AH2043="","",ROUND(MIN(K2043,TOPE_AFP_UF*AJ2043)*(MUTUAL_BASICA+MUTUAL_ADIC+SANNA),0))</f>
        <v/>
      </c>
      <c r="AE2043" s="71" t="str">
        <f aca="false">IF(AH2043="","",P2043-N(N2043)+AB2043+AC2043+AD2043)</f>
        <v/>
      </c>
      <c r="AF2043" s="65"/>
      <c r="AG2043" s="64"/>
      <c r="AH2043" s="72" t="str">
        <f aca="false">IF(OR(B2043="",C2043=""),"",C2043&amp;"|"&amp;(YEAR(B2043)*100+MONTH(B2043)))</f>
        <v/>
      </c>
      <c r="AI2043" s="70" t="str">
        <f aca="false">IF(AH2043="","",IF(COUNTIF(L_CLAVE,AH2043)&gt;1,"⚠ Duplicado","OK"))</f>
        <v/>
      </c>
      <c r="AJ2043" s="86" t="str">
        <f aca="false">IF(AH2043="","",IF(SUMPRODUCT(MAX((IND_PER&lt;=B2043)*(IND_UF&lt;&gt;"")*IND_PER))=0,UF_HOY,INDEX(IND_UF,MATCH(SUMPRODUCT(MAX((IND_PER&lt;=B2043)*(IND_UF&lt;&gt;"")*IND_PER)),IND_PER,0))))</f>
        <v/>
      </c>
      <c r="AK2043" s="87" t="str">
        <f aca="false">IF(AH2043="","",IF(COUNTIF(TASA_DESDE,"&lt;="&amp;B2043)=0,INDEX(TASA_EMP,1),INDEX(TASA_EMP,COUNTIF(TASA_DESDE,"&lt;="&amp;B2043))))</f>
        <v/>
      </c>
    </row>
    <row r="2044" customFormat="false" ht="15" hidden="false" customHeight="false" outlineLevel="0" collapsed="false">
      <c r="B2044" s="78"/>
      <c r="C2044" s="64"/>
      <c r="D2044" s="72" t="str">
        <f aca="false">IF(C2044="","",IFERROR(INDEX(T_NOMBRE,MATCH(C2044,T_ID,0)),"⚠ ID no existe"))</f>
        <v/>
      </c>
      <c r="E2044" s="69"/>
      <c r="F2044" s="67"/>
      <c r="G2044" s="67"/>
      <c r="H2044" s="67"/>
      <c r="I2044" s="67"/>
      <c r="J2044" s="67"/>
      <c r="K2044" s="85" t="str">
        <f aca="false">IF(AH2044="","",N(F2044)+N(G2044)+N(H2044)-N(I2044)+N(J2044))</f>
        <v/>
      </c>
      <c r="L2044" s="67"/>
      <c r="M2044" s="67"/>
      <c r="N2044" s="67"/>
      <c r="O2044" s="67"/>
      <c r="P2044" s="85" t="str">
        <f aca="false">IF(AH2044="","",K2044+N(L2044)+N(M2044)+N(N2044)+N(O2044))</f>
        <v/>
      </c>
      <c r="Q2044" s="67"/>
      <c r="R2044" s="67"/>
      <c r="S2044" s="67"/>
      <c r="T2044" s="67"/>
      <c r="U2044" s="67"/>
      <c r="V2044" s="67"/>
      <c r="W2044" s="85" t="str">
        <f aca="false">IF(AH2044="","",N(Q2044)+N(R2044)+N(S2044)+N(T2044)+N(U2044)+N(V2044))</f>
        <v/>
      </c>
      <c r="X2044" s="85" t="str">
        <f aca="false">IF(AH2044="","",P2044-W2044)</f>
        <v/>
      </c>
      <c r="Y2044" s="67"/>
      <c r="Z2044" s="70" t="str">
        <f aca="false">IF(OR(AH2044="",Y2044=""),"",IF(ABS(X2044-Y2044)&lt;=1,"✓ Cuadra","⚠ Diferencia $"&amp;FIXED(X2044-Y2044,0)))</f>
        <v/>
      </c>
      <c r="AA2044" s="72" t="str">
        <f aca="false">IF(AH2044="","",IFERROR(INDEX(C_TIPO,MATCH(C2044&amp;"-P"&amp;MAX(1,COUNTIFS(C_ID,C2044,C_DEFINE,"Sí",C_INICIO,"&lt;="&amp;EOMONTH(B2044,0))),C_CLAVE,0))&amp;"","Sin dato"))</f>
        <v/>
      </c>
      <c r="AB2044" s="71" t="str">
        <f aca="false">IF(AH2044="","",ROUND(MIN(K2044,TOPE_AFP_UF*AJ2044)*AK2044,0))</f>
        <v/>
      </c>
      <c r="AC2044" s="71" t="str">
        <f aca="false">IF(AH2044="","",ROUND(MIN(K2044,TOPE_AFC_UF*AJ2044)*IF(AA2044="Indefinido",AFC_EMP_INDEF,AFC_EMP_PF),0))</f>
        <v/>
      </c>
      <c r="AD2044" s="71" t="str">
        <f aca="false">IF(AH2044="","",ROUND(MIN(K2044,TOPE_AFP_UF*AJ2044)*(MUTUAL_BASICA+MUTUAL_ADIC+SANNA),0))</f>
        <v/>
      </c>
      <c r="AE2044" s="71" t="str">
        <f aca="false">IF(AH2044="","",P2044-N(N2044)+AB2044+AC2044+AD2044)</f>
        <v/>
      </c>
      <c r="AF2044" s="65"/>
      <c r="AG2044" s="64"/>
      <c r="AH2044" s="72" t="str">
        <f aca="false">IF(OR(B2044="",C2044=""),"",C2044&amp;"|"&amp;(YEAR(B2044)*100+MONTH(B2044)))</f>
        <v/>
      </c>
      <c r="AI2044" s="70" t="str">
        <f aca="false">IF(AH2044="","",IF(COUNTIF(L_CLAVE,AH2044)&gt;1,"⚠ Duplicado","OK"))</f>
        <v/>
      </c>
      <c r="AJ2044" s="86" t="str">
        <f aca="false">IF(AH2044="","",IF(SUMPRODUCT(MAX((IND_PER&lt;=B2044)*(IND_UF&lt;&gt;"")*IND_PER))=0,UF_HOY,INDEX(IND_UF,MATCH(SUMPRODUCT(MAX((IND_PER&lt;=B2044)*(IND_UF&lt;&gt;"")*IND_PER)),IND_PER,0))))</f>
        <v/>
      </c>
      <c r="AK2044" s="87" t="str">
        <f aca="false">IF(AH2044="","",IF(COUNTIF(TASA_DESDE,"&lt;="&amp;B2044)=0,INDEX(TASA_EMP,1),INDEX(TASA_EMP,COUNTIF(TASA_DESDE,"&lt;="&amp;B2044))))</f>
        <v/>
      </c>
    </row>
    <row r="2045" customFormat="false" ht="15" hidden="false" customHeight="false" outlineLevel="0" collapsed="false">
      <c r="B2045" s="78"/>
      <c r="C2045" s="64"/>
      <c r="D2045" s="72" t="str">
        <f aca="false">IF(C2045="","",IFERROR(INDEX(T_NOMBRE,MATCH(C2045,T_ID,0)),"⚠ ID no existe"))</f>
        <v/>
      </c>
      <c r="E2045" s="69"/>
      <c r="F2045" s="67"/>
      <c r="G2045" s="67"/>
      <c r="H2045" s="67"/>
      <c r="I2045" s="67"/>
      <c r="J2045" s="67"/>
      <c r="K2045" s="85" t="str">
        <f aca="false">IF(AH2045="","",N(F2045)+N(G2045)+N(H2045)-N(I2045)+N(J2045))</f>
        <v/>
      </c>
      <c r="L2045" s="67"/>
      <c r="M2045" s="67"/>
      <c r="N2045" s="67"/>
      <c r="O2045" s="67"/>
      <c r="P2045" s="85" t="str">
        <f aca="false">IF(AH2045="","",K2045+N(L2045)+N(M2045)+N(N2045)+N(O2045))</f>
        <v/>
      </c>
      <c r="Q2045" s="67"/>
      <c r="R2045" s="67"/>
      <c r="S2045" s="67"/>
      <c r="T2045" s="67"/>
      <c r="U2045" s="67"/>
      <c r="V2045" s="67"/>
      <c r="W2045" s="85" t="str">
        <f aca="false">IF(AH2045="","",N(Q2045)+N(R2045)+N(S2045)+N(T2045)+N(U2045)+N(V2045))</f>
        <v/>
      </c>
      <c r="X2045" s="85" t="str">
        <f aca="false">IF(AH2045="","",P2045-W2045)</f>
        <v/>
      </c>
      <c r="Y2045" s="67"/>
      <c r="Z2045" s="70" t="str">
        <f aca="false">IF(OR(AH2045="",Y2045=""),"",IF(ABS(X2045-Y2045)&lt;=1,"✓ Cuadra","⚠ Diferencia $"&amp;FIXED(X2045-Y2045,0)))</f>
        <v/>
      </c>
      <c r="AA2045" s="72" t="str">
        <f aca="false">IF(AH2045="","",IFERROR(INDEX(C_TIPO,MATCH(C2045&amp;"-P"&amp;MAX(1,COUNTIFS(C_ID,C2045,C_DEFINE,"Sí",C_INICIO,"&lt;="&amp;EOMONTH(B2045,0))),C_CLAVE,0))&amp;"","Sin dato"))</f>
        <v/>
      </c>
      <c r="AB2045" s="71" t="str">
        <f aca="false">IF(AH2045="","",ROUND(MIN(K2045,TOPE_AFP_UF*AJ2045)*AK2045,0))</f>
        <v/>
      </c>
      <c r="AC2045" s="71" t="str">
        <f aca="false">IF(AH2045="","",ROUND(MIN(K2045,TOPE_AFC_UF*AJ2045)*IF(AA2045="Indefinido",AFC_EMP_INDEF,AFC_EMP_PF),0))</f>
        <v/>
      </c>
      <c r="AD2045" s="71" t="str">
        <f aca="false">IF(AH2045="","",ROUND(MIN(K2045,TOPE_AFP_UF*AJ2045)*(MUTUAL_BASICA+MUTUAL_ADIC+SANNA),0))</f>
        <v/>
      </c>
      <c r="AE2045" s="71" t="str">
        <f aca="false">IF(AH2045="","",P2045-N(N2045)+AB2045+AC2045+AD2045)</f>
        <v/>
      </c>
      <c r="AF2045" s="65"/>
      <c r="AG2045" s="64"/>
      <c r="AH2045" s="72" t="str">
        <f aca="false">IF(OR(B2045="",C2045=""),"",C2045&amp;"|"&amp;(YEAR(B2045)*100+MONTH(B2045)))</f>
        <v/>
      </c>
      <c r="AI2045" s="70" t="str">
        <f aca="false">IF(AH2045="","",IF(COUNTIF(L_CLAVE,AH2045)&gt;1,"⚠ Duplicado","OK"))</f>
        <v/>
      </c>
      <c r="AJ2045" s="86" t="str">
        <f aca="false">IF(AH2045="","",IF(SUMPRODUCT(MAX((IND_PER&lt;=B2045)*(IND_UF&lt;&gt;"")*IND_PER))=0,UF_HOY,INDEX(IND_UF,MATCH(SUMPRODUCT(MAX((IND_PER&lt;=B2045)*(IND_UF&lt;&gt;"")*IND_PER)),IND_PER,0))))</f>
        <v/>
      </c>
      <c r="AK2045" s="87" t="str">
        <f aca="false">IF(AH2045="","",IF(COUNTIF(TASA_DESDE,"&lt;="&amp;B2045)=0,INDEX(TASA_EMP,1),INDEX(TASA_EMP,COUNTIF(TASA_DESDE,"&lt;="&amp;B2045))))</f>
        <v/>
      </c>
    </row>
    <row r="2046" customFormat="false" ht="15" hidden="false" customHeight="false" outlineLevel="0" collapsed="false">
      <c r="B2046" s="78"/>
      <c r="C2046" s="64"/>
      <c r="D2046" s="72" t="str">
        <f aca="false">IF(C2046="","",IFERROR(INDEX(T_NOMBRE,MATCH(C2046,T_ID,0)),"⚠ ID no existe"))</f>
        <v/>
      </c>
      <c r="E2046" s="69"/>
      <c r="F2046" s="67"/>
      <c r="G2046" s="67"/>
      <c r="H2046" s="67"/>
      <c r="I2046" s="67"/>
      <c r="J2046" s="67"/>
      <c r="K2046" s="85" t="str">
        <f aca="false">IF(AH2046="","",N(F2046)+N(G2046)+N(H2046)-N(I2046)+N(J2046))</f>
        <v/>
      </c>
      <c r="L2046" s="67"/>
      <c r="M2046" s="67"/>
      <c r="N2046" s="67"/>
      <c r="O2046" s="67"/>
      <c r="P2046" s="85" t="str">
        <f aca="false">IF(AH2046="","",K2046+N(L2046)+N(M2046)+N(N2046)+N(O2046))</f>
        <v/>
      </c>
      <c r="Q2046" s="67"/>
      <c r="R2046" s="67"/>
      <c r="S2046" s="67"/>
      <c r="T2046" s="67"/>
      <c r="U2046" s="67"/>
      <c r="V2046" s="67"/>
      <c r="W2046" s="85" t="str">
        <f aca="false">IF(AH2046="","",N(Q2046)+N(R2046)+N(S2046)+N(T2046)+N(U2046)+N(V2046))</f>
        <v/>
      </c>
      <c r="X2046" s="85" t="str">
        <f aca="false">IF(AH2046="","",P2046-W2046)</f>
        <v/>
      </c>
      <c r="Y2046" s="67"/>
      <c r="Z2046" s="70" t="str">
        <f aca="false">IF(OR(AH2046="",Y2046=""),"",IF(ABS(X2046-Y2046)&lt;=1,"✓ Cuadra","⚠ Diferencia $"&amp;FIXED(X2046-Y2046,0)))</f>
        <v/>
      </c>
      <c r="AA2046" s="72" t="str">
        <f aca="false">IF(AH2046="","",IFERROR(INDEX(C_TIPO,MATCH(C2046&amp;"-P"&amp;MAX(1,COUNTIFS(C_ID,C2046,C_DEFINE,"Sí",C_INICIO,"&lt;="&amp;EOMONTH(B2046,0))),C_CLAVE,0))&amp;"","Sin dato"))</f>
        <v/>
      </c>
      <c r="AB2046" s="71" t="str">
        <f aca="false">IF(AH2046="","",ROUND(MIN(K2046,TOPE_AFP_UF*AJ2046)*AK2046,0))</f>
        <v/>
      </c>
      <c r="AC2046" s="71" t="str">
        <f aca="false">IF(AH2046="","",ROUND(MIN(K2046,TOPE_AFC_UF*AJ2046)*IF(AA2046="Indefinido",AFC_EMP_INDEF,AFC_EMP_PF),0))</f>
        <v/>
      </c>
      <c r="AD2046" s="71" t="str">
        <f aca="false">IF(AH2046="","",ROUND(MIN(K2046,TOPE_AFP_UF*AJ2046)*(MUTUAL_BASICA+MUTUAL_ADIC+SANNA),0))</f>
        <v/>
      </c>
      <c r="AE2046" s="71" t="str">
        <f aca="false">IF(AH2046="","",P2046-N(N2046)+AB2046+AC2046+AD2046)</f>
        <v/>
      </c>
      <c r="AF2046" s="65"/>
      <c r="AG2046" s="64"/>
      <c r="AH2046" s="72" t="str">
        <f aca="false">IF(OR(B2046="",C2046=""),"",C2046&amp;"|"&amp;(YEAR(B2046)*100+MONTH(B2046)))</f>
        <v/>
      </c>
      <c r="AI2046" s="70" t="str">
        <f aca="false">IF(AH2046="","",IF(COUNTIF(L_CLAVE,AH2046)&gt;1,"⚠ Duplicado","OK"))</f>
        <v/>
      </c>
      <c r="AJ2046" s="86" t="str">
        <f aca="false">IF(AH2046="","",IF(SUMPRODUCT(MAX((IND_PER&lt;=B2046)*(IND_UF&lt;&gt;"")*IND_PER))=0,UF_HOY,INDEX(IND_UF,MATCH(SUMPRODUCT(MAX((IND_PER&lt;=B2046)*(IND_UF&lt;&gt;"")*IND_PER)),IND_PER,0))))</f>
        <v/>
      </c>
      <c r="AK2046" s="87" t="str">
        <f aca="false">IF(AH2046="","",IF(COUNTIF(TASA_DESDE,"&lt;="&amp;B2046)=0,INDEX(TASA_EMP,1),INDEX(TASA_EMP,COUNTIF(TASA_DESDE,"&lt;="&amp;B2046))))</f>
        <v/>
      </c>
    </row>
    <row r="2047" customFormat="false" ht="15" hidden="false" customHeight="false" outlineLevel="0" collapsed="false">
      <c r="B2047" s="78"/>
      <c r="C2047" s="64"/>
      <c r="D2047" s="72" t="str">
        <f aca="false">IF(C2047="","",IFERROR(INDEX(T_NOMBRE,MATCH(C2047,T_ID,0)),"⚠ ID no existe"))</f>
        <v/>
      </c>
      <c r="E2047" s="69"/>
      <c r="F2047" s="67"/>
      <c r="G2047" s="67"/>
      <c r="H2047" s="67"/>
      <c r="I2047" s="67"/>
      <c r="J2047" s="67"/>
      <c r="K2047" s="85" t="str">
        <f aca="false">IF(AH2047="","",N(F2047)+N(G2047)+N(H2047)-N(I2047)+N(J2047))</f>
        <v/>
      </c>
      <c r="L2047" s="67"/>
      <c r="M2047" s="67"/>
      <c r="N2047" s="67"/>
      <c r="O2047" s="67"/>
      <c r="P2047" s="85" t="str">
        <f aca="false">IF(AH2047="","",K2047+N(L2047)+N(M2047)+N(N2047)+N(O2047))</f>
        <v/>
      </c>
      <c r="Q2047" s="67"/>
      <c r="R2047" s="67"/>
      <c r="S2047" s="67"/>
      <c r="T2047" s="67"/>
      <c r="U2047" s="67"/>
      <c r="V2047" s="67"/>
      <c r="W2047" s="85" t="str">
        <f aca="false">IF(AH2047="","",N(Q2047)+N(R2047)+N(S2047)+N(T2047)+N(U2047)+N(V2047))</f>
        <v/>
      </c>
      <c r="X2047" s="85" t="str">
        <f aca="false">IF(AH2047="","",P2047-W2047)</f>
        <v/>
      </c>
      <c r="Y2047" s="67"/>
      <c r="Z2047" s="70" t="str">
        <f aca="false">IF(OR(AH2047="",Y2047=""),"",IF(ABS(X2047-Y2047)&lt;=1,"✓ Cuadra","⚠ Diferencia $"&amp;FIXED(X2047-Y2047,0)))</f>
        <v/>
      </c>
      <c r="AA2047" s="72" t="str">
        <f aca="false">IF(AH2047="","",IFERROR(INDEX(C_TIPO,MATCH(C2047&amp;"-P"&amp;MAX(1,COUNTIFS(C_ID,C2047,C_DEFINE,"Sí",C_INICIO,"&lt;="&amp;EOMONTH(B2047,0))),C_CLAVE,0))&amp;"","Sin dato"))</f>
        <v/>
      </c>
      <c r="AB2047" s="71" t="str">
        <f aca="false">IF(AH2047="","",ROUND(MIN(K2047,TOPE_AFP_UF*AJ2047)*AK2047,0))</f>
        <v/>
      </c>
      <c r="AC2047" s="71" t="str">
        <f aca="false">IF(AH2047="","",ROUND(MIN(K2047,TOPE_AFC_UF*AJ2047)*IF(AA2047="Indefinido",AFC_EMP_INDEF,AFC_EMP_PF),0))</f>
        <v/>
      </c>
      <c r="AD2047" s="71" t="str">
        <f aca="false">IF(AH2047="","",ROUND(MIN(K2047,TOPE_AFP_UF*AJ2047)*(MUTUAL_BASICA+MUTUAL_ADIC+SANNA),0))</f>
        <v/>
      </c>
      <c r="AE2047" s="71" t="str">
        <f aca="false">IF(AH2047="","",P2047-N(N2047)+AB2047+AC2047+AD2047)</f>
        <v/>
      </c>
      <c r="AF2047" s="65"/>
      <c r="AG2047" s="64"/>
      <c r="AH2047" s="72" t="str">
        <f aca="false">IF(OR(B2047="",C2047=""),"",C2047&amp;"|"&amp;(YEAR(B2047)*100+MONTH(B2047)))</f>
        <v/>
      </c>
      <c r="AI2047" s="70" t="str">
        <f aca="false">IF(AH2047="","",IF(COUNTIF(L_CLAVE,AH2047)&gt;1,"⚠ Duplicado","OK"))</f>
        <v/>
      </c>
      <c r="AJ2047" s="86" t="str">
        <f aca="false">IF(AH2047="","",IF(SUMPRODUCT(MAX((IND_PER&lt;=B2047)*(IND_UF&lt;&gt;"")*IND_PER))=0,UF_HOY,INDEX(IND_UF,MATCH(SUMPRODUCT(MAX((IND_PER&lt;=B2047)*(IND_UF&lt;&gt;"")*IND_PER)),IND_PER,0))))</f>
        <v/>
      </c>
      <c r="AK2047" s="87" t="str">
        <f aca="false">IF(AH2047="","",IF(COUNTIF(TASA_DESDE,"&lt;="&amp;B2047)=0,INDEX(TASA_EMP,1),INDEX(TASA_EMP,COUNTIF(TASA_DESDE,"&lt;="&amp;B2047))))</f>
        <v/>
      </c>
    </row>
    <row r="2048" customFormat="false" ht="15" hidden="false" customHeight="false" outlineLevel="0" collapsed="false">
      <c r="B2048" s="78"/>
      <c r="C2048" s="64"/>
      <c r="D2048" s="72" t="str">
        <f aca="false">IF(C2048="","",IFERROR(INDEX(T_NOMBRE,MATCH(C2048,T_ID,0)),"⚠ ID no existe"))</f>
        <v/>
      </c>
      <c r="E2048" s="69"/>
      <c r="F2048" s="67"/>
      <c r="G2048" s="67"/>
      <c r="H2048" s="67"/>
      <c r="I2048" s="67"/>
      <c r="J2048" s="67"/>
      <c r="K2048" s="85" t="str">
        <f aca="false">IF(AH2048="","",N(F2048)+N(G2048)+N(H2048)-N(I2048)+N(J2048))</f>
        <v/>
      </c>
      <c r="L2048" s="67"/>
      <c r="M2048" s="67"/>
      <c r="N2048" s="67"/>
      <c r="O2048" s="67"/>
      <c r="P2048" s="85" t="str">
        <f aca="false">IF(AH2048="","",K2048+N(L2048)+N(M2048)+N(N2048)+N(O2048))</f>
        <v/>
      </c>
      <c r="Q2048" s="67"/>
      <c r="R2048" s="67"/>
      <c r="S2048" s="67"/>
      <c r="T2048" s="67"/>
      <c r="U2048" s="67"/>
      <c r="V2048" s="67"/>
      <c r="W2048" s="85" t="str">
        <f aca="false">IF(AH2048="","",N(Q2048)+N(R2048)+N(S2048)+N(T2048)+N(U2048)+N(V2048))</f>
        <v/>
      </c>
      <c r="X2048" s="85" t="str">
        <f aca="false">IF(AH2048="","",P2048-W2048)</f>
        <v/>
      </c>
      <c r="Y2048" s="67"/>
      <c r="Z2048" s="70" t="str">
        <f aca="false">IF(OR(AH2048="",Y2048=""),"",IF(ABS(X2048-Y2048)&lt;=1,"✓ Cuadra","⚠ Diferencia $"&amp;FIXED(X2048-Y2048,0)))</f>
        <v/>
      </c>
      <c r="AA2048" s="72" t="str">
        <f aca="false">IF(AH2048="","",IFERROR(INDEX(C_TIPO,MATCH(C2048&amp;"-P"&amp;MAX(1,COUNTIFS(C_ID,C2048,C_DEFINE,"Sí",C_INICIO,"&lt;="&amp;EOMONTH(B2048,0))),C_CLAVE,0))&amp;"","Sin dato"))</f>
        <v/>
      </c>
      <c r="AB2048" s="71" t="str">
        <f aca="false">IF(AH2048="","",ROUND(MIN(K2048,TOPE_AFP_UF*AJ2048)*AK2048,0))</f>
        <v/>
      </c>
      <c r="AC2048" s="71" t="str">
        <f aca="false">IF(AH2048="","",ROUND(MIN(K2048,TOPE_AFC_UF*AJ2048)*IF(AA2048="Indefinido",AFC_EMP_INDEF,AFC_EMP_PF),0))</f>
        <v/>
      </c>
      <c r="AD2048" s="71" t="str">
        <f aca="false">IF(AH2048="","",ROUND(MIN(K2048,TOPE_AFP_UF*AJ2048)*(MUTUAL_BASICA+MUTUAL_ADIC+SANNA),0))</f>
        <v/>
      </c>
      <c r="AE2048" s="71" t="str">
        <f aca="false">IF(AH2048="","",P2048-N(N2048)+AB2048+AC2048+AD2048)</f>
        <v/>
      </c>
      <c r="AF2048" s="65"/>
      <c r="AG2048" s="64"/>
      <c r="AH2048" s="72" t="str">
        <f aca="false">IF(OR(B2048="",C2048=""),"",C2048&amp;"|"&amp;(YEAR(B2048)*100+MONTH(B2048)))</f>
        <v/>
      </c>
      <c r="AI2048" s="70" t="str">
        <f aca="false">IF(AH2048="","",IF(COUNTIF(L_CLAVE,AH2048)&gt;1,"⚠ Duplicado","OK"))</f>
        <v/>
      </c>
      <c r="AJ2048" s="86" t="str">
        <f aca="false">IF(AH2048="","",IF(SUMPRODUCT(MAX((IND_PER&lt;=B2048)*(IND_UF&lt;&gt;"")*IND_PER))=0,UF_HOY,INDEX(IND_UF,MATCH(SUMPRODUCT(MAX((IND_PER&lt;=B2048)*(IND_UF&lt;&gt;"")*IND_PER)),IND_PER,0))))</f>
        <v/>
      </c>
      <c r="AK2048" s="87" t="str">
        <f aca="false">IF(AH2048="","",IF(COUNTIF(TASA_DESDE,"&lt;="&amp;B2048)=0,INDEX(TASA_EMP,1),INDEX(TASA_EMP,COUNTIF(TASA_DESDE,"&lt;="&amp;B2048))))</f>
        <v/>
      </c>
    </row>
    <row r="2049" customFormat="false" ht="15" hidden="false" customHeight="false" outlineLevel="0" collapsed="false">
      <c r="B2049" s="78"/>
      <c r="C2049" s="64"/>
      <c r="D2049" s="72" t="str">
        <f aca="false">IF(C2049="","",IFERROR(INDEX(T_NOMBRE,MATCH(C2049,T_ID,0)),"⚠ ID no existe"))</f>
        <v/>
      </c>
      <c r="E2049" s="69"/>
      <c r="F2049" s="67"/>
      <c r="G2049" s="67"/>
      <c r="H2049" s="67"/>
      <c r="I2049" s="67"/>
      <c r="J2049" s="67"/>
      <c r="K2049" s="85" t="str">
        <f aca="false">IF(AH2049="","",N(F2049)+N(G2049)+N(H2049)-N(I2049)+N(J2049))</f>
        <v/>
      </c>
      <c r="L2049" s="67"/>
      <c r="M2049" s="67"/>
      <c r="N2049" s="67"/>
      <c r="O2049" s="67"/>
      <c r="P2049" s="85" t="str">
        <f aca="false">IF(AH2049="","",K2049+N(L2049)+N(M2049)+N(N2049)+N(O2049))</f>
        <v/>
      </c>
      <c r="Q2049" s="67"/>
      <c r="R2049" s="67"/>
      <c r="S2049" s="67"/>
      <c r="T2049" s="67"/>
      <c r="U2049" s="67"/>
      <c r="V2049" s="67"/>
      <c r="W2049" s="85" t="str">
        <f aca="false">IF(AH2049="","",N(Q2049)+N(R2049)+N(S2049)+N(T2049)+N(U2049)+N(V2049))</f>
        <v/>
      </c>
      <c r="X2049" s="85" t="str">
        <f aca="false">IF(AH2049="","",P2049-W2049)</f>
        <v/>
      </c>
      <c r="Y2049" s="67"/>
      <c r="Z2049" s="70" t="str">
        <f aca="false">IF(OR(AH2049="",Y2049=""),"",IF(ABS(X2049-Y2049)&lt;=1,"✓ Cuadra","⚠ Diferencia $"&amp;FIXED(X2049-Y2049,0)))</f>
        <v/>
      </c>
      <c r="AA2049" s="72" t="str">
        <f aca="false">IF(AH2049="","",IFERROR(INDEX(C_TIPO,MATCH(C2049&amp;"-P"&amp;MAX(1,COUNTIFS(C_ID,C2049,C_DEFINE,"Sí",C_INICIO,"&lt;="&amp;EOMONTH(B2049,0))),C_CLAVE,0))&amp;"","Sin dato"))</f>
        <v/>
      </c>
      <c r="AB2049" s="71" t="str">
        <f aca="false">IF(AH2049="","",ROUND(MIN(K2049,TOPE_AFP_UF*AJ2049)*AK2049,0))</f>
        <v/>
      </c>
      <c r="AC2049" s="71" t="str">
        <f aca="false">IF(AH2049="","",ROUND(MIN(K2049,TOPE_AFC_UF*AJ2049)*IF(AA2049="Indefinido",AFC_EMP_INDEF,AFC_EMP_PF),0))</f>
        <v/>
      </c>
      <c r="AD2049" s="71" t="str">
        <f aca="false">IF(AH2049="","",ROUND(MIN(K2049,TOPE_AFP_UF*AJ2049)*(MUTUAL_BASICA+MUTUAL_ADIC+SANNA),0))</f>
        <v/>
      </c>
      <c r="AE2049" s="71" t="str">
        <f aca="false">IF(AH2049="","",P2049-N(N2049)+AB2049+AC2049+AD2049)</f>
        <v/>
      </c>
      <c r="AF2049" s="65"/>
      <c r="AG2049" s="64"/>
      <c r="AH2049" s="72" t="str">
        <f aca="false">IF(OR(B2049="",C2049=""),"",C2049&amp;"|"&amp;(YEAR(B2049)*100+MONTH(B2049)))</f>
        <v/>
      </c>
      <c r="AI2049" s="70" t="str">
        <f aca="false">IF(AH2049="","",IF(COUNTIF(L_CLAVE,AH2049)&gt;1,"⚠ Duplicado","OK"))</f>
        <v/>
      </c>
      <c r="AJ2049" s="86" t="str">
        <f aca="false">IF(AH2049="","",IF(SUMPRODUCT(MAX((IND_PER&lt;=B2049)*(IND_UF&lt;&gt;"")*IND_PER))=0,UF_HOY,INDEX(IND_UF,MATCH(SUMPRODUCT(MAX((IND_PER&lt;=B2049)*(IND_UF&lt;&gt;"")*IND_PER)),IND_PER,0))))</f>
        <v/>
      </c>
      <c r="AK2049" s="87" t="str">
        <f aca="false">IF(AH2049="","",IF(COUNTIF(TASA_DESDE,"&lt;="&amp;B2049)=0,INDEX(TASA_EMP,1),INDEX(TASA_EMP,COUNTIF(TASA_DESDE,"&lt;="&amp;B2049))))</f>
        <v/>
      </c>
    </row>
    <row r="2050" customFormat="false" ht="15" hidden="false" customHeight="false" outlineLevel="0" collapsed="false">
      <c r="B2050" s="78"/>
      <c r="C2050" s="64"/>
      <c r="D2050" s="72" t="str">
        <f aca="false">IF(C2050="","",IFERROR(INDEX(T_NOMBRE,MATCH(C2050,T_ID,0)),"⚠ ID no existe"))</f>
        <v/>
      </c>
      <c r="E2050" s="69"/>
      <c r="F2050" s="67"/>
      <c r="G2050" s="67"/>
      <c r="H2050" s="67"/>
      <c r="I2050" s="67"/>
      <c r="J2050" s="67"/>
      <c r="K2050" s="85" t="str">
        <f aca="false">IF(AH2050="","",N(F2050)+N(G2050)+N(H2050)-N(I2050)+N(J2050))</f>
        <v/>
      </c>
      <c r="L2050" s="67"/>
      <c r="M2050" s="67"/>
      <c r="N2050" s="67"/>
      <c r="O2050" s="67"/>
      <c r="P2050" s="85" t="str">
        <f aca="false">IF(AH2050="","",K2050+N(L2050)+N(M2050)+N(N2050)+N(O2050))</f>
        <v/>
      </c>
      <c r="Q2050" s="67"/>
      <c r="R2050" s="67"/>
      <c r="S2050" s="67"/>
      <c r="T2050" s="67"/>
      <c r="U2050" s="67"/>
      <c r="V2050" s="67"/>
      <c r="W2050" s="85" t="str">
        <f aca="false">IF(AH2050="","",N(Q2050)+N(R2050)+N(S2050)+N(T2050)+N(U2050)+N(V2050))</f>
        <v/>
      </c>
      <c r="X2050" s="85" t="str">
        <f aca="false">IF(AH2050="","",P2050-W2050)</f>
        <v/>
      </c>
      <c r="Y2050" s="67"/>
      <c r="Z2050" s="70" t="str">
        <f aca="false">IF(OR(AH2050="",Y2050=""),"",IF(ABS(X2050-Y2050)&lt;=1,"✓ Cuadra","⚠ Diferencia $"&amp;FIXED(X2050-Y2050,0)))</f>
        <v/>
      </c>
      <c r="AA2050" s="72" t="str">
        <f aca="false">IF(AH2050="","",IFERROR(INDEX(C_TIPO,MATCH(C2050&amp;"-P"&amp;MAX(1,COUNTIFS(C_ID,C2050,C_DEFINE,"Sí",C_INICIO,"&lt;="&amp;EOMONTH(B2050,0))),C_CLAVE,0))&amp;"","Sin dato"))</f>
        <v/>
      </c>
      <c r="AB2050" s="71" t="str">
        <f aca="false">IF(AH2050="","",ROUND(MIN(K2050,TOPE_AFP_UF*AJ2050)*AK2050,0))</f>
        <v/>
      </c>
      <c r="AC2050" s="71" t="str">
        <f aca="false">IF(AH2050="","",ROUND(MIN(K2050,TOPE_AFC_UF*AJ2050)*IF(AA2050="Indefinido",AFC_EMP_INDEF,AFC_EMP_PF),0))</f>
        <v/>
      </c>
      <c r="AD2050" s="71" t="str">
        <f aca="false">IF(AH2050="","",ROUND(MIN(K2050,TOPE_AFP_UF*AJ2050)*(MUTUAL_BASICA+MUTUAL_ADIC+SANNA),0))</f>
        <v/>
      </c>
      <c r="AE2050" s="71" t="str">
        <f aca="false">IF(AH2050="","",P2050-N(N2050)+AB2050+AC2050+AD2050)</f>
        <v/>
      </c>
      <c r="AF2050" s="65"/>
      <c r="AG2050" s="64"/>
      <c r="AH2050" s="72" t="str">
        <f aca="false">IF(OR(B2050="",C2050=""),"",C2050&amp;"|"&amp;(YEAR(B2050)*100+MONTH(B2050)))</f>
        <v/>
      </c>
      <c r="AI2050" s="70" t="str">
        <f aca="false">IF(AH2050="","",IF(COUNTIF(L_CLAVE,AH2050)&gt;1,"⚠ Duplicado","OK"))</f>
        <v/>
      </c>
      <c r="AJ2050" s="86" t="str">
        <f aca="false">IF(AH2050="","",IF(SUMPRODUCT(MAX((IND_PER&lt;=B2050)*(IND_UF&lt;&gt;"")*IND_PER))=0,UF_HOY,INDEX(IND_UF,MATCH(SUMPRODUCT(MAX((IND_PER&lt;=B2050)*(IND_UF&lt;&gt;"")*IND_PER)),IND_PER,0))))</f>
        <v/>
      </c>
      <c r="AK2050" s="87" t="str">
        <f aca="false">IF(AH2050="","",IF(COUNTIF(TASA_DESDE,"&lt;="&amp;B2050)=0,INDEX(TASA_EMP,1),INDEX(TASA_EMP,COUNTIF(TASA_DESDE,"&lt;="&amp;B2050))))</f>
        <v/>
      </c>
    </row>
    <row r="2051" customFormat="false" ht="15" hidden="false" customHeight="false" outlineLevel="0" collapsed="false">
      <c r="B2051" s="78"/>
      <c r="C2051" s="64"/>
      <c r="D2051" s="72" t="str">
        <f aca="false">IF(C2051="","",IFERROR(INDEX(T_NOMBRE,MATCH(C2051,T_ID,0)),"⚠ ID no existe"))</f>
        <v/>
      </c>
      <c r="E2051" s="69"/>
      <c r="F2051" s="67"/>
      <c r="G2051" s="67"/>
      <c r="H2051" s="67"/>
      <c r="I2051" s="67"/>
      <c r="J2051" s="67"/>
      <c r="K2051" s="85" t="str">
        <f aca="false">IF(AH2051="","",N(F2051)+N(G2051)+N(H2051)-N(I2051)+N(J2051))</f>
        <v/>
      </c>
      <c r="L2051" s="67"/>
      <c r="M2051" s="67"/>
      <c r="N2051" s="67"/>
      <c r="O2051" s="67"/>
      <c r="P2051" s="85" t="str">
        <f aca="false">IF(AH2051="","",K2051+N(L2051)+N(M2051)+N(N2051)+N(O2051))</f>
        <v/>
      </c>
      <c r="Q2051" s="67"/>
      <c r="R2051" s="67"/>
      <c r="S2051" s="67"/>
      <c r="T2051" s="67"/>
      <c r="U2051" s="67"/>
      <c r="V2051" s="67"/>
      <c r="W2051" s="85" t="str">
        <f aca="false">IF(AH2051="","",N(Q2051)+N(R2051)+N(S2051)+N(T2051)+N(U2051)+N(V2051))</f>
        <v/>
      </c>
      <c r="X2051" s="85" t="str">
        <f aca="false">IF(AH2051="","",P2051-W2051)</f>
        <v/>
      </c>
      <c r="Y2051" s="67"/>
      <c r="Z2051" s="70" t="str">
        <f aca="false">IF(OR(AH2051="",Y2051=""),"",IF(ABS(X2051-Y2051)&lt;=1,"✓ Cuadra","⚠ Diferencia $"&amp;FIXED(X2051-Y2051,0)))</f>
        <v/>
      </c>
      <c r="AA2051" s="72" t="str">
        <f aca="false">IF(AH2051="","",IFERROR(INDEX(C_TIPO,MATCH(C2051&amp;"-P"&amp;MAX(1,COUNTIFS(C_ID,C2051,C_DEFINE,"Sí",C_INICIO,"&lt;="&amp;EOMONTH(B2051,0))),C_CLAVE,0))&amp;"","Sin dato"))</f>
        <v/>
      </c>
      <c r="AB2051" s="71" t="str">
        <f aca="false">IF(AH2051="","",ROUND(MIN(K2051,TOPE_AFP_UF*AJ2051)*AK2051,0))</f>
        <v/>
      </c>
      <c r="AC2051" s="71" t="str">
        <f aca="false">IF(AH2051="","",ROUND(MIN(K2051,TOPE_AFC_UF*AJ2051)*IF(AA2051="Indefinido",AFC_EMP_INDEF,AFC_EMP_PF),0))</f>
        <v/>
      </c>
      <c r="AD2051" s="71" t="str">
        <f aca="false">IF(AH2051="","",ROUND(MIN(K2051,TOPE_AFP_UF*AJ2051)*(MUTUAL_BASICA+MUTUAL_ADIC+SANNA),0))</f>
        <v/>
      </c>
      <c r="AE2051" s="71" t="str">
        <f aca="false">IF(AH2051="","",P2051-N(N2051)+AB2051+AC2051+AD2051)</f>
        <v/>
      </c>
      <c r="AF2051" s="65"/>
      <c r="AG2051" s="64"/>
      <c r="AH2051" s="72" t="str">
        <f aca="false">IF(OR(B2051="",C2051=""),"",C2051&amp;"|"&amp;(YEAR(B2051)*100+MONTH(B2051)))</f>
        <v/>
      </c>
      <c r="AI2051" s="70" t="str">
        <f aca="false">IF(AH2051="","",IF(COUNTIF(L_CLAVE,AH2051)&gt;1,"⚠ Duplicado","OK"))</f>
        <v/>
      </c>
      <c r="AJ2051" s="86" t="str">
        <f aca="false">IF(AH2051="","",IF(SUMPRODUCT(MAX((IND_PER&lt;=B2051)*(IND_UF&lt;&gt;"")*IND_PER))=0,UF_HOY,INDEX(IND_UF,MATCH(SUMPRODUCT(MAX((IND_PER&lt;=B2051)*(IND_UF&lt;&gt;"")*IND_PER)),IND_PER,0))))</f>
        <v/>
      </c>
      <c r="AK2051" s="87" t="str">
        <f aca="false">IF(AH2051="","",IF(COUNTIF(TASA_DESDE,"&lt;="&amp;B2051)=0,INDEX(TASA_EMP,1),INDEX(TASA_EMP,COUNTIF(TASA_DESDE,"&lt;="&amp;B2051))))</f>
        <v/>
      </c>
    </row>
    <row r="2052" customFormat="false" ht="15" hidden="false" customHeight="false" outlineLevel="0" collapsed="false">
      <c r="B2052" s="78"/>
      <c r="C2052" s="64"/>
      <c r="D2052" s="72" t="str">
        <f aca="false">IF(C2052="","",IFERROR(INDEX(T_NOMBRE,MATCH(C2052,T_ID,0)),"⚠ ID no existe"))</f>
        <v/>
      </c>
      <c r="E2052" s="69"/>
      <c r="F2052" s="67"/>
      <c r="G2052" s="67"/>
      <c r="H2052" s="67"/>
      <c r="I2052" s="67"/>
      <c r="J2052" s="67"/>
      <c r="K2052" s="85" t="str">
        <f aca="false">IF(AH2052="","",N(F2052)+N(G2052)+N(H2052)-N(I2052)+N(J2052))</f>
        <v/>
      </c>
      <c r="L2052" s="67"/>
      <c r="M2052" s="67"/>
      <c r="N2052" s="67"/>
      <c r="O2052" s="67"/>
      <c r="P2052" s="85" t="str">
        <f aca="false">IF(AH2052="","",K2052+N(L2052)+N(M2052)+N(N2052)+N(O2052))</f>
        <v/>
      </c>
      <c r="Q2052" s="67"/>
      <c r="R2052" s="67"/>
      <c r="S2052" s="67"/>
      <c r="T2052" s="67"/>
      <c r="U2052" s="67"/>
      <c r="V2052" s="67"/>
      <c r="W2052" s="85" t="str">
        <f aca="false">IF(AH2052="","",N(Q2052)+N(R2052)+N(S2052)+N(T2052)+N(U2052)+N(V2052))</f>
        <v/>
      </c>
      <c r="X2052" s="85" t="str">
        <f aca="false">IF(AH2052="","",P2052-W2052)</f>
        <v/>
      </c>
      <c r="Y2052" s="67"/>
      <c r="Z2052" s="70" t="str">
        <f aca="false">IF(OR(AH2052="",Y2052=""),"",IF(ABS(X2052-Y2052)&lt;=1,"✓ Cuadra","⚠ Diferencia $"&amp;FIXED(X2052-Y2052,0)))</f>
        <v/>
      </c>
      <c r="AA2052" s="72" t="str">
        <f aca="false">IF(AH2052="","",IFERROR(INDEX(C_TIPO,MATCH(C2052&amp;"-P"&amp;MAX(1,COUNTIFS(C_ID,C2052,C_DEFINE,"Sí",C_INICIO,"&lt;="&amp;EOMONTH(B2052,0))),C_CLAVE,0))&amp;"","Sin dato"))</f>
        <v/>
      </c>
      <c r="AB2052" s="71" t="str">
        <f aca="false">IF(AH2052="","",ROUND(MIN(K2052,TOPE_AFP_UF*AJ2052)*AK2052,0))</f>
        <v/>
      </c>
      <c r="AC2052" s="71" t="str">
        <f aca="false">IF(AH2052="","",ROUND(MIN(K2052,TOPE_AFC_UF*AJ2052)*IF(AA2052="Indefinido",AFC_EMP_INDEF,AFC_EMP_PF),0))</f>
        <v/>
      </c>
      <c r="AD2052" s="71" t="str">
        <f aca="false">IF(AH2052="","",ROUND(MIN(K2052,TOPE_AFP_UF*AJ2052)*(MUTUAL_BASICA+MUTUAL_ADIC+SANNA),0))</f>
        <v/>
      </c>
      <c r="AE2052" s="71" t="str">
        <f aca="false">IF(AH2052="","",P2052-N(N2052)+AB2052+AC2052+AD2052)</f>
        <v/>
      </c>
      <c r="AF2052" s="65"/>
      <c r="AG2052" s="64"/>
      <c r="AH2052" s="72" t="str">
        <f aca="false">IF(OR(B2052="",C2052=""),"",C2052&amp;"|"&amp;(YEAR(B2052)*100+MONTH(B2052)))</f>
        <v/>
      </c>
      <c r="AI2052" s="70" t="str">
        <f aca="false">IF(AH2052="","",IF(COUNTIF(L_CLAVE,AH2052)&gt;1,"⚠ Duplicado","OK"))</f>
        <v/>
      </c>
      <c r="AJ2052" s="86" t="str">
        <f aca="false">IF(AH2052="","",IF(SUMPRODUCT(MAX((IND_PER&lt;=B2052)*(IND_UF&lt;&gt;"")*IND_PER))=0,UF_HOY,INDEX(IND_UF,MATCH(SUMPRODUCT(MAX((IND_PER&lt;=B2052)*(IND_UF&lt;&gt;"")*IND_PER)),IND_PER,0))))</f>
        <v/>
      </c>
      <c r="AK2052" s="87" t="str">
        <f aca="false">IF(AH2052="","",IF(COUNTIF(TASA_DESDE,"&lt;="&amp;B2052)=0,INDEX(TASA_EMP,1),INDEX(TASA_EMP,COUNTIF(TASA_DESDE,"&lt;="&amp;B2052))))</f>
        <v/>
      </c>
    </row>
    <row r="2053" customFormat="false" ht="15" hidden="false" customHeight="false" outlineLevel="0" collapsed="false">
      <c r="B2053" s="78"/>
      <c r="C2053" s="64"/>
      <c r="D2053" s="72" t="str">
        <f aca="false">IF(C2053="","",IFERROR(INDEX(T_NOMBRE,MATCH(C2053,T_ID,0)),"⚠ ID no existe"))</f>
        <v/>
      </c>
      <c r="E2053" s="69"/>
      <c r="F2053" s="67"/>
      <c r="G2053" s="67"/>
      <c r="H2053" s="67"/>
      <c r="I2053" s="67"/>
      <c r="J2053" s="67"/>
      <c r="K2053" s="85" t="str">
        <f aca="false">IF(AH2053="","",N(F2053)+N(G2053)+N(H2053)-N(I2053)+N(J2053))</f>
        <v/>
      </c>
      <c r="L2053" s="67"/>
      <c r="M2053" s="67"/>
      <c r="N2053" s="67"/>
      <c r="O2053" s="67"/>
      <c r="P2053" s="85" t="str">
        <f aca="false">IF(AH2053="","",K2053+N(L2053)+N(M2053)+N(N2053)+N(O2053))</f>
        <v/>
      </c>
      <c r="Q2053" s="67"/>
      <c r="R2053" s="67"/>
      <c r="S2053" s="67"/>
      <c r="T2053" s="67"/>
      <c r="U2053" s="67"/>
      <c r="V2053" s="67"/>
      <c r="W2053" s="85" t="str">
        <f aca="false">IF(AH2053="","",N(Q2053)+N(R2053)+N(S2053)+N(T2053)+N(U2053)+N(V2053))</f>
        <v/>
      </c>
      <c r="X2053" s="85" t="str">
        <f aca="false">IF(AH2053="","",P2053-W2053)</f>
        <v/>
      </c>
      <c r="Y2053" s="67"/>
      <c r="Z2053" s="70" t="str">
        <f aca="false">IF(OR(AH2053="",Y2053=""),"",IF(ABS(X2053-Y2053)&lt;=1,"✓ Cuadra","⚠ Diferencia $"&amp;FIXED(X2053-Y2053,0)))</f>
        <v/>
      </c>
      <c r="AA2053" s="72" t="str">
        <f aca="false">IF(AH2053="","",IFERROR(INDEX(C_TIPO,MATCH(C2053&amp;"-P"&amp;MAX(1,COUNTIFS(C_ID,C2053,C_DEFINE,"Sí",C_INICIO,"&lt;="&amp;EOMONTH(B2053,0))),C_CLAVE,0))&amp;"","Sin dato"))</f>
        <v/>
      </c>
      <c r="AB2053" s="71" t="str">
        <f aca="false">IF(AH2053="","",ROUND(MIN(K2053,TOPE_AFP_UF*AJ2053)*AK2053,0))</f>
        <v/>
      </c>
      <c r="AC2053" s="71" t="str">
        <f aca="false">IF(AH2053="","",ROUND(MIN(K2053,TOPE_AFC_UF*AJ2053)*IF(AA2053="Indefinido",AFC_EMP_INDEF,AFC_EMP_PF),0))</f>
        <v/>
      </c>
      <c r="AD2053" s="71" t="str">
        <f aca="false">IF(AH2053="","",ROUND(MIN(K2053,TOPE_AFP_UF*AJ2053)*(MUTUAL_BASICA+MUTUAL_ADIC+SANNA),0))</f>
        <v/>
      </c>
      <c r="AE2053" s="71" t="str">
        <f aca="false">IF(AH2053="","",P2053-N(N2053)+AB2053+AC2053+AD2053)</f>
        <v/>
      </c>
      <c r="AF2053" s="65"/>
      <c r="AG2053" s="64"/>
      <c r="AH2053" s="72" t="str">
        <f aca="false">IF(OR(B2053="",C2053=""),"",C2053&amp;"|"&amp;(YEAR(B2053)*100+MONTH(B2053)))</f>
        <v/>
      </c>
      <c r="AI2053" s="70" t="str">
        <f aca="false">IF(AH2053="","",IF(COUNTIF(L_CLAVE,AH2053)&gt;1,"⚠ Duplicado","OK"))</f>
        <v/>
      </c>
      <c r="AJ2053" s="86" t="str">
        <f aca="false">IF(AH2053="","",IF(SUMPRODUCT(MAX((IND_PER&lt;=B2053)*(IND_UF&lt;&gt;"")*IND_PER))=0,UF_HOY,INDEX(IND_UF,MATCH(SUMPRODUCT(MAX((IND_PER&lt;=B2053)*(IND_UF&lt;&gt;"")*IND_PER)),IND_PER,0))))</f>
        <v/>
      </c>
      <c r="AK2053" s="87" t="str">
        <f aca="false">IF(AH2053="","",IF(COUNTIF(TASA_DESDE,"&lt;="&amp;B2053)=0,INDEX(TASA_EMP,1),INDEX(TASA_EMP,COUNTIF(TASA_DESDE,"&lt;="&amp;B2053))))</f>
        <v/>
      </c>
    </row>
    <row r="2054" customFormat="false" ht="15" hidden="false" customHeight="false" outlineLevel="0" collapsed="false">
      <c r="B2054" s="78"/>
      <c r="C2054" s="64"/>
      <c r="D2054" s="72" t="str">
        <f aca="false">IF(C2054="","",IFERROR(INDEX(T_NOMBRE,MATCH(C2054,T_ID,0)),"⚠ ID no existe"))</f>
        <v/>
      </c>
      <c r="E2054" s="69"/>
      <c r="F2054" s="67"/>
      <c r="G2054" s="67"/>
      <c r="H2054" s="67"/>
      <c r="I2054" s="67"/>
      <c r="J2054" s="67"/>
      <c r="K2054" s="85" t="str">
        <f aca="false">IF(AH2054="","",N(F2054)+N(G2054)+N(H2054)-N(I2054)+N(J2054))</f>
        <v/>
      </c>
      <c r="L2054" s="67"/>
      <c r="M2054" s="67"/>
      <c r="N2054" s="67"/>
      <c r="O2054" s="67"/>
      <c r="P2054" s="85" t="str">
        <f aca="false">IF(AH2054="","",K2054+N(L2054)+N(M2054)+N(N2054)+N(O2054))</f>
        <v/>
      </c>
      <c r="Q2054" s="67"/>
      <c r="R2054" s="67"/>
      <c r="S2054" s="67"/>
      <c r="T2054" s="67"/>
      <c r="U2054" s="67"/>
      <c r="V2054" s="67"/>
      <c r="W2054" s="85" t="str">
        <f aca="false">IF(AH2054="","",N(Q2054)+N(R2054)+N(S2054)+N(T2054)+N(U2054)+N(V2054))</f>
        <v/>
      </c>
      <c r="X2054" s="85" t="str">
        <f aca="false">IF(AH2054="","",P2054-W2054)</f>
        <v/>
      </c>
      <c r="Y2054" s="67"/>
      <c r="Z2054" s="70" t="str">
        <f aca="false">IF(OR(AH2054="",Y2054=""),"",IF(ABS(X2054-Y2054)&lt;=1,"✓ Cuadra","⚠ Diferencia $"&amp;FIXED(X2054-Y2054,0)))</f>
        <v/>
      </c>
      <c r="AA2054" s="72" t="str">
        <f aca="false">IF(AH2054="","",IFERROR(INDEX(C_TIPO,MATCH(C2054&amp;"-P"&amp;MAX(1,COUNTIFS(C_ID,C2054,C_DEFINE,"Sí",C_INICIO,"&lt;="&amp;EOMONTH(B2054,0))),C_CLAVE,0))&amp;"","Sin dato"))</f>
        <v/>
      </c>
      <c r="AB2054" s="71" t="str">
        <f aca="false">IF(AH2054="","",ROUND(MIN(K2054,TOPE_AFP_UF*AJ2054)*AK2054,0))</f>
        <v/>
      </c>
      <c r="AC2054" s="71" t="str">
        <f aca="false">IF(AH2054="","",ROUND(MIN(K2054,TOPE_AFC_UF*AJ2054)*IF(AA2054="Indefinido",AFC_EMP_INDEF,AFC_EMP_PF),0))</f>
        <v/>
      </c>
      <c r="AD2054" s="71" t="str">
        <f aca="false">IF(AH2054="","",ROUND(MIN(K2054,TOPE_AFP_UF*AJ2054)*(MUTUAL_BASICA+MUTUAL_ADIC+SANNA),0))</f>
        <v/>
      </c>
      <c r="AE2054" s="71" t="str">
        <f aca="false">IF(AH2054="","",P2054-N(N2054)+AB2054+AC2054+AD2054)</f>
        <v/>
      </c>
      <c r="AF2054" s="65"/>
      <c r="AG2054" s="64"/>
      <c r="AH2054" s="72" t="str">
        <f aca="false">IF(OR(B2054="",C2054=""),"",C2054&amp;"|"&amp;(YEAR(B2054)*100+MONTH(B2054)))</f>
        <v/>
      </c>
      <c r="AI2054" s="70" t="str">
        <f aca="false">IF(AH2054="","",IF(COUNTIF(L_CLAVE,AH2054)&gt;1,"⚠ Duplicado","OK"))</f>
        <v/>
      </c>
      <c r="AJ2054" s="86" t="str">
        <f aca="false">IF(AH2054="","",IF(SUMPRODUCT(MAX((IND_PER&lt;=B2054)*(IND_UF&lt;&gt;"")*IND_PER))=0,UF_HOY,INDEX(IND_UF,MATCH(SUMPRODUCT(MAX((IND_PER&lt;=B2054)*(IND_UF&lt;&gt;"")*IND_PER)),IND_PER,0))))</f>
        <v/>
      </c>
      <c r="AK2054" s="87" t="str">
        <f aca="false">IF(AH2054="","",IF(COUNTIF(TASA_DESDE,"&lt;="&amp;B2054)=0,INDEX(TASA_EMP,1),INDEX(TASA_EMP,COUNTIF(TASA_DESDE,"&lt;="&amp;B2054))))</f>
        <v/>
      </c>
    </row>
    <row r="2055" customFormat="false" ht="15" hidden="false" customHeight="false" outlineLevel="0" collapsed="false">
      <c r="B2055" s="78"/>
      <c r="C2055" s="64"/>
      <c r="D2055" s="72" t="str">
        <f aca="false">IF(C2055="","",IFERROR(INDEX(T_NOMBRE,MATCH(C2055,T_ID,0)),"⚠ ID no existe"))</f>
        <v/>
      </c>
      <c r="E2055" s="69"/>
      <c r="F2055" s="67"/>
      <c r="G2055" s="67"/>
      <c r="H2055" s="67"/>
      <c r="I2055" s="67"/>
      <c r="J2055" s="67"/>
      <c r="K2055" s="85" t="str">
        <f aca="false">IF(AH2055="","",N(F2055)+N(G2055)+N(H2055)-N(I2055)+N(J2055))</f>
        <v/>
      </c>
      <c r="L2055" s="67"/>
      <c r="M2055" s="67"/>
      <c r="N2055" s="67"/>
      <c r="O2055" s="67"/>
      <c r="P2055" s="85" t="str">
        <f aca="false">IF(AH2055="","",K2055+N(L2055)+N(M2055)+N(N2055)+N(O2055))</f>
        <v/>
      </c>
      <c r="Q2055" s="67"/>
      <c r="R2055" s="67"/>
      <c r="S2055" s="67"/>
      <c r="T2055" s="67"/>
      <c r="U2055" s="67"/>
      <c r="V2055" s="67"/>
      <c r="W2055" s="85" t="str">
        <f aca="false">IF(AH2055="","",N(Q2055)+N(R2055)+N(S2055)+N(T2055)+N(U2055)+N(V2055))</f>
        <v/>
      </c>
      <c r="X2055" s="85" t="str">
        <f aca="false">IF(AH2055="","",P2055-W2055)</f>
        <v/>
      </c>
      <c r="Y2055" s="67"/>
      <c r="Z2055" s="70" t="str">
        <f aca="false">IF(OR(AH2055="",Y2055=""),"",IF(ABS(X2055-Y2055)&lt;=1,"✓ Cuadra","⚠ Diferencia $"&amp;FIXED(X2055-Y2055,0)))</f>
        <v/>
      </c>
      <c r="AA2055" s="72" t="str">
        <f aca="false">IF(AH2055="","",IFERROR(INDEX(C_TIPO,MATCH(C2055&amp;"-P"&amp;MAX(1,COUNTIFS(C_ID,C2055,C_DEFINE,"Sí",C_INICIO,"&lt;="&amp;EOMONTH(B2055,0))),C_CLAVE,0))&amp;"","Sin dato"))</f>
        <v/>
      </c>
      <c r="AB2055" s="71" t="str">
        <f aca="false">IF(AH2055="","",ROUND(MIN(K2055,TOPE_AFP_UF*AJ2055)*AK2055,0))</f>
        <v/>
      </c>
      <c r="AC2055" s="71" t="str">
        <f aca="false">IF(AH2055="","",ROUND(MIN(K2055,TOPE_AFC_UF*AJ2055)*IF(AA2055="Indefinido",AFC_EMP_INDEF,AFC_EMP_PF),0))</f>
        <v/>
      </c>
      <c r="AD2055" s="71" t="str">
        <f aca="false">IF(AH2055="","",ROUND(MIN(K2055,TOPE_AFP_UF*AJ2055)*(MUTUAL_BASICA+MUTUAL_ADIC+SANNA),0))</f>
        <v/>
      </c>
      <c r="AE2055" s="71" t="str">
        <f aca="false">IF(AH2055="","",P2055-N(N2055)+AB2055+AC2055+AD2055)</f>
        <v/>
      </c>
      <c r="AF2055" s="65"/>
      <c r="AG2055" s="64"/>
      <c r="AH2055" s="72" t="str">
        <f aca="false">IF(OR(B2055="",C2055=""),"",C2055&amp;"|"&amp;(YEAR(B2055)*100+MONTH(B2055)))</f>
        <v/>
      </c>
      <c r="AI2055" s="70" t="str">
        <f aca="false">IF(AH2055="","",IF(COUNTIF(L_CLAVE,AH2055)&gt;1,"⚠ Duplicado","OK"))</f>
        <v/>
      </c>
      <c r="AJ2055" s="86" t="str">
        <f aca="false">IF(AH2055="","",IF(SUMPRODUCT(MAX((IND_PER&lt;=B2055)*(IND_UF&lt;&gt;"")*IND_PER))=0,UF_HOY,INDEX(IND_UF,MATCH(SUMPRODUCT(MAX((IND_PER&lt;=B2055)*(IND_UF&lt;&gt;"")*IND_PER)),IND_PER,0))))</f>
        <v/>
      </c>
      <c r="AK2055" s="87" t="str">
        <f aca="false">IF(AH2055="","",IF(COUNTIF(TASA_DESDE,"&lt;="&amp;B2055)=0,INDEX(TASA_EMP,1),INDEX(TASA_EMP,COUNTIF(TASA_DESDE,"&lt;="&amp;B2055))))</f>
        <v/>
      </c>
    </row>
    <row r="2056" customFormat="false" ht="15" hidden="false" customHeight="false" outlineLevel="0" collapsed="false">
      <c r="B2056" s="78"/>
      <c r="C2056" s="64"/>
      <c r="D2056" s="72" t="str">
        <f aca="false">IF(C2056="","",IFERROR(INDEX(T_NOMBRE,MATCH(C2056,T_ID,0)),"⚠ ID no existe"))</f>
        <v/>
      </c>
      <c r="E2056" s="69"/>
      <c r="F2056" s="67"/>
      <c r="G2056" s="67"/>
      <c r="H2056" s="67"/>
      <c r="I2056" s="67"/>
      <c r="J2056" s="67"/>
      <c r="K2056" s="85" t="str">
        <f aca="false">IF(AH2056="","",N(F2056)+N(G2056)+N(H2056)-N(I2056)+N(J2056))</f>
        <v/>
      </c>
      <c r="L2056" s="67"/>
      <c r="M2056" s="67"/>
      <c r="N2056" s="67"/>
      <c r="O2056" s="67"/>
      <c r="P2056" s="85" t="str">
        <f aca="false">IF(AH2056="","",K2056+N(L2056)+N(M2056)+N(N2056)+N(O2056))</f>
        <v/>
      </c>
      <c r="Q2056" s="67"/>
      <c r="R2056" s="67"/>
      <c r="S2056" s="67"/>
      <c r="T2056" s="67"/>
      <c r="U2056" s="67"/>
      <c r="V2056" s="67"/>
      <c r="W2056" s="85" t="str">
        <f aca="false">IF(AH2056="","",N(Q2056)+N(R2056)+N(S2056)+N(T2056)+N(U2056)+N(V2056))</f>
        <v/>
      </c>
      <c r="X2056" s="85" t="str">
        <f aca="false">IF(AH2056="","",P2056-W2056)</f>
        <v/>
      </c>
      <c r="Y2056" s="67"/>
      <c r="Z2056" s="70" t="str">
        <f aca="false">IF(OR(AH2056="",Y2056=""),"",IF(ABS(X2056-Y2056)&lt;=1,"✓ Cuadra","⚠ Diferencia $"&amp;FIXED(X2056-Y2056,0)))</f>
        <v/>
      </c>
      <c r="AA2056" s="72" t="str">
        <f aca="false">IF(AH2056="","",IFERROR(INDEX(C_TIPO,MATCH(C2056&amp;"-P"&amp;MAX(1,COUNTIFS(C_ID,C2056,C_DEFINE,"Sí",C_INICIO,"&lt;="&amp;EOMONTH(B2056,0))),C_CLAVE,0))&amp;"","Sin dato"))</f>
        <v/>
      </c>
      <c r="AB2056" s="71" t="str">
        <f aca="false">IF(AH2056="","",ROUND(MIN(K2056,TOPE_AFP_UF*AJ2056)*AK2056,0))</f>
        <v/>
      </c>
      <c r="AC2056" s="71" t="str">
        <f aca="false">IF(AH2056="","",ROUND(MIN(K2056,TOPE_AFC_UF*AJ2056)*IF(AA2056="Indefinido",AFC_EMP_INDEF,AFC_EMP_PF),0))</f>
        <v/>
      </c>
      <c r="AD2056" s="71" t="str">
        <f aca="false">IF(AH2056="","",ROUND(MIN(K2056,TOPE_AFP_UF*AJ2056)*(MUTUAL_BASICA+MUTUAL_ADIC+SANNA),0))</f>
        <v/>
      </c>
      <c r="AE2056" s="71" t="str">
        <f aca="false">IF(AH2056="","",P2056-N(N2056)+AB2056+AC2056+AD2056)</f>
        <v/>
      </c>
      <c r="AF2056" s="65"/>
      <c r="AG2056" s="64"/>
      <c r="AH2056" s="72" t="str">
        <f aca="false">IF(OR(B2056="",C2056=""),"",C2056&amp;"|"&amp;(YEAR(B2056)*100+MONTH(B2056)))</f>
        <v/>
      </c>
      <c r="AI2056" s="70" t="str">
        <f aca="false">IF(AH2056="","",IF(COUNTIF(L_CLAVE,AH2056)&gt;1,"⚠ Duplicado","OK"))</f>
        <v/>
      </c>
      <c r="AJ2056" s="86" t="str">
        <f aca="false">IF(AH2056="","",IF(SUMPRODUCT(MAX((IND_PER&lt;=B2056)*(IND_UF&lt;&gt;"")*IND_PER))=0,UF_HOY,INDEX(IND_UF,MATCH(SUMPRODUCT(MAX((IND_PER&lt;=B2056)*(IND_UF&lt;&gt;"")*IND_PER)),IND_PER,0))))</f>
        <v/>
      </c>
      <c r="AK2056" s="87" t="str">
        <f aca="false">IF(AH2056="","",IF(COUNTIF(TASA_DESDE,"&lt;="&amp;B2056)=0,INDEX(TASA_EMP,1),INDEX(TASA_EMP,COUNTIF(TASA_DESDE,"&lt;="&amp;B2056))))</f>
        <v/>
      </c>
    </row>
    <row r="2057" customFormat="false" ht="15" hidden="false" customHeight="false" outlineLevel="0" collapsed="false">
      <c r="B2057" s="78"/>
      <c r="C2057" s="64"/>
      <c r="D2057" s="72" t="str">
        <f aca="false">IF(C2057="","",IFERROR(INDEX(T_NOMBRE,MATCH(C2057,T_ID,0)),"⚠ ID no existe"))</f>
        <v/>
      </c>
      <c r="E2057" s="69"/>
      <c r="F2057" s="67"/>
      <c r="G2057" s="67"/>
      <c r="H2057" s="67"/>
      <c r="I2057" s="67"/>
      <c r="J2057" s="67"/>
      <c r="K2057" s="85" t="str">
        <f aca="false">IF(AH2057="","",N(F2057)+N(G2057)+N(H2057)-N(I2057)+N(J2057))</f>
        <v/>
      </c>
      <c r="L2057" s="67"/>
      <c r="M2057" s="67"/>
      <c r="N2057" s="67"/>
      <c r="O2057" s="67"/>
      <c r="P2057" s="85" t="str">
        <f aca="false">IF(AH2057="","",K2057+N(L2057)+N(M2057)+N(N2057)+N(O2057))</f>
        <v/>
      </c>
      <c r="Q2057" s="67"/>
      <c r="R2057" s="67"/>
      <c r="S2057" s="67"/>
      <c r="T2057" s="67"/>
      <c r="U2057" s="67"/>
      <c r="V2057" s="67"/>
      <c r="W2057" s="85" t="str">
        <f aca="false">IF(AH2057="","",N(Q2057)+N(R2057)+N(S2057)+N(T2057)+N(U2057)+N(V2057))</f>
        <v/>
      </c>
      <c r="X2057" s="85" t="str">
        <f aca="false">IF(AH2057="","",P2057-W2057)</f>
        <v/>
      </c>
      <c r="Y2057" s="67"/>
      <c r="Z2057" s="70" t="str">
        <f aca="false">IF(OR(AH2057="",Y2057=""),"",IF(ABS(X2057-Y2057)&lt;=1,"✓ Cuadra","⚠ Diferencia $"&amp;FIXED(X2057-Y2057,0)))</f>
        <v/>
      </c>
      <c r="AA2057" s="72" t="str">
        <f aca="false">IF(AH2057="","",IFERROR(INDEX(C_TIPO,MATCH(C2057&amp;"-P"&amp;MAX(1,COUNTIFS(C_ID,C2057,C_DEFINE,"Sí",C_INICIO,"&lt;="&amp;EOMONTH(B2057,0))),C_CLAVE,0))&amp;"","Sin dato"))</f>
        <v/>
      </c>
      <c r="AB2057" s="71" t="str">
        <f aca="false">IF(AH2057="","",ROUND(MIN(K2057,TOPE_AFP_UF*AJ2057)*AK2057,0))</f>
        <v/>
      </c>
      <c r="AC2057" s="71" t="str">
        <f aca="false">IF(AH2057="","",ROUND(MIN(K2057,TOPE_AFC_UF*AJ2057)*IF(AA2057="Indefinido",AFC_EMP_INDEF,AFC_EMP_PF),0))</f>
        <v/>
      </c>
      <c r="AD2057" s="71" t="str">
        <f aca="false">IF(AH2057="","",ROUND(MIN(K2057,TOPE_AFP_UF*AJ2057)*(MUTUAL_BASICA+MUTUAL_ADIC+SANNA),0))</f>
        <v/>
      </c>
      <c r="AE2057" s="71" t="str">
        <f aca="false">IF(AH2057="","",P2057-N(N2057)+AB2057+AC2057+AD2057)</f>
        <v/>
      </c>
      <c r="AF2057" s="65"/>
      <c r="AG2057" s="64"/>
      <c r="AH2057" s="72" t="str">
        <f aca="false">IF(OR(B2057="",C2057=""),"",C2057&amp;"|"&amp;(YEAR(B2057)*100+MONTH(B2057)))</f>
        <v/>
      </c>
      <c r="AI2057" s="70" t="str">
        <f aca="false">IF(AH2057="","",IF(COUNTIF(L_CLAVE,AH2057)&gt;1,"⚠ Duplicado","OK"))</f>
        <v/>
      </c>
      <c r="AJ2057" s="86" t="str">
        <f aca="false">IF(AH2057="","",IF(SUMPRODUCT(MAX((IND_PER&lt;=B2057)*(IND_UF&lt;&gt;"")*IND_PER))=0,UF_HOY,INDEX(IND_UF,MATCH(SUMPRODUCT(MAX((IND_PER&lt;=B2057)*(IND_UF&lt;&gt;"")*IND_PER)),IND_PER,0))))</f>
        <v/>
      </c>
      <c r="AK2057" s="87" t="str">
        <f aca="false">IF(AH2057="","",IF(COUNTIF(TASA_DESDE,"&lt;="&amp;B2057)=0,INDEX(TASA_EMP,1),INDEX(TASA_EMP,COUNTIF(TASA_DESDE,"&lt;="&amp;B2057))))</f>
        <v/>
      </c>
    </row>
    <row r="2058" customFormat="false" ht="15" hidden="false" customHeight="false" outlineLevel="0" collapsed="false">
      <c r="B2058" s="78"/>
      <c r="C2058" s="64"/>
      <c r="D2058" s="72" t="str">
        <f aca="false">IF(C2058="","",IFERROR(INDEX(T_NOMBRE,MATCH(C2058,T_ID,0)),"⚠ ID no existe"))</f>
        <v/>
      </c>
      <c r="E2058" s="69"/>
      <c r="F2058" s="67"/>
      <c r="G2058" s="67"/>
      <c r="H2058" s="67"/>
      <c r="I2058" s="67"/>
      <c r="J2058" s="67"/>
      <c r="K2058" s="85" t="str">
        <f aca="false">IF(AH2058="","",N(F2058)+N(G2058)+N(H2058)-N(I2058)+N(J2058))</f>
        <v/>
      </c>
      <c r="L2058" s="67"/>
      <c r="M2058" s="67"/>
      <c r="N2058" s="67"/>
      <c r="O2058" s="67"/>
      <c r="P2058" s="85" t="str">
        <f aca="false">IF(AH2058="","",K2058+N(L2058)+N(M2058)+N(N2058)+N(O2058))</f>
        <v/>
      </c>
      <c r="Q2058" s="67"/>
      <c r="R2058" s="67"/>
      <c r="S2058" s="67"/>
      <c r="T2058" s="67"/>
      <c r="U2058" s="67"/>
      <c r="V2058" s="67"/>
      <c r="W2058" s="85" t="str">
        <f aca="false">IF(AH2058="","",N(Q2058)+N(R2058)+N(S2058)+N(T2058)+N(U2058)+N(V2058))</f>
        <v/>
      </c>
      <c r="X2058" s="85" t="str">
        <f aca="false">IF(AH2058="","",P2058-W2058)</f>
        <v/>
      </c>
      <c r="Y2058" s="67"/>
      <c r="Z2058" s="70" t="str">
        <f aca="false">IF(OR(AH2058="",Y2058=""),"",IF(ABS(X2058-Y2058)&lt;=1,"✓ Cuadra","⚠ Diferencia $"&amp;FIXED(X2058-Y2058,0)))</f>
        <v/>
      </c>
      <c r="AA2058" s="72" t="str">
        <f aca="false">IF(AH2058="","",IFERROR(INDEX(C_TIPO,MATCH(C2058&amp;"-P"&amp;MAX(1,COUNTIFS(C_ID,C2058,C_DEFINE,"Sí",C_INICIO,"&lt;="&amp;EOMONTH(B2058,0))),C_CLAVE,0))&amp;"","Sin dato"))</f>
        <v/>
      </c>
      <c r="AB2058" s="71" t="str">
        <f aca="false">IF(AH2058="","",ROUND(MIN(K2058,TOPE_AFP_UF*AJ2058)*AK2058,0))</f>
        <v/>
      </c>
      <c r="AC2058" s="71" t="str">
        <f aca="false">IF(AH2058="","",ROUND(MIN(K2058,TOPE_AFC_UF*AJ2058)*IF(AA2058="Indefinido",AFC_EMP_INDEF,AFC_EMP_PF),0))</f>
        <v/>
      </c>
      <c r="AD2058" s="71" t="str">
        <f aca="false">IF(AH2058="","",ROUND(MIN(K2058,TOPE_AFP_UF*AJ2058)*(MUTUAL_BASICA+MUTUAL_ADIC+SANNA),0))</f>
        <v/>
      </c>
      <c r="AE2058" s="71" t="str">
        <f aca="false">IF(AH2058="","",P2058-N(N2058)+AB2058+AC2058+AD2058)</f>
        <v/>
      </c>
      <c r="AF2058" s="65"/>
      <c r="AG2058" s="64"/>
      <c r="AH2058" s="72" t="str">
        <f aca="false">IF(OR(B2058="",C2058=""),"",C2058&amp;"|"&amp;(YEAR(B2058)*100+MONTH(B2058)))</f>
        <v/>
      </c>
      <c r="AI2058" s="70" t="str">
        <f aca="false">IF(AH2058="","",IF(COUNTIF(L_CLAVE,AH2058)&gt;1,"⚠ Duplicado","OK"))</f>
        <v/>
      </c>
      <c r="AJ2058" s="86" t="str">
        <f aca="false">IF(AH2058="","",IF(SUMPRODUCT(MAX((IND_PER&lt;=B2058)*(IND_UF&lt;&gt;"")*IND_PER))=0,UF_HOY,INDEX(IND_UF,MATCH(SUMPRODUCT(MAX((IND_PER&lt;=B2058)*(IND_UF&lt;&gt;"")*IND_PER)),IND_PER,0))))</f>
        <v/>
      </c>
      <c r="AK2058" s="87" t="str">
        <f aca="false">IF(AH2058="","",IF(COUNTIF(TASA_DESDE,"&lt;="&amp;B2058)=0,INDEX(TASA_EMP,1),INDEX(TASA_EMP,COUNTIF(TASA_DESDE,"&lt;="&amp;B2058))))</f>
        <v/>
      </c>
    </row>
    <row r="2059" customFormat="false" ht="15" hidden="false" customHeight="false" outlineLevel="0" collapsed="false">
      <c r="B2059" s="78"/>
      <c r="C2059" s="64"/>
      <c r="D2059" s="72" t="str">
        <f aca="false">IF(C2059="","",IFERROR(INDEX(T_NOMBRE,MATCH(C2059,T_ID,0)),"⚠ ID no existe"))</f>
        <v/>
      </c>
      <c r="E2059" s="69"/>
      <c r="F2059" s="67"/>
      <c r="G2059" s="67"/>
      <c r="H2059" s="67"/>
      <c r="I2059" s="67"/>
      <c r="J2059" s="67"/>
      <c r="K2059" s="85" t="str">
        <f aca="false">IF(AH2059="","",N(F2059)+N(G2059)+N(H2059)-N(I2059)+N(J2059))</f>
        <v/>
      </c>
      <c r="L2059" s="67"/>
      <c r="M2059" s="67"/>
      <c r="N2059" s="67"/>
      <c r="O2059" s="67"/>
      <c r="P2059" s="85" t="str">
        <f aca="false">IF(AH2059="","",K2059+N(L2059)+N(M2059)+N(N2059)+N(O2059))</f>
        <v/>
      </c>
      <c r="Q2059" s="67"/>
      <c r="R2059" s="67"/>
      <c r="S2059" s="67"/>
      <c r="T2059" s="67"/>
      <c r="U2059" s="67"/>
      <c r="V2059" s="67"/>
      <c r="W2059" s="85" t="str">
        <f aca="false">IF(AH2059="","",N(Q2059)+N(R2059)+N(S2059)+N(T2059)+N(U2059)+N(V2059))</f>
        <v/>
      </c>
      <c r="X2059" s="85" t="str">
        <f aca="false">IF(AH2059="","",P2059-W2059)</f>
        <v/>
      </c>
      <c r="Y2059" s="67"/>
      <c r="Z2059" s="70" t="str">
        <f aca="false">IF(OR(AH2059="",Y2059=""),"",IF(ABS(X2059-Y2059)&lt;=1,"✓ Cuadra","⚠ Diferencia $"&amp;FIXED(X2059-Y2059,0)))</f>
        <v/>
      </c>
      <c r="AA2059" s="72" t="str">
        <f aca="false">IF(AH2059="","",IFERROR(INDEX(C_TIPO,MATCH(C2059&amp;"-P"&amp;MAX(1,COUNTIFS(C_ID,C2059,C_DEFINE,"Sí",C_INICIO,"&lt;="&amp;EOMONTH(B2059,0))),C_CLAVE,0))&amp;"","Sin dato"))</f>
        <v/>
      </c>
      <c r="AB2059" s="71" t="str">
        <f aca="false">IF(AH2059="","",ROUND(MIN(K2059,TOPE_AFP_UF*AJ2059)*AK2059,0))</f>
        <v/>
      </c>
      <c r="AC2059" s="71" t="str">
        <f aca="false">IF(AH2059="","",ROUND(MIN(K2059,TOPE_AFC_UF*AJ2059)*IF(AA2059="Indefinido",AFC_EMP_INDEF,AFC_EMP_PF),0))</f>
        <v/>
      </c>
      <c r="AD2059" s="71" t="str">
        <f aca="false">IF(AH2059="","",ROUND(MIN(K2059,TOPE_AFP_UF*AJ2059)*(MUTUAL_BASICA+MUTUAL_ADIC+SANNA),0))</f>
        <v/>
      </c>
      <c r="AE2059" s="71" t="str">
        <f aca="false">IF(AH2059="","",P2059-N(N2059)+AB2059+AC2059+AD2059)</f>
        <v/>
      </c>
      <c r="AF2059" s="65"/>
      <c r="AG2059" s="64"/>
      <c r="AH2059" s="72" t="str">
        <f aca="false">IF(OR(B2059="",C2059=""),"",C2059&amp;"|"&amp;(YEAR(B2059)*100+MONTH(B2059)))</f>
        <v/>
      </c>
      <c r="AI2059" s="70" t="str">
        <f aca="false">IF(AH2059="","",IF(COUNTIF(L_CLAVE,AH2059)&gt;1,"⚠ Duplicado","OK"))</f>
        <v/>
      </c>
      <c r="AJ2059" s="86" t="str">
        <f aca="false">IF(AH2059="","",IF(SUMPRODUCT(MAX((IND_PER&lt;=B2059)*(IND_UF&lt;&gt;"")*IND_PER))=0,UF_HOY,INDEX(IND_UF,MATCH(SUMPRODUCT(MAX((IND_PER&lt;=B2059)*(IND_UF&lt;&gt;"")*IND_PER)),IND_PER,0))))</f>
        <v/>
      </c>
      <c r="AK2059" s="87" t="str">
        <f aca="false">IF(AH2059="","",IF(COUNTIF(TASA_DESDE,"&lt;="&amp;B2059)=0,INDEX(TASA_EMP,1),INDEX(TASA_EMP,COUNTIF(TASA_DESDE,"&lt;="&amp;B2059))))</f>
        <v/>
      </c>
    </row>
    <row r="2060" customFormat="false" ht="15" hidden="false" customHeight="false" outlineLevel="0" collapsed="false">
      <c r="B2060" s="78"/>
      <c r="C2060" s="64"/>
      <c r="D2060" s="72" t="str">
        <f aca="false">IF(C2060="","",IFERROR(INDEX(T_NOMBRE,MATCH(C2060,T_ID,0)),"⚠ ID no existe"))</f>
        <v/>
      </c>
      <c r="E2060" s="69"/>
      <c r="F2060" s="67"/>
      <c r="G2060" s="67"/>
      <c r="H2060" s="67"/>
      <c r="I2060" s="67"/>
      <c r="J2060" s="67"/>
      <c r="K2060" s="85" t="str">
        <f aca="false">IF(AH2060="","",N(F2060)+N(G2060)+N(H2060)-N(I2060)+N(J2060))</f>
        <v/>
      </c>
      <c r="L2060" s="67"/>
      <c r="M2060" s="67"/>
      <c r="N2060" s="67"/>
      <c r="O2060" s="67"/>
      <c r="P2060" s="85" t="str">
        <f aca="false">IF(AH2060="","",K2060+N(L2060)+N(M2060)+N(N2060)+N(O2060))</f>
        <v/>
      </c>
      <c r="Q2060" s="67"/>
      <c r="R2060" s="67"/>
      <c r="S2060" s="67"/>
      <c r="T2060" s="67"/>
      <c r="U2060" s="67"/>
      <c r="V2060" s="67"/>
      <c r="W2060" s="85" t="str">
        <f aca="false">IF(AH2060="","",N(Q2060)+N(R2060)+N(S2060)+N(T2060)+N(U2060)+N(V2060))</f>
        <v/>
      </c>
      <c r="X2060" s="85" t="str">
        <f aca="false">IF(AH2060="","",P2060-W2060)</f>
        <v/>
      </c>
      <c r="Y2060" s="67"/>
      <c r="Z2060" s="70" t="str">
        <f aca="false">IF(OR(AH2060="",Y2060=""),"",IF(ABS(X2060-Y2060)&lt;=1,"✓ Cuadra","⚠ Diferencia $"&amp;FIXED(X2060-Y2060,0)))</f>
        <v/>
      </c>
      <c r="AA2060" s="72" t="str">
        <f aca="false">IF(AH2060="","",IFERROR(INDEX(C_TIPO,MATCH(C2060&amp;"-P"&amp;MAX(1,COUNTIFS(C_ID,C2060,C_DEFINE,"Sí",C_INICIO,"&lt;="&amp;EOMONTH(B2060,0))),C_CLAVE,0))&amp;"","Sin dato"))</f>
        <v/>
      </c>
      <c r="AB2060" s="71" t="str">
        <f aca="false">IF(AH2060="","",ROUND(MIN(K2060,TOPE_AFP_UF*AJ2060)*AK2060,0))</f>
        <v/>
      </c>
      <c r="AC2060" s="71" t="str">
        <f aca="false">IF(AH2060="","",ROUND(MIN(K2060,TOPE_AFC_UF*AJ2060)*IF(AA2060="Indefinido",AFC_EMP_INDEF,AFC_EMP_PF),0))</f>
        <v/>
      </c>
      <c r="AD2060" s="71" t="str">
        <f aca="false">IF(AH2060="","",ROUND(MIN(K2060,TOPE_AFP_UF*AJ2060)*(MUTUAL_BASICA+MUTUAL_ADIC+SANNA),0))</f>
        <v/>
      </c>
      <c r="AE2060" s="71" t="str">
        <f aca="false">IF(AH2060="","",P2060-N(N2060)+AB2060+AC2060+AD2060)</f>
        <v/>
      </c>
      <c r="AF2060" s="65"/>
      <c r="AG2060" s="64"/>
      <c r="AH2060" s="72" t="str">
        <f aca="false">IF(OR(B2060="",C2060=""),"",C2060&amp;"|"&amp;(YEAR(B2060)*100+MONTH(B2060)))</f>
        <v/>
      </c>
      <c r="AI2060" s="70" t="str">
        <f aca="false">IF(AH2060="","",IF(COUNTIF(L_CLAVE,AH2060)&gt;1,"⚠ Duplicado","OK"))</f>
        <v/>
      </c>
      <c r="AJ2060" s="86" t="str">
        <f aca="false">IF(AH2060="","",IF(SUMPRODUCT(MAX((IND_PER&lt;=B2060)*(IND_UF&lt;&gt;"")*IND_PER))=0,UF_HOY,INDEX(IND_UF,MATCH(SUMPRODUCT(MAX((IND_PER&lt;=B2060)*(IND_UF&lt;&gt;"")*IND_PER)),IND_PER,0))))</f>
        <v/>
      </c>
      <c r="AK2060" s="87" t="str">
        <f aca="false">IF(AH2060="","",IF(COUNTIF(TASA_DESDE,"&lt;="&amp;B2060)=0,INDEX(TASA_EMP,1),INDEX(TASA_EMP,COUNTIF(TASA_DESDE,"&lt;="&amp;B2060))))</f>
        <v/>
      </c>
    </row>
    <row r="2061" customFormat="false" ht="15" hidden="false" customHeight="false" outlineLevel="0" collapsed="false">
      <c r="B2061" s="78"/>
      <c r="C2061" s="64"/>
      <c r="D2061" s="72" t="str">
        <f aca="false">IF(C2061="","",IFERROR(INDEX(T_NOMBRE,MATCH(C2061,T_ID,0)),"⚠ ID no existe"))</f>
        <v/>
      </c>
      <c r="E2061" s="69"/>
      <c r="F2061" s="67"/>
      <c r="G2061" s="67"/>
      <c r="H2061" s="67"/>
      <c r="I2061" s="67"/>
      <c r="J2061" s="67"/>
      <c r="K2061" s="85" t="str">
        <f aca="false">IF(AH2061="","",N(F2061)+N(G2061)+N(H2061)-N(I2061)+N(J2061))</f>
        <v/>
      </c>
      <c r="L2061" s="67"/>
      <c r="M2061" s="67"/>
      <c r="N2061" s="67"/>
      <c r="O2061" s="67"/>
      <c r="P2061" s="85" t="str">
        <f aca="false">IF(AH2061="","",K2061+N(L2061)+N(M2061)+N(N2061)+N(O2061))</f>
        <v/>
      </c>
      <c r="Q2061" s="67"/>
      <c r="R2061" s="67"/>
      <c r="S2061" s="67"/>
      <c r="T2061" s="67"/>
      <c r="U2061" s="67"/>
      <c r="V2061" s="67"/>
      <c r="W2061" s="85" t="str">
        <f aca="false">IF(AH2061="","",N(Q2061)+N(R2061)+N(S2061)+N(T2061)+N(U2061)+N(V2061))</f>
        <v/>
      </c>
      <c r="X2061" s="85" t="str">
        <f aca="false">IF(AH2061="","",P2061-W2061)</f>
        <v/>
      </c>
      <c r="Y2061" s="67"/>
      <c r="Z2061" s="70" t="str">
        <f aca="false">IF(OR(AH2061="",Y2061=""),"",IF(ABS(X2061-Y2061)&lt;=1,"✓ Cuadra","⚠ Diferencia $"&amp;FIXED(X2061-Y2061,0)))</f>
        <v/>
      </c>
      <c r="AA2061" s="72" t="str">
        <f aca="false">IF(AH2061="","",IFERROR(INDEX(C_TIPO,MATCH(C2061&amp;"-P"&amp;MAX(1,COUNTIFS(C_ID,C2061,C_DEFINE,"Sí",C_INICIO,"&lt;="&amp;EOMONTH(B2061,0))),C_CLAVE,0))&amp;"","Sin dato"))</f>
        <v/>
      </c>
      <c r="AB2061" s="71" t="str">
        <f aca="false">IF(AH2061="","",ROUND(MIN(K2061,TOPE_AFP_UF*AJ2061)*AK2061,0))</f>
        <v/>
      </c>
      <c r="AC2061" s="71" t="str">
        <f aca="false">IF(AH2061="","",ROUND(MIN(K2061,TOPE_AFC_UF*AJ2061)*IF(AA2061="Indefinido",AFC_EMP_INDEF,AFC_EMP_PF),0))</f>
        <v/>
      </c>
      <c r="AD2061" s="71" t="str">
        <f aca="false">IF(AH2061="","",ROUND(MIN(K2061,TOPE_AFP_UF*AJ2061)*(MUTUAL_BASICA+MUTUAL_ADIC+SANNA),0))</f>
        <v/>
      </c>
      <c r="AE2061" s="71" t="str">
        <f aca="false">IF(AH2061="","",P2061-N(N2061)+AB2061+AC2061+AD2061)</f>
        <v/>
      </c>
      <c r="AF2061" s="65"/>
      <c r="AG2061" s="64"/>
      <c r="AH2061" s="72" t="str">
        <f aca="false">IF(OR(B2061="",C2061=""),"",C2061&amp;"|"&amp;(YEAR(B2061)*100+MONTH(B2061)))</f>
        <v/>
      </c>
      <c r="AI2061" s="70" t="str">
        <f aca="false">IF(AH2061="","",IF(COUNTIF(L_CLAVE,AH2061)&gt;1,"⚠ Duplicado","OK"))</f>
        <v/>
      </c>
      <c r="AJ2061" s="86" t="str">
        <f aca="false">IF(AH2061="","",IF(SUMPRODUCT(MAX((IND_PER&lt;=B2061)*(IND_UF&lt;&gt;"")*IND_PER))=0,UF_HOY,INDEX(IND_UF,MATCH(SUMPRODUCT(MAX((IND_PER&lt;=B2061)*(IND_UF&lt;&gt;"")*IND_PER)),IND_PER,0))))</f>
        <v/>
      </c>
      <c r="AK2061" s="87" t="str">
        <f aca="false">IF(AH2061="","",IF(COUNTIF(TASA_DESDE,"&lt;="&amp;B2061)=0,INDEX(TASA_EMP,1),INDEX(TASA_EMP,COUNTIF(TASA_DESDE,"&lt;="&amp;B2061))))</f>
        <v/>
      </c>
    </row>
    <row r="2062" customFormat="false" ht="15" hidden="false" customHeight="false" outlineLevel="0" collapsed="false">
      <c r="B2062" s="78"/>
      <c r="C2062" s="64"/>
      <c r="D2062" s="72" t="str">
        <f aca="false">IF(C2062="","",IFERROR(INDEX(T_NOMBRE,MATCH(C2062,T_ID,0)),"⚠ ID no existe"))</f>
        <v/>
      </c>
      <c r="E2062" s="69"/>
      <c r="F2062" s="67"/>
      <c r="G2062" s="67"/>
      <c r="H2062" s="67"/>
      <c r="I2062" s="67"/>
      <c r="J2062" s="67"/>
      <c r="K2062" s="85" t="str">
        <f aca="false">IF(AH2062="","",N(F2062)+N(G2062)+N(H2062)-N(I2062)+N(J2062))</f>
        <v/>
      </c>
      <c r="L2062" s="67"/>
      <c r="M2062" s="67"/>
      <c r="N2062" s="67"/>
      <c r="O2062" s="67"/>
      <c r="P2062" s="85" t="str">
        <f aca="false">IF(AH2062="","",K2062+N(L2062)+N(M2062)+N(N2062)+N(O2062))</f>
        <v/>
      </c>
      <c r="Q2062" s="67"/>
      <c r="R2062" s="67"/>
      <c r="S2062" s="67"/>
      <c r="T2062" s="67"/>
      <c r="U2062" s="67"/>
      <c r="V2062" s="67"/>
      <c r="W2062" s="85" t="str">
        <f aca="false">IF(AH2062="","",N(Q2062)+N(R2062)+N(S2062)+N(T2062)+N(U2062)+N(V2062))</f>
        <v/>
      </c>
      <c r="X2062" s="85" t="str">
        <f aca="false">IF(AH2062="","",P2062-W2062)</f>
        <v/>
      </c>
      <c r="Y2062" s="67"/>
      <c r="Z2062" s="70" t="str">
        <f aca="false">IF(OR(AH2062="",Y2062=""),"",IF(ABS(X2062-Y2062)&lt;=1,"✓ Cuadra","⚠ Diferencia $"&amp;FIXED(X2062-Y2062,0)))</f>
        <v/>
      </c>
      <c r="AA2062" s="72" t="str">
        <f aca="false">IF(AH2062="","",IFERROR(INDEX(C_TIPO,MATCH(C2062&amp;"-P"&amp;MAX(1,COUNTIFS(C_ID,C2062,C_DEFINE,"Sí",C_INICIO,"&lt;="&amp;EOMONTH(B2062,0))),C_CLAVE,0))&amp;"","Sin dato"))</f>
        <v/>
      </c>
      <c r="AB2062" s="71" t="str">
        <f aca="false">IF(AH2062="","",ROUND(MIN(K2062,TOPE_AFP_UF*AJ2062)*AK2062,0))</f>
        <v/>
      </c>
      <c r="AC2062" s="71" t="str">
        <f aca="false">IF(AH2062="","",ROUND(MIN(K2062,TOPE_AFC_UF*AJ2062)*IF(AA2062="Indefinido",AFC_EMP_INDEF,AFC_EMP_PF),0))</f>
        <v/>
      </c>
      <c r="AD2062" s="71" t="str">
        <f aca="false">IF(AH2062="","",ROUND(MIN(K2062,TOPE_AFP_UF*AJ2062)*(MUTUAL_BASICA+MUTUAL_ADIC+SANNA),0))</f>
        <v/>
      </c>
      <c r="AE2062" s="71" t="str">
        <f aca="false">IF(AH2062="","",P2062-N(N2062)+AB2062+AC2062+AD2062)</f>
        <v/>
      </c>
      <c r="AF2062" s="65"/>
      <c r="AG2062" s="64"/>
      <c r="AH2062" s="72" t="str">
        <f aca="false">IF(OR(B2062="",C2062=""),"",C2062&amp;"|"&amp;(YEAR(B2062)*100+MONTH(B2062)))</f>
        <v/>
      </c>
      <c r="AI2062" s="70" t="str">
        <f aca="false">IF(AH2062="","",IF(COUNTIF(L_CLAVE,AH2062)&gt;1,"⚠ Duplicado","OK"))</f>
        <v/>
      </c>
      <c r="AJ2062" s="86" t="str">
        <f aca="false">IF(AH2062="","",IF(SUMPRODUCT(MAX((IND_PER&lt;=B2062)*(IND_UF&lt;&gt;"")*IND_PER))=0,UF_HOY,INDEX(IND_UF,MATCH(SUMPRODUCT(MAX((IND_PER&lt;=B2062)*(IND_UF&lt;&gt;"")*IND_PER)),IND_PER,0))))</f>
        <v/>
      </c>
      <c r="AK2062" s="87" t="str">
        <f aca="false">IF(AH2062="","",IF(COUNTIF(TASA_DESDE,"&lt;="&amp;B2062)=0,INDEX(TASA_EMP,1),INDEX(TASA_EMP,COUNTIF(TASA_DESDE,"&lt;="&amp;B2062))))</f>
        <v/>
      </c>
    </row>
    <row r="2063" customFormat="false" ht="15" hidden="false" customHeight="false" outlineLevel="0" collapsed="false">
      <c r="B2063" s="78"/>
      <c r="C2063" s="64"/>
      <c r="D2063" s="72" t="str">
        <f aca="false">IF(C2063="","",IFERROR(INDEX(T_NOMBRE,MATCH(C2063,T_ID,0)),"⚠ ID no existe"))</f>
        <v/>
      </c>
      <c r="E2063" s="69"/>
      <c r="F2063" s="67"/>
      <c r="G2063" s="67"/>
      <c r="H2063" s="67"/>
      <c r="I2063" s="67"/>
      <c r="J2063" s="67"/>
      <c r="K2063" s="85" t="str">
        <f aca="false">IF(AH2063="","",N(F2063)+N(G2063)+N(H2063)-N(I2063)+N(J2063))</f>
        <v/>
      </c>
      <c r="L2063" s="67"/>
      <c r="M2063" s="67"/>
      <c r="N2063" s="67"/>
      <c r="O2063" s="67"/>
      <c r="P2063" s="85" t="str">
        <f aca="false">IF(AH2063="","",K2063+N(L2063)+N(M2063)+N(N2063)+N(O2063))</f>
        <v/>
      </c>
      <c r="Q2063" s="67"/>
      <c r="R2063" s="67"/>
      <c r="S2063" s="67"/>
      <c r="T2063" s="67"/>
      <c r="U2063" s="67"/>
      <c r="V2063" s="67"/>
      <c r="W2063" s="85" t="str">
        <f aca="false">IF(AH2063="","",N(Q2063)+N(R2063)+N(S2063)+N(T2063)+N(U2063)+N(V2063))</f>
        <v/>
      </c>
      <c r="X2063" s="85" t="str">
        <f aca="false">IF(AH2063="","",P2063-W2063)</f>
        <v/>
      </c>
      <c r="Y2063" s="67"/>
      <c r="Z2063" s="70" t="str">
        <f aca="false">IF(OR(AH2063="",Y2063=""),"",IF(ABS(X2063-Y2063)&lt;=1,"✓ Cuadra","⚠ Diferencia $"&amp;FIXED(X2063-Y2063,0)))</f>
        <v/>
      </c>
      <c r="AA2063" s="72" t="str">
        <f aca="false">IF(AH2063="","",IFERROR(INDEX(C_TIPO,MATCH(C2063&amp;"-P"&amp;MAX(1,COUNTIFS(C_ID,C2063,C_DEFINE,"Sí",C_INICIO,"&lt;="&amp;EOMONTH(B2063,0))),C_CLAVE,0))&amp;"","Sin dato"))</f>
        <v/>
      </c>
      <c r="AB2063" s="71" t="str">
        <f aca="false">IF(AH2063="","",ROUND(MIN(K2063,TOPE_AFP_UF*AJ2063)*AK2063,0))</f>
        <v/>
      </c>
      <c r="AC2063" s="71" t="str">
        <f aca="false">IF(AH2063="","",ROUND(MIN(K2063,TOPE_AFC_UF*AJ2063)*IF(AA2063="Indefinido",AFC_EMP_INDEF,AFC_EMP_PF),0))</f>
        <v/>
      </c>
      <c r="AD2063" s="71" t="str">
        <f aca="false">IF(AH2063="","",ROUND(MIN(K2063,TOPE_AFP_UF*AJ2063)*(MUTUAL_BASICA+MUTUAL_ADIC+SANNA),0))</f>
        <v/>
      </c>
      <c r="AE2063" s="71" t="str">
        <f aca="false">IF(AH2063="","",P2063-N(N2063)+AB2063+AC2063+AD2063)</f>
        <v/>
      </c>
      <c r="AF2063" s="65"/>
      <c r="AG2063" s="64"/>
      <c r="AH2063" s="72" t="str">
        <f aca="false">IF(OR(B2063="",C2063=""),"",C2063&amp;"|"&amp;(YEAR(B2063)*100+MONTH(B2063)))</f>
        <v/>
      </c>
      <c r="AI2063" s="70" t="str">
        <f aca="false">IF(AH2063="","",IF(COUNTIF(L_CLAVE,AH2063)&gt;1,"⚠ Duplicado","OK"))</f>
        <v/>
      </c>
      <c r="AJ2063" s="86" t="str">
        <f aca="false">IF(AH2063="","",IF(SUMPRODUCT(MAX((IND_PER&lt;=B2063)*(IND_UF&lt;&gt;"")*IND_PER))=0,UF_HOY,INDEX(IND_UF,MATCH(SUMPRODUCT(MAX((IND_PER&lt;=B2063)*(IND_UF&lt;&gt;"")*IND_PER)),IND_PER,0))))</f>
        <v/>
      </c>
      <c r="AK2063" s="87" t="str">
        <f aca="false">IF(AH2063="","",IF(COUNTIF(TASA_DESDE,"&lt;="&amp;B2063)=0,INDEX(TASA_EMP,1),INDEX(TASA_EMP,COUNTIF(TASA_DESDE,"&lt;="&amp;B2063))))</f>
        <v/>
      </c>
    </row>
    <row r="2064" customFormat="false" ht="15" hidden="false" customHeight="false" outlineLevel="0" collapsed="false">
      <c r="B2064" s="78"/>
      <c r="C2064" s="64"/>
      <c r="D2064" s="72" t="str">
        <f aca="false">IF(C2064="","",IFERROR(INDEX(T_NOMBRE,MATCH(C2064,T_ID,0)),"⚠ ID no existe"))</f>
        <v/>
      </c>
      <c r="E2064" s="69"/>
      <c r="F2064" s="67"/>
      <c r="G2064" s="67"/>
      <c r="H2064" s="67"/>
      <c r="I2064" s="67"/>
      <c r="J2064" s="67"/>
      <c r="K2064" s="85" t="str">
        <f aca="false">IF(AH2064="","",N(F2064)+N(G2064)+N(H2064)-N(I2064)+N(J2064))</f>
        <v/>
      </c>
      <c r="L2064" s="67"/>
      <c r="M2064" s="67"/>
      <c r="N2064" s="67"/>
      <c r="O2064" s="67"/>
      <c r="P2064" s="85" t="str">
        <f aca="false">IF(AH2064="","",K2064+N(L2064)+N(M2064)+N(N2064)+N(O2064))</f>
        <v/>
      </c>
      <c r="Q2064" s="67"/>
      <c r="R2064" s="67"/>
      <c r="S2064" s="67"/>
      <c r="T2064" s="67"/>
      <c r="U2064" s="67"/>
      <c r="V2064" s="67"/>
      <c r="W2064" s="85" t="str">
        <f aca="false">IF(AH2064="","",N(Q2064)+N(R2064)+N(S2064)+N(T2064)+N(U2064)+N(V2064))</f>
        <v/>
      </c>
      <c r="X2064" s="85" t="str">
        <f aca="false">IF(AH2064="","",P2064-W2064)</f>
        <v/>
      </c>
      <c r="Y2064" s="67"/>
      <c r="Z2064" s="70" t="str">
        <f aca="false">IF(OR(AH2064="",Y2064=""),"",IF(ABS(X2064-Y2064)&lt;=1,"✓ Cuadra","⚠ Diferencia $"&amp;FIXED(X2064-Y2064,0)))</f>
        <v/>
      </c>
      <c r="AA2064" s="72" t="str">
        <f aca="false">IF(AH2064="","",IFERROR(INDEX(C_TIPO,MATCH(C2064&amp;"-P"&amp;MAX(1,COUNTIFS(C_ID,C2064,C_DEFINE,"Sí",C_INICIO,"&lt;="&amp;EOMONTH(B2064,0))),C_CLAVE,0))&amp;"","Sin dato"))</f>
        <v/>
      </c>
      <c r="AB2064" s="71" t="str">
        <f aca="false">IF(AH2064="","",ROUND(MIN(K2064,TOPE_AFP_UF*AJ2064)*AK2064,0))</f>
        <v/>
      </c>
      <c r="AC2064" s="71" t="str">
        <f aca="false">IF(AH2064="","",ROUND(MIN(K2064,TOPE_AFC_UF*AJ2064)*IF(AA2064="Indefinido",AFC_EMP_INDEF,AFC_EMP_PF),0))</f>
        <v/>
      </c>
      <c r="AD2064" s="71" t="str">
        <f aca="false">IF(AH2064="","",ROUND(MIN(K2064,TOPE_AFP_UF*AJ2064)*(MUTUAL_BASICA+MUTUAL_ADIC+SANNA),0))</f>
        <v/>
      </c>
      <c r="AE2064" s="71" t="str">
        <f aca="false">IF(AH2064="","",P2064-N(N2064)+AB2064+AC2064+AD2064)</f>
        <v/>
      </c>
      <c r="AF2064" s="65"/>
      <c r="AG2064" s="64"/>
      <c r="AH2064" s="72" t="str">
        <f aca="false">IF(OR(B2064="",C2064=""),"",C2064&amp;"|"&amp;(YEAR(B2064)*100+MONTH(B2064)))</f>
        <v/>
      </c>
      <c r="AI2064" s="70" t="str">
        <f aca="false">IF(AH2064="","",IF(COUNTIF(L_CLAVE,AH2064)&gt;1,"⚠ Duplicado","OK"))</f>
        <v/>
      </c>
      <c r="AJ2064" s="86" t="str">
        <f aca="false">IF(AH2064="","",IF(SUMPRODUCT(MAX((IND_PER&lt;=B2064)*(IND_UF&lt;&gt;"")*IND_PER))=0,UF_HOY,INDEX(IND_UF,MATCH(SUMPRODUCT(MAX((IND_PER&lt;=B2064)*(IND_UF&lt;&gt;"")*IND_PER)),IND_PER,0))))</f>
        <v/>
      </c>
      <c r="AK2064" s="87" t="str">
        <f aca="false">IF(AH2064="","",IF(COUNTIF(TASA_DESDE,"&lt;="&amp;B2064)=0,INDEX(TASA_EMP,1),INDEX(TASA_EMP,COUNTIF(TASA_DESDE,"&lt;="&amp;B2064))))</f>
        <v/>
      </c>
    </row>
    <row r="2065" customFormat="false" ht="15" hidden="false" customHeight="false" outlineLevel="0" collapsed="false">
      <c r="B2065" s="78"/>
      <c r="C2065" s="64"/>
      <c r="D2065" s="72" t="str">
        <f aca="false">IF(C2065="","",IFERROR(INDEX(T_NOMBRE,MATCH(C2065,T_ID,0)),"⚠ ID no existe"))</f>
        <v/>
      </c>
      <c r="E2065" s="69"/>
      <c r="F2065" s="67"/>
      <c r="G2065" s="67"/>
      <c r="H2065" s="67"/>
      <c r="I2065" s="67"/>
      <c r="J2065" s="67"/>
      <c r="K2065" s="85" t="str">
        <f aca="false">IF(AH2065="","",N(F2065)+N(G2065)+N(H2065)-N(I2065)+N(J2065))</f>
        <v/>
      </c>
      <c r="L2065" s="67"/>
      <c r="M2065" s="67"/>
      <c r="N2065" s="67"/>
      <c r="O2065" s="67"/>
      <c r="P2065" s="85" t="str">
        <f aca="false">IF(AH2065="","",K2065+N(L2065)+N(M2065)+N(N2065)+N(O2065))</f>
        <v/>
      </c>
      <c r="Q2065" s="67"/>
      <c r="R2065" s="67"/>
      <c r="S2065" s="67"/>
      <c r="T2065" s="67"/>
      <c r="U2065" s="67"/>
      <c r="V2065" s="67"/>
      <c r="W2065" s="85" t="str">
        <f aca="false">IF(AH2065="","",N(Q2065)+N(R2065)+N(S2065)+N(T2065)+N(U2065)+N(V2065))</f>
        <v/>
      </c>
      <c r="X2065" s="85" t="str">
        <f aca="false">IF(AH2065="","",P2065-W2065)</f>
        <v/>
      </c>
      <c r="Y2065" s="67"/>
      <c r="Z2065" s="70" t="str">
        <f aca="false">IF(OR(AH2065="",Y2065=""),"",IF(ABS(X2065-Y2065)&lt;=1,"✓ Cuadra","⚠ Diferencia $"&amp;FIXED(X2065-Y2065,0)))</f>
        <v/>
      </c>
      <c r="AA2065" s="72" t="str">
        <f aca="false">IF(AH2065="","",IFERROR(INDEX(C_TIPO,MATCH(C2065&amp;"-P"&amp;MAX(1,COUNTIFS(C_ID,C2065,C_DEFINE,"Sí",C_INICIO,"&lt;="&amp;EOMONTH(B2065,0))),C_CLAVE,0))&amp;"","Sin dato"))</f>
        <v/>
      </c>
      <c r="AB2065" s="71" t="str">
        <f aca="false">IF(AH2065="","",ROUND(MIN(K2065,TOPE_AFP_UF*AJ2065)*AK2065,0))</f>
        <v/>
      </c>
      <c r="AC2065" s="71" t="str">
        <f aca="false">IF(AH2065="","",ROUND(MIN(K2065,TOPE_AFC_UF*AJ2065)*IF(AA2065="Indefinido",AFC_EMP_INDEF,AFC_EMP_PF),0))</f>
        <v/>
      </c>
      <c r="AD2065" s="71" t="str">
        <f aca="false">IF(AH2065="","",ROUND(MIN(K2065,TOPE_AFP_UF*AJ2065)*(MUTUAL_BASICA+MUTUAL_ADIC+SANNA),0))</f>
        <v/>
      </c>
      <c r="AE2065" s="71" t="str">
        <f aca="false">IF(AH2065="","",P2065-N(N2065)+AB2065+AC2065+AD2065)</f>
        <v/>
      </c>
      <c r="AF2065" s="65"/>
      <c r="AG2065" s="64"/>
      <c r="AH2065" s="72" t="str">
        <f aca="false">IF(OR(B2065="",C2065=""),"",C2065&amp;"|"&amp;(YEAR(B2065)*100+MONTH(B2065)))</f>
        <v/>
      </c>
      <c r="AI2065" s="70" t="str">
        <f aca="false">IF(AH2065="","",IF(COUNTIF(L_CLAVE,AH2065)&gt;1,"⚠ Duplicado","OK"))</f>
        <v/>
      </c>
      <c r="AJ2065" s="86" t="str">
        <f aca="false">IF(AH2065="","",IF(SUMPRODUCT(MAX((IND_PER&lt;=B2065)*(IND_UF&lt;&gt;"")*IND_PER))=0,UF_HOY,INDEX(IND_UF,MATCH(SUMPRODUCT(MAX((IND_PER&lt;=B2065)*(IND_UF&lt;&gt;"")*IND_PER)),IND_PER,0))))</f>
        <v/>
      </c>
      <c r="AK2065" s="87" t="str">
        <f aca="false">IF(AH2065="","",IF(COUNTIF(TASA_DESDE,"&lt;="&amp;B2065)=0,INDEX(TASA_EMP,1),INDEX(TASA_EMP,COUNTIF(TASA_DESDE,"&lt;="&amp;B2065))))</f>
        <v/>
      </c>
    </row>
    <row r="2066" customFormat="false" ht="15" hidden="false" customHeight="false" outlineLevel="0" collapsed="false">
      <c r="B2066" s="78"/>
      <c r="C2066" s="64"/>
      <c r="D2066" s="72" t="str">
        <f aca="false">IF(C2066="","",IFERROR(INDEX(T_NOMBRE,MATCH(C2066,T_ID,0)),"⚠ ID no existe"))</f>
        <v/>
      </c>
      <c r="E2066" s="69"/>
      <c r="F2066" s="67"/>
      <c r="G2066" s="67"/>
      <c r="H2066" s="67"/>
      <c r="I2066" s="67"/>
      <c r="J2066" s="67"/>
      <c r="K2066" s="85" t="str">
        <f aca="false">IF(AH2066="","",N(F2066)+N(G2066)+N(H2066)-N(I2066)+N(J2066))</f>
        <v/>
      </c>
      <c r="L2066" s="67"/>
      <c r="M2066" s="67"/>
      <c r="N2066" s="67"/>
      <c r="O2066" s="67"/>
      <c r="P2066" s="85" t="str">
        <f aca="false">IF(AH2066="","",K2066+N(L2066)+N(M2066)+N(N2066)+N(O2066))</f>
        <v/>
      </c>
      <c r="Q2066" s="67"/>
      <c r="R2066" s="67"/>
      <c r="S2066" s="67"/>
      <c r="T2066" s="67"/>
      <c r="U2066" s="67"/>
      <c r="V2066" s="67"/>
      <c r="W2066" s="85" t="str">
        <f aca="false">IF(AH2066="","",N(Q2066)+N(R2066)+N(S2066)+N(T2066)+N(U2066)+N(V2066))</f>
        <v/>
      </c>
      <c r="X2066" s="85" t="str">
        <f aca="false">IF(AH2066="","",P2066-W2066)</f>
        <v/>
      </c>
      <c r="Y2066" s="67"/>
      <c r="Z2066" s="70" t="str">
        <f aca="false">IF(OR(AH2066="",Y2066=""),"",IF(ABS(X2066-Y2066)&lt;=1,"✓ Cuadra","⚠ Diferencia $"&amp;FIXED(X2066-Y2066,0)))</f>
        <v/>
      </c>
      <c r="AA2066" s="72" t="str">
        <f aca="false">IF(AH2066="","",IFERROR(INDEX(C_TIPO,MATCH(C2066&amp;"-P"&amp;MAX(1,COUNTIFS(C_ID,C2066,C_DEFINE,"Sí",C_INICIO,"&lt;="&amp;EOMONTH(B2066,0))),C_CLAVE,0))&amp;"","Sin dato"))</f>
        <v/>
      </c>
      <c r="AB2066" s="71" t="str">
        <f aca="false">IF(AH2066="","",ROUND(MIN(K2066,TOPE_AFP_UF*AJ2066)*AK2066,0))</f>
        <v/>
      </c>
      <c r="AC2066" s="71" t="str">
        <f aca="false">IF(AH2066="","",ROUND(MIN(K2066,TOPE_AFC_UF*AJ2066)*IF(AA2066="Indefinido",AFC_EMP_INDEF,AFC_EMP_PF),0))</f>
        <v/>
      </c>
      <c r="AD2066" s="71" t="str">
        <f aca="false">IF(AH2066="","",ROUND(MIN(K2066,TOPE_AFP_UF*AJ2066)*(MUTUAL_BASICA+MUTUAL_ADIC+SANNA),0))</f>
        <v/>
      </c>
      <c r="AE2066" s="71" t="str">
        <f aca="false">IF(AH2066="","",P2066-N(N2066)+AB2066+AC2066+AD2066)</f>
        <v/>
      </c>
      <c r="AF2066" s="65"/>
      <c r="AG2066" s="64"/>
      <c r="AH2066" s="72" t="str">
        <f aca="false">IF(OR(B2066="",C2066=""),"",C2066&amp;"|"&amp;(YEAR(B2066)*100+MONTH(B2066)))</f>
        <v/>
      </c>
      <c r="AI2066" s="70" t="str">
        <f aca="false">IF(AH2066="","",IF(COUNTIF(L_CLAVE,AH2066)&gt;1,"⚠ Duplicado","OK"))</f>
        <v/>
      </c>
      <c r="AJ2066" s="86" t="str">
        <f aca="false">IF(AH2066="","",IF(SUMPRODUCT(MAX((IND_PER&lt;=B2066)*(IND_UF&lt;&gt;"")*IND_PER))=0,UF_HOY,INDEX(IND_UF,MATCH(SUMPRODUCT(MAX((IND_PER&lt;=B2066)*(IND_UF&lt;&gt;"")*IND_PER)),IND_PER,0))))</f>
        <v/>
      </c>
      <c r="AK2066" s="87" t="str">
        <f aca="false">IF(AH2066="","",IF(COUNTIF(TASA_DESDE,"&lt;="&amp;B2066)=0,INDEX(TASA_EMP,1),INDEX(TASA_EMP,COUNTIF(TASA_DESDE,"&lt;="&amp;B2066))))</f>
        <v/>
      </c>
    </row>
    <row r="2067" customFormat="false" ht="15" hidden="false" customHeight="false" outlineLevel="0" collapsed="false">
      <c r="B2067" s="78"/>
      <c r="C2067" s="64"/>
      <c r="D2067" s="72" t="str">
        <f aca="false">IF(C2067="","",IFERROR(INDEX(T_NOMBRE,MATCH(C2067,T_ID,0)),"⚠ ID no existe"))</f>
        <v/>
      </c>
      <c r="E2067" s="69"/>
      <c r="F2067" s="67"/>
      <c r="G2067" s="67"/>
      <c r="H2067" s="67"/>
      <c r="I2067" s="67"/>
      <c r="J2067" s="67"/>
      <c r="K2067" s="85" t="str">
        <f aca="false">IF(AH2067="","",N(F2067)+N(G2067)+N(H2067)-N(I2067)+N(J2067))</f>
        <v/>
      </c>
      <c r="L2067" s="67"/>
      <c r="M2067" s="67"/>
      <c r="N2067" s="67"/>
      <c r="O2067" s="67"/>
      <c r="P2067" s="85" t="str">
        <f aca="false">IF(AH2067="","",K2067+N(L2067)+N(M2067)+N(N2067)+N(O2067))</f>
        <v/>
      </c>
      <c r="Q2067" s="67"/>
      <c r="R2067" s="67"/>
      <c r="S2067" s="67"/>
      <c r="T2067" s="67"/>
      <c r="U2067" s="67"/>
      <c r="V2067" s="67"/>
      <c r="W2067" s="85" t="str">
        <f aca="false">IF(AH2067="","",N(Q2067)+N(R2067)+N(S2067)+N(T2067)+N(U2067)+N(V2067))</f>
        <v/>
      </c>
      <c r="X2067" s="85" t="str">
        <f aca="false">IF(AH2067="","",P2067-W2067)</f>
        <v/>
      </c>
      <c r="Y2067" s="67"/>
      <c r="Z2067" s="70" t="str">
        <f aca="false">IF(OR(AH2067="",Y2067=""),"",IF(ABS(X2067-Y2067)&lt;=1,"✓ Cuadra","⚠ Diferencia $"&amp;FIXED(X2067-Y2067,0)))</f>
        <v/>
      </c>
      <c r="AA2067" s="72" t="str">
        <f aca="false">IF(AH2067="","",IFERROR(INDEX(C_TIPO,MATCH(C2067&amp;"-P"&amp;MAX(1,COUNTIFS(C_ID,C2067,C_DEFINE,"Sí",C_INICIO,"&lt;="&amp;EOMONTH(B2067,0))),C_CLAVE,0))&amp;"","Sin dato"))</f>
        <v/>
      </c>
      <c r="AB2067" s="71" t="str">
        <f aca="false">IF(AH2067="","",ROUND(MIN(K2067,TOPE_AFP_UF*AJ2067)*AK2067,0))</f>
        <v/>
      </c>
      <c r="AC2067" s="71" t="str">
        <f aca="false">IF(AH2067="","",ROUND(MIN(K2067,TOPE_AFC_UF*AJ2067)*IF(AA2067="Indefinido",AFC_EMP_INDEF,AFC_EMP_PF),0))</f>
        <v/>
      </c>
      <c r="AD2067" s="71" t="str">
        <f aca="false">IF(AH2067="","",ROUND(MIN(K2067,TOPE_AFP_UF*AJ2067)*(MUTUAL_BASICA+MUTUAL_ADIC+SANNA),0))</f>
        <v/>
      </c>
      <c r="AE2067" s="71" t="str">
        <f aca="false">IF(AH2067="","",P2067-N(N2067)+AB2067+AC2067+AD2067)</f>
        <v/>
      </c>
      <c r="AF2067" s="65"/>
      <c r="AG2067" s="64"/>
      <c r="AH2067" s="72" t="str">
        <f aca="false">IF(OR(B2067="",C2067=""),"",C2067&amp;"|"&amp;(YEAR(B2067)*100+MONTH(B2067)))</f>
        <v/>
      </c>
      <c r="AI2067" s="70" t="str">
        <f aca="false">IF(AH2067="","",IF(COUNTIF(L_CLAVE,AH2067)&gt;1,"⚠ Duplicado","OK"))</f>
        <v/>
      </c>
      <c r="AJ2067" s="86" t="str">
        <f aca="false">IF(AH2067="","",IF(SUMPRODUCT(MAX((IND_PER&lt;=B2067)*(IND_UF&lt;&gt;"")*IND_PER))=0,UF_HOY,INDEX(IND_UF,MATCH(SUMPRODUCT(MAX((IND_PER&lt;=B2067)*(IND_UF&lt;&gt;"")*IND_PER)),IND_PER,0))))</f>
        <v/>
      </c>
      <c r="AK2067" s="87" t="str">
        <f aca="false">IF(AH2067="","",IF(COUNTIF(TASA_DESDE,"&lt;="&amp;B2067)=0,INDEX(TASA_EMP,1),INDEX(TASA_EMP,COUNTIF(TASA_DESDE,"&lt;="&amp;B2067))))</f>
        <v/>
      </c>
    </row>
    <row r="2068" customFormat="false" ht="15" hidden="false" customHeight="false" outlineLevel="0" collapsed="false">
      <c r="B2068" s="78"/>
      <c r="C2068" s="64"/>
      <c r="D2068" s="72" t="str">
        <f aca="false">IF(C2068="","",IFERROR(INDEX(T_NOMBRE,MATCH(C2068,T_ID,0)),"⚠ ID no existe"))</f>
        <v/>
      </c>
      <c r="E2068" s="69"/>
      <c r="F2068" s="67"/>
      <c r="G2068" s="67"/>
      <c r="H2068" s="67"/>
      <c r="I2068" s="67"/>
      <c r="J2068" s="67"/>
      <c r="K2068" s="85" t="str">
        <f aca="false">IF(AH2068="","",N(F2068)+N(G2068)+N(H2068)-N(I2068)+N(J2068))</f>
        <v/>
      </c>
      <c r="L2068" s="67"/>
      <c r="M2068" s="67"/>
      <c r="N2068" s="67"/>
      <c r="O2068" s="67"/>
      <c r="P2068" s="85" t="str">
        <f aca="false">IF(AH2068="","",K2068+N(L2068)+N(M2068)+N(N2068)+N(O2068))</f>
        <v/>
      </c>
      <c r="Q2068" s="67"/>
      <c r="R2068" s="67"/>
      <c r="S2068" s="67"/>
      <c r="T2068" s="67"/>
      <c r="U2068" s="67"/>
      <c r="V2068" s="67"/>
      <c r="W2068" s="85" t="str">
        <f aca="false">IF(AH2068="","",N(Q2068)+N(R2068)+N(S2068)+N(T2068)+N(U2068)+N(V2068))</f>
        <v/>
      </c>
      <c r="X2068" s="85" t="str">
        <f aca="false">IF(AH2068="","",P2068-W2068)</f>
        <v/>
      </c>
      <c r="Y2068" s="67"/>
      <c r="Z2068" s="70" t="str">
        <f aca="false">IF(OR(AH2068="",Y2068=""),"",IF(ABS(X2068-Y2068)&lt;=1,"✓ Cuadra","⚠ Diferencia $"&amp;FIXED(X2068-Y2068,0)))</f>
        <v/>
      </c>
      <c r="AA2068" s="72" t="str">
        <f aca="false">IF(AH2068="","",IFERROR(INDEX(C_TIPO,MATCH(C2068&amp;"-P"&amp;MAX(1,COUNTIFS(C_ID,C2068,C_DEFINE,"Sí",C_INICIO,"&lt;="&amp;EOMONTH(B2068,0))),C_CLAVE,0))&amp;"","Sin dato"))</f>
        <v/>
      </c>
      <c r="AB2068" s="71" t="str">
        <f aca="false">IF(AH2068="","",ROUND(MIN(K2068,TOPE_AFP_UF*AJ2068)*AK2068,0))</f>
        <v/>
      </c>
      <c r="AC2068" s="71" t="str">
        <f aca="false">IF(AH2068="","",ROUND(MIN(K2068,TOPE_AFC_UF*AJ2068)*IF(AA2068="Indefinido",AFC_EMP_INDEF,AFC_EMP_PF),0))</f>
        <v/>
      </c>
      <c r="AD2068" s="71" t="str">
        <f aca="false">IF(AH2068="","",ROUND(MIN(K2068,TOPE_AFP_UF*AJ2068)*(MUTUAL_BASICA+MUTUAL_ADIC+SANNA),0))</f>
        <v/>
      </c>
      <c r="AE2068" s="71" t="str">
        <f aca="false">IF(AH2068="","",P2068-N(N2068)+AB2068+AC2068+AD2068)</f>
        <v/>
      </c>
      <c r="AF2068" s="65"/>
      <c r="AG2068" s="64"/>
      <c r="AH2068" s="72" t="str">
        <f aca="false">IF(OR(B2068="",C2068=""),"",C2068&amp;"|"&amp;(YEAR(B2068)*100+MONTH(B2068)))</f>
        <v/>
      </c>
      <c r="AI2068" s="70" t="str">
        <f aca="false">IF(AH2068="","",IF(COUNTIF(L_CLAVE,AH2068)&gt;1,"⚠ Duplicado","OK"))</f>
        <v/>
      </c>
      <c r="AJ2068" s="86" t="str">
        <f aca="false">IF(AH2068="","",IF(SUMPRODUCT(MAX((IND_PER&lt;=B2068)*(IND_UF&lt;&gt;"")*IND_PER))=0,UF_HOY,INDEX(IND_UF,MATCH(SUMPRODUCT(MAX((IND_PER&lt;=B2068)*(IND_UF&lt;&gt;"")*IND_PER)),IND_PER,0))))</f>
        <v/>
      </c>
      <c r="AK2068" s="87" t="str">
        <f aca="false">IF(AH2068="","",IF(COUNTIF(TASA_DESDE,"&lt;="&amp;B2068)=0,INDEX(TASA_EMP,1),INDEX(TASA_EMP,COUNTIF(TASA_DESDE,"&lt;="&amp;B2068))))</f>
        <v/>
      </c>
    </row>
    <row r="2069" customFormat="false" ht="15" hidden="false" customHeight="false" outlineLevel="0" collapsed="false">
      <c r="B2069" s="78"/>
      <c r="C2069" s="64"/>
      <c r="D2069" s="72" t="str">
        <f aca="false">IF(C2069="","",IFERROR(INDEX(T_NOMBRE,MATCH(C2069,T_ID,0)),"⚠ ID no existe"))</f>
        <v/>
      </c>
      <c r="E2069" s="69"/>
      <c r="F2069" s="67"/>
      <c r="G2069" s="67"/>
      <c r="H2069" s="67"/>
      <c r="I2069" s="67"/>
      <c r="J2069" s="67"/>
      <c r="K2069" s="85" t="str">
        <f aca="false">IF(AH2069="","",N(F2069)+N(G2069)+N(H2069)-N(I2069)+N(J2069))</f>
        <v/>
      </c>
      <c r="L2069" s="67"/>
      <c r="M2069" s="67"/>
      <c r="N2069" s="67"/>
      <c r="O2069" s="67"/>
      <c r="P2069" s="85" t="str">
        <f aca="false">IF(AH2069="","",K2069+N(L2069)+N(M2069)+N(N2069)+N(O2069))</f>
        <v/>
      </c>
      <c r="Q2069" s="67"/>
      <c r="R2069" s="67"/>
      <c r="S2069" s="67"/>
      <c r="T2069" s="67"/>
      <c r="U2069" s="67"/>
      <c r="V2069" s="67"/>
      <c r="W2069" s="85" t="str">
        <f aca="false">IF(AH2069="","",N(Q2069)+N(R2069)+N(S2069)+N(T2069)+N(U2069)+N(V2069))</f>
        <v/>
      </c>
      <c r="X2069" s="85" t="str">
        <f aca="false">IF(AH2069="","",P2069-W2069)</f>
        <v/>
      </c>
      <c r="Y2069" s="67"/>
      <c r="Z2069" s="70" t="str">
        <f aca="false">IF(OR(AH2069="",Y2069=""),"",IF(ABS(X2069-Y2069)&lt;=1,"✓ Cuadra","⚠ Diferencia $"&amp;FIXED(X2069-Y2069,0)))</f>
        <v/>
      </c>
      <c r="AA2069" s="72" t="str">
        <f aca="false">IF(AH2069="","",IFERROR(INDEX(C_TIPO,MATCH(C2069&amp;"-P"&amp;MAX(1,COUNTIFS(C_ID,C2069,C_DEFINE,"Sí",C_INICIO,"&lt;="&amp;EOMONTH(B2069,0))),C_CLAVE,0))&amp;"","Sin dato"))</f>
        <v/>
      </c>
      <c r="AB2069" s="71" t="str">
        <f aca="false">IF(AH2069="","",ROUND(MIN(K2069,TOPE_AFP_UF*AJ2069)*AK2069,0))</f>
        <v/>
      </c>
      <c r="AC2069" s="71" t="str">
        <f aca="false">IF(AH2069="","",ROUND(MIN(K2069,TOPE_AFC_UF*AJ2069)*IF(AA2069="Indefinido",AFC_EMP_INDEF,AFC_EMP_PF),0))</f>
        <v/>
      </c>
      <c r="AD2069" s="71" t="str">
        <f aca="false">IF(AH2069="","",ROUND(MIN(K2069,TOPE_AFP_UF*AJ2069)*(MUTUAL_BASICA+MUTUAL_ADIC+SANNA),0))</f>
        <v/>
      </c>
      <c r="AE2069" s="71" t="str">
        <f aca="false">IF(AH2069="","",P2069-N(N2069)+AB2069+AC2069+AD2069)</f>
        <v/>
      </c>
      <c r="AF2069" s="65"/>
      <c r="AG2069" s="64"/>
      <c r="AH2069" s="72" t="str">
        <f aca="false">IF(OR(B2069="",C2069=""),"",C2069&amp;"|"&amp;(YEAR(B2069)*100+MONTH(B2069)))</f>
        <v/>
      </c>
      <c r="AI2069" s="70" t="str">
        <f aca="false">IF(AH2069="","",IF(COUNTIF(L_CLAVE,AH2069)&gt;1,"⚠ Duplicado","OK"))</f>
        <v/>
      </c>
      <c r="AJ2069" s="86" t="str">
        <f aca="false">IF(AH2069="","",IF(SUMPRODUCT(MAX((IND_PER&lt;=B2069)*(IND_UF&lt;&gt;"")*IND_PER))=0,UF_HOY,INDEX(IND_UF,MATCH(SUMPRODUCT(MAX((IND_PER&lt;=B2069)*(IND_UF&lt;&gt;"")*IND_PER)),IND_PER,0))))</f>
        <v/>
      </c>
      <c r="AK2069" s="87" t="str">
        <f aca="false">IF(AH2069="","",IF(COUNTIF(TASA_DESDE,"&lt;="&amp;B2069)=0,INDEX(TASA_EMP,1),INDEX(TASA_EMP,COUNTIF(TASA_DESDE,"&lt;="&amp;B2069))))</f>
        <v/>
      </c>
    </row>
    <row r="2070" customFormat="false" ht="15" hidden="false" customHeight="false" outlineLevel="0" collapsed="false">
      <c r="B2070" s="78"/>
      <c r="C2070" s="64"/>
      <c r="D2070" s="72" t="str">
        <f aca="false">IF(C2070="","",IFERROR(INDEX(T_NOMBRE,MATCH(C2070,T_ID,0)),"⚠ ID no existe"))</f>
        <v/>
      </c>
      <c r="E2070" s="69"/>
      <c r="F2070" s="67"/>
      <c r="G2070" s="67"/>
      <c r="H2070" s="67"/>
      <c r="I2070" s="67"/>
      <c r="J2070" s="67"/>
      <c r="K2070" s="85" t="str">
        <f aca="false">IF(AH2070="","",N(F2070)+N(G2070)+N(H2070)-N(I2070)+N(J2070))</f>
        <v/>
      </c>
      <c r="L2070" s="67"/>
      <c r="M2070" s="67"/>
      <c r="N2070" s="67"/>
      <c r="O2070" s="67"/>
      <c r="P2070" s="85" t="str">
        <f aca="false">IF(AH2070="","",K2070+N(L2070)+N(M2070)+N(N2070)+N(O2070))</f>
        <v/>
      </c>
      <c r="Q2070" s="67"/>
      <c r="R2070" s="67"/>
      <c r="S2070" s="67"/>
      <c r="T2070" s="67"/>
      <c r="U2070" s="67"/>
      <c r="V2070" s="67"/>
      <c r="W2070" s="85" t="str">
        <f aca="false">IF(AH2070="","",N(Q2070)+N(R2070)+N(S2070)+N(T2070)+N(U2070)+N(V2070))</f>
        <v/>
      </c>
      <c r="X2070" s="85" t="str">
        <f aca="false">IF(AH2070="","",P2070-W2070)</f>
        <v/>
      </c>
      <c r="Y2070" s="67"/>
      <c r="Z2070" s="70" t="str">
        <f aca="false">IF(OR(AH2070="",Y2070=""),"",IF(ABS(X2070-Y2070)&lt;=1,"✓ Cuadra","⚠ Diferencia $"&amp;FIXED(X2070-Y2070,0)))</f>
        <v/>
      </c>
      <c r="AA2070" s="72" t="str">
        <f aca="false">IF(AH2070="","",IFERROR(INDEX(C_TIPO,MATCH(C2070&amp;"-P"&amp;MAX(1,COUNTIFS(C_ID,C2070,C_DEFINE,"Sí",C_INICIO,"&lt;="&amp;EOMONTH(B2070,0))),C_CLAVE,0))&amp;"","Sin dato"))</f>
        <v/>
      </c>
      <c r="AB2070" s="71" t="str">
        <f aca="false">IF(AH2070="","",ROUND(MIN(K2070,TOPE_AFP_UF*AJ2070)*AK2070,0))</f>
        <v/>
      </c>
      <c r="AC2070" s="71" t="str">
        <f aca="false">IF(AH2070="","",ROUND(MIN(K2070,TOPE_AFC_UF*AJ2070)*IF(AA2070="Indefinido",AFC_EMP_INDEF,AFC_EMP_PF),0))</f>
        <v/>
      </c>
      <c r="AD2070" s="71" t="str">
        <f aca="false">IF(AH2070="","",ROUND(MIN(K2070,TOPE_AFP_UF*AJ2070)*(MUTUAL_BASICA+MUTUAL_ADIC+SANNA),0))</f>
        <v/>
      </c>
      <c r="AE2070" s="71" t="str">
        <f aca="false">IF(AH2070="","",P2070-N(N2070)+AB2070+AC2070+AD2070)</f>
        <v/>
      </c>
      <c r="AF2070" s="65"/>
      <c r="AG2070" s="64"/>
      <c r="AH2070" s="72" t="str">
        <f aca="false">IF(OR(B2070="",C2070=""),"",C2070&amp;"|"&amp;(YEAR(B2070)*100+MONTH(B2070)))</f>
        <v/>
      </c>
      <c r="AI2070" s="70" t="str">
        <f aca="false">IF(AH2070="","",IF(COUNTIF(L_CLAVE,AH2070)&gt;1,"⚠ Duplicado","OK"))</f>
        <v/>
      </c>
      <c r="AJ2070" s="86" t="str">
        <f aca="false">IF(AH2070="","",IF(SUMPRODUCT(MAX((IND_PER&lt;=B2070)*(IND_UF&lt;&gt;"")*IND_PER))=0,UF_HOY,INDEX(IND_UF,MATCH(SUMPRODUCT(MAX((IND_PER&lt;=B2070)*(IND_UF&lt;&gt;"")*IND_PER)),IND_PER,0))))</f>
        <v/>
      </c>
      <c r="AK2070" s="87" t="str">
        <f aca="false">IF(AH2070="","",IF(COUNTIF(TASA_DESDE,"&lt;="&amp;B2070)=0,INDEX(TASA_EMP,1),INDEX(TASA_EMP,COUNTIF(TASA_DESDE,"&lt;="&amp;B2070))))</f>
        <v/>
      </c>
    </row>
    <row r="2071" customFormat="false" ht="15" hidden="false" customHeight="false" outlineLevel="0" collapsed="false">
      <c r="B2071" s="78"/>
      <c r="C2071" s="64"/>
      <c r="D2071" s="72" t="str">
        <f aca="false">IF(C2071="","",IFERROR(INDEX(T_NOMBRE,MATCH(C2071,T_ID,0)),"⚠ ID no existe"))</f>
        <v/>
      </c>
      <c r="E2071" s="69"/>
      <c r="F2071" s="67"/>
      <c r="G2071" s="67"/>
      <c r="H2071" s="67"/>
      <c r="I2071" s="67"/>
      <c r="J2071" s="67"/>
      <c r="K2071" s="85" t="str">
        <f aca="false">IF(AH2071="","",N(F2071)+N(G2071)+N(H2071)-N(I2071)+N(J2071))</f>
        <v/>
      </c>
      <c r="L2071" s="67"/>
      <c r="M2071" s="67"/>
      <c r="N2071" s="67"/>
      <c r="O2071" s="67"/>
      <c r="P2071" s="85" t="str">
        <f aca="false">IF(AH2071="","",K2071+N(L2071)+N(M2071)+N(N2071)+N(O2071))</f>
        <v/>
      </c>
      <c r="Q2071" s="67"/>
      <c r="R2071" s="67"/>
      <c r="S2071" s="67"/>
      <c r="T2071" s="67"/>
      <c r="U2071" s="67"/>
      <c r="V2071" s="67"/>
      <c r="W2071" s="85" t="str">
        <f aca="false">IF(AH2071="","",N(Q2071)+N(R2071)+N(S2071)+N(T2071)+N(U2071)+N(V2071))</f>
        <v/>
      </c>
      <c r="X2071" s="85" t="str">
        <f aca="false">IF(AH2071="","",P2071-W2071)</f>
        <v/>
      </c>
      <c r="Y2071" s="67"/>
      <c r="Z2071" s="70" t="str">
        <f aca="false">IF(OR(AH2071="",Y2071=""),"",IF(ABS(X2071-Y2071)&lt;=1,"✓ Cuadra","⚠ Diferencia $"&amp;FIXED(X2071-Y2071,0)))</f>
        <v/>
      </c>
      <c r="AA2071" s="72" t="str">
        <f aca="false">IF(AH2071="","",IFERROR(INDEX(C_TIPO,MATCH(C2071&amp;"-P"&amp;MAX(1,COUNTIFS(C_ID,C2071,C_DEFINE,"Sí",C_INICIO,"&lt;="&amp;EOMONTH(B2071,0))),C_CLAVE,0))&amp;"","Sin dato"))</f>
        <v/>
      </c>
      <c r="AB2071" s="71" t="str">
        <f aca="false">IF(AH2071="","",ROUND(MIN(K2071,TOPE_AFP_UF*AJ2071)*AK2071,0))</f>
        <v/>
      </c>
      <c r="AC2071" s="71" t="str">
        <f aca="false">IF(AH2071="","",ROUND(MIN(K2071,TOPE_AFC_UF*AJ2071)*IF(AA2071="Indefinido",AFC_EMP_INDEF,AFC_EMP_PF),0))</f>
        <v/>
      </c>
      <c r="AD2071" s="71" t="str">
        <f aca="false">IF(AH2071="","",ROUND(MIN(K2071,TOPE_AFP_UF*AJ2071)*(MUTUAL_BASICA+MUTUAL_ADIC+SANNA),0))</f>
        <v/>
      </c>
      <c r="AE2071" s="71" t="str">
        <f aca="false">IF(AH2071="","",P2071-N(N2071)+AB2071+AC2071+AD2071)</f>
        <v/>
      </c>
      <c r="AF2071" s="65"/>
      <c r="AG2071" s="64"/>
      <c r="AH2071" s="72" t="str">
        <f aca="false">IF(OR(B2071="",C2071=""),"",C2071&amp;"|"&amp;(YEAR(B2071)*100+MONTH(B2071)))</f>
        <v/>
      </c>
      <c r="AI2071" s="70" t="str">
        <f aca="false">IF(AH2071="","",IF(COUNTIF(L_CLAVE,AH2071)&gt;1,"⚠ Duplicado","OK"))</f>
        <v/>
      </c>
      <c r="AJ2071" s="86" t="str">
        <f aca="false">IF(AH2071="","",IF(SUMPRODUCT(MAX((IND_PER&lt;=B2071)*(IND_UF&lt;&gt;"")*IND_PER))=0,UF_HOY,INDEX(IND_UF,MATCH(SUMPRODUCT(MAX((IND_PER&lt;=B2071)*(IND_UF&lt;&gt;"")*IND_PER)),IND_PER,0))))</f>
        <v/>
      </c>
      <c r="AK2071" s="87" t="str">
        <f aca="false">IF(AH2071="","",IF(COUNTIF(TASA_DESDE,"&lt;="&amp;B2071)=0,INDEX(TASA_EMP,1),INDEX(TASA_EMP,COUNTIF(TASA_DESDE,"&lt;="&amp;B2071))))</f>
        <v/>
      </c>
    </row>
    <row r="2072" customFormat="false" ht="15" hidden="false" customHeight="false" outlineLevel="0" collapsed="false">
      <c r="B2072" s="78"/>
      <c r="C2072" s="64"/>
      <c r="D2072" s="72" t="str">
        <f aca="false">IF(C2072="","",IFERROR(INDEX(T_NOMBRE,MATCH(C2072,T_ID,0)),"⚠ ID no existe"))</f>
        <v/>
      </c>
      <c r="E2072" s="69"/>
      <c r="F2072" s="67"/>
      <c r="G2072" s="67"/>
      <c r="H2072" s="67"/>
      <c r="I2072" s="67"/>
      <c r="J2072" s="67"/>
      <c r="K2072" s="85" t="str">
        <f aca="false">IF(AH2072="","",N(F2072)+N(G2072)+N(H2072)-N(I2072)+N(J2072))</f>
        <v/>
      </c>
      <c r="L2072" s="67"/>
      <c r="M2072" s="67"/>
      <c r="N2072" s="67"/>
      <c r="O2072" s="67"/>
      <c r="P2072" s="85" t="str">
        <f aca="false">IF(AH2072="","",K2072+N(L2072)+N(M2072)+N(N2072)+N(O2072))</f>
        <v/>
      </c>
      <c r="Q2072" s="67"/>
      <c r="R2072" s="67"/>
      <c r="S2072" s="67"/>
      <c r="T2072" s="67"/>
      <c r="U2072" s="67"/>
      <c r="V2072" s="67"/>
      <c r="W2072" s="85" t="str">
        <f aca="false">IF(AH2072="","",N(Q2072)+N(R2072)+N(S2072)+N(T2072)+N(U2072)+N(V2072))</f>
        <v/>
      </c>
      <c r="X2072" s="85" t="str">
        <f aca="false">IF(AH2072="","",P2072-W2072)</f>
        <v/>
      </c>
      <c r="Y2072" s="67"/>
      <c r="Z2072" s="70" t="str">
        <f aca="false">IF(OR(AH2072="",Y2072=""),"",IF(ABS(X2072-Y2072)&lt;=1,"✓ Cuadra","⚠ Diferencia $"&amp;FIXED(X2072-Y2072,0)))</f>
        <v/>
      </c>
      <c r="AA2072" s="72" t="str">
        <f aca="false">IF(AH2072="","",IFERROR(INDEX(C_TIPO,MATCH(C2072&amp;"-P"&amp;MAX(1,COUNTIFS(C_ID,C2072,C_DEFINE,"Sí",C_INICIO,"&lt;="&amp;EOMONTH(B2072,0))),C_CLAVE,0))&amp;"","Sin dato"))</f>
        <v/>
      </c>
      <c r="AB2072" s="71" t="str">
        <f aca="false">IF(AH2072="","",ROUND(MIN(K2072,TOPE_AFP_UF*AJ2072)*AK2072,0))</f>
        <v/>
      </c>
      <c r="AC2072" s="71" t="str">
        <f aca="false">IF(AH2072="","",ROUND(MIN(K2072,TOPE_AFC_UF*AJ2072)*IF(AA2072="Indefinido",AFC_EMP_INDEF,AFC_EMP_PF),0))</f>
        <v/>
      </c>
      <c r="AD2072" s="71" t="str">
        <f aca="false">IF(AH2072="","",ROUND(MIN(K2072,TOPE_AFP_UF*AJ2072)*(MUTUAL_BASICA+MUTUAL_ADIC+SANNA),0))</f>
        <v/>
      </c>
      <c r="AE2072" s="71" t="str">
        <f aca="false">IF(AH2072="","",P2072-N(N2072)+AB2072+AC2072+AD2072)</f>
        <v/>
      </c>
      <c r="AF2072" s="65"/>
      <c r="AG2072" s="64"/>
      <c r="AH2072" s="72" t="str">
        <f aca="false">IF(OR(B2072="",C2072=""),"",C2072&amp;"|"&amp;(YEAR(B2072)*100+MONTH(B2072)))</f>
        <v/>
      </c>
      <c r="AI2072" s="70" t="str">
        <f aca="false">IF(AH2072="","",IF(COUNTIF(L_CLAVE,AH2072)&gt;1,"⚠ Duplicado","OK"))</f>
        <v/>
      </c>
      <c r="AJ2072" s="86" t="str">
        <f aca="false">IF(AH2072="","",IF(SUMPRODUCT(MAX((IND_PER&lt;=B2072)*(IND_UF&lt;&gt;"")*IND_PER))=0,UF_HOY,INDEX(IND_UF,MATCH(SUMPRODUCT(MAX((IND_PER&lt;=B2072)*(IND_UF&lt;&gt;"")*IND_PER)),IND_PER,0))))</f>
        <v/>
      </c>
      <c r="AK2072" s="87" t="str">
        <f aca="false">IF(AH2072="","",IF(COUNTIF(TASA_DESDE,"&lt;="&amp;B2072)=0,INDEX(TASA_EMP,1),INDEX(TASA_EMP,COUNTIF(TASA_DESDE,"&lt;="&amp;B2072))))</f>
        <v/>
      </c>
    </row>
    <row r="2073" customFormat="false" ht="15" hidden="false" customHeight="false" outlineLevel="0" collapsed="false">
      <c r="B2073" s="78"/>
      <c r="C2073" s="64"/>
      <c r="D2073" s="72" t="str">
        <f aca="false">IF(C2073="","",IFERROR(INDEX(T_NOMBRE,MATCH(C2073,T_ID,0)),"⚠ ID no existe"))</f>
        <v/>
      </c>
      <c r="E2073" s="69"/>
      <c r="F2073" s="67"/>
      <c r="G2073" s="67"/>
      <c r="H2073" s="67"/>
      <c r="I2073" s="67"/>
      <c r="J2073" s="67"/>
      <c r="K2073" s="85" t="str">
        <f aca="false">IF(AH2073="","",N(F2073)+N(G2073)+N(H2073)-N(I2073)+N(J2073))</f>
        <v/>
      </c>
      <c r="L2073" s="67"/>
      <c r="M2073" s="67"/>
      <c r="N2073" s="67"/>
      <c r="O2073" s="67"/>
      <c r="P2073" s="85" t="str">
        <f aca="false">IF(AH2073="","",K2073+N(L2073)+N(M2073)+N(N2073)+N(O2073))</f>
        <v/>
      </c>
      <c r="Q2073" s="67"/>
      <c r="R2073" s="67"/>
      <c r="S2073" s="67"/>
      <c r="T2073" s="67"/>
      <c r="U2073" s="67"/>
      <c r="V2073" s="67"/>
      <c r="W2073" s="85" t="str">
        <f aca="false">IF(AH2073="","",N(Q2073)+N(R2073)+N(S2073)+N(T2073)+N(U2073)+N(V2073))</f>
        <v/>
      </c>
      <c r="X2073" s="85" t="str">
        <f aca="false">IF(AH2073="","",P2073-W2073)</f>
        <v/>
      </c>
      <c r="Y2073" s="67"/>
      <c r="Z2073" s="70" t="str">
        <f aca="false">IF(OR(AH2073="",Y2073=""),"",IF(ABS(X2073-Y2073)&lt;=1,"✓ Cuadra","⚠ Diferencia $"&amp;FIXED(X2073-Y2073,0)))</f>
        <v/>
      </c>
      <c r="AA2073" s="72" t="str">
        <f aca="false">IF(AH2073="","",IFERROR(INDEX(C_TIPO,MATCH(C2073&amp;"-P"&amp;MAX(1,COUNTIFS(C_ID,C2073,C_DEFINE,"Sí",C_INICIO,"&lt;="&amp;EOMONTH(B2073,0))),C_CLAVE,0))&amp;"","Sin dato"))</f>
        <v/>
      </c>
      <c r="AB2073" s="71" t="str">
        <f aca="false">IF(AH2073="","",ROUND(MIN(K2073,TOPE_AFP_UF*AJ2073)*AK2073,0))</f>
        <v/>
      </c>
      <c r="AC2073" s="71" t="str">
        <f aca="false">IF(AH2073="","",ROUND(MIN(K2073,TOPE_AFC_UF*AJ2073)*IF(AA2073="Indefinido",AFC_EMP_INDEF,AFC_EMP_PF),0))</f>
        <v/>
      </c>
      <c r="AD2073" s="71" t="str">
        <f aca="false">IF(AH2073="","",ROUND(MIN(K2073,TOPE_AFP_UF*AJ2073)*(MUTUAL_BASICA+MUTUAL_ADIC+SANNA),0))</f>
        <v/>
      </c>
      <c r="AE2073" s="71" t="str">
        <f aca="false">IF(AH2073="","",P2073-N(N2073)+AB2073+AC2073+AD2073)</f>
        <v/>
      </c>
      <c r="AF2073" s="65"/>
      <c r="AG2073" s="64"/>
      <c r="AH2073" s="72" t="str">
        <f aca="false">IF(OR(B2073="",C2073=""),"",C2073&amp;"|"&amp;(YEAR(B2073)*100+MONTH(B2073)))</f>
        <v/>
      </c>
      <c r="AI2073" s="70" t="str">
        <f aca="false">IF(AH2073="","",IF(COUNTIF(L_CLAVE,AH2073)&gt;1,"⚠ Duplicado","OK"))</f>
        <v/>
      </c>
      <c r="AJ2073" s="86" t="str">
        <f aca="false">IF(AH2073="","",IF(SUMPRODUCT(MAX((IND_PER&lt;=B2073)*(IND_UF&lt;&gt;"")*IND_PER))=0,UF_HOY,INDEX(IND_UF,MATCH(SUMPRODUCT(MAX((IND_PER&lt;=B2073)*(IND_UF&lt;&gt;"")*IND_PER)),IND_PER,0))))</f>
        <v/>
      </c>
      <c r="AK2073" s="87" t="str">
        <f aca="false">IF(AH2073="","",IF(COUNTIF(TASA_DESDE,"&lt;="&amp;B2073)=0,INDEX(TASA_EMP,1),INDEX(TASA_EMP,COUNTIF(TASA_DESDE,"&lt;="&amp;B2073))))</f>
        <v/>
      </c>
    </row>
    <row r="2074" customFormat="false" ht="15" hidden="false" customHeight="false" outlineLevel="0" collapsed="false">
      <c r="B2074" s="78"/>
      <c r="C2074" s="64"/>
      <c r="D2074" s="72" t="str">
        <f aca="false">IF(C2074="","",IFERROR(INDEX(T_NOMBRE,MATCH(C2074,T_ID,0)),"⚠ ID no existe"))</f>
        <v/>
      </c>
      <c r="E2074" s="69"/>
      <c r="F2074" s="67"/>
      <c r="G2074" s="67"/>
      <c r="H2074" s="67"/>
      <c r="I2074" s="67"/>
      <c r="J2074" s="67"/>
      <c r="K2074" s="85" t="str">
        <f aca="false">IF(AH2074="","",N(F2074)+N(G2074)+N(H2074)-N(I2074)+N(J2074))</f>
        <v/>
      </c>
      <c r="L2074" s="67"/>
      <c r="M2074" s="67"/>
      <c r="N2074" s="67"/>
      <c r="O2074" s="67"/>
      <c r="P2074" s="85" t="str">
        <f aca="false">IF(AH2074="","",K2074+N(L2074)+N(M2074)+N(N2074)+N(O2074))</f>
        <v/>
      </c>
      <c r="Q2074" s="67"/>
      <c r="R2074" s="67"/>
      <c r="S2074" s="67"/>
      <c r="T2074" s="67"/>
      <c r="U2074" s="67"/>
      <c r="V2074" s="67"/>
      <c r="W2074" s="85" t="str">
        <f aca="false">IF(AH2074="","",N(Q2074)+N(R2074)+N(S2074)+N(T2074)+N(U2074)+N(V2074))</f>
        <v/>
      </c>
      <c r="X2074" s="85" t="str">
        <f aca="false">IF(AH2074="","",P2074-W2074)</f>
        <v/>
      </c>
      <c r="Y2074" s="67"/>
      <c r="Z2074" s="70" t="str">
        <f aca="false">IF(OR(AH2074="",Y2074=""),"",IF(ABS(X2074-Y2074)&lt;=1,"✓ Cuadra","⚠ Diferencia $"&amp;FIXED(X2074-Y2074,0)))</f>
        <v/>
      </c>
      <c r="AA2074" s="72" t="str">
        <f aca="false">IF(AH2074="","",IFERROR(INDEX(C_TIPO,MATCH(C2074&amp;"-P"&amp;MAX(1,COUNTIFS(C_ID,C2074,C_DEFINE,"Sí",C_INICIO,"&lt;="&amp;EOMONTH(B2074,0))),C_CLAVE,0))&amp;"","Sin dato"))</f>
        <v/>
      </c>
      <c r="AB2074" s="71" t="str">
        <f aca="false">IF(AH2074="","",ROUND(MIN(K2074,TOPE_AFP_UF*AJ2074)*AK2074,0))</f>
        <v/>
      </c>
      <c r="AC2074" s="71" t="str">
        <f aca="false">IF(AH2074="","",ROUND(MIN(K2074,TOPE_AFC_UF*AJ2074)*IF(AA2074="Indefinido",AFC_EMP_INDEF,AFC_EMP_PF),0))</f>
        <v/>
      </c>
      <c r="AD2074" s="71" t="str">
        <f aca="false">IF(AH2074="","",ROUND(MIN(K2074,TOPE_AFP_UF*AJ2074)*(MUTUAL_BASICA+MUTUAL_ADIC+SANNA),0))</f>
        <v/>
      </c>
      <c r="AE2074" s="71" t="str">
        <f aca="false">IF(AH2074="","",P2074-N(N2074)+AB2074+AC2074+AD2074)</f>
        <v/>
      </c>
      <c r="AF2074" s="65"/>
      <c r="AG2074" s="64"/>
      <c r="AH2074" s="72" t="str">
        <f aca="false">IF(OR(B2074="",C2074=""),"",C2074&amp;"|"&amp;(YEAR(B2074)*100+MONTH(B2074)))</f>
        <v/>
      </c>
      <c r="AI2074" s="70" t="str">
        <f aca="false">IF(AH2074="","",IF(COUNTIF(L_CLAVE,AH2074)&gt;1,"⚠ Duplicado","OK"))</f>
        <v/>
      </c>
      <c r="AJ2074" s="86" t="str">
        <f aca="false">IF(AH2074="","",IF(SUMPRODUCT(MAX((IND_PER&lt;=B2074)*(IND_UF&lt;&gt;"")*IND_PER))=0,UF_HOY,INDEX(IND_UF,MATCH(SUMPRODUCT(MAX((IND_PER&lt;=B2074)*(IND_UF&lt;&gt;"")*IND_PER)),IND_PER,0))))</f>
        <v/>
      </c>
      <c r="AK2074" s="87" t="str">
        <f aca="false">IF(AH2074="","",IF(COUNTIF(TASA_DESDE,"&lt;="&amp;B2074)=0,INDEX(TASA_EMP,1),INDEX(TASA_EMP,COUNTIF(TASA_DESDE,"&lt;="&amp;B2074))))</f>
        <v/>
      </c>
    </row>
    <row r="2075" customFormat="false" ht="15" hidden="false" customHeight="false" outlineLevel="0" collapsed="false">
      <c r="B2075" s="78"/>
      <c r="C2075" s="64"/>
      <c r="D2075" s="72" t="str">
        <f aca="false">IF(C2075="","",IFERROR(INDEX(T_NOMBRE,MATCH(C2075,T_ID,0)),"⚠ ID no existe"))</f>
        <v/>
      </c>
      <c r="E2075" s="69"/>
      <c r="F2075" s="67"/>
      <c r="G2075" s="67"/>
      <c r="H2075" s="67"/>
      <c r="I2075" s="67"/>
      <c r="J2075" s="67"/>
      <c r="K2075" s="85" t="str">
        <f aca="false">IF(AH2075="","",N(F2075)+N(G2075)+N(H2075)-N(I2075)+N(J2075))</f>
        <v/>
      </c>
      <c r="L2075" s="67"/>
      <c r="M2075" s="67"/>
      <c r="N2075" s="67"/>
      <c r="O2075" s="67"/>
      <c r="P2075" s="85" t="str">
        <f aca="false">IF(AH2075="","",K2075+N(L2075)+N(M2075)+N(N2075)+N(O2075))</f>
        <v/>
      </c>
      <c r="Q2075" s="67"/>
      <c r="R2075" s="67"/>
      <c r="S2075" s="67"/>
      <c r="T2075" s="67"/>
      <c r="U2075" s="67"/>
      <c r="V2075" s="67"/>
      <c r="W2075" s="85" t="str">
        <f aca="false">IF(AH2075="","",N(Q2075)+N(R2075)+N(S2075)+N(T2075)+N(U2075)+N(V2075))</f>
        <v/>
      </c>
      <c r="X2075" s="85" t="str">
        <f aca="false">IF(AH2075="","",P2075-W2075)</f>
        <v/>
      </c>
      <c r="Y2075" s="67"/>
      <c r="Z2075" s="70" t="str">
        <f aca="false">IF(OR(AH2075="",Y2075=""),"",IF(ABS(X2075-Y2075)&lt;=1,"✓ Cuadra","⚠ Diferencia $"&amp;FIXED(X2075-Y2075,0)))</f>
        <v/>
      </c>
      <c r="AA2075" s="72" t="str">
        <f aca="false">IF(AH2075="","",IFERROR(INDEX(C_TIPO,MATCH(C2075&amp;"-P"&amp;MAX(1,COUNTIFS(C_ID,C2075,C_DEFINE,"Sí",C_INICIO,"&lt;="&amp;EOMONTH(B2075,0))),C_CLAVE,0))&amp;"","Sin dato"))</f>
        <v/>
      </c>
      <c r="AB2075" s="71" t="str">
        <f aca="false">IF(AH2075="","",ROUND(MIN(K2075,TOPE_AFP_UF*AJ2075)*AK2075,0))</f>
        <v/>
      </c>
      <c r="AC2075" s="71" t="str">
        <f aca="false">IF(AH2075="","",ROUND(MIN(K2075,TOPE_AFC_UF*AJ2075)*IF(AA2075="Indefinido",AFC_EMP_INDEF,AFC_EMP_PF),0))</f>
        <v/>
      </c>
      <c r="AD2075" s="71" t="str">
        <f aca="false">IF(AH2075="","",ROUND(MIN(K2075,TOPE_AFP_UF*AJ2075)*(MUTUAL_BASICA+MUTUAL_ADIC+SANNA),0))</f>
        <v/>
      </c>
      <c r="AE2075" s="71" t="str">
        <f aca="false">IF(AH2075="","",P2075-N(N2075)+AB2075+AC2075+AD2075)</f>
        <v/>
      </c>
      <c r="AF2075" s="65"/>
      <c r="AG2075" s="64"/>
      <c r="AH2075" s="72" t="str">
        <f aca="false">IF(OR(B2075="",C2075=""),"",C2075&amp;"|"&amp;(YEAR(B2075)*100+MONTH(B2075)))</f>
        <v/>
      </c>
      <c r="AI2075" s="70" t="str">
        <f aca="false">IF(AH2075="","",IF(COUNTIF(L_CLAVE,AH2075)&gt;1,"⚠ Duplicado","OK"))</f>
        <v/>
      </c>
      <c r="AJ2075" s="86" t="str">
        <f aca="false">IF(AH2075="","",IF(SUMPRODUCT(MAX((IND_PER&lt;=B2075)*(IND_UF&lt;&gt;"")*IND_PER))=0,UF_HOY,INDEX(IND_UF,MATCH(SUMPRODUCT(MAX((IND_PER&lt;=B2075)*(IND_UF&lt;&gt;"")*IND_PER)),IND_PER,0))))</f>
        <v/>
      </c>
      <c r="AK2075" s="87" t="str">
        <f aca="false">IF(AH2075="","",IF(COUNTIF(TASA_DESDE,"&lt;="&amp;B2075)=0,INDEX(TASA_EMP,1),INDEX(TASA_EMP,COUNTIF(TASA_DESDE,"&lt;="&amp;B2075))))</f>
        <v/>
      </c>
    </row>
    <row r="2076" customFormat="false" ht="15" hidden="false" customHeight="false" outlineLevel="0" collapsed="false">
      <c r="B2076" s="78"/>
      <c r="C2076" s="64"/>
      <c r="D2076" s="72" t="str">
        <f aca="false">IF(C2076="","",IFERROR(INDEX(T_NOMBRE,MATCH(C2076,T_ID,0)),"⚠ ID no existe"))</f>
        <v/>
      </c>
      <c r="E2076" s="69"/>
      <c r="F2076" s="67"/>
      <c r="G2076" s="67"/>
      <c r="H2076" s="67"/>
      <c r="I2076" s="67"/>
      <c r="J2076" s="67"/>
      <c r="K2076" s="85" t="str">
        <f aca="false">IF(AH2076="","",N(F2076)+N(G2076)+N(H2076)-N(I2076)+N(J2076))</f>
        <v/>
      </c>
      <c r="L2076" s="67"/>
      <c r="M2076" s="67"/>
      <c r="N2076" s="67"/>
      <c r="O2076" s="67"/>
      <c r="P2076" s="85" t="str">
        <f aca="false">IF(AH2076="","",K2076+N(L2076)+N(M2076)+N(N2076)+N(O2076))</f>
        <v/>
      </c>
      <c r="Q2076" s="67"/>
      <c r="R2076" s="67"/>
      <c r="S2076" s="67"/>
      <c r="T2076" s="67"/>
      <c r="U2076" s="67"/>
      <c r="V2076" s="67"/>
      <c r="W2076" s="85" t="str">
        <f aca="false">IF(AH2076="","",N(Q2076)+N(R2076)+N(S2076)+N(T2076)+N(U2076)+N(V2076))</f>
        <v/>
      </c>
      <c r="X2076" s="85" t="str">
        <f aca="false">IF(AH2076="","",P2076-W2076)</f>
        <v/>
      </c>
      <c r="Y2076" s="67"/>
      <c r="Z2076" s="70" t="str">
        <f aca="false">IF(OR(AH2076="",Y2076=""),"",IF(ABS(X2076-Y2076)&lt;=1,"✓ Cuadra","⚠ Diferencia $"&amp;FIXED(X2076-Y2076,0)))</f>
        <v/>
      </c>
      <c r="AA2076" s="72" t="str">
        <f aca="false">IF(AH2076="","",IFERROR(INDEX(C_TIPO,MATCH(C2076&amp;"-P"&amp;MAX(1,COUNTIFS(C_ID,C2076,C_DEFINE,"Sí",C_INICIO,"&lt;="&amp;EOMONTH(B2076,0))),C_CLAVE,0))&amp;"","Sin dato"))</f>
        <v/>
      </c>
      <c r="AB2076" s="71" t="str">
        <f aca="false">IF(AH2076="","",ROUND(MIN(K2076,TOPE_AFP_UF*AJ2076)*AK2076,0))</f>
        <v/>
      </c>
      <c r="AC2076" s="71" t="str">
        <f aca="false">IF(AH2076="","",ROUND(MIN(K2076,TOPE_AFC_UF*AJ2076)*IF(AA2076="Indefinido",AFC_EMP_INDEF,AFC_EMP_PF),0))</f>
        <v/>
      </c>
      <c r="AD2076" s="71" t="str">
        <f aca="false">IF(AH2076="","",ROUND(MIN(K2076,TOPE_AFP_UF*AJ2076)*(MUTUAL_BASICA+MUTUAL_ADIC+SANNA),0))</f>
        <v/>
      </c>
      <c r="AE2076" s="71" t="str">
        <f aca="false">IF(AH2076="","",P2076-N(N2076)+AB2076+AC2076+AD2076)</f>
        <v/>
      </c>
      <c r="AF2076" s="65"/>
      <c r="AG2076" s="64"/>
      <c r="AH2076" s="72" t="str">
        <f aca="false">IF(OR(B2076="",C2076=""),"",C2076&amp;"|"&amp;(YEAR(B2076)*100+MONTH(B2076)))</f>
        <v/>
      </c>
      <c r="AI2076" s="70" t="str">
        <f aca="false">IF(AH2076="","",IF(COUNTIF(L_CLAVE,AH2076)&gt;1,"⚠ Duplicado","OK"))</f>
        <v/>
      </c>
      <c r="AJ2076" s="86" t="str">
        <f aca="false">IF(AH2076="","",IF(SUMPRODUCT(MAX((IND_PER&lt;=B2076)*(IND_UF&lt;&gt;"")*IND_PER))=0,UF_HOY,INDEX(IND_UF,MATCH(SUMPRODUCT(MAX((IND_PER&lt;=B2076)*(IND_UF&lt;&gt;"")*IND_PER)),IND_PER,0))))</f>
        <v/>
      </c>
      <c r="AK2076" s="87" t="str">
        <f aca="false">IF(AH2076="","",IF(COUNTIF(TASA_DESDE,"&lt;="&amp;B2076)=0,INDEX(TASA_EMP,1),INDEX(TASA_EMP,COUNTIF(TASA_DESDE,"&lt;="&amp;B2076))))</f>
        <v/>
      </c>
    </row>
    <row r="2077" customFormat="false" ht="15" hidden="false" customHeight="false" outlineLevel="0" collapsed="false">
      <c r="B2077" s="78"/>
      <c r="C2077" s="64"/>
      <c r="D2077" s="72" t="str">
        <f aca="false">IF(C2077="","",IFERROR(INDEX(T_NOMBRE,MATCH(C2077,T_ID,0)),"⚠ ID no existe"))</f>
        <v/>
      </c>
      <c r="E2077" s="69"/>
      <c r="F2077" s="67"/>
      <c r="G2077" s="67"/>
      <c r="H2077" s="67"/>
      <c r="I2077" s="67"/>
      <c r="J2077" s="67"/>
      <c r="K2077" s="85" t="str">
        <f aca="false">IF(AH2077="","",N(F2077)+N(G2077)+N(H2077)-N(I2077)+N(J2077))</f>
        <v/>
      </c>
      <c r="L2077" s="67"/>
      <c r="M2077" s="67"/>
      <c r="N2077" s="67"/>
      <c r="O2077" s="67"/>
      <c r="P2077" s="85" t="str">
        <f aca="false">IF(AH2077="","",K2077+N(L2077)+N(M2077)+N(N2077)+N(O2077))</f>
        <v/>
      </c>
      <c r="Q2077" s="67"/>
      <c r="R2077" s="67"/>
      <c r="S2077" s="67"/>
      <c r="T2077" s="67"/>
      <c r="U2077" s="67"/>
      <c r="V2077" s="67"/>
      <c r="W2077" s="85" t="str">
        <f aca="false">IF(AH2077="","",N(Q2077)+N(R2077)+N(S2077)+N(T2077)+N(U2077)+N(V2077))</f>
        <v/>
      </c>
      <c r="X2077" s="85" t="str">
        <f aca="false">IF(AH2077="","",P2077-W2077)</f>
        <v/>
      </c>
      <c r="Y2077" s="67"/>
      <c r="Z2077" s="70" t="str">
        <f aca="false">IF(OR(AH2077="",Y2077=""),"",IF(ABS(X2077-Y2077)&lt;=1,"✓ Cuadra","⚠ Diferencia $"&amp;FIXED(X2077-Y2077,0)))</f>
        <v/>
      </c>
      <c r="AA2077" s="72" t="str">
        <f aca="false">IF(AH2077="","",IFERROR(INDEX(C_TIPO,MATCH(C2077&amp;"-P"&amp;MAX(1,COUNTIFS(C_ID,C2077,C_DEFINE,"Sí",C_INICIO,"&lt;="&amp;EOMONTH(B2077,0))),C_CLAVE,0))&amp;"","Sin dato"))</f>
        <v/>
      </c>
      <c r="AB2077" s="71" t="str">
        <f aca="false">IF(AH2077="","",ROUND(MIN(K2077,TOPE_AFP_UF*AJ2077)*AK2077,0))</f>
        <v/>
      </c>
      <c r="AC2077" s="71" t="str">
        <f aca="false">IF(AH2077="","",ROUND(MIN(K2077,TOPE_AFC_UF*AJ2077)*IF(AA2077="Indefinido",AFC_EMP_INDEF,AFC_EMP_PF),0))</f>
        <v/>
      </c>
      <c r="AD2077" s="71" t="str">
        <f aca="false">IF(AH2077="","",ROUND(MIN(K2077,TOPE_AFP_UF*AJ2077)*(MUTUAL_BASICA+MUTUAL_ADIC+SANNA),0))</f>
        <v/>
      </c>
      <c r="AE2077" s="71" t="str">
        <f aca="false">IF(AH2077="","",P2077-N(N2077)+AB2077+AC2077+AD2077)</f>
        <v/>
      </c>
      <c r="AF2077" s="65"/>
      <c r="AG2077" s="64"/>
      <c r="AH2077" s="72" t="str">
        <f aca="false">IF(OR(B2077="",C2077=""),"",C2077&amp;"|"&amp;(YEAR(B2077)*100+MONTH(B2077)))</f>
        <v/>
      </c>
      <c r="AI2077" s="70" t="str">
        <f aca="false">IF(AH2077="","",IF(COUNTIF(L_CLAVE,AH2077)&gt;1,"⚠ Duplicado","OK"))</f>
        <v/>
      </c>
      <c r="AJ2077" s="86" t="str">
        <f aca="false">IF(AH2077="","",IF(SUMPRODUCT(MAX((IND_PER&lt;=B2077)*(IND_UF&lt;&gt;"")*IND_PER))=0,UF_HOY,INDEX(IND_UF,MATCH(SUMPRODUCT(MAX((IND_PER&lt;=B2077)*(IND_UF&lt;&gt;"")*IND_PER)),IND_PER,0))))</f>
        <v/>
      </c>
      <c r="AK2077" s="87" t="str">
        <f aca="false">IF(AH2077="","",IF(COUNTIF(TASA_DESDE,"&lt;="&amp;B2077)=0,INDEX(TASA_EMP,1),INDEX(TASA_EMP,COUNTIF(TASA_DESDE,"&lt;="&amp;B2077))))</f>
        <v/>
      </c>
    </row>
    <row r="2078" customFormat="false" ht="15" hidden="false" customHeight="false" outlineLevel="0" collapsed="false">
      <c r="B2078" s="78"/>
      <c r="C2078" s="64"/>
      <c r="D2078" s="72" t="str">
        <f aca="false">IF(C2078="","",IFERROR(INDEX(T_NOMBRE,MATCH(C2078,T_ID,0)),"⚠ ID no existe"))</f>
        <v/>
      </c>
      <c r="E2078" s="69"/>
      <c r="F2078" s="67"/>
      <c r="G2078" s="67"/>
      <c r="H2078" s="67"/>
      <c r="I2078" s="67"/>
      <c r="J2078" s="67"/>
      <c r="K2078" s="85" t="str">
        <f aca="false">IF(AH2078="","",N(F2078)+N(G2078)+N(H2078)-N(I2078)+N(J2078))</f>
        <v/>
      </c>
      <c r="L2078" s="67"/>
      <c r="M2078" s="67"/>
      <c r="N2078" s="67"/>
      <c r="O2078" s="67"/>
      <c r="P2078" s="85" t="str">
        <f aca="false">IF(AH2078="","",K2078+N(L2078)+N(M2078)+N(N2078)+N(O2078))</f>
        <v/>
      </c>
      <c r="Q2078" s="67"/>
      <c r="R2078" s="67"/>
      <c r="S2078" s="67"/>
      <c r="T2078" s="67"/>
      <c r="U2078" s="67"/>
      <c r="V2078" s="67"/>
      <c r="W2078" s="85" t="str">
        <f aca="false">IF(AH2078="","",N(Q2078)+N(R2078)+N(S2078)+N(T2078)+N(U2078)+N(V2078))</f>
        <v/>
      </c>
      <c r="X2078" s="85" t="str">
        <f aca="false">IF(AH2078="","",P2078-W2078)</f>
        <v/>
      </c>
      <c r="Y2078" s="67"/>
      <c r="Z2078" s="70" t="str">
        <f aca="false">IF(OR(AH2078="",Y2078=""),"",IF(ABS(X2078-Y2078)&lt;=1,"✓ Cuadra","⚠ Diferencia $"&amp;FIXED(X2078-Y2078,0)))</f>
        <v/>
      </c>
      <c r="AA2078" s="72" t="str">
        <f aca="false">IF(AH2078="","",IFERROR(INDEX(C_TIPO,MATCH(C2078&amp;"-P"&amp;MAX(1,COUNTIFS(C_ID,C2078,C_DEFINE,"Sí",C_INICIO,"&lt;="&amp;EOMONTH(B2078,0))),C_CLAVE,0))&amp;"","Sin dato"))</f>
        <v/>
      </c>
      <c r="AB2078" s="71" t="str">
        <f aca="false">IF(AH2078="","",ROUND(MIN(K2078,TOPE_AFP_UF*AJ2078)*AK2078,0))</f>
        <v/>
      </c>
      <c r="AC2078" s="71" t="str">
        <f aca="false">IF(AH2078="","",ROUND(MIN(K2078,TOPE_AFC_UF*AJ2078)*IF(AA2078="Indefinido",AFC_EMP_INDEF,AFC_EMP_PF),0))</f>
        <v/>
      </c>
      <c r="AD2078" s="71" t="str">
        <f aca="false">IF(AH2078="","",ROUND(MIN(K2078,TOPE_AFP_UF*AJ2078)*(MUTUAL_BASICA+MUTUAL_ADIC+SANNA),0))</f>
        <v/>
      </c>
      <c r="AE2078" s="71" t="str">
        <f aca="false">IF(AH2078="","",P2078-N(N2078)+AB2078+AC2078+AD2078)</f>
        <v/>
      </c>
      <c r="AF2078" s="65"/>
      <c r="AG2078" s="64"/>
      <c r="AH2078" s="72" t="str">
        <f aca="false">IF(OR(B2078="",C2078=""),"",C2078&amp;"|"&amp;(YEAR(B2078)*100+MONTH(B2078)))</f>
        <v/>
      </c>
      <c r="AI2078" s="70" t="str">
        <f aca="false">IF(AH2078="","",IF(COUNTIF(L_CLAVE,AH2078)&gt;1,"⚠ Duplicado","OK"))</f>
        <v/>
      </c>
      <c r="AJ2078" s="86" t="str">
        <f aca="false">IF(AH2078="","",IF(SUMPRODUCT(MAX((IND_PER&lt;=B2078)*(IND_UF&lt;&gt;"")*IND_PER))=0,UF_HOY,INDEX(IND_UF,MATCH(SUMPRODUCT(MAX((IND_PER&lt;=B2078)*(IND_UF&lt;&gt;"")*IND_PER)),IND_PER,0))))</f>
        <v/>
      </c>
      <c r="AK2078" s="87" t="str">
        <f aca="false">IF(AH2078="","",IF(COUNTIF(TASA_DESDE,"&lt;="&amp;B2078)=0,INDEX(TASA_EMP,1),INDEX(TASA_EMP,COUNTIF(TASA_DESDE,"&lt;="&amp;B2078))))</f>
        <v/>
      </c>
    </row>
    <row r="2079" customFormat="false" ht="15" hidden="false" customHeight="false" outlineLevel="0" collapsed="false">
      <c r="B2079" s="78"/>
      <c r="C2079" s="64"/>
      <c r="D2079" s="72" t="str">
        <f aca="false">IF(C2079="","",IFERROR(INDEX(T_NOMBRE,MATCH(C2079,T_ID,0)),"⚠ ID no existe"))</f>
        <v/>
      </c>
      <c r="E2079" s="69"/>
      <c r="F2079" s="67"/>
      <c r="G2079" s="67"/>
      <c r="H2079" s="67"/>
      <c r="I2079" s="67"/>
      <c r="J2079" s="67"/>
      <c r="K2079" s="85" t="str">
        <f aca="false">IF(AH2079="","",N(F2079)+N(G2079)+N(H2079)-N(I2079)+N(J2079))</f>
        <v/>
      </c>
      <c r="L2079" s="67"/>
      <c r="M2079" s="67"/>
      <c r="N2079" s="67"/>
      <c r="O2079" s="67"/>
      <c r="P2079" s="85" t="str">
        <f aca="false">IF(AH2079="","",K2079+N(L2079)+N(M2079)+N(N2079)+N(O2079))</f>
        <v/>
      </c>
      <c r="Q2079" s="67"/>
      <c r="R2079" s="67"/>
      <c r="S2079" s="67"/>
      <c r="T2079" s="67"/>
      <c r="U2079" s="67"/>
      <c r="V2079" s="67"/>
      <c r="W2079" s="85" t="str">
        <f aca="false">IF(AH2079="","",N(Q2079)+N(R2079)+N(S2079)+N(T2079)+N(U2079)+N(V2079))</f>
        <v/>
      </c>
      <c r="X2079" s="85" t="str">
        <f aca="false">IF(AH2079="","",P2079-W2079)</f>
        <v/>
      </c>
      <c r="Y2079" s="67"/>
      <c r="Z2079" s="70" t="str">
        <f aca="false">IF(OR(AH2079="",Y2079=""),"",IF(ABS(X2079-Y2079)&lt;=1,"✓ Cuadra","⚠ Diferencia $"&amp;FIXED(X2079-Y2079,0)))</f>
        <v/>
      </c>
      <c r="AA2079" s="72" t="str">
        <f aca="false">IF(AH2079="","",IFERROR(INDEX(C_TIPO,MATCH(C2079&amp;"-P"&amp;MAX(1,COUNTIFS(C_ID,C2079,C_DEFINE,"Sí",C_INICIO,"&lt;="&amp;EOMONTH(B2079,0))),C_CLAVE,0))&amp;"","Sin dato"))</f>
        <v/>
      </c>
      <c r="AB2079" s="71" t="str">
        <f aca="false">IF(AH2079="","",ROUND(MIN(K2079,TOPE_AFP_UF*AJ2079)*AK2079,0))</f>
        <v/>
      </c>
      <c r="AC2079" s="71" t="str">
        <f aca="false">IF(AH2079="","",ROUND(MIN(K2079,TOPE_AFC_UF*AJ2079)*IF(AA2079="Indefinido",AFC_EMP_INDEF,AFC_EMP_PF),0))</f>
        <v/>
      </c>
      <c r="AD2079" s="71" t="str">
        <f aca="false">IF(AH2079="","",ROUND(MIN(K2079,TOPE_AFP_UF*AJ2079)*(MUTUAL_BASICA+MUTUAL_ADIC+SANNA),0))</f>
        <v/>
      </c>
      <c r="AE2079" s="71" t="str">
        <f aca="false">IF(AH2079="","",P2079-N(N2079)+AB2079+AC2079+AD2079)</f>
        <v/>
      </c>
      <c r="AF2079" s="65"/>
      <c r="AG2079" s="64"/>
      <c r="AH2079" s="72" t="str">
        <f aca="false">IF(OR(B2079="",C2079=""),"",C2079&amp;"|"&amp;(YEAR(B2079)*100+MONTH(B2079)))</f>
        <v/>
      </c>
      <c r="AI2079" s="70" t="str">
        <f aca="false">IF(AH2079="","",IF(COUNTIF(L_CLAVE,AH2079)&gt;1,"⚠ Duplicado","OK"))</f>
        <v/>
      </c>
      <c r="AJ2079" s="86" t="str">
        <f aca="false">IF(AH2079="","",IF(SUMPRODUCT(MAX((IND_PER&lt;=B2079)*(IND_UF&lt;&gt;"")*IND_PER))=0,UF_HOY,INDEX(IND_UF,MATCH(SUMPRODUCT(MAX((IND_PER&lt;=B2079)*(IND_UF&lt;&gt;"")*IND_PER)),IND_PER,0))))</f>
        <v/>
      </c>
      <c r="AK2079" s="87" t="str">
        <f aca="false">IF(AH2079="","",IF(COUNTIF(TASA_DESDE,"&lt;="&amp;B2079)=0,INDEX(TASA_EMP,1),INDEX(TASA_EMP,COUNTIF(TASA_DESDE,"&lt;="&amp;B2079))))</f>
        <v/>
      </c>
    </row>
    <row r="2080" customFormat="false" ht="15" hidden="false" customHeight="false" outlineLevel="0" collapsed="false">
      <c r="B2080" s="78"/>
      <c r="C2080" s="64"/>
      <c r="D2080" s="72" t="str">
        <f aca="false">IF(C2080="","",IFERROR(INDEX(T_NOMBRE,MATCH(C2080,T_ID,0)),"⚠ ID no existe"))</f>
        <v/>
      </c>
      <c r="E2080" s="69"/>
      <c r="F2080" s="67"/>
      <c r="G2080" s="67"/>
      <c r="H2080" s="67"/>
      <c r="I2080" s="67"/>
      <c r="J2080" s="67"/>
      <c r="K2080" s="85" t="str">
        <f aca="false">IF(AH2080="","",N(F2080)+N(G2080)+N(H2080)-N(I2080)+N(J2080))</f>
        <v/>
      </c>
      <c r="L2080" s="67"/>
      <c r="M2080" s="67"/>
      <c r="N2080" s="67"/>
      <c r="O2080" s="67"/>
      <c r="P2080" s="85" t="str">
        <f aca="false">IF(AH2080="","",K2080+N(L2080)+N(M2080)+N(N2080)+N(O2080))</f>
        <v/>
      </c>
      <c r="Q2080" s="67"/>
      <c r="R2080" s="67"/>
      <c r="S2080" s="67"/>
      <c r="T2080" s="67"/>
      <c r="U2080" s="67"/>
      <c r="V2080" s="67"/>
      <c r="W2080" s="85" t="str">
        <f aca="false">IF(AH2080="","",N(Q2080)+N(R2080)+N(S2080)+N(T2080)+N(U2080)+N(V2080))</f>
        <v/>
      </c>
      <c r="X2080" s="85" t="str">
        <f aca="false">IF(AH2080="","",P2080-W2080)</f>
        <v/>
      </c>
      <c r="Y2080" s="67"/>
      <c r="Z2080" s="70" t="str">
        <f aca="false">IF(OR(AH2080="",Y2080=""),"",IF(ABS(X2080-Y2080)&lt;=1,"✓ Cuadra","⚠ Diferencia $"&amp;FIXED(X2080-Y2080,0)))</f>
        <v/>
      </c>
      <c r="AA2080" s="72" t="str">
        <f aca="false">IF(AH2080="","",IFERROR(INDEX(C_TIPO,MATCH(C2080&amp;"-P"&amp;MAX(1,COUNTIFS(C_ID,C2080,C_DEFINE,"Sí",C_INICIO,"&lt;="&amp;EOMONTH(B2080,0))),C_CLAVE,0))&amp;"","Sin dato"))</f>
        <v/>
      </c>
      <c r="AB2080" s="71" t="str">
        <f aca="false">IF(AH2080="","",ROUND(MIN(K2080,TOPE_AFP_UF*AJ2080)*AK2080,0))</f>
        <v/>
      </c>
      <c r="AC2080" s="71" t="str">
        <f aca="false">IF(AH2080="","",ROUND(MIN(K2080,TOPE_AFC_UF*AJ2080)*IF(AA2080="Indefinido",AFC_EMP_INDEF,AFC_EMP_PF),0))</f>
        <v/>
      </c>
      <c r="AD2080" s="71" t="str">
        <f aca="false">IF(AH2080="","",ROUND(MIN(K2080,TOPE_AFP_UF*AJ2080)*(MUTUAL_BASICA+MUTUAL_ADIC+SANNA),0))</f>
        <v/>
      </c>
      <c r="AE2080" s="71" t="str">
        <f aca="false">IF(AH2080="","",P2080-N(N2080)+AB2080+AC2080+AD2080)</f>
        <v/>
      </c>
      <c r="AF2080" s="65"/>
      <c r="AG2080" s="64"/>
      <c r="AH2080" s="72" t="str">
        <f aca="false">IF(OR(B2080="",C2080=""),"",C2080&amp;"|"&amp;(YEAR(B2080)*100+MONTH(B2080)))</f>
        <v/>
      </c>
      <c r="AI2080" s="70" t="str">
        <f aca="false">IF(AH2080="","",IF(COUNTIF(L_CLAVE,AH2080)&gt;1,"⚠ Duplicado","OK"))</f>
        <v/>
      </c>
      <c r="AJ2080" s="86" t="str">
        <f aca="false">IF(AH2080="","",IF(SUMPRODUCT(MAX((IND_PER&lt;=B2080)*(IND_UF&lt;&gt;"")*IND_PER))=0,UF_HOY,INDEX(IND_UF,MATCH(SUMPRODUCT(MAX((IND_PER&lt;=B2080)*(IND_UF&lt;&gt;"")*IND_PER)),IND_PER,0))))</f>
        <v/>
      </c>
      <c r="AK2080" s="87" t="str">
        <f aca="false">IF(AH2080="","",IF(COUNTIF(TASA_DESDE,"&lt;="&amp;B2080)=0,INDEX(TASA_EMP,1),INDEX(TASA_EMP,COUNTIF(TASA_DESDE,"&lt;="&amp;B2080))))</f>
        <v/>
      </c>
    </row>
    <row r="2081" customFormat="false" ht="15" hidden="false" customHeight="false" outlineLevel="0" collapsed="false">
      <c r="B2081" s="78"/>
      <c r="C2081" s="64"/>
      <c r="D2081" s="72" t="str">
        <f aca="false">IF(C2081="","",IFERROR(INDEX(T_NOMBRE,MATCH(C2081,T_ID,0)),"⚠ ID no existe"))</f>
        <v/>
      </c>
      <c r="E2081" s="69"/>
      <c r="F2081" s="67"/>
      <c r="G2081" s="67"/>
      <c r="H2081" s="67"/>
      <c r="I2081" s="67"/>
      <c r="J2081" s="67"/>
      <c r="K2081" s="85" t="str">
        <f aca="false">IF(AH2081="","",N(F2081)+N(G2081)+N(H2081)-N(I2081)+N(J2081))</f>
        <v/>
      </c>
      <c r="L2081" s="67"/>
      <c r="M2081" s="67"/>
      <c r="N2081" s="67"/>
      <c r="O2081" s="67"/>
      <c r="P2081" s="85" t="str">
        <f aca="false">IF(AH2081="","",K2081+N(L2081)+N(M2081)+N(N2081)+N(O2081))</f>
        <v/>
      </c>
      <c r="Q2081" s="67"/>
      <c r="R2081" s="67"/>
      <c r="S2081" s="67"/>
      <c r="T2081" s="67"/>
      <c r="U2081" s="67"/>
      <c r="V2081" s="67"/>
      <c r="W2081" s="85" t="str">
        <f aca="false">IF(AH2081="","",N(Q2081)+N(R2081)+N(S2081)+N(T2081)+N(U2081)+N(V2081))</f>
        <v/>
      </c>
      <c r="X2081" s="85" t="str">
        <f aca="false">IF(AH2081="","",P2081-W2081)</f>
        <v/>
      </c>
      <c r="Y2081" s="67"/>
      <c r="Z2081" s="70" t="str">
        <f aca="false">IF(OR(AH2081="",Y2081=""),"",IF(ABS(X2081-Y2081)&lt;=1,"✓ Cuadra","⚠ Diferencia $"&amp;FIXED(X2081-Y2081,0)))</f>
        <v/>
      </c>
      <c r="AA2081" s="72" t="str">
        <f aca="false">IF(AH2081="","",IFERROR(INDEX(C_TIPO,MATCH(C2081&amp;"-P"&amp;MAX(1,COUNTIFS(C_ID,C2081,C_DEFINE,"Sí",C_INICIO,"&lt;="&amp;EOMONTH(B2081,0))),C_CLAVE,0))&amp;"","Sin dato"))</f>
        <v/>
      </c>
      <c r="AB2081" s="71" t="str">
        <f aca="false">IF(AH2081="","",ROUND(MIN(K2081,TOPE_AFP_UF*AJ2081)*AK2081,0))</f>
        <v/>
      </c>
      <c r="AC2081" s="71" t="str">
        <f aca="false">IF(AH2081="","",ROUND(MIN(K2081,TOPE_AFC_UF*AJ2081)*IF(AA2081="Indefinido",AFC_EMP_INDEF,AFC_EMP_PF),0))</f>
        <v/>
      </c>
      <c r="AD2081" s="71" t="str">
        <f aca="false">IF(AH2081="","",ROUND(MIN(K2081,TOPE_AFP_UF*AJ2081)*(MUTUAL_BASICA+MUTUAL_ADIC+SANNA),0))</f>
        <v/>
      </c>
      <c r="AE2081" s="71" t="str">
        <f aca="false">IF(AH2081="","",P2081-N(N2081)+AB2081+AC2081+AD2081)</f>
        <v/>
      </c>
      <c r="AF2081" s="65"/>
      <c r="AG2081" s="64"/>
      <c r="AH2081" s="72" t="str">
        <f aca="false">IF(OR(B2081="",C2081=""),"",C2081&amp;"|"&amp;(YEAR(B2081)*100+MONTH(B2081)))</f>
        <v/>
      </c>
      <c r="AI2081" s="70" t="str">
        <f aca="false">IF(AH2081="","",IF(COUNTIF(L_CLAVE,AH2081)&gt;1,"⚠ Duplicado","OK"))</f>
        <v/>
      </c>
      <c r="AJ2081" s="86" t="str">
        <f aca="false">IF(AH2081="","",IF(SUMPRODUCT(MAX((IND_PER&lt;=B2081)*(IND_UF&lt;&gt;"")*IND_PER))=0,UF_HOY,INDEX(IND_UF,MATCH(SUMPRODUCT(MAX((IND_PER&lt;=B2081)*(IND_UF&lt;&gt;"")*IND_PER)),IND_PER,0))))</f>
        <v/>
      </c>
      <c r="AK2081" s="87" t="str">
        <f aca="false">IF(AH2081="","",IF(COUNTIF(TASA_DESDE,"&lt;="&amp;B2081)=0,INDEX(TASA_EMP,1),INDEX(TASA_EMP,COUNTIF(TASA_DESDE,"&lt;="&amp;B2081))))</f>
        <v/>
      </c>
    </row>
    <row r="2082" customFormat="false" ht="15" hidden="false" customHeight="false" outlineLevel="0" collapsed="false">
      <c r="B2082" s="78"/>
      <c r="C2082" s="64"/>
      <c r="D2082" s="72" t="str">
        <f aca="false">IF(C2082="","",IFERROR(INDEX(T_NOMBRE,MATCH(C2082,T_ID,0)),"⚠ ID no existe"))</f>
        <v/>
      </c>
      <c r="E2082" s="69"/>
      <c r="F2082" s="67"/>
      <c r="G2082" s="67"/>
      <c r="H2082" s="67"/>
      <c r="I2082" s="67"/>
      <c r="J2082" s="67"/>
      <c r="K2082" s="85" t="str">
        <f aca="false">IF(AH2082="","",N(F2082)+N(G2082)+N(H2082)-N(I2082)+N(J2082))</f>
        <v/>
      </c>
      <c r="L2082" s="67"/>
      <c r="M2082" s="67"/>
      <c r="N2082" s="67"/>
      <c r="O2082" s="67"/>
      <c r="P2082" s="85" t="str">
        <f aca="false">IF(AH2082="","",K2082+N(L2082)+N(M2082)+N(N2082)+N(O2082))</f>
        <v/>
      </c>
      <c r="Q2082" s="67"/>
      <c r="R2082" s="67"/>
      <c r="S2082" s="67"/>
      <c r="T2082" s="67"/>
      <c r="U2082" s="67"/>
      <c r="V2082" s="67"/>
      <c r="W2082" s="85" t="str">
        <f aca="false">IF(AH2082="","",N(Q2082)+N(R2082)+N(S2082)+N(T2082)+N(U2082)+N(V2082))</f>
        <v/>
      </c>
      <c r="X2082" s="85" t="str">
        <f aca="false">IF(AH2082="","",P2082-W2082)</f>
        <v/>
      </c>
      <c r="Y2082" s="67"/>
      <c r="Z2082" s="70" t="str">
        <f aca="false">IF(OR(AH2082="",Y2082=""),"",IF(ABS(X2082-Y2082)&lt;=1,"✓ Cuadra","⚠ Diferencia $"&amp;FIXED(X2082-Y2082,0)))</f>
        <v/>
      </c>
      <c r="AA2082" s="72" t="str">
        <f aca="false">IF(AH2082="","",IFERROR(INDEX(C_TIPO,MATCH(C2082&amp;"-P"&amp;MAX(1,COUNTIFS(C_ID,C2082,C_DEFINE,"Sí",C_INICIO,"&lt;="&amp;EOMONTH(B2082,0))),C_CLAVE,0))&amp;"","Sin dato"))</f>
        <v/>
      </c>
      <c r="AB2082" s="71" t="str">
        <f aca="false">IF(AH2082="","",ROUND(MIN(K2082,TOPE_AFP_UF*AJ2082)*AK2082,0))</f>
        <v/>
      </c>
      <c r="AC2082" s="71" t="str">
        <f aca="false">IF(AH2082="","",ROUND(MIN(K2082,TOPE_AFC_UF*AJ2082)*IF(AA2082="Indefinido",AFC_EMP_INDEF,AFC_EMP_PF),0))</f>
        <v/>
      </c>
      <c r="AD2082" s="71" t="str">
        <f aca="false">IF(AH2082="","",ROUND(MIN(K2082,TOPE_AFP_UF*AJ2082)*(MUTUAL_BASICA+MUTUAL_ADIC+SANNA),0))</f>
        <v/>
      </c>
      <c r="AE2082" s="71" t="str">
        <f aca="false">IF(AH2082="","",P2082-N(N2082)+AB2082+AC2082+AD2082)</f>
        <v/>
      </c>
      <c r="AF2082" s="65"/>
      <c r="AG2082" s="64"/>
      <c r="AH2082" s="72" t="str">
        <f aca="false">IF(OR(B2082="",C2082=""),"",C2082&amp;"|"&amp;(YEAR(B2082)*100+MONTH(B2082)))</f>
        <v/>
      </c>
      <c r="AI2082" s="70" t="str">
        <f aca="false">IF(AH2082="","",IF(COUNTIF(L_CLAVE,AH2082)&gt;1,"⚠ Duplicado","OK"))</f>
        <v/>
      </c>
      <c r="AJ2082" s="86" t="str">
        <f aca="false">IF(AH2082="","",IF(SUMPRODUCT(MAX((IND_PER&lt;=B2082)*(IND_UF&lt;&gt;"")*IND_PER))=0,UF_HOY,INDEX(IND_UF,MATCH(SUMPRODUCT(MAX((IND_PER&lt;=B2082)*(IND_UF&lt;&gt;"")*IND_PER)),IND_PER,0))))</f>
        <v/>
      </c>
      <c r="AK2082" s="87" t="str">
        <f aca="false">IF(AH2082="","",IF(COUNTIF(TASA_DESDE,"&lt;="&amp;B2082)=0,INDEX(TASA_EMP,1),INDEX(TASA_EMP,COUNTIF(TASA_DESDE,"&lt;="&amp;B2082))))</f>
        <v/>
      </c>
    </row>
    <row r="2083" customFormat="false" ht="15" hidden="false" customHeight="false" outlineLevel="0" collapsed="false">
      <c r="B2083" s="78"/>
      <c r="C2083" s="64"/>
      <c r="D2083" s="72" t="str">
        <f aca="false">IF(C2083="","",IFERROR(INDEX(T_NOMBRE,MATCH(C2083,T_ID,0)),"⚠ ID no existe"))</f>
        <v/>
      </c>
      <c r="E2083" s="69"/>
      <c r="F2083" s="67"/>
      <c r="G2083" s="67"/>
      <c r="H2083" s="67"/>
      <c r="I2083" s="67"/>
      <c r="J2083" s="67"/>
      <c r="K2083" s="85" t="str">
        <f aca="false">IF(AH2083="","",N(F2083)+N(G2083)+N(H2083)-N(I2083)+N(J2083))</f>
        <v/>
      </c>
      <c r="L2083" s="67"/>
      <c r="M2083" s="67"/>
      <c r="N2083" s="67"/>
      <c r="O2083" s="67"/>
      <c r="P2083" s="85" t="str">
        <f aca="false">IF(AH2083="","",K2083+N(L2083)+N(M2083)+N(N2083)+N(O2083))</f>
        <v/>
      </c>
      <c r="Q2083" s="67"/>
      <c r="R2083" s="67"/>
      <c r="S2083" s="67"/>
      <c r="T2083" s="67"/>
      <c r="U2083" s="67"/>
      <c r="V2083" s="67"/>
      <c r="W2083" s="85" t="str">
        <f aca="false">IF(AH2083="","",N(Q2083)+N(R2083)+N(S2083)+N(T2083)+N(U2083)+N(V2083))</f>
        <v/>
      </c>
      <c r="X2083" s="85" t="str">
        <f aca="false">IF(AH2083="","",P2083-W2083)</f>
        <v/>
      </c>
      <c r="Y2083" s="67"/>
      <c r="Z2083" s="70" t="str">
        <f aca="false">IF(OR(AH2083="",Y2083=""),"",IF(ABS(X2083-Y2083)&lt;=1,"✓ Cuadra","⚠ Diferencia $"&amp;FIXED(X2083-Y2083,0)))</f>
        <v/>
      </c>
      <c r="AA2083" s="72" t="str">
        <f aca="false">IF(AH2083="","",IFERROR(INDEX(C_TIPO,MATCH(C2083&amp;"-P"&amp;MAX(1,COUNTIFS(C_ID,C2083,C_DEFINE,"Sí",C_INICIO,"&lt;="&amp;EOMONTH(B2083,0))),C_CLAVE,0))&amp;"","Sin dato"))</f>
        <v/>
      </c>
      <c r="AB2083" s="71" t="str">
        <f aca="false">IF(AH2083="","",ROUND(MIN(K2083,TOPE_AFP_UF*AJ2083)*AK2083,0))</f>
        <v/>
      </c>
      <c r="AC2083" s="71" t="str">
        <f aca="false">IF(AH2083="","",ROUND(MIN(K2083,TOPE_AFC_UF*AJ2083)*IF(AA2083="Indefinido",AFC_EMP_INDEF,AFC_EMP_PF),0))</f>
        <v/>
      </c>
      <c r="AD2083" s="71" t="str">
        <f aca="false">IF(AH2083="","",ROUND(MIN(K2083,TOPE_AFP_UF*AJ2083)*(MUTUAL_BASICA+MUTUAL_ADIC+SANNA),0))</f>
        <v/>
      </c>
      <c r="AE2083" s="71" t="str">
        <f aca="false">IF(AH2083="","",P2083-N(N2083)+AB2083+AC2083+AD2083)</f>
        <v/>
      </c>
      <c r="AF2083" s="65"/>
      <c r="AG2083" s="64"/>
      <c r="AH2083" s="72" t="str">
        <f aca="false">IF(OR(B2083="",C2083=""),"",C2083&amp;"|"&amp;(YEAR(B2083)*100+MONTH(B2083)))</f>
        <v/>
      </c>
      <c r="AI2083" s="70" t="str">
        <f aca="false">IF(AH2083="","",IF(COUNTIF(L_CLAVE,AH2083)&gt;1,"⚠ Duplicado","OK"))</f>
        <v/>
      </c>
      <c r="AJ2083" s="86" t="str">
        <f aca="false">IF(AH2083="","",IF(SUMPRODUCT(MAX((IND_PER&lt;=B2083)*(IND_UF&lt;&gt;"")*IND_PER))=0,UF_HOY,INDEX(IND_UF,MATCH(SUMPRODUCT(MAX((IND_PER&lt;=B2083)*(IND_UF&lt;&gt;"")*IND_PER)),IND_PER,0))))</f>
        <v/>
      </c>
      <c r="AK2083" s="87" t="str">
        <f aca="false">IF(AH2083="","",IF(COUNTIF(TASA_DESDE,"&lt;="&amp;B2083)=0,INDEX(TASA_EMP,1),INDEX(TASA_EMP,COUNTIF(TASA_DESDE,"&lt;="&amp;B2083))))</f>
        <v/>
      </c>
    </row>
    <row r="2084" customFormat="false" ht="15" hidden="false" customHeight="false" outlineLevel="0" collapsed="false">
      <c r="B2084" s="78"/>
      <c r="C2084" s="64"/>
      <c r="D2084" s="72" t="str">
        <f aca="false">IF(C2084="","",IFERROR(INDEX(T_NOMBRE,MATCH(C2084,T_ID,0)),"⚠ ID no existe"))</f>
        <v/>
      </c>
      <c r="E2084" s="69"/>
      <c r="F2084" s="67"/>
      <c r="G2084" s="67"/>
      <c r="H2084" s="67"/>
      <c r="I2084" s="67"/>
      <c r="J2084" s="67"/>
      <c r="K2084" s="85" t="str">
        <f aca="false">IF(AH2084="","",N(F2084)+N(G2084)+N(H2084)-N(I2084)+N(J2084))</f>
        <v/>
      </c>
      <c r="L2084" s="67"/>
      <c r="M2084" s="67"/>
      <c r="N2084" s="67"/>
      <c r="O2084" s="67"/>
      <c r="P2084" s="85" t="str">
        <f aca="false">IF(AH2084="","",K2084+N(L2084)+N(M2084)+N(N2084)+N(O2084))</f>
        <v/>
      </c>
      <c r="Q2084" s="67"/>
      <c r="R2084" s="67"/>
      <c r="S2084" s="67"/>
      <c r="T2084" s="67"/>
      <c r="U2084" s="67"/>
      <c r="V2084" s="67"/>
      <c r="W2084" s="85" t="str">
        <f aca="false">IF(AH2084="","",N(Q2084)+N(R2084)+N(S2084)+N(T2084)+N(U2084)+N(V2084))</f>
        <v/>
      </c>
      <c r="X2084" s="85" t="str">
        <f aca="false">IF(AH2084="","",P2084-W2084)</f>
        <v/>
      </c>
      <c r="Y2084" s="67"/>
      <c r="Z2084" s="70" t="str">
        <f aca="false">IF(OR(AH2084="",Y2084=""),"",IF(ABS(X2084-Y2084)&lt;=1,"✓ Cuadra","⚠ Diferencia $"&amp;FIXED(X2084-Y2084,0)))</f>
        <v/>
      </c>
      <c r="AA2084" s="72" t="str">
        <f aca="false">IF(AH2084="","",IFERROR(INDEX(C_TIPO,MATCH(C2084&amp;"-P"&amp;MAX(1,COUNTIFS(C_ID,C2084,C_DEFINE,"Sí",C_INICIO,"&lt;="&amp;EOMONTH(B2084,0))),C_CLAVE,0))&amp;"","Sin dato"))</f>
        <v/>
      </c>
      <c r="AB2084" s="71" t="str">
        <f aca="false">IF(AH2084="","",ROUND(MIN(K2084,TOPE_AFP_UF*AJ2084)*AK2084,0))</f>
        <v/>
      </c>
      <c r="AC2084" s="71" t="str">
        <f aca="false">IF(AH2084="","",ROUND(MIN(K2084,TOPE_AFC_UF*AJ2084)*IF(AA2084="Indefinido",AFC_EMP_INDEF,AFC_EMP_PF),0))</f>
        <v/>
      </c>
      <c r="AD2084" s="71" t="str">
        <f aca="false">IF(AH2084="","",ROUND(MIN(K2084,TOPE_AFP_UF*AJ2084)*(MUTUAL_BASICA+MUTUAL_ADIC+SANNA),0))</f>
        <v/>
      </c>
      <c r="AE2084" s="71" t="str">
        <f aca="false">IF(AH2084="","",P2084-N(N2084)+AB2084+AC2084+AD2084)</f>
        <v/>
      </c>
      <c r="AF2084" s="65"/>
      <c r="AG2084" s="64"/>
      <c r="AH2084" s="72" t="str">
        <f aca="false">IF(OR(B2084="",C2084=""),"",C2084&amp;"|"&amp;(YEAR(B2084)*100+MONTH(B2084)))</f>
        <v/>
      </c>
      <c r="AI2084" s="70" t="str">
        <f aca="false">IF(AH2084="","",IF(COUNTIF(L_CLAVE,AH2084)&gt;1,"⚠ Duplicado","OK"))</f>
        <v/>
      </c>
      <c r="AJ2084" s="86" t="str">
        <f aca="false">IF(AH2084="","",IF(SUMPRODUCT(MAX((IND_PER&lt;=B2084)*(IND_UF&lt;&gt;"")*IND_PER))=0,UF_HOY,INDEX(IND_UF,MATCH(SUMPRODUCT(MAX((IND_PER&lt;=B2084)*(IND_UF&lt;&gt;"")*IND_PER)),IND_PER,0))))</f>
        <v/>
      </c>
      <c r="AK2084" s="87" t="str">
        <f aca="false">IF(AH2084="","",IF(COUNTIF(TASA_DESDE,"&lt;="&amp;B2084)=0,INDEX(TASA_EMP,1),INDEX(TASA_EMP,COUNTIF(TASA_DESDE,"&lt;="&amp;B2084))))</f>
        <v/>
      </c>
    </row>
    <row r="2085" customFormat="false" ht="15" hidden="false" customHeight="false" outlineLevel="0" collapsed="false">
      <c r="B2085" s="78"/>
      <c r="C2085" s="64"/>
      <c r="D2085" s="72" t="str">
        <f aca="false">IF(C2085="","",IFERROR(INDEX(T_NOMBRE,MATCH(C2085,T_ID,0)),"⚠ ID no existe"))</f>
        <v/>
      </c>
      <c r="E2085" s="69"/>
      <c r="F2085" s="67"/>
      <c r="G2085" s="67"/>
      <c r="H2085" s="67"/>
      <c r="I2085" s="67"/>
      <c r="J2085" s="67"/>
      <c r="K2085" s="85" t="str">
        <f aca="false">IF(AH2085="","",N(F2085)+N(G2085)+N(H2085)-N(I2085)+N(J2085))</f>
        <v/>
      </c>
      <c r="L2085" s="67"/>
      <c r="M2085" s="67"/>
      <c r="N2085" s="67"/>
      <c r="O2085" s="67"/>
      <c r="P2085" s="85" t="str">
        <f aca="false">IF(AH2085="","",K2085+N(L2085)+N(M2085)+N(N2085)+N(O2085))</f>
        <v/>
      </c>
      <c r="Q2085" s="67"/>
      <c r="R2085" s="67"/>
      <c r="S2085" s="67"/>
      <c r="T2085" s="67"/>
      <c r="U2085" s="67"/>
      <c r="V2085" s="67"/>
      <c r="W2085" s="85" t="str">
        <f aca="false">IF(AH2085="","",N(Q2085)+N(R2085)+N(S2085)+N(T2085)+N(U2085)+N(V2085))</f>
        <v/>
      </c>
      <c r="X2085" s="85" t="str">
        <f aca="false">IF(AH2085="","",P2085-W2085)</f>
        <v/>
      </c>
      <c r="Y2085" s="67"/>
      <c r="Z2085" s="70" t="str">
        <f aca="false">IF(OR(AH2085="",Y2085=""),"",IF(ABS(X2085-Y2085)&lt;=1,"✓ Cuadra","⚠ Diferencia $"&amp;FIXED(X2085-Y2085,0)))</f>
        <v/>
      </c>
      <c r="AA2085" s="72" t="str">
        <f aca="false">IF(AH2085="","",IFERROR(INDEX(C_TIPO,MATCH(C2085&amp;"-P"&amp;MAX(1,COUNTIFS(C_ID,C2085,C_DEFINE,"Sí",C_INICIO,"&lt;="&amp;EOMONTH(B2085,0))),C_CLAVE,0))&amp;"","Sin dato"))</f>
        <v/>
      </c>
      <c r="AB2085" s="71" t="str">
        <f aca="false">IF(AH2085="","",ROUND(MIN(K2085,TOPE_AFP_UF*AJ2085)*AK2085,0))</f>
        <v/>
      </c>
      <c r="AC2085" s="71" t="str">
        <f aca="false">IF(AH2085="","",ROUND(MIN(K2085,TOPE_AFC_UF*AJ2085)*IF(AA2085="Indefinido",AFC_EMP_INDEF,AFC_EMP_PF),0))</f>
        <v/>
      </c>
      <c r="AD2085" s="71" t="str">
        <f aca="false">IF(AH2085="","",ROUND(MIN(K2085,TOPE_AFP_UF*AJ2085)*(MUTUAL_BASICA+MUTUAL_ADIC+SANNA),0))</f>
        <v/>
      </c>
      <c r="AE2085" s="71" t="str">
        <f aca="false">IF(AH2085="","",P2085-N(N2085)+AB2085+AC2085+AD2085)</f>
        <v/>
      </c>
      <c r="AF2085" s="65"/>
      <c r="AG2085" s="64"/>
      <c r="AH2085" s="72" t="str">
        <f aca="false">IF(OR(B2085="",C2085=""),"",C2085&amp;"|"&amp;(YEAR(B2085)*100+MONTH(B2085)))</f>
        <v/>
      </c>
      <c r="AI2085" s="70" t="str">
        <f aca="false">IF(AH2085="","",IF(COUNTIF(L_CLAVE,AH2085)&gt;1,"⚠ Duplicado","OK"))</f>
        <v/>
      </c>
      <c r="AJ2085" s="86" t="str">
        <f aca="false">IF(AH2085="","",IF(SUMPRODUCT(MAX((IND_PER&lt;=B2085)*(IND_UF&lt;&gt;"")*IND_PER))=0,UF_HOY,INDEX(IND_UF,MATCH(SUMPRODUCT(MAX((IND_PER&lt;=B2085)*(IND_UF&lt;&gt;"")*IND_PER)),IND_PER,0))))</f>
        <v/>
      </c>
      <c r="AK2085" s="87" t="str">
        <f aca="false">IF(AH2085="","",IF(COUNTIF(TASA_DESDE,"&lt;="&amp;B2085)=0,INDEX(TASA_EMP,1),INDEX(TASA_EMP,COUNTIF(TASA_DESDE,"&lt;="&amp;B2085))))</f>
        <v/>
      </c>
    </row>
    <row r="2086" customFormat="false" ht="15" hidden="false" customHeight="false" outlineLevel="0" collapsed="false">
      <c r="B2086" s="78"/>
      <c r="C2086" s="64"/>
      <c r="D2086" s="72" t="str">
        <f aca="false">IF(C2086="","",IFERROR(INDEX(T_NOMBRE,MATCH(C2086,T_ID,0)),"⚠ ID no existe"))</f>
        <v/>
      </c>
      <c r="E2086" s="69"/>
      <c r="F2086" s="67"/>
      <c r="G2086" s="67"/>
      <c r="H2086" s="67"/>
      <c r="I2086" s="67"/>
      <c r="J2086" s="67"/>
      <c r="K2086" s="85" t="str">
        <f aca="false">IF(AH2086="","",N(F2086)+N(G2086)+N(H2086)-N(I2086)+N(J2086))</f>
        <v/>
      </c>
      <c r="L2086" s="67"/>
      <c r="M2086" s="67"/>
      <c r="N2086" s="67"/>
      <c r="O2086" s="67"/>
      <c r="P2086" s="85" t="str">
        <f aca="false">IF(AH2086="","",K2086+N(L2086)+N(M2086)+N(N2086)+N(O2086))</f>
        <v/>
      </c>
      <c r="Q2086" s="67"/>
      <c r="R2086" s="67"/>
      <c r="S2086" s="67"/>
      <c r="T2086" s="67"/>
      <c r="U2086" s="67"/>
      <c r="V2086" s="67"/>
      <c r="W2086" s="85" t="str">
        <f aca="false">IF(AH2086="","",N(Q2086)+N(R2086)+N(S2086)+N(T2086)+N(U2086)+N(V2086))</f>
        <v/>
      </c>
      <c r="X2086" s="85" t="str">
        <f aca="false">IF(AH2086="","",P2086-W2086)</f>
        <v/>
      </c>
      <c r="Y2086" s="67"/>
      <c r="Z2086" s="70" t="str">
        <f aca="false">IF(OR(AH2086="",Y2086=""),"",IF(ABS(X2086-Y2086)&lt;=1,"✓ Cuadra","⚠ Diferencia $"&amp;FIXED(X2086-Y2086,0)))</f>
        <v/>
      </c>
      <c r="AA2086" s="72" t="str">
        <f aca="false">IF(AH2086="","",IFERROR(INDEX(C_TIPO,MATCH(C2086&amp;"-P"&amp;MAX(1,COUNTIFS(C_ID,C2086,C_DEFINE,"Sí",C_INICIO,"&lt;="&amp;EOMONTH(B2086,0))),C_CLAVE,0))&amp;"","Sin dato"))</f>
        <v/>
      </c>
      <c r="AB2086" s="71" t="str">
        <f aca="false">IF(AH2086="","",ROUND(MIN(K2086,TOPE_AFP_UF*AJ2086)*AK2086,0))</f>
        <v/>
      </c>
      <c r="AC2086" s="71" t="str">
        <f aca="false">IF(AH2086="","",ROUND(MIN(K2086,TOPE_AFC_UF*AJ2086)*IF(AA2086="Indefinido",AFC_EMP_INDEF,AFC_EMP_PF),0))</f>
        <v/>
      </c>
      <c r="AD2086" s="71" t="str">
        <f aca="false">IF(AH2086="","",ROUND(MIN(K2086,TOPE_AFP_UF*AJ2086)*(MUTUAL_BASICA+MUTUAL_ADIC+SANNA),0))</f>
        <v/>
      </c>
      <c r="AE2086" s="71" t="str">
        <f aca="false">IF(AH2086="","",P2086-N(N2086)+AB2086+AC2086+AD2086)</f>
        <v/>
      </c>
      <c r="AF2086" s="65"/>
      <c r="AG2086" s="64"/>
      <c r="AH2086" s="72" t="str">
        <f aca="false">IF(OR(B2086="",C2086=""),"",C2086&amp;"|"&amp;(YEAR(B2086)*100+MONTH(B2086)))</f>
        <v/>
      </c>
      <c r="AI2086" s="70" t="str">
        <f aca="false">IF(AH2086="","",IF(COUNTIF(L_CLAVE,AH2086)&gt;1,"⚠ Duplicado","OK"))</f>
        <v/>
      </c>
      <c r="AJ2086" s="86" t="str">
        <f aca="false">IF(AH2086="","",IF(SUMPRODUCT(MAX((IND_PER&lt;=B2086)*(IND_UF&lt;&gt;"")*IND_PER))=0,UF_HOY,INDEX(IND_UF,MATCH(SUMPRODUCT(MAX((IND_PER&lt;=B2086)*(IND_UF&lt;&gt;"")*IND_PER)),IND_PER,0))))</f>
        <v/>
      </c>
      <c r="AK2086" s="87" t="str">
        <f aca="false">IF(AH2086="","",IF(COUNTIF(TASA_DESDE,"&lt;="&amp;B2086)=0,INDEX(TASA_EMP,1),INDEX(TASA_EMP,COUNTIF(TASA_DESDE,"&lt;="&amp;B2086))))</f>
        <v/>
      </c>
    </row>
    <row r="2087" customFormat="false" ht="15" hidden="false" customHeight="false" outlineLevel="0" collapsed="false">
      <c r="B2087" s="78"/>
      <c r="C2087" s="64"/>
      <c r="D2087" s="72" t="str">
        <f aca="false">IF(C2087="","",IFERROR(INDEX(T_NOMBRE,MATCH(C2087,T_ID,0)),"⚠ ID no existe"))</f>
        <v/>
      </c>
      <c r="E2087" s="69"/>
      <c r="F2087" s="67"/>
      <c r="G2087" s="67"/>
      <c r="H2087" s="67"/>
      <c r="I2087" s="67"/>
      <c r="J2087" s="67"/>
      <c r="K2087" s="85" t="str">
        <f aca="false">IF(AH2087="","",N(F2087)+N(G2087)+N(H2087)-N(I2087)+N(J2087))</f>
        <v/>
      </c>
      <c r="L2087" s="67"/>
      <c r="M2087" s="67"/>
      <c r="N2087" s="67"/>
      <c r="O2087" s="67"/>
      <c r="P2087" s="85" t="str">
        <f aca="false">IF(AH2087="","",K2087+N(L2087)+N(M2087)+N(N2087)+N(O2087))</f>
        <v/>
      </c>
      <c r="Q2087" s="67"/>
      <c r="R2087" s="67"/>
      <c r="S2087" s="67"/>
      <c r="T2087" s="67"/>
      <c r="U2087" s="67"/>
      <c r="V2087" s="67"/>
      <c r="W2087" s="85" t="str">
        <f aca="false">IF(AH2087="","",N(Q2087)+N(R2087)+N(S2087)+N(T2087)+N(U2087)+N(V2087))</f>
        <v/>
      </c>
      <c r="X2087" s="85" t="str">
        <f aca="false">IF(AH2087="","",P2087-W2087)</f>
        <v/>
      </c>
      <c r="Y2087" s="67"/>
      <c r="Z2087" s="70" t="str">
        <f aca="false">IF(OR(AH2087="",Y2087=""),"",IF(ABS(X2087-Y2087)&lt;=1,"✓ Cuadra","⚠ Diferencia $"&amp;FIXED(X2087-Y2087,0)))</f>
        <v/>
      </c>
      <c r="AA2087" s="72" t="str">
        <f aca="false">IF(AH2087="","",IFERROR(INDEX(C_TIPO,MATCH(C2087&amp;"-P"&amp;MAX(1,COUNTIFS(C_ID,C2087,C_DEFINE,"Sí",C_INICIO,"&lt;="&amp;EOMONTH(B2087,0))),C_CLAVE,0))&amp;"","Sin dato"))</f>
        <v/>
      </c>
      <c r="AB2087" s="71" t="str">
        <f aca="false">IF(AH2087="","",ROUND(MIN(K2087,TOPE_AFP_UF*AJ2087)*AK2087,0))</f>
        <v/>
      </c>
      <c r="AC2087" s="71" t="str">
        <f aca="false">IF(AH2087="","",ROUND(MIN(K2087,TOPE_AFC_UF*AJ2087)*IF(AA2087="Indefinido",AFC_EMP_INDEF,AFC_EMP_PF),0))</f>
        <v/>
      </c>
      <c r="AD2087" s="71" t="str">
        <f aca="false">IF(AH2087="","",ROUND(MIN(K2087,TOPE_AFP_UF*AJ2087)*(MUTUAL_BASICA+MUTUAL_ADIC+SANNA),0))</f>
        <v/>
      </c>
      <c r="AE2087" s="71" t="str">
        <f aca="false">IF(AH2087="","",P2087-N(N2087)+AB2087+AC2087+AD2087)</f>
        <v/>
      </c>
      <c r="AF2087" s="65"/>
      <c r="AG2087" s="64"/>
      <c r="AH2087" s="72" t="str">
        <f aca="false">IF(OR(B2087="",C2087=""),"",C2087&amp;"|"&amp;(YEAR(B2087)*100+MONTH(B2087)))</f>
        <v/>
      </c>
      <c r="AI2087" s="70" t="str">
        <f aca="false">IF(AH2087="","",IF(COUNTIF(L_CLAVE,AH2087)&gt;1,"⚠ Duplicado","OK"))</f>
        <v/>
      </c>
      <c r="AJ2087" s="86" t="str">
        <f aca="false">IF(AH2087="","",IF(SUMPRODUCT(MAX((IND_PER&lt;=B2087)*(IND_UF&lt;&gt;"")*IND_PER))=0,UF_HOY,INDEX(IND_UF,MATCH(SUMPRODUCT(MAX((IND_PER&lt;=B2087)*(IND_UF&lt;&gt;"")*IND_PER)),IND_PER,0))))</f>
        <v/>
      </c>
      <c r="AK2087" s="87" t="str">
        <f aca="false">IF(AH2087="","",IF(COUNTIF(TASA_DESDE,"&lt;="&amp;B2087)=0,INDEX(TASA_EMP,1),INDEX(TASA_EMP,COUNTIF(TASA_DESDE,"&lt;="&amp;B2087))))</f>
        <v/>
      </c>
    </row>
    <row r="2088" customFormat="false" ht="15" hidden="false" customHeight="false" outlineLevel="0" collapsed="false">
      <c r="B2088" s="78"/>
      <c r="C2088" s="64"/>
      <c r="D2088" s="72" t="str">
        <f aca="false">IF(C2088="","",IFERROR(INDEX(T_NOMBRE,MATCH(C2088,T_ID,0)),"⚠ ID no existe"))</f>
        <v/>
      </c>
      <c r="E2088" s="69"/>
      <c r="F2088" s="67"/>
      <c r="G2088" s="67"/>
      <c r="H2088" s="67"/>
      <c r="I2088" s="67"/>
      <c r="J2088" s="67"/>
      <c r="K2088" s="85" t="str">
        <f aca="false">IF(AH2088="","",N(F2088)+N(G2088)+N(H2088)-N(I2088)+N(J2088))</f>
        <v/>
      </c>
      <c r="L2088" s="67"/>
      <c r="M2088" s="67"/>
      <c r="N2088" s="67"/>
      <c r="O2088" s="67"/>
      <c r="P2088" s="85" t="str">
        <f aca="false">IF(AH2088="","",K2088+N(L2088)+N(M2088)+N(N2088)+N(O2088))</f>
        <v/>
      </c>
      <c r="Q2088" s="67"/>
      <c r="R2088" s="67"/>
      <c r="S2088" s="67"/>
      <c r="T2088" s="67"/>
      <c r="U2088" s="67"/>
      <c r="V2088" s="67"/>
      <c r="W2088" s="85" t="str">
        <f aca="false">IF(AH2088="","",N(Q2088)+N(R2088)+N(S2088)+N(T2088)+N(U2088)+N(V2088))</f>
        <v/>
      </c>
      <c r="X2088" s="85" t="str">
        <f aca="false">IF(AH2088="","",P2088-W2088)</f>
        <v/>
      </c>
      <c r="Y2088" s="67"/>
      <c r="Z2088" s="70" t="str">
        <f aca="false">IF(OR(AH2088="",Y2088=""),"",IF(ABS(X2088-Y2088)&lt;=1,"✓ Cuadra","⚠ Diferencia $"&amp;FIXED(X2088-Y2088,0)))</f>
        <v/>
      </c>
      <c r="AA2088" s="72" t="str">
        <f aca="false">IF(AH2088="","",IFERROR(INDEX(C_TIPO,MATCH(C2088&amp;"-P"&amp;MAX(1,COUNTIFS(C_ID,C2088,C_DEFINE,"Sí",C_INICIO,"&lt;="&amp;EOMONTH(B2088,0))),C_CLAVE,0))&amp;"","Sin dato"))</f>
        <v/>
      </c>
      <c r="AB2088" s="71" t="str">
        <f aca="false">IF(AH2088="","",ROUND(MIN(K2088,TOPE_AFP_UF*AJ2088)*AK2088,0))</f>
        <v/>
      </c>
      <c r="AC2088" s="71" t="str">
        <f aca="false">IF(AH2088="","",ROUND(MIN(K2088,TOPE_AFC_UF*AJ2088)*IF(AA2088="Indefinido",AFC_EMP_INDEF,AFC_EMP_PF),0))</f>
        <v/>
      </c>
      <c r="AD2088" s="71" t="str">
        <f aca="false">IF(AH2088="","",ROUND(MIN(K2088,TOPE_AFP_UF*AJ2088)*(MUTUAL_BASICA+MUTUAL_ADIC+SANNA),0))</f>
        <v/>
      </c>
      <c r="AE2088" s="71" t="str">
        <f aca="false">IF(AH2088="","",P2088-N(N2088)+AB2088+AC2088+AD2088)</f>
        <v/>
      </c>
      <c r="AF2088" s="65"/>
      <c r="AG2088" s="64"/>
      <c r="AH2088" s="72" t="str">
        <f aca="false">IF(OR(B2088="",C2088=""),"",C2088&amp;"|"&amp;(YEAR(B2088)*100+MONTH(B2088)))</f>
        <v/>
      </c>
      <c r="AI2088" s="70" t="str">
        <f aca="false">IF(AH2088="","",IF(COUNTIF(L_CLAVE,AH2088)&gt;1,"⚠ Duplicado","OK"))</f>
        <v/>
      </c>
      <c r="AJ2088" s="86" t="str">
        <f aca="false">IF(AH2088="","",IF(SUMPRODUCT(MAX((IND_PER&lt;=B2088)*(IND_UF&lt;&gt;"")*IND_PER))=0,UF_HOY,INDEX(IND_UF,MATCH(SUMPRODUCT(MAX((IND_PER&lt;=B2088)*(IND_UF&lt;&gt;"")*IND_PER)),IND_PER,0))))</f>
        <v/>
      </c>
      <c r="AK2088" s="87" t="str">
        <f aca="false">IF(AH2088="","",IF(COUNTIF(TASA_DESDE,"&lt;="&amp;B2088)=0,INDEX(TASA_EMP,1),INDEX(TASA_EMP,COUNTIF(TASA_DESDE,"&lt;="&amp;B2088))))</f>
        <v/>
      </c>
    </row>
    <row r="2089" customFormat="false" ht="15" hidden="false" customHeight="false" outlineLevel="0" collapsed="false">
      <c r="B2089" s="78"/>
      <c r="C2089" s="64"/>
      <c r="D2089" s="72" t="str">
        <f aca="false">IF(C2089="","",IFERROR(INDEX(T_NOMBRE,MATCH(C2089,T_ID,0)),"⚠ ID no existe"))</f>
        <v/>
      </c>
      <c r="E2089" s="69"/>
      <c r="F2089" s="67"/>
      <c r="G2089" s="67"/>
      <c r="H2089" s="67"/>
      <c r="I2089" s="67"/>
      <c r="J2089" s="67"/>
      <c r="K2089" s="85" t="str">
        <f aca="false">IF(AH2089="","",N(F2089)+N(G2089)+N(H2089)-N(I2089)+N(J2089))</f>
        <v/>
      </c>
      <c r="L2089" s="67"/>
      <c r="M2089" s="67"/>
      <c r="N2089" s="67"/>
      <c r="O2089" s="67"/>
      <c r="P2089" s="85" t="str">
        <f aca="false">IF(AH2089="","",K2089+N(L2089)+N(M2089)+N(N2089)+N(O2089))</f>
        <v/>
      </c>
      <c r="Q2089" s="67"/>
      <c r="R2089" s="67"/>
      <c r="S2089" s="67"/>
      <c r="T2089" s="67"/>
      <c r="U2089" s="67"/>
      <c r="V2089" s="67"/>
      <c r="W2089" s="85" t="str">
        <f aca="false">IF(AH2089="","",N(Q2089)+N(R2089)+N(S2089)+N(T2089)+N(U2089)+N(V2089))</f>
        <v/>
      </c>
      <c r="X2089" s="85" t="str">
        <f aca="false">IF(AH2089="","",P2089-W2089)</f>
        <v/>
      </c>
      <c r="Y2089" s="67"/>
      <c r="Z2089" s="70" t="str">
        <f aca="false">IF(OR(AH2089="",Y2089=""),"",IF(ABS(X2089-Y2089)&lt;=1,"✓ Cuadra","⚠ Diferencia $"&amp;FIXED(X2089-Y2089,0)))</f>
        <v/>
      </c>
      <c r="AA2089" s="72" t="str">
        <f aca="false">IF(AH2089="","",IFERROR(INDEX(C_TIPO,MATCH(C2089&amp;"-P"&amp;MAX(1,COUNTIFS(C_ID,C2089,C_DEFINE,"Sí",C_INICIO,"&lt;="&amp;EOMONTH(B2089,0))),C_CLAVE,0))&amp;"","Sin dato"))</f>
        <v/>
      </c>
      <c r="AB2089" s="71" t="str">
        <f aca="false">IF(AH2089="","",ROUND(MIN(K2089,TOPE_AFP_UF*AJ2089)*AK2089,0))</f>
        <v/>
      </c>
      <c r="AC2089" s="71" t="str">
        <f aca="false">IF(AH2089="","",ROUND(MIN(K2089,TOPE_AFC_UF*AJ2089)*IF(AA2089="Indefinido",AFC_EMP_INDEF,AFC_EMP_PF),0))</f>
        <v/>
      </c>
      <c r="AD2089" s="71" t="str">
        <f aca="false">IF(AH2089="","",ROUND(MIN(K2089,TOPE_AFP_UF*AJ2089)*(MUTUAL_BASICA+MUTUAL_ADIC+SANNA),0))</f>
        <v/>
      </c>
      <c r="AE2089" s="71" t="str">
        <f aca="false">IF(AH2089="","",P2089-N(N2089)+AB2089+AC2089+AD2089)</f>
        <v/>
      </c>
      <c r="AF2089" s="65"/>
      <c r="AG2089" s="64"/>
      <c r="AH2089" s="72" t="str">
        <f aca="false">IF(OR(B2089="",C2089=""),"",C2089&amp;"|"&amp;(YEAR(B2089)*100+MONTH(B2089)))</f>
        <v/>
      </c>
      <c r="AI2089" s="70" t="str">
        <f aca="false">IF(AH2089="","",IF(COUNTIF(L_CLAVE,AH2089)&gt;1,"⚠ Duplicado","OK"))</f>
        <v/>
      </c>
      <c r="AJ2089" s="86" t="str">
        <f aca="false">IF(AH2089="","",IF(SUMPRODUCT(MAX((IND_PER&lt;=B2089)*(IND_UF&lt;&gt;"")*IND_PER))=0,UF_HOY,INDEX(IND_UF,MATCH(SUMPRODUCT(MAX((IND_PER&lt;=B2089)*(IND_UF&lt;&gt;"")*IND_PER)),IND_PER,0))))</f>
        <v/>
      </c>
      <c r="AK2089" s="87" t="str">
        <f aca="false">IF(AH2089="","",IF(COUNTIF(TASA_DESDE,"&lt;="&amp;B2089)=0,INDEX(TASA_EMP,1),INDEX(TASA_EMP,COUNTIF(TASA_DESDE,"&lt;="&amp;B2089))))</f>
        <v/>
      </c>
    </row>
    <row r="2090" customFormat="false" ht="15" hidden="false" customHeight="false" outlineLevel="0" collapsed="false">
      <c r="B2090" s="78"/>
      <c r="C2090" s="64"/>
      <c r="D2090" s="72" t="str">
        <f aca="false">IF(C2090="","",IFERROR(INDEX(T_NOMBRE,MATCH(C2090,T_ID,0)),"⚠ ID no existe"))</f>
        <v/>
      </c>
      <c r="E2090" s="69"/>
      <c r="F2090" s="67"/>
      <c r="G2090" s="67"/>
      <c r="H2090" s="67"/>
      <c r="I2090" s="67"/>
      <c r="J2090" s="67"/>
      <c r="K2090" s="85" t="str">
        <f aca="false">IF(AH2090="","",N(F2090)+N(G2090)+N(H2090)-N(I2090)+N(J2090))</f>
        <v/>
      </c>
      <c r="L2090" s="67"/>
      <c r="M2090" s="67"/>
      <c r="N2090" s="67"/>
      <c r="O2090" s="67"/>
      <c r="P2090" s="85" t="str">
        <f aca="false">IF(AH2090="","",K2090+N(L2090)+N(M2090)+N(N2090)+N(O2090))</f>
        <v/>
      </c>
      <c r="Q2090" s="67"/>
      <c r="R2090" s="67"/>
      <c r="S2090" s="67"/>
      <c r="T2090" s="67"/>
      <c r="U2090" s="67"/>
      <c r="V2090" s="67"/>
      <c r="W2090" s="85" t="str">
        <f aca="false">IF(AH2090="","",N(Q2090)+N(R2090)+N(S2090)+N(T2090)+N(U2090)+N(V2090))</f>
        <v/>
      </c>
      <c r="X2090" s="85" t="str">
        <f aca="false">IF(AH2090="","",P2090-W2090)</f>
        <v/>
      </c>
      <c r="Y2090" s="67"/>
      <c r="Z2090" s="70" t="str">
        <f aca="false">IF(OR(AH2090="",Y2090=""),"",IF(ABS(X2090-Y2090)&lt;=1,"✓ Cuadra","⚠ Diferencia $"&amp;FIXED(X2090-Y2090,0)))</f>
        <v/>
      </c>
      <c r="AA2090" s="72" t="str">
        <f aca="false">IF(AH2090="","",IFERROR(INDEX(C_TIPO,MATCH(C2090&amp;"-P"&amp;MAX(1,COUNTIFS(C_ID,C2090,C_DEFINE,"Sí",C_INICIO,"&lt;="&amp;EOMONTH(B2090,0))),C_CLAVE,0))&amp;"","Sin dato"))</f>
        <v/>
      </c>
      <c r="AB2090" s="71" t="str">
        <f aca="false">IF(AH2090="","",ROUND(MIN(K2090,TOPE_AFP_UF*AJ2090)*AK2090,0))</f>
        <v/>
      </c>
      <c r="AC2090" s="71" t="str">
        <f aca="false">IF(AH2090="","",ROUND(MIN(K2090,TOPE_AFC_UF*AJ2090)*IF(AA2090="Indefinido",AFC_EMP_INDEF,AFC_EMP_PF),0))</f>
        <v/>
      </c>
      <c r="AD2090" s="71" t="str">
        <f aca="false">IF(AH2090="","",ROUND(MIN(K2090,TOPE_AFP_UF*AJ2090)*(MUTUAL_BASICA+MUTUAL_ADIC+SANNA),0))</f>
        <v/>
      </c>
      <c r="AE2090" s="71" t="str">
        <f aca="false">IF(AH2090="","",P2090-N(N2090)+AB2090+AC2090+AD2090)</f>
        <v/>
      </c>
      <c r="AF2090" s="65"/>
      <c r="AG2090" s="64"/>
      <c r="AH2090" s="72" t="str">
        <f aca="false">IF(OR(B2090="",C2090=""),"",C2090&amp;"|"&amp;(YEAR(B2090)*100+MONTH(B2090)))</f>
        <v/>
      </c>
      <c r="AI2090" s="70" t="str">
        <f aca="false">IF(AH2090="","",IF(COUNTIF(L_CLAVE,AH2090)&gt;1,"⚠ Duplicado","OK"))</f>
        <v/>
      </c>
      <c r="AJ2090" s="86" t="str">
        <f aca="false">IF(AH2090="","",IF(SUMPRODUCT(MAX((IND_PER&lt;=B2090)*(IND_UF&lt;&gt;"")*IND_PER))=0,UF_HOY,INDEX(IND_UF,MATCH(SUMPRODUCT(MAX((IND_PER&lt;=B2090)*(IND_UF&lt;&gt;"")*IND_PER)),IND_PER,0))))</f>
        <v/>
      </c>
      <c r="AK2090" s="87" t="str">
        <f aca="false">IF(AH2090="","",IF(COUNTIF(TASA_DESDE,"&lt;="&amp;B2090)=0,INDEX(TASA_EMP,1),INDEX(TASA_EMP,COUNTIF(TASA_DESDE,"&lt;="&amp;B2090))))</f>
        <v/>
      </c>
    </row>
    <row r="2091" customFormat="false" ht="15" hidden="false" customHeight="false" outlineLevel="0" collapsed="false">
      <c r="B2091" s="78"/>
      <c r="C2091" s="64"/>
      <c r="D2091" s="72" t="str">
        <f aca="false">IF(C2091="","",IFERROR(INDEX(T_NOMBRE,MATCH(C2091,T_ID,0)),"⚠ ID no existe"))</f>
        <v/>
      </c>
      <c r="E2091" s="69"/>
      <c r="F2091" s="67"/>
      <c r="G2091" s="67"/>
      <c r="H2091" s="67"/>
      <c r="I2091" s="67"/>
      <c r="J2091" s="67"/>
      <c r="K2091" s="85" t="str">
        <f aca="false">IF(AH2091="","",N(F2091)+N(G2091)+N(H2091)-N(I2091)+N(J2091))</f>
        <v/>
      </c>
      <c r="L2091" s="67"/>
      <c r="M2091" s="67"/>
      <c r="N2091" s="67"/>
      <c r="O2091" s="67"/>
      <c r="P2091" s="85" t="str">
        <f aca="false">IF(AH2091="","",K2091+N(L2091)+N(M2091)+N(N2091)+N(O2091))</f>
        <v/>
      </c>
      <c r="Q2091" s="67"/>
      <c r="R2091" s="67"/>
      <c r="S2091" s="67"/>
      <c r="T2091" s="67"/>
      <c r="U2091" s="67"/>
      <c r="V2091" s="67"/>
      <c r="W2091" s="85" t="str">
        <f aca="false">IF(AH2091="","",N(Q2091)+N(R2091)+N(S2091)+N(T2091)+N(U2091)+N(V2091))</f>
        <v/>
      </c>
      <c r="X2091" s="85" t="str">
        <f aca="false">IF(AH2091="","",P2091-W2091)</f>
        <v/>
      </c>
      <c r="Y2091" s="67"/>
      <c r="Z2091" s="70" t="str">
        <f aca="false">IF(OR(AH2091="",Y2091=""),"",IF(ABS(X2091-Y2091)&lt;=1,"✓ Cuadra","⚠ Diferencia $"&amp;FIXED(X2091-Y2091,0)))</f>
        <v/>
      </c>
      <c r="AA2091" s="72" t="str">
        <f aca="false">IF(AH2091="","",IFERROR(INDEX(C_TIPO,MATCH(C2091&amp;"-P"&amp;MAX(1,COUNTIFS(C_ID,C2091,C_DEFINE,"Sí",C_INICIO,"&lt;="&amp;EOMONTH(B2091,0))),C_CLAVE,0))&amp;"","Sin dato"))</f>
        <v/>
      </c>
      <c r="AB2091" s="71" t="str">
        <f aca="false">IF(AH2091="","",ROUND(MIN(K2091,TOPE_AFP_UF*AJ2091)*AK2091,0))</f>
        <v/>
      </c>
      <c r="AC2091" s="71" t="str">
        <f aca="false">IF(AH2091="","",ROUND(MIN(K2091,TOPE_AFC_UF*AJ2091)*IF(AA2091="Indefinido",AFC_EMP_INDEF,AFC_EMP_PF),0))</f>
        <v/>
      </c>
      <c r="AD2091" s="71" t="str">
        <f aca="false">IF(AH2091="","",ROUND(MIN(K2091,TOPE_AFP_UF*AJ2091)*(MUTUAL_BASICA+MUTUAL_ADIC+SANNA),0))</f>
        <v/>
      </c>
      <c r="AE2091" s="71" t="str">
        <f aca="false">IF(AH2091="","",P2091-N(N2091)+AB2091+AC2091+AD2091)</f>
        <v/>
      </c>
      <c r="AF2091" s="65"/>
      <c r="AG2091" s="64"/>
      <c r="AH2091" s="72" t="str">
        <f aca="false">IF(OR(B2091="",C2091=""),"",C2091&amp;"|"&amp;(YEAR(B2091)*100+MONTH(B2091)))</f>
        <v/>
      </c>
      <c r="AI2091" s="70" t="str">
        <f aca="false">IF(AH2091="","",IF(COUNTIF(L_CLAVE,AH2091)&gt;1,"⚠ Duplicado","OK"))</f>
        <v/>
      </c>
      <c r="AJ2091" s="86" t="str">
        <f aca="false">IF(AH2091="","",IF(SUMPRODUCT(MAX((IND_PER&lt;=B2091)*(IND_UF&lt;&gt;"")*IND_PER))=0,UF_HOY,INDEX(IND_UF,MATCH(SUMPRODUCT(MAX((IND_PER&lt;=B2091)*(IND_UF&lt;&gt;"")*IND_PER)),IND_PER,0))))</f>
        <v/>
      </c>
      <c r="AK2091" s="87" t="str">
        <f aca="false">IF(AH2091="","",IF(COUNTIF(TASA_DESDE,"&lt;="&amp;B2091)=0,INDEX(TASA_EMP,1),INDEX(TASA_EMP,COUNTIF(TASA_DESDE,"&lt;="&amp;B2091))))</f>
        <v/>
      </c>
    </row>
    <row r="2092" customFormat="false" ht="15" hidden="false" customHeight="false" outlineLevel="0" collapsed="false">
      <c r="B2092" s="78"/>
      <c r="C2092" s="64"/>
      <c r="D2092" s="72" t="str">
        <f aca="false">IF(C2092="","",IFERROR(INDEX(T_NOMBRE,MATCH(C2092,T_ID,0)),"⚠ ID no existe"))</f>
        <v/>
      </c>
      <c r="E2092" s="69"/>
      <c r="F2092" s="67"/>
      <c r="G2092" s="67"/>
      <c r="H2092" s="67"/>
      <c r="I2092" s="67"/>
      <c r="J2092" s="67"/>
      <c r="K2092" s="85" t="str">
        <f aca="false">IF(AH2092="","",N(F2092)+N(G2092)+N(H2092)-N(I2092)+N(J2092))</f>
        <v/>
      </c>
      <c r="L2092" s="67"/>
      <c r="M2092" s="67"/>
      <c r="N2092" s="67"/>
      <c r="O2092" s="67"/>
      <c r="P2092" s="85" t="str">
        <f aca="false">IF(AH2092="","",K2092+N(L2092)+N(M2092)+N(N2092)+N(O2092))</f>
        <v/>
      </c>
      <c r="Q2092" s="67"/>
      <c r="R2092" s="67"/>
      <c r="S2092" s="67"/>
      <c r="T2092" s="67"/>
      <c r="U2092" s="67"/>
      <c r="V2092" s="67"/>
      <c r="W2092" s="85" t="str">
        <f aca="false">IF(AH2092="","",N(Q2092)+N(R2092)+N(S2092)+N(T2092)+N(U2092)+N(V2092))</f>
        <v/>
      </c>
      <c r="X2092" s="85" t="str">
        <f aca="false">IF(AH2092="","",P2092-W2092)</f>
        <v/>
      </c>
      <c r="Y2092" s="67"/>
      <c r="Z2092" s="70" t="str">
        <f aca="false">IF(OR(AH2092="",Y2092=""),"",IF(ABS(X2092-Y2092)&lt;=1,"✓ Cuadra","⚠ Diferencia $"&amp;FIXED(X2092-Y2092,0)))</f>
        <v/>
      </c>
      <c r="AA2092" s="72" t="str">
        <f aca="false">IF(AH2092="","",IFERROR(INDEX(C_TIPO,MATCH(C2092&amp;"-P"&amp;MAX(1,COUNTIFS(C_ID,C2092,C_DEFINE,"Sí",C_INICIO,"&lt;="&amp;EOMONTH(B2092,0))),C_CLAVE,0))&amp;"","Sin dato"))</f>
        <v/>
      </c>
      <c r="AB2092" s="71" t="str">
        <f aca="false">IF(AH2092="","",ROUND(MIN(K2092,TOPE_AFP_UF*AJ2092)*AK2092,0))</f>
        <v/>
      </c>
      <c r="AC2092" s="71" t="str">
        <f aca="false">IF(AH2092="","",ROUND(MIN(K2092,TOPE_AFC_UF*AJ2092)*IF(AA2092="Indefinido",AFC_EMP_INDEF,AFC_EMP_PF),0))</f>
        <v/>
      </c>
      <c r="AD2092" s="71" t="str">
        <f aca="false">IF(AH2092="","",ROUND(MIN(K2092,TOPE_AFP_UF*AJ2092)*(MUTUAL_BASICA+MUTUAL_ADIC+SANNA),0))</f>
        <v/>
      </c>
      <c r="AE2092" s="71" t="str">
        <f aca="false">IF(AH2092="","",P2092-N(N2092)+AB2092+AC2092+AD2092)</f>
        <v/>
      </c>
      <c r="AF2092" s="65"/>
      <c r="AG2092" s="64"/>
      <c r="AH2092" s="72" t="str">
        <f aca="false">IF(OR(B2092="",C2092=""),"",C2092&amp;"|"&amp;(YEAR(B2092)*100+MONTH(B2092)))</f>
        <v/>
      </c>
      <c r="AI2092" s="70" t="str">
        <f aca="false">IF(AH2092="","",IF(COUNTIF(L_CLAVE,AH2092)&gt;1,"⚠ Duplicado","OK"))</f>
        <v/>
      </c>
      <c r="AJ2092" s="86" t="str">
        <f aca="false">IF(AH2092="","",IF(SUMPRODUCT(MAX((IND_PER&lt;=B2092)*(IND_UF&lt;&gt;"")*IND_PER))=0,UF_HOY,INDEX(IND_UF,MATCH(SUMPRODUCT(MAX((IND_PER&lt;=B2092)*(IND_UF&lt;&gt;"")*IND_PER)),IND_PER,0))))</f>
        <v/>
      </c>
      <c r="AK2092" s="87" t="str">
        <f aca="false">IF(AH2092="","",IF(COUNTIF(TASA_DESDE,"&lt;="&amp;B2092)=0,INDEX(TASA_EMP,1),INDEX(TASA_EMP,COUNTIF(TASA_DESDE,"&lt;="&amp;B2092))))</f>
        <v/>
      </c>
    </row>
    <row r="2093" customFormat="false" ht="15" hidden="false" customHeight="false" outlineLevel="0" collapsed="false">
      <c r="B2093" s="78"/>
      <c r="C2093" s="64"/>
      <c r="D2093" s="72" t="str">
        <f aca="false">IF(C2093="","",IFERROR(INDEX(T_NOMBRE,MATCH(C2093,T_ID,0)),"⚠ ID no existe"))</f>
        <v/>
      </c>
      <c r="E2093" s="69"/>
      <c r="F2093" s="67"/>
      <c r="G2093" s="67"/>
      <c r="H2093" s="67"/>
      <c r="I2093" s="67"/>
      <c r="J2093" s="67"/>
      <c r="K2093" s="85" t="str">
        <f aca="false">IF(AH2093="","",N(F2093)+N(G2093)+N(H2093)-N(I2093)+N(J2093))</f>
        <v/>
      </c>
      <c r="L2093" s="67"/>
      <c r="M2093" s="67"/>
      <c r="N2093" s="67"/>
      <c r="O2093" s="67"/>
      <c r="P2093" s="85" t="str">
        <f aca="false">IF(AH2093="","",K2093+N(L2093)+N(M2093)+N(N2093)+N(O2093))</f>
        <v/>
      </c>
      <c r="Q2093" s="67"/>
      <c r="R2093" s="67"/>
      <c r="S2093" s="67"/>
      <c r="T2093" s="67"/>
      <c r="U2093" s="67"/>
      <c r="V2093" s="67"/>
      <c r="W2093" s="85" t="str">
        <f aca="false">IF(AH2093="","",N(Q2093)+N(R2093)+N(S2093)+N(T2093)+N(U2093)+N(V2093))</f>
        <v/>
      </c>
      <c r="X2093" s="85" t="str">
        <f aca="false">IF(AH2093="","",P2093-W2093)</f>
        <v/>
      </c>
      <c r="Y2093" s="67"/>
      <c r="Z2093" s="70" t="str">
        <f aca="false">IF(OR(AH2093="",Y2093=""),"",IF(ABS(X2093-Y2093)&lt;=1,"✓ Cuadra","⚠ Diferencia $"&amp;FIXED(X2093-Y2093,0)))</f>
        <v/>
      </c>
      <c r="AA2093" s="72" t="str">
        <f aca="false">IF(AH2093="","",IFERROR(INDEX(C_TIPO,MATCH(C2093&amp;"-P"&amp;MAX(1,COUNTIFS(C_ID,C2093,C_DEFINE,"Sí",C_INICIO,"&lt;="&amp;EOMONTH(B2093,0))),C_CLAVE,0))&amp;"","Sin dato"))</f>
        <v/>
      </c>
      <c r="AB2093" s="71" t="str">
        <f aca="false">IF(AH2093="","",ROUND(MIN(K2093,TOPE_AFP_UF*AJ2093)*AK2093,0))</f>
        <v/>
      </c>
      <c r="AC2093" s="71" t="str">
        <f aca="false">IF(AH2093="","",ROUND(MIN(K2093,TOPE_AFC_UF*AJ2093)*IF(AA2093="Indefinido",AFC_EMP_INDEF,AFC_EMP_PF),0))</f>
        <v/>
      </c>
      <c r="AD2093" s="71" t="str">
        <f aca="false">IF(AH2093="","",ROUND(MIN(K2093,TOPE_AFP_UF*AJ2093)*(MUTUAL_BASICA+MUTUAL_ADIC+SANNA),0))</f>
        <v/>
      </c>
      <c r="AE2093" s="71" t="str">
        <f aca="false">IF(AH2093="","",P2093-N(N2093)+AB2093+AC2093+AD2093)</f>
        <v/>
      </c>
      <c r="AF2093" s="65"/>
      <c r="AG2093" s="64"/>
      <c r="AH2093" s="72" t="str">
        <f aca="false">IF(OR(B2093="",C2093=""),"",C2093&amp;"|"&amp;(YEAR(B2093)*100+MONTH(B2093)))</f>
        <v/>
      </c>
      <c r="AI2093" s="70" t="str">
        <f aca="false">IF(AH2093="","",IF(COUNTIF(L_CLAVE,AH2093)&gt;1,"⚠ Duplicado","OK"))</f>
        <v/>
      </c>
      <c r="AJ2093" s="86" t="str">
        <f aca="false">IF(AH2093="","",IF(SUMPRODUCT(MAX((IND_PER&lt;=B2093)*(IND_UF&lt;&gt;"")*IND_PER))=0,UF_HOY,INDEX(IND_UF,MATCH(SUMPRODUCT(MAX((IND_PER&lt;=B2093)*(IND_UF&lt;&gt;"")*IND_PER)),IND_PER,0))))</f>
        <v/>
      </c>
      <c r="AK2093" s="87" t="str">
        <f aca="false">IF(AH2093="","",IF(COUNTIF(TASA_DESDE,"&lt;="&amp;B2093)=0,INDEX(TASA_EMP,1),INDEX(TASA_EMP,COUNTIF(TASA_DESDE,"&lt;="&amp;B2093))))</f>
        <v/>
      </c>
    </row>
    <row r="2094" customFormat="false" ht="15" hidden="false" customHeight="false" outlineLevel="0" collapsed="false">
      <c r="B2094" s="78"/>
      <c r="C2094" s="64"/>
      <c r="D2094" s="72" t="str">
        <f aca="false">IF(C2094="","",IFERROR(INDEX(T_NOMBRE,MATCH(C2094,T_ID,0)),"⚠ ID no existe"))</f>
        <v/>
      </c>
      <c r="E2094" s="69"/>
      <c r="F2094" s="67"/>
      <c r="G2094" s="67"/>
      <c r="H2094" s="67"/>
      <c r="I2094" s="67"/>
      <c r="J2094" s="67"/>
      <c r="K2094" s="85" t="str">
        <f aca="false">IF(AH2094="","",N(F2094)+N(G2094)+N(H2094)-N(I2094)+N(J2094))</f>
        <v/>
      </c>
      <c r="L2094" s="67"/>
      <c r="M2094" s="67"/>
      <c r="N2094" s="67"/>
      <c r="O2094" s="67"/>
      <c r="P2094" s="85" t="str">
        <f aca="false">IF(AH2094="","",K2094+N(L2094)+N(M2094)+N(N2094)+N(O2094))</f>
        <v/>
      </c>
      <c r="Q2094" s="67"/>
      <c r="R2094" s="67"/>
      <c r="S2094" s="67"/>
      <c r="T2094" s="67"/>
      <c r="U2094" s="67"/>
      <c r="V2094" s="67"/>
      <c r="W2094" s="85" t="str">
        <f aca="false">IF(AH2094="","",N(Q2094)+N(R2094)+N(S2094)+N(T2094)+N(U2094)+N(V2094))</f>
        <v/>
      </c>
      <c r="X2094" s="85" t="str">
        <f aca="false">IF(AH2094="","",P2094-W2094)</f>
        <v/>
      </c>
      <c r="Y2094" s="67"/>
      <c r="Z2094" s="70" t="str">
        <f aca="false">IF(OR(AH2094="",Y2094=""),"",IF(ABS(X2094-Y2094)&lt;=1,"✓ Cuadra","⚠ Diferencia $"&amp;FIXED(X2094-Y2094,0)))</f>
        <v/>
      </c>
      <c r="AA2094" s="72" t="str">
        <f aca="false">IF(AH2094="","",IFERROR(INDEX(C_TIPO,MATCH(C2094&amp;"-P"&amp;MAX(1,COUNTIFS(C_ID,C2094,C_DEFINE,"Sí",C_INICIO,"&lt;="&amp;EOMONTH(B2094,0))),C_CLAVE,0))&amp;"","Sin dato"))</f>
        <v/>
      </c>
      <c r="AB2094" s="71" t="str">
        <f aca="false">IF(AH2094="","",ROUND(MIN(K2094,TOPE_AFP_UF*AJ2094)*AK2094,0))</f>
        <v/>
      </c>
      <c r="AC2094" s="71" t="str">
        <f aca="false">IF(AH2094="","",ROUND(MIN(K2094,TOPE_AFC_UF*AJ2094)*IF(AA2094="Indefinido",AFC_EMP_INDEF,AFC_EMP_PF),0))</f>
        <v/>
      </c>
      <c r="AD2094" s="71" t="str">
        <f aca="false">IF(AH2094="","",ROUND(MIN(K2094,TOPE_AFP_UF*AJ2094)*(MUTUAL_BASICA+MUTUAL_ADIC+SANNA),0))</f>
        <v/>
      </c>
      <c r="AE2094" s="71" t="str">
        <f aca="false">IF(AH2094="","",P2094-N(N2094)+AB2094+AC2094+AD2094)</f>
        <v/>
      </c>
      <c r="AF2094" s="65"/>
      <c r="AG2094" s="64"/>
      <c r="AH2094" s="72" t="str">
        <f aca="false">IF(OR(B2094="",C2094=""),"",C2094&amp;"|"&amp;(YEAR(B2094)*100+MONTH(B2094)))</f>
        <v/>
      </c>
      <c r="AI2094" s="70" t="str">
        <f aca="false">IF(AH2094="","",IF(COUNTIF(L_CLAVE,AH2094)&gt;1,"⚠ Duplicado","OK"))</f>
        <v/>
      </c>
      <c r="AJ2094" s="86" t="str">
        <f aca="false">IF(AH2094="","",IF(SUMPRODUCT(MAX((IND_PER&lt;=B2094)*(IND_UF&lt;&gt;"")*IND_PER))=0,UF_HOY,INDEX(IND_UF,MATCH(SUMPRODUCT(MAX((IND_PER&lt;=B2094)*(IND_UF&lt;&gt;"")*IND_PER)),IND_PER,0))))</f>
        <v/>
      </c>
      <c r="AK2094" s="87" t="str">
        <f aca="false">IF(AH2094="","",IF(COUNTIF(TASA_DESDE,"&lt;="&amp;B2094)=0,INDEX(TASA_EMP,1),INDEX(TASA_EMP,COUNTIF(TASA_DESDE,"&lt;="&amp;B2094))))</f>
        <v/>
      </c>
    </row>
    <row r="2095" customFormat="false" ht="15" hidden="false" customHeight="false" outlineLevel="0" collapsed="false">
      <c r="B2095" s="78"/>
      <c r="C2095" s="64"/>
      <c r="D2095" s="72" t="str">
        <f aca="false">IF(C2095="","",IFERROR(INDEX(T_NOMBRE,MATCH(C2095,T_ID,0)),"⚠ ID no existe"))</f>
        <v/>
      </c>
      <c r="E2095" s="69"/>
      <c r="F2095" s="67"/>
      <c r="G2095" s="67"/>
      <c r="H2095" s="67"/>
      <c r="I2095" s="67"/>
      <c r="J2095" s="67"/>
      <c r="K2095" s="85" t="str">
        <f aca="false">IF(AH2095="","",N(F2095)+N(G2095)+N(H2095)-N(I2095)+N(J2095))</f>
        <v/>
      </c>
      <c r="L2095" s="67"/>
      <c r="M2095" s="67"/>
      <c r="N2095" s="67"/>
      <c r="O2095" s="67"/>
      <c r="P2095" s="85" t="str">
        <f aca="false">IF(AH2095="","",K2095+N(L2095)+N(M2095)+N(N2095)+N(O2095))</f>
        <v/>
      </c>
      <c r="Q2095" s="67"/>
      <c r="R2095" s="67"/>
      <c r="S2095" s="67"/>
      <c r="T2095" s="67"/>
      <c r="U2095" s="67"/>
      <c r="V2095" s="67"/>
      <c r="W2095" s="85" t="str">
        <f aca="false">IF(AH2095="","",N(Q2095)+N(R2095)+N(S2095)+N(T2095)+N(U2095)+N(V2095))</f>
        <v/>
      </c>
      <c r="X2095" s="85" t="str">
        <f aca="false">IF(AH2095="","",P2095-W2095)</f>
        <v/>
      </c>
      <c r="Y2095" s="67"/>
      <c r="Z2095" s="70" t="str">
        <f aca="false">IF(OR(AH2095="",Y2095=""),"",IF(ABS(X2095-Y2095)&lt;=1,"✓ Cuadra","⚠ Diferencia $"&amp;FIXED(X2095-Y2095,0)))</f>
        <v/>
      </c>
      <c r="AA2095" s="72" t="str">
        <f aca="false">IF(AH2095="","",IFERROR(INDEX(C_TIPO,MATCH(C2095&amp;"-P"&amp;MAX(1,COUNTIFS(C_ID,C2095,C_DEFINE,"Sí",C_INICIO,"&lt;="&amp;EOMONTH(B2095,0))),C_CLAVE,0))&amp;"","Sin dato"))</f>
        <v/>
      </c>
      <c r="AB2095" s="71" t="str">
        <f aca="false">IF(AH2095="","",ROUND(MIN(K2095,TOPE_AFP_UF*AJ2095)*AK2095,0))</f>
        <v/>
      </c>
      <c r="AC2095" s="71" t="str">
        <f aca="false">IF(AH2095="","",ROUND(MIN(K2095,TOPE_AFC_UF*AJ2095)*IF(AA2095="Indefinido",AFC_EMP_INDEF,AFC_EMP_PF),0))</f>
        <v/>
      </c>
      <c r="AD2095" s="71" t="str">
        <f aca="false">IF(AH2095="","",ROUND(MIN(K2095,TOPE_AFP_UF*AJ2095)*(MUTUAL_BASICA+MUTUAL_ADIC+SANNA),0))</f>
        <v/>
      </c>
      <c r="AE2095" s="71" t="str">
        <f aca="false">IF(AH2095="","",P2095-N(N2095)+AB2095+AC2095+AD2095)</f>
        <v/>
      </c>
      <c r="AF2095" s="65"/>
      <c r="AG2095" s="64"/>
      <c r="AH2095" s="72" t="str">
        <f aca="false">IF(OR(B2095="",C2095=""),"",C2095&amp;"|"&amp;(YEAR(B2095)*100+MONTH(B2095)))</f>
        <v/>
      </c>
      <c r="AI2095" s="70" t="str">
        <f aca="false">IF(AH2095="","",IF(COUNTIF(L_CLAVE,AH2095)&gt;1,"⚠ Duplicado","OK"))</f>
        <v/>
      </c>
      <c r="AJ2095" s="86" t="str">
        <f aca="false">IF(AH2095="","",IF(SUMPRODUCT(MAX((IND_PER&lt;=B2095)*(IND_UF&lt;&gt;"")*IND_PER))=0,UF_HOY,INDEX(IND_UF,MATCH(SUMPRODUCT(MAX((IND_PER&lt;=B2095)*(IND_UF&lt;&gt;"")*IND_PER)),IND_PER,0))))</f>
        <v/>
      </c>
      <c r="AK2095" s="87" t="str">
        <f aca="false">IF(AH2095="","",IF(COUNTIF(TASA_DESDE,"&lt;="&amp;B2095)=0,INDEX(TASA_EMP,1),INDEX(TASA_EMP,COUNTIF(TASA_DESDE,"&lt;="&amp;B2095))))</f>
        <v/>
      </c>
    </row>
    <row r="2096" customFormat="false" ht="15" hidden="false" customHeight="false" outlineLevel="0" collapsed="false">
      <c r="B2096" s="78"/>
      <c r="C2096" s="64"/>
      <c r="D2096" s="72" t="str">
        <f aca="false">IF(C2096="","",IFERROR(INDEX(T_NOMBRE,MATCH(C2096,T_ID,0)),"⚠ ID no existe"))</f>
        <v/>
      </c>
      <c r="E2096" s="69"/>
      <c r="F2096" s="67"/>
      <c r="G2096" s="67"/>
      <c r="H2096" s="67"/>
      <c r="I2096" s="67"/>
      <c r="J2096" s="67"/>
      <c r="K2096" s="85" t="str">
        <f aca="false">IF(AH2096="","",N(F2096)+N(G2096)+N(H2096)-N(I2096)+N(J2096))</f>
        <v/>
      </c>
      <c r="L2096" s="67"/>
      <c r="M2096" s="67"/>
      <c r="N2096" s="67"/>
      <c r="O2096" s="67"/>
      <c r="P2096" s="85" t="str">
        <f aca="false">IF(AH2096="","",K2096+N(L2096)+N(M2096)+N(N2096)+N(O2096))</f>
        <v/>
      </c>
      <c r="Q2096" s="67"/>
      <c r="R2096" s="67"/>
      <c r="S2096" s="67"/>
      <c r="T2096" s="67"/>
      <c r="U2096" s="67"/>
      <c r="V2096" s="67"/>
      <c r="W2096" s="85" t="str">
        <f aca="false">IF(AH2096="","",N(Q2096)+N(R2096)+N(S2096)+N(T2096)+N(U2096)+N(V2096))</f>
        <v/>
      </c>
      <c r="X2096" s="85" t="str">
        <f aca="false">IF(AH2096="","",P2096-W2096)</f>
        <v/>
      </c>
      <c r="Y2096" s="67"/>
      <c r="Z2096" s="70" t="str">
        <f aca="false">IF(OR(AH2096="",Y2096=""),"",IF(ABS(X2096-Y2096)&lt;=1,"✓ Cuadra","⚠ Diferencia $"&amp;FIXED(X2096-Y2096,0)))</f>
        <v/>
      </c>
      <c r="AA2096" s="72" t="str">
        <f aca="false">IF(AH2096="","",IFERROR(INDEX(C_TIPO,MATCH(C2096&amp;"-P"&amp;MAX(1,COUNTIFS(C_ID,C2096,C_DEFINE,"Sí",C_INICIO,"&lt;="&amp;EOMONTH(B2096,0))),C_CLAVE,0))&amp;"","Sin dato"))</f>
        <v/>
      </c>
      <c r="AB2096" s="71" t="str">
        <f aca="false">IF(AH2096="","",ROUND(MIN(K2096,TOPE_AFP_UF*AJ2096)*AK2096,0))</f>
        <v/>
      </c>
      <c r="AC2096" s="71" t="str">
        <f aca="false">IF(AH2096="","",ROUND(MIN(K2096,TOPE_AFC_UF*AJ2096)*IF(AA2096="Indefinido",AFC_EMP_INDEF,AFC_EMP_PF),0))</f>
        <v/>
      </c>
      <c r="AD2096" s="71" t="str">
        <f aca="false">IF(AH2096="","",ROUND(MIN(K2096,TOPE_AFP_UF*AJ2096)*(MUTUAL_BASICA+MUTUAL_ADIC+SANNA),0))</f>
        <v/>
      </c>
      <c r="AE2096" s="71" t="str">
        <f aca="false">IF(AH2096="","",P2096-N(N2096)+AB2096+AC2096+AD2096)</f>
        <v/>
      </c>
      <c r="AF2096" s="65"/>
      <c r="AG2096" s="64"/>
      <c r="AH2096" s="72" t="str">
        <f aca="false">IF(OR(B2096="",C2096=""),"",C2096&amp;"|"&amp;(YEAR(B2096)*100+MONTH(B2096)))</f>
        <v/>
      </c>
      <c r="AI2096" s="70" t="str">
        <f aca="false">IF(AH2096="","",IF(COUNTIF(L_CLAVE,AH2096)&gt;1,"⚠ Duplicado","OK"))</f>
        <v/>
      </c>
      <c r="AJ2096" s="86" t="str">
        <f aca="false">IF(AH2096="","",IF(SUMPRODUCT(MAX((IND_PER&lt;=B2096)*(IND_UF&lt;&gt;"")*IND_PER))=0,UF_HOY,INDEX(IND_UF,MATCH(SUMPRODUCT(MAX((IND_PER&lt;=B2096)*(IND_UF&lt;&gt;"")*IND_PER)),IND_PER,0))))</f>
        <v/>
      </c>
      <c r="AK2096" s="87" t="str">
        <f aca="false">IF(AH2096="","",IF(COUNTIF(TASA_DESDE,"&lt;="&amp;B2096)=0,INDEX(TASA_EMP,1),INDEX(TASA_EMP,COUNTIF(TASA_DESDE,"&lt;="&amp;B2096))))</f>
        <v/>
      </c>
    </row>
    <row r="2097" customFormat="false" ht="15" hidden="false" customHeight="false" outlineLevel="0" collapsed="false">
      <c r="B2097" s="78"/>
      <c r="C2097" s="64"/>
      <c r="D2097" s="72" t="str">
        <f aca="false">IF(C2097="","",IFERROR(INDEX(T_NOMBRE,MATCH(C2097,T_ID,0)),"⚠ ID no existe"))</f>
        <v/>
      </c>
      <c r="E2097" s="69"/>
      <c r="F2097" s="67"/>
      <c r="G2097" s="67"/>
      <c r="H2097" s="67"/>
      <c r="I2097" s="67"/>
      <c r="J2097" s="67"/>
      <c r="K2097" s="85" t="str">
        <f aca="false">IF(AH2097="","",N(F2097)+N(G2097)+N(H2097)-N(I2097)+N(J2097))</f>
        <v/>
      </c>
      <c r="L2097" s="67"/>
      <c r="M2097" s="67"/>
      <c r="N2097" s="67"/>
      <c r="O2097" s="67"/>
      <c r="P2097" s="85" t="str">
        <f aca="false">IF(AH2097="","",K2097+N(L2097)+N(M2097)+N(N2097)+N(O2097))</f>
        <v/>
      </c>
      <c r="Q2097" s="67"/>
      <c r="R2097" s="67"/>
      <c r="S2097" s="67"/>
      <c r="T2097" s="67"/>
      <c r="U2097" s="67"/>
      <c r="V2097" s="67"/>
      <c r="W2097" s="85" t="str">
        <f aca="false">IF(AH2097="","",N(Q2097)+N(R2097)+N(S2097)+N(T2097)+N(U2097)+N(V2097))</f>
        <v/>
      </c>
      <c r="X2097" s="85" t="str">
        <f aca="false">IF(AH2097="","",P2097-W2097)</f>
        <v/>
      </c>
      <c r="Y2097" s="67"/>
      <c r="Z2097" s="70" t="str">
        <f aca="false">IF(OR(AH2097="",Y2097=""),"",IF(ABS(X2097-Y2097)&lt;=1,"✓ Cuadra","⚠ Diferencia $"&amp;FIXED(X2097-Y2097,0)))</f>
        <v/>
      </c>
      <c r="AA2097" s="72" t="str">
        <f aca="false">IF(AH2097="","",IFERROR(INDEX(C_TIPO,MATCH(C2097&amp;"-P"&amp;MAX(1,COUNTIFS(C_ID,C2097,C_DEFINE,"Sí",C_INICIO,"&lt;="&amp;EOMONTH(B2097,0))),C_CLAVE,0))&amp;"","Sin dato"))</f>
        <v/>
      </c>
      <c r="AB2097" s="71" t="str">
        <f aca="false">IF(AH2097="","",ROUND(MIN(K2097,TOPE_AFP_UF*AJ2097)*AK2097,0))</f>
        <v/>
      </c>
      <c r="AC2097" s="71" t="str">
        <f aca="false">IF(AH2097="","",ROUND(MIN(K2097,TOPE_AFC_UF*AJ2097)*IF(AA2097="Indefinido",AFC_EMP_INDEF,AFC_EMP_PF),0))</f>
        <v/>
      </c>
      <c r="AD2097" s="71" t="str">
        <f aca="false">IF(AH2097="","",ROUND(MIN(K2097,TOPE_AFP_UF*AJ2097)*(MUTUAL_BASICA+MUTUAL_ADIC+SANNA),0))</f>
        <v/>
      </c>
      <c r="AE2097" s="71" t="str">
        <f aca="false">IF(AH2097="","",P2097-N(N2097)+AB2097+AC2097+AD2097)</f>
        <v/>
      </c>
      <c r="AF2097" s="65"/>
      <c r="AG2097" s="64"/>
      <c r="AH2097" s="72" t="str">
        <f aca="false">IF(OR(B2097="",C2097=""),"",C2097&amp;"|"&amp;(YEAR(B2097)*100+MONTH(B2097)))</f>
        <v/>
      </c>
      <c r="AI2097" s="70" t="str">
        <f aca="false">IF(AH2097="","",IF(COUNTIF(L_CLAVE,AH2097)&gt;1,"⚠ Duplicado","OK"))</f>
        <v/>
      </c>
      <c r="AJ2097" s="86" t="str">
        <f aca="false">IF(AH2097="","",IF(SUMPRODUCT(MAX((IND_PER&lt;=B2097)*(IND_UF&lt;&gt;"")*IND_PER))=0,UF_HOY,INDEX(IND_UF,MATCH(SUMPRODUCT(MAX((IND_PER&lt;=B2097)*(IND_UF&lt;&gt;"")*IND_PER)),IND_PER,0))))</f>
        <v/>
      </c>
      <c r="AK2097" s="87" t="str">
        <f aca="false">IF(AH2097="","",IF(COUNTIF(TASA_DESDE,"&lt;="&amp;B2097)=0,INDEX(TASA_EMP,1),INDEX(TASA_EMP,COUNTIF(TASA_DESDE,"&lt;="&amp;B2097))))</f>
        <v/>
      </c>
    </row>
    <row r="2098" customFormat="false" ht="15" hidden="false" customHeight="false" outlineLevel="0" collapsed="false">
      <c r="B2098" s="78"/>
      <c r="C2098" s="64"/>
      <c r="D2098" s="72" t="str">
        <f aca="false">IF(C2098="","",IFERROR(INDEX(T_NOMBRE,MATCH(C2098,T_ID,0)),"⚠ ID no existe"))</f>
        <v/>
      </c>
      <c r="E2098" s="69"/>
      <c r="F2098" s="67"/>
      <c r="G2098" s="67"/>
      <c r="H2098" s="67"/>
      <c r="I2098" s="67"/>
      <c r="J2098" s="67"/>
      <c r="K2098" s="85" t="str">
        <f aca="false">IF(AH2098="","",N(F2098)+N(G2098)+N(H2098)-N(I2098)+N(J2098))</f>
        <v/>
      </c>
      <c r="L2098" s="67"/>
      <c r="M2098" s="67"/>
      <c r="N2098" s="67"/>
      <c r="O2098" s="67"/>
      <c r="P2098" s="85" t="str">
        <f aca="false">IF(AH2098="","",K2098+N(L2098)+N(M2098)+N(N2098)+N(O2098))</f>
        <v/>
      </c>
      <c r="Q2098" s="67"/>
      <c r="R2098" s="67"/>
      <c r="S2098" s="67"/>
      <c r="T2098" s="67"/>
      <c r="U2098" s="67"/>
      <c r="V2098" s="67"/>
      <c r="W2098" s="85" t="str">
        <f aca="false">IF(AH2098="","",N(Q2098)+N(R2098)+N(S2098)+N(T2098)+N(U2098)+N(V2098))</f>
        <v/>
      </c>
      <c r="X2098" s="85" t="str">
        <f aca="false">IF(AH2098="","",P2098-W2098)</f>
        <v/>
      </c>
      <c r="Y2098" s="67"/>
      <c r="Z2098" s="70" t="str">
        <f aca="false">IF(OR(AH2098="",Y2098=""),"",IF(ABS(X2098-Y2098)&lt;=1,"✓ Cuadra","⚠ Diferencia $"&amp;FIXED(X2098-Y2098,0)))</f>
        <v/>
      </c>
      <c r="AA2098" s="72" t="str">
        <f aca="false">IF(AH2098="","",IFERROR(INDEX(C_TIPO,MATCH(C2098&amp;"-P"&amp;MAX(1,COUNTIFS(C_ID,C2098,C_DEFINE,"Sí",C_INICIO,"&lt;="&amp;EOMONTH(B2098,0))),C_CLAVE,0))&amp;"","Sin dato"))</f>
        <v/>
      </c>
      <c r="AB2098" s="71" t="str">
        <f aca="false">IF(AH2098="","",ROUND(MIN(K2098,TOPE_AFP_UF*AJ2098)*AK2098,0))</f>
        <v/>
      </c>
      <c r="AC2098" s="71" t="str">
        <f aca="false">IF(AH2098="","",ROUND(MIN(K2098,TOPE_AFC_UF*AJ2098)*IF(AA2098="Indefinido",AFC_EMP_INDEF,AFC_EMP_PF),0))</f>
        <v/>
      </c>
      <c r="AD2098" s="71" t="str">
        <f aca="false">IF(AH2098="","",ROUND(MIN(K2098,TOPE_AFP_UF*AJ2098)*(MUTUAL_BASICA+MUTUAL_ADIC+SANNA),0))</f>
        <v/>
      </c>
      <c r="AE2098" s="71" t="str">
        <f aca="false">IF(AH2098="","",P2098-N(N2098)+AB2098+AC2098+AD2098)</f>
        <v/>
      </c>
      <c r="AF2098" s="65"/>
      <c r="AG2098" s="64"/>
      <c r="AH2098" s="72" t="str">
        <f aca="false">IF(OR(B2098="",C2098=""),"",C2098&amp;"|"&amp;(YEAR(B2098)*100+MONTH(B2098)))</f>
        <v/>
      </c>
      <c r="AI2098" s="70" t="str">
        <f aca="false">IF(AH2098="","",IF(COUNTIF(L_CLAVE,AH2098)&gt;1,"⚠ Duplicado","OK"))</f>
        <v/>
      </c>
      <c r="AJ2098" s="86" t="str">
        <f aca="false">IF(AH2098="","",IF(SUMPRODUCT(MAX((IND_PER&lt;=B2098)*(IND_UF&lt;&gt;"")*IND_PER))=0,UF_HOY,INDEX(IND_UF,MATCH(SUMPRODUCT(MAX((IND_PER&lt;=B2098)*(IND_UF&lt;&gt;"")*IND_PER)),IND_PER,0))))</f>
        <v/>
      </c>
      <c r="AK2098" s="87" t="str">
        <f aca="false">IF(AH2098="","",IF(COUNTIF(TASA_DESDE,"&lt;="&amp;B2098)=0,INDEX(TASA_EMP,1),INDEX(TASA_EMP,COUNTIF(TASA_DESDE,"&lt;="&amp;B2098))))</f>
        <v/>
      </c>
    </row>
    <row r="2099" customFormat="false" ht="15" hidden="false" customHeight="false" outlineLevel="0" collapsed="false">
      <c r="B2099" s="78"/>
      <c r="C2099" s="64"/>
      <c r="D2099" s="72" t="str">
        <f aca="false">IF(C2099="","",IFERROR(INDEX(T_NOMBRE,MATCH(C2099,T_ID,0)),"⚠ ID no existe"))</f>
        <v/>
      </c>
      <c r="E2099" s="69"/>
      <c r="F2099" s="67"/>
      <c r="G2099" s="67"/>
      <c r="H2099" s="67"/>
      <c r="I2099" s="67"/>
      <c r="J2099" s="67"/>
      <c r="K2099" s="85" t="str">
        <f aca="false">IF(AH2099="","",N(F2099)+N(G2099)+N(H2099)-N(I2099)+N(J2099))</f>
        <v/>
      </c>
      <c r="L2099" s="67"/>
      <c r="M2099" s="67"/>
      <c r="N2099" s="67"/>
      <c r="O2099" s="67"/>
      <c r="P2099" s="85" t="str">
        <f aca="false">IF(AH2099="","",K2099+N(L2099)+N(M2099)+N(N2099)+N(O2099))</f>
        <v/>
      </c>
      <c r="Q2099" s="67"/>
      <c r="R2099" s="67"/>
      <c r="S2099" s="67"/>
      <c r="T2099" s="67"/>
      <c r="U2099" s="67"/>
      <c r="V2099" s="67"/>
      <c r="W2099" s="85" t="str">
        <f aca="false">IF(AH2099="","",N(Q2099)+N(R2099)+N(S2099)+N(T2099)+N(U2099)+N(V2099))</f>
        <v/>
      </c>
      <c r="X2099" s="85" t="str">
        <f aca="false">IF(AH2099="","",P2099-W2099)</f>
        <v/>
      </c>
      <c r="Y2099" s="67"/>
      <c r="Z2099" s="70" t="str">
        <f aca="false">IF(OR(AH2099="",Y2099=""),"",IF(ABS(X2099-Y2099)&lt;=1,"✓ Cuadra","⚠ Diferencia $"&amp;FIXED(X2099-Y2099,0)))</f>
        <v/>
      </c>
      <c r="AA2099" s="72" t="str">
        <f aca="false">IF(AH2099="","",IFERROR(INDEX(C_TIPO,MATCH(C2099&amp;"-P"&amp;MAX(1,COUNTIFS(C_ID,C2099,C_DEFINE,"Sí",C_INICIO,"&lt;="&amp;EOMONTH(B2099,0))),C_CLAVE,0))&amp;"","Sin dato"))</f>
        <v/>
      </c>
      <c r="AB2099" s="71" t="str">
        <f aca="false">IF(AH2099="","",ROUND(MIN(K2099,TOPE_AFP_UF*AJ2099)*AK2099,0))</f>
        <v/>
      </c>
      <c r="AC2099" s="71" t="str">
        <f aca="false">IF(AH2099="","",ROUND(MIN(K2099,TOPE_AFC_UF*AJ2099)*IF(AA2099="Indefinido",AFC_EMP_INDEF,AFC_EMP_PF),0))</f>
        <v/>
      </c>
      <c r="AD2099" s="71" t="str">
        <f aca="false">IF(AH2099="","",ROUND(MIN(K2099,TOPE_AFP_UF*AJ2099)*(MUTUAL_BASICA+MUTUAL_ADIC+SANNA),0))</f>
        <v/>
      </c>
      <c r="AE2099" s="71" t="str">
        <f aca="false">IF(AH2099="","",P2099-N(N2099)+AB2099+AC2099+AD2099)</f>
        <v/>
      </c>
      <c r="AF2099" s="65"/>
      <c r="AG2099" s="64"/>
      <c r="AH2099" s="72" t="str">
        <f aca="false">IF(OR(B2099="",C2099=""),"",C2099&amp;"|"&amp;(YEAR(B2099)*100+MONTH(B2099)))</f>
        <v/>
      </c>
      <c r="AI2099" s="70" t="str">
        <f aca="false">IF(AH2099="","",IF(COUNTIF(L_CLAVE,AH2099)&gt;1,"⚠ Duplicado","OK"))</f>
        <v/>
      </c>
      <c r="AJ2099" s="86" t="str">
        <f aca="false">IF(AH2099="","",IF(SUMPRODUCT(MAX((IND_PER&lt;=B2099)*(IND_UF&lt;&gt;"")*IND_PER))=0,UF_HOY,INDEX(IND_UF,MATCH(SUMPRODUCT(MAX((IND_PER&lt;=B2099)*(IND_UF&lt;&gt;"")*IND_PER)),IND_PER,0))))</f>
        <v/>
      </c>
      <c r="AK2099" s="87" t="str">
        <f aca="false">IF(AH2099="","",IF(COUNTIF(TASA_DESDE,"&lt;="&amp;B2099)=0,INDEX(TASA_EMP,1),INDEX(TASA_EMP,COUNTIF(TASA_DESDE,"&lt;="&amp;B2099))))</f>
        <v/>
      </c>
    </row>
    <row r="2100" customFormat="false" ht="15" hidden="false" customHeight="false" outlineLevel="0" collapsed="false">
      <c r="B2100" s="78"/>
      <c r="C2100" s="64"/>
      <c r="D2100" s="72" t="str">
        <f aca="false">IF(C2100="","",IFERROR(INDEX(T_NOMBRE,MATCH(C2100,T_ID,0)),"⚠ ID no existe"))</f>
        <v/>
      </c>
      <c r="E2100" s="69"/>
      <c r="F2100" s="67"/>
      <c r="G2100" s="67"/>
      <c r="H2100" s="67"/>
      <c r="I2100" s="67"/>
      <c r="J2100" s="67"/>
      <c r="K2100" s="85" t="str">
        <f aca="false">IF(AH2100="","",N(F2100)+N(G2100)+N(H2100)-N(I2100)+N(J2100))</f>
        <v/>
      </c>
      <c r="L2100" s="67"/>
      <c r="M2100" s="67"/>
      <c r="N2100" s="67"/>
      <c r="O2100" s="67"/>
      <c r="P2100" s="85" t="str">
        <f aca="false">IF(AH2100="","",K2100+N(L2100)+N(M2100)+N(N2100)+N(O2100))</f>
        <v/>
      </c>
      <c r="Q2100" s="67"/>
      <c r="R2100" s="67"/>
      <c r="S2100" s="67"/>
      <c r="T2100" s="67"/>
      <c r="U2100" s="67"/>
      <c r="V2100" s="67"/>
      <c r="W2100" s="85" t="str">
        <f aca="false">IF(AH2100="","",N(Q2100)+N(R2100)+N(S2100)+N(T2100)+N(U2100)+N(V2100))</f>
        <v/>
      </c>
      <c r="X2100" s="85" t="str">
        <f aca="false">IF(AH2100="","",P2100-W2100)</f>
        <v/>
      </c>
      <c r="Y2100" s="67"/>
      <c r="Z2100" s="70" t="str">
        <f aca="false">IF(OR(AH2100="",Y2100=""),"",IF(ABS(X2100-Y2100)&lt;=1,"✓ Cuadra","⚠ Diferencia $"&amp;FIXED(X2100-Y2100,0)))</f>
        <v/>
      </c>
      <c r="AA2100" s="72" t="str">
        <f aca="false">IF(AH2100="","",IFERROR(INDEX(C_TIPO,MATCH(C2100&amp;"-P"&amp;MAX(1,COUNTIFS(C_ID,C2100,C_DEFINE,"Sí",C_INICIO,"&lt;="&amp;EOMONTH(B2100,0))),C_CLAVE,0))&amp;"","Sin dato"))</f>
        <v/>
      </c>
      <c r="AB2100" s="71" t="str">
        <f aca="false">IF(AH2100="","",ROUND(MIN(K2100,TOPE_AFP_UF*AJ2100)*AK2100,0))</f>
        <v/>
      </c>
      <c r="AC2100" s="71" t="str">
        <f aca="false">IF(AH2100="","",ROUND(MIN(K2100,TOPE_AFC_UF*AJ2100)*IF(AA2100="Indefinido",AFC_EMP_INDEF,AFC_EMP_PF),0))</f>
        <v/>
      </c>
      <c r="AD2100" s="71" t="str">
        <f aca="false">IF(AH2100="","",ROUND(MIN(K2100,TOPE_AFP_UF*AJ2100)*(MUTUAL_BASICA+MUTUAL_ADIC+SANNA),0))</f>
        <v/>
      </c>
      <c r="AE2100" s="71" t="str">
        <f aca="false">IF(AH2100="","",P2100-N(N2100)+AB2100+AC2100+AD2100)</f>
        <v/>
      </c>
      <c r="AF2100" s="65"/>
      <c r="AG2100" s="64"/>
      <c r="AH2100" s="72" t="str">
        <f aca="false">IF(OR(B2100="",C2100=""),"",C2100&amp;"|"&amp;(YEAR(B2100)*100+MONTH(B2100)))</f>
        <v/>
      </c>
      <c r="AI2100" s="70" t="str">
        <f aca="false">IF(AH2100="","",IF(COUNTIF(L_CLAVE,AH2100)&gt;1,"⚠ Duplicado","OK"))</f>
        <v/>
      </c>
      <c r="AJ2100" s="86" t="str">
        <f aca="false">IF(AH2100="","",IF(SUMPRODUCT(MAX((IND_PER&lt;=B2100)*(IND_UF&lt;&gt;"")*IND_PER))=0,UF_HOY,INDEX(IND_UF,MATCH(SUMPRODUCT(MAX((IND_PER&lt;=B2100)*(IND_UF&lt;&gt;"")*IND_PER)),IND_PER,0))))</f>
        <v/>
      </c>
      <c r="AK2100" s="87" t="str">
        <f aca="false">IF(AH2100="","",IF(COUNTIF(TASA_DESDE,"&lt;="&amp;B2100)=0,INDEX(TASA_EMP,1),INDEX(TASA_EMP,COUNTIF(TASA_DESDE,"&lt;="&amp;B2100))))</f>
        <v/>
      </c>
    </row>
    <row r="2101" customFormat="false" ht="15" hidden="false" customHeight="false" outlineLevel="0" collapsed="false">
      <c r="B2101" s="78"/>
      <c r="C2101" s="64"/>
      <c r="D2101" s="72" t="str">
        <f aca="false">IF(C2101="","",IFERROR(INDEX(T_NOMBRE,MATCH(C2101,T_ID,0)),"⚠ ID no existe"))</f>
        <v/>
      </c>
      <c r="E2101" s="69"/>
      <c r="F2101" s="67"/>
      <c r="G2101" s="67"/>
      <c r="H2101" s="67"/>
      <c r="I2101" s="67"/>
      <c r="J2101" s="67"/>
      <c r="K2101" s="85" t="str">
        <f aca="false">IF(AH2101="","",N(F2101)+N(G2101)+N(H2101)-N(I2101)+N(J2101))</f>
        <v/>
      </c>
      <c r="L2101" s="67"/>
      <c r="M2101" s="67"/>
      <c r="N2101" s="67"/>
      <c r="O2101" s="67"/>
      <c r="P2101" s="85" t="str">
        <f aca="false">IF(AH2101="","",K2101+N(L2101)+N(M2101)+N(N2101)+N(O2101))</f>
        <v/>
      </c>
      <c r="Q2101" s="67"/>
      <c r="R2101" s="67"/>
      <c r="S2101" s="67"/>
      <c r="T2101" s="67"/>
      <c r="U2101" s="67"/>
      <c r="V2101" s="67"/>
      <c r="W2101" s="85" t="str">
        <f aca="false">IF(AH2101="","",N(Q2101)+N(R2101)+N(S2101)+N(T2101)+N(U2101)+N(V2101))</f>
        <v/>
      </c>
      <c r="X2101" s="85" t="str">
        <f aca="false">IF(AH2101="","",P2101-W2101)</f>
        <v/>
      </c>
      <c r="Y2101" s="67"/>
      <c r="Z2101" s="70" t="str">
        <f aca="false">IF(OR(AH2101="",Y2101=""),"",IF(ABS(X2101-Y2101)&lt;=1,"✓ Cuadra","⚠ Diferencia $"&amp;FIXED(X2101-Y2101,0)))</f>
        <v/>
      </c>
      <c r="AA2101" s="72" t="str">
        <f aca="false">IF(AH2101="","",IFERROR(INDEX(C_TIPO,MATCH(C2101&amp;"-P"&amp;MAX(1,COUNTIFS(C_ID,C2101,C_DEFINE,"Sí",C_INICIO,"&lt;="&amp;EOMONTH(B2101,0))),C_CLAVE,0))&amp;"","Sin dato"))</f>
        <v/>
      </c>
      <c r="AB2101" s="71" t="str">
        <f aca="false">IF(AH2101="","",ROUND(MIN(K2101,TOPE_AFP_UF*AJ2101)*AK2101,0))</f>
        <v/>
      </c>
      <c r="AC2101" s="71" t="str">
        <f aca="false">IF(AH2101="","",ROUND(MIN(K2101,TOPE_AFC_UF*AJ2101)*IF(AA2101="Indefinido",AFC_EMP_INDEF,AFC_EMP_PF),0))</f>
        <v/>
      </c>
      <c r="AD2101" s="71" t="str">
        <f aca="false">IF(AH2101="","",ROUND(MIN(K2101,TOPE_AFP_UF*AJ2101)*(MUTUAL_BASICA+MUTUAL_ADIC+SANNA),0))</f>
        <v/>
      </c>
      <c r="AE2101" s="71" t="str">
        <f aca="false">IF(AH2101="","",P2101-N(N2101)+AB2101+AC2101+AD2101)</f>
        <v/>
      </c>
      <c r="AF2101" s="65"/>
      <c r="AG2101" s="64"/>
      <c r="AH2101" s="72" t="str">
        <f aca="false">IF(OR(B2101="",C2101=""),"",C2101&amp;"|"&amp;(YEAR(B2101)*100+MONTH(B2101)))</f>
        <v/>
      </c>
      <c r="AI2101" s="70" t="str">
        <f aca="false">IF(AH2101="","",IF(COUNTIF(L_CLAVE,AH2101)&gt;1,"⚠ Duplicado","OK"))</f>
        <v/>
      </c>
      <c r="AJ2101" s="86" t="str">
        <f aca="false">IF(AH2101="","",IF(SUMPRODUCT(MAX((IND_PER&lt;=B2101)*(IND_UF&lt;&gt;"")*IND_PER))=0,UF_HOY,INDEX(IND_UF,MATCH(SUMPRODUCT(MAX((IND_PER&lt;=B2101)*(IND_UF&lt;&gt;"")*IND_PER)),IND_PER,0))))</f>
        <v/>
      </c>
      <c r="AK2101" s="87" t="str">
        <f aca="false">IF(AH2101="","",IF(COUNTIF(TASA_DESDE,"&lt;="&amp;B2101)=0,INDEX(TASA_EMP,1),INDEX(TASA_EMP,COUNTIF(TASA_DESDE,"&lt;="&amp;B2101))))</f>
        <v/>
      </c>
    </row>
    <row r="2102" customFormat="false" ht="15" hidden="false" customHeight="false" outlineLevel="0" collapsed="false">
      <c r="B2102" s="78"/>
      <c r="C2102" s="64"/>
      <c r="D2102" s="72" t="str">
        <f aca="false">IF(C2102="","",IFERROR(INDEX(T_NOMBRE,MATCH(C2102,T_ID,0)),"⚠ ID no existe"))</f>
        <v/>
      </c>
      <c r="E2102" s="69"/>
      <c r="F2102" s="67"/>
      <c r="G2102" s="67"/>
      <c r="H2102" s="67"/>
      <c r="I2102" s="67"/>
      <c r="J2102" s="67"/>
      <c r="K2102" s="85" t="str">
        <f aca="false">IF(AH2102="","",N(F2102)+N(G2102)+N(H2102)-N(I2102)+N(J2102))</f>
        <v/>
      </c>
      <c r="L2102" s="67"/>
      <c r="M2102" s="67"/>
      <c r="N2102" s="67"/>
      <c r="O2102" s="67"/>
      <c r="P2102" s="85" t="str">
        <f aca="false">IF(AH2102="","",K2102+N(L2102)+N(M2102)+N(N2102)+N(O2102))</f>
        <v/>
      </c>
      <c r="Q2102" s="67"/>
      <c r="R2102" s="67"/>
      <c r="S2102" s="67"/>
      <c r="T2102" s="67"/>
      <c r="U2102" s="67"/>
      <c r="V2102" s="67"/>
      <c r="W2102" s="85" t="str">
        <f aca="false">IF(AH2102="","",N(Q2102)+N(R2102)+N(S2102)+N(T2102)+N(U2102)+N(V2102))</f>
        <v/>
      </c>
      <c r="X2102" s="85" t="str">
        <f aca="false">IF(AH2102="","",P2102-W2102)</f>
        <v/>
      </c>
      <c r="Y2102" s="67"/>
      <c r="Z2102" s="70" t="str">
        <f aca="false">IF(OR(AH2102="",Y2102=""),"",IF(ABS(X2102-Y2102)&lt;=1,"✓ Cuadra","⚠ Diferencia $"&amp;FIXED(X2102-Y2102,0)))</f>
        <v/>
      </c>
      <c r="AA2102" s="72" t="str">
        <f aca="false">IF(AH2102="","",IFERROR(INDEX(C_TIPO,MATCH(C2102&amp;"-P"&amp;MAX(1,COUNTIFS(C_ID,C2102,C_DEFINE,"Sí",C_INICIO,"&lt;="&amp;EOMONTH(B2102,0))),C_CLAVE,0))&amp;"","Sin dato"))</f>
        <v/>
      </c>
      <c r="AB2102" s="71" t="str">
        <f aca="false">IF(AH2102="","",ROUND(MIN(K2102,TOPE_AFP_UF*AJ2102)*AK2102,0))</f>
        <v/>
      </c>
      <c r="AC2102" s="71" t="str">
        <f aca="false">IF(AH2102="","",ROUND(MIN(K2102,TOPE_AFC_UF*AJ2102)*IF(AA2102="Indefinido",AFC_EMP_INDEF,AFC_EMP_PF),0))</f>
        <v/>
      </c>
      <c r="AD2102" s="71" t="str">
        <f aca="false">IF(AH2102="","",ROUND(MIN(K2102,TOPE_AFP_UF*AJ2102)*(MUTUAL_BASICA+MUTUAL_ADIC+SANNA),0))</f>
        <v/>
      </c>
      <c r="AE2102" s="71" t="str">
        <f aca="false">IF(AH2102="","",P2102-N(N2102)+AB2102+AC2102+AD2102)</f>
        <v/>
      </c>
      <c r="AF2102" s="65"/>
      <c r="AG2102" s="64"/>
      <c r="AH2102" s="72" t="str">
        <f aca="false">IF(OR(B2102="",C2102=""),"",C2102&amp;"|"&amp;(YEAR(B2102)*100+MONTH(B2102)))</f>
        <v/>
      </c>
      <c r="AI2102" s="70" t="str">
        <f aca="false">IF(AH2102="","",IF(COUNTIF(L_CLAVE,AH2102)&gt;1,"⚠ Duplicado","OK"))</f>
        <v/>
      </c>
      <c r="AJ2102" s="86" t="str">
        <f aca="false">IF(AH2102="","",IF(SUMPRODUCT(MAX((IND_PER&lt;=B2102)*(IND_UF&lt;&gt;"")*IND_PER))=0,UF_HOY,INDEX(IND_UF,MATCH(SUMPRODUCT(MAX((IND_PER&lt;=B2102)*(IND_UF&lt;&gt;"")*IND_PER)),IND_PER,0))))</f>
        <v/>
      </c>
      <c r="AK2102" s="87" t="str">
        <f aca="false">IF(AH2102="","",IF(COUNTIF(TASA_DESDE,"&lt;="&amp;B2102)=0,INDEX(TASA_EMP,1),INDEX(TASA_EMP,COUNTIF(TASA_DESDE,"&lt;="&amp;B2102))))</f>
        <v/>
      </c>
    </row>
    <row r="2103" customFormat="false" ht="15" hidden="false" customHeight="false" outlineLevel="0" collapsed="false">
      <c r="B2103" s="78"/>
      <c r="C2103" s="64"/>
      <c r="D2103" s="72" t="str">
        <f aca="false">IF(C2103="","",IFERROR(INDEX(T_NOMBRE,MATCH(C2103,T_ID,0)),"⚠ ID no existe"))</f>
        <v/>
      </c>
      <c r="E2103" s="69"/>
      <c r="F2103" s="67"/>
      <c r="G2103" s="67"/>
      <c r="H2103" s="67"/>
      <c r="I2103" s="67"/>
      <c r="J2103" s="67"/>
      <c r="K2103" s="85" t="str">
        <f aca="false">IF(AH2103="","",N(F2103)+N(G2103)+N(H2103)-N(I2103)+N(J2103))</f>
        <v/>
      </c>
      <c r="L2103" s="67"/>
      <c r="M2103" s="67"/>
      <c r="N2103" s="67"/>
      <c r="O2103" s="67"/>
      <c r="P2103" s="85" t="str">
        <f aca="false">IF(AH2103="","",K2103+N(L2103)+N(M2103)+N(N2103)+N(O2103))</f>
        <v/>
      </c>
      <c r="Q2103" s="67"/>
      <c r="R2103" s="67"/>
      <c r="S2103" s="67"/>
      <c r="T2103" s="67"/>
      <c r="U2103" s="67"/>
      <c r="V2103" s="67"/>
      <c r="W2103" s="85" t="str">
        <f aca="false">IF(AH2103="","",N(Q2103)+N(R2103)+N(S2103)+N(T2103)+N(U2103)+N(V2103))</f>
        <v/>
      </c>
      <c r="X2103" s="85" t="str">
        <f aca="false">IF(AH2103="","",P2103-W2103)</f>
        <v/>
      </c>
      <c r="Y2103" s="67"/>
      <c r="Z2103" s="70" t="str">
        <f aca="false">IF(OR(AH2103="",Y2103=""),"",IF(ABS(X2103-Y2103)&lt;=1,"✓ Cuadra","⚠ Diferencia $"&amp;FIXED(X2103-Y2103,0)))</f>
        <v/>
      </c>
      <c r="AA2103" s="72" t="str">
        <f aca="false">IF(AH2103="","",IFERROR(INDEX(C_TIPO,MATCH(C2103&amp;"-P"&amp;MAX(1,COUNTIFS(C_ID,C2103,C_DEFINE,"Sí",C_INICIO,"&lt;="&amp;EOMONTH(B2103,0))),C_CLAVE,0))&amp;"","Sin dato"))</f>
        <v/>
      </c>
      <c r="AB2103" s="71" t="str">
        <f aca="false">IF(AH2103="","",ROUND(MIN(K2103,TOPE_AFP_UF*AJ2103)*AK2103,0))</f>
        <v/>
      </c>
      <c r="AC2103" s="71" t="str">
        <f aca="false">IF(AH2103="","",ROUND(MIN(K2103,TOPE_AFC_UF*AJ2103)*IF(AA2103="Indefinido",AFC_EMP_INDEF,AFC_EMP_PF),0))</f>
        <v/>
      </c>
      <c r="AD2103" s="71" t="str">
        <f aca="false">IF(AH2103="","",ROUND(MIN(K2103,TOPE_AFP_UF*AJ2103)*(MUTUAL_BASICA+MUTUAL_ADIC+SANNA),0))</f>
        <v/>
      </c>
      <c r="AE2103" s="71" t="str">
        <f aca="false">IF(AH2103="","",P2103-N(N2103)+AB2103+AC2103+AD2103)</f>
        <v/>
      </c>
      <c r="AF2103" s="65"/>
      <c r="AG2103" s="64"/>
      <c r="AH2103" s="72" t="str">
        <f aca="false">IF(OR(B2103="",C2103=""),"",C2103&amp;"|"&amp;(YEAR(B2103)*100+MONTH(B2103)))</f>
        <v/>
      </c>
      <c r="AI2103" s="70" t="str">
        <f aca="false">IF(AH2103="","",IF(COUNTIF(L_CLAVE,AH2103)&gt;1,"⚠ Duplicado","OK"))</f>
        <v/>
      </c>
      <c r="AJ2103" s="86" t="str">
        <f aca="false">IF(AH2103="","",IF(SUMPRODUCT(MAX((IND_PER&lt;=B2103)*(IND_UF&lt;&gt;"")*IND_PER))=0,UF_HOY,INDEX(IND_UF,MATCH(SUMPRODUCT(MAX((IND_PER&lt;=B2103)*(IND_UF&lt;&gt;"")*IND_PER)),IND_PER,0))))</f>
        <v/>
      </c>
      <c r="AK2103" s="87" t="str">
        <f aca="false">IF(AH2103="","",IF(COUNTIF(TASA_DESDE,"&lt;="&amp;B2103)=0,INDEX(TASA_EMP,1),INDEX(TASA_EMP,COUNTIF(TASA_DESDE,"&lt;="&amp;B2103))))</f>
        <v/>
      </c>
    </row>
    <row r="2104" customFormat="false" ht="15" hidden="false" customHeight="false" outlineLevel="0" collapsed="false">
      <c r="B2104" s="78"/>
      <c r="C2104" s="64"/>
      <c r="D2104" s="72" t="str">
        <f aca="false">IF(C2104="","",IFERROR(INDEX(T_NOMBRE,MATCH(C2104,T_ID,0)),"⚠ ID no existe"))</f>
        <v/>
      </c>
      <c r="E2104" s="69"/>
      <c r="F2104" s="67"/>
      <c r="G2104" s="67"/>
      <c r="H2104" s="67"/>
      <c r="I2104" s="67"/>
      <c r="J2104" s="67"/>
      <c r="K2104" s="85" t="str">
        <f aca="false">IF(AH2104="","",N(F2104)+N(G2104)+N(H2104)-N(I2104)+N(J2104))</f>
        <v/>
      </c>
      <c r="L2104" s="67"/>
      <c r="M2104" s="67"/>
      <c r="N2104" s="67"/>
      <c r="O2104" s="67"/>
      <c r="P2104" s="85" t="str">
        <f aca="false">IF(AH2104="","",K2104+N(L2104)+N(M2104)+N(N2104)+N(O2104))</f>
        <v/>
      </c>
      <c r="Q2104" s="67"/>
      <c r="R2104" s="67"/>
      <c r="S2104" s="67"/>
      <c r="T2104" s="67"/>
      <c r="U2104" s="67"/>
      <c r="V2104" s="67"/>
      <c r="W2104" s="85" t="str">
        <f aca="false">IF(AH2104="","",N(Q2104)+N(R2104)+N(S2104)+N(T2104)+N(U2104)+N(V2104))</f>
        <v/>
      </c>
      <c r="X2104" s="85" t="str">
        <f aca="false">IF(AH2104="","",P2104-W2104)</f>
        <v/>
      </c>
      <c r="Y2104" s="67"/>
      <c r="Z2104" s="70" t="str">
        <f aca="false">IF(OR(AH2104="",Y2104=""),"",IF(ABS(X2104-Y2104)&lt;=1,"✓ Cuadra","⚠ Diferencia $"&amp;FIXED(X2104-Y2104,0)))</f>
        <v/>
      </c>
      <c r="AA2104" s="72" t="str">
        <f aca="false">IF(AH2104="","",IFERROR(INDEX(C_TIPO,MATCH(C2104&amp;"-P"&amp;MAX(1,COUNTIFS(C_ID,C2104,C_DEFINE,"Sí",C_INICIO,"&lt;="&amp;EOMONTH(B2104,0))),C_CLAVE,0))&amp;"","Sin dato"))</f>
        <v/>
      </c>
      <c r="AB2104" s="71" t="str">
        <f aca="false">IF(AH2104="","",ROUND(MIN(K2104,TOPE_AFP_UF*AJ2104)*AK2104,0))</f>
        <v/>
      </c>
      <c r="AC2104" s="71" t="str">
        <f aca="false">IF(AH2104="","",ROUND(MIN(K2104,TOPE_AFC_UF*AJ2104)*IF(AA2104="Indefinido",AFC_EMP_INDEF,AFC_EMP_PF),0))</f>
        <v/>
      </c>
      <c r="AD2104" s="71" t="str">
        <f aca="false">IF(AH2104="","",ROUND(MIN(K2104,TOPE_AFP_UF*AJ2104)*(MUTUAL_BASICA+MUTUAL_ADIC+SANNA),0))</f>
        <v/>
      </c>
      <c r="AE2104" s="71" t="str">
        <f aca="false">IF(AH2104="","",P2104-N(N2104)+AB2104+AC2104+AD2104)</f>
        <v/>
      </c>
      <c r="AF2104" s="65"/>
      <c r="AG2104" s="64"/>
      <c r="AH2104" s="72" t="str">
        <f aca="false">IF(OR(B2104="",C2104=""),"",C2104&amp;"|"&amp;(YEAR(B2104)*100+MONTH(B2104)))</f>
        <v/>
      </c>
      <c r="AI2104" s="70" t="str">
        <f aca="false">IF(AH2104="","",IF(COUNTIF(L_CLAVE,AH2104)&gt;1,"⚠ Duplicado","OK"))</f>
        <v/>
      </c>
      <c r="AJ2104" s="86" t="str">
        <f aca="false">IF(AH2104="","",IF(SUMPRODUCT(MAX((IND_PER&lt;=B2104)*(IND_UF&lt;&gt;"")*IND_PER))=0,UF_HOY,INDEX(IND_UF,MATCH(SUMPRODUCT(MAX((IND_PER&lt;=B2104)*(IND_UF&lt;&gt;"")*IND_PER)),IND_PER,0))))</f>
        <v/>
      </c>
      <c r="AK2104" s="87" t="str">
        <f aca="false">IF(AH2104="","",IF(COUNTIF(TASA_DESDE,"&lt;="&amp;B2104)=0,INDEX(TASA_EMP,1),INDEX(TASA_EMP,COUNTIF(TASA_DESDE,"&lt;="&amp;B2104))))</f>
        <v/>
      </c>
    </row>
    <row r="2105" customFormat="false" ht="15" hidden="false" customHeight="false" outlineLevel="0" collapsed="false">
      <c r="B2105" s="78"/>
      <c r="C2105" s="64"/>
      <c r="D2105" s="72" t="str">
        <f aca="false">IF(C2105="","",IFERROR(INDEX(T_NOMBRE,MATCH(C2105,T_ID,0)),"⚠ ID no existe"))</f>
        <v/>
      </c>
      <c r="E2105" s="69"/>
      <c r="F2105" s="67"/>
      <c r="G2105" s="67"/>
      <c r="H2105" s="67"/>
      <c r="I2105" s="67"/>
      <c r="J2105" s="67"/>
      <c r="K2105" s="85" t="str">
        <f aca="false">IF(AH2105="","",N(F2105)+N(G2105)+N(H2105)-N(I2105)+N(J2105))</f>
        <v/>
      </c>
      <c r="L2105" s="67"/>
      <c r="M2105" s="67"/>
      <c r="N2105" s="67"/>
      <c r="O2105" s="67"/>
      <c r="P2105" s="85" t="str">
        <f aca="false">IF(AH2105="","",K2105+N(L2105)+N(M2105)+N(N2105)+N(O2105))</f>
        <v/>
      </c>
      <c r="Q2105" s="67"/>
      <c r="R2105" s="67"/>
      <c r="S2105" s="67"/>
      <c r="T2105" s="67"/>
      <c r="U2105" s="67"/>
      <c r="V2105" s="67"/>
      <c r="W2105" s="85" t="str">
        <f aca="false">IF(AH2105="","",N(Q2105)+N(R2105)+N(S2105)+N(T2105)+N(U2105)+N(V2105))</f>
        <v/>
      </c>
      <c r="X2105" s="85" t="str">
        <f aca="false">IF(AH2105="","",P2105-W2105)</f>
        <v/>
      </c>
      <c r="Y2105" s="67"/>
      <c r="Z2105" s="70" t="str">
        <f aca="false">IF(OR(AH2105="",Y2105=""),"",IF(ABS(X2105-Y2105)&lt;=1,"✓ Cuadra","⚠ Diferencia $"&amp;FIXED(X2105-Y2105,0)))</f>
        <v/>
      </c>
      <c r="AA2105" s="72" t="str">
        <f aca="false">IF(AH2105="","",IFERROR(INDEX(C_TIPO,MATCH(C2105&amp;"-P"&amp;MAX(1,COUNTIFS(C_ID,C2105,C_DEFINE,"Sí",C_INICIO,"&lt;="&amp;EOMONTH(B2105,0))),C_CLAVE,0))&amp;"","Sin dato"))</f>
        <v/>
      </c>
      <c r="AB2105" s="71" t="str">
        <f aca="false">IF(AH2105="","",ROUND(MIN(K2105,TOPE_AFP_UF*AJ2105)*AK2105,0))</f>
        <v/>
      </c>
      <c r="AC2105" s="71" t="str">
        <f aca="false">IF(AH2105="","",ROUND(MIN(K2105,TOPE_AFC_UF*AJ2105)*IF(AA2105="Indefinido",AFC_EMP_INDEF,AFC_EMP_PF),0))</f>
        <v/>
      </c>
      <c r="AD2105" s="71" t="str">
        <f aca="false">IF(AH2105="","",ROUND(MIN(K2105,TOPE_AFP_UF*AJ2105)*(MUTUAL_BASICA+MUTUAL_ADIC+SANNA),0))</f>
        <v/>
      </c>
      <c r="AE2105" s="71" t="str">
        <f aca="false">IF(AH2105="","",P2105-N(N2105)+AB2105+AC2105+AD2105)</f>
        <v/>
      </c>
      <c r="AF2105" s="65"/>
      <c r="AG2105" s="64"/>
      <c r="AH2105" s="72" t="str">
        <f aca="false">IF(OR(B2105="",C2105=""),"",C2105&amp;"|"&amp;(YEAR(B2105)*100+MONTH(B2105)))</f>
        <v/>
      </c>
      <c r="AI2105" s="70" t="str">
        <f aca="false">IF(AH2105="","",IF(COUNTIF(L_CLAVE,AH2105)&gt;1,"⚠ Duplicado","OK"))</f>
        <v/>
      </c>
      <c r="AJ2105" s="86" t="str">
        <f aca="false">IF(AH2105="","",IF(SUMPRODUCT(MAX((IND_PER&lt;=B2105)*(IND_UF&lt;&gt;"")*IND_PER))=0,UF_HOY,INDEX(IND_UF,MATCH(SUMPRODUCT(MAX((IND_PER&lt;=B2105)*(IND_UF&lt;&gt;"")*IND_PER)),IND_PER,0))))</f>
        <v/>
      </c>
      <c r="AK2105" s="87" t="str">
        <f aca="false">IF(AH2105="","",IF(COUNTIF(TASA_DESDE,"&lt;="&amp;B2105)=0,INDEX(TASA_EMP,1),INDEX(TASA_EMP,COUNTIF(TASA_DESDE,"&lt;="&amp;B2105))))</f>
        <v/>
      </c>
    </row>
    <row r="2106" customFormat="false" ht="15" hidden="false" customHeight="false" outlineLevel="0" collapsed="false">
      <c r="B2106" s="78"/>
      <c r="C2106" s="64"/>
      <c r="D2106" s="72" t="str">
        <f aca="false">IF(C2106="","",IFERROR(INDEX(T_NOMBRE,MATCH(C2106,T_ID,0)),"⚠ ID no existe"))</f>
        <v/>
      </c>
      <c r="E2106" s="69"/>
      <c r="F2106" s="67"/>
      <c r="G2106" s="67"/>
      <c r="H2106" s="67"/>
      <c r="I2106" s="67"/>
      <c r="J2106" s="67"/>
      <c r="K2106" s="85" t="str">
        <f aca="false">IF(AH2106="","",N(F2106)+N(G2106)+N(H2106)-N(I2106)+N(J2106))</f>
        <v/>
      </c>
      <c r="L2106" s="67"/>
      <c r="M2106" s="67"/>
      <c r="N2106" s="67"/>
      <c r="O2106" s="67"/>
      <c r="P2106" s="85" t="str">
        <f aca="false">IF(AH2106="","",K2106+N(L2106)+N(M2106)+N(N2106)+N(O2106))</f>
        <v/>
      </c>
      <c r="Q2106" s="67"/>
      <c r="R2106" s="67"/>
      <c r="S2106" s="67"/>
      <c r="T2106" s="67"/>
      <c r="U2106" s="67"/>
      <c r="V2106" s="67"/>
      <c r="W2106" s="85" t="str">
        <f aca="false">IF(AH2106="","",N(Q2106)+N(R2106)+N(S2106)+N(T2106)+N(U2106)+N(V2106))</f>
        <v/>
      </c>
      <c r="X2106" s="85" t="str">
        <f aca="false">IF(AH2106="","",P2106-W2106)</f>
        <v/>
      </c>
      <c r="Y2106" s="67"/>
      <c r="Z2106" s="70" t="str">
        <f aca="false">IF(OR(AH2106="",Y2106=""),"",IF(ABS(X2106-Y2106)&lt;=1,"✓ Cuadra","⚠ Diferencia $"&amp;FIXED(X2106-Y2106,0)))</f>
        <v/>
      </c>
      <c r="AA2106" s="72" t="str">
        <f aca="false">IF(AH2106="","",IFERROR(INDEX(C_TIPO,MATCH(C2106&amp;"-P"&amp;MAX(1,COUNTIFS(C_ID,C2106,C_DEFINE,"Sí",C_INICIO,"&lt;="&amp;EOMONTH(B2106,0))),C_CLAVE,0))&amp;"","Sin dato"))</f>
        <v/>
      </c>
      <c r="AB2106" s="71" t="str">
        <f aca="false">IF(AH2106="","",ROUND(MIN(K2106,TOPE_AFP_UF*AJ2106)*AK2106,0))</f>
        <v/>
      </c>
      <c r="AC2106" s="71" t="str">
        <f aca="false">IF(AH2106="","",ROUND(MIN(K2106,TOPE_AFC_UF*AJ2106)*IF(AA2106="Indefinido",AFC_EMP_INDEF,AFC_EMP_PF),0))</f>
        <v/>
      </c>
      <c r="AD2106" s="71" t="str">
        <f aca="false">IF(AH2106="","",ROUND(MIN(K2106,TOPE_AFP_UF*AJ2106)*(MUTUAL_BASICA+MUTUAL_ADIC+SANNA),0))</f>
        <v/>
      </c>
      <c r="AE2106" s="71" t="str">
        <f aca="false">IF(AH2106="","",P2106-N(N2106)+AB2106+AC2106+AD2106)</f>
        <v/>
      </c>
      <c r="AF2106" s="65"/>
      <c r="AG2106" s="64"/>
      <c r="AH2106" s="72" t="str">
        <f aca="false">IF(OR(B2106="",C2106=""),"",C2106&amp;"|"&amp;(YEAR(B2106)*100+MONTH(B2106)))</f>
        <v/>
      </c>
      <c r="AI2106" s="70" t="str">
        <f aca="false">IF(AH2106="","",IF(COUNTIF(L_CLAVE,AH2106)&gt;1,"⚠ Duplicado","OK"))</f>
        <v/>
      </c>
      <c r="AJ2106" s="86" t="str">
        <f aca="false">IF(AH2106="","",IF(SUMPRODUCT(MAX((IND_PER&lt;=B2106)*(IND_UF&lt;&gt;"")*IND_PER))=0,UF_HOY,INDEX(IND_UF,MATCH(SUMPRODUCT(MAX((IND_PER&lt;=B2106)*(IND_UF&lt;&gt;"")*IND_PER)),IND_PER,0))))</f>
        <v/>
      </c>
      <c r="AK2106" s="87" t="str">
        <f aca="false">IF(AH2106="","",IF(COUNTIF(TASA_DESDE,"&lt;="&amp;B2106)=0,INDEX(TASA_EMP,1),INDEX(TASA_EMP,COUNTIF(TASA_DESDE,"&lt;="&amp;B2106))))</f>
        <v/>
      </c>
    </row>
    <row r="2107" customFormat="false" ht="15" hidden="false" customHeight="false" outlineLevel="0" collapsed="false">
      <c r="B2107" s="78"/>
      <c r="C2107" s="64"/>
      <c r="D2107" s="72" t="str">
        <f aca="false">IF(C2107="","",IFERROR(INDEX(T_NOMBRE,MATCH(C2107,T_ID,0)),"⚠ ID no existe"))</f>
        <v/>
      </c>
      <c r="E2107" s="69"/>
      <c r="F2107" s="67"/>
      <c r="G2107" s="67"/>
      <c r="H2107" s="67"/>
      <c r="I2107" s="67"/>
      <c r="J2107" s="67"/>
      <c r="K2107" s="85" t="str">
        <f aca="false">IF(AH2107="","",N(F2107)+N(G2107)+N(H2107)-N(I2107)+N(J2107))</f>
        <v/>
      </c>
      <c r="L2107" s="67"/>
      <c r="M2107" s="67"/>
      <c r="N2107" s="67"/>
      <c r="O2107" s="67"/>
      <c r="P2107" s="85" t="str">
        <f aca="false">IF(AH2107="","",K2107+N(L2107)+N(M2107)+N(N2107)+N(O2107))</f>
        <v/>
      </c>
      <c r="Q2107" s="67"/>
      <c r="R2107" s="67"/>
      <c r="S2107" s="67"/>
      <c r="T2107" s="67"/>
      <c r="U2107" s="67"/>
      <c r="V2107" s="67"/>
      <c r="W2107" s="85" t="str">
        <f aca="false">IF(AH2107="","",N(Q2107)+N(R2107)+N(S2107)+N(T2107)+N(U2107)+N(V2107))</f>
        <v/>
      </c>
      <c r="X2107" s="85" t="str">
        <f aca="false">IF(AH2107="","",P2107-W2107)</f>
        <v/>
      </c>
      <c r="Y2107" s="67"/>
      <c r="Z2107" s="70" t="str">
        <f aca="false">IF(OR(AH2107="",Y2107=""),"",IF(ABS(X2107-Y2107)&lt;=1,"✓ Cuadra","⚠ Diferencia $"&amp;FIXED(X2107-Y2107,0)))</f>
        <v/>
      </c>
      <c r="AA2107" s="72" t="str">
        <f aca="false">IF(AH2107="","",IFERROR(INDEX(C_TIPO,MATCH(C2107&amp;"-P"&amp;MAX(1,COUNTIFS(C_ID,C2107,C_DEFINE,"Sí",C_INICIO,"&lt;="&amp;EOMONTH(B2107,0))),C_CLAVE,0))&amp;"","Sin dato"))</f>
        <v/>
      </c>
      <c r="AB2107" s="71" t="str">
        <f aca="false">IF(AH2107="","",ROUND(MIN(K2107,TOPE_AFP_UF*AJ2107)*AK2107,0))</f>
        <v/>
      </c>
      <c r="AC2107" s="71" t="str">
        <f aca="false">IF(AH2107="","",ROUND(MIN(K2107,TOPE_AFC_UF*AJ2107)*IF(AA2107="Indefinido",AFC_EMP_INDEF,AFC_EMP_PF),0))</f>
        <v/>
      </c>
      <c r="AD2107" s="71" t="str">
        <f aca="false">IF(AH2107="","",ROUND(MIN(K2107,TOPE_AFP_UF*AJ2107)*(MUTUAL_BASICA+MUTUAL_ADIC+SANNA),0))</f>
        <v/>
      </c>
      <c r="AE2107" s="71" t="str">
        <f aca="false">IF(AH2107="","",P2107-N(N2107)+AB2107+AC2107+AD2107)</f>
        <v/>
      </c>
      <c r="AF2107" s="65"/>
      <c r="AG2107" s="64"/>
      <c r="AH2107" s="72" t="str">
        <f aca="false">IF(OR(B2107="",C2107=""),"",C2107&amp;"|"&amp;(YEAR(B2107)*100+MONTH(B2107)))</f>
        <v/>
      </c>
      <c r="AI2107" s="70" t="str">
        <f aca="false">IF(AH2107="","",IF(COUNTIF(L_CLAVE,AH2107)&gt;1,"⚠ Duplicado","OK"))</f>
        <v/>
      </c>
      <c r="AJ2107" s="86" t="str">
        <f aca="false">IF(AH2107="","",IF(SUMPRODUCT(MAX((IND_PER&lt;=B2107)*(IND_UF&lt;&gt;"")*IND_PER))=0,UF_HOY,INDEX(IND_UF,MATCH(SUMPRODUCT(MAX((IND_PER&lt;=B2107)*(IND_UF&lt;&gt;"")*IND_PER)),IND_PER,0))))</f>
        <v/>
      </c>
      <c r="AK2107" s="87" t="str">
        <f aca="false">IF(AH2107="","",IF(COUNTIF(TASA_DESDE,"&lt;="&amp;B2107)=0,INDEX(TASA_EMP,1),INDEX(TASA_EMP,COUNTIF(TASA_DESDE,"&lt;="&amp;B2107))))</f>
        <v/>
      </c>
    </row>
    <row r="2108" customFormat="false" ht="15" hidden="false" customHeight="false" outlineLevel="0" collapsed="false">
      <c r="B2108" s="78"/>
      <c r="C2108" s="64"/>
      <c r="D2108" s="72" t="str">
        <f aca="false">IF(C2108="","",IFERROR(INDEX(T_NOMBRE,MATCH(C2108,T_ID,0)),"⚠ ID no existe"))</f>
        <v/>
      </c>
      <c r="E2108" s="69"/>
      <c r="F2108" s="67"/>
      <c r="G2108" s="67"/>
      <c r="H2108" s="67"/>
      <c r="I2108" s="67"/>
      <c r="J2108" s="67"/>
      <c r="K2108" s="85" t="str">
        <f aca="false">IF(AH2108="","",N(F2108)+N(G2108)+N(H2108)-N(I2108)+N(J2108))</f>
        <v/>
      </c>
      <c r="L2108" s="67"/>
      <c r="M2108" s="67"/>
      <c r="N2108" s="67"/>
      <c r="O2108" s="67"/>
      <c r="P2108" s="85" t="str">
        <f aca="false">IF(AH2108="","",K2108+N(L2108)+N(M2108)+N(N2108)+N(O2108))</f>
        <v/>
      </c>
      <c r="Q2108" s="67"/>
      <c r="R2108" s="67"/>
      <c r="S2108" s="67"/>
      <c r="T2108" s="67"/>
      <c r="U2108" s="67"/>
      <c r="V2108" s="67"/>
      <c r="W2108" s="85" t="str">
        <f aca="false">IF(AH2108="","",N(Q2108)+N(R2108)+N(S2108)+N(T2108)+N(U2108)+N(V2108))</f>
        <v/>
      </c>
      <c r="X2108" s="85" t="str">
        <f aca="false">IF(AH2108="","",P2108-W2108)</f>
        <v/>
      </c>
      <c r="Y2108" s="67"/>
      <c r="Z2108" s="70" t="str">
        <f aca="false">IF(OR(AH2108="",Y2108=""),"",IF(ABS(X2108-Y2108)&lt;=1,"✓ Cuadra","⚠ Diferencia $"&amp;FIXED(X2108-Y2108,0)))</f>
        <v/>
      </c>
      <c r="AA2108" s="72" t="str">
        <f aca="false">IF(AH2108="","",IFERROR(INDEX(C_TIPO,MATCH(C2108&amp;"-P"&amp;MAX(1,COUNTIFS(C_ID,C2108,C_DEFINE,"Sí",C_INICIO,"&lt;="&amp;EOMONTH(B2108,0))),C_CLAVE,0))&amp;"","Sin dato"))</f>
        <v/>
      </c>
      <c r="AB2108" s="71" t="str">
        <f aca="false">IF(AH2108="","",ROUND(MIN(K2108,TOPE_AFP_UF*AJ2108)*AK2108,0))</f>
        <v/>
      </c>
      <c r="AC2108" s="71" t="str">
        <f aca="false">IF(AH2108="","",ROUND(MIN(K2108,TOPE_AFC_UF*AJ2108)*IF(AA2108="Indefinido",AFC_EMP_INDEF,AFC_EMP_PF),0))</f>
        <v/>
      </c>
      <c r="AD2108" s="71" t="str">
        <f aca="false">IF(AH2108="","",ROUND(MIN(K2108,TOPE_AFP_UF*AJ2108)*(MUTUAL_BASICA+MUTUAL_ADIC+SANNA),0))</f>
        <v/>
      </c>
      <c r="AE2108" s="71" t="str">
        <f aca="false">IF(AH2108="","",P2108-N(N2108)+AB2108+AC2108+AD2108)</f>
        <v/>
      </c>
      <c r="AF2108" s="65"/>
      <c r="AG2108" s="64"/>
      <c r="AH2108" s="72" t="str">
        <f aca="false">IF(OR(B2108="",C2108=""),"",C2108&amp;"|"&amp;(YEAR(B2108)*100+MONTH(B2108)))</f>
        <v/>
      </c>
      <c r="AI2108" s="70" t="str">
        <f aca="false">IF(AH2108="","",IF(COUNTIF(L_CLAVE,AH2108)&gt;1,"⚠ Duplicado","OK"))</f>
        <v/>
      </c>
      <c r="AJ2108" s="86" t="str">
        <f aca="false">IF(AH2108="","",IF(SUMPRODUCT(MAX((IND_PER&lt;=B2108)*(IND_UF&lt;&gt;"")*IND_PER))=0,UF_HOY,INDEX(IND_UF,MATCH(SUMPRODUCT(MAX((IND_PER&lt;=B2108)*(IND_UF&lt;&gt;"")*IND_PER)),IND_PER,0))))</f>
        <v/>
      </c>
      <c r="AK2108" s="87" t="str">
        <f aca="false">IF(AH2108="","",IF(COUNTIF(TASA_DESDE,"&lt;="&amp;B2108)=0,INDEX(TASA_EMP,1),INDEX(TASA_EMP,COUNTIF(TASA_DESDE,"&lt;="&amp;B2108))))</f>
        <v/>
      </c>
    </row>
    <row r="2109" customFormat="false" ht="15" hidden="false" customHeight="false" outlineLevel="0" collapsed="false">
      <c r="B2109" s="78"/>
      <c r="C2109" s="64"/>
      <c r="D2109" s="72" t="str">
        <f aca="false">IF(C2109="","",IFERROR(INDEX(T_NOMBRE,MATCH(C2109,T_ID,0)),"⚠ ID no existe"))</f>
        <v/>
      </c>
      <c r="E2109" s="69"/>
      <c r="F2109" s="67"/>
      <c r="G2109" s="67"/>
      <c r="H2109" s="67"/>
      <c r="I2109" s="67"/>
      <c r="J2109" s="67"/>
      <c r="K2109" s="85" t="str">
        <f aca="false">IF(AH2109="","",N(F2109)+N(G2109)+N(H2109)-N(I2109)+N(J2109))</f>
        <v/>
      </c>
      <c r="L2109" s="67"/>
      <c r="M2109" s="67"/>
      <c r="N2109" s="67"/>
      <c r="O2109" s="67"/>
      <c r="P2109" s="85" t="str">
        <f aca="false">IF(AH2109="","",K2109+N(L2109)+N(M2109)+N(N2109)+N(O2109))</f>
        <v/>
      </c>
      <c r="Q2109" s="67"/>
      <c r="R2109" s="67"/>
      <c r="S2109" s="67"/>
      <c r="T2109" s="67"/>
      <c r="U2109" s="67"/>
      <c r="V2109" s="67"/>
      <c r="W2109" s="85" t="str">
        <f aca="false">IF(AH2109="","",N(Q2109)+N(R2109)+N(S2109)+N(T2109)+N(U2109)+N(V2109))</f>
        <v/>
      </c>
      <c r="X2109" s="85" t="str">
        <f aca="false">IF(AH2109="","",P2109-W2109)</f>
        <v/>
      </c>
      <c r="Y2109" s="67"/>
      <c r="Z2109" s="70" t="str">
        <f aca="false">IF(OR(AH2109="",Y2109=""),"",IF(ABS(X2109-Y2109)&lt;=1,"✓ Cuadra","⚠ Diferencia $"&amp;FIXED(X2109-Y2109,0)))</f>
        <v/>
      </c>
      <c r="AA2109" s="72" t="str">
        <f aca="false">IF(AH2109="","",IFERROR(INDEX(C_TIPO,MATCH(C2109&amp;"-P"&amp;MAX(1,COUNTIFS(C_ID,C2109,C_DEFINE,"Sí",C_INICIO,"&lt;="&amp;EOMONTH(B2109,0))),C_CLAVE,0))&amp;"","Sin dato"))</f>
        <v/>
      </c>
      <c r="AB2109" s="71" t="str">
        <f aca="false">IF(AH2109="","",ROUND(MIN(K2109,TOPE_AFP_UF*AJ2109)*AK2109,0))</f>
        <v/>
      </c>
      <c r="AC2109" s="71" t="str">
        <f aca="false">IF(AH2109="","",ROUND(MIN(K2109,TOPE_AFC_UF*AJ2109)*IF(AA2109="Indefinido",AFC_EMP_INDEF,AFC_EMP_PF),0))</f>
        <v/>
      </c>
      <c r="AD2109" s="71" t="str">
        <f aca="false">IF(AH2109="","",ROUND(MIN(K2109,TOPE_AFP_UF*AJ2109)*(MUTUAL_BASICA+MUTUAL_ADIC+SANNA),0))</f>
        <v/>
      </c>
      <c r="AE2109" s="71" t="str">
        <f aca="false">IF(AH2109="","",P2109-N(N2109)+AB2109+AC2109+AD2109)</f>
        <v/>
      </c>
      <c r="AF2109" s="65"/>
      <c r="AG2109" s="64"/>
      <c r="AH2109" s="72" t="str">
        <f aca="false">IF(OR(B2109="",C2109=""),"",C2109&amp;"|"&amp;(YEAR(B2109)*100+MONTH(B2109)))</f>
        <v/>
      </c>
      <c r="AI2109" s="70" t="str">
        <f aca="false">IF(AH2109="","",IF(COUNTIF(L_CLAVE,AH2109)&gt;1,"⚠ Duplicado","OK"))</f>
        <v/>
      </c>
      <c r="AJ2109" s="86" t="str">
        <f aca="false">IF(AH2109="","",IF(SUMPRODUCT(MAX((IND_PER&lt;=B2109)*(IND_UF&lt;&gt;"")*IND_PER))=0,UF_HOY,INDEX(IND_UF,MATCH(SUMPRODUCT(MAX((IND_PER&lt;=B2109)*(IND_UF&lt;&gt;"")*IND_PER)),IND_PER,0))))</f>
        <v/>
      </c>
      <c r="AK2109" s="87" t="str">
        <f aca="false">IF(AH2109="","",IF(COUNTIF(TASA_DESDE,"&lt;="&amp;B2109)=0,INDEX(TASA_EMP,1),INDEX(TASA_EMP,COUNTIF(TASA_DESDE,"&lt;="&amp;B2109))))</f>
        <v/>
      </c>
    </row>
    <row r="2110" customFormat="false" ht="15" hidden="false" customHeight="false" outlineLevel="0" collapsed="false">
      <c r="B2110" s="78"/>
      <c r="C2110" s="64"/>
      <c r="D2110" s="72" t="str">
        <f aca="false">IF(C2110="","",IFERROR(INDEX(T_NOMBRE,MATCH(C2110,T_ID,0)),"⚠ ID no existe"))</f>
        <v/>
      </c>
      <c r="E2110" s="69"/>
      <c r="F2110" s="67"/>
      <c r="G2110" s="67"/>
      <c r="H2110" s="67"/>
      <c r="I2110" s="67"/>
      <c r="J2110" s="67"/>
      <c r="K2110" s="85" t="str">
        <f aca="false">IF(AH2110="","",N(F2110)+N(G2110)+N(H2110)-N(I2110)+N(J2110))</f>
        <v/>
      </c>
      <c r="L2110" s="67"/>
      <c r="M2110" s="67"/>
      <c r="N2110" s="67"/>
      <c r="O2110" s="67"/>
      <c r="P2110" s="85" t="str">
        <f aca="false">IF(AH2110="","",K2110+N(L2110)+N(M2110)+N(N2110)+N(O2110))</f>
        <v/>
      </c>
      <c r="Q2110" s="67"/>
      <c r="R2110" s="67"/>
      <c r="S2110" s="67"/>
      <c r="T2110" s="67"/>
      <c r="U2110" s="67"/>
      <c r="V2110" s="67"/>
      <c r="W2110" s="85" t="str">
        <f aca="false">IF(AH2110="","",N(Q2110)+N(R2110)+N(S2110)+N(T2110)+N(U2110)+N(V2110))</f>
        <v/>
      </c>
      <c r="X2110" s="85" t="str">
        <f aca="false">IF(AH2110="","",P2110-W2110)</f>
        <v/>
      </c>
      <c r="Y2110" s="67"/>
      <c r="Z2110" s="70" t="str">
        <f aca="false">IF(OR(AH2110="",Y2110=""),"",IF(ABS(X2110-Y2110)&lt;=1,"✓ Cuadra","⚠ Diferencia $"&amp;FIXED(X2110-Y2110,0)))</f>
        <v/>
      </c>
      <c r="AA2110" s="72" t="str">
        <f aca="false">IF(AH2110="","",IFERROR(INDEX(C_TIPO,MATCH(C2110&amp;"-P"&amp;MAX(1,COUNTIFS(C_ID,C2110,C_DEFINE,"Sí",C_INICIO,"&lt;="&amp;EOMONTH(B2110,0))),C_CLAVE,0))&amp;"","Sin dato"))</f>
        <v/>
      </c>
      <c r="AB2110" s="71" t="str">
        <f aca="false">IF(AH2110="","",ROUND(MIN(K2110,TOPE_AFP_UF*AJ2110)*AK2110,0))</f>
        <v/>
      </c>
      <c r="AC2110" s="71" t="str">
        <f aca="false">IF(AH2110="","",ROUND(MIN(K2110,TOPE_AFC_UF*AJ2110)*IF(AA2110="Indefinido",AFC_EMP_INDEF,AFC_EMP_PF),0))</f>
        <v/>
      </c>
      <c r="AD2110" s="71" t="str">
        <f aca="false">IF(AH2110="","",ROUND(MIN(K2110,TOPE_AFP_UF*AJ2110)*(MUTUAL_BASICA+MUTUAL_ADIC+SANNA),0))</f>
        <v/>
      </c>
      <c r="AE2110" s="71" t="str">
        <f aca="false">IF(AH2110="","",P2110-N(N2110)+AB2110+AC2110+AD2110)</f>
        <v/>
      </c>
      <c r="AF2110" s="65"/>
      <c r="AG2110" s="64"/>
      <c r="AH2110" s="72" t="str">
        <f aca="false">IF(OR(B2110="",C2110=""),"",C2110&amp;"|"&amp;(YEAR(B2110)*100+MONTH(B2110)))</f>
        <v/>
      </c>
      <c r="AI2110" s="70" t="str">
        <f aca="false">IF(AH2110="","",IF(COUNTIF(L_CLAVE,AH2110)&gt;1,"⚠ Duplicado","OK"))</f>
        <v/>
      </c>
      <c r="AJ2110" s="86" t="str">
        <f aca="false">IF(AH2110="","",IF(SUMPRODUCT(MAX((IND_PER&lt;=B2110)*(IND_UF&lt;&gt;"")*IND_PER))=0,UF_HOY,INDEX(IND_UF,MATCH(SUMPRODUCT(MAX((IND_PER&lt;=B2110)*(IND_UF&lt;&gt;"")*IND_PER)),IND_PER,0))))</f>
        <v/>
      </c>
      <c r="AK2110" s="87" t="str">
        <f aca="false">IF(AH2110="","",IF(COUNTIF(TASA_DESDE,"&lt;="&amp;B2110)=0,INDEX(TASA_EMP,1),INDEX(TASA_EMP,COUNTIF(TASA_DESDE,"&lt;="&amp;B2110))))</f>
        <v/>
      </c>
    </row>
    <row r="2111" customFormat="false" ht="15" hidden="false" customHeight="false" outlineLevel="0" collapsed="false">
      <c r="B2111" s="78"/>
      <c r="C2111" s="64"/>
      <c r="D2111" s="72" t="str">
        <f aca="false">IF(C2111="","",IFERROR(INDEX(T_NOMBRE,MATCH(C2111,T_ID,0)),"⚠ ID no existe"))</f>
        <v/>
      </c>
      <c r="E2111" s="69"/>
      <c r="F2111" s="67"/>
      <c r="G2111" s="67"/>
      <c r="H2111" s="67"/>
      <c r="I2111" s="67"/>
      <c r="J2111" s="67"/>
      <c r="K2111" s="85" t="str">
        <f aca="false">IF(AH2111="","",N(F2111)+N(G2111)+N(H2111)-N(I2111)+N(J2111))</f>
        <v/>
      </c>
      <c r="L2111" s="67"/>
      <c r="M2111" s="67"/>
      <c r="N2111" s="67"/>
      <c r="O2111" s="67"/>
      <c r="P2111" s="85" t="str">
        <f aca="false">IF(AH2111="","",K2111+N(L2111)+N(M2111)+N(N2111)+N(O2111))</f>
        <v/>
      </c>
      <c r="Q2111" s="67"/>
      <c r="R2111" s="67"/>
      <c r="S2111" s="67"/>
      <c r="T2111" s="67"/>
      <c r="U2111" s="67"/>
      <c r="V2111" s="67"/>
      <c r="W2111" s="85" t="str">
        <f aca="false">IF(AH2111="","",N(Q2111)+N(R2111)+N(S2111)+N(T2111)+N(U2111)+N(V2111))</f>
        <v/>
      </c>
      <c r="X2111" s="85" t="str">
        <f aca="false">IF(AH2111="","",P2111-W2111)</f>
        <v/>
      </c>
      <c r="Y2111" s="67"/>
      <c r="Z2111" s="70" t="str">
        <f aca="false">IF(OR(AH2111="",Y2111=""),"",IF(ABS(X2111-Y2111)&lt;=1,"✓ Cuadra","⚠ Diferencia $"&amp;FIXED(X2111-Y2111,0)))</f>
        <v/>
      </c>
      <c r="AA2111" s="72" t="str">
        <f aca="false">IF(AH2111="","",IFERROR(INDEX(C_TIPO,MATCH(C2111&amp;"-P"&amp;MAX(1,COUNTIFS(C_ID,C2111,C_DEFINE,"Sí",C_INICIO,"&lt;="&amp;EOMONTH(B2111,0))),C_CLAVE,0))&amp;"","Sin dato"))</f>
        <v/>
      </c>
      <c r="AB2111" s="71" t="str">
        <f aca="false">IF(AH2111="","",ROUND(MIN(K2111,TOPE_AFP_UF*AJ2111)*AK2111,0))</f>
        <v/>
      </c>
      <c r="AC2111" s="71" t="str">
        <f aca="false">IF(AH2111="","",ROUND(MIN(K2111,TOPE_AFC_UF*AJ2111)*IF(AA2111="Indefinido",AFC_EMP_INDEF,AFC_EMP_PF),0))</f>
        <v/>
      </c>
      <c r="AD2111" s="71" t="str">
        <f aca="false">IF(AH2111="","",ROUND(MIN(K2111,TOPE_AFP_UF*AJ2111)*(MUTUAL_BASICA+MUTUAL_ADIC+SANNA),0))</f>
        <v/>
      </c>
      <c r="AE2111" s="71" t="str">
        <f aca="false">IF(AH2111="","",P2111-N(N2111)+AB2111+AC2111+AD2111)</f>
        <v/>
      </c>
      <c r="AF2111" s="65"/>
      <c r="AG2111" s="64"/>
      <c r="AH2111" s="72" t="str">
        <f aca="false">IF(OR(B2111="",C2111=""),"",C2111&amp;"|"&amp;(YEAR(B2111)*100+MONTH(B2111)))</f>
        <v/>
      </c>
      <c r="AI2111" s="70" t="str">
        <f aca="false">IF(AH2111="","",IF(COUNTIF(L_CLAVE,AH2111)&gt;1,"⚠ Duplicado","OK"))</f>
        <v/>
      </c>
      <c r="AJ2111" s="86" t="str">
        <f aca="false">IF(AH2111="","",IF(SUMPRODUCT(MAX((IND_PER&lt;=B2111)*(IND_UF&lt;&gt;"")*IND_PER))=0,UF_HOY,INDEX(IND_UF,MATCH(SUMPRODUCT(MAX((IND_PER&lt;=B2111)*(IND_UF&lt;&gt;"")*IND_PER)),IND_PER,0))))</f>
        <v/>
      </c>
      <c r="AK2111" s="87" t="str">
        <f aca="false">IF(AH2111="","",IF(COUNTIF(TASA_DESDE,"&lt;="&amp;B2111)=0,INDEX(TASA_EMP,1),INDEX(TASA_EMP,COUNTIF(TASA_DESDE,"&lt;="&amp;B2111))))</f>
        <v/>
      </c>
    </row>
    <row r="2112" customFormat="false" ht="15" hidden="false" customHeight="false" outlineLevel="0" collapsed="false">
      <c r="B2112" s="78"/>
      <c r="C2112" s="64"/>
      <c r="D2112" s="72" t="str">
        <f aca="false">IF(C2112="","",IFERROR(INDEX(T_NOMBRE,MATCH(C2112,T_ID,0)),"⚠ ID no existe"))</f>
        <v/>
      </c>
      <c r="E2112" s="69"/>
      <c r="F2112" s="67"/>
      <c r="G2112" s="67"/>
      <c r="H2112" s="67"/>
      <c r="I2112" s="67"/>
      <c r="J2112" s="67"/>
      <c r="K2112" s="85" t="str">
        <f aca="false">IF(AH2112="","",N(F2112)+N(G2112)+N(H2112)-N(I2112)+N(J2112))</f>
        <v/>
      </c>
      <c r="L2112" s="67"/>
      <c r="M2112" s="67"/>
      <c r="N2112" s="67"/>
      <c r="O2112" s="67"/>
      <c r="P2112" s="85" t="str">
        <f aca="false">IF(AH2112="","",K2112+N(L2112)+N(M2112)+N(N2112)+N(O2112))</f>
        <v/>
      </c>
      <c r="Q2112" s="67"/>
      <c r="R2112" s="67"/>
      <c r="S2112" s="67"/>
      <c r="T2112" s="67"/>
      <c r="U2112" s="67"/>
      <c r="V2112" s="67"/>
      <c r="W2112" s="85" t="str">
        <f aca="false">IF(AH2112="","",N(Q2112)+N(R2112)+N(S2112)+N(T2112)+N(U2112)+N(V2112))</f>
        <v/>
      </c>
      <c r="X2112" s="85" t="str">
        <f aca="false">IF(AH2112="","",P2112-W2112)</f>
        <v/>
      </c>
      <c r="Y2112" s="67"/>
      <c r="Z2112" s="70" t="str">
        <f aca="false">IF(OR(AH2112="",Y2112=""),"",IF(ABS(X2112-Y2112)&lt;=1,"✓ Cuadra","⚠ Diferencia $"&amp;FIXED(X2112-Y2112,0)))</f>
        <v/>
      </c>
      <c r="AA2112" s="72" t="str">
        <f aca="false">IF(AH2112="","",IFERROR(INDEX(C_TIPO,MATCH(C2112&amp;"-P"&amp;MAX(1,COUNTIFS(C_ID,C2112,C_DEFINE,"Sí",C_INICIO,"&lt;="&amp;EOMONTH(B2112,0))),C_CLAVE,0))&amp;"","Sin dato"))</f>
        <v/>
      </c>
      <c r="AB2112" s="71" t="str">
        <f aca="false">IF(AH2112="","",ROUND(MIN(K2112,TOPE_AFP_UF*AJ2112)*AK2112,0))</f>
        <v/>
      </c>
      <c r="AC2112" s="71" t="str">
        <f aca="false">IF(AH2112="","",ROUND(MIN(K2112,TOPE_AFC_UF*AJ2112)*IF(AA2112="Indefinido",AFC_EMP_INDEF,AFC_EMP_PF),0))</f>
        <v/>
      </c>
      <c r="AD2112" s="71" t="str">
        <f aca="false">IF(AH2112="","",ROUND(MIN(K2112,TOPE_AFP_UF*AJ2112)*(MUTUAL_BASICA+MUTUAL_ADIC+SANNA),0))</f>
        <v/>
      </c>
      <c r="AE2112" s="71" t="str">
        <f aca="false">IF(AH2112="","",P2112-N(N2112)+AB2112+AC2112+AD2112)</f>
        <v/>
      </c>
      <c r="AF2112" s="65"/>
      <c r="AG2112" s="64"/>
      <c r="AH2112" s="72" t="str">
        <f aca="false">IF(OR(B2112="",C2112=""),"",C2112&amp;"|"&amp;(YEAR(B2112)*100+MONTH(B2112)))</f>
        <v/>
      </c>
      <c r="AI2112" s="70" t="str">
        <f aca="false">IF(AH2112="","",IF(COUNTIF(L_CLAVE,AH2112)&gt;1,"⚠ Duplicado","OK"))</f>
        <v/>
      </c>
      <c r="AJ2112" s="86" t="str">
        <f aca="false">IF(AH2112="","",IF(SUMPRODUCT(MAX((IND_PER&lt;=B2112)*(IND_UF&lt;&gt;"")*IND_PER))=0,UF_HOY,INDEX(IND_UF,MATCH(SUMPRODUCT(MAX((IND_PER&lt;=B2112)*(IND_UF&lt;&gt;"")*IND_PER)),IND_PER,0))))</f>
        <v/>
      </c>
      <c r="AK2112" s="87" t="str">
        <f aca="false">IF(AH2112="","",IF(COUNTIF(TASA_DESDE,"&lt;="&amp;B2112)=0,INDEX(TASA_EMP,1),INDEX(TASA_EMP,COUNTIF(TASA_DESDE,"&lt;="&amp;B2112))))</f>
        <v/>
      </c>
    </row>
    <row r="2113" customFormat="false" ht="15" hidden="false" customHeight="false" outlineLevel="0" collapsed="false">
      <c r="B2113" s="78"/>
      <c r="C2113" s="64"/>
      <c r="D2113" s="72" t="str">
        <f aca="false">IF(C2113="","",IFERROR(INDEX(T_NOMBRE,MATCH(C2113,T_ID,0)),"⚠ ID no existe"))</f>
        <v/>
      </c>
      <c r="E2113" s="69"/>
      <c r="F2113" s="67"/>
      <c r="G2113" s="67"/>
      <c r="H2113" s="67"/>
      <c r="I2113" s="67"/>
      <c r="J2113" s="67"/>
      <c r="K2113" s="85" t="str">
        <f aca="false">IF(AH2113="","",N(F2113)+N(G2113)+N(H2113)-N(I2113)+N(J2113))</f>
        <v/>
      </c>
      <c r="L2113" s="67"/>
      <c r="M2113" s="67"/>
      <c r="N2113" s="67"/>
      <c r="O2113" s="67"/>
      <c r="P2113" s="85" t="str">
        <f aca="false">IF(AH2113="","",K2113+N(L2113)+N(M2113)+N(N2113)+N(O2113))</f>
        <v/>
      </c>
      <c r="Q2113" s="67"/>
      <c r="R2113" s="67"/>
      <c r="S2113" s="67"/>
      <c r="T2113" s="67"/>
      <c r="U2113" s="67"/>
      <c r="V2113" s="67"/>
      <c r="W2113" s="85" t="str">
        <f aca="false">IF(AH2113="","",N(Q2113)+N(R2113)+N(S2113)+N(T2113)+N(U2113)+N(V2113))</f>
        <v/>
      </c>
      <c r="X2113" s="85" t="str">
        <f aca="false">IF(AH2113="","",P2113-W2113)</f>
        <v/>
      </c>
      <c r="Y2113" s="67"/>
      <c r="Z2113" s="70" t="str">
        <f aca="false">IF(OR(AH2113="",Y2113=""),"",IF(ABS(X2113-Y2113)&lt;=1,"✓ Cuadra","⚠ Diferencia $"&amp;FIXED(X2113-Y2113,0)))</f>
        <v/>
      </c>
      <c r="AA2113" s="72" t="str">
        <f aca="false">IF(AH2113="","",IFERROR(INDEX(C_TIPO,MATCH(C2113&amp;"-P"&amp;MAX(1,COUNTIFS(C_ID,C2113,C_DEFINE,"Sí",C_INICIO,"&lt;="&amp;EOMONTH(B2113,0))),C_CLAVE,0))&amp;"","Sin dato"))</f>
        <v/>
      </c>
      <c r="AB2113" s="71" t="str">
        <f aca="false">IF(AH2113="","",ROUND(MIN(K2113,TOPE_AFP_UF*AJ2113)*AK2113,0))</f>
        <v/>
      </c>
      <c r="AC2113" s="71" t="str">
        <f aca="false">IF(AH2113="","",ROUND(MIN(K2113,TOPE_AFC_UF*AJ2113)*IF(AA2113="Indefinido",AFC_EMP_INDEF,AFC_EMP_PF),0))</f>
        <v/>
      </c>
      <c r="AD2113" s="71" t="str">
        <f aca="false">IF(AH2113="","",ROUND(MIN(K2113,TOPE_AFP_UF*AJ2113)*(MUTUAL_BASICA+MUTUAL_ADIC+SANNA),0))</f>
        <v/>
      </c>
      <c r="AE2113" s="71" t="str">
        <f aca="false">IF(AH2113="","",P2113-N(N2113)+AB2113+AC2113+AD2113)</f>
        <v/>
      </c>
      <c r="AF2113" s="65"/>
      <c r="AG2113" s="64"/>
      <c r="AH2113" s="72" t="str">
        <f aca="false">IF(OR(B2113="",C2113=""),"",C2113&amp;"|"&amp;(YEAR(B2113)*100+MONTH(B2113)))</f>
        <v/>
      </c>
      <c r="AI2113" s="70" t="str">
        <f aca="false">IF(AH2113="","",IF(COUNTIF(L_CLAVE,AH2113)&gt;1,"⚠ Duplicado","OK"))</f>
        <v/>
      </c>
      <c r="AJ2113" s="86" t="str">
        <f aca="false">IF(AH2113="","",IF(SUMPRODUCT(MAX((IND_PER&lt;=B2113)*(IND_UF&lt;&gt;"")*IND_PER))=0,UF_HOY,INDEX(IND_UF,MATCH(SUMPRODUCT(MAX((IND_PER&lt;=B2113)*(IND_UF&lt;&gt;"")*IND_PER)),IND_PER,0))))</f>
        <v/>
      </c>
      <c r="AK2113" s="87" t="str">
        <f aca="false">IF(AH2113="","",IF(COUNTIF(TASA_DESDE,"&lt;="&amp;B2113)=0,INDEX(TASA_EMP,1),INDEX(TASA_EMP,COUNTIF(TASA_DESDE,"&lt;="&amp;B2113))))</f>
        <v/>
      </c>
    </row>
    <row r="2114" customFormat="false" ht="15" hidden="false" customHeight="false" outlineLevel="0" collapsed="false">
      <c r="B2114" s="78"/>
      <c r="C2114" s="64"/>
      <c r="D2114" s="72" t="str">
        <f aca="false">IF(C2114="","",IFERROR(INDEX(T_NOMBRE,MATCH(C2114,T_ID,0)),"⚠ ID no existe"))</f>
        <v/>
      </c>
      <c r="E2114" s="69"/>
      <c r="F2114" s="67"/>
      <c r="G2114" s="67"/>
      <c r="H2114" s="67"/>
      <c r="I2114" s="67"/>
      <c r="J2114" s="67"/>
      <c r="K2114" s="85" t="str">
        <f aca="false">IF(AH2114="","",N(F2114)+N(G2114)+N(H2114)-N(I2114)+N(J2114))</f>
        <v/>
      </c>
      <c r="L2114" s="67"/>
      <c r="M2114" s="67"/>
      <c r="N2114" s="67"/>
      <c r="O2114" s="67"/>
      <c r="P2114" s="85" t="str">
        <f aca="false">IF(AH2114="","",K2114+N(L2114)+N(M2114)+N(N2114)+N(O2114))</f>
        <v/>
      </c>
      <c r="Q2114" s="67"/>
      <c r="R2114" s="67"/>
      <c r="S2114" s="67"/>
      <c r="T2114" s="67"/>
      <c r="U2114" s="67"/>
      <c r="V2114" s="67"/>
      <c r="W2114" s="85" t="str">
        <f aca="false">IF(AH2114="","",N(Q2114)+N(R2114)+N(S2114)+N(T2114)+N(U2114)+N(V2114))</f>
        <v/>
      </c>
      <c r="X2114" s="85" t="str">
        <f aca="false">IF(AH2114="","",P2114-W2114)</f>
        <v/>
      </c>
      <c r="Y2114" s="67"/>
      <c r="Z2114" s="70" t="str">
        <f aca="false">IF(OR(AH2114="",Y2114=""),"",IF(ABS(X2114-Y2114)&lt;=1,"✓ Cuadra","⚠ Diferencia $"&amp;FIXED(X2114-Y2114,0)))</f>
        <v/>
      </c>
      <c r="AA2114" s="72" t="str">
        <f aca="false">IF(AH2114="","",IFERROR(INDEX(C_TIPO,MATCH(C2114&amp;"-P"&amp;MAX(1,COUNTIFS(C_ID,C2114,C_DEFINE,"Sí",C_INICIO,"&lt;="&amp;EOMONTH(B2114,0))),C_CLAVE,0))&amp;"","Sin dato"))</f>
        <v/>
      </c>
      <c r="AB2114" s="71" t="str">
        <f aca="false">IF(AH2114="","",ROUND(MIN(K2114,TOPE_AFP_UF*AJ2114)*AK2114,0))</f>
        <v/>
      </c>
      <c r="AC2114" s="71" t="str">
        <f aca="false">IF(AH2114="","",ROUND(MIN(K2114,TOPE_AFC_UF*AJ2114)*IF(AA2114="Indefinido",AFC_EMP_INDEF,AFC_EMP_PF),0))</f>
        <v/>
      </c>
      <c r="AD2114" s="71" t="str">
        <f aca="false">IF(AH2114="","",ROUND(MIN(K2114,TOPE_AFP_UF*AJ2114)*(MUTUAL_BASICA+MUTUAL_ADIC+SANNA),0))</f>
        <v/>
      </c>
      <c r="AE2114" s="71" t="str">
        <f aca="false">IF(AH2114="","",P2114-N(N2114)+AB2114+AC2114+AD2114)</f>
        <v/>
      </c>
      <c r="AF2114" s="65"/>
      <c r="AG2114" s="64"/>
      <c r="AH2114" s="72" t="str">
        <f aca="false">IF(OR(B2114="",C2114=""),"",C2114&amp;"|"&amp;(YEAR(B2114)*100+MONTH(B2114)))</f>
        <v/>
      </c>
      <c r="AI2114" s="70" t="str">
        <f aca="false">IF(AH2114="","",IF(COUNTIF(L_CLAVE,AH2114)&gt;1,"⚠ Duplicado","OK"))</f>
        <v/>
      </c>
      <c r="AJ2114" s="86" t="str">
        <f aca="false">IF(AH2114="","",IF(SUMPRODUCT(MAX((IND_PER&lt;=B2114)*(IND_UF&lt;&gt;"")*IND_PER))=0,UF_HOY,INDEX(IND_UF,MATCH(SUMPRODUCT(MAX((IND_PER&lt;=B2114)*(IND_UF&lt;&gt;"")*IND_PER)),IND_PER,0))))</f>
        <v/>
      </c>
      <c r="AK2114" s="87" t="str">
        <f aca="false">IF(AH2114="","",IF(COUNTIF(TASA_DESDE,"&lt;="&amp;B2114)=0,INDEX(TASA_EMP,1),INDEX(TASA_EMP,COUNTIF(TASA_DESDE,"&lt;="&amp;B2114))))</f>
        <v/>
      </c>
    </row>
    <row r="2115" customFormat="false" ht="15" hidden="false" customHeight="false" outlineLevel="0" collapsed="false">
      <c r="B2115" s="78"/>
      <c r="C2115" s="64"/>
      <c r="D2115" s="72" t="str">
        <f aca="false">IF(C2115="","",IFERROR(INDEX(T_NOMBRE,MATCH(C2115,T_ID,0)),"⚠ ID no existe"))</f>
        <v/>
      </c>
      <c r="E2115" s="69"/>
      <c r="F2115" s="67"/>
      <c r="G2115" s="67"/>
      <c r="H2115" s="67"/>
      <c r="I2115" s="67"/>
      <c r="J2115" s="67"/>
      <c r="K2115" s="85" t="str">
        <f aca="false">IF(AH2115="","",N(F2115)+N(G2115)+N(H2115)-N(I2115)+N(J2115))</f>
        <v/>
      </c>
      <c r="L2115" s="67"/>
      <c r="M2115" s="67"/>
      <c r="N2115" s="67"/>
      <c r="O2115" s="67"/>
      <c r="P2115" s="85" t="str">
        <f aca="false">IF(AH2115="","",K2115+N(L2115)+N(M2115)+N(N2115)+N(O2115))</f>
        <v/>
      </c>
      <c r="Q2115" s="67"/>
      <c r="R2115" s="67"/>
      <c r="S2115" s="67"/>
      <c r="T2115" s="67"/>
      <c r="U2115" s="67"/>
      <c r="V2115" s="67"/>
      <c r="W2115" s="85" t="str">
        <f aca="false">IF(AH2115="","",N(Q2115)+N(R2115)+N(S2115)+N(T2115)+N(U2115)+N(V2115))</f>
        <v/>
      </c>
      <c r="X2115" s="85" t="str">
        <f aca="false">IF(AH2115="","",P2115-W2115)</f>
        <v/>
      </c>
      <c r="Y2115" s="67"/>
      <c r="Z2115" s="70" t="str">
        <f aca="false">IF(OR(AH2115="",Y2115=""),"",IF(ABS(X2115-Y2115)&lt;=1,"✓ Cuadra","⚠ Diferencia $"&amp;FIXED(X2115-Y2115,0)))</f>
        <v/>
      </c>
      <c r="AA2115" s="72" t="str">
        <f aca="false">IF(AH2115="","",IFERROR(INDEX(C_TIPO,MATCH(C2115&amp;"-P"&amp;MAX(1,COUNTIFS(C_ID,C2115,C_DEFINE,"Sí",C_INICIO,"&lt;="&amp;EOMONTH(B2115,0))),C_CLAVE,0))&amp;"","Sin dato"))</f>
        <v/>
      </c>
      <c r="AB2115" s="71" t="str">
        <f aca="false">IF(AH2115="","",ROUND(MIN(K2115,TOPE_AFP_UF*AJ2115)*AK2115,0))</f>
        <v/>
      </c>
      <c r="AC2115" s="71" t="str">
        <f aca="false">IF(AH2115="","",ROUND(MIN(K2115,TOPE_AFC_UF*AJ2115)*IF(AA2115="Indefinido",AFC_EMP_INDEF,AFC_EMP_PF),0))</f>
        <v/>
      </c>
      <c r="AD2115" s="71" t="str">
        <f aca="false">IF(AH2115="","",ROUND(MIN(K2115,TOPE_AFP_UF*AJ2115)*(MUTUAL_BASICA+MUTUAL_ADIC+SANNA),0))</f>
        <v/>
      </c>
      <c r="AE2115" s="71" t="str">
        <f aca="false">IF(AH2115="","",P2115-N(N2115)+AB2115+AC2115+AD2115)</f>
        <v/>
      </c>
      <c r="AF2115" s="65"/>
      <c r="AG2115" s="64"/>
      <c r="AH2115" s="72" t="str">
        <f aca="false">IF(OR(B2115="",C2115=""),"",C2115&amp;"|"&amp;(YEAR(B2115)*100+MONTH(B2115)))</f>
        <v/>
      </c>
      <c r="AI2115" s="70" t="str">
        <f aca="false">IF(AH2115="","",IF(COUNTIF(L_CLAVE,AH2115)&gt;1,"⚠ Duplicado","OK"))</f>
        <v/>
      </c>
      <c r="AJ2115" s="86" t="str">
        <f aca="false">IF(AH2115="","",IF(SUMPRODUCT(MAX((IND_PER&lt;=B2115)*(IND_UF&lt;&gt;"")*IND_PER))=0,UF_HOY,INDEX(IND_UF,MATCH(SUMPRODUCT(MAX((IND_PER&lt;=B2115)*(IND_UF&lt;&gt;"")*IND_PER)),IND_PER,0))))</f>
        <v/>
      </c>
      <c r="AK2115" s="87" t="str">
        <f aca="false">IF(AH2115="","",IF(COUNTIF(TASA_DESDE,"&lt;="&amp;B2115)=0,INDEX(TASA_EMP,1),INDEX(TASA_EMP,COUNTIF(TASA_DESDE,"&lt;="&amp;B2115))))</f>
        <v/>
      </c>
    </row>
    <row r="2116" customFormat="false" ht="15" hidden="false" customHeight="false" outlineLevel="0" collapsed="false">
      <c r="B2116" s="78"/>
      <c r="C2116" s="64"/>
      <c r="D2116" s="72" t="str">
        <f aca="false">IF(C2116="","",IFERROR(INDEX(T_NOMBRE,MATCH(C2116,T_ID,0)),"⚠ ID no existe"))</f>
        <v/>
      </c>
      <c r="E2116" s="69"/>
      <c r="F2116" s="67"/>
      <c r="G2116" s="67"/>
      <c r="H2116" s="67"/>
      <c r="I2116" s="67"/>
      <c r="J2116" s="67"/>
      <c r="K2116" s="85" t="str">
        <f aca="false">IF(AH2116="","",N(F2116)+N(G2116)+N(H2116)-N(I2116)+N(J2116))</f>
        <v/>
      </c>
      <c r="L2116" s="67"/>
      <c r="M2116" s="67"/>
      <c r="N2116" s="67"/>
      <c r="O2116" s="67"/>
      <c r="P2116" s="85" t="str">
        <f aca="false">IF(AH2116="","",K2116+N(L2116)+N(M2116)+N(N2116)+N(O2116))</f>
        <v/>
      </c>
      <c r="Q2116" s="67"/>
      <c r="R2116" s="67"/>
      <c r="S2116" s="67"/>
      <c r="T2116" s="67"/>
      <c r="U2116" s="67"/>
      <c r="V2116" s="67"/>
      <c r="W2116" s="85" t="str">
        <f aca="false">IF(AH2116="","",N(Q2116)+N(R2116)+N(S2116)+N(T2116)+N(U2116)+N(V2116))</f>
        <v/>
      </c>
      <c r="X2116" s="85" t="str">
        <f aca="false">IF(AH2116="","",P2116-W2116)</f>
        <v/>
      </c>
      <c r="Y2116" s="67"/>
      <c r="Z2116" s="70" t="str">
        <f aca="false">IF(OR(AH2116="",Y2116=""),"",IF(ABS(X2116-Y2116)&lt;=1,"✓ Cuadra","⚠ Diferencia $"&amp;FIXED(X2116-Y2116,0)))</f>
        <v/>
      </c>
      <c r="AA2116" s="72" t="str">
        <f aca="false">IF(AH2116="","",IFERROR(INDEX(C_TIPO,MATCH(C2116&amp;"-P"&amp;MAX(1,COUNTIFS(C_ID,C2116,C_DEFINE,"Sí",C_INICIO,"&lt;="&amp;EOMONTH(B2116,0))),C_CLAVE,0))&amp;"","Sin dato"))</f>
        <v/>
      </c>
      <c r="AB2116" s="71" t="str">
        <f aca="false">IF(AH2116="","",ROUND(MIN(K2116,TOPE_AFP_UF*AJ2116)*AK2116,0))</f>
        <v/>
      </c>
      <c r="AC2116" s="71" t="str">
        <f aca="false">IF(AH2116="","",ROUND(MIN(K2116,TOPE_AFC_UF*AJ2116)*IF(AA2116="Indefinido",AFC_EMP_INDEF,AFC_EMP_PF),0))</f>
        <v/>
      </c>
      <c r="AD2116" s="71" t="str">
        <f aca="false">IF(AH2116="","",ROUND(MIN(K2116,TOPE_AFP_UF*AJ2116)*(MUTUAL_BASICA+MUTUAL_ADIC+SANNA),0))</f>
        <v/>
      </c>
      <c r="AE2116" s="71" t="str">
        <f aca="false">IF(AH2116="","",P2116-N(N2116)+AB2116+AC2116+AD2116)</f>
        <v/>
      </c>
      <c r="AF2116" s="65"/>
      <c r="AG2116" s="64"/>
      <c r="AH2116" s="72" t="str">
        <f aca="false">IF(OR(B2116="",C2116=""),"",C2116&amp;"|"&amp;(YEAR(B2116)*100+MONTH(B2116)))</f>
        <v/>
      </c>
      <c r="AI2116" s="70" t="str">
        <f aca="false">IF(AH2116="","",IF(COUNTIF(L_CLAVE,AH2116)&gt;1,"⚠ Duplicado","OK"))</f>
        <v/>
      </c>
      <c r="AJ2116" s="86" t="str">
        <f aca="false">IF(AH2116="","",IF(SUMPRODUCT(MAX((IND_PER&lt;=B2116)*(IND_UF&lt;&gt;"")*IND_PER))=0,UF_HOY,INDEX(IND_UF,MATCH(SUMPRODUCT(MAX((IND_PER&lt;=B2116)*(IND_UF&lt;&gt;"")*IND_PER)),IND_PER,0))))</f>
        <v/>
      </c>
      <c r="AK2116" s="87" t="str">
        <f aca="false">IF(AH2116="","",IF(COUNTIF(TASA_DESDE,"&lt;="&amp;B2116)=0,INDEX(TASA_EMP,1),INDEX(TASA_EMP,COUNTIF(TASA_DESDE,"&lt;="&amp;B2116))))</f>
        <v/>
      </c>
    </row>
    <row r="2117" customFormat="false" ht="15" hidden="false" customHeight="false" outlineLevel="0" collapsed="false">
      <c r="B2117" s="78"/>
      <c r="C2117" s="64"/>
      <c r="D2117" s="72" t="str">
        <f aca="false">IF(C2117="","",IFERROR(INDEX(T_NOMBRE,MATCH(C2117,T_ID,0)),"⚠ ID no existe"))</f>
        <v/>
      </c>
      <c r="E2117" s="69"/>
      <c r="F2117" s="67"/>
      <c r="G2117" s="67"/>
      <c r="H2117" s="67"/>
      <c r="I2117" s="67"/>
      <c r="J2117" s="67"/>
      <c r="K2117" s="85" t="str">
        <f aca="false">IF(AH2117="","",N(F2117)+N(G2117)+N(H2117)-N(I2117)+N(J2117))</f>
        <v/>
      </c>
      <c r="L2117" s="67"/>
      <c r="M2117" s="67"/>
      <c r="N2117" s="67"/>
      <c r="O2117" s="67"/>
      <c r="P2117" s="85" t="str">
        <f aca="false">IF(AH2117="","",K2117+N(L2117)+N(M2117)+N(N2117)+N(O2117))</f>
        <v/>
      </c>
      <c r="Q2117" s="67"/>
      <c r="R2117" s="67"/>
      <c r="S2117" s="67"/>
      <c r="T2117" s="67"/>
      <c r="U2117" s="67"/>
      <c r="V2117" s="67"/>
      <c r="W2117" s="85" t="str">
        <f aca="false">IF(AH2117="","",N(Q2117)+N(R2117)+N(S2117)+N(T2117)+N(U2117)+N(V2117))</f>
        <v/>
      </c>
      <c r="X2117" s="85" t="str">
        <f aca="false">IF(AH2117="","",P2117-W2117)</f>
        <v/>
      </c>
      <c r="Y2117" s="67"/>
      <c r="Z2117" s="70" t="str">
        <f aca="false">IF(OR(AH2117="",Y2117=""),"",IF(ABS(X2117-Y2117)&lt;=1,"✓ Cuadra","⚠ Diferencia $"&amp;FIXED(X2117-Y2117,0)))</f>
        <v/>
      </c>
      <c r="AA2117" s="72" t="str">
        <f aca="false">IF(AH2117="","",IFERROR(INDEX(C_TIPO,MATCH(C2117&amp;"-P"&amp;MAX(1,COUNTIFS(C_ID,C2117,C_DEFINE,"Sí",C_INICIO,"&lt;="&amp;EOMONTH(B2117,0))),C_CLAVE,0))&amp;"","Sin dato"))</f>
        <v/>
      </c>
      <c r="AB2117" s="71" t="str">
        <f aca="false">IF(AH2117="","",ROUND(MIN(K2117,TOPE_AFP_UF*AJ2117)*AK2117,0))</f>
        <v/>
      </c>
      <c r="AC2117" s="71" t="str">
        <f aca="false">IF(AH2117="","",ROUND(MIN(K2117,TOPE_AFC_UF*AJ2117)*IF(AA2117="Indefinido",AFC_EMP_INDEF,AFC_EMP_PF),0))</f>
        <v/>
      </c>
      <c r="AD2117" s="71" t="str">
        <f aca="false">IF(AH2117="","",ROUND(MIN(K2117,TOPE_AFP_UF*AJ2117)*(MUTUAL_BASICA+MUTUAL_ADIC+SANNA),0))</f>
        <v/>
      </c>
      <c r="AE2117" s="71" t="str">
        <f aca="false">IF(AH2117="","",P2117-N(N2117)+AB2117+AC2117+AD2117)</f>
        <v/>
      </c>
      <c r="AF2117" s="65"/>
      <c r="AG2117" s="64"/>
      <c r="AH2117" s="72" t="str">
        <f aca="false">IF(OR(B2117="",C2117=""),"",C2117&amp;"|"&amp;(YEAR(B2117)*100+MONTH(B2117)))</f>
        <v/>
      </c>
      <c r="AI2117" s="70" t="str">
        <f aca="false">IF(AH2117="","",IF(COUNTIF(L_CLAVE,AH2117)&gt;1,"⚠ Duplicado","OK"))</f>
        <v/>
      </c>
      <c r="AJ2117" s="86" t="str">
        <f aca="false">IF(AH2117="","",IF(SUMPRODUCT(MAX((IND_PER&lt;=B2117)*(IND_UF&lt;&gt;"")*IND_PER))=0,UF_HOY,INDEX(IND_UF,MATCH(SUMPRODUCT(MAX((IND_PER&lt;=B2117)*(IND_UF&lt;&gt;"")*IND_PER)),IND_PER,0))))</f>
        <v/>
      </c>
      <c r="AK2117" s="87" t="str">
        <f aca="false">IF(AH2117="","",IF(COUNTIF(TASA_DESDE,"&lt;="&amp;B2117)=0,INDEX(TASA_EMP,1),INDEX(TASA_EMP,COUNTIF(TASA_DESDE,"&lt;="&amp;B2117))))</f>
        <v/>
      </c>
    </row>
    <row r="2118" customFormat="false" ht="15" hidden="false" customHeight="false" outlineLevel="0" collapsed="false">
      <c r="B2118" s="78"/>
      <c r="C2118" s="64"/>
      <c r="D2118" s="72" t="str">
        <f aca="false">IF(C2118="","",IFERROR(INDEX(T_NOMBRE,MATCH(C2118,T_ID,0)),"⚠ ID no existe"))</f>
        <v/>
      </c>
      <c r="E2118" s="69"/>
      <c r="F2118" s="67"/>
      <c r="G2118" s="67"/>
      <c r="H2118" s="67"/>
      <c r="I2118" s="67"/>
      <c r="J2118" s="67"/>
      <c r="K2118" s="85" t="str">
        <f aca="false">IF(AH2118="","",N(F2118)+N(G2118)+N(H2118)-N(I2118)+N(J2118))</f>
        <v/>
      </c>
      <c r="L2118" s="67"/>
      <c r="M2118" s="67"/>
      <c r="N2118" s="67"/>
      <c r="O2118" s="67"/>
      <c r="P2118" s="85" t="str">
        <f aca="false">IF(AH2118="","",K2118+N(L2118)+N(M2118)+N(N2118)+N(O2118))</f>
        <v/>
      </c>
      <c r="Q2118" s="67"/>
      <c r="R2118" s="67"/>
      <c r="S2118" s="67"/>
      <c r="T2118" s="67"/>
      <c r="U2118" s="67"/>
      <c r="V2118" s="67"/>
      <c r="W2118" s="85" t="str">
        <f aca="false">IF(AH2118="","",N(Q2118)+N(R2118)+N(S2118)+N(T2118)+N(U2118)+N(V2118))</f>
        <v/>
      </c>
      <c r="X2118" s="85" t="str">
        <f aca="false">IF(AH2118="","",P2118-W2118)</f>
        <v/>
      </c>
      <c r="Y2118" s="67"/>
      <c r="Z2118" s="70" t="str">
        <f aca="false">IF(OR(AH2118="",Y2118=""),"",IF(ABS(X2118-Y2118)&lt;=1,"✓ Cuadra","⚠ Diferencia $"&amp;FIXED(X2118-Y2118,0)))</f>
        <v/>
      </c>
      <c r="AA2118" s="72" t="str">
        <f aca="false">IF(AH2118="","",IFERROR(INDEX(C_TIPO,MATCH(C2118&amp;"-P"&amp;MAX(1,COUNTIFS(C_ID,C2118,C_DEFINE,"Sí",C_INICIO,"&lt;="&amp;EOMONTH(B2118,0))),C_CLAVE,0))&amp;"","Sin dato"))</f>
        <v/>
      </c>
      <c r="AB2118" s="71" t="str">
        <f aca="false">IF(AH2118="","",ROUND(MIN(K2118,TOPE_AFP_UF*AJ2118)*AK2118,0))</f>
        <v/>
      </c>
      <c r="AC2118" s="71" t="str">
        <f aca="false">IF(AH2118="","",ROUND(MIN(K2118,TOPE_AFC_UF*AJ2118)*IF(AA2118="Indefinido",AFC_EMP_INDEF,AFC_EMP_PF),0))</f>
        <v/>
      </c>
      <c r="AD2118" s="71" t="str">
        <f aca="false">IF(AH2118="","",ROUND(MIN(K2118,TOPE_AFP_UF*AJ2118)*(MUTUAL_BASICA+MUTUAL_ADIC+SANNA),0))</f>
        <v/>
      </c>
      <c r="AE2118" s="71" t="str">
        <f aca="false">IF(AH2118="","",P2118-N(N2118)+AB2118+AC2118+AD2118)</f>
        <v/>
      </c>
      <c r="AF2118" s="65"/>
      <c r="AG2118" s="64"/>
      <c r="AH2118" s="72" t="str">
        <f aca="false">IF(OR(B2118="",C2118=""),"",C2118&amp;"|"&amp;(YEAR(B2118)*100+MONTH(B2118)))</f>
        <v/>
      </c>
      <c r="AI2118" s="70" t="str">
        <f aca="false">IF(AH2118="","",IF(COUNTIF(L_CLAVE,AH2118)&gt;1,"⚠ Duplicado","OK"))</f>
        <v/>
      </c>
      <c r="AJ2118" s="86" t="str">
        <f aca="false">IF(AH2118="","",IF(SUMPRODUCT(MAX((IND_PER&lt;=B2118)*(IND_UF&lt;&gt;"")*IND_PER))=0,UF_HOY,INDEX(IND_UF,MATCH(SUMPRODUCT(MAX((IND_PER&lt;=B2118)*(IND_UF&lt;&gt;"")*IND_PER)),IND_PER,0))))</f>
        <v/>
      </c>
      <c r="AK2118" s="87" t="str">
        <f aca="false">IF(AH2118="","",IF(COUNTIF(TASA_DESDE,"&lt;="&amp;B2118)=0,INDEX(TASA_EMP,1),INDEX(TASA_EMP,COUNTIF(TASA_DESDE,"&lt;="&amp;B2118))))</f>
        <v/>
      </c>
    </row>
    <row r="2119" customFormat="false" ht="15" hidden="false" customHeight="false" outlineLevel="0" collapsed="false">
      <c r="B2119" s="78"/>
      <c r="C2119" s="64"/>
      <c r="D2119" s="72" t="str">
        <f aca="false">IF(C2119="","",IFERROR(INDEX(T_NOMBRE,MATCH(C2119,T_ID,0)),"⚠ ID no existe"))</f>
        <v/>
      </c>
      <c r="E2119" s="69"/>
      <c r="F2119" s="67"/>
      <c r="G2119" s="67"/>
      <c r="H2119" s="67"/>
      <c r="I2119" s="67"/>
      <c r="J2119" s="67"/>
      <c r="K2119" s="85" t="str">
        <f aca="false">IF(AH2119="","",N(F2119)+N(G2119)+N(H2119)-N(I2119)+N(J2119))</f>
        <v/>
      </c>
      <c r="L2119" s="67"/>
      <c r="M2119" s="67"/>
      <c r="N2119" s="67"/>
      <c r="O2119" s="67"/>
      <c r="P2119" s="85" t="str">
        <f aca="false">IF(AH2119="","",K2119+N(L2119)+N(M2119)+N(N2119)+N(O2119))</f>
        <v/>
      </c>
      <c r="Q2119" s="67"/>
      <c r="R2119" s="67"/>
      <c r="S2119" s="67"/>
      <c r="T2119" s="67"/>
      <c r="U2119" s="67"/>
      <c r="V2119" s="67"/>
      <c r="W2119" s="85" t="str">
        <f aca="false">IF(AH2119="","",N(Q2119)+N(R2119)+N(S2119)+N(T2119)+N(U2119)+N(V2119))</f>
        <v/>
      </c>
      <c r="X2119" s="85" t="str">
        <f aca="false">IF(AH2119="","",P2119-W2119)</f>
        <v/>
      </c>
      <c r="Y2119" s="67"/>
      <c r="Z2119" s="70" t="str">
        <f aca="false">IF(OR(AH2119="",Y2119=""),"",IF(ABS(X2119-Y2119)&lt;=1,"✓ Cuadra","⚠ Diferencia $"&amp;FIXED(X2119-Y2119,0)))</f>
        <v/>
      </c>
      <c r="AA2119" s="72" t="str">
        <f aca="false">IF(AH2119="","",IFERROR(INDEX(C_TIPO,MATCH(C2119&amp;"-P"&amp;MAX(1,COUNTIFS(C_ID,C2119,C_DEFINE,"Sí",C_INICIO,"&lt;="&amp;EOMONTH(B2119,0))),C_CLAVE,0))&amp;"","Sin dato"))</f>
        <v/>
      </c>
      <c r="AB2119" s="71" t="str">
        <f aca="false">IF(AH2119="","",ROUND(MIN(K2119,TOPE_AFP_UF*AJ2119)*AK2119,0))</f>
        <v/>
      </c>
      <c r="AC2119" s="71" t="str">
        <f aca="false">IF(AH2119="","",ROUND(MIN(K2119,TOPE_AFC_UF*AJ2119)*IF(AA2119="Indefinido",AFC_EMP_INDEF,AFC_EMP_PF),0))</f>
        <v/>
      </c>
      <c r="AD2119" s="71" t="str">
        <f aca="false">IF(AH2119="","",ROUND(MIN(K2119,TOPE_AFP_UF*AJ2119)*(MUTUAL_BASICA+MUTUAL_ADIC+SANNA),0))</f>
        <v/>
      </c>
      <c r="AE2119" s="71" t="str">
        <f aca="false">IF(AH2119="","",P2119-N(N2119)+AB2119+AC2119+AD2119)</f>
        <v/>
      </c>
      <c r="AF2119" s="65"/>
      <c r="AG2119" s="64"/>
      <c r="AH2119" s="72" t="str">
        <f aca="false">IF(OR(B2119="",C2119=""),"",C2119&amp;"|"&amp;(YEAR(B2119)*100+MONTH(B2119)))</f>
        <v/>
      </c>
      <c r="AI2119" s="70" t="str">
        <f aca="false">IF(AH2119="","",IF(COUNTIF(L_CLAVE,AH2119)&gt;1,"⚠ Duplicado","OK"))</f>
        <v/>
      </c>
      <c r="AJ2119" s="86" t="str">
        <f aca="false">IF(AH2119="","",IF(SUMPRODUCT(MAX((IND_PER&lt;=B2119)*(IND_UF&lt;&gt;"")*IND_PER))=0,UF_HOY,INDEX(IND_UF,MATCH(SUMPRODUCT(MAX((IND_PER&lt;=B2119)*(IND_UF&lt;&gt;"")*IND_PER)),IND_PER,0))))</f>
        <v/>
      </c>
      <c r="AK2119" s="87" t="str">
        <f aca="false">IF(AH2119="","",IF(COUNTIF(TASA_DESDE,"&lt;="&amp;B2119)=0,INDEX(TASA_EMP,1),INDEX(TASA_EMP,COUNTIF(TASA_DESDE,"&lt;="&amp;B2119))))</f>
        <v/>
      </c>
    </row>
    <row r="2120" customFormat="false" ht="15" hidden="false" customHeight="false" outlineLevel="0" collapsed="false">
      <c r="B2120" s="78"/>
      <c r="C2120" s="64"/>
      <c r="D2120" s="72" t="str">
        <f aca="false">IF(C2120="","",IFERROR(INDEX(T_NOMBRE,MATCH(C2120,T_ID,0)),"⚠ ID no existe"))</f>
        <v/>
      </c>
      <c r="E2120" s="69"/>
      <c r="F2120" s="67"/>
      <c r="G2120" s="67"/>
      <c r="H2120" s="67"/>
      <c r="I2120" s="67"/>
      <c r="J2120" s="67"/>
      <c r="K2120" s="85" t="str">
        <f aca="false">IF(AH2120="","",N(F2120)+N(G2120)+N(H2120)-N(I2120)+N(J2120))</f>
        <v/>
      </c>
      <c r="L2120" s="67"/>
      <c r="M2120" s="67"/>
      <c r="N2120" s="67"/>
      <c r="O2120" s="67"/>
      <c r="P2120" s="85" t="str">
        <f aca="false">IF(AH2120="","",K2120+N(L2120)+N(M2120)+N(N2120)+N(O2120))</f>
        <v/>
      </c>
      <c r="Q2120" s="67"/>
      <c r="R2120" s="67"/>
      <c r="S2120" s="67"/>
      <c r="T2120" s="67"/>
      <c r="U2120" s="67"/>
      <c r="V2120" s="67"/>
      <c r="W2120" s="85" t="str">
        <f aca="false">IF(AH2120="","",N(Q2120)+N(R2120)+N(S2120)+N(T2120)+N(U2120)+N(V2120))</f>
        <v/>
      </c>
      <c r="X2120" s="85" t="str">
        <f aca="false">IF(AH2120="","",P2120-W2120)</f>
        <v/>
      </c>
      <c r="Y2120" s="67"/>
      <c r="Z2120" s="70" t="str">
        <f aca="false">IF(OR(AH2120="",Y2120=""),"",IF(ABS(X2120-Y2120)&lt;=1,"✓ Cuadra","⚠ Diferencia $"&amp;FIXED(X2120-Y2120,0)))</f>
        <v/>
      </c>
      <c r="AA2120" s="72" t="str">
        <f aca="false">IF(AH2120="","",IFERROR(INDEX(C_TIPO,MATCH(C2120&amp;"-P"&amp;MAX(1,COUNTIFS(C_ID,C2120,C_DEFINE,"Sí",C_INICIO,"&lt;="&amp;EOMONTH(B2120,0))),C_CLAVE,0))&amp;"","Sin dato"))</f>
        <v/>
      </c>
      <c r="AB2120" s="71" t="str">
        <f aca="false">IF(AH2120="","",ROUND(MIN(K2120,TOPE_AFP_UF*AJ2120)*AK2120,0))</f>
        <v/>
      </c>
      <c r="AC2120" s="71" t="str">
        <f aca="false">IF(AH2120="","",ROUND(MIN(K2120,TOPE_AFC_UF*AJ2120)*IF(AA2120="Indefinido",AFC_EMP_INDEF,AFC_EMP_PF),0))</f>
        <v/>
      </c>
      <c r="AD2120" s="71" t="str">
        <f aca="false">IF(AH2120="","",ROUND(MIN(K2120,TOPE_AFP_UF*AJ2120)*(MUTUAL_BASICA+MUTUAL_ADIC+SANNA),0))</f>
        <v/>
      </c>
      <c r="AE2120" s="71" t="str">
        <f aca="false">IF(AH2120="","",P2120-N(N2120)+AB2120+AC2120+AD2120)</f>
        <v/>
      </c>
      <c r="AF2120" s="65"/>
      <c r="AG2120" s="64"/>
      <c r="AH2120" s="72" t="str">
        <f aca="false">IF(OR(B2120="",C2120=""),"",C2120&amp;"|"&amp;(YEAR(B2120)*100+MONTH(B2120)))</f>
        <v/>
      </c>
      <c r="AI2120" s="70" t="str">
        <f aca="false">IF(AH2120="","",IF(COUNTIF(L_CLAVE,AH2120)&gt;1,"⚠ Duplicado","OK"))</f>
        <v/>
      </c>
      <c r="AJ2120" s="86" t="str">
        <f aca="false">IF(AH2120="","",IF(SUMPRODUCT(MAX((IND_PER&lt;=B2120)*(IND_UF&lt;&gt;"")*IND_PER))=0,UF_HOY,INDEX(IND_UF,MATCH(SUMPRODUCT(MAX((IND_PER&lt;=B2120)*(IND_UF&lt;&gt;"")*IND_PER)),IND_PER,0))))</f>
        <v/>
      </c>
      <c r="AK2120" s="87" t="str">
        <f aca="false">IF(AH2120="","",IF(COUNTIF(TASA_DESDE,"&lt;="&amp;B2120)=0,INDEX(TASA_EMP,1),INDEX(TASA_EMP,COUNTIF(TASA_DESDE,"&lt;="&amp;B2120))))</f>
        <v/>
      </c>
    </row>
    <row r="2121" customFormat="false" ht="15" hidden="false" customHeight="false" outlineLevel="0" collapsed="false">
      <c r="B2121" s="78"/>
      <c r="C2121" s="64"/>
      <c r="D2121" s="72" t="str">
        <f aca="false">IF(C2121="","",IFERROR(INDEX(T_NOMBRE,MATCH(C2121,T_ID,0)),"⚠ ID no existe"))</f>
        <v/>
      </c>
      <c r="E2121" s="69"/>
      <c r="F2121" s="67"/>
      <c r="G2121" s="67"/>
      <c r="H2121" s="67"/>
      <c r="I2121" s="67"/>
      <c r="J2121" s="67"/>
      <c r="K2121" s="85" t="str">
        <f aca="false">IF(AH2121="","",N(F2121)+N(G2121)+N(H2121)-N(I2121)+N(J2121))</f>
        <v/>
      </c>
      <c r="L2121" s="67"/>
      <c r="M2121" s="67"/>
      <c r="N2121" s="67"/>
      <c r="O2121" s="67"/>
      <c r="P2121" s="85" t="str">
        <f aca="false">IF(AH2121="","",K2121+N(L2121)+N(M2121)+N(N2121)+N(O2121))</f>
        <v/>
      </c>
      <c r="Q2121" s="67"/>
      <c r="R2121" s="67"/>
      <c r="S2121" s="67"/>
      <c r="T2121" s="67"/>
      <c r="U2121" s="67"/>
      <c r="V2121" s="67"/>
      <c r="W2121" s="85" t="str">
        <f aca="false">IF(AH2121="","",N(Q2121)+N(R2121)+N(S2121)+N(T2121)+N(U2121)+N(V2121))</f>
        <v/>
      </c>
      <c r="X2121" s="85" t="str">
        <f aca="false">IF(AH2121="","",P2121-W2121)</f>
        <v/>
      </c>
      <c r="Y2121" s="67"/>
      <c r="Z2121" s="70" t="str">
        <f aca="false">IF(OR(AH2121="",Y2121=""),"",IF(ABS(X2121-Y2121)&lt;=1,"✓ Cuadra","⚠ Diferencia $"&amp;FIXED(X2121-Y2121,0)))</f>
        <v/>
      </c>
      <c r="AA2121" s="72" t="str">
        <f aca="false">IF(AH2121="","",IFERROR(INDEX(C_TIPO,MATCH(C2121&amp;"-P"&amp;MAX(1,COUNTIFS(C_ID,C2121,C_DEFINE,"Sí",C_INICIO,"&lt;="&amp;EOMONTH(B2121,0))),C_CLAVE,0))&amp;"","Sin dato"))</f>
        <v/>
      </c>
      <c r="AB2121" s="71" t="str">
        <f aca="false">IF(AH2121="","",ROUND(MIN(K2121,TOPE_AFP_UF*AJ2121)*AK2121,0))</f>
        <v/>
      </c>
      <c r="AC2121" s="71" t="str">
        <f aca="false">IF(AH2121="","",ROUND(MIN(K2121,TOPE_AFC_UF*AJ2121)*IF(AA2121="Indefinido",AFC_EMP_INDEF,AFC_EMP_PF),0))</f>
        <v/>
      </c>
      <c r="AD2121" s="71" t="str">
        <f aca="false">IF(AH2121="","",ROUND(MIN(K2121,TOPE_AFP_UF*AJ2121)*(MUTUAL_BASICA+MUTUAL_ADIC+SANNA),0))</f>
        <v/>
      </c>
      <c r="AE2121" s="71" t="str">
        <f aca="false">IF(AH2121="","",P2121-N(N2121)+AB2121+AC2121+AD2121)</f>
        <v/>
      </c>
      <c r="AF2121" s="65"/>
      <c r="AG2121" s="64"/>
      <c r="AH2121" s="72" t="str">
        <f aca="false">IF(OR(B2121="",C2121=""),"",C2121&amp;"|"&amp;(YEAR(B2121)*100+MONTH(B2121)))</f>
        <v/>
      </c>
      <c r="AI2121" s="70" t="str">
        <f aca="false">IF(AH2121="","",IF(COUNTIF(L_CLAVE,AH2121)&gt;1,"⚠ Duplicado","OK"))</f>
        <v/>
      </c>
      <c r="AJ2121" s="86" t="str">
        <f aca="false">IF(AH2121="","",IF(SUMPRODUCT(MAX((IND_PER&lt;=B2121)*(IND_UF&lt;&gt;"")*IND_PER))=0,UF_HOY,INDEX(IND_UF,MATCH(SUMPRODUCT(MAX((IND_PER&lt;=B2121)*(IND_UF&lt;&gt;"")*IND_PER)),IND_PER,0))))</f>
        <v/>
      </c>
      <c r="AK2121" s="87" t="str">
        <f aca="false">IF(AH2121="","",IF(COUNTIF(TASA_DESDE,"&lt;="&amp;B2121)=0,INDEX(TASA_EMP,1),INDEX(TASA_EMP,COUNTIF(TASA_DESDE,"&lt;="&amp;B2121))))</f>
        <v/>
      </c>
    </row>
    <row r="2122" customFormat="false" ht="15" hidden="false" customHeight="false" outlineLevel="0" collapsed="false">
      <c r="B2122" s="78"/>
      <c r="C2122" s="64"/>
      <c r="D2122" s="72" t="str">
        <f aca="false">IF(C2122="","",IFERROR(INDEX(T_NOMBRE,MATCH(C2122,T_ID,0)),"⚠ ID no existe"))</f>
        <v/>
      </c>
      <c r="E2122" s="69"/>
      <c r="F2122" s="67"/>
      <c r="G2122" s="67"/>
      <c r="H2122" s="67"/>
      <c r="I2122" s="67"/>
      <c r="J2122" s="67"/>
      <c r="K2122" s="85" t="str">
        <f aca="false">IF(AH2122="","",N(F2122)+N(G2122)+N(H2122)-N(I2122)+N(J2122))</f>
        <v/>
      </c>
      <c r="L2122" s="67"/>
      <c r="M2122" s="67"/>
      <c r="N2122" s="67"/>
      <c r="O2122" s="67"/>
      <c r="P2122" s="85" t="str">
        <f aca="false">IF(AH2122="","",K2122+N(L2122)+N(M2122)+N(N2122)+N(O2122))</f>
        <v/>
      </c>
      <c r="Q2122" s="67"/>
      <c r="R2122" s="67"/>
      <c r="S2122" s="67"/>
      <c r="T2122" s="67"/>
      <c r="U2122" s="67"/>
      <c r="V2122" s="67"/>
      <c r="W2122" s="85" t="str">
        <f aca="false">IF(AH2122="","",N(Q2122)+N(R2122)+N(S2122)+N(T2122)+N(U2122)+N(V2122))</f>
        <v/>
      </c>
      <c r="X2122" s="85" t="str">
        <f aca="false">IF(AH2122="","",P2122-W2122)</f>
        <v/>
      </c>
      <c r="Y2122" s="67"/>
      <c r="Z2122" s="70" t="str">
        <f aca="false">IF(OR(AH2122="",Y2122=""),"",IF(ABS(X2122-Y2122)&lt;=1,"✓ Cuadra","⚠ Diferencia $"&amp;FIXED(X2122-Y2122,0)))</f>
        <v/>
      </c>
      <c r="AA2122" s="72" t="str">
        <f aca="false">IF(AH2122="","",IFERROR(INDEX(C_TIPO,MATCH(C2122&amp;"-P"&amp;MAX(1,COUNTIFS(C_ID,C2122,C_DEFINE,"Sí",C_INICIO,"&lt;="&amp;EOMONTH(B2122,0))),C_CLAVE,0))&amp;"","Sin dato"))</f>
        <v/>
      </c>
      <c r="AB2122" s="71" t="str">
        <f aca="false">IF(AH2122="","",ROUND(MIN(K2122,TOPE_AFP_UF*AJ2122)*AK2122,0))</f>
        <v/>
      </c>
      <c r="AC2122" s="71" t="str">
        <f aca="false">IF(AH2122="","",ROUND(MIN(K2122,TOPE_AFC_UF*AJ2122)*IF(AA2122="Indefinido",AFC_EMP_INDEF,AFC_EMP_PF),0))</f>
        <v/>
      </c>
      <c r="AD2122" s="71" t="str">
        <f aca="false">IF(AH2122="","",ROUND(MIN(K2122,TOPE_AFP_UF*AJ2122)*(MUTUAL_BASICA+MUTUAL_ADIC+SANNA),0))</f>
        <v/>
      </c>
      <c r="AE2122" s="71" t="str">
        <f aca="false">IF(AH2122="","",P2122-N(N2122)+AB2122+AC2122+AD2122)</f>
        <v/>
      </c>
      <c r="AF2122" s="65"/>
      <c r="AG2122" s="64"/>
      <c r="AH2122" s="72" t="str">
        <f aca="false">IF(OR(B2122="",C2122=""),"",C2122&amp;"|"&amp;(YEAR(B2122)*100+MONTH(B2122)))</f>
        <v/>
      </c>
      <c r="AI2122" s="70" t="str">
        <f aca="false">IF(AH2122="","",IF(COUNTIF(L_CLAVE,AH2122)&gt;1,"⚠ Duplicado","OK"))</f>
        <v/>
      </c>
      <c r="AJ2122" s="86" t="str">
        <f aca="false">IF(AH2122="","",IF(SUMPRODUCT(MAX((IND_PER&lt;=B2122)*(IND_UF&lt;&gt;"")*IND_PER))=0,UF_HOY,INDEX(IND_UF,MATCH(SUMPRODUCT(MAX((IND_PER&lt;=B2122)*(IND_UF&lt;&gt;"")*IND_PER)),IND_PER,0))))</f>
        <v/>
      </c>
      <c r="AK2122" s="87" t="str">
        <f aca="false">IF(AH2122="","",IF(COUNTIF(TASA_DESDE,"&lt;="&amp;B2122)=0,INDEX(TASA_EMP,1),INDEX(TASA_EMP,COUNTIF(TASA_DESDE,"&lt;="&amp;B2122))))</f>
        <v/>
      </c>
    </row>
    <row r="2123" customFormat="false" ht="15" hidden="false" customHeight="false" outlineLevel="0" collapsed="false">
      <c r="B2123" s="78"/>
      <c r="C2123" s="64"/>
      <c r="D2123" s="72" t="str">
        <f aca="false">IF(C2123="","",IFERROR(INDEX(T_NOMBRE,MATCH(C2123,T_ID,0)),"⚠ ID no existe"))</f>
        <v/>
      </c>
      <c r="E2123" s="69"/>
      <c r="F2123" s="67"/>
      <c r="G2123" s="67"/>
      <c r="H2123" s="67"/>
      <c r="I2123" s="67"/>
      <c r="J2123" s="67"/>
      <c r="K2123" s="85" t="str">
        <f aca="false">IF(AH2123="","",N(F2123)+N(G2123)+N(H2123)-N(I2123)+N(J2123))</f>
        <v/>
      </c>
      <c r="L2123" s="67"/>
      <c r="M2123" s="67"/>
      <c r="N2123" s="67"/>
      <c r="O2123" s="67"/>
      <c r="P2123" s="85" t="str">
        <f aca="false">IF(AH2123="","",K2123+N(L2123)+N(M2123)+N(N2123)+N(O2123))</f>
        <v/>
      </c>
      <c r="Q2123" s="67"/>
      <c r="R2123" s="67"/>
      <c r="S2123" s="67"/>
      <c r="T2123" s="67"/>
      <c r="U2123" s="67"/>
      <c r="V2123" s="67"/>
      <c r="W2123" s="85" t="str">
        <f aca="false">IF(AH2123="","",N(Q2123)+N(R2123)+N(S2123)+N(T2123)+N(U2123)+N(V2123))</f>
        <v/>
      </c>
      <c r="X2123" s="85" t="str">
        <f aca="false">IF(AH2123="","",P2123-W2123)</f>
        <v/>
      </c>
      <c r="Y2123" s="67"/>
      <c r="Z2123" s="70" t="str">
        <f aca="false">IF(OR(AH2123="",Y2123=""),"",IF(ABS(X2123-Y2123)&lt;=1,"✓ Cuadra","⚠ Diferencia $"&amp;FIXED(X2123-Y2123,0)))</f>
        <v/>
      </c>
      <c r="AA2123" s="72" t="str">
        <f aca="false">IF(AH2123="","",IFERROR(INDEX(C_TIPO,MATCH(C2123&amp;"-P"&amp;MAX(1,COUNTIFS(C_ID,C2123,C_DEFINE,"Sí",C_INICIO,"&lt;="&amp;EOMONTH(B2123,0))),C_CLAVE,0))&amp;"","Sin dato"))</f>
        <v/>
      </c>
      <c r="AB2123" s="71" t="str">
        <f aca="false">IF(AH2123="","",ROUND(MIN(K2123,TOPE_AFP_UF*AJ2123)*AK2123,0))</f>
        <v/>
      </c>
      <c r="AC2123" s="71" t="str">
        <f aca="false">IF(AH2123="","",ROUND(MIN(K2123,TOPE_AFC_UF*AJ2123)*IF(AA2123="Indefinido",AFC_EMP_INDEF,AFC_EMP_PF),0))</f>
        <v/>
      </c>
      <c r="AD2123" s="71" t="str">
        <f aca="false">IF(AH2123="","",ROUND(MIN(K2123,TOPE_AFP_UF*AJ2123)*(MUTUAL_BASICA+MUTUAL_ADIC+SANNA),0))</f>
        <v/>
      </c>
      <c r="AE2123" s="71" t="str">
        <f aca="false">IF(AH2123="","",P2123-N(N2123)+AB2123+AC2123+AD2123)</f>
        <v/>
      </c>
      <c r="AF2123" s="65"/>
      <c r="AG2123" s="64"/>
      <c r="AH2123" s="72" t="str">
        <f aca="false">IF(OR(B2123="",C2123=""),"",C2123&amp;"|"&amp;(YEAR(B2123)*100+MONTH(B2123)))</f>
        <v/>
      </c>
      <c r="AI2123" s="70" t="str">
        <f aca="false">IF(AH2123="","",IF(COUNTIF(L_CLAVE,AH2123)&gt;1,"⚠ Duplicado","OK"))</f>
        <v/>
      </c>
      <c r="AJ2123" s="86" t="str">
        <f aca="false">IF(AH2123="","",IF(SUMPRODUCT(MAX((IND_PER&lt;=B2123)*(IND_UF&lt;&gt;"")*IND_PER))=0,UF_HOY,INDEX(IND_UF,MATCH(SUMPRODUCT(MAX((IND_PER&lt;=B2123)*(IND_UF&lt;&gt;"")*IND_PER)),IND_PER,0))))</f>
        <v/>
      </c>
      <c r="AK2123" s="87" t="str">
        <f aca="false">IF(AH2123="","",IF(COUNTIF(TASA_DESDE,"&lt;="&amp;B2123)=0,INDEX(TASA_EMP,1),INDEX(TASA_EMP,COUNTIF(TASA_DESDE,"&lt;="&amp;B2123))))</f>
        <v/>
      </c>
    </row>
    <row r="2124" customFormat="false" ht="15" hidden="false" customHeight="false" outlineLevel="0" collapsed="false">
      <c r="B2124" s="78"/>
      <c r="C2124" s="64"/>
      <c r="D2124" s="72" t="str">
        <f aca="false">IF(C2124="","",IFERROR(INDEX(T_NOMBRE,MATCH(C2124,T_ID,0)),"⚠ ID no existe"))</f>
        <v/>
      </c>
      <c r="E2124" s="69"/>
      <c r="F2124" s="67"/>
      <c r="G2124" s="67"/>
      <c r="H2124" s="67"/>
      <c r="I2124" s="67"/>
      <c r="J2124" s="67"/>
      <c r="K2124" s="85" t="str">
        <f aca="false">IF(AH2124="","",N(F2124)+N(G2124)+N(H2124)-N(I2124)+N(J2124))</f>
        <v/>
      </c>
      <c r="L2124" s="67"/>
      <c r="M2124" s="67"/>
      <c r="N2124" s="67"/>
      <c r="O2124" s="67"/>
      <c r="P2124" s="85" t="str">
        <f aca="false">IF(AH2124="","",K2124+N(L2124)+N(M2124)+N(N2124)+N(O2124))</f>
        <v/>
      </c>
      <c r="Q2124" s="67"/>
      <c r="R2124" s="67"/>
      <c r="S2124" s="67"/>
      <c r="T2124" s="67"/>
      <c r="U2124" s="67"/>
      <c r="V2124" s="67"/>
      <c r="W2124" s="85" t="str">
        <f aca="false">IF(AH2124="","",N(Q2124)+N(R2124)+N(S2124)+N(T2124)+N(U2124)+N(V2124))</f>
        <v/>
      </c>
      <c r="X2124" s="85" t="str">
        <f aca="false">IF(AH2124="","",P2124-W2124)</f>
        <v/>
      </c>
      <c r="Y2124" s="67"/>
      <c r="Z2124" s="70" t="str">
        <f aca="false">IF(OR(AH2124="",Y2124=""),"",IF(ABS(X2124-Y2124)&lt;=1,"✓ Cuadra","⚠ Diferencia $"&amp;FIXED(X2124-Y2124,0)))</f>
        <v/>
      </c>
      <c r="AA2124" s="72" t="str">
        <f aca="false">IF(AH2124="","",IFERROR(INDEX(C_TIPO,MATCH(C2124&amp;"-P"&amp;MAX(1,COUNTIFS(C_ID,C2124,C_DEFINE,"Sí",C_INICIO,"&lt;="&amp;EOMONTH(B2124,0))),C_CLAVE,0))&amp;"","Sin dato"))</f>
        <v/>
      </c>
      <c r="AB2124" s="71" t="str">
        <f aca="false">IF(AH2124="","",ROUND(MIN(K2124,TOPE_AFP_UF*AJ2124)*AK2124,0))</f>
        <v/>
      </c>
      <c r="AC2124" s="71" t="str">
        <f aca="false">IF(AH2124="","",ROUND(MIN(K2124,TOPE_AFC_UF*AJ2124)*IF(AA2124="Indefinido",AFC_EMP_INDEF,AFC_EMP_PF),0))</f>
        <v/>
      </c>
      <c r="AD2124" s="71" t="str">
        <f aca="false">IF(AH2124="","",ROUND(MIN(K2124,TOPE_AFP_UF*AJ2124)*(MUTUAL_BASICA+MUTUAL_ADIC+SANNA),0))</f>
        <v/>
      </c>
      <c r="AE2124" s="71" t="str">
        <f aca="false">IF(AH2124="","",P2124-N(N2124)+AB2124+AC2124+AD2124)</f>
        <v/>
      </c>
      <c r="AF2124" s="65"/>
      <c r="AG2124" s="64"/>
      <c r="AH2124" s="72" t="str">
        <f aca="false">IF(OR(B2124="",C2124=""),"",C2124&amp;"|"&amp;(YEAR(B2124)*100+MONTH(B2124)))</f>
        <v/>
      </c>
      <c r="AI2124" s="70" t="str">
        <f aca="false">IF(AH2124="","",IF(COUNTIF(L_CLAVE,AH2124)&gt;1,"⚠ Duplicado","OK"))</f>
        <v/>
      </c>
      <c r="AJ2124" s="86" t="str">
        <f aca="false">IF(AH2124="","",IF(SUMPRODUCT(MAX((IND_PER&lt;=B2124)*(IND_UF&lt;&gt;"")*IND_PER))=0,UF_HOY,INDEX(IND_UF,MATCH(SUMPRODUCT(MAX((IND_PER&lt;=B2124)*(IND_UF&lt;&gt;"")*IND_PER)),IND_PER,0))))</f>
        <v/>
      </c>
      <c r="AK2124" s="87" t="str">
        <f aca="false">IF(AH2124="","",IF(COUNTIF(TASA_DESDE,"&lt;="&amp;B2124)=0,INDEX(TASA_EMP,1),INDEX(TASA_EMP,COUNTIF(TASA_DESDE,"&lt;="&amp;B2124))))</f>
        <v/>
      </c>
    </row>
    <row r="2125" customFormat="false" ht="15" hidden="false" customHeight="false" outlineLevel="0" collapsed="false">
      <c r="B2125" s="78"/>
      <c r="C2125" s="64"/>
      <c r="D2125" s="72" t="str">
        <f aca="false">IF(C2125="","",IFERROR(INDEX(T_NOMBRE,MATCH(C2125,T_ID,0)),"⚠ ID no existe"))</f>
        <v/>
      </c>
      <c r="E2125" s="69"/>
      <c r="F2125" s="67"/>
      <c r="G2125" s="67"/>
      <c r="H2125" s="67"/>
      <c r="I2125" s="67"/>
      <c r="J2125" s="67"/>
      <c r="K2125" s="85" t="str">
        <f aca="false">IF(AH2125="","",N(F2125)+N(G2125)+N(H2125)-N(I2125)+N(J2125))</f>
        <v/>
      </c>
      <c r="L2125" s="67"/>
      <c r="M2125" s="67"/>
      <c r="N2125" s="67"/>
      <c r="O2125" s="67"/>
      <c r="P2125" s="85" t="str">
        <f aca="false">IF(AH2125="","",K2125+N(L2125)+N(M2125)+N(N2125)+N(O2125))</f>
        <v/>
      </c>
      <c r="Q2125" s="67"/>
      <c r="R2125" s="67"/>
      <c r="S2125" s="67"/>
      <c r="T2125" s="67"/>
      <c r="U2125" s="67"/>
      <c r="V2125" s="67"/>
      <c r="W2125" s="85" t="str">
        <f aca="false">IF(AH2125="","",N(Q2125)+N(R2125)+N(S2125)+N(T2125)+N(U2125)+N(V2125))</f>
        <v/>
      </c>
      <c r="X2125" s="85" t="str">
        <f aca="false">IF(AH2125="","",P2125-W2125)</f>
        <v/>
      </c>
      <c r="Y2125" s="67"/>
      <c r="Z2125" s="70" t="str">
        <f aca="false">IF(OR(AH2125="",Y2125=""),"",IF(ABS(X2125-Y2125)&lt;=1,"✓ Cuadra","⚠ Diferencia $"&amp;FIXED(X2125-Y2125,0)))</f>
        <v/>
      </c>
      <c r="AA2125" s="72" t="str">
        <f aca="false">IF(AH2125="","",IFERROR(INDEX(C_TIPO,MATCH(C2125&amp;"-P"&amp;MAX(1,COUNTIFS(C_ID,C2125,C_DEFINE,"Sí",C_INICIO,"&lt;="&amp;EOMONTH(B2125,0))),C_CLAVE,0))&amp;"","Sin dato"))</f>
        <v/>
      </c>
      <c r="AB2125" s="71" t="str">
        <f aca="false">IF(AH2125="","",ROUND(MIN(K2125,TOPE_AFP_UF*AJ2125)*AK2125,0))</f>
        <v/>
      </c>
      <c r="AC2125" s="71" t="str">
        <f aca="false">IF(AH2125="","",ROUND(MIN(K2125,TOPE_AFC_UF*AJ2125)*IF(AA2125="Indefinido",AFC_EMP_INDEF,AFC_EMP_PF),0))</f>
        <v/>
      </c>
      <c r="AD2125" s="71" t="str">
        <f aca="false">IF(AH2125="","",ROUND(MIN(K2125,TOPE_AFP_UF*AJ2125)*(MUTUAL_BASICA+MUTUAL_ADIC+SANNA),0))</f>
        <v/>
      </c>
      <c r="AE2125" s="71" t="str">
        <f aca="false">IF(AH2125="","",P2125-N(N2125)+AB2125+AC2125+AD2125)</f>
        <v/>
      </c>
      <c r="AF2125" s="65"/>
      <c r="AG2125" s="64"/>
      <c r="AH2125" s="72" t="str">
        <f aca="false">IF(OR(B2125="",C2125=""),"",C2125&amp;"|"&amp;(YEAR(B2125)*100+MONTH(B2125)))</f>
        <v/>
      </c>
      <c r="AI2125" s="70" t="str">
        <f aca="false">IF(AH2125="","",IF(COUNTIF(L_CLAVE,AH2125)&gt;1,"⚠ Duplicado","OK"))</f>
        <v/>
      </c>
      <c r="AJ2125" s="86" t="str">
        <f aca="false">IF(AH2125="","",IF(SUMPRODUCT(MAX((IND_PER&lt;=B2125)*(IND_UF&lt;&gt;"")*IND_PER))=0,UF_HOY,INDEX(IND_UF,MATCH(SUMPRODUCT(MAX((IND_PER&lt;=B2125)*(IND_UF&lt;&gt;"")*IND_PER)),IND_PER,0))))</f>
        <v/>
      </c>
      <c r="AK2125" s="87" t="str">
        <f aca="false">IF(AH2125="","",IF(COUNTIF(TASA_DESDE,"&lt;="&amp;B2125)=0,INDEX(TASA_EMP,1),INDEX(TASA_EMP,COUNTIF(TASA_DESDE,"&lt;="&amp;B2125))))</f>
        <v/>
      </c>
    </row>
    <row r="2126" customFormat="false" ht="15" hidden="false" customHeight="false" outlineLevel="0" collapsed="false">
      <c r="B2126" s="78"/>
      <c r="C2126" s="64"/>
      <c r="D2126" s="72" t="str">
        <f aca="false">IF(C2126="","",IFERROR(INDEX(T_NOMBRE,MATCH(C2126,T_ID,0)),"⚠ ID no existe"))</f>
        <v/>
      </c>
      <c r="E2126" s="69"/>
      <c r="F2126" s="67"/>
      <c r="G2126" s="67"/>
      <c r="H2126" s="67"/>
      <c r="I2126" s="67"/>
      <c r="J2126" s="67"/>
      <c r="K2126" s="85" t="str">
        <f aca="false">IF(AH2126="","",N(F2126)+N(G2126)+N(H2126)-N(I2126)+N(J2126))</f>
        <v/>
      </c>
      <c r="L2126" s="67"/>
      <c r="M2126" s="67"/>
      <c r="N2126" s="67"/>
      <c r="O2126" s="67"/>
      <c r="P2126" s="85" t="str">
        <f aca="false">IF(AH2126="","",K2126+N(L2126)+N(M2126)+N(N2126)+N(O2126))</f>
        <v/>
      </c>
      <c r="Q2126" s="67"/>
      <c r="R2126" s="67"/>
      <c r="S2126" s="67"/>
      <c r="T2126" s="67"/>
      <c r="U2126" s="67"/>
      <c r="V2126" s="67"/>
      <c r="W2126" s="85" t="str">
        <f aca="false">IF(AH2126="","",N(Q2126)+N(R2126)+N(S2126)+N(T2126)+N(U2126)+N(V2126))</f>
        <v/>
      </c>
      <c r="X2126" s="85" t="str">
        <f aca="false">IF(AH2126="","",P2126-W2126)</f>
        <v/>
      </c>
      <c r="Y2126" s="67"/>
      <c r="Z2126" s="70" t="str">
        <f aca="false">IF(OR(AH2126="",Y2126=""),"",IF(ABS(X2126-Y2126)&lt;=1,"✓ Cuadra","⚠ Diferencia $"&amp;FIXED(X2126-Y2126,0)))</f>
        <v/>
      </c>
      <c r="AA2126" s="72" t="str">
        <f aca="false">IF(AH2126="","",IFERROR(INDEX(C_TIPO,MATCH(C2126&amp;"-P"&amp;MAX(1,COUNTIFS(C_ID,C2126,C_DEFINE,"Sí",C_INICIO,"&lt;="&amp;EOMONTH(B2126,0))),C_CLAVE,0))&amp;"","Sin dato"))</f>
        <v/>
      </c>
      <c r="AB2126" s="71" t="str">
        <f aca="false">IF(AH2126="","",ROUND(MIN(K2126,TOPE_AFP_UF*AJ2126)*AK2126,0))</f>
        <v/>
      </c>
      <c r="AC2126" s="71" t="str">
        <f aca="false">IF(AH2126="","",ROUND(MIN(K2126,TOPE_AFC_UF*AJ2126)*IF(AA2126="Indefinido",AFC_EMP_INDEF,AFC_EMP_PF),0))</f>
        <v/>
      </c>
      <c r="AD2126" s="71" t="str">
        <f aca="false">IF(AH2126="","",ROUND(MIN(K2126,TOPE_AFP_UF*AJ2126)*(MUTUAL_BASICA+MUTUAL_ADIC+SANNA),0))</f>
        <v/>
      </c>
      <c r="AE2126" s="71" t="str">
        <f aca="false">IF(AH2126="","",P2126-N(N2126)+AB2126+AC2126+AD2126)</f>
        <v/>
      </c>
      <c r="AF2126" s="65"/>
      <c r="AG2126" s="64"/>
      <c r="AH2126" s="72" t="str">
        <f aca="false">IF(OR(B2126="",C2126=""),"",C2126&amp;"|"&amp;(YEAR(B2126)*100+MONTH(B2126)))</f>
        <v/>
      </c>
      <c r="AI2126" s="70" t="str">
        <f aca="false">IF(AH2126="","",IF(COUNTIF(L_CLAVE,AH2126)&gt;1,"⚠ Duplicado","OK"))</f>
        <v/>
      </c>
      <c r="AJ2126" s="86" t="str">
        <f aca="false">IF(AH2126="","",IF(SUMPRODUCT(MAX((IND_PER&lt;=B2126)*(IND_UF&lt;&gt;"")*IND_PER))=0,UF_HOY,INDEX(IND_UF,MATCH(SUMPRODUCT(MAX((IND_PER&lt;=B2126)*(IND_UF&lt;&gt;"")*IND_PER)),IND_PER,0))))</f>
        <v/>
      </c>
      <c r="AK2126" s="87" t="str">
        <f aca="false">IF(AH2126="","",IF(COUNTIF(TASA_DESDE,"&lt;="&amp;B2126)=0,INDEX(TASA_EMP,1),INDEX(TASA_EMP,COUNTIF(TASA_DESDE,"&lt;="&amp;B2126))))</f>
        <v/>
      </c>
    </row>
    <row r="2127" customFormat="false" ht="15" hidden="false" customHeight="false" outlineLevel="0" collapsed="false">
      <c r="B2127" s="78"/>
      <c r="C2127" s="64"/>
      <c r="D2127" s="72" t="str">
        <f aca="false">IF(C2127="","",IFERROR(INDEX(T_NOMBRE,MATCH(C2127,T_ID,0)),"⚠ ID no existe"))</f>
        <v/>
      </c>
      <c r="E2127" s="69"/>
      <c r="F2127" s="67"/>
      <c r="G2127" s="67"/>
      <c r="H2127" s="67"/>
      <c r="I2127" s="67"/>
      <c r="J2127" s="67"/>
      <c r="K2127" s="85" t="str">
        <f aca="false">IF(AH2127="","",N(F2127)+N(G2127)+N(H2127)-N(I2127)+N(J2127))</f>
        <v/>
      </c>
      <c r="L2127" s="67"/>
      <c r="M2127" s="67"/>
      <c r="N2127" s="67"/>
      <c r="O2127" s="67"/>
      <c r="P2127" s="85" t="str">
        <f aca="false">IF(AH2127="","",K2127+N(L2127)+N(M2127)+N(N2127)+N(O2127))</f>
        <v/>
      </c>
      <c r="Q2127" s="67"/>
      <c r="R2127" s="67"/>
      <c r="S2127" s="67"/>
      <c r="T2127" s="67"/>
      <c r="U2127" s="67"/>
      <c r="V2127" s="67"/>
      <c r="W2127" s="85" t="str">
        <f aca="false">IF(AH2127="","",N(Q2127)+N(R2127)+N(S2127)+N(T2127)+N(U2127)+N(V2127))</f>
        <v/>
      </c>
      <c r="X2127" s="85" t="str">
        <f aca="false">IF(AH2127="","",P2127-W2127)</f>
        <v/>
      </c>
      <c r="Y2127" s="67"/>
      <c r="Z2127" s="70" t="str">
        <f aca="false">IF(OR(AH2127="",Y2127=""),"",IF(ABS(X2127-Y2127)&lt;=1,"✓ Cuadra","⚠ Diferencia $"&amp;FIXED(X2127-Y2127,0)))</f>
        <v/>
      </c>
      <c r="AA2127" s="72" t="str">
        <f aca="false">IF(AH2127="","",IFERROR(INDEX(C_TIPO,MATCH(C2127&amp;"-P"&amp;MAX(1,COUNTIFS(C_ID,C2127,C_DEFINE,"Sí",C_INICIO,"&lt;="&amp;EOMONTH(B2127,0))),C_CLAVE,0))&amp;"","Sin dato"))</f>
        <v/>
      </c>
      <c r="AB2127" s="71" t="str">
        <f aca="false">IF(AH2127="","",ROUND(MIN(K2127,TOPE_AFP_UF*AJ2127)*AK2127,0))</f>
        <v/>
      </c>
      <c r="AC2127" s="71" t="str">
        <f aca="false">IF(AH2127="","",ROUND(MIN(K2127,TOPE_AFC_UF*AJ2127)*IF(AA2127="Indefinido",AFC_EMP_INDEF,AFC_EMP_PF),0))</f>
        <v/>
      </c>
      <c r="AD2127" s="71" t="str">
        <f aca="false">IF(AH2127="","",ROUND(MIN(K2127,TOPE_AFP_UF*AJ2127)*(MUTUAL_BASICA+MUTUAL_ADIC+SANNA),0))</f>
        <v/>
      </c>
      <c r="AE2127" s="71" t="str">
        <f aca="false">IF(AH2127="","",P2127-N(N2127)+AB2127+AC2127+AD2127)</f>
        <v/>
      </c>
      <c r="AF2127" s="65"/>
      <c r="AG2127" s="64"/>
      <c r="AH2127" s="72" t="str">
        <f aca="false">IF(OR(B2127="",C2127=""),"",C2127&amp;"|"&amp;(YEAR(B2127)*100+MONTH(B2127)))</f>
        <v/>
      </c>
      <c r="AI2127" s="70" t="str">
        <f aca="false">IF(AH2127="","",IF(COUNTIF(L_CLAVE,AH2127)&gt;1,"⚠ Duplicado","OK"))</f>
        <v/>
      </c>
      <c r="AJ2127" s="86" t="str">
        <f aca="false">IF(AH2127="","",IF(SUMPRODUCT(MAX((IND_PER&lt;=B2127)*(IND_UF&lt;&gt;"")*IND_PER))=0,UF_HOY,INDEX(IND_UF,MATCH(SUMPRODUCT(MAX((IND_PER&lt;=B2127)*(IND_UF&lt;&gt;"")*IND_PER)),IND_PER,0))))</f>
        <v/>
      </c>
      <c r="AK2127" s="87" t="str">
        <f aca="false">IF(AH2127="","",IF(COUNTIF(TASA_DESDE,"&lt;="&amp;B2127)=0,INDEX(TASA_EMP,1),INDEX(TASA_EMP,COUNTIF(TASA_DESDE,"&lt;="&amp;B2127))))</f>
        <v/>
      </c>
    </row>
    <row r="2128" customFormat="false" ht="15" hidden="false" customHeight="false" outlineLevel="0" collapsed="false">
      <c r="B2128" s="78"/>
      <c r="C2128" s="64"/>
      <c r="D2128" s="72" t="str">
        <f aca="false">IF(C2128="","",IFERROR(INDEX(T_NOMBRE,MATCH(C2128,T_ID,0)),"⚠ ID no existe"))</f>
        <v/>
      </c>
      <c r="E2128" s="69"/>
      <c r="F2128" s="67"/>
      <c r="G2128" s="67"/>
      <c r="H2128" s="67"/>
      <c r="I2128" s="67"/>
      <c r="J2128" s="67"/>
      <c r="K2128" s="85" t="str">
        <f aca="false">IF(AH2128="","",N(F2128)+N(G2128)+N(H2128)-N(I2128)+N(J2128))</f>
        <v/>
      </c>
      <c r="L2128" s="67"/>
      <c r="M2128" s="67"/>
      <c r="N2128" s="67"/>
      <c r="O2128" s="67"/>
      <c r="P2128" s="85" t="str">
        <f aca="false">IF(AH2128="","",K2128+N(L2128)+N(M2128)+N(N2128)+N(O2128))</f>
        <v/>
      </c>
      <c r="Q2128" s="67"/>
      <c r="R2128" s="67"/>
      <c r="S2128" s="67"/>
      <c r="T2128" s="67"/>
      <c r="U2128" s="67"/>
      <c r="V2128" s="67"/>
      <c r="W2128" s="85" t="str">
        <f aca="false">IF(AH2128="","",N(Q2128)+N(R2128)+N(S2128)+N(T2128)+N(U2128)+N(V2128))</f>
        <v/>
      </c>
      <c r="X2128" s="85" t="str">
        <f aca="false">IF(AH2128="","",P2128-W2128)</f>
        <v/>
      </c>
      <c r="Y2128" s="67"/>
      <c r="Z2128" s="70" t="str">
        <f aca="false">IF(OR(AH2128="",Y2128=""),"",IF(ABS(X2128-Y2128)&lt;=1,"✓ Cuadra","⚠ Diferencia $"&amp;FIXED(X2128-Y2128,0)))</f>
        <v/>
      </c>
      <c r="AA2128" s="72" t="str">
        <f aca="false">IF(AH2128="","",IFERROR(INDEX(C_TIPO,MATCH(C2128&amp;"-P"&amp;MAX(1,COUNTIFS(C_ID,C2128,C_DEFINE,"Sí",C_INICIO,"&lt;="&amp;EOMONTH(B2128,0))),C_CLAVE,0))&amp;"","Sin dato"))</f>
        <v/>
      </c>
      <c r="AB2128" s="71" t="str">
        <f aca="false">IF(AH2128="","",ROUND(MIN(K2128,TOPE_AFP_UF*AJ2128)*AK2128,0))</f>
        <v/>
      </c>
      <c r="AC2128" s="71" t="str">
        <f aca="false">IF(AH2128="","",ROUND(MIN(K2128,TOPE_AFC_UF*AJ2128)*IF(AA2128="Indefinido",AFC_EMP_INDEF,AFC_EMP_PF),0))</f>
        <v/>
      </c>
      <c r="AD2128" s="71" t="str">
        <f aca="false">IF(AH2128="","",ROUND(MIN(K2128,TOPE_AFP_UF*AJ2128)*(MUTUAL_BASICA+MUTUAL_ADIC+SANNA),0))</f>
        <v/>
      </c>
      <c r="AE2128" s="71" t="str">
        <f aca="false">IF(AH2128="","",P2128-N(N2128)+AB2128+AC2128+AD2128)</f>
        <v/>
      </c>
      <c r="AF2128" s="65"/>
      <c r="AG2128" s="64"/>
      <c r="AH2128" s="72" t="str">
        <f aca="false">IF(OR(B2128="",C2128=""),"",C2128&amp;"|"&amp;(YEAR(B2128)*100+MONTH(B2128)))</f>
        <v/>
      </c>
      <c r="AI2128" s="70" t="str">
        <f aca="false">IF(AH2128="","",IF(COUNTIF(L_CLAVE,AH2128)&gt;1,"⚠ Duplicado","OK"))</f>
        <v/>
      </c>
      <c r="AJ2128" s="86" t="str">
        <f aca="false">IF(AH2128="","",IF(SUMPRODUCT(MAX((IND_PER&lt;=B2128)*(IND_UF&lt;&gt;"")*IND_PER))=0,UF_HOY,INDEX(IND_UF,MATCH(SUMPRODUCT(MAX((IND_PER&lt;=B2128)*(IND_UF&lt;&gt;"")*IND_PER)),IND_PER,0))))</f>
        <v/>
      </c>
      <c r="AK2128" s="87" t="str">
        <f aca="false">IF(AH2128="","",IF(COUNTIF(TASA_DESDE,"&lt;="&amp;B2128)=0,INDEX(TASA_EMP,1),INDEX(TASA_EMP,COUNTIF(TASA_DESDE,"&lt;="&amp;B2128))))</f>
        <v/>
      </c>
    </row>
    <row r="2129" customFormat="false" ht="15" hidden="false" customHeight="false" outlineLevel="0" collapsed="false">
      <c r="B2129" s="78"/>
      <c r="C2129" s="64"/>
      <c r="D2129" s="72" t="str">
        <f aca="false">IF(C2129="","",IFERROR(INDEX(T_NOMBRE,MATCH(C2129,T_ID,0)),"⚠ ID no existe"))</f>
        <v/>
      </c>
      <c r="E2129" s="69"/>
      <c r="F2129" s="67"/>
      <c r="G2129" s="67"/>
      <c r="H2129" s="67"/>
      <c r="I2129" s="67"/>
      <c r="J2129" s="67"/>
      <c r="K2129" s="85" t="str">
        <f aca="false">IF(AH2129="","",N(F2129)+N(G2129)+N(H2129)-N(I2129)+N(J2129))</f>
        <v/>
      </c>
      <c r="L2129" s="67"/>
      <c r="M2129" s="67"/>
      <c r="N2129" s="67"/>
      <c r="O2129" s="67"/>
      <c r="P2129" s="85" t="str">
        <f aca="false">IF(AH2129="","",K2129+N(L2129)+N(M2129)+N(N2129)+N(O2129))</f>
        <v/>
      </c>
      <c r="Q2129" s="67"/>
      <c r="R2129" s="67"/>
      <c r="S2129" s="67"/>
      <c r="T2129" s="67"/>
      <c r="U2129" s="67"/>
      <c r="V2129" s="67"/>
      <c r="W2129" s="85" t="str">
        <f aca="false">IF(AH2129="","",N(Q2129)+N(R2129)+N(S2129)+N(T2129)+N(U2129)+N(V2129))</f>
        <v/>
      </c>
      <c r="X2129" s="85" t="str">
        <f aca="false">IF(AH2129="","",P2129-W2129)</f>
        <v/>
      </c>
      <c r="Y2129" s="67"/>
      <c r="Z2129" s="70" t="str">
        <f aca="false">IF(OR(AH2129="",Y2129=""),"",IF(ABS(X2129-Y2129)&lt;=1,"✓ Cuadra","⚠ Diferencia $"&amp;FIXED(X2129-Y2129,0)))</f>
        <v/>
      </c>
      <c r="AA2129" s="72" t="str">
        <f aca="false">IF(AH2129="","",IFERROR(INDEX(C_TIPO,MATCH(C2129&amp;"-P"&amp;MAX(1,COUNTIFS(C_ID,C2129,C_DEFINE,"Sí",C_INICIO,"&lt;="&amp;EOMONTH(B2129,0))),C_CLAVE,0))&amp;"","Sin dato"))</f>
        <v/>
      </c>
      <c r="AB2129" s="71" t="str">
        <f aca="false">IF(AH2129="","",ROUND(MIN(K2129,TOPE_AFP_UF*AJ2129)*AK2129,0))</f>
        <v/>
      </c>
      <c r="AC2129" s="71" t="str">
        <f aca="false">IF(AH2129="","",ROUND(MIN(K2129,TOPE_AFC_UF*AJ2129)*IF(AA2129="Indefinido",AFC_EMP_INDEF,AFC_EMP_PF),0))</f>
        <v/>
      </c>
      <c r="AD2129" s="71" t="str">
        <f aca="false">IF(AH2129="","",ROUND(MIN(K2129,TOPE_AFP_UF*AJ2129)*(MUTUAL_BASICA+MUTUAL_ADIC+SANNA),0))</f>
        <v/>
      </c>
      <c r="AE2129" s="71" t="str">
        <f aca="false">IF(AH2129="","",P2129-N(N2129)+AB2129+AC2129+AD2129)</f>
        <v/>
      </c>
      <c r="AF2129" s="65"/>
      <c r="AG2129" s="64"/>
      <c r="AH2129" s="72" t="str">
        <f aca="false">IF(OR(B2129="",C2129=""),"",C2129&amp;"|"&amp;(YEAR(B2129)*100+MONTH(B2129)))</f>
        <v/>
      </c>
      <c r="AI2129" s="70" t="str">
        <f aca="false">IF(AH2129="","",IF(COUNTIF(L_CLAVE,AH2129)&gt;1,"⚠ Duplicado","OK"))</f>
        <v/>
      </c>
      <c r="AJ2129" s="86" t="str">
        <f aca="false">IF(AH2129="","",IF(SUMPRODUCT(MAX((IND_PER&lt;=B2129)*(IND_UF&lt;&gt;"")*IND_PER))=0,UF_HOY,INDEX(IND_UF,MATCH(SUMPRODUCT(MAX((IND_PER&lt;=B2129)*(IND_UF&lt;&gt;"")*IND_PER)),IND_PER,0))))</f>
        <v/>
      </c>
      <c r="AK2129" s="87" t="str">
        <f aca="false">IF(AH2129="","",IF(COUNTIF(TASA_DESDE,"&lt;="&amp;B2129)=0,INDEX(TASA_EMP,1),INDEX(TASA_EMP,COUNTIF(TASA_DESDE,"&lt;="&amp;B2129))))</f>
        <v/>
      </c>
    </row>
    <row r="2130" customFormat="false" ht="15" hidden="false" customHeight="false" outlineLevel="0" collapsed="false">
      <c r="B2130" s="78"/>
      <c r="C2130" s="64"/>
      <c r="D2130" s="72" t="str">
        <f aca="false">IF(C2130="","",IFERROR(INDEX(T_NOMBRE,MATCH(C2130,T_ID,0)),"⚠ ID no existe"))</f>
        <v/>
      </c>
      <c r="E2130" s="69"/>
      <c r="F2130" s="67"/>
      <c r="G2130" s="67"/>
      <c r="H2130" s="67"/>
      <c r="I2130" s="67"/>
      <c r="J2130" s="67"/>
      <c r="K2130" s="85" t="str">
        <f aca="false">IF(AH2130="","",N(F2130)+N(G2130)+N(H2130)-N(I2130)+N(J2130))</f>
        <v/>
      </c>
      <c r="L2130" s="67"/>
      <c r="M2130" s="67"/>
      <c r="N2130" s="67"/>
      <c r="O2130" s="67"/>
      <c r="P2130" s="85" t="str">
        <f aca="false">IF(AH2130="","",K2130+N(L2130)+N(M2130)+N(N2130)+N(O2130))</f>
        <v/>
      </c>
      <c r="Q2130" s="67"/>
      <c r="R2130" s="67"/>
      <c r="S2130" s="67"/>
      <c r="T2130" s="67"/>
      <c r="U2130" s="67"/>
      <c r="V2130" s="67"/>
      <c r="W2130" s="85" t="str">
        <f aca="false">IF(AH2130="","",N(Q2130)+N(R2130)+N(S2130)+N(T2130)+N(U2130)+N(V2130))</f>
        <v/>
      </c>
      <c r="X2130" s="85" t="str">
        <f aca="false">IF(AH2130="","",P2130-W2130)</f>
        <v/>
      </c>
      <c r="Y2130" s="67"/>
      <c r="Z2130" s="70" t="str">
        <f aca="false">IF(OR(AH2130="",Y2130=""),"",IF(ABS(X2130-Y2130)&lt;=1,"✓ Cuadra","⚠ Diferencia $"&amp;FIXED(X2130-Y2130,0)))</f>
        <v/>
      </c>
      <c r="AA2130" s="72" t="str">
        <f aca="false">IF(AH2130="","",IFERROR(INDEX(C_TIPO,MATCH(C2130&amp;"-P"&amp;MAX(1,COUNTIFS(C_ID,C2130,C_DEFINE,"Sí",C_INICIO,"&lt;="&amp;EOMONTH(B2130,0))),C_CLAVE,0))&amp;"","Sin dato"))</f>
        <v/>
      </c>
      <c r="AB2130" s="71" t="str">
        <f aca="false">IF(AH2130="","",ROUND(MIN(K2130,TOPE_AFP_UF*AJ2130)*AK2130,0))</f>
        <v/>
      </c>
      <c r="AC2130" s="71" t="str">
        <f aca="false">IF(AH2130="","",ROUND(MIN(K2130,TOPE_AFC_UF*AJ2130)*IF(AA2130="Indefinido",AFC_EMP_INDEF,AFC_EMP_PF),0))</f>
        <v/>
      </c>
      <c r="AD2130" s="71" t="str">
        <f aca="false">IF(AH2130="","",ROUND(MIN(K2130,TOPE_AFP_UF*AJ2130)*(MUTUAL_BASICA+MUTUAL_ADIC+SANNA),0))</f>
        <v/>
      </c>
      <c r="AE2130" s="71" t="str">
        <f aca="false">IF(AH2130="","",P2130-N(N2130)+AB2130+AC2130+AD2130)</f>
        <v/>
      </c>
      <c r="AF2130" s="65"/>
      <c r="AG2130" s="64"/>
      <c r="AH2130" s="72" t="str">
        <f aca="false">IF(OR(B2130="",C2130=""),"",C2130&amp;"|"&amp;(YEAR(B2130)*100+MONTH(B2130)))</f>
        <v/>
      </c>
      <c r="AI2130" s="70" t="str">
        <f aca="false">IF(AH2130="","",IF(COUNTIF(L_CLAVE,AH2130)&gt;1,"⚠ Duplicado","OK"))</f>
        <v/>
      </c>
      <c r="AJ2130" s="86" t="str">
        <f aca="false">IF(AH2130="","",IF(SUMPRODUCT(MAX((IND_PER&lt;=B2130)*(IND_UF&lt;&gt;"")*IND_PER))=0,UF_HOY,INDEX(IND_UF,MATCH(SUMPRODUCT(MAX((IND_PER&lt;=B2130)*(IND_UF&lt;&gt;"")*IND_PER)),IND_PER,0))))</f>
        <v/>
      </c>
      <c r="AK2130" s="87" t="str">
        <f aca="false">IF(AH2130="","",IF(COUNTIF(TASA_DESDE,"&lt;="&amp;B2130)=0,INDEX(TASA_EMP,1),INDEX(TASA_EMP,COUNTIF(TASA_DESDE,"&lt;="&amp;B2130))))</f>
        <v/>
      </c>
    </row>
    <row r="2131" customFormat="false" ht="15" hidden="false" customHeight="false" outlineLevel="0" collapsed="false">
      <c r="B2131" s="78"/>
      <c r="C2131" s="64"/>
      <c r="D2131" s="72" t="str">
        <f aca="false">IF(C2131="","",IFERROR(INDEX(T_NOMBRE,MATCH(C2131,T_ID,0)),"⚠ ID no existe"))</f>
        <v/>
      </c>
      <c r="E2131" s="69"/>
      <c r="F2131" s="67"/>
      <c r="G2131" s="67"/>
      <c r="H2131" s="67"/>
      <c r="I2131" s="67"/>
      <c r="J2131" s="67"/>
      <c r="K2131" s="85" t="str">
        <f aca="false">IF(AH2131="","",N(F2131)+N(G2131)+N(H2131)-N(I2131)+N(J2131))</f>
        <v/>
      </c>
      <c r="L2131" s="67"/>
      <c r="M2131" s="67"/>
      <c r="N2131" s="67"/>
      <c r="O2131" s="67"/>
      <c r="P2131" s="85" t="str">
        <f aca="false">IF(AH2131="","",K2131+N(L2131)+N(M2131)+N(N2131)+N(O2131))</f>
        <v/>
      </c>
      <c r="Q2131" s="67"/>
      <c r="R2131" s="67"/>
      <c r="S2131" s="67"/>
      <c r="T2131" s="67"/>
      <c r="U2131" s="67"/>
      <c r="V2131" s="67"/>
      <c r="W2131" s="85" t="str">
        <f aca="false">IF(AH2131="","",N(Q2131)+N(R2131)+N(S2131)+N(T2131)+N(U2131)+N(V2131))</f>
        <v/>
      </c>
      <c r="X2131" s="85" t="str">
        <f aca="false">IF(AH2131="","",P2131-W2131)</f>
        <v/>
      </c>
      <c r="Y2131" s="67"/>
      <c r="Z2131" s="70" t="str">
        <f aca="false">IF(OR(AH2131="",Y2131=""),"",IF(ABS(X2131-Y2131)&lt;=1,"✓ Cuadra","⚠ Diferencia $"&amp;FIXED(X2131-Y2131,0)))</f>
        <v/>
      </c>
      <c r="AA2131" s="72" t="str">
        <f aca="false">IF(AH2131="","",IFERROR(INDEX(C_TIPO,MATCH(C2131&amp;"-P"&amp;MAX(1,COUNTIFS(C_ID,C2131,C_DEFINE,"Sí",C_INICIO,"&lt;="&amp;EOMONTH(B2131,0))),C_CLAVE,0))&amp;"","Sin dato"))</f>
        <v/>
      </c>
      <c r="AB2131" s="71" t="str">
        <f aca="false">IF(AH2131="","",ROUND(MIN(K2131,TOPE_AFP_UF*AJ2131)*AK2131,0))</f>
        <v/>
      </c>
      <c r="AC2131" s="71" t="str">
        <f aca="false">IF(AH2131="","",ROUND(MIN(K2131,TOPE_AFC_UF*AJ2131)*IF(AA2131="Indefinido",AFC_EMP_INDEF,AFC_EMP_PF),0))</f>
        <v/>
      </c>
      <c r="AD2131" s="71" t="str">
        <f aca="false">IF(AH2131="","",ROUND(MIN(K2131,TOPE_AFP_UF*AJ2131)*(MUTUAL_BASICA+MUTUAL_ADIC+SANNA),0))</f>
        <v/>
      </c>
      <c r="AE2131" s="71" t="str">
        <f aca="false">IF(AH2131="","",P2131-N(N2131)+AB2131+AC2131+AD2131)</f>
        <v/>
      </c>
      <c r="AF2131" s="65"/>
      <c r="AG2131" s="64"/>
      <c r="AH2131" s="72" t="str">
        <f aca="false">IF(OR(B2131="",C2131=""),"",C2131&amp;"|"&amp;(YEAR(B2131)*100+MONTH(B2131)))</f>
        <v/>
      </c>
      <c r="AI2131" s="70" t="str">
        <f aca="false">IF(AH2131="","",IF(COUNTIF(L_CLAVE,AH2131)&gt;1,"⚠ Duplicado","OK"))</f>
        <v/>
      </c>
      <c r="AJ2131" s="86" t="str">
        <f aca="false">IF(AH2131="","",IF(SUMPRODUCT(MAX((IND_PER&lt;=B2131)*(IND_UF&lt;&gt;"")*IND_PER))=0,UF_HOY,INDEX(IND_UF,MATCH(SUMPRODUCT(MAX((IND_PER&lt;=B2131)*(IND_UF&lt;&gt;"")*IND_PER)),IND_PER,0))))</f>
        <v/>
      </c>
      <c r="AK2131" s="87" t="str">
        <f aca="false">IF(AH2131="","",IF(COUNTIF(TASA_DESDE,"&lt;="&amp;B2131)=0,INDEX(TASA_EMP,1),INDEX(TASA_EMP,COUNTIF(TASA_DESDE,"&lt;="&amp;B2131))))</f>
        <v/>
      </c>
    </row>
    <row r="2132" customFormat="false" ht="15" hidden="false" customHeight="false" outlineLevel="0" collapsed="false">
      <c r="B2132" s="78"/>
      <c r="C2132" s="64"/>
      <c r="D2132" s="72" t="str">
        <f aca="false">IF(C2132="","",IFERROR(INDEX(T_NOMBRE,MATCH(C2132,T_ID,0)),"⚠ ID no existe"))</f>
        <v/>
      </c>
      <c r="E2132" s="69"/>
      <c r="F2132" s="67"/>
      <c r="G2132" s="67"/>
      <c r="H2132" s="67"/>
      <c r="I2132" s="67"/>
      <c r="J2132" s="67"/>
      <c r="K2132" s="85" t="str">
        <f aca="false">IF(AH2132="","",N(F2132)+N(G2132)+N(H2132)-N(I2132)+N(J2132))</f>
        <v/>
      </c>
      <c r="L2132" s="67"/>
      <c r="M2132" s="67"/>
      <c r="N2132" s="67"/>
      <c r="O2132" s="67"/>
      <c r="P2132" s="85" t="str">
        <f aca="false">IF(AH2132="","",K2132+N(L2132)+N(M2132)+N(N2132)+N(O2132))</f>
        <v/>
      </c>
      <c r="Q2132" s="67"/>
      <c r="R2132" s="67"/>
      <c r="S2132" s="67"/>
      <c r="T2132" s="67"/>
      <c r="U2132" s="67"/>
      <c r="V2132" s="67"/>
      <c r="W2132" s="85" t="str">
        <f aca="false">IF(AH2132="","",N(Q2132)+N(R2132)+N(S2132)+N(T2132)+N(U2132)+N(V2132))</f>
        <v/>
      </c>
      <c r="X2132" s="85" t="str">
        <f aca="false">IF(AH2132="","",P2132-W2132)</f>
        <v/>
      </c>
      <c r="Y2132" s="67"/>
      <c r="Z2132" s="70" t="str">
        <f aca="false">IF(OR(AH2132="",Y2132=""),"",IF(ABS(X2132-Y2132)&lt;=1,"✓ Cuadra","⚠ Diferencia $"&amp;FIXED(X2132-Y2132,0)))</f>
        <v/>
      </c>
      <c r="AA2132" s="72" t="str">
        <f aca="false">IF(AH2132="","",IFERROR(INDEX(C_TIPO,MATCH(C2132&amp;"-P"&amp;MAX(1,COUNTIFS(C_ID,C2132,C_DEFINE,"Sí",C_INICIO,"&lt;="&amp;EOMONTH(B2132,0))),C_CLAVE,0))&amp;"","Sin dato"))</f>
        <v/>
      </c>
      <c r="AB2132" s="71" t="str">
        <f aca="false">IF(AH2132="","",ROUND(MIN(K2132,TOPE_AFP_UF*AJ2132)*AK2132,0))</f>
        <v/>
      </c>
      <c r="AC2132" s="71" t="str">
        <f aca="false">IF(AH2132="","",ROUND(MIN(K2132,TOPE_AFC_UF*AJ2132)*IF(AA2132="Indefinido",AFC_EMP_INDEF,AFC_EMP_PF),0))</f>
        <v/>
      </c>
      <c r="AD2132" s="71" t="str">
        <f aca="false">IF(AH2132="","",ROUND(MIN(K2132,TOPE_AFP_UF*AJ2132)*(MUTUAL_BASICA+MUTUAL_ADIC+SANNA),0))</f>
        <v/>
      </c>
      <c r="AE2132" s="71" t="str">
        <f aca="false">IF(AH2132="","",P2132-N(N2132)+AB2132+AC2132+AD2132)</f>
        <v/>
      </c>
      <c r="AF2132" s="65"/>
      <c r="AG2132" s="64"/>
      <c r="AH2132" s="72" t="str">
        <f aca="false">IF(OR(B2132="",C2132=""),"",C2132&amp;"|"&amp;(YEAR(B2132)*100+MONTH(B2132)))</f>
        <v/>
      </c>
      <c r="AI2132" s="70" t="str">
        <f aca="false">IF(AH2132="","",IF(COUNTIF(L_CLAVE,AH2132)&gt;1,"⚠ Duplicado","OK"))</f>
        <v/>
      </c>
      <c r="AJ2132" s="86" t="str">
        <f aca="false">IF(AH2132="","",IF(SUMPRODUCT(MAX((IND_PER&lt;=B2132)*(IND_UF&lt;&gt;"")*IND_PER))=0,UF_HOY,INDEX(IND_UF,MATCH(SUMPRODUCT(MAX((IND_PER&lt;=B2132)*(IND_UF&lt;&gt;"")*IND_PER)),IND_PER,0))))</f>
        <v/>
      </c>
      <c r="AK2132" s="87" t="str">
        <f aca="false">IF(AH2132="","",IF(COUNTIF(TASA_DESDE,"&lt;="&amp;B2132)=0,INDEX(TASA_EMP,1),INDEX(TASA_EMP,COUNTIF(TASA_DESDE,"&lt;="&amp;B2132))))</f>
        <v/>
      </c>
    </row>
    <row r="2133" customFormat="false" ht="15" hidden="false" customHeight="false" outlineLevel="0" collapsed="false">
      <c r="B2133" s="78"/>
      <c r="C2133" s="64"/>
      <c r="D2133" s="72" t="str">
        <f aca="false">IF(C2133="","",IFERROR(INDEX(T_NOMBRE,MATCH(C2133,T_ID,0)),"⚠ ID no existe"))</f>
        <v/>
      </c>
      <c r="E2133" s="69"/>
      <c r="F2133" s="67"/>
      <c r="G2133" s="67"/>
      <c r="H2133" s="67"/>
      <c r="I2133" s="67"/>
      <c r="J2133" s="67"/>
      <c r="K2133" s="85" t="str">
        <f aca="false">IF(AH2133="","",N(F2133)+N(G2133)+N(H2133)-N(I2133)+N(J2133))</f>
        <v/>
      </c>
      <c r="L2133" s="67"/>
      <c r="M2133" s="67"/>
      <c r="N2133" s="67"/>
      <c r="O2133" s="67"/>
      <c r="P2133" s="85" t="str">
        <f aca="false">IF(AH2133="","",K2133+N(L2133)+N(M2133)+N(N2133)+N(O2133))</f>
        <v/>
      </c>
      <c r="Q2133" s="67"/>
      <c r="R2133" s="67"/>
      <c r="S2133" s="67"/>
      <c r="T2133" s="67"/>
      <c r="U2133" s="67"/>
      <c r="V2133" s="67"/>
      <c r="W2133" s="85" t="str">
        <f aca="false">IF(AH2133="","",N(Q2133)+N(R2133)+N(S2133)+N(T2133)+N(U2133)+N(V2133))</f>
        <v/>
      </c>
      <c r="X2133" s="85" t="str">
        <f aca="false">IF(AH2133="","",P2133-W2133)</f>
        <v/>
      </c>
      <c r="Y2133" s="67"/>
      <c r="Z2133" s="70" t="str">
        <f aca="false">IF(OR(AH2133="",Y2133=""),"",IF(ABS(X2133-Y2133)&lt;=1,"✓ Cuadra","⚠ Diferencia $"&amp;FIXED(X2133-Y2133,0)))</f>
        <v/>
      </c>
      <c r="AA2133" s="72" t="str">
        <f aca="false">IF(AH2133="","",IFERROR(INDEX(C_TIPO,MATCH(C2133&amp;"-P"&amp;MAX(1,COUNTIFS(C_ID,C2133,C_DEFINE,"Sí",C_INICIO,"&lt;="&amp;EOMONTH(B2133,0))),C_CLAVE,0))&amp;"","Sin dato"))</f>
        <v/>
      </c>
      <c r="AB2133" s="71" t="str">
        <f aca="false">IF(AH2133="","",ROUND(MIN(K2133,TOPE_AFP_UF*AJ2133)*AK2133,0))</f>
        <v/>
      </c>
      <c r="AC2133" s="71" t="str">
        <f aca="false">IF(AH2133="","",ROUND(MIN(K2133,TOPE_AFC_UF*AJ2133)*IF(AA2133="Indefinido",AFC_EMP_INDEF,AFC_EMP_PF),0))</f>
        <v/>
      </c>
      <c r="AD2133" s="71" t="str">
        <f aca="false">IF(AH2133="","",ROUND(MIN(K2133,TOPE_AFP_UF*AJ2133)*(MUTUAL_BASICA+MUTUAL_ADIC+SANNA),0))</f>
        <v/>
      </c>
      <c r="AE2133" s="71" t="str">
        <f aca="false">IF(AH2133="","",P2133-N(N2133)+AB2133+AC2133+AD2133)</f>
        <v/>
      </c>
      <c r="AF2133" s="65"/>
      <c r="AG2133" s="64"/>
      <c r="AH2133" s="72" t="str">
        <f aca="false">IF(OR(B2133="",C2133=""),"",C2133&amp;"|"&amp;(YEAR(B2133)*100+MONTH(B2133)))</f>
        <v/>
      </c>
      <c r="AI2133" s="70" t="str">
        <f aca="false">IF(AH2133="","",IF(COUNTIF(L_CLAVE,AH2133)&gt;1,"⚠ Duplicado","OK"))</f>
        <v/>
      </c>
      <c r="AJ2133" s="86" t="str">
        <f aca="false">IF(AH2133="","",IF(SUMPRODUCT(MAX((IND_PER&lt;=B2133)*(IND_UF&lt;&gt;"")*IND_PER))=0,UF_HOY,INDEX(IND_UF,MATCH(SUMPRODUCT(MAX((IND_PER&lt;=B2133)*(IND_UF&lt;&gt;"")*IND_PER)),IND_PER,0))))</f>
        <v/>
      </c>
      <c r="AK2133" s="87" t="str">
        <f aca="false">IF(AH2133="","",IF(COUNTIF(TASA_DESDE,"&lt;="&amp;B2133)=0,INDEX(TASA_EMP,1),INDEX(TASA_EMP,COUNTIF(TASA_DESDE,"&lt;="&amp;B2133))))</f>
        <v/>
      </c>
    </row>
    <row r="2134" customFormat="false" ht="15" hidden="false" customHeight="false" outlineLevel="0" collapsed="false">
      <c r="B2134" s="78"/>
      <c r="C2134" s="64"/>
      <c r="D2134" s="72" t="str">
        <f aca="false">IF(C2134="","",IFERROR(INDEX(T_NOMBRE,MATCH(C2134,T_ID,0)),"⚠ ID no existe"))</f>
        <v/>
      </c>
      <c r="E2134" s="69"/>
      <c r="F2134" s="67"/>
      <c r="G2134" s="67"/>
      <c r="H2134" s="67"/>
      <c r="I2134" s="67"/>
      <c r="J2134" s="67"/>
      <c r="K2134" s="85" t="str">
        <f aca="false">IF(AH2134="","",N(F2134)+N(G2134)+N(H2134)-N(I2134)+N(J2134))</f>
        <v/>
      </c>
      <c r="L2134" s="67"/>
      <c r="M2134" s="67"/>
      <c r="N2134" s="67"/>
      <c r="O2134" s="67"/>
      <c r="P2134" s="85" t="str">
        <f aca="false">IF(AH2134="","",K2134+N(L2134)+N(M2134)+N(N2134)+N(O2134))</f>
        <v/>
      </c>
      <c r="Q2134" s="67"/>
      <c r="R2134" s="67"/>
      <c r="S2134" s="67"/>
      <c r="T2134" s="67"/>
      <c r="U2134" s="67"/>
      <c r="V2134" s="67"/>
      <c r="W2134" s="85" t="str">
        <f aca="false">IF(AH2134="","",N(Q2134)+N(R2134)+N(S2134)+N(T2134)+N(U2134)+N(V2134))</f>
        <v/>
      </c>
      <c r="X2134" s="85" t="str">
        <f aca="false">IF(AH2134="","",P2134-W2134)</f>
        <v/>
      </c>
      <c r="Y2134" s="67"/>
      <c r="Z2134" s="70" t="str">
        <f aca="false">IF(OR(AH2134="",Y2134=""),"",IF(ABS(X2134-Y2134)&lt;=1,"✓ Cuadra","⚠ Diferencia $"&amp;FIXED(X2134-Y2134,0)))</f>
        <v/>
      </c>
      <c r="AA2134" s="72" t="str">
        <f aca="false">IF(AH2134="","",IFERROR(INDEX(C_TIPO,MATCH(C2134&amp;"-P"&amp;MAX(1,COUNTIFS(C_ID,C2134,C_DEFINE,"Sí",C_INICIO,"&lt;="&amp;EOMONTH(B2134,0))),C_CLAVE,0))&amp;"","Sin dato"))</f>
        <v/>
      </c>
      <c r="AB2134" s="71" t="str">
        <f aca="false">IF(AH2134="","",ROUND(MIN(K2134,TOPE_AFP_UF*AJ2134)*AK2134,0))</f>
        <v/>
      </c>
      <c r="AC2134" s="71" t="str">
        <f aca="false">IF(AH2134="","",ROUND(MIN(K2134,TOPE_AFC_UF*AJ2134)*IF(AA2134="Indefinido",AFC_EMP_INDEF,AFC_EMP_PF),0))</f>
        <v/>
      </c>
      <c r="AD2134" s="71" t="str">
        <f aca="false">IF(AH2134="","",ROUND(MIN(K2134,TOPE_AFP_UF*AJ2134)*(MUTUAL_BASICA+MUTUAL_ADIC+SANNA),0))</f>
        <v/>
      </c>
      <c r="AE2134" s="71" t="str">
        <f aca="false">IF(AH2134="","",P2134-N(N2134)+AB2134+AC2134+AD2134)</f>
        <v/>
      </c>
      <c r="AF2134" s="65"/>
      <c r="AG2134" s="64"/>
      <c r="AH2134" s="72" t="str">
        <f aca="false">IF(OR(B2134="",C2134=""),"",C2134&amp;"|"&amp;(YEAR(B2134)*100+MONTH(B2134)))</f>
        <v/>
      </c>
      <c r="AI2134" s="70" t="str">
        <f aca="false">IF(AH2134="","",IF(COUNTIF(L_CLAVE,AH2134)&gt;1,"⚠ Duplicado","OK"))</f>
        <v/>
      </c>
      <c r="AJ2134" s="86" t="str">
        <f aca="false">IF(AH2134="","",IF(SUMPRODUCT(MAX((IND_PER&lt;=B2134)*(IND_UF&lt;&gt;"")*IND_PER))=0,UF_HOY,INDEX(IND_UF,MATCH(SUMPRODUCT(MAX((IND_PER&lt;=B2134)*(IND_UF&lt;&gt;"")*IND_PER)),IND_PER,0))))</f>
        <v/>
      </c>
      <c r="AK2134" s="87" t="str">
        <f aca="false">IF(AH2134="","",IF(COUNTIF(TASA_DESDE,"&lt;="&amp;B2134)=0,INDEX(TASA_EMP,1),INDEX(TASA_EMP,COUNTIF(TASA_DESDE,"&lt;="&amp;B2134))))</f>
        <v/>
      </c>
    </row>
    <row r="2135" customFormat="false" ht="15" hidden="false" customHeight="false" outlineLevel="0" collapsed="false">
      <c r="B2135" s="78"/>
      <c r="C2135" s="64"/>
      <c r="D2135" s="72" t="str">
        <f aca="false">IF(C2135="","",IFERROR(INDEX(T_NOMBRE,MATCH(C2135,T_ID,0)),"⚠ ID no existe"))</f>
        <v/>
      </c>
      <c r="E2135" s="69"/>
      <c r="F2135" s="67"/>
      <c r="G2135" s="67"/>
      <c r="H2135" s="67"/>
      <c r="I2135" s="67"/>
      <c r="J2135" s="67"/>
      <c r="K2135" s="85" t="str">
        <f aca="false">IF(AH2135="","",N(F2135)+N(G2135)+N(H2135)-N(I2135)+N(J2135))</f>
        <v/>
      </c>
      <c r="L2135" s="67"/>
      <c r="M2135" s="67"/>
      <c r="N2135" s="67"/>
      <c r="O2135" s="67"/>
      <c r="P2135" s="85" t="str">
        <f aca="false">IF(AH2135="","",K2135+N(L2135)+N(M2135)+N(N2135)+N(O2135))</f>
        <v/>
      </c>
      <c r="Q2135" s="67"/>
      <c r="R2135" s="67"/>
      <c r="S2135" s="67"/>
      <c r="T2135" s="67"/>
      <c r="U2135" s="67"/>
      <c r="V2135" s="67"/>
      <c r="W2135" s="85" t="str">
        <f aca="false">IF(AH2135="","",N(Q2135)+N(R2135)+N(S2135)+N(T2135)+N(U2135)+N(V2135))</f>
        <v/>
      </c>
      <c r="X2135" s="85" t="str">
        <f aca="false">IF(AH2135="","",P2135-W2135)</f>
        <v/>
      </c>
      <c r="Y2135" s="67"/>
      <c r="Z2135" s="70" t="str">
        <f aca="false">IF(OR(AH2135="",Y2135=""),"",IF(ABS(X2135-Y2135)&lt;=1,"✓ Cuadra","⚠ Diferencia $"&amp;FIXED(X2135-Y2135,0)))</f>
        <v/>
      </c>
      <c r="AA2135" s="72" t="str">
        <f aca="false">IF(AH2135="","",IFERROR(INDEX(C_TIPO,MATCH(C2135&amp;"-P"&amp;MAX(1,COUNTIFS(C_ID,C2135,C_DEFINE,"Sí",C_INICIO,"&lt;="&amp;EOMONTH(B2135,0))),C_CLAVE,0))&amp;"","Sin dato"))</f>
        <v/>
      </c>
      <c r="AB2135" s="71" t="str">
        <f aca="false">IF(AH2135="","",ROUND(MIN(K2135,TOPE_AFP_UF*AJ2135)*AK2135,0))</f>
        <v/>
      </c>
      <c r="AC2135" s="71" t="str">
        <f aca="false">IF(AH2135="","",ROUND(MIN(K2135,TOPE_AFC_UF*AJ2135)*IF(AA2135="Indefinido",AFC_EMP_INDEF,AFC_EMP_PF),0))</f>
        <v/>
      </c>
      <c r="AD2135" s="71" t="str">
        <f aca="false">IF(AH2135="","",ROUND(MIN(K2135,TOPE_AFP_UF*AJ2135)*(MUTUAL_BASICA+MUTUAL_ADIC+SANNA),0))</f>
        <v/>
      </c>
      <c r="AE2135" s="71" t="str">
        <f aca="false">IF(AH2135="","",P2135-N(N2135)+AB2135+AC2135+AD2135)</f>
        <v/>
      </c>
      <c r="AF2135" s="65"/>
      <c r="AG2135" s="64"/>
      <c r="AH2135" s="72" t="str">
        <f aca="false">IF(OR(B2135="",C2135=""),"",C2135&amp;"|"&amp;(YEAR(B2135)*100+MONTH(B2135)))</f>
        <v/>
      </c>
      <c r="AI2135" s="70" t="str">
        <f aca="false">IF(AH2135="","",IF(COUNTIF(L_CLAVE,AH2135)&gt;1,"⚠ Duplicado","OK"))</f>
        <v/>
      </c>
      <c r="AJ2135" s="86" t="str">
        <f aca="false">IF(AH2135="","",IF(SUMPRODUCT(MAX((IND_PER&lt;=B2135)*(IND_UF&lt;&gt;"")*IND_PER))=0,UF_HOY,INDEX(IND_UF,MATCH(SUMPRODUCT(MAX((IND_PER&lt;=B2135)*(IND_UF&lt;&gt;"")*IND_PER)),IND_PER,0))))</f>
        <v/>
      </c>
      <c r="AK2135" s="87" t="str">
        <f aca="false">IF(AH2135="","",IF(COUNTIF(TASA_DESDE,"&lt;="&amp;B2135)=0,INDEX(TASA_EMP,1),INDEX(TASA_EMP,COUNTIF(TASA_DESDE,"&lt;="&amp;B2135))))</f>
        <v/>
      </c>
    </row>
    <row r="2136" customFormat="false" ht="15" hidden="false" customHeight="false" outlineLevel="0" collapsed="false">
      <c r="B2136" s="78"/>
      <c r="C2136" s="64"/>
      <c r="D2136" s="72" t="str">
        <f aca="false">IF(C2136="","",IFERROR(INDEX(T_NOMBRE,MATCH(C2136,T_ID,0)),"⚠ ID no existe"))</f>
        <v/>
      </c>
      <c r="E2136" s="69"/>
      <c r="F2136" s="67"/>
      <c r="G2136" s="67"/>
      <c r="H2136" s="67"/>
      <c r="I2136" s="67"/>
      <c r="J2136" s="67"/>
      <c r="K2136" s="85" t="str">
        <f aca="false">IF(AH2136="","",N(F2136)+N(G2136)+N(H2136)-N(I2136)+N(J2136))</f>
        <v/>
      </c>
      <c r="L2136" s="67"/>
      <c r="M2136" s="67"/>
      <c r="N2136" s="67"/>
      <c r="O2136" s="67"/>
      <c r="P2136" s="85" t="str">
        <f aca="false">IF(AH2136="","",K2136+N(L2136)+N(M2136)+N(N2136)+N(O2136))</f>
        <v/>
      </c>
      <c r="Q2136" s="67"/>
      <c r="R2136" s="67"/>
      <c r="S2136" s="67"/>
      <c r="T2136" s="67"/>
      <c r="U2136" s="67"/>
      <c r="V2136" s="67"/>
      <c r="W2136" s="85" t="str">
        <f aca="false">IF(AH2136="","",N(Q2136)+N(R2136)+N(S2136)+N(T2136)+N(U2136)+N(V2136))</f>
        <v/>
      </c>
      <c r="X2136" s="85" t="str">
        <f aca="false">IF(AH2136="","",P2136-W2136)</f>
        <v/>
      </c>
      <c r="Y2136" s="67"/>
      <c r="Z2136" s="70" t="str">
        <f aca="false">IF(OR(AH2136="",Y2136=""),"",IF(ABS(X2136-Y2136)&lt;=1,"✓ Cuadra","⚠ Diferencia $"&amp;FIXED(X2136-Y2136,0)))</f>
        <v/>
      </c>
      <c r="AA2136" s="72" t="str">
        <f aca="false">IF(AH2136="","",IFERROR(INDEX(C_TIPO,MATCH(C2136&amp;"-P"&amp;MAX(1,COUNTIFS(C_ID,C2136,C_DEFINE,"Sí",C_INICIO,"&lt;="&amp;EOMONTH(B2136,0))),C_CLAVE,0))&amp;"","Sin dato"))</f>
        <v/>
      </c>
      <c r="AB2136" s="71" t="str">
        <f aca="false">IF(AH2136="","",ROUND(MIN(K2136,TOPE_AFP_UF*AJ2136)*AK2136,0))</f>
        <v/>
      </c>
      <c r="AC2136" s="71" t="str">
        <f aca="false">IF(AH2136="","",ROUND(MIN(K2136,TOPE_AFC_UF*AJ2136)*IF(AA2136="Indefinido",AFC_EMP_INDEF,AFC_EMP_PF),0))</f>
        <v/>
      </c>
      <c r="AD2136" s="71" t="str">
        <f aca="false">IF(AH2136="","",ROUND(MIN(K2136,TOPE_AFP_UF*AJ2136)*(MUTUAL_BASICA+MUTUAL_ADIC+SANNA),0))</f>
        <v/>
      </c>
      <c r="AE2136" s="71" t="str">
        <f aca="false">IF(AH2136="","",P2136-N(N2136)+AB2136+AC2136+AD2136)</f>
        <v/>
      </c>
      <c r="AF2136" s="65"/>
      <c r="AG2136" s="64"/>
      <c r="AH2136" s="72" t="str">
        <f aca="false">IF(OR(B2136="",C2136=""),"",C2136&amp;"|"&amp;(YEAR(B2136)*100+MONTH(B2136)))</f>
        <v/>
      </c>
      <c r="AI2136" s="70" t="str">
        <f aca="false">IF(AH2136="","",IF(COUNTIF(L_CLAVE,AH2136)&gt;1,"⚠ Duplicado","OK"))</f>
        <v/>
      </c>
      <c r="AJ2136" s="86" t="str">
        <f aca="false">IF(AH2136="","",IF(SUMPRODUCT(MAX((IND_PER&lt;=B2136)*(IND_UF&lt;&gt;"")*IND_PER))=0,UF_HOY,INDEX(IND_UF,MATCH(SUMPRODUCT(MAX((IND_PER&lt;=B2136)*(IND_UF&lt;&gt;"")*IND_PER)),IND_PER,0))))</f>
        <v/>
      </c>
      <c r="AK2136" s="87" t="str">
        <f aca="false">IF(AH2136="","",IF(COUNTIF(TASA_DESDE,"&lt;="&amp;B2136)=0,INDEX(TASA_EMP,1),INDEX(TASA_EMP,COUNTIF(TASA_DESDE,"&lt;="&amp;B2136))))</f>
        <v/>
      </c>
    </row>
    <row r="2137" customFormat="false" ht="15" hidden="false" customHeight="false" outlineLevel="0" collapsed="false">
      <c r="B2137" s="78"/>
      <c r="C2137" s="64"/>
      <c r="D2137" s="72" t="str">
        <f aca="false">IF(C2137="","",IFERROR(INDEX(T_NOMBRE,MATCH(C2137,T_ID,0)),"⚠ ID no existe"))</f>
        <v/>
      </c>
      <c r="E2137" s="69"/>
      <c r="F2137" s="67"/>
      <c r="G2137" s="67"/>
      <c r="H2137" s="67"/>
      <c r="I2137" s="67"/>
      <c r="J2137" s="67"/>
      <c r="K2137" s="85" t="str">
        <f aca="false">IF(AH2137="","",N(F2137)+N(G2137)+N(H2137)-N(I2137)+N(J2137))</f>
        <v/>
      </c>
      <c r="L2137" s="67"/>
      <c r="M2137" s="67"/>
      <c r="N2137" s="67"/>
      <c r="O2137" s="67"/>
      <c r="P2137" s="85" t="str">
        <f aca="false">IF(AH2137="","",K2137+N(L2137)+N(M2137)+N(N2137)+N(O2137))</f>
        <v/>
      </c>
      <c r="Q2137" s="67"/>
      <c r="R2137" s="67"/>
      <c r="S2137" s="67"/>
      <c r="T2137" s="67"/>
      <c r="U2137" s="67"/>
      <c r="V2137" s="67"/>
      <c r="W2137" s="85" t="str">
        <f aca="false">IF(AH2137="","",N(Q2137)+N(R2137)+N(S2137)+N(T2137)+N(U2137)+N(V2137))</f>
        <v/>
      </c>
      <c r="X2137" s="85" t="str">
        <f aca="false">IF(AH2137="","",P2137-W2137)</f>
        <v/>
      </c>
      <c r="Y2137" s="67"/>
      <c r="Z2137" s="70" t="str">
        <f aca="false">IF(OR(AH2137="",Y2137=""),"",IF(ABS(X2137-Y2137)&lt;=1,"✓ Cuadra","⚠ Diferencia $"&amp;FIXED(X2137-Y2137,0)))</f>
        <v/>
      </c>
      <c r="AA2137" s="72" t="str">
        <f aca="false">IF(AH2137="","",IFERROR(INDEX(C_TIPO,MATCH(C2137&amp;"-P"&amp;MAX(1,COUNTIFS(C_ID,C2137,C_DEFINE,"Sí",C_INICIO,"&lt;="&amp;EOMONTH(B2137,0))),C_CLAVE,0))&amp;"","Sin dato"))</f>
        <v/>
      </c>
      <c r="AB2137" s="71" t="str">
        <f aca="false">IF(AH2137="","",ROUND(MIN(K2137,TOPE_AFP_UF*AJ2137)*AK2137,0))</f>
        <v/>
      </c>
      <c r="AC2137" s="71" t="str">
        <f aca="false">IF(AH2137="","",ROUND(MIN(K2137,TOPE_AFC_UF*AJ2137)*IF(AA2137="Indefinido",AFC_EMP_INDEF,AFC_EMP_PF),0))</f>
        <v/>
      </c>
      <c r="AD2137" s="71" t="str">
        <f aca="false">IF(AH2137="","",ROUND(MIN(K2137,TOPE_AFP_UF*AJ2137)*(MUTUAL_BASICA+MUTUAL_ADIC+SANNA),0))</f>
        <v/>
      </c>
      <c r="AE2137" s="71" t="str">
        <f aca="false">IF(AH2137="","",P2137-N(N2137)+AB2137+AC2137+AD2137)</f>
        <v/>
      </c>
      <c r="AF2137" s="65"/>
      <c r="AG2137" s="64"/>
      <c r="AH2137" s="72" t="str">
        <f aca="false">IF(OR(B2137="",C2137=""),"",C2137&amp;"|"&amp;(YEAR(B2137)*100+MONTH(B2137)))</f>
        <v/>
      </c>
      <c r="AI2137" s="70" t="str">
        <f aca="false">IF(AH2137="","",IF(COUNTIF(L_CLAVE,AH2137)&gt;1,"⚠ Duplicado","OK"))</f>
        <v/>
      </c>
      <c r="AJ2137" s="86" t="str">
        <f aca="false">IF(AH2137="","",IF(SUMPRODUCT(MAX((IND_PER&lt;=B2137)*(IND_UF&lt;&gt;"")*IND_PER))=0,UF_HOY,INDEX(IND_UF,MATCH(SUMPRODUCT(MAX((IND_PER&lt;=B2137)*(IND_UF&lt;&gt;"")*IND_PER)),IND_PER,0))))</f>
        <v/>
      </c>
      <c r="AK2137" s="87" t="str">
        <f aca="false">IF(AH2137="","",IF(COUNTIF(TASA_DESDE,"&lt;="&amp;B2137)=0,INDEX(TASA_EMP,1),INDEX(TASA_EMP,COUNTIF(TASA_DESDE,"&lt;="&amp;B2137))))</f>
        <v/>
      </c>
    </row>
    <row r="2138" customFormat="false" ht="15" hidden="false" customHeight="false" outlineLevel="0" collapsed="false">
      <c r="B2138" s="78"/>
      <c r="C2138" s="64"/>
      <c r="D2138" s="72" t="str">
        <f aca="false">IF(C2138="","",IFERROR(INDEX(T_NOMBRE,MATCH(C2138,T_ID,0)),"⚠ ID no existe"))</f>
        <v/>
      </c>
      <c r="E2138" s="69"/>
      <c r="F2138" s="67"/>
      <c r="G2138" s="67"/>
      <c r="H2138" s="67"/>
      <c r="I2138" s="67"/>
      <c r="J2138" s="67"/>
      <c r="K2138" s="85" t="str">
        <f aca="false">IF(AH2138="","",N(F2138)+N(G2138)+N(H2138)-N(I2138)+N(J2138))</f>
        <v/>
      </c>
      <c r="L2138" s="67"/>
      <c r="M2138" s="67"/>
      <c r="N2138" s="67"/>
      <c r="O2138" s="67"/>
      <c r="P2138" s="85" t="str">
        <f aca="false">IF(AH2138="","",K2138+N(L2138)+N(M2138)+N(N2138)+N(O2138))</f>
        <v/>
      </c>
      <c r="Q2138" s="67"/>
      <c r="R2138" s="67"/>
      <c r="S2138" s="67"/>
      <c r="T2138" s="67"/>
      <c r="U2138" s="67"/>
      <c r="V2138" s="67"/>
      <c r="W2138" s="85" t="str">
        <f aca="false">IF(AH2138="","",N(Q2138)+N(R2138)+N(S2138)+N(T2138)+N(U2138)+N(V2138))</f>
        <v/>
      </c>
      <c r="X2138" s="85" t="str">
        <f aca="false">IF(AH2138="","",P2138-W2138)</f>
        <v/>
      </c>
      <c r="Y2138" s="67"/>
      <c r="Z2138" s="70" t="str">
        <f aca="false">IF(OR(AH2138="",Y2138=""),"",IF(ABS(X2138-Y2138)&lt;=1,"✓ Cuadra","⚠ Diferencia $"&amp;FIXED(X2138-Y2138,0)))</f>
        <v/>
      </c>
      <c r="AA2138" s="72" t="str">
        <f aca="false">IF(AH2138="","",IFERROR(INDEX(C_TIPO,MATCH(C2138&amp;"-P"&amp;MAX(1,COUNTIFS(C_ID,C2138,C_DEFINE,"Sí",C_INICIO,"&lt;="&amp;EOMONTH(B2138,0))),C_CLAVE,0))&amp;"","Sin dato"))</f>
        <v/>
      </c>
      <c r="AB2138" s="71" t="str">
        <f aca="false">IF(AH2138="","",ROUND(MIN(K2138,TOPE_AFP_UF*AJ2138)*AK2138,0))</f>
        <v/>
      </c>
      <c r="AC2138" s="71" t="str">
        <f aca="false">IF(AH2138="","",ROUND(MIN(K2138,TOPE_AFC_UF*AJ2138)*IF(AA2138="Indefinido",AFC_EMP_INDEF,AFC_EMP_PF),0))</f>
        <v/>
      </c>
      <c r="AD2138" s="71" t="str">
        <f aca="false">IF(AH2138="","",ROUND(MIN(K2138,TOPE_AFP_UF*AJ2138)*(MUTUAL_BASICA+MUTUAL_ADIC+SANNA),0))</f>
        <v/>
      </c>
      <c r="AE2138" s="71" t="str">
        <f aca="false">IF(AH2138="","",P2138-N(N2138)+AB2138+AC2138+AD2138)</f>
        <v/>
      </c>
      <c r="AF2138" s="65"/>
      <c r="AG2138" s="64"/>
      <c r="AH2138" s="72" t="str">
        <f aca="false">IF(OR(B2138="",C2138=""),"",C2138&amp;"|"&amp;(YEAR(B2138)*100+MONTH(B2138)))</f>
        <v/>
      </c>
      <c r="AI2138" s="70" t="str">
        <f aca="false">IF(AH2138="","",IF(COUNTIF(L_CLAVE,AH2138)&gt;1,"⚠ Duplicado","OK"))</f>
        <v/>
      </c>
      <c r="AJ2138" s="86" t="str">
        <f aca="false">IF(AH2138="","",IF(SUMPRODUCT(MAX((IND_PER&lt;=B2138)*(IND_UF&lt;&gt;"")*IND_PER))=0,UF_HOY,INDEX(IND_UF,MATCH(SUMPRODUCT(MAX((IND_PER&lt;=B2138)*(IND_UF&lt;&gt;"")*IND_PER)),IND_PER,0))))</f>
        <v/>
      </c>
      <c r="AK2138" s="87" t="str">
        <f aca="false">IF(AH2138="","",IF(COUNTIF(TASA_DESDE,"&lt;="&amp;B2138)=0,INDEX(TASA_EMP,1),INDEX(TASA_EMP,COUNTIF(TASA_DESDE,"&lt;="&amp;B2138))))</f>
        <v/>
      </c>
    </row>
    <row r="2139" customFormat="false" ht="15" hidden="false" customHeight="false" outlineLevel="0" collapsed="false">
      <c r="B2139" s="78"/>
      <c r="C2139" s="64"/>
      <c r="D2139" s="72" t="str">
        <f aca="false">IF(C2139="","",IFERROR(INDEX(T_NOMBRE,MATCH(C2139,T_ID,0)),"⚠ ID no existe"))</f>
        <v/>
      </c>
      <c r="E2139" s="69"/>
      <c r="F2139" s="67"/>
      <c r="G2139" s="67"/>
      <c r="H2139" s="67"/>
      <c r="I2139" s="67"/>
      <c r="J2139" s="67"/>
      <c r="K2139" s="85" t="str">
        <f aca="false">IF(AH2139="","",N(F2139)+N(G2139)+N(H2139)-N(I2139)+N(J2139))</f>
        <v/>
      </c>
      <c r="L2139" s="67"/>
      <c r="M2139" s="67"/>
      <c r="N2139" s="67"/>
      <c r="O2139" s="67"/>
      <c r="P2139" s="85" t="str">
        <f aca="false">IF(AH2139="","",K2139+N(L2139)+N(M2139)+N(N2139)+N(O2139))</f>
        <v/>
      </c>
      <c r="Q2139" s="67"/>
      <c r="R2139" s="67"/>
      <c r="S2139" s="67"/>
      <c r="T2139" s="67"/>
      <c r="U2139" s="67"/>
      <c r="V2139" s="67"/>
      <c r="W2139" s="85" t="str">
        <f aca="false">IF(AH2139="","",N(Q2139)+N(R2139)+N(S2139)+N(T2139)+N(U2139)+N(V2139))</f>
        <v/>
      </c>
      <c r="X2139" s="85" t="str">
        <f aca="false">IF(AH2139="","",P2139-W2139)</f>
        <v/>
      </c>
      <c r="Y2139" s="67"/>
      <c r="Z2139" s="70" t="str">
        <f aca="false">IF(OR(AH2139="",Y2139=""),"",IF(ABS(X2139-Y2139)&lt;=1,"✓ Cuadra","⚠ Diferencia $"&amp;FIXED(X2139-Y2139,0)))</f>
        <v/>
      </c>
      <c r="AA2139" s="72" t="str">
        <f aca="false">IF(AH2139="","",IFERROR(INDEX(C_TIPO,MATCH(C2139&amp;"-P"&amp;MAX(1,COUNTIFS(C_ID,C2139,C_DEFINE,"Sí",C_INICIO,"&lt;="&amp;EOMONTH(B2139,0))),C_CLAVE,0))&amp;"","Sin dato"))</f>
        <v/>
      </c>
      <c r="AB2139" s="71" t="str">
        <f aca="false">IF(AH2139="","",ROUND(MIN(K2139,TOPE_AFP_UF*AJ2139)*AK2139,0))</f>
        <v/>
      </c>
      <c r="AC2139" s="71" t="str">
        <f aca="false">IF(AH2139="","",ROUND(MIN(K2139,TOPE_AFC_UF*AJ2139)*IF(AA2139="Indefinido",AFC_EMP_INDEF,AFC_EMP_PF),0))</f>
        <v/>
      </c>
      <c r="AD2139" s="71" t="str">
        <f aca="false">IF(AH2139="","",ROUND(MIN(K2139,TOPE_AFP_UF*AJ2139)*(MUTUAL_BASICA+MUTUAL_ADIC+SANNA),0))</f>
        <v/>
      </c>
      <c r="AE2139" s="71" t="str">
        <f aca="false">IF(AH2139="","",P2139-N(N2139)+AB2139+AC2139+AD2139)</f>
        <v/>
      </c>
      <c r="AF2139" s="65"/>
      <c r="AG2139" s="64"/>
      <c r="AH2139" s="72" t="str">
        <f aca="false">IF(OR(B2139="",C2139=""),"",C2139&amp;"|"&amp;(YEAR(B2139)*100+MONTH(B2139)))</f>
        <v/>
      </c>
      <c r="AI2139" s="70" t="str">
        <f aca="false">IF(AH2139="","",IF(COUNTIF(L_CLAVE,AH2139)&gt;1,"⚠ Duplicado","OK"))</f>
        <v/>
      </c>
      <c r="AJ2139" s="86" t="str">
        <f aca="false">IF(AH2139="","",IF(SUMPRODUCT(MAX((IND_PER&lt;=B2139)*(IND_UF&lt;&gt;"")*IND_PER))=0,UF_HOY,INDEX(IND_UF,MATCH(SUMPRODUCT(MAX((IND_PER&lt;=B2139)*(IND_UF&lt;&gt;"")*IND_PER)),IND_PER,0))))</f>
        <v/>
      </c>
      <c r="AK2139" s="87" t="str">
        <f aca="false">IF(AH2139="","",IF(COUNTIF(TASA_DESDE,"&lt;="&amp;B2139)=0,INDEX(TASA_EMP,1),INDEX(TASA_EMP,COUNTIF(TASA_DESDE,"&lt;="&amp;B2139))))</f>
        <v/>
      </c>
    </row>
    <row r="2140" customFormat="false" ht="15" hidden="false" customHeight="false" outlineLevel="0" collapsed="false">
      <c r="B2140" s="78"/>
      <c r="C2140" s="64"/>
      <c r="D2140" s="72" t="str">
        <f aca="false">IF(C2140="","",IFERROR(INDEX(T_NOMBRE,MATCH(C2140,T_ID,0)),"⚠ ID no existe"))</f>
        <v/>
      </c>
      <c r="E2140" s="69"/>
      <c r="F2140" s="67"/>
      <c r="G2140" s="67"/>
      <c r="H2140" s="67"/>
      <c r="I2140" s="67"/>
      <c r="J2140" s="67"/>
      <c r="K2140" s="85" t="str">
        <f aca="false">IF(AH2140="","",N(F2140)+N(G2140)+N(H2140)-N(I2140)+N(J2140))</f>
        <v/>
      </c>
      <c r="L2140" s="67"/>
      <c r="M2140" s="67"/>
      <c r="N2140" s="67"/>
      <c r="O2140" s="67"/>
      <c r="P2140" s="85" t="str">
        <f aca="false">IF(AH2140="","",K2140+N(L2140)+N(M2140)+N(N2140)+N(O2140))</f>
        <v/>
      </c>
      <c r="Q2140" s="67"/>
      <c r="R2140" s="67"/>
      <c r="S2140" s="67"/>
      <c r="T2140" s="67"/>
      <c r="U2140" s="67"/>
      <c r="V2140" s="67"/>
      <c r="W2140" s="85" t="str">
        <f aca="false">IF(AH2140="","",N(Q2140)+N(R2140)+N(S2140)+N(T2140)+N(U2140)+N(V2140))</f>
        <v/>
      </c>
      <c r="X2140" s="85" t="str">
        <f aca="false">IF(AH2140="","",P2140-W2140)</f>
        <v/>
      </c>
      <c r="Y2140" s="67"/>
      <c r="Z2140" s="70" t="str">
        <f aca="false">IF(OR(AH2140="",Y2140=""),"",IF(ABS(X2140-Y2140)&lt;=1,"✓ Cuadra","⚠ Diferencia $"&amp;FIXED(X2140-Y2140,0)))</f>
        <v/>
      </c>
      <c r="AA2140" s="72" t="str">
        <f aca="false">IF(AH2140="","",IFERROR(INDEX(C_TIPO,MATCH(C2140&amp;"-P"&amp;MAX(1,COUNTIFS(C_ID,C2140,C_DEFINE,"Sí",C_INICIO,"&lt;="&amp;EOMONTH(B2140,0))),C_CLAVE,0))&amp;"","Sin dato"))</f>
        <v/>
      </c>
      <c r="AB2140" s="71" t="str">
        <f aca="false">IF(AH2140="","",ROUND(MIN(K2140,TOPE_AFP_UF*AJ2140)*AK2140,0))</f>
        <v/>
      </c>
      <c r="AC2140" s="71" t="str">
        <f aca="false">IF(AH2140="","",ROUND(MIN(K2140,TOPE_AFC_UF*AJ2140)*IF(AA2140="Indefinido",AFC_EMP_INDEF,AFC_EMP_PF),0))</f>
        <v/>
      </c>
      <c r="AD2140" s="71" t="str">
        <f aca="false">IF(AH2140="","",ROUND(MIN(K2140,TOPE_AFP_UF*AJ2140)*(MUTUAL_BASICA+MUTUAL_ADIC+SANNA),0))</f>
        <v/>
      </c>
      <c r="AE2140" s="71" t="str">
        <f aca="false">IF(AH2140="","",P2140-N(N2140)+AB2140+AC2140+AD2140)</f>
        <v/>
      </c>
      <c r="AF2140" s="65"/>
      <c r="AG2140" s="64"/>
      <c r="AH2140" s="72" t="str">
        <f aca="false">IF(OR(B2140="",C2140=""),"",C2140&amp;"|"&amp;(YEAR(B2140)*100+MONTH(B2140)))</f>
        <v/>
      </c>
      <c r="AI2140" s="70" t="str">
        <f aca="false">IF(AH2140="","",IF(COUNTIF(L_CLAVE,AH2140)&gt;1,"⚠ Duplicado","OK"))</f>
        <v/>
      </c>
      <c r="AJ2140" s="86" t="str">
        <f aca="false">IF(AH2140="","",IF(SUMPRODUCT(MAX((IND_PER&lt;=B2140)*(IND_UF&lt;&gt;"")*IND_PER))=0,UF_HOY,INDEX(IND_UF,MATCH(SUMPRODUCT(MAX((IND_PER&lt;=B2140)*(IND_UF&lt;&gt;"")*IND_PER)),IND_PER,0))))</f>
        <v/>
      </c>
      <c r="AK2140" s="87" t="str">
        <f aca="false">IF(AH2140="","",IF(COUNTIF(TASA_DESDE,"&lt;="&amp;B2140)=0,INDEX(TASA_EMP,1),INDEX(TASA_EMP,COUNTIF(TASA_DESDE,"&lt;="&amp;B2140))))</f>
        <v/>
      </c>
    </row>
    <row r="2141" customFormat="false" ht="15" hidden="false" customHeight="false" outlineLevel="0" collapsed="false">
      <c r="B2141" s="78"/>
      <c r="C2141" s="64"/>
      <c r="D2141" s="72" t="str">
        <f aca="false">IF(C2141="","",IFERROR(INDEX(T_NOMBRE,MATCH(C2141,T_ID,0)),"⚠ ID no existe"))</f>
        <v/>
      </c>
      <c r="E2141" s="69"/>
      <c r="F2141" s="67"/>
      <c r="G2141" s="67"/>
      <c r="H2141" s="67"/>
      <c r="I2141" s="67"/>
      <c r="J2141" s="67"/>
      <c r="K2141" s="85" t="str">
        <f aca="false">IF(AH2141="","",N(F2141)+N(G2141)+N(H2141)-N(I2141)+N(J2141))</f>
        <v/>
      </c>
      <c r="L2141" s="67"/>
      <c r="M2141" s="67"/>
      <c r="N2141" s="67"/>
      <c r="O2141" s="67"/>
      <c r="P2141" s="85" t="str">
        <f aca="false">IF(AH2141="","",K2141+N(L2141)+N(M2141)+N(N2141)+N(O2141))</f>
        <v/>
      </c>
      <c r="Q2141" s="67"/>
      <c r="R2141" s="67"/>
      <c r="S2141" s="67"/>
      <c r="T2141" s="67"/>
      <c r="U2141" s="67"/>
      <c r="V2141" s="67"/>
      <c r="W2141" s="85" t="str">
        <f aca="false">IF(AH2141="","",N(Q2141)+N(R2141)+N(S2141)+N(T2141)+N(U2141)+N(V2141))</f>
        <v/>
      </c>
      <c r="X2141" s="85" t="str">
        <f aca="false">IF(AH2141="","",P2141-W2141)</f>
        <v/>
      </c>
      <c r="Y2141" s="67"/>
      <c r="Z2141" s="70" t="str">
        <f aca="false">IF(OR(AH2141="",Y2141=""),"",IF(ABS(X2141-Y2141)&lt;=1,"✓ Cuadra","⚠ Diferencia $"&amp;FIXED(X2141-Y2141,0)))</f>
        <v/>
      </c>
      <c r="AA2141" s="72" t="str">
        <f aca="false">IF(AH2141="","",IFERROR(INDEX(C_TIPO,MATCH(C2141&amp;"-P"&amp;MAX(1,COUNTIFS(C_ID,C2141,C_DEFINE,"Sí",C_INICIO,"&lt;="&amp;EOMONTH(B2141,0))),C_CLAVE,0))&amp;"","Sin dato"))</f>
        <v/>
      </c>
      <c r="AB2141" s="71" t="str">
        <f aca="false">IF(AH2141="","",ROUND(MIN(K2141,TOPE_AFP_UF*AJ2141)*AK2141,0))</f>
        <v/>
      </c>
      <c r="AC2141" s="71" t="str">
        <f aca="false">IF(AH2141="","",ROUND(MIN(K2141,TOPE_AFC_UF*AJ2141)*IF(AA2141="Indefinido",AFC_EMP_INDEF,AFC_EMP_PF),0))</f>
        <v/>
      </c>
      <c r="AD2141" s="71" t="str">
        <f aca="false">IF(AH2141="","",ROUND(MIN(K2141,TOPE_AFP_UF*AJ2141)*(MUTUAL_BASICA+MUTUAL_ADIC+SANNA),0))</f>
        <v/>
      </c>
      <c r="AE2141" s="71" t="str">
        <f aca="false">IF(AH2141="","",P2141-N(N2141)+AB2141+AC2141+AD2141)</f>
        <v/>
      </c>
      <c r="AF2141" s="65"/>
      <c r="AG2141" s="64"/>
      <c r="AH2141" s="72" t="str">
        <f aca="false">IF(OR(B2141="",C2141=""),"",C2141&amp;"|"&amp;(YEAR(B2141)*100+MONTH(B2141)))</f>
        <v/>
      </c>
      <c r="AI2141" s="70" t="str">
        <f aca="false">IF(AH2141="","",IF(COUNTIF(L_CLAVE,AH2141)&gt;1,"⚠ Duplicado","OK"))</f>
        <v/>
      </c>
      <c r="AJ2141" s="86" t="str">
        <f aca="false">IF(AH2141="","",IF(SUMPRODUCT(MAX((IND_PER&lt;=B2141)*(IND_UF&lt;&gt;"")*IND_PER))=0,UF_HOY,INDEX(IND_UF,MATCH(SUMPRODUCT(MAX((IND_PER&lt;=B2141)*(IND_UF&lt;&gt;"")*IND_PER)),IND_PER,0))))</f>
        <v/>
      </c>
      <c r="AK2141" s="87" t="str">
        <f aca="false">IF(AH2141="","",IF(COUNTIF(TASA_DESDE,"&lt;="&amp;B2141)=0,INDEX(TASA_EMP,1),INDEX(TASA_EMP,COUNTIF(TASA_DESDE,"&lt;="&amp;B2141))))</f>
        <v/>
      </c>
    </row>
    <row r="2142" customFormat="false" ht="15" hidden="false" customHeight="false" outlineLevel="0" collapsed="false">
      <c r="B2142" s="78"/>
      <c r="C2142" s="64"/>
      <c r="D2142" s="72" t="str">
        <f aca="false">IF(C2142="","",IFERROR(INDEX(T_NOMBRE,MATCH(C2142,T_ID,0)),"⚠ ID no existe"))</f>
        <v/>
      </c>
      <c r="E2142" s="69"/>
      <c r="F2142" s="67"/>
      <c r="G2142" s="67"/>
      <c r="H2142" s="67"/>
      <c r="I2142" s="67"/>
      <c r="J2142" s="67"/>
      <c r="K2142" s="85" t="str">
        <f aca="false">IF(AH2142="","",N(F2142)+N(G2142)+N(H2142)-N(I2142)+N(J2142))</f>
        <v/>
      </c>
      <c r="L2142" s="67"/>
      <c r="M2142" s="67"/>
      <c r="N2142" s="67"/>
      <c r="O2142" s="67"/>
      <c r="P2142" s="85" t="str">
        <f aca="false">IF(AH2142="","",K2142+N(L2142)+N(M2142)+N(N2142)+N(O2142))</f>
        <v/>
      </c>
      <c r="Q2142" s="67"/>
      <c r="R2142" s="67"/>
      <c r="S2142" s="67"/>
      <c r="T2142" s="67"/>
      <c r="U2142" s="67"/>
      <c r="V2142" s="67"/>
      <c r="W2142" s="85" t="str">
        <f aca="false">IF(AH2142="","",N(Q2142)+N(R2142)+N(S2142)+N(T2142)+N(U2142)+N(V2142))</f>
        <v/>
      </c>
      <c r="X2142" s="85" t="str">
        <f aca="false">IF(AH2142="","",P2142-W2142)</f>
        <v/>
      </c>
      <c r="Y2142" s="67"/>
      <c r="Z2142" s="70" t="str">
        <f aca="false">IF(OR(AH2142="",Y2142=""),"",IF(ABS(X2142-Y2142)&lt;=1,"✓ Cuadra","⚠ Diferencia $"&amp;FIXED(X2142-Y2142,0)))</f>
        <v/>
      </c>
      <c r="AA2142" s="72" t="str">
        <f aca="false">IF(AH2142="","",IFERROR(INDEX(C_TIPO,MATCH(C2142&amp;"-P"&amp;MAX(1,COUNTIFS(C_ID,C2142,C_DEFINE,"Sí",C_INICIO,"&lt;="&amp;EOMONTH(B2142,0))),C_CLAVE,0))&amp;"","Sin dato"))</f>
        <v/>
      </c>
      <c r="AB2142" s="71" t="str">
        <f aca="false">IF(AH2142="","",ROUND(MIN(K2142,TOPE_AFP_UF*AJ2142)*AK2142,0))</f>
        <v/>
      </c>
      <c r="AC2142" s="71" t="str">
        <f aca="false">IF(AH2142="","",ROUND(MIN(K2142,TOPE_AFC_UF*AJ2142)*IF(AA2142="Indefinido",AFC_EMP_INDEF,AFC_EMP_PF),0))</f>
        <v/>
      </c>
      <c r="AD2142" s="71" t="str">
        <f aca="false">IF(AH2142="","",ROUND(MIN(K2142,TOPE_AFP_UF*AJ2142)*(MUTUAL_BASICA+MUTUAL_ADIC+SANNA),0))</f>
        <v/>
      </c>
      <c r="AE2142" s="71" t="str">
        <f aca="false">IF(AH2142="","",P2142-N(N2142)+AB2142+AC2142+AD2142)</f>
        <v/>
      </c>
      <c r="AF2142" s="65"/>
      <c r="AG2142" s="64"/>
      <c r="AH2142" s="72" t="str">
        <f aca="false">IF(OR(B2142="",C2142=""),"",C2142&amp;"|"&amp;(YEAR(B2142)*100+MONTH(B2142)))</f>
        <v/>
      </c>
      <c r="AI2142" s="70" t="str">
        <f aca="false">IF(AH2142="","",IF(COUNTIF(L_CLAVE,AH2142)&gt;1,"⚠ Duplicado","OK"))</f>
        <v/>
      </c>
      <c r="AJ2142" s="86" t="str">
        <f aca="false">IF(AH2142="","",IF(SUMPRODUCT(MAX((IND_PER&lt;=B2142)*(IND_UF&lt;&gt;"")*IND_PER))=0,UF_HOY,INDEX(IND_UF,MATCH(SUMPRODUCT(MAX((IND_PER&lt;=B2142)*(IND_UF&lt;&gt;"")*IND_PER)),IND_PER,0))))</f>
        <v/>
      </c>
      <c r="AK2142" s="87" t="str">
        <f aca="false">IF(AH2142="","",IF(COUNTIF(TASA_DESDE,"&lt;="&amp;B2142)=0,INDEX(TASA_EMP,1),INDEX(TASA_EMP,COUNTIF(TASA_DESDE,"&lt;="&amp;B2142))))</f>
        <v/>
      </c>
    </row>
    <row r="2143" customFormat="false" ht="15" hidden="false" customHeight="false" outlineLevel="0" collapsed="false">
      <c r="B2143" s="78"/>
      <c r="C2143" s="64"/>
      <c r="D2143" s="72" t="str">
        <f aca="false">IF(C2143="","",IFERROR(INDEX(T_NOMBRE,MATCH(C2143,T_ID,0)),"⚠ ID no existe"))</f>
        <v/>
      </c>
      <c r="E2143" s="69"/>
      <c r="F2143" s="67"/>
      <c r="G2143" s="67"/>
      <c r="H2143" s="67"/>
      <c r="I2143" s="67"/>
      <c r="J2143" s="67"/>
      <c r="K2143" s="85" t="str">
        <f aca="false">IF(AH2143="","",N(F2143)+N(G2143)+N(H2143)-N(I2143)+N(J2143))</f>
        <v/>
      </c>
      <c r="L2143" s="67"/>
      <c r="M2143" s="67"/>
      <c r="N2143" s="67"/>
      <c r="O2143" s="67"/>
      <c r="P2143" s="85" t="str">
        <f aca="false">IF(AH2143="","",K2143+N(L2143)+N(M2143)+N(N2143)+N(O2143))</f>
        <v/>
      </c>
      <c r="Q2143" s="67"/>
      <c r="R2143" s="67"/>
      <c r="S2143" s="67"/>
      <c r="T2143" s="67"/>
      <c r="U2143" s="67"/>
      <c r="V2143" s="67"/>
      <c r="W2143" s="85" t="str">
        <f aca="false">IF(AH2143="","",N(Q2143)+N(R2143)+N(S2143)+N(T2143)+N(U2143)+N(V2143))</f>
        <v/>
      </c>
      <c r="X2143" s="85" t="str">
        <f aca="false">IF(AH2143="","",P2143-W2143)</f>
        <v/>
      </c>
      <c r="Y2143" s="67"/>
      <c r="Z2143" s="70" t="str">
        <f aca="false">IF(OR(AH2143="",Y2143=""),"",IF(ABS(X2143-Y2143)&lt;=1,"✓ Cuadra","⚠ Diferencia $"&amp;FIXED(X2143-Y2143,0)))</f>
        <v/>
      </c>
      <c r="AA2143" s="72" t="str">
        <f aca="false">IF(AH2143="","",IFERROR(INDEX(C_TIPO,MATCH(C2143&amp;"-P"&amp;MAX(1,COUNTIFS(C_ID,C2143,C_DEFINE,"Sí",C_INICIO,"&lt;="&amp;EOMONTH(B2143,0))),C_CLAVE,0))&amp;"","Sin dato"))</f>
        <v/>
      </c>
      <c r="AB2143" s="71" t="str">
        <f aca="false">IF(AH2143="","",ROUND(MIN(K2143,TOPE_AFP_UF*AJ2143)*AK2143,0))</f>
        <v/>
      </c>
      <c r="AC2143" s="71" t="str">
        <f aca="false">IF(AH2143="","",ROUND(MIN(K2143,TOPE_AFC_UF*AJ2143)*IF(AA2143="Indefinido",AFC_EMP_INDEF,AFC_EMP_PF),0))</f>
        <v/>
      </c>
      <c r="AD2143" s="71" t="str">
        <f aca="false">IF(AH2143="","",ROUND(MIN(K2143,TOPE_AFP_UF*AJ2143)*(MUTUAL_BASICA+MUTUAL_ADIC+SANNA),0))</f>
        <v/>
      </c>
      <c r="AE2143" s="71" t="str">
        <f aca="false">IF(AH2143="","",P2143-N(N2143)+AB2143+AC2143+AD2143)</f>
        <v/>
      </c>
      <c r="AF2143" s="65"/>
      <c r="AG2143" s="64"/>
      <c r="AH2143" s="72" t="str">
        <f aca="false">IF(OR(B2143="",C2143=""),"",C2143&amp;"|"&amp;(YEAR(B2143)*100+MONTH(B2143)))</f>
        <v/>
      </c>
      <c r="AI2143" s="70" t="str">
        <f aca="false">IF(AH2143="","",IF(COUNTIF(L_CLAVE,AH2143)&gt;1,"⚠ Duplicado","OK"))</f>
        <v/>
      </c>
      <c r="AJ2143" s="86" t="str">
        <f aca="false">IF(AH2143="","",IF(SUMPRODUCT(MAX((IND_PER&lt;=B2143)*(IND_UF&lt;&gt;"")*IND_PER))=0,UF_HOY,INDEX(IND_UF,MATCH(SUMPRODUCT(MAX((IND_PER&lt;=B2143)*(IND_UF&lt;&gt;"")*IND_PER)),IND_PER,0))))</f>
        <v/>
      </c>
      <c r="AK2143" s="87" t="str">
        <f aca="false">IF(AH2143="","",IF(COUNTIF(TASA_DESDE,"&lt;="&amp;B2143)=0,INDEX(TASA_EMP,1),INDEX(TASA_EMP,COUNTIF(TASA_DESDE,"&lt;="&amp;B2143))))</f>
        <v/>
      </c>
    </row>
    <row r="2144" customFormat="false" ht="15" hidden="false" customHeight="false" outlineLevel="0" collapsed="false">
      <c r="B2144" s="78"/>
      <c r="C2144" s="64"/>
      <c r="D2144" s="72" t="str">
        <f aca="false">IF(C2144="","",IFERROR(INDEX(T_NOMBRE,MATCH(C2144,T_ID,0)),"⚠ ID no existe"))</f>
        <v/>
      </c>
      <c r="E2144" s="69"/>
      <c r="F2144" s="67"/>
      <c r="G2144" s="67"/>
      <c r="H2144" s="67"/>
      <c r="I2144" s="67"/>
      <c r="J2144" s="67"/>
      <c r="K2144" s="85" t="str">
        <f aca="false">IF(AH2144="","",N(F2144)+N(G2144)+N(H2144)-N(I2144)+N(J2144))</f>
        <v/>
      </c>
      <c r="L2144" s="67"/>
      <c r="M2144" s="67"/>
      <c r="N2144" s="67"/>
      <c r="O2144" s="67"/>
      <c r="P2144" s="85" t="str">
        <f aca="false">IF(AH2144="","",K2144+N(L2144)+N(M2144)+N(N2144)+N(O2144))</f>
        <v/>
      </c>
      <c r="Q2144" s="67"/>
      <c r="R2144" s="67"/>
      <c r="S2144" s="67"/>
      <c r="T2144" s="67"/>
      <c r="U2144" s="67"/>
      <c r="V2144" s="67"/>
      <c r="W2144" s="85" t="str">
        <f aca="false">IF(AH2144="","",N(Q2144)+N(R2144)+N(S2144)+N(T2144)+N(U2144)+N(V2144))</f>
        <v/>
      </c>
      <c r="X2144" s="85" t="str">
        <f aca="false">IF(AH2144="","",P2144-W2144)</f>
        <v/>
      </c>
      <c r="Y2144" s="67"/>
      <c r="Z2144" s="70" t="str">
        <f aca="false">IF(OR(AH2144="",Y2144=""),"",IF(ABS(X2144-Y2144)&lt;=1,"✓ Cuadra","⚠ Diferencia $"&amp;FIXED(X2144-Y2144,0)))</f>
        <v/>
      </c>
      <c r="AA2144" s="72" t="str">
        <f aca="false">IF(AH2144="","",IFERROR(INDEX(C_TIPO,MATCH(C2144&amp;"-P"&amp;MAX(1,COUNTIFS(C_ID,C2144,C_DEFINE,"Sí",C_INICIO,"&lt;="&amp;EOMONTH(B2144,0))),C_CLAVE,0))&amp;"","Sin dato"))</f>
        <v/>
      </c>
      <c r="AB2144" s="71" t="str">
        <f aca="false">IF(AH2144="","",ROUND(MIN(K2144,TOPE_AFP_UF*AJ2144)*AK2144,0))</f>
        <v/>
      </c>
      <c r="AC2144" s="71" t="str">
        <f aca="false">IF(AH2144="","",ROUND(MIN(K2144,TOPE_AFC_UF*AJ2144)*IF(AA2144="Indefinido",AFC_EMP_INDEF,AFC_EMP_PF),0))</f>
        <v/>
      </c>
      <c r="AD2144" s="71" t="str">
        <f aca="false">IF(AH2144="","",ROUND(MIN(K2144,TOPE_AFP_UF*AJ2144)*(MUTUAL_BASICA+MUTUAL_ADIC+SANNA),0))</f>
        <v/>
      </c>
      <c r="AE2144" s="71" t="str">
        <f aca="false">IF(AH2144="","",P2144-N(N2144)+AB2144+AC2144+AD2144)</f>
        <v/>
      </c>
      <c r="AF2144" s="65"/>
      <c r="AG2144" s="64"/>
      <c r="AH2144" s="72" t="str">
        <f aca="false">IF(OR(B2144="",C2144=""),"",C2144&amp;"|"&amp;(YEAR(B2144)*100+MONTH(B2144)))</f>
        <v/>
      </c>
      <c r="AI2144" s="70" t="str">
        <f aca="false">IF(AH2144="","",IF(COUNTIF(L_CLAVE,AH2144)&gt;1,"⚠ Duplicado","OK"))</f>
        <v/>
      </c>
      <c r="AJ2144" s="86" t="str">
        <f aca="false">IF(AH2144="","",IF(SUMPRODUCT(MAX((IND_PER&lt;=B2144)*(IND_UF&lt;&gt;"")*IND_PER))=0,UF_HOY,INDEX(IND_UF,MATCH(SUMPRODUCT(MAX((IND_PER&lt;=B2144)*(IND_UF&lt;&gt;"")*IND_PER)),IND_PER,0))))</f>
        <v/>
      </c>
      <c r="AK2144" s="87" t="str">
        <f aca="false">IF(AH2144="","",IF(COUNTIF(TASA_DESDE,"&lt;="&amp;B2144)=0,INDEX(TASA_EMP,1),INDEX(TASA_EMP,COUNTIF(TASA_DESDE,"&lt;="&amp;B2144))))</f>
        <v/>
      </c>
    </row>
    <row r="2145" customFormat="false" ht="15" hidden="false" customHeight="false" outlineLevel="0" collapsed="false">
      <c r="B2145" s="78"/>
      <c r="C2145" s="64"/>
      <c r="D2145" s="72" t="str">
        <f aca="false">IF(C2145="","",IFERROR(INDEX(T_NOMBRE,MATCH(C2145,T_ID,0)),"⚠ ID no existe"))</f>
        <v/>
      </c>
      <c r="E2145" s="69"/>
      <c r="F2145" s="67"/>
      <c r="G2145" s="67"/>
      <c r="H2145" s="67"/>
      <c r="I2145" s="67"/>
      <c r="J2145" s="67"/>
      <c r="K2145" s="85" t="str">
        <f aca="false">IF(AH2145="","",N(F2145)+N(G2145)+N(H2145)-N(I2145)+N(J2145))</f>
        <v/>
      </c>
      <c r="L2145" s="67"/>
      <c r="M2145" s="67"/>
      <c r="N2145" s="67"/>
      <c r="O2145" s="67"/>
      <c r="P2145" s="85" t="str">
        <f aca="false">IF(AH2145="","",K2145+N(L2145)+N(M2145)+N(N2145)+N(O2145))</f>
        <v/>
      </c>
      <c r="Q2145" s="67"/>
      <c r="R2145" s="67"/>
      <c r="S2145" s="67"/>
      <c r="T2145" s="67"/>
      <c r="U2145" s="67"/>
      <c r="V2145" s="67"/>
      <c r="W2145" s="85" t="str">
        <f aca="false">IF(AH2145="","",N(Q2145)+N(R2145)+N(S2145)+N(T2145)+N(U2145)+N(V2145))</f>
        <v/>
      </c>
      <c r="X2145" s="85" t="str">
        <f aca="false">IF(AH2145="","",P2145-W2145)</f>
        <v/>
      </c>
      <c r="Y2145" s="67"/>
      <c r="Z2145" s="70" t="str">
        <f aca="false">IF(OR(AH2145="",Y2145=""),"",IF(ABS(X2145-Y2145)&lt;=1,"✓ Cuadra","⚠ Diferencia $"&amp;FIXED(X2145-Y2145,0)))</f>
        <v/>
      </c>
      <c r="AA2145" s="72" t="str">
        <f aca="false">IF(AH2145="","",IFERROR(INDEX(C_TIPO,MATCH(C2145&amp;"-P"&amp;MAX(1,COUNTIFS(C_ID,C2145,C_DEFINE,"Sí",C_INICIO,"&lt;="&amp;EOMONTH(B2145,0))),C_CLAVE,0))&amp;"","Sin dato"))</f>
        <v/>
      </c>
      <c r="AB2145" s="71" t="str">
        <f aca="false">IF(AH2145="","",ROUND(MIN(K2145,TOPE_AFP_UF*AJ2145)*AK2145,0))</f>
        <v/>
      </c>
      <c r="AC2145" s="71" t="str">
        <f aca="false">IF(AH2145="","",ROUND(MIN(K2145,TOPE_AFC_UF*AJ2145)*IF(AA2145="Indefinido",AFC_EMP_INDEF,AFC_EMP_PF),0))</f>
        <v/>
      </c>
      <c r="AD2145" s="71" t="str">
        <f aca="false">IF(AH2145="","",ROUND(MIN(K2145,TOPE_AFP_UF*AJ2145)*(MUTUAL_BASICA+MUTUAL_ADIC+SANNA),0))</f>
        <v/>
      </c>
      <c r="AE2145" s="71" t="str">
        <f aca="false">IF(AH2145="","",P2145-N(N2145)+AB2145+AC2145+AD2145)</f>
        <v/>
      </c>
      <c r="AF2145" s="65"/>
      <c r="AG2145" s="64"/>
      <c r="AH2145" s="72" t="str">
        <f aca="false">IF(OR(B2145="",C2145=""),"",C2145&amp;"|"&amp;(YEAR(B2145)*100+MONTH(B2145)))</f>
        <v/>
      </c>
      <c r="AI2145" s="70" t="str">
        <f aca="false">IF(AH2145="","",IF(COUNTIF(L_CLAVE,AH2145)&gt;1,"⚠ Duplicado","OK"))</f>
        <v/>
      </c>
      <c r="AJ2145" s="86" t="str">
        <f aca="false">IF(AH2145="","",IF(SUMPRODUCT(MAX((IND_PER&lt;=B2145)*(IND_UF&lt;&gt;"")*IND_PER))=0,UF_HOY,INDEX(IND_UF,MATCH(SUMPRODUCT(MAX((IND_PER&lt;=B2145)*(IND_UF&lt;&gt;"")*IND_PER)),IND_PER,0))))</f>
        <v/>
      </c>
      <c r="AK2145" s="87" t="str">
        <f aca="false">IF(AH2145="","",IF(COUNTIF(TASA_DESDE,"&lt;="&amp;B2145)=0,INDEX(TASA_EMP,1),INDEX(TASA_EMP,COUNTIF(TASA_DESDE,"&lt;="&amp;B2145))))</f>
        <v/>
      </c>
    </row>
    <row r="2146" customFormat="false" ht="15" hidden="false" customHeight="false" outlineLevel="0" collapsed="false">
      <c r="B2146" s="78"/>
      <c r="C2146" s="64"/>
      <c r="D2146" s="72" t="str">
        <f aca="false">IF(C2146="","",IFERROR(INDEX(T_NOMBRE,MATCH(C2146,T_ID,0)),"⚠ ID no existe"))</f>
        <v/>
      </c>
      <c r="E2146" s="69"/>
      <c r="F2146" s="67"/>
      <c r="G2146" s="67"/>
      <c r="H2146" s="67"/>
      <c r="I2146" s="67"/>
      <c r="J2146" s="67"/>
      <c r="K2146" s="85" t="str">
        <f aca="false">IF(AH2146="","",N(F2146)+N(G2146)+N(H2146)-N(I2146)+N(J2146))</f>
        <v/>
      </c>
      <c r="L2146" s="67"/>
      <c r="M2146" s="67"/>
      <c r="N2146" s="67"/>
      <c r="O2146" s="67"/>
      <c r="P2146" s="85" t="str">
        <f aca="false">IF(AH2146="","",K2146+N(L2146)+N(M2146)+N(N2146)+N(O2146))</f>
        <v/>
      </c>
      <c r="Q2146" s="67"/>
      <c r="R2146" s="67"/>
      <c r="S2146" s="67"/>
      <c r="T2146" s="67"/>
      <c r="U2146" s="67"/>
      <c r="V2146" s="67"/>
      <c r="W2146" s="85" t="str">
        <f aca="false">IF(AH2146="","",N(Q2146)+N(R2146)+N(S2146)+N(T2146)+N(U2146)+N(V2146))</f>
        <v/>
      </c>
      <c r="X2146" s="85" t="str">
        <f aca="false">IF(AH2146="","",P2146-W2146)</f>
        <v/>
      </c>
      <c r="Y2146" s="67"/>
      <c r="Z2146" s="70" t="str">
        <f aca="false">IF(OR(AH2146="",Y2146=""),"",IF(ABS(X2146-Y2146)&lt;=1,"✓ Cuadra","⚠ Diferencia $"&amp;FIXED(X2146-Y2146,0)))</f>
        <v/>
      </c>
      <c r="AA2146" s="72" t="str">
        <f aca="false">IF(AH2146="","",IFERROR(INDEX(C_TIPO,MATCH(C2146&amp;"-P"&amp;MAX(1,COUNTIFS(C_ID,C2146,C_DEFINE,"Sí",C_INICIO,"&lt;="&amp;EOMONTH(B2146,0))),C_CLAVE,0))&amp;"","Sin dato"))</f>
        <v/>
      </c>
      <c r="AB2146" s="71" t="str">
        <f aca="false">IF(AH2146="","",ROUND(MIN(K2146,TOPE_AFP_UF*AJ2146)*AK2146,0))</f>
        <v/>
      </c>
      <c r="AC2146" s="71" t="str">
        <f aca="false">IF(AH2146="","",ROUND(MIN(K2146,TOPE_AFC_UF*AJ2146)*IF(AA2146="Indefinido",AFC_EMP_INDEF,AFC_EMP_PF),0))</f>
        <v/>
      </c>
      <c r="AD2146" s="71" t="str">
        <f aca="false">IF(AH2146="","",ROUND(MIN(K2146,TOPE_AFP_UF*AJ2146)*(MUTUAL_BASICA+MUTUAL_ADIC+SANNA),0))</f>
        <v/>
      </c>
      <c r="AE2146" s="71" t="str">
        <f aca="false">IF(AH2146="","",P2146-N(N2146)+AB2146+AC2146+AD2146)</f>
        <v/>
      </c>
      <c r="AF2146" s="65"/>
      <c r="AG2146" s="64"/>
      <c r="AH2146" s="72" t="str">
        <f aca="false">IF(OR(B2146="",C2146=""),"",C2146&amp;"|"&amp;(YEAR(B2146)*100+MONTH(B2146)))</f>
        <v/>
      </c>
      <c r="AI2146" s="70" t="str">
        <f aca="false">IF(AH2146="","",IF(COUNTIF(L_CLAVE,AH2146)&gt;1,"⚠ Duplicado","OK"))</f>
        <v/>
      </c>
      <c r="AJ2146" s="86" t="str">
        <f aca="false">IF(AH2146="","",IF(SUMPRODUCT(MAX((IND_PER&lt;=B2146)*(IND_UF&lt;&gt;"")*IND_PER))=0,UF_HOY,INDEX(IND_UF,MATCH(SUMPRODUCT(MAX((IND_PER&lt;=B2146)*(IND_UF&lt;&gt;"")*IND_PER)),IND_PER,0))))</f>
        <v/>
      </c>
      <c r="AK2146" s="87" t="str">
        <f aca="false">IF(AH2146="","",IF(COUNTIF(TASA_DESDE,"&lt;="&amp;B2146)=0,INDEX(TASA_EMP,1),INDEX(TASA_EMP,COUNTIF(TASA_DESDE,"&lt;="&amp;B2146))))</f>
        <v/>
      </c>
    </row>
    <row r="2147" customFormat="false" ht="15" hidden="false" customHeight="false" outlineLevel="0" collapsed="false">
      <c r="B2147" s="78"/>
      <c r="C2147" s="64"/>
      <c r="D2147" s="72" t="str">
        <f aca="false">IF(C2147="","",IFERROR(INDEX(T_NOMBRE,MATCH(C2147,T_ID,0)),"⚠ ID no existe"))</f>
        <v/>
      </c>
      <c r="E2147" s="69"/>
      <c r="F2147" s="67"/>
      <c r="G2147" s="67"/>
      <c r="H2147" s="67"/>
      <c r="I2147" s="67"/>
      <c r="J2147" s="67"/>
      <c r="K2147" s="85" t="str">
        <f aca="false">IF(AH2147="","",N(F2147)+N(G2147)+N(H2147)-N(I2147)+N(J2147))</f>
        <v/>
      </c>
      <c r="L2147" s="67"/>
      <c r="M2147" s="67"/>
      <c r="N2147" s="67"/>
      <c r="O2147" s="67"/>
      <c r="P2147" s="85" t="str">
        <f aca="false">IF(AH2147="","",K2147+N(L2147)+N(M2147)+N(N2147)+N(O2147))</f>
        <v/>
      </c>
      <c r="Q2147" s="67"/>
      <c r="R2147" s="67"/>
      <c r="S2147" s="67"/>
      <c r="T2147" s="67"/>
      <c r="U2147" s="67"/>
      <c r="V2147" s="67"/>
      <c r="W2147" s="85" t="str">
        <f aca="false">IF(AH2147="","",N(Q2147)+N(R2147)+N(S2147)+N(T2147)+N(U2147)+N(V2147))</f>
        <v/>
      </c>
      <c r="X2147" s="85" t="str">
        <f aca="false">IF(AH2147="","",P2147-W2147)</f>
        <v/>
      </c>
      <c r="Y2147" s="67"/>
      <c r="Z2147" s="70" t="str">
        <f aca="false">IF(OR(AH2147="",Y2147=""),"",IF(ABS(X2147-Y2147)&lt;=1,"✓ Cuadra","⚠ Diferencia $"&amp;FIXED(X2147-Y2147,0)))</f>
        <v/>
      </c>
      <c r="AA2147" s="72" t="str">
        <f aca="false">IF(AH2147="","",IFERROR(INDEX(C_TIPO,MATCH(C2147&amp;"-P"&amp;MAX(1,COUNTIFS(C_ID,C2147,C_DEFINE,"Sí",C_INICIO,"&lt;="&amp;EOMONTH(B2147,0))),C_CLAVE,0))&amp;"","Sin dato"))</f>
        <v/>
      </c>
      <c r="AB2147" s="71" t="str">
        <f aca="false">IF(AH2147="","",ROUND(MIN(K2147,TOPE_AFP_UF*AJ2147)*AK2147,0))</f>
        <v/>
      </c>
      <c r="AC2147" s="71" t="str">
        <f aca="false">IF(AH2147="","",ROUND(MIN(K2147,TOPE_AFC_UF*AJ2147)*IF(AA2147="Indefinido",AFC_EMP_INDEF,AFC_EMP_PF),0))</f>
        <v/>
      </c>
      <c r="AD2147" s="71" t="str">
        <f aca="false">IF(AH2147="","",ROUND(MIN(K2147,TOPE_AFP_UF*AJ2147)*(MUTUAL_BASICA+MUTUAL_ADIC+SANNA),0))</f>
        <v/>
      </c>
      <c r="AE2147" s="71" t="str">
        <f aca="false">IF(AH2147="","",P2147-N(N2147)+AB2147+AC2147+AD2147)</f>
        <v/>
      </c>
      <c r="AF2147" s="65"/>
      <c r="AG2147" s="64"/>
      <c r="AH2147" s="72" t="str">
        <f aca="false">IF(OR(B2147="",C2147=""),"",C2147&amp;"|"&amp;(YEAR(B2147)*100+MONTH(B2147)))</f>
        <v/>
      </c>
      <c r="AI2147" s="70" t="str">
        <f aca="false">IF(AH2147="","",IF(COUNTIF(L_CLAVE,AH2147)&gt;1,"⚠ Duplicado","OK"))</f>
        <v/>
      </c>
      <c r="AJ2147" s="86" t="str">
        <f aca="false">IF(AH2147="","",IF(SUMPRODUCT(MAX((IND_PER&lt;=B2147)*(IND_UF&lt;&gt;"")*IND_PER))=0,UF_HOY,INDEX(IND_UF,MATCH(SUMPRODUCT(MAX((IND_PER&lt;=B2147)*(IND_UF&lt;&gt;"")*IND_PER)),IND_PER,0))))</f>
        <v/>
      </c>
      <c r="AK2147" s="87" t="str">
        <f aca="false">IF(AH2147="","",IF(COUNTIF(TASA_DESDE,"&lt;="&amp;B2147)=0,INDEX(TASA_EMP,1),INDEX(TASA_EMP,COUNTIF(TASA_DESDE,"&lt;="&amp;B2147))))</f>
        <v/>
      </c>
    </row>
    <row r="2148" customFormat="false" ht="15" hidden="false" customHeight="false" outlineLevel="0" collapsed="false">
      <c r="B2148" s="78"/>
      <c r="C2148" s="64"/>
      <c r="D2148" s="72" t="str">
        <f aca="false">IF(C2148="","",IFERROR(INDEX(T_NOMBRE,MATCH(C2148,T_ID,0)),"⚠ ID no existe"))</f>
        <v/>
      </c>
      <c r="E2148" s="69"/>
      <c r="F2148" s="67"/>
      <c r="G2148" s="67"/>
      <c r="H2148" s="67"/>
      <c r="I2148" s="67"/>
      <c r="J2148" s="67"/>
      <c r="K2148" s="85" t="str">
        <f aca="false">IF(AH2148="","",N(F2148)+N(G2148)+N(H2148)-N(I2148)+N(J2148))</f>
        <v/>
      </c>
      <c r="L2148" s="67"/>
      <c r="M2148" s="67"/>
      <c r="N2148" s="67"/>
      <c r="O2148" s="67"/>
      <c r="P2148" s="85" t="str">
        <f aca="false">IF(AH2148="","",K2148+N(L2148)+N(M2148)+N(N2148)+N(O2148))</f>
        <v/>
      </c>
      <c r="Q2148" s="67"/>
      <c r="R2148" s="67"/>
      <c r="S2148" s="67"/>
      <c r="T2148" s="67"/>
      <c r="U2148" s="67"/>
      <c r="V2148" s="67"/>
      <c r="W2148" s="85" t="str">
        <f aca="false">IF(AH2148="","",N(Q2148)+N(R2148)+N(S2148)+N(T2148)+N(U2148)+N(V2148))</f>
        <v/>
      </c>
      <c r="X2148" s="85" t="str">
        <f aca="false">IF(AH2148="","",P2148-W2148)</f>
        <v/>
      </c>
      <c r="Y2148" s="67"/>
      <c r="Z2148" s="70" t="str">
        <f aca="false">IF(OR(AH2148="",Y2148=""),"",IF(ABS(X2148-Y2148)&lt;=1,"✓ Cuadra","⚠ Diferencia $"&amp;FIXED(X2148-Y2148,0)))</f>
        <v/>
      </c>
      <c r="AA2148" s="72" t="str">
        <f aca="false">IF(AH2148="","",IFERROR(INDEX(C_TIPO,MATCH(C2148&amp;"-P"&amp;MAX(1,COUNTIFS(C_ID,C2148,C_DEFINE,"Sí",C_INICIO,"&lt;="&amp;EOMONTH(B2148,0))),C_CLAVE,0))&amp;"","Sin dato"))</f>
        <v/>
      </c>
      <c r="AB2148" s="71" t="str">
        <f aca="false">IF(AH2148="","",ROUND(MIN(K2148,TOPE_AFP_UF*AJ2148)*AK2148,0))</f>
        <v/>
      </c>
      <c r="AC2148" s="71" t="str">
        <f aca="false">IF(AH2148="","",ROUND(MIN(K2148,TOPE_AFC_UF*AJ2148)*IF(AA2148="Indefinido",AFC_EMP_INDEF,AFC_EMP_PF),0))</f>
        <v/>
      </c>
      <c r="AD2148" s="71" t="str">
        <f aca="false">IF(AH2148="","",ROUND(MIN(K2148,TOPE_AFP_UF*AJ2148)*(MUTUAL_BASICA+MUTUAL_ADIC+SANNA),0))</f>
        <v/>
      </c>
      <c r="AE2148" s="71" t="str">
        <f aca="false">IF(AH2148="","",P2148-N(N2148)+AB2148+AC2148+AD2148)</f>
        <v/>
      </c>
      <c r="AF2148" s="65"/>
      <c r="AG2148" s="64"/>
      <c r="AH2148" s="72" t="str">
        <f aca="false">IF(OR(B2148="",C2148=""),"",C2148&amp;"|"&amp;(YEAR(B2148)*100+MONTH(B2148)))</f>
        <v/>
      </c>
      <c r="AI2148" s="70" t="str">
        <f aca="false">IF(AH2148="","",IF(COUNTIF(L_CLAVE,AH2148)&gt;1,"⚠ Duplicado","OK"))</f>
        <v/>
      </c>
      <c r="AJ2148" s="86" t="str">
        <f aca="false">IF(AH2148="","",IF(SUMPRODUCT(MAX((IND_PER&lt;=B2148)*(IND_UF&lt;&gt;"")*IND_PER))=0,UF_HOY,INDEX(IND_UF,MATCH(SUMPRODUCT(MAX((IND_PER&lt;=B2148)*(IND_UF&lt;&gt;"")*IND_PER)),IND_PER,0))))</f>
        <v/>
      </c>
      <c r="AK2148" s="87" t="str">
        <f aca="false">IF(AH2148="","",IF(COUNTIF(TASA_DESDE,"&lt;="&amp;B2148)=0,INDEX(TASA_EMP,1),INDEX(TASA_EMP,COUNTIF(TASA_DESDE,"&lt;="&amp;B2148))))</f>
        <v/>
      </c>
    </row>
    <row r="2149" customFormat="false" ht="15" hidden="false" customHeight="false" outlineLevel="0" collapsed="false">
      <c r="B2149" s="78"/>
      <c r="C2149" s="64"/>
      <c r="D2149" s="72" t="str">
        <f aca="false">IF(C2149="","",IFERROR(INDEX(T_NOMBRE,MATCH(C2149,T_ID,0)),"⚠ ID no existe"))</f>
        <v/>
      </c>
      <c r="E2149" s="69"/>
      <c r="F2149" s="67"/>
      <c r="G2149" s="67"/>
      <c r="H2149" s="67"/>
      <c r="I2149" s="67"/>
      <c r="J2149" s="67"/>
      <c r="K2149" s="85" t="str">
        <f aca="false">IF(AH2149="","",N(F2149)+N(G2149)+N(H2149)-N(I2149)+N(J2149))</f>
        <v/>
      </c>
      <c r="L2149" s="67"/>
      <c r="M2149" s="67"/>
      <c r="N2149" s="67"/>
      <c r="O2149" s="67"/>
      <c r="P2149" s="85" t="str">
        <f aca="false">IF(AH2149="","",K2149+N(L2149)+N(M2149)+N(N2149)+N(O2149))</f>
        <v/>
      </c>
      <c r="Q2149" s="67"/>
      <c r="R2149" s="67"/>
      <c r="S2149" s="67"/>
      <c r="T2149" s="67"/>
      <c r="U2149" s="67"/>
      <c r="V2149" s="67"/>
      <c r="W2149" s="85" t="str">
        <f aca="false">IF(AH2149="","",N(Q2149)+N(R2149)+N(S2149)+N(T2149)+N(U2149)+N(V2149))</f>
        <v/>
      </c>
      <c r="X2149" s="85" t="str">
        <f aca="false">IF(AH2149="","",P2149-W2149)</f>
        <v/>
      </c>
      <c r="Y2149" s="67"/>
      <c r="Z2149" s="70" t="str">
        <f aca="false">IF(OR(AH2149="",Y2149=""),"",IF(ABS(X2149-Y2149)&lt;=1,"✓ Cuadra","⚠ Diferencia $"&amp;FIXED(X2149-Y2149,0)))</f>
        <v/>
      </c>
      <c r="AA2149" s="72" t="str">
        <f aca="false">IF(AH2149="","",IFERROR(INDEX(C_TIPO,MATCH(C2149&amp;"-P"&amp;MAX(1,COUNTIFS(C_ID,C2149,C_DEFINE,"Sí",C_INICIO,"&lt;="&amp;EOMONTH(B2149,0))),C_CLAVE,0))&amp;"","Sin dato"))</f>
        <v/>
      </c>
      <c r="AB2149" s="71" t="str">
        <f aca="false">IF(AH2149="","",ROUND(MIN(K2149,TOPE_AFP_UF*AJ2149)*AK2149,0))</f>
        <v/>
      </c>
      <c r="AC2149" s="71" t="str">
        <f aca="false">IF(AH2149="","",ROUND(MIN(K2149,TOPE_AFC_UF*AJ2149)*IF(AA2149="Indefinido",AFC_EMP_INDEF,AFC_EMP_PF),0))</f>
        <v/>
      </c>
      <c r="AD2149" s="71" t="str">
        <f aca="false">IF(AH2149="","",ROUND(MIN(K2149,TOPE_AFP_UF*AJ2149)*(MUTUAL_BASICA+MUTUAL_ADIC+SANNA),0))</f>
        <v/>
      </c>
      <c r="AE2149" s="71" t="str">
        <f aca="false">IF(AH2149="","",P2149-N(N2149)+AB2149+AC2149+AD2149)</f>
        <v/>
      </c>
      <c r="AF2149" s="65"/>
      <c r="AG2149" s="64"/>
      <c r="AH2149" s="72" t="str">
        <f aca="false">IF(OR(B2149="",C2149=""),"",C2149&amp;"|"&amp;(YEAR(B2149)*100+MONTH(B2149)))</f>
        <v/>
      </c>
      <c r="AI2149" s="70" t="str">
        <f aca="false">IF(AH2149="","",IF(COUNTIF(L_CLAVE,AH2149)&gt;1,"⚠ Duplicado","OK"))</f>
        <v/>
      </c>
      <c r="AJ2149" s="86" t="str">
        <f aca="false">IF(AH2149="","",IF(SUMPRODUCT(MAX((IND_PER&lt;=B2149)*(IND_UF&lt;&gt;"")*IND_PER))=0,UF_HOY,INDEX(IND_UF,MATCH(SUMPRODUCT(MAX((IND_PER&lt;=B2149)*(IND_UF&lt;&gt;"")*IND_PER)),IND_PER,0))))</f>
        <v/>
      </c>
      <c r="AK2149" s="87" t="str">
        <f aca="false">IF(AH2149="","",IF(COUNTIF(TASA_DESDE,"&lt;="&amp;B2149)=0,INDEX(TASA_EMP,1),INDEX(TASA_EMP,COUNTIF(TASA_DESDE,"&lt;="&amp;B2149))))</f>
        <v/>
      </c>
    </row>
    <row r="2150" customFormat="false" ht="15" hidden="false" customHeight="false" outlineLevel="0" collapsed="false">
      <c r="B2150" s="78"/>
      <c r="C2150" s="64"/>
      <c r="D2150" s="72" t="str">
        <f aca="false">IF(C2150="","",IFERROR(INDEX(T_NOMBRE,MATCH(C2150,T_ID,0)),"⚠ ID no existe"))</f>
        <v/>
      </c>
      <c r="E2150" s="69"/>
      <c r="F2150" s="67"/>
      <c r="G2150" s="67"/>
      <c r="H2150" s="67"/>
      <c r="I2150" s="67"/>
      <c r="J2150" s="67"/>
      <c r="K2150" s="85" t="str">
        <f aca="false">IF(AH2150="","",N(F2150)+N(G2150)+N(H2150)-N(I2150)+N(J2150))</f>
        <v/>
      </c>
      <c r="L2150" s="67"/>
      <c r="M2150" s="67"/>
      <c r="N2150" s="67"/>
      <c r="O2150" s="67"/>
      <c r="P2150" s="85" t="str">
        <f aca="false">IF(AH2150="","",K2150+N(L2150)+N(M2150)+N(N2150)+N(O2150))</f>
        <v/>
      </c>
      <c r="Q2150" s="67"/>
      <c r="R2150" s="67"/>
      <c r="S2150" s="67"/>
      <c r="T2150" s="67"/>
      <c r="U2150" s="67"/>
      <c r="V2150" s="67"/>
      <c r="W2150" s="85" t="str">
        <f aca="false">IF(AH2150="","",N(Q2150)+N(R2150)+N(S2150)+N(T2150)+N(U2150)+N(V2150))</f>
        <v/>
      </c>
      <c r="X2150" s="85" t="str">
        <f aca="false">IF(AH2150="","",P2150-W2150)</f>
        <v/>
      </c>
      <c r="Y2150" s="67"/>
      <c r="Z2150" s="70" t="str">
        <f aca="false">IF(OR(AH2150="",Y2150=""),"",IF(ABS(X2150-Y2150)&lt;=1,"✓ Cuadra","⚠ Diferencia $"&amp;FIXED(X2150-Y2150,0)))</f>
        <v/>
      </c>
      <c r="AA2150" s="72" t="str">
        <f aca="false">IF(AH2150="","",IFERROR(INDEX(C_TIPO,MATCH(C2150&amp;"-P"&amp;MAX(1,COUNTIFS(C_ID,C2150,C_DEFINE,"Sí",C_INICIO,"&lt;="&amp;EOMONTH(B2150,0))),C_CLAVE,0))&amp;"","Sin dato"))</f>
        <v/>
      </c>
      <c r="AB2150" s="71" t="str">
        <f aca="false">IF(AH2150="","",ROUND(MIN(K2150,TOPE_AFP_UF*AJ2150)*AK2150,0))</f>
        <v/>
      </c>
      <c r="AC2150" s="71" t="str">
        <f aca="false">IF(AH2150="","",ROUND(MIN(K2150,TOPE_AFC_UF*AJ2150)*IF(AA2150="Indefinido",AFC_EMP_INDEF,AFC_EMP_PF),0))</f>
        <v/>
      </c>
      <c r="AD2150" s="71" t="str">
        <f aca="false">IF(AH2150="","",ROUND(MIN(K2150,TOPE_AFP_UF*AJ2150)*(MUTUAL_BASICA+MUTUAL_ADIC+SANNA),0))</f>
        <v/>
      </c>
      <c r="AE2150" s="71" t="str">
        <f aca="false">IF(AH2150="","",P2150-N(N2150)+AB2150+AC2150+AD2150)</f>
        <v/>
      </c>
      <c r="AF2150" s="65"/>
      <c r="AG2150" s="64"/>
      <c r="AH2150" s="72" t="str">
        <f aca="false">IF(OR(B2150="",C2150=""),"",C2150&amp;"|"&amp;(YEAR(B2150)*100+MONTH(B2150)))</f>
        <v/>
      </c>
      <c r="AI2150" s="70" t="str">
        <f aca="false">IF(AH2150="","",IF(COUNTIF(L_CLAVE,AH2150)&gt;1,"⚠ Duplicado","OK"))</f>
        <v/>
      </c>
      <c r="AJ2150" s="86" t="str">
        <f aca="false">IF(AH2150="","",IF(SUMPRODUCT(MAX((IND_PER&lt;=B2150)*(IND_UF&lt;&gt;"")*IND_PER))=0,UF_HOY,INDEX(IND_UF,MATCH(SUMPRODUCT(MAX((IND_PER&lt;=B2150)*(IND_UF&lt;&gt;"")*IND_PER)),IND_PER,0))))</f>
        <v/>
      </c>
      <c r="AK2150" s="87" t="str">
        <f aca="false">IF(AH2150="","",IF(COUNTIF(TASA_DESDE,"&lt;="&amp;B2150)=0,INDEX(TASA_EMP,1),INDEX(TASA_EMP,COUNTIF(TASA_DESDE,"&lt;="&amp;B2150))))</f>
        <v/>
      </c>
    </row>
    <row r="2151" customFormat="false" ht="15" hidden="false" customHeight="false" outlineLevel="0" collapsed="false">
      <c r="B2151" s="78"/>
      <c r="C2151" s="64"/>
      <c r="D2151" s="72" t="str">
        <f aca="false">IF(C2151="","",IFERROR(INDEX(T_NOMBRE,MATCH(C2151,T_ID,0)),"⚠ ID no existe"))</f>
        <v/>
      </c>
      <c r="E2151" s="69"/>
      <c r="F2151" s="67"/>
      <c r="G2151" s="67"/>
      <c r="H2151" s="67"/>
      <c r="I2151" s="67"/>
      <c r="J2151" s="67"/>
      <c r="K2151" s="85" t="str">
        <f aca="false">IF(AH2151="","",N(F2151)+N(G2151)+N(H2151)-N(I2151)+N(J2151))</f>
        <v/>
      </c>
      <c r="L2151" s="67"/>
      <c r="M2151" s="67"/>
      <c r="N2151" s="67"/>
      <c r="O2151" s="67"/>
      <c r="P2151" s="85" t="str">
        <f aca="false">IF(AH2151="","",K2151+N(L2151)+N(M2151)+N(N2151)+N(O2151))</f>
        <v/>
      </c>
      <c r="Q2151" s="67"/>
      <c r="R2151" s="67"/>
      <c r="S2151" s="67"/>
      <c r="T2151" s="67"/>
      <c r="U2151" s="67"/>
      <c r="V2151" s="67"/>
      <c r="W2151" s="85" t="str">
        <f aca="false">IF(AH2151="","",N(Q2151)+N(R2151)+N(S2151)+N(T2151)+N(U2151)+N(V2151))</f>
        <v/>
      </c>
      <c r="X2151" s="85" t="str">
        <f aca="false">IF(AH2151="","",P2151-W2151)</f>
        <v/>
      </c>
      <c r="Y2151" s="67"/>
      <c r="Z2151" s="70" t="str">
        <f aca="false">IF(OR(AH2151="",Y2151=""),"",IF(ABS(X2151-Y2151)&lt;=1,"✓ Cuadra","⚠ Diferencia $"&amp;FIXED(X2151-Y2151,0)))</f>
        <v/>
      </c>
      <c r="AA2151" s="72" t="str">
        <f aca="false">IF(AH2151="","",IFERROR(INDEX(C_TIPO,MATCH(C2151&amp;"-P"&amp;MAX(1,COUNTIFS(C_ID,C2151,C_DEFINE,"Sí",C_INICIO,"&lt;="&amp;EOMONTH(B2151,0))),C_CLAVE,0))&amp;"","Sin dato"))</f>
        <v/>
      </c>
      <c r="AB2151" s="71" t="str">
        <f aca="false">IF(AH2151="","",ROUND(MIN(K2151,TOPE_AFP_UF*AJ2151)*AK2151,0))</f>
        <v/>
      </c>
      <c r="AC2151" s="71" t="str">
        <f aca="false">IF(AH2151="","",ROUND(MIN(K2151,TOPE_AFC_UF*AJ2151)*IF(AA2151="Indefinido",AFC_EMP_INDEF,AFC_EMP_PF),0))</f>
        <v/>
      </c>
      <c r="AD2151" s="71" t="str">
        <f aca="false">IF(AH2151="","",ROUND(MIN(K2151,TOPE_AFP_UF*AJ2151)*(MUTUAL_BASICA+MUTUAL_ADIC+SANNA),0))</f>
        <v/>
      </c>
      <c r="AE2151" s="71" t="str">
        <f aca="false">IF(AH2151="","",P2151-N(N2151)+AB2151+AC2151+AD2151)</f>
        <v/>
      </c>
      <c r="AF2151" s="65"/>
      <c r="AG2151" s="64"/>
      <c r="AH2151" s="72" t="str">
        <f aca="false">IF(OR(B2151="",C2151=""),"",C2151&amp;"|"&amp;(YEAR(B2151)*100+MONTH(B2151)))</f>
        <v/>
      </c>
      <c r="AI2151" s="70" t="str">
        <f aca="false">IF(AH2151="","",IF(COUNTIF(L_CLAVE,AH2151)&gt;1,"⚠ Duplicado","OK"))</f>
        <v/>
      </c>
      <c r="AJ2151" s="86" t="str">
        <f aca="false">IF(AH2151="","",IF(SUMPRODUCT(MAX((IND_PER&lt;=B2151)*(IND_UF&lt;&gt;"")*IND_PER))=0,UF_HOY,INDEX(IND_UF,MATCH(SUMPRODUCT(MAX((IND_PER&lt;=B2151)*(IND_UF&lt;&gt;"")*IND_PER)),IND_PER,0))))</f>
        <v/>
      </c>
      <c r="AK2151" s="87" t="str">
        <f aca="false">IF(AH2151="","",IF(COUNTIF(TASA_DESDE,"&lt;="&amp;B2151)=0,INDEX(TASA_EMP,1),INDEX(TASA_EMP,COUNTIF(TASA_DESDE,"&lt;="&amp;B2151))))</f>
        <v/>
      </c>
    </row>
    <row r="2152" customFormat="false" ht="15" hidden="false" customHeight="false" outlineLevel="0" collapsed="false">
      <c r="B2152" s="78"/>
      <c r="C2152" s="64"/>
      <c r="D2152" s="72" t="str">
        <f aca="false">IF(C2152="","",IFERROR(INDEX(T_NOMBRE,MATCH(C2152,T_ID,0)),"⚠ ID no existe"))</f>
        <v/>
      </c>
      <c r="E2152" s="69"/>
      <c r="F2152" s="67"/>
      <c r="G2152" s="67"/>
      <c r="H2152" s="67"/>
      <c r="I2152" s="67"/>
      <c r="J2152" s="67"/>
      <c r="K2152" s="85" t="str">
        <f aca="false">IF(AH2152="","",N(F2152)+N(G2152)+N(H2152)-N(I2152)+N(J2152))</f>
        <v/>
      </c>
      <c r="L2152" s="67"/>
      <c r="M2152" s="67"/>
      <c r="N2152" s="67"/>
      <c r="O2152" s="67"/>
      <c r="P2152" s="85" t="str">
        <f aca="false">IF(AH2152="","",K2152+N(L2152)+N(M2152)+N(N2152)+N(O2152))</f>
        <v/>
      </c>
      <c r="Q2152" s="67"/>
      <c r="R2152" s="67"/>
      <c r="S2152" s="67"/>
      <c r="T2152" s="67"/>
      <c r="U2152" s="67"/>
      <c r="V2152" s="67"/>
      <c r="W2152" s="85" t="str">
        <f aca="false">IF(AH2152="","",N(Q2152)+N(R2152)+N(S2152)+N(T2152)+N(U2152)+N(V2152))</f>
        <v/>
      </c>
      <c r="X2152" s="85" t="str">
        <f aca="false">IF(AH2152="","",P2152-W2152)</f>
        <v/>
      </c>
      <c r="Y2152" s="67"/>
      <c r="Z2152" s="70" t="str">
        <f aca="false">IF(OR(AH2152="",Y2152=""),"",IF(ABS(X2152-Y2152)&lt;=1,"✓ Cuadra","⚠ Diferencia $"&amp;FIXED(X2152-Y2152,0)))</f>
        <v/>
      </c>
      <c r="AA2152" s="72" t="str">
        <f aca="false">IF(AH2152="","",IFERROR(INDEX(C_TIPO,MATCH(C2152&amp;"-P"&amp;MAX(1,COUNTIFS(C_ID,C2152,C_DEFINE,"Sí",C_INICIO,"&lt;="&amp;EOMONTH(B2152,0))),C_CLAVE,0))&amp;"","Sin dato"))</f>
        <v/>
      </c>
      <c r="AB2152" s="71" t="str">
        <f aca="false">IF(AH2152="","",ROUND(MIN(K2152,TOPE_AFP_UF*AJ2152)*AK2152,0))</f>
        <v/>
      </c>
      <c r="AC2152" s="71" t="str">
        <f aca="false">IF(AH2152="","",ROUND(MIN(K2152,TOPE_AFC_UF*AJ2152)*IF(AA2152="Indefinido",AFC_EMP_INDEF,AFC_EMP_PF),0))</f>
        <v/>
      </c>
      <c r="AD2152" s="71" t="str">
        <f aca="false">IF(AH2152="","",ROUND(MIN(K2152,TOPE_AFP_UF*AJ2152)*(MUTUAL_BASICA+MUTUAL_ADIC+SANNA),0))</f>
        <v/>
      </c>
      <c r="AE2152" s="71" t="str">
        <f aca="false">IF(AH2152="","",P2152-N(N2152)+AB2152+AC2152+AD2152)</f>
        <v/>
      </c>
      <c r="AF2152" s="65"/>
      <c r="AG2152" s="64"/>
      <c r="AH2152" s="72" t="str">
        <f aca="false">IF(OR(B2152="",C2152=""),"",C2152&amp;"|"&amp;(YEAR(B2152)*100+MONTH(B2152)))</f>
        <v/>
      </c>
      <c r="AI2152" s="70" t="str">
        <f aca="false">IF(AH2152="","",IF(COUNTIF(L_CLAVE,AH2152)&gt;1,"⚠ Duplicado","OK"))</f>
        <v/>
      </c>
      <c r="AJ2152" s="86" t="str">
        <f aca="false">IF(AH2152="","",IF(SUMPRODUCT(MAX((IND_PER&lt;=B2152)*(IND_UF&lt;&gt;"")*IND_PER))=0,UF_HOY,INDEX(IND_UF,MATCH(SUMPRODUCT(MAX((IND_PER&lt;=B2152)*(IND_UF&lt;&gt;"")*IND_PER)),IND_PER,0))))</f>
        <v/>
      </c>
      <c r="AK2152" s="87" t="str">
        <f aca="false">IF(AH2152="","",IF(COUNTIF(TASA_DESDE,"&lt;="&amp;B2152)=0,INDEX(TASA_EMP,1),INDEX(TASA_EMP,COUNTIF(TASA_DESDE,"&lt;="&amp;B2152))))</f>
        <v/>
      </c>
    </row>
    <row r="2153" customFormat="false" ht="15" hidden="false" customHeight="false" outlineLevel="0" collapsed="false">
      <c r="B2153" s="78"/>
      <c r="C2153" s="64"/>
      <c r="D2153" s="72" t="str">
        <f aca="false">IF(C2153="","",IFERROR(INDEX(T_NOMBRE,MATCH(C2153,T_ID,0)),"⚠ ID no existe"))</f>
        <v/>
      </c>
      <c r="E2153" s="69"/>
      <c r="F2153" s="67"/>
      <c r="G2153" s="67"/>
      <c r="H2153" s="67"/>
      <c r="I2153" s="67"/>
      <c r="J2153" s="67"/>
      <c r="K2153" s="85" t="str">
        <f aca="false">IF(AH2153="","",N(F2153)+N(G2153)+N(H2153)-N(I2153)+N(J2153))</f>
        <v/>
      </c>
      <c r="L2153" s="67"/>
      <c r="M2153" s="67"/>
      <c r="N2153" s="67"/>
      <c r="O2153" s="67"/>
      <c r="P2153" s="85" t="str">
        <f aca="false">IF(AH2153="","",K2153+N(L2153)+N(M2153)+N(N2153)+N(O2153))</f>
        <v/>
      </c>
      <c r="Q2153" s="67"/>
      <c r="R2153" s="67"/>
      <c r="S2153" s="67"/>
      <c r="T2153" s="67"/>
      <c r="U2153" s="67"/>
      <c r="V2153" s="67"/>
      <c r="W2153" s="85" t="str">
        <f aca="false">IF(AH2153="","",N(Q2153)+N(R2153)+N(S2153)+N(T2153)+N(U2153)+N(V2153))</f>
        <v/>
      </c>
      <c r="X2153" s="85" t="str">
        <f aca="false">IF(AH2153="","",P2153-W2153)</f>
        <v/>
      </c>
      <c r="Y2153" s="67"/>
      <c r="Z2153" s="70" t="str">
        <f aca="false">IF(OR(AH2153="",Y2153=""),"",IF(ABS(X2153-Y2153)&lt;=1,"✓ Cuadra","⚠ Diferencia $"&amp;FIXED(X2153-Y2153,0)))</f>
        <v/>
      </c>
      <c r="AA2153" s="72" t="str">
        <f aca="false">IF(AH2153="","",IFERROR(INDEX(C_TIPO,MATCH(C2153&amp;"-P"&amp;MAX(1,COUNTIFS(C_ID,C2153,C_DEFINE,"Sí",C_INICIO,"&lt;="&amp;EOMONTH(B2153,0))),C_CLAVE,0))&amp;"","Sin dato"))</f>
        <v/>
      </c>
      <c r="AB2153" s="71" t="str">
        <f aca="false">IF(AH2153="","",ROUND(MIN(K2153,TOPE_AFP_UF*AJ2153)*AK2153,0))</f>
        <v/>
      </c>
      <c r="AC2153" s="71" t="str">
        <f aca="false">IF(AH2153="","",ROUND(MIN(K2153,TOPE_AFC_UF*AJ2153)*IF(AA2153="Indefinido",AFC_EMP_INDEF,AFC_EMP_PF),0))</f>
        <v/>
      </c>
      <c r="AD2153" s="71" t="str">
        <f aca="false">IF(AH2153="","",ROUND(MIN(K2153,TOPE_AFP_UF*AJ2153)*(MUTUAL_BASICA+MUTUAL_ADIC+SANNA),0))</f>
        <v/>
      </c>
      <c r="AE2153" s="71" t="str">
        <f aca="false">IF(AH2153="","",P2153-N(N2153)+AB2153+AC2153+AD2153)</f>
        <v/>
      </c>
      <c r="AF2153" s="65"/>
      <c r="AG2153" s="64"/>
      <c r="AH2153" s="72" t="str">
        <f aca="false">IF(OR(B2153="",C2153=""),"",C2153&amp;"|"&amp;(YEAR(B2153)*100+MONTH(B2153)))</f>
        <v/>
      </c>
      <c r="AI2153" s="70" t="str">
        <f aca="false">IF(AH2153="","",IF(COUNTIF(L_CLAVE,AH2153)&gt;1,"⚠ Duplicado","OK"))</f>
        <v/>
      </c>
      <c r="AJ2153" s="86" t="str">
        <f aca="false">IF(AH2153="","",IF(SUMPRODUCT(MAX((IND_PER&lt;=B2153)*(IND_UF&lt;&gt;"")*IND_PER))=0,UF_HOY,INDEX(IND_UF,MATCH(SUMPRODUCT(MAX((IND_PER&lt;=B2153)*(IND_UF&lt;&gt;"")*IND_PER)),IND_PER,0))))</f>
        <v/>
      </c>
      <c r="AK2153" s="87" t="str">
        <f aca="false">IF(AH2153="","",IF(COUNTIF(TASA_DESDE,"&lt;="&amp;B2153)=0,INDEX(TASA_EMP,1),INDEX(TASA_EMP,COUNTIF(TASA_DESDE,"&lt;="&amp;B2153))))</f>
        <v/>
      </c>
    </row>
    <row r="2154" customFormat="false" ht="15" hidden="false" customHeight="false" outlineLevel="0" collapsed="false">
      <c r="B2154" s="78"/>
      <c r="C2154" s="64"/>
      <c r="D2154" s="72" t="str">
        <f aca="false">IF(C2154="","",IFERROR(INDEX(T_NOMBRE,MATCH(C2154,T_ID,0)),"⚠ ID no existe"))</f>
        <v/>
      </c>
      <c r="E2154" s="69"/>
      <c r="F2154" s="67"/>
      <c r="G2154" s="67"/>
      <c r="H2154" s="67"/>
      <c r="I2154" s="67"/>
      <c r="J2154" s="67"/>
      <c r="K2154" s="85" t="str">
        <f aca="false">IF(AH2154="","",N(F2154)+N(G2154)+N(H2154)-N(I2154)+N(J2154))</f>
        <v/>
      </c>
      <c r="L2154" s="67"/>
      <c r="M2154" s="67"/>
      <c r="N2154" s="67"/>
      <c r="O2154" s="67"/>
      <c r="P2154" s="85" t="str">
        <f aca="false">IF(AH2154="","",K2154+N(L2154)+N(M2154)+N(N2154)+N(O2154))</f>
        <v/>
      </c>
      <c r="Q2154" s="67"/>
      <c r="R2154" s="67"/>
      <c r="S2154" s="67"/>
      <c r="T2154" s="67"/>
      <c r="U2154" s="67"/>
      <c r="V2154" s="67"/>
      <c r="W2154" s="85" t="str">
        <f aca="false">IF(AH2154="","",N(Q2154)+N(R2154)+N(S2154)+N(T2154)+N(U2154)+N(V2154))</f>
        <v/>
      </c>
      <c r="X2154" s="85" t="str">
        <f aca="false">IF(AH2154="","",P2154-W2154)</f>
        <v/>
      </c>
      <c r="Y2154" s="67"/>
      <c r="Z2154" s="70" t="str">
        <f aca="false">IF(OR(AH2154="",Y2154=""),"",IF(ABS(X2154-Y2154)&lt;=1,"✓ Cuadra","⚠ Diferencia $"&amp;FIXED(X2154-Y2154,0)))</f>
        <v/>
      </c>
      <c r="AA2154" s="72" t="str">
        <f aca="false">IF(AH2154="","",IFERROR(INDEX(C_TIPO,MATCH(C2154&amp;"-P"&amp;MAX(1,COUNTIFS(C_ID,C2154,C_DEFINE,"Sí",C_INICIO,"&lt;="&amp;EOMONTH(B2154,0))),C_CLAVE,0))&amp;"","Sin dato"))</f>
        <v/>
      </c>
      <c r="AB2154" s="71" t="str">
        <f aca="false">IF(AH2154="","",ROUND(MIN(K2154,TOPE_AFP_UF*AJ2154)*AK2154,0))</f>
        <v/>
      </c>
      <c r="AC2154" s="71" t="str">
        <f aca="false">IF(AH2154="","",ROUND(MIN(K2154,TOPE_AFC_UF*AJ2154)*IF(AA2154="Indefinido",AFC_EMP_INDEF,AFC_EMP_PF),0))</f>
        <v/>
      </c>
      <c r="AD2154" s="71" t="str">
        <f aca="false">IF(AH2154="","",ROUND(MIN(K2154,TOPE_AFP_UF*AJ2154)*(MUTUAL_BASICA+MUTUAL_ADIC+SANNA),0))</f>
        <v/>
      </c>
      <c r="AE2154" s="71" t="str">
        <f aca="false">IF(AH2154="","",P2154-N(N2154)+AB2154+AC2154+AD2154)</f>
        <v/>
      </c>
      <c r="AF2154" s="65"/>
      <c r="AG2154" s="64"/>
      <c r="AH2154" s="72" t="str">
        <f aca="false">IF(OR(B2154="",C2154=""),"",C2154&amp;"|"&amp;(YEAR(B2154)*100+MONTH(B2154)))</f>
        <v/>
      </c>
      <c r="AI2154" s="70" t="str">
        <f aca="false">IF(AH2154="","",IF(COUNTIF(L_CLAVE,AH2154)&gt;1,"⚠ Duplicado","OK"))</f>
        <v/>
      </c>
      <c r="AJ2154" s="86" t="str">
        <f aca="false">IF(AH2154="","",IF(SUMPRODUCT(MAX((IND_PER&lt;=B2154)*(IND_UF&lt;&gt;"")*IND_PER))=0,UF_HOY,INDEX(IND_UF,MATCH(SUMPRODUCT(MAX((IND_PER&lt;=B2154)*(IND_UF&lt;&gt;"")*IND_PER)),IND_PER,0))))</f>
        <v/>
      </c>
      <c r="AK2154" s="87" t="str">
        <f aca="false">IF(AH2154="","",IF(COUNTIF(TASA_DESDE,"&lt;="&amp;B2154)=0,INDEX(TASA_EMP,1),INDEX(TASA_EMP,COUNTIF(TASA_DESDE,"&lt;="&amp;B2154))))</f>
        <v/>
      </c>
    </row>
    <row r="2155" customFormat="false" ht="15" hidden="false" customHeight="false" outlineLevel="0" collapsed="false">
      <c r="B2155" s="78"/>
      <c r="C2155" s="64"/>
      <c r="D2155" s="72" t="str">
        <f aca="false">IF(C2155="","",IFERROR(INDEX(T_NOMBRE,MATCH(C2155,T_ID,0)),"⚠ ID no existe"))</f>
        <v/>
      </c>
      <c r="E2155" s="69"/>
      <c r="F2155" s="67"/>
      <c r="G2155" s="67"/>
      <c r="H2155" s="67"/>
      <c r="I2155" s="67"/>
      <c r="J2155" s="67"/>
      <c r="K2155" s="85" t="str">
        <f aca="false">IF(AH2155="","",N(F2155)+N(G2155)+N(H2155)-N(I2155)+N(J2155))</f>
        <v/>
      </c>
      <c r="L2155" s="67"/>
      <c r="M2155" s="67"/>
      <c r="N2155" s="67"/>
      <c r="O2155" s="67"/>
      <c r="P2155" s="85" t="str">
        <f aca="false">IF(AH2155="","",K2155+N(L2155)+N(M2155)+N(N2155)+N(O2155))</f>
        <v/>
      </c>
      <c r="Q2155" s="67"/>
      <c r="R2155" s="67"/>
      <c r="S2155" s="67"/>
      <c r="T2155" s="67"/>
      <c r="U2155" s="67"/>
      <c r="V2155" s="67"/>
      <c r="W2155" s="85" t="str">
        <f aca="false">IF(AH2155="","",N(Q2155)+N(R2155)+N(S2155)+N(T2155)+N(U2155)+N(V2155))</f>
        <v/>
      </c>
      <c r="X2155" s="85" t="str">
        <f aca="false">IF(AH2155="","",P2155-W2155)</f>
        <v/>
      </c>
      <c r="Y2155" s="67"/>
      <c r="Z2155" s="70" t="str">
        <f aca="false">IF(OR(AH2155="",Y2155=""),"",IF(ABS(X2155-Y2155)&lt;=1,"✓ Cuadra","⚠ Diferencia $"&amp;FIXED(X2155-Y2155,0)))</f>
        <v/>
      </c>
      <c r="AA2155" s="72" t="str">
        <f aca="false">IF(AH2155="","",IFERROR(INDEX(C_TIPO,MATCH(C2155&amp;"-P"&amp;MAX(1,COUNTIFS(C_ID,C2155,C_DEFINE,"Sí",C_INICIO,"&lt;="&amp;EOMONTH(B2155,0))),C_CLAVE,0))&amp;"","Sin dato"))</f>
        <v/>
      </c>
      <c r="AB2155" s="71" t="str">
        <f aca="false">IF(AH2155="","",ROUND(MIN(K2155,TOPE_AFP_UF*AJ2155)*AK2155,0))</f>
        <v/>
      </c>
      <c r="AC2155" s="71" t="str">
        <f aca="false">IF(AH2155="","",ROUND(MIN(K2155,TOPE_AFC_UF*AJ2155)*IF(AA2155="Indefinido",AFC_EMP_INDEF,AFC_EMP_PF),0))</f>
        <v/>
      </c>
      <c r="AD2155" s="71" t="str">
        <f aca="false">IF(AH2155="","",ROUND(MIN(K2155,TOPE_AFP_UF*AJ2155)*(MUTUAL_BASICA+MUTUAL_ADIC+SANNA),0))</f>
        <v/>
      </c>
      <c r="AE2155" s="71" t="str">
        <f aca="false">IF(AH2155="","",P2155-N(N2155)+AB2155+AC2155+AD2155)</f>
        <v/>
      </c>
      <c r="AF2155" s="65"/>
      <c r="AG2155" s="64"/>
      <c r="AH2155" s="72" t="str">
        <f aca="false">IF(OR(B2155="",C2155=""),"",C2155&amp;"|"&amp;(YEAR(B2155)*100+MONTH(B2155)))</f>
        <v/>
      </c>
      <c r="AI2155" s="70" t="str">
        <f aca="false">IF(AH2155="","",IF(COUNTIF(L_CLAVE,AH2155)&gt;1,"⚠ Duplicado","OK"))</f>
        <v/>
      </c>
      <c r="AJ2155" s="86" t="str">
        <f aca="false">IF(AH2155="","",IF(SUMPRODUCT(MAX((IND_PER&lt;=B2155)*(IND_UF&lt;&gt;"")*IND_PER))=0,UF_HOY,INDEX(IND_UF,MATCH(SUMPRODUCT(MAX((IND_PER&lt;=B2155)*(IND_UF&lt;&gt;"")*IND_PER)),IND_PER,0))))</f>
        <v/>
      </c>
      <c r="AK2155" s="87" t="str">
        <f aca="false">IF(AH2155="","",IF(COUNTIF(TASA_DESDE,"&lt;="&amp;B2155)=0,INDEX(TASA_EMP,1),INDEX(TASA_EMP,COUNTIF(TASA_DESDE,"&lt;="&amp;B2155))))</f>
        <v/>
      </c>
    </row>
    <row r="2156" customFormat="false" ht="15" hidden="false" customHeight="false" outlineLevel="0" collapsed="false">
      <c r="B2156" s="78"/>
      <c r="C2156" s="64"/>
      <c r="D2156" s="72" t="str">
        <f aca="false">IF(C2156="","",IFERROR(INDEX(T_NOMBRE,MATCH(C2156,T_ID,0)),"⚠ ID no existe"))</f>
        <v/>
      </c>
      <c r="E2156" s="69"/>
      <c r="F2156" s="67"/>
      <c r="G2156" s="67"/>
      <c r="H2156" s="67"/>
      <c r="I2156" s="67"/>
      <c r="J2156" s="67"/>
      <c r="K2156" s="85" t="str">
        <f aca="false">IF(AH2156="","",N(F2156)+N(G2156)+N(H2156)-N(I2156)+N(J2156))</f>
        <v/>
      </c>
      <c r="L2156" s="67"/>
      <c r="M2156" s="67"/>
      <c r="N2156" s="67"/>
      <c r="O2156" s="67"/>
      <c r="P2156" s="85" t="str">
        <f aca="false">IF(AH2156="","",K2156+N(L2156)+N(M2156)+N(N2156)+N(O2156))</f>
        <v/>
      </c>
      <c r="Q2156" s="67"/>
      <c r="R2156" s="67"/>
      <c r="S2156" s="67"/>
      <c r="T2156" s="67"/>
      <c r="U2156" s="67"/>
      <c r="V2156" s="67"/>
      <c r="W2156" s="85" t="str">
        <f aca="false">IF(AH2156="","",N(Q2156)+N(R2156)+N(S2156)+N(T2156)+N(U2156)+N(V2156))</f>
        <v/>
      </c>
      <c r="X2156" s="85" t="str">
        <f aca="false">IF(AH2156="","",P2156-W2156)</f>
        <v/>
      </c>
      <c r="Y2156" s="67"/>
      <c r="Z2156" s="70" t="str">
        <f aca="false">IF(OR(AH2156="",Y2156=""),"",IF(ABS(X2156-Y2156)&lt;=1,"✓ Cuadra","⚠ Diferencia $"&amp;FIXED(X2156-Y2156,0)))</f>
        <v/>
      </c>
      <c r="AA2156" s="72" t="str">
        <f aca="false">IF(AH2156="","",IFERROR(INDEX(C_TIPO,MATCH(C2156&amp;"-P"&amp;MAX(1,COUNTIFS(C_ID,C2156,C_DEFINE,"Sí",C_INICIO,"&lt;="&amp;EOMONTH(B2156,0))),C_CLAVE,0))&amp;"","Sin dato"))</f>
        <v/>
      </c>
      <c r="AB2156" s="71" t="str">
        <f aca="false">IF(AH2156="","",ROUND(MIN(K2156,TOPE_AFP_UF*AJ2156)*AK2156,0))</f>
        <v/>
      </c>
      <c r="AC2156" s="71" t="str">
        <f aca="false">IF(AH2156="","",ROUND(MIN(K2156,TOPE_AFC_UF*AJ2156)*IF(AA2156="Indefinido",AFC_EMP_INDEF,AFC_EMP_PF),0))</f>
        <v/>
      </c>
      <c r="AD2156" s="71" t="str">
        <f aca="false">IF(AH2156="","",ROUND(MIN(K2156,TOPE_AFP_UF*AJ2156)*(MUTUAL_BASICA+MUTUAL_ADIC+SANNA),0))</f>
        <v/>
      </c>
      <c r="AE2156" s="71" t="str">
        <f aca="false">IF(AH2156="","",P2156-N(N2156)+AB2156+AC2156+AD2156)</f>
        <v/>
      </c>
      <c r="AF2156" s="65"/>
      <c r="AG2156" s="64"/>
      <c r="AH2156" s="72" t="str">
        <f aca="false">IF(OR(B2156="",C2156=""),"",C2156&amp;"|"&amp;(YEAR(B2156)*100+MONTH(B2156)))</f>
        <v/>
      </c>
      <c r="AI2156" s="70" t="str">
        <f aca="false">IF(AH2156="","",IF(COUNTIF(L_CLAVE,AH2156)&gt;1,"⚠ Duplicado","OK"))</f>
        <v/>
      </c>
      <c r="AJ2156" s="86" t="str">
        <f aca="false">IF(AH2156="","",IF(SUMPRODUCT(MAX((IND_PER&lt;=B2156)*(IND_UF&lt;&gt;"")*IND_PER))=0,UF_HOY,INDEX(IND_UF,MATCH(SUMPRODUCT(MAX((IND_PER&lt;=B2156)*(IND_UF&lt;&gt;"")*IND_PER)),IND_PER,0))))</f>
        <v/>
      </c>
      <c r="AK2156" s="87" t="str">
        <f aca="false">IF(AH2156="","",IF(COUNTIF(TASA_DESDE,"&lt;="&amp;B2156)=0,INDEX(TASA_EMP,1),INDEX(TASA_EMP,COUNTIF(TASA_DESDE,"&lt;="&amp;B2156))))</f>
        <v/>
      </c>
    </row>
    <row r="2157" customFormat="false" ht="15" hidden="false" customHeight="false" outlineLevel="0" collapsed="false">
      <c r="B2157" s="78"/>
      <c r="C2157" s="64"/>
      <c r="D2157" s="72" t="str">
        <f aca="false">IF(C2157="","",IFERROR(INDEX(T_NOMBRE,MATCH(C2157,T_ID,0)),"⚠ ID no existe"))</f>
        <v/>
      </c>
      <c r="E2157" s="69"/>
      <c r="F2157" s="67"/>
      <c r="G2157" s="67"/>
      <c r="H2157" s="67"/>
      <c r="I2157" s="67"/>
      <c r="J2157" s="67"/>
      <c r="K2157" s="85" t="str">
        <f aca="false">IF(AH2157="","",N(F2157)+N(G2157)+N(H2157)-N(I2157)+N(J2157))</f>
        <v/>
      </c>
      <c r="L2157" s="67"/>
      <c r="M2157" s="67"/>
      <c r="N2157" s="67"/>
      <c r="O2157" s="67"/>
      <c r="P2157" s="85" t="str">
        <f aca="false">IF(AH2157="","",K2157+N(L2157)+N(M2157)+N(N2157)+N(O2157))</f>
        <v/>
      </c>
      <c r="Q2157" s="67"/>
      <c r="R2157" s="67"/>
      <c r="S2157" s="67"/>
      <c r="T2157" s="67"/>
      <c r="U2157" s="67"/>
      <c r="V2157" s="67"/>
      <c r="W2157" s="85" t="str">
        <f aca="false">IF(AH2157="","",N(Q2157)+N(R2157)+N(S2157)+N(T2157)+N(U2157)+N(V2157))</f>
        <v/>
      </c>
      <c r="X2157" s="85" t="str">
        <f aca="false">IF(AH2157="","",P2157-W2157)</f>
        <v/>
      </c>
      <c r="Y2157" s="67"/>
      <c r="Z2157" s="70" t="str">
        <f aca="false">IF(OR(AH2157="",Y2157=""),"",IF(ABS(X2157-Y2157)&lt;=1,"✓ Cuadra","⚠ Diferencia $"&amp;FIXED(X2157-Y2157,0)))</f>
        <v/>
      </c>
      <c r="AA2157" s="72" t="str">
        <f aca="false">IF(AH2157="","",IFERROR(INDEX(C_TIPO,MATCH(C2157&amp;"-P"&amp;MAX(1,COUNTIFS(C_ID,C2157,C_DEFINE,"Sí",C_INICIO,"&lt;="&amp;EOMONTH(B2157,0))),C_CLAVE,0))&amp;"","Sin dato"))</f>
        <v/>
      </c>
      <c r="AB2157" s="71" t="str">
        <f aca="false">IF(AH2157="","",ROUND(MIN(K2157,TOPE_AFP_UF*AJ2157)*AK2157,0))</f>
        <v/>
      </c>
      <c r="AC2157" s="71" t="str">
        <f aca="false">IF(AH2157="","",ROUND(MIN(K2157,TOPE_AFC_UF*AJ2157)*IF(AA2157="Indefinido",AFC_EMP_INDEF,AFC_EMP_PF),0))</f>
        <v/>
      </c>
      <c r="AD2157" s="71" t="str">
        <f aca="false">IF(AH2157="","",ROUND(MIN(K2157,TOPE_AFP_UF*AJ2157)*(MUTUAL_BASICA+MUTUAL_ADIC+SANNA),0))</f>
        <v/>
      </c>
      <c r="AE2157" s="71" t="str">
        <f aca="false">IF(AH2157="","",P2157-N(N2157)+AB2157+AC2157+AD2157)</f>
        <v/>
      </c>
      <c r="AF2157" s="65"/>
      <c r="AG2157" s="64"/>
      <c r="AH2157" s="72" t="str">
        <f aca="false">IF(OR(B2157="",C2157=""),"",C2157&amp;"|"&amp;(YEAR(B2157)*100+MONTH(B2157)))</f>
        <v/>
      </c>
      <c r="AI2157" s="70" t="str">
        <f aca="false">IF(AH2157="","",IF(COUNTIF(L_CLAVE,AH2157)&gt;1,"⚠ Duplicado","OK"))</f>
        <v/>
      </c>
      <c r="AJ2157" s="86" t="str">
        <f aca="false">IF(AH2157="","",IF(SUMPRODUCT(MAX((IND_PER&lt;=B2157)*(IND_UF&lt;&gt;"")*IND_PER))=0,UF_HOY,INDEX(IND_UF,MATCH(SUMPRODUCT(MAX((IND_PER&lt;=B2157)*(IND_UF&lt;&gt;"")*IND_PER)),IND_PER,0))))</f>
        <v/>
      </c>
      <c r="AK2157" s="87" t="str">
        <f aca="false">IF(AH2157="","",IF(COUNTIF(TASA_DESDE,"&lt;="&amp;B2157)=0,INDEX(TASA_EMP,1),INDEX(TASA_EMP,COUNTIF(TASA_DESDE,"&lt;="&amp;B2157))))</f>
        <v/>
      </c>
    </row>
    <row r="2158" customFormat="false" ht="15" hidden="false" customHeight="false" outlineLevel="0" collapsed="false">
      <c r="B2158" s="78"/>
      <c r="C2158" s="64"/>
      <c r="D2158" s="72" t="str">
        <f aca="false">IF(C2158="","",IFERROR(INDEX(T_NOMBRE,MATCH(C2158,T_ID,0)),"⚠ ID no existe"))</f>
        <v/>
      </c>
      <c r="E2158" s="69"/>
      <c r="F2158" s="67"/>
      <c r="G2158" s="67"/>
      <c r="H2158" s="67"/>
      <c r="I2158" s="67"/>
      <c r="J2158" s="67"/>
      <c r="K2158" s="85" t="str">
        <f aca="false">IF(AH2158="","",N(F2158)+N(G2158)+N(H2158)-N(I2158)+N(J2158))</f>
        <v/>
      </c>
      <c r="L2158" s="67"/>
      <c r="M2158" s="67"/>
      <c r="N2158" s="67"/>
      <c r="O2158" s="67"/>
      <c r="P2158" s="85" t="str">
        <f aca="false">IF(AH2158="","",K2158+N(L2158)+N(M2158)+N(N2158)+N(O2158))</f>
        <v/>
      </c>
      <c r="Q2158" s="67"/>
      <c r="R2158" s="67"/>
      <c r="S2158" s="67"/>
      <c r="T2158" s="67"/>
      <c r="U2158" s="67"/>
      <c r="V2158" s="67"/>
      <c r="W2158" s="85" t="str">
        <f aca="false">IF(AH2158="","",N(Q2158)+N(R2158)+N(S2158)+N(T2158)+N(U2158)+N(V2158))</f>
        <v/>
      </c>
      <c r="X2158" s="85" t="str">
        <f aca="false">IF(AH2158="","",P2158-W2158)</f>
        <v/>
      </c>
      <c r="Y2158" s="67"/>
      <c r="Z2158" s="70" t="str">
        <f aca="false">IF(OR(AH2158="",Y2158=""),"",IF(ABS(X2158-Y2158)&lt;=1,"✓ Cuadra","⚠ Diferencia $"&amp;FIXED(X2158-Y2158,0)))</f>
        <v/>
      </c>
      <c r="AA2158" s="72" t="str">
        <f aca="false">IF(AH2158="","",IFERROR(INDEX(C_TIPO,MATCH(C2158&amp;"-P"&amp;MAX(1,COUNTIFS(C_ID,C2158,C_DEFINE,"Sí",C_INICIO,"&lt;="&amp;EOMONTH(B2158,0))),C_CLAVE,0))&amp;"","Sin dato"))</f>
        <v/>
      </c>
      <c r="AB2158" s="71" t="str">
        <f aca="false">IF(AH2158="","",ROUND(MIN(K2158,TOPE_AFP_UF*AJ2158)*AK2158,0))</f>
        <v/>
      </c>
      <c r="AC2158" s="71" t="str">
        <f aca="false">IF(AH2158="","",ROUND(MIN(K2158,TOPE_AFC_UF*AJ2158)*IF(AA2158="Indefinido",AFC_EMP_INDEF,AFC_EMP_PF),0))</f>
        <v/>
      </c>
      <c r="AD2158" s="71" t="str">
        <f aca="false">IF(AH2158="","",ROUND(MIN(K2158,TOPE_AFP_UF*AJ2158)*(MUTUAL_BASICA+MUTUAL_ADIC+SANNA),0))</f>
        <v/>
      </c>
      <c r="AE2158" s="71" t="str">
        <f aca="false">IF(AH2158="","",P2158-N(N2158)+AB2158+AC2158+AD2158)</f>
        <v/>
      </c>
      <c r="AF2158" s="65"/>
      <c r="AG2158" s="64"/>
      <c r="AH2158" s="72" t="str">
        <f aca="false">IF(OR(B2158="",C2158=""),"",C2158&amp;"|"&amp;(YEAR(B2158)*100+MONTH(B2158)))</f>
        <v/>
      </c>
      <c r="AI2158" s="70" t="str">
        <f aca="false">IF(AH2158="","",IF(COUNTIF(L_CLAVE,AH2158)&gt;1,"⚠ Duplicado","OK"))</f>
        <v/>
      </c>
      <c r="AJ2158" s="86" t="str">
        <f aca="false">IF(AH2158="","",IF(SUMPRODUCT(MAX((IND_PER&lt;=B2158)*(IND_UF&lt;&gt;"")*IND_PER))=0,UF_HOY,INDEX(IND_UF,MATCH(SUMPRODUCT(MAX((IND_PER&lt;=B2158)*(IND_UF&lt;&gt;"")*IND_PER)),IND_PER,0))))</f>
        <v/>
      </c>
      <c r="AK2158" s="87" t="str">
        <f aca="false">IF(AH2158="","",IF(COUNTIF(TASA_DESDE,"&lt;="&amp;B2158)=0,INDEX(TASA_EMP,1),INDEX(TASA_EMP,COUNTIF(TASA_DESDE,"&lt;="&amp;B2158))))</f>
        <v/>
      </c>
    </row>
    <row r="2159" customFormat="false" ht="15" hidden="false" customHeight="false" outlineLevel="0" collapsed="false">
      <c r="B2159" s="78"/>
      <c r="C2159" s="64"/>
      <c r="D2159" s="72" t="str">
        <f aca="false">IF(C2159="","",IFERROR(INDEX(T_NOMBRE,MATCH(C2159,T_ID,0)),"⚠ ID no existe"))</f>
        <v/>
      </c>
      <c r="E2159" s="69"/>
      <c r="F2159" s="67"/>
      <c r="G2159" s="67"/>
      <c r="H2159" s="67"/>
      <c r="I2159" s="67"/>
      <c r="J2159" s="67"/>
      <c r="K2159" s="85" t="str">
        <f aca="false">IF(AH2159="","",N(F2159)+N(G2159)+N(H2159)-N(I2159)+N(J2159))</f>
        <v/>
      </c>
      <c r="L2159" s="67"/>
      <c r="M2159" s="67"/>
      <c r="N2159" s="67"/>
      <c r="O2159" s="67"/>
      <c r="P2159" s="85" t="str">
        <f aca="false">IF(AH2159="","",K2159+N(L2159)+N(M2159)+N(N2159)+N(O2159))</f>
        <v/>
      </c>
      <c r="Q2159" s="67"/>
      <c r="R2159" s="67"/>
      <c r="S2159" s="67"/>
      <c r="T2159" s="67"/>
      <c r="U2159" s="67"/>
      <c r="V2159" s="67"/>
      <c r="W2159" s="85" t="str">
        <f aca="false">IF(AH2159="","",N(Q2159)+N(R2159)+N(S2159)+N(T2159)+N(U2159)+N(V2159))</f>
        <v/>
      </c>
      <c r="X2159" s="85" t="str">
        <f aca="false">IF(AH2159="","",P2159-W2159)</f>
        <v/>
      </c>
      <c r="Y2159" s="67"/>
      <c r="Z2159" s="70" t="str">
        <f aca="false">IF(OR(AH2159="",Y2159=""),"",IF(ABS(X2159-Y2159)&lt;=1,"✓ Cuadra","⚠ Diferencia $"&amp;FIXED(X2159-Y2159,0)))</f>
        <v/>
      </c>
      <c r="AA2159" s="72" t="str">
        <f aca="false">IF(AH2159="","",IFERROR(INDEX(C_TIPO,MATCH(C2159&amp;"-P"&amp;MAX(1,COUNTIFS(C_ID,C2159,C_DEFINE,"Sí",C_INICIO,"&lt;="&amp;EOMONTH(B2159,0))),C_CLAVE,0))&amp;"","Sin dato"))</f>
        <v/>
      </c>
      <c r="AB2159" s="71" t="str">
        <f aca="false">IF(AH2159="","",ROUND(MIN(K2159,TOPE_AFP_UF*AJ2159)*AK2159,0))</f>
        <v/>
      </c>
      <c r="AC2159" s="71" t="str">
        <f aca="false">IF(AH2159="","",ROUND(MIN(K2159,TOPE_AFC_UF*AJ2159)*IF(AA2159="Indefinido",AFC_EMP_INDEF,AFC_EMP_PF),0))</f>
        <v/>
      </c>
      <c r="AD2159" s="71" t="str">
        <f aca="false">IF(AH2159="","",ROUND(MIN(K2159,TOPE_AFP_UF*AJ2159)*(MUTUAL_BASICA+MUTUAL_ADIC+SANNA),0))</f>
        <v/>
      </c>
      <c r="AE2159" s="71" t="str">
        <f aca="false">IF(AH2159="","",P2159-N(N2159)+AB2159+AC2159+AD2159)</f>
        <v/>
      </c>
      <c r="AF2159" s="65"/>
      <c r="AG2159" s="64"/>
      <c r="AH2159" s="72" t="str">
        <f aca="false">IF(OR(B2159="",C2159=""),"",C2159&amp;"|"&amp;(YEAR(B2159)*100+MONTH(B2159)))</f>
        <v/>
      </c>
      <c r="AI2159" s="70" t="str">
        <f aca="false">IF(AH2159="","",IF(COUNTIF(L_CLAVE,AH2159)&gt;1,"⚠ Duplicado","OK"))</f>
        <v/>
      </c>
      <c r="AJ2159" s="86" t="str">
        <f aca="false">IF(AH2159="","",IF(SUMPRODUCT(MAX((IND_PER&lt;=B2159)*(IND_UF&lt;&gt;"")*IND_PER))=0,UF_HOY,INDEX(IND_UF,MATCH(SUMPRODUCT(MAX((IND_PER&lt;=B2159)*(IND_UF&lt;&gt;"")*IND_PER)),IND_PER,0))))</f>
        <v/>
      </c>
      <c r="AK2159" s="87" t="str">
        <f aca="false">IF(AH2159="","",IF(COUNTIF(TASA_DESDE,"&lt;="&amp;B2159)=0,INDEX(TASA_EMP,1),INDEX(TASA_EMP,COUNTIF(TASA_DESDE,"&lt;="&amp;B2159))))</f>
        <v/>
      </c>
    </row>
    <row r="2160" customFormat="false" ht="15" hidden="false" customHeight="false" outlineLevel="0" collapsed="false">
      <c r="B2160" s="78"/>
      <c r="C2160" s="64"/>
      <c r="D2160" s="72" t="str">
        <f aca="false">IF(C2160="","",IFERROR(INDEX(T_NOMBRE,MATCH(C2160,T_ID,0)),"⚠ ID no existe"))</f>
        <v/>
      </c>
      <c r="E2160" s="69"/>
      <c r="F2160" s="67"/>
      <c r="G2160" s="67"/>
      <c r="H2160" s="67"/>
      <c r="I2160" s="67"/>
      <c r="J2160" s="67"/>
      <c r="K2160" s="85" t="str">
        <f aca="false">IF(AH2160="","",N(F2160)+N(G2160)+N(H2160)-N(I2160)+N(J2160))</f>
        <v/>
      </c>
      <c r="L2160" s="67"/>
      <c r="M2160" s="67"/>
      <c r="N2160" s="67"/>
      <c r="O2160" s="67"/>
      <c r="P2160" s="85" t="str">
        <f aca="false">IF(AH2160="","",K2160+N(L2160)+N(M2160)+N(N2160)+N(O2160))</f>
        <v/>
      </c>
      <c r="Q2160" s="67"/>
      <c r="R2160" s="67"/>
      <c r="S2160" s="67"/>
      <c r="T2160" s="67"/>
      <c r="U2160" s="67"/>
      <c r="V2160" s="67"/>
      <c r="W2160" s="85" t="str">
        <f aca="false">IF(AH2160="","",N(Q2160)+N(R2160)+N(S2160)+N(T2160)+N(U2160)+N(V2160))</f>
        <v/>
      </c>
      <c r="X2160" s="85" t="str">
        <f aca="false">IF(AH2160="","",P2160-W2160)</f>
        <v/>
      </c>
      <c r="Y2160" s="67"/>
      <c r="Z2160" s="70" t="str">
        <f aca="false">IF(OR(AH2160="",Y2160=""),"",IF(ABS(X2160-Y2160)&lt;=1,"✓ Cuadra","⚠ Diferencia $"&amp;FIXED(X2160-Y2160,0)))</f>
        <v/>
      </c>
      <c r="AA2160" s="72" t="str">
        <f aca="false">IF(AH2160="","",IFERROR(INDEX(C_TIPO,MATCH(C2160&amp;"-P"&amp;MAX(1,COUNTIFS(C_ID,C2160,C_DEFINE,"Sí",C_INICIO,"&lt;="&amp;EOMONTH(B2160,0))),C_CLAVE,0))&amp;"","Sin dato"))</f>
        <v/>
      </c>
      <c r="AB2160" s="71" t="str">
        <f aca="false">IF(AH2160="","",ROUND(MIN(K2160,TOPE_AFP_UF*AJ2160)*AK2160,0))</f>
        <v/>
      </c>
      <c r="AC2160" s="71" t="str">
        <f aca="false">IF(AH2160="","",ROUND(MIN(K2160,TOPE_AFC_UF*AJ2160)*IF(AA2160="Indefinido",AFC_EMP_INDEF,AFC_EMP_PF),0))</f>
        <v/>
      </c>
      <c r="AD2160" s="71" t="str">
        <f aca="false">IF(AH2160="","",ROUND(MIN(K2160,TOPE_AFP_UF*AJ2160)*(MUTUAL_BASICA+MUTUAL_ADIC+SANNA),0))</f>
        <v/>
      </c>
      <c r="AE2160" s="71" t="str">
        <f aca="false">IF(AH2160="","",P2160-N(N2160)+AB2160+AC2160+AD2160)</f>
        <v/>
      </c>
      <c r="AF2160" s="65"/>
      <c r="AG2160" s="64"/>
      <c r="AH2160" s="72" t="str">
        <f aca="false">IF(OR(B2160="",C2160=""),"",C2160&amp;"|"&amp;(YEAR(B2160)*100+MONTH(B2160)))</f>
        <v/>
      </c>
      <c r="AI2160" s="70" t="str">
        <f aca="false">IF(AH2160="","",IF(COUNTIF(L_CLAVE,AH2160)&gt;1,"⚠ Duplicado","OK"))</f>
        <v/>
      </c>
      <c r="AJ2160" s="86" t="str">
        <f aca="false">IF(AH2160="","",IF(SUMPRODUCT(MAX((IND_PER&lt;=B2160)*(IND_UF&lt;&gt;"")*IND_PER))=0,UF_HOY,INDEX(IND_UF,MATCH(SUMPRODUCT(MAX((IND_PER&lt;=B2160)*(IND_UF&lt;&gt;"")*IND_PER)),IND_PER,0))))</f>
        <v/>
      </c>
      <c r="AK2160" s="87" t="str">
        <f aca="false">IF(AH2160="","",IF(COUNTIF(TASA_DESDE,"&lt;="&amp;B2160)=0,INDEX(TASA_EMP,1),INDEX(TASA_EMP,COUNTIF(TASA_DESDE,"&lt;="&amp;B2160))))</f>
        <v/>
      </c>
    </row>
    <row r="2161" customFormat="false" ht="15" hidden="false" customHeight="false" outlineLevel="0" collapsed="false">
      <c r="B2161" s="78"/>
      <c r="C2161" s="64"/>
      <c r="D2161" s="72" t="str">
        <f aca="false">IF(C2161="","",IFERROR(INDEX(T_NOMBRE,MATCH(C2161,T_ID,0)),"⚠ ID no existe"))</f>
        <v/>
      </c>
      <c r="E2161" s="69"/>
      <c r="F2161" s="67"/>
      <c r="G2161" s="67"/>
      <c r="H2161" s="67"/>
      <c r="I2161" s="67"/>
      <c r="J2161" s="67"/>
      <c r="K2161" s="85" t="str">
        <f aca="false">IF(AH2161="","",N(F2161)+N(G2161)+N(H2161)-N(I2161)+N(J2161))</f>
        <v/>
      </c>
      <c r="L2161" s="67"/>
      <c r="M2161" s="67"/>
      <c r="N2161" s="67"/>
      <c r="O2161" s="67"/>
      <c r="P2161" s="85" t="str">
        <f aca="false">IF(AH2161="","",K2161+N(L2161)+N(M2161)+N(N2161)+N(O2161))</f>
        <v/>
      </c>
      <c r="Q2161" s="67"/>
      <c r="R2161" s="67"/>
      <c r="S2161" s="67"/>
      <c r="T2161" s="67"/>
      <c r="U2161" s="67"/>
      <c r="V2161" s="67"/>
      <c r="W2161" s="85" t="str">
        <f aca="false">IF(AH2161="","",N(Q2161)+N(R2161)+N(S2161)+N(T2161)+N(U2161)+N(V2161))</f>
        <v/>
      </c>
      <c r="X2161" s="85" t="str">
        <f aca="false">IF(AH2161="","",P2161-W2161)</f>
        <v/>
      </c>
      <c r="Y2161" s="67"/>
      <c r="Z2161" s="70" t="str">
        <f aca="false">IF(OR(AH2161="",Y2161=""),"",IF(ABS(X2161-Y2161)&lt;=1,"✓ Cuadra","⚠ Diferencia $"&amp;FIXED(X2161-Y2161,0)))</f>
        <v/>
      </c>
      <c r="AA2161" s="72" t="str">
        <f aca="false">IF(AH2161="","",IFERROR(INDEX(C_TIPO,MATCH(C2161&amp;"-P"&amp;MAX(1,COUNTIFS(C_ID,C2161,C_DEFINE,"Sí",C_INICIO,"&lt;="&amp;EOMONTH(B2161,0))),C_CLAVE,0))&amp;"","Sin dato"))</f>
        <v/>
      </c>
      <c r="AB2161" s="71" t="str">
        <f aca="false">IF(AH2161="","",ROUND(MIN(K2161,TOPE_AFP_UF*AJ2161)*AK2161,0))</f>
        <v/>
      </c>
      <c r="AC2161" s="71" t="str">
        <f aca="false">IF(AH2161="","",ROUND(MIN(K2161,TOPE_AFC_UF*AJ2161)*IF(AA2161="Indefinido",AFC_EMP_INDEF,AFC_EMP_PF),0))</f>
        <v/>
      </c>
      <c r="AD2161" s="71" t="str">
        <f aca="false">IF(AH2161="","",ROUND(MIN(K2161,TOPE_AFP_UF*AJ2161)*(MUTUAL_BASICA+MUTUAL_ADIC+SANNA),0))</f>
        <v/>
      </c>
      <c r="AE2161" s="71" t="str">
        <f aca="false">IF(AH2161="","",P2161-N(N2161)+AB2161+AC2161+AD2161)</f>
        <v/>
      </c>
      <c r="AF2161" s="65"/>
      <c r="AG2161" s="64"/>
      <c r="AH2161" s="72" t="str">
        <f aca="false">IF(OR(B2161="",C2161=""),"",C2161&amp;"|"&amp;(YEAR(B2161)*100+MONTH(B2161)))</f>
        <v/>
      </c>
      <c r="AI2161" s="70" t="str">
        <f aca="false">IF(AH2161="","",IF(COUNTIF(L_CLAVE,AH2161)&gt;1,"⚠ Duplicado","OK"))</f>
        <v/>
      </c>
      <c r="AJ2161" s="86" t="str">
        <f aca="false">IF(AH2161="","",IF(SUMPRODUCT(MAX((IND_PER&lt;=B2161)*(IND_UF&lt;&gt;"")*IND_PER))=0,UF_HOY,INDEX(IND_UF,MATCH(SUMPRODUCT(MAX((IND_PER&lt;=B2161)*(IND_UF&lt;&gt;"")*IND_PER)),IND_PER,0))))</f>
        <v/>
      </c>
      <c r="AK2161" s="87" t="str">
        <f aca="false">IF(AH2161="","",IF(COUNTIF(TASA_DESDE,"&lt;="&amp;B2161)=0,INDEX(TASA_EMP,1),INDEX(TASA_EMP,COUNTIF(TASA_DESDE,"&lt;="&amp;B2161))))</f>
        <v/>
      </c>
    </row>
    <row r="2162" customFormat="false" ht="15" hidden="false" customHeight="false" outlineLevel="0" collapsed="false">
      <c r="B2162" s="78"/>
      <c r="C2162" s="64"/>
      <c r="D2162" s="72" t="str">
        <f aca="false">IF(C2162="","",IFERROR(INDEX(T_NOMBRE,MATCH(C2162,T_ID,0)),"⚠ ID no existe"))</f>
        <v/>
      </c>
      <c r="E2162" s="69"/>
      <c r="F2162" s="67"/>
      <c r="G2162" s="67"/>
      <c r="H2162" s="67"/>
      <c r="I2162" s="67"/>
      <c r="J2162" s="67"/>
      <c r="K2162" s="85" t="str">
        <f aca="false">IF(AH2162="","",N(F2162)+N(G2162)+N(H2162)-N(I2162)+N(J2162))</f>
        <v/>
      </c>
      <c r="L2162" s="67"/>
      <c r="M2162" s="67"/>
      <c r="N2162" s="67"/>
      <c r="O2162" s="67"/>
      <c r="P2162" s="85" t="str">
        <f aca="false">IF(AH2162="","",K2162+N(L2162)+N(M2162)+N(N2162)+N(O2162))</f>
        <v/>
      </c>
      <c r="Q2162" s="67"/>
      <c r="R2162" s="67"/>
      <c r="S2162" s="67"/>
      <c r="T2162" s="67"/>
      <c r="U2162" s="67"/>
      <c r="V2162" s="67"/>
      <c r="W2162" s="85" t="str">
        <f aca="false">IF(AH2162="","",N(Q2162)+N(R2162)+N(S2162)+N(T2162)+N(U2162)+N(V2162))</f>
        <v/>
      </c>
      <c r="X2162" s="85" t="str">
        <f aca="false">IF(AH2162="","",P2162-W2162)</f>
        <v/>
      </c>
      <c r="Y2162" s="67"/>
      <c r="Z2162" s="70" t="str">
        <f aca="false">IF(OR(AH2162="",Y2162=""),"",IF(ABS(X2162-Y2162)&lt;=1,"✓ Cuadra","⚠ Diferencia $"&amp;FIXED(X2162-Y2162,0)))</f>
        <v/>
      </c>
      <c r="AA2162" s="72" t="str">
        <f aca="false">IF(AH2162="","",IFERROR(INDEX(C_TIPO,MATCH(C2162&amp;"-P"&amp;MAX(1,COUNTIFS(C_ID,C2162,C_DEFINE,"Sí",C_INICIO,"&lt;="&amp;EOMONTH(B2162,0))),C_CLAVE,0))&amp;"","Sin dato"))</f>
        <v/>
      </c>
      <c r="AB2162" s="71" t="str">
        <f aca="false">IF(AH2162="","",ROUND(MIN(K2162,TOPE_AFP_UF*AJ2162)*AK2162,0))</f>
        <v/>
      </c>
      <c r="AC2162" s="71" t="str">
        <f aca="false">IF(AH2162="","",ROUND(MIN(K2162,TOPE_AFC_UF*AJ2162)*IF(AA2162="Indefinido",AFC_EMP_INDEF,AFC_EMP_PF),0))</f>
        <v/>
      </c>
      <c r="AD2162" s="71" t="str">
        <f aca="false">IF(AH2162="","",ROUND(MIN(K2162,TOPE_AFP_UF*AJ2162)*(MUTUAL_BASICA+MUTUAL_ADIC+SANNA),0))</f>
        <v/>
      </c>
      <c r="AE2162" s="71" t="str">
        <f aca="false">IF(AH2162="","",P2162-N(N2162)+AB2162+AC2162+AD2162)</f>
        <v/>
      </c>
      <c r="AF2162" s="65"/>
      <c r="AG2162" s="64"/>
      <c r="AH2162" s="72" t="str">
        <f aca="false">IF(OR(B2162="",C2162=""),"",C2162&amp;"|"&amp;(YEAR(B2162)*100+MONTH(B2162)))</f>
        <v/>
      </c>
      <c r="AI2162" s="70" t="str">
        <f aca="false">IF(AH2162="","",IF(COUNTIF(L_CLAVE,AH2162)&gt;1,"⚠ Duplicado","OK"))</f>
        <v/>
      </c>
      <c r="AJ2162" s="86" t="str">
        <f aca="false">IF(AH2162="","",IF(SUMPRODUCT(MAX((IND_PER&lt;=B2162)*(IND_UF&lt;&gt;"")*IND_PER))=0,UF_HOY,INDEX(IND_UF,MATCH(SUMPRODUCT(MAX((IND_PER&lt;=B2162)*(IND_UF&lt;&gt;"")*IND_PER)),IND_PER,0))))</f>
        <v/>
      </c>
      <c r="AK2162" s="87" t="str">
        <f aca="false">IF(AH2162="","",IF(COUNTIF(TASA_DESDE,"&lt;="&amp;B2162)=0,INDEX(TASA_EMP,1),INDEX(TASA_EMP,COUNTIF(TASA_DESDE,"&lt;="&amp;B2162))))</f>
        <v/>
      </c>
    </row>
    <row r="2163" customFormat="false" ht="15" hidden="false" customHeight="false" outlineLevel="0" collapsed="false">
      <c r="B2163" s="78"/>
      <c r="C2163" s="64"/>
      <c r="D2163" s="72" t="str">
        <f aca="false">IF(C2163="","",IFERROR(INDEX(T_NOMBRE,MATCH(C2163,T_ID,0)),"⚠ ID no existe"))</f>
        <v/>
      </c>
      <c r="E2163" s="69"/>
      <c r="F2163" s="67"/>
      <c r="G2163" s="67"/>
      <c r="H2163" s="67"/>
      <c r="I2163" s="67"/>
      <c r="J2163" s="67"/>
      <c r="K2163" s="85" t="str">
        <f aca="false">IF(AH2163="","",N(F2163)+N(G2163)+N(H2163)-N(I2163)+N(J2163))</f>
        <v/>
      </c>
      <c r="L2163" s="67"/>
      <c r="M2163" s="67"/>
      <c r="N2163" s="67"/>
      <c r="O2163" s="67"/>
      <c r="P2163" s="85" t="str">
        <f aca="false">IF(AH2163="","",K2163+N(L2163)+N(M2163)+N(N2163)+N(O2163))</f>
        <v/>
      </c>
      <c r="Q2163" s="67"/>
      <c r="R2163" s="67"/>
      <c r="S2163" s="67"/>
      <c r="T2163" s="67"/>
      <c r="U2163" s="67"/>
      <c r="V2163" s="67"/>
      <c r="W2163" s="85" t="str">
        <f aca="false">IF(AH2163="","",N(Q2163)+N(R2163)+N(S2163)+N(T2163)+N(U2163)+N(V2163))</f>
        <v/>
      </c>
      <c r="X2163" s="85" t="str">
        <f aca="false">IF(AH2163="","",P2163-W2163)</f>
        <v/>
      </c>
      <c r="Y2163" s="67"/>
      <c r="Z2163" s="70" t="str">
        <f aca="false">IF(OR(AH2163="",Y2163=""),"",IF(ABS(X2163-Y2163)&lt;=1,"✓ Cuadra","⚠ Diferencia $"&amp;FIXED(X2163-Y2163,0)))</f>
        <v/>
      </c>
      <c r="AA2163" s="72" t="str">
        <f aca="false">IF(AH2163="","",IFERROR(INDEX(C_TIPO,MATCH(C2163&amp;"-P"&amp;MAX(1,COUNTIFS(C_ID,C2163,C_DEFINE,"Sí",C_INICIO,"&lt;="&amp;EOMONTH(B2163,0))),C_CLAVE,0))&amp;"","Sin dato"))</f>
        <v/>
      </c>
      <c r="AB2163" s="71" t="str">
        <f aca="false">IF(AH2163="","",ROUND(MIN(K2163,TOPE_AFP_UF*AJ2163)*AK2163,0))</f>
        <v/>
      </c>
      <c r="AC2163" s="71" t="str">
        <f aca="false">IF(AH2163="","",ROUND(MIN(K2163,TOPE_AFC_UF*AJ2163)*IF(AA2163="Indefinido",AFC_EMP_INDEF,AFC_EMP_PF),0))</f>
        <v/>
      </c>
      <c r="AD2163" s="71" t="str">
        <f aca="false">IF(AH2163="","",ROUND(MIN(K2163,TOPE_AFP_UF*AJ2163)*(MUTUAL_BASICA+MUTUAL_ADIC+SANNA),0))</f>
        <v/>
      </c>
      <c r="AE2163" s="71" t="str">
        <f aca="false">IF(AH2163="","",P2163-N(N2163)+AB2163+AC2163+AD2163)</f>
        <v/>
      </c>
      <c r="AF2163" s="65"/>
      <c r="AG2163" s="64"/>
      <c r="AH2163" s="72" t="str">
        <f aca="false">IF(OR(B2163="",C2163=""),"",C2163&amp;"|"&amp;(YEAR(B2163)*100+MONTH(B2163)))</f>
        <v/>
      </c>
      <c r="AI2163" s="70" t="str">
        <f aca="false">IF(AH2163="","",IF(COUNTIF(L_CLAVE,AH2163)&gt;1,"⚠ Duplicado","OK"))</f>
        <v/>
      </c>
      <c r="AJ2163" s="86" t="str">
        <f aca="false">IF(AH2163="","",IF(SUMPRODUCT(MAX((IND_PER&lt;=B2163)*(IND_UF&lt;&gt;"")*IND_PER))=0,UF_HOY,INDEX(IND_UF,MATCH(SUMPRODUCT(MAX((IND_PER&lt;=B2163)*(IND_UF&lt;&gt;"")*IND_PER)),IND_PER,0))))</f>
        <v/>
      </c>
      <c r="AK2163" s="87" t="str">
        <f aca="false">IF(AH2163="","",IF(COUNTIF(TASA_DESDE,"&lt;="&amp;B2163)=0,INDEX(TASA_EMP,1),INDEX(TASA_EMP,COUNTIF(TASA_DESDE,"&lt;="&amp;B2163))))</f>
        <v/>
      </c>
    </row>
    <row r="2164" customFormat="false" ht="15" hidden="false" customHeight="false" outlineLevel="0" collapsed="false">
      <c r="B2164" s="78"/>
      <c r="C2164" s="64"/>
      <c r="D2164" s="72" t="str">
        <f aca="false">IF(C2164="","",IFERROR(INDEX(T_NOMBRE,MATCH(C2164,T_ID,0)),"⚠ ID no existe"))</f>
        <v/>
      </c>
      <c r="E2164" s="69"/>
      <c r="F2164" s="67"/>
      <c r="G2164" s="67"/>
      <c r="H2164" s="67"/>
      <c r="I2164" s="67"/>
      <c r="J2164" s="67"/>
      <c r="K2164" s="85" t="str">
        <f aca="false">IF(AH2164="","",N(F2164)+N(G2164)+N(H2164)-N(I2164)+N(J2164))</f>
        <v/>
      </c>
      <c r="L2164" s="67"/>
      <c r="M2164" s="67"/>
      <c r="N2164" s="67"/>
      <c r="O2164" s="67"/>
      <c r="P2164" s="85" t="str">
        <f aca="false">IF(AH2164="","",K2164+N(L2164)+N(M2164)+N(N2164)+N(O2164))</f>
        <v/>
      </c>
      <c r="Q2164" s="67"/>
      <c r="R2164" s="67"/>
      <c r="S2164" s="67"/>
      <c r="T2164" s="67"/>
      <c r="U2164" s="67"/>
      <c r="V2164" s="67"/>
      <c r="W2164" s="85" t="str">
        <f aca="false">IF(AH2164="","",N(Q2164)+N(R2164)+N(S2164)+N(T2164)+N(U2164)+N(V2164))</f>
        <v/>
      </c>
      <c r="X2164" s="85" t="str">
        <f aca="false">IF(AH2164="","",P2164-W2164)</f>
        <v/>
      </c>
      <c r="Y2164" s="67"/>
      <c r="Z2164" s="70" t="str">
        <f aca="false">IF(OR(AH2164="",Y2164=""),"",IF(ABS(X2164-Y2164)&lt;=1,"✓ Cuadra","⚠ Diferencia $"&amp;FIXED(X2164-Y2164,0)))</f>
        <v/>
      </c>
      <c r="AA2164" s="72" t="str">
        <f aca="false">IF(AH2164="","",IFERROR(INDEX(C_TIPO,MATCH(C2164&amp;"-P"&amp;MAX(1,COUNTIFS(C_ID,C2164,C_DEFINE,"Sí",C_INICIO,"&lt;="&amp;EOMONTH(B2164,0))),C_CLAVE,0))&amp;"","Sin dato"))</f>
        <v/>
      </c>
      <c r="AB2164" s="71" t="str">
        <f aca="false">IF(AH2164="","",ROUND(MIN(K2164,TOPE_AFP_UF*AJ2164)*AK2164,0))</f>
        <v/>
      </c>
      <c r="AC2164" s="71" t="str">
        <f aca="false">IF(AH2164="","",ROUND(MIN(K2164,TOPE_AFC_UF*AJ2164)*IF(AA2164="Indefinido",AFC_EMP_INDEF,AFC_EMP_PF),0))</f>
        <v/>
      </c>
      <c r="AD2164" s="71" t="str">
        <f aca="false">IF(AH2164="","",ROUND(MIN(K2164,TOPE_AFP_UF*AJ2164)*(MUTUAL_BASICA+MUTUAL_ADIC+SANNA),0))</f>
        <v/>
      </c>
      <c r="AE2164" s="71" t="str">
        <f aca="false">IF(AH2164="","",P2164-N(N2164)+AB2164+AC2164+AD2164)</f>
        <v/>
      </c>
      <c r="AF2164" s="65"/>
      <c r="AG2164" s="64"/>
      <c r="AH2164" s="72" t="str">
        <f aca="false">IF(OR(B2164="",C2164=""),"",C2164&amp;"|"&amp;(YEAR(B2164)*100+MONTH(B2164)))</f>
        <v/>
      </c>
      <c r="AI2164" s="70" t="str">
        <f aca="false">IF(AH2164="","",IF(COUNTIF(L_CLAVE,AH2164)&gt;1,"⚠ Duplicado","OK"))</f>
        <v/>
      </c>
      <c r="AJ2164" s="86" t="str">
        <f aca="false">IF(AH2164="","",IF(SUMPRODUCT(MAX((IND_PER&lt;=B2164)*(IND_UF&lt;&gt;"")*IND_PER))=0,UF_HOY,INDEX(IND_UF,MATCH(SUMPRODUCT(MAX((IND_PER&lt;=B2164)*(IND_UF&lt;&gt;"")*IND_PER)),IND_PER,0))))</f>
        <v/>
      </c>
      <c r="AK2164" s="87" t="str">
        <f aca="false">IF(AH2164="","",IF(COUNTIF(TASA_DESDE,"&lt;="&amp;B2164)=0,INDEX(TASA_EMP,1),INDEX(TASA_EMP,COUNTIF(TASA_DESDE,"&lt;="&amp;B2164))))</f>
        <v/>
      </c>
    </row>
    <row r="2165" customFormat="false" ht="15" hidden="false" customHeight="false" outlineLevel="0" collapsed="false">
      <c r="B2165" s="78"/>
      <c r="C2165" s="64"/>
      <c r="D2165" s="72" t="str">
        <f aca="false">IF(C2165="","",IFERROR(INDEX(T_NOMBRE,MATCH(C2165,T_ID,0)),"⚠ ID no existe"))</f>
        <v/>
      </c>
      <c r="E2165" s="69"/>
      <c r="F2165" s="67"/>
      <c r="G2165" s="67"/>
      <c r="H2165" s="67"/>
      <c r="I2165" s="67"/>
      <c r="J2165" s="67"/>
      <c r="K2165" s="85" t="str">
        <f aca="false">IF(AH2165="","",N(F2165)+N(G2165)+N(H2165)-N(I2165)+N(J2165))</f>
        <v/>
      </c>
      <c r="L2165" s="67"/>
      <c r="M2165" s="67"/>
      <c r="N2165" s="67"/>
      <c r="O2165" s="67"/>
      <c r="P2165" s="85" t="str">
        <f aca="false">IF(AH2165="","",K2165+N(L2165)+N(M2165)+N(N2165)+N(O2165))</f>
        <v/>
      </c>
      <c r="Q2165" s="67"/>
      <c r="R2165" s="67"/>
      <c r="S2165" s="67"/>
      <c r="T2165" s="67"/>
      <c r="U2165" s="67"/>
      <c r="V2165" s="67"/>
      <c r="W2165" s="85" t="str">
        <f aca="false">IF(AH2165="","",N(Q2165)+N(R2165)+N(S2165)+N(T2165)+N(U2165)+N(V2165))</f>
        <v/>
      </c>
      <c r="X2165" s="85" t="str">
        <f aca="false">IF(AH2165="","",P2165-W2165)</f>
        <v/>
      </c>
      <c r="Y2165" s="67"/>
      <c r="Z2165" s="70" t="str">
        <f aca="false">IF(OR(AH2165="",Y2165=""),"",IF(ABS(X2165-Y2165)&lt;=1,"✓ Cuadra","⚠ Diferencia $"&amp;FIXED(X2165-Y2165,0)))</f>
        <v/>
      </c>
      <c r="AA2165" s="72" t="str">
        <f aca="false">IF(AH2165="","",IFERROR(INDEX(C_TIPO,MATCH(C2165&amp;"-P"&amp;MAX(1,COUNTIFS(C_ID,C2165,C_DEFINE,"Sí",C_INICIO,"&lt;="&amp;EOMONTH(B2165,0))),C_CLAVE,0))&amp;"","Sin dato"))</f>
        <v/>
      </c>
      <c r="AB2165" s="71" t="str">
        <f aca="false">IF(AH2165="","",ROUND(MIN(K2165,TOPE_AFP_UF*AJ2165)*AK2165,0))</f>
        <v/>
      </c>
      <c r="AC2165" s="71" t="str">
        <f aca="false">IF(AH2165="","",ROUND(MIN(K2165,TOPE_AFC_UF*AJ2165)*IF(AA2165="Indefinido",AFC_EMP_INDEF,AFC_EMP_PF),0))</f>
        <v/>
      </c>
      <c r="AD2165" s="71" t="str">
        <f aca="false">IF(AH2165="","",ROUND(MIN(K2165,TOPE_AFP_UF*AJ2165)*(MUTUAL_BASICA+MUTUAL_ADIC+SANNA),0))</f>
        <v/>
      </c>
      <c r="AE2165" s="71" t="str">
        <f aca="false">IF(AH2165="","",P2165-N(N2165)+AB2165+AC2165+AD2165)</f>
        <v/>
      </c>
      <c r="AF2165" s="65"/>
      <c r="AG2165" s="64"/>
      <c r="AH2165" s="72" t="str">
        <f aca="false">IF(OR(B2165="",C2165=""),"",C2165&amp;"|"&amp;(YEAR(B2165)*100+MONTH(B2165)))</f>
        <v/>
      </c>
      <c r="AI2165" s="70" t="str">
        <f aca="false">IF(AH2165="","",IF(COUNTIF(L_CLAVE,AH2165)&gt;1,"⚠ Duplicado","OK"))</f>
        <v/>
      </c>
      <c r="AJ2165" s="86" t="str">
        <f aca="false">IF(AH2165="","",IF(SUMPRODUCT(MAX((IND_PER&lt;=B2165)*(IND_UF&lt;&gt;"")*IND_PER))=0,UF_HOY,INDEX(IND_UF,MATCH(SUMPRODUCT(MAX((IND_PER&lt;=B2165)*(IND_UF&lt;&gt;"")*IND_PER)),IND_PER,0))))</f>
        <v/>
      </c>
      <c r="AK2165" s="87" t="str">
        <f aca="false">IF(AH2165="","",IF(COUNTIF(TASA_DESDE,"&lt;="&amp;B2165)=0,INDEX(TASA_EMP,1),INDEX(TASA_EMP,COUNTIF(TASA_DESDE,"&lt;="&amp;B2165))))</f>
        <v/>
      </c>
    </row>
    <row r="2166" customFormat="false" ht="15" hidden="false" customHeight="false" outlineLevel="0" collapsed="false">
      <c r="B2166" s="78"/>
      <c r="C2166" s="64"/>
      <c r="D2166" s="72" t="str">
        <f aca="false">IF(C2166="","",IFERROR(INDEX(T_NOMBRE,MATCH(C2166,T_ID,0)),"⚠ ID no existe"))</f>
        <v/>
      </c>
      <c r="E2166" s="69"/>
      <c r="F2166" s="67"/>
      <c r="G2166" s="67"/>
      <c r="H2166" s="67"/>
      <c r="I2166" s="67"/>
      <c r="J2166" s="67"/>
      <c r="K2166" s="85" t="str">
        <f aca="false">IF(AH2166="","",N(F2166)+N(G2166)+N(H2166)-N(I2166)+N(J2166))</f>
        <v/>
      </c>
      <c r="L2166" s="67"/>
      <c r="M2166" s="67"/>
      <c r="N2166" s="67"/>
      <c r="O2166" s="67"/>
      <c r="P2166" s="85" t="str">
        <f aca="false">IF(AH2166="","",K2166+N(L2166)+N(M2166)+N(N2166)+N(O2166))</f>
        <v/>
      </c>
      <c r="Q2166" s="67"/>
      <c r="R2166" s="67"/>
      <c r="S2166" s="67"/>
      <c r="T2166" s="67"/>
      <c r="U2166" s="67"/>
      <c r="V2166" s="67"/>
      <c r="W2166" s="85" t="str">
        <f aca="false">IF(AH2166="","",N(Q2166)+N(R2166)+N(S2166)+N(T2166)+N(U2166)+N(V2166))</f>
        <v/>
      </c>
      <c r="X2166" s="85" t="str">
        <f aca="false">IF(AH2166="","",P2166-W2166)</f>
        <v/>
      </c>
      <c r="Y2166" s="67"/>
      <c r="Z2166" s="70" t="str">
        <f aca="false">IF(OR(AH2166="",Y2166=""),"",IF(ABS(X2166-Y2166)&lt;=1,"✓ Cuadra","⚠ Diferencia $"&amp;FIXED(X2166-Y2166,0)))</f>
        <v/>
      </c>
      <c r="AA2166" s="72" t="str">
        <f aca="false">IF(AH2166="","",IFERROR(INDEX(C_TIPO,MATCH(C2166&amp;"-P"&amp;MAX(1,COUNTIFS(C_ID,C2166,C_DEFINE,"Sí",C_INICIO,"&lt;="&amp;EOMONTH(B2166,0))),C_CLAVE,0))&amp;"","Sin dato"))</f>
        <v/>
      </c>
      <c r="AB2166" s="71" t="str">
        <f aca="false">IF(AH2166="","",ROUND(MIN(K2166,TOPE_AFP_UF*AJ2166)*AK2166,0))</f>
        <v/>
      </c>
      <c r="AC2166" s="71" t="str">
        <f aca="false">IF(AH2166="","",ROUND(MIN(K2166,TOPE_AFC_UF*AJ2166)*IF(AA2166="Indefinido",AFC_EMP_INDEF,AFC_EMP_PF),0))</f>
        <v/>
      </c>
      <c r="AD2166" s="71" t="str">
        <f aca="false">IF(AH2166="","",ROUND(MIN(K2166,TOPE_AFP_UF*AJ2166)*(MUTUAL_BASICA+MUTUAL_ADIC+SANNA),0))</f>
        <v/>
      </c>
      <c r="AE2166" s="71" t="str">
        <f aca="false">IF(AH2166="","",P2166-N(N2166)+AB2166+AC2166+AD2166)</f>
        <v/>
      </c>
      <c r="AF2166" s="65"/>
      <c r="AG2166" s="64"/>
      <c r="AH2166" s="72" t="str">
        <f aca="false">IF(OR(B2166="",C2166=""),"",C2166&amp;"|"&amp;(YEAR(B2166)*100+MONTH(B2166)))</f>
        <v/>
      </c>
      <c r="AI2166" s="70" t="str">
        <f aca="false">IF(AH2166="","",IF(COUNTIF(L_CLAVE,AH2166)&gt;1,"⚠ Duplicado","OK"))</f>
        <v/>
      </c>
      <c r="AJ2166" s="86" t="str">
        <f aca="false">IF(AH2166="","",IF(SUMPRODUCT(MAX((IND_PER&lt;=B2166)*(IND_UF&lt;&gt;"")*IND_PER))=0,UF_HOY,INDEX(IND_UF,MATCH(SUMPRODUCT(MAX((IND_PER&lt;=B2166)*(IND_UF&lt;&gt;"")*IND_PER)),IND_PER,0))))</f>
        <v/>
      </c>
      <c r="AK2166" s="87" t="str">
        <f aca="false">IF(AH2166="","",IF(COUNTIF(TASA_DESDE,"&lt;="&amp;B2166)=0,INDEX(TASA_EMP,1),INDEX(TASA_EMP,COUNTIF(TASA_DESDE,"&lt;="&amp;B2166))))</f>
        <v/>
      </c>
    </row>
    <row r="2167" customFormat="false" ht="15" hidden="false" customHeight="false" outlineLevel="0" collapsed="false">
      <c r="B2167" s="78"/>
      <c r="C2167" s="64"/>
      <c r="D2167" s="72" t="str">
        <f aca="false">IF(C2167="","",IFERROR(INDEX(T_NOMBRE,MATCH(C2167,T_ID,0)),"⚠ ID no existe"))</f>
        <v/>
      </c>
      <c r="E2167" s="69"/>
      <c r="F2167" s="67"/>
      <c r="G2167" s="67"/>
      <c r="H2167" s="67"/>
      <c r="I2167" s="67"/>
      <c r="J2167" s="67"/>
      <c r="K2167" s="85" t="str">
        <f aca="false">IF(AH2167="","",N(F2167)+N(G2167)+N(H2167)-N(I2167)+N(J2167))</f>
        <v/>
      </c>
      <c r="L2167" s="67"/>
      <c r="M2167" s="67"/>
      <c r="N2167" s="67"/>
      <c r="O2167" s="67"/>
      <c r="P2167" s="85" t="str">
        <f aca="false">IF(AH2167="","",K2167+N(L2167)+N(M2167)+N(N2167)+N(O2167))</f>
        <v/>
      </c>
      <c r="Q2167" s="67"/>
      <c r="R2167" s="67"/>
      <c r="S2167" s="67"/>
      <c r="T2167" s="67"/>
      <c r="U2167" s="67"/>
      <c r="V2167" s="67"/>
      <c r="W2167" s="85" t="str">
        <f aca="false">IF(AH2167="","",N(Q2167)+N(R2167)+N(S2167)+N(T2167)+N(U2167)+N(V2167))</f>
        <v/>
      </c>
      <c r="X2167" s="85" t="str">
        <f aca="false">IF(AH2167="","",P2167-W2167)</f>
        <v/>
      </c>
      <c r="Y2167" s="67"/>
      <c r="Z2167" s="70" t="str">
        <f aca="false">IF(OR(AH2167="",Y2167=""),"",IF(ABS(X2167-Y2167)&lt;=1,"✓ Cuadra","⚠ Diferencia $"&amp;FIXED(X2167-Y2167,0)))</f>
        <v/>
      </c>
      <c r="AA2167" s="72" t="str">
        <f aca="false">IF(AH2167="","",IFERROR(INDEX(C_TIPO,MATCH(C2167&amp;"-P"&amp;MAX(1,COUNTIFS(C_ID,C2167,C_DEFINE,"Sí",C_INICIO,"&lt;="&amp;EOMONTH(B2167,0))),C_CLAVE,0))&amp;"","Sin dato"))</f>
        <v/>
      </c>
      <c r="AB2167" s="71" t="str">
        <f aca="false">IF(AH2167="","",ROUND(MIN(K2167,TOPE_AFP_UF*AJ2167)*AK2167,0))</f>
        <v/>
      </c>
      <c r="AC2167" s="71" t="str">
        <f aca="false">IF(AH2167="","",ROUND(MIN(K2167,TOPE_AFC_UF*AJ2167)*IF(AA2167="Indefinido",AFC_EMP_INDEF,AFC_EMP_PF),0))</f>
        <v/>
      </c>
      <c r="AD2167" s="71" t="str">
        <f aca="false">IF(AH2167="","",ROUND(MIN(K2167,TOPE_AFP_UF*AJ2167)*(MUTUAL_BASICA+MUTUAL_ADIC+SANNA),0))</f>
        <v/>
      </c>
      <c r="AE2167" s="71" t="str">
        <f aca="false">IF(AH2167="","",P2167-N(N2167)+AB2167+AC2167+AD2167)</f>
        <v/>
      </c>
      <c r="AF2167" s="65"/>
      <c r="AG2167" s="64"/>
      <c r="AH2167" s="72" t="str">
        <f aca="false">IF(OR(B2167="",C2167=""),"",C2167&amp;"|"&amp;(YEAR(B2167)*100+MONTH(B2167)))</f>
        <v/>
      </c>
      <c r="AI2167" s="70" t="str">
        <f aca="false">IF(AH2167="","",IF(COUNTIF(L_CLAVE,AH2167)&gt;1,"⚠ Duplicado","OK"))</f>
        <v/>
      </c>
      <c r="AJ2167" s="86" t="str">
        <f aca="false">IF(AH2167="","",IF(SUMPRODUCT(MAX((IND_PER&lt;=B2167)*(IND_UF&lt;&gt;"")*IND_PER))=0,UF_HOY,INDEX(IND_UF,MATCH(SUMPRODUCT(MAX((IND_PER&lt;=B2167)*(IND_UF&lt;&gt;"")*IND_PER)),IND_PER,0))))</f>
        <v/>
      </c>
      <c r="AK2167" s="87" t="str">
        <f aca="false">IF(AH2167="","",IF(COUNTIF(TASA_DESDE,"&lt;="&amp;B2167)=0,INDEX(TASA_EMP,1),INDEX(TASA_EMP,COUNTIF(TASA_DESDE,"&lt;="&amp;B2167))))</f>
        <v/>
      </c>
    </row>
    <row r="2168" customFormat="false" ht="15" hidden="false" customHeight="false" outlineLevel="0" collapsed="false">
      <c r="B2168" s="78"/>
      <c r="C2168" s="64"/>
      <c r="D2168" s="72" t="str">
        <f aca="false">IF(C2168="","",IFERROR(INDEX(T_NOMBRE,MATCH(C2168,T_ID,0)),"⚠ ID no existe"))</f>
        <v/>
      </c>
      <c r="E2168" s="69"/>
      <c r="F2168" s="67"/>
      <c r="G2168" s="67"/>
      <c r="H2168" s="67"/>
      <c r="I2168" s="67"/>
      <c r="J2168" s="67"/>
      <c r="K2168" s="85" t="str">
        <f aca="false">IF(AH2168="","",N(F2168)+N(G2168)+N(H2168)-N(I2168)+N(J2168))</f>
        <v/>
      </c>
      <c r="L2168" s="67"/>
      <c r="M2168" s="67"/>
      <c r="N2168" s="67"/>
      <c r="O2168" s="67"/>
      <c r="P2168" s="85" t="str">
        <f aca="false">IF(AH2168="","",K2168+N(L2168)+N(M2168)+N(N2168)+N(O2168))</f>
        <v/>
      </c>
      <c r="Q2168" s="67"/>
      <c r="R2168" s="67"/>
      <c r="S2168" s="67"/>
      <c r="T2168" s="67"/>
      <c r="U2168" s="67"/>
      <c r="V2168" s="67"/>
      <c r="W2168" s="85" t="str">
        <f aca="false">IF(AH2168="","",N(Q2168)+N(R2168)+N(S2168)+N(T2168)+N(U2168)+N(V2168))</f>
        <v/>
      </c>
      <c r="X2168" s="85" t="str">
        <f aca="false">IF(AH2168="","",P2168-W2168)</f>
        <v/>
      </c>
      <c r="Y2168" s="67"/>
      <c r="Z2168" s="70" t="str">
        <f aca="false">IF(OR(AH2168="",Y2168=""),"",IF(ABS(X2168-Y2168)&lt;=1,"✓ Cuadra","⚠ Diferencia $"&amp;FIXED(X2168-Y2168,0)))</f>
        <v/>
      </c>
      <c r="AA2168" s="72" t="str">
        <f aca="false">IF(AH2168="","",IFERROR(INDEX(C_TIPO,MATCH(C2168&amp;"-P"&amp;MAX(1,COUNTIFS(C_ID,C2168,C_DEFINE,"Sí",C_INICIO,"&lt;="&amp;EOMONTH(B2168,0))),C_CLAVE,0))&amp;"","Sin dato"))</f>
        <v/>
      </c>
      <c r="AB2168" s="71" t="str">
        <f aca="false">IF(AH2168="","",ROUND(MIN(K2168,TOPE_AFP_UF*AJ2168)*AK2168,0))</f>
        <v/>
      </c>
      <c r="AC2168" s="71" t="str">
        <f aca="false">IF(AH2168="","",ROUND(MIN(K2168,TOPE_AFC_UF*AJ2168)*IF(AA2168="Indefinido",AFC_EMP_INDEF,AFC_EMP_PF),0))</f>
        <v/>
      </c>
      <c r="AD2168" s="71" t="str">
        <f aca="false">IF(AH2168="","",ROUND(MIN(K2168,TOPE_AFP_UF*AJ2168)*(MUTUAL_BASICA+MUTUAL_ADIC+SANNA),0))</f>
        <v/>
      </c>
      <c r="AE2168" s="71" t="str">
        <f aca="false">IF(AH2168="","",P2168-N(N2168)+AB2168+AC2168+AD2168)</f>
        <v/>
      </c>
      <c r="AF2168" s="65"/>
      <c r="AG2168" s="64"/>
      <c r="AH2168" s="72" t="str">
        <f aca="false">IF(OR(B2168="",C2168=""),"",C2168&amp;"|"&amp;(YEAR(B2168)*100+MONTH(B2168)))</f>
        <v/>
      </c>
      <c r="AI2168" s="70" t="str">
        <f aca="false">IF(AH2168="","",IF(COUNTIF(L_CLAVE,AH2168)&gt;1,"⚠ Duplicado","OK"))</f>
        <v/>
      </c>
      <c r="AJ2168" s="86" t="str">
        <f aca="false">IF(AH2168="","",IF(SUMPRODUCT(MAX((IND_PER&lt;=B2168)*(IND_UF&lt;&gt;"")*IND_PER))=0,UF_HOY,INDEX(IND_UF,MATCH(SUMPRODUCT(MAX((IND_PER&lt;=B2168)*(IND_UF&lt;&gt;"")*IND_PER)),IND_PER,0))))</f>
        <v/>
      </c>
      <c r="AK2168" s="87" t="str">
        <f aca="false">IF(AH2168="","",IF(COUNTIF(TASA_DESDE,"&lt;="&amp;B2168)=0,INDEX(TASA_EMP,1),INDEX(TASA_EMP,COUNTIF(TASA_DESDE,"&lt;="&amp;B2168))))</f>
        <v/>
      </c>
    </row>
    <row r="2169" customFormat="false" ht="15" hidden="false" customHeight="false" outlineLevel="0" collapsed="false">
      <c r="B2169" s="78"/>
      <c r="C2169" s="64"/>
      <c r="D2169" s="72" t="str">
        <f aca="false">IF(C2169="","",IFERROR(INDEX(T_NOMBRE,MATCH(C2169,T_ID,0)),"⚠ ID no existe"))</f>
        <v/>
      </c>
      <c r="E2169" s="69"/>
      <c r="F2169" s="67"/>
      <c r="G2169" s="67"/>
      <c r="H2169" s="67"/>
      <c r="I2169" s="67"/>
      <c r="J2169" s="67"/>
      <c r="K2169" s="85" t="str">
        <f aca="false">IF(AH2169="","",N(F2169)+N(G2169)+N(H2169)-N(I2169)+N(J2169))</f>
        <v/>
      </c>
      <c r="L2169" s="67"/>
      <c r="M2169" s="67"/>
      <c r="N2169" s="67"/>
      <c r="O2169" s="67"/>
      <c r="P2169" s="85" t="str">
        <f aca="false">IF(AH2169="","",K2169+N(L2169)+N(M2169)+N(N2169)+N(O2169))</f>
        <v/>
      </c>
      <c r="Q2169" s="67"/>
      <c r="R2169" s="67"/>
      <c r="S2169" s="67"/>
      <c r="T2169" s="67"/>
      <c r="U2169" s="67"/>
      <c r="V2169" s="67"/>
      <c r="W2169" s="85" t="str">
        <f aca="false">IF(AH2169="","",N(Q2169)+N(R2169)+N(S2169)+N(T2169)+N(U2169)+N(V2169))</f>
        <v/>
      </c>
      <c r="X2169" s="85" t="str">
        <f aca="false">IF(AH2169="","",P2169-W2169)</f>
        <v/>
      </c>
      <c r="Y2169" s="67"/>
      <c r="Z2169" s="70" t="str">
        <f aca="false">IF(OR(AH2169="",Y2169=""),"",IF(ABS(X2169-Y2169)&lt;=1,"✓ Cuadra","⚠ Diferencia $"&amp;FIXED(X2169-Y2169,0)))</f>
        <v/>
      </c>
      <c r="AA2169" s="72" t="str">
        <f aca="false">IF(AH2169="","",IFERROR(INDEX(C_TIPO,MATCH(C2169&amp;"-P"&amp;MAX(1,COUNTIFS(C_ID,C2169,C_DEFINE,"Sí",C_INICIO,"&lt;="&amp;EOMONTH(B2169,0))),C_CLAVE,0))&amp;"","Sin dato"))</f>
        <v/>
      </c>
      <c r="AB2169" s="71" t="str">
        <f aca="false">IF(AH2169="","",ROUND(MIN(K2169,TOPE_AFP_UF*AJ2169)*AK2169,0))</f>
        <v/>
      </c>
      <c r="AC2169" s="71" t="str">
        <f aca="false">IF(AH2169="","",ROUND(MIN(K2169,TOPE_AFC_UF*AJ2169)*IF(AA2169="Indefinido",AFC_EMP_INDEF,AFC_EMP_PF),0))</f>
        <v/>
      </c>
      <c r="AD2169" s="71" t="str">
        <f aca="false">IF(AH2169="","",ROUND(MIN(K2169,TOPE_AFP_UF*AJ2169)*(MUTUAL_BASICA+MUTUAL_ADIC+SANNA),0))</f>
        <v/>
      </c>
      <c r="AE2169" s="71" t="str">
        <f aca="false">IF(AH2169="","",P2169-N(N2169)+AB2169+AC2169+AD2169)</f>
        <v/>
      </c>
      <c r="AF2169" s="65"/>
      <c r="AG2169" s="64"/>
      <c r="AH2169" s="72" t="str">
        <f aca="false">IF(OR(B2169="",C2169=""),"",C2169&amp;"|"&amp;(YEAR(B2169)*100+MONTH(B2169)))</f>
        <v/>
      </c>
      <c r="AI2169" s="70" t="str">
        <f aca="false">IF(AH2169="","",IF(COUNTIF(L_CLAVE,AH2169)&gt;1,"⚠ Duplicado","OK"))</f>
        <v/>
      </c>
      <c r="AJ2169" s="86" t="str">
        <f aca="false">IF(AH2169="","",IF(SUMPRODUCT(MAX((IND_PER&lt;=B2169)*(IND_UF&lt;&gt;"")*IND_PER))=0,UF_HOY,INDEX(IND_UF,MATCH(SUMPRODUCT(MAX((IND_PER&lt;=B2169)*(IND_UF&lt;&gt;"")*IND_PER)),IND_PER,0))))</f>
        <v/>
      </c>
      <c r="AK2169" s="87" t="str">
        <f aca="false">IF(AH2169="","",IF(COUNTIF(TASA_DESDE,"&lt;="&amp;B2169)=0,INDEX(TASA_EMP,1),INDEX(TASA_EMP,COUNTIF(TASA_DESDE,"&lt;="&amp;B2169))))</f>
        <v/>
      </c>
    </row>
    <row r="2170" customFormat="false" ht="15" hidden="false" customHeight="false" outlineLevel="0" collapsed="false">
      <c r="B2170" s="78"/>
      <c r="C2170" s="64"/>
      <c r="D2170" s="72" t="str">
        <f aca="false">IF(C2170="","",IFERROR(INDEX(T_NOMBRE,MATCH(C2170,T_ID,0)),"⚠ ID no existe"))</f>
        <v/>
      </c>
      <c r="E2170" s="69"/>
      <c r="F2170" s="67"/>
      <c r="G2170" s="67"/>
      <c r="H2170" s="67"/>
      <c r="I2170" s="67"/>
      <c r="J2170" s="67"/>
      <c r="K2170" s="85" t="str">
        <f aca="false">IF(AH2170="","",N(F2170)+N(G2170)+N(H2170)-N(I2170)+N(J2170))</f>
        <v/>
      </c>
      <c r="L2170" s="67"/>
      <c r="M2170" s="67"/>
      <c r="N2170" s="67"/>
      <c r="O2170" s="67"/>
      <c r="P2170" s="85" t="str">
        <f aca="false">IF(AH2170="","",K2170+N(L2170)+N(M2170)+N(N2170)+N(O2170))</f>
        <v/>
      </c>
      <c r="Q2170" s="67"/>
      <c r="R2170" s="67"/>
      <c r="S2170" s="67"/>
      <c r="T2170" s="67"/>
      <c r="U2170" s="67"/>
      <c r="V2170" s="67"/>
      <c r="W2170" s="85" t="str">
        <f aca="false">IF(AH2170="","",N(Q2170)+N(R2170)+N(S2170)+N(T2170)+N(U2170)+N(V2170))</f>
        <v/>
      </c>
      <c r="X2170" s="85" t="str">
        <f aca="false">IF(AH2170="","",P2170-W2170)</f>
        <v/>
      </c>
      <c r="Y2170" s="67"/>
      <c r="Z2170" s="70" t="str">
        <f aca="false">IF(OR(AH2170="",Y2170=""),"",IF(ABS(X2170-Y2170)&lt;=1,"✓ Cuadra","⚠ Diferencia $"&amp;FIXED(X2170-Y2170,0)))</f>
        <v/>
      </c>
      <c r="AA2170" s="72" t="str">
        <f aca="false">IF(AH2170="","",IFERROR(INDEX(C_TIPO,MATCH(C2170&amp;"-P"&amp;MAX(1,COUNTIFS(C_ID,C2170,C_DEFINE,"Sí",C_INICIO,"&lt;="&amp;EOMONTH(B2170,0))),C_CLAVE,0))&amp;"","Sin dato"))</f>
        <v/>
      </c>
      <c r="AB2170" s="71" t="str">
        <f aca="false">IF(AH2170="","",ROUND(MIN(K2170,TOPE_AFP_UF*AJ2170)*AK2170,0))</f>
        <v/>
      </c>
      <c r="AC2170" s="71" t="str">
        <f aca="false">IF(AH2170="","",ROUND(MIN(K2170,TOPE_AFC_UF*AJ2170)*IF(AA2170="Indefinido",AFC_EMP_INDEF,AFC_EMP_PF),0))</f>
        <v/>
      </c>
      <c r="AD2170" s="71" t="str">
        <f aca="false">IF(AH2170="","",ROUND(MIN(K2170,TOPE_AFP_UF*AJ2170)*(MUTUAL_BASICA+MUTUAL_ADIC+SANNA),0))</f>
        <v/>
      </c>
      <c r="AE2170" s="71" t="str">
        <f aca="false">IF(AH2170="","",P2170-N(N2170)+AB2170+AC2170+AD2170)</f>
        <v/>
      </c>
      <c r="AF2170" s="65"/>
      <c r="AG2170" s="64"/>
      <c r="AH2170" s="72" t="str">
        <f aca="false">IF(OR(B2170="",C2170=""),"",C2170&amp;"|"&amp;(YEAR(B2170)*100+MONTH(B2170)))</f>
        <v/>
      </c>
      <c r="AI2170" s="70" t="str">
        <f aca="false">IF(AH2170="","",IF(COUNTIF(L_CLAVE,AH2170)&gt;1,"⚠ Duplicado","OK"))</f>
        <v/>
      </c>
      <c r="AJ2170" s="86" t="str">
        <f aca="false">IF(AH2170="","",IF(SUMPRODUCT(MAX((IND_PER&lt;=B2170)*(IND_UF&lt;&gt;"")*IND_PER))=0,UF_HOY,INDEX(IND_UF,MATCH(SUMPRODUCT(MAX((IND_PER&lt;=B2170)*(IND_UF&lt;&gt;"")*IND_PER)),IND_PER,0))))</f>
        <v/>
      </c>
      <c r="AK2170" s="87" t="str">
        <f aca="false">IF(AH2170="","",IF(COUNTIF(TASA_DESDE,"&lt;="&amp;B2170)=0,INDEX(TASA_EMP,1),INDEX(TASA_EMP,COUNTIF(TASA_DESDE,"&lt;="&amp;B2170))))</f>
        <v/>
      </c>
    </row>
    <row r="2171" customFormat="false" ht="15" hidden="false" customHeight="false" outlineLevel="0" collapsed="false">
      <c r="B2171" s="78"/>
      <c r="C2171" s="64"/>
      <c r="D2171" s="72" t="str">
        <f aca="false">IF(C2171="","",IFERROR(INDEX(T_NOMBRE,MATCH(C2171,T_ID,0)),"⚠ ID no existe"))</f>
        <v/>
      </c>
      <c r="E2171" s="69"/>
      <c r="F2171" s="67"/>
      <c r="G2171" s="67"/>
      <c r="H2171" s="67"/>
      <c r="I2171" s="67"/>
      <c r="J2171" s="67"/>
      <c r="K2171" s="85" t="str">
        <f aca="false">IF(AH2171="","",N(F2171)+N(G2171)+N(H2171)-N(I2171)+N(J2171))</f>
        <v/>
      </c>
      <c r="L2171" s="67"/>
      <c r="M2171" s="67"/>
      <c r="N2171" s="67"/>
      <c r="O2171" s="67"/>
      <c r="P2171" s="85" t="str">
        <f aca="false">IF(AH2171="","",K2171+N(L2171)+N(M2171)+N(N2171)+N(O2171))</f>
        <v/>
      </c>
      <c r="Q2171" s="67"/>
      <c r="R2171" s="67"/>
      <c r="S2171" s="67"/>
      <c r="T2171" s="67"/>
      <c r="U2171" s="67"/>
      <c r="V2171" s="67"/>
      <c r="W2171" s="85" t="str">
        <f aca="false">IF(AH2171="","",N(Q2171)+N(R2171)+N(S2171)+N(T2171)+N(U2171)+N(V2171))</f>
        <v/>
      </c>
      <c r="X2171" s="85" t="str">
        <f aca="false">IF(AH2171="","",P2171-W2171)</f>
        <v/>
      </c>
      <c r="Y2171" s="67"/>
      <c r="Z2171" s="70" t="str">
        <f aca="false">IF(OR(AH2171="",Y2171=""),"",IF(ABS(X2171-Y2171)&lt;=1,"✓ Cuadra","⚠ Diferencia $"&amp;FIXED(X2171-Y2171,0)))</f>
        <v/>
      </c>
      <c r="AA2171" s="72" t="str">
        <f aca="false">IF(AH2171="","",IFERROR(INDEX(C_TIPO,MATCH(C2171&amp;"-P"&amp;MAX(1,COUNTIFS(C_ID,C2171,C_DEFINE,"Sí",C_INICIO,"&lt;="&amp;EOMONTH(B2171,0))),C_CLAVE,0))&amp;"","Sin dato"))</f>
        <v/>
      </c>
      <c r="AB2171" s="71" t="str">
        <f aca="false">IF(AH2171="","",ROUND(MIN(K2171,TOPE_AFP_UF*AJ2171)*AK2171,0))</f>
        <v/>
      </c>
      <c r="AC2171" s="71" t="str">
        <f aca="false">IF(AH2171="","",ROUND(MIN(K2171,TOPE_AFC_UF*AJ2171)*IF(AA2171="Indefinido",AFC_EMP_INDEF,AFC_EMP_PF),0))</f>
        <v/>
      </c>
      <c r="AD2171" s="71" t="str">
        <f aca="false">IF(AH2171="","",ROUND(MIN(K2171,TOPE_AFP_UF*AJ2171)*(MUTUAL_BASICA+MUTUAL_ADIC+SANNA),0))</f>
        <v/>
      </c>
      <c r="AE2171" s="71" t="str">
        <f aca="false">IF(AH2171="","",P2171-N(N2171)+AB2171+AC2171+AD2171)</f>
        <v/>
      </c>
      <c r="AF2171" s="65"/>
      <c r="AG2171" s="64"/>
      <c r="AH2171" s="72" t="str">
        <f aca="false">IF(OR(B2171="",C2171=""),"",C2171&amp;"|"&amp;(YEAR(B2171)*100+MONTH(B2171)))</f>
        <v/>
      </c>
      <c r="AI2171" s="70" t="str">
        <f aca="false">IF(AH2171="","",IF(COUNTIF(L_CLAVE,AH2171)&gt;1,"⚠ Duplicado","OK"))</f>
        <v/>
      </c>
      <c r="AJ2171" s="86" t="str">
        <f aca="false">IF(AH2171="","",IF(SUMPRODUCT(MAX((IND_PER&lt;=B2171)*(IND_UF&lt;&gt;"")*IND_PER))=0,UF_HOY,INDEX(IND_UF,MATCH(SUMPRODUCT(MAX((IND_PER&lt;=B2171)*(IND_UF&lt;&gt;"")*IND_PER)),IND_PER,0))))</f>
        <v/>
      </c>
      <c r="AK2171" s="87" t="str">
        <f aca="false">IF(AH2171="","",IF(COUNTIF(TASA_DESDE,"&lt;="&amp;B2171)=0,INDEX(TASA_EMP,1),INDEX(TASA_EMP,COUNTIF(TASA_DESDE,"&lt;="&amp;B2171))))</f>
        <v/>
      </c>
    </row>
    <row r="2172" customFormat="false" ht="15" hidden="false" customHeight="false" outlineLevel="0" collapsed="false">
      <c r="B2172" s="78"/>
      <c r="C2172" s="64"/>
      <c r="D2172" s="72" t="str">
        <f aca="false">IF(C2172="","",IFERROR(INDEX(T_NOMBRE,MATCH(C2172,T_ID,0)),"⚠ ID no existe"))</f>
        <v/>
      </c>
      <c r="E2172" s="69"/>
      <c r="F2172" s="67"/>
      <c r="G2172" s="67"/>
      <c r="H2172" s="67"/>
      <c r="I2172" s="67"/>
      <c r="J2172" s="67"/>
      <c r="K2172" s="85" t="str">
        <f aca="false">IF(AH2172="","",N(F2172)+N(G2172)+N(H2172)-N(I2172)+N(J2172))</f>
        <v/>
      </c>
      <c r="L2172" s="67"/>
      <c r="M2172" s="67"/>
      <c r="N2172" s="67"/>
      <c r="O2172" s="67"/>
      <c r="P2172" s="85" t="str">
        <f aca="false">IF(AH2172="","",K2172+N(L2172)+N(M2172)+N(N2172)+N(O2172))</f>
        <v/>
      </c>
      <c r="Q2172" s="67"/>
      <c r="R2172" s="67"/>
      <c r="S2172" s="67"/>
      <c r="T2172" s="67"/>
      <c r="U2172" s="67"/>
      <c r="V2172" s="67"/>
      <c r="W2172" s="85" t="str">
        <f aca="false">IF(AH2172="","",N(Q2172)+N(R2172)+N(S2172)+N(T2172)+N(U2172)+N(V2172))</f>
        <v/>
      </c>
      <c r="X2172" s="85" t="str">
        <f aca="false">IF(AH2172="","",P2172-W2172)</f>
        <v/>
      </c>
      <c r="Y2172" s="67"/>
      <c r="Z2172" s="70" t="str">
        <f aca="false">IF(OR(AH2172="",Y2172=""),"",IF(ABS(X2172-Y2172)&lt;=1,"✓ Cuadra","⚠ Diferencia $"&amp;FIXED(X2172-Y2172,0)))</f>
        <v/>
      </c>
      <c r="AA2172" s="72" t="str">
        <f aca="false">IF(AH2172="","",IFERROR(INDEX(C_TIPO,MATCH(C2172&amp;"-P"&amp;MAX(1,COUNTIFS(C_ID,C2172,C_DEFINE,"Sí",C_INICIO,"&lt;="&amp;EOMONTH(B2172,0))),C_CLAVE,0))&amp;"","Sin dato"))</f>
        <v/>
      </c>
      <c r="AB2172" s="71" t="str">
        <f aca="false">IF(AH2172="","",ROUND(MIN(K2172,TOPE_AFP_UF*AJ2172)*AK2172,0))</f>
        <v/>
      </c>
      <c r="AC2172" s="71" t="str">
        <f aca="false">IF(AH2172="","",ROUND(MIN(K2172,TOPE_AFC_UF*AJ2172)*IF(AA2172="Indefinido",AFC_EMP_INDEF,AFC_EMP_PF),0))</f>
        <v/>
      </c>
      <c r="AD2172" s="71" t="str">
        <f aca="false">IF(AH2172="","",ROUND(MIN(K2172,TOPE_AFP_UF*AJ2172)*(MUTUAL_BASICA+MUTUAL_ADIC+SANNA),0))</f>
        <v/>
      </c>
      <c r="AE2172" s="71" t="str">
        <f aca="false">IF(AH2172="","",P2172-N(N2172)+AB2172+AC2172+AD2172)</f>
        <v/>
      </c>
      <c r="AF2172" s="65"/>
      <c r="AG2172" s="64"/>
      <c r="AH2172" s="72" t="str">
        <f aca="false">IF(OR(B2172="",C2172=""),"",C2172&amp;"|"&amp;(YEAR(B2172)*100+MONTH(B2172)))</f>
        <v/>
      </c>
      <c r="AI2172" s="70" t="str">
        <f aca="false">IF(AH2172="","",IF(COUNTIF(L_CLAVE,AH2172)&gt;1,"⚠ Duplicado","OK"))</f>
        <v/>
      </c>
      <c r="AJ2172" s="86" t="str">
        <f aca="false">IF(AH2172="","",IF(SUMPRODUCT(MAX((IND_PER&lt;=B2172)*(IND_UF&lt;&gt;"")*IND_PER))=0,UF_HOY,INDEX(IND_UF,MATCH(SUMPRODUCT(MAX((IND_PER&lt;=B2172)*(IND_UF&lt;&gt;"")*IND_PER)),IND_PER,0))))</f>
        <v/>
      </c>
      <c r="AK2172" s="87" t="str">
        <f aca="false">IF(AH2172="","",IF(COUNTIF(TASA_DESDE,"&lt;="&amp;B2172)=0,INDEX(TASA_EMP,1),INDEX(TASA_EMP,COUNTIF(TASA_DESDE,"&lt;="&amp;B2172))))</f>
        <v/>
      </c>
    </row>
    <row r="2173" customFormat="false" ht="15" hidden="false" customHeight="false" outlineLevel="0" collapsed="false">
      <c r="B2173" s="78"/>
      <c r="C2173" s="64"/>
      <c r="D2173" s="72" t="str">
        <f aca="false">IF(C2173="","",IFERROR(INDEX(T_NOMBRE,MATCH(C2173,T_ID,0)),"⚠ ID no existe"))</f>
        <v/>
      </c>
      <c r="E2173" s="69"/>
      <c r="F2173" s="67"/>
      <c r="G2173" s="67"/>
      <c r="H2173" s="67"/>
      <c r="I2173" s="67"/>
      <c r="J2173" s="67"/>
      <c r="K2173" s="85" t="str">
        <f aca="false">IF(AH2173="","",N(F2173)+N(G2173)+N(H2173)-N(I2173)+N(J2173))</f>
        <v/>
      </c>
      <c r="L2173" s="67"/>
      <c r="M2173" s="67"/>
      <c r="N2173" s="67"/>
      <c r="O2173" s="67"/>
      <c r="P2173" s="85" t="str">
        <f aca="false">IF(AH2173="","",K2173+N(L2173)+N(M2173)+N(N2173)+N(O2173))</f>
        <v/>
      </c>
      <c r="Q2173" s="67"/>
      <c r="R2173" s="67"/>
      <c r="S2173" s="67"/>
      <c r="T2173" s="67"/>
      <c r="U2173" s="67"/>
      <c r="V2173" s="67"/>
      <c r="W2173" s="85" t="str">
        <f aca="false">IF(AH2173="","",N(Q2173)+N(R2173)+N(S2173)+N(T2173)+N(U2173)+N(V2173))</f>
        <v/>
      </c>
      <c r="X2173" s="85" t="str">
        <f aca="false">IF(AH2173="","",P2173-W2173)</f>
        <v/>
      </c>
      <c r="Y2173" s="67"/>
      <c r="Z2173" s="70" t="str">
        <f aca="false">IF(OR(AH2173="",Y2173=""),"",IF(ABS(X2173-Y2173)&lt;=1,"✓ Cuadra","⚠ Diferencia $"&amp;FIXED(X2173-Y2173,0)))</f>
        <v/>
      </c>
      <c r="AA2173" s="72" t="str">
        <f aca="false">IF(AH2173="","",IFERROR(INDEX(C_TIPO,MATCH(C2173&amp;"-P"&amp;MAX(1,COUNTIFS(C_ID,C2173,C_DEFINE,"Sí",C_INICIO,"&lt;="&amp;EOMONTH(B2173,0))),C_CLAVE,0))&amp;"","Sin dato"))</f>
        <v/>
      </c>
      <c r="AB2173" s="71" t="str">
        <f aca="false">IF(AH2173="","",ROUND(MIN(K2173,TOPE_AFP_UF*AJ2173)*AK2173,0))</f>
        <v/>
      </c>
      <c r="AC2173" s="71" t="str">
        <f aca="false">IF(AH2173="","",ROUND(MIN(K2173,TOPE_AFC_UF*AJ2173)*IF(AA2173="Indefinido",AFC_EMP_INDEF,AFC_EMP_PF),0))</f>
        <v/>
      </c>
      <c r="AD2173" s="71" t="str">
        <f aca="false">IF(AH2173="","",ROUND(MIN(K2173,TOPE_AFP_UF*AJ2173)*(MUTUAL_BASICA+MUTUAL_ADIC+SANNA),0))</f>
        <v/>
      </c>
      <c r="AE2173" s="71" t="str">
        <f aca="false">IF(AH2173="","",P2173-N(N2173)+AB2173+AC2173+AD2173)</f>
        <v/>
      </c>
      <c r="AF2173" s="65"/>
      <c r="AG2173" s="64"/>
      <c r="AH2173" s="72" t="str">
        <f aca="false">IF(OR(B2173="",C2173=""),"",C2173&amp;"|"&amp;(YEAR(B2173)*100+MONTH(B2173)))</f>
        <v/>
      </c>
      <c r="AI2173" s="70" t="str">
        <f aca="false">IF(AH2173="","",IF(COUNTIF(L_CLAVE,AH2173)&gt;1,"⚠ Duplicado","OK"))</f>
        <v/>
      </c>
      <c r="AJ2173" s="86" t="str">
        <f aca="false">IF(AH2173="","",IF(SUMPRODUCT(MAX((IND_PER&lt;=B2173)*(IND_UF&lt;&gt;"")*IND_PER))=0,UF_HOY,INDEX(IND_UF,MATCH(SUMPRODUCT(MAX((IND_PER&lt;=B2173)*(IND_UF&lt;&gt;"")*IND_PER)),IND_PER,0))))</f>
        <v/>
      </c>
      <c r="AK2173" s="87" t="str">
        <f aca="false">IF(AH2173="","",IF(COUNTIF(TASA_DESDE,"&lt;="&amp;B2173)=0,INDEX(TASA_EMP,1),INDEX(TASA_EMP,COUNTIF(TASA_DESDE,"&lt;="&amp;B2173))))</f>
        <v/>
      </c>
    </row>
    <row r="2174" customFormat="false" ht="15" hidden="false" customHeight="false" outlineLevel="0" collapsed="false">
      <c r="B2174" s="78"/>
      <c r="C2174" s="64"/>
      <c r="D2174" s="72" t="str">
        <f aca="false">IF(C2174="","",IFERROR(INDEX(T_NOMBRE,MATCH(C2174,T_ID,0)),"⚠ ID no existe"))</f>
        <v/>
      </c>
      <c r="E2174" s="69"/>
      <c r="F2174" s="67"/>
      <c r="G2174" s="67"/>
      <c r="H2174" s="67"/>
      <c r="I2174" s="67"/>
      <c r="J2174" s="67"/>
      <c r="K2174" s="85" t="str">
        <f aca="false">IF(AH2174="","",N(F2174)+N(G2174)+N(H2174)-N(I2174)+N(J2174))</f>
        <v/>
      </c>
      <c r="L2174" s="67"/>
      <c r="M2174" s="67"/>
      <c r="N2174" s="67"/>
      <c r="O2174" s="67"/>
      <c r="P2174" s="85" t="str">
        <f aca="false">IF(AH2174="","",K2174+N(L2174)+N(M2174)+N(N2174)+N(O2174))</f>
        <v/>
      </c>
      <c r="Q2174" s="67"/>
      <c r="R2174" s="67"/>
      <c r="S2174" s="67"/>
      <c r="T2174" s="67"/>
      <c r="U2174" s="67"/>
      <c r="V2174" s="67"/>
      <c r="W2174" s="85" t="str">
        <f aca="false">IF(AH2174="","",N(Q2174)+N(R2174)+N(S2174)+N(T2174)+N(U2174)+N(V2174))</f>
        <v/>
      </c>
      <c r="X2174" s="85" t="str">
        <f aca="false">IF(AH2174="","",P2174-W2174)</f>
        <v/>
      </c>
      <c r="Y2174" s="67"/>
      <c r="Z2174" s="70" t="str">
        <f aca="false">IF(OR(AH2174="",Y2174=""),"",IF(ABS(X2174-Y2174)&lt;=1,"✓ Cuadra","⚠ Diferencia $"&amp;FIXED(X2174-Y2174,0)))</f>
        <v/>
      </c>
      <c r="AA2174" s="72" t="str">
        <f aca="false">IF(AH2174="","",IFERROR(INDEX(C_TIPO,MATCH(C2174&amp;"-P"&amp;MAX(1,COUNTIFS(C_ID,C2174,C_DEFINE,"Sí",C_INICIO,"&lt;="&amp;EOMONTH(B2174,0))),C_CLAVE,0))&amp;"","Sin dato"))</f>
        <v/>
      </c>
      <c r="AB2174" s="71" t="str">
        <f aca="false">IF(AH2174="","",ROUND(MIN(K2174,TOPE_AFP_UF*AJ2174)*AK2174,0))</f>
        <v/>
      </c>
      <c r="AC2174" s="71" t="str">
        <f aca="false">IF(AH2174="","",ROUND(MIN(K2174,TOPE_AFC_UF*AJ2174)*IF(AA2174="Indefinido",AFC_EMP_INDEF,AFC_EMP_PF),0))</f>
        <v/>
      </c>
      <c r="AD2174" s="71" t="str">
        <f aca="false">IF(AH2174="","",ROUND(MIN(K2174,TOPE_AFP_UF*AJ2174)*(MUTUAL_BASICA+MUTUAL_ADIC+SANNA),0))</f>
        <v/>
      </c>
      <c r="AE2174" s="71" t="str">
        <f aca="false">IF(AH2174="","",P2174-N(N2174)+AB2174+AC2174+AD2174)</f>
        <v/>
      </c>
      <c r="AF2174" s="65"/>
      <c r="AG2174" s="64"/>
      <c r="AH2174" s="72" t="str">
        <f aca="false">IF(OR(B2174="",C2174=""),"",C2174&amp;"|"&amp;(YEAR(B2174)*100+MONTH(B2174)))</f>
        <v/>
      </c>
      <c r="AI2174" s="70" t="str">
        <f aca="false">IF(AH2174="","",IF(COUNTIF(L_CLAVE,AH2174)&gt;1,"⚠ Duplicado","OK"))</f>
        <v/>
      </c>
      <c r="AJ2174" s="86" t="str">
        <f aca="false">IF(AH2174="","",IF(SUMPRODUCT(MAX((IND_PER&lt;=B2174)*(IND_UF&lt;&gt;"")*IND_PER))=0,UF_HOY,INDEX(IND_UF,MATCH(SUMPRODUCT(MAX((IND_PER&lt;=B2174)*(IND_UF&lt;&gt;"")*IND_PER)),IND_PER,0))))</f>
        <v/>
      </c>
      <c r="AK2174" s="87" t="str">
        <f aca="false">IF(AH2174="","",IF(COUNTIF(TASA_DESDE,"&lt;="&amp;B2174)=0,INDEX(TASA_EMP,1),INDEX(TASA_EMP,COUNTIF(TASA_DESDE,"&lt;="&amp;B2174))))</f>
        <v/>
      </c>
    </row>
    <row r="2175" customFormat="false" ht="15" hidden="false" customHeight="false" outlineLevel="0" collapsed="false">
      <c r="B2175" s="78"/>
      <c r="C2175" s="64"/>
      <c r="D2175" s="72" t="str">
        <f aca="false">IF(C2175="","",IFERROR(INDEX(T_NOMBRE,MATCH(C2175,T_ID,0)),"⚠ ID no existe"))</f>
        <v/>
      </c>
      <c r="E2175" s="69"/>
      <c r="F2175" s="67"/>
      <c r="G2175" s="67"/>
      <c r="H2175" s="67"/>
      <c r="I2175" s="67"/>
      <c r="J2175" s="67"/>
      <c r="K2175" s="85" t="str">
        <f aca="false">IF(AH2175="","",N(F2175)+N(G2175)+N(H2175)-N(I2175)+N(J2175))</f>
        <v/>
      </c>
      <c r="L2175" s="67"/>
      <c r="M2175" s="67"/>
      <c r="N2175" s="67"/>
      <c r="O2175" s="67"/>
      <c r="P2175" s="85" t="str">
        <f aca="false">IF(AH2175="","",K2175+N(L2175)+N(M2175)+N(N2175)+N(O2175))</f>
        <v/>
      </c>
      <c r="Q2175" s="67"/>
      <c r="R2175" s="67"/>
      <c r="S2175" s="67"/>
      <c r="T2175" s="67"/>
      <c r="U2175" s="67"/>
      <c r="V2175" s="67"/>
      <c r="W2175" s="85" t="str">
        <f aca="false">IF(AH2175="","",N(Q2175)+N(R2175)+N(S2175)+N(T2175)+N(U2175)+N(V2175))</f>
        <v/>
      </c>
      <c r="X2175" s="85" t="str">
        <f aca="false">IF(AH2175="","",P2175-W2175)</f>
        <v/>
      </c>
      <c r="Y2175" s="67"/>
      <c r="Z2175" s="70" t="str">
        <f aca="false">IF(OR(AH2175="",Y2175=""),"",IF(ABS(X2175-Y2175)&lt;=1,"✓ Cuadra","⚠ Diferencia $"&amp;FIXED(X2175-Y2175,0)))</f>
        <v/>
      </c>
      <c r="AA2175" s="72" t="str">
        <f aca="false">IF(AH2175="","",IFERROR(INDEX(C_TIPO,MATCH(C2175&amp;"-P"&amp;MAX(1,COUNTIFS(C_ID,C2175,C_DEFINE,"Sí",C_INICIO,"&lt;="&amp;EOMONTH(B2175,0))),C_CLAVE,0))&amp;"","Sin dato"))</f>
        <v/>
      </c>
      <c r="AB2175" s="71" t="str">
        <f aca="false">IF(AH2175="","",ROUND(MIN(K2175,TOPE_AFP_UF*AJ2175)*AK2175,0))</f>
        <v/>
      </c>
      <c r="AC2175" s="71" t="str">
        <f aca="false">IF(AH2175="","",ROUND(MIN(K2175,TOPE_AFC_UF*AJ2175)*IF(AA2175="Indefinido",AFC_EMP_INDEF,AFC_EMP_PF),0))</f>
        <v/>
      </c>
      <c r="AD2175" s="71" t="str">
        <f aca="false">IF(AH2175="","",ROUND(MIN(K2175,TOPE_AFP_UF*AJ2175)*(MUTUAL_BASICA+MUTUAL_ADIC+SANNA),0))</f>
        <v/>
      </c>
      <c r="AE2175" s="71" t="str">
        <f aca="false">IF(AH2175="","",P2175-N(N2175)+AB2175+AC2175+AD2175)</f>
        <v/>
      </c>
      <c r="AF2175" s="65"/>
      <c r="AG2175" s="64"/>
      <c r="AH2175" s="72" t="str">
        <f aca="false">IF(OR(B2175="",C2175=""),"",C2175&amp;"|"&amp;(YEAR(B2175)*100+MONTH(B2175)))</f>
        <v/>
      </c>
      <c r="AI2175" s="70" t="str">
        <f aca="false">IF(AH2175="","",IF(COUNTIF(L_CLAVE,AH2175)&gt;1,"⚠ Duplicado","OK"))</f>
        <v/>
      </c>
      <c r="AJ2175" s="86" t="str">
        <f aca="false">IF(AH2175="","",IF(SUMPRODUCT(MAX((IND_PER&lt;=B2175)*(IND_UF&lt;&gt;"")*IND_PER))=0,UF_HOY,INDEX(IND_UF,MATCH(SUMPRODUCT(MAX((IND_PER&lt;=B2175)*(IND_UF&lt;&gt;"")*IND_PER)),IND_PER,0))))</f>
        <v/>
      </c>
      <c r="AK2175" s="87" t="str">
        <f aca="false">IF(AH2175="","",IF(COUNTIF(TASA_DESDE,"&lt;="&amp;B2175)=0,INDEX(TASA_EMP,1),INDEX(TASA_EMP,COUNTIF(TASA_DESDE,"&lt;="&amp;B2175))))</f>
        <v/>
      </c>
    </row>
    <row r="2176" customFormat="false" ht="15" hidden="false" customHeight="false" outlineLevel="0" collapsed="false">
      <c r="B2176" s="78"/>
      <c r="C2176" s="64"/>
      <c r="D2176" s="72" t="str">
        <f aca="false">IF(C2176="","",IFERROR(INDEX(T_NOMBRE,MATCH(C2176,T_ID,0)),"⚠ ID no existe"))</f>
        <v/>
      </c>
      <c r="E2176" s="69"/>
      <c r="F2176" s="67"/>
      <c r="G2176" s="67"/>
      <c r="H2176" s="67"/>
      <c r="I2176" s="67"/>
      <c r="J2176" s="67"/>
      <c r="K2176" s="85" t="str">
        <f aca="false">IF(AH2176="","",N(F2176)+N(G2176)+N(H2176)-N(I2176)+N(J2176))</f>
        <v/>
      </c>
      <c r="L2176" s="67"/>
      <c r="M2176" s="67"/>
      <c r="N2176" s="67"/>
      <c r="O2176" s="67"/>
      <c r="P2176" s="85" t="str">
        <f aca="false">IF(AH2176="","",K2176+N(L2176)+N(M2176)+N(N2176)+N(O2176))</f>
        <v/>
      </c>
      <c r="Q2176" s="67"/>
      <c r="R2176" s="67"/>
      <c r="S2176" s="67"/>
      <c r="T2176" s="67"/>
      <c r="U2176" s="67"/>
      <c r="V2176" s="67"/>
      <c r="W2176" s="85" t="str">
        <f aca="false">IF(AH2176="","",N(Q2176)+N(R2176)+N(S2176)+N(T2176)+N(U2176)+N(V2176))</f>
        <v/>
      </c>
      <c r="X2176" s="85" t="str">
        <f aca="false">IF(AH2176="","",P2176-W2176)</f>
        <v/>
      </c>
      <c r="Y2176" s="67"/>
      <c r="Z2176" s="70" t="str">
        <f aca="false">IF(OR(AH2176="",Y2176=""),"",IF(ABS(X2176-Y2176)&lt;=1,"✓ Cuadra","⚠ Diferencia $"&amp;FIXED(X2176-Y2176,0)))</f>
        <v/>
      </c>
      <c r="AA2176" s="72" t="str">
        <f aca="false">IF(AH2176="","",IFERROR(INDEX(C_TIPO,MATCH(C2176&amp;"-P"&amp;MAX(1,COUNTIFS(C_ID,C2176,C_DEFINE,"Sí",C_INICIO,"&lt;="&amp;EOMONTH(B2176,0))),C_CLAVE,0))&amp;"","Sin dato"))</f>
        <v/>
      </c>
      <c r="AB2176" s="71" t="str">
        <f aca="false">IF(AH2176="","",ROUND(MIN(K2176,TOPE_AFP_UF*AJ2176)*AK2176,0))</f>
        <v/>
      </c>
      <c r="AC2176" s="71" t="str">
        <f aca="false">IF(AH2176="","",ROUND(MIN(K2176,TOPE_AFC_UF*AJ2176)*IF(AA2176="Indefinido",AFC_EMP_INDEF,AFC_EMP_PF),0))</f>
        <v/>
      </c>
      <c r="AD2176" s="71" t="str">
        <f aca="false">IF(AH2176="","",ROUND(MIN(K2176,TOPE_AFP_UF*AJ2176)*(MUTUAL_BASICA+MUTUAL_ADIC+SANNA),0))</f>
        <v/>
      </c>
      <c r="AE2176" s="71" t="str">
        <f aca="false">IF(AH2176="","",P2176-N(N2176)+AB2176+AC2176+AD2176)</f>
        <v/>
      </c>
      <c r="AF2176" s="65"/>
      <c r="AG2176" s="64"/>
      <c r="AH2176" s="72" t="str">
        <f aca="false">IF(OR(B2176="",C2176=""),"",C2176&amp;"|"&amp;(YEAR(B2176)*100+MONTH(B2176)))</f>
        <v/>
      </c>
      <c r="AI2176" s="70" t="str">
        <f aca="false">IF(AH2176="","",IF(COUNTIF(L_CLAVE,AH2176)&gt;1,"⚠ Duplicado","OK"))</f>
        <v/>
      </c>
      <c r="AJ2176" s="86" t="str">
        <f aca="false">IF(AH2176="","",IF(SUMPRODUCT(MAX((IND_PER&lt;=B2176)*(IND_UF&lt;&gt;"")*IND_PER))=0,UF_HOY,INDEX(IND_UF,MATCH(SUMPRODUCT(MAX((IND_PER&lt;=B2176)*(IND_UF&lt;&gt;"")*IND_PER)),IND_PER,0))))</f>
        <v/>
      </c>
      <c r="AK2176" s="87" t="str">
        <f aca="false">IF(AH2176="","",IF(COUNTIF(TASA_DESDE,"&lt;="&amp;B2176)=0,INDEX(TASA_EMP,1),INDEX(TASA_EMP,COUNTIF(TASA_DESDE,"&lt;="&amp;B2176))))</f>
        <v/>
      </c>
    </row>
    <row r="2177" customFormat="false" ht="15" hidden="false" customHeight="false" outlineLevel="0" collapsed="false">
      <c r="B2177" s="78"/>
      <c r="C2177" s="64"/>
      <c r="D2177" s="72" t="str">
        <f aca="false">IF(C2177="","",IFERROR(INDEX(T_NOMBRE,MATCH(C2177,T_ID,0)),"⚠ ID no existe"))</f>
        <v/>
      </c>
      <c r="E2177" s="69"/>
      <c r="F2177" s="67"/>
      <c r="G2177" s="67"/>
      <c r="H2177" s="67"/>
      <c r="I2177" s="67"/>
      <c r="J2177" s="67"/>
      <c r="K2177" s="85" t="str">
        <f aca="false">IF(AH2177="","",N(F2177)+N(G2177)+N(H2177)-N(I2177)+N(J2177))</f>
        <v/>
      </c>
      <c r="L2177" s="67"/>
      <c r="M2177" s="67"/>
      <c r="N2177" s="67"/>
      <c r="O2177" s="67"/>
      <c r="P2177" s="85" t="str">
        <f aca="false">IF(AH2177="","",K2177+N(L2177)+N(M2177)+N(N2177)+N(O2177))</f>
        <v/>
      </c>
      <c r="Q2177" s="67"/>
      <c r="R2177" s="67"/>
      <c r="S2177" s="67"/>
      <c r="T2177" s="67"/>
      <c r="U2177" s="67"/>
      <c r="V2177" s="67"/>
      <c r="W2177" s="85" t="str">
        <f aca="false">IF(AH2177="","",N(Q2177)+N(R2177)+N(S2177)+N(T2177)+N(U2177)+N(V2177))</f>
        <v/>
      </c>
      <c r="X2177" s="85" t="str">
        <f aca="false">IF(AH2177="","",P2177-W2177)</f>
        <v/>
      </c>
      <c r="Y2177" s="67"/>
      <c r="Z2177" s="70" t="str">
        <f aca="false">IF(OR(AH2177="",Y2177=""),"",IF(ABS(X2177-Y2177)&lt;=1,"✓ Cuadra","⚠ Diferencia $"&amp;FIXED(X2177-Y2177,0)))</f>
        <v/>
      </c>
      <c r="AA2177" s="72" t="str">
        <f aca="false">IF(AH2177="","",IFERROR(INDEX(C_TIPO,MATCH(C2177&amp;"-P"&amp;MAX(1,COUNTIFS(C_ID,C2177,C_DEFINE,"Sí",C_INICIO,"&lt;="&amp;EOMONTH(B2177,0))),C_CLAVE,0))&amp;"","Sin dato"))</f>
        <v/>
      </c>
      <c r="AB2177" s="71" t="str">
        <f aca="false">IF(AH2177="","",ROUND(MIN(K2177,TOPE_AFP_UF*AJ2177)*AK2177,0))</f>
        <v/>
      </c>
      <c r="AC2177" s="71" t="str">
        <f aca="false">IF(AH2177="","",ROUND(MIN(K2177,TOPE_AFC_UF*AJ2177)*IF(AA2177="Indefinido",AFC_EMP_INDEF,AFC_EMP_PF),0))</f>
        <v/>
      </c>
      <c r="AD2177" s="71" t="str">
        <f aca="false">IF(AH2177="","",ROUND(MIN(K2177,TOPE_AFP_UF*AJ2177)*(MUTUAL_BASICA+MUTUAL_ADIC+SANNA),0))</f>
        <v/>
      </c>
      <c r="AE2177" s="71" t="str">
        <f aca="false">IF(AH2177="","",P2177-N(N2177)+AB2177+AC2177+AD2177)</f>
        <v/>
      </c>
      <c r="AF2177" s="65"/>
      <c r="AG2177" s="64"/>
      <c r="AH2177" s="72" t="str">
        <f aca="false">IF(OR(B2177="",C2177=""),"",C2177&amp;"|"&amp;(YEAR(B2177)*100+MONTH(B2177)))</f>
        <v/>
      </c>
      <c r="AI2177" s="70" t="str">
        <f aca="false">IF(AH2177="","",IF(COUNTIF(L_CLAVE,AH2177)&gt;1,"⚠ Duplicado","OK"))</f>
        <v/>
      </c>
      <c r="AJ2177" s="86" t="str">
        <f aca="false">IF(AH2177="","",IF(SUMPRODUCT(MAX((IND_PER&lt;=B2177)*(IND_UF&lt;&gt;"")*IND_PER))=0,UF_HOY,INDEX(IND_UF,MATCH(SUMPRODUCT(MAX((IND_PER&lt;=B2177)*(IND_UF&lt;&gt;"")*IND_PER)),IND_PER,0))))</f>
        <v/>
      </c>
      <c r="AK2177" s="87" t="str">
        <f aca="false">IF(AH2177="","",IF(COUNTIF(TASA_DESDE,"&lt;="&amp;B2177)=0,INDEX(TASA_EMP,1),INDEX(TASA_EMP,COUNTIF(TASA_DESDE,"&lt;="&amp;B2177))))</f>
        <v/>
      </c>
    </row>
    <row r="2178" customFormat="false" ht="15" hidden="false" customHeight="false" outlineLevel="0" collapsed="false">
      <c r="B2178" s="78"/>
      <c r="C2178" s="64"/>
      <c r="D2178" s="72" t="str">
        <f aca="false">IF(C2178="","",IFERROR(INDEX(T_NOMBRE,MATCH(C2178,T_ID,0)),"⚠ ID no existe"))</f>
        <v/>
      </c>
      <c r="E2178" s="69"/>
      <c r="F2178" s="67"/>
      <c r="G2178" s="67"/>
      <c r="H2178" s="67"/>
      <c r="I2178" s="67"/>
      <c r="J2178" s="67"/>
      <c r="K2178" s="85" t="str">
        <f aca="false">IF(AH2178="","",N(F2178)+N(G2178)+N(H2178)-N(I2178)+N(J2178))</f>
        <v/>
      </c>
      <c r="L2178" s="67"/>
      <c r="M2178" s="67"/>
      <c r="N2178" s="67"/>
      <c r="O2178" s="67"/>
      <c r="P2178" s="85" t="str">
        <f aca="false">IF(AH2178="","",K2178+N(L2178)+N(M2178)+N(N2178)+N(O2178))</f>
        <v/>
      </c>
      <c r="Q2178" s="67"/>
      <c r="R2178" s="67"/>
      <c r="S2178" s="67"/>
      <c r="T2178" s="67"/>
      <c r="U2178" s="67"/>
      <c r="V2178" s="67"/>
      <c r="W2178" s="85" t="str">
        <f aca="false">IF(AH2178="","",N(Q2178)+N(R2178)+N(S2178)+N(T2178)+N(U2178)+N(V2178))</f>
        <v/>
      </c>
      <c r="X2178" s="85" t="str">
        <f aca="false">IF(AH2178="","",P2178-W2178)</f>
        <v/>
      </c>
      <c r="Y2178" s="67"/>
      <c r="Z2178" s="70" t="str">
        <f aca="false">IF(OR(AH2178="",Y2178=""),"",IF(ABS(X2178-Y2178)&lt;=1,"✓ Cuadra","⚠ Diferencia $"&amp;FIXED(X2178-Y2178,0)))</f>
        <v/>
      </c>
      <c r="AA2178" s="72" t="str">
        <f aca="false">IF(AH2178="","",IFERROR(INDEX(C_TIPO,MATCH(C2178&amp;"-P"&amp;MAX(1,COUNTIFS(C_ID,C2178,C_DEFINE,"Sí",C_INICIO,"&lt;="&amp;EOMONTH(B2178,0))),C_CLAVE,0))&amp;"","Sin dato"))</f>
        <v/>
      </c>
      <c r="AB2178" s="71" t="str">
        <f aca="false">IF(AH2178="","",ROUND(MIN(K2178,TOPE_AFP_UF*AJ2178)*AK2178,0))</f>
        <v/>
      </c>
      <c r="AC2178" s="71" t="str">
        <f aca="false">IF(AH2178="","",ROUND(MIN(K2178,TOPE_AFC_UF*AJ2178)*IF(AA2178="Indefinido",AFC_EMP_INDEF,AFC_EMP_PF),0))</f>
        <v/>
      </c>
      <c r="AD2178" s="71" t="str">
        <f aca="false">IF(AH2178="","",ROUND(MIN(K2178,TOPE_AFP_UF*AJ2178)*(MUTUAL_BASICA+MUTUAL_ADIC+SANNA),0))</f>
        <v/>
      </c>
      <c r="AE2178" s="71" t="str">
        <f aca="false">IF(AH2178="","",P2178-N(N2178)+AB2178+AC2178+AD2178)</f>
        <v/>
      </c>
      <c r="AF2178" s="65"/>
      <c r="AG2178" s="64"/>
      <c r="AH2178" s="72" t="str">
        <f aca="false">IF(OR(B2178="",C2178=""),"",C2178&amp;"|"&amp;(YEAR(B2178)*100+MONTH(B2178)))</f>
        <v/>
      </c>
      <c r="AI2178" s="70" t="str">
        <f aca="false">IF(AH2178="","",IF(COUNTIF(L_CLAVE,AH2178)&gt;1,"⚠ Duplicado","OK"))</f>
        <v/>
      </c>
      <c r="AJ2178" s="86" t="str">
        <f aca="false">IF(AH2178="","",IF(SUMPRODUCT(MAX((IND_PER&lt;=B2178)*(IND_UF&lt;&gt;"")*IND_PER))=0,UF_HOY,INDEX(IND_UF,MATCH(SUMPRODUCT(MAX((IND_PER&lt;=B2178)*(IND_UF&lt;&gt;"")*IND_PER)),IND_PER,0))))</f>
        <v/>
      </c>
      <c r="AK2178" s="87" t="str">
        <f aca="false">IF(AH2178="","",IF(COUNTIF(TASA_DESDE,"&lt;="&amp;B2178)=0,INDEX(TASA_EMP,1),INDEX(TASA_EMP,COUNTIF(TASA_DESDE,"&lt;="&amp;B2178))))</f>
        <v/>
      </c>
    </row>
    <row r="2179" customFormat="false" ht="15" hidden="false" customHeight="false" outlineLevel="0" collapsed="false">
      <c r="B2179" s="78"/>
      <c r="C2179" s="64"/>
      <c r="D2179" s="72" t="str">
        <f aca="false">IF(C2179="","",IFERROR(INDEX(T_NOMBRE,MATCH(C2179,T_ID,0)),"⚠ ID no existe"))</f>
        <v/>
      </c>
      <c r="E2179" s="69"/>
      <c r="F2179" s="67"/>
      <c r="G2179" s="67"/>
      <c r="H2179" s="67"/>
      <c r="I2179" s="67"/>
      <c r="J2179" s="67"/>
      <c r="K2179" s="85" t="str">
        <f aca="false">IF(AH2179="","",N(F2179)+N(G2179)+N(H2179)-N(I2179)+N(J2179))</f>
        <v/>
      </c>
      <c r="L2179" s="67"/>
      <c r="M2179" s="67"/>
      <c r="N2179" s="67"/>
      <c r="O2179" s="67"/>
      <c r="P2179" s="85" t="str">
        <f aca="false">IF(AH2179="","",K2179+N(L2179)+N(M2179)+N(N2179)+N(O2179))</f>
        <v/>
      </c>
      <c r="Q2179" s="67"/>
      <c r="R2179" s="67"/>
      <c r="S2179" s="67"/>
      <c r="T2179" s="67"/>
      <c r="U2179" s="67"/>
      <c r="V2179" s="67"/>
      <c r="W2179" s="85" t="str">
        <f aca="false">IF(AH2179="","",N(Q2179)+N(R2179)+N(S2179)+N(T2179)+N(U2179)+N(V2179))</f>
        <v/>
      </c>
      <c r="X2179" s="85" t="str">
        <f aca="false">IF(AH2179="","",P2179-W2179)</f>
        <v/>
      </c>
      <c r="Y2179" s="67"/>
      <c r="Z2179" s="70" t="str">
        <f aca="false">IF(OR(AH2179="",Y2179=""),"",IF(ABS(X2179-Y2179)&lt;=1,"✓ Cuadra","⚠ Diferencia $"&amp;FIXED(X2179-Y2179,0)))</f>
        <v/>
      </c>
      <c r="AA2179" s="72" t="str">
        <f aca="false">IF(AH2179="","",IFERROR(INDEX(C_TIPO,MATCH(C2179&amp;"-P"&amp;MAX(1,COUNTIFS(C_ID,C2179,C_DEFINE,"Sí",C_INICIO,"&lt;="&amp;EOMONTH(B2179,0))),C_CLAVE,0))&amp;"","Sin dato"))</f>
        <v/>
      </c>
      <c r="AB2179" s="71" t="str">
        <f aca="false">IF(AH2179="","",ROUND(MIN(K2179,TOPE_AFP_UF*AJ2179)*AK2179,0))</f>
        <v/>
      </c>
      <c r="AC2179" s="71" t="str">
        <f aca="false">IF(AH2179="","",ROUND(MIN(K2179,TOPE_AFC_UF*AJ2179)*IF(AA2179="Indefinido",AFC_EMP_INDEF,AFC_EMP_PF),0))</f>
        <v/>
      </c>
      <c r="AD2179" s="71" t="str">
        <f aca="false">IF(AH2179="","",ROUND(MIN(K2179,TOPE_AFP_UF*AJ2179)*(MUTUAL_BASICA+MUTUAL_ADIC+SANNA),0))</f>
        <v/>
      </c>
      <c r="AE2179" s="71" t="str">
        <f aca="false">IF(AH2179="","",P2179-N(N2179)+AB2179+AC2179+AD2179)</f>
        <v/>
      </c>
      <c r="AF2179" s="65"/>
      <c r="AG2179" s="64"/>
      <c r="AH2179" s="72" t="str">
        <f aca="false">IF(OR(B2179="",C2179=""),"",C2179&amp;"|"&amp;(YEAR(B2179)*100+MONTH(B2179)))</f>
        <v/>
      </c>
      <c r="AI2179" s="70" t="str">
        <f aca="false">IF(AH2179="","",IF(COUNTIF(L_CLAVE,AH2179)&gt;1,"⚠ Duplicado","OK"))</f>
        <v/>
      </c>
      <c r="AJ2179" s="86" t="str">
        <f aca="false">IF(AH2179="","",IF(SUMPRODUCT(MAX((IND_PER&lt;=B2179)*(IND_UF&lt;&gt;"")*IND_PER))=0,UF_HOY,INDEX(IND_UF,MATCH(SUMPRODUCT(MAX((IND_PER&lt;=B2179)*(IND_UF&lt;&gt;"")*IND_PER)),IND_PER,0))))</f>
        <v/>
      </c>
      <c r="AK2179" s="87" t="str">
        <f aca="false">IF(AH2179="","",IF(COUNTIF(TASA_DESDE,"&lt;="&amp;B2179)=0,INDEX(TASA_EMP,1),INDEX(TASA_EMP,COUNTIF(TASA_DESDE,"&lt;="&amp;B2179))))</f>
        <v/>
      </c>
    </row>
    <row r="2180" customFormat="false" ht="15" hidden="false" customHeight="false" outlineLevel="0" collapsed="false">
      <c r="B2180" s="78"/>
      <c r="C2180" s="64"/>
      <c r="D2180" s="72" t="str">
        <f aca="false">IF(C2180="","",IFERROR(INDEX(T_NOMBRE,MATCH(C2180,T_ID,0)),"⚠ ID no existe"))</f>
        <v/>
      </c>
      <c r="E2180" s="69"/>
      <c r="F2180" s="67"/>
      <c r="G2180" s="67"/>
      <c r="H2180" s="67"/>
      <c r="I2180" s="67"/>
      <c r="J2180" s="67"/>
      <c r="K2180" s="85" t="str">
        <f aca="false">IF(AH2180="","",N(F2180)+N(G2180)+N(H2180)-N(I2180)+N(J2180))</f>
        <v/>
      </c>
      <c r="L2180" s="67"/>
      <c r="M2180" s="67"/>
      <c r="N2180" s="67"/>
      <c r="O2180" s="67"/>
      <c r="P2180" s="85" t="str">
        <f aca="false">IF(AH2180="","",K2180+N(L2180)+N(M2180)+N(N2180)+N(O2180))</f>
        <v/>
      </c>
      <c r="Q2180" s="67"/>
      <c r="R2180" s="67"/>
      <c r="S2180" s="67"/>
      <c r="T2180" s="67"/>
      <c r="U2180" s="67"/>
      <c r="V2180" s="67"/>
      <c r="W2180" s="85" t="str">
        <f aca="false">IF(AH2180="","",N(Q2180)+N(R2180)+N(S2180)+N(T2180)+N(U2180)+N(V2180))</f>
        <v/>
      </c>
      <c r="X2180" s="85" t="str">
        <f aca="false">IF(AH2180="","",P2180-W2180)</f>
        <v/>
      </c>
      <c r="Y2180" s="67"/>
      <c r="Z2180" s="70" t="str">
        <f aca="false">IF(OR(AH2180="",Y2180=""),"",IF(ABS(X2180-Y2180)&lt;=1,"✓ Cuadra","⚠ Diferencia $"&amp;FIXED(X2180-Y2180,0)))</f>
        <v/>
      </c>
      <c r="AA2180" s="72" t="str">
        <f aca="false">IF(AH2180="","",IFERROR(INDEX(C_TIPO,MATCH(C2180&amp;"-P"&amp;MAX(1,COUNTIFS(C_ID,C2180,C_DEFINE,"Sí",C_INICIO,"&lt;="&amp;EOMONTH(B2180,0))),C_CLAVE,0))&amp;"","Sin dato"))</f>
        <v/>
      </c>
      <c r="AB2180" s="71" t="str">
        <f aca="false">IF(AH2180="","",ROUND(MIN(K2180,TOPE_AFP_UF*AJ2180)*AK2180,0))</f>
        <v/>
      </c>
      <c r="AC2180" s="71" t="str">
        <f aca="false">IF(AH2180="","",ROUND(MIN(K2180,TOPE_AFC_UF*AJ2180)*IF(AA2180="Indefinido",AFC_EMP_INDEF,AFC_EMP_PF),0))</f>
        <v/>
      </c>
      <c r="AD2180" s="71" t="str">
        <f aca="false">IF(AH2180="","",ROUND(MIN(K2180,TOPE_AFP_UF*AJ2180)*(MUTUAL_BASICA+MUTUAL_ADIC+SANNA),0))</f>
        <v/>
      </c>
      <c r="AE2180" s="71" t="str">
        <f aca="false">IF(AH2180="","",P2180-N(N2180)+AB2180+AC2180+AD2180)</f>
        <v/>
      </c>
      <c r="AF2180" s="65"/>
      <c r="AG2180" s="64"/>
      <c r="AH2180" s="72" t="str">
        <f aca="false">IF(OR(B2180="",C2180=""),"",C2180&amp;"|"&amp;(YEAR(B2180)*100+MONTH(B2180)))</f>
        <v/>
      </c>
      <c r="AI2180" s="70" t="str">
        <f aca="false">IF(AH2180="","",IF(COUNTIF(L_CLAVE,AH2180)&gt;1,"⚠ Duplicado","OK"))</f>
        <v/>
      </c>
      <c r="AJ2180" s="86" t="str">
        <f aca="false">IF(AH2180="","",IF(SUMPRODUCT(MAX((IND_PER&lt;=B2180)*(IND_UF&lt;&gt;"")*IND_PER))=0,UF_HOY,INDEX(IND_UF,MATCH(SUMPRODUCT(MAX((IND_PER&lt;=B2180)*(IND_UF&lt;&gt;"")*IND_PER)),IND_PER,0))))</f>
        <v/>
      </c>
      <c r="AK2180" s="87" t="str">
        <f aca="false">IF(AH2180="","",IF(COUNTIF(TASA_DESDE,"&lt;="&amp;B2180)=0,INDEX(TASA_EMP,1),INDEX(TASA_EMP,COUNTIF(TASA_DESDE,"&lt;="&amp;B2180))))</f>
        <v/>
      </c>
    </row>
    <row r="2181" customFormat="false" ht="15" hidden="false" customHeight="false" outlineLevel="0" collapsed="false">
      <c r="B2181" s="78"/>
      <c r="C2181" s="64"/>
      <c r="D2181" s="72" t="str">
        <f aca="false">IF(C2181="","",IFERROR(INDEX(T_NOMBRE,MATCH(C2181,T_ID,0)),"⚠ ID no existe"))</f>
        <v/>
      </c>
      <c r="E2181" s="69"/>
      <c r="F2181" s="67"/>
      <c r="G2181" s="67"/>
      <c r="H2181" s="67"/>
      <c r="I2181" s="67"/>
      <c r="J2181" s="67"/>
      <c r="K2181" s="85" t="str">
        <f aca="false">IF(AH2181="","",N(F2181)+N(G2181)+N(H2181)-N(I2181)+N(J2181))</f>
        <v/>
      </c>
      <c r="L2181" s="67"/>
      <c r="M2181" s="67"/>
      <c r="N2181" s="67"/>
      <c r="O2181" s="67"/>
      <c r="P2181" s="85" t="str">
        <f aca="false">IF(AH2181="","",K2181+N(L2181)+N(M2181)+N(N2181)+N(O2181))</f>
        <v/>
      </c>
      <c r="Q2181" s="67"/>
      <c r="R2181" s="67"/>
      <c r="S2181" s="67"/>
      <c r="T2181" s="67"/>
      <c r="U2181" s="67"/>
      <c r="V2181" s="67"/>
      <c r="W2181" s="85" t="str">
        <f aca="false">IF(AH2181="","",N(Q2181)+N(R2181)+N(S2181)+N(T2181)+N(U2181)+N(V2181))</f>
        <v/>
      </c>
      <c r="X2181" s="85" t="str">
        <f aca="false">IF(AH2181="","",P2181-W2181)</f>
        <v/>
      </c>
      <c r="Y2181" s="67"/>
      <c r="Z2181" s="70" t="str">
        <f aca="false">IF(OR(AH2181="",Y2181=""),"",IF(ABS(X2181-Y2181)&lt;=1,"✓ Cuadra","⚠ Diferencia $"&amp;FIXED(X2181-Y2181,0)))</f>
        <v/>
      </c>
      <c r="AA2181" s="72" t="str">
        <f aca="false">IF(AH2181="","",IFERROR(INDEX(C_TIPO,MATCH(C2181&amp;"-P"&amp;MAX(1,COUNTIFS(C_ID,C2181,C_DEFINE,"Sí",C_INICIO,"&lt;="&amp;EOMONTH(B2181,0))),C_CLAVE,0))&amp;"","Sin dato"))</f>
        <v/>
      </c>
      <c r="AB2181" s="71" t="str">
        <f aca="false">IF(AH2181="","",ROUND(MIN(K2181,TOPE_AFP_UF*AJ2181)*AK2181,0))</f>
        <v/>
      </c>
      <c r="AC2181" s="71" t="str">
        <f aca="false">IF(AH2181="","",ROUND(MIN(K2181,TOPE_AFC_UF*AJ2181)*IF(AA2181="Indefinido",AFC_EMP_INDEF,AFC_EMP_PF),0))</f>
        <v/>
      </c>
      <c r="AD2181" s="71" t="str">
        <f aca="false">IF(AH2181="","",ROUND(MIN(K2181,TOPE_AFP_UF*AJ2181)*(MUTUAL_BASICA+MUTUAL_ADIC+SANNA),0))</f>
        <v/>
      </c>
      <c r="AE2181" s="71" t="str">
        <f aca="false">IF(AH2181="","",P2181-N(N2181)+AB2181+AC2181+AD2181)</f>
        <v/>
      </c>
      <c r="AF2181" s="65"/>
      <c r="AG2181" s="64"/>
      <c r="AH2181" s="72" t="str">
        <f aca="false">IF(OR(B2181="",C2181=""),"",C2181&amp;"|"&amp;(YEAR(B2181)*100+MONTH(B2181)))</f>
        <v/>
      </c>
      <c r="AI2181" s="70" t="str">
        <f aca="false">IF(AH2181="","",IF(COUNTIF(L_CLAVE,AH2181)&gt;1,"⚠ Duplicado","OK"))</f>
        <v/>
      </c>
      <c r="AJ2181" s="86" t="str">
        <f aca="false">IF(AH2181="","",IF(SUMPRODUCT(MAX((IND_PER&lt;=B2181)*(IND_UF&lt;&gt;"")*IND_PER))=0,UF_HOY,INDEX(IND_UF,MATCH(SUMPRODUCT(MAX((IND_PER&lt;=B2181)*(IND_UF&lt;&gt;"")*IND_PER)),IND_PER,0))))</f>
        <v/>
      </c>
      <c r="AK2181" s="87" t="str">
        <f aca="false">IF(AH2181="","",IF(COUNTIF(TASA_DESDE,"&lt;="&amp;B2181)=0,INDEX(TASA_EMP,1),INDEX(TASA_EMP,COUNTIF(TASA_DESDE,"&lt;="&amp;B2181))))</f>
        <v/>
      </c>
    </row>
    <row r="2182" customFormat="false" ht="15" hidden="false" customHeight="false" outlineLevel="0" collapsed="false">
      <c r="B2182" s="78"/>
      <c r="C2182" s="64"/>
      <c r="D2182" s="72" t="str">
        <f aca="false">IF(C2182="","",IFERROR(INDEX(T_NOMBRE,MATCH(C2182,T_ID,0)),"⚠ ID no existe"))</f>
        <v/>
      </c>
      <c r="E2182" s="69"/>
      <c r="F2182" s="67"/>
      <c r="G2182" s="67"/>
      <c r="H2182" s="67"/>
      <c r="I2182" s="67"/>
      <c r="J2182" s="67"/>
      <c r="K2182" s="85" t="str">
        <f aca="false">IF(AH2182="","",N(F2182)+N(G2182)+N(H2182)-N(I2182)+N(J2182))</f>
        <v/>
      </c>
      <c r="L2182" s="67"/>
      <c r="M2182" s="67"/>
      <c r="N2182" s="67"/>
      <c r="O2182" s="67"/>
      <c r="P2182" s="85" t="str">
        <f aca="false">IF(AH2182="","",K2182+N(L2182)+N(M2182)+N(N2182)+N(O2182))</f>
        <v/>
      </c>
      <c r="Q2182" s="67"/>
      <c r="R2182" s="67"/>
      <c r="S2182" s="67"/>
      <c r="T2182" s="67"/>
      <c r="U2182" s="67"/>
      <c r="V2182" s="67"/>
      <c r="W2182" s="85" t="str">
        <f aca="false">IF(AH2182="","",N(Q2182)+N(R2182)+N(S2182)+N(T2182)+N(U2182)+N(V2182))</f>
        <v/>
      </c>
      <c r="X2182" s="85" t="str">
        <f aca="false">IF(AH2182="","",P2182-W2182)</f>
        <v/>
      </c>
      <c r="Y2182" s="67"/>
      <c r="Z2182" s="70" t="str">
        <f aca="false">IF(OR(AH2182="",Y2182=""),"",IF(ABS(X2182-Y2182)&lt;=1,"✓ Cuadra","⚠ Diferencia $"&amp;FIXED(X2182-Y2182,0)))</f>
        <v/>
      </c>
      <c r="AA2182" s="72" t="str">
        <f aca="false">IF(AH2182="","",IFERROR(INDEX(C_TIPO,MATCH(C2182&amp;"-P"&amp;MAX(1,COUNTIFS(C_ID,C2182,C_DEFINE,"Sí",C_INICIO,"&lt;="&amp;EOMONTH(B2182,0))),C_CLAVE,0))&amp;"","Sin dato"))</f>
        <v/>
      </c>
      <c r="AB2182" s="71" t="str">
        <f aca="false">IF(AH2182="","",ROUND(MIN(K2182,TOPE_AFP_UF*AJ2182)*AK2182,0))</f>
        <v/>
      </c>
      <c r="AC2182" s="71" t="str">
        <f aca="false">IF(AH2182="","",ROUND(MIN(K2182,TOPE_AFC_UF*AJ2182)*IF(AA2182="Indefinido",AFC_EMP_INDEF,AFC_EMP_PF),0))</f>
        <v/>
      </c>
      <c r="AD2182" s="71" t="str">
        <f aca="false">IF(AH2182="","",ROUND(MIN(K2182,TOPE_AFP_UF*AJ2182)*(MUTUAL_BASICA+MUTUAL_ADIC+SANNA),0))</f>
        <v/>
      </c>
      <c r="AE2182" s="71" t="str">
        <f aca="false">IF(AH2182="","",P2182-N(N2182)+AB2182+AC2182+AD2182)</f>
        <v/>
      </c>
      <c r="AF2182" s="65"/>
      <c r="AG2182" s="64"/>
      <c r="AH2182" s="72" t="str">
        <f aca="false">IF(OR(B2182="",C2182=""),"",C2182&amp;"|"&amp;(YEAR(B2182)*100+MONTH(B2182)))</f>
        <v/>
      </c>
      <c r="AI2182" s="70" t="str">
        <f aca="false">IF(AH2182="","",IF(COUNTIF(L_CLAVE,AH2182)&gt;1,"⚠ Duplicado","OK"))</f>
        <v/>
      </c>
      <c r="AJ2182" s="86" t="str">
        <f aca="false">IF(AH2182="","",IF(SUMPRODUCT(MAX((IND_PER&lt;=B2182)*(IND_UF&lt;&gt;"")*IND_PER))=0,UF_HOY,INDEX(IND_UF,MATCH(SUMPRODUCT(MAX((IND_PER&lt;=B2182)*(IND_UF&lt;&gt;"")*IND_PER)),IND_PER,0))))</f>
        <v/>
      </c>
      <c r="AK2182" s="87" t="str">
        <f aca="false">IF(AH2182="","",IF(COUNTIF(TASA_DESDE,"&lt;="&amp;B2182)=0,INDEX(TASA_EMP,1),INDEX(TASA_EMP,COUNTIF(TASA_DESDE,"&lt;="&amp;B2182))))</f>
        <v/>
      </c>
    </row>
    <row r="2183" customFormat="false" ht="15" hidden="false" customHeight="false" outlineLevel="0" collapsed="false">
      <c r="B2183" s="78"/>
      <c r="C2183" s="64"/>
      <c r="D2183" s="72" t="str">
        <f aca="false">IF(C2183="","",IFERROR(INDEX(T_NOMBRE,MATCH(C2183,T_ID,0)),"⚠ ID no existe"))</f>
        <v/>
      </c>
      <c r="E2183" s="69"/>
      <c r="F2183" s="67"/>
      <c r="G2183" s="67"/>
      <c r="H2183" s="67"/>
      <c r="I2183" s="67"/>
      <c r="J2183" s="67"/>
      <c r="K2183" s="85" t="str">
        <f aca="false">IF(AH2183="","",N(F2183)+N(G2183)+N(H2183)-N(I2183)+N(J2183))</f>
        <v/>
      </c>
      <c r="L2183" s="67"/>
      <c r="M2183" s="67"/>
      <c r="N2183" s="67"/>
      <c r="O2183" s="67"/>
      <c r="P2183" s="85" t="str">
        <f aca="false">IF(AH2183="","",K2183+N(L2183)+N(M2183)+N(N2183)+N(O2183))</f>
        <v/>
      </c>
      <c r="Q2183" s="67"/>
      <c r="R2183" s="67"/>
      <c r="S2183" s="67"/>
      <c r="T2183" s="67"/>
      <c r="U2183" s="67"/>
      <c r="V2183" s="67"/>
      <c r="W2183" s="85" t="str">
        <f aca="false">IF(AH2183="","",N(Q2183)+N(R2183)+N(S2183)+N(T2183)+N(U2183)+N(V2183))</f>
        <v/>
      </c>
      <c r="X2183" s="85" t="str">
        <f aca="false">IF(AH2183="","",P2183-W2183)</f>
        <v/>
      </c>
      <c r="Y2183" s="67"/>
      <c r="Z2183" s="70" t="str">
        <f aca="false">IF(OR(AH2183="",Y2183=""),"",IF(ABS(X2183-Y2183)&lt;=1,"✓ Cuadra","⚠ Diferencia $"&amp;FIXED(X2183-Y2183,0)))</f>
        <v/>
      </c>
      <c r="AA2183" s="72" t="str">
        <f aca="false">IF(AH2183="","",IFERROR(INDEX(C_TIPO,MATCH(C2183&amp;"-P"&amp;MAX(1,COUNTIFS(C_ID,C2183,C_DEFINE,"Sí",C_INICIO,"&lt;="&amp;EOMONTH(B2183,0))),C_CLAVE,0))&amp;"","Sin dato"))</f>
        <v/>
      </c>
      <c r="AB2183" s="71" t="str">
        <f aca="false">IF(AH2183="","",ROUND(MIN(K2183,TOPE_AFP_UF*AJ2183)*AK2183,0))</f>
        <v/>
      </c>
      <c r="AC2183" s="71" t="str">
        <f aca="false">IF(AH2183="","",ROUND(MIN(K2183,TOPE_AFC_UF*AJ2183)*IF(AA2183="Indefinido",AFC_EMP_INDEF,AFC_EMP_PF),0))</f>
        <v/>
      </c>
      <c r="AD2183" s="71" t="str">
        <f aca="false">IF(AH2183="","",ROUND(MIN(K2183,TOPE_AFP_UF*AJ2183)*(MUTUAL_BASICA+MUTUAL_ADIC+SANNA),0))</f>
        <v/>
      </c>
      <c r="AE2183" s="71" t="str">
        <f aca="false">IF(AH2183="","",P2183-N(N2183)+AB2183+AC2183+AD2183)</f>
        <v/>
      </c>
      <c r="AF2183" s="65"/>
      <c r="AG2183" s="64"/>
      <c r="AH2183" s="72" t="str">
        <f aca="false">IF(OR(B2183="",C2183=""),"",C2183&amp;"|"&amp;(YEAR(B2183)*100+MONTH(B2183)))</f>
        <v/>
      </c>
      <c r="AI2183" s="70" t="str">
        <f aca="false">IF(AH2183="","",IF(COUNTIF(L_CLAVE,AH2183)&gt;1,"⚠ Duplicado","OK"))</f>
        <v/>
      </c>
      <c r="AJ2183" s="86" t="str">
        <f aca="false">IF(AH2183="","",IF(SUMPRODUCT(MAX((IND_PER&lt;=B2183)*(IND_UF&lt;&gt;"")*IND_PER))=0,UF_HOY,INDEX(IND_UF,MATCH(SUMPRODUCT(MAX((IND_PER&lt;=B2183)*(IND_UF&lt;&gt;"")*IND_PER)),IND_PER,0))))</f>
        <v/>
      </c>
      <c r="AK2183" s="87" t="str">
        <f aca="false">IF(AH2183="","",IF(COUNTIF(TASA_DESDE,"&lt;="&amp;B2183)=0,INDEX(TASA_EMP,1),INDEX(TASA_EMP,COUNTIF(TASA_DESDE,"&lt;="&amp;B2183))))</f>
        <v/>
      </c>
    </row>
    <row r="2184" customFormat="false" ht="15" hidden="false" customHeight="false" outlineLevel="0" collapsed="false">
      <c r="B2184" s="78"/>
      <c r="C2184" s="64"/>
      <c r="D2184" s="72" t="str">
        <f aca="false">IF(C2184="","",IFERROR(INDEX(T_NOMBRE,MATCH(C2184,T_ID,0)),"⚠ ID no existe"))</f>
        <v/>
      </c>
      <c r="E2184" s="69"/>
      <c r="F2184" s="67"/>
      <c r="G2184" s="67"/>
      <c r="H2184" s="67"/>
      <c r="I2184" s="67"/>
      <c r="J2184" s="67"/>
      <c r="K2184" s="85" t="str">
        <f aca="false">IF(AH2184="","",N(F2184)+N(G2184)+N(H2184)-N(I2184)+N(J2184))</f>
        <v/>
      </c>
      <c r="L2184" s="67"/>
      <c r="M2184" s="67"/>
      <c r="N2184" s="67"/>
      <c r="O2184" s="67"/>
      <c r="P2184" s="85" t="str">
        <f aca="false">IF(AH2184="","",K2184+N(L2184)+N(M2184)+N(N2184)+N(O2184))</f>
        <v/>
      </c>
      <c r="Q2184" s="67"/>
      <c r="R2184" s="67"/>
      <c r="S2184" s="67"/>
      <c r="T2184" s="67"/>
      <c r="U2184" s="67"/>
      <c r="V2184" s="67"/>
      <c r="W2184" s="85" t="str">
        <f aca="false">IF(AH2184="","",N(Q2184)+N(R2184)+N(S2184)+N(T2184)+N(U2184)+N(V2184))</f>
        <v/>
      </c>
      <c r="X2184" s="85" t="str">
        <f aca="false">IF(AH2184="","",P2184-W2184)</f>
        <v/>
      </c>
      <c r="Y2184" s="67"/>
      <c r="Z2184" s="70" t="str">
        <f aca="false">IF(OR(AH2184="",Y2184=""),"",IF(ABS(X2184-Y2184)&lt;=1,"✓ Cuadra","⚠ Diferencia $"&amp;FIXED(X2184-Y2184,0)))</f>
        <v/>
      </c>
      <c r="AA2184" s="72" t="str">
        <f aca="false">IF(AH2184="","",IFERROR(INDEX(C_TIPO,MATCH(C2184&amp;"-P"&amp;MAX(1,COUNTIFS(C_ID,C2184,C_DEFINE,"Sí",C_INICIO,"&lt;="&amp;EOMONTH(B2184,0))),C_CLAVE,0))&amp;"","Sin dato"))</f>
        <v/>
      </c>
      <c r="AB2184" s="71" t="str">
        <f aca="false">IF(AH2184="","",ROUND(MIN(K2184,TOPE_AFP_UF*AJ2184)*AK2184,0))</f>
        <v/>
      </c>
      <c r="AC2184" s="71" t="str">
        <f aca="false">IF(AH2184="","",ROUND(MIN(K2184,TOPE_AFC_UF*AJ2184)*IF(AA2184="Indefinido",AFC_EMP_INDEF,AFC_EMP_PF),0))</f>
        <v/>
      </c>
      <c r="AD2184" s="71" t="str">
        <f aca="false">IF(AH2184="","",ROUND(MIN(K2184,TOPE_AFP_UF*AJ2184)*(MUTUAL_BASICA+MUTUAL_ADIC+SANNA),0))</f>
        <v/>
      </c>
      <c r="AE2184" s="71" t="str">
        <f aca="false">IF(AH2184="","",P2184-N(N2184)+AB2184+AC2184+AD2184)</f>
        <v/>
      </c>
      <c r="AF2184" s="65"/>
      <c r="AG2184" s="64"/>
      <c r="AH2184" s="72" t="str">
        <f aca="false">IF(OR(B2184="",C2184=""),"",C2184&amp;"|"&amp;(YEAR(B2184)*100+MONTH(B2184)))</f>
        <v/>
      </c>
      <c r="AI2184" s="70" t="str">
        <f aca="false">IF(AH2184="","",IF(COUNTIF(L_CLAVE,AH2184)&gt;1,"⚠ Duplicado","OK"))</f>
        <v/>
      </c>
      <c r="AJ2184" s="86" t="str">
        <f aca="false">IF(AH2184="","",IF(SUMPRODUCT(MAX((IND_PER&lt;=B2184)*(IND_UF&lt;&gt;"")*IND_PER))=0,UF_HOY,INDEX(IND_UF,MATCH(SUMPRODUCT(MAX((IND_PER&lt;=B2184)*(IND_UF&lt;&gt;"")*IND_PER)),IND_PER,0))))</f>
        <v/>
      </c>
      <c r="AK2184" s="87" t="str">
        <f aca="false">IF(AH2184="","",IF(COUNTIF(TASA_DESDE,"&lt;="&amp;B2184)=0,INDEX(TASA_EMP,1),INDEX(TASA_EMP,COUNTIF(TASA_DESDE,"&lt;="&amp;B2184))))</f>
        <v/>
      </c>
    </row>
    <row r="2185" customFormat="false" ht="15" hidden="false" customHeight="false" outlineLevel="0" collapsed="false">
      <c r="B2185" s="78"/>
      <c r="C2185" s="64"/>
      <c r="D2185" s="72" t="str">
        <f aca="false">IF(C2185="","",IFERROR(INDEX(T_NOMBRE,MATCH(C2185,T_ID,0)),"⚠ ID no existe"))</f>
        <v/>
      </c>
      <c r="E2185" s="69"/>
      <c r="F2185" s="67"/>
      <c r="G2185" s="67"/>
      <c r="H2185" s="67"/>
      <c r="I2185" s="67"/>
      <c r="J2185" s="67"/>
      <c r="K2185" s="85" t="str">
        <f aca="false">IF(AH2185="","",N(F2185)+N(G2185)+N(H2185)-N(I2185)+N(J2185))</f>
        <v/>
      </c>
      <c r="L2185" s="67"/>
      <c r="M2185" s="67"/>
      <c r="N2185" s="67"/>
      <c r="O2185" s="67"/>
      <c r="P2185" s="85" t="str">
        <f aca="false">IF(AH2185="","",K2185+N(L2185)+N(M2185)+N(N2185)+N(O2185))</f>
        <v/>
      </c>
      <c r="Q2185" s="67"/>
      <c r="R2185" s="67"/>
      <c r="S2185" s="67"/>
      <c r="T2185" s="67"/>
      <c r="U2185" s="67"/>
      <c r="V2185" s="67"/>
      <c r="W2185" s="85" t="str">
        <f aca="false">IF(AH2185="","",N(Q2185)+N(R2185)+N(S2185)+N(T2185)+N(U2185)+N(V2185))</f>
        <v/>
      </c>
      <c r="X2185" s="85" t="str">
        <f aca="false">IF(AH2185="","",P2185-W2185)</f>
        <v/>
      </c>
      <c r="Y2185" s="67"/>
      <c r="Z2185" s="70" t="str">
        <f aca="false">IF(OR(AH2185="",Y2185=""),"",IF(ABS(X2185-Y2185)&lt;=1,"✓ Cuadra","⚠ Diferencia $"&amp;FIXED(X2185-Y2185,0)))</f>
        <v/>
      </c>
      <c r="AA2185" s="72" t="str">
        <f aca="false">IF(AH2185="","",IFERROR(INDEX(C_TIPO,MATCH(C2185&amp;"-P"&amp;MAX(1,COUNTIFS(C_ID,C2185,C_DEFINE,"Sí",C_INICIO,"&lt;="&amp;EOMONTH(B2185,0))),C_CLAVE,0))&amp;"","Sin dato"))</f>
        <v/>
      </c>
      <c r="AB2185" s="71" t="str">
        <f aca="false">IF(AH2185="","",ROUND(MIN(K2185,TOPE_AFP_UF*AJ2185)*AK2185,0))</f>
        <v/>
      </c>
      <c r="AC2185" s="71" t="str">
        <f aca="false">IF(AH2185="","",ROUND(MIN(K2185,TOPE_AFC_UF*AJ2185)*IF(AA2185="Indefinido",AFC_EMP_INDEF,AFC_EMP_PF),0))</f>
        <v/>
      </c>
      <c r="AD2185" s="71" t="str">
        <f aca="false">IF(AH2185="","",ROUND(MIN(K2185,TOPE_AFP_UF*AJ2185)*(MUTUAL_BASICA+MUTUAL_ADIC+SANNA),0))</f>
        <v/>
      </c>
      <c r="AE2185" s="71" t="str">
        <f aca="false">IF(AH2185="","",P2185-N(N2185)+AB2185+AC2185+AD2185)</f>
        <v/>
      </c>
      <c r="AF2185" s="65"/>
      <c r="AG2185" s="64"/>
      <c r="AH2185" s="72" t="str">
        <f aca="false">IF(OR(B2185="",C2185=""),"",C2185&amp;"|"&amp;(YEAR(B2185)*100+MONTH(B2185)))</f>
        <v/>
      </c>
      <c r="AI2185" s="70" t="str">
        <f aca="false">IF(AH2185="","",IF(COUNTIF(L_CLAVE,AH2185)&gt;1,"⚠ Duplicado","OK"))</f>
        <v/>
      </c>
      <c r="AJ2185" s="86" t="str">
        <f aca="false">IF(AH2185="","",IF(SUMPRODUCT(MAX((IND_PER&lt;=B2185)*(IND_UF&lt;&gt;"")*IND_PER))=0,UF_HOY,INDEX(IND_UF,MATCH(SUMPRODUCT(MAX((IND_PER&lt;=B2185)*(IND_UF&lt;&gt;"")*IND_PER)),IND_PER,0))))</f>
        <v/>
      </c>
      <c r="AK2185" s="87" t="str">
        <f aca="false">IF(AH2185="","",IF(COUNTIF(TASA_DESDE,"&lt;="&amp;B2185)=0,INDEX(TASA_EMP,1),INDEX(TASA_EMP,COUNTIF(TASA_DESDE,"&lt;="&amp;B2185))))</f>
        <v/>
      </c>
    </row>
    <row r="2186" customFormat="false" ht="15" hidden="false" customHeight="false" outlineLevel="0" collapsed="false">
      <c r="B2186" s="78"/>
      <c r="C2186" s="64"/>
      <c r="D2186" s="72" t="str">
        <f aca="false">IF(C2186="","",IFERROR(INDEX(T_NOMBRE,MATCH(C2186,T_ID,0)),"⚠ ID no existe"))</f>
        <v/>
      </c>
      <c r="E2186" s="69"/>
      <c r="F2186" s="67"/>
      <c r="G2186" s="67"/>
      <c r="H2186" s="67"/>
      <c r="I2186" s="67"/>
      <c r="J2186" s="67"/>
      <c r="K2186" s="85" t="str">
        <f aca="false">IF(AH2186="","",N(F2186)+N(G2186)+N(H2186)-N(I2186)+N(J2186))</f>
        <v/>
      </c>
      <c r="L2186" s="67"/>
      <c r="M2186" s="67"/>
      <c r="N2186" s="67"/>
      <c r="O2186" s="67"/>
      <c r="P2186" s="85" t="str">
        <f aca="false">IF(AH2186="","",K2186+N(L2186)+N(M2186)+N(N2186)+N(O2186))</f>
        <v/>
      </c>
      <c r="Q2186" s="67"/>
      <c r="R2186" s="67"/>
      <c r="S2186" s="67"/>
      <c r="T2186" s="67"/>
      <c r="U2186" s="67"/>
      <c r="V2186" s="67"/>
      <c r="W2186" s="85" t="str">
        <f aca="false">IF(AH2186="","",N(Q2186)+N(R2186)+N(S2186)+N(T2186)+N(U2186)+N(V2186))</f>
        <v/>
      </c>
      <c r="X2186" s="85" t="str">
        <f aca="false">IF(AH2186="","",P2186-W2186)</f>
        <v/>
      </c>
      <c r="Y2186" s="67"/>
      <c r="Z2186" s="70" t="str">
        <f aca="false">IF(OR(AH2186="",Y2186=""),"",IF(ABS(X2186-Y2186)&lt;=1,"✓ Cuadra","⚠ Diferencia $"&amp;FIXED(X2186-Y2186,0)))</f>
        <v/>
      </c>
      <c r="AA2186" s="72" t="str">
        <f aca="false">IF(AH2186="","",IFERROR(INDEX(C_TIPO,MATCH(C2186&amp;"-P"&amp;MAX(1,COUNTIFS(C_ID,C2186,C_DEFINE,"Sí",C_INICIO,"&lt;="&amp;EOMONTH(B2186,0))),C_CLAVE,0))&amp;"","Sin dato"))</f>
        <v/>
      </c>
      <c r="AB2186" s="71" t="str">
        <f aca="false">IF(AH2186="","",ROUND(MIN(K2186,TOPE_AFP_UF*AJ2186)*AK2186,0))</f>
        <v/>
      </c>
      <c r="AC2186" s="71" t="str">
        <f aca="false">IF(AH2186="","",ROUND(MIN(K2186,TOPE_AFC_UF*AJ2186)*IF(AA2186="Indefinido",AFC_EMP_INDEF,AFC_EMP_PF),0))</f>
        <v/>
      </c>
      <c r="AD2186" s="71" t="str">
        <f aca="false">IF(AH2186="","",ROUND(MIN(K2186,TOPE_AFP_UF*AJ2186)*(MUTUAL_BASICA+MUTUAL_ADIC+SANNA),0))</f>
        <v/>
      </c>
      <c r="AE2186" s="71" t="str">
        <f aca="false">IF(AH2186="","",P2186-N(N2186)+AB2186+AC2186+AD2186)</f>
        <v/>
      </c>
      <c r="AF2186" s="65"/>
      <c r="AG2186" s="64"/>
      <c r="AH2186" s="72" t="str">
        <f aca="false">IF(OR(B2186="",C2186=""),"",C2186&amp;"|"&amp;(YEAR(B2186)*100+MONTH(B2186)))</f>
        <v/>
      </c>
      <c r="AI2186" s="70" t="str">
        <f aca="false">IF(AH2186="","",IF(COUNTIF(L_CLAVE,AH2186)&gt;1,"⚠ Duplicado","OK"))</f>
        <v/>
      </c>
      <c r="AJ2186" s="86" t="str">
        <f aca="false">IF(AH2186="","",IF(SUMPRODUCT(MAX((IND_PER&lt;=B2186)*(IND_UF&lt;&gt;"")*IND_PER))=0,UF_HOY,INDEX(IND_UF,MATCH(SUMPRODUCT(MAX((IND_PER&lt;=B2186)*(IND_UF&lt;&gt;"")*IND_PER)),IND_PER,0))))</f>
        <v/>
      </c>
      <c r="AK2186" s="87" t="str">
        <f aca="false">IF(AH2186="","",IF(COUNTIF(TASA_DESDE,"&lt;="&amp;B2186)=0,INDEX(TASA_EMP,1),INDEX(TASA_EMP,COUNTIF(TASA_DESDE,"&lt;="&amp;B2186))))</f>
        <v/>
      </c>
    </row>
    <row r="2187" customFormat="false" ht="15" hidden="false" customHeight="false" outlineLevel="0" collapsed="false">
      <c r="B2187" s="78"/>
      <c r="C2187" s="64"/>
      <c r="D2187" s="72" t="str">
        <f aca="false">IF(C2187="","",IFERROR(INDEX(T_NOMBRE,MATCH(C2187,T_ID,0)),"⚠ ID no existe"))</f>
        <v/>
      </c>
      <c r="E2187" s="69"/>
      <c r="F2187" s="67"/>
      <c r="G2187" s="67"/>
      <c r="H2187" s="67"/>
      <c r="I2187" s="67"/>
      <c r="J2187" s="67"/>
      <c r="K2187" s="85" t="str">
        <f aca="false">IF(AH2187="","",N(F2187)+N(G2187)+N(H2187)-N(I2187)+N(J2187))</f>
        <v/>
      </c>
      <c r="L2187" s="67"/>
      <c r="M2187" s="67"/>
      <c r="N2187" s="67"/>
      <c r="O2187" s="67"/>
      <c r="P2187" s="85" t="str">
        <f aca="false">IF(AH2187="","",K2187+N(L2187)+N(M2187)+N(N2187)+N(O2187))</f>
        <v/>
      </c>
      <c r="Q2187" s="67"/>
      <c r="R2187" s="67"/>
      <c r="S2187" s="67"/>
      <c r="T2187" s="67"/>
      <c r="U2187" s="67"/>
      <c r="V2187" s="67"/>
      <c r="W2187" s="85" t="str">
        <f aca="false">IF(AH2187="","",N(Q2187)+N(R2187)+N(S2187)+N(T2187)+N(U2187)+N(V2187))</f>
        <v/>
      </c>
      <c r="X2187" s="85" t="str">
        <f aca="false">IF(AH2187="","",P2187-W2187)</f>
        <v/>
      </c>
      <c r="Y2187" s="67"/>
      <c r="Z2187" s="70" t="str">
        <f aca="false">IF(OR(AH2187="",Y2187=""),"",IF(ABS(X2187-Y2187)&lt;=1,"✓ Cuadra","⚠ Diferencia $"&amp;FIXED(X2187-Y2187,0)))</f>
        <v/>
      </c>
      <c r="AA2187" s="72" t="str">
        <f aca="false">IF(AH2187="","",IFERROR(INDEX(C_TIPO,MATCH(C2187&amp;"-P"&amp;MAX(1,COUNTIFS(C_ID,C2187,C_DEFINE,"Sí",C_INICIO,"&lt;="&amp;EOMONTH(B2187,0))),C_CLAVE,0))&amp;"","Sin dato"))</f>
        <v/>
      </c>
      <c r="AB2187" s="71" t="str">
        <f aca="false">IF(AH2187="","",ROUND(MIN(K2187,TOPE_AFP_UF*AJ2187)*AK2187,0))</f>
        <v/>
      </c>
      <c r="AC2187" s="71" t="str">
        <f aca="false">IF(AH2187="","",ROUND(MIN(K2187,TOPE_AFC_UF*AJ2187)*IF(AA2187="Indefinido",AFC_EMP_INDEF,AFC_EMP_PF),0))</f>
        <v/>
      </c>
      <c r="AD2187" s="71" t="str">
        <f aca="false">IF(AH2187="","",ROUND(MIN(K2187,TOPE_AFP_UF*AJ2187)*(MUTUAL_BASICA+MUTUAL_ADIC+SANNA),0))</f>
        <v/>
      </c>
      <c r="AE2187" s="71" t="str">
        <f aca="false">IF(AH2187="","",P2187-N(N2187)+AB2187+AC2187+AD2187)</f>
        <v/>
      </c>
      <c r="AF2187" s="65"/>
      <c r="AG2187" s="64"/>
      <c r="AH2187" s="72" t="str">
        <f aca="false">IF(OR(B2187="",C2187=""),"",C2187&amp;"|"&amp;(YEAR(B2187)*100+MONTH(B2187)))</f>
        <v/>
      </c>
      <c r="AI2187" s="70" t="str">
        <f aca="false">IF(AH2187="","",IF(COUNTIF(L_CLAVE,AH2187)&gt;1,"⚠ Duplicado","OK"))</f>
        <v/>
      </c>
      <c r="AJ2187" s="86" t="str">
        <f aca="false">IF(AH2187="","",IF(SUMPRODUCT(MAX((IND_PER&lt;=B2187)*(IND_UF&lt;&gt;"")*IND_PER))=0,UF_HOY,INDEX(IND_UF,MATCH(SUMPRODUCT(MAX((IND_PER&lt;=B2187)*(IND_UF&lt;&gt;"")*IND_PER)),IND_PER,0))))</f>
        <v/>
      </c>
      <c r="AK2187" s="87" t="str">
        <f aca="false">IF(AH2187="","",IF(COUNTIF(TASA_DESDE,"&lt;="&amp;B2187)=0,INDEX(TASA_EMP,1),INDEX(TASA_EMP,COUNTIF(TASA_DESDE,"&lt;="&amp;B2187))))</f>
        <v/>
      </c>
    </row>
    <row r="2188" customFormat="false" ht="15" hidden="false" customHeight="false" outlineLevel="0" collapsed="false">
      <c r="B2188" s="78"/>
      <c r="C2188" s="64"/>
      <c r="D2188" s="72" t="str">
        <f aca="false">IF(C2188="","",IFERROR(INDEX(T_NOMBRE,MATCH(C2188,T_ID,0)),"⚠ ID no existe"))</f>
        <v/>
      </c>
      <c r="E2188" s="69"/>
      <c r="F2188" s="67"/>
      <c r="G2188" s="67"/>
      <c r="H2188" s="67"/>
      <c r="I2188" s="67"/>
      <c r="J2188" s="67"/>
      <c r="K2188" s="85" t="str">
        <f aca="false">IF(AH2188="","",N(F2188)+N(G2188)+N(H2188)-N(I2188)+N(J2188))</f>
        <v/>
      </c>
      <c r="L2188" s="67"/>
      <c r="M2188" s="67"/>
      <c r="N2188" s="67"/>
      <c r="O2188" s="67"/>
      <c r="P2188" s="85" t="str">
        <f aca="false">IF(AH2188="","",K2188+N(L2188)+N(M2188)+N(N2188)+N(O2188))</f>
        <v/>
      </c>
      <c r="Q2188" s="67"/>
      <c r="R2188" s="67"/>
      <c r="S2188" s="67"/>
      <c r="T2188" s="67"/>
      <c r="U2188" s="67"/>
      <c r="V2188" s="67"/>
      <c r="W2188" s="85" t="str">
        <f aca="false">IF(AH2188="","",N(Q2188)+N(R2188)+N(S2188)+N(T2188)+N(U2188)+N(V2188))</f>
        <v/>
      </c>
      <c r="X2188" s="85" t="str">
        <f aca="false">IF(AH2188="","",P2188-W2188)</f>
        <v/>
      </c>
      <c r="Y2188" s="67"/>
      <c r="Z2188" s="70" t="str">
        <f aca="false">IF(OR(AH2188="",Y2188=""),"",IF(ABS(X2188-Y2188)&lt;=1,"✓ Cuadra","⚠ Diferencia $"&amp;FIXED(X2188-Y2188,0)))</f>
        <v/>
      </c>
      <c r="AA2188" s="72" t="str">
        <f aca="false">IF(AH2188="","",IFERROR(INDEX(C_TIPO,MATCH(C2188&amp;"-P"&amp;MAX(1,COUNTIFS(C_ID,C2188,C_DEFINE,"Sí",C_INICIO,"&lt;="&amp;EOMONTH(B2188,0))),C_CLAVE,0))&amp;"","Sin dato"))</f>
        <v/>
      </c>
      <c r="AB2188" s="71" t="str">
        <f aca="false">IF(AH2188="","",ROUND(MIN(K2188,TOPE_AFP_UF*AJ2188)*AK2188,0))</f>
        <v/>
      </c>
      <c r="AC2188" s="71" t="str">
        <f aca="false">IF(AH2188="","",ROUND(MIN(K2188,TOPE_AFC_UF*AJ2188)*IF(AA2188="Indefinido",AFC_EMP_INDEF,AFC_EMP_PF),0))</f>
        <v/>
      </c>
      <c r="AD2188" s="71" t="str">
        <f aca="false">IF(AH2188="","",ROUND(MIN(K2188,TOPE_AFP_UF*AJ2188)*(MUTUAL_BASICA+MUTUAL_ADIC+SANNA),0))</f>
        <v/>
      </c>
      <c r="AE2188" s="71" t="str">
        <f aca="false">IF(AH2188="","",P2188-N(N2188)+AB2188+AC2188+AD2188)</f>
        <v/>
      </c>
      <c r="AF2188" s="65"/>
      <c r="AG2188" s="64"/>
      <c r="AH2188" s="72" t="str">
        <f aca="false">IF(OR(B2188="",C2188=""),"",C2188&amp;"|"&amp;(YEAR(B2188)*100+MONTH(B2188)))</f>
        <v/>
      </c>
      <c r="AI2188" s="70" t="str">
        <f aca="false">IF(AH2188="","",IF(COUNTIF(L_CLAVE,AH2188)&gt;1,"⚠ Duplicado","OK"))</f>
        <v/>
      </c>
      <c r="AJ2188" s="86" t="str">
        <f aca="false">IF(AH2188="","",IF(SUMPRODUCT(MAX((IND_PER&lt;=B2188)*(IND_UF&lt;&gt;"")*IND_PER))=0,UF_HOY,INDEX(IND_UF,MATCH(SUMPRODUCT(MAX((IND_PER&lt;=B2188)*(IND_UF&lt;&gt;"")*IND_PER)),IND_PER,0))))</f>
        <v/>
      </c>
      <c r="AK2188" s="87" t="str">
        <f aca="false">IF(AH2188="","",IF(COUNTIF(TASA_DESDE,"&lt;="&amp;B2188)=0,INDEX(TASA_EMP,1),INDEX(TASA_EMP,COUNTIF(TASA_DESDE,"&lt;="&amp;B2188))))</f>
        <v/>
      </c>
    </row>
    <row r="2189" customFormat="false" ht="15" hidden="false" customHeight="false" outlineLevel="0" collapsed="false">
      <c r="B2189" s="78"/>
      <c r="C2189" s="64"/>
      <c r="D2189" s="72" t="str">
        <f aca="false">IF(C2189="","",IFERROR(INDEX(T_NOMBRE,MATCH(C2189,T_ID,0)),"⚠ ID no existe"))</f>
        <v/>
      </c>
      <c r="E2189" s="69"/>
      <c r="F2189" s="67"/>
      <c r="G2189" s="67"/>
      <c r="H2189" s="67"/>
      <c r="I2189" s="67"/>
      <c r="J2189" s="67"/>
      <c r="K2189" s="85" t="str">
        <f aca="false">IF(AH2189="","",N(F2189)+N(G2189)+N(H2189)-N(I2189)+N(J2189))</f>
        <v/>
      </c>
      <c r="L2189" s="67"/>
      <c r="M2189" s="67"/>
      <c r="N2189" s="67"/>
      <c r="O2189" s="67"/>
      <c r="P2189" s="85" t="str">
        <f aca="false">IF(AH2189="","",K2189+N(L2189)+N(M2189)+N(N2189)+N(O2189))</f>
        <v/>
      </c>
      <c r="Q2189" s="67"/>
      <c r="R2189" s="67"/>
      <c r="S2189" s="67"/>
      <c r="T2189" s="67"/>
      <c r="U2189" s="67"/>
      <c r="V2189" s="67"/>
      <c r="W2189" s="85" t="str">
        <f aca="false">IF(AH2189="","",N(Q2189)+N(R2189)+N(S2189)+N(T2189)+N(U2189)+N(V2189))</f>
        <v/>
      </c>
      <c r="X2189" s="85" t="str">
        <f aca="false">IF(AH2189="","",P2189-W2189)</f>
        <v/>
      </c>
      <c r="Y2189" s="67"/>
      <c r="Z2189" s="70" t="str">
        <f aca="false">IF(OR(AH2189="",Y2189=""),"",IF(ABS(X2189-Y2189)&lt;=1,"✓ Cuadra","⚠ Diferencia $"&amp;FIXED(X2189-Y2189,0)))</f>
        <v/>
      </c>
      <c r="AA2189" s="72" t="str">
        <f aca="false">IF(AH2189="","",IFERROR(INDEX(C_TIPO,MATCH(C2189&amp;"-P"&amp;MAX(1,COUNTIFS(C_ID,C2189,C_DEFINE,"Sí",C_INICIO,"&lt;="&amp;EOMONTH(B2189,0))),C_CLAVE,0))&amp;"","Sin dato"))</f>
        <v/>
      </c>
      <c r="AB2189" s="71" t="str">
        <f aca="false">IF(AH2189="","",ROUND(MIN(K2189,TOPE_AFP_UF*AJ2189)*AK2189,0))</f>
        <v/>
      </c>
      <c r="AC2189" s="71" t="str">
        <f aca="false">IF(AH2189="","",ROUND(MIN(K2189,TOPE_AFC_UF*AJ2189)*IF(AA2189="Indefinido",AFC_EMP_INDEF,AFC_EMP_PF),0))</f>
        <v/>
      </c>
      <c r="AD2189" s="71" t="str">
        <f aca="false">IF(AH2189="","",ROUND(MIN(K2189,TOPE_AFP_UF*AJ2189)*(MUTUAL_BASICA+MUTUAL_ADIC+SANNA),0))</f>
        <v/>
      </c>
      <c r="AE2189" s="71" t="str">
        <f aca="false">IF(AH2189="","",P2189-N(N2189)+AB2189+AC2189+AD2189)</f>
        <v/>
      </c>
      <c r="AF2189" s="65"/>
      <c r="AG2189" s="64"/>
      <c r="AH2189" s="72" t="str">
        <f aca="false">IF(OR(B2189="",C2189=""),"",C2189&amp;"|"&amp;(YEAR(B2189)*100+MONTH(B2189)))</f>
        <v/>
      </c>
      <c r="AI2189" s="70" t="str">
        <f aca="false">IF(AH2189="","",IF(COUNTIF(L_CLAVE,AH2189)&gt;1,"⚠ Duplicado","OK"))</f>
        <v/>
      </c>
      <c r="AJ2189" s="86" t="str">
        <f aca="false">IF(AH2189="","",IF(SUMPRODUCT(MAX((IND_PER&lt;=B2189)*(IND_UF&lt;&gt;"")*IND_PER))=0,UF_HOY,INDEX(IND_UF,MATCH(SUMPRODUCT(MAX((IND_PER&lt;=B2189)*(IND_UF&lt;&gt;"")*IND_PER)),IND_PER,0))))</f>
        <v/>
      </c>
      <c r="AK2189" s="87" t="str">
        <f aca="false">IF(AH2189="","",IF(COUNTIF(TASA_DESDE,"&lt;="&amp;B2189)=0,INDEX(TASA_EMP,1),INDEX(TASA_EMP,COUNTIF(TASA_DESDE,"&lt;="&amp;B2189))))</f>
        <v/>
      </c>
    </row>
    <row r="2190" customFormat="false" ht="15" hidden="false" customHeight="false" outlineLevel="0" collapsed="false">
      <c r="B2190" s="78"/>
      <c r="C2190" s="64"/>
      <c r="D2190" s="72" t="str">
        <f aca="false">IF(C2190="","",IFERROR(INDEX(T_NOMBRE,MATCH(C2190,T_ID,0)),"⚠ ID no existe"))</f>
        <v/>
      </c>
      <c r="E2190" s="69"/>
      <c r="F2190" s="67"/>
      <c r="G2190" s="67"/>
      <c r="H2190" s="67"/>
      <c r="I2190" s="67"/>
      <c r="J2190" s="67"/>
      <c r="K2190" s="85" t="str">
        <f aca="false">IF(AH2190="","",N(F2190)+N(G2190)+N(H2190)-N(I2190)+N(J2190))</f>
        <v/>
      </c>
      <c r="L2190" s="67"/>
      <c r="M2190" s="67"/>
      <c r="N2190" s="67"/>
      <c r="O2190" s="67"/>
      <c r="P2190" s="85" t="str">
        <f aca="false">IF(AH2190="","",K2190+N(L2190)+N(M2190)+N(N2190)+N(O2190))</f>
        <v/>
      </c>
      <c r="Q2190" s="67"/>
      <c r="R2190" s="67"/>
      <c r="S2190" s="67"/>
      <c r="T2190" s="67"/>
      <c r="U2190" s="67"/>
      <c r="V2190" s="67"/>
      <c r="W2190" s="85" t="str">
        <f aca="false">IF(AH2190="","",N(Q2190)+N(R2190)+N(S2190)+N(T2190)+N(U2190)+N(V2190))</f>
        <v/>
      </c>
      <c r="X2190" s="85" t="str">
        <f aca="false">IF(AH2190="","",P2190-W2190)</f>
        <v/>
      </c>
      <c r="Y2190" s="67"/>
      <c r="Z2190" s="70" t="str">
        <f aca="false">IF(OR(AH2190="",Y2190=""),"",IF(ABS(X2190-Y2190)&lt;=1,"✓ Cuadra","⚠ Diferencia $"&amp;FIXED(X2190-Y2190,0)))</f>
        <v/>
      </c>
      <c r="AA2190" s="72" t="str">
        <f aca="false">IF(AH2190="","",IFERROR(INDEX(C_TIPO,MATCH(C2190&amp;"-P"&amp;MAX(1,COUNTIFS(C_ID,C2190,C_DEFINE,"Sí",C_INICIO,"&lt;="&amp;EOMONTH(B2190,0))),C_CLAVE,0))&amp;"","Sin dato"))</f>
        <v/>
      </c>
      <c r="AB2190" s="71" t="str">
        <f aca="false">IF(AH2190="","",ROUND(MIN(K2190,TOPE_AFP_UF*AJ2190)*AK2190,0))</f>
        <v/>
      </c>
      <c r="AC2190" s="71" t="str">
        <f aca="false">IF(AH2190="","",ROUND(MIN(K2190,TOPE_AFC_UF*AJ2190)*IF(AA2190="Indefinido",AFC_EMP_INDEF,AFC_EMP_PF),0))</f>
        <v/>
      </c>
      <c r="AD2190" s="71" t="str">
        <f aca="false">IF(AH2190="","",ROUND(MIN(K2190,TOPE_AFP_UF*AJ2190)*(MUTUAL_BASICA+MUTUAL_ADIC+SANNA),0))</f>
        <v/>
      </c>
      <c r="AE2190" s="71" t="str">
        <f aca="false">IF(AH2190="","",P2190-N(N2190)+AB2190+AC2190+AD2190)</f>
        <v/>
      </c>
      <c r="AF2190" s="65"/>
      <c r="AG2190" s="64"/>
      <c r="AH2190" s="72" t="str">
        <f aca="false">IF(OR(B2190="",C2190=""),"",C2190&amp;"|"&amp;(YEAR(B2190)*100+MONTH(B2190)))</f>
        <v/>
      </c>
      <c r="AI2190" s="70" t="str">
        <f aca="false">IF(AH2190="","",IF(COUNTIF(L_CLAVE,AH2190)&gt;1,"⚠ Duplicado","OK"))</f>
        <v/>
      </c>
      <c r="AJ2190" s="86" t="str">
        <f aca="false">IF(AH2190="","",IF(SUMPRODUCT(MAX((IND_PER&lt;=B2190)*(IND_UF&lt;&gt;"")*IND_PER))=0,UF_HOY,INDEX(IND_UF,MATCH(SUMPRODUCT(MAX((IND_PER&lt;=B2190)*(IND_UF&lt;&gt;"")*IND_PER)),IND_PER,0))))</f>
        <v/>
      </c>
      <c r="AK2190" s="87" t="str">
        <f aca="false">IF(AH2190="","",IF(COUNTIF(TASA_DESDE,"&lt;="&amp;B2190)=0,INDEX(TASA_EMP,1),INDEX(TASA_EMP,COUNTIF(TASA_DESDE,"&lt;="&amp;B2190))))</f>
        <v/>
      </c>
    </row>
    <row r="2191" customFormat="false" ht="15" hidden="false" customHeight="false" outlineLevel="0" collapsed="false">
      <c r="B2191" s="78"/>
      <c r="C2191" s="64"/>
      <c r="D2191" s="72" t="str">
        <f aca="false">IF(C2191="","",IFERROR(INDEX(T_NOMBRE,MATCH(C2191,T_ID,0)),"⚠ ID no existe"))</f>
        <v/>
      </c>
      <c r="E2191" s="69"/>
      <c r="F2191" s="67"/>
      <c r="G2191" s="67"/>
      <c r="H2191" s="67"/>
      <c r="I2191" s="67"/>
      <c r="J2191" s="67"/>
      <c r="K2191" s="85" t="str">
        <f aca="false">IF(AH2191="","",N(F2191)+N(G2191)+N(H2191)-N(I2191)+N(J2191))</f>
        <v/>
      </c>
      <c r="L2191" s="67"/>
      <c r="M2191" s="67"/>
      <c r="N2191" s="67"/>
      <c r="O2191" s="67"/>
      <c r="P2191" s="85" t="str">
        <f aca="false">IF(AH2191="","",K2191+N(L2191)+N(M2191)+N(N2191)+N(O2191))</f>
        <v/>
      </c>
      <c r="Q2191" s="67"/>
      <c r="R2191" s="67"/>
      <c r="S2191" s="67"/>
      <c r="T2191" s="67"/>
      <c r="U2191" s="67"/>
      <c r="V2191" s="67"/>
      <c r="W2191" s="85" t="str">
        <f aca="false">IF(AH2191="","",N(Q2191)+N(R2191)+N(S2191)+N(T2191)+N(U2191)+N(V2191))</f>
        <v/>
      </c>
      <c r="X2191" s="85" t="str">
        <f aca="false">IF(AH2191="","",P2191-W2191)</f>
        <v/>
      </c>
      <c r="Y2191" s="67"/>
      <c r="Z2191" s="70" t="str">
        <f aca="false">IF(OR(AH2191="",Y2191=""),"",IF(ABS(X2191-Y2191)&lt;=1,"✓ Cuadra","⚠ Diferencia $"&amp;FIXED(X2191-Y2191,0)))</f>
        <v/>
      </c>
      <c r="AA2191" s="72" t="str">
        <f aca="false">IF(AH2191="","",IFERROR(INDEX(C_TIPO,MATCH(C2191&amp;"-P"&amp;MAX(1,COUNTIFS(C_ID,C2191,C_DEFINE,"Sí",C_INICIO,"&lt;="&amp;EOMONTH(B2191,0))),C_CLAVE,0))&amp;"","Sin dato"))</f>
        <v/>
      </c>
      <c r="AB2191" s="71" t="str">
        <f aca="false">IF(AH2191="","",ROUND(MIN(K2191,TOPE_AFP_UF*AJ2191)*AK2191,0))</f>
        <v/>
      </c>
      <c r="AC2191" s="71" t="str">
        <f aca="false">IF(AH2191="","",ROUND(MIN(K2191,TOPE_AFC_UF*AJ2191)*IF(AA2191="Indefinido",AFC_EMP_INDEF,AFC_EMP_PF),0))</f>
        <v/>
      </c>
      <c r="AD2191" s="71" t="str">
        <f aca="false">IF(AH2191="","",ROUND(MIN(K2191,TOPE_AFP_UF*AJ2191)*(MUTUAL_BASICA+MUTUAL_ADIC+SANNA),0))</f>
        <v/>
      </c>
      <c r="AE2191" s="71" t="str">
        <f aca="false">IF(AH2191="","",P2191-N(N2191)+AB2191+AC2191+AD2191)</f>
        <v/>
      </c>
      <c r="AF2191" s="65"/>
      <c r="AG2191" s="64"/>
      <c r="AH2191" s="72" t="str">
        <f aca="false">IF(OR(B2191="",C2191=""),"",C2191&amp;"|"&amp;(YEAR(B2191)*100+MONTH(B2191)))</f>
        <v/>
      </c>
      <c r="AI2191" s="70" t="str">
        <f aca="false">IF(AH2191="","",IF(COUNTIF(L_CLAVE,AH2191)&gt;1,"⚠ Duplicado","OK"))</f>
        <v/>
      </c>
      <c r="AJ2191" s="86" t="str">
        <f aca="false">IF(AH2191="","",IF(SUMPRODUCT(MAX((IND_PER&lt;=B2191)*(IND_UF&lt;&gt;"")*IND_PER))=0,UF_HOY,INDEX(IND_UF,MATCH(SUMPRODUCT(MAX((IND_PER&lt;=B2191)*(IND_UF&lt;&gt;"")*IND_PER)),IND_PER,0))))</f>
        <v/>
      </c>
      <c r="AK2191" s="87" t="str">
        <f aca="false">IF(AH2191="","",IF(COUNTIF(TASA_DESDE,"&lt;="&amp;B2191)=0,INDEX(TASA_EMP,1),INDEX(TASA_EMP,COUNTIF(TASA_DESDE,"&lt;="&amp;B2191))))</f>
        <v/>
      </c>
    </row>
    <row r="2192" customFormat="false" ht="15" hidden="false" customHeight="false" outlineLevel="0" collapsed="false">
      <c r="B2192" s="78"/>
      <c r="C2192" s="64"/>
      <c r="D2192" s="72" t="str">
        <f aca="false">IF(C2192="","",IFERROR(INDEX(T_NOMBRE,MATCH(C2192,T_ID,0)),"⚠ ID no existe"))</f>
        <v/>
      </c>
      <c r="E2192" s="69"/>
      <c r="F2192" s="67"/>
      <c r="G2192" s="67"/>
      <c r="H2192" s="67"/>
      <c r="I2192" s="67"/>
      <c r="J2192" s="67"/>
      <c r="K2192" s="85" t="str">
        <f aca="false">IF(AH2192="","",N(F2192)+N(G2192)+N(H2192)-N(I2192)+N(J2192))</f>
        <v/>
      </c>
      <c r="L2192" s="67"/>
      <c r="M2192" s="67"/>
      <c r="N2192" s="67"/>
      <c r="O2192" s="67"/>
      <c r="P2192" s="85" t="str">
        <f aca="false">IF(AH2192="","",K2192+N(L2192)+N(M2192)+N(N2192)+N(O2192))</f>
        <v/>
      </c>
      <c r="Q2192" s="67"/>
      <c r="R2192" s="67"/>
      <c r="S2192" s="67"/>
      <c r="T2192" s="67"/>
      <c r="U2192" s="67"/>
      <c r="V2192" s="67"/>
      <c r="W2192" s="85" t="str">
        <f aca="false">IF(AH2192="","",N(Q2192)+N(R2192)+N(S2192)+N(T2192)+N(U2192)+N(V2192))</f>
        <v/>
      </c>
      <c r="X2192" s="85" t="str">
        <f aca="false">IF(AH2192="","",P2192-W2192)</f>
        <v/>
      </c>
      <c r="Y2192" s="67"/>
      <c r="Z2192" s="70" t="str">
        <f aca="false">IF(OR(AH2192="",Y2192=""),"",IF(ABS(X2192-Y2192)&lt;=1,"✓ Cuadra","⚠ Diferencia $"&amp;FIXED(X2192-Y2192,0)))</f>
        <v/>
      </c>
      <c r="AA2192" s="72" t="str">
        <f aca="false">IF(AH2192="","",IFERROR(INDEX(C_TIPO,MATCH(C2192&amp;"-P"&amp;MAX(1,COUNTIFS(C_ID,C2192,C_DEFINE,"Sí",C_INICIO,"&lt;="&amp;EOMONTH(B2192,0))),C_CLAVE,0))&amp;"","Sin dato"))</f>
        <v/>
      </c>
      <c r="AB2192" s="71" t="str">
        <f aca="false">IF(AH2192="","",ROUND(MIN(K2192,TOPE_AFP_UF*AJ2192)*AK2192,0))</f>
        <v/>
      </c>
      <c r="AC2192" s="71" t="str">
        <f aca="false">IF(AH2192="","",ROUND(MIN(K2192,TOPE_AFC_UF*AJ2192)*IF(AA2192="Indefinido",AFC_EMP_INDEF,AFC_EMP_PF),0))</f>
        <v/>
      </c>
      <c r="AD2192" s="71" t="str">
        <f aca="false">IF(AH2192="","",ROUND(MIN(K2192,TOPE_AFP_UF*AJ2192)*(MUTUAL_BASICA+MUTUAL_ADIC+SANNA),0))</f>
        <v/>
      </c>
      <c r="AE2192" s="71" t="str">
        <f aca="false">IF(AH2192="","",P2192-N(N2192)+AB2192+AC2192+AD2192)</f>
        <v/>
      </c>
      <c r="AF2192" s="65"/>
      <c r="AG2192" s="64"/>
      <c r="AH2192" s="72" t="str">
        <f aca="false">IF(OR(B2192="",C2192=""),"",C2192&amp;"|"&amp;(YEAR(B2192)*100+MONTH(B2192)))</f>
        <v/>
      </c>
      <c r="AI2192" s="70" t="str">
        <f aca="false">IF(AH2192="","",IF(COUNTIF(L_CLAVE,AH2192)&gt;1,"⚠ Duplicado","OK"))</f>
        <v/>
      </c>
      <c r="AJ2192" s="86" t="str">
        <f aca="false">IF(AH2192="","",IF(SUMPRODUCT(MAX((IND_PER&lt;=B2192)*(IND_UF&lt;&gt;"")*IND_PER))=0,UF_HOY,INDEX(IND_UF,MATCH(SUMPRODUCT(MAX((IND_PER&lt;=B2192)*(IND_UF&lt;&gt;"")*IND_PER)),IND_PER,0))))</f>
        <v/>
      </c>
      <c r="AK2192" s="87" t="str">
        <f aca="false">IF(AH2192="","",IF(COUNTIF(TASA_DESDE,"&lt;="&amp;B2192)=0,INDEX(TASA_EMP,1),INDEX(TASA_EMP,COUNTIF(TASA_DESDE,"&lt;="&amp;B2192))))</f>
        <v/>
      </c>
    </row>
    <row r="2193" customFormat="false" ht="15" hidden="false" customHeight="false" outlineLevel="0" collapsed="false">
      <c r="B2193" s="78"/>
      <c r="C2193" s="64"/>
      <c r="D2193" s="72" t="str">
        <f aca="false">IF(C2193="","",IFERROR(INDEX(T_NOMBRE,MATCH(C2193,T_ID,0)),"⚠ ID no existe"))</f>
        <v/>
      </c>
      <c r="E2193" s="69"/>
      <c r="F2193" s="67"/>
      <c r="G2193" s="67"/>
      <c r="H2193" s="67"/>
      <c r="I2193" s="67"/>
      <c r="J2193" s="67"/>
      <c r="K2193" s="85" t="str">
        <f aca="false">IF(AH2193="","",N(F2193)+N(G2193)+N(H2193)-N(I2193)+N(J2193))</f>
        <v/>
      </c>
      <c r="L2193" s="67"/>
      <c r="M2193" s="67"/>
      <c r="N2193" s="67"/>
      <c r="O2193" s="67"/>
      <c r="P2193" s="85" t="str">
        <f aca="false">IF(AH2193="","",K2193+N(L2193)+N(M2193)+N(N2193)+N(O2193))</f>
        <v/>
      </c>
      <c r="Q2193" s="67"/>
      <c r="R2193" s="67"/>
      <c r="S2193" s="67"/>
      <c r="T2193" s="67"/>
      <c r="U2193" s="67"/>
      <c r="V2193" s="67"/>
      <c r="W2193" s="85" t="str">
        <f aca="false">IF(AH2193="","",N(Q2193)+N(R2193)+N(S2193)+N(T2193)+N(U2193)+N(V2193))</f>
        <v/>
      </c>
      <c r="X2193" s="85" t="str">
        <f aca="false">IF(AH2193="","",P2193-W2193)</f>
        <v/>
      </c>
      <c r="Y2193" s="67"/>
      <c r="Z2193" s="70" t="str">
        <f aca="false">IF(OR(AH2193="",Y2193=""),"",IF(ABS(X2193-Y2193)&lt;=1,"✓ Cuadra","⚠ Diferencia $"&amp;FIXED(X2193-Y2193,0)))</f>
        <v/>
      </c>
      <c r="AA2193" s="72" t="str">
        <f aca="false">IF(AH2193="","",IFERROR(INDEX(C_TIPO,MATCH(C2193&amp;"-P"&amp;MAX(1,COUNTIFS(C_ID,C2193,C_DEFINE,"Sí",C_INICIO,"&lt;="&amp;EOMONTH(B2193,0))),C_CLAVE,0))&amp;"","Sin dato"))</f>
        <v/>
      </c>
      <c r="AB2193" s="71" t="str">
        <f aca="false">IF(AH2193="","",ROUND(MIN(K2193,TOPE_AFP_UF*AJ2193)*AK2193,0))</f>
        <v/>
      </c>
      <c r="AC2193" s="71" t="str">
        <f aca="false">IF(AH2193="","",ROUND(MIN(K2193,TOPE_AFC_UF*AJ2193)*IF(AA2193="Indefinido",AFC_EMP_INDEF,AFC_EMP_PF),0))</f>
        <v/>
      </c>
      <c r="AD2193" s="71" t="str">
        <f aca="false">IF(AH2193="","",ROUND(MIN(K2193,TOPE_AFP_UF*AJ2193)*(MUTUAL_BASICA+MUTUAL_ADIC+SANNA),0))</f>
        <v/>
      </c>
      <c r="AE2193" s="71" t="str">
        <f aca="false">IF(AH2193="","",P2193-N(N2193)+AB2193+AC2193+AD2193)</f>
        <v/>
      </c>
      <c r="AF2193" s="65"/>
      <c r="AG2193" s="64"/>
      <c r="AH2193" s="72" t="str">
        <f aca="false">IF(OR(B2193="",C2193=""),"",C2193&amp;"|"&amp;(YEAR(B2193)*100+MONTH(B2193)))</f>
        <v/>
      </c>
      <c r="AI2193" s="70" t="str">
        <f aca="false">IF(AH2193="","",IF(COUNTIF(L_CLAVE,AH2193)&gt;1,"⚠ Duplicado","OK"))</f>
        <v/>
      </c>
      <c r="AJ2193" s="86" t="str">
        <f aca="false">IF(AH2193="","",IF(SUMPRODUCT(MAX((IND_PER&lt;=B2193)*(IND_UF&lt;&gt;"")*IND_PER))=0,UF_HOY,INDEX(IND_UF,MATCH(SUMPRODUCT(MAX((IND_PER&lt;=B2193)*(IND_UF&lt;&gt;"")*IND_PER)),IND_PER,0))))</f>
        <v/>
      </c>
      <c r="AK2193" s="87" t="str">
        <f aca="false">IF(AH2193="","",IF(COUNTIF(TASA_DESDE,"&lt;="&amp;B2193)=0,INDEX(TASA_EMP,1),INDEX(TASA_EMP,COUNTIF(TASA_DESDE,"&lt;="&amp;B2193))))</f>
        <v/>
      </c>
    </row>
    <row r="2194" customFormat="false" ht="15" hidden="false" customHeight="false" outlineLevel="0" collapsed="false">
      <c r="B2194" s="78"/>
      <c r="C2194" s="64"/>
      <c r="D2194" s="72" t="str">
        <f aca="false">IF(C2194="","",IFERROR(INDEX(T_NOMBRE,MATCH(C2194,T_ID,0)),"⚠ ID no existe"))</f>
        <v/>
      </c>
      <c r="E2194" s="69"/>
      <c r="F2194" s="67"/>
      <c r="G2194" s="67"/>
      <c r="H2194" s="67"/>
      <c r="I2194" s="67"/>
      <c r="J2194" s="67"/>
      <c r="K2194" s="85" t="str">
        <f aca="false">IF(AH2194="","",N(F2194)+N(G2194)+N(H2194)-N(I2194)+N(J2194))</f>
        <v/>
      </c>
      <c r="L2194" s="67"/>
      <c r="M2194" s="67"/>
      <c r="N2194" s="67"/>
      <c r="O2194" s="67"/>
      <c r="P2194" s="85" t="str">
        <f aca="false">IF(AH2194="","",K2194+N(L2194)+N(M2194)+N(N2194)+N(O2194))</f>
        <v/>
      </c>
      <c r="Q2194" s="67"/>
      <c r="R2194" s="67"/>
      <c r="S2194" s="67"/>
      <c r="T2194" s="67"/>
      <c r="U2194" s="67"/>
      <c r="V2194" s="67"/>
      <c r="W2194" s="85" t="str">
        <f aca="false">IF(AH2194="","",N(Q2194)+N(R2194)+N(S2194)+N(T2194)+N(U2194)+N(V2194))</f>
        <v/>
      </c>
      <c r="X2194" s="85" t="str">
        <f aca="false">IF(AH2194="","",P2194-W2194)</f>
        <v/>
      </c>
      <c r="Y2194" s="67"/>
      <c r="Z2194" s="70" t="str">
        <f aca="false">IF(OR(AH2194="",Y2194=""),"",IF(ABS(X2194-Y2194)&lt;=1,"✓ Cuadra","⚠ Diferencia $"&amp;FIXED(X2194-Y2194,0)))</f>
        <v/>
      </c>
      <c r="AA2194" s="72" t="str">
        <f aca="false">IF(AH2194="","",IFERROR(INDEX(C_TIPO,MATCH(C2194&amp;"-P"&amp;MAX(1,COUNTIFS(C_ID,C2194,C_DEFINE,"Sí",C_INICIO,"&lt;="&amp;EOMONTH(B2194,0))),C_CLAVE,0))&amp;"","Sin dato"))</f>
        <v/>
      </c>
      <c r="AB2194" s="71" t="str">
        <f aca="false">IF(AH2194="","",ROUND(MIN(K2194,TOPE_AFP_UF*AJ2194)*AK2194,0))</f>
        <v/>
      </c>
      <c r="AC2194" s="71" t="str">
        <f aca="false">IF(AH2194="","",ROUND(MIN(K2194,TOPE_AFC_UF*AJ2194)*IF(AA2194="Indefinido",AFC_EMP_INDEF,AFC_EMP_PF),0))</f>
        <v/>
      </c>
      <c r="AD2194" s="71" t="str">
        <f aca="false">IF(AH2194="","",ROUND(MIN(K2194,TOPE_AFP_UF*AJ2194)*(MUTUAL_BASICA+MUTUAL_ADIC+SANNA),0))</f>
        <v/>
      </c>
      <c r="AE2194" s="71" t="str">
        <f aca="false">IF(AH2194="","",P2194-N(N2194)+AB2194+AC2194+AD2194)</f>
        <v/>
      </c>
      <c r="AF2194" s="65"/>
      <c r="AG2194" s="64"/>
      <c r="AH2194" s="72" t="str">
        <f aca="false">IF(OR(B2194="",C2194=""),"",C2194&amp;"|"&amp;(YEAR(B2194)*100+MONTH(B2194)))</f>
        <v/>
      </c>
      <c r="AI2194" s="70" t="str">
        <f aca="false">IF(AH2194="","",IF(COUNTIF(L_CLAVE,AH2194)&gt;1,"⚠ Duplicado","OK"))</f>
        <v/>
      </c>
      <c r="AJ2194" s="86" t="str">
        <f aca="false">IF(AH2194="","",IF(SUMPRODUCT(MAX((IND_PER&lt;=B2194)*(IND_UF&lt;&gt;"")*IND_PER))=0,UF_HOY,INDEX(IND_UF,MATCH(SUMPRODUCT(MAX((IND_PER&lt;=B2194)*(IND_UF&lt;&gt;"")*IND_PER)),IND_PER,0))))</f>
        <v/>
      </c>
      <c r="AK2194" s="87" t="str">
        <f aca="false">IF(AH2194="","",IF(COUNTIF(TASA_DESDE,"&lt;="&amp;B2194)=0,INDEX(TASA_EMP,1),INDEX(TASA_EMP,COUNTIF(TASA_DESDE,"&lt;="&amp;B2194))))</f>
        <v/>
      </c>
    </row>
    <row r="2195" customFormat="false" ht="15" hidden="false" customHeight="false" outlineLevel="0" collapsed="false">
      <c r="B2195" s="78"/>
      <c r="C2195" s="64"/>
      <c r="D2195" s="72" t="str">
        <f aca="false">IF(C2195="","",IFERROR(INDEX(T_NOMBRE,MATCH(C2195,T_ID,0)),"⚠ ID no existe"))</f>
        <v/>
      </c>
      <c r="E2195" s="69"/>
      <c r="F2195" s="67"/>
      <c r="G2195" s="67"/>
      <c r="H2195" s="67"/>
      <c r="I2195" s="67"/>
      <c r="J2195" s="67"/>
      <c r="K2195" s="85" t="str">
        <f aca="false">IF(AH2195="","",N(F2195)+N(G2195)+N(H2195)-N(I2195)+N(J2195))</f>
        <v/>
      </c>
      <c r="L2195" s="67"/>
      <c r="M2195" s="67"/>
      <c r="N2195" s="67"/>
      <c r="O2195" s="67"/>
      <c r="P2195" s="85" t="str">
        <f aca="false">IF(AH2195="","",K2195+N(L2195)+N(M2195)+N(N2195)+N(O2195))</f>
        <v/>
      </c>
      <c r="Q2195" s="67"/>
      <c r="R2195" s="67"/>
      <c r="S2195" s="67"/>
      <c r="T2195" s="67"/>
      <c r="U2195" s="67"/>
      <c r="V2195" s="67"/>
      <c r="W2195" s="85" t="str">
        <f aca="false">IF(AH2195="","",N(Q2195)+N(R2195)+N(S2195)+N(T2195)+N(U2195)+N(V2195))</f>
        <v/>
      </c>
      <c r="X2195" s="85" t="str">
        <f aca="false">IF(AH2195="","",P2195-W2195)</f>
        <v/>
      </c>
      <c r="Y2195" s="67"/>
      <c r="Z2195" s="70" t="str">
        <f aca="false">IF(OR(AH2195="",Y2195=""),"",IF(ABS(X2195-Y2195)&lt;=1,"✓ Cuadra","⚠ Diferencia $"&amp;FIXED(X2195-Y2195,0)))</f>
        <v/>
      </c>
      <c r="AA2195" s="72" t="str">
        <f aca="false">IF(AH2195="","",IFERROR(INDEX(C_TIPO,MATCH(C2195&amp;"-P"&amp;MAX(1,COUNTIFS(C_ID,C2195,C_DEFINE,"Sí",C_INICIO,"&lt;="&amp;EOMONTH(B2195,0))),C_CLAVE,0))&amp;"","Sin dato"))</f>
        <v/>
      </c>
      <c r="AB2195" s="71" t="str">
        <f aca="false">IF(AH2195="","",ROUND(MIN(K2195,TOPE_AFP_UF*AJ2195)*AK2195,0))</f>
        <v/>
      </c>
      <c r="AC2195" s="71" t="str">
        <f aca="false">IF(AH2195="","",ROUND(MIN(K2195,TOPE_AFC_UF*AJ2195)*IF(AA2195="Indefinido",AFC_EMP_INDEF,AFC_EMP_PF),0))</f>
        <v/>
      </c>
      <c r="AD2195" s="71" t="str">
        <f aca="false">IF(AH2195="","",ROUND(MIN(K2195,TOPE_AFP_UF*AJ2195)*(MUTUAL_BASICA+MUTUAL_ADIC+SANNA),0))</f>
        <v/>
      </c>
      <c r="AE2195" s="71" t="str">
        <f aca="false">IF(AH2195="","",P2195-N(N2195)+AB2195+AC2195+AD2195)</f>
        <v/>
      </c>
      <c r="AF2195" s="65"/>
      <c r="AG2195" s="64"/>
      <c r="AH2195" s="72" t="str">
        <f aca="false">IF(OR(B2195="",C2195=""),"",C2195&amp;"|"&amp;(YEAR(B2195)*100+MONTH(B2195)))</f>
        <v/>
      </c>
      <c r="AI2195" s="70" t="str">
        <f aca="false">IF(AH2195="","",IF(COUNTIF(L_CLAVE,AH2195)&gt;1,"⚠ Duplicado","OK"))</f>
        <v/>
      </c>
      <c r="AJ2195" s="86" t="str">
        <f aca="false">IF(AH2195="","",IF(SUMPRODUCT(MAX((IND_PER&lt;=B2195)*(IND_UF&lt;&gt;"")*IND_PER))=0,UF_HOY,INDEX(IND_UF,MATCH(SUMPRODUCT(MAX((IND_PER&lt;=B2195)*(IND_UF&lt;&gt;"")*IND_PER)),IND_PER,0))))</f>
        <v/>
      </c>
      <c r="AK2195" s="87" t="str">
        <f aca="false">IF(AH2195="","",IF(COUNTIF(TASA_DESDE,"&lt;="&amp;B2195)=0,INDEX(TASA_EMP,1),INDEX(TASA_EMP,COUNTIF(TASA_DESDE,"&lt;="&amp;B2195))))</f>
        <v/>
      </c>
    </row>
    <row r="2196" customFormat="false" ht="15" hidden="false" customHeight="false" outlineLevel="0" collapsed="false">
      <c r="B2196" s="78"/>
      <c r="C2196" s="64"/>
      <c r="D2196" s="72" t="str">
        <f aca="false">IF(C2196="","",IFERROR(INDEX(T_NOMBRE,MATCH(C2196,T_ID,0)),"⚠ ID no existe"))</f>
        <v/>
      </c>
      <c r="E2196" s="69"/>
      <c r="F2196" s="67"/>
      <c r="G2196" s="67"/>
      <c r="H2196" s="67"/>
      <c r="I2196" s="67"/>
      <c r="J2196" s="67"/>
      <c r="K2196" s="85" t="str">
        <f aca="false">IF(AH2196="","",N(F2196)+N(G2196)+N(H2196)-N(I2196)+N(J2196))</f>
        <v/>
      </c>
      <c r="L2196" s="67"/>
      <c r="M2196" s="67"/>
      <c r="N2196" s="67"/>
      <c r="O2196" s="67"/>
      <c r="P2196" s="85" t="str">
        <f aca="false">IF(AH2196="","",K2196+N(L2196)+N(M2196)+N(N2196)+N(O2196))</f>
        <v/>
      </c>
      <c r="Q2196" s="67"/>
      <c r="R2196" s="67"/>
      <c r="S2196" s="67"/>
      <c r="T2196" s="67"/>
      <c r="U2196" s="67"/>
      <c r="V2196" s="67"/>
      <c r="W2196" s="85" t="str">
        <f aca="false">IF(AH2196="","",N(Q2196)+N(R2196)+N(S2196)+N(T2196)+N(U2196)+N(V2196))</f>
        <v/>
      </c>
      <c r="X2196" s="85" t="str">
        <f aca="false">IF(AH2196="","",P2196-W2196)</f>
        <v/>
      </c>
      <c r="Y2196" s="67"/>
      <c r="Z2196" s="70" t="str">
        <f aca="false">IF(OR(AH2196="",Y2196=""),"",IF(ABS(X2196-Y2196)&lt;=1,"✓ Cuadra","⚠ Diferencia $"&amp;FIXED(X2196-Y2196,0)))</f>
        <v/>
      </c>
      <c r="AA2196" s="72" t="str">
        <f aca="false">IF(AH2196="","",IFERROR(INDEX(C_TIPO,MATCH(C2196&amp;"-P"&amp;MAX(1,COUNTIFS(C_ID,C2196,C_DEFINE,"Sí",C_INICIO,"&lt;="&amp;EOMONTH(B2196,0))),C_CLAVE,0))&amp;"","Sin dato"))</f>
        <v/>
      </c>
      <c r="AB2196" s="71" t="str">
        <f aca="false">IF(AH2196="","",ROUND(MIN(K2196,TOPE_AFP_UF*AJ2196)*AK2196,0))</f>
        <v/>
      </c>
      <c r="AC2196" s="71" t="str">
        <f aca="false">IF(AH2196="","",ROUND(MIN(K2196,TOPE_AFC_UF*AJ2196)*IF(AA2196="Indefinido",AFC_EMP_INDEF,AFC_EMP_PF),0))</f>
        <v/>
      </c>
      <c r="AD2196" s="71" t="str">
        <f aca="false">IF(AH2196="","",ROUND(MIN(K2196,TOPE_AFP_UF*AJ2196)*(MUTUAL_BASICA+MUTUAL_ADIC+SANNA),0))</f>
        <v/>
      </c>
      <c r="AE2196" s="71" t="str">
        <f aca="false">IF(AH2196="","",P2196-N(N2196)+AB2196+AC2196+AD2196)</f>
        <v/>
      </c>
      <c r="AF2196" s="65"/>
      <c r="AG2196" s="64"/>
      <c r="AH2196" s="72" t="str">
        <f aca="false">IF(OR(B2196="",C2196=""),"",C2196&amp;"|"&amp;(YEAR(B2196)*100+MONTH(B2196)))</f>
        <v/>
      </c>
      <c r="AI2196" s="70" t="str">
        <f aca="false">IF(AH2196="","",IF(COUNTIF(L_CLAVE,AH2196)&gt;1,"⚠ Duplicado","OK"))</f>
        <v/>
      </c>
      <c r="AJ2196" s="86" t="str">
        <f aca="false">IF(AH2196="","",IF(SUMPRODUCT(MAX((IND_PER&lt;=B2196)*(IND_UF&lt;&gt;"")*IND_PER))=0,UF_HOY,INDEX(IND_UF,MATCH(SUMPRODUCT(MAX((IND_PER&lt;=B2196)*(IND_UF&lt;&gt;"")*IND_PER)),IND_PER,0))))</f>
        <v/>
      </c>
      <c r="AK2196" s="87" t="str">
        <f aca="false">IF(AH2196="","",IF(COUNTIF(TASA_DESDE,"&lt;="&amp;B2196)=0,INDEX(TASA_EMP,1),INDEX(TASA_EMP,COUNTIF(TASA_DESDE,"&lt;="&amp;B2196))))</f>
        <v/>
      </c>
    </row>
    <row r="2197" customFormat="false" ht="15" hidden="false" customHeight="false" outlineLevel="0" collapsed="false">
      <c r="B2197" s="78"/>
      <c r="C2197" s="64"/>
      <c r="D2197" s="72" t="str">
        <f aca="false">IF(C2197="","",IFERROR(INDEX(T_NOMBRE,MATCH(C2197,T_ID,0)),"⚠ ID no existe"))</f>
        <v/>
      </c>
      <c r="E2197" s="69"/>
      <c r="F2197" s="67"/>
      <c r="G2197" s="67"/>
      <c r="H2197" s="67"/>
      <c r="I2197" s="67"/>
      <c r="J2197" s="67"/>
      <c r="K2197" s="85" t="str">
        <f aca="false">IF(AH2197="","",N(F2197)+N(G2197)+N(H2197)-N(I2197)+N(J2197))</f>
        <v/>
      </c>
      <c r="L2197" s="67"/>
      <c r="M2197" s="67"/>
      <c r="N2197" s="67"/>
      <c r="O2197" s="67"/>
      <c r="P2197" s="85" t="str">
        <f aca="false">IF(AH2197="","",K2197+N(L2197)+N(M2197)+N(N2197)+N(O2197))</f>
        <v/>
      </c>
      <c r="Q2197" s="67"/>
      <c r="R2197" s="67"/>
      <c r="S2197" s="67"/>
      <c r="T2197" s="67"/>
      <c r="U2197" s="67"/>
      <c r="V2197" s="67"/>
      <c r="W2197" s="85" t="str">
        <f aca="false">IF(AH2197="","",N(Q2197)+N(R2197)+N(S2197)+N(T2197)+N(U2197)+N(V2197))</f>
        <v/>
      </c>
      <c r="X2197" s="85" t="str">
        <f aca="false">IF(AH2197="","",P2197-W2197)</f>
        <v/>
      </c>
      <c r="Y2197" s="67"/>
      <c r="Z2197" s="70" t="str">
        <f aca="false">IF(OR(AH2197="",Y2197=""),"",IF(ABS(X2197-Y2197)&lt;=1,"✓ Cuadra","⚠ Diferencia $"&amp;FIXED(X2197-Y2197,0)))</f>
        <v/>
      </c>
      <c r="AA2197" s="72" t="str">
        <f aca="false">IF(AH2197="","",IFERROR(INDEX(C_TIPO,MATCH(C2197&amp;"-P"&amp;MAX(1,COUNTIFS(C_ID,C2197,C_DEFINE,"Sí",C_INICIO,"&lt;="&amp;EOMONTH(B2197,0))),C_CLAVE,0))&amp;"","Sin dato"))</f>
        <v/>
      </c>
      <c r="AB2197" s="71" t="str">
        <f aca="false">IF(AH2197="","",ROUND(MIN(K2197,TOPE_AFP_UF*AJ2197)*AK2197,0))</f>
        <v/>
      </c>
      <c r="AC2197" s="71" t="str">
        <f aca="false">IF(AH2197="","",ROUND(MIN(K2197,TOPE_AFC_UF*AJ2197)*IF(AA2197="Indefinido",AFC_EMP_INDEF,AFC_EMP_PF),0))</f>
        <v/>
      </c>
      <c r="AD2197" s="71" t="str">
        <f aca="false">IF(AH2197="","",ROUND(MIN(K2197,TOPE_AFP_UF*AJ2197)*(MUTUAL_BASICA+MUTUAL_ADIC+SANNA),0))</f>
        <v/>
      </c>
      <c r="AE2197" s="71" t="str">
        <f aca="false">IF(AH2197="","",P2197-N(N2197)+AB2197+AC2197+AD2197)</f>
        <v/>
      </c>
      <c r="AF2197" s="65"/>
      <c r="AG2197" s="64"/>
      <c r="AH2197" s="72" t="str">
        <f aca="false">IF(OR(B2197="",C2197=""),"",C2197&amp;"|"&amp;(YEAR(B2197)*100+MONTH(B2197)))</f>
        <v/>
      </c>
      <c r="AI2197" s="70" t="str">
        <f aca="false">IF(AH2197="","",IF(COUNTIF(L_CLAVE,AH2197)&gt;1,"⚠ Duplicado","OK"))</f>
        <v/>
      </c>
      <c r="AJ2197" s="86" t="str">
        <f aca="false">IF(AH2197="","",IF(SUMPRODUCT(MAX((IND_PER&lt;=B2197)*(IND_UF&lt;&gt;"")*IND_PER))=0,UF_HOY,INDEX(IND_UF,MATCH(SUMPRODUCT(MAX((IND_PER&lt;=B2197)*(IND_UF&lt;&gt;"")*IND_PER)),IND_PER,0))))</f>
        <v/>
      </c>
      <c r="AK2197" s="87" t="str">
        <f aca="false">IF(AH2197="","",IF(COUNTIF(TASA_DESDE,"&lt;="&amp;B2197)=0,INDEX(TASA_EMP,1),INDEX(TASA_EMP,COUNTIF(TASA_DESDE,"&lt;="&amp;B2197))))</f>
        <v/>
      </c>
    </row>
    <row r="2198" customFormat="false" ht="15" hidden="false" customHeight="false" outlineLevel="0" collapsed="false">
      <c r="B2198" s="78"/>
      <c r="C2198" s="64"/>
      <c r="D2198" s="72" t="str">
        <f aca="false">IF(C2198="","",IFERROR(INDEX(T_NOMBRE,MATCH(C2198,T_ID,0)),"⚠ ID no existe"))</f>
        <v/>
      </c>
      <c r="E2198" s="69"/>
      <c r="F2198" s="67"/>
      <c r="G2198" s="67"/>
      <c r="H2198" s="67"/>
      <c r="I2198" s="67"/>
      <c r="J2198" s="67"/>
      <c r="K2198" s="85" t="str">
        <f aca="false">IF(AH2198="","",N(F2198)+N(G2198)+N(H2198)-N(I2198)+N(J2198))</f>
        <v/>
      </c>
      <c r="L2198" s="67"/>
      <c r="M2198" s="67"/>
      <c r="N2198" s="67"/>
      <c r="O2198" s="67"/>
      <c r="P2198" s="85" t="str">
        <f aca="false">IF(AH2198="","",K2198+N(L2198)+N(M2198)+N(N2198)+N(O2198))</f>
        <v/>
      </c>
      <c r="Q2198" s="67"/>
      <c r="R2198" s="67"/>
      <c r="S2198" s="67"/>
      <c r="T2198" s="67"/>
      <c r="U2198" s="67"/>
      <c r="V2198" s="67"/>
      <c r="W2198" s="85" t="str">
        <f aca="false">IF(AH2198="","",N(Q2198)+N(R2198)+N(S2198)+N(T2198)+N(U2198)+N(V2198))</f>
        <v/>
      </c>
      <c r="X2198" s="85" t="str">
        <f aca="false">IF(AH2198="","",P2198-W2198)</f>
        <v/>
      </c>
      <c r="Y2198" s="67"/>
      <c r="Z2198" s="70" t="str">
        <f aca="false">IF(OR(AH2198="",Y2198=""),"",IF(ABS(X2198-Y2198)&lt;=1,"✓ Cuadra","⚠ Diferencia $"&amp;FIXED(X2198-Y2198,0)))</f>
        <v/>
      </c>
      <c r="AA2198" s="72" t="str">
        <f aca="false">IF(AH2198="","",IFERROR(INDEX(C_TIPO,MATCH(C2198&amp;"-P"&amp;MAX(1,COUNTIFS(C_ID,C2198,C_DEFINE,"Sí",C_INICIO,"&lt;="&amp;EOMONTH(B2198,0))),C_CLAVE,0))&amp;"","Sin dato"))</f>
        <v/>
      </c>
      <c r="AB2198" s="71" t="str">
        <f aca="false">IF(AH2198="","",ROUND(MIN(K2198,TOPE_AFP_UF*AJ2198)*AK2198,0))</f>
        <v/>
      </c>
      <c r="AC2198" s="71" t="str">
        <f aca="false">IF(AH2198="","",ROUND(MIN(K2198,TOPE_AFC_UF*AJ2198)*IF(AA2198="Indefinido",AFC_EMP_INDEF,AFC_EMP_PF),0))</f>
        <v/>
      </c>
      <c r="AD2198" s="71" t="str">
        <f aca="false">IF(AH2198="","",ROUND(MIN(K2198,TOPE_AFP_UF*AJ2198)*(MUTUAL_BASICA+MUTUAL_ADIC+SANNA),0))</f>
        <v/>
      </c>
      <c r="AE2198" s="71" t="str">
        <f aca="false">IF(AH2198="","",P2198-N(N2198)+AB2198+AC2198+AD2198)</f>
        <v/>
      </c>
      <c r="AF2198" s="65"/>
      <c r="AG2198" s="64"/>
      <c r="AH2198" s="72" t="str">
        <f aca="false">IF(OR(B2198="",C2198=""),"",C2198&amp;"|"&amp;(YEAR(B2198)*100+MONTH(B2198)))</f>
        <v/>
      </c>
      <c r="AI2198" s="70" t="str">
        <f aca="false">IF(AH2198="","",IF(COUNTIF(L_CLAVE,AH2198)&gt;1,"⚠ Duplicado","OK"))</f>
        <v/>
      </c>
      <c r="AJ2198" s="86" t="str">
        <f aca="false">IF(AH2198="","",IF(SUMPRODUCT(MAX((IND_PER&lt;=B2198)*(IND_UF&lt;&gt;"")*IND_PER))=0,UF_HOY,INDEX(IND_UF,MATCH(SUMPRODUCT(MAX((IND_PER&lt;=B2198)*(IND_UF&lt;&gt;"")*IND_PER)),IND_PER,0))))</f>
        <v/>
      </c>
      <c r="AK2198" s="87" t="str">
        <f aca="false">IF(AH2198="","",IF(COUNTIF(TASA_DESDE,"&lt;="&amp;B2198)=0,INDEX(TASA_EMP,1),INDEX(TASA_EMP,COUNTIF(TASA_DESDE,"&lt;="&amp;B2198))))</f>
        <v/>
      </c>
    </row>
    <row r="2199" customFormat="false" ht="15" hidden="false" customHeight="false" outlineLevel="0" collapsed="false">
      <c r="B2199" s="78"/>
      <c r="C2199" s="64"/>
      <c r="D2199" s="72" t="str">
        <f aca="false">IF(C2199="","",IFERROR(INDEX(T_NOMBRE,MATCH(C2199,T_ID,0)),"⚠ ID no existe"))</f>
        <v/>
      </c>
      <c r="E2199" s="69"/>
      <c r="F2199" s="67"/>
      <c r="G2199" s="67"/>
      <c r="H2199" s="67"/>
      <c r="I2199" s="67"/>
      <c r="J2199" s="67"/>
      <c r="K2199" s="85" t="str">
        <f aca="false">IF(AH2199="","",N(F2199)+N(G2199)+N(H2199)-N(I2199)+N(J2199))</f>
        <v/>
      </c>
      <c r="L2199" s="67"/>
      <c r="M2199" s="67"/>
      <c r="N2199" s="67"/>
      <c r="O2199" s="67"/>
      <c r="P2199" s="85" t="str">
        <f aca="false">IF(AH2199="","",K2199+N(L2199)+N(M2199)+N(N2199)+N(O2199))</f>
        <v/>
      </c>
      <c r="Q2199" s="67"/>
      <c r="R2199" s="67"/>
      <c r="S2199" s="67"/>
      <c r="T2199" s="67"/>
      <c r="U2199" s="67"/>
      <c r="V2199" s="67"/>
      <c r="W2199" s="85" t="str">
        <f aca="false">IF(AH2199="","",N(Q2199)+N(R2199)+N(S2199)+N(T2199)+N(U2199)+N(V2199))</f>
        <v/>
      </c>
      <c r="X2199" s="85" t="str">
        <f aca="false">IF(AH2199="","",P2199-W2199)</f>
        <v/>
      </c>
      <c r="Y2199" s="67"/>
      <c r="Z2199" s="70" t="str">
        <f aca="false">IF(OR(AH2199="",Y2199=""),"",IF(ABS(X2199-Y2199)&lt;=1,"✓ Cuadra","⚠ Diferencia $"&amp;FIXED(X2199-Y2199,0)))</f>
        <v/>
      </c>
      <c r="AA2199" s="72" t="str">
        <f aca="false">IF(AH2199="","",IFERROR(INDEX(C_TIPO,MATCH(C2199&amp;"-P"&amp;MAX(1,COUNTIFS(C_ID,C2199,C_DEFINE,"Sí",C_INICIO,"&lt;="&amp;EOMONTH(B2199,0))),C_CLAVE,0))&amp;"","Sin dato"))</f>
        <v/>
      </c>
      <c r="AB2199" s="71" t="str">
        <f aca="false">IF(AH2199="","",ROUND(MIN(K2199,TOPE_AFP_UF*AJ2199)*AK2199,0))</f>
        <v/>
      </c>
      <c r="AC2199" s="71" t="str">
        <f aca="false">IF(AH2199="","",ROUND(MIN(K2199,TOPE_AFC_UF*AJ2199)*IF(AA2199="Indefinido",AFC_EMP_INDEF,AFC_EMP_PF),0))</f>
        <v/>
      </c>
      <c r="AD2199" s="71" t="str">
        <f aca="false">IF(AH2199="","",ROUND(MIN(K2199,TOPE_AFP_UF*AJ2199)*(MUTUAL_BASICA+MUTUAL_ADIC+SANNA),0))</f>
        <v/>
      </c>
      <c r="AE2199" s="71" t="str">
        <f aca="false">IF(AH2199="","",P2199-N(N2199)+AB2199+AC2199+AD2199)</f>
        <v/>
      </c>
      <c r="AF2199" s="65"/>
      <c r="AG2199" s="64"/>
      <c r="AH2199" s="72" t="str">
        <f aca="false">IF(OR(B2199="",C2199=""),"",C2199&amp;"|"&amp;(YEAR(B2199)*100+MONTH(B2199)))</f>
        <v/>
      </c>
      <c r="AI2199" s="70" t="str">
        <f aca="false">IF(AH2199="","",IF(COUNTIF(L_CLAVE,AH2199)&gt;1,"⚠ Duplicado","OK"))</f>
        <v/>
      </c>
      <c r="AJ2199" s="86" t="str">
        <f aca="false">IF(AH2199="","",IF(SUMPRODUCT(MAX((IND_PER&lt;=B2199)*(IND_UF&lt;&gt;"")*IND_PER))=0,UF_HOY,INDEX(IND_UF,MATCH(SUMPRODUCT(MAX((IND_PER&lt;=B2199)*(IND_UF&lt;&gt;"")*IND_PER)),IND_PER,0))))</f>
        <v/>
      </c>
      <c r="AK2199" s="87" t="str">
        <f aca="false">IF(AH2199="","",IF(COUNTIF(TASA_DESDE,"&lt;="&amp;B2199)=0,INDEX(TASA_EMP,1),INDEX(TASA_EMP,COUNTIF(TASA_DESDE,"&lt;="&amp;B2199))))</f>
        <v/>
      </c>
    </row>
    <row r="2200" customFormat="false" ht="15" hidden="false" customHeight="false" outlineLevel="0" collapsed="false">
      <c r="B2200" s="78"/>
      <c r="C2200" s="64"/>
      <c r="D2200" s="72" t="str">
        <f aca="false">IF(C2200="","",IFERROR(INDEX(T_NOMBRE,MATCH(C2200,T_ID,0)),"⚠ ID no existe"))</f>
        <v/>
      </c>
      <c r="E2200" s="69"/>
      <c r="F2200" s="67"/>
      <c r="G2200" s="67"/>
      <c r="H2200" s="67"/>
      <c r="I2200" s="67"/>
      <c r="J2200" s="67"/>
      <c r="K2200" s="85" t="str">
        <f aca="false">IF(AH2200="","",N(F2200)+N(G2200)+N(H2200)-N(I2200)+N(J2200))</f>
        <v/>
      </c>
      <c r="L2200" s="67"/>
      <c r="M2200" s="67"/>
      <c r="N2200" s="67"/>
      <c r="O2200" s="67"/>
      <c r="P2200" s="85" t="str">
        <f aca="false">IF(AH2200="","",K2200+N(L2200)+N(M2200)+N(N2200)+N(O2200))</f>
        <v/>
      </c>
      <c r="Q2200" s="67"/>
      <c r="R2200" s="67"/>
      <c r="S2200" s="67"/>
      <c r="T2200" s="67"/>
      <c r="U2200" s="67"/>
      <c r="V2200" s="67"/>
      <c r="W2200" s="85" t="str">
        <f aca="false">IF(AH2200="","",N(Q2200)+N(R2200)+N(S2200)+N(T2200)+N(U2200)+N(V2200))</f>
        <v/>
      </c>
      <c r="X2200" s="85" t="str">
        <f aca="false">IF(AH2200="","",P2200-W2200)</f>
        <v/>
      </c>
      <c r="Y2200" s="67"/>
      <c r="Z2200" s="70" t="str">
        <f aca="false">IF(OR(AH2200="",Y2200=""),"",IF(ABS(X2200-Y2200)&lt;=1,"✓ Cuadra","⚠ Diferencia $"&amp;FIXED(X2200-Y2200,0)))</f>
        <v/>
      </c>
      <c r="AA2200" s="72" t="str">
        <f aca="false">IF(AH2200="","",IFERROR(INDEX(C_TIPO,MATCH(C2200&amp;"-P"&amp;MAX(1,COUNTIFS(C_ID,C2200,C_DEFINE,"Sí",C_INICIO,"&lt;="&amp;EOMONTH(B2200,0))),C_CLAVE,0))&amp;"","Sin dato"))</f>
        <v/>
      </c>
      <c r="AB2200" s="71" t="str">
        <f aca="false">IF(AH2200="","",ROUND(MIN(K2200,TOPE_AFP_UF*AJ2200)*AK2200,0))</f>
        <v/>
      </c>
      <c r="AC2200" s="71" t="str">
        <f aca="false">IF(AH2200="","",ROUND(MIN(K2200,TOPE_AFC_UF*AJ2200)*IF(AA2200="Indefinido",AFC_EMP_INDEF,AFC_EMP_PF),0))</f>
        <v/>
      </c>
      <c r="AD2200" s="71" t="str">
        <f aca="false">IF(AH2200="","",ROUND(MIN(K2200,TOPE_AFP_UF*AJ2200)*(MUTUAL_BASICA+MUTUAL_ADIC+SANNA),0))</f>
        <v/>
      </c>
      <c r="AE2200" s="71" t="str">
        <f aca="false">IF(AH2200="","",P2200-N(N2200)+AB2200+AC2200+AD2200)</f>
        <v/>
      </c>
      <c r="AF2200" s="65"/>
      <c r="AG2200" s="64"/>
      <c r="AH2200" s="72" t="str">
        <f aca="false">IF(OR(B2200="",C2200=""),"",C2200&amp;"|"&amp;(YEAR(B2200)*100+MONTH(B2200)))</f>
        <v/>
      </c>
      <c r="AI2200" s="70" t="str">
        <f aca="false">IF(AH2200="","",IF(COUNTIF(L_CLAVE,AH2200)&gt;1,"⚠ Duplicado","OK"))</f>
        <v/>
      </c>
      <c r="AJ2200" s="86" t="str">
        <f aca="false">IF(AH2200="","",IF(SUMPRODUCT(MAX((IND_PER&lt;=B2200)*(IND_UF&lt;&gt;"")*IND_PER))=0,UF_HOY,INDEX(IND_UF,MATCH(SUMPRODUCT(MAX((IND_PER&lt;=B2200)*(IND_UF&lt;&gt;"")*IND_PER)),IND_PER,0))))</f>
        <v/>
      </c>
      <c r="AK2200" s="87" t="str">
        <f aca="false">IF(AH2200="","",IF(COUNTIF(TASA_DESDE,"&lt;="&amp;B2200)=0,INDEX(TASA_EMP,1),INDEX(TASA_EMP,COUNTIF(TASA_DESDE,"&lt;="&amp;B2200))))</f>
        <v/>
      </c>
    </row>
    <row r="2201" customFormat="false" ht="15" hidden="false" customHeight="false" outlineLevel="0" collapsed="false">
      <c r="B2201" s="78"/>
      <c r="C2201" s="64"/>
      <c r="D2201" s="72" t="str">
        <f aca="false">IF(C2201="","",IFERROR(INDEX(T_NOMBRE,MATCH(C2201,T_ID,0)),"⚠ ID no existe"))</f>
        <v/>
      </c>
      <c r="E2201" s="69"/>
      <c r="F2201" s="67"/>
      <c r="G2201" s="67"/>
      <c r="H2201" s="67"/>
      <c r="I2201" s="67"/>
      <c r="J2201" s="67"/>
      <c r="K2201" s="85" t="str">
        <f aca="false">IF(AH2201="","",N(F2201)+N(G2201)+N(H2201)-N(I2201)+N(J2201))</f>
        <v/>
      </c>
      <c r="L2201" s="67"/>
      <c r="M2201" s="67"/>
      <c r="N2201" s="67"/>
      <c r="O2201" s="67"/>
      <c r="P2201" s="85" t="str">
        <f aca="false">IF(AH2201="","",K2201+N(L2201)+N(M2201)+N(N2201)+N(O2201))</f>
        <v/>
      </c>
      <c r="Q2201" s="67"/>
      <c r="R2201" s="67"/>
      <c r="S2201" s="67"/>
      <c r="T2201" s="67"/>
      <c r="U2201" s="67"/>
      <c r="V2201" s="67"/>
      <c r="W2201" s="85" t="str">
        <f aca="false">IF(AH2201="","",N(Q2201)+N(R2201)+N(S2201)+N(T2201)+N(U2201)+N(V2201))</f>
        <v/>
      </c>
      <c r="X2201" s="85" t="str">
        <f aca="false">IF(AH2201="","",P2201-W2201)</f>
        <v/>
      </c>
      <c r="Y2201" s="67"/>
      <c r="Z2201" s="70" t="str">
        <f aca="false">IF(OR(AH2201="",Y2201=""),"",IF(ABS(X2201-Y2201)&lt;=1,"✓ Cuadra","⚠ Diferencia $"&amp;FIXED(X2201-Y2201,0)))</f>
        <v/>
      </c>
      <c r="AA2201" s="72" t="str">
        <f aca="false">IF(AH2201="","",IFERROR(INDEX(C_TIPO,MATCH(C2201&amp;"-P"&amp;MAX(1,COUNTIFS(C_ID,C2201,C_DEFINE,"Sí",C_INICIO,"&lt;="&amp;EOMONTH(B2201,0))),C_CLAVE,0))&amp;"","Sin dato"))</f>
        <v/>
      </c>
      <c r="AB2201" s="71" t="str">
        <f aca="false">IF(AH2201="","",ROUND(MIN(K2201,TOPE_AFP_UF*AJ2201)*AK2201,0))</f>
        <v/>
      </c>
      <c r="AC2201" s="71" t="str">
        <f aca="false">IF(AH2201="","",ROUND(MIN(K2201,TOPE_AFC_UF*AJ2201)*IF(AA2201="Indefinido",AFC_EMP_INDEF,AFC_EMP_PF),0))</f>
        <v/>
      </c>
      <c r="AD2201" s="71" t="str">
        <f aca="false">IF(AH2201="","",ROUND(MIN(K2201,TOPE_AFP_UF*AJ2201)*(MUTUAL_BASICA+MUTUAL_ADIC+SANNA),0))</f>
        <v/>
      </c>
      <c r="AE2201" s="71" t="str">
        <f aca="false">IF(AH2201="","",P2201-N(N2201)+AB2201+AC2201+AD2201)</f>
        <v/>
      </c>
      <c r="AF2201" s="65"/>
      <c r="AG2201" s="64"/>
      <c r="AH2201" s="72" t="str">
        <f aca="false">IF(OR(B2201="",C2201=""),"",C2201&amp;"|"&amp;(YEAR(B2201)*100+MONTH(B2201)))</f>
        <v/>
      </c>
      <c r="AI2201" s="70" t="str">
        <f aca="false">IF(AH2201="","",IF(COUNTIF(L_CLAVE,AH2201)&gt;1,"⚠ Duplicado","OK"))</f>
        <v/>
      </c>
      <c r="AJ2201" s="86" t="str">
        <f aca="false">IF(AH2201="","",IF(SUMPRODUCT(MAX((IND_PER&lt;=B2201)*(IND_UF&lt;&gt;"")*IND_PER))=0,UF_HOY,INDEX(IND_UF,MATCH(SUMPRODUCT(MAX((IND_PER&lt;=B2201)*(IND_UF&lt;&gt;"")*IND_PER)),IND_PER,0))))</f>
        <v/>
      </c>
      <c r="AK2201" s="87" t="str">
        <f aca="false">IF(AH2201="","",IF(COUNTIF(TASA_DESDE,"&lt;="&amp;B2201)=0,INDEX(TASA_EMP,1),INDEX(TASA_EMP,COUNTIF(TASA_DESDE,"&lt;="&amp;B2201))))</f>
        <v/>
      </c>
    </row>
    <row r="2202" customFormat="false" ht="15" hidden="false" customHeight="false" outlineLevel="0" collapsed="false">
      <c r="B2202" s="78"/>
      <c r="C2202" s="64"/>
      <c r="D2202" s="72" t="str">
        <f aca="false">IF(C2202="","",IFERROR(INDEX(T_NOMBRE,MATCH(C2202,T_ID,0)),"⚠ ID no existe"))</f>
        <v/>
      </c>
      <c r="E2202" s="69"/>
      <c r="F2202" s="67"/>
      <c r="G2202" s="67"/>
      <c r="H2202" s="67"/>
      <c r="I2202" s="67"/>
      <c r="J2202" s="67"/>
      <c r="K2202" s="85" t="str">
        <f aca="false">IF(AH2202="","",N(F2202)+N(G2202)+N(H2202)-N(I2202)+N(J2202))</f>
        <v/>
      </c>
      <c r="L2202" s="67"/>
      <c r="M2202" s="67"/>
      <c r="N2202" s="67"/>
      <c r="O2202" s="67"/>
      <c r="P2202" s="85" t="str">
        <f aca="false">IF(AH2202="","",K2202+N(L2202)+N(M2202)+N(N2202)+N(O2202))</f>
        <v/>
      </c>
      <c r="Q2202" s="67"/>
      <c r="R2202" s="67"/>
      <c r="S2202" s="67"/>
      <c r="T2202" s="67"/>
      <c r="U2202" s="67"/>
      <c r="V2202" s="67"/>
      <c r="W2202" s="85" t="str">
        <f aca="false">IF(AH2202="","",N(Q2202)+N(R2202)+N(S2202)+N(T2202)+N(U2202)+N(V2202))</f>
        <v/>
      </c>
      <c r="X2202" s="85" t="str">
        <f aca="false">IF(AH2202="","",P2202-W2202)</f>
        <v/>
      </c>
      <c r="Y2202" s="67"/>
      <c r="Z2202" s="70" t="str">
        <f aca="false">IF(OR(AH2202="",Y2202=""),"",IF(ABS(X2202-Y2202)&lt;=1,"✓ Cuadra","⚠ Diferencia $"&amp;FIXED(X2202-Y2202,0)))</f>
        <v/>
      </c>
      <c r="AA2202" s="72" t="str">
        <f aca="false">IF(AH2202="","",IFERROR(INDEX(C_TIPO,MATCH(C2202&amp;"-P"&amp;MAX(1,COUNTIFS(C_ID,C2202,C_DEFINE,"Sí",C_INICIO,"&lt;="&amp;EOMONTH(B2202,0))),C_CLAVE,0))&amp;"","Sin dato"))</f>
        <v/>
      </c>
      <c r="AB2202" s="71" t="str">
        <f aca="false">IF(AH2202="","",ROUND(MIN(K2202,TOPE_AFP_UF*AJ2202)*AK2202,0))</f>
        <v/>
      </c>
      <c r="AC2202" s="71" t="str">
        <f aca="false">IF(AH2202="","",ROUND(MIN(K2202,TOPE_AFC_UF*AJ2202)*IF(AA2202="Indefinido",AFC_EMP_INDEF,AFC_EMP_PF),0))</f>
        <v/>
      </c>
      <c r="AD2202" s="71" t="str">
        <f aca="false">IF(AH2202="","",ROUND(MIN(K2202,TOPE_AFP_UF*AJ2202)*(MUTUAL_BASICA+MUTUAL_ADIC+SANNA),0))</f>
        <v/>
      </c>
      <c r="AE2202" s="71" t="str">
        <f aca="false">IF(AH2202="","",P2202-N(N2202)+AB2202+AC2202+AD2202)</f>
        <v/>
      </c>
      <c r="AF2202" s="65"/>
      <c r="AG2202" s="64"/>
      <c r="AH2202" s="72" t="str">
        <f aca="false">IF(OR(B2202="",C2202=""),"",C2202&amp;"|"&amp;(YEAR(B2202)*100+MONTH(B2202)))</f>
        <v/>
      </c>
      <c r="AI2202" s="70" t="str">
        <f aca="false">IF(AH2202="","",IF(COUNTIF(L_CLAVE,AH2202)&gt;1,"⚠ Duplicado","OK"))</f>
        <v/>
      </c>
      <c r="AJ2202" s="86" t="str">
        <f aca="false">IF(AH2202="","",IF(SUMPRODUCT(MAX((IND_PER&lt;=B2202)*(IND_UF&lt;&gt;"")*IND_PER))=0,UF_HOY,INDEX(IND_UF,MATCH(SUMPRODUCT(MAX((IND_PER&lt;=B2202)*(IND_UF&lt;&gt;"")*IND_PER)),IND_PER,0))))</f>
        <v/>
      </c>
      <c r="AK2202" s="87" t="str">
        <f aca="false">IF(AH2202="","",IF(COUNTIF(TASA_DESDE,"&lt;="&amp;B2202)=0,INDEX(TASA_EMP,1),INDEX(TASA_EMP,COUNTIF(TASA_DESDE,"&lt;="&amp;B2202))))</f>
        <v/>
      </c>
    </row>
    <row r="2203" customFormat="false" ht="15" hidden="false" customHeight="false" outlineLevel="0" collapsed="false">
      <c r="B2203" s="78"/>
      <c r="C2203" s="64"/>
      <c r="D2203" s="72" t="str">
        <f aca="false">IF(C2203="","",IFERROR(INDEX(T_NOMBRE,MATCH(C2203,T_ID,0)),"⚠ ID no existe"))</f>
        <v/>
      </c>
      <c r="E2203" s="69"/>
      <c r="F2203" s="67"/>
      <c r="G2203" s="67"/>
      <c r="H2203" s="67"/>
      <c r="I2203" s="67"/>
      <c r="J2203" s="67"/>
      <c r="K2203" s="85" t="str">
        <f aca="false">IF(AH2203="","",N(F2203)+N(G2203)+N(H2203)-N(I2203)+N(J2203))</f>
        <v/>
      </c>
      <c r="L2203" s="67"/>
      <c r="M2203" s="67"/>
      <c r="N2203" s="67"/>
      <c r="O2203" s="67"/>
      <c r="P2203" s="85" t="str">
        <f aca="false">IF(AH2203="","",K2203+N(L2203)+N(M2203)+N(N2203)+N(O2203))</f>
        <v/>
      </c>
      <c r="Q2203" s="67"/>
      <c r="R2203" s="67"/>
      <c r="S2203" s="67"/>
      <c r="T2203" s="67"/>
      <c r="U2203" s="67"/>
      <c r="V2203" s="67"/>
      <c r="W2203" s="85" t="str">
        <f aca="false">IF(AH2203="","",N(Q2203)+N(R2203)+N(S2203)+N(T2203)+N(U2203)+N(V2203))</f>
        <v/>
      </c>
      <c r="X2203" s="85" t="str">
        <f aca="false">IF(AH2203="","",P2203-W2203)</f>
        <v/>
      </c>
      <c r="Y2203" s="67"/>
      <c r="Z2203" s="70" t="str">
        <f aca="false">IF(OR(AH2203="",Y2203=""),"",IF(ABS(X2203-Y2203)&lt;=1,"✓ Cuadra","⚠ Diferencia $"&amp;FIXED(X2203-Y2203,0)))</f>
        <v/>
      </c>
      <c r="AA2203" s="72" t="str">
        <f aca="false">IF(AH2203="","",IFERROR(INDEX(C_TIPO,MATCH(C2203&amp;"-P"&amp;MAX(1,COUNTIFS(C_ID,C2203,C_DEFINE,"Sí",C_INICIO,"&lt;="&amp;EOMONTH(B2203,0))),C_CLAVE,0))&amp;"","Sin dato"))</f>
        <v/>
      </c>
      <c r="AB2203" s="71" t="str">
        <f aca="false">IF(AH2203="","",ROUND(MIN(K2203,TOPE_AFP_UF*AJ2203)*AK2203,0))</f>
        <v/>
      </c>
      <c r="AC2203" s="71" t="str">
        <f aca="false">IF(AH2203="","",ROUND(MIN(K2203,TOPE_AFC_UF*AJ2203)*IF(AA2203="Indefinido",AFC_EMP_INDEF,AFC_EMP_PF),0))</f>
        <v/>
      </c>
      <c r="AD2203" s="71" t="str">
        <f aca="false">IF(AH2203="","",ROUND(MIN(K2203,TOPE_AFP_UF*AJ2203)*(MUTUAL_BASICA+MUTUAL_ADIC+SANNA),0))</f>
        <v/>
      </c>
      <c r="AE2203" s="71" t="str">
        <f aca="false">IF(AH2203="","",P2203-N(N2203)+AB2203+AC2203+AD2203)</f>
        <v/>
      </c>
      <c r="AF2203" s="65"/>
      <c r="AG2203" s="64"/>
      <c r="AH2203" s="72" t="str">
        <f aca="false">IF(OR(B2203="",C2203=""),"",C2203&amp;"|"&amp;(YEAR(B2203)*100+MONTH(B2203)))</f>
        <v/>
      </c>
      <c r="AI2203" s="70" t="str">
        <f aca="false">IF(AH2203="","",IF(COUNTIF(L_CLAVE,AH2203)&gt;1,"⚠ Duplicado","OK"))</f>
        <v/>
      </c>
      <c r="AJ2203" s="86" t="str">
        <f aca="false">IF(AH2203="","",IF(SUMPRODUCT(MAX((IND_PER&lt;=B2203)*(IND_UF&lt;&gt;"")*IND_PER))=0,UF_HOY,INDEX(IND_UF,MATCH(SUMPRODUCT(MAX((IND_PER&lt;=B2203)*(IND_UF&lt;&gt;"")*IND_PER)),IND_PER,0))))</f>
        <v/>
      </c>
      <c r="AK2203" s="87" t="str">
        <f aca="false">IF(AH2203="","",IF(COUNTIF(TASA_DESDE,"&lt;="&amp;B2203)=0,INDEX(TASA_EMP,1),INDEX(TASA_EMP,COUNTIF(TASA_DESDE,"&lt;="&amp;B2203))))</f>
        <v/>
      </c>
    </row>
    <row r="2204" customFormat="false" ht="15" hidden="false" customHeight="false" outlineLevel="0" collapsed="false">
      <c r="B2204" s="78"/>
      <c r="C2204" s="64"/>
      <c r="D2204" s="72" t="str">
        <f aca="false">IF(C2204="","",IFERROR(INDEX(T_NOMBRE,MATCH(C2204,T_ID,0)),"⚠ ID no existe"))</f>
        <v/>
      </c>
      <c r="E2204" s="69"/>
      <c r="F2204" s="67"/>
      <c r="G2204" s="67"/>
      <c r="H2204" s="67"/>
      <c r="I2204" s="67"/>
      <c r="J2204" s="67"/>
      <c r="K2204" s="85" t="str">
        <f aca="false">IF(AH2204="","",N(F2204)+N(G2204)+N(H2204)-N(I2204)+N(J2204))</f>
        <v/>
      </c>
      <c r="L2204" s="67"/>
      <c r="M2204" s="67"/>
      <c r="N2204" s="67"/>
      <c r="O2204" s="67"/>
      <c r="P2204" s="85" t="str">
        <f aca="false">IF(AH2204="","",K2204+N(L2204)+N(M2204)+N(N2204)+N(O2204))</f>
        <v/>
      </c>
      <c r="Q2204" s="67"/>
      <c r="R2204" s="67"/>
      <c r="S2204" s="67"/>
      <c r="T2204" s="67"/>
      <c r="U2204" s="67"/>
      <c r="V2204" s="67"/>
      <c r="W2204" s="85" t="str">
        <f aca="false">IF(AH2204="","",N(Q2204)+N(R2204)+N(S2204)+N(T2204)+N(U2204)+N(V2204))</f>
        <v/>
      </c>
      <c r="X2204" s="85" t="str">
        <f aca="false">IF(AH2204="","",P2204-W2204)</f>
        <v/>
      </c>
      <c r="Y2204" s="67"/>
      <c r="Z2204" s="70" t="str">
        <f aca="false">IF(OR(AH2204="",Y2204=""),"",IF(ABS(X2204-Y2204)&lt;=1,"✓ Cuadra","⚠ Diferencia $"&amp;FIXED(X2204-Y2204,0)))</f>
        <v/>
      </c>
      <c r="AA2204" s="72" t="str">
        <f aca="false">IF(AH2204="","",IFERROR(INDEX(C_TIPO,MATCH(C2204&amp;"-P"&amp;MAX(1,COUNTIFS(C_ID,C2204,C_DEFINE,"Sí",C_INICIO,"&lt;="&amp;EOMONTH(B2204,0))),C_CLAVE,0))&amp;"","Sin dato"))</f>
        <v/>
      </c>
      <c r="AB2204" s="71" t="str">
        <f aca="false">IF(AH2204="","",ROUND(MIN(K2204,TOPE_AFP_UF*AJ2204)*AK2204,0))</f>
        <v/>
      </c>
      <c r="AC2204" s="71" t="str">
        <f aca="false">IF(AH2204="","",ROUND(MIN(K2204,TOPE_AFC_UF*AJ2204)*IF(AA2204="Indefinido",AFC_EMP_INDEF,AFC_EMP_PF),0))</f>
        <v/>
      </c>
      <c r="AD2204" s="71" t="str">
        <f aca="false">IF(AH2204="","",ROUND(MIN(K2204,TOPE_AFP_UF*AJ2204)*(MUTUAL_BASICA+MUTUAL_ADIC+SANNA),0))</f>
        <v/>
      </c>
      <c r="AE2204" s="71" t="str">
        <f aca="false">IF(AH2204="","",P2204-N(N2204)+AB2204+AC2204+AD2204)</f>
        <v/>
      </c>
      <c r="AF2204" s="65"/>
      <c r="AG2204" s="64"/>
      <c r="AH2204" s="72" t="str">
        <f aca="false">IF(OR(B2204="",C2204=""),"",C2204&amp;"|"&amp;(YEAR(B2204)*100+MONTH(B2204)))</f>
        <v/>
      </c>
      <c r="AI2204" s="70" t="str">
        <f aca="false">IF(AH2204="","",IF(COUNTIF(L_CLAVE,AH2204)&gt;1,"⚠ Duplicado","OK"))</f>
        <v/>
      </c>
      <c r="AJ2204" s="86" t="str">
        <f aca="false">IF(AH2204="","",IF(SUMPRODUCT(MAX((IND_PER&lt;=B2204)*(IND_UF&lt;&gt;"")*IND_PER))=0,UF_HOY,INDEX(IND_UF,MATCH(SUMPRODUCT(MAX((IND_PER&lt;=B2204)*(IND_UF&lt;&gt;"")*IND_PER)),IND_PER,0))))</f>
        <v/>
      </c>
      <c r="AK2204" s="87" t="str">
        <f aca="false">IF(AH2204="","",IF(COUNTIF(TASA_DESDE,"&lt;="&amp;B2204)=0,INDEX(TASA_EMP,1),INDEX(TASA_EMP,COUNTIF(TASA_DESDE,"&lt;="&amp;B2204))))</f>
        <v/>
      </c>
    </row>
    <row r="2205" customFormat="false" ht="15" hidden="false" customHeight="false" outlineLevel="0" collapsed="false">
      <c r="B2205" s="78"/>
      <c r="C2205" s="64"/>
      <c r="D2205" s="72" t="str">
        <f aca="false">IF(C2205="","",IFERROR(INDEX(T_NOMBRE,MATCH(C2205,T_ID,0)),"⚠ ID no existe"))</f>
        <v/>
      </c>
      <c r="E2205" s="69"/>
      <c r="F2205" s="67"/>
      <c r="G2205" s="67"/>
      <c r="H2205" s="67"/>
      <c r="I2205" s="67"/>
      <c r="J2205" s="67"/>
      <c r="K2205" s="85" t="str">
        <f aca="false">IF(AH2205="","",N(F2205)+N(G2205)+N(H2205)-N(I2205)+N(J2205))</f>
        <v/>
      </c>
      <c r="L2205" s="67"/>
      <c r="M2205" s="67"/>
      <c r="N2205" s="67"/>
      <c r="O2205" s="67"/>
      <c r="P2205" s="85" t="str">
        <f aca="false">IF(AH2205="","",K2205+N(L2205)+N(M2205)+N(N2205)+N(O2205))</f>
        <v/>
      </c>
      <c r="Q2205" s="67"/>
      <c r="R2205" s="67"/>
      <c r="S2205" s="67"/>
      <c r="T2205" s="67"/>
      <c r="U2205" s="67"/>
      <c r="V2205" s="67"/>
      <c r="W2205" s="85" t="str">
        <f aca="false">IF(AH2205="","",N(Q2205)+N(R2205)+N(S2205)+N(T2205)+N(U2205)+N(V2205))</f>
        <v/>
      </c>
      <c r="X2205" s="85" t="str">
        <f aca="false">IF(AH2205="","",P2205-W2205)</f>
        <v/>
      </c>
      <c r="Y2205" s="67"/>
      <c r="Z2205" s="70" t="str">
        <f aca="false">IF(OR(AH2205="",Y2205=""),"",IF(ABS(X2205-Y2205)&lt;=1,"✓ Cuadra","⚠ Diferencia $"&amp;FIXED(X2205-Y2205,0)))</f>
        <v/>
      </c>
      <c r="AA2205" s="72" t="str">
        <f aca="false">IF(AH2205="","",IFERROR(INDEX(C_TIPO,MATCH(C2205&amp;"-P"&amp;MAX(1,COUNTIFS(C_ID,C2205,C_DEFINE,"Sí",C_INICIO,"&lt;="&amp;EOMONTH(B2205,0))),C_CLAVE,0))&amp;"","Sin dato"))</f>
        <v/>
      </c>
      <c r="AB2205" s="71" t="str">
        <f aca="false">IF(AH2205="","",ROUND(MIN(K2205,TOPE_AFP_UF*AJ2205)*AK2205,0))</f>
        <v/>
      </c>
      <c r="AC2205" s="71" t="str">
        <f aca="false">IF(AH2205="","",ROUND(MIN(K2205,TOPE_AFC_UF*AJ2205)*IF(AA2205="Indefinido",AFC_EMP_INDEF,AFC_EMP_PF),0))</f>
        <v/>
      </c>
      <c r="AD2205" s="71" t="str">
        <f aca="false">IF(AH2205="","",ROUND(MIN(K2205,TOPE_AFP_UF*AJ2205)*(MUTUAL_BASICA+MUTUAL_ADIC+SANNA),0))</f>
        <v/>
      </c>
      <c r="AE2205" s="71" t="str">
        <f aca="false">IF(AH2205="","",P2205-N(N2205)+AB2205+AC2205+AD2205)</f>
        <v/>
      </c>
      <c r="AF2205" s="65"/>
      <c r="AG2205" s="64"/>
      <c r="AH2205" s="72" t="str">
        <f aca="false">IF(OR(B2205="",C2205=""),"",C2205&amp;"|"&amp;(YEAR(B2205)*100+MONTH(B2205)))</f>
        <v/>
      </c>
      <c r="AI2205" s="70" t="str">
        <f aca="false">IF(AH2205="","",IF(COUNTIF(L_CLAVE,AH2205)&gt;1,"⚠ Duplicado","OK"))</f>
        <v/>
      </c>
      <c r="AJ2205" s="86" t="str">
        <f aca="false">IF(AH2205="","",IF(SUMPRODUCT(MAX((IND_PER&lt;=B2205)*(IND_UF&lt;&gt;"")*IND_PER))=0,UF_HOY,INDEX(IND_UF,MATCH(SUMPRODUCT(MAX((IND_PER&lt;=B2205)*(IND_UF&lt;&gt;"")*IND_PER)),IND_PER,0))))</f>
        <v/>
      </c>
      <c r="AK2205" s="87" t="str">
        <f aca="false">IF(AH2205="","",IF(COUNTIF(TASA_DESDE,"&lt;="&amp;B2205)=0,INDEX(TASA_EMP,1),INDEX(TASA_EMP,COUNTIF(TASA_DESDE,"&lt;="&amp;B2205))))</f>
        <v/>
      </c>
    </row>
    <row r="2206" customFormat="false" ht="15" hidden="false" customHeight="false" outlineLevel="0" collapsed="false">
      <c r="B2206" s="78"/>
      <c r="C2206" s="64"/>
      <c r="D2206" s="72" t="str">
        <f aca="false">IF(C2206="","",IFERROR(INDEX(T_NOMBRE,MATCH(C2206,T_ID,0)),"⚠ ID no existe"))</f>
        <v/>
      </c>
      <c r="E2206" s="69"/>
      <c r="F2206" s="67"/>
      <c r="G2206" s="67"/>
      <c r="H2206" s="67"/>
      <c r="I2206" s="67"/>
      <c r="J2206" s="67"/>
      <c r="K2206" s="85" t="str">
        <f aca="false">IF(AH2206="","",N(F2206)+N(G2206)+N(H2206)-N(I2206)+N(J2206))</f>
        <v/>
      </c>
      <c r="L2206" s="67"/>
      <c r="M2206" s="67"/>
      <c r="N2206" s="67"/>
      <c r="O2206" s="67"/>
      <c r="P2206" s="85" t="str">
        <f aca="false">IF(AH2206="","",K2206+N(L2206)+N(M2206)+N(N2206)+N(O2206))</f>
        <v/>
      </c>
      <c r="Q2206" s="67"/>
      <c r="R2206" s="67"/>
      <c r="S2206" s="67"/>
      <c r="T2206" s="67"/>
      <c r="U2206" s="67"/>
      <c r="V2206" s="67"/>
      <c r="W2206" s="85" t="str">
        <f aca="false">IF(AH2206="","",N(Q2206)+N(R2206)+N(S2206)+N(T2206)+N(U2206)+N(V2206))</f>
        <v/>
      </c>
      <c r="X2206" s="85" t="str">
        <f aca="false">IF(AH2206="","",P2206-W2206)</f>
        <v/>
      </c>
      <c r="Y2206" s="67"/>
      <c r="Z2206" s="70" t="str">
        <f aca="false">IF(OR(AH2206="",Y2206=""),"",IF(ABS(X2206-Y2206)&lt;=1,"✓ Cuadra","⚠ Diferencia $"&amp;FIXED(X2206-Y2206,0)))</f>
        <v/>
      </c>
      <c r="AA2206" s="72" t="str">
        <f aca="false">IF(AH2206="","",IFERROR(INDEX(C_TIPO,MATCH(C2206&amp;"-P"&amp;MAX(1,COUNTIFS(C_ID,C2206,C_DEFINE,"Sí",C_INICIO,"&lt;="&amp;EOMONTH(B2206,0))),C_CLAVE,0))&amp;"","Sin dato"))</f>
        <v/>
      </c>
      <c r="AB2206" s="71" t="str">
        <f aca="false">IF(AH2206="","",ROUND(MIN(K2206,TOPE_AFP_UF*AJ2206)*AK2206,0))</f>
        <v/>
      </c>
      <c r="AC2206" s="71" t="str">
        <f aca="false">IF(AH2206="","",ROUND(MIN(K2206,TOPE_AFC_UF*AJ2206)*IF(AA2206="Indefinido",AFC_EMP_INDEF,AFC_EMP_PF),0))</f>
        <v/>
      </c>
      <c r="AD2206" s="71" t="str">
        <f aca="false">IF(AH2206="","",ROUND(MIN(K2206,TOPE_AFP_UF*AJ2206)*(MUTUAL_BASICA+MUTUAL_ADIC+SANNA),0))</f>
        <v/>
      </c>
      <c r="AE2206" s="71" t="str">
        <f aca="false">IF(AH2206="","",P2206-N(N2206)+AB2206+AC2206+AD2206)</f>
        <v/>
      </c>
      <c r="AF2206" s="65"/>
      <c r="AG2206" s="64"/>
      <c r="AH2206" s="72" t="str">
        <f aca="false">IF(OR(B2206="",C2206=""),"",C2206&amp;"|"&amp;(YEAR(B2206)*100+MONTH(B2206)))</f>
        <v/>
      </c>
      <c r="AI2206" s="70" t="str">
        <f aca="false">IF(AH2206="","",IF(COUNTIF(L_CLAVE,AH2206)&gt;1,"⚠ Duplicado","OK"))</f>
        <v/>
      </c>
      <c r="AJ2206" s="86" t="str">
        <f aca="false">IF(AH2206="","",IF(SUMPRODUCT(MAX((IND_PER&lt;=B2206)*(IND_UF&lt;&gt;"")*IND_PER))=0,UF_HOY,INDEX(IND_UF,MATCH(SUMPRODUCT(MAX((IND_PER&lt;=B2206)*(IND_UF&lt;&gt;"")*IND_PER)),IND_PER,0))))</f>
        <v/>
      </c>
      <c r="AK2206" s="87" t="str">
        <f aca="false">IF(AH2206="","",IF(COUNTIF(TASA_DESDE,"&lt;="&amp;B2206)=0,INDEX(TASA_EMP,1),INDEX(TASA_EMP,COUNTIF(TASA_DESDE,"&lt;="&amp;B2206))))</f>
        <v/>
      </c>
    </row>
    <row r="2207" customFormat="false" ht="15" hidden="false" customHeight="false" outlineLevel="0" collapsed="false">
      <c r="B2207" s="78"/>
      <c r="C2207" s="64"/>
      <c r="D2207" s="72" t="str">
        <f aca="false">IF(C2207="","",IFERROR(INDEX(T_NOMBRE,MATCH(C2207,T_ID,0)),"⚠ ID no existe"))</f>
        <v/>
      </c>
      <c r="E2207" s="69"/>
      <c r="F2207" s="67"/>
      <c r="G2207" s="67"/>
      <c r="H2207" s="67"/>
      <c r="I2207" s="67"/>
      <c r="J2207" s="67"/>
      <c r="K2207" s="85" t="str">
        <f aca="false">IF(AH2207="","",N(F2207)+N(G2207)+N(H2207)-N(I2207)+N(J2207))</f>
        <v/>
      </c>
      <c r="L2207" s="67"/>
      <c r="M2207" s="67"/>
      <c r="N2207" s="67"/>
      <c r="O2207" s="67"/>
      <c r="P2207" s="85" t="str">
        <f aca="false">IF(AH2207="","",K2207+N(L2207)+N(M2207)+N(N2207)+N(O2207))</f>
        <v/>
      </c>
      <c r="Q2207" s="67"/>
      <c r="R2207" s="67"/>
      <c r="S2207" s="67"/>
      <c r="T2207" s="67"/>
      <c r="U2207" s="67"/>
      <c r="V2207" s="67"/>
      <c r="W2207" s="85" t="str">
        <f aca="false">IF(AH2207="","",N(Q2207)+N(R2207)+N(S2207)+N(T2207)+N(U2207)+N(V2207))</f>
        <v/>
      </c>
      <c r="X2207" s="85" t="str">
        <f aca="false">IF(AH2207="","",P2207-W2207)</f>
        <v/>
      </c>
      <c r="Y2207" s="67"/>
      <c r="Z2207" s="70" t="str">
        <f aca="false">IF(OR(AH2207="",Y2207=""),"",IF(ABS(X2207-Y2207)&lt;=1,"✓ Cuadra","⚠ Diferencia $"&amp;FIXED(X2207-Y2207,0)))</f>
        <v/>
      </c>
      <c r="AA2207" s="72" t="str">
        <f aca="false">IF(AH2207="","",IFERROR(INDEX(C_TIPO,MATCH(C2207&amp;"-P"&amp;MAX(1,COUNTIFS(C_ID,C2207,C_DEFINE,"Sí",C_INICIO,"&lt;="&amp;EOMONTH(B2207,0))),C_CLAVE,0))&amp;"","Sin dato"))</f>
        <v/>
      </c>
      <c r="AB2207" s="71" t="str">
        <f aca="false">IF(AH2207="","",ROUND(MIN(K2207,TOPE_AFP_UF*AJ2207)*AK2207,0))</f>
        <v/>
      </c>
      <c r="AC2207" s="71" t="str">
        <f aca="false">IF(AH2207="","",ROUND(MIN(K2207,TOPE_AFC_UF*AJ2207)*IF(AA2207="Indefinido",AFC_EMP_INDEF,AFC_EMP_PF),0))</f>
        <v/>
      </c>
      <c r="AD2207" s="71" t="str">
        <f aca="false">IF(AH2207="","",ROUND(MIN(K2207,TOPE_AFP_UF*AJ2207)*(MUTUAL_BASICA+MUTUAL_ADIC+SANNA),0))</f>
        <v/>
      </c>
      <c r="AE2207" s="71" t="str">
        <f aca="false">IF(AH2207="","",P2207-N(N2207)+AB2207+AC2207+AD2207)</f>
        <v/>
      </c>
      <c r="AF2207" s="65"/>
      <c r="AG2207" s="64"/>
      <c r="AH2207" s="72" t="str">
        <f aca="false">IF(OR(B2207="",C2207=""),"",C2207&amp;"|"&amp;(YEAR(B2207)*100+MONTH(B2207)))</f>
        <v/>
      </c>
      <c r="AI2207" s="70" t="str">
        <f aca="false">IF(AH2207="","",IF(COUNTIF(L_CLAVE,AH2207)&gt;1,"⚠ Duplicado","OK"))</f>
        <v/>
      </c>
      <c r="AJ2207" s="86" t="str">
        <f aca="false">IF(AH2207="","",IF(SUMPRODUCT(MAX((IND_PER&lt;=B2207)*(IND_UF&lt;&gt;"")*IND_PER))=0,UF_HOY,INDEX(IND_UF,MATCH(SUMPRODUCT(MAX((IND_PER&lt;=B2207)*(IND_UF&lt;&gt;"")*IND_PER)),IND_PER,0))))</f>
        <v/>
      </c>
      <c r="AK2207" s="87" t="str">
        <f aca="false">IF(AH2207="","",IF(COUNTIF(TASA_DESDE,"&lt;="&amp;B2207)=0,INDEX(TASA_EMP,1),INDEX(TASA_EMP,COUNTIF(TASA_DESDE,"&lt;="&amp;B2207))))</f>
        <v/>
      </c>
    </row>
    <row r="2208" customFormat="false" ht="15" hidden="false" customHeight="false" outlineLevel="0" collapsed="false">
      <c r="B2208" s="78"/>
      <c r="C2208" s="64"/>
      <c r="D2208" s="72" t="str">
        <f aca="false">IF(C2208="","",IFERROR(INDEX(T_NOMBRE,MATCH(C2208,T_ID,0)),"⚠ ID no existe"))</f>
        <v/>
      </c>
      <c r="E2208" s="69"/>
      <c r="F2208" s="67"/>
      <c r="G2208" s="67"/>
      <c r="H2208" s="67"/>
      <c r="I2208" s="67"/>
      <c r="J2208" s="67"/>
      <c r="K2208" s="85" t="str">
        <f aca="false">IF(AH2208="","",N(F2208)+N(G2208)+N(H2208)-N(I2208)+N(J2208))</f>
        <v/>
      </c>
      <c r="L2208" s="67"/>
      <c r="M2208" s="67"/>
      <c r="N2208" s="67"/>
      <c r="O2208" s="67"/>
      <c r="P2208" s="85" t="str">
        <f aca="false">IF(AH2208="","",K2208+N(L2208)+N(M2208)+N(N2208)+N(O2208))</f>
        <v/>
      </c>
      <c r="Q2208" s="67"/>
      <c r="R2208" s="67"/>
      <c r="S2208" s="67"/>
      <c r="T2208" s="67"/>
      <c r="U2208" s="67"/>
      <c r="V2208" s="67"/>
      <c r="W2208" s="85" t="str">
        <f aca="false">IF(AH2208="","",N(Q2208)+N(R2208)+N(S2208)+N(T2208)+N(U2208)+N(V2208))</f>
        <v/>
      </c>
      <c r="X2208" s="85" t="str">
        <f aca="false">IF(AH2208="","",P2208-W2208)</f>
        <v/>
      </c>
      <c r="Y2208" s="67"/>
      <c r="Z2208" s="70" t="str">
        <f aca="false">IF(OR(AH2208="",Y2208=""),"",IF(ABS(X2208-Y2208)&lt;=1,"✓ Cuadra","⚠ Diferencia $"&amp;FIXED(X2208-Y2208,0)))</f>
        <v/>
      </c>
      <c r="AA2208" s="72" t="str">
        <f aca="false">IF(AH2208="","",IFERROR(INDEX(C_TIPO,MATCH(C2208&amp;"-P"&amp;MAX(1,COUNTIFS(C_ID,C2208,C_DEFINE,"Sí",C_INICIO,"&lt;="&amp;EOMONTH(B2208,0))),C_CLAVE,0))&amp;"","Sin dato"))</f>
        <v/>
      </c>
      <c r="AB2208" s="71" t="str">
        <f aca="false">IF(AH2208="","",ROUND(MIN(K2208,TOPE_AFP_UF*AJ2208)*AK2208,0))</f>
        <v/>
      </c>
      <c r="AC2208" s="71" t="str">
        <f aca="false">IF(AH2208="","",ROUND(MIN(K2208,TOPE_AFC_UF*AJ2208)*IF(AA2208="Indefinido",AFC_EMP_INDEF,AFC_EMP_PF),0))</f>
        <v/>
      </c>
      <c r="AD2208" s="71" t="str">
        <f aca="false">IF(AH2208="","",ROUND(MIN(K2208,TOPE_AFP_UF*AJ2208)*(MUTUAL_BASICA+MUTUAL_ADIC+SANNA),0))</f>
        <v/>
      </c>
      <c r="AE2208" s="71" t="str">
        <f aca="false">IF(AH2208="","",P2208-N(N2208)+AB2208+AC2208+AD2208)</f>
        <v/>
      </c>
      <c r="AF2208" s="65"/>
      <c r="AG2208" s="64"/>
      <c r="AH2208" s="72" t="str">
        <f aca="false">IF(OR(B2208="",C2208=""),"",C2208&amp;"|"&amp;(YEAR(B2208)*100+MONTH(B2208)))</f>
        <v/>
      </c>
      <c r="AI2208" s="70" t="str">
        <f aca="false">IF(AH2208="","",IF(COUNTIF(L_CLAVE,AH2208)&gt;1,"⚠ Duplicado","OK"))</f>
        <v/>
      </c>
      <c r="AJ2208" s="86" t="str">
        <f aca="false">IF(AH2208="","",IF(SUMPRODUCT(MAX((IND_PER&lt;=B2208)*(IND_UF&lt;&gt;"")*IND_PER))=0,UF_HOY,INDEX(IND_UF,MATCH(SUMPRODUCT(MAX((IND_PER&lt;=B2208)*(IND_UF&lt;&gt;"")*IND_PER)),IND_PER,0))))</f>
        <v/>
      </c>
      <c r="AK2208" s="87" t="str">
        <f aca="false">IF(AH2208="","",IF(COUNTIF(TASA_DESDE,"&lt;="&amp;B2208)=0,INDEX(TASA_EMP,1),INDEX(TASA_EMP,COUNTIF(TASA_DESDE,"&lt;="&amp;B2208))))</f>
        <v/>
      </c>
    </row>
    <row r="2209" customFormat="false" ht="15" hidden="false" customHeight="false" outlineLevel="0" collapsed="false">
      <c r="B2209" s="78"/>
      <c r="C2209" s="64"/>
      <c r="D2209" s="72" t="str">
        <f aca="false">IF(C2209="","",IFERROR(INDEX(T_NOMBRE,MATCH(C2209,T_ID,0)),"⚠ ID no existe"))</f>
        <v/>
      </c>
      <c r="E2209" s="69"/>
      <c r="F2209" s="67"/>
      <c r="G2209" s="67"/>
      <c r="H2209" s="67"/>
      <c r="I2209" s="67"/>
      <c r="J2209" s="67"/>
      <c r="K2209" s="85" t="str">
        <f aca="false">IF(AH2209="","",N(F2209)+N(G2209)+N(H2209)-N(I2209)+N(J2209))</f>
        <v/>
      </c>
      <c r="L2209" s="67"/>
      <c r="M2209" s="67"/>
      <c r="N2209" s="67"/>
      <c r="O2209" s="67"/>
      <c r="P2209" s="85" t="str">
        <f aca="false">IF(AH2209="","",K2209+N(L2209)+N(M2209)+N(N2209)+N(O2209))</f>
        <v/>
      </c>
      <c r="Q2209" s="67"/>
      <c r="R2209" s="67"/>
      <c r="S2209" s="67"/>
      <c r="T2209" s="67"/>
      <c r="U2209" s="67"/>
      <c r="V2209" s="67"/>
      <c r="W2209" s="85" t="str">
        <f aca="false">IF(AH2209="","",N(Q2209)+N(R2209)+N(S2209)+N(T2209)+N(U2209)+N(V2209))</f>
        <v/>
      </c>
      <c r="X2209" s="85" t="str">
        <f aca="false">IF(AH2209="","",P2209-W2209)</f>
        <v/>
      </c>
      <c r="Y2209" s="67"/>
      <c r="Z2209" s="70" t="str">
        <f aca="false">IF(OR(AH2209="",Y2209=""),"",IF(ABS(X2209-Y2209)&lt;=1,"✓ Cuadra","⚠ Diferencia $"&amp;FIXED(X2209-Y2209,0)))</f>
        <v/>
      </c>
      <c r="AA2209" s="72" t="str">
        <f aca="false">IF(AH2209="","",IFERROR(INDEX(C_TIPO,MATCH(C2209&amp;"-P"&amp;MAX(1,COUNTIFS(C_ID,C2209,C_DEFINE,"Sí",C_INICIO,"&lt;="&amp;EOMONTH(B2209,0))),C_CLAVE,0))&amp;"","Sin dato"))</f>
        <v/>
      </c>
      <c r="AB2209" s="71" t="str">
        <f aca="false">IF(AH2209="","",ROUND(MIN(K2209,TOPE_AFP_UF*AJ2209)*AK2209,0))</f>
        <v/>
      </c>
      <c r="AC2209" s="71" t="str">
        <f aca="false">IF(AH2209="","",ROUND(MIN(K2209,TOPE_AFC_UF*AJ2209)*IF(AA2209="Indefinido",AFC_EMP_INDEF,AFC_EMP_PF),0))</f>
        <v/>
      </c>
      <c r="AD2209" s="71" t="str">
        <f aca="false">IF(AH2209="","",ROUND(MIN(K2209,TOPE_AFP_UF*AJ2209)*(MUTUAL_BASICA+MUTUAL_ADIC+SANNA),0))</f>
        <v/>
      </c>
      <c r="AE2209" s="71" t="str">
        <f aca="false">IF(AH2209="","",P2209-N(N2209)+AB2209+AC2209+AD2209)</f>
        <v/>
      </c>
      <c r="AF2209" s="65"/>
      <c r="AG2209" s="64"/>
      <c r="AH2209" s="72" t="str">
        <f aca="false">IF(OR(B2209="",C2209=""),"",C2209&amp;"|"&amp;(YEAR(B2209)*100+MONTH(B2209)))</f>
        <v/>
      </c>
      <c r="AI2209" s="70" t="str">
        <f aca="false">IF(AH2209="","",IF(COUNTIF(L_CLAVE,AH2209)&gt;1,"⚠ Duplicado","OK"))</f>
        <v/>
      </c>
      <c r="AJ2209" s="86" t="str">
        <f aca="false">IF(AH2209="","",IF(SUMPRODUCT(MAX((IND_PER&lt;=B2209)*(IND_UF&lt;&gt;"")*IND_PER))=0,UF_HOY,INDEX(IND_UF,MATCH(SUMPRODUCT(MAX((IND_PER&lt;=B2209)*(IND_UF&lt;&gt;"")*IND_PER)),IND_PER,0))))</f>
        <v/>
      </c>
      <c r="AK2209" s="87" t="str">
        <f aca="false">IF(AH2209="","",IF(COUNTIF(TASA_DESDE,"&lt;="&amp;B2209)=0,INDEX(TASA_EMP,1),INDEX(TASA_EMP,COUNTIF(TASA_DESDE,"&lt;="&amp;B2209))))</f>
        <v/>
      </c>
    </row>
    <row r="2210" customFormat="false" ht="15" hidden="false" customHeight="false" outlineLevel="0" collapsed="false">
      <c r="B2210" s="78"/>
      <c r="C2210" s="64"/>
      <c r="D2210" s="72" t="str">
        <f aca="false">IF(C2210="","",IFERROR(INDEX(T_NOMBRE,MATCH(C2210,T_ID,0)),"⚠ ID no existe"))</f>
        <v/>
      </c>
      <c r="E2210" s="69"/>
      <c r="F2210" s="67"/>
      <c r="G2210" s="67"/>
      <c r="H2210" s="67"/>
      <c r="I2210" s="67"/>
      <c r="J2210" s="67"/>
      <c r="K2210" s="85" t="str">
        <f aca="false">IF(AH2210="","",N(F2210)+N(G2210)+N(H2210)-N(I2210)+N(J2210))</f>
        <v/>
      </c>
      <c r="L2210" s="67"/>
      <c r="M2210" s="67"/>
      <c r="N2210" s="67"/>
      <c r="O2210" s="67"/>
      <c r="P2210" s="85" t="str">
        <f aca="false">IF(AH2210="","",K2210+N(L2210)+N(M2210)+N(N2210)+N(O2210))</f>
        <v/>
      </c>
      <c r="Q2210" s="67"/>
      <c r="R2210" s="67"/>
      <c r="S2210" s="67"/>
      <c r="T2210" s="67"/>
      <c r="U2210" s="67"/>
      <c r="V2210" s="67"/>
      <c r="W2210" s="85" t="str">
        <f aca="false">IF(AH2210="","",N(Q2210)+N(R2210)+N(S2210)+N(T2210)+N(U2210)+N(V2210))</f>
        <v/>
      </c>
      <c r="X2210" s="85" t="str">
        <f aca="false">IF(AH2210="","",P2210-W2210)</f>
        <v/>
      </c>
      <c r="Y2210" s="67"/>
      <c r="Z2210" s="70" t="str">
        <f aca="false">IF(OR(AH2210="",Y2210=""),"",IF(ABS(X2210-Y2210)&lt;=1,"✓ Cuadra","⚠ Diferencia $"&amp;FIXED(X2210-Y2210,0)))</f>
        <v/>
      </c>
      <c r="AA2210" s="72" t="str">
        <f aca="false">IF(AH2210="","",IFERROR(INDEX(C_TIPO,MATCH(C2210&amp;"-P"&amp;MAX(1,COUNTIFS(C_ID,C2210,C_DEFINE,"Sí",C_INICIO,"&lt;="&amp;EOMONTH(B2210,0))),C_CLAVE,0))&amp;"","Sin dato"))</f>
        <v/>
      </c>
      <c r="AB2210" s="71" t="str">
        <f aca="false">IF(AH2210="","",ROUND(MIN(K2210,TOPE_AFP_UF*AJ2210)*AK2210,0))</f>
        <v/>
      </c>
      <c r="AC2210" s="71" t="str">
        <f aca="false">IF(AH2210="","",ROUND(MIN(K2210,TOPE_AFC_UF*AJ2210)*IF(AA2210="Indefinido",AFC_EMP_INDEF,AFC_EMP_PF),0))</f>
        <v/>
      </c>
      <c r="AD2210" s="71" t="str">
        <f aca="false">IF(AH2210="","",ROUND(MIN(K2210,TOPE_AFP_UF*AJ2210)*(MUTUAL_BASICA+MUTUAL_ADIC+SANNA),0))</f>
        <v/>
      </c>
      <c r="AE2210" s="71" t="str">
        <f aca="false">IF(AH2210="","",P2210-N(N2210)+AB2210+AC2210+AD2210)</f>
        <v/>
      </c>
      <c r="AF2210" s="65"/>
      <c r="AG2210" s="64"/>
      <c r="AH2210" s="72" t="str">
        <f aca="false">IF(OR(B2210="",C2210=""),"",C2210&amp;"|"&amp;(YEAR(B2210)*100+MONTH(B2210)))</f>
        <v/>
      </c>
      <c r="AI2210" s="70" t="str">
        <f aca="false">IF(AH2210="","",IF(COUNTIF(L_CLAVE,AH2210)&gt;1,"⚠ Duplicado","OK"))</f>
        <v/>
      </c>
      <c r="AJ2210" s="86" t="str">
        <f aca="false">IF(AH2210="","",IF(SUMPRODUCT(MAX((IND_PER&lt;=B2210)*(IND_UF&lt;&gt;"")*IND_PER))=0,UF_HOY,INDEX(IND_UF,MATCH(SUMPRODUCT(MAX((IND_PER&lt;=B2210)*(IND_UF&lt;&gt;"")*IND_PER)),IND_PER,0))))</f>
        <v/>
      </c>
      <c r="AK2210" s="87" t="str">
        <f aca="false">IF(AH2210="","",IF(COUNTIF(TASA_DESDE,"&lt;="&amp;B2210)=0,INDEX(TASA_EMP,1),INDEX(TASA_EMP,COUNTIF(TASA_DESDE,"&lt;="&amp;B2210))))</f>
        <v/>
      </c>
    </row>
    <row r="2211" customFormat="false" ht="15" hidden="false" customHeight="false" outlineLevel="0" collapsed="false">
      <c r="B2211" s="78"/>
      <c r="C2211" s="64"/>
      <c r="D2211" s="72" t="str">
        <f aca="false">IF(C2211="","",IFERROR(INDEX(T_NOMBRE,MATCH(C2211,T_ID,0)),"⚠ ID no existe"))</f>
        <v/>
      </c>
      <c r="E2211" s="69"/>
      <c r="F2211" s="67"/>
      <c r="G2211" s="67"/>
      <c r="H2211" s="67"/>
      <c r="I2211" s="67"/>
      <c r="J2211" s="67"/>
      <c r="K2211" s="85" t="str">
        <f aca="false">IF(AH2211="","",N(F2211)+N(G2211)+N(H2211)-N(I2211)+N(J2211))</f>
        <v/>
      </c>
      <c r="L2211" s="67"/>
      <c r="M2211" s="67"/>
      <c r="N2211" s="67"/>
      <c r="O2211" s="67"/>
      <c r="P2211" s="85" t="str">
        <f aca="false">IF(AH2211="","",K2211+N(L2211)+N(M2211)+N(N2211)+N(O2211))</f>
        <v/>
      </c>
      <c r="Q2211" s="67"/>
      <c r="R2211" s="67"/>
      <c r="S2211" s="67"/>
      <c r="T2211" s="67"/>
      <c r="U2211" s="67"/>
      <c r="V2211" s="67"/>
      <c r="W2211" s="85" t="str">
        <f aca="false">IF(AH2211="","",N(Q2211)+N(R2211)+N(S2211)+N(T2211)+N(U2211)+N(V2211))</f>
        <v/>
      </c>
      <c r="X2211" s="85" t="str">
        <f aca="false">IF(AH2211="","",P2211-W2211)</f>
        <v/>
      </c>
      <c r="Y2211" s="67"/>
      <c r="Z2211" s="70" t="str">
        <f aca="false">IF(OR(AH2211="",Y2211=""),"",IF(ABS(X2211-Y2211)&lt;=1,"✓ Cuadra","⚠ Diferencia $"&amp;FIXED(X2211-Y2211,0)))</f>
        <v/>
      </c>
      <c r="AA2211" s="72" t="str">
        <f aca="false">IF(AH2211="","",IFERROR(INDEX(C_TIPO,MATCH(C2211&amp;"-P"&amp;MAX(1,COUNTIFS(C_ID,C2211,C_DEFINE,"Sí",C_INICIO,"&lt;="&amp;EOMONTH(B2211,0))),C_CLAVE,0))&amp;"","Sin dato"))</f>
        <v/>
      </c>
      <c r="AB2211" s="71" t="str">
        <f aca="false">IF(AH2211="","",ROUND(MIN(K2211,TOPE_AFP_UF*AJ2211)*AK2211,0))</f>
        <v/>
      </c>
      <c r="AC2211" s="71" t="str">
        <f aca="false">IF(AH2211="","",ROUND(MIN(K2211,TOPE_AFC_UF*AJ2211)*IF(AA2211="Indefinido",AFC_EMP_INDEF,AFC_EMP_PF),0))</f>
        <v/>
      </c>
      <c r="AD2211" s="71" t="str">
        <f aca="false">IF(AH2211="","",ROUND(MIN(K2211,TOPE_AFP_UF*AJ2211)*(MUTUAL_BASICA+MUTUAL_ADIC+SANNA),0))</f>
        <v/>
      </c>
      <c r="AE2211" s="71" t="str">
        <f aca="false">IF(AH2211="","",P2211-N(N2211)+AB2211+AC2211+AD2211)</f>
        <v/>
      </c>
      <c r="AF2211" s="65"/>
      <c r="AG2211" s="64"/>
      <c r="AH2211" s="72" t="str">
        <f aca="false">IF(OR(B2211="",C2211=""),"",C2211&amp;"|"&amp;(YEAR(B2211)*100+MONTH(B2211)))</f>
        <v/>
      </c>
      <c r="AI2211" s="70" t="str">
        <f aca="false">IF(AH2211="","",IF(COUNTIF(L_CLAVE,AH2211)&gt;1,"⚠ Duplicado","OK"))</f>
        <v/>
      </c>
      <c r="AJ2211" s="86" t="str">
        <f aca="false">IF(AH2211="","",IF(SUMPRODUCT(MAX((IND_PER&lt;=B2211)*(IND_UF&lt;&gt;"")*IND_PER))=0,UF_HOY,INDEX(IND_UF,MATCH(SUMPRODUCT(MAX((IND_PER&lt;=B2211)*(IND_UF&lt;&gt;"")*IND_PER)),IND_PER,0))))</f>
        <v/>
      </c>
      <c r="AK2211" s="87" t="str">
        <f aca="false">IF(AH2211="","",IF(COUNTIF(TASA_DESDE,"&lt;="&amp;B2211)=0,INDEX(TASA_EMP,1),INDEX(TASA_EMP,COUNTIF(TASA_DESDE,"&lt;="&amp;B2211))))</f>
        <v/>
      </c>
    </row>
    <row r="2212" customFormat="false" ht="15" hidden="false" customHeight="false" outlineLevel="0" collapsed="false">
      <c r="B2212" s="78"/>
      <c r="C2212" s="64"/>
      <c r="D2212" s="72" t="str">
        <f aca="false">IF(C2212="","",IFERROR(INDEX(T_NOMBRE,MATCH(C2212,T_ID,0)),"⚠ ID no existe"))</f>
        <v/>
      </c>
      <c r="E2212" s="69"/>
      <c r="F2212" s="67"/>
      <c r="G2212" s="67"/>
      <c r="H2212" s="67"/>
      <c r="I2212" s="67"/>
      <c r="J2212" s="67"/>
      <c r="K2212" s="85" t="str">
        <f aca="false">IF(AH2212="","",N(F2212)+N(G2212)+N(H2212)-N(I2212)+N(J2212))</f>
        <v/>
      </c>
      <c r="L2212" s="67"/>
      <c r="M2212" s="67"/>
      <c r="N2212" s="67"/>
      <c r="O2212" s="67"/>
      <c r="P2212" s="85" t="str">
        <f aca="false">IF(AH2212="","",K2212+N(L2212)+N(M2212)+N(N2212)+N(O2212))</f>
        <v/>
      </c>
      <c r="Q2212" s="67"/>
      <c r="R2212" s="67"/>
      <c r="S2212" s="67"/>
      <c r="T2212" s="67"/>
      <c r="U2212" s="67"/>
      <c r="V2212" s="67"/>
      <c r="W2212" s="85" t="str">
        <f aca="false">IF(AH2212="","",N(Q2212)+N(R2212)+N(S2212)+N(T2212)+N(U2212)+N(V2212))</f>
        <v/>
      </c>
      <c r="X2212" s="85" t="str">
        <f aca="false">IF(AH2212="","",P2212-W2212)</f>
        <v/>
      </c>
      <c r="Y2212" s="67"/>
      <c r="Z2212" s="70" t="str">
        <f aca="false">IF(OR(AH2212="",Y2212=""),"",IF(ABS(X2212-Y2212)&lt;=1,"✓ Cuadra","⚠ Diferencia $"&amp;FIXED(X2212-Y2212,0)))</f>
        <v/>
      </c>
      <c r="AA2212" s="72" t="str">
        <f aca="false">IF(AH2212="","",IFERROR(INDEX(C_TIPO,MATCH(C2212&amp;"-P"&amp;MAX(1,COUNTIFS(C_ID,C2212,C_DEFINE,"Sí",C_INICIO,"&lt;="&amp;EOMONTH(B2212,0))),C_CLAVE,0))&amp;"","Sin dato"))</f>
        <v/>
      </c>
      <c r="AB2212" s="71" t="str">
        <f aca="false">IF(AH2212="","",ROUND(MIN(K2212,TOPE_AFP_UF*AJ2212)*AK2212,0))</f>
        <v/>
      </c>
      <c r="AC2212" s="71" t="str">
        <f aca="false">IF(AH2212="","",ROUND(MIN(K2212,TOPE_AFC_UF*AJ2212)*IF(AA2212="Indefinido",AFC_EMP_INDEF,AFC_EMP_PF),0))</f>
        <v/>
      </c>
      <c r="AD2212" s="71" t="str">
        <f aca="false">IF(AH2212="","",ROUND(MIN(K2212,TOPE_AFP_UF*AJ2212)*(MUTUAL_BASICA+MUTUAL_ADIC+SANNA),0))</f>
        <v/>
      </c>
      <c r="AE2212" s="71" t="str">
        <f aca="false">IF(AH2212="","",P2212-N(N2212)+AB2212+AC2212+AD2212)</f>
        <v/>
      </c>
      <c r="AF2212" s="65"/>
      <c r="AG2212" s="64"/>
      <c r="AH2212" s="72" t="str">
        <f aca="false">IF(OR(B2212="",C2212=""),"",C2212&amp;"|"&amp;(YEAR(B2212)*100+MONTH(B2212)))</f>
        <v/>
      </c>
      <c r="AI2212" s="70" t="str">
        <f aca="false">IF(AH2212="","",IF(COUNTIF(L_CLAVE,AH2212)&gt;1,"⚠ Duplicado","OK"))</f>
        <v/>
      </c>
      <c r="AJ2212" s="86" t="str">
        <f aca="false">IF(AH2212="","",IF(SUMPRODUCT(MAX((IND_PER&lt;=B2212)*(IND_UF&lt;&gt;"")*IND_PER))=0,UF_HOY,INDEX(IND_UF,MATCH(SUMPRODUCT(MAX((IND_PER&lt;=B2212)*(IND_UF&lt;&gt;"")*IND_PER)),IND_PER,0))))</f>
        <v/>
      </c>
      <c r="AK2212" s="87" t="str">
        <f aca="false">IF(AH2212="","",IF(COUNTIF(TASA_DESDE,"&lt;="&amp;B2212)=0,INDEX(TASA_EMP,1),INDEX(TASA_EMP,COUNTIF(TASA_DESDE,"&lt;="&amp;B2212))))</f>
        <v/>
      </c>
    </row>
    <row r="2213" customFormat="false" ht="15" hidden="false" customHeight="false" outlineLevel="0" collapsed="false">
      <c r="B2213" s="78"/>
      <c r="C2213" s="64"/>
      <c r="D2213" s="72" t="str">
        <f aca="false">IF(C2213="","",IFERROR(INDEX(T_NOMBRE,MATCH(C2213,T_ID,0)),"⚠ ID no existe"))</f>
        <v/>
      </c>
      <c r="E2213" s="69"/>
      <c r="F2213" s="67"/>
      <c r="G2213" s="67"/>
      <c r="H2213" s="67"/>
      <c r="I2213" s="67"/>
      <c r="J2213" s="67"/>
      <c r="K2213" s="85" t="str">
        <f aca="false">IF(AH2213="","",N(F2213)+N(G2213)+N(H2213)-N(I2213)+N(J2213))</f>
        <v/>
      </c>
      <c r="L2213" s="67"/>
      <c r="M2213" s="67"/>
      <c r="N2213" s="67"/>
      <c r="O2213" s="67"/>
      <c r="P2213" s="85" t="str">
        <f aca="false">IF(AH2213="","",K2213+N(L2213)+N(M2213)+N(N2213)+N(O2213))</f>
        <v/>
      </c>
      <c r="Q2213" s="67"/>
      <c r="R2213" s="67"/>
      <c r="S2213" s="67"/>
      <c r="T2213" s="67"/>
      <c r="U2213" s="67"/>
      <c r="V2213" s="67"/>
      <c r="W2213" s="85" t="str">
        <f aca="false">IF(AH2213="","",N(Q2213)+N(R2213)+N(S2213)+N(T2213)+N(U2213)+N(V2213))</f>
        <v/>
      </c>
      <c r="X2213" s="85" t="str">
        <f aca="false">IF(AH2213="","",P2213-W2213)</f>
        <v/>
      </c>
      <c r="Y2213" s="67"/>
      <c r="Z2213" s="70" t="str">
        <f aca="false">IF(OR(AH2213="",Y2213=""),"",IF(ABS(X2213-Y2213)&lt;=1,"✓ Cuadra","⚠ Diferencia $"&amp;FIXED(X2213-Y2213,0)))</f>
        <v/>
      </c>
      <c r="AA2213" s="72" t="str">
        <f aca="false">IF(AH2213="","",IFERROR(INDEX(C_TIPO,MATCH(C2213&amp;"-P"&amp;MAX(1,COUNTIFS(C_ID,C2213,C_DEFINE,"Sí",C_INICIO,"&lt;="&amp;EOMONTH(B2213,0))),C_CLAVE,0))&amp;"","Sin dato"))</f>
        <v/>
      </c>
      <c r="AB2213" s="71" t="str">
        <f aca="false">IF(AH2213="","",ROUND(MIN(K2213,TOPE_AFP_UF*AJ2213)*AK2213,0))</f>
        <v/>
      </c>
      <c r="AC2213" s="71" t="str">
        <f aca="false">IF(AH2213="","",ROUND(MIN(K2213,TOPE_AFC_UF*AJ2213)*IF(AA2213="Indefinido",AFC_EMP_INDEF,AFC_EMP_PF),0))</f>
        <v/>
      </c>
      <c r="AD2213" s="71" t="str">
        <f aca="false">IF(AH2213="","",ROUND(MIN(K2213,TOPE_AFP_UF*AJ2213)*(MUTUAL_BASICA+MUTUAL_ADIC+SANNA),0))</f>
        <v/>
      </c>
      <c r="AE2213" s="71" t="str">
        <f aca="false">IF(AH2213="","",P2213-N(N2213)+AB2213+AC2213+AD2213)</f>
        <v/>
      </c>
      <c r="AF2213" s="65"/>
      <c r="AG2213" s="64"/>
      <c r="AH2213" s="72" t="str">
        <f aca="false">IF(OR(B2213="",C2213=""),"",C2213&amp;"|"&amp;(YEAR(B2213)*100+MONTH(B2213)))</f>
        <v/>
      </c>
      <c r="AI2213" s="70" t="str">
        <f aca="false">IF(AH2213="","",IF(COUNTIF(L_CLAVE,AH2213)&gt;1,"⚠ Duplicado","OK"))</f>
        <v/>
      </c>
      <c r="AJ2213" s="86" t="str">
        <f aca="false">IF(AH2213="","",IF(SUMPRODUCT(MAX((IND_PER&lt;=B2213)*(IND_UF&lt;&gt;"")*IND_PER))=0,UF_HOY,INDEX(IND_UF,MATCH(SUMPRODUCT(MAX((IND_PER&lt;=B2213)*(IND_UF&lt;&gt;"")*IND_PER)),IND_PER,0))))</f>
        <v/>
      </c>
      <c r="AK2213" s="87" t="str">
        <f aca="false">IF(AH2213="","",IF(COUNTIF(TASA_DESDE,"&lt;="&amp;B2213)=0,INDEX(TASA_EMP,1),INDEX(TASA_EMP,COUNTIF(TASA_DESDE,"&lt;="&amp;B2213))))</f>
        <v/>
      </c>
    </row>
    <row r="2214" customFormat="false" ht="15" hidden="false" customHeight="false" outlineLevel="0" collapsed="false">
      <c r="B2214" s="78"/>
      <c r="C2214" s="64"/>
      <c r="D2214" s="72" t="str">
        <f aca="false">IF(C2214="","",IFERROR(INDEX(T_NOMBRE,MATCH(C2214,T_ID,0)),"⚠ ID no existe"))</f>
        <v/>
      </c>
      <c r="E2214" s="69"/>
      <c r="F2214" s="67"/>
      <c r="G2214" s="67"/>
      <c r="H2214" s="67"/>
      <c r="I2214" s="67"/>
      <c r="J2214" s="67"/>
      <c r="K2214" s="85" t="str">
        <f aca="false">IF(AH2214="","",N(F2214)+N(G2214)+N(H2214)-N(I2214)+N(J2214))</f>
        <v/>
      </c>
      <c r="L2214" s="67"/>
      <c r="M2214" s="67"/>
      <c r="N2214" s="67"/>
      <c r="O2214" s="67"/>
      <c r="P2214" s="85" t="str">
        <f aca="false">IF(AH2214="","",K2214+N(L2214)+N(M2214)+N(N2214)+N(O2214))</f>
        <v/>
      </c>
      <c r="Q2214" s="67"/>
      <c r="R2214" s="67"/>
      <c r="S2214" s="67"/>
      <c r="T2214" s="67"/>
      <c r="U2214" s="67"/>
      <c r="V2214" s="67"/>
      <c r="W2214" s="85" t="str">
        <f aca="false">IF(AH2214="","",N(Q2214)+N(R2214)+N(S2214)+N(T2214)+N(U2214)+N(V2214))</f>
        <v/>
      </c>
      <c r="X2214" s="85" t="str">
        <f aca="false">IF(AH2214="","",P2214-W2214)</f>
        <v/>
      </c>
      <c r="Y2214" s="67"/>
      <c r="Z2214" s="70" t="str">
        <f aca="false">IF(OR(AH2214="",Y2214=""),"",IF(ABS(X2214-Y2214)&lt;=1,"✓ Cuadra","⚠ Diferencia $"&amp;FIXED(X2214-Y2214,0)))</f>
        <v/>
      </c>
      <c r="AA2214" s="72" t="str">
        <f aca="false">IF(AH2214="","",IFERROR(INDEX(C_TIPO,MATCH(C2214&amp;"-P"&amp;MAX(1,COUNTIFS(C_ID,C2214,C_DEFINE,"Sí",C_INICIO,"&lt;="&amp;EOMONTH(B2214,0))),C_CLAVE,0))&amp;"","Sin dato"))</f>
        <v/>
      </c>
      <c r="AB2214" s="71" t="str">
        <f aca="false">IF(AH2214="","",ROUND(MIN(K2214,TOPE_AFP_UF*AJ2214)*AK2214,0))</f>
        <v/>
      </c>
      <c r="AC2214" s="71" t="str">
        <f aca="false">IF(AH2214="","",ROUND(MIN(K2214,TOPE_AFC_UF*AJ2214)*IF(AA2214="Indefinido",AFC_EMP_INDEF,AFC_EMP_PF),0))</f>
        <v/>
      </c>
      <c r="AD2214" s="71" t="str">
        <f aca="false">IF(AH2214="","",ROUND(MIN(K2214,TOPE_AFP_UF*AJ2214)*(MUTUAL_BASICA+MUTUAL_ADIC+SANNA),0))</f>
        <v/>
      </c>
      <c r="AE2214" s="71" t="str">
        <f aca="false">IF(AH2214="","",P2214-N(N2214)+AB2214+AC2214+AD2214)</f>
        <v/>
      </c>
      <c r="AF2214" s="65"/>
      <c r="AG2214" s="64"/>
      <c r="AH2214" s="72" t="str">
        <f aca="false">IF(OR(B2214="",C2214=""),"",C2214&amp;"|"&amp;(YEAR(B2214)*100+MONTH(B2214)))</f>
        <v/>
      </c>
      <c r="AI2214" s="70" t="str">
        <f aca="false">IF(AH2214="","",IF(COUNTIF(L_CLAVE,AH2214)&gt;1,"⚠ Duplicado","OK"))</f>
        <v/>
      </c>
      <c r="AJ2214" s="86" t="str">
        <f aca="false">IF(AH2214="","",IF(SUMPRODUCT(MAX((IND_PER&lt;=B2214)*(IND_UF&lt;&gt;"")*IND_PER))=0,UF_HOY,INDEX(IND_UF,MATCH(SUMPRODUCT(MAX((IND_PER&lt;=B2214)*(IND_UF&lt;&gt;"")*IND_PER)),IND_PER,0))))</f>
        <v/>
      </c>
      <c r="AK2214" s="87" t="str">
        <f aca="false">IF(AH2214="","",IF(COUNTIF(TASA_DESDE,"&lt;="&amp;B2214)=0,INDEX(TASA_EMP,1),INDEX(TASA_EMP,COUNTIF(TASA_DESDE,"&lt;="&amp;B2214))))</f>
        <v/>
      </c>
    </row>
    <row r="2215" customFormat="false" ht="15" hidden="false" customHeight="false" outlineLevel="0" collapsed="false">
      <c r="B2215" s="78"/>
      <c r="C2215" s="64"/>
      <c r="D2215" s="72" t="str">
        <f aca="false">IF(C2215="","",IFERROR(INDEX(T_NOMBRE,MATCH(C2215,T_ID,0)),"⚠ ID no existe"))</f>
        <v/>
      </c>
      <c r="E2215" s="69"/>
      <c r="F2215" s="67"/>
      <c r="G2215" s="67"/>
      <c r="H2215" s="67"/>
      <c r="I2215" s="67"/>
      <c r="J2215" s="67"/>
      <c r="K2215" s="85" t="str">
        <f aca="false">IF(AH2215="","",N(F2215)+N(G2215)+N(H2215)-N(I2215)+N(J2215))</f>
        <v/>
      </c>
      <c r="L2215" s="67"/>
      <c r="M2215" s="67"/>
      <c r="N2215" s="67"/>
      <c r="O2215" s="67"/>
      <c r="P2215" s="85" t="str">
        <f aca="false">IF(AH2215="","",K2215+N(L2215)+N(M2215)+N(N2215)+N(O2215))</f>
        <v/>
      </c>
      <c r="Q2215" s="67"/>
      <c r="R2215" s="67"/>
      <c r="S2215" s="67"/>
      <c r="T2215" s="67"/>
      <c r="U2215" s="67"/>
      <c r="V2215" s="67"/>
      <c r="W2215" s="85" t="str">
        <f aca="false">IF(AH2215="","",N(Q2215)+N(R2215)+N(S2215)+N(T2215)+N(U2215)+N(V2215))</f>
        <v/>
      </c>
      <c r="X2215" s="85" t="str">
        <f aca="false">IF(AH2215="","",P2215-W2215)</f>
        <v/>
      </c>
      <c r="Y2215" s="67"/>
      <c r="Z2215" s="70" t="str">
        <f aca="false">IF(OR(AH2215="",Y2215=""),"",IF(ABS(X2215-Y2215)&lt;=1,"✓ Cuadra","⚠ Diferencia $"&amp;FIXED(X2215-Y2215,0)))</f>
        <v/>
      </c>
      <c r="AA2215" s="72" t="str">
        <f aca="false">IF(AH2215="","",IFERROR(INDEX(C_TIPO,MATCH(C2215&amp;"-P"&amp;MAX(1,COUNTIFS(C_ID,C2215,C_DEFINE,"Sí",C_INICIO,"&lt;="&amp;EOMONTH(B2215,0))),C_CLAVE,0))&amp;"","Sin dato"))</f>
        <v/>
      </c>
      <c r="AB2215" s="71" t="str">
        <f aca="false">IF(AH2215="","",ROUND(MIN(K2215,TOPE_AFP_UF*AJ2215)*AK2215,0))</f>
        <v/>
      </c>
      <c r="AC2215" s="71" t="str">
        <f aca="false">IF(AH2215="","",ROUND(MIN(K2215,TOPE_AFC_UF*AJ2215)*IF(AA2215="Indefinido",AFC_EMP_INDEF,AFC_EMP_PF),0))</f>
        <v/>
      </c>
      <c r="AD2215" s="71" t="str">
        <f aca="false">IF(AH2215="","",ROUND(MIN(K2215,TOPE_AFP_UF*AJ2215)*(MUTUAL_BASICA+MUTUAL_ADIC+SANNA),0))</f>
        <v/>
      </c>
      <c r="AE2215" s="71" t="str">
        <f aca="false">IF(AH2215="","",P2215-N(N2215)+AB2215+AC2215+AD2215)</f>
        <v/>
      </c>
      <c r="AF2215" s="65"/>
      <c r="AG2215" s="64"/>
      <c r="AH2215" s="72" t="str">
        <f aca="false">IF(OR(B2215="",C2215=""),"",C2215&amp;"|"&amp;(YEAR(B2215)*100+MONTH(B2215)))</f>
        <v/>
      </c>
      <c r="AI2215" s="70" t="str">
        <f aca="false">IF(AH2215="","",IF(COUNTIF(L_CLAVE,AH2215)&gt;1,"⚠ Duplicado","OK"))</f>
        <v/>
      </c>
      <c r="AJ2215" s="86" t="str">
        <f aca="false">IF(AH2215="","",IF(SUMPRODUCT(MAX((IND_PER&lt;=B2215)*(IND_UF&lt;&gt;"")*IND_PER))=0,UF_HOY,INDEX(IND_UF,MATCH(SUMPRODUCT(MAX((IND_PER&lt;=B2215)*(IND_UF&lt;&gt;"")*IND_PER)),IND_PER,0))))</f>
        <v/>
      </c>
      <c r="AK2215" s="87" t="str">
        <f aca="false">IF(AH2215="","",IF(COUNTIF(TASA_DESDE,"&lt;="&amp;B2215)=0,INDEX(TASA_EMP,1),INDEX(TASA_EMP,COUNTIF(TASA_DESDE,"&lt;="&amp;B2215))))</f>
        <v/>
      </c>
    </row>
    <row r="2216" customFormat="false" ht="15" hidden="false" customHeight="false" outlineLevel="0" collapsed="false">
      <c r="B2216" s="78"/>
      <c r="C2216" s="64"/>
      <c r="D2216" s="72" t="str">
        <f aca="false">IF(C2216="","",IFERROR(INDEX(T_NOMBRE,MATCH(C2216,T_ID,0)),"⚠ ID no existe"))</f>
        <v/>
      </c>
      <c r="E2216" s="69"/>
      <c r="F2216" s="67"/>
      <c r="G2216" s="67"/>
      <c r="H2216" s="67"/>
      <c r="I2216" s="67"/>
      <c r="J2216" s="67"/>
      <c r="K2216" s="85" t="str">
        <f aca="false">IF(AH2216="","",N(F2216)+N(G2216)+N(H2216)-N(I2216)+N(J2216))</f>
        <v/>
      </c>
      <c r="L2216" s="67"/>
      <c r="M2216" s="67"/>
      <c r="N2216" s="67"/>
      <c r="O2216" s="67"/>
      <c r="P2216" s="85" t="str">
        <f aca="false">IF(AH2216="","",K2216+N(L2216)+N(M2216)+N(N2216)+N(O2216))</f>
        <v/>
      </c>
      <c r="Q2216" s="67"/>
      <c r="R2216" s="67"/>
      <c r="S2216" s="67"/>
      <c r="T2216" s="67"/>
      <c r="U2216" s="67"/>
      <c r="V2216" s="67"/>
      <c r="W2216" s="85" t="str">
        <f aca="false">IF(AH2216="","",N(Q2216)+N(R2216)+N(S2216)+N(T2216)+N(U2216)+N(V2216))</f>
        <v/>
      </c>
      <c r="X2216" s="85" t="str">
        <f aca="false">IF(AH2216="","",P2216-W2216)</f>
        <v/>
      </c>
      <c r="Y2216" s="67"/>
      <c r="Z2216" s="70" t="str">
        <f aca="false">IF(OR(AH2216="",Y2216=""),"",IF(ABS(X2216-Y2216)&lt;=1,"✓ Cuadra","⚠ Diferencia $"&amp;FIXED(X2216-Y2216,0)))</f>
        <v/>
      </c>
      <c r="AA2216" s="72" t="str">
        <f aca="false">IF(AH2216="","",IFERROR(INDEX(C_TIPO,MATCH(C2216&amp;"-P"&amp;MAX(1,COUNTIFS(C_ID,C2216,C_DEFINE,"Sí",C_INICIO,"&lt;="&amp;EOMONTH(B2216,0))),C_CLAVE,0))&amp;"","Sin dato"))</f>
        <v/>
      </c>
      <c r="AB2216" s="71" t="str">
        <f aca="false">IF(AH2216="","",ROUND(MIN(K2216,TOPE_AFP_UF*AJ2216)*AK2216,0))</f>
        <v/>
      </c>
      <c r="AC2216" s="71" t="str">
        <f aca="false">IF(AH2216="","",ROUND(MIN(K2216,TOPE_AFC_UF*AJ2216)*IF(AA2216="Indefinido",AFC_EMP_INDEF,AFC_EMP_PF),0))</f>
        <v/>
      </c>
      <c r="AD2216" s="71" t="str">
        <f aca="false">IF(AH2216="","",ROUND(MIN(K2216,TOPE_AFP_UF*AJ2216)*(MUTUAL_BASICA+MUTUAL_ADIC+SANNA),0))</f>
        <v/>
      </c>
      <c r="AE2216" s="71" t="str">
        <f aca="false">IF(AH2216="","",P2216-N(N2216)+AB2216+AC2216+AD2216)</f>
        <v/>
      </c>
      <c r="AF2216" s="65"/>
      <c r="AG2216" s="64"/>
      <c r="AH2216" s="72" t="str">
        <f aca="false">IF(OR(B2216="",C2216=""),"",C2216&amp;"|"&amp;(YEAR(B2216)*100+MONTH(B2216)))</f>
        <v/>
      </c>
      <c r="AI2216" s="70" t="str">
        <f aca="false">IF(AH2216="","",IF(COUNTIF(L_CLAVE,AH2216)&gt;1,"⚠ Duplicado","OK"))</f>
        <v/>
      </c>
      <c r="AJ2216" s="86" t="str">
        <f aca="false">IF(AH2216="","",IF(SUMPRODUCT(MAX((IND_PER&lt;=B2216)*(IND_UF&lt;&gt;"")*IND_PER))=0,UF_HOY,INDEX(IND_UF,MATCH(SUMPRODUCT(MAX((IND_PER&lt;=B2216)*(IND_UF&lt;&gt;"")*IND_PER)),IND_PER,0))))</f>
        <v/>
      </c>
      <c r="AK2216" s="87" t="str">
        <f aca="false">IF(AH2216="","",IF(COUNTIF(TASA_DESDE,"&lt;="&amp;B2216)=0,INDEX(TASA_EMP,1),INDEX(TASA_EMP,COUNTIF(TASA_DESDE,"&lt;="&amp;B2216))))</f>
        <v/>
      </c>
    </row>
    <row r="2217" customFormat="false" ht="15" hidden="false" customHeight="false" outlineLevel="0" collapsed="false">
      <c r="B2217" s="78"/>
      <c r="C2217" s="64"/>
      <c r="D2217" s="72" t="str">
        <f aca="false">IF(C2217="","",IFERROR(INDEX(T_NOMBRE,MATCH(C2217,T_ID,0)),"⚠ ID no existe"))</f>
        <v/>
      </c>
      <c r="E2217" s="69"/>
      <c r="F2217" s="67"/>
      <c r="G2217" s="67"/>
      <c r="H2217" s="67"/>
      <c r="I2217" s="67"/>
      <c r="J2217" s="67"/>
      <c r="K2217" s="85" t="str">
        <f aca="false">IF(AH2217="","",N(F2217)+N(G2217)+N(H2217)-N(I2217)+N(J2217))</f>
        <v/>
      </c>
      <c r="L2217" s="67"/>
      <c r="M2217" s="67"/>
      <c r="N2217" s="67"/>
      <c r="O2217" s="67"/>
      <c r="P2217" s="85" t="str">
        <f aca="false">IF(AH2217="","",K2217+N(L2217)+N(M2217)+N(N2217)+N(O2217))</f>
        <v/>
      </c>
      <c r="Q2217" s="67"/>
      <c r="R2217" s="67"/>
      <c r="S2217" s="67"/>
      <c r="T2217" s="67"/>
      <c r="U2217" s="67"/>
      <c r="V2217" s="67"/>
      <c r="W2217" s="85" t="str">
        <f aca="false">IF(AH2217="","",N(Q2217)+N(R2217)+N(S2217)+N(T2217)+N(U2217)+N(V2217))</f>
        <v/>
      </c>
      <c r="X2217" s="85" t="str">
        <f aca="false">IF(AH2217="","",P2217-W2217)</f>
        <v/>
      </c>
      <c r="Y2217" s="67"/>
      <c r="Z2217" s="70" t="str">
        <f aca="false">IF(OR(AH2217="",Y2217=""),"",IF(ABS(X2217-Y2217)&lt;=1,"✓ Cuadra","⚠ Diferencia $"&amp;FIXED(X2217-Y2217,0)))</f>
        <v/>
      </c>
      <c r="AA2217" s="72" t="str">
        <f aca="false">IF(AH2217="","",IFERROR(INDEX(C_TIPO,MATCH(C2217&amp;"-P"&amp;MAX(1,COUNTIFS(C_ID,C2217,C_DEFINE,"Sí",C_INICIO,"&lt;="&amp;EOMONTH(B2217,0))),C_CLAVE,0))&amp;"","Sin dato"))</f>
        <v/>
      </c>
      <c r="AB2217" s="71" t="str">
        <f aca="false">IF(AH2217="","",ROUND(MIN(K2217,TOPE_AFP_UF*AJ2217)*AK2217,0))</f>
        <v/>
      </c>
      <c r="AC2217" s="71" t="str">
        <f aca="false">IF(AH2217="","",ROUND(MIN(K2217,TOPE_AFC_UF*AJ2217)*IF(AA2217="Indefinido",AFC_EMP_INDEF,AFC_EMP_PF),0))</f>
        <v/>
      </c>
      <c r="AD2217" s="71" t="str">
        <f aca="false">IF(AH2217="","",ROUND(MIN(K2217,TOPE_AFP_UF*AJ2217)*(MUTUAL_BASICA+MUTUAL_ADIC+SANNA),0))</f>
        <v/>
      </c>
      <c r="AE2217" s="71" t="str">
        <f aca="false">IF(AH2217="","",P2217-N(N2217)+AB2217+AC2217+AD2217)</f>
        <v/>
      </c>
      <c r="AF2217" s="65"/>
      <c r="AG2217" s="64"/>
      <c r="AH2217" s="72" t="str">
        <f aca="false">IF(OR(B2217="",C2217=""),"",C2217&amp;"|"&amp;(YEAR(B2217)*100+MONTH(B2217)))</f>
        <v/>
      </c>
      <c r="AI2217" s="70" t="str">
        <f aca="false">IF(AH2217="","",IF(COUNTIF(L_CLAVE,AH2217)&gt;1,"⚠ Duplicado","OK"))</f>
        <v/>
      </c>
      <c r="AJ2217" s="86" t="str">
        <f aca="false">IF(AH2217="","",IF(SUMPRODUCT(MAX((IND_PER&lt;=B2217)*(IND_UF&lt;&gt;"")*IND_PER))=0,UF_HOY,INDEX(IND_UF,MATCH(SUMPRODUCT(MAX((IND_PER&lt;=B2217)*(IND_UF&lt;&gt;"")*IND_PER)),IND_PER,0))))</f>
        <v/>
      </c>
      <c r="AK2217" s="87" t="str">
        <f aca="false">IF(AH2217="","",IF(COUNTIF(TASA_DESDE,"&lt;="&amp;B2217)=0,INDEX(TASA_EMP,1),INDEX(TASA_EMP,COUNTIF(TASA_DESDE,"&lt;="&amp;B2217))))</f>
        <v/>
      </c>
    </row>
    <row r="2218" customFormat="false" ht="15" hidden="false" customHeight="false" outlineLevel="0" collapsed="false">
      <c r="B2218" s="78"/>
      <c r="C2218" s="64"/>
      <c r="D2218" s="72" t="str">
        <f aca="false">IF(C2218="","",IFERROR(INDEX(T_NOMBRE,MATCH(C2218,T_ID,0)),"⚠ ID no existe"))</f>
        <v/>
      </c>
      <c r="E2218" s="69"/>
      <c r="F2218" s="67"/>
      <c r="G2218" s="67"/>
      <c r="H2218" s="67"/>
      <c r="I2218" s="67"/>
      <c r="J2218" s="67"/>
      <c r="K2218" s="85" t="str">
        <f aca="false">IF(AH2218="","",N(F2218)+N(G2218)+N(H2218)-N(I2218)+N(J2218))</f>
        <v/>
      </c>
      <c r="L2218" s="67"/>
      <c r="M2218" s="67"/>
      <c r="N2218" s="67"/>
      <c r="O2218" s="67"/>
      <c r="P2218" s="85" t="str">
        <f aca="false">IF(AH2218="","",K2218+N(L2218)+N(M2218)+N(N2218)+N(O2218))</f>
        <v/>
      </c>
      <c r="Q2218" s="67"/>
      <c r="R2218" s="67"/>
      <c r="S2218" s="67"/>
      <c r="T2218" s="67"/>
      <c r="U2218" s="67"/>
      <c r="V2218" s="67"/>
      <c r="W2218" s="85" t="str">
        <f aca="false">IF(AH2218="","",N(Q2218)+N(R2218)+N(S2218)+N(T2218)+N(U2218)+N(V2218))</f>
        <v/>
      </c>
      <c r="X2218" s="85" t="str">
        <f aca="false">IF(AH2218="","",P2218-W2218)</f>
        <v/>
      </c>
      <c r="Y2218" s="67"/>
      <c r="Z2218" s="70" t="str">
        <f aca="false">IF(OR(AH2218="",Y2218=""),"",IF(ABS(X2218-Y2218)&lt;=1,"✓ Cuadra","⚠ Diferencia $"&amp;FIXED(X2218-Y2218,0)))</f>
        <v/>
      </c>
      <c r="AA2218" s="72" t="str">
        <f aca="false">IF(AH2218="","",IFERROR(INDEX(C_TIPO,MATCH(C2218&amp;"-P"&amp;MAX(1,COUNTIFS(C_ID,C2218,C_DEFINE,"Sí",C_INICIO,"&lt;="&amp;EOMONTH(B2218,0))),C_CLAVE,0))&amp;"","Sin dato"))</f>
        <v/>
      </c>
      <c r="AB2218" s="71" t="str">
        <f aca="false">IF(AH2218="","",ROUND(MIN(K2218,TOPE_AFP_UF*AJ2218)*AK2218,0))</f>
        <v/>
      </c>
      <c r="AC2218" s="71" t="str">
        <f aca="false">IF(AH2218="","",ROUND(MIN(K2218,TOPE_AFC_UF*AJ2218)*IF(AA2218="Indefinido",AFC_EMP_INDEF,AFC_EMP_PF),0))</f>
        <v/>
      </c>
      <c r="AD2218" s="71" t="str">
        <f aca="false">IF(AH2218="","",ROUND(MIN(K2218,TOPE_AFP_UF*AJ2218)*(MUTUAL_BASICA+MUTUAL_ADIC+SANNA),0))</f>
        <v/>
      </c>
      <c r="AE2218" s="71" t="str">
        <f aca="false">IF(AH2218="","",P2218-N(N2218)+AB2218+AC2218+AD2218)</f>
        <v/>
      </c>
      <c r="AF2218" s="65"/>
      <c r="AG2218" s="64"/>
      <c r="AH2218" s="72" t="str">
        <f aca="false">IF(OR(B2218="",C2218=""),"",C2218&amp;"|"&amp;(YEAR(B2218)*100+MONTH(B2218)))</f>
        <v/>
      </c>
      <c r="AI2218" s="70" t="str">
        <f aca="false">IF(AH2218="","",IF(COUNTIF(L_CLAVE,AH2218)&gt;1,"⚠ Duplicado","OK"))</f>
        <v/>
      </c>
      <c r="AJ2218" s="86" t="str">
        <f aca="false">IF(AH2218="","",IF(SUMPRODUCT(MAX((IND_PER&lt;=B2218)*(IND_UF&lt;&gt;"")*IND_PER))=0,UF_HOY,INDEX(IND_UF,MATCH(SUMPRODUCT(MAX((IND_PER&lt;=B2218)*(IND_UF&lt;&gt;"")*IND_PER)),IND_PER,0))))</f>
        <v/>
      </c>
      <c r="AK2218" s="87" t="str">
        <f aca="false">IF(AH2218="","",IF(COUNTIF(TASA_DESDE,"&lt;="&amp;B2218)=0,INDEX(TASA_EMP,1),INDEX(TASA_EMP,COUNTIF(TASA_DESDE,"&lt;="&amp;B2218))))</f>
        <v/>
      </c>
    </row>
    <row r="2219" customFormat="false" ht="15" hidden="false" customHeight="false" outlineLevel="0" collapsed="false">
      <c r="B2219" s="78"/>
      <c r="C2219" s="64"/>
      <c r="D2219" s="72" t="str">
        <f aca="false">IF(C2219="","",IFERROR(INDEX(T_NOMBRE,MATCH(C2219,T_ID,0)),"⚠ ID no existe"))</f>
        <v/>
      </c>
      <c r="E2219" s="69"/>
      <c r="F2219" s="67"/>
      <c r="G2219" s="67"/>
      <c r="H2219" s="67"/>
      <c r="I2219" s="67"/>
      <c r="J2219" s="67"/>
      <c r="K2219" s="85" t="str">
        <f aca="false">IF(AH2219="","",N(F2219)+N(G2219)+N(H2219)-N(I2219)+N(J2219))</f>
        <v/>
      </c>
      <c r="L2219" s="67"/>
      <c r="M2219" s="67"/>
      <c r="N2219" s="67"/>
      <c r="O2219" s="67"/>
      <c r="P2219" s="85" t="str">
        <f aca="false">IF(AH2219="","",K2219+N(L2219)+N(M2219)+N(N2219)+N(O2219))</f>
        <v/>
      </c>
      <c r="Q2219" s="67"/>
      <c r="R2219" s="67"/>
      <c r="S2219" s="67"/>
      <c r="T2219" s="67"/>
      <c r="U2219" s="67"/>
      <c r="V2219" s="67"/>
      <c r="W2219" s="85" t="str">
        <f aca="false">IF(AH2219="","",N(Q2219)+N(R2219)+N(S2219)+N(T2219)+N(U2219)+N(V2219))</f>
        <v/>
      </c>
      <c r="X2219" s="85" t="str">
        <f aca="false">IF(AH2219="","",P2219-W2219)</f>
        <v/>
      </c>
      <c r="Y2219" s="67"/>
      <c r="Z2219" s="70" t="str">
        <f aca="false">IF(OR(AH2219="",Y2219=""),"",IF(ABS(X2219-Y2219)&lt;=1,"✓ Cuadra","⚠ Diferencia $"&amp;FIXED(X2219-Y2219,0)))</f>
        <v/>
      </c>
      <c r="AA2219" s="72" t="str">
        <f aca="false">IF(AH2219="","",IFERROR(INDEX(C_TIPO,MATCH(C2219&amp;"-P"&amp;MAX(1,COUNTIFS(C_ID,C2219,C_DEFINE,"Sí",C_INICIO,"&lt;="&amp;EOMONTH(B2219,0))),C_CLAVE,0))&amp;"","Sin dato"))</f>
        <v/>
      </c>
      <c r="AB2219" s="71" t="str">
        <f aca="false">IF(AH2219="","",ROUND(MIN(K2219,TOPE_AFP_UF*AJ2219)*AK2219,0))</f>
        <v/>
      </c>
      <c r="AC2219" s="71" t="str">
        <f aca="false">IF(AH2219="","",ROUND(MIN(K2219,TOPE_AFC_UF*AJ2219)*IF(AA2219="Indefinido",AFC_EMP_INDEF,AFC_EMP_PF),0))</f>
        <v/>
      </c>
      <c r="AD2219" s="71" t="str">
        <f aca="false">IF(AH2219="","",ROUND(MIN(K2219,TOPE_AFP_UF*AJ2219)*(MUTUAL_BASICA+MUTUAL_ADIC+SANNA),0))</f>
        <v/>
      </c>
      <c r="AE2219" s="71" t="str">
        <f aca="false">IF(AH2219="","",P2219-N(N2219)+AB2219+AC2219+AD2219)</f>
        <v/>
      </c>
      <c r="AF2219" s="65"/>
      <c r="AG2219" s="64"/>
      <c r="AH2219" s="72" t="str">
        <f aca="false">IF(OR(B2219="",C2219=""),"",C2219&amp;"|"&amp;(YEAR(B2219)*100+MONTH(B2219)))</f>
        <v/>
      </c>
      <c r="AI2219" s="70" t="str">
        <f aca="false">IF(AH2219="","",IF(COUNTIF(L_CLAVE,AH2219)&gt;1,"⚠ Duplicado","OK"))</f>
        <v/>
      </c>
      <c r="AJ2219" s="86" t="str">
        <f aca="false">IF(AH2219="","",IF(SUMPRODUCT(MAX((IND_PER&lt;=B2219)*(IND_UF&lt;&gt;"")*IND_PER))=0,UF_HOY,INDEX(IND_UF,MATCH(SUMPRODUCT(MAX((IND_PER&lt;=B2219)*(IND_UF&lt;&gt;"")*IND_PER)),IND_PER,0))))</f>
        <v/>
      </c>
      <c r="AK2219" s="87" t="str">
        <f aca="false">IF(AH2219="","",IF(COUNTIF(TASA_DESDE,"&lt;="&amp;B2219)=0,INDEX(TASA_EMP,1),INDEX(TASA_EMP,COUNTIF(TASA_DESDE,"&lt;="&amp;B2219))))</f>
        <v/>
      </c>
    </row>
    <row r="2220" customFormat="false" ht="15" hidden="false" customHeight="false" outlineLevel="0" collapsed="false">
      <c r="B2220" s="78"/>
      <c r="C2220" s="64"/>
      <c r="D2220" s="72" t="str">
        <f aca="false">IF(C2220="","",IFERROR(INDEX(T_NOMBRE,MATCH(C2220,T_ID,0)),"⚠ ID no existe"))</f>
        <v/>
      </c>
      <c r="E2220" s="69"/>
      <c r="F2220" s="67"/>
      <c r="G2220" s="67"/>
      <c r="H2220" s="67"/>
      <c r="I2220" s="67"/>
      <c r="J2220" s="67"/>
      <c r="K2220" s="85" t="str">
        <f aca="false">IF(AH2220="","",N(F2220)+N(G2220)+N(H2220)-N(I2220)+N(J2220))</f>
        <v/>
      </c>
      <c r="L2220" s="67"/>
      <c r="M2220" s="67"/>
      <c r="N2220" s="67"/>
      <c r="O2220" s="67"/>
      <c r="P2220" s="85" t="str">
        <f aca="false">IF(AH2220="","",K2220+N(L2220)+N(M2220)+N(N2220)+N(O2220))</f>
        <v/>
      </c>
      <c r="Q2220" s="67"/>
      <c r="R2220" s="67"/>
      <c r="S2220" s="67"/>
      <c r="T2220" s="67"/>
      <c r="U2220" s="67"/>
      <c r="V2220" s="67"/>
      <c r="W2220" s="85" t="str">
        <f aca="false">IF(AH2220="","",N(Q2220)+N(R2220)+N(S2220)+N(T2220)+N(U2220)+N(V2220))</f>
        <v/>
      </c>
      <c r="X2220" s="85" t="str">
        <f aca="false">IF(AH2220="","",P2220-W2220)</f>
        <v/>
      </c>
      <c r="Y2220" s="67"/>
      <c r="Z2220" s="70" t="str">
        <f aca="false">IF(OR(AH2220="",Y2220=""),"",IF(ABS(X2220-Y2220)&lt;=1,"✓ Cuadra","⚠ Diferencia $"&amp;FIXED(X2220-Y2220,0)))</f>
        <v/>
      </c>
      <c r="AA2220" s="72" t="str">
        <f aca="false">IF(AH2220="","",IFERROR(INDEX(C_TIPO,MATCH(C2220&amp;"-P"&amp;MAX(1,COUNTIFS(C_ID,C2220,C_DEFINE,"Sí",C_INICIO,"&lt;="&amp;EOMONTH(B2220,0))),C_CLAVE,0))&amp;"","Sin dato"))</f>
        <v/>
      </c>
      <c r="AB2220" s="71" t="str">
        <f aca="false">IF(AH2220="","",ROUND(MIN(K2220,TOPE_AFP_UF*AJ2220)*AK2220,0))</f>
        <v/>
      </c>
      <c r="AC2220" s="71" t="str">
        <f aca="false">IF(AH2220="","",ROUND(MIN(K2220,TOPE_AFC_UF*AJ2220)*IF(AA2220="Indefinido",AFC_EMP_INDEF,AFC_EMP_PF),0))</f>
        <v/>
      </c>
      <c r="AD2220" s="71" t="str">
        <f aca="false">IF(AH2220="","",ROUND(MIN(K2220,TOPE_AFP_UF*AJ2220)*(MUTUAL_BASICA+MUTUAL_ADIC+SANNA),0))</f>
        <v/>
      </c>
      <c r="AE2220" s="71" t="str">
        <f aca="false">IF(AH2220="","",P2220-N(N2220)+AB2220+AC2220+AD2220)</f>
        <v/>
      </c>
      <c r="AF2220" s="65"/>
      <c r="AG2220" s="64"/>
      <c r="AH2220" s="72" t="str">
        <f aca="false">IF(OR(B2220="",C2220=""),"",C2220&amp;"|"&amp;(YEAR(B2220)*100+MONTH(B2220)))</f>
        <v/>
      </c>
      <c r="AI2220" s="70" t="str">
        <f aca="false">IF(AH2220="","",IF(COUNTIF(L_CLAVE,AH2220)&gt;1,"⚠ Duplicado","OK"))</f>
        <v/>
      </c>
      <c r="AJ2220" s="86" t="str">
        <f aca="false">IF(AH2220="","",IF(SUMPRODUCT(MAX((IND_PER&lt;=B2220)*(IND_UF&lt;&gt;"")*IND_PER))=0,UF_HOY,INDEX(IND_UF,MATCH(SUMPRODUCT(MAX((IND_PER&lt;=B2220)*(IND_UF&lt;&gt;"")*IND_PER)),IND_PER,0))))</f>
        <v/>
      </c>
      <c r="AK2220" s="87" t="str">
        <f aca="false">IF(AH2220="","",IF(COUNTIF(TASA_DESDE,"&lt;="&amp;B2220)=0,INDEX(TASA_EMP,1),INDEX(TASA_EMP,COUNTIF(TASA_DESDE,"&lt;="&amp;B2220))))</f>
        <v/>
      </c>
    </row>
    <row r="2221" customFormat="false" ht="15" hidden="false" customHeight="false" outlineLevel="0" collapsed="false">
      <c r="B2221" s="78"/>
      <c r="C2221" s="64"/>
      <c r="D2221" s="72" t="str">
        <f aca="false">IF(C2221="","",IFERROR(INDEX(T_NOMBRE,MATCH(C2221,T_ID,0)),"⚠ ID no existe"))</f>
        <v/>
      </c>
      <c r="E2221" s="69"/>
      <c r="F2221" s="67"/>
      <c r="G2221" s="67"/>
      <c r="H2221" s="67"/>
      <c r="I2221" s="67"/>
      <c r="J2221" s="67"/>
      <c r="K2221" s="85" t="str">
        <f aca="false">IF(AH2221="","",N(F2221)+N(G2221)+N(H2221)-N(I2221)+N(J2221))</f>
        <v/>
      </c>
      <c r="L2221" s="67"/>
      <c r="M2221" s="67"/>
      <c r="N2221" s="67"/>
      <c r="O2221" s="67"/>
      <c r="P2221" s="85" t="str">
        <f aca="false">IF(AH2221="","",K2221+N(L2221)+N(M2221)+N(N2221)+N(O2221))</f>
        <v/>
      </c>
      <c r="Q2221" s="67"/>
      <c r="R2221" s="67"/>
      <c r="S2221" s="67"/>
      <c r="T2221" s="67"/>
      <c r="U2221" s="67"/>
      <c r="V2221" s="67"/>
      <c r="W2221" s="85" t="str">
        <f aca="false">IF(AH2221="","",N(Q2221)+N(R2221)+N(S2221)+N(T2221)+N(U2221)+N(V2221))</f>
        <v/>
      </c>
      <c r="X2221" s="85" t="str">
        <f aca="false">IF(AH2221="","",P2221-W2221)</f>
        <v/>
      </c>
      <c r="Y2221" s="67"/>
      <c r="Z2221" s="70" t="str">
        <f aca="false">IF(OR(AH2221="",Y2221=""),"",IF(ABS(X2221-Y2221)&lt;=1,"✓ Cuadra","⚠ Diferencia $"&amp;FIXED(X2221-Y2221,0)))</f>
        <v/>
      </c>
      <c r="AA2221" s="72" t="str">
        <f aca="false">IF(AH2221="","",IFERROR(INDEX(C_TIPO,MATCH(C2221&amp;"-P"&amp;MAX(1,COUNTIFS(C_ID,C2221,C_DEFINE,"Sí",C_INICIO,"&lt;="&amp;EOMONTH(B2221,0))),C_CLAVE,0))&amp;"","Sin dato"))</f>
        <v/>
      </c>
      <c r="AB2221" s="71" t="str">
        <f aca="false">IF(AH2221="","",ROUND(MIN(K2221,TOPE_AFP_UF*AJ2221)*AK2221,0))</f>
        <v/>
      </c>
      <c r="AC2221" s="71" t="str">
        <f aca="false">IF(AH2221="","",ROUND(MIN(K2221,TOPE_AFC_UF*AJ2221)*IF(AA2221="Indefinido",AFC_EMP_INDEF,AFC_EMP_PF),0))</f>
        <v/>
      </c>
      <c r="AD2221" s="71" t="str">
        <f aca="false">IF(AH2221="","",ROUND(MIN(K2221,TOPE_AFP_UF*AJ2221)*(MUTUAL_BASICA+MUTUAL_ADIC+SANNA),0))</f>
        <v/>
      </c>
      <c r="AE2221" s="71" t="str">
        <f aca="false">IF(AH2221="","",P2221-N(N2221)+AB2221+AC2221+AD2221)</f>
        <v/>
      </c>
      <c r="AF2221" s="65"/>
      <c r="AG2221" s="64"/>
      <c r="AH2221" s="72" t="str">
        <f aca="false">IF(OR(B2221="",C2221=""),"",C2221&amp;"|"&amp;(YEAR(B2221)*100+MONTH(B2221)))</f>
        <v/>
      </c>
      <c r="AI2221" s="70" t="str">
        <f aca="false">IF(AH2221="","",IF(COUNTIF(L_CLAVE,AH2221)&gt;1,"⚠ Duplicado","OK"))</f>
        <v/>
      </c>
      <c r="AJ2221" s="86" t="str">
        <f aca="false">IF(AH2221="","",IF(SUMPRODUCT(MAX((IND_PER&lt;=B2221)*(IND_UF&lt;&gt;"")*IND_PER))=0,UF_HOY,INDEX(IND_UF,MATCH(SUMPRODUCT(MAX((IND_PER&lt;=B2221)*(IND_UF&lt;&gt;"")*IND_PER)),IND_PER,0))))</f>
        <v/>
      </c>
      <c r="AK2221" s="87" t="str">
        <f aca="false">IF(AH2221="","",IF(COUNTIF(TASA_DESDE,"&lt;="&amp;B2221)=0,INDEX(TASA_EMP,1),INDEX(TASA_EMP,COUNTIF(TASA_DESDE,"&lt;="&amp;B2221))))</f>
        <v/>
      </c>
    </row>
    <row r="2222" customFormat="false" ht="15" hidden="false" customHeight="false" outlineLevel="0" collapsed="false">
      <c r="B2222" s="78"/>
      <c r="C2222" s="64"/>
      <c r="D2222" s="72" t="str">
        <f aca="false">IF(C2222="","",IFERROR(INDEX(T_NOMBRE,MATCH(C2222,T_ID,0)),"⚠ ID no existe"))</f>
        <v/>
      </c>
      <c r="E2222" s="69"/>
      <c r="F2222" s="67"/>
      <c r="G2222" s="67"/>
      <c r="H2222" s="67"/>
      <c r="I2222" s="67"/>
      <c r="J2222" s="67"/>
      <c r="K2222" s="85" t="str">
        <f aca="false">IF(AH2222="","",N(F2222)+N(G2222)+N(H2222)-N(I2222)+N(J2222))</f>
        <v/>
      </c>
      <c r="L2222" s="67"/>
      <c r="M2222" s="67"/>
      <c r="N2222" s="67"/>
      <c r="O2222" s="67"/>
      <c r="P2222" s="85" t="str">
        <f aca="false">IF(AH2222="","",K2222+N(L2222)+N(M2222)+N(N2222)+N(O2222))</f>
        <v/>
      </c>
      <c r="Q2222" s="67"/>
      <c r="R2222" s="67"/>
      <c r="S2222" s="67"/>
      <c r="T2222" s="67"/>
      <c r="U2222" s="67"/>
      <c r="V2222" s="67"/>
      <c r="W2222" s="85" t="str">
        <f aca="false">IF(AH2222="","",N(Q2222)+N(R2222)+N(S2222)+N(T2222)+N(U2222)+N(V2222))</f>
        <v/>
      </c>
      <c r="X2222" s="85" t="str">
        <f aca="false">IF(AH2222="","",P2222-W2222)</f>
        <v/>
      </c>
      <c r="Y2222" s="67"/>
      <c r="Z2222" s="70" t="str">
        <f aca="false">IF(OR(AH2222="",Y2222=""),"",IF(ABS(X2222-Y2222)&lt;=1,"✓ Cuadra","⚠ Diferencia $"&amp;FIXED(X2222-Y2222,0)))</f>
        <v/>
      </c>
      <c r="AA2222" s="72" t="str">
        <f aca="false">IF(AH2222="","",IFERROR(INDEX(C_TIPO,MATCH(C2222&amp;"-P"&amp;MAX(1,COUNTIFS(C_ID,C2222,C_DEFINE,"Sí",C_INICIO,"&lt;="&amp;EOMONTH(B2222,0))),C_CLAVE,0))&amp;"","Sin dato"))</f>
        <v/>
      </c>
      <c r="AB2222" s="71" t="str">
        <f aca="false">IF(AH2222="","",ROUND(MIN(K2222,TOPE_AFP_UF*AJ2222)*AK2222,0))</f>
        <v/>
      </c>
      <c r="AC2222" s="71" t="str">
        <f aca="false">IF(AH2222="","",ROUND(MIN(K2222,TOPE_AFC_UF*AJ2222)*IF(AA2222="Indefinido",AFC_EMP_INDEF,AFC_EMP_PF),0))</f>
        <v/>
      </c>
      <c r="AD2222" s="71" t="str">
        <f aca="false">IF(AH2222="","",ROUND(MIN(K2222,TOPE_AFP_UF*AJ2222)*(MUTUAL_BASICA+MUTUAL_ADIC+SANNA),0))</f>
        <v/>
      </c>
      <c r="AE2222" s="71" t="str">
        <f aca="false">IF(AH2222="","",P2222-N(N2222)+AB2222+AC2222+AD2222)</f>
        <v/>
      </c>
      <c r="AF2222" s="65"/>
      <c r="AG2222" s="64"/>
      <c r="AH2222" s="72" t="str">
        <f aca="false">IF(OR(B2222="",C2222=""),"",C2222&amp;"|"&amp;(YEAR(B2222)*100+MONTH(B2222)))</f>
        <v/>
      </c>
      <c r="AI2222" s="70" t="str">
        <f aca="false">IF(AH2222="","",IF(COUNTIF(L_CLAVE,AH2222)&gt;1,"⚠ Duplicado","OK"))</f>
        <v/>
      </c>
      <c r="AJ2222" s="86" t="str">
        <f aca="false">IF(AH2222="","",IF(SUMPRODUCT(MAX((IND_PER&lt;=B2222)*(IND_UF&lt;&gt;"")*IND_PER))=0,UF_HOY,INDEX(IND_UF,MATCH(SUMPRODUCT(MAX((IND_PER&lt;=B2222)*(IND_UF&lt;&gt;"")*IND_PER)),IND_PER,0))))</f>
        <v/>
      </c>
      <c r="AK2222" s="87" t="str">
        <f aca="false">IF(AH2222="","",IF(COUNTIF(TASA_DESDE,"&lt;="&amp;B2222)=0,INDEX(TASA_EMP,1),INDEX(TASA_EMP,COUNTIF(TASA_DESDE,"&lt;="&amp;B2222))))</f>
        <v/>
      </c>
    </row>
    <row r="2223" customFormat="false" ht="15" hidden="false" customHeight="false" outlineLevel="0" collapsed="false">
      <c r="B2223" s="78"/>
      <c r="C2223" s="64"/>
      <c r="D2223" s="72" t="str">
        <f aca="false">IF(C2223="","",IFERROR(INDEX(T_NOMBRE,MATCH(C2223,T_ID,0)),"⚠ ID no existe"))</f>
        <v/>
      </c>
      <c r="E2223" s="69"/>
      <c r="F2223" s="67"/>
      <c r="G2223" s="67"/>
      <c r="H2223" s="67"/>
      <c r="I2223" s="67"/>
      <c r="J2223" s="67"/>
      <c r="K2223" s="85" t="str">
        <f aca="false">IF(AH2223="","",N(F2223)+N(G2223)+N(H2223)-N(I2223)+N(J2223))</f>
        <v/>
      </c>
      <c r="L2223" s="67"/>
      <c r="M2223" s="67"/>
      <c r="N2223" s="67"/>
      <c r="O2223" s="67"/>
      <c r="P2223" s="85" t="str">
        <f aca="false">IF(AH2223="","",K2223+N(L2223)+N(M2223)+N(N2223)+N(O2223))</f>
        <v/>
      </c>
      <c r="Q2223" s="67"/>
      <c r="R2223" s="67"/>
      <c r="S2223" s="67"/>
      <c r="T2223" s="67"/>
      <c r="U2223" s="67"/>
      <c r="V2223" s="67"/>
      <c r="W2223" s="85" t="str">
        <f aca="false">IF(AH2223="","",N(Q2223)+N(R2223)+N(S2223)+N(T2223)+N(U2223)+N(V2223))</f>
        <v/>
      </c>
      <c r="X2223" s="85" t="str">
        <f aca="false">IF(AH2223="","",P2223-W2223)</f>
        <v/>
      </c>
      <c r="Y2223" s="67"/>
      <c r="Z2223" s="70" t="str">
        <f aca="false">IF(OR(AH2223="",Y2223=""),"",IF(ABS(X2223-Y2223)&lt;=1,"✓ Cuadra","⚠ Diferencia $"&amp;FIXED(X2223-Y2223,0)))</f>
        <v/>
      </c>
      <c r="AA2223" s="72" t="str">
        <f aca="false">IF(AH2223="","",IFERROR(INDEX(C_TIPO,MATCH(C2223&amp;"-P"&amp;MAX(1,COUNTIFS(C_ID,C2223,C_DEFINE,"Sí",C_INICIO,"&lt;="&amp;EOMONTH(B2223,0))),C_CLAVE,0))&amp;"","Sin dato"))</f>
        <v/>
      </c>
      <c r="AB2223" s="71" t="str">
        <f aca="false">IF(AH2223="","",ROUND(MIN(K2223,TOPE_AFP_UF*AJ2223)*AK2223,0))</f>
        <v/>
      </c>
      <c r="AC2223" s="71" t="str">
        <f aca="false">IF(AH2223="","",ROUND(MIN(K2223,TOPE_AFC_UF*AJ2223)*IF(AA2223="Indefinido",AFC_EMP_INDEF,AFC_EMP_PF),0))</f>
        <v/>
      </c>
      <c r="AD2223" s="71" t="str">
        <f aca="false">IF(AH2223="","",ROUND(MIN(K2223,TOPE_AFP_UF*AJ2223)*(MUTUAL_BASICA+MUTUAL_ADIC+SANNA),0))</f>
        <v/>
      </c>
      <c r="AE2223" s="71" t="str">
        <f aca="false">IF(AH2223="","",P2223-N(N2223)+AB2223+AC2223+AD2223)</f>
        <v/>
      </c>
      <c r="AF2223" s="65"/>
      <c r="AG2223" s="64"/>
      <c r="AH2223" s="72" t="str">
        <f aca="false">IF(OR(B2223="",C2223=""),"",C2223&amp;"|"&amp;(YEAR(B2223)*100+MONTH(B2223)))</f>
        <v/>
      </c>
      <c r="AI2223" s="70" t="str">
        <f aca="false">IF(AH2223="","",IF(COUNTIF(L_CLAVE,AH2223)&gt;1,"⚠ Duplicado","OK"))</f>
        <v/>
      </c>
      <c r="AJ2223" s="86" t="str">
        <f aca="false">IF(AH2223="","",IF(SUMPRODUCT(MAX((IND_PER&lt;=B2223)*(IND_UF&lt;&gt;"")*IND_PER))=0,UF_HOY,INDEX(IND_UF,MATCH(SUMPRODUCT(MAX((IND_PER&lt;=B2223)*(IND_UF&lt;&gt;"")*IND_PER)),IND_PER,0))))</f>
        <v/>
      </c>
      <c r="AK2223" s="87" t="str">
        <f aca="false">IF(AH2223="","",IF(COUNTIF(TASA_DESDE,"&lt;="&amp;B2223)=0,INDEX(TASA_EMP,1),INDEX(TASA_EMP,COUNTIF(TASA_DESDE,"&lt;="&amp;B2223))))</f>
        <v/>
      </c>
    </row>
    <row r="2224" customFormat="false" ht="15" hidden="false" customHeight="false" outlineLevel="0" collapsed="false">
      <c r="B2224" s="78"/>
      <c r="C2224" s="64"/>
      <c r="D2224" s="72" t="str">
        <f aca="false">IF(C2224="","",IFERROR(INDEX(T_NOMBRE,MATCH(C2224,T_ID,0)),"⚠ ID no existe"))</f>
        <v/>
      </c>
      <c r="E2224" s="69"/>
      <c r="F2224" s="67"/>
      <c r="G2224" s="67"/>
      <c r="H2224" s="67"/>
      <c r="I2224" s="67"/>
      <c r="J2224" s="67"/>
      <c r="K2224" s="85" t="str">
        <f aca="false">IF(AH2224="","",N(F2224)+N(G2224)+N(H2224)-N(I2224)+N(J2224))</f>
        <v/>
      </c>
      <c r="L2224" s="67"/>
      <c r="M2224" s="67"/>
      <c r="N2224" s="67"/>
      <c r="O2224" s="67"/>
      <c r="P2224" s="85" t="str">
        <f aca="false">IF(AH2224="","",K2224+N(L2224)+N(M2224)+N(N2224)+N(O2224))</f>
        <v/>
      </c>
      <c r="Q2224" s="67"/>
      <c r="R2224" s="67"/>
      <c r="S2224" s="67"/>
      <c r="T2224" s="67"/>
      <c r="U2224" s="67"/>
      <c r="V2224" s="67"/>
      <c r="W2224" s="85" t="str">
        <f aca="false">IF(AH2224="","",N(Q2224)+N(R2224)+N(S2224)+N(T2224)+N(U2224)+N(V2224))</f>
        <v/>
      </c>
      <c r="X2224" s="85" t="str">
        <f aca="false">IF(AH2224="","",P2224-W2224)</f>
        <v/>
      </c>
      <c r="Y2224" s="67"/>
      <c r="Z2224" s="70" t="str">
        <f aca="false">IF(OR(AH2224="",Y2224=""),"",IF(ABS(X2224-Y2224)&lt;=1,"✓ Cuadra","⚠ Diferencia $"&amp;FIXED(X2224-Y2224,0)))</f>
        <v/>
      </c>
      <c r="AA2224" s="72" t="str">
        <f aca="false">IF(AH2224="","",IFERROR(INDEX(C_TIPO,MATCH(C2224&amp;"-P"&amp;MAX(1,COUNTIFS(C_ID,C2224,C_DEFINE,"Sí",C_INICIO,"&lt;="&amp;EOMONTH(B2224,0))),C_CLAVE,0))&amp;"","Sin dato"))</f>
        <v/>
      </c>
      <c r="AB2224" s="71" t="str">
        <f aca="false">IF(AH2224="","",ROUND(MIN(K2224,TOPE_AFP_UF*AJ2224)*AK2224,0))</f>
        <v/>
      </c>
      <c r="AC2224" s="71" t="str">
        <f aca="false">IF(AH2224="","",ROUND(MIN(K2224,TOPE_AFC_UF*AJ2224)*IF(AA2224="Indefinido",AFC_EMP_INDEF,AFC_EMP_PF),0))</f>
        <v/>
      </c>
      <c r="AD2224" s="71" t="str">
        <f aca="false">IF(AH2224="","",ROUND(MIN(K2224,TOPE_AFP_UF*AJ2224)*(MUTUAL_BASICA+MUTUAL_ADIC+SANNA),0))</f>
        <v/>
      </c>
      <c r="AE2224" s="71" t="str">
        <f aca="false">IF(AH2224="","",P2224-N(N2224)+AB2224+AC2224+AD2224)</f>
        <v/>
      </c>
      <c r="AF2224" s="65"/>
      <c r="AG2224" s="64"/>
      <c r="AH2224" s="72" t="str">
        <f aca="false">IF(OR(B2224="",C2224=""),"",C2224&amp;"|"&amp;(YEAR(B2224)*100+MONTH(B2224)))</f>
        <v/>
      </c>
      <c r="AI2224" s="70" t="str">
        <f aca="false">IF(AH2224="","",IF(COUNTIF(L_CLAVE,AH2224)&gt;1,"⚠ Duplicado","OK"))</f>
        <v/>
      </c>
      <c r="AJ2224" s="86" t="str">
        <f aca="false">IF(AH2224="","",IF(SUMPRODUCT(MAX((IND_PER&lt;=B2224)*(IND_UF&lt;&gt;"")*IND_PER))=0,UF_HOY,INDEX(IND_UF,MATCH(SUMPRODUCT(MAX((IND_PER&lt;=B2224)*(IND_UF&lt;&gt;"")*IND_PER)),IND_PER,0))))</f>
        <v/>
      </c>
      <c r="AK2224" s="87" t="str">
        <f aca="false">IF(AH2224="","",IF(COUNTIF(TASA_DESDE,"&lt;="&amp;B2224)=0,INDEX(TASA_EMP,1),INDEX(TASA_EMP,COUNTIF(TASA_DESDE,"&lt;="&amp;B2224))))</f>
        <v/>
      </c>
    </row>
    <row r="2225" customFormat="false" ht="15" hidden="false" customHeight="false" outlineLevel="0" collapsed="false">
      <c r="B2225" s="78"/>
      <c r="C2225" s="64"/>
      <c r="D2225" s="72" t="str">
        <f aca="false">IF(C2225="","",IFERROR(INDEX(T_NOMBRE,MATCH(C2225,T_ID,0)),"⚠ ID no existe"))</f>
        <v/>
      </c>
      <c r="E2225" s="69"/>
      <c r="F2225" s="67"/>
      <c r="G2225" s="67"/>
      <c r="H2225" s="67"/>
      <c r="I2225" s="67"/>
      <c r="J2225" s="67"/>
      <c r="K2225" s="85" t="str">
        <f aca="false">IF(AH2225="","",N(F2225)+N(G2225)+N(H2225)-N(I2225)+N(J2225))</f>
        <v/>
      </c>
      <c r="L2225" s="67"/>
      <c r="M2225" s="67"/>
      <c r="N2225" s="67"/>
      <c r="O2225" s="67"/>
      <c r="P2225" s="85" t="str">
        <f aca="false">IF(AH2225="","",K2225+N(L2225)+N(M2225)+N(N2225)+N(O2225))</f>
        <v/>
      </c>
      <c r="Q2225" s="67"/>
      <c r="R2225" s="67"/>
      <c r="S2225" s="67"/>
      <c r="T2225" s="67"/>
      <c r="U2225" s="67"/>
      <c r="V2225" s="67"/>
      <c r="W2225" s="85" t="str">
        <f aca="false">IF(AH2225="","",N(Q2225)+N(R2225)+N(S2225)+N(T2225)+N(U2225)+N(V2225))</f>
        <v/>
      </c>
      <c r="X2225" s="85" t="str">
        <f aca="false">IF(AH2225="","",P2225-W2225)</f>
        <v/>
      </c>
      <c r="Y2225" s="67"/>
      <c r="Z2225" s="70" t="str">
        <f aca="false">IF(OR(AH2225="",Y2225=""),"",IF(ABS(X2225-Y2225)&lt;=1,"✓ Cuadra","⚠ Diferencia $"&amp;FIXED(X2225-Y2225,0)))</f>
        <v/>
      </c>
      <c r="AA2225" s="72" t="str">
        <f aca="false">IF(AH2225="","",IFERROR(INDEX(C_TIPO,MATCH(C2225&amp;"-P"&amp;MAX(1,COUNTIFS(C_ID,C2225,C_DEFINE,"Sí",C_INICIO,"&lt;="&amp;EOMONTH(B2225,0))),C_CLAVE,0))&amp;"","Sin dato"))</f>
        <v/>
      </c>
      <c r="AB2225" s="71" t="str">
        <f aca="false">IF(AH2225="","",ROUND(MIN(K2225,TOPE_AFP_UF*AJ2225)*AK2225,0))</f>
        <v/>
      </c>
      <c r="AC2225" s="71" t="str">
        <f aca="false">IF(AH2225="","",ROUND(MIN(K2225,TOPE_AFC_UF*AJ2225)*IF(AA2225="Indefinido",AFC_EMP_INDEF,AFC_EMP_PF),0))</f>
        <v/>
      </c>
      <c r="AD2225" s="71" t="str">
        <f aca="false">IF(AH2225="","",ROUND(MIN(K2225,TOPE_AFP_UF*AJ2225)*(MUTUAL_BASICA+MUTUAL_ADIC+SANNA),0))</f>
        <v/>
      </c>
      <c r="AE2225" s="71" t="str">
        <f aca="false">IF(AH2225="","",P2225-N(N2225)+AB2225+AC2225+AD2225)</f>
        <v/>
      </c>
      <c r="AF2225" s="65"/>
      <c r="AG2225" s="64"/>
      <c r="AH2225" s="72" t="str">
        <f aca="false">IF(OR(B2225="",C2225=""),"",C2225&amp;"|"&amp;(YEAR(B2225)*100+MONTH(B2225)))</f>
        <v/>
      </c>
      <c r="AI2225" s="70" t="str">
        <f aca="false">IF(AH2225="","",IF(COUNTIF(L_CLAVE,AH2225)&gt;1,"⚠ Duplicado","OK"))</f>
        <v/>
      </c>
      <c r="AJ2225" s="86" t="str">
        <f aca="false">IF(AH2225="","",IF(SUMPRODUCT(MAX((IND_PER&lt;=B2225)*(IND_UF&lt;&gt;"")*IND_PER))=0,UF_HOY,INDEX(IND_UF,MATCH(SUMPRODUCT(MAX((IND_PER&lt;=B2225)*(IND_UF&lt;&gt;"")*IND_PER)),IND_PER,0))))</f>
        <v/>
      </c>
      <c r="AK2225" s="87" t="str">
        <f aca="false">IF(AH2225="","",IF(COUNTIF(TASA_DESDE,"&lt;="&amp;B2225)=0,INDEX(TASA_EMP,1),INDEX(TASA_EMP,COUNTIF(TASA_DESDE,"&lt;="&amp;B2225))))</f>
        <v/>
      </c>
    </row>
    <row r="2226" customFormat="false" ht="15" hidden="false" customHeight="false" outlineLevel="0" collapsed="false">
      <c r="B2226" s="78"/>
      <c r="C2226" s="64"/>
      <c r="D2226" s="72" t="str">
        <f aca="false">IF(C2226="","",IFERROR(INDEX(T_NOMBRE,MATCH(C2226,T_ID,0)),"⚠ ID no existe"))</f>
        <v/>
      </c>
      <c r="E2226" s="69"/>
      <c r="F2226" s="67"/>
      <c r="G2226" s="67"/>
      <c r="H2226" s="67"/>
      <c r="I2226" s="67"/>
      <c r="J2226" s="67"/>
      <c r="K2226" s="85" t="str">
        <f aca="false">IF(AH2226="","",N(F2226)+N(G2226)+N(H2226)-N(I2226)+N(J2226))</f>
        <v/>
      </c>
      <c r="L2226" s="67"/>
      <c r="M2226" s="67"/>
      <c r="N2226" s="67"/>
      <c r="O2226" s="67"/>
      <c r="P2226" s="85" t="str">
        <f aca="false">IF(AH2226="","",K2226+N(L2226)+N(M2226)+N(N2226)+N(O2226))</f>
        <v/>
      </c>
      <c r="Q2226" s="67"/>
      <c r="R2226" s="67"/>
      <c r="S2226" s="67"/>
      <c r="T2226" s="67"/>
      <c r="U2226" s="67"/>
      <c r="V2226" s="67"/>
      <c r="W2226" s="85" t="str">
        <f aca="false">IF(AH2226="","",N(Q2226)+N(R2226)+N(S2226)+N(T2226)+N(U2226)+N(V2226))</f>
        <v/>
      </c>
      <c r="X2226" s="85" t="str">
        <f aca="false">IF(AH2226="","",P2226-W2226)</f>
        <v/>
      </c>
      <c r="Y2226" s="67"/>
      <c r="Z2226" s="70" t="str">
        <f aca="false">IF(OR(AH2226="",Y2226=""),"",IF(ABS(X2226-Y2226)&lt;=1,"✓ Cuadra","⚠ Diferencia $"&amp;FIXED(X2226-Y2226,0)))</f>
        <v/>
      </c>
      <c r="AA2226" s="72" t="str">
        <f aca="false">IF(AH2226="","",IFERROR(INDEX(C_TIPO,MATCH(C2226&amp;"-P"&amp;MAX(1,COUNTIFS(C_ID,C2226,C_DEFINE,"Sí",C_INICIO,"&lt;="&amp;EOMONTH(B2226,0))),C_CLAVE,0))&amp;"","Sin dato"))</f>
        <v/>
      </c>
      <c r="AB2226" s="71" t="str">
        <f aca="false">IF(AH2226="","",ROUND(MIN(K2226,TOPE_AFP_UF*AJ2226)*AK2226,0))</f>
        <v/>
      </c>
      <c r="AC2226" s="71" t="str">
        <f aca="false">IF(AH2226="","",ROUND(MIN(K2226,TOPE_AFC_UF*AJ2226)*IF(AA2226="Indefinido",AFC_EMP_INDEF,AFC_EMP_PF),0))</f>
        <v/>
      </c>
      <c r="AD2226" s="71" t="str">
        <f aca="false">IF(AH2226="","",ROUND(MIN(K2226,TOPE_AFP_UF*AJ2226)*(MUTUAL_BASICA+MUTUAL_ADIC+SANNA),0))</f>
        <v/>
      </c>
      <c r="AE2226" s="71" t="str">
        <f aca="false">IF(AH2226="","",P2226-N(N2226)+AB2226+AC2226+AD2226)</f>
        <v/>
      </c>
      <c r="AF2226" s="65"/>
      <c r="AG2226" s="64"/>
      <c r="AH2226" s="72" t="str">
        <f aca="false">IF(OR(B2226="",C2226=""),"",C2226&amp;"|"&amp;(YEAR(B2226)*100+MONTH(B2226)))</f>
        <v/>
      </c>
      <c r="AI2226" s="70" t="str">
        <f aca="false">IF(AH2226="","",IF(COUNTIF(L_CLAVE,AH2226)&gt;1,"⚠ Duplicado","OK"))</f>
        <v/>
      </c>
      <c r="AJ2226" s="86" t="str">
        <f aca="false">IF(AH2226="","",IF(SUMPRODUCT(MAX((IND_PER&lt;=B2226)*(IND_UF&lt;&gt;"")*IND_PER))=0,UF_HOY,INDEX(IND_UF,MATCH(SUMPRODUCT(MAX((IND_PER&lt;=B2226)*(IND_UF&lt;&gt;"")*IND_PER)),IND_PER,0))))</f>
        <v/>
      </c>
      <c r="AK2226" s="87" t="str">
        <f aca="false">IF(AH2226="","",IF(COUNTIF(TASA_DESDE,"&lt;="&amp;B2226)=0,INDEX(TASA_EMP,1),INDEX(TASA_EMP,COUNTIF(TASA_DESDE,"&lt;="&amp;B2226))))</f>
        <v/>
      </c>
    </row>
    <row r="2227" customFormat="false" ht="15" hidden="false" customHeight="false" outlineLevel="0" collapsed="false">
      <c r="B2227" s="78"/>
      <c r="C2227" s="64"/>
      <c r="D2227" s="72" t="str">
        <f aca="false">IF(C2227="","",IFERROR(INDEX(T_NOMBRE,MATCH(C2227,T_ID,0)),"⚠ ID no existe"))</f>
        <v/>
      </c>
      <c r="E2227" s="69"/>
      <c r="F2227" s="67"/>
      <c r="G2227" s="67"/>
      <c r="H2227" s="67"/>
      <c r="I2227" s="67"/>
      <c r="J2227" s="67"/>
      <c r="K2227" s="85" t="str">
        <f aca="false">IF(AH2227="","",N(F2227)+N(G2227)+N(H2227)-N(I2227)+N(J2227))</f>
        <v/>
      </c>
      <c r="L2227" s="67"/>
      <c r="M2227" s="67"/>
      <c r="N2227" s="67"/>
      <c r="O2227" s="67"/>
      <c r="P2227" s="85" t="str">
        <f aca="false">IF(AH2227="","",K2227+N(L2227)+N(M2227)+N(N2227)+N(O2227))</f>
        <v/>
      </c>
      <c r="Q2227" s="67"/>
      <c r="R2227" s="67"/>
      <c r="S2227" s="67"/>
      <c r="T2227" s="67"/>
      <c r="U2227" s="67"/>
      <c r="V2227" s="67"/>
      <c r="W2227" s="85" t="str">
        <f aca="false">IF(AH2227="","",N(Q2227)+N(R2227)+N(S2227)+N(T2227)+N(U2227)+N(V2227))</f>
        <v/>
      </c>
      <c r="X2227" s="85" t="str">
        <f aca="false">IF(AH2227="","",P2227-W2227)</f>
        <v/>
      </c>
      <c r="Y2227" s="67"/>
      <c r="Z2227" s="70" t="str">
        <f aca="false">IF(OR(AH2227="",Y2227=""),"",IF(ABS(X2227-Y2227)&lt;=1,"✓ Cuadra","⚠ Diferencia $"&amp;FIXED(X2227-Y2227,0)))</f>
        <v/>
      </c>
      <c r="AA2227" s="72" t="str">
        <f aca="false">IF(AH2227="","",IFERROR(INDEX(C_TIPO,MATCH(C2227&amp;"-P"&amp;MAX(1,COUNTIFS(C_ID,C2227,C_DEFINE,"Sí",C_INICIO,"&lt;="&amp;EOMONTH(B2227,0))),C_CLAVE,0))&amp;"","Sin dato"))</f>
        <v/>
      </c>
      <c r="AB2227" s="71" t="str">
        <f aca="false">IF(AH2227="","",ROUND(MIN(K2227,TOPE_AFP_UF*AJ2227)*AK2227,0))</f>
        <v/>
      </c>
      <c r="AC2227" s="71" t="str">
        <f aca="false">IF(AH2227="","",ROUND(MIN(K2227,TOPE_AFC_UF*AJ2227)*IF(AA2227="Indefinido",AFC_EMP_INDEF,AFC_EMP_PF),0))</f>
        <v/>
      </c>
      <c r="AD2227" s="71" t="str">
        <f aca="false">IF(AH2227="","",ROUND(MIN(K2227,TOPE_AFP_UF*AJ2227)*(MUTUAL_BASICA+MUTUAL_ADIC+SANNA),0))</f>
        <v/>
      </c>
      <c r="AE2227" s="71" t="str">
        <f aca="false">IF(AH2227="","",P2227-N(N2227)+AB2227+AC2227+AD2227)</f>
        <v/>
      </c>
      <c r="AF2227" s="65"/>
      <c r="AG2227" s="64"/>
      <c r="AH2227" s="72" t="str">
        <f aca="false">IF(OR(B2227="",C2227=""),"",C2227&amp;"|"&amp;(YEAR(B2227)*100+MONTH(B2227)))</f>
        <v/>
      </c>
      <c r="AI2227" s="70" t="str">
        <f aca="false">IF(AH2227="","",IF(COUNTIF(L_CLAVE,AH2227)&gt;1,"⚠ Duplicado","OK"))</f>
        <v/>
      </c>
      <c r="AJ2227" s="86" t="str">
        <f aca="false">IF(AH2227="","",IF(SUMPRODUCT(MAX((IND_PER&lt;=B2227)*(IND_UF&lt;&gt;"")*IND_PER))=0,UF_HOY,INDEX(IND_UF,MATCH(SUMPRODUCT(MAX((IND_PER&lt;=B2227)*(IND_UF&lt;&gt;"")*IND_PER)),IND_PER,0))))</f>
        <v/>
      </c>
      <c r="AK2227" s="87" t="str">
        <f aca="false">IF(AH2227="","",IF(COUNTIF(TASA_DESDE,"&lt;="&amp;B2227)=0,INDEX(TASA_EMP,1),INDEX(TASA_EMP,COUNTIF(TASA_DESDE,"&lt;="&amp;B2227))))</f>
        <v/>
      </c>
    </row>
    <row r="2228" customFormat="false" ht="15" hidden="false" customHeight="false" outlineLevel="0" collapsed="false">
      <c r="B2228" s="78"/>
      <c r="C2228" s="64"/>
      <c r="D2228" s="72" t="str">
        <f aca="false">IF(C2228="","",IFERROR(INDEX(T_NOMBRE,MATCH(C2228,T_ID,0)),"⚠ ID no existe"))</f>
        <v/>
      </c>
      <c r="E2228" s="69"/>
      <c r="F2228" s="67"/>
      <c r="G2228" s="67"/>
      <c r="H2228" s="67"/>
      <c r="I2228" s="67"/>
      <c r="J2228" s="67"/>
      <c r="K2228" s="85" t="str">
        <f aca="false">IF(AH2228="","",N(F2228)+N(G2228)+N(H2228)-N(I2228)+N(J2228))</f>
        <v/>
      </c>
      <c r="L2228" s="67"/>
      <c r="M2228" s="67"/>
      <c r="N2228" s="67"/>
      <c r="O2228" s="67"/>
      <c r="P2228" s="85" t="str">
        <f aca="false">IF(AH2228="","",K2228+N(L2228)+N(M2228)+N(N2228)+N(O2228))</f>
        <v/>
      </c>
      <c r="Q2228" s="67"/>
      <c r="R2228" s="67"/>
      <c r="S2228" s="67"/>
      <c r="T2228" s="67"/>
      <c r="U2228" s="67"/>
      <c r="V2228" s="67"/>
      <c r="W2228" s="85" t="str">
        <f aca="false">IF(AH2228="","",N(Q2228)+N(R2228)+N(S2228)+N(T2228)+N(U2228)+N(V2228))</f>
        <v/>
      </c>
      <c r="X2228" s="85" t="str">
        <f aca="false">IF(AH2228="","",P2228-W2228)</f>
        <v/>
      </c>
      <c r="Y2228" s="67"/>
      <c r="Z2228" s="70" t="str">
        <f aca="false">IF(OR(AH2228="",Y2228=""),"",IF(ABS(X2228-Y2228)&lt;=1,"✓ Cuadra","⚠ Diferencia $"&amp;FIXED(X2228-Y2228,0)))</f>
        <v/>
      </c>
      <c r="AA2228" s="72" t="str">
        <f aca="false">IF(AH2228="","",IFERROR(INDEX(C_TIPO,MATCH(C2228&amp;"-P"&amp;MAX(1,COUNTIFS(C_ID,C2228,C_DEFINE,"Sí",C_INICIO,"&lt;="&amp;EOMONTH(B2228,0))),C_CLAVE,0))&amp;"","Sin dato"))</f>
        <v/>
      </c>
      <c r="AB2228" s="71" t="str">
        <f aca="false">IF(AH2228="","",ROUND(MIN(K2228,TOPE_AFP_UF*AJ2228)*AK2228,0))</f>
        <v/>
      </c>
      <c r="AC2228" s="71" t="str">
        <f aca="false">IF(AH2228="","",ROUND(MIN(K2228,TOPE_AFC_UF*AJ2228)*IF(AA2228="Indefinido",AFC_EMP_INDEF,AFC_EMP_PF),0))</f>
        <v/>
      </c>
      <c r="AD2228" s="71" t="str">
        <f aca="false">IF(AH2228="","",ROUND(MIN(K2228,TOPE_AFP_UF*AJ2228)*(MUTUAL_BASICA+MUTUAL_ADIC+SANNA),0))</f>
        <v/>
      </c>
      <c r="AE2228" s="71" t="str">
        <f aca="false">IF(AH2228="","",P2228-N(N2228)+AB2228+AC2228+AD2228)</f>
        <v/>
      </c>
      <c r="AF2228" s="65"/>
      <c r="AG2228" s="64"/>
      <c r="AH2228" s="72" t="str">
        <f aca="false">IF(OR(B2228="",C2228=""),"",C2228&amp;"|"&amp;(YEAR(B2228)*100+MONTH(B2228)))</f>
        <v/>
      </c>
      <c r="AI2228" s="70" t="str">
        <f aca="false">IF(AH2228="","",IF(COUNTIF(L_CLAVE,AH2228)&gt;1,"⚠ Duplicado","OK"))</f>
        <v/>
      </c>
      <c r="AJ2228" s="86" t="str">
        <f aca="false">IF(AH2228="","",IF(SUMPRODUCT(MAX((IND_PER&lt;=B2228)*(IND_UF&lt;&gt;"")*IND_PER))=0,UF_HOY,INDEX(IND_UF,MATCH(SUMPRODUCT(MAX((IND_PER&lt;=B2228)*(IND_UF&lt;&gt;"")*IND_PER)),IND_PER,0))))</f>
        <v/>
      </c>
      <c r="AK2228" s="87" t="str">
        <f aca="false">IF(AH2228="","",IF(COUNTIF(TASA_DESDE,"&lt;="&amp;B2228)=0,INDEX(TASA_EMP,1),INDEX(TASA_EMP,COUNTIF(TASA_DESDE,"&lt;="&amp;B2228))))</f>
        <v/>
      </c>
    </row>
    <row r="2229" customFormat="false" ht="15" hidden="false" customHeight="false" outlineLevel="0" collapsed="false">
      <c r="B2229" s="78"/>
      <c r="C2229" s="64"/>
      <c r="D2229" s="72" t="str">
        <f aca="false">IF(C2229="","",IFERROR(INDEX(T_NOMBRE,MATCH(C2229,T_ID,0)),"⚠ ID no existe"))</f>
        <v/>
      </c>
      <c r="E2229" s="69"/>
      <c r="F2229" s="67"/>
      <c r="G2229" s="67"/>
      <c r="H2229" s="67"/>
      <c r="I2229" s="67"/>
      <c r="J2229" s="67"/>
      <c r="K2229" s="85" t="str">
        <f aca="false">IF(AH2229="","",N(F2229)+N(G2229)+N(H2229)-N(I2229)+N(J2229))</f>
        <v/>
      </c>
      <c r="L2229" s="67"/>
      <c r="M2229" s="67"/>
      <c r="N2229" s="67"/>
      <c r="O2229" s="67"/>
      <c r="P2229" s="85" t="str">
        <f aca="false">IF(AH2229="","",K2229+N(L2229)+N(M2229)+N(N2229)+N(O2229))</f>
        <v/>
      </c>
      <c r="Q2229" s="67"/>
      <c r="R2229" s="67"/>
      <c r="S2229" s="67"/>
      <c r="T2229" s="67"/>
      <c r="U2229" s="67"/>
      <c r="V2229" s="67"/>
      <c r="W2229" s="85" t="str">
        <f aca="false">IF(AH2229="","",N(Q2229)+N(R2229)+N(S2229)+N(T2229)+N(U2229)+N(V2229))</f>
        <v/>
      </c>
      <c r="X2229" s="85" t="str">
        <f aca="false">IF(AH2229="","",P2229-W2229)</f>
        <v/>
      </c>
      <c r="Y2229" s="67"/>
      <c r="Z2229" s="70" t="str">
        <f aca="false">IF(OR(AH2229="",Y2229=""),"",IF(ABS(X2229-Y2229)&lt;=1,"✓ Cuadra","⚠ Diferencia $"&amp;FIXED(X2229-Y2229,0)))</f>
        <v/>
      </c>
      <c r="AA2229" s="72" t="str">
        <f aca="false">IF(AH2229="","",IFERROR(INDEX(C_TIPO,MATCH(C2229&amp;"-P"&amp;MAX(1,COUNTIFS(C_ID,C2229,C_DEFINE,"Sí",C_INICIO,"&lt;="&amp;EOMONTH(B2229,0))),C_CLAVE,0))&amp;"","Sin dato"))</f>
        <v/>
      </c>
      <c r="AB2229" s="71" t="str">
        <f aca="false">IF(AH2229="","",ROUND(MIN(K2229,TOPE_AFP_UF*AJ2229)*AK2229,0))</f>
        <v/>
      </c>
      <c r="AC2229" s="71" t="str">
        <f aca="false">IF(AH2229="","",ROUND(MIN(K2229,TOPE_AFC_UF*AJ2229)*IF(AA2229="Indefinido",AFC_EMP_INDEF,AFC_EMP_PF),0))</f>
        <v/>
      </c>
      <c r="AD2229" s="71" t="str">
        <f aca="false">IF(AH2229="","",ROUND(MIN(K2229,TOPE_AFP_UF*AJ2229)*(MUTUAL_BASICA+MUTUAL_ADIC+SANNA),0))</f>
        <v/>
      </c>
      <c r="AE2229" s="71" t="str">
        <f aca="false">IF(AH2229="","",P2229-N(N2229)+AB2229+AC2229+AD2229)</f>
        <v/>
      </c>
      <c r="AF2229" s="65"/>
      <c r="AG2229" s="64"/>
      <c r="AH2229" s="72" t="str">
        <f aca="false">IF(OR(B2229="",C2229=""),"",C2229&amp;"|"&amp;(YEAR(B2229)*100+MONTH(B2229)))</f>
        <v/>
      </c>
      <c r="AI2229" s="70" t="str">
        <f aca="false">IF(AH2229="","",IF(COUNTIF(L_CLAVE,AH2229)&gt;1,"⚠ Duplicado","OK"))</f>
        <v/>
      </c>
      <c r="AJ2229" s="86" t="str">
        <f aca="false">IF(AH2229="","",IF(SUMPRODUCT(MAX((IND_PER&lt;=B2229)*(IND_UF&lt;&gt;"")*IND_PER))=0,UF_HOY,INDEX(IND_UF,MATCH(SUMPRODUCT(MAX((IND_PER&lt;=B2229)*(IND_UF&lt;&gt;"")*IND_PER)),IND_PER,0))))</f>
        <v/>
      </c>
      <c r="AK2229" s="87" t="str">
        <f aca="false">IF(AH2229="","",IF(COUNTIF(TASA_DESDE,"&lt;="&amp;B2229)=0,INDEX(TASA_EMP,1),INDEX(TASA_EMP,COUNTIF(TASA_DESDE,"&lt;="&amp;B2229))))</f>
        <v/>
      </c>
    </row>
    <row r="2230" customFormat="false" ht="15" hidden="false" customHeight="false" outlineLevel="0" collapsed="false">
      <c r="B2230" s="78"/>
      <c r="C2230" s="64"/>
      <c r="D2230" s="72" t="str">
        <f aca="false">IF(C2230="","",IFERROR(INDEX(T_NOMBRE,MATCH(C2230,T_ID,0)),"⚠ ID no existe"))</f>
        <v/>
      </c>
      <c r="E2230" s="69"/>
      <c r="F2230" s="67"/>
      <c r="G2230" s="67"/>
      <c r="H2230" s="67"/>
      <c r="I2230" s="67"/>
      <c r="J2230" s="67"/>
      <c r="K2230" s="85" t="str">
        <f aca="false">IF(AH2230="","",N(F2230)+N(G2230)+N(H2230)-N(I2230)+N(J2230))</f>
        <v/>
      </c>
      <c r="L2230" s="67"/>
      <c r="M2230" s="67"/>
      <c r="N2230" s="67"/>
      <c r="O2230" s="67"/>
      <c r="P2230" s="85" t="str">
        <f aca="false">IF(AH2230="","",K2230+N(L2230)+N(M2230)+N(N2230)+N(O2230))</f>
        <v/>
      </c>
      <c r="Q2230" s="67"/>
      <c r="R2230" s="67"/>
      <c r="S2230" s="67"/>
      <c r="T2230" s="67"/>
      <c r="U2230" s="67"/>
      <c r="V2230" s="67"/>
      <c r="W2230" s="85" t="str">
        <f aca="false">IF(AH2230="","",N(Q2230)+N(R2230)+N(S2230)+N(T2230)+N(U2230)+N(V2230))</f>
        <v/>
      </c>
      <c r="X2230" s="85" t="str">
        <f aca="false">IF(AH2230="","",P2230-W2230)</f>
        <v/>
      </c>
      <c r="Y2230" s="67"/>
      <c r="Z2230" s="70" t="str">
        <f aca="false">IF(OR(AH2230="",Y2230=""),"",IF(ABS(X2230-Y2230)&lt;=1,"✓ Cuadra","⚠ Diferencia $"&amp;FIXED(X2230-Y2230,0)))</f>
        <v/>
      </c>
      <c r="AA2230" s="72" t="str">
        <f aca="false">IF(AH2230="","",IFERROR(INDEX(C_TIPO,MATCH(C2230&amp;"-P"&amp;MAX(1,COUNTIFS(C_ID,C2230,C_DEFINE,"Sí",C_INICIO,"&lt;="&amp;EOMONTH(B2230,0))),C_CLAVE,0))&amp;"","Sin dato"))</f>
        <v/>
      </c>
      <c r="AB2230" s="71" t="str">
        <f aca="false">IF(AH2230="","",ROUND(MIN(K2230,TOPE_AFP_UF*AJ2230)*AK2230,0))</f>
        <v/>
      </c>
      <c r="AC2230" s="71" t="str">
        <f aca="false">IF(AH2230="","",ROUND(MIN(K2230,TOPE_AFC_UF*AJ2230)*IF(AA2230="Indefinido",AFC_EMP_INDEF,AFC_EMP_PF),0))</f>
        <v/>
      </c>
      <c r="AD2230" s="71" t="str">
        <f aca="false">IF(AH2230="","",ROUND(MIN(K2230,TOPE_AFP_UF*AJ2230)*(MUTUAL_BASICA+MUTUAL_ADIC+SANNA),0))</f>
        <v/>
      </c>
      <c r="AE2230" s="71" t="str">
        <f aca="false">IF(AH2230="","",P2230-N(N2230)+AB2230+AC2230+AD2230)</f>
        <v/>
      </c>
      <c r="AF2230" s="65"/>
      <c r="AG2230" s="64"/>
      <c r="AH2230" s="72" t="str">
        <f aca="false">IF(OR(B2230="",C2230=""),"",C2230&amp;"|"&amp;(YEAR(B2230)*100+MONTH(B2230)))</f>
        <v/>
      </c>
      <c r="AI2230" s="70" t="str">
        <f aca="false">IF(AH2230="","",IF(COUNTIF(L_CLAVE,AH2230)&gt;1,"⚠ Duplicado","OK"))</f>
        <v/>
      </c>
      <c r="AJ2230" s="86" t="str">
        <f aca="false">IF(AH2230="","",IF(SUMPRODUCT(MAX((IND_PER&lt;=B2230)*(IND_UF&lt;&gt;"")*IND_PER))=0,UF_HOY,INDEX(IND_UF,MATCH(SUMPRODUCT(MAX((IND_PER&lt;=B2230)*(IND_UF&lt;&gt;"")*IND_PER)),IND_PER,0))))</f>
        <v/>
      </c>
      <c r="AK2230" s="87" t="str">
        <f aca="false">IF(AH2230="","",IF(COUNTIF(TASA_DESDE,"&lt;="&amp;B2230)=0,INDEX(TASA_EMP,1),INDEX(TASA_EMP,COUNTIF(TASA_DESDE,"&lt;="&amp;B2230))))</f>
        <v/>
      </c>
    </row>
    <row r="2231" customFormat="false" ht="15" hidden="false" customHeight="false" outlineLevel="0" collapsed="false">
      <c r="B2231" s="78"/>
      <c r="C2231" s="64"/>
      <c r="D2231" s="72" t="str">
        <f aca="false">IF(C2231="","",IFERROR(INDEX(T_NOMBRE,MATCH(C2231,T_ID,0)),"⚠ ID no existe"))</f>
        <v/>
      </c>
      <c r="E2231" s="69"/>
      <c r="F2231" s="67"/>
      <c r="G2231" s="67"/>
      <c r="H2231" s="67"/>
      <c r="I2231" s="67"/>
      <c r="J2231" s="67"/>
      <c r="K2231" s="85" t="str">
        <f aca="false">IF(AH2231="","",N(F2231)+N(G2231)+N(H2231)-N(I2231)+N(J2231))</f>
        <v/>
      </c>
      <c r="L2231" s="67"/>
      <c r="M2231" s="67"/>
      <c r="N2231" s="67"/>
      <c r="O2231" s="67"/>
      <c r="P2231" s="85" t="str">
        <f aca="false">IF(AH2231="","",K2231+N(L2231)+N(M2231)+N(N2231)+N(O2231))</f>
        <v/>
      </c>
      <c r="Q2231" s="67"/>
      <c r="R2231" s="67"/>
      <c r="S2231" s="67"/>
      <c r="T2231" s="67"/>
      <c r="U2231" s="67"/>
      <c r="V2231" s="67"/>
      <c r="W2231" s="85" t="str">
        <f aca="false">IF(AH2231="","",N(Q2231)+N(R2231)+N(S2231)+N(T2231)+N(U2231)+N(V2231))</f>
        <v/>
      </c>
      <c r="X2231" s="85" t="str">
        <f aca="false">IF(AH2231="","",P2231-W2231)</f>
        <v/>
      </c>
      <c r="Y2231" s="67"/>
      <c r="Z2231" s="70" t="str">
        <f aca="false">IF(OR(AH2231="",Y2231=""),"",IF(ABS(X2231-Y2231)&lt;=1,"✓ Cuadra","⚠ Diferencia $"&amp;FIXED(X2231-Y2231,0)))</f>
        <v/>
      </c>
      <c r="AA2231" s="72" t="str">
        <f aca="false">IF(AH2231="","",IFERROR(INDEX(C_TIPO,MATCH(C2231&amp;"-P"&amp;MAX(1,COUNTIFS(C_ID,C2231,C_DEFINE,"Sí",C_INICIO,"&lt;="&amp;EOMONTH(B2231,0))),C_CLAVE,0))&amp;"","Sin dato"))</f>
        <v/>
      </c>
      <c r="AB2231" s="71" t="str">
        <f aca="false">IF(AH2231="","",ROUND(MIN(K2231,TOPE_AFP_UF*AJ2231)*AK2231,0))</f>
        <v/>
      </c>
      <c r="AC2231" s="71" t="str">
        <f aca="false">IF(AH2231="","",ROUND(MIN(K2231,TOPE_AFC_UF*AJ2231)*IF(AA2231="Indefinido",AFC_EMP_INDEF,AFC_EMP_PF),0))</f>
        <v/>
      </c>
      <c r="AD2231" s="71" t="str">
        <f aca="false">IF(AH2231="","",ROUND(MIN(K2231,TOPE_AFP_UF*AJ2231)*(MUTUAL_BASICA+MUTUAL_ADIC+SANNA),0))</f>
        <v/>
      </c>
      <c r="AE2231" s="71" t="str">
        <f aca="false">IF(AH2231="","",P2231-N(N2231)+AB2231+AC2231+AD2231)</f>
        <v/>
      </c>
      <c r="AF2231" s="65"/>
      <c r="AG2231" s="64"/>
      <c r="AH2231" s="72" t="str">
        <f aca="false">IF(OR(B2231="",C2231=""),"",C2231&amp;"|"&amp;(YEAR(B2231)*100+MONTH(B2231)))</f>
        <v/>
      </c>
      <c r="AI2231" s="70" t="str">
        <f aca="false">IF(AH2231="","",IF(COUNTIF(L_CLAVE,AH2231)&gt;1,"⚠ Duplicado","OK"))</f>
        <v/>
      </c>
      <c r="AJ2231" s="86" t="str">
        <f aca="false">IF(AH2231="","",IF(SUMPRODUCT(MAX((IND_PER&lt;=B2231)*(IND_UF&lt;&gt;"")*IND_PER))=0,UF_HOY,INDEX(IND_UF,MATCH(SUMPRODUCT(MAX((IND_PER&lt;=B2231)*(IND_UF&lt;&gt;"")*IND_PER)),IND_PER,0))))</f>
        <v/>
      </c>
      <c r="AK2231" s="87" t="str">
        <f aca="false">IF(AH2231="","",IF(COUNTIF(TASA_DESDE,"&lt;="&amp;B2231)=0,INDEX(TASA_EMP,1),INDEX(TASA_EMP,COUNTIF(TASA_DESDE,"&lt;="&amp;B2231))))</f>
        <v/>
      </c>
    </row>
    <row r="2232" customFormat="false" ht="15" hidden="false" customHeight="false" outlineLevel="0" collapsed="false">
      <c r="B2232" s="78"/>
      <c r="C2232" s="64"/>
      <c r="D2232" s="72" t="str">
        <f aca="false">IF(C2232="","",IFERROR(INDEX(T_NOMBRE,MATCH(C2232,T_ID,0)),"⚠ ID no existe"))</f>
        <v/>
      </c>
      <c r="E2232" s="69"/>
      <c r="F2232" s="67"/>
      <c r="G2232" s="67"/>
      <c r="H2232" s="67"/>
      <c r="I2232" s="67"/>
      <c r="J2232" s="67"/>
      <c r="K2232" s="85" t="str">
        <f aca="false">IF(AH2232="","",N(F2232)+N(G2232)+N(H2232)-N(I2232)+N(J2232))</f>
        <v/>
      </c>
      <c r="L2232" s="67"/>
      <c r="M2232" s="67"/>
      <c r="N2232" s="67"/>
      <c r="O2232" s="67"/>
      <c r="P2232" s="85" t="str">
        <f aca="false">IF(AH2232="","",K2232+N(L2232)+N(M2232)+N(N2232)+N(O2232))</f>
        <v/>
      </c>
      <c r="Q2232" s="67"/>
      <c r="R2232" s="67"/>
      <c r="S2232" s="67"/>
      <c r="T2232" s="67"/>
      <c r="U2232" s="67"/>
      <c r="V2232" s="67"/>
      <c r="W2232" s="85" t="str">
        <f aca="false">IF(AH2232="","",N(Q2232)+N(R2232)+N(S2232)+N(T2232)+N(U2232)+N(V2232))</f>
        <v/>
      </c>
      <c r="X2232" s="85" t="str">
        <f aca="false">IF(AH2232="","",P2232-W2232)</f>
        <v/>
      </c>
      <c r="Y2232" s="67"/>
      <c r="Z2232" s="70" t="str">
        <f aca="false">IF(OR(AH2232="",Y2232=""),"",IF(ABS(X2232-Y2232)&lt;=1,"✓ Cuadra","⚠ Diferencia $"&amp;FIXED(X2232-Y2232,0)))</f>
        <v/>
      </c>
      <c r="AA2232" s="72" t="str">
        <f aca="false">IF(AH2232="","",IFERROR(INDEX(C_TIPO,MATCH(C2232&amp;"-P"&amp;MAX(1,COUNTIFS(C_ID,C2232,C_DEFINE,"Sí",C_INICIO,"&lt;="&amp;EOMONTH(B2232,0))),C_CLAVE,0))&amp;"","Sin dato"))</f>
        <v/>
      </c>
      <c r="AB2232" s="71" t="str">
        <f aca="false">IF(AH2232="","",ROUND(MIN(K2232,TOPE_AFP_UF*AJ2232)*AK2232,0))</f>
        <v/>
      </c>
      <c r="AC2232" s="71" t="str">
        <f aca="false">IF(AH2232="","",ROUND(MIN(K2232,TOPE_AFC_UF*AJ2232)*IF(AA2232="Indefinido",AFC_EMP_INDEF,AFC_EMP_PF),0))</f>
        <v/>
      </c>
      <c r="AD2232" s="71" t="str">
        <f aca="false">IF(AH2232="","",ROUND(MIN(K2232,TOPE_AFP_UF*AJ2232)*(MUTUAL_BASICA+MUTUAL_ADIC+SANNA),0))</f>
        <v/>
      </c>
      <c r="AE2232" s="71" t="str">
        <f aca="false">IF(AH2232="","",P2232-N(N2232)+AB2232+AC2232+AD2232)</f>
        <v/>
      </c>
      <c r="AF2232" s="65"/>
      <c r="AG2232" s="64"/>
      <c r="AH2232" s="72" t="str">
        <f aca="false">IF(OR(B2232="",C2232=""),"",C2232&amp;"|"&amp;(YEAR(B2232)*100+MONTH(B2232)))</f>
        <v/>
      </c>
      <c r="AI2232" s="70" t="str">
        <f aca="false">IF(AH2232="","",IF(COUNTIF(L_CLAVE,AH2232)&gt;1,"⚠ Duplicado","OK"))</f>
        <v/>
      </c>
      <c r="AJ2232" s="86" t="str">
        <f aca="false">IF(AH2232="","",IF(SUMPRODUCT(MAX((IND_PER&lt;=B2232)*(IND_UF&lt;&gt;"")*IND_PER))=0,UF_HOY,INDEX(IND_UF,MATCH(SUMPRODUCT(MAX((IND_PER&lt;=B2232)*(IND_UF&lt;&gt;"")*IND_PER)),IND_PER,0))))</f>
        <v/>
      </c>
      <c r="AK2232" s="87" t="str">
        <f aca="false">IF(AH2232="","",IF(COUNTIF(TASA_DESDE,"&lt;="&amp;B2232)=0,INDEX(TASA_EMP,1),INDEX(TASA_EMP,COUNTIF(TASA_DESDE,"&lt;="&amp;B2232))))</f>
        <v/>
      </c>
    </row>
    <row r="2233" customFormat="false" ht="15" hidden="false" customHeight="false" outlineLevel="0" collapsed="false">
      <c r="B2233" s="78"/>
      <c r="C2233" s="64"/>
      <c r="D2233" s="72" t="str">
        <f aca="false">IF(C2233="","",IFERROR(INDEX(T_NOMBRE,MATCH(C2233,T_ID,0)),"⚠ ID no existe"))</f>
        <v/>
      </c>
      <c r="E2233" s="69"/>
      <c r="F2233" s="67"/>
      <c r="G2233" s="67"/>
      <c r="H2233" s="67"/>
      <c r="I2233" s="67"/>
      <c r="J2233" s="67"/>
      <c r="K2233" s="85" t="str">
        <f aca="false">IF(AH2233="","",N(F2233)+N(G2233)+N(H2233)-N(I2233)+N(J2233))</f>
        <v/>
      </c>
      <c r="L2233" s="67"/>
      <c r="M2233" s="67"/>
      <c r="N2233" s="67"/>
      <c r="O2233" s="67"/>
      <c r="P2233" s="85" t="str">
        <f aca="false">IF(AH2233="","",K2233+N(L2233)+N(M2233)+N(N2233)+N(O2233))</f>
        <v/>
      </c>
      <c r="Q2233" s="67"/>
      <c r="R2233" s="67"/>
      <c r="S2233" s="67"/>
      <c r="T2233" s="67"/>
      <c r="U2233" s="67"/>
      <c r="V2233" s="67"/>
      <c r="W2233" s="85" t="str">
        <f aca="false">IF(AH2233="","",N(Q2233)+N(R2233)+N(S2233)+N(T2233)+N(U2233)+N(V2233))</f>
        <v/>
      </c>
      <c r="X2233" s="85" t="str">
        <f aca="false">IF(AH2233="","",P2233-W2233)</f>
        <v/>
      </c>
      <c r="Y2233" s="67"/>
      <c r="Z2233" s="70" t="str">
        <f aca="false">IF(OR(AH2233="",Y2233=""),"",IF(ABS(X2233-Y2233)&lt;=1,"✓ Cuadra","⚠ Diferencia $"&amp;FIXED(X2233-Y2233,0)))</f>
        <v/>
      </c>
      <c r="AA2233" s="72" t="str">
        <f aca="false">IF(AH2233="","",IFERROR(INDEX(C_TIPO,MATCH(C2233&amp;"-P"&amp;MAX(1,COUNTIFS(C_ID,C2233,C_DEFINE,"Sí",C_INICIO,"&lt;="&amp;EOMONTH(B2233,0))),C_CLAVE,0))&amp;"","Sin dato"))</f>
        <v/>
      </c>
      <c r="AB2233" s="71" t="str">
        <f aca="false">IF(AH2233="","",ROUND(MIN(K2233,TOPE_AFP_UF*AJ2233)*AK2233,0))</f>
        <v/>
      </c>
      <c r="AC2233" s="71" t="str">
        <f aca="false">IF(AH2233="","",ROUND(MIN(K2233,TOPE_AFC_UF*AJ2233)*IF(AA2233="Indefinido",AFC_EMP_INDEF,AFC_EMP_PF),0))</f>
        <v/>
      </c>
      <c r="AD2233" s="71" t="str">
        <f aca="false">IF(AH2233="","",ROUND(MIN(K2233,TOPE_AFP_UF*AJ2233)*(MUTUAL_BASICA+MUTUAL_ADIC+SANNA),0))</f>
        <v/>
      </c>
      <c r="AE2233" s="71" t="str">
        <f aca="false">IF(AH2233="","",P2233-N(N2233)+AB2233+AC2233+AD2233)</f>
        <v/>
      </c>
      <c r="AF2233" s="65"/>
      <c r="AG2233" s="64"/>
      <c r="AH2233" s="72" t="str">
        <f aca="false">IF(OR(B2233="",C2233=""),"",C2233&amp;"|"&amp;(YEAR(B2233)*100+MONTH(B2233)))</f>
        <v/>
      </c>
      <c r="AI2233" s="70" t="str">
        <f aca="false">IF(AH2233="","",IF(COUNTIF(L_CLAVE,AH2233)&gt;1,"⚠ Duplicado","OK"))</f>
        <v/>
      </c>
      <c r="AJ2233" s="86" t="str">
        <f aca="false">IF(AH2233="","",IF(SUMPRODUCT(MAX((IND_PER&lt;=B2233)*(IND_UF&lt;&gt;"")*IND_PER))=0,UF_HOY,INDEX(IND_UF,MATCH(SUMPRODUCT(MAX((IND_PER&lt;=B2233)*(IND_UF&lt;&gt;"")*IND_PER)),IND_PER,0))))</f>
        <v/>
      </c>
      <c r="AK2233" s="87" t="str">
        <f aca="false">IF(AH2233="","",IF(COUNTIF(TASA_DESDE,"&lt;="&amp;B2233)=0,INDEX(TASA_EMP,1),INDEX(TASA_EMP,COUNTIF(TASA_DESDE,"&lt;="&amp;B2233))))</f>
        <v/>
      </c>
    </row>
    <row r="2234" customFormat="false" ht="15" hidden="false" customHeight="false" outlineLevel="0" collapsed="false">
      <c r="B2234" s="78"/>
      <c r="C2234" s="64"/>
      <c r="D2234" s="72" t="str">
        <f aca="false">IF(C2234="","",IFERROR(INDEX(T_NOMBRE,MATCH(C2234,T_ID,0)),"⚠ ID no existe"))</f>
        <v/>
      </c>
      <c r="E2234" s="69"/>
      <c r="F2234" s="67"/>
      <c r="G2234" s="67"/>
      <c r="H2234" s="67"/>
      <c r="I2234" s="67"/>
      <c r="J2234" s="67"/>
      <c r="K2234" s="85" t="str">
        <f aca="false">IF(AH2234="","",N(F2234)+N(G2234)+N(H2234)-N(I2234)+N(J2234))</f>
        <v/>
      </c>
      <c r="L2234" s="67"/>
      <c r="M2234" s="67"/>
      <c r="N2234" s="67"/>
      <c r="O2234" s="67"/>
      <c r="P2234" s="85" t="str">
        <f aca="false">IF(AH2234="","",K2234+N(L2234)+N(M2234)+N(N2234)+N(O2234))</f>
        <v/>
      </c>
      <c r="Q2234" s="67"/>
      <c r="R2234" s="67"/>
      <c r="S2234" s="67"/>
      <c r="T2234" s="67"/>
      <c r="U2234" s="67"/>
      <c r="V2234" s="67"/>
      <c r="W2234" s="85" t="str">
        <f aca="false">IF(AH2234="","",N(Q2234)+N(R2234)+N(S2234)+N(T2234)+N(U2234)+N(V2234))</f>
        <v/>
      </c>
      <c r="X2234" s="85" t="str">
        <f aca="false">IF(AH2234="","",P2234-W2234)</f>
        <v/>
      </c>
      <c r="Y2234" s="67"/>
      <c r="Z2234" s="70" t="str">
        <f aca="false">IF(OR(AH2234="",Y2234=""),"",IF(ABS(X2234-Y2234)&lt;=1,"✓ Cuadra","⚠ Diferencia $"&amp;FIXED(X2234-Y2234,0)))</f>
        <v/>
      </c>
      <c r="AA2234" s="72" t="str">
        <f aca="false">IF(AH2234="","",IFERROR(INDEX(C_TIPO,MATCH(C2234&amp;"-P"&amp;MAX(1,COUNTIFS(C_ID,C2234,C_DEFINE,"Sí",C_INICIO,"&lt;="&amp;EOMONTH(B2234,0))),C_CLAVE,0))&amp;"","Sin dato"))</f>
        <v/>
      </c>
      <c r="AB2234" s="71" t="str">
        <f aca="false">IF(AH2234="","",ROUND(MIN(K2234,TOPE_AFP_UF*AJ2234)*AK2234,0))</f>
        <v/>
      </c>
      <c r="AC2234" s="71" t="str">
        <f aca="false">IF(AH2234="","",ROUND(MIN(K2234,TOPE_AFC_UF*AJ2234)*IF(AA2234="Indefinido",AFC_EMP_INDEF,AFC_EMP_PF),0))</f>
        <v/>
      </c>
      <c r="AD2234" s="71" t="str">
        <f aca="false">IF(AH2234="","",ROUND(MIN(K2234,TOPE_AFP_UF*AJ2234)*(MUTUAL_BASICA+MUTUAL_ADIC+SANNA),0))</f>
        <v/>
      </c>
      <c r="AE2234" s="71" t="str">
        <f aca="false">IF(AH2234="","",P2234-N(N2234)+AB2234+AC2234+AD2234)</f>
        <v/>
      </c>
      <c r="AF2234" s="65"/>
      <c r="AG2234" s="64"/>
      <c r="AH2234" s="72" t="str">
        <f aca="false">IF(OR(B2234="",C2234=""),"",C2234&amp;"|"&amp;(YEAR(B2234)*100+MONTH(B2234)))</f>
        <v/>
      </c>
      <c r="AI2234" s="70" t="str">
        <f aca="false">IF(AH2234="","",IF(COUNTIF(L_CLAVE,AH2234)&gt;1,"⚠ Duplicado","OK"))</f>
        <v/>
      </c>
      <c r="AJ2234" s="86" t="str">
        <f aca="false">IF(AH2234="","",IF(SUMPRODUCT(MAX((IND_PER&lt;=B2234)*(IND_UF&lt;&gt;"")*IND_PER))=0,UF_HOY,INDEX(IND_UF,MATCH(SUMPRODUCT(MAX((IND_PER&lt;=B2234)*(IND_UF&lt;&gt;"")*IND_PER)),IND_PER,0))))</f>
        <v/>
      </c>
      <c r="AK2234" s="87" t="str">
        <f aca="false">IF(AH2234="","",IF(COUNTIF(TASA_DESDE,"&lt;="&amp;B2234)=0,INDEX(TASA_EMP,1),INDEX(TASA_EMP,COUNTIF(TASA_DESDE,"&lt;="&amp;B2234))))</f>
        <v/>
      </c>
    </row>
    <row r="2235" customFormat="false" ht="15" hidden="false" customHeight="false" outlineLevel="0" collapsed="false">
      <c r="B2235" s="78"/>
      <c r="C2235" s="64"/>
      <c r="D2235" s="72" t="str">
        <f aca="false">IF(C2235="","",IFERROR(INDEX(T_NOMBRE,MATCH(C2235,T_ID,0)),"⚠ ID no existe"))</f>
        <v/>
      </c>
      <c r="E2235" s="69"/>
      <c r="F2235" s="67"/>
      <c r="G2235" s="67"/>
      <c r="H2235" s="67"/>
      <c r="I2235" s="67"/>
      <c r="J2235" s="67"/>
      <c r="K2235" s="85" t="str">
        <f aca="false">IF(AH2235="","",N(F2235)+N(G2235)+N(H2235)-N(I2235)+N(J2235))</f>
        <v/>
      </c>
      <c r="L2235" s="67"/>
      <c r="M2235" s="67"/>
      <c r="N2235" s="67"/>
      <c r="O2235" s="67"/>
      <c r="P2235" s="85" t="str">
        <f aca="false">IF(AH2235="","",K2235+N(L2235)+N(M2235)+N(N2235)+N(O2235))</f>
        <v/>
      </c>
      <c r="Q2235" s="67"/>
      <c r="R2235" s="67"/>
      <c r="S2235" s="67"/>
      <c r="T2235" s="67"/>
      <c r="U2235" s="67"/>
      <c r="V2235" s="67"/>
      <c r="W2235" s="85" t="str">
        <f aca="false">IF(AH2235="","",N(Q2235)+N(R2235)+N(S2235)+N(T2235)+N(U2235)+N(V2235))</f>
        <v/>
      </c>
      <c r="X2235" s="85" t="str">
        <f aca="false">IF(AH2235="","",P2235-W2235)</f>
        <v/>
      </c>
      <c r="Y2235" s="67"/>
      <c r="Z2235" s="70" t="str">
        <f aca="false">IF(OR(AH2235="",Y2235=""),"",IF(ABS(X2235-Y2235)&lt;=1,"✓ Cuadra","⚠ Diferencia $"&amp;FIXED(X2235-Y2235,0)))</f>
        <v/>
      </c>
      <c r="AA2235" s="72" t="str">
        <f aca="false">IF(AH2235="","",IFERROR(INDEX(C_TIPO,MATCH(C2235&amp;"-P"&amp;MAX(1,COUNTIFS(C_ID,C2235,C_DEFINE,"Sí",C_INICIO,"&lt;="&amp;EOMONTH(B2235,0))),C_CLAVE,0))&amp;"","Sin dato"))</f>
        <v/>
      </c>
      <c r="AB2235" s="71" t="str">
        <f aca="false">IF(AH2235="","",ROUND(MIN(K2235,TOPE_AFP_UF*AJ2235)*AK2235,0))</f>
        <v/>
      </c>
      <c r="AC2235" s="71" t="str">
        <f aca="false">IF(AH2235="","",ROUND(MIN(K2235,TOPE_AFC_UF*AJ2235)*IF(AA2235="Indefinido",AFC_EMP_INDEF,AFC_EMP_PF),0))</f>
        <v/>
      </c>
      <c r="AD2235" s="71" t="str">
        <f aca="false">IF(AH2235="","",ROUND(MIN(K2235,TOPE_AFP_UF*AJ2235)*(MUTUAL_BASICA+MUTUAL_ADIC+SANNA),0))</f>
        <v/>
      </c>
      <c r="AE2235" s="71" t="str">
        <f aca="false">IF(AH2235="","",P2235-N(N2235)+AB2235+AC2235+AD2235)</f>
        <v/>
      </c>
      <c r="AF2235" s="65"/>
      <c r="AG2235" s="64"/>
      <c r="AH2235" s="72" t="str">
        <f aca="false">IF(OR(B2235="",C2235=""),"",C2235&amp;"|"&amp;(YEAR(B2235)*100+MONTH(B2235)))</f>
        <v/>
      </c>
      <c r="AI2235" s="70" t="str">
        <f aca="false">IF(AH2235="","",IF(COUNTIF(L_CLAVE,AH2235)&gt;1,"⚠ Duplicado","OK"))</f>
        <v/>
      </c>
      <c r="AJ2235" s="86" t="str">
        <f aca="false">IF(AH2235="","",IF(SUMPRODUCT(MAX((IND_PER&lt;=B2235)*(IND_UF&lt;&gt;"")*IND_PER))=0,UF_HOY,INDEX(IND_UF,MATCH(SUMPRODUCT(MAX((IND_PER&lt;=B2235)*(IND_UF&lt;&gt;"")*IND_PER)),IND_PER,0))))</f>
        <v/>
      </c>
      <c r="AK2235" s="87" t="str">
        <f aca="false">IF(AH2235="","",IF(COUNTIF(TASA_DESDE,"&lt;="&amp;B2235)=0,INDEX(TASA_EMP,1),INDEX(TASA_EMP,COUNTIF(TASA_DESDE,"&lt;="&amp;B2235))))</f>
        <v/>
      </c>
    </row>
    <row r="2236" customFormat="false" ht="15" hidden="false" customHeight="false" outlineLevel="0" collapsed="false">
      <c r="B2236" s="78"/>
      <c r="C2236" s="64"/>
      <c r="D2236" s="72" t="str">
        <f aca="false">IF(C2236="","",IFERROR(INDEX(T_NOMBRE,MATCH(C2236,T_ID,0)),"⚠ ID no existe"))</f>
        <v/>
      </c>
      <c r="E2236" s="69"/>
      <c r="F2236" s="67"/>
      <c r="G2236" s="67"/>
      <c r="H2236" s="67"/>
      <c r="I2236" s="67"/>
      <c r="J2236" s="67"/>
      <c r="K2236" s="85" t="str">
        <f aca="false">IF(AH2236="","",N(F2236)+N(G2236)+N(H2236)-N(I2236)+N(J2236))</f>
        <v/>
      </c>
      <c r="L2236" s="67"/>
      <c r="M2236" s="67"/>
      <c r="N2236" s="67"/>
      <c r="O2236" s="67"/>
      <c r="P2236" s="85" t="str">
        <f aca="false">IF(AH2236="","",K2236+N(L2236)+N(M2236)+N(N2236)+N(O2236))</f>
        <v/>
      </c>
      <c r="Q2236" s="67"/>
      <c r="R2236" s="67"/>
      <c r="S2236" s="67"/>
      <c r="T2236" s="67"/>
      <c r="U2236" s="67"/>
      <c r="V2236" s="67"/>
      <c r="W2236" s="85" t="str">
        <f aca="false">IF(AH2236="","",N(Q2236)+N(R2236)+N(S2236)+N(T2236)+N(U2236)+N(V2236))</f>
        <v/>
      </c>
      <c r="X2236" s="85" t="str">
        <f aca="false">IF(AH2236="","",P2236-W2236)</f>
        <v/>
      </c>
      <c r="Y2236" s="67"/>
      <c r="Z2236" s="70" t="str">
        <f aca="false">IF(OR(AH2236="",Y2236=""),"",IF(ABS(X2236-Y2236)&lt;=1,"✓ Cuadra","⚠ Diferencia $"&amp;FIXED(X2236-Y2236,0)))</f>
        <v/>
      </c>
      <c r="AA2236" s="72" t="str">
        <f aca="false">IF(AH2236="","",IFERROR(INDEX(C_TIPO,MATCH(C2236&amp;"-P"&amp;MAX(1,COUNTIFS(C_ID,C2236,C_DEFINE,"Sí",C_INICIO,"&lt;="&amp;EOMONTH(B2236,0))),C_CLAVE,0))&amp;"","Sin dato"))</f>
        <v/>
      </c>
      <c r="AB2236" s="71" t="str">
        <f aca="false">IF(AH2236="","",ROUND(MIN(K2236,TOPE_AFP_UF*AJ2236)*AK2236,0))</f>
        <v/>
      </c>
      <c r="AC2236" s="71" t="str">
        <f aca="false">IF(AH2236="","",ROUND(MIN(K2236,TOPE_AFC_UF*AJ2236)*IF(AA2236="Indefinido",AFC_EMP_INDEF,AFC_EMP_PF),0))</f>
        <v/>
      </c>
      <c r="AD2236" s="71" t="str">
        <f aca="false">IF(AH2236="","",ROUND(MIN(K2236,TOPE_AFP_UF*AJ2236)*(MUTUAL_BASICA+MUTUAL_ADIC+SANNA),0))</f>
        <v/>
      </c>
      <c r="AE2236" s="71" t="str">
        <f aca="false">IF(AH2236="","",P2236-N(N2236)+AB2236+AC2236+AD2236)</f>
        <v/>
      </c>
      <c r="AF2236" s="65"/>
      <c r="AG2236" s="64"/>
      <c r="AH2236" s="72" t="str">
        <f aca="false">IF(OR(B2236="",C2236=""),"",C2236&amp;"|"&amp;(YEAR(B2236)*100+MONTH(B2236)))</f>
        <v/>
      </c>
      <c r="AI2236" s="70" t="str">
        <f aca="false">IF(AH2236="","",IF(COUNTIF(L_CLAVE,AH2236)&gt;1,"⚠ Duplicado","OK"))</f>
        <v/>
      </c>
      <c r="AJ2236" s="86" t="str">
        <f aca="false">IF(AH2236="","",IF(SUMPRODUCT(MAX((IND_PER&lt;=B2236)*(IND_UF&lt;&gt;"")*IND_PER))=0,UF_HOY,INDEX(IND_UF,MATCH(SUMPRODUCT(MAX((IND_PER&lt;=B2236)*(IND_UF&lt;&gt;"")*IND_PER)),IND_PER,0))))</f>
        <v/>
      </c>
      <c r="AK2236" s="87" t="str">
        <f aca="false">IF(AH2236="","",IF(COUNTIF(TASA_DESDE,"&lt;="&amp;B2236)=0,INDEX(TASA_EMP,1),INDEX(TASA_EMP,COUNTIF(TASA_DESDE,"&lt;="&amp;B2236))))</f>
        <v/>
      </c>
    </row>
    <row r="2237" customFormat="false" ht="15" hidden="false" customHeight="false" outlineLevel="0" collapsed="false">
      <c r="B2237" s="78"/>
      <c r="C2237" s="64"/>
      <c r="D2237" s="72" t="str">
        <f aca="false">IF(C2237="","",IFERROR(INDEX(T_NOMBRE,MATCH(C2237,T_ID,0)),"⚠ ID no existe"))</f>
        <v/>
      </c>
      <c r="E2237" s="69"/>
      <c r="F2237" s="67"/>
      <c r="G2237" s="67"/>
      <c r="H2237" s="67"/>
      <c r="I2237" s="67"/>
      <c r="J2237" s="67"/>
      <c r="K2237" s="85" t="str">
        <f aca="false">IF(AH2237="","",N(F2237)+N(G2237)+N(H2237)-N(I2237)+N(J2237))</f>
        <v/>
      </c>
      <c r="L2237" s="67"/>
      <c r="M2237" s="67"/>
      <c r="N2237" s="67"/>
      <c r="O2237" s="67"/>
      <c r="P2237" s="85" t="str">
        <f aca="false">IF(AH2237="","",K2237+N(L2237)+N(M2237)+N(N2237)+N(O2237))</f>
        <v/>
      </c>
      <c r="Q2237" s="67"/>
      <c r="R2237" s="67"/>
      <c r="S2237" s="67"/>
      <c r="T2237" s="67"/>
      <c r="U2237" s="67"/>
      <c r="V2237" s="67"/>
      <c r="W2237" s="85" t="str">
        <f aca="false">IF(AH2237="","",N(Q2237)+N(R2237)+N(S2237)+N(T2237)+N(U2237)+N(V2237))</f>
        <v/>
      </c>
      <c r="X2237" s="85" t="str">
        <f aca="false">IF(AH2237="","",P2237-W2237)</f>
        <v/>
      </c>
      <c r="Y2237" s="67"/>
      <c r="Z2237" s="70" t="str">
        <f aca="false">IF(OR(AH2237="",Y2237=""),"",IF(ABS(X2237-Y2237)&lt;=1,"✓ Cuadra","⚠ Diferencia $"&amp;FIXED(X2237-Y2237,0)))</f>
        <v/>
      </c>
      <c r="AA2237" s="72" t="str">
        <f aca="false">IF(AH2237="","",IFERROR(INDEX(C_TIPO,MATCH(C2237&amp;"-P"&amp;MAX(1,COUNTIFS(C_ID,C2237,C_DEFINE,"Sí",C_INICIO,"&lt;="&amp;EOMONTH(B2237,0))),C_CLAVE,0))&amp;"","Sin dato"))</f>
        <v/>
      </c>
      <c r="AB2237" s="71" t="str">
        <f aca="false">IF(AH2237="","",ROUND(MIN(K2237,TOPE_AFP_UF*AJ2237)*AK2237,0))</f>
        <v/>
      </c>
      <c r="AC2237" s="71" t="str">
        <f aca="false">IF(AH2237="","",ROUND(MIN(K2237,TOPE_AFC_UF*AJ2237)*IF(AA2237="Indefinido",AFC_EMP_INDEF,AFC_EMP_PF),0))</f>
        <v/>
      </c>
      <c r="AD2237" s="71" t="str">
        <f aca="false">IF(AH2237="","",ROUND(MIN(K2237,TOPE_AFP_UF*AJ2237)*(MUTUAL_BASICA+MUTUAL_ADIC+SANNA),0))</f>
        <v/>
      </c>
      <c r="AE2237" s="71" t="str">
        <f aca="false">IF(AH2237="","",P2237-N(N2237)+AB2237+AC2237+AD2237)</f>
        <v/>
      </c>
      <c r="AF2237" s="65"/>
      <c r="AG2237" s="64"/>
      <c r="AH2237" s="72" t="str">
        <f aca="false">IF(OR(B2237="",C2237=""),"",C2237&amp;"|"&amp;(YEAR(B2237)*100+MONTH(B2237)))</f>
        <v/>
      </c>
      <c r="AI2237" s="70" t="str">
        <f aca="false">IF(AH2237="","",IF(COUNTIF(L_CLAVE,AH2237)&gt;1,"⚠ Duplicado","OK"))</f>
        <v/>
      </c>
      <c r="AJ2237" s="86" t="str">
        <f aca="false">IF(AH2237="","",IF(SUMPRODUCT(MAX((IND_PER&lt;=B2237)*(IND_UF&lt;&gt;"")*IND_PER))=0,UF_HOY,INDEX(IND_UF,MATCH(SUMPRODUCT(MAX((IND_PER&lt;=B2237)*(IND_UF&lt;&gt;"")*IND_PER)),IND_PER,0))))</f>
        <v/>
      </c>
      <c r="AK2237" s="87" t="str">
        <f aca="false">IF(AH2237="","",IF(COUNTIF(TASA_DESDE,"&lt;="&amp;B2237)=0,INDEX(TASA_EMP,1),INDEX(TASA_EMP,COUNTIF(TASA_DESDE,"&lt;="&amp;B2237))))</f>
        <v/>
      </c>
    </row>
    <row r="2238" customFormat="false" ht="15" hidden="false" customHeight="false" outlineLevel="0" collapsed="false">
      <c r="B2238" s="78"/>
      <c r="C2238" s="64"/>
      <c r="D2238" s="72" t="str">
        <f aca="false">IF(C2238="","",IFERROR(INDEX(T_NOMBRE,MATCH(C2238,T_ID,0)),"⚠ ID no existe"))</f>
        <v/>
      </c>
      <c r="E2238" s="69"/>
      <c r="F2238" s="67"/>
      <c r="G2238" s="67"/>
      <c r="H2238" s="67"/>
      <c r="I2238" s="67"/>
      <c r="J2238" s="67"/>
      <c r="K2238" s="85" t="str">
        <f aca="false">IF(AH2238="","",N(F2238)+N(G2238)+N(H2238)-N(I2238)+N(J2238))</f>
        <v/>
      </c>
      <c r="L2238" s="67"/>
      <c r="M2238" s="67"/>
      <c r="N2238" s="67"/>
      <c r="O2238" s="67"/>
      <c r="P2238" s="85" t="str">
        <f aca="false">IF(AH2238="","",K2238+N(L2238)+N(M2238)+N(N2238)+N(O2238))</f>
        <v/>
      </c>
      <c r="Q2238" s="67"/>
      <c r="R2238" s="67"/>
      <c r="S2238" s="67"/>
      <c r="T2238" s="67"/>
      <c r="U2238" s="67"/>
      <c r="V2238" s="67"/>
      <c r="W2238" s="85" t="str">
        <f aca="false">IF(AH2238="","",N(Q2238)+N(R2238)+N(S2238)+N(T2238)+N(U2238)+N(V2238))</f>
        <v/>
      </c>
      <c r="X2238" s="85" t="str">
        <f aca="false">IF(AH2238="","",P2238-W2238)</f>
        <v/>
      </c>
      <c r="Y2238" s="67"/>
      <c r="Z2238" s="70" t="str">
        <f aca="false">IF(OR(AH2238="",Y2238=""),"",IF(ABS(X2238-Y2238)&lt;=1,"✓ Cuadra","⚠ Diferencia $"&amp;FIXED(X2238-Y2238,0)))</f>
        <v/>
      </c>
      <c r="AA2238" s="72" t="str">
        <f aca="false">IF(AH2238="","",IFERROR(INDEX(C_TIPO,MATCH(C2238&amp;"-P"&amp;MAX(1,COUNTIFS(C_ID,C2238,C_DEFINE,"Sí",C_INICIO,"&lt;="&amp;EOMONTH(B2238,0))),C_CLAVE,0))&amp;"","Sin dato"))</f>
        <v/>
      </c>
      <c r="AB2238" s="71" t="str">
        <f aca="false">IF(AH2238="","",ROUND(MIN(K2238,TOPE_AFP_UF*AJ2238)*AK2238,0))</f>
        <v/>
      </c>
      <c r="AC2238" s="71" t="str">
        <f aca="false">IF(AH2238="","",ROUND(MIN(K2238,TOPE_AFC_UF*AJ2238)*IF(AA2238="Indefinido",AFC_EMP_INDEF,AFC_EMP_PF),0))</f>
        <v/>
      </c>
      <c r="AD2238" s="71" t="str">
        <f aca="false">IF(AH2238="","",ROUND(MIN(K2238,TOPE_AFP_UF*AJ2238)*(MUTUAL_BASICA+MUTUAL_ADIC+SANNA),0))</f>
        <v/>
      </c>
      <c r="AE2238" s="71" t="str">
        <f aca="false">IF(AH2238="","",P2238-N(N2238)+AB2238+AC2238+AD2238)</f>
        <v/>
      </c>
      <c r="AF2238" s="65"/>
      <c r="AG2238" s="64"/>
      <c r="AH2238" s="72" t="str">
        <f aca="false">IF(OR(B2238="",C2238=""),"",C2238&amp;"|"&amp;(YEAR(B2238)*100+MONTH(B2238)))</f>
        <v/>
      </c>
      <c r="AI2238" s="70" t="str">
        <f aca="false">IF(AH2238="","",IF(COUNTIF(L_CLAVE,AH2238)&gt;1,"⚠ Duplicado","OK"))</f>
        <v/>
      </c>
      <c r="AJ2238" s="86" t="str">
        <f aca="false">IF(AH2238="","",IF(SUMPRODUCT(MAX((IND_PER&lt;=B2238)*(IND_UF&lt;&gt;"")*IND_PER))=0,UF_HOY,INDEX(IND_UF,MATCH(SUMPRODUCT(MAX((IND_PER&lt;=B2238)*(IND_UF&lt;&gt;"")*IND_PER)),IND_PER,0))))</f>
        <v/>
      </c>
      <c r="AK2238" s="87" t="str">
        <f aca="false">IF(AH2238="","",IF(COUNTIF(TASA_DESDE,"&lt;="&amp;B2238)=0,INDEX(TASA_EMP,1),INDEX(TASA_EMP,COUNTIF(TASA_DESDE,"&lt;="&amp;B2238))))</f>
        <v/>
      </c>
    </row>
    <row r="2239" customFormat="false" ht="15" hidden="false" customHeight="false" outlineLevel="0" collapsed="false">
      <c r="B2239" s="78"/>
      <c r="C2239" s="64"/>
      <c r="D2239" s="72" t="str">
        <f aca="false">IF(C2239="","",IFERROR(INDEX(T_NOMBRE,MATCH(C2239,T_ID,0)),"⚠ ID no existe"))</f>
        <v/>
      </c>
      <c r="E2239" s="69"/>
      <c r="F2239" s="67"/>
      <c r="G2239" s="67"/>
      <c r="H2239" s="67"/>
      <c r="I2239" s="67"/>
      <c r="J2239" s="67"/>
      <c r="K2239" s="85" t="str">
        <f aca="false">IF(AH2239="","",N(F2239)+N(G2239)+N(H2239)-N(I2239)+N(J2239))</f>
        <v/>
      </c>
      <c r="L2239" s="67"/>
      <c r="M2239" s="67"/>
      <c r="N2239" s="67"/>
      <c r="O2239" s="67"/>
      <c r="P2239" s="85" t="str">
        <f aca="false">IF(AH2239="","",K2239+N(L2239)+N(M2239)+N(N2239)+N(O2239))</f>
        <v/>
      </c>
      <c r="Q2239" s="67"/>
      <c r="R2239" s="67"/>
      <c r="S2239" s="67"/>
      <c r="T2239" s="67"/>
      <c r="U2239" s="67"/>
      <c r="V2239" s="67"/>
      <c r="W2239" s="85" t="str">
        <f aca="false">IF(AH2239="","",N(Q2239)+N(R2239)+N(S2239)+N(T2239)+N(U2239)+N(V2239))</f>
        <v/>
      </c>
      <c r="X2239" s="85" t="str">
        <f aca="false">IF(AH2239="","",P2239-W2239)</f>
        <v/>
      </c>
      <c r="Y2239" s="67"/>
      <c r="Z2239" s="70" t="str">
        <f aca="false">IF(OR(AH2239="",Y2239=""),"",IF(ABS(X2239-Y2239)&lt;=1,"✓ Cuadra","⚠ Diferencia $"&amp;FIXED(X2239-Y2239,0)))</f>
        <v/>
      </c>
      <c r="AA2239" s="72" t="str">
        <f aca="false">IF(AH2239="","",IFERROR(INDEX(C_TIPO,MATCH(C2239&amp;"-P"&amp;MAX(1,COUNTIFS(C_ID,C2239,C_DEFINE,"Sí",C_INICIO,"&lt;="&amp;EOMONTH(B2239,0))),C_CLAVE,0))&amp;"","Sin dato"))</f>
        <v/>
      </c>
      <c r="AB2239" s="71" t="str">
        <f aca="false">IF(AH2239="","",ROUND(MIN(K2239,TOPE_AFP_UF*AJ2239)*AK2239,0))</f>
        <v/>
      </c>
      <c r="AC2239" s="71" t="str">
        <f aca="false">IF(AH2239="","",ROUND(MIN(K2239,TOPE_AFC_UF*AJ2239)*IF(AA2239="Indefinido",AFC_EMP_INDEF,AFC_EMP_PF),0))</f>
        <v/>
      </c>
      <c r="AD2239" s="71" t="str">
        <f aca="false">IF(AH2239="","",ROUND(MIN(K2239,TOPE_AFP_UF*AJ2239)*(MUTUAL_BASICA+MUTUAL_ADIC+SANNA),0))</f>
        <v/>
      </c>
      <c r="AE2239" s="71" t="str">
        <f aca="false">IF(AH2239="","",P2239-N(N2239)+AB2239+AC2239+AD2239)</f>
        <v/>
      </c>
      <c r="AF2239" s="65"/>
      <c r="AG2239" s="64"/>
      <c r="AH2239" s="72" t="str">
        <f aca="false">IF(OR(B2239="",C2239=""),"",C2239&amp;"|"&amp;(YEAR(B2239)*100+MONTH(B2239)))</f>
        <v/>
      </c>
      <c r="AI2239" s="70" t="str">
        <f aca="false">IF(AH2239="","",IF(COUNTIF(L_CLAVE,AH2239)&gt;1,"⚠ Duplicado","OK"))</f>
        <v/>
      </c>
      <c r="AJ2239" s="86" t="str">
        <f aca="false">IF(AH2239="","",IF(SUMPRODUCT(MAX((IND_PER&lt;=B2239)*(IND_UF&lt;&gt;"")*IND_PER))=0,UF_HOY,INDEX(IND_UF,MATCH(SUMPRODUCT(MAX((IND_PER&lt;=B2239)*(IND_UF&lt;&gt;"")*IND_PER)),IND_PER,0))))</f>
        <v/>
      </c>
      <c r="AK2239" s="87" t="str">
        <f aca="false">IF(AH2239="","",IF(COUNTIF(TASA_DESDE,"&lt;="&amp;B2239)=0,INDEX(TASA_EMP,1),INDEX(TASA_EMP,COUNTIF(TASA_DESDE,"&lt;="&amp;B2239))))</f>
        <v/>
      </c>
    </row>
    <row r="2240" customFormat="false" ht="15" hidden="false" customHeight="false" outlineLevel="0" collapsed="false">
      <c r="B2240" s="78"/>
      <c r="C2240" s="64"/>
      <c r="D2240" s="72" t="str">
        <f aca="false">IF(C2240="","",IFERROR(INDEX(T_NOMBRE,MATCH(C2240,T_ID,0)),"⚠ ID no existe"))</f>
        <v/>
      </c>
      <c r="E2240" s="69"/>
      <c r="F2240" s="67"/>
      <c r="G2240" s="67"/>
      <c r="H2240" s="67"/>
      <c r="I2240" s="67"/>
      <c r="J2240" s="67"/>
      <c r="K2240" s="85" t="str">
        <f aca="false">IF(AH2240="","",N(F2240)+N(G2240)+N(H2240)-N(I2240)+N(J2240))</f>
        <v/>
      </c>
      <c r="L2240" s="67"/>
      <c r="M2240" s="67"/>
      <c r="N2240" s="67"/>
      <c r="O2240" s="67"/>
      <c r="P2240" s="85" t="str">
        <f aca="false">IF(AH2240="","",K2240+N(L2240)+N(M2240)+N(N2240)+N(O2240))</f>
        <v/>
      </c>
      <c r="Q2240" s="67"/>
      <c r="R2240" s="67"/>
      <c r="S2240" s="67"/>
      <c r="T2240" s="67"/>
      <c r="U2240" s="67"/>
      <c r="V2240" s="67"/>
      <c r="W2240" s="85" t="str">
        <f aca="false">IF(AH2240="","",N(Q2240)+N(R2240)+N(S2240)+N(T2240)+N(U2240)+N(V2240))</f>
        <v/>
      </c>
      <c r="X2240" s="85" t="str">
        <f aca="false">IF(AH2240="","",P2240-W2240)</f>
        <v/>
      </c>
      <c r="Y2240" s="67"/>
      <c r="Z2240" s="70" t="str">
        <f aca="false">IF(OR(AH2240="",Y2240=""),"",IF(ABS(X2240-Y2240)&lt;=1,"✓ Cuadra","⚠ Diferencia $"&amp;FIXED(X2240-Y2240,0)))</f>
        <v/>
      </c>
      <c r="AA2240" s="72" t="str">
        <f aca="false">IF(AH2240="","",IFERROR(INDEX(C_TIPO,MATCH(C2240&amp;"-P"&amp;MAX(1,COUNTIFS(C_ID,C2240,C_DEFINE,"Sí",C_INICIO,"&lt;="&amp;EOMONTH(B2240,0))),C_CLAVE,0))&amp;"","Sin dato"))</f>
        <v/>
      </c>
      <c r="AB2240" s="71" t="str">
        <f aca="false">IF(AH2240="","",ROUND(MIN(K2240,TOPE_AFP_UF*AJ2240)*AK2240,0))</f>
        <v/>
      </c>
      <c r="AC2240" s="71" t="str">
        <f aca="false">IF(AH2240="","",ROUND(MIN(K2240,TOPE_AFC_UF*AJ2240)*IF(AA2240="Indefinido",AFC_EMP_INDEF,AFC_EMP_PF),0))</f>
        <v/>
      </c>
      <c r="AD2240" s="71" t="str">
        <f aca="false">IF(AH2240="","",ROUND(MIN(K2240,TOPE_AFP_UF*AJ2240)*(MUTUAL_BASICA+MUTUAL_ADIC+SANNA),0))</f>
        <v/>
      </c>
      <c r="AE2240" s="71" t="str">
        <f aca="false">IF(AH2240="","",P2240-N(N2240)+AB2240+AC2240+AD2240)</f>
        <v/>
      </c>
      <c r="AF2240" s="65"/>
      <c r="AG2240" s="64"/>
      <c r="AH2240" s="72" t="str">
        <f aca="false">IF(OR(B2240="",C2240=""),"",C2240&amp;"|"&amp;(YEAR(B2240)*100+MONTH(B2240)))</f>
        <v/>
      </c>
      <c r="AI2240" s="70" t="str">
        <f aca="false">IF(AH2240="","",IF(COUNTIF(L_CLAVE,AH2240)&gt;1,"⚠ Duplicado","OK"))</f>
        <v/>
      </c>
      <c r="AJ2240" s="86" t="str">
        <f aca="false">IF(AH2240="","",IF(SUMPRODUCT(MAX((IND_PER&lt;=B2240)*(IND_UF&lt;&gt;"")*IND_PER))=0,UF_HOY,INDEX(IND_UF,MATCH(SUMPRODUCT(MAX((IND_PER&lt;=B2240)*(IND_UF&lt;&gt;"")*IND_PER)),IND_PER,0))))</f>
        <v/>
      </c>
      <c r="AK2240" s="87" t="str">
        <f aca="false">IF(AH2240="","",IF(COUNTIF(TASA_DESDE,"&lt;="&amp;B2240)=0,INDEX(TASA_EMP,1),INDEX(TASA_EMP,COUNTIF(TASA_DESDE,"&lt;="&amp;B2240))))</f>
        <v/>
      </c>
    </row>
    <row r="2241" customFormat="false" ht="15" hidden="false" customHeight="false" outlineLevel="0" collapsed="false">
      <c r="B2241" s="78"/>
      <c r="C2241" s="64"/>
      <c r="D2241" s="72" t="str">
        <f aca="false">IF(C2241="","",IFERROR(INDEX(T_NOMBRE,MATCH(C2241,T_ID,0)),"⚠ ID no existe"))</f>
        <v/>
      </c>
      <c r="E2241" s="69"/>
      <c r="F2241" s="67"/>
      <c r="G2241" s="67"/>
      <c r="H2241" s="67"/>
      <c r="I2241" s="67"/>
      <c r="J2241" s="67"/>
      <c r="K2241" s="85" t="str">
        <f aca="false">IF(AH2241="","",N(F2241)+N(G2241)+N(H2241)-N(I2241)+N(J2241))</f>
        <v/>
      </c>
      <c r="L2241" s="67"/>
      <c r="M2241" s="67"/>
      <c r="N2241" s="67"/>
      <c r="O2241" s="67"/>
      <c r="P2241" s="85" t="str">
        <f aca="false">IF(AH2241="","",K2241+N(L2241)+N(M2241)+N(N2241)+N(O2241))</f>
        <v/>
      </c>
      <c r="Q2241" s="67"/>
      <c r="R2241" s="67"/>
      <c r="S2241" s="67"/>
      <c r="T2241" s="67"/>
      <c r="U2241" s="67"/>
      <c r="V2241" s="67"/>
      <c r="W2241" s="85" t="str">
        <f aca="false">IF(AH2241="","",N(Q2241)+N(R2241)+N(S2241)+N(T2241)+N(U2241)+N(V2241))</f>
        <v/>
      </c>
      <c r="X2241" s="85" t="str">
        <f aca="false">IF(AH2241="","",P2241-W2241)</f>
        <v/>
      </c>
      <c r="Y2241" s="67"/>
      <c r="Z2241" s="70" t="str">
        <f aca="false">IF(OR(AH2241="",Y2241=""),"",IF(ABS(X2241-Y2241)&lt;=1,"✓ Cuadra","⚠ Diferencia $"&amp;FIXED(X2241-Y2241,0)))</f>
        <v/>
      </c>
      <c r="AA2241" s="72" t="str">
        <f aca="false">IF(AH2241="","",IFERROR(INDEX(C_TIPO,MATCH(C2241&amp;"-P"&amp;MAX(1,COUNTIFS(C_ID,C2241,C_DEFINE,"Sí",C_INICIO,"&lt;="&amp;EOMONTH(B2241,0))),C_CLAVE,0))&amp;"","Sin dato"))</f>
        <v/>
      </c>
      <c r="AB2241" s="71" t="str">
        <f aca="false">IF(AH2241="","",ROUND(MIN(K2241,TOPE_AFP_UF*AJ2241)*AK2241,0))</f>
        <v/>
      </c>
      <c r="AC2241" s="71" t="str">
        <f aca="false">IF(AH2241="","",ROUND(MIN(K2241,TOPE_AFC_UF*AJ2241)*IF(AA2241="Indefinido",AFC_EMP_INDEF,AFC_EMP_PF),0))</f>
        <v/>
      </c>
      <c r="AD2241" s="71" t="str">
        <f aca="false">IF(AH2241="","",ROUND(MIN(K2241,TOPE_AFP_UF*AJ2241)*(MUTUAL_BASICA+MUTUAL_ADIC+SANNA),0))</f>
        <v/>
      </c>
      <c r="AE2241" s="71" t="str">
        <f aca="false">IF(AH2241="","",P2241-N(N2241)+AB2241+AC2241+AD2241)</f>
        <v/>
      </c>
      <c r="AF2241" s="65"/>
      <c r="AG2241" s="64"/>
      <c r="AH2241" s="72" t="str">
        <f aca="false">IF(OR(B2241="",C2241=""),"",C2241&amp;"|"&amp;(YEAR(B2241)*100+MONTH(B2241)))</f>
        <v/>
      </c>
      <c r="AI2241" s="70" t="str">
        <f aca="false">IF(AH2241="","",IF(COUNTIF(L_CLAVE,AH2241)&gt;1,"⚠ Duplicado","OK"))</f>
        <v/>
      </c>
      <c r="AJ2241" s="86" t="str">
        <f aca="false">IF(AH2241="","",IF(SUMPRODUCT(MAX((IND_PER&lt;=B2241)*(IND_UF&lt;&gt;"")*IND_PER))=0,UF_HOY,INDEX(IND_UF,MATCH(SUMPRODUCT(MAX((IND_PER&lt;=B2241)*(IND_UF&lt;&gt;"")*IND_PER)),IND_PER,0))))</f>
        <v/>
      </c>
      <c r="AK2241" s="87" t="str">
        <f aca="false">IF(AH2241="","",IF(COUNTIF(TASA_DESDE,"&lt;="&amp;B2241)=0,INDEX(TASA_EMP,1),INDEX(TASA_EMP,COUNTIF(TASA_DESDE,"&lt;="&amp;B2241))))</f>
        <v/>
      </c>
    </row>
    <row r="2242" customFormat="false" ht="15" hidden="false" customHeight="false" outlineLevel="0" collapsed="false">
      <c r="B2242" s="78"/>
      <c r="C2242" s="64"/>
      <c r="D2242" s="72" t="str">
        <f aca="false">IF(C2242="","",IFERROR(INDEX(T_NOMBRE,MATCH(C2242,T_ID,0)),"⚠ ID no existe"))</f>
        <v/>
      </c>
      <c r="E2242" s="69"/>
      <c r="F2242" s="67"/>
      <c r="G2242" s="67"/>
      <c r="H2242" s="67"/>
      <c r="I2242" s="67"/>
      <c r="J2242" s="67"/>
      <c r="K2242" s="85" t="str">
        <f aca="false">IF(AH2242="","",N(F2242)+N(G2242)+N(H2242)-N(I2242)+N(J2242))</f>
        <v/>
      </c>
      <c r="L2242" s="67"/>
      <c r="M2242" s="67"/>
      <c r="N2242" s="67"/>
      <c r="O2242" s="67"/>
      <c r="P2242" s="85" t="str">
        <f aca="false">IF(AH2242="","",K2242+N(L2242)+N(M2242)+N(N2242)+N(O2242))</f>
        <v/>
      </c>
      <c r="Q2242" s="67"/>
      <c r="R2242" s="67"/>
      <c r="S2242" s="67"/>
      <c r="T2242" s="67"/>
      <c r="U2242" s="67"/>
      <c r="V2242" s="67"/>
      <c r="W2242" s="85" t="str">
        <f aca="false">IF(AH2242="","",N(Q2242)+N(R2242)+N(S2242)+N(T2242)+N(U2242)+N(V2242))</f>
        <v/>
      </c>
      <c r="X2242" s="85" t="str">
        <f aca="false">IF(AH2242="","",P2242-W2242)</f>
        <v/>
      </c>
      <c r="Y2242" s="67"/>
      <c r="Z2242" s="70" t="str">
        <f aca="false">IF(OR(AH2242="",Y2242=""),"",IF(ABS(X2242-Y2242)&lt;=1,"✓ Cuadra","⚠ Diferencia $"&amp;FIXED(X2242-Y2242,0)))</f>
        <v/>
      </c>
      <c r="AA2242" s="72" t="str">
        <f aca="false">IF(AH2242="","",IFERROR(INDEX(C_TIPO,MATCH(C2242&amp;"-P"&amp;MAX(1,COUNTIFS(C_ID,C2242,C_DEFINE,"Sí",C_INICIO,"&lt;="&amp;EOMONTH(B2242,0))),C_CLAVE,0))&amp;"","Sin dato"))</f>
        <v/>
      </c>
      <c r="AB2242" s="71" t="str">
        <f aca="false">IF(AH2242="","",ROUND(MIN(K2242,TOPE_AFP_UF*AJ2242)*AK2242,0))</f>
        <v/>
      </c>
      <c r="AC2242" s="71" t="str">
        <f aca="false">IF(AH2242="","",ROUND(MIN(K2242,TOPE_AFC_UF*AJ2242)*IF(AA2242="Indefinido",AFC_EMP_INDEF,AFC_EMP_PF),0))</f>
        <v/>
      </c>
      <c r="AD2242" s="71" t="str">
        <f aca="false">IF(AH2242="","",ROUND(MIN(K2242,TOPE_AFP_UF*AJ2242)*(MUTUAL_BASICA+MUTUAL_ADIC+SANNA),0))</f>
        <v/>
      </c>
      <c r="AE2242" s="71" t="str">
        <f aca="false">IF(AH2242="","",P2242-N(N2242)+AB2242+AC2242+AD2242)</f>
        <v/>
      </c>
      <c r="AF2242" s="65"/>
      <c r="AG2242" s="64"/>
      <c r="AH2242" s="72" t="str">
        <f aca="false">IF(OR(B2242="",C2242=""),"",C2242&amp;"|"&amp;(YEAR(B2242)*100+MONTH(B2242)))</f>
        <v/>
      </c>
      <c r="AI2242" s="70" t="str">
        <f aca="false">IF(AH2242="","",IF(COUNTIF(L_CLAVE,AH2242)&gt;1,"⚠ Duplicado","OK"))</f>
        <v/>
      </c>
      <c r="AJ2242" s="86" t="str">
        <f aca="false">IF(AH2242="","",IF(SUMPRODUCT(MAX((IND_PER&lt;=B2242)*(IND_UF&lt;&gt;"")*IND_PER))=0,UF_HOY,INDEX(IND_UF,MATCH(SUMPRODUCT(MAX((IND_PER&lt;=B2242)*(IND_UF&lt;&gt;"")*IND_PER)),IND_PER,0))))</f>
        <v/>
      </c>
      <c r="AK2242" s="87" t="str">
        <f aca="false">IF(AH2242="","",IF(COUNTIF(TASA_DESDE,"&lt;="&amp;B2242)=0,INDEX(TASA_EMP,1),INDEX(TASA_EMP,COUNTIF(TASA_DESDE,"&lt;="&amp;B2242))))</f>
        <v/>
      </c>
    </row>
    <row r="2243" customFormat="false" ht="15" hidden="false" customHeight="false" outlineLevel="0" collapsed="false">
      <c r="B2243" s="78"/>
      <c r="C2243" s="64"/>
      <c r="D2243" s="72" t="str">
        <f aca="false">IF(C2243="","",IFERROR(INDEX(T_NOMBRE,MATCH(C2243,T_ID,0)),"⚠ ID no existe"))</f>
        <v/>
      </c>
      <c r="E2243" s="69"/>
      <c r="F2243" s="67"/>
      <c r="G2243" s="67"/>
      <c r="H2243" s="67"/>
      <c r="I2243" s="67"/>
      <c r="J2243" s="67"/>
      <c r="K2243" s="85" t="str">
        <f aca="false">IF(AH2243="","",N(F2243)+N(G2243)+N(H2243)-N(I2243)+N(J2243))</f>
        <v/>
      </c>
      <c r="L2243" s="67"/>
      <c r="M2243" s="67"/>
      <c r="N2243" s="67"/>
      <c r="O2243" s="67"/>
      <c r="P2243" s="85" t="str">
        <f aca="false">IF(AH2243="","",K2243+N(L2243)+N(M2243)+N(N2243)+N(O2243))</f>
        <v/>
      </c>
      <c r="Q2243" s="67"/>
      <c r="R2243" s="67"/>
      <c r="S2243" s="67"/>
      <c r="T2243" s="67"/>
      <c r="U2243" s="67"/>
      <c r="V2243" s="67"/>
      <c r="W2243" s="85" t="str">
        <f aca="false">IF(AH2243="","",N(Q2243)+N(R2243)+N(S2243)+N(T2243)+N(U2243)+N(V2243))</f>
        <v/>
      </c>
      <c r="X2243" s="85" t="str">
        <f aca="false">IF(AH2243="","",P2243-W2243)</f>
        <v/>
      </c>
      <c r="Y2243" s="67"/>
      <c r="Z2243" s="70" t="str">
        <f aca="false">IF(OR(AH2243="",Y2243=""),"",IF(ABS(X2243-Y2243)&lt;=1,"✓ Cuadra","⚠ Diferencia $"&amp;FIXED(X2243-Y2243,0)))</f>
        <v/>
      </c>
      <c r="AA2243" s="72" t="str">
        <f aca="false">IF(AH2243="","",IFERROR(INDEX(C_TIPO,MATCH(C2243&amp;"-P"&amp;MAX(1,COUNTIFS(C_ID,C2243,C_DEFINE,"Sí",C_INICIO,"&lt;="&amp;EOMONTH(B2243,0))),C_CLAVE,0))&amp;"","Sin dato"))</f>
        <v/>
      </c>
      <c r="AB2243" s="71" t="str">
        <f aca="false">IF(AH2243="","",ROUND(MIN(K2243,TOPE_AFP_UF*AJ2243)*AK2243,0))</f>
        <v/>
      </c>
      <c r="AC2243" s="71" t="str">
        <f aca="false">IF(AH2243="","",ROUND(MIN(K2243,TOPE_AFC_UF*AJ2243)*IF(AA2243="Indefinido",AFC_EMP_INDEF,AFC_EMP_PF),0))</f>
        <v/>
      </c>
      <c r="AD2243" s="71" t="str">
        <f aca="false">IF(AH2243="","",ROUND(MIN(K2243,TOPE_AFP_UF*AJ2243)*(MUTUAL_BASICA+MUTUAL_ADIC+SANNA),0))</f>
        <v/>
      </c>
      <c r="AE2243" s="71" t="str">
        <f aca="false">IF(AH2243="","",P2243-N(N2243)+AB2243+AC2243+AD2243)</f>
        <v/>
      </c>
      <c r="AF2243" s="65"/>
      <c r="AG2243" s="64"/>
      <c r="AH2243" s="72" t="str">
        <f aca="false">IF(OR(B2243="",C2243=""),"",C2243&amp;"|"&amp;(YEAR(B2243)*100+MONTH(B2243)))</f>
        <v/>
      </c>
      <c r="AI2243" s="70" t="str">
        <f aca="false">IF(AH2243="","",IF(COUNTIF(L_CLAVE,AH2243)&gt;1,"⚠ Duplicado","OK"))</f>
        <v/>
      </c>
      <c r="AJ2243" s="86" t="str">
        <f aca="false">IF(AH2243="","",IF(SUMPRODUCT(MAX((IND_PER&lt;=B2243)*(IND_UF&lt;&gt;"")*IND_PER))=0,UF_HOY,INDEX(IND_UF,MATCH(SUMPRODUCT(MAX((IND_PER&lt;=B2243)*(IND_UF&lt;&gt;"")*IND_PER)),IND_PER,0))))</f>
        <v/>
      </c>
      <c r="AK2243" s="87" t="str">
        <f aca="false">IF(AH2243="","",IF(COUNTIF(TASA_DESDE,"&lt;="&amp;B2243)=0,INDEX(TASA_EMP,1),INDEX(TASA_EMP,COUNTIF(TASA_DESDE,"&lt;="&amp;B2243))))</f>
        <v/>
      </c>
    </row>
    <row r="2244" customFormat="false" ht="15" hidden="false" customHeight="false" outlineLevel="0" collapsed="false">
      <c r="B2244" s="78"/>
      <c r="C2244" s="64"/>
      <c r="D2244" s="72" t="str">
        <f aca="false">IF(C2244="","",IFERROR(INDEX(T_NOMBRE,MATCH(C2244,T_ID,0)),"⚠ ID no existe"))</f>
        <v/>
      </c>
      <c r="E2244" s="69"/>
      <c r="F2244" s="67"/>
      <c r="G2244" s="67"/>
      <c r="H2244" s="67"/>
      <c r="I2244" s="67"/>
      <c r="J2244" s="67"/>
      <c r="K2244" s="85" t="str">
        <f aca="false">IF(AH2244="","",N(F2244)+N(G2244)+N(H2244)-N(I2244)+N(J2244))</f>
        <v/>
      </c>
      <c r="L2244" s="67"/>
      <c r="M2244" s="67"/>
      <c r="N2244" s="67"/>
      <c r="O2244" s="67"/>
      <c r="P2244" s="85" t="str">
        <f aca="false">IF(AH2244="","",K2244+N(L2244)+N(M2244)+N(N2244)+N(O2244))</f>
        <v/>
      </c>
      <c r="Q2244" s="67"/>
      <c r="R2244" s="67"/>
      <c r="S2244" s="67"/>
      <c r="T2244" s="67"/>
      <c r="U2244" s="67"/>
      <c r="V2244" s="67"/>
      <c r="W2244" s="85" t="str">
        <f aca="false">IF(AH2244="","",N(Q2244)+N(R2244)+N(S2244)+N(T2244)+N(U2244)+N(V2244))</f>
        <v/>
      </c>
      <c r="X2244" s="85" t="str">
        <f aca="false">IF(AH2244="","",P2244-W2244)</f>
        <v/>
      </c>
      <c r="Y2244" s="67"/>
      <c r="Z2244" s="70" t="str">
        <f aca="false">IF(OR(AH2244="",Y2244=""),"",IF(ABS(X2244-Y2244)&lt;=1,"✓ Cuadra","⚠ Diferencia $"&amp;FIXED(X2244-Y2244,0)))</f>
        <v/>
      </c>
      <c r="AA2244" s="72" t="str">
        <f aca="false">IF(AH2244="","",IFERROR(INDEX(C_TIPO,MATCH(C2244&amp;"-P"&amp;MAX(1,COUNTIFS(C_ID,C2244,C_DEFINE,"Sí",C_INICIO,"&lt;="&amp;EOMONTH(B2244,0))),C_CLAVE,0))&amp;"","Sin dato"))</f>
        <v/>
      </c>
      <c r="AB2244" s="71" t="str">
        <f aca="false">IF(AH2244="","",ROUND(MIN(K2244,TOPE_AFP_UF*AJ2244)*AK2244,0))</f>
        <v/>
      </c>
      <c r="AC2244" s="71" t="str">
        <f aca="false">IF(AH2244="","",ROUND(MIN(K2244,TOPE_AFC_UF*AJ2244)*IF(AA2244="Indefinido",AFC_EMP_INDEF,AFC_EMP_PF),0))</f>
        <v/>
      </c>
      <c r="AD2244" s="71" t="str">
        <f aca="false">IF(AH2244="","",ROUND(MIN(K2244,TOPE_AFP_UF*AJ2244)*(MUTUAL_BASICA+MUTUAL_ADIC+SANNA),0))</f>
        <v/>
      </c>
      <c r="AE2244" s="71" t="str">
        <f aca="false">IF(AH2244="","",P2244-N(N2244)+AB2244+AC2244+AD2244)</f>
        <v/>
      </c>
      <c r="AF2244" s="65"/>
      <c r="AG2244" s="64"/>
      <c r="AH2244" s="72" t="str">
        <f aca="false">IF(OR(B2244="",C2244=""),"",C2244&amp;"|"&amp;(YEAR(B2244)*100+MONTH(B2244)))</f>
        <v/>
      </c>
      <c r="AI2244" s="70" t="str">
        <f aca="false">IF(AH2244="","",IF(COUNTIF(L_CLAVE,AH2244)&gt;1,"⚠ Duplicado","OK"))</f>
        <v/>
      </c>
      <c r="AJ2244" s="86" t="str">
        <f aca="false">IF(AH2244="","",IF(SUMPRODUCT(MAX((IND_PER&lt;=B2244)*(IND_UF&lt;&gt;"")*IND_PER))=0,UF_HOY,INDEX(IND_UF,MATCH(SUMPRODUCT(MAX((IND_PER&lt;=B2244)*(IND_UF&lt;&gt;"")*IND_PER)),IND_PER,0))))</f>
        <v/>
      </c>
      <c r="AK2244" s="87" t="str">
        <f aca="false">IF(AH2244="","",IF(COUNTIF(TASA_DESDE,"&lt;="&amp;B2244)=0,INDEX(TASA_EMP,1),INDEX(TASA_EMP,COUNTIF(TASA_DESDE,"&lt;="&amp;B2244))))</f>
        <v/>
      </c>
    </row>
    <row r="2245" customFormat="false" ht="15" hidden="false" customHeight="false" outlineLevel="0" collapsed="false">
      <c r="B2245" s="78"/>
      <c r="C2245" s="64"/>
      <c r="D2245" s="72" t="str">
        <f aca="false">IF(C2245="","",IFERROR(INDEX(T_NOMBRE,MATCH(C2245,T_ID,0)),"⚠ ID no existe"))</f>
        <v/>
      </c>
      <c r="E2245" s="69"/>
      <c r="F2245" s="67"/>
      <c r="G2245" s="67"/>
      <c r="H2245" s="67"/>
      <c r="I2245" s="67"/>
      <c r="J2245" s="67"/>
      <c r="K2245" s="85" t="str">
        <f aca="false">IF(AH2245="","",N(F2245)+N(G2245)+N(H2245)-N(I2245)+N(J2245))</f>
        <v/>
      </c>
      <c r="L2245" s="67"/>
      <c r="M2245" s="67"/>
      <c r="N2245" s="67"/>
      <c r="O2245" s="67"/>
      <c r="P2245" s="85" t="str">
        <f aca="false">IF(AH2245="","",K2245+N(L2245)+N(M2245)+N(N2245)+N(O2245))</f>
        <v/>
      </c>
      <c r="Q2245" s="67"/>
      <c r="R2245" s="67"/>
      <c r="S2245" s="67"/>
      <c r="T2245" s="67"/>
      <c r="U2245" s="67"/>
      <c r="V2245" s="67"/>
      <c r="W2245" s="85" t="str">
        <f aca="false">IF(AH2245="","",N(Q2245)+N(R2245)+N(S2245)+N(T2245)+N(U2245)+N(V2245))</f>
        <v/>
      </c>
      <c r="X2245" s="85" t="str">
        <f aca="false">IF(AH2245="","",P2245-W2245)</f>
        <v/>
      </c>
      <c r="Y2245" s="67"/>
      <c r="Z2245" s="70" t="str">
        <f aca="false">IF(OR(AH2245="",Y2245=""),"",IF(ABS(X2245-Y2245)&lt;=1,"✓ Cuadra","⚠ Diferencia $"&amp;FIXED(X2245-Y2245,0)))</f>
        <v/>
      </c>
      <c r="AA2245" s="72" t="str">
        <f aca="false">IF(AH2245="","",IFERROR(INDEX(C_TIPO,MATCH(C2245&amp;"-P"&amp;MAX(1,COUNTIFS(C_ID,C2245,C_DEFINE,"Sí",C_INICIO,"&lt;="&amp;EOMONTH(B2245,0))),C_CLAVE,0))&amp;"","Sin dato"))</f>
        <v/>
      </c>
      <c r="AB2245" s="71" t="str">
        <f aca="false">IF(AH2245="","",ROUND(MIN(K2245,TOPE_AFP_UF*AJ2245)*AK2245,0))</f>
        <v/>
      </c>
      <c r="AC2245" s="71" t="str">
        <f aca="false">IF(AH2245="","",ROUND(MIN(K2245,TOPE_AFC_UF*AJ2245)*IF(AA2245="Indefinido",AFC_EMP_INDEF,AFC_EMP_PF),0))</f>
        <v/>
      </c>
      <c r="AD2245" s="71" t="str">
        <f aca="false">IF(AH2245="","",ROUND(MIN(K2245,TOPE_AFP_UF*AJ2245)*(MUTUAL_BASICA+MUTUAL_ADIC+SANNA),0))</f>
        <v/>
      </c>
      <c r="AE2245" s="71" t="str">
        <f aca="false">IF(AH2245="","",P2245-N(N2245)+AB2245+AC2245+AD2245)</f>
        <v/>
      </c>
      <c r="AF2245" s="65"/>
      <c r="AG2245" s="64"/>
      <c r="AH2245" s="72" t="str">
        <f aca="false">IF(OR(B2245="",C2245=""),"",C2245&amp;"|"&amp;(YEAR(B2245)*100+MONTH(B2245)))</f>
        <v/>
      </c>
      <c r="AI2245" s="70" t="str">
        <f aca="false">IF(AH2245="","",IF(COUNTIF(L_CLAVE,AH2245)&gt;1,"⚠ Duplicado","OK"))</f>
        <v/>
      </c>
      <c r="AJ2245" s="86" t="str">
        <f aca="false">IF(AH2245="","",IF(SUMPRODUCT(MAX((IND_PER&lt;=B2245)*(IND_UF&lt;&gt;"")*IND_PER))=0,UF_HOY,INDEX(IND_UF,MATCH(SUMPRODUCT(MAX((IND_PER&lt;=B2245)*(IND_UF&lt;&gt;"")*IND_PER)),IND_PER,0))))</f>
        <v/>
      </c>
      <c r="AK2245" s="87" t="str">
        <f aca="false">IF(AH2245="","",IF(COUNTIF(TASA_DESDE,"&lt;="&amp;B2245)=0,INDEX(TASA_EMP,1),INDEX(TASA_EMP,COUNTIF(TASA_DESDE,"&lt;="&amp;B2245))))</f>
        <v/>
      </c>
    </row>
    <row r="2246" customFormat="false" ht="15" hidden="false" customHeight="false" outlineLevel="0" collapsed="false">
      <c r="B2246" s="78"/>
      <c r="C2246" s="64"/>
      <c r="D2246" s="72" t="str">
        <f aca="false">IF(C2246="","",IFERROR(INDEX(T_NOMBRE,MATCH(C2246,T_ID,0)),"⚠ ID no existe"))</f>
        <v/>
      </c>
      <c r="E2246" s="69"/>
      <c r="F2246" s="67"/>
      <c r="G2246" s="67"/>
      <c r="H2246" s="67"/>
      <c r="I2246" s="67"/>
      <c r="J2246" s="67"/>
      <c r="K2246" s="85" t="str">
        <f aca="false">IF(AH2246="","",N(F2246)+N(G2246)+N(H2246)-N(I2246)+N(J2246))</f>
        <v/>
      </c>
      <c r="L2246" s="67"/>
      <c r="M2246" s="67"/>
      <c r="N2246" s="67"/>
      <c r="O2246" s="67"/>
      <c r="P2246" s="85" t="str">
        <f aca="false">IF(AH2246="","",K2246+N(L2246)+N(M2246)+N(N2246)+N(O2246))</f>
        <v/>
      </c>
      <c r="Q2246" s="67"/>
      <c r="R2246" s="67"/>
      <c r="S2246" s="67"/>
      <c r="T2246" s="67"/>
      <c r="U2246" s="67"/>
      <c r="V2246" s="67"/>
      <c r="W2246" s="85" t="str">
        <f aca="false">IF(AH2246="","",N(Q2246)+N(R2246)+N(S2246)+N(T2246)+N(U2246)+N(V2246))</f>
        <v/>
      </c>
      <c r="X2246" s="85" t="str">
        <f aca="false">IF(AH2246="","",P2246-W2246)</f>
        <v/>
      </c>
      <c r="Y2246" s="67"/>
      <c r="Z2246" s="70" t="str">
        <f aca="false">IF(OR(AH2246="",Y2246=""),"",IF(ABS(X2246-Y2246)&lt;=1,"✓ Cuadra","⚠ Diferencia $"&amp;FIXED(X2246-Y2246,0)))</f>
        <v/>
      </c>
      <c r="AA2246" s="72" t="str">
        <f aca="false">IF(AH2246="","",IFERROR(INDEX(C_TIPO,MATCH(C2246&amp;"-P"&amp;MAX(1,COUNTIFS(C_ID,C2246,C_DEFINE,"Sí",C_INICIO,"&lt;="&amp;EOMONTH(B2246,0))),C_CLAVE,0))&amp;"","Sin dato"))</f>
        <v/>
      </c>
      <c r="AB2246" s="71" t="str">
        <f aca="false">IF(AH2246="","",ROUND(MIN(K2246,TOPE_AFP_UF*AJ2246)*AK2246,0))</f>
        <v/>
      </c>
      <c r="AC2246" s="71" t="str">
        <f aca="false">IF(AH2246="","",ROUND(MIN(K2246,TOPE_AFC_UF*AJ2246)*IF(AA2246="Indefinido",AFC_EMP_INDEF,AFC_EMP_PF),0))</f>
        <v/>
      </c>
      <c r="AD2246" s="71" t="str">
        <f aca="false">IF(AH2246="","",ROUND(MIN(K2246,TOPE_AFP_UF*AJ2246)*(MUTUAL_BASICA+MUTUAL_ADIC+SANNA),0))</f>
        <v/>
      </c>
      <c r="AE2246" s="71" t="str">
        <f aca="false">IF(AH2246="","",P2246-N(N2246)+AB2246+AC2246+AD2246)</f>
        <v/>
      </c>
      <c r="AF2246" s="65"/>
      <c r="AG2246" s="64"/>
      <c r="AH2246" s="72" t="str">
        <f aca="false">IF(OR(B2246="",C2246=""),"",C2246&amp;"|"&amp;(YEAR(B2246)*100+MONTH(B2246)))</f>
        <v/>
      </c>
      <c r="AI2246" s="70" t="str">
        <f aca="false">IF(AH2246="","",IF(COUNTIF(L_CLAVE,AH2246)&gt;1,"⚠ Duplicado","OK"))</f>
        <v/>
      </c>
      <c r="AJ2246" s="86" t="str">
        <f aca="false">IF(AH2246="","",IF(SUMPRODUCT(MAX((IND_PER&lt;=B2246)*(IND_UF&lt;&gt;"")*IND_PER))=0,UF_HOY,INDEX(IND_UF,MATCH(SUMPRODUCT(MAX((IND_PER&lt;=B2246)*(IND_UF&lt;&gt;"")*IND_PER)),IND_PER,0))))</f>
        <v/>
      </c>
      <c r="AK2246" s="87" t="str">
        <f aca="false">IF(AH2246="","",IF(COUNTIF(TASA_DESDE,"&lt;="&amp;B2246)=0,INDEX(TASA_EMP,1),INDEX(TASA_EMP,COUNTIF(TASA_DESDE,"&lt;="&amp;B2246))))</f>
        <v/>
      </c>
    </row>
    <row r="2247" customFormat="false" ht="15" hidden="false" customHeight="false" outlineLevel="0" collapsed="false">
      <c r="B2247" s="78"/>
      <c r="C2247" s="64"/>
      <c r="D2247" s="72" t="str">
        <f aca="false">IF(C2247="","",IFERROR(INDEX(T_NOMBRE,MATCH(C2247,T_ID,0)),"⚠ ID no existe"))</f>
        <v/>
      </c>
      <c r="E2247" s="69"/>
      <c r="F2247" s="67"/>
      <c r="G2247" s="67"/>
      <c r="H2247" s="67"/>
      <c r="I2247" s="67"/>
      <c r="J2247" s="67"/>
      <c r="K2247" s="85" t="str">
        <f aca="false">IF(AH2247="","",N(F2247)+N(G2247)+N(H2247)-N(I2247)+N(J2247))</f>
        <v/>
      </c>
      <c r="L2247" s="67"/>
      <c r="M2247" s="67"/>
      <c r="N2247" s="67"/>
      <c r="O2247" s="67"/>
      <c r="P2247" s="85" t="str">
        <f aca="false">IF(AH2247="","",K2247+N(L2247)+N(M2247)+N(N2247)+N(O2247))</f>
        <v/>
      </c>
      <c r="Q2247" s="67"/>
      <c r="R2247" s="67"/>
      <c r="S2247" s="67"/>
      <c r="T2247" s="67"/>
      <c r="U2247" s="67"/>
      <c r="V2247" s="67"/>
      <c r="W2247" s="85" t="str">
        <f aca="false">IF(AH2247="","",N(Q2247)+N(R2247)+N(S2247)+N(T2247)+N(U2247)+N(V2247))</f>
        <v/>
      </c>
      <c r="X2247" s="85" t="str">
        <f aca="false">IF(AH2247="","",P2247-W2247)</f>
        <v/>
      </c>
      <c r="Y2247" s="67"/>
      <c r="Z2247" s="70" t="str">
        <f aca="false">IF(OR(AH2247="",Y2247=""),"",IF(ABS(X2247-Y2247)&lt;=1,"✓ Cuadra","⚠ Diferencia $"&amp;FIXED(X2247-Y2247,0)))</f>
        <v/>
      </c>
      <c r="AA2247" s="72" t="str">
        <f aca="false">IF(AH2247="","",IFERROR(INDEX(C_TIPO,MATCH(C2247&amp;"-P"&amp;MAX(1,COUNTIFS(C_ID,C2247,C_DEFINE,"Sí",C_INICIO,"&lt;="&amp;EOMONTH(B2247,0))),C_CLAVE,0))&amp;"","Sin dato"))</f>
        <v/>
      </c>
      <c r="AB2247" s="71" t="str">
        <f aca="false">IF(AH2247="","",ROUND(MIN(K2247,TOPE_AFP_UF*AJ2247)*AK2247,0))</f>
        <v/>
      </c>
      <c r="AC2247" s="71" t="str">
        <f aca="false">IF(AH2247="","",ROUND(MIN(K2247,TOPE_AFC_UF*AJ2247)*IF(AA2247="Indefinido",AFC_EMP_INDEF,AFC_EMP_PF),0))</f>
        <v/>
      </c>
      <c r="AD2247" s="71" t="str">
        <f aca="false">IF(AH2247="","",ROUND(MIN(K2247,TOPE_AFP_UF*AJ2247)*(MUTUAL_BASICA+MUTUAL_ADIC+SANNA),0))</f>
        <v/>
      </c>
      <c r="AE2247" s="71" t="str">
        <f aca="false">IF(AH2247="","",P2247-N(N2247)+AB2247+AC2247+AD2247)</f>
        <v/>
      </c>
      <c r="AF2247" s="65"/>
      <c r="AG2247" s="64"/>
      <c r="AH2247" s="72" t="str">
        <f aca="false">IF(OR(B2247="",C2247=""),"",C2247&amp;"|"&amp;(YEAR(B2247)*100+MONTH(B2247)))</f>
        <v/>
      </c>
      <c r="AI2247" s="70" t="str">
        <f aca="false">IF(AH2247="","",IF(COUNTIF(L_CLAVE,AH2247)&gt;1,"⚠ Duplicado","OK"))</f>
        <v/>
      </c>
      <c r="AJ2247" s="86" t="str">
        <f aca="false">IF(AH2247="","",IF(SUMPRODUCT(MAX((IND_PER&lt;=B2247)*(IND_UF&lt;&gt;"")*IND_PER))=0,UF_HOY,INDEX(IND_UF,MATCH(SUMPRODUCT(MAX((IND_PER&lt;=B2247)*(IND_UF&lt;&gt;"")*IND_PER)),IND_PER,0))))</f>
        <v/>
      </c>
      <c r="AK2247" s="87" t="str">
        <f aca="false">IF(AH2247="","",IF(COUNTIF(TASA_DESDE,"&lt;="&amp;B2247)=0,INDEX(TASA_EMP,1),INDEX(TASA_EMP,COUNTIF(TASA_DESDE,"&lt;="&amp;B2247))))</f>
        <v/>
      </c>
    </row>
    <row r="2248" customFormat="false" ht="15" hidden="false" customHeight="false" outlineLevel="0" collapsed="false">
      <c r="B2248" s="78"/>
      <c r="C2248" s="64"/>
      <c r="D2248" s="72" t="str">
        <f aca="false">IF(C2248="","",IFERROR(INDEX(T_NOMBRE,MATCH(C2248,T_ID,0)),"⚠ ID no existe"))</f>
        <v/>
      </c>
      <c r="E2248" s="69"/>
      <c r="F2248" s="67"/>
      <c r="G2248" s="67"/>
      <c r="H2248" s="67"/>
      <c r="I2248" s="67"/>
      <c r="J2248" s="67"/>
      <c r="K2248" s="85" t="str">
        <f aca="false">IF(AH2248="","",N(F2248)+N(G2248)+N(H2248)-N(I2248)+N(J2248))</f>
        <v/>
      </c>
      <c r="L2248" s="67"/>
      <c r="M2248" s="67"/>
      <c r="N2248" s="67"/>
      <c r="O2248" s="67"/>
      <c r="P2248" s="85" t="str">
        <f aca="false">IF(AH2248="","",K2248+N(L2248)+N(M2248)+N(N2248)+N(O2248))</f>
        <v/>
      </c>
      <c r="Q2248" s="67"/>
      <c r="R2248" s="67"/>
      <c r="S2248" s="67"/>
      <c r="T2248" s="67"/>
      <c r="U2248" s="67"/>
      <c r="V2248" s="67"/>
      <c r="W2248" s="85" t="str">
        <f aca="false">IF(AH2248="","",N(Q2248)+N(R2248)+N(S2248)+N(T2248)+N(U2248)+N(V2248))</f>
        <v/>
      </c>
      <c r="X2248" s="85" t="str">
        <f aca="false">IF(AH2248="","",P2248-W2248)</f>
        <v/>
      </c>
      <c r="Y2248" s="67"/>
      <c r="Z2248" s="70" t="str">
        <f aca="false">IF(OR(AH2248="",Y2248=""),"",IF(ABS(X2248-Y2248)&lt;=1,"✓ Cuadra","⚠ Diferencia $"&amp;FIXED(X2248-Y2248,0)))</f>
        <v/>
      </c>
      <c r="AA2248" s="72" t="str">
        <f aca="false">IF(AH2248="","",IFERROR(INDEX(C_TIPO,MATCH(C2248&amp;"-P"&amp;MAX(1,COUNTIFS(C_ID,C2248,C_DEFINE,"Sí",C_INICIO,"&lt;="&amp;EOMONTH(B2248,0))),C_CLAVE,0))&amp;"","Sin dato"))</f>
        <v/>
      </c>
      <c r="AB2248" s="71" t="str">
        <f aca="false">IF(AH2248="","",ROUND(MIN(K2248,TOPE_AFP_UF*AJ2248)*AK2248,0))</f>
        <v/>
      </c>
      <c r="AC2248" s="71" t="str">
        <f aca="false">IF(AH2248="","",ROUND(MIN(K2248,TOPE_AFC_UF*AJ2248)*IF(AA2248="Indefinido",AFC_EMP_INDEF,AFC_EMP_PF),0))</f>
        <v/>
      </c>
      <c r="AD2248" s="71" t="str">
        <f aca="false">IF(AH2248="","",ROUND(MIN(K2248,TOPE_AFP_UF*AJ2248)*(MUTUAL_BASICA+MUTUAL_ADIC+SANNA),0))</f>
        <v/>
      </c>
      <c r="AE2248" s="71" t="str">
        <f aca="false">IF(AH2248="","",P2248-N(N2248)+AB2248+AC2248+AD2248)</f>
        <v/>
      </c>
      <c r="AF2248" s="65"/>
      <c r="AG2248" s="64"/>
      <c r="AH2248" s="72" t="str">
        <f aca="false">IF(OR(B2248="",C2248=""),"",C2248&amp;"|"&amp;(YEAR(B2248)*100+MONTH(B2248)))</f>
        <v/>
      </c>
      <c r="AI2248" s="70" t="str">
        <f aca="false">IF(AH2248="","",IF(COUNTIF(L_CLAVE,AH2248)&gt;1,"⚠ Duplicado","OK"))</f>
        <v/>
      </c>
      <c r="AJ2248" s="86" t="str">
        <f aca="false">IF(AH2248="","",IF(SUMPRODUCT(MAX((IND_PER&lt;=B2248)*(IND_UF&lt;&gt;"")*IND_PER))=0,UF_HOY,INDEX(IND_UF,MATCH(SUMPRODUCT(MAX((IND_PER&lt;=B2248)*(IND_UF&lt;&gt;"")*IND_PER)),IND_PER,0))))</f>
        <v/>
      </c>
      <c r="AK2248" s="87" t="str">
        <f aca="false">IF(AH2248="","",IF(COUNTIF(TASA_DESDE,"&lt;="&amp;B2248)=0,INDEX(TASA_EMP,1),INDEX(TASA_EMP,COUNTIF(TASA_DESDE,"&lt;="&amp;B2248))))</f>
        <v/>
      </c>
    </row>
    <row r="2249" customFormat="false" ht="15" hidden="false" customHeight="false" outlineLevel="0" collapsed="false">
      <c r="B2249" s="78"/>
      <c r="C2249" s="64"/>
      <c r="D2249" s="72" t="str">
        <f aca="false">IF(C2249="","",IFERROR(INDEX(T_NOMBRE,MATCH(C2249,T_ID,0)),"⚠ ID no existe"))</f>
        <v/>
      </c>
      <c r="E2249" s="69"/>
      <c r="F2249" s="67"/>
      <c r="G2249" s="67"/>
      <c r="H2249" s="67"/>
      <c r="I2249" s="67"/>
      <c r="J2249" s="67"/>
      <c r="K2249" s="85" t="str">
        <f aca="false">IF(AH2249="","",N(F2249)+N(G2249)+N(H2249)-N(I2249)+N(J2249))</f>
        <v/>
      </c>
      <c r="L2249" s="67"/>
      <c r="M2249" s="67"/>
      <c r="N2249" s="67"/>
      <c r="O2249" s="67"/>
      <c r="P2249" s="85" t="str">
        <f aca="false">IF(AH2249="","",K2249+N(L2249)+N(M2249)+N(N2249)+N(O2249))</f>
        <v/>
      </c>
      <c r="Q2249" s="67"/>
      <c r="R2249" s="67"/>
      <c r="S2249" s="67"/>
      <c r="T2249" s="67"/>
      <c r="U2249" s="67"/>
      <c r="V2249" s="67"/>
      <c r="W2249" s="85" t="str">
        <f aca="false">IF(AH2249="","",N(Q2249)+N(R2249)+N(S2249)+N(T2249)+N(U2249)+N(V2249))</f>
        <v/>
      </c>
      <c r="X2249" s="85" t="str">
        <f aca="false">IF(AH2249="","",P2249-W2249)</f>
        <v/>
      </c>
      <c r="Y2249" s="67"/>
      <c r="Z2249" s="70" t="str">
        <f aca="false">IF(OR(AH2249="",Y2249=""),"",IF(ABS(X2249-Y2249)&lt;=1,"✓ Cuadra","⚠ Diferencia $"&amp;FIXED(X2249-Y2249,0)))</f>
        <v/>
      </c>
      <c r="AA2249" s="72" t="str">
        <f aca="false">IF(AH2249="","",IFERROR(INDEX(C_TIPO,MATCH(C2249&amp;"-P"&amp;MAX(1,COUNTIFS(C_ID,C2249,C_DEFINE,"Sí",C_INICIO,"&lt;="&amp;EOMONTH(B2249,0))),C_CLAVE,0))&amp;"","Sin dato"))</f>
        <v/>
      </c>
      <c r="AB2249" s="71" t="str">
        <f aca="false">IF(AH2249="","",ROUND(MIN(K2249,TOPE_AFP_UF*AJ2249)*AK2249,0))</f>
        <v/>
      </c>
      <c r="AC2249" s="71" t="str">
        <f aca="false">IF(AH2249="","",ROUND(MIN(K2249,TOPE_AFC_UF*AJ2249)*IF(AA2249="Indefinido",AFC_EMP_INDEF,AFC_EMP_PF),0))</f>
        <v/>
      </c>
      <c r="AD2249" s="71" t="str">
        <f aca="false">IF(AH2249="","",ROUND(MIN(K2249,TOPE_AFP_UF*AJ2249)*(MUTUAL_BASICA+MUTUAL_ADIC+SANNA),0))</f>
        <v/>
      </c>
      <c r="AE2249" s="71" t="str">
        <f aca="false">IF(AH2249="","",P2249-N(N2249)+AB2249+AC2249+AD2249)</f>
        <v/>
      </c>
      <c r="AF2249" s="65"/>
      <c r="AG2249" s="64"/>
      <c r="AH2249" s="72" t="str">
        <f aca="false">IF(OR(B2249="",C2249=""),"",C2249&amp;"|"&amp;(YEAR(B2249)*100+MONTH(B2249)))</f>
        <v/>
      </c>
      <c r="AI2249" s="70" t="str">
        <f aca="false">IF(AH2249="","",IF(COUNTIF(L_CLAVE,AH2249)&gt;1,"⚠ Duplicado","OK"))</f>
        <v/>
      </c>
      <c r="AJ2249" s="86" t="str">
        <f aca="false">IF(AH2249="","",IF(SUMPRODUCT(MAX((IND_PER&lt;=B2249)*(IND_UF&lt;&gt;"")*IND_PER))=0,UF_HOY,INDEX(IND_UF,MATCH(SUMPRODUCT(MAX((IND_PER&lt;=B2249)*(IND_UF&lt;&gt;"")*IND_PER)),IND_PER,0))))</f>
        <v/>
      </c>
      <c r="AK2249" s="87" t="str">
        <f aca="false">IF(AH2249="","",IF(COUNTIF(TASA_DESDE,"&lt;="&amp;B2249)=0,INDEX(TASA_EMP,1),INDEX(TASA_EMP,COUNTIF(TASA_DESDE,"&lt;="&amp;B2249))))</f>
        <v/>
      </c>
    </row>
    <row r="2250" customFormat="false" ht="15" hidden="false" customHeight="false" outlineLevel="0" collapsed="false">
      <c r="B2250" s="78"/>
      <c r="C2250" s="64"/>
      <c r="D2250" s="72" t="str">
        <f aca="false">IF(C2250="","",IFERROR(INDEX(T_NOMBRE,MATCH(C2250,T_ID,0)),"⚠ ID no existe"))</f>
        <v/>
      </c>
      <c r="E2250" s="69"/>
      <c r="F2250" s="67"/>
      <c r="G2250" s="67"/>
      <c r="H2250" s="67"/>
      <c r="I2250" s="67"/>
      <c r="J2250" s="67"/>
      <c r="K2250" s="85" t="str">
        <f aca="false">IF(AH2250="","",N(F2250)+N(G2250)+N(H2250)-N(I2250)+N(J2250))</f>
        <v/>
      </c>
      <c r="L2250" s="67"/>
      <c r="M2250" s="67"/>
      <c r="N2250" s="67"/>
      <c r="O2250" s="67"/>
      <c r="P2250" s="85" t="str">
        <f aca="false">IF(AH2250="","",K2250+N(L2250)+N(M2250)+N(N2250)+N(O2250))</f>
        <v/>
      </c>
      <c r="Q2250" s="67"/>
      <c r="R2250" s="67"/>
      <c r="S2250" s="67"/>
      <c r="T2250" s="67"/>
      <c r="U2250" s="67"/>
      <c r="V2250" s="67"/>
      <c r="W2250" s="85" t="str">
        <f aca="false">IF(AH2250="","",N(Q2250)+N(R2250)+N(S2250)+N(T2250)+N(U2250)+N(V2250))</f>
        <v/>
      </c>
      <c r="X2250" s="85" t="str">
        <f aca="false">IF(AH2250="","",P2250-W2250)</f>
        <v/>
      </c>
      <c r="Y2250" s="67"/>
      <c r="Z2250" s="70" t="str">
        <f aca="false">IF(OR(AH2250="",Y2250=""),"",IF(ABS(X2250-Y2250)&lt;=1,"✓ Cuadra","⚠ Diferencia $"&amp;FIXED(X2250-Y2250,0)))</f>
        <v/>
      </c>
      <c r="AA2250" s="72" t="str">
        <f aca="false">IF(AH2250="","",IFERROR(INDEX(C_TIPO,MATCH(C2250&amp;"-P"&amp;MAX(1,COUNTIFS(C_ID,C2250,C_DEFINE,"Sí",C_INICIO,"&lt;="&amp;EOMONTH(B2250,0))),C_CLAVE,0))&amp;"","Sin dato"))</f>
        <v/>
      </c>
      <c r="AB2250" s="71" t="str">
        <f aca="false">IF(AH2250="","",ROUND(MIN(K2250,TOPE_AFP_UF*AJ2250)*AK2250,0))</f>
        <v/>
      </c>
      <c r="AC2250" s="71" t="str">
        <f aca="false">IF(AH2250="","",ROUND(MIN(K2250,TOPE_AFC_UF*AJ2250)*IF(AA2250="Indefinido",AFC_EMP_INDEF,AFC_EMP_PF),0))</f>
        <v/>
      </c>
      <c r="AD2250" s="71" t="str">
        <f aca="false">IF(AH2250="","",ROUND(MIN(K2250,TOPE_AFP_UF*AJ2250)*(MUTUAL_BASICA+MUTUAL_ADIC+SANNA),0))</f>
        <v/>
      </c>
      <c r="AE2250" s="71" t="str">
        <f aca="false">IF(AH2250="","",P2250-N(N2250)+AB2250+AC2250+AD2250)</f>
        <v/>
      </c>
      <c r="AF2250" s="65"/>
      <c r="AG2250" s="64"/>
      <c r="AH2250" s="72" t="str">
        <f aca="false">IF(OR(B2250="",C2250=""),"",C2250&amp;"|"&amp;(YEAR(B2250)*100+MONTH(B2250)))</f>
        <v/>
      </c>
      <c r="AI2250" s="70" t="str">
        <f aca="false">IF(AH2250="","",IF(COUNTIF(L_CLAVE,AH2250)&gt;1,"⚠ Duplicado","OK"))</f>
        <v/>
      </c>
      <c r="AJ2250" s="86" t="str">
        <f aca="false">IF(AH2250="","",IF(SUMPRODUCT(MAX((IND_PER&lt;=B2250)*(IND_UF&lt;&gt;"")*IND_PER))=0,UF_HOY,INDEX(IND_UF,MATCH(SUMPRODUCT(MAX((IND_PER&lt;=B2250)*(IND_UF&lt;&gt;"")*IND_PER)),IND_PER,0))))</f>
        <v/>
      </c>
      <c r="AK2250" s="87" t="str">
        <f aca="false">IF(AH2250="","",IF(COUNTIF(TASA_DESDE,"&lt;="&amp;B2250)=0,INDEX(TASA_EMP,1),INDEX(TASA_EMP,COUNTIF(TASA_DESDE,"&lt;="&amp;B2250))))</f>
        <v/>
      </c>
    </row>
    <row r="2251" customFormat="false" ht="15" hidden="false" customHeight="false" outlineLevel="0" collapsed="false">
      <c r="B2251" s="78"/>
      <c r="C2251" s="64"/>
      <c r="D2251" s="72" t="str">
        <f aca="false">IF(C2251="","",IFERROR(INDEX(T_NOMBRE,MATCH(C2251,T_ID,0)),"⚠ ID no existe"))</f>
        <v/>
      </c>
      <c r="E2251" s="69"/>
      <c r="F2251" s="67"/>
      <c r="G2251" s="67"/>
      <c r="H2251" s="67"/>
      <c r="I2251" s="67"/>
      <c r="J2251" s="67"/>
      <c r="K2251" s="85" t="str">
        <f aca="false">IF(AH2251="","",N(F2251)+N(G2251)+N(H2251)-N(I2251)+N(J2251))</f>
        <v/>
      </c>
      <c r="L2251" s="67"/>
      <c r="M2251" s="67"/>
      <c r="N2251" s="67"/>
      <c r="O2251" s="67"/>
      <c r="P2251" s="85" t="str">
        <f aca="false">IF(AH2251="","",K2251+N(L2251)+N(M2251)+N(N2251)+N(O2251))</f>
        <v/>
      </c>
      <c r="Q2251" s="67"/>
      <c r="R2251" s="67"/>
      <c r="S2251" s="67"/>
      <c r="T2251" s="67"/>
      <c r="U2251" s="67"/>
      <c r="V2251" s="67"/>
      <c r="W2251" s="85" t="str">
        <f aca="false">IF(AH2251="","",N(Q2251)+N(R2251)+N(S2251)+N(T2251)+N(U2251)+N(V2251))</f>
        <v/>
      </c>
      <c r="X2251" s="85" t="str">
        <f aca="false">IF(AH2251="","",P2251-W2251)</f>
        <v/>
      </c>
      <c r="Y2251" s="67"/>
      <c r="Z2251" s="70" t="str">
        <f aca="false">IF(OR(AH2251="",Y2251=""),"",IF(ABS(X2251-Y2251)&lt;=1,"✓ Cuadra","⚠ Diferencia $"&amp;FIXED(X2251-Y2251,0)))</f>
        <v/>
      </c>
      <c r="AA2251" s="72" t="str">
        <f aca="false">IF(AH2251="","",IFERROR(INDEX(C_TIPO,MATCH(C2251&amp;"-P"&amp;MAX(1,COUNTIFS(C_ID,C2251,C_DEFINE,"Sí",C_INICIO,"&lt;="&amp;EOMONTH(B2251,0))),C_CLAVE,0))&amp;"","Sin dato"))</f>
        <v/>
      </c>
      <c r="AB2251" s="71" t="str">
        <f aca="false">IF(AH2251="","",ROUND(MIN(K2251,TOPE_AFP_UF*AJ2251)*AK2251,0))</f>
        <v/>
      </c>
      <c r="AC2251" s="71" t="str">
        <f aca="false">IF(AH2251="","",ROUND(MIN(K2251,TOPE_AFC_UF*AJ2251)*IF(AA2251="Indefinido",AFC_EMP_INDEF,AFC_EMP_PF),0))</f>
        <v/>
      </c>
      <c r="AD2251" s="71" t="str">
        <f aca="false">IF(AH2251="","",ROUND(MIN(K2251,TOPE_AFP_UF*AJ2251)*(MUTUAL_BASICA+MUTUAL_ADIC+SANNA),0))</f>
        <v/>
      </c>
      <c r="AE2251" s="71" t="str">
        <f aca="false">IF(AH2251="","",P2251-N(N2251)+AB2251+AC2251+AD2251)</f>
        <v/>
      </c>
      <c r="AF2251" s="65"/>
      <c r="AG2251" s="64"/>
      <c r="AH2251" s="72" t="str">
        <f aca="false">IF(OR(B2251="",C2251=""),"",C2251&amp;"|"&amp;(YEAR(B2251)*100+MONTH(B2251)))</f>
        <v/>
      </c>
      <c r="AI2251" s="70" t="str">
        <f aca="false">IF(AH2251="","",IF(COUNTIF(L_CLAVE,AH2251)&gt;1,"⚠ Duplicado","OK"))</f>
        <v/>
      </c>
      <c r="AJ2251" s="86" t="str">
        <f aca="false">IF(AH2251="","",IF(SUMPRODUCT(MAX((IND_PER&lt;=B2251)*(IND_UF&lt;&gt;"")*IND_PER))=0,UF_HOY,INDEX(IND_UF,MATCH(SUMPRODUCT(MAX((IND_PER&lt;=B2251)*(IND_UF&lt;&gt;"")*IND_PER)),IND_PER,0))))</f>
        <v/>
      </c>
      <c r="AK2251" s="87" t="str">
        <f aca="false">IF(AH2251="","",IF(COUNTIF(TASA_DESDE,"&lt;="&amp;B2251)=0,INDEX(TASA_EMP,1),INDEX(TASA_EMP,COUNTIF(TASA_DESDE,"&lt;="&amp;B2251))))</f>
        <v/>
      </c>
    </row>
    <row r="2252" customFormat="false" ht="15" hidden="false" customHeight="false" outlineLevel="0" collapsed="false">
      <c r="B2252" s="78"/>
      <c r="C2252" s="64"/>
      <c r="D2252" s="72" t="str">
        <f aca="false">IF(C2252="","",IFERROR(INDEX(T_NOMBRE,MATCH(C2252,T_ID,0)),"⚠ ID no existe"))</f>
        <v/>
      </c>
      <c r="E2252" s="69"/>
      <c r="F2252" s="67"/>
      <c r="G2252" s="67"/>
      <c r="H2252" s="67"/>
      <c r="I2252" s="67"/>
      <c r="J2252" s="67"/>
      <c r="K2252" s="85" t="str">
        <f aca="false">IF(AH2252="","",N(F2252)+N(G2252)+N(H2252)-N(I2252)+N(J2252))</f>
        <v/>
      </c>
      <c r="L2252" s="67"/>
      <c r="M2252" s="67"/>
      <c r="N2252" s="67"/>
      <c r="O2252" s="67"/>
      <c r="P2252" s="85" t="str">
        <f aca="false">IF(AH2252="","",K2252+N(L2252)+N(M2252)+N(N2252)+N(O2252))</f>
        <v/>
      </c>
      <c r="Q2252" s="67"/>
      <c r="R2252" s="67"/>
      <c r="S2252" s="67"/>
      <c r="T2252" s="67"/>
      <c r="U2252" s="67"/>
      <c r="V2252" s="67"/>
      <c r="W2252" s="85" t="str">
        <f aca="false">IF(AH2252="","",N(Q2252)+N(R2252)+N(S2252)+N(T2252)+N(U2252)+N(V2252))</f>
        <v/>
      </c>
      <c r="X2252" s="85" t="str">
        <f aca="false">IF(AH2252="","",P2252-W2252)</f>
        <v/>
      </c>
      <c r="Y2252" s="67"/>
      <c r="Z2252" s="70" t="str">
        <f aca="false">IF(OR(AH2252="",Y2252=""),"",IF(ABS(X2252-Y2252)&lt;=1,"✓ Cuadra","⚠ Diferencia $"&amp;FIXED(X2252-Y2252,0)))</f>
        <v/>
      </c>
      <c r="AA2252" s="72" t="str">
        <f aca="false">IF(AH2252="","",IFERROR(INDEX(C_TIPO,MATCH(C2252&amp;"-P"&amp;MAX(1,COUNTIFS(C_ID,C2252,C_DEFINE,"Sí",C_INICIO,"&lt;="&amp;EOMONTH(B2252,0))),C_CLAVE,0))&amp;"","Sin dato"))</f>
        <v/>
      </c>
      <c r="AB2252" s="71" t="str">
        <f aca="false">IF(AH2252="","",ROUND(MIN(K2252,TOPE_AFP_UF*AJ2252)*AK2252,0))</f>
        <v/>
      </c>
      <c r="AC2252" s="71" t="str">
        <f aca="false">IF(AH2252="","",ROUND(MIN(K2252,TOPE_AFC_UF*AJ2252)*IF(AA2252="Indefinido",AFC_EMP_INDEF,AFC_EMP_PF),0))</f>
        <v/>
      </c>
      <c r="AD2252" s="71" t="str">
        <f aca="false">IF(AH2252="","",ROUND(MIN(K2252,TOPE_AFP_UF*AJ2252)*(MUTUAL_BASICA+MUTUAL_ADIC+SANNA),0))</f>
        <v/>
      </c>
      <c r="AE2252" s="71" t="str">
        <f aca="false">IF(AH2252="","",P2252-N(N2252)+AB2252+AC2252+AD2252)</f>
        <v/>
      </c>
      <c r="AF2252" s="65"/>
      <c r="AG2252" s="64"/>
      <c r="AH2252" s="72" t="str">
        <f aca="false">IF(OR(B2252="",C2252=""),"",C2252&amp;"|"&amp;(YEAR(B2252)*100+MONTH(B2252)))</f>
        <v/>
      </c>
      <c r="AI2252" s="70" t="str">
        <f aca="false">IF(AH2252="","",IF(COUNTIF(L_CLAVE,AH2252)&gt;1,"⚠ Duplicado","OK"))</f>
        <v/>
      </c>
      <c r="AJ2252" s="86" t="str">
        <f aca="false">IF(AH2252="","",IF(SUMPRODUCT(MAX((IND_PER&lt;=B2252)*(IND_UF&lt;&gt;"")*IND_PER))=0,UF_HOY,INDEX(IND_UF,MATCH(SUMPRODUCT(MAX((IND_PER&lt;=B2252)*(IND_UF&lt;&gt;"")*IND_PER)),IND_PER,0))))</f>
        <v/>
      </c>
      <c r="AK2252" s="87" t="str">
        <f aca="false">IF(AH2252="","",IF(COUNTIF(TASA_DESDE,"&lt;="&amp;B2252)=0,INDEX(TASA_EMP,1),INDEX(TASA_EMP,COUNTIF(TASA_DESDE,"&lt;="&amp;B2252))))</f>
        <v/>
      </c>
    </row>
    <row r="2253" customFormat="false" ht="15" hidden="false" customHeight="false" outlineLevel="0" collapsed="false">
      <c r="B2253" s="78"/>
      <c r="C2253" s="64"/>
      <c r="D2253" s="72" t="str">
        <f aca="false">IF(C2253="","",IFERROR(INDEX(T_NOMBRE,MATCH(C2253,T_ID,0)),"⚠ ID no existe"))</f>
        <v/>
      </c>
      <c r="E2253" s="69"/>
      <c r="F2253" s="67"/>
      <c r="G2253" s="67"/>
      <c r="H2253" s="67"/>
      <c r="I2253" s="67"/>
      <c r="J2253" s="67"/>
      <c r="K2253" s="85" t="str">
        <f aca="false">IF(AH2253="","",N(F2253)+N(G2253)+N(H2253)-N(I2253)+N(J2253))</f>
        <v/>
      </c>
      <c r="L2253" s="67"/>
      <c r="M2253" s="67"/>
      <c r="N2253" s="67"/>
      <c r="O2253" s="67"/>
      <c r="P2253" s="85" t="str">
        <f aca="false">IF(AH2253="","",K2253+N(L2253)+N(M2253)+N(N2253)+N(O2253))</f>
        <v/>
      </c>
      <c r="Q2253" s="67"/>
      <c r="R2253" s="67"/>
      <c r="S2253" s="67"/>
      <c r="T2253" s="67"/>
      <c r="U2253" s="67"/>
      <c r="V2253" s="67"/>
      <c r="W2253" s="85" t="str">
        <f aca="false">IF(AH2253="","",N(Q2253)+N(R2253)+N(S2253)+N(T2253)+N(U2253)+N(V2253))</f>
        <v/>
      </c>
      <c r="X2253" s="85" t="str">
        <f aca="false">IF(AH2253="","",P2253-W2253)</f>
        <v/>
      </c>
      <c r="Y2253" s="67"/>
      <c r="Z2253" s="70" t="str">
        <f aca="false">IF(OR(AH2253="",Y2253=""),"",IF(ABS(X2253-Y2253)&lt;=1,"✓ Cuadra","⚠ Diferencia $"&amp;FIXED(X2253-Y2253,0)))</f>
        <v/>
      </c>
      <c r="AA2253" s="72" t="str">
        <f aca="false">IF(AH2253="","",IFERROR(INDEX(C_TIPO,MATCH(C2253&amp;"-P"&amp;MAX(1,COUNTIFS(C_ID,C2253,C_DEFINE,"Sí",C_INICIO,"&lt;="&amp;EOMONTH(B2253,0))),C_CLAVE,0))&amp;"","Sin dato"))</f>
        <v/>
      </c>
      <c r="AB2253" s="71" t="str">
        <f aca="false">IF(AH2253="","",ROUND(MIN(K2253,TOPE_AFP_UF*AJ2253)*AK2253,0))</f>
        <v/>
      </c>
      <c r="AC2253" s="71" t="str">
        <f aca="false">IF(AH2253="","",ROUND(MIN(K2253,TOPE_AFC_UF*AJ2253)*IF(AA2253="Indefinido",AFC_EMP_INDEF,AFC_EMP_PF),0))</f>
        <v/>
      </c>
      <c r="AD2253" s="71" t="str">
        <f aca="false">IF(AH2253="","",ROUND(MIN(K2253,TOPE_AFP_UF*AJ2253)*(MUTUAL_BASICA+MUTUAL_ADIC+SANNA),0))</f>
        <v/>
      </c>
      <c r="AE2253" s="71" t="str">
        <f aca="false">IF(AH2253="","",P2253-N(N2253)+AB2253+AC2253+AD2253)</f>
        <v/>
      </c>
      <c r="AF2253" s="65"/>
      <c r="AG2253" s="64"/>
      <c r="AH2253" s="72" t="str">
        <f aca="false">IF(OR(B2253="",C2253=""),"",C2253&amp;"|"&amp;(YEAR(B2253)*100+MONTH(B2253)))</f>
        <v/>
      </c>
      <c r="AI2253" s="70" t="str">
        <f aca="false">IF(AH2253="","",IF(COUNTIF(L_CLAVE,AH2253)&gt;1,"⚠ Duplicado","OK"))</f>
        <v/>
      </c>
      <c r="AJ2253" s="86" t="str">
        <f aca="false">IF(AH2253="","",IF(SUMPRODUCT(MAX((IND_PER&lt;=B2253)*(IND_UF&lt;&gt;"")*IND_PER))=0,UF_HOY,INDEX(IND_UF,MATCH(SUMPRODUCT(MAX((IND_PER&lt;=B2253)*(IND_UF&lt;&gt;"")*IND_PER)),IND_PER,0))))</f>
        <v/>
      </c>
      <c r="AK2253" s="87" t="str">
        <f aca="false">IF(AH2253="","",IF(COUNTIF(TASA_DESDE,"&lt;="&amp;B2253)=0,INDEX(TASA_EMP,1),INDEX(TASA_EMP,COUNTIF(TASA_DESDE,"&lt;="&amp;B2253))))</f>
        <v/>
      </c>
    </row>
    <row r="2254" customFormat="false" ht="15" hidden="false" customHeight="false" outlineLevel="0" collapsed="false">
      <c r="B2254" s="78"/>
      <c r="C2254" s="64"/>
      <c r="D2254" s="72" t="str">
        <f aca="false">IF(C2254="","",IFERROR(INDEX(T_NOMBRE,MATCH(C2254,T_ID,0)),"⚠ ID no existe"))</f>
        <v/>
      </c>
      <c r="E2254" s="69"/>
      <c r="F2254" s="67"/>
      <c r="G2254" s="67"/>
      <c r="H2254" s="67"/>
      <c r="I2254" s="67"/>
      <c r="J2254" s="67"/>
      <c r="K2254" s="85" t="str">
        <f aca="false">IF(AH2254="","",N(F2254)+N(G2254)+N(H2254)-N(I2254)+N(J2254))</f>
        <v/>
      </c>
      <c r="L2254" s="67"/>
      <c r="M2254" s="67"/>
      <c r="N2254" s="67"/>
      <c r="O2254" s="67"/>
      <c r="P2254" s="85" t="str">
        <f aca="false">IF(AH2254="","",K2254+N(L2254)+N(M2254)+N(N2254)+N(O2254))</f>
        <v/>
      </c>
      <c r="Q2254" s="67"/>
      <c r="R2254" s="67"/>
      <c r="S2254" s="67"/>
      <c r="T2254" s="67"/>
      <c r="U2254" s="67"/>
      <c r="V2254" s="67"/>
      <c r="W2254" s="85" t="str">
        <f aca="false">IF(AH2254="","",N(Q2254)+N(R2254)+N(S2254)+N(T2254)+N(U2254)+N(V2254))</f>
        <v/>
      </c>
      <c r="X2254" s="85" t="str">
        <f aca="false">IF(AH2254="","",P2254-W2254)</f>
        <v/>
      </c>
      <c r="Y2254" s="67"/>
      <c r="Z2254" s="70" t="str">
        <f aca="false">IF(OR(AH2254="",Y2254=""),"",IF(ABS(X2254-Y2254)&lt;=1,"✓ Cuadra","⚠ Diferencia $"&amp;FIXED(X2254-Y2254,0)))</f>
        <v/>
      </c>
      <c r="AA2254" s="72" t="str">
        <f aca="false">IF(AH2254="","",IFERROR(INDEX(C_TIPO,MATCH(C2254&amp;"-P"&amp;MAX(1,COUNTIFS(C_ID,C2254,C_DEFINE,"Sí",C_INICIO,"&lt;="&amp;EOMONTH(B2254,0))),C_CLAVE,0))&amp;"","Sin dato"))</f>
        <v/>
      </c>
      <c r="AB2254" s="71" t="str">
        <f aca="false">IF(AH2254="","",ROUND(MIN(K2254,TOPE_AFP_UF*AJ2254)*AK2254,0))</f>
        <v/>
      </c>
      <c r="AC2254" s="71" t="str">
        <f aca="false">IF(AH2254="","",ROUND(MIN(K2254,TOPE_AFC_UF*AJ2254)*IF(AA2254="Indefinido",AFC_EMP_INDEF,AFC_EMP_PF),0))</f>
        <v/>
      </c>
      <c r="AD2254" s="71" t="str">
        <f aca="false">IF(AH2254="","",ROUND(MIN(K2254,TOPE_AFP_UF*AJ2254)*(MUTUAL_BASICA+MUTUAL_ADIC+SANNA),0))</f>
        <v/>
      </c>
      <c r="AE2254" s="71" t="str">
        <f aca="false">IF(AH2254="","",P2254-N(N2254)+AB2254+AC2254+AD2254)</f>
        <v/>
      </c>
      <c r="AF2254" s="65"/>
      <c r="AG2254" s="64"/>
      <c r="AH2254" s="72" t="str">
        <f aca="false">IF(OR(B2254="",C2254=""),"",C2254&amp;"|"&amp;(YEAR(B2254)*100+MONTH(B2254)))</f>
        <v/>
      </c>
      <c r="AI2254" s="70" t="str">
        <f aca="false">IF(AH2254="","",IF(COUNTIF(L_CLAVE,AH2254)&gt;1,"⚠ Duplicado","OK"))</f>
        <v/>
      </c>
      <c r="AJ2254" s="86" t="str">
        <f aca="false">IF(AH2254="","",IF(SUMPRODUCT(MAX((IND_PER&lt;=B2254)*(IND_UF&lt;&gt;"")*IND_PER))=0,UF_HOY,INDEX(IND_UF,MATCH(SUMPRODUCT(MAX((IND_PER&lt;=B2254)*(IND_UF&lt;&gt;"")*IND_PER)),IND_PER,0))))</f>
        <v/>
      </c>
      <c r="AK2254" s="87" t="str">
        <f aca="false">IF(AH2254="","",IF(COUNTIF(TASA_DESDE,"&lt;="&amp;B2254)=0,INDEX(TASA_EMP,1),INDEX(TASA_EMP,COUNTIF(TASA_DESDE,"&lt;="&amp;B2254))))</f>
        <v/>
      </c>
    </row>
    <row r="2255" customFormat="false" ht="15" hidden="false" customHeight="false" outlineLevel="0" collapsed="false">
      <c r="B2255" s="78"/>
      <c r="C2255" s="64"/>
      <c r="D2255" s="72" t="str">
        <f aca="false">IF(C2255="","",IFERROR(INDEX(T_NOMBRE,MATCH(C2255,T_ID,0)),"⚠ ID no existe"))</f>
        <v/>
      </c>
      <c r="E2255" s="69"/>
      <c r="F2255" s="67"/>
      <c r="G2255" s="67"/>
      <c r="H2255" s="67"/>
      <c r="I2255" s="67"/>
      <c r="J2255" s="67"/>
      <c r="K2255" s="85" t="str">
        <f aca="false">IF(AH2255="","",N(F2255)+N(G2255)+N(H2255)-N(I2255)+N(J2255))</f>
        <v/>
      </c>
      <c r="L2255" s="67"/>
      <c r="M2255" s="67"/>
      <c r="N2255" s="67"/>
      <c r="O2255" s="67"/>
      <c r="P2255" s="85" t="str">
        <f aca="false">IF(AH2255="","",K2255+N(L2255)+N(M2255)+N(N2255)+N(O2255))</f>
        <v/>
      </c>
      <c r="Q2255" s="67"/>
      <c r="R2255" s="67"/>
      <c r="S2255" s="67"/>
      <c r="T2255" s="67"/>
      <c r="U2255" s="67"/>
      <c r="V2255" s="67"/>
      <c r="W2255" s="85" t="str">
        <f aca="false">IF(AH2255="","",N(Q2255)+N(R2255)+N(S2255)+N(T2255)+N(U2255)+N(V2255))</f>
        <v/>
      </c>
      <c r="X2255" s="85" t="str">
        <f aca="false">IF(AH2255="","",P2255-W2255)</f>
        <v/>
      </c>
      <c r="Y2255" s="67"/>
      <c r="Z2255" s="70" t="str">
        <f aca="false">IF(OR(AH2255="",Y2255=""),"",IF(ABS(X2255-Y2255)&lt;=1,"✓ Cuadra","⚠ Diferencia $"&amp;FIXED(X2255-Y2255,0)))</f>
        <v/>
      </c>
      <c r="AA2255" s="72" t="str">
        <f aca="false">IF(AH2255="","",IFERROR(INDEX(C_TIPO,MATCH(C2255&amp;"-P"&amp;MAX(1,COUNTIFS(C_ID,C2255,C_DEFINE,"Sí",C_INICIO,"&lt;="&amp;EOMONTH(B2255,0))),C_CLAVE,0))&amp;"","Sin dato"))</f>
        <v/>
      </c>
      <c r="AB2255" s="71" t="str">
        <f aca="false">IF(AH2255="","",ROUND(MIN(K2255,TOPE_AFP_UF*AJ2255)*AK2255,0))</f>
        <v/>
      </c>
      <c r="AC2255" s="71" t="str">
        <f aca="false">IF(AH2255="","",ROUND(MIN(K2255,TOPE_AFC_UF*AJ2255)*IF(AA2255="Indefinido",AFC_EMP_INDEF,AFC_EMP_PF),0))</f>
        <v/>
      </c>
      <c r="AD2255" s="71" t="str">
        <f aca="false">IF(AH2255="","",ROUND(MIN(K2255,TOPE_AFP_UF*AJ2255)*(MUTUAL_BASICA+MUTUAL_ADIC+SANNA),0))</f>
        <v/>
      </c>
      <c r="AE2255" s="71" t="str">
        <f aca="false">IF(AH2255="","",P2255-N(N2255)+AB2255+AC2255+AD2255)</f>
        <v/>
      </c>
      <c r="AF2255" s="65"/>
      <c r="AG2255" s="64"/>
      <c r="AH2255" s="72" t="str">
        <f aca="false">IF(OR(B2255="",C2255=""),"",C2255&amp;"|"&amp;(YEAR(B2255)*100+MONTH(B2255)))</f>
        <v/>
      </c>
      <c r="AI2255" s="70" t="str">
        <f aca="false">IF(AH2255="","",IF(COUNTIF(L_CLAVE,AH2255)&gt;1,"⚠ Duplicado","OK"))</f>
        <v/>
      </c>
      <c r="AJ2255" s="86" t="str">
        <f aca="false">IF(AH2255="","",IF(SUMPRODUCT(MAX((IND_PER&lt;=B2255)*(IND_UF&lt;&gt;"")*IND_PER))=0,UF_HOY,INDEX(IND_UF,MATCH(SUMPRODUCT(MAX((IND_PER&lt;=B2255)*(IND_UF&lt;&gt;"")*IND_PER)),IND_PER,0))))</f>
        <v/>
      </c>
      <c r="AK2255" s="87" t="str">
        <f aca="false">IF(AH2255="","",IF(COUNTIF(TASA_DESDE,"&lt;="&amp;B2255)=0,INDEX(TASA_EMP,1),INDEX(TASA_EMP,COUNTIF(TASA_DESDE,"&lt;="&amp;B2255))))</f>
        <v/>
      </c>
    </row>
    <row r="2256" customFormat="false" ht="15" hidden="false" customHeight="false" outlineLevel="0" collapsed="false">
      <c r="B2256" s="78"/>
      <c r="C2256" s="64"/>
      <c r="D2256" s="72" t="str">
        <f aca="false">IF(C2256="","",IFERROR(INDEX(T_NOMBRE,MATCH(C2256,T_ID,0)),"⚠ ID no existe"))</f>
        <v/>
      </c>
      <c r="E2256" s="69"/>
      <c r="F2256" s="67"/>
      <c r="G2256" s="67"/>
      <c r="H2256" s="67"/>
      <c r="I2256" s="67"/>
      <c r="J2256" s="67"/>
      <c r="K2256" s="85" t="str">
        <f aca="false">IF(AH2256="","",N(F2256)+N(G2256)+N(H2256)-N(I2256)+N(J2256))</f>
        <v/>
      </c>
      <c r="L2256" s="67"/>
      <c r="M2256" s="67"/>
      <c r="N2256" s="67"/>
      <c r="O2256" s="67"/>
      <c r="P2256" s="85" t="str">
        <f aca="false">IF(AH2256="","",K2256+N(L2256)+N(M2256)+N(N2256)+N(O2256))</f>
        <v/>
      </c>
      <c r="Q2256" s="67"/>
      <c r="R2256" s="67"/>
      <c r="S2256" s="67"/>
      <c r="T2256" s="67"/>
      <c r="U2256" s="67"/>
      <c r="V2256" s="67"/>
      <c r="W2256" s="85" t="str">
        <f aca="false">IF(AH2256="","",N(Q2256)+N(R2256)+N(S2256)+N(T2256)+N(U2256)+N(V2256))</f>
        <v/>
      </c>
      <c r="X2256" s="85" t="str">
        <f aca="false">IF(AH2256="","",P2256-W2256)</f>
        <v/>
      </c>
      <c r="Y2256" s="67"/>
      <c r="Z2256" s="70" t="str">
        <f aca="false">IF(OR(AH2256="",Y2256=""),"",IF(ABS(X2256-Y2256)&lt;=1,"✓ Cuadra","⚠ Diferencia $"&amp;FIXED(X2256-Y2256,0)))</f>
        <v/>
      </c>
      <c r="AA2256" s="72" t="str">
        <f aca="false">IF(AH2256="","",IFERROR(INDEX(C_TIPO,MATCH(C2256&amp;"-P"&amp;MAX(1,COUNTIFS(C_ID,C2256,C_DEFINE,"Sí",C_INICIO,"&lt;="&amp;EOMONTH(B2256,0))),C_CLAVE,0))&amp;"","Sin dato"))</f>
        <v/>
      </c>
      <c r="AB2256" s="71" t="str">
        <f aca="false">IF(AH2256="","",ROUND(MIN(K2256,TOPE_AFP_UF*AJ2256)*AK2256,0))</f>
        <v/>
      </c>
      <c r="AC2256" s="71" t="str">
        <f aca="false">IF(AH2256="","",ROUND(MIN(K2256,TOPE_AFC_UF*AJ2256)*IF(AA2256="Indefinido",AFC_EMP_INDEF,AFC_EMP_PF),0))</f>
        <v/>
      </c>
      <c r="AD2256" s="71" t="str">
        <f aca="false">IF(AH2256="","",ROUND(MIN(K2256,TOPE_AFP_UF*AJ2256)*(MUTUAL_BASICA+MUTUAL_ADIC+SANNA),0))</f>
        <v/>
      </c>
      <c r="AE2256" s="71" t="str">
        <f aca="false">IF(AH2256="","",P2256-N(N2256)+AB2256+AC2256+AD2256)</f>
        <v/>
      </c>
      <c r="AF2256" s="65"/>
      <c r="AG2256" s="64"/>
      <c r="AH2256" s="72" t="str">
        <f aca="false">IF(OR(B2256="",C2256=""),"",C2256&amp;"|"&amp;(YEAR(B2256)*100+MONTH(B2256)))</f>
        <v/>
      </c>
      <c r="AI2256" s="70" t="str">
        <f aca="false">IF(AH2256="","",IF(COUNTIF(L_CLAVE,AH2256)&gt;1,"⚠ Duplicado","OK"))</f>
        <v/>
      </c>
      <c r="AJ2256" s="86" t="str">
        <f aca="false">IF(AH2256="","",IF(SUMPRODUCT(MAX((IND_PER&lt;=B2256)*(IND_UF&lt;&gt;"")*IND_PER))=0,UF_HOY,INDEX(IND_UF,MATCH(SUMPRODUCT(MAX((IND_PER&lt;=B2256)*(IND_UF&lt;&gt;"")*IND_PER)),IND_PER,0))))</f>
        <v/>
      </c>
      <c r="AK2256" s="87" t="str">
        <f aca="false">IF(AH2256="","",IF(COUNTIF(TASA_DESDE,"&lt;="&amp;B2256)=0,INDEX(TASA_EMP,1),INDEX(TASA_EMP,COUNTIF(TASA_DESDE,"&lt;="&amp;B2256))))</f>
        <v/>
      </c>
    </row>
    <row r="2257" customFormat="false" ht="15" hidden="false" customHeight="false" outlineLevel="0" collapsed="false">
      <c r="B2257" s="78"/>
      <c r="C2257" s="64"/>
      <c r="D2257" s="72" t="str">
        <f aca="false">IF(C2257="","",IFERROR(INDEX(T_NOMBRE,MATCH(C2257,T_ID,0)),"⚠ ID no existe"))</f>
        <v/>
      </c>
      <c r="E2257" s="69"/>
      <c r="F2257" s="67"/>
      <c r="G2257" s="67"/>
      <c r="H2257" s="67"/>
      <c r="I2257" s="67"/>
      <c r="J2257" s="67"/>
      <c r="K2257" s="85" t="str">
        <f aca="false">IF(AH2257="","",N(F2257)+N(G2257)+N(H2257)-N(I2257)+N(J2257))</f>
        <v/>
      </c>
      <c r="L2257" s="67"/>
      <c r="M2257" s="67"/>
      <c r="N2257" s="67"/>
      <c r="O2257" s="67"/>
      <c r="P2257" s="85" t="str">
        <f aca="false">IF(AH2257="","",K2257+N(L2257)+N(M2257)+N(N2257)+N(O2257))</f>
        <v/>
      </c>
      <c r="Q2257" s="67"/>
      <c r="R2257" s="67"/>
      <c r="S2257" s="67"/>
      <c r="T2257" s="67"/>
      <c r="U2257" s="67"/>
      <c r="V2257" s="67"/>
      <c r="W2257" s="85" t="str">
        <f aca="false">IF(AH2257="","",N(Q2257)+N(R2257)+N(S2257)+N(T2257)+N(U2257)+N(V2257))</f>
        <v/>
      </c>
      <c r="X2257" s="85" t="str">
        <f aca="false">IF(AH2257="","",P2257-W2257)</f>
        <v/>
      </c>
      <c r="Y2257" s="67"/>
      <c r="Z2257" s="70" t="str">
        <f aca="false">IF(OR(AH2257="",Y2257=""),"",IF(ABS(X2257-Y2257)&lt;=1,"✓ Cuadra","⚠ Diferencia $"&amp;FIXED(X2257-Y2257,0)))</f>
        <v/>
      </c>
      <c r="AA2257" s="72" t="str">
        <f aca="false">IF(AH2257="","",IFERROR(INDEX(C_TIPO,MATCH(C2257&amp;"-P"&amp;MAX(1,COUNTIFS(C_ID,C2257,C_DEFINE,"Sí",C_INICIO,"&lt;="&amp;EOMONTH(B2257,0))),C_CLAVE,0))&amp;"","Sin dato"))</f>
        <v/>
      </c>
      <c r="AB2257" s="71" t="str">
        <f aca="false">IF(AH2257="","",ROUND(MIN(K2257,TOPE_AFP_UF*AJ2257)*AK2257,0))</f>
        <v/>
      </c>
      <c r="AC2257" s="71" t="str">
        <f aca="false">IF(AH2257="","",ROUND(MIN(K2257,TOPE_AFC_UF*AJ2257)*IF(AA2257="Indefinido",AFC_EMP_INDEF,AFC_EMP_PF),0))</f>
        <v/>
      </c>
      <c r="AD2257" s="71" t="str">
        <f aca="false">IF(AH2257="","",ROUND(MIN(K2257,TOPE_AFP_UF*AJ2257)*(MUTUAL_BASICA+MUTUAL_ADIC+SANNA),0))</f>
        <v/>
      </c>
      <c r="AE2257" s="71" t="str">
        <f aca="false">IF(AH2257="","",P2257-N(N2257)+AB2257+AC2257+AD2257)</f>
        <v/>
      </c>
      <c r="AF2257" s="65"/>
      <c r="AG2257" s="64"/>
      <c r="AH2257" s="72" t="str">
        <f aca="false">IF(OR(B2257="",C2257=""),"",C2257&amp;"|"&amp;(YEAR(B2257)*100+MONTH(B2257)))</f>
        <v/>
      </c>
      <c r="AI2257" s="70" t="str">
        <f aca="false">IF(AH2257="","",IF(COUNTIF(L_CLAVE,AH2257)&gt;1,"⚠ Duplicado","OK"))</f>
        <v/>
      </c>
      <c r="AJ2257" s="86" t="str">
        <f aca="false">IF(AH2257="","",IF(SUMPRODUCT(MAX((IND_PER&lt;=B2257)*(IND_UF&lt;&gt;"")*IND_PER))=0,UF_HOY,INDEX(IND_UF,MATCH(SUMPRODUCT(MAX((IND_PER&lt;=B2257)*(IND_UF&lt;&gt;"")*IND_PER)),IND_PER,0))))</f>
        <v/>
      </c>
      <c r="AK2257" s="87" t="str">
        <f aca="false">IF(AH2257="","",IF(COUNTIF(TASA_DESDE,"&lt;="&amp;B2257)=0,INDEX(TASA_EMP,1),INDEX(TASA_EMP,COUNTIF(TASA_DESDE,"&lt;="&amp;B2257))))</f>
        <v/>
      </c>
    </row>
    <row r="2258" customFormat="false" ht="15" hidden="false" customHeight="false" outlineLevel="0" collapsed="false">
      <c r="B2258" s="78"/>
      <c r="C2258" s="64"/>
      <c r="D2258" s="72" t="str">
        <f aca="false">IF(C2258="","",IFERROR(INDEX(T_NOMBRE,MATCH(C2258,T_ID,0)),"⚠ ID no existe"))</f>
        <v/>
      </c>
      <c r="E2258" s="69"/>
      <c r="F2258" s="67"/>
      <c r="G2258" s="67"/>
      <c r="H2258" s="67"/>
      <c r="I2258" s="67"/>
      <c r="J2258" s="67"/>
      <c r="K2258" s="85" t="str">
        <f aca="false">IF(AH2258="","",N(F2258)+N(G2258)+N(H2258)-N(I2258)+N(J2258))</f>
        <v/>
      </c>
      <c r="L2258" s="67"/>
      <c r="M2258" s="67"/>
      <c r="N2258" s="67"/>
      <c r="O2258" s="67"/>
      <c r="P2258" s="85" t="str">
        <f aca="false">IF(AH2258="","",K2258+N(L2258)+N(M2258)+N(N2258)+N(O2258))</f>
        <v/>
      </c>
      <c r="Q2258" s="67"/>
      <c r="R2258" s="67"/>
      <c r="S2258" s="67"/>
      <c r="T2258" s="67"/>
      <c r="U2258" s="67"/>
      <c r="V2258" s="67"/>
      <c r="W2258" s="85" t="str">
        <f aca="false">IF(AH2258="","",N(Q2258)+N(R2258)+N(S2258)+N(T2258)+N(U2258)+N(V2258))</f>
        <v/>
      </c>
      <c r="X2258" s="85" t="str">
        <f aca="false">IF(AH2258="","",P2258-W2258)</f>
        <v/>
      </c>
      <c r="Y2258" s="67"/>
      <c r="Z2258" s="70" t="str">
        <f aca="false">IF(OR(AH2258="",Y2258=""),"",IF(ABS(X2258-Y2258)&lt;=1,"✓ Cuadra","⚠ Diferencia $"&amp;FIXED(X2258-Y2258,0)))</f>
        <v/>
      </c>
      <c r="AA2258" s="72" t="str">
        <f aca="false">IF(AH2258="","",IFERROR(INDEX(C_TIPO,MATCH(C2258&amp;"-P"&amp;MAX(1,COUNTIFS(C_ID,C2258,C_DEFINE,"Sí",C_INICIO,"&lt;="&amp;EOMONTH(B2258,0))),C_CLAVE,0))&amp;"","Sin dato"))</f>
        <v/>
      </c>
      <c r="AB2258" s="71" t="str">
        <f aca="false">IF(AH2258="","",ROUND(MIN(K2258,TOPE_AFP_UF*AJ2258)*AK2258,0))</f>
        <v/>
      </c>
      <c r="AC2258" s="71" t="str">
        <f aca="false">IF(AH2258="","",ROUND(MIN(K2258,TOPE_AFC_UF*AJ2258)*IF(AA2258="Indefinido",AFC_EMP_INDEF,AFC_EMP_PF),0))</f>
        <v/>
      </c>
      <c r="AD2258" s="71" t="str">
        <f aca="false">IF(AH2258="","",ROUND(MIN(K2258,TOPE_AFP_UF*AJ2258)*(MUTUAL_BASICA+MUTUAL_ADIC+SANNA),0))</f>
        <v/>
      </c>
      <c r="AE2258" s="71" t="str">
        <f aca="false">IF(AH2258="","",P2258-N(N2258)+AB2258+AC2258+AD2258)</f>
        <v/>
      </c>
      <c r="AF2258" s="65"/>
      <c r="AG2258" s="64"/>
      <c r="AH2258" s="72" t="str">
        <f aca="false">IF(OR(B2258="",C2258=""),"",C2258&amp;"|"&amp;(YEAR(B2258)*100+MONTH(B2258)))</f>
        <v/>
      </c>
      <c r="AI2258" s="70" t="str">
        <f aca="false">IF(AH2258="","",IF(COUNTIF(L_CLAVE,AH2258)&gt;1,"⚠ Duplicado","OK"))</f>
        <v/>
      </c>
      <c r="AJ2258" s="86" t="str">
        <f aca="false">IF(AH2258="","",IF(SUMPRODUCT(MAX((IND_PER&lt;=B2258)*(IND_UF&lt;&gt;"")*IND_PER))=0,UF_HOY,INDEX(IND_UF,MATCH(SUMPRODUCT(MAX((IND_PER&lt;=B2258)*(IND_UF&lt;&gt;"")*IND_PER)),IND_PER,0))))</f>
        <v/>
      </c>
      <c r="AK2258" s="87" t="str">
        <f aca="false">IF(AH2258="","",IF(COUNTIF(TASA_DESDE,"&lt;="&amp;B2258)=0,INDEX(TASA_EMP,1),INDEX(TASA_EMP,COUNTIF(TASA_DESDE,"&lt;="&amp;B2258))))</f>
        <v/>
      </c>
    </row>
    <row r="2259" customFormat="false" ht="15" hidden="false" customHeight="false" outlineLevel="0" collapsed="false">
      <c r="B2259" s="78"/>
      <c r="C2259" s="64"/>
      <c r="D2259" s="72" t="str">
        <f aca="false">IF(C2259="","",IFERROR(INDEX(T_NOMBRE,MATCH(C2259,T_ID,0)),"⚠ ID no existe"))</f>
        <v/>
      </c>
      <c r="E2259" s="69"/>
      <c r="F2259" s="67"/>
      <c r="G2259" s="67"/>
      <c r="H2259" s="67"/>
      <c r="I2259" s="67"/>
      <c r="J2259" s="67"/>
      <c r="K2259" s="85" t="str">
        <f aca="false">IF(AH2259="","",N(F2259)+N(G2259)+N(H2259)-N(I2259)+N(J2259))</f>
        <v/>
      </c>
      <c r="L2259" s="67"/>
      <c r="M2259" s="67"/>
      <c r="N2259" s="67"/>
      <c r="O2259" s="67"/>
      <c r="P2259" s="85" t="str">
        <f aca="false">IF(AH2259="","",K2259+N(L2259)+N(M2259)+N(N2259)+N(O2259))</f>
        <v/>
      </c>
      <c r="Q2259" s="67"/>
      <c r="R2259" s="67"/>
      <c r="S2259" s="67"/>
      <c r="T2259" s="67"/>
      <c r="U2259" s="67"/>
      <c r="V2259" s="67"/>
      <c r="W2259" s="85" t="str">
        <f aca="false">IF(AH2259="","",N(Q2259)+N(R2259)+N(S2259)+N(T2259)+N(U2259)+N(V2259))</f>
        <v/>
      </c>
      <c r="X2259" s="85" t="str">
        <f aca="false">IF(AH2259="","",P2259-W2259)</f>
        <v/>
      </c>
      <c r="Y2259" s="67"/>
      <c r="Z2259" s="70" t="str">
        <f aca="false">IF(OR(AH2259="",Y2259=""),"",IF(ABS(X2259-Y2259)&lt;=1,"✓ Cuadra","⚠ Diferencia $"&amp;FIXED(X2259-Y2259,0)))</f>
        <v/>
      </c>
      <c r="AA2259" s="72" t="str">
        <f aca="false">IF(AH2259="","",IFERROR(INDEX(C_TIPO,MATCH(C2259&amp;"-P"&amp;MAX(1,COUNTIFS(C_ID,C2259,C_DEFINE,"Sí",C_INICIO,"&lt;="&amp;EOMONTH(B2259,0))),C_CLAVE,0))&amp;"","Sin dato"))</f>
        <v/>
      </c>
      <c r="AB2259" s="71" t="str">
        <f aca="false">IF(AH2259="","",ROUND(MIN(K2259,TOPE_AFP_UF*AJ2259)*AK2259,0))</f>
        <v/>
      </c>
      <c r="AC2259" s="71" t="str">
        <f aca="false">IF(AH2259="","",ROUND(MIN(K2259,TOPE_AFC_UF*AJ2259)*IF(AA2259="Indefinido",AFC_EMP_INDEF,AFC_EMP_PF),0))</f>
        <v/>
      </c>
      <c r="AD2259" s="71" t="str">
        <f aca="false">IF(AH2259="","",ROUND(MIN(K2259,TOPE_AFP_UF*AJ2259)*(MUTUAL_BASICA+MUTUAL_ADIC+SANNA),0))</f>
        <v/>
      </c>
      <c r="AE2259" s="71" t="str">
        <f aca="false">IF(AH2259="","",P2259-N(N2259)+AB2259+AC2259+AD2259)</f>
        <v/>
      </c>
      <c r="AF2259" s="65"/>
      <c r="AG2259" s="64"/>
      <c r="AH2259" s="72" t="str">
        <f aca="false">IF(OR(B2259="",C2259=""),"",C2259&amp;"|"&amp;(YEAR(B2259)*100+MONTH(B2259)))</f>
        <v/>
      </c>
      <c r="AI2259" s="70" t="str">
        <f aca="false">IF(AH2259="","",IF(COUNTIF(L_CLAVE,AH2259)&gt;1,"⚠ Duplicado","OK"))</f>
        <v/>
      </c>
      <c r="AJ2259" s="86" t="str">
        <f aca="false">IF(AH2259="","",IF(SUMPRODUCT(MAX((IND_PER&lt;=B2259)*(IND_UF&lt;&gt;"")*IND_PER))=0,UF_HOY,INDEX(IND_UF,MATCH(SUMPRODUCT(MAX((IND_PER&lt;=B2259)*(IND_UF&lt;&gt;"")*IND_PER)),IND_PER,0))))</f>
        <v/>
      </c>
      <c r="AK2259" s="87" t="str">
        <f aca="false">IF(AH2259="","",IF(COUNTIF(TASA_DESDE,"&lt;="&amp;B2259)=0,INDEX(TASA_EMP,1),INDEX(TASA_EMP,COUNTIF(TASA_DESDE,"&lt;="&amp;B2259))))</f>
        <v/>
      </c>
    </row>
    <row r="2260" customFormat="false" ht="15" hidden="false" customHeight="false" outlineLevel="0" collapsed="false">
      <c r="B2260" s="78"/>
      <c r="C2260" s="64"/>
      <c r="D2260" s="72" t="str">
        <f aca="false">IF(C2260="","",IFERROR(INDEX(T_NOMBRE,MATCH(C2260,T_ID,0)),"⚠ ID no existe"))</f>
        <v/>
      </c>
      <c r="E2260" s="69"/>
      <c r="F2260" s="67"/>
      <c r="G2260" s="67"/>
      <c r="H2260" s="67"/>
      <c r="I2260" s="67"/>
      <c r="J2260" s="67"/>
      <c r="K2260" s="85" t="str">
        <f aca="false">IF(AH2260="","",N(F2260)+N(G2260)+N(H2260)-N(I2260)+N(J2260))</f>
        <v/>
      </c>
      <c r="L2260" s="67"/>
      <c r="M2260" s="67"/>
      <c r="N2260" s="67"/>
      <c r="O2260" s="67"/>
      <c r="P2260" s="85" t="str">
        <f aca="false">IF(AH2260="","",K2260+N(L2260)+N(M2260)+N(N2260)+N(O2260))</f>
        <v/>
      </c>
      <c r="Q2260" s="67"/>
      <c r="R2260" s="67"/>
      <c r="S2260" s="67"/>
      <c r="T2260" s="67"/>
      <c r="U2260" s="67"/>
      <c r="V2260" s="67"/>
      <c r="W2260" s="85" t="str">
        <f aca="false">IF(AH2260="","",N(Q2260)+N(R2260)+N(S2260)+N(T2260)+N(U2260)+N(V2260))</f>
        <v/>
      </c>
      <c r="X2260" s="85" t="str">
        <f aca="false">IF(AH2260="","",P2260-W2260)</f>
        <v/>
      </c>
      <c r="Y2260" s="67"/>
      <c r="Z2260" s="70" t="str">
        <f aca="false">IF(OR(AH2260="",Y2260=""),"",IF(ABS(X2260-Y2260)&lt;=1,"✓ Cuadra","⚠ Diferencia $"&amp;FIXED(X2260-Y2260,0)))</f>
        <v/>
      </c>
      <c r="AA2260" s="72" t="str">
        <f aca="false">IF(AH2260="","",IFERROR(INDEX(C_TIPO,MATCH(C2260&amp;"-P"&amp;MAX(1,COUNTIFS(C_ID,C2260,C_DEFINE,"Sí",C_INICIO,"&lt;="&amp;EOMONTH(B2260,0))),C_CLAVE,0))&amp;"","Sin dato"))</f>
        <v/>
      </c>
      <c r="AB2260" s="71" t="str">
        <f aca="false">IF(AH2260="","",ROUND(MIN(K2260,TOPE_AFP_UF*AJ2260)*AK2260,0))</f>
        <v/>
      </c>
      <c r="AC2260" s="71" t="str">
        <f aca="false">IF(AH2260="","",ROUND(MIN(K2260,TOPE_AFC_UF*AJ2260)*IF(AA2260="Indefinido",AFC_EMP_INDEF,AFC_EMP_PF),0))</f>
        <v/>
      </c>
      <c r="AD2260" s="71" t="str">
        <f aca="false">IF(AH2260="","",ROUND(MIN(K2260,TOPE_AFP_UF*AJ2260)*(MUTUAL_BASICA+MUTUAL_ADIC+SANNA),0))</f>
        <v/>
      </c>
      <c r="AE2260" s="71" t="str">
        <f aca="false">IF(AH2260="","",P2260-N(N2260)+AB2260+AC2260+AD2260)</f>
        <v/>
      </c>
      <c r="AF2260" s="65"/>
      <c r="AG2260" s="64"/>
      <c r="AH2260" s="72" t="str">
        <f aca="false">IF(OR(B2260="",C2260=""),"",C2260&amp;"|"&amp;(YEAR(B2260)*100+MONTH(B2260)))</f>
        <v/>
      </c>
      <c r="AI2260" s="70" t="str">
        <f aca="false">IF(AH2260="","",IF(COUNTIF(L_CLAVE,AH2260)&gt;1,"⚠ Duplicado","OK"))</f>
        <v/>
      </c>
      <c r="AJ2260" s="86" t="str">
        <f aca="false">IF(AH2260="","",IF(SUMPRODUCT(MAX((IND_PER&lt;=B2260)*(IND_UF&lt;&gt;"")*IND_PER))=0,UF_HOY,INDEX(IND_UF,MATCH(SUMPRODUCT(MAX((IND_PER&lt;=B2260)*(IND_UF&lt;&gt;"")*IND_PER)),IND_PER,0))))</f>
        <v/>
      </c>
      <c r="AK2260" s="87" t="str">
        <f aca="false">IF(AH2260="","",IF(COUNTIF(TASA_DESDE,"&lt;="&amp;B2260)=0,INDEX(TASA_EMP,1),INDEX(TASA_EMP,COUNTIF(TASA_DESDE,"&lt;="&amp;B2260))))</f>
        <v/>
      </c>
    </row>
    <row r="2261" customFormat="false" ht="15" hidden="false" customHeight="false" outlineLevel="0" collapsed="false">
      <c r="B2261" s="78"/>
      <c r="C2261" s="64"/>
      <c r="D2261" s="72" t="str">
        <f aca="false">IF(C2261="","",IFERROR(INDEX(T_NOMBRE,MATCH(C2261,T_ID,0)),"⚠ ID no existe"))</f>
        <v/>
      </c>
      <c r="E2261" s="69"/>
      <c r="F2261" s="67"/>
      <c r="G2261" s="67"/>
      <c r="H2261" s="67"/>
      <c r="I2261" s="67"/>
      <c r="J2261" s="67"/>
      <c r="K2261" s="85" t="str">
        <f aca="false">IF(AH2261="","",N(F2261)+N(G2261)+N(H2261)-N(I2261)+N(J2261))</f>
        <v/>
      </c>
      <c r="L2261" s="67"/>
      <c r="M2261" s="67"/>
      <c r="N2261" s="67"/>
      <c r="O2261" s="67"/>
      <c r="P2261" s="85" t="str">
        <f aca="false">IF(AH2261="","",K2261+N(L2261)+N(M2261)+N(N2261)+N(O2261))</f>
        <v/>
      </c>
      <c r="Q2261" s="67"/>
      <c r="R2261" s="67"/>
      <c r="S2261" s="67"/>
      <c r="T2261" s="67"/>
      <c r="U2261" s="67"/>
      <c r="V2261" s="67"/>
      <c r="W2261" s="85" t="str">
        <f aca="false">IF(AH2261="","",N(Q2261)+N(R2261)+N(S2261)+N(T2261)+N(U2261)+N(V2261))</f>
        <v/>
      </c>
      <c r="X2261" s="85" t="str">
        <f aca="false">IF(AH2261="","",P2261-W2261)</f>
        <v/>
      </c>
      <c r="Y2261" s="67"/>
      <c r="Z2261" s="70" t="str">
        <f aca="false">IF(OR(AH2261="",Y2261=""),"",IF(ABS(X2261-Y2261)&lt;=1,"✓ Cuadra","⚠ Diferencia $"&amp;FIXED(X2261-Y2261,0)))</f>
        <v/>
      </c>
      <c r="AA2261" s="72" t="str">
        <f aca="false">IF(AH2261="","",IFERROR(INDEX(C_TIPO,MATCH(C2261&amp;"-P"&amp;MAX(1,COUNTIFS(C_ID,C2261,C_DEFINE,"Sí",C_INICIO,"&lt;="&amp;EOMONTH(B2261,0))),C_CLAVE,0))&amp;"","Sin dato"))</f>
        <v/>
      </c>
      <c r="AB2261" s="71" t="str">
        <f aca="false">IF(AH2261="","",ROUND(MIN(K2261,TOPE_AFP_UF*AJ2261)*AK2261,0))</f>
        <v/>
      </c>
      <c r="AC2261" s="71" t="str">
        <f aca="false">IF(AH2261="","",ROUND(MIN(K2261,TOPE_AFC_UF*AJ2261)*IF(AA2261="Indefinido",AFC_EMP_INDEF,AFC_EMP_PF),0))</f>
        <v/>
      </c>
      <c r="AD2261" s="71" t="str">
        <f aca="false">IF(AH2261="","",ROUND(MIN(K2261,TOPE_AFP_UF*AJ2261)*(MUTUAL_BASICA+MUTUAL_ADIC+SANNA),0))</f>
        <v/>
      </c>
      <c r="AE2261" s="71" t="str">
        <f aca="false">IF(AH2261="","",P2261-N(N2261)+AB2261+AC2261+AD2261)</f>
        <v/>
      </c>
      <c r="AF2261" s="65"/>
      <c r="AG2261" s="64"/>
      <c r="AH2261" s="72" t="str">
        <f aca="false">IF(OR(B2261="",C2261=""),"",C2261&amp;"|"&amp;(YEAR(B2261)*100+MONTH(B2261)))</f>
        <v/>
      </c>
      <c r="AI2261" s="70" t="str">
        <f aca="false">IF(AH2261="","",IF(COUNTIF(L_CLAVE,AH2261)&gt;1,"⚠ Duplicado","OK"))</f>
        <v/>
      </c>
      <c r="AJ2261" s="86" t="str">
        <f aca="false">IF(AH2261="","",IF(SUMPRODUCT(MAX((IND_PER&lt;=B2261)*(IND_UF&lt;&gt;"")*IND_PER))=0,UF_HOY,INDEX(IND_UF,MATCH(SUMPRODUCT(MAX((IND_PER&lt;=B2261)*(IND_UF&lt;&gt;"")*IND_PER)),IND_PER,0))))</f>
        <v/>
      </c>
      <c r="AK2261" s="87" t="str">
        <f aca="false">IF(AH2261="","",IF(COUNTIF(TASA_DESDE,"&lt;="&amp;B2261)=0,INDEX(TASA_EMP,1),INDEX(TASA_EMP,COUNTIF(TASA_DESDE,"&lt;="&amp;B2261))))</f>
        <v/>
      </c>
    </row>
    <row r="2262" customFormat="false" ht="15" hidden="false" customHeight="false" outlineLevel="0" collapsed="false">
      <c r="B2262" s="78"/>
      <c r="C2262" s="64"/>
      <c r="D2262" s="72" t="str">
        <f aca="false">IF(C2262="","",IFERROR(INDEX(T_NOMBRE,MATCH(C2262,T_ID,0)),"⚠ ID no existe"))</f>
        <v/>
      </c>
      <c r="E2262" s="69"/>
      <c r="F2262" s="67"/>
      <c r="G2262" s="67"/>
      <c r="H2262" s="67"/>
      <c r="I2262" s="67"/>
      <c r="J2262" s="67"/>
      <c r="K2262" s="85" t="str">
        <f aca="false">IF(AH2262="","",N(F2262)+N(G2262)+N(H2262)-N(I2262)+N(J2262))</f>
        <v/>
      </c>
      <c r="L2262" s="67"/>
      <c r="M2262" s="67"/>
      <c r="N2262" s="67"/>
      <c r="O2262" s="67"/>
      <c r="P2262" s="85" t="str">
        <f aca="false">IF(AH2262="","",K2262+N(L2262)+N(M2262)+N(N2262)+N(O2262))</f>
        <v/>
      </c>
      <c r="Q2262" s="67"/>
      <c r="R2262" s="67"/>
      <c r="S2262" s="67"/>
      <c r="T2262" s="67"/>
      <c r="U2262" s="67"/>
      <c r="V2262" s="67"/>
      <c r="W2262" s="85" t="str">
        <f aca="false">IF(AH2262="","",N(Q2262)+N(R2262)+N(S2262)+N(T2262)+N(U2262)+N(V2262))</f>
        <v/>
      </c>
      <c r="X2262" s="85" t="str">
        <f aca="false">IF(AH2262="","",P2262-W2262)</f>
        <v/>
      </c>
      <c r="Y2262" s="67"/>
      <c r="Z2262" s="70" t="str">
        <f aca="false">IF(OR(AH2262="",Y2262=""),"",IF(ABS(X2262-Y2262)&lt;=1,"✓ Cuadra","⚠ Diferencia $"&amp;FIXED(X2262-Y2262,0)))</f>
        <v/>
      </c>
      <c r="AA2262" s="72" t="str">
        <f aca="false">IF(AH2262="","",IFERROR(INDEX(C_TIPO,MATCH(C2262&amp;"-P"&amp;MAX(1,COUNTIFS(C_ID,C2262,C_DEFINE,"Sí",C_INICIO,"&lt;="&amp;EOMONTH(B2262,0))),C_CLAVE,0))&amp;"","Sin dato"))</f>
        <v/>
      </c>
      <c r="AB2262" s="71" t="str">
        <f aca="false">IF(AH2262="","",ROUND(MIN(K2262,TOPE_AFP_UF*AJ2262)*AK2262,0))</f>
        <v/>
      </c>
      <c r="AC2262" s="71" t="str">
        <f aca="false">IF(AH2262="","",ROUND(MIN(K2262,TOPE_AFC_UF*AJ2262)*IF(AA2262="Indefinido",AFC_EMP_INDEF,AFC_EMP_PF),0))</f>
        <v/>
      </c>
      <c r="AD2262" s="71" t="str">
        <f aca="false">IF(AH2262="","",ROUND(MIN(K2262,TOPE_AFP_UF*AJ2262)*(MUTUAL_BASICA+MUTUAL_ADIC+SANNA),0))</f>
        <v/>
      </c>
      <c r="AE2262" s="71" t="str">
        <f aca="false">IF(AH2262="","",P2262-N(N2262)+AB2262+AC2262+AD2262)</f>
        <v/>
      </c>
      <c r="AF2262" s="65"/>
      <c r="AG2262" s="64"/>
      <c r="AH2262" s="72" t="str">
        <f aca="false">IF(OR(B2262="",C2262=""),"",C2262&amp;"|"&amp;(YEAR(B2262)*100+MONTH(B2262)))</f>
        <v/>
      </c>
      <c r="AI2262" s="70" t="str">
        <f aca="false">IF(AH2262="","",IF(COUNTIF(L_CLAVE,AH2262)&gt;1,"⚠ Duplicado","OK"))</f>
        <v/>
      </c>
      <c r="AJ2262" s="86" t="str">
        <f aca="false">IF(AH2262="","",IF(SUMPRODUCT(MAX((IND_PER&lt;=B2262)*(IND_UF&lt;&gt;"")*IND_PER))=0,UF_HOY,INDEX(IND_UF,MATCH(SUMPRODUCT(MAX((IND_PER&lt;=B2262)*(IND_UF&lt;&gt;"")*IND_PER)),IND_PER,0))))</f>
        <v/>
      </c>
      <c r="AK2262" s="87" t="str">
        <f aca="false">IF(AH2262="","",IF(COUNTIF(TASA_DESDE,"&lt;="&amp;B2262)=0,INDEX(TASA_EMP,1),INDEX(TASA_EMP,COUNTIF(TASA_DESDE,"&lt;="&amp;B2262))))</f>
        <v/>
      </c>
    </row>
    <row r="2263" customFormat="false" ht="15" hidden="false" customHeight="false" outlineLevel="0" collapsed="false">
      <c r="B2263" s="78"/>
      <c r="C2263" s="64"/>
      <c r="D2263" s="72" t="str">
        <f aca="false">IF(C2263="","",IFERROR(INDEX(T_NOMBRE,MATCH(C2263,T_ID,0)),"⚠ ID no existe"))</f>
        <v/>
      </c>
      <c r="E2263" s="69"/>
      <c r="F2263" s="67"/>
      <c r="G2263" s="67"/>
      <c r="H2263" s="67"/>
      <c r="I2263" s="67"/>
      <c r="J2263" s="67"/>
      <c r="K2263" s="85" t="str">
        <f aca="false">IF(AH2263="","",N(F2263)+N(G2263)+N(H2263)-N(I2263)+N(J2263))</f>
        <v/>
      </c>
      <c r="L2263" s="67"/>
      <c r="M2263" s="67"/>
      <c r="N2263" s="67"/>
      <c r="O2263" s="67"/>
      <c r="P2263" s="85" t="str">
        <f aca="false">IF(AH2263="","",K2263+N(L2263)+N(M2263)+N(N2263)+N(O2263))</f>
        <v/>
      </c>
      <c r="Q2263" s="67"/>
      <c r="R2263" s="67"/>
      <c r="S2263" s="67"/>
      <c r="T2263" s="67"/>
      <c r="U2263" s="67"/>
      <c r="V2263" s="67"/>
      <c r="W2263" s="85" t="str">
        <f aca="false">IF(AH2263="","",N(Q2263)+N(R2263)+N(S2263)+N(T2263)+N(U2263)+N(V2263))</f>
        <v/>
      </c>
      <c r="X2263" s="85" t="str">
        <f aca="false">IF(AH2263="","",P2263-W2263)</f>
        <v/>
      </c>
      <c r="Y2263" s="67"/>
      <c r="Z2263" s="70" t="str">
        <f aca="false">IF(OR(AH2263="",Y2263=""),"",IF(ABS(X2263-Y2263)&lt;=1,"✓ Cuadra","⚠ Diferencia $"&amp;FIXED(X2263-Y2263,0)))</f>
        <v/>
      </c>
      <c r="AA2263" s="72" t="str">
        <f aca="false">IF(AH2263="","",IFERROR(INDEX(C_TIPO,MATCH(C2263&amp;"-P"&amp;MAX(1,COUNTIFS(C_ID,C2263,C_DEFINE,"Sí",C_INICIO,"&lt;="&amp;EOMONTH(B2263,0))),C_CLAVE,0))&amp;"","Sin dato"))</f>
        <v/>
      </c>
      <c r="AB2263" s="71" t="str">
        <f aca="false">IF(AH2263="","",ROUND(MIN(K2263,TOPE_AFP_UF*AJ2263)*AK2263,0))</f>
        <v/>
      </c>
      <c r="AC2263" s="71" t="str">
        <f aca="false">IF(AH2263="","",ROUND(MIN(K2263,TOPE_AFC_UF*AJ2263)*IF(AA2263="Indefinido",AFC_EMP_INDEF,AFC_EMP_PF),0))</f>
        <v/>
      </c>
      <c r="AD2263" s="71" t="str">
        <f aca="false">IF(AH2263="","",ROUND(MIN(K2263,TOPE_AFP_UF*AJ2263)*(MUTUAL_BASICA+MUTUAL_ADIC+SANNA),0))</f>
        <v/>
      </c>
      <c r="AE2263" s="71" t="str">
        <f aca="false">IF(AH2263="","",P2263-N(N2263)+AB2263+AC2263+AD2263)</f>
        <v/>
      </c>
      <c r="AF2263" s="65"/>
      <c r="AG2263" s="64"/>
      <c r="AH2263" s="72" t="str">
        <f aca="false">IF(OR(B2263="",C2263=""),"",C2263&amp;"|"&amp;(YEAR(B2263)*100+MONTH(B2263)))</f>
        <v/>
      </c>
      <c r="AI2263" s="70" t="str">
        <f aca="false">IF(AH2263="","",IF(COUNTIF(L_CLAVE,AH2263)&gt;1,"⚠ Duplicado","OK"))</f>
        <v/>
      </c>
      <c r="AJ2263" s="86" t="str">
        <f aca="false">IF(AH2263="","",IF(SUMPRODUCT(MAX((IND_PER&lt;=B2263)*(IND_UF&lt;&gt;"")*IND_PER))=0,UF_HOY,INDEX(IND_UF,MATCH(SUMPRODUCT(MAX((IND_PER&lt;=B2263)*(IND_UF&lt;&gt;"")*IND_PER)),IND_PER,0))))</f>
        <v/>
      </c>
      <c r="AK2263" s="87" t="str">
        <f aca="false">IF(AH2263="","",IF(COUNTIF(TASA_DESDE,"&lt;="&amp;B2263)=0,INDEX(TASA_EMP,1),INDEX(TASA_EMP,COUNTIF(TASA_DESDE,"&lt;="&amp;B2263))))</f>
        <v/>
      </c>
    </row>
    <row r="2264" customFormat="false" ht="15" hidden="false" customHeight="false" outlineLevel="0" collapsed="false">
      <c r="B2264" s="78"/>
      <c r="C2264" s="64"/>
      <c r="D2264" s="72" t="str">
        <f aca="false">IF(C2264="","",IFERROR(INDEX(T_NOMBRE,MATCH(C2264,T_ID,0)),"⚠ ID no existe"))</f>
        <v/>
      </c>
      <c r="E2264" s="69"/>
      <c r="F2264" s="67"/>
      <c r="G2264" s="67"/>
      <c r="H2264" s="67"/>
      <c r="I2264" s="67"/>
      <c r="J2264" s="67"/>
      <c r="K2264" s="85" t="str">
        <f aca="false">IF(AH2264="","",N(F2264)+N(G2264)+N(H2264)-N(I2264)+N(J2264))</f>
        <v/>
      </c>
      <c r="L2264" s="67"/>
      <c r="M2264" s="67"/>
      <c r="N2264" s="67"/>
      <c r="O2264" s="67"/>
      <c r="P2264" s="85" t="str">
        <f aca="false">IF(AH2264="","",K2264+N(L2264)+N(M2264)+N(N2264)+N(O2264))</f>
        <v/>
      </c>
      <c r="Q2264" s="67"/>
      <c r="R2264" s="67"/>
      <c r="S2264" s="67"/>
      <c r="T2264" s="67"/>
      <c r="U2264" s="67"/>
      <c r="V2264" s="67"/>
      <c r="W2264" s="85" t="str">
        <f aca="false">IF(AH2264="","",N(Q2264)+N(R2264)+N(S2264)+N(T2264)+N(U2264)+N(V2264))</f>
        <v/>
      </c>
      <c r="X2264" s="85" t="str">
        <f aca="false">IF(AH2264="","",P2264-W2264)</f>
        <v/>
      </c>
      <c r="Y2264" s="67"/>
      <c r="Z2264" s="70" t="str">
        <f aca="false">IF(OR(AH2264="",Y2264=""),"",IF(ABS(X2264-Y2264)&lt;=1,"✓ Cuadra","⚠ Diferencia $"&amp;FIXED(X2264-Y2264,0)))</f>
        <v/>
      </c>
      <c r="AA2264" s="72" t="str">
        <f aca="false">IF(AH2264="","",IFERROR(INDEX(C_TIPO,MATCH(C2264&amp;"-P"&amp;MAX(1,COUNTIFS(C_ID,C2264,C_DEFINE,"Sí",C_INICIO,"&lt;="&amp;EOMONTH(B2264,0))),C_CLAVE,0))&amp;"","Sin dato"))</f>
        <v/>
      </c>
      <c r="AB2264" s="71" t="str">
        <f aca="false">IF(AH2264="","",ROUND(MIN(K2264,TOPE_AFP_UF*AJ2264)*AK2264,0))</f>
        <v/>
      </c>
      <c r="AC2264" s="71" t="str">
        <f aca="false">IF(AH2264="","",ROUND(MIN(K2264,TOPE_AFC_UF*AJ2264)*IF(AA2264="Indefinido",AFC_EMP_INDEF,AFC_EMP_PF),0))</f>
        <v/>
      </c>
      <c r="AD2264" s="71" t="str">
        <f aca="false">IF(AH2264="","",ROUND(MIN(K2264,TOPE_AFP_UF*AJ2264)*(MUTUAL_BASICA+MUTUAL_ADIC+SANNA),0))</f>
        <v/>
      </c>
      <c r="AE2264" s="71" t="str">
        <f aca="false">IF(AH2264="","",P2264-N(N2264)+AB2264+AC2264+AD2264)</f>
        <v/>
      </c>
      <c r="AF2264" s="65"/>
      <c r="AG2264" s="64"/>
      <c r="AH2264" s="72" t="str">
        <f aca="false">IF(OR(B2264="",C2264=""),"",C2264&amp;"|"&amp;(YEAR(B2264)*100+MONTH(B2264)))</f>
        <v/>
      </c>
      <c r="AI2264" s="70" t="str">
        <f aca="false">IF(AH2264="","",IF(COUNTIF(L_CLAVE,AH2264)&gt;1,"⚠ Duplicado","OK"))</f>
        <v/>
      </c>
      <c r="AJ2264" s="86" t="str">
        <f aca="false">IF(AH2264="","",IF(SUMPRODUCT(MAX((IND_PER&lt;=B2264)*(IND_UF&lt;&gt;"")*IND_PER))=0,UF_HOY,INDEX(IND_UF,MATCH(SUMPRODUCT(MAX((IND_PER&lt;=B2264)*(IND_UF&lt;&gt;"")*IND_PER)),IND_PER,0))))</f>
        <v/>
      </c>
      <c r="AK2264" s="87" t="str">
        <f aca="false">IF(AH2264="","",IF(COUNTIF(TASA_DESDE,"&lt;="&amp;B2264)=0,INDEX(TASA_EMP,1),INDEX(TASA_EMP,COUNTIF(TASA_DESDE,"&lt;="&amp;B2264))))</f>
        <v/>
      </c>
    </row>
    <row r="2265" customFormat="false" ht="15" hidden="false" customHeight="false" outlineLevel="0" collapsed="false">
      <c r="B2265" s="78"/>
      <c r="C2265" s="64"/>
      <c r="D2265" s="72" t="str">
        <f aca="false">IF(C2265="","",IFERROR(INDEX(T_NOMBRE,MATCH(C2265,T_ID,0)),"⚠ ID no existe"))</f>
        <v/>
      </c>
      <c r="E2265" s="69"/>
      <c r="F2265" s="67"/>
      <c r="G2265" s="67"/>
      <c r="H2265" s="67"/>
      <c r="I2265" s="67"/>
      <c r="J2265" s="67"/>
      <c r="K2265" s="85" t="str">
        <f aca="false">IF(AH2265="","",N(F2265)+N(G2265)+N(H2265)-N(I2265)+N(J2265))</f>
        <v/>
      </c>
      <c r="L2265" s="67"/>
      <c r="M2265" s="67"/>
      <c r="N2265" s="67"/>
      <c r="O2265" s="67"/>
      <c r="P2265" s="85" t="str">
        <f aca="false">IF(AH2265="","",K2265+N(L2265)+N(M2265)+N(N2265)+N(O2265))</f>
        <v/>
      </c>
      <c r="Q2265" s="67"/>
      <c r="R2265" s="67"/>
      <c r="S2265" s="67"/>
      <c r="T2265" s="67"/>
      <c r="U2265" s="67"/>
      <c r="V2265" s="67"/>
      <c r="W2265" s="85" t="str">
        <f aca="false">IF(AH2265="","",N(Q2265)+N(R2265)+N(S2265)+N(T2265)+N(U2265)+N(V2265))</f>
        <v/>
      </c>
      <c r="X2265" s="85" t="str">
        <f aca="false">IF(AH2265="","",P2265-W2265)</f>
        <v/>
      </c>
      <c r="Y2265" s="67"/>
      <c r="Z2265" s="70" t="str">
        <f aca="false">IF(OR(AH2265="",Y2265=""),"",IF(ABS(X2265-Y2265)&lt;=1,"✓ Cuadra","⚠ Diferencia $"&amp;FIXED(X2265-Y2265,0)))</f>
        <v/>
      </c>
      <c r="AA2265" s="72" t="str">
        <f aca="false">IF(AH2265="","",IFERROR(INDEX(C_TIPO,MATCH(C2265&amp;"-P"&amp;MAX(1,COUNTIFS(C_ID,C2265,C_DEFINE,"Sí",C_INICIO,"&lt;="&amp;EOMONTH(B2265,0))),C_CLAVE,0))&amp;"","Sin dato"))</f>
        <v/>
      </c>
      <c r="AB2265" s="71" t="str">
        <f aca="false">IF(AH2265="","",ROUND(MIN(K2265,TOPE_AFP_UF*AJ2265)*AK2265,0))</f>
        <v/>
      </c>
      <c r="AC2265" s="71" t="str">
        <f aca="false">IF(AH2265="","",ROUND(MIN(K2265,TOPE_AFC_UF*AJ2265)*IF(AA2265="Indefinido",AFC_EMP_INDEF,AFC_EMP_PF),0))</f>
        <v/>
      </c>
      <c r="AD2265" s="71" t="str">
        <f aca="false">IF(AH2265="","",ROUND(MIN(K2265,TOPE_AFP_UF*AJ2265)*(MUTUAL_BASICA+MUTUAL_ADIC+SANNA),0))</f>
        <v/>
      </c>
      <c r="AE2265" s="71" t="str">
        <f aca="false">IF(AH2265="","",P2265-N(N2265)+AB2265+AC2265+AD2265)</f>
        <v/>
      </c>
      <c r="AF2265" s="65"/>
      <c r="AG2265" s="64"/>
      <c r="AH2265" s="72" t="str">
        <f aca="false">IF(OR(B2265="",C2265=""),"",C2265&amp;"|"&amp;(YEAR(B2265)*100+MONTH(B2265)))</f>
        <v/>
      </c>
      <c r="AI2265" s="70" t="str">
        <f aca="false">IF(AH2265="","",IF(COUNTIF(L_CLAVE,AH2265)&gt;1,"⚠ Duplicado","OK"))</f>
        <v/>
      </c>
      <c r="AJ2265" s="86" t="str">
        <f aca="false">IF(AH2265="","",IF(SUMPRODUCT(MAX((IND_PER&lt;=B2265)*(IND_UF&lt;&gt;"")*IND_PER))=0,UF_HOY,INDEX(IND_UF,MATCH(SUMPRODUCT(MAX((IND_PER&lt;=B2265)*(IND_UF&lt;&gt;"")*IND_PER)),IND_PER,0))))</f>
        <v/>
      </c>
      <c r="AK2265" s="87" t="str">
        <f aca="false">IF(AH2265="","",IF(COUNTIF(TASA_DESDE,"&lt;="&amp;B2265)=0,INDEX(TASA_EMP,1),INDEX(TASA_EMP,COUNTIF(TASA_DESDE,"&lt;="&amp;B2265))))</f>
        <v/>
      </c>
    </row>
    <row r="2266" customFormat="false" ht="15" hidden="false" customHeight="false" outlineLevel="0" collapsed="false">
      <c r="B2266" s="78"/>
      <c r="C2266" s="64"/>
      <c r="D2266" s="72" t="str">
        <f aca="false">IF(C2266="","",IFERROR(INDEX(T_NOMBRE,MATCH(C2266,T_ID,0)),"⚠ ID no existe"))</f>
        <v/>
      </c>
      <c r="E2266" s="69"/>
      <c r="F2266" s="67"/>
      <c r="G2266" s="67"/>
      <c r="H2266" s="67"/>
      <c r="I2266" s="67"/>
      <c r="J2266" s="67"/>
      <c r="K2266" s="85" t="str">
        <f aca="false">IF(AH2266="","",N(F2266)+N(G2266)+N(H2266)-N(I2266)+N(J2266))</f>
        <v/>
      </c>
      <c r="L2266" s="67"/>
      <c r="M2266" s="67"/>
      <c r="N2266" s="67"/>
      <c r="O2266" s="67"/>
      <c r="P2266" s="85" t="str">
        <f aca="false">IF(AH2266="","",K2266+N(L2266)+N(M2266)+N(N2266)+N(O2266))</f>
        <v/>
      </c>
      <c r="Q2266" s="67"/>
      <c r="R2266" s="67"/>
      <c r="S2266" s="67"/>
      <c r="T2266" s="67"/>
      <c r="U2266" s="67"/>
      <c r="V2266" s="67"/>
      <c r="W2266" s="85" t="str">
        <f aca="false">IF(AH2266="","",N(Q2266)+N(R2266)+N(S2266)+N(T2266)+N(U2266)+N(V2266))</f>
        <v/>
      </c>
      <c r="X2266" s="85" t="str">
        <f aca="false">IF(AH2266="","",P2266-W2266)</f>
        <v/>
      </c>
      <c r="Y2266" s="67"/>
      <c r="Z2266" s="70" t="str">
        <f aca="false">IF(OR(AH2266="",Y2266=""),"",IF(ABS(X2266-Y2266)&lt;=1,"✓ Cuadra","⚠ Diferencia $"&amp;FIXED(X2266-Y2266,0)))</f>
        <v/>
      </c>
      <c r="AA2266" s="72" t="str">
        <f aca="false">IF(AH2266="","",IFERROR(INDEX(C_TIPO,MATCH(C2266&amp;"-P"&amp;MAX(1,COUNTIFS(C_ID,C2266,C_DEFINE,"Sí",C_INICIO,"&lt;="&amp;EOMONTH(B2266,0))),C_CLAVE,0))&amp;"","Sin dato"))</f>
        <v/>
      </c>
      <c r="AB2266" s="71" t="str">
        <f aca="false">IF(AH2266="","",ROUND(MIN(K2266,TOPE_AFP_UF*AJ2266)*AK2266,0))</f>
        <v/>
      </c>
      <c r="AC2266" s="71" t="str">
        <f aca="false">IF(AH2266="","",ROUND(MIN(K2266,TOPE_AFC_UF*AJ2266)*IF(AA2266="Indefinido",AFC_EMP_INDEF,AFC_EMP_PF),0))</f>
        <v/>
      </c>
      <c r="AD2266" s="71" t="str">
        <f aca="false">IF(AH2266="","",ROUND(MIN(K2266,TOPE_AFP_UF*AJ2266)*(MUTUAL_BASICA+MUTUAL_ADIC+SANNA),0))</f>
        <v/>
      </c>
      <c r="AE2266" s="71" t="str">
        <f aca="false">IF(AH2266="","",P2266-N(N2266)+AB2266+AC2266+AD2266)</f>
        <v/>
      </c>
      <c r="AF2266" s="65"/>
      <c r="AG2266" s="64"/>
      <c r="AH2266" s="72" t="str">
        <f aca="false">IF(OR(B2266="",C2266=""),"",C2266&amp;"|"&amp;(YEAR(B2266)*100+MONTH(B2266)))</f>
        <v/>
      </c>
      <c r="AI2266" s="70" t="str">
        <f aca="false">IF(AH2266="","",IF(COUNTIF(L_CLAVE,AH2266)&gt;1,"⚠ Duplicado","OK"))</f>
        <v/>
      </c>
      <c r="AJ2266" s="86" t="str">
        <f aca="false">IF(AH2266="","",IF(SUMPRODUCT(MAX((IND_PER&lt;=B2266)*(IND_UF&lt;&gt;"")*IND_PER))=0,UF_HOY,INDEX(IND_UF,MATCH(SUMPRODUCT(MAX((IND_PER&lt;=B2266)*(IND_UF&lt;&gt;"")*IND_PER)),IND_PER,0))))</f>
        <v/>
      </c>
      <c r="AK2266" s="87" t="str">
        <f aca="false">IF(AH2266="","",IF(COUNTIF(TASA_DESDE,"&lt;="&amp;B2266)=0,INDEX(TASA_EMP,1),INDEX(TASA_EMP,COUNTIF(TASA_DESDE,"&lt;="&amp;B2266))))</f>
        <v/>
      </c>
    </row>
    <row r="2267" customFormat="false" ht="15" hidden="false" customHeight="false" outlineLevel="0" collapsed="false">
      <c r="B2267" s="78"/>
      <c r="C2267" s="64"/>
      <c r="D2267" s="72" t="str">
        <f aca="false">IF(C2267="","",IFERROR(INDEX(T_NOMBRE,MATCH(C2267,T_ID,0)),"⚠ ID no existe"))</f>
        <v/>
      </c>
      <c r="E2267" s="69"/>
      <c r="F2267" s="67"/>
      <c r="G2267" s="67"/>
      <c r="H2267" s="67"/>
      <c r="I2267" s="67"/>
      <c r="J2267" s="67"/>
      <c r="K2267" s="85" t="str">
        <f aca="false">IF(AH2267="","",N(F2267)+N(G2267)+N(H2267)-N(I2267)+N(J2267))</f>
        <v/>
      </c>
      <c r="L2267" s="67"/>
      <c r="M2267" s="67"/>
      <c r="N2267" s="67"/>
      <c r="O2267" s="67"/>
      <c r="P2267" s="85" t="str">
        <f aca="false">IF(AH2267="","",K2267+N(L2267)+N(M2267)+N(N2267)+N(O2267))</f>
        <v/>
      </c>
      <c r="Q2267" s="67"/>
      <c r="R2267" s="67"/>
      <c r="S2267" s="67"/>
      <c r="T2267" s="67"/>
      <c r="U2267" s="67"/>
      <c r="V2267" s="67"/>
      <c r="W2267" s="85" t="str">
        <f aca="false">IF(AH2267="","",N(Q2267)+N(R2267)+N(S2267)+N(T2267)+N(U2267)+N(V2267))</f>
        <v/>
      </c>
      <c r="X2267" s="85" t="str">
        <f aca="false">IF(AH2267="","",P2267-W2267)</f>
        <v/>
      </c>
      <c r="Y2267" s="67"/>
      <c r="Z2267" s="70" t="str">
        <f aca="false">IF(OR(AH2267="",Y2267=""),"",IF(ABS(X2267-Y2267)&lt;=1,"✓ Cuadra","⚠ Diferencia $"&amp;FIXED(X2267-Y2267,0)))</f>
        <v/>
      </c>
      <c r="AA2267" s="72" t="str">
        <f aca="false">IF(AH2267="","",IFERROR(INDEX(C_TIPO,MATCH(C2267&amp;"-P"&amp;MAX(1,COUNTIFS(C_ID,C2267,C_DEFINE,"Sí",C_INICIO,"&lt;="&amp;EOMONTH(B2267,0))),C_CLAVE,0))&amp;"","Sin dato"))</f>
        <v/>
      </c>
      <c r="AB2267" s="71" t="str">
        <f aca="false">IF(AH2267="","",ROUND(MIN(K2267,TOPE_AFP_UF*AJ2267)*AK2267,0))</f>
        <v/>
      </c>
      <c r="AC2267" s="71" t="str">
        <f aca="false">IF(AH2267="","",ROUND(MIN(K2267,TOPE_AFC_UF*AJ2267)*IF(AA2267="Indefinido",AFC_EMP_INDEF,AFC_EMP_PF),0))</f>
        <v/>
      </c>
      <c r="AD2267" s="71" t="str">
        <f aca="false">IF(AH2267="","",ROUND(MIN(K2267,TOPE_AFP_UF*AJ2267)*(MUTUAL_BASICA+MUTUAL_ADIC+SANNA),0))</f>
        <v/>
      </c>
      <c r="AE2267" s="71" t="str">
        <f aca="false">IF(AH2267="","",P2267-N(N2267)+AB2267+AC2267+AD2267)</f>
        <v/>
      </c>
      <c r="AF2267" s="65"/>
      <c r="AG2267" s="64"/>
      <c r="AH2267" s="72" t="str">
        <f aca="false">IF(OR(B2267="",C2267=""),"",C2267&amp;"|"&amp;(YEAR(B2267)*100+MONTH(B2267)))</f>
        <v/>
      </c>
      <c r="AI2267" s="70" t="str">
        <f aca="false">IF(AH2267="","",IF(COUNTIF(L_CLAVE,AH2267)&gt;1,"⚠ Duplicado","OK"))</f>
        <v/>
      </c>
      <c r="AJ2267" s="86" t="str">
        <f aca="false">IF(AH2267="","",IF(SUMPRODUCT(MAX((IND_PER&lt;=B2267)*(IND_UF&lt;&gt;"")*IND_PER))=0,UF_HOY,INDEX(IND_UF,MATCH(SUMPRODUCT(MAX((IND_PER&lt;=B2267)*(IND_UF&lt;&gt;"")*IND_PER)),IND_PER,0))))</f>
        <v/>
      </c>
      <c r="AK2267" s="87" t="str">
        <f aca="false">IF(AH2267="","",IF(COUNTIF(TASA_DESDE,"&lt;="&amp;B2267)=0,INDEX(TASA_EMP,1),INDEX(TASA_EMP,COUNTIF(TASA_DESDE,"&lt;="&amp;B2267))))</f>
        <v/>
      </c>
    </row>
    <row r="2268" customFormat="false" ht="15" hidden="false" customHeight="false" outlineLevel="0" collapsed="false">
      <c r="B2268" s="78"/>
      <c r="C2268" s="64"/>
      <c r="D2268" s="72" t="str">
        <f aca="false">IF(C2268="","",IFERROR(INDEX(T_NOMBRE,MATCH(C2268,T_ID,0)),"⚠ ID no existe"))</f>
        <v/>
      </c>
      <c r="E2268" s="69"/>
      <c r="F2268" s="67"/>
      <c r="G2268" s="67"/>
      <c r="H2268" s="67"/>
      <c r="I2268" s="67"/>
      <c r="J2268" s="67"/>
      <c r="K2268" s="85" t="str">
        <f aca="false">IF(AH2268="","",N(F2268)+N(G2268)+N(H2268)-N(I2268)+N(J2268))</f>
        <v/>
      </c>
      <c r="L2268" s="67"/>
      <c r="M2268" s="67"/>
      <c r="N2268" s="67"/>
      <c r="O2268" s="67"/>
      <c r="P2268" s="85" t="str">
        <f aca="false">IF(AH2268="","",K2268+N(L2268)+N(M2268)+N(N2268)+N(O2268))</f>
        <v/>
      </c>
      <c r="Q2268" s="67"/>
      <c r="R2268" s="67"/>
      <c r="S2268" s="67"/>
      <c r="T2268" s="67"/>
      <c r="U2268" s="67"/>
      <c r="V2268" s="67"/>
      <c r="W2268" s="85" t="str">
        <f aca="false">IF(AH2268="","",N(Q2268)+N(R2268)+N(S2268)+N(T2268)+N(U2268)+N(V2268))</f>
        <v/>
      </c>
      <c r="X2268" s="85" t="str">
        <f aca="false">IF(AH2268="","",P2268-W2268)</f>
        <v/>
      </c>
      <c r="Y2268" s="67"/>
      <c r="Z2268" s="70" t="str">
        <f aca="false">IF(OR(AH2268="",Y2268=""),"",IF(ABS(X2268-Y2268)&lt;=1,"✓ Cuadra","⚠ Diferencia $"&amp;FIXED(X2268-Y2268,0)))</f>
        <v/>
      </c>
      <c r="AA2268" s="72" t="str">
        <f aca="false">IF(AH2268="","",IFERROR(INDEX(C_TIPO,MATCH(C2268&amp;"-P"&amp;MAX(1,COUNTIFS(C_ID,C2268,C_DEFINE,"Sí",C_INICIO,"&lt;="&amp;EOMONTH(B2268,0))),C_CLAVE,0))&amp;"","Sin dato"))</f>
        <v/>
      </c>
      <c r="AB2268" s="71" t="str">
        <f aca="false">IF(AH2268="","",ROUND(MIN(K2268,TOPE_AFP_UF*AJ2268)*AK2268,0))</f>
        <v/>
      </c>
      <c r="AC2268" s="71" t="str">
        <f aca="false">IF(AH2268="","",ROUND(MIN(K2268,TOPE_AFC_UF*AJ2268)*IF(AA2268="Indefinido",AFC_EMP_INDEF,AFC_EMP_PF),0))</f>
        <v/>
      </c>
      <c r="AD2268" s="71" t="str">
        <f aca="false">IF(AH2268="","",ROUND(MIN(K2268,TOPE_AFP_UF*AJ2268)*(MUTUAL_BASICA+MUTUAL_ADIC+SANNA),0))</f>
        <v/>
      </c>
      <c r="AE2268" s="71" t="str">
        <f aca="false">IF(AH2268="","",P2268-N(N2268)+AB2268+AC2268+AD2268)</f>
        <v/>
      </c>
      <c r="AF2268" s="65"/>
      <c r="AG2268" s="64"/>
      <c r="AH2268" s="72" t="str">
        <f aca="false">IF(OR(B2268="",C2268=""),"",C2268&amp;"|"&amp;(YEAR(B2268)*100+MONTH(B2268)))</f>
        <v/>
      </c>
      <c r="AI2268" s="70" t="str">
        <f aca="false">IF(AH2268="","",IF(COUNTIF(L_CLAVE,AH2268)&gt;1,"⚠ Duplicado","OK"))</f>
        <v/>
      </c>
      <c r="AJ2268" s="86" t="str">
        <f aca="false">IF(AH2268="","",IF(SUMPRODUCT(MAX((IND_PER&lt;=B2268)*(IND_UF&lt;&gt;"")*IND_PER))=0,UF_HOY,INDEX(IND_UF,MATCH(SUMPRODUCT(MAX((IND_PER&lt;=B2268)*(IND_UF&lt;&gt;"")*IND_PER)),IND_PER,0))))</f>
        <v/>
      </c>
      <c r="AK2268" s="87" t="str">
        <f aca="false">IF(AH2268="","",IF(COUNTIF(TASA_DESDE,"&lt;="&amp;B2268)=0,INDEX(TASA_EMP,1),INDEX(TASA_EMP,COUNTIF(TASA_DESDE,"&lt;="&amp;B2268))))</f>
        <v/>
      </c>
    </row>
    <row r="2269" customFormat="false" ht="15" hidden="false" customHeight="false" outlineLevel="0" collapsed="false">
      <c r="B2269" s="78"/>
      <c r="C2269" s="64"/>
      <c r="D2269" s="72" t="str">
        <f aca="false">IF(C2269="","",IFERROR(INDEX(T_NOMBRE,MATCH(C2269,T_ID,0)),"⚠ ID no existe"))</f>
        <v/>
      </c>
      <c r="E2269" s="69"/>
      <c r="F2269" s="67"/>
      <c r="G2269" s="67"/>
      <c r="H2269" s="67"/>
      <c r="I2269" s="67"/>
      <c r="J2269" s="67"/>
      <c r="K2269" s="85" t="str">
        <f aca="false">IF(AH2269="","",N(F2269)+N(G2269)+N(H2269)-N(I2269)+N(J2269))</f>
        <v/>
      </c>
      <c r="L2269" s="67"/>
      <c r="M2269" s="67"/>
      <c r="N2269" s="67"/>
      <c r="O2269" s="67"/>
      <c r="P2269" s="85" t="str">
        <f aca="false">IF(AH2269="","",K2269+N(L2269)+N(M2269)+N(N2269)+N(O2269))</f>
        <v/>
      </c>
      <c r="Q2269" s="67"/>
      <c r="R2269" s="67"/>
      <c r="S2269" s="67"/>
      <c r="T2269" s="67"/>
      <c r="U2269" s="67"/>
      <c r="V2269" s="67"/>
      <c r="W2269" s="85" t="str">
        <f aca="false">IF(AH2269="","",N(Q2269)+N(R2269)+N(S2269)+N(T2269)+N(U2269)+N(V2269))</f>
        <v/>
      </c>
      <c r="X2269" s="85" t="str">
        <f aca="false">IF(AH2269="","",P2269-W2269)</f>
        <v/>
      </c>
      <c r="Y2269" s="67"/>
      <c r="Z2269" s="70" t="str">
        <f aca="false">IF(OR(AH2269="",Y2269=""),"",IF(ABS(X2269-Y2269)&lt;=1,"✓ Cuadra","⚠ Diferencia $"&amp;FIXED(X2269-Y2269,0)))</f>
        <v/>
      </c>
      <c r="AA2269" s="72" t="str">
        <f aca="false">IF(AH2269="","",IFERROR(INDEX(C_TIPO,MATCH(C2269&amp;"-P"&amp;MAX(1,COUNTIFS(C_ID,C2269,C_DEFINE,"Sí",C_INICIO,"&lt;="&amp;EOMONTH(B2269,0))),C_CLAVE,0))&amp;"","Sin dato"))</f>
        <v/>
      </c>
      <c r="AB2269" s="71" t="str">
        <f aca="false">IF(AH2269="","",ROUND(MIN(K2269,TOPE_AFP_UF*AJ2269)*AK2269,0))</f>
        <v/>
      </c>
      <c r="AC2269" s="71" t="str">
        <f aca="false">IF(AH2269="","",ROUND(MIN(K2269,TOPE_AFC_UF*AJ2269)*IF(AA2269="Indefinido",AFC_EMP_INDEF,AFC_EMP_PF),0))</f>
        <v/>
      </c>
      <c r="AD2269" s="71" t="str">
        <f aca="false">IF(AH2269="","",ROUND(MIN(K2269,TOPE_AFP_UF*AJ2269)*(MUTUAL_BASICA+MUTUAL_ADIC+SANNA),0))</f>
        <v/>
      </c>
      <c r="AE2269" s="71" t="str">
        <f aca="false">IF(AH2269="","",P2269-N(N2269)+AB2269+AC2269+AD2269)</f>
        <v/>
      </c>
      <c r="AF2269" s="65"/>
      <c r="AG2269" s="64"/>
      <c r="AH2269" s="72" t="str">
        <f aca="false">IF(OR(B2269="",C2269=""),"",C2269&amp;"|"&amp;(YEAR(B2269)*100+MONTH(B2269)))</f>
        <v/>
      </c>
      <c r="AI2269" s="70" t="str">
        <f aca="false">IF(AH2269="","",IF(COUNTIF(L_CLAVE,AH2269)&gt;1,"⚠ Duplicado","OK"))</f>
        <v/>
      </c>
      <c r="AJ2269" s="86" t="str">
        <f aca="false">IF(AH2269="","",IF(SUMPRODUCT(MAX((IND_PER&lt;=B2269)*(IND_UF&lt;&gt;"")*IND_PER))=0,UF_HOY,INDEX(IND_UF,MATCH(SUMPRODUCT(MAX((IND_PER&lt;=B2269)*(IND_UF&lt;&gt;"")*IND_PER)),IND_PER,0))))</f>
        <v/>
      </c>
      <c r="AK2269" s="87" t="str">
        <f aca="false">IF(AH2269="","",IF(COUNTIF(TASA_DESDE,"&lt;="&amp;B2269)=0,INDEX(TASA_EMP,1),INDEX(TASA_EMP,COUNTIF(TASA_DESDE,"&lt;="&amp;B2269))))</f>
        <v/>
      </c>
    </row>
    <row r="2270" customFormat="false" ht="15" hidden="false" customHeight="false" outlineLevel="0" collapsed="false">
      <c r="B2270" s="78"/>
      <c r="C2270" s="64"/>
      <c r="D2270" s="72" t="str">
        <f aca="false">IF(C2270="","",IFERROR(INDEX(T_NOMBRE,MATCH(C2270,T_ID,0)),"⚠ ID no existe"))</f>
        <v/>
      </c>
      <c r="E2270" s="69"/>
      <c r="F2270" s="67"/>
      <c r="G2270" s="67"/>
      <c r="H2270" s="67"/>
      <c r="I2270" s="67"/>
      <c r="J2270" s="67"/>
      <c r="K2270" s="85" t="str">
        <f aca="false">IF(AH2270="","",N(F2270)+N(G2270)+N(H2270)-N(I2270)+N(J2270))</f>
        <v/>
      </c>
      <c r="L2270" s="67"/>
      <c r="M2270" s="67"/>
      <c r="N2270" s="67"/>
      <c r="O2270" s="67"/>
      <c r="P2270" s="85" t="str">
        <f aca="false">IF(AH2270="","",K2270+N(L2270)+N(M2270)+N(N2270)+N(O2270))</f>
        <v/>
      </c>
      <c r="Q2270" s="67"/>
      <c r="R2270" s="67"/>
      <c r="S2270" s="67"/>
      <c r="T2270" s="67"/>
      <c r="U2270" s="67"/>
      <c r="V2270" s="67"/>
      <c r="W2270" s="85" t="str">
        <f aca="false">IF(AH2270="","",N(Q2270)+N(R2270)+N(S2270)+N(T2270)+N(U2270)+N(V2270))</f>
        <v/>
      </c>
      <c r="X2270" s="85" t="str">
        <f aca="false">IF(AH2270="","",P2270-W2270)</f>
        <v/>
      </c>
      <c r="Y2270" s="67"/>
      <c r="Z2270" s="70" t="str">
        <f aca="false">IF(OR(AH2270="",Y2270=""),"",IF(ABS(X2270-Y2270)&lt;=1,"✓ Cuadra","⚠ Diferencia $"&amp;FIXED(X2270-Y2270,0)))</f>
        <v/>
      </c>
      <c r="AA2270" s="72" t="str">
        <f aca="false">IF(AH2270="","",IFERROR(INDEX(C_TIPO,MATCH(C2270&amp;"-P"&amp;MAX(1,COUNTIFS(C_ID,C2270,C_DEFINE,"Sí",C_INICIO,"&lt;="&amp;EOMONTH(B2270,0))),C_CLAVE,0))&amp;"","Sin dato"))</f>
        <v/>
      </c>
      <c r="AB2270" s="71" t="str">
        <f aca="false">IF(AH2270="","",ROUND(MIN(K2270,TOPE_AFP_UF*AJ2270)*AK2270,0))</f>
        <v/>
      </c>
      <c r="AC2270" s="71" t="str">
        <f aca="false">IF(AH2270="","",ROUND(MIN(K2270,TOPE_AFC_UF*AJ2270)*IF(AA2270="Indefinido",AFC_EMP_INDEF,AFC_EMP_PF),0))</f>
        <v/>
      </c>
      <c r="AD2270" s="71" t="str">
        <f aca="false">IF(AH2270="","",ROUND(MIN(K2270,TOPE_AFP_UF*AJ2270)*(MUTUAL_BASICA+MUTUAL_ADIC+SANNA),0))</f>
        <v/>
      </c>
      <c r="AE2270" s="71" t="str">
        <f aca="false">IF(AH2270="","",P2270-N(N2270)+AB2270+AC2270+AD2270)</f>
        <v/>
      </c>
      <c r="AF2270" s="65"/>
      <c r="AG2270" s="64"/>
      <c r="AH2270" s="72" t="str">
        <f aca="false">IF(OR(B2270="",C2270=""),"",C2270&amp;"|"&amp;(YEAR(B2270)*100+MONTH(B2270)))</f>
        <v/>
      </c>
      <c r="AI2270" s="70" t="str">
        <f aca="false">IF(AH2270="","",IF(COUNTIF(L_CLAVE,AH2270)&gt;1,"⚠ Duplicado","OK"))</f>
        <v/>
      </c>
      <c r="AJ2270" s="86" t="str">
        <f aca="false">IF(AH2270="","",IF(SUMPRODUCT(MAX((IND_PER&lt;=B2270)*(IND_UF&lt;&gt;"")*IND_PER))=0,UF_HOY,INDEX(IND_UF,MATCH(SUMPRODUCT(MAX((IND_PER&lt;=B2270)*(IND_UF&lt;&gt;"")*IND_PER)),IND_PER,0))))</f>
        <v/>
      </c>
      <c r="AK2270" s="87" t="str">
        <f aca="false">IF(AH2270="","",IF(COUNTIF(TASA_DESDE,"&lt;="&amp;B2270)=0,INDEX(TASA_EMP,1),INDEX(TASA_EMP,COUNTIF(TASA_DESDE,"&lt;="&amp;B2270))))</f>
        <v/>
      </c>
    </row>
    <row r="2271" customFormat="false" ht="15" hidden="false" customHeight="false" outlineLevel="0" collapsed="false">
      <c r="B2271" s="78"/>
      <c r="C2271" s="64"/>
      <c r="D2271" s="72" t="str">
        <f aca="false">IF(C2271="","",IFERROR(INDEX(T_NOMBRE,MATCH(C2271,T_ID,0)),"⚠ ID no existe"))</f>
        <v/>
      </c>
      <c r="E2271" s="69"/>
      <c r="F2271" s="67"/>
      <c r="G2271" s="67"/>
      <c r="H2271" s="67"/>
      <c r="I2271" s="67"/>
      <c r="J2271" s="67"/>
      <c r="K2271" s="85" t="str">
        <f aca="false">IF(AH2271="","",N(F2271)+N(G2271)+N(H2271)-N(I2271)+N(J2271))</f>
        <v/>
      </c>
      <c r="L2271" s="67"/>
      <c r="M2271" s="67"/>
      <c r="N2271" s="67"/>
      <c r="O2271" s="67"/>
      <c r="P2271" s="85" t="str">
        <f aca="false">IF(AH2271="","",K2271+N(L2271)+N(M2271)+N(N2271)+N(O2271))</f>
        <v/>
      </c>
      <c r="Q2271" s="67"/>
      <c r="R2271" s="67"/>
      <c r="S2271" s="67"/>
      <c r="T2271" s="67"/>
      <c r="U2271" s="67"/>
      <c r="V2271" s="67"/>
      <c r="W2271" s="85" t="str">
        <f aca="false">IF(AH2271="","",N(Q2271)+N(R2271)+N(S2271)+N(T2271)+N(U2271)+N(V2271))</f>
        <v/>
      </c>
      <c r="X2271" s="85" t="str">
        <f aca="false">IF(AH2271="","",P2271-W2271)</f>
        <v/>
      </c>
      <c r="Y2271" s="67"/>
      <c r="Z2271" s="70" t="str">
        <f aca="false">IF(OR(AH2271="",Y2271=""),"",IF(ABS(X2271-Y2271)&lt;=1,"✓ Cuadra","⚠ Diferencia $"&amp;FIXED(X2271-Y2271,0)))</f>
        <v/>
      </c>
      <c r="AA2271" s="72" t="str">
        <f aca="false">IF(AH2271="","",IFERROR(INDEX(C_TIPO,MATCH(C2271&amp;"-P"&amp;MAX(1,COUNTIFS(C_ID,C2271,C_DEFINE,"Sí",C_INICIO,"&lt;="&amp;EOMONTH(B2271,0))),C_CLAVE,0))&amp;"","Sin dato"))</f>
        <v/>
      </c>
      <c r="AB2271" s="71" t="str">
        <f aca="false">IF(AH2271="","",ROUND(MIN(K2271,TOPE_AFP_UF*AJ2271)*AK2271,0))</f>
        <v/>
      </c>
      <c r="AC2271" s="71" t="str">
        <f aca="false">IF(AH2271="","",ROUND(MIN(K2271,TOPE_AFC_UF*AJ2271)*IF(AA2271="Indefinido",AFC_EMP_INDEF,AFC_EMP_PF),0))</f>
        <v/>
      </c>
      <c r="AD2271" s="71" t="str">
        <f aca="false">IF(AH2271="","",ROUND(MIN(K2271,TOPE_AFP_UF*AJ2271)*(MUTUAL_BASICA+MUTUAL_ADIC+SANNA),0))</f>
        <v/>
      </c>
      <c r="AE2271" s="71" t="str">
        <f aca="false">IF(AH2271="","",P2271-N(N2271)+AB2271+AC2271+AD2271)</f>
        <v/>
      </c>
      <c r="AF2271" s="65"/>
      <c r="AG2271" s="64"/>
      <c r="AH2271" s="72" t="str">
        <f aca="false">IF(OR(B2271="",C2271=""),"",C2271&amp;"|"&amp;(YEAR(B2271)*100+MONTH(B2271)))</f>
        <v/>
      </c>
      <c r="AI2271" s="70" t="str">
        <f aca="false">IF(AH2271="","",IF(COUNTIF(L_CLAVE,AH2271)&gt;1,"⚠ Duplicado","OK"))</f>
        <v/>
      </c>
      <c r="AJ2271" s="86" t="str">
        <f aca="false">IF(AH2271="","",IF(SUMPRODUCT(MAX((IND_PER&lt;=B2271)*(IND_UF&lt;&gt;"")*IND_PER))=0,UF_HOY,INDEX(IND_UF,MATCH(SUMPRODUCT(MAX((IND_PER&lt;=B2271)*(IND_UF&lt;&gt;"")*IND_PER)),IND_PER,0))))</f>
        <v/>
      </c>
      <c r="AK2271" s="87" t="str">
        <f aca="false">IF(AH2271="","",IF(COUNTIF(TASA_DESDE,"&lt;="&amp;B2271)=0,INDEX(TASA_EMP,1),INDEX(TASA_EMP,COUNTIF(TASA_DESDE,"&lt;="&amp;B2271))))</f>
        <v/>
      </c>
    </row>
    <row r="2272" customFormat="false" ht="15" hidden="false" customHeight="false" outlineLevel="0" collapsed="false">
      <c r="B2272" s="78"/>
      <c r="C2272" s="64"/>
      <c r="D2272" s="72" t="str">
        <f aca="false">IF(C2272="","",IFERROR(INDEX(T_NOMBRE,MATCH(C2272,T_ID,0)),"⚠ ID no existe"))</f>
        <v/>
      </c>
      <c r="E2272" s="69"/>
      <c r="F2272" s="67"/>
      <c r="G2272" s="67"/>
      <c r="H2272" s="67"/>
      <c r="I2272" s="67"/>
      <c r="J2272" s="67"/>
      <c r="K2272" s="85" t="str">
        <f aca="false">IF(AH2272="","",N(F2272)+N(G2272)+N(H2272)-N(I2272)+N(J2272))</f>
        <v/>
      </c>
      <c r="L2272" s="67"/>
      <c r="M2272" s="67"/>
      <c r="N2272" s="67"/>
      <c r="O2272" s="67"/>
      <c r="P2272" s="85" t="str">
        <f aca="false">IF(AH2272="","",K2272+N(L2272)+N(M2272)+N(N2272)+N(O2272))</f>
        <v/>
      </c>
      <c r="Q2272" s="67"/>
      <c r="R2272" s="67"/>
      <c r="S2272" s="67"/>
      <c r="T2272" s="67"/>
      <c r="U2272" s="67"/>
      <c r="V2272" s="67"/>
      <c r="W2272" s="85" t="str">
        <f aca="false">IF(AH2272="","",N(Q2272)+N(R2272)+N(S2272)+N(T2272)+N(U2272)+N(V2272))</f>
        <v/>
      </c>
      <c r="X2272" s="85" t="str">
        <f aca="false">IF(AH2272="","",P2272-W2272)</f>
        <v/>
      </c>
      <c r="Y2272" s="67"/>
      <c r="Z2272" s="70" t="str">
        <f aca="false">IF(OR(AH2272="",Y2272=""),"",IF(ABS(X2272-Y2272)&lt;=1,"✓ Cuadra","⚠ Diferencia $"&amp;FIXED(X2272-Y2272,0)))</f>
        <v/>
      </c>
      <c r="AA2272" s="72" t="str">
        <f aca="false">IF(AH2272="","",IFERROR(INDEX(C_TIPO,MATCH(C2272&amp;"-P"&amp;MAX(1,COUNTIFS(C_ID,C2272,C_DEFINE,"Sí",C_INICIO,"&lt;="&amp;EOMONTH(B2272,0))),C_CLAVE,0))&amp;"","Sin dato"))</f>
        <v/>
      </c>
      <c r="AB2272" s="71" t="str">
        <f aca="false">IF(AH2272="","",ROUND(MIN(K2272,TOPE_AFP_UF*AJ2272)*AK2272,0))</f>
        <v/>
      </c>
      <c r="AC2272" s="71" t="str">
        <f aca="false">IF(AH2272="","",ROUND(MIN(K2272,TOPE_AFC_UF*AJ2272)*IF(AA2272="Indefinido",AFC_EMP_INDEF,AFC_EMP_PF),0))</f>
        <v/>
      </c>
      <c r="AD2272" s="71" t="str">
        <f aca="false">IF(AH2272="","",ROUND(MIN(K2272,TOPE_AFP_UF*AJ2272)*(MUTUAL_BASICA+MUTUAL_ADIC+SANNA),0))</f>
        <v/>
      </c>
      <c r="AE2272" s="71" t="str">
        <f aca="false">IF(AH2272="","",P2272-N(N2272)+AB2272+AC2272+AD2272)</f>
        <v/>
      </c>
      <c r="AF2272" s="65"/>
      <c r="AG2272" s="64"/>
      <c r="AH2272" s="72" t="str">
        <f aca="false">IF(OR(B2272="",C2272=""),"",C2272&amp;"|"&amp;(YEAR(B2272)*100+MONTH(B2272)))</f>
        <v/>
      </c>
      <c r="AI2272" s="70" t="str">
        <f aca="false">IF(AH2272="","",IF(COUNTIF(L_CLAVE,AH2272)&gt;1,"⚠ Duplicado","OK"))</f>
        <v/>
      </c>
      <c r="AJ2272" s="86" t="str">
        <f aca="false">IF(AH2272="","",IF(SUMPRODUCT(MAX((IND_PER&lt;=B2272)*(IND_UF&lt;&gt;"")*IND_PER))=0,UF_HOY,INDEX(IND_UF,MATCH(SUMPRODUCT(MAX((IND_PER&lt;=B2272)*(IND_UF&lt;&gt;"")*IND_PER)),IND_PER,0))))</f>
        <v/>
      </c>
      <c r="AK2272" s="87" t="str">
        <f aca="false">IF(AH2272="","",IF(COUNTIF(TASA_DESDE,"&lt;="&amp;B2272)=0,INDEX(TASA_EMP,1),INDEX(TASA_EMP,COUNTIF(TASA_DESDE,"&lt;="&amp;B2272))))</f>
        <v/>
      </c>
    </row>
    <row r="2273" customFormat="false" ht="15" hidden="false" customHeight="false" outlineLevel="0" collapsed="false">
      <c r="B2273" s="78"/>
      <c r="C2273" s="64"/>
      <c r="D2273" s="72" t="str">
        <f aca="false">IF(C2273="","",IFERROR(INDEX(T_NOMBRE,MATCH(C2273,T_ID,0)),"⚠ ID no existe"))</f>
        <v/>
      </c>
      <c r="E2273" s="69"/>
      <c r="F2273" s="67"/>
      <c r="G2273" s="67"/>
      <c r="H2273" s="67"/>
      <c r="I2273" s="67"/>
      <c r="J2273" s="67"/>
      <c r="K2273" s="85" t="str">
        <f aca="false">IF(AH2273="","",N(F2273)+N(G2273)+N(H2273)-N(I2273)+N(J2273))</f>
        <v/>
      </c>
      <c r="L2273" s="67"/>
      <c r="M2273" s="67"/>
      <c r="N2273" s="67"/>
      <c r="O2273" s="67"/>
      <c r="P2273" s="85" t="str">
        <f aca="false">IF(AH2273="","",K2273+N(L2273)+N(M2273)+N(N2273)+N(O2273))</f>
        <v/>
      </c>
      <c r="Q2273" s="67"/>
      <c r="R2273" s="67"/>
      <c r="S2273" s="67"/>
      <c r="T2273" s="67"/>
      <c r="U2273" s="67"/>
      <c r="V2273" s="67"/>
      <c r="W2273" s="85" t="str">
        <f aca="false">IF(AH2273="","",N(Q2273)+N(R2273)+N(S2273)+N(T2273)+N(U2273)+N(V2273))</f>
        <v/>
      </c>
      <c r="X2273" s="85" t="str">
        <f aca="false">IF(AH2273="","",P2273-W2273)</f>
        <v/>
      </c>
      <c r="Y2273" s="67"/>
      <c r="Z2273" s="70" t="str">
        <f aca="false">IF(OR(AH2273="",Y2273=""),"",IF(ABS(X2273-Y2273)&lt;=1,"✓ Cuadra","⚠ Diferencia $"&amp;FIXED(X2273-Y2273,0)))</f>
        <v/>
      </c>
      <c r="AA2273" s="72" t="str">
        <f aca="false">IF(AH2273="","",IFERROR(INDEX(C_TIPO,MATCH(C2273&amp;"-P"&amp;MAX(1,COUNTIFS(C_ID,C2273,C_DEFINE,"Sí",C_INICIO,"&lt;="&amp;EOMONTH(B2273,0))),C_CLAVE,0))&amp;"","Sin dato"))</f>
        <v/>
      </c>
      <c r="AB2273" s="71" t="str">
        <f aca="false">IF(AH2273="","",ROUND(MIN(K2273,TOPE_AFP_UF*AJ2273)*AK2273,0))</f>
        <v/>
      </c>
      <c r="AC2273" s="71" t="str">
        <f aca="false">IF(AH2273="","",ROUND(MIN(K2273,TOPE_AFC_UF*AJ2273)*IF(AA2273="Indefinido",AFC_EMP_INDEF,AFC_EMP_PF),0))</f>
        <v/>
      </c>
      <c r="AD2273" s="71" t="str">
        <f aca="false">IF(AH2273="","",ROUND(MIN(K2273,TOPE_AFP_UF*AJ2273)*(MUTUAL_BASICA+MUTUAL_ADIC+SANNA),0))</f>
        <v/>
      </c>
      <c r="AE2273" s="71" t="str">
        <f aca="false">IF(AH2273="","",P2273-N(N2273)+AB2273+AC2273+AD2273)</f>
        <v/>
      </c>
      <c r="AF2273" s="65"/>
      <c r="AG2273" s="64"/>
      <c r="AH2273" s="72" t="str">
        <f aca="false">IF(OR(B2273="",C2273=""),"",C2273&amp;"|"&amp;(YEAR(B2273)*100+MONTH(B2273)))</f>
        <v/>
      </c>
      <c r="AI2273" s="70" t="str">
        <f aca="false">IF(AH2273="","",IF(COUNTIF(L_CLAVE,AH2273)&gt;1,"⚠ Duplicado","OK"))</f>
        <v/>
      </c>
      <c r="AJ2273" s="86" t="str">
        <f aca="false">IF(AH2273="","",IF(SUMPRODUCT(MAX((IND_PER&lt;=B2273)*(IND_UF&lt;&gt;"")*IND_PER))=0,UF_HOY,INDEX(IND_UF,MATCH(SUMPRODUCT(MAX((IND_PER&lt;=B2273)*(IND_UF&lt;&gt;"")*IND_PER)),IND_PER,0))))</f>
        <v/>
      </c>
      <c r="AK2273" s="87" t="str">
        <f aca="false">IF(AH2273="","",IF(COUNTIF(TASA_DESDE,"&lt;="&amp;B2273)=0,INDEX(TASA_EMP,1),INDEX(TASA_EMP,COUNTIF(TASA_DESDE,"&lt;="&amp;B2273))))</f>
        <v/>
      </c>
    </row>
    <row r="2274" customFormat="false" ht="15" hidden="false" customHeight="false" outlineLevel="0" collapsed="false">
      <c r="B2274" s="78"/>
      <c r="C2274" s="64"/>
      <c r="D2274" s="72" t="str">
        <f aca="false">IF(C2274="","",IFERROR(INDEX(T_NOMBRE,MATCH(C2274,T_ID,0)),"⚠ ID no existe"))</f>
        <v/>
      </c>
      <c r="E2274" s="69"/>
      <c r="F2274" s="67"/>
      <c r="G2274" s="67"/>
      <c r="H2274" s="67"/>
      <c r="I2274" s="67"/>
      <c r="J2274" s="67"/>
      <c r="K2274" s="85" t="str">
        <f aca="false">IF(AH2274="","",N(F2274)+N(G2274)+N(H2274)-N(I2274)+N(J2274))</f>
        <v/>
      </c>
      <c r="L2274" s="67"/>
      <c r="M2274" s="67"/>
      <c r="N2274" s="67"/>
      <c r="O2274" s="67"/>
      <c r="P2274" s="85" t="str">
        <f aca="false">IF(AH2274="","",K2274+N(L2274)+N(M2274)+N(N2274)+N(O2274))</f>
        <v/>
      </c>
      <c r="Q2274" s="67"/>
      <c r="R2274" s="67"/>
      <c r="S2274" s="67"/>
      <c r="T2274" s="67"/>
      <c r="U2274" s="67"/>
      <c r="V2274" s="67"/>
      <c r="W2274" s="85" t="str">
        <f aca="false">IF(AH2274="","",N(Q2274)+N(R2274)+N(S2274)+N(T2274)+N(U2274)+N(V2274))</f>
        <v/>
      </c>
      <c r="X2274" s="85" t="str">
        <f aca="false">IF(AH2274="","",P2274-W2274)</f>
        <v/>
      </c>
      <c r="Y2274" s="67"/>
      <c r="Z2274" s="70" t="str">
        <f aca="false">IF(OR(AH2274="",Y2274=""),"",IF(ABS(X2274-Y2274)&lt;=1,"✓ Cuadra","⚠ Diferencia $"&amp;FIXED(X2274-Y2274,0)))</f>
        <v/>
      </c>
      <c r="AA2274" s="72" t="str">
        <f aca="false">IF(AH2274="","",IFERROR(INDEX(C_TIPO,MATCH(C2274&amp;"-P"&amp;MAX(1,COUNTIFS(C_ID,C2274,C_DEFINE,"Sí",C_INICIO,"&lt;="&amp;EOMONTH(B2274,0))),C_CLAVE,0))&amp;"","Sin dato"))</f>
        <v/>
      </c>
      <c r="AB2274" s="71" t="str">
        <f aca="false">IF(AH2274="","",ROUND(MIN(K2274,TOPE_AFP_UF*AJ2274)*AK2274,0))</f>
        <v/>
      </c>
      <c r="AC2274" s="71" t="str">
        <f aca="false">IF(AH2274="","",ROUND(MIN(K2274,TOPE_AFC_UF*AJ2274)*IF(AA2274="Indefinido",AFC_EMP_INDEF,AFC_EMP_PF),0))</f>
        <v/>
      </c>
      <c r="AD2274" s="71" t="str">
        <f aca="false">IF(AH2274="","",ROUND(MIN(K2274,TOPE_AFP_UF*AJ2274)*(MUTUAL_BASICA+MUTUAL_ADIC+SANNA),0))</f>
        <v/>
      </c>
      <c r="AE2274" s="71" t="str">
        <f aca="false">IF(AH2274="","",P2274-N(N2274)+AB2274+AC2274+AD2274)</f>
        <v/>
      </c>
      <c r="AF2274" s="65"/>
      <c r="AG2274" s="64"/>
      <c r="AH2274" s="72" t="str">
        <f aca="false">IF(OR(B2274="",C2274=""),"",C2274&amp;"|"&amp;(YEAR(B2274)*100+MONTH(B2274)))</f>
        <v/>
      </c>
      <c r="AI2274" s="70" t="str">
        <f aca="false">IF(AH2274="","",IF(COUNTIF(L_CLAVE,AH2274)&gt;1,"⚠ Duplicado","OK"))</f>
        <v/>
      </c>
      <c r="AJ2274" s="86" t="str">
        <f aca="false">IF(AH2274="","",IF(SUMPRODUCT(MAX((IND_PER&lt;=B2274)*(IND_UF&lt;&gt;"")*IND_PER))=0,UF_HOY,INDEX(IND_UF,MATCH(SUMPRODUCT(MAX((IND_PER&lt;=B2274)*(IND_UF&lt;&gt;"")*IND_PER)),IND_PER,0))))</f>
        <v/>
      </c>
      <c r="AK2274" s="87" t="str">
        <f aca="false">IF(AH2274="","",IF(COUNTIF(TASA_DESDE,"&lt;="&amp;B2274)=0,INDEX(TASA_EMP,1),INDEX(TASA_EMP,COUNTIF(TASA_DESDE,"&lt;="&amp;B2274))))</f>
        <v/>
      </c>
    </row>
    <row r="2275" customFormat="false" ht="15" hidden="false" customHeight="false" outlineLevel="0" collapsed="false">
      <c r="B2275" s="78"/>
      <c r="C2275" s="64"/>
      <c r="D2275" s="72" t="str">
        <f aca="false">IF(C2275="","",IFERROR(INDEX(T_NOMBRE,MATCH(C2275,T_ID,0)),"⚠ ID no existe"))</f>
        <v/>
      </c>
      <c r="E2275" s="69"/>
      <c r="F2275" s="67"/>
      <c r="G2275" s="67"/>
      <c r="H2275" s="67"/>
      <c r="I2275" s="67"/>
      <c r="J2275" s="67"/>
      <c r="K2275" s="85" t="str">
        <f aca="false">IF(AH2275="","",N(F2275)+N(G2275)+N(H2275)-N(I2275)+N(J2275))</f>
        <v/>
      </c>
      <c r="L2275" s="67"/>
      <c r="M2275" s="67"/>
      <c r="N2275" s="67"/>
      <c r="O2275" s="67"/>
      <c r="P2275" s="85" t="str">
        <f aca="false">IF(AH2275="","",K2275+N(L2275)+N(M2275)+N(N2275)+N(O2275))</f>
        <v/>
      </c>
      <c r="Q2275" s="67"/>
      <c r="R2275" s="67"/>
      <c r="S2275" s="67"/>
      <c r="T2275" s="67"/>
      <c r="U2275" s="67"/>
      <c r="V2275" s="67"/>
      <c r="W2275" s="85" t="str">
        <f aca="false">IF(AH2275="","",N(Q2275)+N(R2275)+N(S2275)+N(T2275)+N(U2275)+N(V2275))</f>
        <v/>
      </c>
      <c r="X2275" s="85" t="str">
        <f aca="false">IF(AH2275="","",P2275-W2275)</f>
        <v/>
      </c>
      <c r="Y2275" s="67"/>
      <c r="Z2275" s="70" t="str">
        <f aca="false">IF(OR(AH2275="",Y2275=""),"",IF(ABS(X2275-Y2275)&lt;=1,"✓ Cuadra","⚠ Diferencia $"&amp;FIXED(X2275-Y2275,0)))</f>
        <v/>
      </c>
      <c r="AA2275" s="72" t="str">
        <f aca="false">IF(AH2275="","",IFERROR(INDEX(C_TIPO,MATCH(C2275&amp;"-P"&amp;MAX(1,COUNTIFS(C_ID,C2275,C_DEFINE,"Sí",C_INICIO,"&lt;="&amp;EOMONTH(B2275,0))),C_CLAVE,0))&amp;"","Sin dato"))</f>
        <v/>
      </c>
      <c r="AB2275" s="71" t="str">
        <f aca="false">IF(AH2275="","",ROUND(MIN(K2275,TOPE_AFP_UF*AJ2275)*AK2275,0))</f>
        <v/>
      </c>
      <c r="AC2275" s="71" t="str">
        <f aca="false">IF(AH2275="","",ROUND(MIN(K2275,TOPE_AFC_UF*AJ2275)*IF(AA2275="Indefinido",AFC_EMP_INDEF,AFC_EMP_PF),0))</f>
        <v/>
      </c>
      <c r="AD2275" s="71" t="str">
        <f aca="false">IF(AH2275="","",ROUND(MIN(K2275,TOPE_AFP_UF*AJ2275)*(MUTUAL_BASICA+MUTUAL_ADIC+SANNA),0))</f>
        <v/>
      </c>
      <c r="AE2275" s="71" t="str">
        <f aca="false">IF(AH2275="","",P2275-N(N2275)+AB2275+AC2275+AD2275)</f>
        <v/>
      </c>
      <c r="AF2275" s="65"/>
      <c r="AG2275" s="64"/>
      <c r="AH2275" s="72" t="str">
        <f aca="false">IF(OR(B2275="",C2275=""),"",C2275&amp;"|"&amp;(YEAR(B2275)*100+MONTH(B2275)))</f>
        <v/>
      </c>
      <c r="AI2275" s="70" t="str">
        <f aca="false">IF(AH2275="","",IF(COUNTIF(L_CLAVE,AH2275)&gt;1,"⚠ Duplicado","OK"))</f>
        <v/>
      </c>
      <c r="AJ2275" s="86" t="str">
        <f aca="false">IF(AH2275="","",IF(SUMPRODUCT(MAX((IND_PER&lt;=B2275)*(IND_UF&lt;&gt;"")*IND_PER))=0,UF_HOY,INDEX(IND_UF,MATCH(SUMPRODUCT(MAX((IND_PER&lt;=B2275)*(IND_UF&lt;&gt;"")*IND_PER)),IND_PER,0))))</f>
        <v/>
      </c>
      <c r="AK2275" s="87" t="str">
        <f aca="false">IF(AH2275="","",IF(COUNTIF(TASA_DESDE,"&lt;="&amp;B2275)=0,INDEX(TASA_EMP,1),INDEX(TASA_EMP,COUNTIF(TASA_DESDE,"&lt;="&amp;B2275))))</f>
        <v/>
      </c>
    </row>
    <row r="2276" customFormat="false" ht="15" hidden="false" customHeight="false" outlineLevel="0" collapsed="false">
      <c r="B2276" s="78"/>
      <c r="C2276" s="64"/>
      <c r="D2276" s="72" t="str">
        <f aca="false">IF(C2276="","",IFERROR(INDEX(T_NOMBRE,MATCH(C2276,T_ID,0)),"⚠ ID no existe"))</f>
        <v/>
      </c>
      <c r="E2276" s="69"/>
      <c r="F2276" s="67"/>
      <c r="G2276" s="67"/>
      <c r="H2276" s="67"/>
      <c r="I2276" s="67"/>
      <c r="J2276" s="67"/>
      <c r="K2276" s="85" t="str">
        <f aca="false">IF(AH2276="","",N(F2276)+N(G2276)+N(H2276)-N(I2276)+N(J2276))</f>
        <v/>
      </c>
      <c r="L2276" s="67"/>
      <c r="M2276" s="67"/>
      <c r="N2276" s="67"/>
      <c r="O2276" s="67"/>
      <c r="P2276" s="85" t="str">
        <f aca="false">IF(AH2276="","",K2276+N(L2276)+N(M2276)+N(N2276)+N(O2276))</f>
        <v/>
      </c>
      <c r="Q2276" s="67"/>
      <c r="R2276" s="67"/>
      <c r="S2276" s="67"/>
      <c r="T2276" s="67"/>
      <c r="U2276" s="67"/>
      <c r="V2276" s="67"/>
      <c r="W2276" s="85" t="str">
        <f aca="false">IF(AH2276="","",N(Q2276)+N(R2276)+N(S2276)+N(T2276)+N(U2276)+N(V2276))</f>
        <v/>
      </c>
      <c r="X2276" s="85" t="str">
        <f aca="false">IF(AH2276="","",P2276-W2276)</f>
        <v/>
      </c>
      <c r="Y2276" s="67"/>
      <c r="Z2276" s="70" t="str">
        <f aca="false">IF(OR(AH2276="",Y2276=""),"",IF(ABS(X2276-Y2276)&lt;=1,"✓ Cuadra","⚠ Diferencia $"&amp;FIXED(X2276-Y2276,0)))</f>
        <v/>
      </c>
      <c r="AA2276" s="72" t="str">
        <f aca="false">IF(AH2276="","",IFERROR(INDEX(C_TIPO,MATCH(C2276&amp;"-P"&amp;MAX(1,COUNTIFS(C_ID,C2276,C_DEFINE,"Sí",C_INICIO,"&lt;="&amp;EOMONTH(B2276,0))),C_CLAVE,0))&amp;"","Sin dato"))</f>
        <v/>
      </c>
      <c r="AB2276" s="71" t="str">
        <f aca="false">IF(AH2276="","",ROUND(MIN(K2276,TOPE_AFP_UF*AJ2276)*AK2276,0))</f>
        <v/>
      </c>
      <c r="AC2276" s="71" t="str">
        <f aca="false">IF(AH2276="","",ROUND(MIN(K2276,TOPE_AFC_UF*AJ2276)*IF(AA2276="Indefinido",AFC_EMP_INDEF,AFC_EMP_PF),0))</f>
        <v/>
      </c>
      <c r="AD2276" s="71" t="str">
        <f aca="false">IF(AH2276="","",ROUND(MIN(K2276,TOPE_AFP_UF*AJ2276)*(MUTUAL_BASICA+MUTUAL_ADIC+SANNA),0))</f>
        <v/>
      </c>
      <c r="AE2276" s="71" t="str">
        <f aca="false">IF(AH2276="","",P2276-N(N2276)+AB2276+AC2276+AD2276)</f>
        <v/>
      </c>
      <c r="AF2276" s="65"/>
      <c r="AG2276" s="64"/>
      <c r="AH2276" s="72" t="str">
        <f aca="false">IF(OR(B2276="",C2276=""),"",C2276&amp;"|"&amp;(YEAR(B2276)*100+MONTH(B2276)))</f>
        <v/>
      </c>
      <c r="AI2276" s="70" t="str">
        <f aca="false">IF(AH2276="","",IF(COUNTIF(L_CLAVE,AH2276)&gt;1,"⚠ Duplicado","OK"))</f>
        <v/>
      </c>
      <c r="AJ2276" s="86" t="str">
        <f aca="false">IF(AH2276="","",IF(SUMPRODUCT(MAX((IND_PER&lt;=B2276)*(IND_UF&lt;&gt;"")*IND_PER))=0,UF_HOY,INDEX(IND_UF,MATCH(SUMPRODUCT(MAX((IND_PER&lt;=B2276)*(IND_UF&lt;&gt;"")*IND_PER)),IND_PER,0))))</f>
        <v/>
      </c>
      <c r="AK2276" s="87" t="str">
        <f aca="false">IF(AH2276="","",IF(COUNTIF(TASA_DESDE,"&lt;="&amp;B2276)=0,INDEX(TASA_EMP,1),INDEX(TASA_EMP,COUNTIF(TASA_DESDE,"&lt;="&amp;B2276))))</f>
        <v/>
      </c>
    </row>
    <row r="2277" customFormat="false" ht="15" hidden="false" customHeight="false" outlineLevel="0" collapsed="false">
      <c r="B2277" s="78"/>
      <c r="C2277" s="64"/>
      <c r="D2277" s="72" t="str">
        <f aca="false">IF(C2277="","",IFERROR(INDEX(T_NOMBRE,MATCH(C2277,T_ID,0)),"⚠ ID no existe"))</f>
        <v/>
      </c>
      <c r="E2277" s="69"/>
      <c r="F2277" s="67"/>
      <c r="G2277" s="67"/>
      <c r="H2277" s="67"/>
      <c r="I2277" s="67"/>
      <c r="J2277" s="67"/>
      <c r="K2277" s="85" t="str">
        <f aca="false">IF(AH2277="","",N(F2277)+N(G2277)+N(H2277)-N(I2277)+N(J2277))</f>
        <v/>
      </c>
      <c r="L2277" s="67"/>
      <c r="M2277" s="67"/>
      <c r="N2277" s="67"/>
      <c r="O2277" s="67"/>
      <c r="P2277" s="85" t="str">
        <f aca="false">IF(AH2277="","",K2277+N(L2277)+N(M2277)+N(N2277)+N(O2277))</f>
        <v/>
      </c>
      <c r="Q2277" s="67"/>
      <c r="R2277" s="67"/>
      <c r="S2277" s="67"/>
      <c r="T2277" s="67"/>
      <c r="U2277" s="67"/>
      <c r="V2277" s="67"/>
      <c r="W2277" s="85" t="str">
        <f aca="false">IF(AH2277="","",N(Q2277)+N(R2277)+N(S2277)+N(T2277)+N(U2277)+N(V2277))</f>
        <v/>
      </c>
      <c r="X2277" s="85" t="str">
        <f aca="false">IF(AH2277="","",P2277-W2277)</f>
        <v/>
      </c>
      <c r="Y2277" s="67"/>
      <c r="Z2277" s="70" t="str">
        <f aca="false">IF(OR(AH2277="",Y2277=""),"",IF(ABS(X2277-Y2277)&lt;=1,"✓ Cuadra","⚠ Diferencia $"&amp;FIXED(X2277-Y2277,0)))</f>
        <v/>
      </c>
      <c r="AA2277" s="72" t="str">
        <f aca="false">IF(AH2277="","",IFERROR(INDEX(C_TIPO,MATCH(C2277&amp;"-P"&amp;MAX(1,COUNTIFS(C_ID,C2277,C_DEFINE,"Sí",C_INICIO,"&lt;="&amp;EOMONTH(B2277,0))),C_CLAVE,0))&amp;"","Sin dato"))</f>
        <v/>
      </c>
      <c r="AB2277" s="71" t="str">
        <f aca="false">IF(AH2277="","",ROUND(MIN(K2277,TOPE_AFP_UF*AJ2277)*AK2277,0))</f>
        <v/>
      </c>
      <c r="AC2277" s="71" t="str">
        <f aca="false">IF(AH2277="","",ROUND(MIN(K2277,TOPE_AFC_UF*AJ2277)*IF(AA2277="Indefinido",AFC_EMP_INDEF,AFC_EMP_PF),0))</f>
        <v/>
      </c>
      <c r="AD2277" s="71" t="str">
        <f aca="false">IF(AH2277="","",ROUND(MIN(K2277,TOPE_AFP_UF*AJ2277)*(MUTUAL_BASICA+MUTUAL_ADIC+SANNA),0))</f>
        <v/>
      </c>
      <c r="AE2277" s="71" t="str">
        <f aca="false">IF(AH2277="","",P2277-N(N2277)+AB2277+AC2277+AD2277)</f>
        <v/>
      </c>
      <c r="AF2277" s="65"/>
      <c r="AG2277" s="64"/>
      <c r="AH2277" s="72" t="str">
        <f aca="false">IF(OR(B2277="",C2277=""),"",C2277&amp;"|"&amp;(YEAR(B2277)*100+MONTH(B2277)))</f>
        <v/>
      </c>
      <c r="AI2277" s="70" t="str">
        <f aca="false">IF(AH2277="","",IF(COUNTIF(L_CLAVE,AH2277)&gt;1,"⚠ Duplicado","OK"))</f>
        <v/>
      </c>
      <c r="AJ2277" s="86" t="str">
        <f aca="false">IF(AH2277="","",IF(SUMPRODUCT(MAX((IND_PER&lt;=B2277)*(IND_UF&lt;&gt;"")*IND_PER))=0,UF_HOY,INDEX(IND_UF,MATCH(SUMPRODUCT(MAX((IND_PER&lt;=B2277)*(IND_UF&lt;&gt;"")*IND_PER)),IND_PER,0))))</f>
        <v/>
      </c>
      <c r="AK2277" s="87" t="str">
        <f aca="false">IF(AH2277="","",IF(COUNTIF(TASA_DESDE,"&lt;="&amp;B2277)=0,INDEX(TASA_EMP,1),INDEX(TASA_EMP,COUNTIF(TASA_DESDE,"&lt;="&amp;B2277))))</f>
        <v/>
      </c>
    </row>
    <row r="2278" customFormat="false" ht="15" hidden="false" customHeight="false" outlineLevel="0" collapsed="false">
      <c r="B2278" s="78"/>
      <c r="C2278" s="64"/>
      <c r="D2278" s="72" t="str">
        <f aca="false">IF(C2278="","",IFERROR(INDEX(T_NOMBRE,MATCH(C2278,T_ID,0)),"⚠ ID no existe"))</f>
        <v/>
      </c>
      <c r="E2278" s="69"/>
      <c r="F2278" s="67"/>
      <c r="G2278" s="67"/>
      <c r="H2278" s="67"/>
      <c r="I2278" s="67"/>
      <c r="J2278" s="67"/>
      <c r="K2278" s="85" t="str">
        <f aca="false">IF(AH2278="","",N(F2278)+N(G2278)+N(H2278)-N(I2278)+N(J2278))</f>
        <v/>
      </c>
      <c r="L2278" s="67"/>
      <c r="M2278" s="67"/>
      <c r="N2278" s="67"/>
      <c r="O2278" s="67"/>
      <c r="P2278" s="85" t="str">
        <f aca="false">IF(AH2278="","",K2278+N(L2278)+N(M2278)+N(N2278)+N(O2278))</f>
        <v/>
      </c>
      <c r="Q2278" s="67"/>
      <c r="R2278" s="67"/>
      <c r="S2278" s="67"/>
      <c r="T2278" s="67"/>
      <c r="U2278" s="67"/>
      <c r="V2278" s="67"/>
      <c r="W2278" s="85" t="str">
        <f aca="false">IF(AH2278="","",N(Q2278)+N(R2278)+N(S2278)+N(T2278)+N(U2278)+N(V2278))</f>
        <v/>
      </c>
      <c r="X2278" s="85" t="str">
        <f aca="false">IF(AH2278="","",P2278-W2278)</f>
        <v/>
      </c>
      <c r="Y2278" s="67"/>
      <c r="Z2278" s="70" t="str">
        <f aca="false">IF(OR(AH2278="",Y2278=""),"",IF(ABS(X2278-Y2278)&lt;=1,"✓ Cuadra","⚠ Diferencia $"&amp;FIXED(X2278-Y2278,0)))</f>
        <v/>
      </c>
      <c r="AA2278" s="72" t="str">
        <f aca="false">IF(AH2278="","",IFERROR(INDEX(C_TIPO,MATCH(C2278&amp;"-P"&amp;MAX(1,COUNTIFS(C_ID,C2278,C_DEFINE,"Sí",C_INICIO,"&lt;="&amp;EOMONTH(B2278,0))),C_CLAVE,0))&amp;"","Sin dato"))</f>
        <v/>
      </c>
      <c r="AB2278" s="71" t="str">
        <f aca="false">IF(AH2278="","",ROUND(MIN(K2278,TOPE_AFP_UF*AJ2278)*AK2278,0))</f>
        <v/>
      </c>
      <c r="AC2278" s="71" t="str">
        <f aca="false">IF(AH2278="","",ROUND(MIN(K2278,TOPE_AFC_UF*AJ2278)*IF(AA2278="Indefinido",AFC_EMP_INDEF,AFC_EMP_PF),0))</f>
        <v/>
      </c>
      <c r="AD2278" s="71" t="str">
        <f aca="false">IF(AH2278="","",ROUND(MIN(K2278,TOPE_AFP_UF*AJ2278)*(MUTUAL_BASICA+MUTUAL_ADIC+SANNA),0))</f>
        <v/>
      </c>
      <c r="AE2278" s="71" t="str">
        <f aca="false">IF(AH2278="","",P2278-N(N2278)+AB2278+AC2278+AD2278)</f>
        <v/>
      </c>
      <c r="AF2278" s="65"/>
      <c r="AG2278" s="64"/>
      <c r="AH2278" s="72" t="str">
        <f aca="false">IF(OR(B2278="",C2278=""),"",C2278&amp;"|"&amp;(YEAR(B2278)*100+MONTH(B2278)))</f>
        <v/>
      </c>
      <c r="AI2278" s="70" t="str">
        <f aca="false">IF(AH2278="","",IF(COUNTIF(L_CLAVE,AH2278)&gt;1,"⚠ Duplicado","OK"))</f>
        <v/>
      </c>
      <c r="AJ2278" s="86" t="str">
        <f aca="false">IF(AH2278="","",IF(SUMPRODUCT(MAX((IND_PER&lt;=B2278)*(IND_UF&lt;&gt;"")*IND_PER))=0,UF_HOY,INDEX(IND_UF,MATCH(SUMPRODUCT(MAX((IND_PER&lt;=B2278)*(IND_UF&lt;&gt;"")*IND_PER)),IND_PER,0))))</f>
        <v/>
      </c>
      <c r="AK2278" s="87" t="str">
        <f aca="false">IF(AH2278="","",IF(COUNTIF(TASA_DESDE,"&lt;="&amp;B2278)=0,INDEX(TASA_EMP,1),INDEX(TASA_EMP,COUNTIF(TASA_DESDE,"&lt;="&amp;B2278))))</f>
        <v/>
      </c>
    </row>
    <row r="2279" customFormat="false" ht="15" hidden="false" customHeight="false" outlineLevel="0" collapsed="false">
      <c r="B2279" s="78"/>
      <c r="C2279" s="64"/>
      <c r="D2279" s="72" t="str">
        <f aca="false">IF(C2279="","",IFERROR(INDEX(T_NOMBRE,MATCH(C2279,T_ID,0)),"⚠ ID no existe"))</f>
        <v/>
      </c>
      <c r="E2279" s="69"/>
      <c r="F2279" s="67"/>
      <c r="G2279" s="67"/>
      <c r="H2279" s="67"/>
      <c r="I2279" s="67"/>
      <c r="J2279" s="67"/>
      <c r="K2279" s="85" t="str">
        <f aca="false">IF(AH2279="","",N(F2279)+N(G2279)+N(H2279)-N(I2279)+N(J2279))</f>
        <v/>
      </c>
      <c r="L2279" s="67"/>
      <c r="M2279" s="67"/>
      <c r="N2279" s="67"/>
      <c r="O2279" s="67"/>
      <c r="P2279" s="85" t="str">
        <f aca="false">IF(AH2279="","",K2279+N(L2279)+N(M2279)+N(N2279)+N(O2279))</f>
        <v/>
      </c>
      <c r="Q2279" s="67"/>
      <c r="R2279" s="67"/>
      <c r="S2279" s="67"/>
      <c r="T2279" s="67"/>
      <c r="U2279" s="67"/>
      <c r="V2279" s="67"/>
      <c r="W2279" s="85" t="str">
        <f aca="false">IF(AH2279="","",N(Q2279)+N(R2279)+N(S2279)+N(T2279)+N(U2279)+N(V2279))</f>
        <v/>
      </c>
      <c r="X2279" s="85" t="str">
        <f aca="false">IF(AH2279="","",P2279-W2279)</f>
        <v/>
      </c>
      <c r="Y2279" s="67"/>
      <c r="Z2279" s="70" t="str">
        <f aca="false">IF(OR(AH2279="",Y2279=""),"",IF(ABS(X2279-Y2279)&lt;=1,"✓ Cuadra","⚠ Diferencia $"&amp;FIXED(X2279-Y2279,0)))</f>
        <v/>
      </c>
      <c r="AA2279" s="72" t="str">
        <f aca="false">IF(AH2279="","",IFERROR(INDEX(C_TIPO,MATCH(C2279&amp;"-P"&amp;MAX(1,COUNTIFS(C_ID,C2279,C_DEFINE,"Sí",C_INICIO,"&lt;="&amp;EOMONTH(B2279,0))),C_CLAVE,0))&amp;"","Sin dato"))</f>
        <v/>
      </c>
      <c r="AB2279" s="71" t="str">
        <f aca="false">IF(AH2279="","",ROUND(MIN(K2279,TOPE_AFP_UF*AJ2279)*AK2279,0))</f>
        <v/>
      </c>
      <c r="AC2279" s="71" t="str">
        <f aca="false">IF(AH2279="","",ROUND(MIN(K2279,TOPE_AFC_UF*AJ2279)*IF(AA2279="Indefinido",AFC_EMP_INDEF,AFC_EMP_PF),0))</f>
        <v/>
      </c>
      <c r="AD2279" s="71" t="str">
        <f aca="false">IF(AH2279="","",ROUND(MIN(K2279,TOPE_AFP_UF*AJ2279)*(MUTUAL_BASICA+MUTUAL_ADIC+SANNA),0))</f>
        <v/>
      </c>
      <c r="AE2279" s="71" t="str">
        <f aca="false">IF(AH2279="","",P2279-N(N2279)+AB2279+AC2279+AD2279)</f>
        <v/>
      </c>
      <c r="AF2279" s="65"/>
      <c r="AG2279" s="64"/>
      <c r="AH2279" s="72" t="str">
        <f aca="false">IF(OR(B2279="",C2279=""),"",C2279&amp;"|"&amp;(YEAR(B2279)*100+MONTH(B2279)))</f>
        <v/>
      </c>
      <c r="AI2279" s="70" t="str">
        <f aca="false">IF(AH2279="","",IF(COUNTIF(L_CLAVE,AH2279)&gt;1,"⚠ Duplicado","OK"))</f>
        <v/>
      </c>
      <c r="AJ2279" s="86" t="str">
        <f aca="false">IF(AH2279="","",IF(SUMPRODUCT(MAX((IND_PER&lt;=B2279)*(IND_UF&lt;&gt;"")*IND_PER))=0,UF_HOY,INDEX(IND_UF,MATCH(SUMPRODUCT(MAX((IND_PER&lt;=B2279)*(IND_UF&lt;&gt;"")*IND_PER)),IND_PER,0))))</f>
        <v/>
      </c>
      <c r="AK2279" s="87" t="str">
        <f aca="false">IF(AH2279="","",IF(COUNTIF(TASA_DESDE,"&lt;="&amp;B2279)=0,INDEX(TASA_EMP,1),INDEX(TASA_EMP,COUNTIF(TASA_DESDE,"&lt;="&amp;B2279))))</f>
        <v/>
      </c>
    </row>
    <row r="2280" customFormat="false" ht="15" hidden="false" customHeight="false" outlineLevel="0" collapsed="false">
      <c r="B2280" s="78"/>
      <c r="C2280" s="64"/>
      <c r="D2280" s="72" t="str">
        <f aca="false">IF(C2280="","",IFERROR(INDEX(T_NOMBRE,MATCH(C2280,T_ID,0)),"⚠ ID no existe"))</f>
        <v/>
      </c>
      <c r="E2280" s="69"/>
      <c r="F2280" s="67"/>
      <c r="G2280" s="67"/>
      <c r="H2280" s="67"/>
      <c r="I2280" s="67"/>
      <c r="J2280" s="67"/>
      <c r="K2280" s="85" t="str">
        <f aca="false">IF(AH2280="","",N(F2280)+N(G2280)+N(H2280)-N(I2280)+N(J2280))</f>
        <v/>
      </c>
      <c r="L2280" s="67"/>
      <c r="M2280" s="67"/>
      <c r="N2280" s="67"/>
      <c r="O2280" s="67"/>
      <c r="P2280" s="85" t="str">
        <f aca="false">IF(AH2280="","",K2280+N(L2280)+N(M2280)+N(N2280)+N(O2280))</f>
        <v/>
      </c>
      <c r="Q2280" s="67"/>
      <c r="R2280" s="67"/>
      <c r="S2280" s="67"/>
      <c r="T2280" s="67"/>
      <c r="U2280" s="67"/>
      <c r="V2280" s="67"/>
      <c r="W2280" s="85" t="str">
        <f aca="false">IF(AH2280="","",N(Q2280)+N(R2280)+N(S2280)+N(T2280)+N(U2280)+N(V2280))</f>
        <v/>
      </c>
      <c r="X2280" s="85" t="str">
        <f aca="false">IF(AH2280="","",P2280-W2280)</f>
        <v/>
      </c>
      <c r="Y2280" s="67"/>
      <c r="Z2280" s="70" t="str">
        <f aca="false">IF(OR(AH2280="",Y2280=""),"",IF(ABS(X2280-Y2280)&lt;=1,"✓ Cuadra","⚠ Diferencia $"&amp;FIXED(X2280-Y2280,0)))</f>
        <v/>
      </c>
      <c r="AA2280" s="72" t="str">
        <f aca="false">IF(AH2280="","",IFERROR(INDEX(C_TIPO,MATCH(C2280&amp;"-P"&amp;MAX(1,COUNTIFS(C_ID,C2280,C_DEFINE,"Sí",C_INICIO,"&lt;="&amp;EOMONTH(B2280,0))),C_CLAVE,0))&amp;"","Sin dato"))</f>
        <v/>
      </c>
      <c r="AB2280" s="71" t="str">
        <f aca="false">IF(AH2280="","",ROUND(MIN(K2280,TOPE_AFP_UF*AJ2280)*AK2280,0))</f>
        <v/>
      </c>
      <c r="AC2280" s="71" t="str">
        <f aca="false">IF(AH2280="","",ROUND(MIN(K2280,TOPE_AFC_UF*AJ2280)*IF(AA2280="Indefinido",AFC_EMP_INDEF,AFC_EMP_PF),0))</f>
        <v/>
      </c>
      <c r="AD2280" s="71" t="str">
        <f aca="false">IF(AH2280="","",ROUND(MIN(K2280,TOPE_AFP_UF*AJ2280)*(MUTUAL_BASICA+MUTUAL_ADIC+SANNA),0))</f>
        <v/>
      </c>
      <c r="AE2280" s="71" t="str">
        <f aca="false">IF(AH2280="","",P2280-N(N2280)+AB2280+AC2280+AD2280)</f>
        <v/>
      </c>
      <c r="AF2280" s="65"/>
      <c r="AG2280" s="64"/>
      <c r="AH2280" s="72" t="str">
        <f aca="false">IF(OR(B2280="",C2280=""),"",C2280&amp;"|"&amp;(YEAR(B2280)*100+MONTH(B2280)))</f>
        <v/>
      </c>
      <c r="AI2280" s="70" t="str">
        <f aca="false">IF(AH2280="","",IF(COUNTIF(L_CLAVE,AH2280)&gt;1,"⚠ Duplicado","OK"))</f>
        <v/>
      </c>
      <c r="AJ2280" s="86" t="str">
        <f aca="false">IF(AH2280="","",IF(SUMPRODUCT(MAX((IND_PER&lt;=B2280)*(IND_UF&lt;&gt;"")*IND_PER))=0,UF_HOY,INDEX(IND_UF,MATCH(SUMPRODUCT(MAX((IND_PER&lt;=B2280)*(IND_UF&lt;&gt;"")*IND_PER)),IND_PER,0))))</f>
        <v/>
      </c>
      <c r="AK2280" s="87" t="str">
        <f aca="false">IF(AH2280="","",IF(COUNTIF(TASA_DESDE,"&lt;="&amp;B2280)=0,INDEX(TASA_EMP,1),INDEX(TASA_EMP,COUNTIF(TASA_DESDE,"&lt;="&amp;B2280))))</f>
        <v/>
      </c>
    </row>
    <row r="2281" customFormat="false" ht="15" hidden="false" customHeight="false" outlineLevel="0" collapsed="false">
      <c r="B2281" s="78"/>
      <c r="C2281" s="64"/>
      <c r="D2281" s="72" t="str">
        <f aca="false">IF(C2281="","",IFERROR(INDEX(T_NOMBRE,MATCH(C2281,T_ID,0)),"⚠ ID no existe"))</f>
        <v/>
      </c>
      <c r="E2281" s="69"/>
      <c r="F2281" s="67"/>
      <c r="G2281" s="67"/>
      <c r="H2281" s="67"/>
      <c r="I2281" s="67"/>
      <c r="J2281" s="67"/>
      <c r="K2281" s="85" t="str">
        <f aca="false">IF(AH2281="","",N(F2281)+N(G2281)+N(H2281)-N(I2281)+N(J2281))</f>
        <v/>
      </c>
      <c r="L2281" s="67"/>
      <c r="M2281" s="67"/>
      <c r="N2281" s="67"/>
      <c r="O2281" s="67"/>
      <c r="P2281" s="85" t="str">
        <f aca="false">IF(AH2281="","",K2281+N(L2281)+N(M2281)+N(N2281)+N(O2281))</f>
        <v/>
      </c>
      <c r="Q2281" s="67"/>
      <c r="R2281" s="67"/>
      <c r="S2281" s="67"/>
      <c r="T2281" s="67"/>
      <c r="U2281" s="67"/>
      <c r="V2281" s="67"/>
      <c r="W2281" s="85" t="str">
        <f aca="false">IF(AH2281="","",N(Q2281)+N(R2281)+N(S2281)+N(T2281)+N(U2281)+N(V2281))</f>
        <v/>
      </c>
      <c r="X2281" s="85" t="str">
        <f aca="false">IF(AH2281="","",P2281-W2281)</f>
        <v/>
      </c>
      <c r="Y2281" s="67"/>
      <c r="Z2281" s="70" t="str">
        <f aca="false">IF(OR(AH2281="",Y2281=""),"",IF(ABS(X2281-Y2281)&lt;=1,"✓ Cuadra","⚠ Diferencia $"&amp;FIXED(X2281-Y2281,0)))</f>
        <v/>
      </c>
      <c r="AA2281" s="72" t="str">
        <f aca="false">IF(AH2281="","",IFERROR(INDEX(C_TIPO,MATCH(C2281&amp;"-P"&amp;MAX(1,COUNTIFS(C_ID,C2281,C_DEFINE,"Sí",C_INICIO,"&lt;="&amp;EOMONTH(B2281,0))),C_CLAVE,0))&amp;"","Sin dato"))</f>
        <v/>
      </c>
      <c r="AB2281" s="71" t="str">
        <f aca="false">IF(AH2281="","",ROUND(MIN(K2281,TOPE_AFP_UF*AJ2281)*AK2281,0))</f>
        <v/>
      </c>
      <c r="AC2281" s="71" t="str">
        <f aca="false">IF(AH2281="","",ROUND(MIN(K2281,TOPE_AFC_UF*AJ2281)*IF(AA2281="Indefinido",AFC_EMP_INDEF,AFC_EMP_PF),0))</f>
        <v/>
      </c>
      <c r="AD2281" s="71" t="str">
        <f aca="false">IF(AH2281="","",ROUND(MIN(K2281,TOPE_AFP_UF*AJ2281)*(MUTUAL_BASICA+MUTUAL_ADIC+SANNA),0))</f>
        <v/>
      </c>
      <c r="AE2281" s="71" t="str">
        <f aca="false">IF(AH2281="","",P2281-N(N2281)+AB2281+AC2281+AD2281)</f>
        <v/>
      </c>
      <c r="AF2281" s="65"/>
      <c r="AG2281" s="64"/>
      <c r="AH2281" s="72" t="str">
        <f aca="false">IF(OR(B2281="",C2281=""),"",C2281&amp;"|"&amp;(YEAR(B2281)*100+MONTH(B2281)))</f>
        <v/>
      </c>
      <c r="AI2281" s="70" t="str">
        <f aca="false">IF(AH2281="","",IF(COUNTIF(L_CLAVE,AH2281)&gt;1,"⚠ Duplicado","OK"))</f>
        <v/>
      </c>
      <c r="AJ2281" s="86" t="str">
        <f aca="false">IF(AH2281="","",IF(SUMPRODUCT(MAX((IND_PER&lt;=B2281)*(IND_UF&lt;&gt;"")*IND_PER))=0,UF_HOY,INDEX(IND_UF,MATCH(SUMPRODUCT(MAX((IND_PER&lt;=B2281)*(IND_UF&lt;&gt;"")*IND_PER)),IND_PER,0))))</f>
        <v/>
      </c>
      <c r="AK2281" s="87" t="str">
        <f aca="false">IF(AH2281="","",IF(COUNTIF(TASA_DESDE,"&lt;="&amp;B2281)=0,INDEX(TASA_EMP,1),INDEX(TASA_EMP,COUNTIF(TASA_DESDE,"&lt;="&amp;B2281))))</f>
        <v/>
      </c>
    </row>
    <row r="2282" customFormat="false" ht="15" hidden="false" customHeight="false" outlineLevel="0" collapsed="false">
      <c r="B2282" s="78"/>
      <c r="C2282" s="64"/>
      <c r="D2282" s="72" t="str">
        <f aca="false">IF(C2282="","",IFERROR(INDEX(T_NOMBRE,MATCH(C2282,T_ID,0)),"⚠ ID no existe"))</f>
        <v/>
      </c>
      <c r="E2282" s="69"/>
      <c r="F2282" s="67"/>
      <c r="G2282" s="67"/>
      <c r="H2282" s="67"/>
      <c r="I2282" s="67"/>
      <c r="J2282" s="67"/>
      <c r="K2282" s="85" t="str">
        <f aca="false">IF(AH2282="","",N(F2282)+N(G2282)+N(H2282)-N(I2282)+N(J2282))</f>
        <v/>
      </c>
      <c r="L2282" s="67"/>
      <c r="M2282" s="67"/>
      <c r="N2282" s="67"/>
      <c r="O2282" s="67"/>
      <c r="P2282" s="85" t="str">
        <f aca="false">IF(AH2282="","",K2282+N(L2282)+N(M2282)+N(N2282)+N(O2282))</f>
        <v/>
      </c>
      <c r="Q2282" s="67"/>
      <c r="R2282" s="67"/>
      <c r="S2282" s="67"/>
      <c r="T2282" s="67"/>
      <c r="U2282" s="67"/>
      <c r="V2282" s="67"/>
      <c r="W2282" s="85" t="str">
        <f aca="false">IF(AH2282="","",N(Q2282)+N(R2282)+N(S2282)+N(T2282)+N(U2282)+N(V2282))</f>
        <v/>
      </c>
      <c r="X2282" s="85" t="str">
        <f aca="false">IF(AH2282="","",P2282-W2282)</f>
        <v/>
      </c>
      <c r="Y2282" s="67"/>
      <c r="Z2282" s="70" t="str">
        <f aca="false">IF(OR(AH2282="",Y2282=""),"",IF(ABS(X2282-Y2282)&lt;=1,"✓ Cuadra","⚠ Diferencia $"&amp;FIXED(X2282-Y2282,0)))</f>
        <v/>
      </c>
      <c r="AA2282" s="72" t="str">
        <f aca="false">IF(AH2282="","",IFERROR(INDEX(C_TIPO,MATCH(C2282&amp;"-P"&amp;MAX(1,COUNTIFS(C_ID,C2282,C_DEFINE,"Sí",C_INICIO,"&lt;="&amp;EOMONTH(B2282,0))),C_CLAVE,0))&amp;"","Sin dato"))</f>
        <v/>
      </c>
      <c r="AB2282" s="71" t="str">
        <f aca="false">IF(AH2282="","",ROUND(MIN(K2282,TOPE_AFP_UF*AJ2282)*AK2282,0))</f>
        <v/>
      </c>
      <c r="AC2282" s="71" t="str">
        <f aca="false">IF(AH2282="","",ROUND(MIN(K2282,TOPE_AFC_UF*AJ2282)*IF(AA2282="Indefinido",AFC_EMP_INDEF,AFC_EMP_PF),0))</f>
        <v/>
      </c>
      <c r="AD2282" s="71" t="str">
        <f aca="false">IF(AH2282="","",ROUND(MIN(K2282,TOPE_AFP_UF*AJ2282)*(MUTUAL_BASICA+MUTUAL_ADIC+SANNA),0))</f>
        <v/>
      </c>
      <c r="AE2282" s="71" t="str">
        <f aca="false">IF(AH2282="","",P2282-N(N2282)+AB2282+AC2282+AD2282)</f>
        <v/>
      </c>
      <c r="AF2282" s="65"/>
      <c r="AG2282" s="64"/>
      <c r="AH2282" s="72" t="str">
        <f aca="false">IF(OR(B2282="",C2282=""),"",C2282&amp;"|"&amp;(YEAR(B2282)*100+MONTH(B2282)))</f>
        <v/>
      </c>
      <c r="AI2282" s="70" t="str">
        <f aca="false">IF(AH2282="","",IF(COUNTIF(L_CLAVE,AH2282)&gt;1,"⚠ Duplicado","OK"))</f>
        <v/>
      </c>
      <c r="AJ2282" s="86" t="str">
        <f aca="false">IF(AH2282="","",IF(SUMPRODUCT(MAX((IND_PER&lt;=B2282)*(IND_UF&lt;&gt;"")*IND_PER))=0,UF_HOY,INDEX(IND_UF,MATCH(SUMPRODUCT(MAX((IND_PER&lt;=B2282)*(IND_UF&lt;&gt;"")*IND_PER)),IND_PER,0))))</f>
        <v/>
      </c>
      <c r="AK2282" s="87" t="str">
        <f aca="false">IF(AH2282="","",IF(COUNTIF(TASA_DESDE,"&lt;="&amp;B2282)=0,INDEX(TASA_EMP,1),INDEX(TASA_EMP,COUNTIF(TASA_DESDE,"&lt;="&amp;B2282))))</f>
        <v/>
      </c>
    </row>
    <row r="2283" customFormat="false" ht="15" hidden="false" customHeight="false" outlineLevel="0" collapsed="false">
      <c r="B2283" s="78"/>
      <c r="C2283" s="64"/>
      <c r="D2283" s="72" t="str">
        <f aca="false">IF(C2283="","",IFERROR(INDEX(T_NOMBRE,MATCH(C2283,T_ID,0)),"⚠ ID no existe"))</f>
        <v/>
      </c>
      <c r="E2283" s="69"/>
      <c r="F2283" s="67"/>
      <c r="G2283" s="67"/>
      <c r="H2283" s="67"/>
      <c r="I2283" s="67"/>
      <c r="J2283" s="67"/>
      <c r="K2283" s="85" t="str">
        <f aca="false">IF(AH2283="","",N(F2283)+N(G2283)+N(H2283)-N(I2283)+N(J2283))</f>
        <v/>
      </c>
      <c r="L2283" s="67"/>
      <c r="M2283" s="67"/>
      <c r="N2283" s="67"/>
      <c r="O2283" s="67"/>
      <c r="P2283" s="85" t="str">
        <f aca="false">IF(AH2283="","",K2283+N(L2283)+N(M2283)+N(N2283)+N(O2283))</f>
        <v/>
      </c>
      <c r="Q2283" s="67"/>
      <c r="R2283" s="67"/>
      <c r="S2283" s="67"/>
      <c r="T2283" s="67"/>
      <c r="U2283" s="67"/>
      <c r="V2283" s="67"/>
      <c r="W2283" s="85" t="str">
        <f aca="false">IF(AH2283="","",N(Q2283)+N(R2283)+N(S2283)+N(T2283)+N(U2283)+N(V2283))</f>
        <v/>
      </c>
      <c r="X2283" s="85" t="str">
        <f aca="false">IF(AH2283="","",P2283-W2283)</f>
        <v/>
      </c>
      <c r="Y2283" s="67"/>
      <c r="Z2283" s="70" t="str">
        <f aca="false">IF(OR(AH2283="",Y2283=""),"",IF(ABS(X2283-Y2283)&lt;=1,"✓ Cuadra","⚠ Diferencia $"&amp;FIXED(X2283-Y2283,0)))</f>
        <v/>
      </c>
      <c r="AA2283" s="72" t="str">
        <f aca="false">IF(AH2283="","",IFERROR(INDEX(C_TIPO,MATCH(C2283&amp;"-P"&amp;MAX(1,COUNTIFS(C_ID,C2283,C_DEFINE,"Sí",C_INICIO,"&lt;="&amp;EOMONTH(B2283,0))),C_CLAVE,0))&amp;"","Sin dato"))</f>
        <v/>
      </c>
      <c r="AB2283" s="71" t="str">
        <f aca="false">IF(AH2283="","",ROUND(MIN(K2283,TOPE_AFP_UF*AJ2283)*AK2283,0))</f>
        <v/>
      </c>
      <c r="AC2283" s="71" t="str">
        <f aca="false">IF(AH2283="","",ROUND(MIN(K2283,TOPE_AFC_UF*AJ2283)*IF(AA2283="Indefinido",AFC_EMP_INDEF,AFC_EMP_PF),0))</f>
        <v/>
      </c>
      <c r="AD2283" s="71" t="str">
        <f aca="false">IF(AH2283="","",ROUND(MIN(K2283,TOPE_AFP_UF*AJ2283)*(MUTUAL_BASICA+MUTUAL_ADIC+SANNA),0))</f>
        <v/>
      </c>
      <c r="AE2283" s="71" t="str">
        <f aca="false">IF(AH2283="","",P2283-N(N2283)+AB2283+AC2283+AD2283)</f>
        <v/>
      </c>
      <c r="AF2283" s="65"/>
      <c r="AG2283" s="64"/>
      <c r="AH2283" s="72" t="str">
        <f aca="false">IF(OR(B2283="",C2283=""),"",C2283&amp;"|"&amp;(YEAR(B2283)*100+MONTH(B2283)))</f>
        <v/>
      </c>
      <c r="AI2283" s="70" t="str">
        <f aca="false">IF(AH2283="","",IF(COUNTIF(L_CLAVE,AH2283)&gt;1,"⚠ Duplicado","OK"))</f>
        <v/>
      </c>
      <c r="AJ2283" s="86" t="str">
        <f aca="false">IF(AH2283="","",IF(SUMPRODUCT(MAX((IND_PER&lt;=B2283)*(IND_UF&lt;&gt;"")*IND_PER))=0,UF_HOY,INDEX(IND_UF,MATCH(SUMPRODUCT(MAX((IND_PER&lt;=B2283)*(IND_UF&lt;&gt;"")*IND_PER)),IND_PER,0))))</f>
        <v/>
      </c>
      <c r="AK2283" s="87" t="str">
        <f aca="false">IF(AH2283="","",IF(COUNTIF(TASA_DESDE,"&lt;="&amp;B2283)=0,INDEX(TASA_EMP,1),INDEX(TASA_EMP,COUNTIF(TASA_DESDE,"&lt;="&amp;B2283))))</f>
        <v/>
      </c>
    </row>
    <row r="2284" customFormat="false" ht="15" hidden="false" customHeight="false" outlineLevel="0" collapsed="false">
      <c r="B2284" s="78"/>
      <c r="C2284" s="64"/>
      <c r="D2284" s="72" t="str">
        <f aca="false">IF(C2284="","",IFERROR(INDEX(T_NOMBRE,MATCH(C2284,T_ID,0)),"⚠ ID no existe"))</f>
        <v/>
      </c>
      <c r="E2284" s="69"/>
      <c r="F2284" s="67"/>
      <c r="G2284" s="67"/>
      <c r="H2284" s="67"/>
      <c r="I2284" s="67"/>
      <c r="J2284" s="67"/>
      <c r="K2284" s="85" t="str">
        <f aca="false">IF(AH2284="","",N(F2284)+N(G2284)+N(H2284)-N(I2284)+N(J2284))</f>
        <v/>
      </c>
      <c r="L2284" s="67"/>
      <c r="M2284" s="67"/>
      <c r="N2284" s="67"/>
      <c r="O2284" s="67"/>
      <c r="P2284" s="85" t="str">
        <f aca="false">IF(AH2284="","",K2284+N(L2284)+N(M2284)+N(N2284)+N(O2284))</f>
        <v/>
      </c>
      <c r="Q2284" s="67"/>
      <c r="R2284" s="67"/>
      <c r="S2284" s="67"/>
      <c r="T2284" s="67"/>
      <c r="U2284" s="67"/>
      <c r="V2284" s="67"/>
      <c r="W2284" s="85" t="str">
        <f aca="false">IF(AH2284="","",N(Q2284)+N(R2284)+N(S2284)+N(T2284)+N(U2284)+N(V2284))</f>
        <v/>
      </c>
      <c r="X2284" s="85" t="str">
        <f aca="false">IF(AH2284="","",P2284-W2284)</f>
        <v/>
      </c>
      <c r="Y2284" s="67"/>
      <c r="Z2284" s="70" t="str">
        <f aca="false">IF(OR(AH2284="",Y2284=""),"",IF(ABS(X2284-Y2284)&lt;=1,"✓ Cuadra","⚠ Diferencia $"&amp;FIXED(X2284-Y2284,0)))</f>
        <v/>
      </c>
      <c r="AA2284" s="72" t="str">
        <f aca="false">IF(AH2284="","",IFERROR(INDEX(C_TIPO,MATCH(C2284&amp;"-P"&amp;MAX(1,COUNTIFS(C_ID,C2284,C_DEFINE,"Sí",C_INICIO,"&lt;="&amp;EOMONTH(B2284,0))),C_CLAVE,0))&amp;"","Sin dato"))</f>
        <v/>
      </c>
      <c r="AB2284" s="71" t="str">
        <f aca="false">IF(AH2284="","",ROUND(MIN(K2284,TOPE_AFP_UF*AJ2284)*AK2284,0))</f>
        <v/>
      </c>
      <c r="AC2284" s="71" t="str">
        <f aca="false">IF(AH2284="","",ROUND(MIN(K2284,TOPE_AFC_UF*AJ2284)*IF(AA2284="Indefinido",AFC_EMP_INDEF,AFC_EMP_PF),0))</f>
        <v/>
      </c>
      <c r="AD2284" s="71" t="str">
        <f aca="false">IF(AH2284="","",ROUND(MIN(K2284,TOPE_AFP_UF*AJ2284)*(MUTUAL_BASICA+MUTUAL_ADIC+SANNA),0))</f>
        <v/>
      </c>
      <c r="AE2284" s="71" t="str">
        <f aca="false">IF(AH2284="","",P2284-N(N2284)+AB2284+AC2284+AD2284)</f>
        <v/>
      </c>
      <c r="AF2284" s="65"/>
      <c r="AG2284" s="64"/>
      <c r="AH2284" s="72" t="str">
        <f aca="false">IF(OR(B2284="",C2284=""),"",C2284&amp;"|"&amp;(YEAR(B2284)*100+MONTH(B2284)))</f>
        <v/>
      </c>
      <c r="AI2284" s="70" t="str">
        <f aca="false">IF(AH2284="","",IF(COUNTIF(L_CLAVE,AH2284)&gt;1,"⚠ Duplicado","OK"))</f>
        <v/>
      </c>
      <c r="AJ2284" s="86" t="str">
        <f aca="false">IF(AH2284="","",IF(SUMPRODUCT(MAX((IND_PER&lt;=B2284)*(IND_UF&lt;&gt;"")*IND_PER))=0,UF_HOY,INDEX(IND_UF,MATCH(SUMPRODUCT(MAX((IND_PER&lt;=B2284)*(IND_UF&lt;&gt;"")*IND_PER)),IND_PER,0))))</f>
        <v/>
      </c>
      <c r="AK2284" s="87" t="str">
        <f aca="false">IF(AH2284="","",IF(COUNTIF(TASA_DESDE,"&lt;="&amp;B2284)=0,INDEX(TASA_EMP,1),INDEX(TASA_EMP,COUNTIF(TASA_DESDE,"&lt;="&amp;B2284))))</f>
        <v/>
      </c>
    </row>
    <row r="2285" customFormat="false" ht="15" hidden="false" customHeight="false" outlineLevel="0" collapsed="false">
      <c r="B2285" s="78"/>
      <c r="C2285" s="64"/>
      <c r="D2285" s="72" t="str">
        <f aca="false">IF(C2285="","",IFERROR(INDEX(T_NOMBRE,MATCH(C2285,T_ID,0)),"⚠ ID no existe"))</f>
        <v/>
      </c>
      <c r="E2285" s="69"/>
      <c r="F2285" s="67"/>
      <c r="G2285" s="67"/>
      <c r="H2285" s="67"/>
      <c r="I2285" s="67"/>
      <c r="J2285" s="67"/>
      <c r="K2285" s="85" t="str">
        <f aca="false">IF(AH2285="","",N(F2285)+N(G2285)+N(H2285)-N(I2285)+N(J2285))</f>
        <v/>
      </c>
      <c r="L2285" s="67"/>
      <c r="M2285" s="67"/>
      <c r="N2285" s="67"/>
      <c r="O2285" s="67"/>
      <c r="P2285" s="85" t="str">
        <f aca="false">IF(AH2285="","",K2285+N(L2285)+N(M2285)+N(N2285)+N(O2285))</f>
        <v/>
      </c>
      <c r="Q2285" s="67"/>
      <c r="R2285" s="67"/>
      <c r="S2285" s="67"/>
      <c r="T2285" s="67"/>
      <c r="U2285" s="67"/>
      <c r="V2285" s="67"/>
      <c r="W2285" s="85" t="str">
        <f aca="false">IF(AH2285="","",N(Q2285)+N(R2285)+N(S2285)+N(T2285)+N(U2285)+N(V2285))</f>
        <v/>
      </c>
      <c r="X2285" s="85" t="str">
        <f aca="false">IF(AH2285="","",P2285-W2285)</f>
        <v/>
      </c>
      <c r="Y2285" s="67"/>
      <c r="Z2285" s="70" t="str">
        <f aca="false">IF(OR(AH2285="",Y2285=""),"",IF(ABS(X2285-Y2285)&lt;=1,"✓ Cuadra","⚠ Diferencia $"&amp;FIXED(X2285-Y2285,0)))</f>
        <v/>
      </c>
      <c r="AA2285" s="72" t="str">
        <f aca="false">IF(AH2285="","",IFERROR(INDEX(C_TIPO,MATCH(C2285&amp;"-P"&amp;MAX(1,COUNTIFS(C_ID,C2285,C_DEFINE,"Sí",C_INICIO,"&lt;="&amp;EOMONTH(B2285,0))),C_CLAVE,0))&amp;"","Sin dato"))</f>
        <v/>
      </c>
      <c r="AB2285" s="71" t="str">
        <f aca="false">IF(AH2285="","",ROUND(MIN(K2285,TOPE_AFP_UF*AJ2285)*AK2285,0))</f>
        <v/>
      </c>
      <c r="AC2285" s="71" t="str">
        <f aca="false">IF(AH2285="","",ROUND(MIN(K2285,TOPE_AFC_UF*AJ2285)*IF(AA2285="Indefinido",AFC_EMP_INDEF,AFC_EMP_PF),0))</f>
        <v/>
      </c>
      <c r="AD2285" s="71" t="str">
        <f aca="false">IF(AH2285="","",ROUND(MIN(K2285,TOPE_AFP_UF*AJ2285)*(MUTUAL_BASICA+MUTUAL_ADIC+SANNA),0))</f>
        <v/>
      </c>
      <c r="AE2285" s="71" t="str">
        <f aca="false">IF(AH2285="","",P2285-N(N2285)+AB2285+AC2285+AD2285)</f>
        <v/>
      </c>
      <c r="AF2285" s="65"/>
      <c r="AG2285" s="64"/>
      <c r="AH2285" s="72" t="str">
        <f aca="false">IF(OR(B2285="",C2285=""),"",C2285&amp;"|"&amp;(YEAR(B2285)*100+MONTH(B2285)))</f>
        <v/>
      </c>
      <c r="AI2285" s="70" t="str">
        <f aca="false">IF(AH2285="","",IF(COUNTIF(L_CLAVE,AH2285)&gt;1,"⚠ Duplicado","OK"))</f>
        <v/>
      </c>
      <c r="AJ2285" s="86" t="str">
        <f aca="false">IF(AH2285="","",IF(SUMPRODUCT(MAX((IND_PER&lt;=B2285)*(IND_UF&lt;&gt;"")*IND_PER))=0,UF_HOY,INDEX(IND_UF,MATCH(SUMPRODUCT(MAX((IND_PER&lt;=B2285)*(IND_UF&lt;&gt;"")*IND_PER)),IND_PER,0))))</f>
        <v/>
      </c>
      <c r="AK2285" s="87" t="str">
        <f aca="false">IF(AH2285="","",IF(COUNTIF(TASA_DESDE,"&lt;="&amp;B2285)=0,INDEX(TASA_EMP,1),INDEX(TASA_EMP,COUNTIF(TASA_DESDE,"&lt;="&amp;B2285))))</f>
        <v/>
      </c>
    </row>
    <row r="2286" customFormat="false" ht="15" hidden="false" customHeight="false" outlineLevel="0" collapsed="false">
      <c r="B2286" s="78"/>
      <c r="C2286" s="64"/>
      <c r="D2286" s="72" t="str">
        <f aca="false">IF(C2286="","",IFERROR(INDEX(T_NOMBRE,MATCH(C2286,T_ID,0)),"⚠ ID no existe"))</f>
        <v/>
      </c>
      <c r="E2286" s="69"/>
      <c r="F2286" s="67"/>
      <c r="G2286" s="67"/>
      <c r="H2286" s="67"/>
      <c r="I2286" s="67"/>
      <c r="J2286" s="67"/>
      <c r="K2286" s="85" t="str">
        <f aca="false">IF(AH2286="","",N(F2286)+N(G2286)+N(H2286)-N(I2286)+N(J2286))</f>
        <v/>
      </c>
      <c r="L2286" s="67"/>
      <c r="M2286" s="67"/>
      <c r="N2286" s="67"/>
      <c r="O2286" s="67"/>
      <c r="P2286" s="85" t="str">
        <f aca="false">IF(AH2286="","",K2286+N(L2286)+N(M2286)+N(N2286)+N(O2286))</f>
        <v/>
      </c>
      <c r="Q2286" s="67"/>
      <c r="R2286" s="67"/>
      <c r="S2286" s="67"/>
      <c r="T2286" s="67"/>
      <c r="U2286" s="67"/>
      <c r="V2286" s="67"/>
      <c r="W2286" s="85" t="str">
        <f aca="false">IF(AH2286="","",N(Q2286)+N(R2286)+N(S2286)+N(T2286)+N(U2286)+N(V2286))</f>
        <v/>
      </c>
      <c r="X2286" s="85" t="str">
        <f aca="false">IF(AH2286="","",P2286-W2286)</f>
        <v/>
      </c>
      <c r="Y2286" s="67"/>
      <c r="Z2286" s="70" t="str">
        <f aca="false">IF(OR(AH2286="",Y2286=""),"",IF(ABS(X2286-Y2286)&lt;=1,"✓ Cuadra","⚠ Diferencia $"&amp;FIXED(X2286-Y2286,0)))</f>
        <v/>
      </c>
      <c r="AA2286" s="72" t="str">
        <f aca="false">IF(AH2286="","",IFERROR(INDEX(C_TIPO,MATCH(C2286&amp;"-P"&amp;MAX(1,COUNTIFS(C_ID,C2286,C_DEFINE,"Sí",C_INICIO,"&lt;="&amp;EOMONTH(B2286,0))),C_CLAVE,0))&amp;"","Sin dato"))</f>
        <v/>
      </c>
      <c r="AB2286" s="71" t="str">
        <f aca="false">IF(AH2286="","",ROUND(MIN(K2286,TOPE_AFP_UF*AJ2286)*AK2286,0))</f>
        <v/>
      </c>
      <c r="AC2286" s="71" t="str">
        <f aca="false">IF(AH2286="","",ROUND(MIN(K2286,TOPE_AFC_UF*AJ2286)*IF(AA2286="Indefinido",AFC_EMP_INDEF,AFC_EMP_PF),0))</f>
        <v/>
      </c>
      <c r="AD2286" s="71" t="str">
        <f aca="false">IF(AH2286="","",ROUND(MIN(K2286,TOPE_AFP_UF*AJ2286)*(MUTUAL_BASICA+MUTUAL_ADIC+SANNA),0))</f>
        <v/>
      </c>
      <c r="AE2286" s="71" t="str">
        <f aca="false">IF(AH2286="","",P2286-N(N2286)+AB2286+AC2286+AD2286)</f>
        <v/>
      </c>
      <c r="AF2286" s="65"/>
      <c r="AG2286" s="64"/>
      <c r="AH2286" s="72" t="str">
        <f aca="false">IF(OR(B2286="",C2286=""),"",C2286&amp;"|"&amp;(YEAR(B2286)*100+MONTH(B2286)))</f>
        <v/>
      </c>
      <c r="AI2286" s="70" t="str">
        <f aca="false">IF(AH2286="","",IF(COUNTIF(L_CLAVE,AH2286)&gt;1,"⚠ Duplicado","OK"))</f>
        <v/>
      </c>
      <c r="AJ2286" s="86" t="str">
        <f aca="false">IF(AH2286="","",IF(SUMPRODUCT(MAX((IND_PER&lt;=B2286)*(IND_UF&lt;&gt;"")*IND_PER))=0,UF_HOY,INDEX(IND_UF,MATCH(SUMPRODUCT(MAX((IND_PER&lt;=B2286)*(IND_UF&lt;&gt;"")*IND_PER)),IND_PER,0))))</f>
        <v/>
      </c>
      <c r="AK2286" s="87" t="str">
        <f aca="false">IF(AH2286="","",IF(COUNTIF(TASA_DESDE,"&lt;="&amp;B2286)=0,INDEX(TASA_EMP,1),INDEX(TASA_EMP,COUNTIF(TASA_DESDE,"&lt;="&amp;B2286))))</f>
        <v/>
      </c>
    </row>
    <row r="2287" customFormat="false" ht="15" hidden="false" customHeight="false" outlineLevel="0" collapsed="false">
      <c r="B2287" s="78"/>
      <c r="C2287" s="64"/>
      <c r="D2287" s="72" t="str">
        <f aca="false">IF(C2287="","",IFERROR(INDEX(T_NOMBRE,MATCH(C2287,T_ID,0)),"⚠ ID no existe"))</f>
        <v/>
      </c>
      <c r="E2287" s="69"/>
      <c r="F2287" s="67"/>
      <c r="G2287" s="67"/>
      <c r="H2287" s="67"/>
      <c r="I2287" s="67"/>
      <c r="J2287" s="67"/>
      <c r="K2287" s="85" t="str">
        <f aca="false">IF(AH2287="","",N(F2287)+N(G2287)+N(H2287)-N(I2287)+N(J2287))</f>
        <v/>
      </c>
      <c r="L2287" s="67"/>
      <c r="M2287" s="67"/>
      <c r="N2287" s="67"/>
      <c r="O2287" s="67"/>
      <c r="P2287" s="85" t="str">
        <f aca="false">IF(AH2287="","",K2287+N(L2287)+N(M2287)+N(N2287)+N(O2287))</f>
        <v/>
      </c>
      <c r="Q2287" s="67"/>
      <c r="R2287" s="67"/>
      <c r="S2287" s="67"/>
      <c r="T2287" s="67"/>
      <c r="U2287" s="67"/>
      <c r="V2287" s="67"/>
      <c r="W2287" s="85" t="str">
        <f aca="false">IF(AH2287="","",N(Q2287)+N(R2287)+N(S2287)+N(T2287)+N(U2287)+N(V2287))</f>
        <v/>
      </c>
      <c r="X2287" s="85" t="str">
        <f aca="false">IF(AH2287="","",P2287-W2287)</f>
        <v/>
      </c>
      <c r="Y2287" s="67"/>
      <c r="Z2287" s="70" t="str">
        <f aca="false">IF(OR(AH2287="",Y2287=""),"",IF(ABS(X2287-Y2287)&lt;=1,"✓ Cuadra","⚠ Diferencia $"&amp;FIXED(X2287-Y2287,0)))</f>
        <v/>
      </c>
      <c r="AA2287" s="72" t="str">
        <f aca="false">IF(AH2287="","",IFERROR(INDEX(C_TIPO,MATCH(C2287&amp;"-P"&amp;MAX(1,COUNTIFS(C_ID,C2287,C_DEFINE,"Sí",C_INICIO,"&lt;="&amp;EOMONTH(B2287,0))),C_CLAVE,0))&amp;"","Sin dato"))</f>
        <v/>
      </c>
      <c r="AB2287" s="71" t="str">
        <f aca="false">IF(AH2287="","",ROUND(MIN(K2287,TOPE_AFP_UF*AJ2287)*AK2287,0))</f>
        <v/>
      </c>
      <c r="AC2287" s="71" t="str">
        <f aca="false">IF(AH2287="","",ROUND(MIN(K2287,TOPE_AFC_UF*AJ2287)*IF(AA2287="Indefinido",AFC_EMP_INDEF,AFC_EMP_PF),0))</f>
        <v/>
      </c>
      <c r="AD2287" s="71" t="str">
        <f aca="false">IF(AH2287="","",ROUND(MIN(K2287,TOPE_AFP_UF*AJ2287)*(MUTUAL_BASICA+MUTUAL_ADIC+SANNA),0))</f>
        <v/>
      </c>
      <c r="AE2287" s="71" t="str">
        <f aca="false">IF(AH2287="","",P2287-N(N2287)+AB2287+AC2287+AD2287)</f>
        <v/>
      </c>
      <c r="AF2287" s="65"/>
      <c r="AG2287" s="64"/>
      <c r="AH2287" s="72" t="str">
        <f aca="false">IF(OR(B2287="",C2287=""),"",C2287&amp;"|"&amp;(YEAR(B2287)*100+MONTH(B2287)))</f>
        <v/>
      </c>
      <c r="AI2287" s="70" t="str">
        <f aca="false">IF(AH2287="","",IF(COUNTIF(L_CLAVE,AH2287)&gt;1,"⚠ Duplicado","OK"))</f>
        <v/>
      </c>
      <c r="AJ2287" s="86" t="str">
        <f aca="false">IF(AH2287="","",IF(SUMPRODUCT(MAX((IND_PER&lt;=B2287)*(IND_UF&lt;&gt;"")*IND_PER))=0,UF_HOY,INDEX(IND_UF,MATCH(SUMPRODUCT(MAX((IND_PER&lt;=B2287)*(IND_UF&lt;&gt;"")*IND_PER)),IND_PER,0))))</f>
        <v/>
      </c>
      <c r="AK2287" s="87" t="str">
        <f aca="false">IF(AH2287="","",IF(COUNTIF(TASA_DESDE,"&lt;="&amp;B2287)=0,INDEX(TASA_EMP,1),INDEX(TASA_EMP,COUNTIF(TASA_DESDE,"&lt;="&amp;B2287))))</f>
        <v/>
      </c>
    </row>
    <row r="2288" customFormat="false" ht="15" hidden="false" customHeight="false" outlineLevel="0" collapsed="false">
      <c r="B2288" s="78"/>
      <c r="C2288" s="64"/>
      <c r="D2288" s="72" t="str">
        <f aca="false">IF(C2288="","",IFERROR(INDEX(T_NOMBRE,MATCH(C2288,T_ID,0)),"⚠ ID no existe"))</f>
        <v/>
      </c>
      <c r="E2288" s="69"/>
      <c r="F2288" s="67"/>
      <c r="G2288" s="67"/>
      <c r="H2288" s="67"/>
      <c r="I2288" s="67"/>
      <c r="J2288" s="67"/>
      <c r="K2288" s="85" t="str">
        <f aca="false">IF(AH2288="","",N(F2288)+N(G2288)+N(H2288)-N(I2288)+N(J2288))</f>
        <v/>
      </c>
      <c r="L2288" s="67"/>
      <c r="M2288" s="67"/>
      <c r="N2288" s="67"/>
      <c r="O2288" s="67"/>
      <c r="P2288" s="85" t="str">
        <f aca="false">IF(AH2288="","",K2288+N(L2288)+N(M2288)+N(N2288)+N(O2288))</f>
        <v/>
      </c>
      <c r="Q2288" s="67"/>
      <c r="R2288" s="67"/>
      <c r="S2288" s="67"/>
      <c r="T2288" s="67"/>
      <c r="U2288" s="67"/>
      <c r="V2288" s="67"/>
      <c r="W2288" s="85" t="str">
        <f aca="false">IF(AH2288="","",N(Q2288)+N(R2288)+N(S2288)+N(T2288)+N(U2288)+N(V2288))</f>
        <v/>
      </c>
      <c r="X2288" s="85" t="str">
        <f aca="false">IF(AH2288="","",P2288-W2288)</f>
        <v/>
      </c>
      <c r="Y2288" s="67"/>
      <c r="Z2288" s="70" t="str">
        <f aca="false">IF(OR(AH2288="",Y2288=""),"",IF(ABS(X2288-Y2288)&lt;=1,"✓ Cuadra","⚠ Diferencia $"&amp;FIXED(X2288-Y2288,0)))</f>
        <v/>
      </c>
      <c r="AA2288" s="72" t="str">
        <f aca="false">IF(AH2288="","",IFERROR(INDEX(C_TIPO,MATCH(C2288&amp;"-P"&amp;MAX(1,COUNTIFS(C_ID,C2288,C_DEFINE,"Sí",C_INICIO,"&lt;="&amp;EOMONTH(B2288,0))),C_CLAVE,0))&amp;"","Sin dato"))</f>
        <v/>
      </c>
      <c r="AB2288" s="71" t="str">
        <f aca="false">IF(AH2288="","",ROUND(MIN(K2288,TOPE_AFP_UF*AJ2288)*AK2288,0))</f>
        <v/>
      </c>
      <c r="AC2288" s="71" t="str">
        <f aca="false">IF(AH2288="","",ROUND(MIN(K2288,TOPE_AFC_UF*AJ2288)*IF(AA2288="Indefinido",AFC_EMP_INDEF,AFC_EMP_PF),0))</f>
        <v/>
      </c>
      <c r="AD2288" s="71" t="str">
        <f aca="false">IF(AH2288="","",ROUND(MIN(K2288,TOPE_AFP_UF*AJ2288)*(MUTUAL_BASICA+MUTUAL_ADIC+SANNA),0))</f>
        <v/>
      </c>
      <c r="AE2288" s="71" t="str">
        <f aca="false">IF(AH2288="","",P2288-N(N2288)+AB2288+AC2288+AD2288)</f>
        <v/>
      </c>
      <c r="AF2288" s="65"/>
      <c r="AG2288" s="64"/>
      <c r="AH2288" s="72" t="str">
        <f aca="false">IF(OR(B2288="",C2288=""),"",C2288&amp;"|"&amp;(YEAR(B2288)*100+MONTH(B2288)))</f>
        <v/>
      </c>
      <c r="AI2288" s="70" t="str">
        <f aca="false">IF(AH2288="","",IF(COUNTIF(L_CLAVE,AH2288)&gt;1,"⚠ Duplicado","OK"))</f>
        <v/>
      </c>
      <c r="AJ2288" s="86" t="str">
        <f aca="false">IF(AH2288="","",IF(SUMPRODUCT(MAX((IND_PER&lt;=B2288)*(IND_UF&lt;&gt;"")*IND_PER))=0,UF_HOY,INDEX(IND_UF,MATCH(SUMPRODUCT(MAX((IND_PER&lt;=B2288)*(IND_UF&lt;&gt;"")*IND_PER)),IND_PER,0))))</f>
        <v/>
      </c>
      <c r="AK2288" s="87" t="str">
        <f aca="false">IF(AH2288="","",IF(COUNTIF(TASA_DESDE,"&lt;="&amp;B2288)=0,INDEX(TASA_EMP,1),INDEX(TASA_EMP,COUNTIF(TASA_DESDE,"&lt;="&amp;B2288))))</f>
        <v/>
      </c>
    </row>
    <row r="2289" customFormat="false" ht="15" hidden="false" customHeight="false" outlineLevel="0" collapsed="false">
      <c r="B2289" s="78"/>
      <c r="C2289" s="64"/>
      <c r="D2289" s="72" t="str">
        <f aca="false">IF(C2289="","",IFERROR(INDEX(T_NOMBRE,MATCH(C2289,T_ID,0)),"⚠ ID no existe"))</f>
        <v/>
      </c>
      <c r="E2289" s="69"/>
      <c r="F2289" s="67"/>
      <c r="G2289" s="67"/>
      <c r="H2289" s="67"/>
      <c r="I2289" s="67"/>
      <c r="J2289" s="67"/>
      <c r="K2289" s="85" t="str">
        <f aca="false">IF(AH2289="","",N(F2289)+N(G2289)+N(H2289)-N(I2289)+N(J2289))</f>
        <v/>
      </c>
      <c r="L2289" s="67"/>
      <c r="M2289" s="67"/>
      <c r="N2289" s="67"/>
      <c r="O2289" s="67"/>
      <c r="P2289" s="85" t="str">
        <f aca="false">IF(AH2289="","",K2289+N(L2289)+N(M2289)+N(N2289)+N(O2289))</f>
        <v/>
      </c>
      <c r="Q2289" s="67"/>
      <c r="R2289" s="67"/>
      <c r="S2289" s="67"/>
      <c r="T2289" s="67"/>
      <c r="U2289" s="67"/>
      <c r="V2289" s="67"/>
      <c r="W2289" s="85" t="str">
        <f aca="false">IF(AH2289="","",N(Q2289)+N(R2289)+N(S2289)+N(T2289)+N(U2289)+N(V2289))</f>
        <v/>
      </c>
      <c r="X2289" s="85" t="str">
        <f aca="false">IF(AH2289="","",P2289-W2289)</f>
        <v/>
      </c>
      <c r="Y2289" s="67"/>
      <c r="Z2289" s="70" t="str">
        <f aca="false">IF(OR(AH2289="",Y2289=""),"",IF(ABS(X2289-Y2289)&lt;=1,"✓ Cuadra","⚠ Diferencia $"&amp;FIXED(X2289-Y2289,0)))</f>
        <v/>
      </c>
      <c r="AA2289" s="72" t="str">
        <f aca="false">IF(AH2289="","",IFERROR(INDEX(C_TIPO,MATCH(C2289&amp;"-P"&amp;MAX(1,COUNTIFS(C_ID,C2289,C_DEFINE,"Sí",C_INICIO,"&lt;="&amp;EOMONTH(B2289,0))),C_CLAVE,0))&amp;"","Sin dato"))</f>
        <v/>
      </c>
      <c r="AB2289" s="71" t="str">
        <f aca="false">IF(AH2289="","",ROUND(MIN(K2289,TOPE_AFP_UF*AJ2289)*AK2289,0))</f>
        <v/>
      </c>
      <c r="AC2289" s="71" t="str">
        <f aca="false">IF(AH2289="","",ROUND(MIN(K2289,TOPE_AFC_UF*AJ2289)*IF(AA2289="Indefinido",AFC_EMP_INDEF,AFC_EMP_PF),0))</f>
        <v/>
      </c>
      <c r="AD2289" s="71" t="str">
        <f aca="false">IF(AH2289="","",ROUND(MIN(K2289,TOPE_AFP_UF*AJ2289)*(MUTUAL_BASICA+MUTUAL_ADIC+SANNA),0))</f>
        <v/>
      </c>
      <c r="AE2289" s="71" t="str">
        <f aca="false">IF(AH2289="","",P2289-N(N2289)+AB2289+AC2289+AD2289)</f>
        <v/>
      </c>
      <c r="AF2289" s="65"/>
      <c r="AG2289" s="64"/>
      <c r="AH2289" s="72" t="str">
        <f aca="false">IF(OR(B2289="",C2289=""),"",C2289&amp;"|"&amp;(YEAR(B2289)*100+MONTH(B2289)))</f>
        <v/>
      </c>
      <c r="AI2289" s="70" t="str">
        <f aca="false">IF(AH2289="","",IF(COUNTIF(L_CLAVE,AH2289)&gt;1,"⚠ Duplicado","OK"))</f>
        <v/>
      </c>
      <c r="AJ2289" s="86" t="str">
        <f aca="false">IF(AH2289="","",IF(SUMPRODUCT(MAX((IND_PER&lt;=B2289)*(IND_UF&lt;&gt;"")*IND_PER))=0,UF_HOY,INDEX(IND_UF,MATCH(SUMPRODUCT(MAX((IND_PER&lt;=B2289)*(IND_UF&lt;&gt;"")*IND_PER)),IND_PER,0))))</f>
        <v/>
      </c>
      <c r="AK2289" s="87" t="str">
        <f aca="false">IF(AH2289="","",IF(COUNTIF(TASA_DESDE,"&lt;="&amp;B2289)=0,INDEX(TASA_EMP,1),INDEX(TASA_EMP,COUNTIF(TASA_DESDE,"&lt;="&amp;B2289))))</f>
        <v/>
      </c>
    </row>
    <row r="2290" customFormat="false" ht="15" hidden="false" customHeight="false" outlineLevel="0" collapsed="false">
      <c r="B2290" s="78"/>
      <c r="C2290" s="64"/>
      <c r="D2290" s="72" t="str">
        <f aca="false">IF(C2290="","",IFERROR(INDEX(T_NOMBRE,MATCH(C2290,T_ID,0)),"⚠ ID no existe"))</f>
        <v/>
      </c>
      <c r="E2290" s="69"/>
      <c r="F2290" s="67"/>
      <c r="G2290" s="67"/>
      <c r="H2290" s="67"/>
      <c r="I2290" s="67"/>
      <c r="J2290" s="67"/>
      <c r="K2290" s="85" t="str">
        <f aca="false">IF(AH2290="","",N(F2290)+N(G2290)+N(H2290)-N(I2290)+N(J2290))</f>
        <v/>
      </c>
      <c r="L2290" s="67"/>
      <c r="M2290" s="67"/>
      <c r="N2290" s="67"/>
      <c r="O2290" s="67"/>
      <c r="P2290" s="85" t="str">
        <f aca="false">IF(AH2290="","",K2290+N(L2290)+N(M2290)+N(N2290)+N(O2290))</f>
        <v/>
      </c>
      <c r="Q2290" s="67"/>
      <c r="R2290" s="67"/>
      <c r="S2290" s="67"/>
      <c r="T2290" s="67"/>
      <c r="U2290" s="67"/>
      <c r="V2290" s="67"/>
      <c r="W2290" s="85" t="str">
        <f aca="false">IF(AH2290="","",N(Q2290)+N(R2290)+N(S2290)+N(T2290)+N(U2290)+N(V2290))</f>
        <v/>
      </c>
      <c r="X2290" s="85" t="str">
        <f aca="false">IF(AH2290="","",P2290-W2290)</f>
        <v/>
      </c>
      <c r="Y2290" s="67"/>
      <c r="Z2290" s="70" t="str">
        <f aca="false">IF(OR(AH2290="",Y2290=""),"",IF(ABS(X2290-Y2290)&lt;=1,"✓ Cuadra","⚠ Diferencia $"&amp;FIXED(X2290-Y2290,0)))</f>
        <v/>
      </c>
      <c r="AA2290" s="72" t="str">
        <f aca="false">IF(AH2290="","",IFERROR(INDEX(C_TIPO,MATCH(C2290&amp;"-P"&amp;MAX(1,COUNTIFS(C_ID,C2290,C_DEFINE,"Sí",C_INICIO,"&lt;="&amp;EOMONTH(B2290,0))),C_CLAVE,0))&amp;"","Sin dato"))</f>
        <v/>
      </c>
      <c r="AB2290" s="71" t="str">
        <f aca="false">IF(AH2290="","",ROUND(MIN(K2290,TOPE_AFP_UF*AJ2290)*AK2290,0))</f>
        <v/>
      </c>
      <c r="AC2290" s="71" t="str">
        <f aca="false">IF(AH2290="","",ROUND(MIN(K2290,TOPE_AFC_UF*AJ2290)*IF(AA2290="Indefinido",AFC_EMP_INDEF,AFC_EMP_PF),0))</f>
        <v/>
      </c>
      <c r="AD2290" s="71" t="str">
        <f aca="false">IF(AH2290="","",ROUND(MIN(K2290,TOPE_AFP_UF*AJ2290)*(MUTUAL_BASICA+MUTUAL_ADIC+SANNA),0))</f>
        <v/>
      </c>
      <c r="AE2290" s="71" t="str">
        <f aca="false">IF(AH2290="","",P2290-N(N2290)+AB2290+AC2290+AD2290)</f>
        <v/>
      </c>
      <c r="AF2290" s="65"/>
      <c r="AG2290" s="64"/>
      <c r="AH2290" s="72" t="str">
        <f aca="false">IF(OR(B2290="",C2290=""),"",C2290&amp;"|"&amp;(YEAR(B2290)*100+MONTH(B2290)))</f>
        <v/>
      </c>
      <c r="AI2290" s="70" t="str">
        <f aca="false">IF(AH2290="","",IF(COUNTIF(L_CLAVE,AH2290)&gt;1,"⚠ Duplicado","OK"))</f>
        <v/>
      </c>
      <c r="AJ2290" s="86" t="str">
        <f aca="false">IF(AH2290="","",IF(SUMPRODUCT(MAX((IND_PER&lt;=B2290)*(IND_UF&lt;&gt;"")*IND_PER))=0,UF_HOY,INDEX(IND_UF,MATCH(SUMPRODUCT(MAX((IND_PER&lt;=B2290)*(IND_UF&lt;&gt;"")*IND_PER)),IND_PER,0))))</f>
        <v/>
      </c>
      <c r="AK2290" s="87" t="str">
        <f aca="false">IF(AH2290="","",IF(COUNTIF(TASA_DESDE,"&lt;="&amp;B2290)=0,INDEX(TASA_EMP,1),INDEX(TASA_EMP,COUNTIF(TASA_DESDE,"&lt;="&amp;B2290))))</f>
        <v/>
      </c>
    </row>
    <row r="2291" customFormat="false" ht="15" hidden="false" customHeight="false" outlineLevel="0" collapsed="false">
      <c r="B2291" s="78"/>
      <c r="C2291" s="64"/>
      <c r="D2291" s="72" t="str">
        <f aca="false">IF(C2291="","",IFERROR(INDEX(T_NOMBRE,MATCH(C2291,T_ID,0)),"⚠ ID no existe"))</f>
        <v/>
      </c>
      <c r="E2291" s="69"/>
      <c r="F2291" s="67"/>
      <c r="G2291" s="67"/>
      <c r="H2291" s="67"/>
      <c r="I2291" s="67"/>
      <c r="J2291" s="67"/>
      <c r="K2291" s="85" t="str">
        <f aca="false">IF(AH2291="","",N(F2291)+N(G2291)+N(H2291)-N(I2291)+N(J2291))</f>
        <v/>
      </c>
      <c r="L2291" s="67"/>
      <c r="M2291" s="67"/>
      <c r="N2291" s="67"/>
      <c r="O2291" s="67"/>
      <c r="P2291" s="85" t="str">
        <f aca="false">IF(AH2291="","",K2291+N(L2291)+N(M2291)+N(N2291)+N(O2291))</f>
        <v/>
      </c>
      <c r="Q2291" s="67"/>
      <c r="R2291" s="67"/>
      <c r="S2291" s="67"/>
      <c r="T2291" s="67"/>
      <c r="U2291" s="67"/>
      <c r="V2291" s="67"/>
      <c r="W2291" s="85" t="str">
        <f aca="false">IF(AH2291="","",N(Q2291)+N(R2291)+N(S2291)+N(T2291)+N(U2291)+N(V2291))</f>
        <v/>
      </c>
      <c r="X2291" s="85" t="str">
        <f aca="false">IF(AH2291="","",P2291-W2291)</f>
        <v/>
      </c>
      <c r="Y2291" s="67"/>
      <c r="Z2291" s="70" t="str">
        <f aca="false">IF(OR(AH2291="",Y2291=""),"",IF(ABS(X2291-Y2291)&lt;=1,"✓ Cuadra","⚠ Diferencia $"&amp;FIXED(X2291-Y2291,0)))</f>
        <v/>
      </c>
      <c r="AA2291" s="72" t="str">
        <f aca="false">IF(AH2291="","",IFERROR(INDEX(C_TIPO,MATCH(C2291&amp;"-P"&amp;MAX(1,COUNTIFS(C_ID,C2291,C_DEFINE,"Sí",C_INICIO,"&lt;="&amp;EOMONTH(B2291,0))),C_CLAVE,0))&amp;"","Sin dato"))</f>
        <v/>
      </c>
      <c r="AB2291" s="71" t="str">
        <f aca="false">IF(AH2291="","",ROUND(MIN(K2291,TOPE_AFP_UF*AJ2291)*AK2291,0))</f>
        <v/>
      </c>
      <c r="AC2291" s="71" t="str">
        <f aca="false">IF(AH2291="","",ROUND(MIN(K2291,TOPE_AFC_UF*AJ2291)*IF(AA2291="Indefinido",AFC_EMP_INDEF,AFC_EMP_PF),0))</f>
        <v/>
      </c>
      <c r="AD2291" s="71" t="str">
        <f aca="false">IF(AH2291="","",ROUND(MIN(K2291,TOPE_AFP_UF*AJ2291)*(MUTUAL_BASICA+MUTUAL_ADIC+SANNA),0))</f>
        <v/>
      </c>
      <c r="AE2291" s="71" t="str">
        <f aca="false">IF(AH2291="","",P2291-N(N2291)+AB2291+AC2291+AD2291)</f>
        <v/>
      </c>
      <c r="AF2291" s="65"/>
      <c r="AG2291" s="64"/>
      <c r="AH2291" s="72" t="str">
        <f aca="false">IF(OR(B2291="",C2291=""),"",C2291&amp;"|"&amp;(YEAR(B2291)*100+MONTH(B2291)))</f>
        <v/>
      </c>
      <c r="AI2291" s="70" t="str">
        <f aca="false">IF(AH2291="","",IF(COUNTIF(L_CLAVE,AH2291)&gt;1,"⚠ Duplicado","OK"))</f>
        <v/>
      </c>
      <c r="AJ2291" s="86" t="str">
        <f aca="false">IF(AH2291="","",IF(SUMPRODUCT(MAX((IND_PER&lt;=B2291)*(IND_UF&lt;&gt;"")*IND_PER))=0,UF_HOY,INDEX(IND_UF,MATCH(SUMPRODUCT(MAX((IND_PER&lt;=B2291)*(IND_UF&lt;&gt;"")*IND_PER)),IND_PER,0))))</f>
        <v/>
      </c>
      <c r="AK2291" s="87" t="str">
        <f aca="false">IF(AH2291="","",IF(COUNTIF(TASA_DESDE,"&lt;="&amp;B2291)=0,INDEX(TASA_EMP,1),INDEX(TASA_EMP,COUNTIF(TASA_DESDE,"&lt;="&amp;B2291))))</f>
        <v/>
      </c>
    </row>
    <row r="2292" customFormat="false" ht="15" hidden="false" customHeight="false" outlineLevel="0" collapsed="false">
      <c r="B2292" s="78"/>
      <c r="C2292" s="64"/>
      <c r="D2292" s="72" t="str">
        <f aca="false">IF(C2292="","",IFERROR(INDEX(T_NOMBRE,MATCH(C2292,T_ID,0)),"⚠ ID no existe"))</f>
        <v/>
      </c>
      <c r="E2292" s="69"/>
      <c r="F2292" s="67"/>
      <c r="G2292" s="67"/>
      <c r="H2292" s="67"/>
      <c r="I2292" s="67"/>
      <c r="J2292" s="67"/>
      <c r="K2292" s="85" t="str">
        <f aca="false">IF(AH2292="","",N(F2292)+N(G2292)+N(H2292)-N(I2292)+N(J2292))</f>
        <v/>
      </c>
      <c r="L2292" s="67"/>
      <c r="M2292" s="67"/>
      <c r="N2292" s="67"/>
      <c r="O2292" s="67"/>
      <c r="P2292" s="85" t="str">
        <f aca="false">IF(AH2292="","",K2292+N(L2292)+N(M2292)+N(N2292)+N(O2292))</f>
        <v/>
      </c>
      <c r="Q2292" s="67"/>
      <c r="R2292" s="67"/>
      <c r="S2292" s="67"/>
      <c r="T2292" s="67"/>
      <c r="U2292" s="67"/>
      <c r="V2292" s="67"/>
      <c r="W2292" s="85" t="str">
        <f aca="false">IF(AH2292="","",N(Q2292)+N(R2292)+N(S2292)+N(T2292)+N(U2292)+N(V2292))</f>
        <v/>
      </c>
      <c r="X2292" s="85" t="str">
        <f aca="false">IF(AH2292="","",P2292-W2292)</f>
        <v/>
      </c>
      <c r="Y2292" s="67"/>
      <c r="Z2292" s="70" t="str">
        <f aca="false">IF(OR(AH2292="",Y2292=""),"",IF(ABS(X2292-Y2292)&lt;=1,"✓ Cuadra","⚠ Diferencia $"&amp;FIXED(X2292-Y2292,0)))</f>
        <v/>
      </c>
      <c r="AA2292" s="72" t="str">
        <f aca="false">IF(AH2292="","",IFERROR(INDEX(C_TIPO,MATCH(C2292&amp;"-P"&amp;MAX(1,COUNTIFS(C_ID,C2292,C_DEFINE,"Sí",C_INICIO,"&lt;="&amp;EOMONTH(B2292,0))),C_CLAVE,0))&amp;"","Sin dato"))</f>
        <v/>
      </c>
      <c r="AB2292" s="71" t="str">
        <f aca="false">IF(AH2292="","",ROUND(MIN(K2292,TOPE_AFP_UF*AJ2292)*AK2292,0))</f>
        <v/>
      </c>
      <c r="AC2292" s="71" t="str">
        <f aca="false">IF(AH2292="","",ROUND(MIN(K2292,TOPE_AFC_UF*AJ2292)*IF(AA2292="Indefinido",AFC_EMP_INDEF,AFC_EMP_PF),0))</f>
        <v/>
      </c>
      <c r="AD2292" s="71" t="str">
        <f aca="false">IF(AH2292="","",ROUND(MIN(K2292,TOPE_AFP_UF*AJ2292)*(MUTUAL_BASICA+MUTUAL_ADIC+SANNA),0))</f>
        <v/>
      </c>
      <c r="AE2292" s="71" t="str">
        <f aca="false">IF(AH2292="","",P2292-N(N2292)+AB2292+AC2292+AD2292)</f>
        <v/>
      </c>
      <c r="AF2292" s="65"/>
      <c r="AG2292" s="64"/>
      <c r="AH2292" s="72" t="str">
        <f aca="false">IF(OR(B2292="",C2292=""),"",C2292&amp;"|"&amp;(YEAR(B2292)*100+MONTH(B2292)))</f>
        <v/>
      </c>
      <c r="AI2292" s="70" t="str">
        <f aca="false">IF(AH2292="","",IF(COUNTIF(L_CLAVE,AH2292)&gt;1,"⚠ Duplicado","OK"))</f>
        <v/>
      </c>
      <c r="AJ2292" s="86" t="str">
        <f aca="false">IF(AH2292="","",IF(SUMPRODUCT(MAX((IND_PER&lt;=B2292)*(IND_UF&lt;&gt;"")*IND_PER))=0,UF_HOY,INDEX(IND_UF,MATCH(SUMPRODUCT(MAX((IND_PER&lt;=B2292)*(IND_UF&lt;&gt;"")*IND_PER)),IND_PER,0))))</f>
        <v/>
      </c>
      <c r="AK2292" s="87" t="str">
        <f aca="false">IF(AH2292="","",IF(COUNTIF(TASA_DESDE,"&lt;="&amp;B2292)=0,INDEX(TASA_EMP,1),INDEX(TASA_EMP,COUNTIF(TASA_DESDE,"&lt;="&amp;B2292))))</f>
        <v/>
      </c>
    </row>
    <row r="2293" customFormat="false" ht="15" hidden="false" customHeight="false" outlineLevel="0" collapsed="false">
      <c r="B2293" s="78"/>
      <c r="C2293" s="64"/>
      <c r="D2293" s="72" t="str">
        <f aca="false">IF(C2293="","",IFERROR(INDEX(T_NOMBRE,MATCH(C2293,T_ID,0)),"⚠ ID no existe"))</f>
        <v/>
      </c>
      <c r="E2293" s="69"/>
      <c r="F2293" s="67"/>
      <c r="G2293" s="67"/>
      <c r="H2293" s="67"/>
      <c r="I2293" s="67"/>
      <c r="J2293" s="67"/>
      <c r="K2293" s="85" t="str">
        <f aca="false">IF(AH2293="","",N(F2293)+N(G2293)+N(H2293)-N(I2293)+N(J2293))</f>
        <v/>
      </c>
      <c r="L2293" s="67"/>
      <c r="M2293" s="67"/>
      <c r="N2293" s="67"/>
      <c r="O2293" s="67"/>
      <c r="P2293" s="85" t="str">
        <f aca="false">IF(AH2293="","",K2293+N(L2293)+N(M2293)+N(N2293)+N(O2293))</f>
        <v/>
      </c>
      <c r="Q2293" s="67"/>
      <c r="R2293" s="67"/>
      <c r="S2293" s="67"/>
      <c r="T2293" s="67"/>
      <c r="U2293" s="67"/>
      <c r="V2293" s="67"/>
      <c r="W2293" s="85" t="str">
        <f aca="false">IF(AH2293="","",N(Q2293)+N(R2293)+N(S2293)+N(T2293)+N(U2293)+N(V2293))</f>
        <v/>
      </c>
      <c r="X2293" s="85" t="str">
        <f aca="false">IF(AH2293="","",P2293-W2293)</f>
        <v/>
      </c>
      <c r="Y2293" s="67"/>
      <c r="Z2293" s="70" t="str">
        <f aca="false">IF(OR(AH2293="",Y2293=""),"",IF(ABS(X2293-Y2293)&lt;=1,"✓ Cuadra","⚠ Diferencia $"&amp;FIXED(X2293-Y2293,0)))</f>
        <v/>
      </c>
      <c r="AA2293" s="72" t="str">
        <f aca="false">IF(AH2293="","",IFERROR(INDEX(C_TIPO,MATCH(C2293&amp;"-P"&amp;MAX(1,COUNTIFS(C_ID,C2293,C_DEFINE,"Sí",C_INICIO,"&lt;="&amp;EOMONTH(B2293,0))),C_CLAVE,0))&amp;"","Sin dato"))</f>
        <v/>
      </c>
      <c r="AB2293" s="71" t="str">
        <f aca="false">IF(AH2293="","",ROUND(MIN(K2293,TOPE_AFP_UF*AJ2293)*AK2293,0))</f>
        <v/>
      </c>
      <c r="AC2293" s="71" t="str">
        <f aca="false">IF(AH2293="","",ROUND(MIN(K2293,TOPE_AFC_UF*AJ2293)*IF(AA2293="Indefinido",AFC_EMP_INDEF,AFC_EMP_PF),0))</f>
        <v/>
      </c>
      <c r="AD2293" s="71" t="str">
        <f aca="false">IF(AH2293="","",ROUND(MIN(K2293,TOPE_AFP_UF*AJ2293)*(MUTUAL_BASICA+MUTUAL_ADIC+SANNA),0))</f>
        <v/>
      </c>
      <c r="AE2293" s="71" t="str">
        <f aca="false">IF(AH2293="","",P2293-N(N2293)+AB2293+AC2293+AD2293)</f>
        <v/>
      </c>
      <c r="AF2293" s="65"/>
      <c r="AG2293" s="64"/>
      <c r="AH2293" s="72" t="str">
        <f aca="false">IF(OR(B2293="",C2293=""),"",C2293&amp;"|"&amp;(YEAR(B2293)*100+MONTH(B2293)))</f>
        <v/>
      </c>
      <c r="AI2293" s="70" t="str">
        <f aca="false">IF(AH2293="","",IF(COUNTIF(L_CLAVE,AH2293)&gt;1,"⚠ Duplicado","OK"))</f>
        <v/>
      </c>
      <c r="AJ2293" s="86" t="str">
        <f aca="false">IF(AH2293="","",IF(SUMPRODUCT(MAX((IND_PER&lt;=B2293)*(IND_UF&lt;&gt;"")*IND_PER))=0,UF_HOY,INDEX(IND_UF,MATCH(SUMPRODUCT(MAX((IND_PER&lt;=B2293)*(IND_UF&lt;&gt;"")*IND_PER)),IND_PER,0))))</f>
        <v/>
      </c>
      <c r="AK2293" s="87" t="str">
        <f aca="false">IF(AH2293="","",IF(COUNTIF(TASA_DESDE,"&lt;="&amp;B2293)=0,INDEX(TASA_EMP,1),INDEX(TASA_EMP,COUNTIF(TASA_DESDE,"&lt;="&amp;B2293))))</f>
        <v/>
      </c>
    </row>
    <row r="2294" customFormat="false" ht="15" hidden="false" customHeight="false" outlineLevel="0" collapsed="false">
      <c r="B2294" s="78"/>
      <c r="C2294" s="64"/>
      <c r="D2294" s="72" t="str">
        <f aca="false">IF(C2294="","",IFERROR(INDEX(T_NOMBRE,MATCH(C2294,T_ID,0)),"⚠ ID no existe"))</f>
        <v/>
      </c>
      <c r="E2294" s="69"/>
      <c r="F2294" s="67"/>
      <c r="G2294" s="67"/>
      <c r="H2294" s="67"/>
      <c r="I2294" s="67"/>
      <c r="J2294" s="67"/>
      <c r="K2294" s="85" t="str">
        <f aca="false">IF(AH2294="","",N(F2294)+N(G2294)+N(H2294)-N(I2294)+N(J2294))</f>
        <v/>
      </c>
      <c r="L2294" s="67"/>
      <c r="M2294" s="67"/>
      <c r="N2294" s="67"/>
      <c r="O2294" s="67"/>
      <c r="P2294" s="85" t="str">
        <f aca="false">IF(AH2294="","",K2294+N(L2294)+N(M2294)+N(N2294)+N(O2294))</f>
        <v/>
      </c>
      <c r="Q2294" s="67"/>
      <c r="R2294" s="67"/>
      <c r="S2294" s="67"/>
      <c r="T2294" s="67"/>
      <c r="U2294" s="67"/>
      <c r="V2294" s="67"/>
      <c r="W2294" s="85" t="str">
        <f aca="false">IF(AH2294="","",N(Q2294)+N(R2294)+N(S2294)+N(T2294)+N(U2294)+N(V2294))</f>
        <v/>
      </c>
      <c r="X2294" s="85" t="str">
        <f aca="false">IF(AH2294="","",P2294-W2294)</f>
        <v/>
      </c>
      <c r="Y2294" s="67"/>
      <c r="Z2294" s="70" t="str">
        <f aca="false">IF(OR(AH2294="",Y2294=""),"",IF(ABS(X2294-Y2294)&lt;=1,"✓ Cuadra","⚠ Diferencia $"&amp;FIXED(X2294-Y2294,0)))</f>
        <v/>
      </c>
      <c r="AA2294" s="72" t="str">
        <f aca="false">IF(AH2294="","",IFERROR(INDEX(C_TIPO,MATCH(C2294&amp;"-P"&amp;MAX(1,COUNTIFS(C_ID,C2294,C_DEFINE,"Sí",C_INICIO,"&lt;="&amp;EOMONTH(B2294,0))),C_CLAVE,0))&amp;"","Sin dato"))</f>
        <v/>
      </c>
      <c r="AB2294" s="71" t="str">
        <f aca="false">IF(AH2294="","",ROUND(MIN(K2294,TOPE_AFP_UF*AJ2294)*AK2294,0))</f>
        <v/>
      </c>
      <c r="AC2294" s="71" t="str">
        <f aca="false">IF(AH2294="","",ROUND(MIN(K2294,TOPE_AFC_UF*AJ2294)*IF(AA2294="Indefinido",AFC_EMP_INDEF,AFC_EMP_PF),0))</f>
        <v/>
      </c>
      <c r="AD2294" s="71" t="str">
        <f aca="false">IF(AH2294="","",ROUND(MIN(K2294,TOPE_AFP_UF*AJ2294)*(MUTUAL_BASICA+MUTUAL_ADIC+SANNA),0))</f>
        <v/>
      </c>
      <c r="AE2294" s="71" t="str">
        <f aca="false">IF(AH2294="","",P2294-N(N2294)+AB2294+AC2294+AD2294)</f>
        <v/>
      </c>
      <c r="AF2294" s="65"/>
      <c r="AG2294" s="64"/>
      <c r="AH2294" s="72" t="str">
        <f aca="false">IF(OR(B2294="",C2294=""),"",C2294&amp;"|"&amp;(YEAR(B2294)*100+MONTH(B2294)))</f>
        <v/>
      </c>
      <c r="AI2294" s="70" t="str">
        <f aca="false">IF(AH2294="","",IF(COUNTIF(L_CLAVE,AH2294)&gt;1,"⚠ Duplicado","OK"))</f>
        <v/>
      </c>
      <c r="AJ2294" s="86" t="str">
        <f aca="false">IF(AH2294="","",IF(SUMPRODUCT(MAX((IND_PER&lt;=B2294)*(IND_UF&lt;&gt;"")*IND_PER))=0,UF_HOY,INDEX(IND_UF,MATCH(SUMPRODUCT(MAX((IND_PER&lt;=B2294)*(IND_UF&lt;&gt;"")*IND_PER)),IND_PER,0))))</f>
        <v/>
      </c>
      <c r="AK2294" s="87" t="str">
        <f aca="false">IF(AH2294="","",IF(COUNTIF(TASA_DESDE,"&lt;="&amp;B2294)=0,INDEX(TASA_EMP,1),INDEX(TASA_EMP,COUNTIF(TASA_DESDE,"&lt;="&amp;B2294))))</f>
        <v/>
      </c>
    </row>
    <row r="2295" customFormat="false" ht="15" hidden="false" customHeight="false" outlineLevel="0" collapsed="false">
      <c r="B2295" s="78"/>
      <c r="C2295" s="64"/>
      <c r="D2295" s="72" t="str">
        <f aca="false">IF(C2295="","",IFERROR(INDEX(T_NOMBRE,MATCH(C2295,T_ID,0)),"⚠ ID no existe"))</f>
        <v/>
      </c>
      <c r="E2295" s="69"/>
      <c r="F2295" s="67"/>
      <c r="G2295" s="67"/>
      <c r="H2295" s="67"/>
      <c r="I2295" s="67"/>
      <c r="J2295" s="67"/>
      <c r="K2295" s="85" t="str">
        <f aca="false">IF(AH2295="","",N(F2295)+N(G2295)+N(H2295)-N(I2295)+N(J2295))</f>
        <v/>
      </c>
      <c r="L2295" s="67"/>
      <c r="M2295" s="67"/>
      <c r="N2295" s="67"/>
      <c r="O2295" s="67"/>
      <c r="P2295" s="85" t="str">
        <f aca="false">IF(AH2295="","",K2295+N(L2295)+N(M2295)+N(N2295)+N(O2295))</f>
        <v/>
      </c>
      <c r="Q2295" s="67"/>
      <c r="R2295" s="67"/>
      <c r="S2295" s="67"/>
      <c r="T2295" s="67"/>
      <c r="U2295" s="67"/>
      <c r="V2295" s="67"/>
      <c r="W2295" s="85" t="str">
        <f aca="false">IF(AH2295="","",N(Q2295)+N(R2295)+N(S2295)+N(T2295)+N(U2295)+N(V2295))</f>
        <v/>
      </c>
      <c r="X2295" s="85" t="str">
        <f aca="false">IF(AH2295="","",P2295-W2295)</f>
        <v/>
      </c>
      <c r="Y2295" s="67"/>
      <c r="Z2295" s="70" t="str">
        <f aca="false">IF(OR(AH2295="",Y2295=""),"",IF(ABS(X2295-Y2295)&lt;=1,"✓ Cuadra","⚠ Diferencia $"&amp;FIXED(X2295-Y2295,0)))</f>
        <v/>
      </c>
      <c r="AA2295" s="72" t="str">
        <f aca="false">IF(AH2295="","",IFERROR(INDEX(C_TIPO,MATCH(C2295&amp;"-P"&amp;MAX(1,COUNTIFS(C_ID,C2295,C_DEFINE,"Sí",C_INICIO,"&lt;="&amp;EOMONTH(B2295,0))),C_CLAVE,0))&amp;"","Sin dato"))</f>
        <v/>
      </c>
      <c r="AB2295" s="71" t="str">
        <f aca="false">IF(AH2295="","",ROUND(MIN(K2295,TOPE_AFP_UF*AJ2295)*AK2295,0))</f>
        <v/>
      </c>
      <c r="AC2295" s="71" t="str">
        <f aca="false">IF(AH2295="","",ROUND(MIN(K2295,TOPE_AFC_UF*AJ2295)*IF(AA2295="Indefinido",AFC_EMP_INDEF,AFC_EMP_PF),0))</f>
        <v/>
      </c>
      <c r="AD2295" s="71" t="str">
        <f aca="false">IF(AH2295="","",ROUND(MIN(K2295,TOPE_AFP_UF*AJ2295)*(MUTUAL_BASICA+MUTUAL_ADIC+SANNA),0))</f>
        <v/>
      </c>
      <c r="AE2295" s="71" t="str">
        <f aca="false">IF(AH2295="","",P2295-N(N2295)+AB2295+AC2295+AD2295)</f>
        <v/>
      </c>
      <c r="AF2295" s="65"/>
      <c r="AG2295" s="64"/>
      <c r="AH2295" s="72" t="str">
        <f aca="false">IF(OR(B2295="",C2295=""),"",C2295&amp;"|"&amp;(YEAR(B2295)*100+MONTH(B2295)))</f>
        <v/>
      </c>
      <c r="AI2295" s="70" t="str">
        <f aca="false">IF(AH2295="","",IF(COUNTIF(L_CLAVE,AH2295)&gt;1,"⚠ Duplicado","OK"))</f>
        <v/>
      </c>
      <c r="AJ2295" s="86" t="str">
        <f aca="false">IF(AH2295="","",IF(SUMPRODUCT(MAX((IND_PER&lt;=B2295)*(IND_UF&lt;&gt;"")*IND_PER))=0,UF_HOY,INDEX(IND_UF,MATCH(SUMPRODUCT(MAX((IND_PER&lt;=B2295)*(IND_UF&lt;&gt;"")*IND_PER)),IND_PER,0))))</f>
        <v/>
      </c>
      <c r="AK2295" s="87" t="str">
        <f aca="false">IF(AH2295="","",IF(COUNTIF(TASA_DESDE,"&lt;="&amp;B2295)=0,INDEX(TASA_EMP,1),INDEX(TASA_EMP,COUNTIF(TASA_DESDE,"&lt;="&amp;B2295))))</f>
        <v/>
      </c>
    </row>
    <row r="2296" customFormat="false" ht="15" hidden="false" customHeight="false" outlineLevel="0" collapsed="false">
      <c r="B2296" s="78"/>
      <c r="C2296" s="64"/>
      <c r="D2296" s="72" t="str">
        <f aca="false">IF(C2296="","",IFERROR(INDEX(T_NOMBRE,MATCH(C2296,T_ID,0)),"⚠ ID no existe"))</f>
        <v/>
      </c>
      <c r="E2296" s="69"/>
      <c r="F2296" s="67"/>
      <c r="G2296" s="67"/>
      <c r="H2296" s="67"/>
      <c r="I2296" s="67"/>
      <c r="J2296" s="67"/>
      <c r="K2296" s="85" t="str">
        <f aca="false">IF(AH2296="","",N(F2296)+N(G2296)+N(H2296)-N(I2296)+N(J2296))</f>
        <v/>
      </c>
      <c r="L2296" s="67"/>
      <c r="M2296" s="67"/>
      <c r="N2296" s="67"/>
      <c r="O2296" s="67"/>
      <c r="P2296" s="85" t="str">
        <f aca="false">IF(AH2296="","",K2296+N(L2296)+N(M2296)+N(N2296)+N(O2296))</f>
        <v/>
      </c>
      <c r="Q2296" s="67"/>
      <c r="R2296" s="67"/>
      <c r="S2296" s="67"/>
      <c r="T2296" s="67"/>
      <c r="U2296" s="67"/>
      <c r="V2296" s="67"/>
      <c r="W2296" s="85" t="str">
        <f aca="false">IF(AH2296="","",N(Q2296)+N(R2296)+N(S2296)+N(T2296)+N(U2296)+N(V2296))</f>
        <v/>
      </c>
      <c r="X2296" s="85" t="str">
        <f aca="false">IF(AH2296="","",P2296-W2296)</f>
        <v/>
      </c>
      <c r="Y2296" s="67"/>
      <c r="Z2296" s="70" t="str">
        <f aca="false">IF(OR(AH2296="",Y2296=""),"",IF(ABS(X2296-Y2296)&lt;=1,"✓ Cuadra","⚠ Diferencia $"&amp;FIXED(X2296-Y2296,0)))</f>
        <v/>
      </c>
      <c r="AA2296" s="72" t="str">
        <f aca="false">IF(AH2296="","",IFERROR(INDEX(C_TIPO,MATCH(C2296&amp;"-P"&amp;MAX(1,COUNTIFS(C_ID,C2296,C_DEFINE,"Sí",C_INICIO,"&lt;="&amp;EOMONTH(B2296,0))),C_CLAVE,0))&amp;"","Sin dato"))</f>
        <v/>
      </c>
      <c r="AB2296" s="71" t="str">
        <f aca="false">IF(AH2296="","",ROUND(MIN(K2296,TOPE_AFP_UF*AJ2296)*AK2296,0))</f>
        <v/>
      </c>
      <c r="AC2296" s="71" t="str">
        <f aca="false">IF(AH2296="","",ROUND(MIN(K2296,TOPE_AFC_UF*AJ2296)*IF(AA2296="Indefinido",AFC_EMP_INDEF,AFC_EMP_PF),0))</f>
        <v/>
      </c>
      <c r="AD2296" s="71" t="str">
        <f aca="false">IF(AH2296="","",ROUND(MIN(K2296,TOPE_AFP_UF*AJ2296)*(MUTUAL_BASICA+MUTUAL_ADIC+SANNA),0))</f>
        <v/>
      </c>
      <c r="AE2296" s="71" t="str">
        <f aca="false">IF(AH2296="","",P2296-N(N2296)+AB2296+AC2296+AD2296)</f>
        <v/>
      </c>
      <c r="AF2296" s="65"/>
      <c r="AG2296" s="64"/>
      <c r="AH2296" s="72" t="str">
        <f aca="false">IF(OR(B2296="",C2296=""),"",C2296&amp;"|"&amp;(YEAR(B2296)*100+MONTH(B2296)))</f>
        <v/>
      </c>
      <c r="AI2296" s="70" t="str">
        <f aca="false">IF(AH2296="","",IF(COUNTIF(L_CLAVE,AH2296)&gt;1,"⚠ Duplicado","OK"))</f>
        <v/>
      </c>
      <c r="AJ2296" s="86" t="str">
        <f aca="false">IF(AH2296="","",IF(SUMPRODUCT(MAX((IND_PER&lt;=B2296)*(IND_UF&lt;&gt;"")*IND_PER))=0,UF_HOY,INDEX(IND_UF,MATCH(SUMPRODUCT(MAX((IND_PER&lt;=B2296)*(IND_UF&lt;&gt;"")*IND_PER)),IND_PER,0))))</f>
        <v/>
      </c>
      <c r="AK2296" s="87" t="str">
        <f aca="false">IF(AH2296="","",IF(COUNTIF(TASA_DESDE,"&lt;="&amp;B2296)=0,INDEX(TASA_EMP,1),INDEX(TASA_EMP,COUNTIF(TASA_DESDE,"&lt;="&amp;B2296))))</f>
        <v/>
      </c>
    </row>
    <row r="2297" customFormat="false" ht="15" hidden="false" customHeight="false" outlineLevel="0" collapsed="false">
      <c r="B2297" s="78"/>
      <c r="C2297" s="64"/>
      <c r="D2297" s="72" t="str">
        <f aca="false">IF(C2297="","",IFERROR(INDEX(T_NOMBRE,MATCH(C2297,T_ID,0)),"⚠ ID no existe"))</f>
        <v/>
      </c>
      <c r="E2297" s="69"/>
      <c r="F2297" s="67"/>
      <c r="G2297" s="67"/>
      <c r="H2297" s="67"/>
      <c r="I2297" s="67"/>
      <c r="J2297" s="67"/>
      <c r="K2297" s="85" t="str">
        <f aca="false">IF(AH2297="","",N(F2297)+N(G2297)+N(H2297)-N(I2297)+N(J2297))</f>
        <v/>
      </c>
      <c r="L2297" s="67"/>
      <c r="M2297" s="67"/>
      <c r="N2297" s="67"/>
      <c r="O2297" s="67"/>
      <c r="P2297" s="85" t="str">
        <f aca="false">IF(AH2297="","",K2297+N(L2297)+N(M2297)+N(N2297)+N(O2297))</f>
        <v/>
      </c>
      <c r="Q2297" s="67"/>
      <c r="R2297" s="67"/>
      <c r="S2297" s="67"/>
      <c r="T2297" s="67"/>
      <c r="U2297" s="67"/>
      <c r="V2297" s="67"/>
      <c r="W2297" s="85" t="str">
        <f aca="false">IF(AH2297="","",N(Q2297)+N(R2297)+N(S2297)+N(T2297)+N(U2297)+N(V2297))</f>
        <v/>
      </c>
      <c r="X2297" s="85" t="str">
        <f aca="false">IF(AH2297="","",P2297-W2297)</f>
        <v/>
      </c>
      <c r="Y2297" s="67"/>
      <c r="Z2297" s="70" t="str">
        <f aca="false">IF(OR(AH2297="",Y2297=""),"",IF(ABS(X2297-Y2297)&lt;=1,"✓ Cuadra","⚠ Diferencia $"&amp;FIXED(X2297-Y2297,0)))</f>
        <v/>
      </c>
      <c r="AA2297" s="72" t="str">
        <f aca="false">IF(AH2297="","",IFERROR(INDEX(C_TIPO,MATCH(C2297&amp;"-P"&amp;MAX(1,COUNTIFS(C_ID,C2297,C_DEFINE,"Sí",C_INICIO,"&lt;="&amp;EOMONTH(B2297,0))),C_CLAVE,0))&amp;"","Sin dato"))</f>
        <v/>
      </c>
      <c r="AB2297" s="71" t="str">
        <f aca="false">IF(AH2297="","",ROUND(MIN(K2297,TOPE_AFP_UF*AJ2297)*AK2297,0))</f>
        <v/>
      </c>
      <c r="AC2297" s="71" t="str">
        <f aca="false">IF(AH2297="","",ROUND(MIN(K2297,TOPE_AFC_UF*AJ2297)*IF(AA2297="Indefinido",AFC_EMP_INDEF,AFC_EMP_PF),0))</f>
        <v/>
      </c>
      <c r="AD2297" s="71" t="str">
        <f aca="false">IF(AH2297="","",ROUND(MIN(K2297,TOPE_AFP_UF*AJ2297)*(MUTUAL_BASICA+MUTUAL_ADIC+SANNA),0))</f>
        <v/>
      </c>
      <c r="AE2297" s="71" t="str">
        <f aca="false">IF(AH2297="","",P2297-N(N2297)+AB2297+AC2297+AD2297)</f>
        <v/>
      </c>
      <c r="AF2297" s="65"/>
      <c r="AG2297" s="64"/>
      <c r="AH2297" s="72" t="str">
        <f aca="false">IF(OR(B2297="",C2297=""),"",C2297&amp;"|"&amp;(YEAR(B2297)*100+MONTH(B2297)))</f>
        <v/>
      </c>
      <c r="AI2297" s="70" t="str">
        <f aca="false">IF(AH2297="","",IF(COUNTIF(L_CLAVE,AH2297)&gt;1,"⚠ Duplicado","OK"))</f>
        <v/>
      </c>
      <c r="AJ2297" s="86" t="str">
        <f aca="false">IF(AH2297="","",IF(SUMPRODUCT(MAX((IND_PER&lt;=B2297)*(IND_UF&lt;&gt;"")*IND_PER))=0,UF_HOY,INDEX(IND_UF,MATCH(SUMPRODUCT(MAX((IND_PER&lt;=B2297)*(IND_UF&lt;&gt;"")*IND_PER)),IND_PER,0))))</f>
        <v/>
      </c>
      <c r="AK2297" s="87" t="str">
        <f aca="false">IF(AH2297="","",IF(COUNTIF(TASA_DESDE,"&lt;="&amp;B2297)=0,INDEX(TASA_EMP,1),INDEX(TASA_EMP,COUNTIF(TASA_DESDE,"&lt;="&amp;B2297))))</f>
        <v/>
      </c>
    </row>
    <row r="2298" customFormat="false" ht="15" hidden="false" customHeight="false" outlineLevel="0" collapsed="false">
      <c r="B2298" s="78"/>
      <c r="C2298" s="64"/>
      <c r="D2298" s="72" t="str">
        <f aca="false">IF(C2298="","",IFERROR(INDEX(T_NOMBRE,MATCH(C2298,T_ID,0)),"⚠ ID no existe"))</f>
        <v/>
      </c>
      <c r="E2298" s="69"/>
      <c r="F2298" s="67"/>
      <c r="G2298" s="67"/>
      <c r="H2298" s="67"/>
      <c r="I2298" s="67"/>
      <c r="J2298" s="67"/>
      <c r="K2298" s="85" t="str">
        <f aca="false">IF(AH2298="","",N(F2298)+N(G2298)+N(H2298)-N(I2298)+N(J2298))</f>
        <v/>
      </c>
      <c r="L2298" s="67"/>
      <c r="M2298" s="67"/>
      <c r="N2298" s="67"/>
      <c r="O2298" s="67"/>
      <c r="P2298" s="85" t="str">
        <f aca="false">IF(AH2298="","",K2298+N(L2298)+N(M2298)+N(N2298)+N(O2298))</f>
        <v/>
      </c>
      <c r="Q2298" s="67"/>
      <c r="R2298" s="67"/>
      <c r="S2298" s="67"/>
      <c r="T2298" s="67"/>
      <c r="U2298" s="67"/>
      <c r="V2298" s="67"/>
      <c r="W2298" s="85" t="str">
        <f aca="false">IF(AH2298="","",N(Q2298)+N(R2298)+N(S2298)+N(T2298)+N(U2298)+N(V2298))</f>
        <v/>
      </c>
      <c r="X2298" s="85" t="str">
        <f aca="false">IF(AH2298="","",P2298-W2298)</f>
        <v/>
      </c>
      <c r="Y2298" s="67"/>
      <c r="Z2298" s="70" t="str">
        <f aca="false">IF(OR(AH2298="",Y2298=""),"",IF(ABS(X2298-Y2298)&lt;=1,"✓ Cuadra","⚠ Diferencia $"&amp;FIXED(X2298-Y2298,0)))</f>
        <v/>
      </c>
      <c r="AA2298" s="72" t="str">
        <f aca="false">IF(AH2298="","",IFERROR(INDEX(C_TIPO,MATCH(C2298&amp;"-P"&amp;MAX(1,COUNTIFS(C_ID,C2298,C_DEFINE,"Sí",C_INICIO,"&lt;="&amp;EOMONTH(B2298,0))),C_CLAVE,0))&amp;"","Sin dato"))</f>
        <v/>
      </c>
      <c r="AB2298" s="71" t="str">
        <f aca="false">IF(AH2298="","",ROUND(MIN(K2298,TOPE_AFP_UF*AJ2298)*AK2298,0))</f>
        <v/>
      </c>
      <c r="AC2298" s="71" t="str">
        <f aca="false">IF(AH2298="","",ROUND(MIN(K2298,TOPE_AFC_UF*AJ2298)*IF(AA2298="Indefinido",AFC_EMP_INDEF,AFC_EMP_PF),0))</f>
        <v/>
      </c>
      <c r="AD2298" s="71" t="str">
        <f aca="false">IF(AH2298="","",ROUND(MIN(K2298,TOPE_AFP_UF*AJ2298)*(MUTUAL_BASICA+MUTUAL_ADIC+SANNA),0))</f>
        <v/>
      </c>
      <c r="AE2298" s="71" t="str">
        <f aca="false">IF(AH2298="","",P2298-N(N2298)+AB2298+AC2298+AD2298)</f>
        <v/>
      </c>
      <c r="AF2298" s="65"/>
      <c r="AG2298" s="64"/>
      <c r="AH2298" s="72" t="str">
        <f aca="false">IF(OR(B2298="",C2298=""),"",C2298&amp;"|"&amp;(YEAR(B2298)*100+MONTH(B2298)))</f>
        <v/>
      </c>
      <c r="AI2298" s="70" t="str">
        <f aca="false">IF(AH2298="","",IF(COUNTIF(L_CLAVE,AH2298)&gt;1,"⚠ Duplicado","OK"))</f>
        <v/>
      </c>
      <c r="AJ2298" s="86" t="str">
        <f aca="false">IF(AH2298="","",IF(SUMPRODUCT(MAX((IND_PER&lt;=B2298)*(IND_UF&lt;&gt;"")*IND_PER))=0,UF_HOY,INDEX(IND_UF,MATCH(SUMPRODUCT(MAX((IND_PER&lt;=B2298)*(IND_UF&lt;&gt;"")*IND_PER)),IND_PER,0))))</f>
        <v/>
      </c>
      <c r="AK2298" s="87" t="str">
        <f aca="false">IF(AH2298="","",IF(COUNTIF(TASA_DESDE,"&lt;="&amp;B2298)=0,INDEX(TASA_EMP,1),INDEX(TASA_EMP,COUNTIF(TASA_DESDE,"&lt;="&amp;B2298))))</f>
        <v/>
      </c>
    </row>
    <row r="2299" customFormat="false" ht="15" hidden="false" customHeight="false" outlineLevel="0" collapsed="false">
      <c r="B2299" s="78"/>
      <c r="C2299" s="64"/>
      <c r="D2299" s="72" t="str">
        <f aca="false">IF(C2299="","",IFERROR(INDEX(T_NOMBRE,MATCH(C2299,T_ID,0)),"⚠ ID no existe"))</f>
        <v/>
      </c>
      <c r="E2299" s="69"/>
      <c r="F2299" s="67"/>
      <c r="G2299" s="67"/>
      <c r="H2299" s="67"/>
      <c r="I2299" s="67"/>
      <c r="J2299" s="67"/>
      <c r="K2299" s="85" t="str">
        <f aca="false">IF(AH2299="","",N(F2299)+N(G2299)+N(H2299)-N(I2299)+N(J2299))</f>
        <v/>
      </c>
      <c r="L2299" s="67"/>
      <c r="M2299" s="67"/>
      <c r="N2299" s="67"/>
      <c r="O2299" s="67"/>
      <c r="P2299" s="85" t="str">
        <f aca="false">IF(AH2299="","",K2299+N(L2299)+N(M2299)+N(N2299)+N(O2299))</f>
        <v/>
      </c>
      <c r="Q2299" s="67"/>
      <c r="R2299" s="67"/>
      <c r="S2299" s="67"/>
      <c r="T2299" s="67"/>
      <c r="U2299" s="67"/>
      <c r="V2299" s="67"/>
      <c r="W2299" s="85" t="str">
        <f aca="false">IF(AH2299="","",N(Q2299)+N(R2299)+N(S2299)+N(T2299)+N(U2299)+N(V2299))</f>
        <v/>
      </c>
      <c r="X2299" s="85" t="str">
        <f aca="false">IF(AH2299="","",P2299-W2299)</f>
        <v/>
      </c>
      <c r="Y2299" s="67"/>
      <c r="Z2299" s="70" t="str">
        <f aca="false">IF(OR(AH2299="",Y2299=""),"",IF(ABS(X2299-Y2299)&lt;=1,"✓ Cuadra","⚠ Diferencia $"&amp;FIXED(X2299-Y2299,0)))</f>
        <v/>
      </c>
      <c r="AA2299" s="72" t="str">
        <f aca="false">IF(AH2299="","",IFERROR(INDEX(C_TIPO,MATCH(C2299&amp;"-P"&amp;MAX(1,COUNTIFS(C_ID,C2299,C_DEFINE,"Sí",C_INICIO,"&lt;="&amp;EOMONTH(B2299,0))),C_CLAVE,0))&amp;"","Sin dato"))</f>
        <v/>
      </c>
      <c r="AB2299" s="71" t="str">
        <f aca="false">IF(AH2299="","",ROUND(MIN(K2299,TOPE_AFP_UF*AJ2299)*AK2299,0))</f>
        <v/>
      </c>
      <c r="AC2299" s="71" t="str">
        <f aca="false">IF(AH2299="","",ROUND(MIN(K2299,TOPE_AFC_UF*AJ2299)*IF(AA2299="Indefinido",AFC_EMP_INDEF,AFC_EMP_PF),0))</f>
        <v/>
      </c>
      <c r="AD2299" s="71" t="str">
        <f aca="false">IF(AH2299="","",ROUND(MIN(K2299,TOPE_AFP_UF*AJ2299)*(MUTUAL_BASICA+MUTUAL_ADIC+SANNA),0))</f>
        <v/>
      </c>
      <c r="AE2299" s="71" t="str">
        <f aca="false">IF(AH2299="","",P2299-N(N2299)+AB2299+AC2299+AD2299)</f>
        <v/>
      </c>
      <c r="AF2299" s="65"/>
      <c r="AG2299" s="64"/>
      <c r="AH2299" s="72" t="str">
        <f aca="false">IF(OR(B2299="",C2299=""),"",C2299&amp;"|"&amp;(YEAR(B2299)*100+MONTH(B2299)))</f>
        <v/>
      </c>
      <c r="AI2299" s="70" t="str">
        <f aca="false">IF(AH2299="","",IF(COUNTIF(L_CLAVE,AH2299)&gt;1,"⚠ Duplicado","OK"))</f>
        <v/>
      </c>
      <c r="AJ2299" s="86" t="str">
        <f aca="false">IF(AH2299="","",IF(SUMPRODUCT(MAX((IND_PER&lt;=B2299)*(IND_UF&lt;&gt;"")*IND_PER))=0,UF_HOY,INDEX(IND_UF,MATCH(SUMPRODUCT(MAX((IND_PER&lt;=B2299)*(IND_UF&lt;&gt;"")*IND_PER)),IND_PER,0))))</f>
        <v/>
      </c>
      <c r="AK2299" s="87" t="str">
        <f aca="false">IF(AH2299="","",IF(COUNTIF(TASA_DESDE,"&lt;="&amp;B2299)=0,INDEX(TASA_EMP,1),INDEX(TASA_EMP,COUNTIF(TASA_DESDE,"&lt;="&amp;B2299))))</f>
        <v/>
      </c>
    </row>
    <row r="2300" customFormat="false" ht="15" hidden="false" customHeight="false" outlineLevel="0" collapsed="false">
      <c r="B2300" s="78"/>
      <c r="C2300" s="64"/>
      <c r="D2300" s="72" t="str">
        <f aca="false">IF(C2300="","",IFERROR(INDEX(T_NOMBRE,MATCH(C2300,T_ID,0)),"⚠ ID no existe"))</f>
        <v/>
      </c>
      <c r="E2300" s="69"/>
      <c r="F2300" s="67"/>
      <c r="G2300" s="67"/>
      <c r="H2300" s="67"/>
      <c r="I2300" s="67"/>
      <c r="J2300" s="67"/>
      <c r="K2300" s="85" t="str">
        <f aca="false">IF(AH2300="","",N(F2300)+N(G2300)+N(H2300)-N(I2300)+N(J2300))</f>
        <v/>
      </c>
      <c r="L2300" s="67"/>
      <c r="M2300" s="67"/>
      <c r="N2300" s="67"/>
      <c r="O2300" s="67"/>
      <c r="P2300" s="85" t="str">
        <f aca="false">IF(AH2300="","",K2300+N(L2300)+N(M2300)+N(N2300)+N(O2300))</f>
        <v/>
      </c>
      <c r="Q2300" s="67"/>
      <c r="R2300" s="67"/>
      <c r="S2300" s="67"/>
      <c r="T2300" s="67"/>
      <c r="U2300" s="67"/>
      <c r="V2300" s="67"/>
      <c r="W2300" s="85" t="str">
        <f aca="false">IF(AH2300="","",N(Q2300)+N(R2300)+N(S2300)+N(T2300)+N(U2300)+N(V2300))</f>
        <v/>
      </c>
      <c r="X2300" s="85" t="str">
        <f aca="false">IF(AH2300="","",P2300-W2300)</f>
        <v/>
      </c>
      <c r="Y2300" s="67"/>
      <c r="Z2300" s="70" t="str">
        <f aca="false">IF(OR(AH2300="",Y2300=""),"",IF(ABS(X2300-Y2300)&lt;=1,"✓ Cuadra","⚠ Diferencia $"&amp;FIXED(X2300-Y2300,0)))</f>
        <v/>
      </c>
      <c r="AA2300" s="72" t="str">
        <f aca="false">IF(AH2300="","",IFERROR(INDEX(C_TIPO,MATCH(C2300&amp;"-P"&amp;MAX(1,COUNTIFS(C_ID,C2300,C_DEFINE,"Sí",C_INICIO,"&lt;="&amp;EOMONTH(B2300,0))),C_CLAVE,0))&amp;"","Sin dato"))</f>
        <v/>
      </c>
      <c r="AB2300" s="71" t="str">
        <f aca="false">IF(AH2300="","",ROUND(MIN(K2300,TOPE_AFP_UF*AJ2300)*AK2300,0))</f>
        <v/>
      </c>
      <c r="AC2300" s="71" t="str">
        <f aca="false">IF(AH2300="","",ROUND(MIN(K2300,TOPE_AFC_UF*AJ2300)*IF(AA2300="Indefinido",AFC_EMP_INDEF,AFC_EMP_PF),0))</f>
        <v/>
      </c>
      <c r="AD2300" s="71" t="str">
        <f aca="false">IF(AH2300="","",ROUND(MIN(K2300,TOPE_AFP_UF*AJ2300)*(MUTUAL_BASICA+MUTUAL_ADIC+SANNA),0))</f>
        <v/>
      </c>
      <c r="AE2300" s="71" t="str">
        <f aca="false">IF(AH2300="","",P2300-N(N2300)+AB2300+AC2300+AD2300)</f>
        <v/>
      </c>
      <c r="AF2300" s="65"/>
      <c r="AG2300" s="64"/>
      <c r="AH2300" s="72" t="str">
        <f aca="false">IF(OR(B2300="",C2300=""),"",C2300&amp;"|"&amp;(YEAR(B2300)*100+MONTH(B2300)))</f>
        <v/>
      </c>
      <c r="AI2300" s="70" t="str">
        <f aca="false">IF(AH2300="","",IF(COUNTIF(L_CLAVE,AH2300)&gt;1,"⚠ Duplicado","OK"))</f>
        <v/>
      </c>
      <c r="AJ2300" s="86" t="str">
        <f aca="false">IF(AH2300="","",IF(SUMPRODUCT(MAX((IND_PER&lt;=B2300)*(IND_UF&lt;&gt;"")*IND_PER))=0,UF_HOY,INDEX(IND_UF,MATCH(SUMPRODUCT(MAX((IND_PER&lt;=B2300)*(IND_UF&lt;&gt;"")*IND_PER)),IND_PER,0))))</f>
        <v/>
      </c>
      <c r="AK2300" s="87" t="str">
        <f aca="false">IF(AH2300="","",IF(COUNTIF(TASA_DESDE,"&lt;="&amp;B2300)=0,INDEX(TASA_EMP,1),INDEX(TASA_EMP,COUNTIF(TASA_DESDE,"&lt;="&amp;B2300))))</f>
        <v/>
      </c>
    </row>
    <row r="2301" customFormat="false" ht="15" hidden="false" customHeight="false" outlineLevel="0" collapsed="false">
      <c r="B2301" s="78"/>
      <c r="C2301" s="64"/>
      <c r="D2301" s="72" t="str">
        <f aca="false">IF(C2301="","",IFERROR(INDEX(T_NOMBRE,MATCH(C2301,T_ID,0)),"⚠ ID no existe"))</f>
        <v/>
      </c>
      <c r="E2301" s="69"/>
      <c r="F2301" s="67"/>
      <c r="G2301" s="67"/>
      <c r="H2301" s="67"/>
      <c r="I2301" s="67"/>
      <c r="J2301" s="67"/>
      <c r="K2301" s="85" t="str">
        <f aca="false">IF(AH2301="","",N(F2301)+N(G2301)+N(H2301)-N(I2301)+N(J2301))</f>
        <v/>
      </c>
      <c r="L2301" s="67"/>
      <c r="M2301" s="67"/>
      <c r="N2301" s="67"/>
      <c r="O2301" s="67"/>
      <c r="P2301" s="85" t="str">
        <f aca="false">IF(AH2301="","",K2301+N(L2301)+N(M2301)+N(N2301)+N(O2301))</f>
        <v/>
      </c>
      <c r="Q2301" s="67"/>
      <c r="R2301" s="67"/>
      <c r="S2301" s="67"/>
      <c r="T2301" s="67"/>
      <c r="U2301" s="67"/>
      <c r="V2301" s="67"/>
      <c r="W2301" s="85" t="str">
        <f aca="false">IF(AH2301="","",N(Q2301)+N(R2301)+N(S2301)+N(T2301)+N(U2301)+N(V2301))</f>
        <v/>
      </c>
      <c r="X2301" s="85" t="str">
        <f aca="false">IF(AH2301="","",P2301-W2301)</f>
        <v/>
      </c>
      <c r="Y2301" s="67"/>
      <c r="Z2301" s="70" t="str">
        <f aca="false">IF(OR(AH2301="",Y2301=""),"",IF(ABS(X2301-Y2301)&lt;=1,"✓ Cuadra","⚠ Diferencia $"&amp;FIXED(X2301-Y2301,0)))</f>
        <v/>
      </c>
      <c r="AA2301" s="72" t="str">
        <f aca="false">IF(AH2301="","",IFERROR(INDEX(C_TIPO,MATCH(C2301&amp;"-P"&amp;MAX(1,COUNTIFS(C_ID,C2301,C_DEFINE,"Sí",C_INICIO,"&lt;="&amp;EOMONTH(B2301,0))),C_CLAVE,0))&amp;"","Sin dato"))</f>
        <v/>
      </c>
      <c r="AB2301" s="71" t="str">
        <f aca="false">IF(AH2301="","",ROUND(MIN(K2301,TOPE_AFP_UF*AJ2301)*AK2301,0))</f>
        <v/>
      </c>
      <c r="AC2301" s="71" t="str">
        <f aca="false">IF(AH2301="","",ROUND(MIN(K2301,TOPE_AFC_UF*AJ2301)*IF(AA2301="Indefinido",AFC_EMP_INDEF,AFC_EMP_PF),0))</f>
        <v/>
      </c>
      <c r="AD2301" s="71" t="str">
        <f aca="false">IF(AH2301="","",ROUND(MIN(K2301,TOPE_AFP_UF*AJ2301)*(MUTUAL_BASICA+MUTUAL_ADIC+SANNA),0))</f>
        <v/>
      </c>
      <c r="AE2301" s="71" t="str">
        <f aca="false">IF(AH2301="","",P2301-N(N2301)+AB2301+AC2301+AD2301)</f>
        <v/>
      </c>
      <c r="AF2301" s="65"/>
      <c r="AG2301" s="64"/>
      <c r="AH2301" s="72" t="str">
        <f aca="false">IF(OR(B2301="",C2301=""),"",C2301&amp;"|"&amp;(YEAR(B2301)*100+MONTH(B2301)))</f>
        <v/>
      </c>
      <c r="AI2301" s="70" t="str">
        <f aca="false">IF(AH2301="","",IF(COUNTIF(L_CLAVE,AH2301)&gt;1,"⚠ Duplicado","OK"))</f>
        <v/>
      </c>
      <c r="AJ2301" s="86" t="str">
        <f aca="false">IF(AH2301="","",IF(SUMPRODUCT(MAX((IND_PER&lt;=B2301)*(IND_UF&lt;&gt;"")*IND_PER))=0,UF_HOY,INDEX(IND_UF,MATCH(SUMPRODUCT(MAX((IND_PER&lt;=B2301)*(IND_UF&lt;&gt;"")*IND_PER)),IND_PER,0))))</f>
        <v/>
      </c>
      <c r="AK2301" s="87" t="str">
        <f aca="false">IF(AH2301="","",IF(COUNTIF(TASA_DESDE,"&lt;="&amp;B2301)=0,INDEX(TASA_EMP,1),INDEX(TASA_EMP,COUNTIF(TASA_DESDE,"&lt;="&amp;B2301))))</f>
        <v/>
      </c>
    </row>
    <row r="2302" customFormat="false" ht="15" hidden="false" customHeight="false" outlineLevel="0" collapsed="false">
      <c r="B2302" s="78"/>
      <c r="C2302" s="64"/>
      <c r="D2302" s="72" t="str">
        <f aca="false">IF(C2302="","",IFERROR(INDEX(T_NOMBRE,MATCH(C2302,T_ID,0)),"⚠ ID no existe"))</f>
        <v/>
      </c>
      <c r="E2302" s="69"/>
      <c r="F2302" s="67"/>
      <c r="G2302" s="67"/>
      <c r="H2302" s="67"/>
      <c r="I2302" s="67"/>
      <c r="J2302" s="67"/>
      <c r="K2302" s="85" t="str">
        <f aca="false">IF(AH2302="","",N(F2302)+N(G2302)+N(H2302)-N(I2302)+N(J2302))</f>
        <v/>
      </c>
      <c r="L2302" s="67"/>
      <c r="M2302" s="67"/>
      <c r="N2302" s="67"/>
      <c r="O2302" s="67"/>
      <c r="P2302" s="85" t="str">
        <f aca="false">IF(AH2302="","",K2302+N(L2302)+N(M2302)+N(N2302)+N(O2302))</f>
        <v/>
      </c>
      <c r="Q2302" s="67"/>
      <c r="R2302" s="67"/>
      <c r="S2302" s="67"/>
      <c r="T2302" s="67"/>
      <c r="U2302" s="67"/>
      <c r="V2302" s="67"/>
      <c r="W2302" s="85" t="str">
        <f aca="false">IF(AH2302="","",N(Q2302)+N(R2302)+N(S2302)+N(T2302)+N(U2302)+N(V2302))</f>
        <v/>
      </c>
      <c r="X2302" s="85" t="str">
        <f aca="false">IF(AH2302="","",P2302-W2302)</f>
        <v/>
      </c>
      <c r="Y2302" s="67"/>
      <c r="Z2302" s="70" t="str">
        <f aca="false">IF(OR(AH2302="",Y2302=""),"",IF(ABS(X2302-Y2302)&lt;=1,"✓ Cuadra","⚠ Diferencia $"&amp;FIXED(X2302-Y2302,0)))</f>
        <v/>
      </c>
      <c r="AA2302" s="72" t="str">
        <f aca="false">IF(AH2302="","",IFERROR(INDEX(C_TIPO,MATCH(C2302&amp;"-P"&amp;MAX(1,COUNTIFS(C_ID,C2302,C_DEFINE,"Sí",C_INICIO,"&lt;="&amp;EOMONTH(B2302,0))),C_CLAVE,0))&amp;"","Sin dato"))</f>
        <v/>
      </c>
      <c r="AB2302" s="71" t="str">
        <f aca="false">IF(AH2302="","",ROUND(MIN(K2302,TOPE_AFP_UF*AJ2302)*AK2302,0))</f>
        <v/>
      </c>
      <c r="AC2302" s="71" t="str">
        <f aca="false">IF(AH2302="","",ROUND(MIN(K2302,TOPE_AFC_UF*AJ2302)*IF(AA2302="Indefinido",AFC_EMP_INDEF,AFC_EMP_PF),0))</f>
        <v/>
      </c>
      <c r="AD2302" s="71" t="str">
        <f aca="false">IF(AH2302="","",ROUND(MIN(K2302,TOPE_AFP_UF*AJ2302)*(MUTUAL_BASICA+MUTUAL_ADIC+SANNA),0))</f>
        <v/>
      </c>
      <c r="AE2302" s="71" t="str">
        <f aca="false">IF(AH2302="","",P2302-N(N2302)+AB2302+AC2302+AD2302)</f>
        <v/>
      </c>
      <c r="AF2302" s="65"/>
      <c r="AG2302" s="64"/>
      <c r="AH2302" s="72" t="str">
        <f aca="false">IF(OR(B2302="",C2302=""),"",C2302&amp;"|"&amp;(YEAR(B2302)*100+MONTH(B2302)))</f>
        <v/>
      </c>
      <c r="AI2302" s="70" t="str">
        <f aca="false">IF(AH2302="","",IF(COUNTIF(L_CLAVE,AH2302)&gt;1,"⚠ Duplicado","OK"))</f>
        <v/>
      </c>
      <c r="AJ2302" s="86" t="str">
        <f aca="false">IF(AH2302="","",IF(SUMPRODUCT(MAX((IND_PER&lt;=B2302)*(IND_UF&lt;&gt;"")*IND_PER))=0,UF_HOY,INDEX(IND_UF,MATCH(SUMPRODUCT(MAX((IND_PER&lt;=B2302)*(IND_UF&lt;&gt;"")*IND_PER)),IND_PER,0))))</f>
        <v/>
      </c>
      <c r="AK2302" s="87" t="str">
        <f aca="false">IF(AH2302="","",IF(COUNTIF(TASA_DESDE,"&lt;="&amp;B2302)=0,INDEX(TASA_EMP,1),INDEX(TASA_EMP,COUNTIF(TASA_DESDE,"&lt;="&amp;B2302))))</f>
        <v/>
      </c>
    </row>
    <row r="2303" customFormat="false" ht="15" hidden="false" customHeight="false" outlineLevel="0" collapsed="false">
      <c r="B2303" s="78"/>
      <c r="C2303" s="64"/>
      <c r="D2303" s="72" t="str">
        <f aca="false">IF(C2303="","",IFERROR(INDEX(T_NOMBRE,MATCH(C2303,T_ID,0)),"⚠ ID no existe"))</f>
        <v/>
      </c>
      <c r="E2303" s="69"/>
      <c r="F2303" s="67"/>
      <c r="G2303" s="67"/>
      <c r="H2303" s="67"/>
      <c r="I2303" s="67"/>
      <c r="J2303" s="67"/>
      <c r="K2303" s="85" t="str">
        <f aca="false">IF(AH2303="","",N(F2303)+N(G2303)+N(H2303)-N(I2303)+N(J2303))</f>
        <v/>
      </c>
      <c r="L2303" s="67"/>
      <c r="M2303" s="67"/>
      <c r="N2303" s="67"/>
      <c r="O2303" s="67"/>
      <c r="P2303" s="85" t="str">
        <f aca="false">IF(AH2303="","",K2303+N(L2303)+N(M2303)+N(N2303)+N(O2303))</f>
        <v/>
      </c>
      <c r="Q2303" s="67"/>
      <c r="R2303" s="67"/>
      <c r="S2303" s="67"/>
      <c r="T2303" s="67"/>
      <c r="U2303" s="67"/>
      <c r="V2303" s="67"/>
      <c r="W2303" s="85" t="str">
        <f aca="false">IF(AH2303="","",N(Q2303)+N(R2303)+N(S2303)+N(T2303)+N(U2303)+N(V2303))</f>
        <v/>
      </c>
      <c r="X2303" s="85" t="str">
        <f aca="false">IF(AH2303="","",P2303-W2303)</f>
        <v/>
      </c>
      <c r="Y2303" s="67"/>
      <c r="Z2303" s="70" t="str">
        <f aca="false">IF(OR(AH2303="",Y2303=""),"",IF(ABS(X2303-Y2303)&lt;=1,"✓ Cuadra","⚠ Diferencia $"&amp;FIXED(X2303-Y2303,0)))</f>
        <v/>
      </c>
      <c r="AA2303" s="72" t="str">
        <f aca="false">IF(AH2303="","",IFERROR(INDEX(C_TIPO,MATCH(C2303&amp;"-P"&amp;MAX(1,COUNTIFS(C_ID,C2303,C_DEFINE,"Sí",C_INICIO,"&lt;="&amp;EOMONTH(B2303,0))),C_CLAVE,0))&amp;"","Sin dato"))</f>
        <v/>
      </c>
      <c r="AB2303" s="71" t="str">
        <f aca="false">IF(AH2303="","",ROUND(MIN(K2303,TOPE_AFP_UF*AJ2303)*AK2303,0))</f>
        <v/>
      </c>
      <c r="AC2303" s="71" t="str">
        <f aca="false">IF(AH2303="","",ROUND(MIN(K2303,TOPE_AFC_UF*AJ2303)*IF(AA2303="Indefinido",AFC_EMP_INDEF,AFC_EMP_PF),0))</f>
        <v/>
      </c>
      <c r="AD2303" s="71" t="str">
        <f aca="false">IF(AH2303="","",ROUND(MIN(K2303,TOPE_AFP_UF*AJ2303)*(MUTUAL_BASICA+MUTUAL_ADIC+SANNA),0))</f>
        <v/>
      </c>
      <c r="AE2303" s="71" t="str">
        <f aca="false">IF(AH2303="","",P2303-N(N2303)+AB2303+AC2303+AD2303)</f>
        <v/>
      </c>
      <c r="AF2303" s="65"/>
      <c r="AG2303" s="64"/>
      <c r="AH2303" s="72" t="str">
        <f aca="false">IF(OR(B2303="",C2303=""),"",C2303&amp;"|"&amp;(YEAR(B2303)*100+MONTH(B2303)))</f>
        <v/>
      </c>
      <c r="AI2303" s="70" t="str">
        <f aca="false">IF(AH2303="","",IF(COUNTIF(L_CLAVE,AH2303)&gt;1,"⚠ Duplicado","OK"))</f>
        <v/>
      </c>
      <c r="AJ2303" s="86" t="str">
        <f aca="false">IF(AH2303="","",IF(SUMPRODUCT(MAX((IND_PER&lt;=B2303)*(IND_UF&lt;&gt;"")*IND_PER))=0,UF_HOY,INDEX(IND_UF,MATCH(SUMPRODUCT(MAX((IND_PER&lt;=B2303)*(IND_UF&lt;&gt;"")*IND_PER)),IND_PER,0))))</f>
        <v/>
      </c>
      <c r="AK2303" s="87" t="str">
        <f aca="false">IF(AH2303="","",IF(COUNTIF(TASA_DESDE,"&lt;="&amp;B2303)=0,INDEX(TASA_EMP,1),INDEX(TASA_EMP,COUNTIF(TASA_DESDE,"&lt;="&amp;B2303))))</f>
        <v/>
      </c>
    </row>
    <row r="2304" customFormat="false" ht="15" hidden="false" customHeight="false" outlineLevel="0" collapsed="false">
      <c r="B2304" s="78"/>
      <c r="C2304" s="64"/>
      <c r="D2304" s="72" t="str">
        <f aca="false">IF(C2304="","",IFERROR(INDEX(T_NOMBRE,MATCH(C2304,T_ID,0)),"⚠ ID no existe"))</f>
        <v/>
      </c>
      <c r="E2304" s="69"/>
      <c r="F2304" s="67"/>
      <c r="G2304" s="67"/>
      <c r="H2304" s="67"/>
      <c r="I2304" s="67"/>
      <c r="J2304" s="67"/>
      <c r="K2304" s="85" t="str">
        <f aca="false">IF(AH2304="","",N(F2304)+N(G2304)+N(H2304)-N(I2304)+N(J2304))</f>
        <v/>
      </c>
      <c r="L2304" s="67"/>
      <c r="M2304" s="67"/>
      <c r="N2304" s="67"/>
      <c r="O2304" s="67"/>
      <c r="P2304" s="85" t="str">
        <f aca="false">IF(AH2304="","",K2304+N(L2304)+N(M2304)+N(N2304)+N(O2304))</f>
        <v/>
      </c>
      <c r="Q2304" s="67"/>
      <c r="R2304" s="67"/>
      <c r="S2304" s="67"/>
      <c r="T2304" s="67"/>
      <c r="U2304" s="67"/>
      <c r="V2304" s="67"/>
      <c r="W2304" s="85" t="str">
        <f aca="false">IF(AH2304="","",N(Q2304)+N(R2304)+N(S2304)+N(T2304)+N(U2304)+N(V2304))</f>
        <v/>
      </c>
      <c r="X2304" s="85" t="str">
        <f aca="false">IF(AH2304="","",P2304-W2304)</f>
        <v/>
      </c>
      <c r="Y2304" s="67"/>
      <c r="Z2304" s="70" t="str">
        <f aca="false">IF(OR(AH2304="",Y2304=""),"",IF(ABS(X2304-Y2304)&lt;=1,"✓ Cuadra","⚠ Diferencia $"&amp;FIXED(X2304-Y2304,0)))</f>
        <v/>
      </c>
      <c r="AA2304" s="72" t="str">
        <f aca="false">IF(AH2304="","",IFERROR(INDEX(C_TIPO,MATCH(C2304&amp;"-P"&amp;MAX(1,COUNTIFS(C_ID,C2304,C_DEFINE,"Sí",C_INICIO,"&lt;="&amp;EOMONTH(B2304,0))),C_CLAVE,0))&amp;"","Sin dato"))</f>
        <v/>
      </c>
      <c r="AB2304" s="71" t="str">
        <f aca="false">IF(AH2304="","",ROUND(MIN(K2304,TOPE_AFP_UF*AJ2304)*AK2304,0))</f>
        <v/>
      </c>
      <c r="AC2304" s="71" t="str">
        <f aca="false">IF(AH2304="","",ROUND(MIN(K2304,TOPE_AFC_UF*AJ2304)*IF(AA2304="Indefinido",AFC_EMP_INDEF,AFC_EMP_PF),0))</f>
        <v/>
      </c>
      <c r="AD2304" s="71" t="str">
        <f aca="false">IF(AH2304="","",ROUND(MIN(K2304,TOPE_AFP_UF*AJ2304)*(MUTUAL_BASICA+MUTUAL_ADIC+SANNA),0))</f>
        <v/>
      </c>
      <c r="AE2304" s="71" t="str">
        <f aca="false">IF(AH2304="","",P2304-N(N2304)+AB2304+AC2304+AD2304)</f>
        <v/>
      </c>
      <c r="AF2304" s="65"/>
      <c r="AG2304" s="64"/>
      <c r="AH2304" s="72" t="str">
        <f aca="false">IF(OR(B2304="",C2304=""),"",C2304&amp;"|"&amp;(YEAR(B2304)*100+MONTH(B2304)))</f>
        <v/>
      </c>
      <c r="AI2304" s="70" t="str">
        <f aca="false">IF(AH2304="","",IF(COUNTIF(L_CLAVE,AH2304)&gt;1,"⚠ Duplicado","OK"))</f>
        <v/>
      </c>
      <c r="AJ2304" s="86" t="str">
        <f aca="false">IF(AH2304="","",IF(SUMPRODUCT(MAX((IND_PER&lt;=B2304)*(IND_UF&lt;&gt;"")*IND_PER))=0,UF_HOY,INDEX(IND_UF,MATCH(SUMPRODUCT(MAX((IND_PER&lt;=B2304)*(IND_UF&lt;&gt;"")*IND_PER)),IND_PER,0))))</f>
        <v/>
      </c>
      <c r="AK2304" s="87" t="str">
        <f aca="false">IF(AH2304="","",IF(COUNTIF(TASA_DESDE,"&lt;="&amp;B2304)=0,INDEX(TASA_EMP,1),INDEX(TASA_EMP,COUNTIF(TASA_DESDE,"&lt;="&amp;B2304))))</f>
        <v/>
      </c>
    </row>
    <row r="2305" customFormat="false" ht="15" hidden="false" customHeight="false" outlineLevel="0" collapsed="false">
      <c r="B2305" s="78"/>
      <c r="C2305" s="64"/>
      <c r="D2305" s="72" t="str">
        <f aca="false">IF(C2305="","",IFERROR(INDEX(T_NOMBRE,MATCH(C2305,T_ID,0)),"⚠ ID no existe"))</f>
        <v/>
      </c>
      <c r="E2305" s="69"/>
      <c r="F2305" s="67"/>
      <c r="G2305" s="67"/>
      <c r="H2305" s="67"/>
      <c r="I2305" s="67"/>
      <c r="J2305" s="67"/>
      <c r="K2305" s="85" t="str">
        <f aca="false">IF(AH2305="","",N(F2305)+N(G2305)+N(H2305)-N(I2305)+N(J2305))</f>
        <v/>
      </c>
      <c r="L2305" s="67"/>
      <c r="M2305" s="67"/>
      <c r="N2305" s="67"/>
      <c r="O2305" s="67"/>
      <c r="P2305" s="85" t="str">
        <f aca="false">IF(AH2305="","",K2305+N(L2305)+N(M2305)+N(N2305)+N(O2305))</f>
        <v/>
      </c>
      <c r="Q2305" s="67"/>
      <c r="R2305" s="67"/>
      <c r="S2305" s="67"/>
      <c r="T2305" s="67"/>
      <c r="U2305" s="67"/>
      <c r="V2305" s="67"/>
      <c r="W2305" s="85" t="str">
        <f aca="false">IF(AH2305="","",N(Q2305)+N(R2305)+N(S2305)+N(T2305)+N(U2305)+N(V2305))</f>
        <v/>
      </c>
      <c r="X2305" s="85" t="str">
        <f aca="false">IF(AH2305="","",P2305-W2305)</f>
        <v/>
      </c>
      <c r="Y2305" s="67"/>
      <c r="Z2305" s="70" t="str">
        <f aca="false">IF(OR(AH2305="",Y2305=""),"",IF(ABS(X2305-Y2305)&lt;=1,"✓ Cuadra","⚠ Diferencia $"&amp;FIXED(X2305-Y2305,0)))</f>
        <v/>
      </c>
      <c r="AA2305" s="72" t="str">
        <f aca="false">IF(AH2305="","",IFERROR(INDEX(C_TIPO,MATCH(C2305&amp;"-P"&amp;MAX(1,COUNTIFS(C_ID,C2305,C_DEFINE,"Sí",C_INICIO,"&lt;="&amp;EOMONTH(B2305,0))),C_CLAVE,0))&amp;"","Sin dato"))</f>
        <v/>
      </c>
      <c r="AB2305" s="71" t="str">
        <f aca="false">IF(AH2305="","",ROUND(MIN(K2305,TOPE_AFP_UF*AJ2305)*AK2305,0))</f>
        <v/>
      </c>
      <c r="AC2305" s="71" t="str">
        <f aca="false">IF(AH2305="","",ROUND(MIN(K2305,TOPE_AFC_UF*AJ2305)*IF(AA2305="Indefinido",AFC_EMP_INDEF,AFC_EMP_PF),0))</f>
        <v/>
      </c>
      <c r="AD2305" s="71" t="str">
        <f aca="false">IF(AH2305="","",ROUND(MIN(K2305,TOPE_AFP_UF*AJ2305)*(MUTUAL_BASICA+MUTUAL_ADIC+SANNA),0))</f>
        <v/>
      </c>
      <c r="AE2305" s="71" t="str">
        <f aca="false">IF(AH2305="","",P2305-N(N2305)+AB2305+AC2305+AD2305)</f>
        <v/>
      </c>
      <c r="AF2305" s="65"/>
      <c r="AG2305" s="64"/>
      <c r="AH2305" s="72" t="str">
        <f aca="false">IF(OR(B2305="",C2305=""),"",C2305&amp;"|"&amp;(YEAR(B2305)*100+MONTH(B2305)))</f>
        <v/>
      </c>
      <c r="AI2305" s="70" t="str">
        <f aca="false">IF(AH2305="","",IF(COUNTIF(L_CLAVE,AH2305)&gt;1,"⚠ Duplicado","OK"))</f>
        <v/>
      </c>
      <c r="AJ2305" s="86" t="str">
        <f aca="false">IF(AH2305="","",IF(SUMPRODUCT(MAX((IND_PER&lt;=B2305)*(IND_UF&lt;&gt;"")*IND_PER))=0,UF_HOY,INDEX(IND_UF,MATCH(SUMPRODUCT(MAX((IND_PER&lt;=B2305)*(IND_UF&lt;&gt;"")*IND_PER)),IND_PER,0))))</f>
        <v/>
      </c>
      <c r="AK2305" s="87" t="str">
        <f aca="false">IF(AH2305="","",IF(COUNTIF(TASA_DESDE,"&lt;="&amp;B2305)=0,INDEX(TASA_EMP,1),INDEX(TASA_EMP,COUNTIF(TASA_DESDE,"&lt;="&amp;B2305))))</f>
        <v/>
      </c>
    </row>
    <row r="2306" customFormat="false" ht="15" hidden="false" customHeight="false" outlineLevel="0" collapsed="false">
      <c r="B2306" s="78"/>
      <c r="C2306" s="64"/>
      <c r="D2306" s="72" t="str">
        <f aca="false">IF(C2306="","",IFERROR(INDEX(T_NOMBRE,MATCH(C2306,T_ID,0)),"⚠ ID no existe"))</f>
        <v/>
      </c>
      <c r="E2306" s="69"/>
      <c r="F2306" s="67"/>
      <c r="G2306" s="67"/>
      <c r="H2306" s="67"/>
      <c r="I2306" s="67"/>
      <c r="J2306" s="67"/>
      <c r="K2306" s="85" t="str">
        <f aca="false">IF(AH2306="","",N(F2306)+N(G2306)+N(H2306)-N(I2306)+N(J2306))</f>
        <v/>
      </c>
      <c r="L2306" s="67"/>
      <c r="M2306" s="67"/>
      <c r="N2306" s="67"/>
      <c r="O2306" s="67"/>
      <c r="P2306" s="85" t="str">
        <f aca="false">IF(AH2306="","",K2306+N(L2306)+N(M2306)+N(N2306)+N(O2306))</f>
        <v/>
      </c>
      <c r="Q2306" s="67"/>
      <c r="R2306" s="67"/>
      <c r="S2306" s="67"/>
      <c r="T2306" s="67"/>
      <c r="U2306" s="67"/>
      <c r="V2306" s="67"/>
      <c r="W2306" s="85" t="str">
        <f aca="false">IF(AH2306="","",N(Q2306)+N(R2306)+N(S2306)+N(T2306)+N(U2306)+N(V2306))</f>
        <v/>
      </c>
      <c r="X2306" s="85" t="str">
        <f aca="false">IF(AH2306="","",P2306-W2306)</f>
        <v/>
      </c>
      <c r="Y2306" s="67"/>
      <c r="Z2306" s="70" t="str">
        <f aca="false">IF(OR(AH2306="",Y2306=""),"",IF(ABS(X2306-Y2306)&lt;=1,"✓ Cuadra","⚠ Diferencia $"&amp;FIXED(X2306-Y2306,0)))</f>
        <v/>
      </c>
      <c r="AA2306" s="72" t="str">
        <f aca="false">IF(AH2306="","",IFERROR(INDEX(C_TIPO,MATCH(C2306&amp;"-P"&amp;MAX(1,COUNTIFS(C_ID,C2306,C_DEFINE,"Sí",C_INICIO,"&lt;="&amp;EOMONTH(B2306,0))),C_CLAVE,0))&amp;"","Sin dato"))</f>
        <v/>
      </c>
      <c r="AB2306" s="71" t="str">
        <f aca="false">IF(AH2306="","",ROUND(MIN(K2306,TOPE_AFP_UF*AJ2306)*AK2306,0))</f>
        <v/>
      </c>
      <c r="AC2306" s="71" t="str">
        <f aca="false">IF(AH2306="","",ROUND(MIN(K2306,TOPE_AFC_UF*AJ2306)*IF(AA2306="Indefinido",AFC_EMP_INDEF,AFC_EMP_PF),0))</f>
        <v/>
      </c>
      <c r="AD2306" s="71" t="str">
        <f aca="false">IF(AH2306="","",ROUND(MIN(K2306,TOPE_AFP_UF*AJ2306)*(MUTUAL_BASICA+MUTUAL_ADIC+SANNA),0))</f>
        <v/>
      </c>
      <c r="AE2306" s="71" t="str">
        <f aca="false">IF(AH2306="","",P2306-N(N2306)+AB2306+AC2306+AD2306)</f>
        <v/>
      </c>
      <c r="AF2306" s="65"/>
      <c r="AG2306" s="64"/>
      <c r="AH2306" s="72" t="str">
        <f aca="false">IF(OR(B2306="",C2306=""),"",C2306&amp;"|"&amp;(YEAR(B2306)*100+MONTH(B2306)))</f>
        <v/>
      </c>
      <c r="AI2306" s="70" t="str">
        <f aca="false">IF(AH2306="","",IF(COUNTIF(L_CLAVE,AH2306)&gt;1,"⚠ Duplicado","OK"))</f>
        <v/>
      </c>
      <c r="AJ2306" s="86" t="str">
        <f aca="false">IF(AH2306="","",IF(SUMPRODUCT(MAX((IND_PER&lt;=B2306)*(IND_UF&lt;&gt;"")*IND_PER))=0,UF_HOY,INDEX(IND_UF,MATCH(SUMPRODUCT(MAX((IND_PER&lt;=B2306)*(IND_UF&lt;&gt;"")*IND_PER)),IND_PER,0))))</f>
        <v/>
      </c>
      <c r="AK2306" s="87" t="str">
        <f aca="false">IF(AH2306="","",IF(COUNTIF(TASA_DESDE,"&lt;="&amp;B2306)=0,INDEX(TASA_EMP,1),INDEX(TASA_EMP,COUNTIF(TASA_DESDE,"&lt;="&amp;B2306))))</f>
        <v/>
      </c>
    </row>
    <row r="2307" customFormat="false" ht="15" hidden="false" customHeight="false" outlineLevel="0" collapsed="false">
      <c r="B2307" s="78"/>
      <c r="C2307" s="64"/>
      <c r="D2307" s="72" t="str">
        <f aca="false">IF(C2307="","",IFERROR(INDEX(T_NOMBRE,MATCH(C2307,T_ID,0)),"⚠ ID no existe"))</f>
        <v/>
      </c>
      <c r="E2307" s="69"/>
      <c r="F2307" s="67"/>
      <c r="G2307" s="67"/>
      <c r="H2307" s="67"/>
      <c r="I2307" s="67"/>
      <c r="J2307" s="67"/>
      <c r="K2307" s="85" t="str">
        <f aca="false">IF(AH2307="","",N(F2307)+N(G2307)+N(H2307)-N(I2307)+N(J2307))</f>
        <v/>
      </c>
      <c r="L2307" s="67"/>
      <c r="M2307" s="67"/>
      <c r="N2307" s="67"/>
      <c r="O2307" s="67"/>
      <c r="P2307" s="85" t="str">
        <f aca="false">IF(AH2307="","",K2307+N(L2307)+N(M2307)+N(N2307)+N(O2307))</f>
        <v/>
      </c>
      <c r="Q2307" s="67"/>
      <c r="R2307" s="67"/>
      <c r="S2307" s="67"/>
      <c r="T2307" s="67"/>
      <c r="U2307" s="67"/>
      <c r="V2307" s="67"/>
      <c r="W2307" s="85" t="str">
        <f aca="false">IF(AH2307="","",N(Q2307)+N(R2307)+N(S2307)+N(T2307)+N(U2307)+N(V2307))</f>
        <v/>
      </c>
      <c r="X2307" s="85" t="str">
        <f aca="false">IF(AH2307="","",P2307-W2307)</f>
        <v/>
      </c>
      <c r="Y2307" s="67"/>
      <c r="Z2307" s="70" t="str">
        <f aca="false">IF(OR(AH2307="",Y2307=""),"",IF(ABS(X2307-Y2307)&lt;=1,"✓ Cuadra","⚠ Diferencia $"&amp;FIXED(X2307-Y2307,0)))</f>
        <v/>
      </c>
      <c r="AA2307" s="72" t="str">
        <f aca="false">IF(AH2307="","",IFERROR(INDEX(C_TIPO,MATCH(C2307&amp;"-P"&amp;MAX(1,COUNTIFS(C_ID,C2307,C_DEFINE,"Sí",C_INICIO,"&lt;="&amp;EOMONTH(B2307,0))),C_CLAVE,0))&amp;"","Sin dato"))</f>
        <v/>
      </c>
      <c r="AB2307" s="71" t="str">
        <f aca="false">IF(AH2307="","",ROUND(MIN(K2307,TOPE_AFP_UF*AJ2307)*AK2307,0))</f>
        <v/>
      </c>
      <c r="AC2307" s="71" t="str">
        <f aca="false">IF(AH2307="","",ROUND(MIN(K2307,TOPE_AFC_UF*AJ2307)*IF(AA2307="Indefinido",AFC_EMP_INDEF,AFC_EMP_PF),0))</f>
        <v/>
      </c>
      <c r="AD2307" s="71" t="str">
        <f aca="false">IF(AH2307="","",ROUND(MIN(K2307,TOPE_AFP_UF*AJ2307)*(MUTUAL_BASICA+MUTUAL_ADIC+SANNA),0))</f>
        <v/>
      </c>
      <c r="AE2307" s="71" t="str">
        <f aca="false">IF(AH2307="","",P2307-N(N2307)+AB2307+AC2307+AD2307)</f>
        <v/>
      </c>
      <c r="AF2307" s="65"/>
      <c r="AG2307" s="64"/>
      <c r="AH2307" s="72" t="str">
        <f aca="false">IF(OR(B2307="",C2307=""),"",C2307&amp;"|"&amp;(YEAR(B2307)*100+MONTH(B2307)))</f>
        <v/>
      </c>
      <c r="AI2307" s="70" t="str">
        <f aca="false">IF(AH2307="","",IF(COUNTIF(L_CLAVE,AH2307)&gt;1,"⚠ Duplicado","OK"))</f>
        <v/>
      </c>
      <c r="AJ2307" s="86" t="str">
        <f aca="false">IF(AH2307="","",IF(SUMPRODUCT(MAX((IND_PER&lt;=B2307)*(IND_UF&lt;&gt;"")*IND_PER))=0,UF_HOY,INDEX(IND_UF,MATCH(SUMPRODUCT(MAX((IND_PER&lt;=B2307)*(IND_UF&lt;&gt;"")*IND_PER)),IND_PER,0))))</f>
        <v/>
      </c>
      <c r="AK2307" s="87" t="str">
        <f aca="false">IF(AH2307="","",IF(COUNTIF(TASA_DESDE,"&lt;="&amp;B2307)=0,INDEX(TASA_EMP,1),INDEX(TASA_EMP,COUNTIF(TASA_DESDE,"&lt;="&amp;B2307))))</f>
        <v/>
      </c>
    </row>
    <row r="2308" customFormat="false" ht="15" hidden="false" customHeight="false" outlineLevel="0" collapsed="false">
      <c r="B2308" s="78"/>
      <c r="C2308" s="64"/>
      <c r="D2308" s="72" t="str">
        <f aca="false">IF(C2308="","",IFERROR(INDEX(T_NOMBRE,MATCH(C2308,T_ID,0)),"⚠ ID no existe"))</f>
        <v/>
      </c>
      <c r="E2308" s="69"/>
      <c r="F2308" s="67"/>
      <c r="G2308" s="67"/>
      <c r="H2308" s="67"/>
      <c r="I2308" s="67"/>
      <c r="J2308" s="67"/>
      <c r="K2308" s="85" t="str">
        <f aca="false">IF(AH2308="","",N(F2308)+N(G2308)+N(H2308)-N(I2308)+N(J2308))</f>
        <v/>
      </c>
      <c r="L2308" s="67"/>
      <c r="M2308" s="67"/>
      <c r="N2308" s="67"/>
      <c r="O2308" s="67"/>
      <c r="P2308" s="85" t="str">
        <f aca="false">IF(AH2308="","",K2308+N(L2308)+N(M2308)+N(N2308)+N(O2308))</f>
        <v/>
      </c>
      <c r="Q2308" s="67"/>
      <c r="R2308" s="67"/>
      <c r="S2308" s="67"/>
      <c r="T2308" s="67"/>
      <c r="U2308" s="67"/>
      <c r="V2308" s="67"/>
      <c r="W2308" s="85" t="str">
        <f aca="false">IF(AH2308="","",N(Q2308)+N(R2308)+N(S2308)+N(T2308)+N(U2308)+N(V2308))</f>
        <v/>
      </c>
      <c r="X2308" s="85" t="str">
        <f aca="false">IF(AH2308="","",P2308-W2308)</f>
        <v/>
      </c>
      <c r="Y2308" s="67"/>
      <c r="Z2308" s="70" t="str">
        <f aca="false">IF(OR(AH2308="",Y2308=""),"",IF(ABS(X2308-Y2308)&lt;=1,"✓ Cuadra","⚠ Diferencia $"&amp;FIXED(X2308-Y2308,0)))</f>
        <v/>
      </c>
      <c r="AA2308" s="72" t="str">
        <f aca="false">IF(AH2308="","",IFERROR(INDEX(C_TIPO,MATCH(C2308&amp;"-P"&amp;MAX(1,COUNTIFS(C_ID,C2308,C_DEFINE,"Sí",C_INICIO,"&lt;="&amp;EOMONTH(B2308,0))),C_CLAVE,0))&amp;"","Sin dato"))</f>
        <v/>
      </c>
      <c r="AB2308" s="71" t="str">
        <f aca="false">IF(AH2308="","",ROUND(MIN(K2308,TOPE_AFP_UF*AJ2308)*AK2308,0))</f>
        <v/>
      </c>
      <c r="AC2308" s="71" t="str">
        <f aca="false">IF(AH2308="","",ROUND(MIN(K2308,TOPE_AFC_UF*AJ2308)*IF(AA2308="Indefinido",AFC_EMP_INDEF,AFC_EMP_PF),0))</f>
        <v/>
      </c>
      <c r="AD2308" s="71" t="str">
        <f aca="false">IF(AH2308="","",ROUND(MIN(K2308,TOPE_AFP_UF*AJ2308)*(MUTUAL_BASICA+MUTUAL_ADIC+SANNA),0))</f>
        <v/>
      </c>
      <c r="AE2308" s="71" t="str">
        <f aca="false">IF(AH2308="","",P2308-N(N2308)+AB2308+AC2308+AD2308)</f>
        <v/>
      </c>
      <c r="AF2308" s="65"/>
      <c r="AG2308" s="64"/>
      <c r="AH2308" s="72" t="str">
        <f aca="false">IF(OR(B2308="",C2308=""),"",C2308&amp;"|"&amp;(YEAR(B2308)*100+MONTH(B2308)))</f>
        <v/>
      </c>
      <c r="AI2308" s="70" t="str">
        <f aca="false">IF(AH2308="","",IF(COUNTIF(L_CLAVE,AH2308)&gt;1,"⚠ Duplicado","OK"))</f>
        <v/>
      </c>
      <c r="AJ2308" s="86" t="str">
        <f aca="false">IF(AH2308="","",IF(SUMPRODUCT(MAX((IND_PER&lt;=B2308)*(IND_UF&lt;&gt;"")*IND_PER))=0,UF_HOY,INDEX(IND_UF,MATCH(SUMPRODUCT(MAX((IND_PER&lt;=B2308)*(IND_UF&lt;&gt;"")*IND_PER)),IND_PER,0))))</f>
        <v/>
      </c>
      <c r="AK2308" s="87" t="str">
        <f aca="false">IF(AH2308="","",IF(COUNTIF(TASA_DESDE,"&lt;="&amp;B2308)=0,INDEX(TASA_EMP,1),INDEX(TASA_EMP,COUNTIF(TASA_DESDE,"&lt;="&amp;B2308))))</f>
        <v/>
      </c>
    </row>
    <row r="2309" customFormat="false" ht="15" hidden="false" customHeight="false" outlineLevel="0" collapsed="false">
      <c r="B2309" s="78"/>
      <c r="C2309" s="64"/>
      <c r="D2309" s="72" t="str">
        <f aca="false">IF(C2309="","",IFERROR(INDEX(T_NOMBRE,MATCH(C2309,T_ID,0)),"⚠ ID no existe"))</f>
        <v/>
      </c>
      <c r="E2309" s="69"/>
      <c r="F2309" s="67"/>
      <c r="G2309" s="67"/>
      <c r="H2309" s="67"/>
      <c r="I2309" s="67"/>
      <c r="J2309" s="67"/>
      <c r="K2309" s="85" t="str">
        <f aca="false">IF(AH2309="","",N(F2309)+N(G2309)+N(H2309)-N(I2309)+N(J2309))</f>
        <v/>
      </c>
      <c r="L2309" s="67"/>
      <c r="M2309" s="67"/>
      <c r="N2309" s="67"/>
      <c r="O2309" s="67"/>
      <c r="P2309" s="85" t="str">
        <f aca="false">IF(AH2309="","",K2309+N(L2309)+N(M2309)+N(N2309)+N(O2309))</f>
        <v/>
      </c>
      <c r="Q2309" s="67"/>
      <c r="R2309" s="67"/>
      <c r="S2309" s="67"/>
      <c r="T2309" s="67"/>
      <c r="U2309" s="67"/>
      <c r="V2309" s="67"/>
      <c r="W2309" s="85" t="str">
        <f aca="false">IF(AH2309="","",N(Q2309)+N(R2309)+N(S2309)+N(T2309)+N(U2309)+N(V2309))</f>
        <v/>
      </c>
      <c r="X2309" s="85" t="str">
        <f aca="false">IF(AH2309="","",P2309-W2309)</f>
        <v/>
      </c>
      <c r="Y2309" s="67"/>
      <c r="Z2309" s="70" t="str">
        <f aca="false">IF(OR(AH2309="",Y2309=""),"",IF(ABS(X2309-Y2309)&lt;=1,"✓ Cuadra","⚠ Diferencia $"&amp;FIXED(X2309-Y2309,0)))</f>
        <v/>
      </c>
      <c r="AA2309" s="72" t="str">
        <f aca="false">IF(AH2309="","",IFERROR(INDEX(C_TIPO,MATCH(C2309&amp;"-P"&amp;MAX(1,COUNTIFS(C_ID,C2309,C_DEFINE,"Sí",C_INICIO,"&lt;="&amp;EOMONTH(B2309,0))),C_CLAVE,0))&amp;"","Sin dato"))</f>
        <v/>
      </c>
      <c r="AB2309" s="71" t="str">
        <f aca="false">IF(AH2309="","",ROUND(MIN(K2309,TOPE_AFP_UF*AJ2309)*AK2309,0))</f>
        <v/>
      </c>
      <c r="AC2309" s="71" t="str">
        <f aca="false">IF(AH2309="","",ROUND(MIN(K2309,TOPE_AFC_UF*AJ2309)*IF(AA2309="Indefinido",AFC_EMP_INDEF,AFC_EMP_PF),0))</f>
        <v/>
      </c>
      <c r="AD2309" s="71" t="str">
        <f aca="false">IF(AH2309="","",ROUND(MIN(K2309,TOPE_AFP_UF*AJ2309)*(MUTUAL_BASICA+MUTUAL_ADIC+SANNA),0))</f>
        <v/>
      </c>
      <c r="AE2309" s="71" t="str">
        <f aca="false">IF(AH2309="","",P2309-N(N2309)+AB2309+AC2309+AD2309)</f>
        <v/>
      </c>
      <c r="AF2309" s="65"/>
      <c r="AG2309" s="64"/>
      <c r="AH2309" s="72" t="str">
        <f aca="false">IF(OR(B2309="",C2309=""),"",C2309&amp;"|"&amp;(YEAR(B2309)*100+MONTH(B2309)))</f>
        <v/>
      </c>
      <c r="AI2309" s="70" t="str">
        <f aca="false">IF(AH2309="","",IF(COUNTIF(L_CLAVE,AH2309)&gt;1,"⚠ Duplicado","OK"))</f>
        <v/>
      </c>
      <c r="AJ2309" s="86" t="str">
        <f aca="false">IF(AH2309="","",IF(SUMPRODUCT(MAX((IND_PER&lt;=B2309)*(IND_UF&lt;&gt;"")*IND_PER))=0,UF_HOY,INDEX(IND_UF,MATCH(SUMPRODUCT(MAX((IND_PER&lt;=B2309)*(IND_UF&lt;&gt;"")*IND_PER)),IND_PER,0))))</f>
        <v/>
      </c>
      <c r="AK2309" s="87" t="str">
        <f aca="false">IF(AH2309="","",IF(COUNTIF(TASA_DESDE,"&lt;="&amp;B2309)=0,INDEX(TASA_EMP,1),INDEX(TASA_EMP,COUNTIF(TASA_DESDE,"&lt;="&amp;B2309))))</f>
        <v/>
      </c>
    </row>
    <row r="2310" customFormat="false" ht="15" hidden="false" customHeight="false" outlineLevel="0" collapsed="false">
      <c r="B2310" s="78"/>
      <c r="C2310" s="64"/>
      <c r="D2310" s="72" t="str">
        <f aca="false">IF(C2310="","",IFERROR(INDEX(T_NOMBRE,MATCH(C2310,T_ID,0)),"⚠ ID no existe"))</f>
        <v/>
      </c>
      <c r="E2310" s="69"/>
      <c r="F2310" s="67"/>
      <c r="G2310" s="67"/>
      <c r="H2310" s="67"/>
      <c r="I2310" s="67"/>
      <c r="J2310" s="67"/>
      <c r="K2310" s="85" t="str">
        <f aca="false">IF(AH2310="","",N(F2310)+N(G2310)+N(H2310)-N(I2310)+N(J2310))</f>
        <v/>
      </c>
      <c r="L2310" s="67"/>
      <c r="M2310" s="67"/>
      <c r="N2310" s="67"/>
      <c r="O2310" s="67"/>
      <c r="P2310" s="85" t="str">
        <f aca="false">IF(AH2310="","",K2310+N(L2310)+N(M2310)+N(N2310)+N(O2310))</f>
        <v/>
      </c>
      <c r="Q2310" s="67"/>
      <c r="R2310" s="67"/>
      <c r="S2310" s="67"/>
      <c r="T2310" s="67"/>
      <c r="U2310" s="67"/>
      <c r="V2310" s="67"/>
      <c r="W2310" s="85" t="str">
        <f aca="false">IF(AH2310="","",N(Q2310)+N(R2310)+N(S2310)+N(T2310)+N(U2310)+N(V2310))</f>
        <v/>
      </c>
      <c r="X2310" s="85" t="str">
        <f aca="false">IF(AH2310="","",P2310-W2310)</f>
        <v/>
      </c>
      <c r="Y2310" s="67"/>
      <c r="Z2310" s="70" t="str">
        <f aca="false">IF(OR(AH2310="",Y2310=""),"",IF(ABS(X2310-Y2310)&lt;=1,"✓ Cuadra","⚠ Diferencia $"&amp;FIXED(X2310-Y2310,0)))</f>
        <v/>
      </c>
      <c r="AA2310" s="72" t="str">
        <f aca="false">IF(AH2310="","",IFERROR(INDEX(C_TIPO,MATCH(C2310&amp;"-P"&amp;MAX(1,COUNTIFS(C_ID,C2310,C_DEFINE,"Sí",C_INICIO,"&lt;="&amp;EOMONTH(B2310,0))),C_CLAVE,0))&amp;"","Sin dato"))</f>
        <v/>
      </c>
      <c r="AB2310" s="71" t="str">
        <f aca="false">IF(AH2310="","",ROUND(MIN(K2310,TOPE_AFP_UF*AJ2310)*AK2310,0))</f>
        <v/>
      </c>
      <c r="AC2310" s="71" t="str">
        <f aca="false">IF(AH2310="","",ROUND(MIN(K2310,TOPE_AFC_UF*AJ2310)*IF(AA2310="Indefinido",AFC_EMP_INDEF,AFC_EMP_PF),0))</f>
        <v/>
      </c>
      <c r="AD2310" s="71" t="str">
        <f aca="false">IF(AH2310="","",ROUND(MIN(K2310,TOPE_AFP_UF*AJ2310)*(MUTUAL_BASICA+MUTUAL_ADIC+SANNA),0))</f>
        <v/>
      </c>
      <c r="AE2310" s="71" t="str">
        <f aca="false">IF(AH2310="","",P2310-N(N2310)+AB2310+AC2310+AD2310)</f>
        <v/>
      </c>
      <c r="AF2310" s="65"/>
      <c r="AG2310" s="64"/>
      <c r="AH2310" s="72" t="str">
        <f aca="false">IF(OR(B2310="",C2310=""),"",C2310&amp;"|"&amp;(YEAR(B2310)*100+MONTH(B2310)))</f>
        <v/>
      </c>
      <c r="AI2310" s="70" t="str">
        <f aca="false">IF(AH2310="","",IF(COUNTIF(L_CLAVE,AH2310)&gt;1,"⚠ Duplicado","OK"))</f>
        <v/>
      </c>
      <c r="AJ2310" s="86" t="str">
        <f aca="false">IF(AH2310="","",IF(SUMPRODUCT(MAX((IND_PER&lt;=B2310)*(IND_UF&lt;&gt;"")*IND_PER))=0,UF_HOY,INDEX(IND_UF,MATCH(SUMPRODUCT(MAX((IND_PER&lt;=B2310)*(IND_UF&lt;&gt;"")*IND_PER)),IND_PER,0))))</f>
        <v/>
      </c>
      <c r="AK2310" s="87" t="str">
        <f aca="false">IF(AH2310="","",IF(COUNTIF(TASA_DESDE,"&lt;="&amp;B2310)=0,INDEX(TASA_EMP,1),INDEX(TASA_EMP,COUNTIF(TASA_DESDE,"&lt;="&amp;B2310))))</f>
        <v/>
      </c>
    </row>
    <row r="2311" customFormat="false" ht="15" hidden="false" customHeight="false" outlineLevel="0" collapsed="false">
      <c r="B2311" s="78"/>
      <c r="C2311" s="64"/>
      <c r="D2311" s="72" t="str">
        <f aca="false">IF(C2311="","",IFERROR(INDEX(T_NOMBRE,MATCH(C2311,T_ID,0)),"⚠ ID no existe"))</f>
        <v/>
      </c>
      <c r="E2311" s="69"/>
      <c r="F2311" s="67"/>
      <c r="G2311" s="67"/>
      <c r="H2311" s="67"/>
      <c r="I2311" s="67"/>
      <c r="J2311" s="67"/>
      <c r="K2311" s="85" t="str">
        <f aca="false">IF(AH2311="","",N(F2311)+N(G2311)+N(H2311)-N(I2311)+N(J2311))</f>
        <v/>
      </c>
      <c r="L2311" s="67"/>
      <c r="M2311" s="67"/>
      <c r="N2311" s="67"/>
      <c r="O2311" s="67"/>
      <c r="P2311" s="85" t="str">
        <f aca="false">IF(AH2311="","",K2311+N(L2311)+N(M2311)+N(N2311)+N(O2311))</f>
        <v/>
      </c>
      <c r="Q2311" s="67"/>
      <c r="R2311" s="67"/>
      <c r="S2311" s="67"/>
      <c r="T2311" s="67"/>
      <c r="U2311" s="67"/>
      <c r="V2311" s="67"/>
      <c r="W2311" s="85" t="str">
        <f aca="false">IF(AH2311="","",N(Q2311)+N(R2311)+N(S2311)+N(T2311)+N(U2311)+N(V2311))</f>
        <v/>
      </c>
      <c r="X2311" s="85" t="str">
        <f aca="false">IF(AH2311="","",P2311-W2311)</f>
        <v/>
      </c>
      <c r="Y2311" s="67"/>
      <c r="Z2311" s="70" t="str">
        <f aca="false">IF(OR(AH2311="",Y2311=""),"",IF(ABS(X2311-Y2311)&lt;=1,"✓ Cuadra","⚠ Diferencia $"&amp;FIXED(X2311-Y2311,0)))</f>
        <v/>
      </c>
      <c r="AA2311" s="72" t="str">
        <f aca="false">IF(AH2311="","",IFERROR(INDEX(C_TIPO,MATCH(C2311&amp;"-P"&amp;MAX(1,COUNTIFS(C_ID,C2311,C_DEFINE,"Sí",C_INICIO,"&lt;="&amp;EOMONTH(B2311,0))),C_CLAVE,0))&amp;"","Sin dato"))</f>
        <v/>
      </c>
      <c r="AB2311" s="71" t="str">
        <f aca="false">IF(AH2311="","",ROUND(MIN(K2311,TOPE_AFP_UF*AJ2311)*AK2311,0))</f>
        <v/>
      </c>
      <c r="AC2311" s="71" t="str">
        <f aca="false">IF(AH2311="","",ROUND(MIN(K2311,TOPE_AFC_UF*AJ2311)*IF(AA2311="Indefinido",AFC_EMP_INDEF,AFC_EMP_PF),0))</f>
        <v/>
      </c>
      <c r="AD2311" s="71" t="str">
        <f aca="false">IF(AH2311="","",ROUND(MIN(K2311,TOPE_AFP_UF*AJ2311)*(MUTUAL_BASICA+MUTUAL_ADIC+SANNA),0))</f>
        <v/>
      </c>
      <c r="AE2311" s="71" t="str">
        <f aca="false">IF(AH2311="","",P2311-N(N2311)+AB2311+AC2311+AD2311)</f>
        <v/>
      </c>
      <c r="AF2311" s="65"/>
      <c r="AG2311" s="64"/>
      <c r="AH2311" s="72" t="str">
        <f aca="false">IF(OR(B2311="",C2311=""),"",C2311&amp;"|"&amp;(YEAR(B2311)*100+MONTH(B2311)))</f>
        <v/>
      </c>
      <c r="AI2311" s="70" t="str">
        <f aca="false">IF(AH2311="","",IF(COUNTIF(L_CLAVE,AH2311)&gt;1,"⚠ Duplicado","OK"))</f>
        <v/>
      </c>
      <c r="AJ2311" s="86" t="str">
        <f aca="false">IF(AH2311="","",IF(SUMPRODUCT(MAX((IND_PER&lt;=B2311)*(IND_UF&lt;&gt;"")*IND_PER))=0,UF_HOY,INDEX(IND_UF,MATCH(SUMPRODUCT(MAX((IND_PER&lt;=B2311)*(IND_UF&lt;&gt;"")*IND_PER)),IND_PER,0))))</f>
        <v/>
      </c>
      <c r="AK2311" s="87" t="str">
        <f aca="false">IF(AH2311="","",IF(COUNTIF(TASA_DESDE,"&lt;="&amp;B2311)=0,INDEX(TASA_EMP,1),INDEX(TASA_EMP,COUNTIF(TASA_DESDE,"&lt;="&amp;B2311))))</f>
        <v/>
      </c>
    </row>
    <row r="2312" customFormat="false" ht="15" hidden="false" customHeight="false" outlineLevel="0" collapsed="false">
      <c r="B2312" s="78"/>
      <c r="C2312" s="64"/>
      <c r="D2312" s="72" t="str">
        <f aca="false">IF(C2312="","",IFERROR(INDEX(T_NOMBRE,MATCH(C2312,T_ID,0)),"⚠ ID no existe"))</f>
        <v/>
      </c>
      <c r="E2312" s="69"/>
      <c r="F2312" s="67"/>
      <c r="G2312" s="67"/>
      <c r="H2312" s="67"/>
      <c r="I2312" s="67"/>
      <c r="J2312" s="67"/>
      <c r="K2312" s="85" t="str">
        <f aca="false">IF(AH2312="","",N(F2312)+N(G2312)+N(H2312)-N(I2312)+N(J2312))</f>
        <v/>
      </c>
      <c r="L2312" s="67"/>
      <c r="M2312" s="67"/>
      <c r="N2312" s="67"/>
      <c r="O2312" s="67"/>
      <c r="P2312" s="85" t="str">
        <f aca="false">IF(AH2312="","",K2312+N(L2312)+N(M2312)+N(N2312)+N(O2312))</f>
        <v/>
      </c>
      <c r="Q2312" s="67"/>
      <c r="R2312" s="67"/>
      <c r="S2312" s="67"/>
      <c r="T2312" s="67"/>
      <c r="U2312" s="67"/>
      <c r="V2312" s="67"/>
      <c r="W2312" s="85" t="str">
        <f aca="false">IF(AH2312="","",N(Q2312)+N(R2312)+N(S2312)+N(T2312)+N(U2312)+N(V2312))</f>
        <v/>
      </c>
      <c r="X2312" s="85" t="str">
        <f aca="false">IF(AH2312="","",P2312-W2312)</f>
        <v/>
      </c>
      <c r="Y2312" s="67"/>
      <c r="Z2312" s="70" t="str">
        <f aca="false">IF(OR(AH2312="",Y2312=""),"",IF(ABS(X2312-Y2312)&lt;=1,"✓ Cuadra","⚠ Diferencia $"&amp;FIXED(X2312-Y2312,0)))</f>
        <v/>
      </c>
      <c r="AA2312" s="72" t="str">
        <f aca="false">IF(AH2312="","",IFERROR(INDEX(C_TIPO,MATCH(C2312&amp;"-P"&amp;MAX(1,COUNTIFS(C_ID,C2312,C_DEFINE,"Sí",C_INICIO,"&lt;="&amp;EOMONTH(B2312,0))),C_CLAVE,0))&amp;"","Sin dato"))</f>
        <v/>
      </c>
      <c r="AB2312" s="71" t="str">
        <f aca="false">IF(AH2312="","",ROUND(MIN(K2312,TOPE_AFP_UF*AJ2312)*AK2312,0))</f>
        <v/>
      </c>
      <c r="AC2312" s="71" t="str">
        <f aca="false">IF(AH2312="","",ROUND(MIN(K2312,TOPE_AFC_UF*AJ2312)*IF(AA2312="Indefinido",AFC_EMP_INDEF,AFC_EMP_PF),0))</f>
        <v/>
      </c>
      <c r="AD2312" s="71" t="str">
        <f aca="false">IF(AH2312="","",ROUND(MIN(K2312,TOPE_AFP_UF*AJ2312)*(MUTUAL_BASICA+MUTUAL_ADIC+SANNA),0))</f>
        <v/>
      </c>
      <c r="AE2312" s="71" t="str">
        <f aca="false">IF(AH2312="","",P2312-N(N2312)+AB2312+AC2312+AD2312)</f>
        <v/>
      </c>
      <c r="AF2312" s="65"/>
      <c r="AG2312" s="64"/>
      <c r="AH2312" s="72" t="str">
        <f aca="false">IF(OR(B2312="",C2312=""),"",C2312&amp;"|"&amp;(YEAR(B2312)*100+MONTH(B2312)))</f>
        <v/>
      </c>
      <c r="AI2312" s="70" t="str">
        <f aca="false">IF(AH2312="","",IF(COUNTIF(L_CLAVE,AH2312)&gt;1,"⚠ Duplicado","OK"))</f>
        <v/>
      </c>
      <c r="AJ2312" s="86" t="str">
        <f aca="false">IF(AH2312="","",IF(SUMPRODUCT(MAX((IND_PER&lt;=B2312)*(IND_UF&lt;&gt;"")*IND_PER))=0,UF_HOY,INDEX(IND_UF,MATCH(SUMPRODUCT(MAX((IND_PER&lt;=B2312)*(IND_UF&lt;&gt;"")*IND_PER)),IND_PER,0))))</f>
        <v/>
      </c>
      <c r="AK2312" s="87" t="str">
        <f aca="false">IF(AH2312="","",IF(COUNTIF(TASA_DESDE,"&lt;="&amp;B2312)=0,INDEX(TASA_EMP,1),INDEX(TASA_EMP,COUNTIF(TASA_DESDE,"&lt;="&amp;B2312))))</f>
        <v/>
      </c>
    </row>
    <row r="2313" customFormat="false" ht="15" hidden="false" customHeight="false" outlineLevel="0" collapsed="false">
      <c r="B2313" s="78"/>
      <c r="C2313" s="64"/>
      <c r="D2313" s="72" t="str">
        <f aca="false">IF(C2313="","",IFERROR(INDEX(T_NOMBRE,MATCH(C2313,T_ID,0)),"⚠ ID no existe"))</f>
        <v/>
      </c>
      <c r="E2313" s="69"/>
      <c r="F2313" s="67"/>
      <c r="G2313" s="67"/>
      <c r="H2313" s="67"/>
      <c r="I2313" s="67"/>
      <c r="J2313" s="67"/>
      <c r="K2313" s="85" t="str">
        <f aca="false">IF(AH2313="","",N(F2313)+N(G2313)+N(H2313)-N(I2313)+N(J2313))</f>
        <v/>
      </c>
      <c r="L2313" s="67"/>
      <c r="M2313" s="67"/>
      <c r="N2313" s="67"/>
      <c r="O2313" s="67"/>
      <c r="P2313" s="85" t="str">
        <f aca="false">IF(AH2313="","",K2313+N(L2313)+N(M2313)+N(N2313)+N(O2313))</f>
        <v/>
      </c>
      <c r="Q2313" s="67"/>
      <c r="R2313" s="67"/>
      <c r="S2313" s="67"/>
      <c r="T2313" s="67"/>
      <c r="U2313" s="67"/>
      <c r="V2313" s="67"/>
      <c r="W2313" s="85" t="str">
        <f aca="false">IF(AH2313="","",N(Q2313)+N(R2313)+N(S2313)+N(T2313)+N(U2313)+N(V2313))</f>
        <v/>
      </c>
      <c r="X2313" s="85" t="str">
        <f aca="false">IF(AH2313="","",P2313-W2313)</f>
        <v/>
      </c>
      <c r="Y2313" s="67"/>
      <c r="Z2313" s="70" t="str">
        <f aca="false">IF(OR(AH2313="",Y2313=""),"",IF(ABS(X2313-Y2313)&lt;=1,"✓ Cuadra","⚠ Diferencia $"&amp;FIXED(X2313-Y2313,0)))</f>
        <v/>
      </c>
      <c r="AA2313" s="72" t="str">
        <f aca="false">IF(AH2313="","",IFERROR(INDEX(C_TIPO,MATCH(C2313&amp;"-P"&amp;MAX(1,COUNTIFS(C_ID,C2313,C_DEFINE,"Sí",C_INICIO,"&lt;="&amp;EOMONTH(B2313,0))),C_CLAVE,0))&amp;"","Sin dato"))</f>
        <v/>
      </c>
      <c r="AB2313" s="71" t="str">
        <f aca="false">IF(AH2313="","",ROUND(MIN(K2313,TOPE_AFP_UF*AJ2313)*AK2313,0))</f>
        <v/>
      </c>
      <c r="AC2313" s="71" t="str">
        <f aca="false">IF(AH2313="","",ROUND(MIN(K2313,TOPE_AFC_UF*AJ2313)*IF(AA2313="Indefinido",AFC_EMP_INDEF,AFC_EMP_PF),0))</f>
        <v/>
      </c>
      <c r="AD2313" s="71" t="str">
        <f aca="false">IF(AH2313="","",ROUND(MIN(K2313,TOPE_AFP_UF*AJ2313)*(MUTUAL_BASICA+MUTUAL_ADIC+SANNA),0))</f>
        <v/>
      </c>
      <c r="AE2313" s="71" t="str">
        <f aca="false">IF(AH2313="","",P2313-N(N2313)+AB2313+AC2313+AD2313)</f>
        <v/>
      </c>
      <c r="AF2313" s="65"/>
      <c r="AG2313" s="64"/>
      <c r="AH2313" s="72" t="str">
        <f aca="false">IF(OR(B2313="",C2313=""),"",C2313&amp;"|"&amp;(YEAR(B2313)*100+MONTH(B2313)))</f>
        <v/>
      </c>
      <c r="AI2313" s="70" t="str">
        <f aca="false">IF(AH2313="","",IF(COUNTIF(L_CLAVE,AH2313)&gt;1,"⚠ Duplicado","OK"))</f>
        <v/>
      </c>
      <c r="AJ2313" s="86" t="str">
        <f aca="false">IF(AH2313="","",IF(SUMPRODUCT(MAX((IND_PER&lt;=B2313)*(IND_UF&lt;&gt;"")*IND_PER))=0,UF_HOY,INDEX(IND_UF,MATCH(SUMPRODUCT(MAX((IND_PER&lt;=B2313)*(IND_UF&lt;&gt;"")*IND_PER)),IND_PER,0))))</f>
        <v/>
      </c>
      <c r="AK2313" s="87" t="str">
        <f aca="false">IF(AH2313="","",IF(COUNTIF(TASA_DESDE,"&lt;="&amp;B2313)=0,INDEX(TASA_EMP,1),INDEX(TASA_EMP,COUNTIF(TASA_DESDE,"&lt;="&amp;B2313))))</f>
        <v/>
      </c>
    </row>
    <row r="2314" customFormat="false" ht="15" hidden="false" customHeight="false" outlineLevel="0" collapsed="false">
      <c r="B2314" s="78"/>
      <c r="C2314" s="64"/>
      <c r="D2314" s="72" t="str">
        <f aca="false">IF(C2314="","",IFERROR(INDEX(T_NOMBRE,MATCH(C2314,T_ID,0)),"⚠ ID no existe"))</f>
        <v/>
      </c>
      <c r="E2314" s="69"/>
      <c r="F2314" s="67"/>
      <c r="G2314" s="67"/>
      <c r="H2314" s="67"/>
      <c r="I2314" s="67"/>
      <c r="J2314" s="67"/>
      <c r="K2314" s="85" t="str">
        <f aca="false">IF(AH2314="","",N(F2314)+N(G2314)+N(H2314)-N(I2314)+N(J2314))</f>
        <v/>
      </c>
      <c r="L2314" s="67"/>
      <c r="M2314" s="67"/>
      <c r="N2314" s="67"/>
      <c r="O2314" s="67"/>
      <c r="P2314" s="85" t="str">
        <f aca="false">IF(AH2314="","",K2314+N(L2314)+N(M2314)+N(N2314)+N(O2314))</f>
        <v/>
      </c>
      <c r="Q2314" s="67"/>
      <c r="R2314" s="67"/>
      <c r="S2314" s="67"/>
      <c r="T2314" s="67"/>
      <c r="U2314" s="67"/>
      <c r="V2314" s="67"/>
      <c r="W2314" s="85" t="str">
        <f aca="false">IF(AH2314="","",N(Q2314)+N(R2314)+N(S2314)+N(T2314)+N(U2314)+N(V2314))</f>
        <v/>
      </c>
      <c r="X2314" s="85" t="str">
        <f aca="false">IF(AH2314="","",P2314-W2314)</f>
        <v/>
      </c>
      <c r="Y2314" s="67"/>
      <c r="Z2314" s="70" t="str">
        <f aca="false">IF(OR(AH2314="",Y2314=""),"",IF(ABS(X2314-Y2314)&lt;=1,"✓ Cuadra","⚠ Diferencia $"&amp;FIXED(X2314-Y2314,0)))</f>
        <v/>
      </c>
      <c r="AA2314" s="72" t="str">
        <f aca="false">IF(AH2314="","",IFERROR(INDEX(C_TIPO,MATCH(C2314&amp;"-P"&amp;MAX(1,COUNTIFS(C_ID,C2314,C_DEFINE,"Sí",C_INICIO,"&lt;="&amp;EOMONTH(B2314,0))),C_CLAVE,0))&amp;"","Sin dato"))</f>
        <v/>
      </c>
      <c r="AB2314" s="71" t="str">
        <f aca="false">IF(AH2314="","",ROUND(MIN(K2314,TOPE_AFP_UF*AJ2314)*AK2314,0))</f>
        <v/>
      </c>
      <c r="AC2314" s="71" t="str">
        <f aca="false">IF(AH2314="","",ROUND(MIN(K2314,TOPE_AFC_UF*AJ2314)*IF(AA2314="Indefinido",AFC_EMP_INDEF,AFC_EMP_PF),0))</f>
        <v/>
      </c>
      <c r="AD2314" s="71" t="str">
        <f aca="false">IF(AH2314="","",ROUND(MIN(K2314,TOPE_AFP_UF*AJ2314)*(MUTUAL_BASICA+MUTUAL_ADIC+SANNA),0))</f>
        <v/>
      </c>
      <c r="AE2314" s="71" t="str">
        <f aca="false">IF(AH2314="","",P2314-N(N2314)+AB2314+AC2314+AD2314)</f>
        <v/>
      </c>
      <c r="AF2314" s="65"/>
      <c r="AG2314" s="64"/>
      <c r="AH2314" s="72" t="str">
        <f aca="false">IF(OR(B2314="",C2314=""),"",C2314&amp;"|"&amp;(YEAR(B2314)*100+MONTH(B2314)))</f>
        <v/>
      </c>
      <c r="AI2314" s="70" t="str">
        <f aca="false">IF(AH2314="","",IF(COUNTIF(L_CLAVE,AH2314)&gt;1,"⚠ Duplicado","OK"))</f>
        <v/>
      </c>
      <c r="AJ2314" s="86" t="str">
        <f aca="false">IF(AH2314="","",IF(SUMPRODUCT(MAX((IND_PER&lt;=B2314)*(IND_UF&lt;&gt;"")*IND_PER))=0,UF_HOY,INDEX(IND_UF,MATCH(SUMPRODUCT(MAX((IND_PER&lt;=B2314)*(IND_UF&lt;&gt;"")*IND_PER)),IND_PER,0))))</f>
        <v/>
      </c>
      <c r="AK2314" s="87" t="str">
        <f aca="false">IF(AH2314="","",IF(COUNTIF(TASA_DESDE,"&lt;="&amp;B2314)=0,INDEX(TASA_EMP,1),INDEX(TASA_EMP,COUNTIF(TASA_DESDE,"&lt;="&amp;B2314))))</f>
        <v/>
      </c>
    </row>
    <row r="2315" customFormat="false" ht="15" hidden="false" customHeight="false" outlineLevel="0" collapsed="false">
      <c r="B2315" s="78"/>
      <c r="C2315" s="64"/>
      <c r="D2315" s="72" t="str">
        <f aca="false">IF(C2315="","",IFERROR(INDEX(T_NOMBRE,MATCH(C2315,T_ID,0)),"⚠ ID no existe"))</f>
        <v/>
      </c>
      <c r="E2315" s="69"/>
      <c r="F2315" s="67"/>
      <c r="G2315" s="67"/>
      <c r="H2315" s="67"/>
      <c r="I2315" s="67"/>
      <c r="J2315" s="67"/>
      <c r="K2315" s="85" t="str">
        <f aca="false">IF(AH2315="","",N(F2315)+N(G2315)+N(H2315)-N(I2315)+N(J2315))</f>
        <v/>
      </c>
      <c r="L2315" s="67"/>
      <c r="M2315" s="67"/>
      <c r="N2315" s="67"/>
      <c r="O2315" s="67"/>
      <c r="P2315" s="85" t="str">
        <f aca="false">IF(AH2315="","",K2315+N(L2315)+N(M2315)+N(N2315)+N(O2315))</f>
        <v/>
      </c>
      <c r="Q2315" s="67"/>
      <c r="R2315" s="67"/>
      <c r="S2315" s="67"/>
      <c r="T2315" s="67"/>
      <c r="U2315" s="67"/>
      <c r="V2315" s="67"/>
      <c r="W2315" s="85" t="str">
        <f aca="false">IF(AH2315="","",N(Q2315)+N(R2315)+N(S2315)+N(T2315)+N(U2315)+N(V2315))</f>
        <v/>
      </c>
      <c r="X2315" s="85" t="str">
        <f aca="false">IF(AH2315="","",P2315-W2315)</f>
        <v/>
      </c>
      <c r="Y2315" s="67"/>
      <c r="Z2315" s="70" t="str">
        <f aca="false">IF(OR(AH2315="",Y2315=""),"",IF(ABS(X2315-Y2315)&lt;=1,"✓ Cuadra","⚠ Diferencia $"&amp;FIXED(X2315-Y2315,0)))</f>
        <v/>
      </c>
      <c r="AA2315" s="72" t="str">
        <f aca="false">IF(AH2315="","",IFERROR(INDEX(C_TIPO,MATCH(C2315&amp;"-P"&amp;MAX(1,COUNTIFS(C_ID,C2315,C_DEFINE,"Sí",C_INICIO,"&lt;="&amp;EOMONTH(B2315,0))),C_CLAVE,0))&amp;"","Sin dato"))</f>
        <v/>
      </c>
      <c r="AB2315" s="71" t="str">
        <f aca="false">IF(AH2315="","",ROUND(MIN(K2315,TOPE_AFP_UF*AJ2315)*AK2315,0))</f>
        <v/>
      </c>
      <c r="AC2315" s="71" t="str">
        <f aca="false">IF(AH2315="","",ROUND(MIN(K2315,TOPE_AFC_UF*AJ2315)*IF(AA2315="Indefinido",AFC_EMP_INDEF,AFC_EMP_PF),0))</f>
        <v/>
      </c>
      <c r="AD2315" s="71" t="str">
        <f aca="false">IF(AH2315="","",ROUND(MIN(K2315,TOPE_AFP_UF*AJ2315)*(MUTUAL_BASICA+MUTUAL_ADIC+SANNA),0))</f>
        <v/>
      </c>
      <c r="AE2315" s="71" t="str">
        <f aca="false">IF(AH2315="","",P2315-N(N2315)+AB2315+AC2315+AD2315)</f>
        <v/>
      </c>
      <c r="AF2315" s="65"/>
      <c r="AG2315" s="64"/>
      <c r="AH2315" s="72" t="str">
        <f aca="false">IF(OR(B2315="",C2315=""),"",C2315&amp;"|"&amp;(YEAR(B2315)*100+MONTH(B2315)))</f>
        <v/>
      </c>
      <c r="AI2315" s="70" t="str">
        <f aca="false">IF(AH2315="","",IF(COUNTIF(L_CLAVE,AH2315)&gt;1,"⚠ Duplicado","OK"))</f>
        <v/>
      </c>
      <c r="AJ2315" s="86" t="str">
        <f aca="false">IF(AH2315="","",IF(SUMPRODUCT(MAX((IND_PER&lt;=B2315)*(IND_UF&lt;&gt;"")*IND_PER))=0,UF_HOY,INDEX(IND_UF,MATCH(SUMPRODUCT(MAX((IND_PER&lt;=B2315)*(IND_UF&lt;&gt;"")*IND_PER)),IND_PER,0))))</f>
        <v/>
      </c>
      <c r="AK2315" s="87" t="str">
        <f aca="false">IF(AH2315="","",IF(COUNTIF(TASA_DESDE,"&lt;="&amp;B2315)=0,INDEX(TASA_EMP,1),INDEX(TASA_EMP,COUNTIF(TASA_DESDE,"&lt;="&amp;B2315))))</f>
        <v/>
      </c>
    </row>
    <row r="2316" customFormat="false" ht="15" hidden="false" customHeight="false" outlineLevel="0" collapsed="false">
      <c r="B2316" s="78"/>
      <c r="C2316" s="64"/>
      <c r="D2316" s="72" t="str">
        <f aca="false">IF(C2316="","",IFERROR(INDEX(T_NOMBRE,MATCH(C2316,T_ID,0)),"⚠ ID no existe"))</f>
        <v/>
      </c>
      <c r="E2316" s="69"/>
      <c r="F2316" s="67"/>
      <c r="G2316" s="67"/>
      <c r="H2316" s="67"/>
      <c r="I2316" s="67"/>
      <c r="J2316" s="67"/>
      <c r="K2316" s="85" t="str">
        <f aca="false">IF(AH2316="","",N(F2316)+N(G2316)+N(H2316)-N(I2316)+N(J2316))</f>
        <v/>
      </c>
      <c r="L2316" s="67"/>
      <c r="M2316" s="67"/>
      <c r="N2316" s="67"/>
      <c r="O2316" s="67"/>
      <c r="P2316" s="85" t="str">
        <f aca="false">IF(AH2316="","",K2316+N(L2316)+N(M2316)+N(N2316)+N(O2316))</f>
        <v/>
      </c>
      <c r="Q2316" s="67"/>
      <c r="R2316" s="67"/>
      <c r="S2316" s="67"/>
      <c r="T2316" s="67"/>
      <c r="U2316" s="67"/>
      <c r="V2316" s="67"/>
      <c r="W2316" s="85" t="str">
        <f aca="false">IF(AH2316="","",N(Q2316)+N(R2316)+N(S2316)+N(T2316)+N(U2316)+N(V2316))</f>
        <v/>
      </c>
      <c r="X2316" s="85" t="str">
        <f aca="false">IF(AH2316="","",P2316-W2316)</f>
        <v/>
      </c>
      <c r="Y2316" s="67"/>
      <c r="Z2316" s="70" t="str">
        <f aca="false">IF(OR(AH2316="",Y2316=""),"",IF(ABS(X2316-Y2316)&lt;=1,"✓ Cuadra","⚠ Diferencia $"&amp;FIXED(X2316-Y2316,0)))</f>
        <v/>
      </c>
      <c r="AA2316" s="72" t="str">
        <f aca="false">IF(AH2316="","",IFERROR(INDEX(C_TIPO,MATCH(C2316&amp;"-P"&amp;MAX(1,COUNTIFS(C_ID,C2316,C_DEFINE,"Sí",C_INICIO,"&lt;="&amp;EOMONTH(B2316,0))),C_CLAVE,0))&amp;"","Sin dato"))</f>
        <v/>
      </c>
      <c r="AB2316" s="71" t="str">
        <f aca="false">IF(AH2316="","",ROUND(MIN(K2316,TOPE_AFP_UF*AJ2316)*AK2316,0))</f>
        <v/>
      </c>
      <c r="AC2316" s="71" t="str">
        <f aca="false">IF(AH2316="","",ROUND(MIN(K2316,TOPE_AFC_UF*AJ2316)*IF(AA2316="Indefinido",AFC_EMP_INDEF,AFC_EMP_PF),0))</f>
        <v/>
      </c>
      <c r="AD2316" s="71" t="str">
        <f aca="false">IF(AH2316="","",ROUND(MIN(K2316,TOPE_AFP_UF*AJ2316)*(MUTUAL_BASICA+MUTUAL_ADIC+SANNA),0))</f>
        <v/>
      </c>
      <c r="AE2316" s="71" t="str">
        <f aca="false">IF(AH2316="","",P2316-N(N2316)+AB2316+AC2316+AD2316)</f>
        <v/>
      </c>
      <c r="AF2316" s="65"/>
      <c r="AG2316" s="64"/>
      <c r="AH2316" s="72" t="str">
        <f aca="false">IF(OR(B2316="",C2316=""),"",C2316&amp;"|"&amp;(YEAR(B2316)*100+MONTH(B2316)))</f>
        <v/>
      </c>
      <c r="AI2316" s="70" t="str">
        <f aca="false">IF(AH2316="","",IF(COUNTIF(L_CLAVE,AH2316)&gt;1,"⚠ Duplicado","OK"))</f>
        <v/>
      </c>
      <c r="AJ2316" s="86" t="str">
        <f aca="false">IF(AH2316="","",IF(SUMPRODUCT(MAX((IND_PER&lt;=B2316)*(IND_UF&lt;&gt;"")*IND_PER))=0,UF_HOY,INDEX(IND_UF,MATCH(SUMPRODUCT(MAX((IND_PER&lt;=B2316)*(IND_UF&lt;&gt;"")*IND_PER)),IND_PER,0))))</f>
        <v/>
      </c>
      <c r="AK2316" s="87" t="str">
        <f aca="false">IF(AH2316="","",IF(COUNTIF(TASA_DESDE,"&lt;="&amp;B2316)=0,INDEX(TASA_EMP,1),INDEX(TASA_EMP,COUNTIF(TASA_DESDE,"&lt;="&amp;B2316))))</f>
        <v/>
      </c>
    </row>
    <row r="2317" customFormat="false" ht="15" hidden="false" customHeight="false" outlineLevel="0" collapsed="false">
      <c r="B2317" s="78"/>
      <c r="C2317" s="64"/>
      <c r="D2317" s="72" t="str">
        <f aca="false">IF(C2317="","",IFERROR(INDEX(T_NOMBRE,MATCH(C2317,T_ID,0)),"⚠ ID no existe"))</f>
        <v/>
      </c>
      <c r="E2317" s="69"/>
      <c r="F2317" s="67"/>
      <c r="G2317" s="67"/>
      <c r="H2317" s="67"/>
      <c r="I2317" s="67"/>
      <c r="J2317" s="67"/>
      <c r="K2317" s="85" t="str">
        <f aca="false">IF(AH2317="","",N(F2317)+N(G2317)+N(H2317)-N(I2317)+N(J2317))</f>
        <v/>
      </c>
      <c r="L2317" s="67"/>
      <c r="M2317" s="67"/>
      <c r="N2317" s="67"/>
      <c r="O2317" s="67"/>
      <c r="P2317" s="85" t="str">
        <f aca="false">IF(AH2317="","",K2317+N(L2317)+N(M2317)+N(N2317)+N(O2317))</f>
        <v/>
      </c>
      <c r="Q2317" s="67"/>
      <c r="R2317" s="67"/>
      <c r="S2317" s="67"/>
      <c r="T2317" s="67"/>
      <c r="U2317" s="67"/>
      <c r="V2317" s="67"/>
      <c r="W2317" s="85" t="str">
        <f aca="false">IF(AH2317="","",N(Q2317)+N(R2317)+N(S2317)+N(T2317)+N(U2317)+N(V2317))</f>
        <v/>
      </c>
      <c r="X2317" s="85" t="str">
        <f aca="false">IF(AH2317="","",P2317-W2317)</f>
        <v/>
      </c>
      <c r="Y2317" s="67"/>
      <c r="Z2317" s="70" t="str">
        <f aca="false">IF(OR(AH2317="",Y2317=""),"",IF(ABS(X2317-Y2317)&lt;=1,"✓ Cuadra","⚠ Diferencia $"&amp;FIXED(X2317-Y2317,0)))</f>
        <v/>
      </c>
      <c r="AA2317" s="72" t="str">
        <f aca="false">IF(AH2317="","",IFERROR(INDEX(C_TIPO,MATCH(C2317&amp;"-P"&amp;MAX(1,COUNTIFS(C_ID,C2317,C_DEFINE,"Sí",C_INICIO,"&lt;="&amp;EOMONTH(B2317,0))),C_CLAVE,0))&amp;"","Sin dato"))</f>
        <v/>
      </c>
      <c r="AB2317" s="71" t="str">
        <f aca="false">IF(AH2317="","",ROUND(MIN(K2317,TOPE_AFP_UF*AJ2317)*AK2317,0))</f>
        <v/>
      </c>
      <c r="AC2317" s="71" t="str">
        <f aca="false">IF(AH2317="","",ROUND(MIN(K2317,TOPE_AFC_UF*AJ2317)*IF(AA2317="Indefinido",AFC_EMP_INDEF,AFC_EMP_PF),0))</f>
        <v/>
      </c>
      <c r="AD2317" s="71" t="str">
        <f aca="false">IF(AH2317="","",ROUND(MIN(K2317,TOPE_AFP_UF*AJ2317)*(MUTUAL_BASICA+MUTUAL_ADIC+SANNA),0))</f>
        <v/>
      </c>
      <c r="AE2317" s="71" t="str">
        <f aca="false">IF(AH2317="","",P2317-N(N2317)+AB2317+AC2317+AD2317)</f>
        <v/>
      </c>
      <c r="AF2317" s="65"/>
      <c r="AG2317" s="64"/>
      <c r="AH2317" s="72" t="str">
        <f aca="false">IF(OR(B2317="",C2317=""),"",C2317&amp;"|"&amp;(YEAR(B2317)*100+MONTH(B2317)))</f>
        <v/>
      </c>
      <c r="AI2317" s="70" t="str">
        <f aca="false">IF(AH2317="","",IF(COUNTIF(L_CLAVE,AH2317)&gt;1,"⚠ Duplicado","OK"))</f>
        <v/>
      </c>
      <c r="AJ2317" s="86" t="str">
        <f aca="false">IF(AH2317="","",IF(SUMPRODUCT(MAX((IND_PER&lt;=B2317)*(IND_UF&lt;&gt;"")*IND_PER))=0,UF_HOY,INDEX(IND_UF,MATCH(SUMPRODUCT(MAX((IND_PER&lt;=B2317)*(IND_UF&lt;&gt;"")*IND_PER)),IND_PER,0))))</f>
        <v/>
      </c>
      <c r="AK2317" s="87" t="str">
        <f aca="false">IF(AH2317="","",IF(COUNTIF(TASA_DESDE,"&lt;="&amp;B2317)=0,INDEX(TASA_EMP,1),INDEX(TASA_EMP,COUNTIF(TASA_DESDE,"&lt;="&amp;B2317))))</f>
        <v/>
      </c>
    </row>
    <row r="2318" customFormat="false" ht="15" hidden="false" customHeight="false" outlineLevel="0" collapsed="false">
      <c r="B2318" s="78"/>
      <c r="C2318" s="64"/>
      <c r="D2318" s="72" t="str">
        <f aca="false">IF(C2318="","",IFERROR(INDEX(T_NOMBRE,MATCH(C2318,T_ID,0)),"⚠ ID no existe"))</f>
        <v/>
      </c>
      <c r="E2318" s="69"/>
      <c r="F2318" s="67"/>
      <c r="G2318" s="67"/>
      <c r="H2318" s="67"/>
      <c r="I2318" s="67"/>
      <c r="J2318" s="67"/>
      <c r="K2318" s="85" t="str">
        <f aca="false">IF(AH2318="","",N(F2318)+N(G2318)+N(H2318)-N(I2318)+N(J2318))</f>
        <v/>
      </c>
      <c r="L2318" s="67"/>
      <c r="M2318" s="67"/>
      <c r="N2318" s="67"/>
      <c r="O2318" s="67"/>
      <c r="P2318" s="85" t="str">
        <f aca="false">IF(AH2318="","",K2318+N(L2318)+N(M2318)+N(N2318)+N(O2318))</f>
        <v/>
      </c>
      <c r="Q2318" s="67"/>
      <c r="R2318" s="67"/>
      <c r="S2318" s="67"/>
      <c r="T2318" s="67"/>
      <c r="U2318" s="67"/>
      <c r="V2318" s="67"/>
      <c r="W2318" s="85" t="str">
        <f aca="false">IF(AH2318="","",N(Q2318)+N(R2318)+N(S2318)+N(T2318)+N(U2318)+N(V2318))</f>
        <v/>
      </c>
      <c r="X2318" s="85" t="str">
        <f aca="false">IF(AH2318="","",P2318-W2318)</f>
        <v/>
      </c>
      <c r="Y2318" s="67"/>
      <c r="Z2318" s="70" t="str">
        <f aca="false">IF(OR(AH2318="",Y2318=""),"",IF(ABS(X2318-Y2318)&lt;=1,"✓ Cuadra","⚠ Diferencia $"&amp;FIXED(X2318-Y2318,0)))</f>
        <v/>
      </c>
      <c r="AA2318" s="72" t="str">
        <f aca="false">IF(AH2318="","",IFERROR(INDEX(C_TIPO,MATCH(C2318&amp;"-P"&amp;MAX(1,COUNTIFS(C_ID,C2318,C_DEFINE,"Sí",C_INICIO,"&lt;="&amp;EOMONTH(B2318,0))),C_CLAVE,0))&amp;"","Sin dato"))</f>
        <v/>
      </c>
      <c r="AB2318" s="71" t="str">
        <f aca="false">IF(AH2318="","",ROUND(MIN(K2318,TOPE_AFP_UF*AJ2318)*AK2318,0))</f>
        <v/>
      </c>
      <c r="AC2318" s="71" t="str">
        <f aca="false">IF(AH2318="","",ROUND(MIN(K2318,TOPE_AFC_UF*AJ2318)*IF(AA2318="Indefinido",AFC_EMP_INDEF,AFC_EMP_PF),0))</f>
        <v/>
      </c>
      <c r="AD2318" s="71" t="str">
        <f aca="false">IF(AH2318="","",ROUND(MIN(K2318,TOPE_AFP_UF*AJ2318)*(MUTUAL_BASICA+MUTUAL_ADIC+SANNA),0))</f>
        <v/>
      </c>
      <c r="AE2318" s="71" t="str">
        <f aca="false">IF(AH2318="","",P2318-N(N2318)+AB2318+AC2318+AD2318)</f>
        <v/>
      </c>
      <c r="AF2318" s="65"/>
      <c r="AG2318" s="64"/>
      <c r="AH2318" s="72" t="str">
        <f aca="false">IF(OR(B2318="",C2318=""),"",C2318&amp;"|"&amp;(YEAR(B2318)*100+MONTH(B2318)))</f>
        <v/>
      </c>
      <c r="AI2318" s="70" t="str">
        <f aca="false">IF(AH2318="","",IF(COUNTIF(L_CLAVE,AH2318)&gt;1,"⚠ Duplicado","OK"))</f>
        <v/>
      </c>
      <c r="AJ2318" s="86" t="str">
        <f aca="false">IF(AH2318="","",IF(SUMPRODUCT(MAX((IND_PER&lt;=B2318)*(IND_UF&lt;&gt;"")*IND_PER))=0,UF_HOY,INDEX(IND_UF,MATCH(SUMPRODUCT(MAX((IND_PER&lt;=B2318)*(IND_UF&lt;&gt;"")*IND_PER)),IND_PER,0))))</f>
        <v/>
      </c>
      <c r="AK2318" s="87" t="str">
        <f aca="false">IF(AH2318="","",IF(COUNTIF(TASA_DESDE,"&lt;="&amp;B2318)=0,INDEX(TASA_EMP,1),INDEX(TASA_EMP,COUNTIF(TASA_DESDE,"&lt;="&amp;B2318))))</f>
        <v/>
      </c>
    </row>
    <row r="2319" customFormat="false" ht="15" hidden="false" customHeight="false" outlineLevel="0" collapsed="false">
      <c r="B2319" s="78"/>
      <c r="C2319" s="64"/>
      <c r="D2319" s="72" t="str">
        <f aca="false">IF(C2319="","",IFERROR(INDEX(T_NOMBRE,MATCH(C2319,T_ID,0)),"⚠ ID no existe"))</f>
        <v/>
      </c>
      <c r="E2319" s="69"/>
      <c r="F2319" s="67"/>
      <c r="G2319" s="67"/>
      <c r="H2319" s="67"/>
      <c r="I2319" s="67"/>
      <c r="J2319" s="67"/>
      <c r="K2319" s="85" t="str">
        <f aca="false">IF(AH2319="","",N(F2319)+N(G2319)+N(H2319)-N(I2319)+N(J2319))</f>
        <v/>
      </c>
      <c r="L2319" s="67"/>
      <c r="M2319" s="67"/>
      <c r="N2319" s="67"/>
      <c r="O2319" s="67"/>
      <c r="P2319" s="85" t="str">
        <f aca="false">IF(AH2319="","",K2319+N(L2319)+N(M2319)+N(N2319)+N(O2319))</f>
        <v/>
      </c>
      <c r="Q2319" s="67"/>
      <c r="R2319" s="67"/>
      <c r="S2319" s="67"/>
      <c r="T2319" s="67"/>
      <c r="U2319" s="67"/>
      <c r="V2319" s="67"/>
      <c r="W2319" s="85" t="str">
        <f aca="false">IF(AH2319="","",N(Q2319)+N(R2319)+N(S2319)+N(T2319)+N(U2319)+N(V2319))</f>
        <v/>
      </c>
      <c r="X2319" s="85" t="str">
        <f aca="false">IF(AH2319="","",P2319-W2319)</f>
        <v/>
      </c>
      <c r="Y2319" s="67"/>
      <c r="Z2319" s="70" t="str">
        <f aca="false">IF(OR(AH2319="",Y2319=""),"",IF(ABS(X2319-Y2319)&lt;=1,"✓ Cuadra","⚠ Diferencia $"&amp;FIXED(X2319-Y2319,0)))</f>
        <v/>
      </c>
      <c r="AA2319" s="72" t="str">
        <f aca="false">IF(AH2319="","",IFERROR(INDEX(C_TIPO,MATCH(C2319&amp;"-P"&amp;MAX(1,COUNTIFS(C_ID,C2319,C_DEFINE,"Sí",C_INICIO,"&lt;="&amp;EOMONTH(B2319,0))),C_CLAVE,0))&amp;"","Sin dato"))</f>
        <v/>
      </c>
      <c r="AB2319" s="71" t="str">
        <f aca="false">IF(AH2319="","",ROUND(MIN(K2319,TOPE_AFP_UF*AJ2319)*AK2319,0))</f>
        <v/>
      </c>
      <c r="AC2319" s="71" t="str">
        <f aca="false">IF(AH2319="","",ROUND(MIN(K2319,TOPE_AFC_UF*AJ2319)*IF(AA2319="Indefinido",AFC_EMP_INDEF,AFC_EMP_PF),0))</f>
        <v/>
      </c>
      <c r="AD2319" s="71" t="str">
        <f aca="false">IF(AH2319="","",ROUND(MIN(K2319,TOPE_AFP_UF*AJ2319)*(MUTUAL_BASICA+MUTUAL_ADIC+SANNA),0))</f>
        <v/>
      </c>
      <c r="AE2319" s="71" t="str">
        <f aca="false">IF(AH2319="","",P2319-N(N2319)+AB2319+AC2319+AD2319)</f>
        <v/>
      </c>
      <c r="AF2319" s="65"/>
      <c r="AG2319" s="64"/>
      <c r="AH2319" s="72" t="str">
        <f aca="false">IF(OR(B2319="",C2319=""),"",C2319&amp;"|"&amp;(YEAR(B2319)*100+MONTH(B2319)))</f>
        <v/>
      </c>
      <c r="AI2319" s="70" t="str">
        <f aca="false">IF(AH2319="","",IF(COUNTIF(L_CLAVE,AH2319)&gt;1,"⚠ Duplicado","OK"))</f>
        <v/>
      </c>
      <c r="AJ2319" s="86" t="str">
        <f aca="false">IF(AH2319="","",IF(SUMPRODUCT(MAX((IND_PER&lt;=B2319)*(IND_UF&lt;&gt;"")*IND_PER))=0,UF_HOY,INDEX(IND_UF,MATCH(SUMPRODUCT(MAX((IND_PER&lt;=B2319)*(IND_UF&lt;&gt;"")*IND_PER)),IND_PER,0))))</f>
        <v/>
      </c>
      <c r="AK2319" s="87" t="str">
        <f aca="false">IF(AH2319="","",IF(COUNTIF(TASA_DESDE,"&lt;="&amp;B2319)=0,INDEX(TASA_EMP,1),INDEX(TASA_EMP,COUNTIF(TASA_DESDE,"&lt;="&amp;B2319))))</f>
        <v/>
      </c>
    </row>
    <row r="2320" customFormat="false" ht="15" hidden="false" customHeight="false" outlineLevel="0" collapsed="false">
      <c r="B2320" s="78"/>
      <c r="C2320" s="64"/>
      <c r="D2320" s="72" t="str">
        <f aca="false">IF(C2320="","",IFERROR(INDEX(T_NOMBRE,MATCH(C2320,T_ID,0)),"⚠ ID no existe"))</f>
        <v/>
      </c>
      <c r="E2320" s="69"/>
      <c r="F2320" s="67"/>
      <c r="G2320" s="67"/>
      <c r="H2320" s="67"/>
      <c r="I2320" s="67"/>
      <c r="J2320" s="67"/>
      <c r="K2320" s="85" t="str">
        <f aca="false">IF(AH2320="","",N(F2320)+N(G2320)+N(H2320)-N(I2320)+N(J2320))</f>
        <v/>
      </c>
      <c r="L2320" s="67"/>
      <c r="M2320" s="67"/>
      <c r="N2320" s="67"/>
      <c r="O2320" s="67"/>
      <c r="P2320" s="85" t="str">
        <f aca="false">IF(AH2320="","",K2320+N(L2320)+N(M2320)+N(N2320)+N(O2320))</f>
        <v/>
      </c>
      <c r="Q2320" s="67"/>
      <c r="R2320" s="67"/>
      <c r="S2320" s="67"/>
      <c r="T2320" s="67"/>
      <c r="U2320" s="67"/>
      <c r="V2320" s="67"/>
      <c r="W2320" s="85" t="str">
        <f aca="false">IF(AH2320="","",N(Q2320)+N(R2320)+N(S2320)+N(T2320)+N(U2320)+N(V2320))</f>
        <v/>
      </c>
      <c r="X2320" s="85" t="str">
        <f aca="false">IF(AH2320="","",P2320-W2320)</f>
        <v/>
      </c>
      <c r="Y2320" s="67"/>
      <c r="Z2320" s="70" t="str">
        <f aca="false">IF(OR(AH2320="",Y2320=""),"",IF(ABS(X2320-Y2320)&lt;=1,"✓ Cuadra","⚠ Diferencia $"&amp;FIXED(X2320-Y2320,0)))</f>
        <v/>
      </c>
      <c r="AA2320" s="72" t="str">
        <f aca="false">IF(AH2320="","",IFERROR(INDEX(C_TIPO,MATCH(C2320&amp;"-P"&amp;MAX(1,COUNTIFS(C_ID,C2320,C_DEFINE,"Sí",C_INICIO,"&lt;="&amp;EOMONTH(B2320,0))),C_CLAVE,0))&amp;"","Sin dato"))</f>
        <v/>
      </c>
      <c r="AB2320" s="71" t="str">
        <f aca="false">IF(AH2320="","",ROUND(MIN(K2320,TOPE_AFP_UF*AJ2320)*AK2320,0))</f>
        <v/>
      </c>
      <c r="AC2320" s="71" t="str">
        <f aca="false">IF(AH2320="","",ROUND(MIN(K2320,TOPE_AFC_UF*AJ2320)*IF(AA2320="Indefinido",AFC_EMP_INDEF,AFC_EMP_PF),0))</f>
        <v/>
      </c>
      <c r="AD2320" s="71" t="str">
        <f aca="false">IF(AH2320="","",ROUND(MIN(K2320,TOPE_AFP_UF*AJ2320)*(MUTUAL_BASICA+MUTUAL_ADIC+SANNA),0))</f>
        <v/>
      </c>
      <c r="AE2320" s="71" t="str">
        <f aca="false">IF(AH2320="","",P2320-N(N2320)+AB2320+AC2320+AD2320)</f>
        <v/>
      </c>
      <c r="AF2320" s="65"/>
      <c r="AG2320" s="64"/>
      <c r="AH2320" s="72" t="str">
        <f aca="false">IF(OR(B2320="",C2320=""),"",C2320&amp;"|"&amp;(YEAR(B2320)*100+MONTH(B2320)))</f>
        <v/>
      </c>
      <c r="AI2320" s="70" t="str">
        <f aca="false">IF(AH2320="","",IF(COUNTIF(L_CLAVE,AH2320)&gt;1,"⚠ Duplicado","OK"))</f>
        <v/>
      </c>
      <c r="AJ2320" s="86" t="str">
        <f aca="false">IF(AH2320="","",IF(SUMPRODUCT(MAX((IND_PER&lt;=B2320)*(IND_UF&lt;&gt;"")*IND_PER))=0,UF_HOY,INDEX(IND_UF,MATCH(SUMPRODUCT(MAX((IND_PER&lt;=B2320)*(IND_UF&lt;&gt;"")*IND_PER)),IND_PER,0))))</f>
        <v/>
      </c>
      <c r="AK2320" s="87" t="str">
        <f aca="false">IF(AH2320="","",IF(COUNTIF(TASA_DESDE,"&lt;="&amp;B2320)=0,INDEX(TASA_EMP,1),INDEX(TASA_EMP,COUNTIF(TASA_DESDE,"&lt;="&amp;B2320))))</f>
        <v/>
      </c>
    </row>
    <row r="2321" customFormat="false" ht="15" hidden="false" customHeight="false" outlineLevel="0" collapsed="false">
      <c r="B2321" s="78"/>
      <c r="C2321" s="64"/>
      <c r="D2321" s="72" t="str">
        <f aca="false">IF(C2321="","",IFERROR(INDEX(T_NOMBRE,MATCH(C2321,T_ID,0)),"⚠ ID no existe"))</f>
        <v/>
      </c>
      <c r="E2321" s="69"/>
      <c r="F2321" s="67"/>
      <c r="G2321" s="67"/>
      <c r="H2321" s="67"/>
      <c r="I2321" s="67"/>
      <c r="J2321" s="67"/>
      <c r="K2321" s="85" t="str">
        <f aca="false">IF(AH2321="","",N(F2321)+N(G2321)+N(H2321)-N(I2321)+N(J2321))</f>
        <v/>
      </c>
      <c r="L2321" s="67"/>
      <c r="M2321" s="67"/>
      <c r="N2321" s="67"/>
      <c r="O2321" s="67"/>
      <c r="P2321" s="85" t="str">
        <f aca="false">IF(AH2321="","",K2321+N(L2321)+N(M2321)+N(N2321)+N(O2321))</f>
        <v/>
      </c>
      <c r="Q2321" s="67"/>
      <c r="R2321" s="67"/>
      <c r="S2321" s="67"/>
      <c r="T2321" s="67"/>
      <c r="U2321" s="67"/>
      <c r="V2321" s="67"/>
      <c r="W2321" s="85" t="str">
        <f aca="false">IF(AH2321="","",N(Q2321)+N(R2321)+N(S2321)+N(T2321)+N(U2321)+N(V2321))</f>
        <v/>
      </c>
      <c r="X2321" s="85" t="str">
        <f aca="false">IF(AH2321="","",P2321-W2321)</f>
        <v/>
      </c>
      <c r="Y2321" s="67"/>
      <c r="Z2321" s="70" t="str">
        <f aca="false">IF(OR(AH2321="",Y2321=""),"",IF(ABS(X2321-Y2321)&lt;=1,"✓ Cuadra","⚠ Diferencia $"&amp;FIXED(X2321-Y2321,0)))</f>
        <v/>
      </c>
      <c r="AA2321" s="72" t="str">
        <f aca="false">IF(AH2321="","",IFERROR(INDEX(C_TIPO,MATCH(C2321&amp;"-P"&amp;MAX(1,COUNTIFS(C_ID,C2321,C_DEFINE,"Sí",C_INICIO,"&lt;="&amp;EOMONTH(B2321,0))),C_CLAVE,0))&amp;"","Sin dato"))</f>
        <v/>
      </c>
      <c r="AB2321" s="71" t="str">
        <f aca="false">IF(AH2321="","",ROUND(MIN(K2321,TOPE_AFP_UF*AJ2321)*AK2321,0))</f>
        <v/>
      </c>
      <c r="AC2321" s="71" t="str">
        <f aca="false">IF(AH2321="","",ROUND(MIN(K2321,TOPE_AFC_UF*AJ2321)*IF(AA2321="Indefinido",AFC_EMP_INDEF,AFC_EMP_PF),0))</f>
        <v/>
      </c>
      <c r="AD2321" s="71" t="str">
        <f aca="false">IF(AH2321="","",ROUND(MIN(K2321,TOPE_AFP_UF*AJ2321)*(MUTUAL_BASICA+MUTUAL_ADIC+SANNA),0))</f>
        <v/>
      </c>
      <c r="AE2321" s="71" t="str">
        <f aca="false">IF(AH2321="","",P2321-N(N2321)+AB2321+AC2321+AD2321)</f>
        <v/>
      </c>
      <c r="AF2321" s="65"/>
      <c r="AG2321" s="64"/>
      <c r="AH2321" s="72" t="str">
        <f aca="false">IF(OR(B2321="",C2321=""),"",C2321&amp;"|"&amp;(YEAR(B2321)*100+MONTH(B2321)))</f>
        <v/>
      </c>
      <c r="AI2321" s="70" t="str">
        <f aca="false">IF(AH2321="","",IF(COUNTIF(L_CLAVE,AH2321)&gt;1,"⚠ Duplicado","OK"))</f>
        <v/>
      </c>
      <c r="AJ2321" s="86" t="str">
        <f aca="false">IF(AH2321="","",IF(SUMPRODUCT(MAX((IND_PER&lt;=B2321)*(IND_UF&lt;&gt;"")*IND_PER))=0,UF_HOY,INDEX(IND_UF,MATCH(SUMPRODUCT(MAX((IND_PER&lt;=B2321)*(IND_UF&lt;&gt;"")*IND_PER)),IND_PER,0))))</f>
        <v/>
      </c>
      <c r="AK2321" s="87" t="str">
        <f aca="false">IF(AH2321="","",IF(COUNTIF(TASA_DESDE,"&lt;="&amp;B2321)=0,INDEX(TASA_EMP,1),INDEX(TASA_EMP,COUNTIF(TASA_DESDE,"&lt;="&amp;B2321))))</f>
        <v/>
      </c>
    </row>
    <row r="2322" customFormat="false" ht="15" hidden="false" customHeight="false" outlineLevel="0" collapsed="false">
      <c r="B2322" s="78"/>
      <c r="C2322" s="64"/>
      <c r="D2322" s="72" t="str">
        <f aca="false">IF(C2322="","",IFERROR(INDEX(T_NOMBRE,MATCH(C2322,T_ID,0)),"⚠ ID no existe"))</f>
        <v/>
      </c>
      <c r="E2322" s="69"/>
      <c r="F2322" s="67"/>
      <c r="G2322" s="67"/>
      <c r="H2322" s="67"/>
      <c r="I2322" s="67"/>
      <c r="J2322" s="67"/>
      <c r="K2322" s="85" t="str">
        <f aca="false">IF(AH2322="","",N(F2322)+N(G2322)+N(H2322)-N(I2322)+N(J2322))</f>
        <v/>
      </c>
      <c r="L2322" s="67"/>
      <c r="M2322" s="67"/>
      <c r="N2322" s="67"/>
      <c r="O2322" s="67"/>
      <c r="P2322" s="85" t="str">
        <f aca="false">IF(AH2322="","",K2322+N(L2322)+N(M2322)+N(N2322)+N(O2322))</f>
        <v/>
      </c>
      <c r="Q2322" s="67"/>
      <c r="R2322" s="67"/>
      <c r="S2322" s="67"/>
      <c r="T2322" s="67"/>
      <c r="U2322" s="67"/>
      <c r="V2322" s="67"/>
      <c r="W2322" s="85" t="str">
        <f aca="false">IF(AH2322="","",N(Q2322)+N(R2322)+N(S2322)+N(T2322)+N(U2322)+N(V2322))</f>
        <v/>
      </c>
      <c r="X2322" s="85" t="str">
        <f aca="false">IF(AH2322="","",P2322-W2322)</f>
        <v/>
      </c>
      <c r="Y2322" s="67"/>
      <c r="Z2322" s="70" t="str">
        <f aca="false">IF(OR(AH2322="",Y2322=""),"",IF(ABS(X2322-Y2322)&lt;=1,"✓ Cuadra","⚠ Diferencia $"&amp;FIXED(X2322-Y2322,0)))</f>
        <v/>
      </c>
      <c r="AA2322" s="72" t="str">
        <f aca="false">IF(AH2322="","",IFERROR(INDEX(C_TIPO,MATCH(C2322&amp;"-P"&amp;MAX(1,COUNTIFS(C_ID,C2322,C_DEFINE,"Sí",C_INICIO,"&lt;="&amp;EOMONTH(B2322,0))),C_CLAVE,0))&amp;"","Sin dato"))</f>
        <v/>
      </c>
      <c r="AB2322" s="71" t="str">
        <f aca="false">IF(AH2322="","",ROUND(MIN(K2322,TOPE_AFP_UF*AJ2322)*AK2322,0))</f>
        <v/>
      </c>
      <c r="AC2322" s="71" t="str">
        <f aca="false">IF(AH2322="","",ROUND(MIN(K2322,TOPE_AFC_UF*AJ2322)*IF(AA2322="Indefinido",AFC_EMP_INDEF,AFC_EMP_PF),0))</f>
        <v/>
      </c>
      <c r="AD2322" s="71" t="str">
        <f aca="false">IF(AH2322="","",ROUND(MIN(K2322,TOPE_AFP_UF*AJ2322)*(MUTUAL_BASICA+MUTUAL_ADIC+SANNA),0))</f>
        <v/>
      </c>
      <c r="AE2322" s="71" t="str">
        <f aca="false">IF(AH2322="","",P2322-N(N2322)+AB2322+AC2322+AD2322)</f>
        <v/>
      </c>
      <c r="AF2322" s="65"/>
      <c r="AG2322" s="64"/>
      <c r="AH2322" s="72" t="str">
        <f aca="false">IF(OR(B2322="",C2322=""),"",C2322&amp;"|"&amp;(YEAR(B2322)*100+MONTH(B2322)))</f>
        <v/>
      </c>
      <c r="AI2322" s="70" t="str">
        <f aca="false">IF(AH2322="","",IF(COUNTIF(L_CLAVE,AH2322)&gt;1,"⚠ Duplicado","OK"))</f>
        <v/>
      </c>
      <c r="AJ2322" s="86" t="str">
        <f aca="false">IF(AH2322="","",IF(SUMPRODUCT(MAX((IND_PER&lt;=B2322)*(IND_UF&lt;&gt;"")*IND_PER))=0,UF_HOY,INDEX(IND_UF,MATCH(SUMPRODUCT(MAX((IND_PER&lt;=B2322)*(IND_UF&lt;&gt;"")*IND_PER)),IND_PER,0))))</f>
        <v/>
      </c>
      <c r="AK2322" s="87" t="str">
        <f aca="false">IF(AH2322="","",IF(COUNTIF(TASA_DESDE,"&lt;="&amp;B2322)=0,INDEX(TASA_EMP,1),INDEX(TASA_EMP,COUNTIF(TASA_DESDE,"&lt;="&amp;B2322))))</f>
        <v/>
      </c>
    </row>
    <row r="2323" customFormat="false" ht="15" hidden="false" customHeight="false" outlineLevel="0" collapsed="false">
      <c r="B2323" s="78"/>
      <c r="C2323" s="64"/>
      <c r="D2323" s="72" t="str">
        <f aca="false">IF(C2323="","",IFERROR(INDEX(T_NOMBRE,MATCH(C2323,T_ID,0)),"⚠ ID no existe"))</f>
        <v/>
      </c>
      <c r="E2323" s="69"/>
      <c r="F2323" s="67"/>
      <c r="G2323" s="67"/>
      <c r="H2323" s="67"/>
      <c r="I2323" s="67"/>
      <c r="J2323" s="67"/>
      <c r="K2323" s="85" t="str">
        <f aca="false">IF(AH2323="","",N(F2323)+N(G2323)+N(H2323)-N(I2323)+N(J2323))</f>
        <v/>
      </c>
      <c r="L2323" s="67"/>
      <c r="M2323" s="67"/>
      <c r="N2323" s="67"/>
      <c r="O2323" s="67"/>
      <c r="P2323" s="85" t="str">
        <f aca="false">IF(AH2323="","",K2323+N(L2323)+N(M2323)+N(N2323)+N(O2323))</f>
        <v/>
      </c>
      <c r="Q2323" s="67"/>
      <c r="R2323" s="67"/>
      <c r="S2323" s="67"/>
      <c r="T2323" s="67"/>
      <c r="U2323" s="67"/>
      <c r="V2323" s="67"/>
      <c r="W2323" s="85" t="str">
        <f aca="false">IF(AH2323="","",N(Q2323)+N(R2323)+N(S2323)+N(T2323)+N(U2323)+N(V2323))</f>
        <v/>
      </c>
      <c r="X2323" s="85" t="str">
        <f aca="false">IF(AH2323="","",P2323-W2323)</f>
        <v/>
      </c>
      <c r="Y2323" s="67"/>
      <c r="Z2323" s="70" t="str">
        <f aca="false">IF(OR(AH2323="",Y2323=""),"",IF(ABS(X2323-Y2323)&lt;=1,"✓ Cuadra","⚠ Diferencia $"&amp;FIXED(X2323-Y2323,0)))</f>
        <v/>
      </c>
      <c r="AA2323" s="72" t="str">
        <f aca="false">IF(AH2323="","",IFERROR(INDEX(C_TIPO,MATCH(C2323&amp;"-P"&amp;MAX(1,COUNTIFS(C_ID,C2323,C_DEFINE,"Sí",C_INICIO,"&lt;="&amp;EOMONTH(B2323,0))),C_CLAVE,0))&amp;"","Sin dato"))</f>
        <v/>
      </c>
      <c r="AB2323" s="71" t="str">
        <f aca="false">IF(AH2323="","",ROUND(MIN(K2323,TOPE_AFP_UF*AJ2323)*AK2323,0))</f>
        <v/>
      </c>
      <c r="AC2323" s="71" t="str">
        <f aca="false">IF(AH2323="","",ROUND(MIN(K2323,TOPE_AFC_UF*AJ2323)*IF(AA2323="Indefinido",AFC_EMP_INDEF,AFC_EMP_PF),0))</f>
        <v/>
      </c>
      <c r="AD2323" s="71" t="str">
        <f aca="false">IF(AH2323="","",ROUND(MIN(K2323,TOPE_AFP_UF*AJ2323)*(MUTUAL_BASICA+MUTUAL_ADIC+SANNA),0))</f>
        <v/>
      </c>
      <c r="AE2323" s="71" t="str">
        <f aca="false">IF(AH2323="","",P2323-N(N2323)+AB2323+AC2323+AD2323)</f>
        <v/>
      </c>
      <c r="AF2323" s="65"/>
      <c r="AG2323" s="64"/>
      <c r="AH2323" s="72" t="str">
        <f aca="false">IF(OR(B2323="",C2323=""),"",C2323&amp;"|"&amp;(YEAR(B2323)*100+MONTH(B2323)))</f>
        <v/>
      </c>
      <c r="AI2323" s="70" t="str">
        <f aca="false">IF(AH2323="","",IF(COUNTIF(L_CLAVE,AH2323)&gt;1,"⚠ Duplicado","OK"))</f>
        <v/>
      </c>
      <c r="AJ2323" s="86" t="str">
        <f aca="false">IF(AH2323="","",IF(SUMPRODUCT(MAX((IND_PER&lt;=B2323)*(IND_UF&lt;&gt;"")*IND_PER))=0,UF_HOY,INDEX(IND_UF,MATCH(SUMPRODUCT(MAX((IND_PER&lt;=B2323)*(IND_UF&lt;&gt;"")*IND_PER)),IND_PER,0))))</f>
        <v/>
      </c>
      <c r="AK2323" s="87" t="str">
        <f aca="false">IF(AH2323="","",IF(COUNTIF(TASA_DESDE,"&lt;="&amp;B2323)=0,INDEX(TASA_EMP,1),INDEX(TASA_EMP,COUNTIF(TASA_DESDE,"&lt;="&amp;B2323))))</f>
        <v/>
      </c>
    </row>
    <row r="2324" customFormat="false" ht="15" hidden="false" customHeight="false" outlineLevel="0" collapsed="false">
      <c r="B2324" s="78"/>
      <c r="C2324" s="64"/>
      <c r="D2324" s="72" t="str">
        <f aca="false">IF(C2324="","",IFERROR(INDEX(T_NOMBRE,MATCH(C2324,T_ID,0)),"⚠ ID no existe"))</f>
        <v/>
      </c>
      <c r="E2324" s="69"/>
      <c r="F2324" s="67"/>
      <c r="G2324" s="67"/>
      <c r="H2324" s="67"/>
      <c r="I2324" s="67"/>
      <c r="J2324" s="67"/>
      <c r="K2324" s="85" t="str">
        <f aca="false">IF(AH2324="","",N(F2324)+N(G2324)+N(H2324)-N(I2324)+N(J2324))</f>
        <v/>
      </c>
      <c r="L2324" s="67"/>
      <c r="M2324" s="67"/>
      <c r="N2324" s="67"/>
      <c r="O2324" s="67"/>
      <c r="P2324" s="85" t="str">
        <f aca="false">IF(AH2324="","",K2324+N(L2324)+N(M2324)+N(N2324)+N(O2324))</f>
        <v/>
      </c>
      <c r="Q2324" s="67"/>
      <c r="R2324" s="67"/>
      <c r="S2324" s="67"/>
      <c r="T2324" s="67"/>
      <c r="U2324" s="67"/>
      <c r="V2324" s="67"/>
      <c r="W2324" s="85" t="str">
        <f aca="false">IF(AH2324="","",N(Q2324)+N(R2324)+N(S2324)+N(T2324)+N(U2324)+N(V2324))</f>
        <v/>
      </c>
      <c r="X2324" s="85" t="str">
        <f aca="false">IF(AH2324="","",P2324-W2324)</f>
        <v/>
      </c>
      <c r="Y2324" s="67"/>
      <c r="Z2324" s="70" t="str">
        <f aca="false">IF(OR(AH2324="",Y2324=""),"",IF(ABS(X2324-Y2324)&lt;=1,"✓ Cuadra","⚠ Diferencia $"&amp;FIXED(X2324-Y2324,0)))</f>
        <v/>
      </c>
      <c r="AA2324" s="72" t="str">
        <f aca="false">IF(AH2324="","",IFERROR(INDEX(C_TIPO,MATCH(C2324&amp;"-P"&amp;MAX(1,COUNTIFS(C_ID,C2324,C_DEFINE,"Sí",C_INICIO,"&lt;="&amp;EOMONTH(B2324,0))),C_CLAVE,0))&amp;"","Sin dato"))</f>
        <v/>
      </c>
      <c r="AB2324" s="71" t="str">
        <f aca="false">IF(AH2324="","",ROUND(MIN(K2324,TOPE_AFP_UF*AJ2324)*AK2324,0))</f>
        <v/>
      </c>
      <c r="AC2324" s="71" t="str">
        <f aca="false">IF(AH2324="","",ROUND(MIN(K2324,TOPE_AFC_UF*AJ2324)*IF(AA2324="Indefinido",AFC_EMP_INDEF,AFC_EMP_PF),0))</f>
        <v/>
      </c>
      <c r="AD2324" s="71" t="str">
        <f aca="false">IF(AH2324="","",ROUND(MIN(K2324,TOPE_AFP_UF*AJ2324)*(MUTUAL_BASICA+MUTUAL_ADIC+SANNA),0))</f>
        <v/>
      </c>
      <c r="AE2324" s="71" t="str">
        <f aca="false">IF(AH2324="","",P2324-N(N2324)+AB2324+AC2324+AD2324)</f>
        <v/>
      </c>
      <c r="AF2324" s="65"/>
      <c r="AG2324" s="64"/>
      <c r="AH2324" s="72" t="str">
        <f aca="false">IF(OR(B2324="",C2324=""),"",C2324&amp;"|"&amp;(YEAR(B2324)*100+MONTH(B2324)))</f>
        <v/>
      </c>
      <c r="AI2324" s="70" t="str">
        <f aca="false">IF(AH2324="","",IF(COUNTIF(L_CLAVE,AH2324)&gt;1,"⚠ Duplicado","OK"))</f>
        <v/>
      </c>
      <c r="AJ2324" s="86" t="str">
        <f aca="false">IF(AH2324="","",IF(SUMPRODUCT(MAX((IND_PER&lt;=B2324)*(IND_UF&lt;&gt;"")*IND_PER))=0,UF_HOY,INDEX(IND_UF,MATCH(SUMPRODUCT(MAX((IND_PER&lt;=B2324)*(IND_UF&lt;&gt;"")*IND_PER)),IND_PER,0))))</f>
        <v/>
      </c>
      <c r="AK2324" s="87" t="str">
        <f aca="false">IF(AH2324="","",IF(COUNTIF(TASA_DESDE,"&lt;="&amp;B2324)=0,INDEX(TASA_EMP,1),INDEX(TASA_EMP,COUNTIF(TASA_DESDE,"&lt;="&amp;B2324))))</f>
        <v/>
      </c>
    </row>
    <row r="2325" customFormat="false" ht="15" hidden="false" customHeight="false" outlineLevel="0" collapsed="false">
      <c r="B2325" s="78"/>
      <c r="C2325" s="64"/>
      <c r="D2325" s="72" t="str">
        <f aca="false">IF(C2325="","",IFERROR(INDEX(T_NOMBRE,MATCH(C2325,T_ID,0)),"⚠ ID no existe"))</f>
        <v/>
      </c>
      <c r="E2325" s="69"/>
      <c r="F2325" s="67"/>
      <c r="G2325" s="67"/>
      <c r="H2325" s="67"/>
      <c r="I2325" s="67"/>
      <c r="J2325" s="67"/>
      <c r="K2325" s="85" t="str">
        <f aca="false">IF(AH2325="","",N(F2325)+N(G2325)+N(H2325)-N(I2325)+N(J2325))</f>
        <v/>
      </c>
      <c r="L2325" s="67"/>
      <c r="M2325" s="67"/>
      <c r="N2325" s="67"/>
      <c r="O2325" s="67"/>
      <c r="P2325" s="85" t="str">
        <f aca="false">IF(AH2325="","",K2325+N(L2325)+N(M2325)+N(N2325)+N(O2325))</f>
        <v/>
      </c>
      <c r="Q2325" s="67"/>
      <c r="R2325" s="67"/>
      <c r="S2325" s="67"/>
      <c r="T2325" s="67"/>
      <c r="U2325" s="67"/>
      <c r="V2325" s="67"/>
      <c r="W2325" s="85" t="str">
        <f aca="false">IF(AH2325="","",N(Q2325)+N(R2325)+N(S2325)+N(T2325)+N(U2325)+N(V2325))</f>
        <v/>
      </c>
      <c r="X2325" s="85" t="str">
        <f aca="false">IF(AH2325="","",P2325-W2325)</f>
        <v/>
      </c>
      <c r="Y2325" s="67"/>
      <c r="Z2325" s="70" t="str">
        <f aca="false">IF(OR(AH2325="",Y2325=""),"",IF(ABS(X2325-Y2325)&lt;=1,"✓ Cuadra","⚠ Diferencia $"&amp;FIXED(X2325-Y2325,0)))</f>
        <v/>
      </c>
      <c r="AA2325" s="72" t="str">
        <f aca="false">IF(AH2325="","",IFERROR(INDEX(C_TIPO,MATCH(C2325&amp;"-P"&amp;MAX(1,COUNTIFS(C_ID,C2325,C_DEFINE,"Sí",C_INICIO,"&lt;="&amp;EOMONTH(B2325,0))),C_CLAVE,0))&amp;"","Sin dato"))</f>
        <v/>
      </c>
      <c r="AB2325" s="71" t="str">
        <f aca="false">IF(AH2325="","",ROUND(MIN(K2325,TOPE_AFP_UF*AJ2325)*AK2325,0))</f>
        <v/>
      </c>
      <c r="AC2325" s="71" t="str">
        <f aca="false">IF(AH2325="","",ROUND(MIN(K2325,TOPE_AFC_UF*AJ2325)*IF(AA2325="Indefinido",AFC_EMP_INDEF,AFC_EMP_PF),0))</f>
        <v/>
      </c>
      <c r="AD2325" s="71" t="str">
        <f aca="false">IF(AH2325="","",ROUND(MIN(K2325,TOPE_AFP_UF*AJ2325)*(MUTUAL_BASICA+MUTUAL_ADIC+SANNA),0))</f>
        <v/>
      </c>
      <c r="AE2325" s="71" t="str">
        <f aca="false">IF(AH2325="","",P2325-N(N2325)+AB2325+AC2325+AD2325)</f>
        <v/>
      </c>
      <c r="AF2325" s="65"/>
      <c r="AG2325" s="64"/>
      <c r="AH2325" s="72" t="str">
        <f aca="false">IF(OR(B2325="",C2325=""),"",C2325&amp;"|"&amp;(YEAR(B2325)*100+MONTH(B2325)))</f>
        <v/>
      </c>
      <c r="AI2325" s="70" t="str">
        <f aca="false">IF(AH2325="","",IF(COUNTIF(L_CLAVE,AH2325)&gt;1,"⚠ Duplicado","OK"))</f>
        <v/>
      </c>
      <c r="AJ2325" s="86" t="str">
        <f aca="false">IF(AH2325="","",IF(SUMPRODUCT(MAX((IND_PER&lt;=B2325)*(IND_UF&lt;&gt;"")*IND_PER))=0,UF_HOY,INDEX(IND_UF,MATCH(SUMPRODUCT(MAX((IND_PER&lt;=B2325)*(IND_UF&lt;&gt;"")*IND_PER)),IND_PER,0))))</f>
        <v/>
      </c>
      <c r="AK2325" s="87" t="str">
        <f aca="false">IF(AH2325="","",IF(COUNTIF(TASA_DESDE,"&lt;="&amp;B2325)=0,INDEX(TASA_EMP,1),INDEX(TASA_EMP,COUNTIF(TASA_DESDE,"&lt;="&amp;B2325))))</f>
        <v/>
      </c>
    </row>
    <row r="2326" customFormat="false" ht="15" hidden="false" customHeight="false" outlineLevel="0" collapsed="false">
      <c r="B2326" s="78"/>
      <c r="C2326" s="64"/>
      <c r="D2326" s="72" t="str">
        <f aca="false">IF(C2326="","",IFERROR(INDEX(T_NOMBRE,MATCH(C2326,T_ID,0)),"⚠ ID no existe"))</f>
        <v/>
      </c>
      <c r="E2326" s="69"/>
      <c r="F2326" s="67"/>
      <c r="G2326" s="67"/>
      <c r="H2326" s="67"/>
      <c r="I2326" s="67"/>
      <c r="J2326" s="67"/>
      <c r="K2326" s="85" t="str">
        <f aca="false">IF(AH2326="","",N(F2326)+N(G2326)+N(H2326)-N(I2326)+N(J2326))</f>
        <v/>
      </c>
      <c r="L2326" s="67"/>
      <c r="M2326" s="67"/>
      <c r="N2326" s="67"/>
      <c r="O2326" s="67"/>
      <c r="P2326" s="85" t="str">
        <f aca="false">IF(AH2326="","",K2326+N(L2326)+N(M2326)+N(N2326)+N(O2326))</f>
        <v/>
      </c>
      <c r="Q2326" s="67"/>
      <c r="R2326" s="67"/>
      <c r="S2326" s="67"/>
      <c r="T2326" s="67"/>
      <c r="U2326" s="67"/>
      <c r="V2326" s="67"/>
      <c r="W2326" s="85" t="str">
        <f aca="false">IF(AH2326="","",N(Q2326)+N(R2326)+N(S2326)+N(T2326)+N(U2326)+N(V2326))</f>
        <v/>
      </c>
      <c r="X2326" s="85" t="str">
        <f aca="false">IF(AH2326="","",P2326-W2326)</f>
        <v/>
      </c>
      <c r="Y2326" s="67"/>
      <c r="Z2326" s="70" t="str">
        <f aca="false">IF(OR(AH2326="",Y2326=""),"",IF(ABS(X2326-Y2326)&lt;=1,"✓ Cuadra","⚠ Diferencia $"&amp;FIXED(X2326-Y2326,0)))</f>
        <v/>
      </c>
      <c r="AA2326" s="72" t="str">
        <f aca="false">IF(AH2326="","",IFERROR(INDEX(C_TIPO,MATCH(C2326&amp;"-P"&amp;MAX(1,COUNTIFS(C_ID,C2326,C_DEFINE,"Sí",C_INICIO,"&lt;="&amp;EOMONTH(B2326,0))),C_CLAVE,0))&amp;"","Sin dato"))</f>
        <v/>
      </c>
      <c r="AB2326" s="71" t="str">
        <f aca="false">IF(AH2326="","",ROUND(MIN(K2326,TOPE_AFP_UF*AJ2326)*AK2326,0))</f>
        <v/>
      </c>
      <c r="AC2326" s="71" t="str">
        <f aca="false">IF(AH2326="","",ROUND(MIN(K2326,TOPE_AFC_UF*AJ2326)*IF(AA2326="Indefinido",AFC_EMP_INDEF,AFC_EMP_PF),0))</f>
        <v/>
      </c>
      <c r="AD2326" s="71" t="str">
        <f aca="false">IF(AH2326="","",ROUND(MIN(K2326,TOPE_AFP_UF*AJ2326)*(MUTUAL_BASICA+MUTUAL_ADIC+SANNA),0))</f>
        <v/>
      </c>
      <c r="AE2326" s="71" t="str">
        <f aca="false">IF(AH2326="","",P2326-N(N2326)+AB2326+AC2326+AD2326)</f>
        <v/>
      </c>
      <c r="AF2326" s="65"/>
      <c r="AG2326" s="64"/>
      <c r="AH2326" s="72" t="str">
        <f aca="false">IF(OR(B2326="",C2326=""),"",C2326&amp;"|"&amp;(YEAR(B2326)*100+MONTH(B2326)))</f>
        <v/>
      </c>
      <c r="AI2326" s="70" t="str">
        <f aca="false">IF(AH2326="","",IF(COUNTIF(L_CLAVE,AH2326)&gt;1,"⚠ Duplicado","OK"))</f>
        <v/>
      </c>
      <c r="AJ2326" s="86" t="str">
        <f aca="false">IF(AH2326="","",IF(SUMPRODUCT(MAX((IND_PER&lt;=B2326)*(IND_UF&lt;&gt;"")*IND_PER))=0,UF_HOY,INDEX(IND_UF,MATCH(SUMPRODUCT(MAX((IND_PER&lt;=B2326)*(IND_UF&lt;&gt;"")*IND_PER)),IND_PER,0))))</f>
        <v/>
      </c>
      <c r="AK2326" s="87" t="str">
        <f aca="false">IF(AH2326="","",IF(COUNTIF(TASA_DESDE,"&lt;="&amp;B2326)=0,INDEX(TASA_EMP,1),INDEX(TASA_EMP,COUNTIF(TASA_DESDE,"&lt;="&amp;B2326))))</f>
        <v/>
      </c>
    </row>
    <row r="2327" customFormat="false" ht="15" hidden="false" customHeight="false" outlineLevel="0" collapsed="false">
      <c r="B2327" s="78"/>
      <c r="C2327" s="64"/>
      <c r="D2327" s="72" t="str">
        <f aca="false">IF(C2327="","",IFERROR(INDEX(T_NOMBRE,MATCH(C2327,T_ID,0)),"⚠ ID no existe"))</f>
        <v/>
      </c>
      <c r="E2327" s="69"/>
      <c r="F2327" s="67"/>
      <c r="G2327" s="67"/>
      <c r="H2327" s="67"/>
      <c r="I2327" s="67"/>
      <c r="J2327" s="67"/>
      <c r="K2327" s="85" t="str">
        <f aca="false">IF(AH2327="","",N(F2327)+N(G2327)+N(H2327)-N(I2327)+N(J2327))</f>
        <v/>
      </c>
      <c r="L2327" s="67"/>
      <c r="M2327" s="67"/>
      <c r="N2327" s="67"/>
      <c r="O2327" s="67"/>
      <c r="P2327" s="85" t="str">
        <f aca="false">IF(AH2327="","",K2327+N(L2327)+N(M2327)+N(N2327)+N(O2327))</f>
        <v/>
      </c>
      <c r="Q2327" s="67"/>
      <c r="R2327" s="67"/>
      <c r="S2327" s="67"/>
      <c r="T2327" s="67"/>
      <c r="U2327" s="67"/>
      <c r="V2327" s="67"/>
      <c r="W2327" s="85" t="str">
        <f aca="false">IF(AH2327="","",N(Q2327)+N(R2327)+N(S2327)+N(T2327)+N(U2327)+N(V2327))</f>
        <v/>
      </c>
      <c r="X2327" s="85" t="str">
        <f aca="false">IF(AH2327="","",P2327-W2327)</f>
        <v/>
      </c>
      <c r="Y2327" s="67"/>
      <c r="Z2327" s="70" t="str">
        <f aca="false">IF(OR(AH2327="",Y2327=""),"",IF(ABS(X2327-Y2327)&lt;=1,"✓ Cuadra","⚠ Diferencia $"&amp;FIXED(X2327-Y2327,0)))</f>
        <v/>
      </c>
      <c r="AA2327" s="72" t="str">
        <f aca="false">IF(AH2327="","",IFERROR(INDEX(C_TIPO,MATCH(C2327&amp;"-P"&amp;MAX(1,COUNTIFS(C_ID,C2327,C_DEFINE,"Sí",C_INICIO,"&lt;="&amp;EOMONTH(B2327,0))),C_CLAVE,0))&amp;"","Sin dato"))</f>
        <v/>
      </c>
      <c r="AB2327" s="71" t="str">
        <f aca="false">IF(AH2327="","",ROUND(MIN(K2327,TOPE_AFP_UF*AJ2327)*AK2327,0))</f>
        <v/>
      </c>
      <c r="AC2327" s="71" t="str">
        <f aca="false">IF(AH2327="","",ROUND(MIN(K2327,TOPE_AFC_UF*AJ2327)*IF(AA2327="Indefinido",AFC_EMP_INDEF,AFC_EMP_PF),0))</f>
        <v/>
      </c>
      <c r="AD2327" s="71" t="str">
        <f aca="false">IF(AH2327="","",ROUND(MIN(K2327,TOPE_AFP_UF*AJ2327)*(MUTUAL_BASICA+MUTUAL_ADIC+SANNA),0))</f>
        <v/>
      </c>
      <c r="AE2327" s="71" t="str">
        <f aca="false">IF(AH2327="","",P2327-N(N2327)+AB2327+AC2327+AD2327)</f>
        <v/>
      </c>
      <c r="AF2327" s="65"/>
      <c r="AG2327" s="64"/>
      <c r="AH2327" s="72" t="str">
        <f aca="false">IF(OR(B2327="",C2327=""),"",C2327&amp;"|"&amp;(YEAR(B2327)*100+MONTH(B2327)))</f>
        <v/>
      </c>
      <c r="AI2327" s="70" t="str">
        <f aca="false">IF(AH2327="","",IF(COUNTIF(L_CLAVE,AH2327)&gt;1,"⚠ Duplicado","OK"))</f>
        <v/>
      </c>
      <c r="AJ2327" s="86" t="str">
        <f aca="false">IF(AH2327="","",IF(SUMPRODUCT(MAX((IND_PER&lt;=B2327)*(IND_UF&lt;&gt;"")*IND_PER))=0,UF_HOY,INDEX(IND_UF,MATCH(SUMPRODUCT(MAX((IND_PER&lt;=B2327)*(IND_UF&lt;&gt;"")*IND_PER)),IND_PER,0))))</f>
        <v/>
      </c>
      <c r="AK2327" s="87" t="str">
        <f aca="false">IF(AH2327="","",IF(COUNTIF(TASA_DESDE,"&lt;="&amp;B2327)=0,INDEX(TASA_EMP,1),INDEX(TASA_EMP,COUNTIF(TASA_DESDE,"&lt;="&amp;B2327))))</f>
        <v/>
      </c>
    </row>
    <row r="2328" customFormat="false" ht="15" hidden="false" customHeight="false" outlineLevel="0" collapsed="false">
      <c r="B2328" s="78"/>
      <c r="C2328" s="64"/>
      <c r="D2328" s="72" t="str">
        <f aca="false">IF(C2328="","",IFERROR(INDEX(T_NOMBRE,MATCH(C2328,T_ID,0)),"⚠ ID no existe"))</f>
        <v/>
      </c>
      <c r="E2328" s="69"/>
      <c r="F2328" s="67"/>
      <c r="G2328" s="67"/>
      <c r="H2328" s="67"/>
      <c r="I2328" s="67"/>
      <c r="J2328" s="67"/>
      <c r="K2328" s="85" t="str">
        <f aca="false">IF(AH2328="","",N(F2328)+N(G2328)+N(H2328)-N(I2328)+N(J2328))</f>
        <v/>
      </c>
      <c r="L2328" s="67"/>
      <c r="M2328" s="67"/>
      <c r="N2328" s="67"/>
      <c r="O2328" s="67"/>
      <c r="P2328" s="85" t="str">
        <f aca="false">IF(AH2328="","",K2328+N(L2328)+N(M2328)+N(N2328)+N(O2328))</f>
        <v/>
      </c>
      <c r="Q2328" s="67"/>
      <c r="R2328" s="67"/>
      <c r="S2328" s="67"/>
      <c r="T2328" s="67"/>
      <c r="U2328" s="67"/>
      <c r="V2328" s="67"/>
      <c r="W2328" s="85" t="str">
        <f aca="false">IF(AH2328="","",N(Q2328)+N(R2328)+N(S2328)+N(T2328)+N(U2328)+N(V2328))</f>
        <v/>
      </c>
      <c r="X2328" s="85" t="str">
        <f aca="false">IF(AH2328="","",P2328-W2328)</f>
        <v/>
      </c>
      <c r="Y2328" s="67"/>
      <c r="Z2328" s="70" t="str">
        <f aca="false">IF(OR(AH2328="",Y2328=""),"",IF(ABS(X2328-Y2328)&lt;=1,"✓ Cuadra","⚠ Diferencia $"&amp;FIXED(X2328-Y2328,0)))</f>
        <v/>
      </c>
      <c r="AA2328" s="72" t="str">
        <f aca="false">IF(AH2328="","",IFERROR(INDEX(C_TIPO,MATCH(C2328&amp;"-P"&amp;MAX(1,COUNTIFS(C_ID,C2328,C_DEFINE,"Sí",C_INICIO,"&lt;="&amp;EOMONTH(B2328,0))),C_CLAVE,0))&amp;"","Sin dato"))</f>
        <v/>
      </c>
      <c r="AB2328" s="71" t="str">
        <f aca="false">IF(AH2328="","",ROUND(MIN(K2328,TOPE_AFP_UF*AJ2328)*AK2328,0))</f>
        <v/>
      </c>
      <c r="AC2328" s="71" t="str">
        <f aca="false">IF(AH2328="","",ROUND(MIN(K2328,TOPE_AFC_UF*AJ2328)*IF(AA2328="Indefinido",AFC_EMP_INDEF,AFC_EMP_PF),0))</f>
        <v/>
      </c>
      <c r="AD2328" s="71" t="str">
        <f aca="false">IF(AH2328="","",ROUND(MIN(K2328,TOPE_AFP_UF*AJ2328)*(MUTUAL_BASICA+MUTUAL_ADIC+SANNA),0))</f>
        <v/>
      </c>
      <c r="AE2328" s="71" t="str">
        <f aca="false">IF(AH2328="","",P2328-N(N2328)+AB2328+AC2328+AD2328)</f>
        <v/>
      </c>
      <c r="AF2328" s="65"/>
      <c r="AG2328" s="64"/>
      <c r="AH2328" s="72" t="str">
        <f aca="false">IF(OR(B2328="",C2328=""),"",C2328&amp;"|"&amp;(YEAR(B2328)*100+MONTH(B2328)))</f>
        <v/>
      </c>
      <c r="AI2328" s="70" t="str">
        <f aca="false">IF(AH2328="","",IF(COUNTIF(L_CLAVE,AH2328)&gt;1,"⚠ Duplicado","OK"))</f>
        <v/>
      </c>
      <c r="AJ2328" s="86" t="str">
        <f aca="false">IF(AH2328="","",IF(SUMPRODUCT(MAX((IND_PER&lt;=B2328)*(IND_UF&lt;&gt;"")*IND_PER))=0,UF_HOY,INDEX(IND_UF,MATCH(SUMPRODUCT(MAX((IND_PER&lt;=B2328)*(IND_UF&lt;&gt;"")*IND_PER)),IND_PER,0))))</f>
        <v/>
      </c>
      <c r="AK2328" s="87" t="str">
        <f aca="false">IF(AH2328="","",IF(COUNTIF(TASA_DESDE,"&lt;="&amp;B2328)=0,INDEX(TASA_EMP,1),INDEX(TASA_EMP,COUNTIF(TASA_DESDE,"&lt;="&amp;B2328))))</f>
        <v/>
      </c>
    </row>
    <row r="2329" customFormat="false" ht="15" hidden="false" customHeight="false" outlineLevel="0" collapsed="false">
      <c r="B2329" s="78"/>
      <c r="C2329" s="64"/>
      <c r="D2329" s="72" t="str">
        <f aca="false">IF(C2329="","",IFERROR(INDEX(T_NOMBRE,MATCH(C2329,T_ID,0)),"⚠ ID no existe"))</f>
        <v/>
      </c>
      <c r="E2329" s="69"/>
      <c r="F2329" s="67"/>
      <c r="G2329" s="67"/>
      <c r="H2329" s="67"/>
      <c r="I2329" s="67"/>
      <c r="J2329" s="67"/>
      <c r="K2329" s="85" t="str">
        <f aca="false">IF(AH2329="","",N(F2329)+N(G2329)+N(H2329)-N(I2329)+N(J2329))</f>
        <v/>
      </c>
      <c r="L2329" s="67"/>
      <c r="M2329" s="67"/>
      <c r="N2329" s="67"/>
      <c r="O2329" s="67"/>
      <c r="P2329" s="85" t="str">
        <f aca="false">IF(AH2329="","",K2329+N(L2329)+N(M2329)+N(N2329)+N(O2329))</f>
        <v/>
      </c>
      <c r="Q2329" s="67"/>
      <c r="R2329" s="67"/>
      <c r="S2329" s="67"/>
      <c r="T2329" s="67"/>
      <c r="U2329" s="67"/>
      <c r="V2329" s="67"/>
      <c r="W2329" s="85" t="str">
        <f aca="false">IF(AH2329="","",N(Q2329)+N(R2329)+N(S2329)+N(T2329)+N(U2329)+N(V2329))</f>
        <v/>
      </c>
      <c r="X2329" s="85" t="str">
        <f aca="false">IF(AH2329="","",P2329-W2329)</f>
        <v/>
      </c>
      <c r="Y2329" s="67"/>
      <c r="Z2329" s="70" t="str">
        <f aca="false">IF(OR(AH2329="",Y2329=""),"",IF(ABS(X2329-Y2329)&lt;=1,"✓ Cuadra","⚠ Diferencia $"&amp;FIXED(X2329-Y2329,0)))</f>
        <v/>
      </c>
      <c r="AA2329" s="72" t="str">
        <f aca="false">IF(AH2329="","",IFERROR(INDEX(C_TIPO,MATCH(C2329&amp;"-P"&amp;MAX(1,COUNTIFS(C_ID,C2329,C_DEFINE,"Sí",C_INICIO,"&lt;="&amp;EOMONTH(B2329,0))),C_CLAVE,0))&amp;"","Sin dato"))</f>
        <v/>
      </c>
      <c r="AB2329" s="71" t="str">
        <f aca="false">IF(AH2329="","",ROUND(MIN(K2329,TOPE_AFP_UF*AJ2329)*AK2329,0))</f>
        <v/>
      </c>
      <c r="AC2329" s="71" t="str">
        <f aca="false">IF(AH2329="","",ROUND(MIN(K2329,TOPE_AFC_UF*AJ2329)*IF(AA2329="Indefinido",AFC_EMP_INDEF,AFC_EMP_PF),0))</f>
        <v/>
      </c>
      <c r="AD2329" s="71" t="str">
        <f aca="false">IF(AH2329="","",ROUND(MIN(K2329,TOPE_AFP_UF*AJ2329)*(MUTUAL_BASICA+MUTUAL_ADIC+SANNA),0))</f>
        <v/>
      </c>
      <c r="AE2329" s="71" t="str">
        <f aca="false">IF(AH2329="","",P2329-N(N2329)+AB2329+AC2329+AD2329)</f>
        <v/>
      </c>
      <c r="AF2329" s="65"/>
      <c r="AG2329" s="64"/>
      <c r="AH2329" s="72" t="str">
        <f aca="false">IF(OR(B2329="",C2329=""),"",C2329&amp;"|"&amp;(YEAR(B2329)*100+MONTH(B2329)))</f>
        <v/>
      </c>
      <c r="AI2329" s="70" t="str">
        <f aca="false">IF(AH2329="","",IF(COUNTIF(L_CLAVE,AH2329)&gt;1,"⚠ Duplicado","OK"))</f>
        <v/>
      </c>
      <c r="AJ2329" s="86" t="str">
        <f aca="false">IF(AH2329="","",IF(SUMPRODUCT(MAX((IND_PER&lt;=B2329)*(IND_UF&lt;&gt;"")*IND_PER))=0,UF_HOY,INDEX(IND_UF,MATCH(SUMPRODUCT(MAX((IND_PER&lt;=B2329)*(IND_UF&lt;&gt;"")*IND_PER)),IND_PER,0))))</f>
        <v/>
      </c>
      <c r="AK2329" s="87" t="str">
        <f aca="false">IF(AH2329="","",IF(COUNTIF(TASA_DESDE,"&lt;="&amp;B2329)=0,INDEX(TASA_EMP,1),INDEX(TASA_EMP,COUNTIF(TASA_DESDE,"&lt;="&amp;B2329))))</f>
        <v/>
      </c>
    </row>
    <row r="2330" customFormat="false" ht="15" hidden="false" customHeight="false" outlineLevel="0" collapsed="false">
      <c r="B2330" s="78"/>
      <c r="C2330" s="64"/>
      <c r="D2330" s="72" t="str">
        <f aca="false">IF(C2330="","",IFERROR(INDEX(T_NOMBRE,MATCH(C2330,T_ID,0)),"⚠ ID no existe"))</f>
        <v/>
      </c>
      <c r="E2330" s="69"/>
      <c r="F2330" s="67"/>
      <c r="G2330" s="67"/>
      <c r="H2330" s="67"/>
      <c r="I2330" s="67"/>
      <c r="J2330" s="67"/>
      <c r="K2330" s="85" t="str">
        <f aca="false">IF(AH2330="","",N(F2330)+N(G2330)+N(H2330)-N(I2330)+N(J2330))</f>
        <v/>
      </c>
      <c r="L2330" s="67"/>
      <c r="M2330" s="67"/>
      <c r="N2330" s="67"/>
      <c r="O2330" s="67"/>
      <c r="P2330" s="85" t="str">
        <f aca="false">IF(AH2330="","",K2330+N(L2330)+N(M2330)+N(N2330)+N(O2330))</f>
        <v/>
      </c>
      <c r="Q2330" s="67"/>
      <c r="R2330" s="67"/>
      <c r="S2330" s="67"/>
      <c r="T2330" s="67"/>
      <c r="U2330" s="67"/>
      <c r="V2330" s="67"/>
      <c r="W2330" s="85" t="str">
        <f aca="false">IF(AH2330="","",N(Q2330)+N(R2330)+N(S2330)+N(T2330)+N(U2330)+N(V2330))</f>
        <v/>
      </c>
      <c r="X2330" s="85" t="str">
        <f aca="false">IF(AH2330="","",P2330-W2330)</f>
        <v/>
      </c>
      <c r="Y2330" s="67"/>
      <c r="Z2330" s="70" t="str">
        <f aca="false">IF(OR(AH2330="",Y2330=""),"",IF(ABS(X2330-Y2330)&lt;=1,"✓ Cuadra","⚠ Diferencia $"&amp;FIXED(X2330-Y2330,0)))</f>
        <v/>
      </c>
      <c r="AA2330" s="72" t="str">
        <f aca="false">IF(AH2330="","",IFERROR(INDEX(C_TIPO,MATCH(C2330&amp;"-P"&amp;MAX(1,COUNTIFS(C_ID,C2330,C_DEFINE,"Sí",C_INICIO,"&lt;="&amp;EOMONTH(B2330,0))),C_CLAVE,0))&amp;"","Sin dato"))</f>
        <v/>
      </c>
      <c r="AB2330" s="71" t="str">
        <f aca="false">IF(AH2330="","",ROUND(MIN(K2330,TOPE_AFP_UF*AJ2330)*AK2330,0))</f>
        <v/>
      </c>
      <c r="AC2330" s="71" t="str">
        <f aca="false">IF(AH2330="","",ROUND(MIN(K2330,TOPE_AFC_UF*AJ2330)*IF(AA2330="Indefinido",AFC_EMP_INDEF,AFC_EMP_PF),0))</f>
        <v/>
      </c>
      <c r="AD2330" s="71" t="str">
        <f aca="false">IF(AH2330="","",ROUND(MIN(K2330,TOPE_AFP_UF*AJ2330)*(MUTUAL_BASICA+MUTUAL_ADIC+SANNA),0))</f>
        <v/>
      </c>
      <c r="AE2330" s="71" t="str">
        <f aca="false">IF(AH2330="","",P2330-N(N2330)+AB2330+AC2330+AD2330)</f>
        <v/>
      </c>
      <c r="AF2330" s="65"/>
      <c r="AG2330" s="64"/>
      <c r="AH2330" s="72" t="str">
        <f aca="false">IF(OR(B2330="",C2330=""),"",C2330&amp;"|"&amp;(YEAR(B2330)*100+MONTH(B2330)))</f>
        <v/>
      </c>
      <c r="AI2330" s="70" t="str">
        <f aca="false">IF(AH2330="","",IF(COUNTIF(L_CLAVE,AH2330)&gt;1,"⚠ Duplicado","OK"))</f>
        <v/>
      </c>
      <c r="AJ2330" s="86" t="str">
        <f aca="false">IF(AH2330="","",IF(SUMPRODUCT(MAX((IND_PER&lt;=B2330)*(IND_UF&lt;&gt;"")*IND_PER))=0,UF_HOY,INDEX(IND_UF,MATCH(SUMPRODUCT(MAX((IND_PER&lt;=B2330)*(IND_UF&lt;&gt;"")*IND_PER)),IND_PER,0))))</f>
        <v/>
      </c>
      <c r="AK2330" s="87" t="str">
        <f aca="false">IF(AH2330="","",IF(COUNTIF(TASA_DESDE,"&lt;="&amp;B2330)=0,INDEX(TASA_EMP,1),INDEX(TASA_EMP,COUNTIF(TASA_DESDE,"&lt;="&amp;B2330))))</f>
        <v/>
      </c>
    </row>
    <row r="2331" customFormat="false" ht="15" hidden="false" customHeight="false" outlineLevel="0" collapsed="false">
      <c r="B2331" s="78"/>
      <c r="C2331" s="64"/>
      <c r="D2331" s="72" t="str">
        <f aca="false">IF(C2331="","",IFERROR(INDEX(T_NOMBRE,MATCH(C2331,T_ID,0)),"⚠ ID no existe"))</f>
        <v/>
      </c>
      <c r="E2331" s="69"/>
      <c r="F2331" s="67"/>
      <c r="G2331" s="67"/>
      <c r="H2331" s="67"/>
      <c r="I2331" s="67"/>
      <c r="J2331" s="67"/>
      <c r="K2331" s="85" t="str">
        <f aca="false">IF(AH2331="","",N(F2331)+N(G2331)+N(H2331)-N(I2331)+N(J2331))</f>
        <v/>
      </c>
      <c r="L2331" s="67"/>
      <c r="M2331" s="67"/>
      <c r="N2331" s="67"/>
      <c r="O2331" s="67"/>
      <c r="P2331" s="85" t="str">
        <f aca="false">IF(AH2331="","",K2331+N(L2331)+N(M2331)+N(N2331)+N(O2331))</f>
        <v/>
      </c>
      <c r="Q2331" s="67"/>
      <c r="R2331" s="67"/>
      <c r="S2331" s="67"/>
      <c r="T2331" s="67"/>
      <c r="U2331" s="67"/>
      <c r="V2331" s="67"/>
      <c r="W2331" s="85" t="str">
        <f aca="false">IF(AH2331="","",N(Q2331)+N(R2331)+N(S2331)+N(T2331)+N(U2331)+N(V2331))</f>
        <v/>
      </c>
      <c r="X2331" s="85" t="str">
        <f aca="false">IF(AH2331="","",P2331-W2331)</f>
        <v/>
      </c>
      <c r="Y2331" s="67"/>
      <c r="Z2331" s="70" t="str">
        <f aca="false">IF(OR(AH2331="",Y2331=""),"",IF(ABS(X2331-Y2331)&lt;=1,"✓ Cuadra","⚠ Diferencia $"&amp;FIXED(X2331-Y2331,0)))</f>
        <v/>
      </c>
      <c r="AA2331" s="72" t="str">
        <f aca="false">IF(AH2331="","",IFERROR(INDEX(C_TIPO,MATCH(C2331&amp;"-P"&amp;MAX(1,COUNTIFS(C_ID,C2331,C_DEFINE,"Sí",C_INICIO,"&lt;="&amp;EOMONTH(B2331,0))),C_CLAVE,0))&amp;"","Sin dato"))</f>
        <v/>
      </c>
      <c r="AB2331" s="71" t="str">
        <f aca="false">IF(AH2331="","",ROUND(MIN(K2331,TOPE_AFP_UF*AJ2331)*AK2331,0))</f>
        <v/>
      </c>
      <c r="AC2331" s="71" t="str">
        <f aca="false">IF(AH2331="","",ROUND(MIN(K2331,TOPE_AFC_UF*AJ2331)*IF(AA2331="Indefinido",AFC_EMP_INDEF,AFC_EMP_PF),0))</f>
        <v/>
      </c>
      <c r="AD2331" s="71" t="str">
        <f aca="false">IF(AH2331="","",ROUND(MIN(K2331,TOPE_AFP_UF*AJ2331)*(MUTUAL_BASICA+MUTUAL_ADIC+SANNA),0))</f>
        <v/>
      </c>
      <c r="AE2331" s="71" t="str">
        <f aca="false">IF(AH2331="","",P2331-N(N2331)+AB2331+AC2331+AD2331)</f>
        <v/>
      </c>
      <c r="AF2331" s="65"/>
      <c r="AG2331" s="64"/>
      <c r="AH2331" s="72" t="str">
        <f aca="false">IF(OR(B2331="",C2331=""),"",C2331&amp;"|"&amp;(YEAR(B2331)*100+MONTH(B2331)))</f>
        <v/>
      </c>
      <c r="AI2331" s="70" t="str">
        <f aca="false">IF(AH2331="","",IF(COUNTIF(L_CLAVE,AH2331)&gt;1,"⚠ Duplicado","OK"))</f>
        <v/>
      </c>
      <c r="AJ2331" s="86" t="str">
        <f aca="false">IF(AH2331="","",IF(SUMPRODUCT(MAX((IND_PER&lt;=B2331)*(IND_UF&lt;&gt;"")*IND_PER))=0,UF_HOY,INDEX(IND_UF,MATCH(SUMPRODUCT(MAX((IND_PER&lt;=B2331)*(IND_UF&lt;&gt;"")*IND_PER)),IND_PER,0))))</f>
        <v/>
      </c>
      <c r="AK2331" s="87" t="str">
        <f aca="false">IF(AH2331="","",IF(COUNTIF(TASA_DESDE,"&lt;="&amp;B2331)=0,INDEX(TASA_EMP,1),INDEX(TASA_EMP,COUNTIF(TASA_DESDE,"&lt;="&amp;B2331))))</f>
        <v/>
      </c>
    </row>
    <row r="2332" customFormat="false" ht="15" hidden="false" customHeight="false" outlineLevel="0" collapsed="false">
      <c r="B2332" s="78"/>
      <c r="C2332" s="64"/>
      <c r="D2332" s="72" t="str">
        <f aca="false">IF(C2332="","",IFERROR(INDEX(T_NOMBRE,MATCH(C2332,T_ID,0)),"⚠ ID no existe"))</f>
        <v/>
      </c>
      <c r="E2332" s="69"/>
      <c r="F2332" s="67"/>
      <c r="G2332" s="67"/>
      <c r="H2332" s="67"/>
      <c r="I2332" s="67"/>
      <c r="J2332" s="67"/>
      <c r="K2332" s="85" t="str">
        <f aca="false">IF(AH2332="","",N(F2332)+N(G2332)+N(H2332)-N(I2332)+N(J2332))</f>
        <v/>
      </c>
      <c r="L2332" s="67"/>
      <c r="M2332" s="67"/>
      <c r="N2332" s="67"/>
      <c r="O2332" s="67"/>
      <c r="P2332" s="85" t="str">
        <f aca="false">IF(AH2332="","",K2332+N(L2332)+N(M2332)+N(N2332)+N(O2332))</f>
        <v/>
      </c>
      <c r="Q2332" s="67"/>
      <c r="R2332" s="67"/>
      <c r="S2332" s="67"/>
      <c r="T2332" s="67"/>
      <c r="U2332" s="67"/>
      <c r="V2332" s="67"/>
      <c r="W2332" s="85" t="str">
        <f aca="false">IF(AH2332="","",N(Q2332)+N(R2332)+N(S2332)+N(T2332)+N(U2332)+N(V2332))</f>
        <v/>
      </c>
      <c r="X2332" s="85" t="str">
        <f aca="false">IF(AH2332="","",P2332-W2332)</f>
        <v/>
      </c>
      <c r="Y2332" s="67"/>
      <c r="Z2332" s="70" t="str">
        <f aca="false">IF(OR(AH2332="",Y2332=""),"",IF(ABS(X2332-Y2332)&lt;=1,"✓ Cuadra","⚠ Diferencia $"&amp;FIXED(X2332-Y2332,0)))</f>
        <v/>
      </c>
      <c r="AA2332" s="72" t="str">
        <f aca="false">IF(AH2332="","",IFERROR(INDEX(C_TIPO,MATCH(C2332&amp;"-P"&amp;MAX(1,COUNTIFS(C_ID,C2332,C_DEFINE,"Sí",C_INICIO,"&lt;="&amp;EOMONTH(B2332,0))),C_CLAVE,0))&amp;"","Sin dato"))</f>
        <v/>
      </c>
      <c r="AB2332" s="71" t="str">
        <f aca="false">IF(AH2332="","",ROUND(MIN(K2332,TOPE_AFP_UF*AJ2332)*AK2332,0))</f>
        <v/>
      </c>
      <c r="AC2332" s="71" t="str">
        <f aca="false">IF(AH2332="","",ROUND(MIN(K2332,TOPE_AFC_UF*AJ2332)*IF(AA2332="Indefinido",AFC_EMP_INDEF,AFC_EMP_PF),0))</f>
        <v/>
      </c>
      <c r="AD2332" s="71" t="str">
        <f aca="false">IF(AH2332="","",ROUND(MIN(K2332,TOPE_AFP_UF*AJ2332)*(MUTUAL_BASICA+MUTUAL_ADIC+SANNA),0))</f>
        <v/>
      </c>
      <c r="AE2332" s="71" t="str">
        <f aca="false">IF(AH2332="","",P2332-N(N2332)+AB2332+AC2332+AD2332)</f>
        <v/>
      </c>
      <c r="AF2332" s="65"/>
      <c r="AG2332" s="64"/>
      <c r="AH2332" s="72" t="str">
        <f aca="false">IF(OR(B2332="",C2332=""),"",C2332&amp;"|"&amp;(YEAR(B2332)*100+MONTH(B2332)))</f>
        <v/>
      </c>
      <c r="AI2332" s="70" t="str">
        <f aca="false">IF(AH2332="","",IF(COUNTIF(L_CLAVE,AH2332)&gt;1,"⚠ Duplicado","OK"))</f>
        <v/>
      </c>
      <c r="AJ2332" s="86" t="str">
        <f aca="false">IF(AH2332="","",IF(SUMPRODUCT(MAX((IND_PER&lt;=B2332)*(IND_UF&lt;&gt;"")*IND_PER))=0,UF_HOY,INDEX(IND_UF,MATCH(SUMPRODUCT(MAX((IND_PER&lt;=B2332)*(IND_UF&lt;&gt;"")*IND_PER)),IND_PER,0))))</f>
        <v/>
      </c>
      <c r="AK2332" s="87" t="str">
        <f aca="false">IF(AH2332="","",IF(COUNTIF(TASA_DESDE,"&lt;="&amp;B2332)=0,INDEX(TASA_EMP,1),INDEX(TASA_EMP,COUNTIF(TASA_DESDE,"&lt;="&amp;B2332))))</f>
        <v/>
      </c>
    </row>
    <row r="2333" customFormat="false" ht="15" hidden="false" customHeight="false" outlineLevel="0" collapsed="false">
      <c r="B2333" s="78"/>
      <c r="C2333" s="64"/>
      <c r="D2333" s="72" t="str">
        <f aca="false">IF(C2333="","",IFERROR(INDEX(T_NOMBRE,MATCH(C2333,T_ID,0)),"⚠ ID no existe"))</f>
        <v/>
      </c>
      <c r="E2333" s="69"/>
      <c r="F2333" s="67"/>
      <c r="G2333" s="67"/>
      <c r="H2333" s="67"/>
      <c r="I2333" s="67"/>
      <c r="J2333" s="67"/>
      <c r="K2333" s="85" t="str">
        <f aca="false">IF(AH2333="","",N(F2333)+N(G2333)+N(H2333)-N(I2333)+N(J2333))</f>
        <v/>
      </c>
      <c r="L2333" s="67"/>
      <c r="M2333" s="67"/>
      <c r="N2333" s="67"/>
      <c r="O2333" s="67"/>
      <c r="P2333" s="85" t="str">
        <f aca="false">IF(AH2333="","",K2333+N(L2333)+N(M2333)+N(N2333)+N(O2333))</f>
        <v/>
      </c>
      <c r="Q2333" s="67"/>
      <c r="R2333" s="67"/>
      <c r="S2333" s="67"/>
      <c r="T2333" s="67"/>
      <c r="U2333" s="67"/>
      <c r="V2333" s="67"/>
      <c r="W2333" s="85" t="str">
        <f aca="false">IF(AH2333="","",N(Q2333)+N(R2333)+N(S2333)+N(T2333)+N(U2333)+N(V2333))</f>
        <v/>
      </c>
      <c r="X2333" s="85" t="str">
        <f aca="false">IF(AH2333="","",P2333-W2333)</f>
        <v/>
      </c>
      <c r="Y2333" s="67"/>
      <c r="Z2333" s="70" t="str">
        <f aca="false">IF(OR(AH2333="",Y2333=""),"",IF(ABS(X2333-Y2333)&lt;=1,"✓ Cuadra","⚠ Diferencia $"&amp;FIXED(X2333-Y2333,0)))</f>
        <v/>
      </c>
      <c r="AA2333" s="72" t="str">
        <f aca="false">IF(AH2333="","",IFERROR(INDEX(C_TIPO,MATCH(C2333&amp;"-P"&amp;MAX(1,COUNTIFS(C_ID,C2333,C_DEFINE,"Sí",C_INICIO,"&lt;="&amp;EOMONTH(B2333,0))),C_CLAVE,0))&amp;"","Sin dato"))</f>
        <v/>
      </c>
      <c r="AB2333" s="71" t="str">
        <f aca="false">IF(AH2333="","",ROUND(MIN(K2333,TOPE_AFP_UF*AJ2333)*AK2333,0))</f>
        <v/>
      </c>
      <c r="AC2333" s="71" t="str">
        <f aca="false">IF(AH2333="","",ROUND(MIN(K2333,TOPE_AFC_UF*AJ2333)*IF(AA2333="Indefinido",AFC_EMP_INDEF,AFC_EMP_PF),0))</f>
        <v/>
      </c>
      <c r="AD2333" s="71" t="str">
        <f aca="false">IF(AH2333="","",ROUND(MIN(K2333,TOPE_AFP_UF*AJ2333)*(MUTUAL_BASICA+MUTUAL_ADIC+SANNA),0))</f>
        <v/>
      </c>
      <c r="AE2333" s="71" t="str">
        <f aca="false">IF(AH2333="","",P2333-N(N2333)+AB2333+AC2333+AD2333)</f>
        <v/>
      </c>
      <c r="AF2333" s="65"/>
      <c r="AG2333" s="64"/>
      <c r="AH2333" s="72" t="str">
        <f aca="false">IF(OR(B2333="",C2333=""),"",C2333&amp;"|"&amp;(YEAR(B2333)*100+MONTH(B2333)))</f>
        <v/>
      </c>
      <c r="AI2333" s="70" t="str">
        <f aca="false">IF(AH2333="","",IF(COUNTIF(L_CLAVE,AH2333)&gt;1,"⚠ Duplicado","OK"))</f>
        <v/>
      </c>
      <c r="AJ2333" s="86" t="str">
        <f aca="false">IF(AH2333="","",IF(SUMPRODUCT(MAX((IND_PER&lt;=B2333)*(IND_UF&lt;&gt;"")*IND_PER))=0,UF_HOY,INDEX(IND_UF,MATCH(SUMPRODUCT(MAX((IND_PER&lt;=B2333)*(IND_UF&lt;&gt;"")*IND_PER)),IND_PER,0))))</f>
        <v/>
      </c>
      <c r="AK2333" s="87" t="str">
        <f aca="false">IF(AH2333="","",IF(COUNTIF(TASA_DESDE,"&lt;="&amp;B2333)=0,INDEX(TASA_EMP,1),INDEX(TASA_EMP,COUNTIF(TASA_DESDE,"&lt;="&amp;B2333))))</f>
        <v/>
      </c>
    </row>
    <row r="2334" customFormat="false" ht="15" hidden="false" customHeight="false" outlineLevel="0" collapsed="false">
      <c r="B2334" s="78"/>
      <c r="C2334" s="64"/>
      <c r="D2334" s="72" t="str">
        <f aca="false">IF(C2334="","",IFERROR(INDEX(T_NOMBRE,MATCH(C2334,T_ID,0)),"⚠ ID no existe"))</f>
        <v/>
      </c>
      <c r="E2334" s="69"/>
      <c r="F2334" s="67"/>
      <c r="G2334" s="67"/>
      <c r="H2334" s="67"/>
      <c r="I2334" s="67"/>
      <c r="J2334" s="67"/>
      <c r="K2334" s="85" t="str">
        <f aca="false">IF(AH2334="","",N(F2334)+N(G2334)+N(H2334)-N(I2334)+N(J2334))</f>
        <v/>
      </c>
      <c r="L2334" s="67"/>
      <c r="M2334" s="67"/>
      <c r="N2334" s="67"/>
      <c r="O2334" s="67"/>
      <c r="P2334" s="85" t="str">
        <f aca="false">IF(AH2334="","",K2334+N(L2334)+N(M2334)+N(N2334)+N(O2334))</f>
        <v/>
      </c>
      <c r="Q2334" s="67"/>
      <c r="R2334" s="67"/>
      <c r="S2334" s="67"/>
      <c r="T2334" s="67"/>
      <c r="U2334" s="67"/>
      <c r="V2334" s="67"/>
      <c r="W2334" s="85" t="str">
        <f aca="false">IF(AH2334="","",N(Q2334)+N(R2334)+N(S2334)+N(T2334)+N(U2334)+N(V2334))</f>
        <v/>
      </c>
      <c r="X2334" s="85" t="str">
        <f aca="false">IF(AH2334="","",P2334-W2334)</f>
        <v/>
      </c>
      <c r="Y2334" s="67"/>
      <c r="Z2334" s="70" t="str">
        <f aca="false">IF(OR(AH2334="",Y2334=""),"",IF(ABS(X2334-Y2334)&lt;=1,"✓ Cuadra","⚠ Diferencia $"&amp;FIXED(X2334-Y2334,0)))</f>
        <v/>
      </c>
      <c r="AA2334" s="72" t="str">
        <f aca="false">IF(AH2334="","",IFERROR(INDEX(C_TIPO,MATCH(C2334&amp;"-P"&amp;MAX(1,COUNTIFS(C_ID,C2334,C_DEFINE,"Sí",C_INICIO,"&lt;="&amp;EOMONTH(B2334,0))),C_CLAVE,0))&amp;"","Sin dato"))</f>
        <v/>
      </c>
      <c r="AB2334" s="71" t="str">
        <f aca="false">IF(AH2334="","",ROUND(MIN(K2334,TOPE_AFP_UF*AJ2334)*AK2334,0))</f>
        <v/>
      </c>
      <c r="AC2334" s="71" t="str">
        <f aca="false">IF(AH2334="","",ROUND(MIN(K2334,TOPE_AFC_UF*AJ2334)*IF(AA2334="Indefinido",AFC_EMP_INDEF,AFC_EMP_PF),0))</f>
        <v/>
      </c>
      <c r="AD2334" s="71" t="str">
        <f aca="false">IF(AH2334="","",ROUND(MIN(K2334,TOPE_AFP_UF*AJ2334)*(MUTUAL_BASICA+MUTUAL_ADIC+SANNA),0))</f>
        <v/>
      </c>
      <c r="AE2334" s="71" t="str">
        <f aca="false">IF(AH2334="","",P2334-N(N2334)+AB2334+AC2334+AD2334)</f>
        <v/>
      </c>
      <c r="AF2334" s="65"/>
      <c r="AG2334" s="64"/>
      <c r="AH2334" s="72" t="str">
        <f aca="false">IF(OR(B2334="",C2334=""),"",C2334&amp;"|"&amp;(YEAR(B2334)*100+MONTH(B2334)))</f>
        <v/>
      </c>
      <c r="AI2334" s="70" t="str">
        <f aca="false">IF(AH2334="","",IF(COUNTIF(L_CLAVE,AH2334)&gt;1,"⚠ Duplicado","OK"))</f>
        <v/>
      </c>
      <c r="AJ2334" s="86" t="str">
        <f aca="false">IF(AH2334="","",IF(SUMPRODUCT(MAX((IND_PER&lt;=B2334)*(IND_UF&lt;&gt;"")*IND_PER))=0,UF_HOY,INDEX(IND_UF,MATCH(SUMPRODUCT(MAX((IND_PER&lt;=B2334)*(IND_UF&lt;&gt;"")*IND_PER)),IND_PER,0))))</f>
        <v/>
      </c>
      <c r="AK2334" s="87" t="str">
        <f aca="false">IF(AH2334="","",IF(COUNTIF(TASA_DESDE,"&lt;="&amp;B2334)=0,INDEX(TASA_EMP,1),INDEX(TASA_EMP,COUNTIF(TASA_DESDE,"&lt;="&amp;B2334))))</f>
        <v/>
      </c>
    </row>
    <row r="2335" customFormat="false" ht="15" hidden="false" customHeight="false" outlineLevel="0" collapsed="false">
      <c r="B2335" s="78"/>
      <c r="C2335" s="64"/>
      <c r="D2335" s="72" t="str">
        <f aca="false">IF(C2335="","",IFERROR(INDEX(T_NOMBRE,MATCH(C2335,T_ID,0)),"⚠ ID no existe"))</f>
        <v/>
      </c>
      <c r="E2335" s="69"/>
      <c r="F2335" s="67"/>
      <c r="G2335" s="67"/>
      <c r="H2335" s="67"/>
      <c r="I2335" s="67"/>
      <c r="J2335" s="67"/>
      <c r="K2335" s="85" t="str">
        <f aca="false">IF(AH2335="","",N(F2335)+N(G2335)+N(H2335)-N(I2335)+N(J2335))</f>
        <v/>
      </c>
      <c r="L2335" s="67"/>
      <c r="M2335" s="67"/>
      <c r="N2335" s="67"/>
      <c r="O2335" s="67"/>
      <c r="P2335" s="85" t="str">
        <f aca="false">IF(AH2335="","",K2335+N(L2335)+N(M2335)+N(N2335)+N(O2335))</f>
        <v/>
      </c>
      <c r="Q2335" s="67"/>
      <c r="R2335" s="67"/>
      <c r="S2335" s="67"/>
      <c r="T2335" s="67"/>
      <c r="U2335" s="67"/>
      <c r="V2335" s="67"/>
      <c r="W2335" s="85" t="str">
        <f aca="false">IF(AH2335="","",N(Q2335)+N(R2335)+N(S2335)+N(T2335)+N(U2335)+N(V2335))</f>
        <v/>
      </c>
      <c r="X2335" s="85" t="str">
        <f aca="false">IF(AH2335="","",P2335-W2335)</f>
        <v/>
      </c>
      <c r="Y2335" s="67"/>
      <c r="Z2335" s="70" t="str">
        <f aca="false">IF(OR(AH2335="",Y2335=""),"",IF(ABS(X2335-Y2335)&lt;=1,"✓ Cuadra","⚠ Diferencia $"&amp;FIXED(X2335-Y2335,0)))</f>
        <v/>
      </c>
      <c r="AA2335" s="72" t="str">
        <f aca="false">IF(AH2335="","",IFERROR(INDEX(C_TIPO,MATCH(C2335&amp;"-P"&amp;MAX(1,COUNTIFS(C_ID,C2335,C_DEFINE,"Sí",C_INICIO,"&lt;="&amp;EOMONTH(B2335,0))),C_CLAVE,0))&amp;"","Sin dato"))</f>
        <v/>
      </c>
      <c r="AB2335" s="71" t="str">
        <f aca="false">IF(AH2335="","",ROUND(MIN(K2335,TOPE_AFP_UF*AJ2335)*AK2335,0))</f>
        <v/>
      </c>
      <c r="AC2335" s="71" t="str">
        <f aca="false">IF(AH2335="","",ROUND(MIN(K2335,TOPE_AFC_UF*AJ2335)*IF(AA2335="Indefinido",AFC_EMP_INDEF,AFC_EMP_PF),0))</f>
        <v/>
      </c>
      <c r="AD2335" s="71" t="str">
        <f aca="false">IF(AH2335="","",ROUND(MIN(K2335,TOPE_AFP_UF*AJ2335)*(MUTUAL_BASICA+MUTUAL_ADIC+SANNA),0))</f>
        <v/>
      </c>
      <c r="AE2335" s="71" t="str">
        <f aca="false">IF(AH2335="","",P2335-N(N2335)+AB2335+AC2335+AD2335)</f>
        <v/>
      </c>
      <c r="AF2335" s="65"/>
      <c r="AG2335" s="64"/>
      <c r="AH2335" s="72" t="str">
        <f aca="false">IF(OR(B2335="",C2335=""),"",C2335&amp;"|"&amp;(YEAR(B2335)*100+MONTH(B2335)))</f>
        <v/>
      </c>
      <c r="AI2335" s="70" t="str">
        <f aca="false">IF(AH2335="","",IF(COUNTIF(L_CLAVE,AH2335)&gt;1,"⚠ Duplicado","OK"))</f>
        <v/>
      </c>
      <c r="AJ2335" s="86" t="str">
        <f aca="false">IF(AH2335="","",IF(SUMPRODUCT(MAX((IND_PER&lt;=B2335)*(IND_UF&lt;&gt;"")*IND_PER))=0,UF_HOY,INDEX(IND_UF,MATCH(SUMPRODUCT(MAX((IND_PER&lt;=B2335)*(IND_UF&lt;&gt;"")*IND_PER)),IND_PER,0))))</f>
        <v/>
      </c>
      <c r="AK2335" s="87" t="str">
        <f aca="false">IF(AH2335="","",IF(COUNTIF(TASA_DESDE,"&lt;="&amp;B2335)=0,INDEX(TASA_EMP,1),INDEX(TASA_EMP,COUNTIF(TASA_DESDE,"&lt;="&amp;B2335))))</f>
        <v/>
      </c>
    </row>
    <row r="2336" customFormat="false" ht="15" hidden="false" customHeight="false" outlineLevel="0" collapsed="false">
      <c r="B2336" s="78"/>
      <c r="C2336" s="64"/>
      <c r="D2336" s="72" t="str">
        <f aca="false">IF(C2336="","",IFERROR(INDEX(T_NOMBRE,MATCH(C2336,T_ID,0)),"⚠ ID no existe"))</f>
        <v/>
      </c>
      <c r="E2336" s="69"/>
      <c r="F2336" s="67"/>
      <c r="G2336" s="67"/>
      <c r="H2336" s="67"/>
      <c r="I2336" s="67"/>
      <c r="J2336" s="67"/>
      <c r="K2336" s="85" t="str">
        <f aca="false">IF(AH2336="","",N(F2336)+N(G2336)+N(H2336)-N(I2336)+N(J2336))</f>
        <v/>
      </c>
      <c r="L2336" s="67"/>
      <c r="M2336" s="67"/>
      <c r="N2336" s="67"/>
      <c r="O2336" s="67"/>
      <c r="P2336" s="85" t="str">
        <f aca="false">IF(AH2336="","",K2336+N(L2336)+N(M2336)+N(N2336)+N(O2336))</f>
        <v/>
      </c>
      <c r="Q2336" s="67"/>
      <c r="R2336" s="67"/>
      <c r="S2336" s="67"/>
      <c r="T2336" s="67"/>
      <c r="U2336" s="67"/>
      <c r="V2336" s="67"/>
      <c r="W2336" s="85" t="str">
        <f aca="false">IF(AH2336="","",N(Q2336)+N(R2336)+N(S2336)+N(T2336)+N(U2336)+N(V2336))</f>
        <v/>
      </c>
      <c r="X2336" s="85" t="str">
        <f aca="false">IF(AH2336="","",P2336-W2336)</f>
        <v/>
      </c>
      <c r="Y2336" s="67"/>
      <c r="Z2336" s="70" t="str">
        <f aca="false">IF(OR(AH2336="",Y2336=""),"",IF(ABS(X2336-Y2336)&lt;=1,"✓ Cuadra","⚠ Diferencia $"&amp;FIXED(X2336-Y2336,0)))</f>
        <v/>
      </c>
      <c r="AA2336" s="72" t="str">
        <f aca="false">IF(AH2336="","",IFERROR(INDEX(C_TIPO,MATCH(C2336&amp;"-P"&amp;MAX(1,COUNTIFS(C_ID,C2336,C_DEFINE,"Sí",C_INICIO,"&lt;="&amp;EOMONTH(B2336,0))),C_CLAVE,0))&amp;"","Sin dato"))</f>
        <v/>
      </c>
      <c r="AB2336" s="71" t="str">
        <f aca="false">IF(AH2336="","",ROUND(MIN(K2336,TOPE_AFP_UF*AJ2336)*AK2336,0))</f>
        <v/>
      </c>
      <c r="AC2336" s="71" t="str">
        <f aca="false">IF(AH2336="","",ROUND(MIN(K2336,TOPE_AFC_UF*AJ2336)*IF(AA2336="Indefinido",AFC_EMP_INDEF,AFC_EMP_PF),0))</f>
        <v/>
      </c>
      <c r="AD2336" s="71" t="str">
        <f aca="false">IF(AH2336="","",ROUND(MIN(K2336,TOPE_AFP_UF*AJ2336)*(MUTUAL_BASICA+MUTUAL_ADIC+SANNA),0))</f>
        <v/>
      </c>
      <c r="AE2336" s="71" t="str">
        <f aca="false">IF(AH2336="","",P2336-N(N2336)+AB2336+AC2336+AD2336)</f>
        <v/>
      </c>
      <c r="AF2336" s="65"/>
      <c r="AG2336" s="64"/>
      <c r="AH2336" s="72" t="str">
        <f aca="false">IF(OR(B2336="",C2336=""),"",C2336&amp;"|"&amp;(YEAR(B2336)*100+MONTH(B2336)))</f>
        <v/>
      </c>
      <c r="AI2336" s="70" t="str">
        <f aca="false">IF(AH2336="","",IF(COUNTIF(L_CLAVE,AH2336)&gt;1,"⚠ Duplicado","OK"))</f>
        <v/>
      </c>
      <c r="AJ2336" s="86" t="str">
        <f aca="false">IF(AH2336="","",IF(SUMPRODUCT(MAX((IND_PER&lt;=B2336)*(IND_UF&lt;&gt;"")*IND_PER))=0,UF_HOY,INDEX(IND_UF,MATCH(SUMPRODUCT(MAX((IND_PER&lt;=B2336)*(IND_UF&lt;&gt;"")*IND_PER)),IND_PER,0))))</f>
        <v/>
      </c>
      <c r="AK2336" s="87" t="str">
        <f aca="false">IF(AH2336="","",IF(COUNTIF(TASA_DESDE,"&lt;="&amp;B2336)=0,INDEX(TASA_EMP,1),INDEX(TASA_EMP,COUNTIF(TASA_DESDE,"&lt;="&amp;B2336))))</f>
        <v/>
      </c>
    </row>
    <row r="2337" customFormat="false" ht="15" hidden="false" customHeight="false" outlineLevel="0" collapsed="false">
      <c r="B2337" s="78"/>
      <c r="C2337" s="64"/>
      <c r="D2337" s="72" t="str">
        <f aca="false">IF(C2337="","",IFERROR(INDEX(T_NOMBRE,MATCH(C2337,T_ID,0)),"⚠ ID no existe"))</f>
        <v/>
      </c>
      <c r="E2337" s="69"/>
      <c r="F2337" s="67"/>
      <c r="G2337" s="67"/>
      <c r="H2337" s="67"/>
      <c r="I2337" s="67"/>
      <c r="J2337" s="67"/>
      <c r="K2337" s="85" t="str">
        <f aca="false">IF(AH2337="","",N(F2337)+N(G2337)+N(H2337)-N(I2337)+N(J2337))</f>
        <v/>
      </c>
      <c r="L2337" s="67"/>
      <c r="M2337" s="67"/>
      <c r="N2337" s="67"/>
      <c r="O2337" s="67"/>
      <c r="P2337" s="85" t="str">
        <f aca="false">IF(AH2337="","",K2337+N(L2337)+N(M2337)+N(N2337)+N(O2337))</f>
        <v/>
      </c>
      <c r="Q2337" s="67"/>
      <c r="R2337" s="67"/>
      <c r="S2337" s="67"/>
      <c r="T2337" s="67"/>
      <c r="U2337" s="67"/>
      <c r="V2337" s="67"/>
      <c r="W2337" s="85" t="str">
        <f aca="false">IF(AH2337="","",N(Q2337)+N(R2337)+N(S2337)+N(T2337)+N(U2337)+N(V2337))</f>
        <v/>
      </c>
      <c r="X2337" s="85" t="str">
        <f aca="false">IF(AH2337="","",P2337-W2337)</f>
        <v/>
      </c>
      <c r="Y2337" s="67"/>
      <c r="Z2337" s="70" t="str">
        <f aca="false">IF(OR(AH2337="",Y2337=""),"",IF(ABS(X2337-Y2337)&lt;=1,"✓ Cuadra","⚠ Diferencia $"&amp;FIXED(X2337-Y2337,0)))</f>
        <v/>
      </c>
      <c r="AA2337" s="72" t="str">
        <f aca="false">IF(AH2337="","",IFERROR(INDEX(C_TIPO,MATCH(C2337&amp;"-P"&amp;MAX(1,COUNTIFS(C_ID,C2337,C_DEFINE,"Sí",C_INICIO,"&lt;="&amp;EOMONTH(B2337,0))),C_CLAVE,0))&amp;"","Sin dato"))</f>
        <v/>
      </c>
      <c r="AB2337" s="71" t="str">
        <f aca="false">IF(AH2337="","",ROUND(MIN(K2337,TOPE_AFP_UF*AJ2337)*AK2337,0))</f>
        <v/>
      </c>
      <c r="AC2337" s="71" t="str">
        <f aca="false">IF(AH2337="","",ROUND(MIN(K2337,TOPE_AFC_UF*AJ2337)*IF(AA2337="Indefinido",AFC_EMP_INDEF,AFC_EMP_PF),0))</f>
        <v/>
      </c>
      <c r="AD2337" s="71" t="str">
        <f aca="false">IF(AH2337="","",ROUND(MIN(K2337,TOPE_AFP_UF*AJ2337)*(MUTUAL_BASICA+MUTUAL_ADIC+SANNA),0))</f>
        <v/>
      </c>
      <c r="AE2337" s="71" t="str">
        <f aca="false">IF(AH2337="","",P2337-N(N2337)+AB2337+AC2337+AD2337)</f>
        <v/>
      </c>
      <c r="AF2337" s="65"/>
      <c r="AG2337" s="64"/>
      <c r="AH2337" s="72" t="str">
        <f aca="false">IF(OR(B2337="",C2337=""),"",C2337&amp;"|"&amp;(YEAR(B2337)*100+MONTH(B2337)))</f>
        <v/>
      </c>
      <c r="AI2337" s="70" t="str">
        <f aca="false">IF(AH2337="","",IF(COUNTIF(L_CLAVE,AH2337)&gt;1,"⚠ Duplicado","OK"))</f>
        <v/>
      </c>
      <c r="AJ2337" s="86" t="str">
        <f aca="false">IF(AH2337="","",IF(SUMPRODUCT(MAX((IND_PER&lt;=B2337)*(IND_UF&lt;&gt;"")*IND_PER))=0,UF_HOY,INDEX(IND_UF,MATCH(SUMPRODUCT(MAX((IND_PER&lt;=B2337)*(IND_UF&lt;&gt;"")*IND_PER)),IND_PER,0))))</f>
        <v/>
      </c>
      <c r="AK2337" s="87" t="str">
        <f aca="false">IF(AH2337="","",IF(COUNTIF(TASA_DESDE,"&lt;="&amp;B2337)=0,INDEX(TASA_EMP,1),INDEX(TASA_EMP,COUNTIF(TASA_DESDE,"&lt;="&amp;B2337))))</f>
        <v/>
      </c>
    </row>
    <row r="2338" customFormat="false" ht="15" hidden="false" customHeight="false" outlineLevel="0" collapsed="false">
      <c r="B2338" s="78"/>
      <c r="C2338" s="64"/>
      <c r="D2338" s="72" t="str">
        <f aca="false">IF(C2338="","",IFERROR(INDEX(T_NOMBRE,MATCH(C2338,T_ID,0)),"⚠ ID no existe"))</f>
        <v/>
      </c>
      <c r="E2338" s="69"/>
      <c r="F2338" s="67"/>
      <c r="G2338" s="67"/>
      <c r="H2338" s="67"/>
      <c r="I2338" s="67"/>
      <c r="J2338" s="67"/>
      <c r="K2338" s="85" t="str">
        <f aca="false">IF(AH2338="","",N(F2338)+N(G2338)+N(H2338)-N(I2338)+N(J2338))</f>
        <v/>
      </c>
      <c r="L2338" s="67"/>
      <c r="M2338" s="67"/>
      <c r="N2338" s="67"/>
      <c r="O2338" s="67"/>
      <c r="P2338" s="85" t="str">
        <f aca="false">IF(AH2338="","",K2338+N(L2338)+N(M2338)+N(N2338)+N(O2338))</f>
        <v/>
      </c>
      <c r="Q2338" s="67"/>
      <c r="R2338" s="67"/>
      <c r="S2338" s="67"/>
      <c r="T2338" s="67"/>
      <c r="U2338" s="67"/>
      <c r="V2338" s="67"/>
      <c r="W2338" s="85" t="str">
        <f aca="false">IF(AH2338="","",N(Q2338)+N(R2338)+N(S2338)+N(T2338)+N(U2338)+N(V2338))</f>
        <v/>
      </c>
      <c r="X2338" s="85" t="str">
        <f aca="false">IF(AH2338="","",P2338-W2338)</f>
        <v/>
      </c>
      <c r="Y2338" s="67"/>
      <c r="Z2338" s="70" t="str">
        <f aca="false">IF(OR(AH2338="",Y2338=""),"",IF(ABS(X2338-Y2338)&lt;=1,"✓ Cuadra","⚠ Diferencia $"&amp;FIXED(X2338-Y2338,0)))</f>
        <v/>
      </c>
      <c r="AA2338" s="72" t="str">
        <f aca="false">IF(AH2338="","",IFERROR(INDEX(C_TIPO,MATCH(C2338&amp;"-P"&amp;MAX(1,COUNTIFS(C_ID,C2338,C_DEFINE,"Sí",C_INICIO,"&lt;="&amp;EOMONTH(B2338,0))),C_CLAVE,0))&amp;"","Sin dato"))</f>
        <v/>
      </c>
      <c r="AB2338" s="71" t="str">
        <f aca="false">IF(AH2338="","",ROUND(MIN(K2338,TOPE_AFP_UF*AJ2338)*AK2338,0))</f>
        <v/>
      </c>
      <c r="AC2338" s="71" t="str">
        <f aca="false">IF(AH2338="","",ROUND(MIN(K2338,TOPE_AFC_UF*AJ2338)*IF(AA2338="Indefinido",AFC_EMP_INDEF,AFC_EMP_PF),0))</f>
        <v/>
      </c>
      <c r="AD2338" s="71" t="str">
        <f aca="false">IF(AH2338="","",ROUND(MIN(K2338,TOPE_AFP_UF*AJ2338)*(MUTUAL_BASICA+MUTUAL_ADIC+SANNA),0))</f>
        <v/>
      </c>
      <c r="AE2338" s="71" t="str">
        <f aca="false">IF(AH2338="","",P2338-N(N2338)+AB2338+AC2338+AD2338)</f>
        <v/>
      </c>
      <c r="AF2338" s="65"/>
      <c r="AG2338" s="64"/>
      <c r="AH2338" s="72" t="str">
        <f aca="false">IF(OR(B2338="",C2338=""),"",C2338&amp;"|"&amp;(YEAR(B2338)*100+MONTH(B2338)))</f>
        <v/>
      </c>
      <c r="AI2338" s="70" t="str">
        <f aca="false">IF(AH2338="","",IF(COUNTIF(L_CLAVE,AH2338)&gt;1,"⚠ Duplicado","OK"))</f>
        <v/>
      </c>
      <c r="AJ2338" s="86" t="str">
        <f aca="false">IF(AH2338="","",IF(SUMPRODUCT(MAX((IND_PER&lt;=B2338)*(IND_UF&lt;&gt;"")*IND_PER))=0,UF_HOY,INDEX(IND_UF,MATCH(SUMPRODUCT(MAX((IND_PER&lt;=B2338)*(IND_UF&lt;&gt;"")*IND_PER)),IND_PER,0))))</f>
        <v/>
      </c>
      <c r="AK2338" s="87" t="str">
        <f aca="false">IF(AH2338="","",IF(COUNTIF(TASA_DESDE,"&lt;="&amp;B2338)=0,INDEX(TASA_EMP,1),INDEX(TASA_EMP,COUNTIF(TASA_DESDE,"&lt;="&amp;B2338))))</f>
        <v/>
      </c>
    </row>
    <row r="2339" customFormat="false" ht="15" hidden="false" customHeight="false" outlineLevel="0" collapsed="false">
      <c r="B2339" s="78"/>
      <c r="C2339" s="64"/>
      <c r="D2339" s="72" t="str">
        <f aca="false">IF(C2339="","",IFERROR(INDEX(T_NOMBRE,MATCH(C2339,T_ID,0)),"⚠ ID no existe"))</f>
        <v/>
      </c>
      <c r="E2339" s="69"/>
      <c r="F2339" s="67"/>
      <c r="G2339" s="67"/>
      <c r="H2339" s="67"/>
      <c r="I2339" s="67"/>
      <c r="J2339" s="67"/>
      <c r="K2339" s="85" t="str">
        <f aca="false">IF(AH2339="","",N(F2339)+N(G2339)+N(H2339)-N(I2339)+N(J2339))</f>
        <v/>
      </c>
      <c r="L2339" s="67"/>
      <c r="M2339" s="67"/>
      <c r="N2339" s="67"/>
      <c r="O2339" s="67"/>
      <c r="P2339" s="85" t="str">
        <f aca="false">IF(AH2339="","",K2339+N(L2339)+N(M2339)+N(N2339)+N(O2339))</f>
        <v/>
      </c>
      <c r="Q2339" s="67"/>
      <c r="R2339" s="67"/>
      <c r="S2339" s="67"/>
      <c r="T2339" s="67"/>
      <c r="U2339" s="67"/>
      <c r="V2339" s="67"/>
      <c r="W2339" s="85" t="str">
        <f aca="false">IF(AH2339="","",N(Q2339)+N(R2339)+N(S2339)+N(T2339)+N(U2339)+N(V2339))</f>
        <v/>
      </c>
      <c r="X2339" s="85" t="str">
        <f aca="false">IF(AH2339="","",P2339-W2339)</f>
        <v/>
      </c>
      <c r="Y2339" s="67"/>
      <c r="Z2339" s="70" t="str">
        <f aca="false">IF(OR(AH2339="",Y2339=""),"",IF(ABS(X2339-Y2339)&lt;=1,"✓ Cuadra","⚠ Diferencia $"&amp;FIXED(X2339-Y2339,0)))</f>
        <v/>
      </c>
      <c r="AA2339" s="72" t="str">
        <f aca="false">IF(AH2339="","",IFERROR(INDEX(C_TIPO,MATCH(C2339&amp;"-P"&amp;MAX(1,COUNTIFS(C_ID,C2339,C_DEFINE,"Sí",C_INICIO,"&lt;="&amp;EOMONTH(B2339,0))),C_CLAVE,0))&amp;"","Sin dato"))</f>
        <v/>
      </c>
      <c r="AB2339" s="71" t="str">
        <f aca="false">IF(AH2339="","",ROUND(MIN(K2339,TOPE_AFP_UF*AJ2339)*AK2339,0))</f>
        <v/>
      </c>
      <c r="AC2339" s="71" t="str">
        <f aca="false">IF(AH2339="","",ROUND(MIN(K2339,TOPE_AFC_UF*AJ2339)*IF(AA2339="Indefinido",AFC_EMP_INDEF,AFC_EMP_PF),0))</f>
        <v/>
      </c>
      <c r="AD2339" s="71" t="str">
        <f aca="false">IF(AH2339="","",ROUND(MIN(K2339,TOPE_AFP_UF*AJ2339)*(MUTUAL_BASICA+MUTUAL_ADIC+SANNA),0))</f>
        <v/>
      </c>
      <c r="AE2339" s="71" t="str">
        <f aca="false">IF(AH2339="","",P2339-N(N2339)+AB2339+AC2339+AD2339)</f>
        <v/>
      </c>
      <c r="AF2339" s="65"/>
      <c r="AG2339" s="64"/>
      <c r="AH2339" s="72" t="str">
        <f aca="false">IF(OR(B2339="",C2339=""),"",C2339&amp;"|"&amp;(YEAR(B2339)*100+MONTH(B2339)))</f>
        <v/>
      </c>
      <c r="AI2339" s="70" t="str">
        <f aca="false">IF(AH2339="","",IF(COUNTIF(L_CLAVE,AH2339)&gt;1,"⚠ Duplicado","OK"))</f>
        <v/>
      </c>
      <c r="AJ2339" s="86" t="str">
        <f aca="false">IF(AH2339="","",IF(SUMPRODUCT(MAX((IND_PER&lt;=B2339)*(IND_UF&lt;&gt;"")*IND_PER))=0,UF_HOY,INDEX(IND_UF,MATCH(SUMPRODUCT(MAX((IND_PER&lt;=B2339)*(IND_UF&lt;&gt;"")*IND_PER)),IND_PER,0))))</f>
        <v/>
      </c>
      <c r="AK2339" s="87" t="str">
        <f aca="false">IF(AH2339="","",IF(COUNTIF(TASA_DESDE,"&lt;="&amp;B2339)=0,INDEX(TASA_EMP,1),INDEX(TASA_EMP,COUNTIF(TASA_DESDE,"&lt;="&amp;B2339))))</f>
        <v/>
      </c>
    </row>
    <row r="2340" customFormat="false" ht="15" hidden="false" customHeight="false" outlineLevel="0" collapsed="false">
      <c r="B2340" s="78"/>
      <c r="C2340" s="64"/>
      <c r="D2340" s="72" t="str">
        <f aca="false">IF(C2340="","",IFERROR(INDEX(T_NOMBRE,MATCH(C2340,T_ID,0)),"⚠ ID no existe"))</f>
        <v/>
      </c>
      <c r="E2340" s="69"/>
      <c r="F2340" s="67"/>
      <c r="G2340" s="67"/>
      <c r="H2340" s="67"/>
      <c r="I2340" s="67"/>
      <c r="J2340" s="67"/>
      <c r="K2340" s="85" t="str">
        <f aca="false">IF(AH2340="","",N(F2340)+N(G2340)+N(H2340)-N(I2340)+N(J2340))</f>
        <v/>
      </c>
      <c r="L2340" s="67"/>
      <c r="M2340" s="67"/>
      <c r="N2340" s="67"/>
      <c r="O2340" s="67"/>
      <c r="P2340" s="85" t="str">
        <f aca="false">IF(AH2340="","",K2340+N(L2340)+N(M2340)+N(N2340)+N(O2340))</f>
        <v/>
      </c>
      <c r="Q2340" s="67"/>
      <c r="R2340" s="67"/>
      <c r="S2340" s="67"/>
      <c r="T2340" s="67"/>
      <c r="U2340" s="67"/>
      <c r="V2340" s="67"/>
      <c r="W2340" s="85" t="str">
        <f aca="false">IF(AH2340="","",N(Q2340)+N(R2340)+N(S2340)+N(T2340)+N(U2340)+N(V2340))</f>
        <v/>
      </c>
      <c r="X2340" s="85" t="str">
        <f aca="false">IF(AH2340="","",P2340-W2340)</f>
        <v/>
      </c>
      <c r="Y2340" s="67"/>
      <c r="Z2340" s="70" t="str">
        <f aca="false">IF(OR(AH2340="",Y2340=""),"",IF(ABS(X2340-Y2340)&lt;=1,"✓ Cuadra","⚠ Diferencia $"&amp;FIXED(X2340-Y2340,0)))</f>
        <v/>
      </c>
      <c r="AA2340" s="72" t="str">
        <f aca="false">IF(AH2340="","",IFERROR(INDEX(C_TIPO,MATCH(C2340&amp;"-P"&amp;MAX(1,COUNTIFS(C_ID,C2340,C_DEFINE,"Sí",C_INICIO,"&lt;="&amp;EOMONTH(B2340,0))),C_CLAVE,0))&amp;"","Sin dato"))</f>
        <v/>
      </c>
      <c r="AB2340" s="71" t="str">
        <f aca="false">IF(AH2340="","",ROUND(MIN(K2340,TOPE_AFP_UF*AJ2340)*AK2340,0))</f>
        <v/>
      </c>
      <c r="AC2340" s="71" t="str">
        <f aca="false">IF(AH2340="","",ROUND(MIN(K2340,TOPE_AFC_UF*AJ2340)*IF(AA2340="Indefinido",AFC_EMP_INDEF,AFC_EMP_PF),0))</f>
        <v/>
      </c>
      <c r="AD2340" s="71" t="str">
        <f aca="false">IF(AH2340="","",ROUND(MIN(K2340,TOPE_AFP_UF*AJ2340)*(MUTUAL_BASICA+MUTUAL_ADIC+SANNA),0))</f>
        <v/>
      </c>
      <c r="AE2340" s="71" t="str">
        <f aca="false">IF(AH2340="","",P2340-N(N2340)+AB2340+AC2340+AD2340)</f>
        <v/>
      </c>
      <c r="AF2340" s="65"/>
      <c r="AG2340" s="64"/>
      <c r="AH2340" s="72" t="str">
        <f aca="false">IF(OR(B2340="",C2340=""),"",C2340&amp;"|"&amp;(YEAR(B2340)*100+MONTH(B2340)))</f>
        <v/>
      </c>
      <c r="AI2340" s="70" t="str">
        <f aca="false">IF(AH2340="","",IF(COUNTIF(L_CLAVE,AH2340)&gt;1,"⚠ Duplicado","OK"))</f>
        <v/>
      </c>
      <c r="AJ2340" s="86" t="str">
        <f aca="false">IF(AH2340="","",IF(SUMPRODUCT(MAX((IND_PER&lt;=B2340)*(IND_UF&lt;&gt;"")*IND_PER))=0,UF_HOY,INDEX(IND_UF,MATCH(SUMPRODUCT(MAX((IND_PER&lt;=B2340)*(IND_UF&lt;&gt;"")*IND_PER)),IND_PER,0))))</f>
        <v/>
      </c>
      <c r="AK2340" s="87" t="str">
        <f aca="false">IF(AH2340="","",IF(COUNTIF(TASA_DESDE,"&lt;="&amp;B2340)=0,INDEX(TASA_EMP,1),INDEX(TASA_EMP,COUNTIF(TASA_DESDE,"&lt;="&amp;B2340))))</f>
        <v/>
      </c>
    </row>
    <row r="2341" customFormat="false" ht="15" hidden="false" customHeight="false" outlineLevel="0" collapsed="false">
      <c r="B2341" s="78"/>
      <c r="C2341" s="64"/>
      <c r="D2341" s="72" t="str">
        <f aca="false">IF(C2341="","",IFERROR(INDEX(T_NOMBRE,MATCH(C2341,T_ID,0)),"⚠ ID no existe"))</f>
        <v/>
      </c>
      <c r="E2341" s="69"/>
      <c r="F2341" s="67"/>
      <c r="G2341" s="67"/>
      <c r="H2341" s="67"/>
      <c r="I2341" s="67"/>
      <c r="J2341" s="67"/>
      <c r="K2341" s="85" t="str">
        <f aca="false">IF(AH2341="","",N(F2341)+N(G2341)+N(H2341)-N(I2341)+N(J2341))</f>
        <v/>
      </c>
      <c r="L2341" s="67"/>
      <c r="M2341" s="67"/>
      <c r="N2341" s="67"/>
      <c r="O2341" s="67"/>
      <c r="P2341" s="85" t="str">
        <f aca="false">IF(AH2341="","",K2341+N(L2341)+N(M2341)+N(N2341)+N(O2341))</f>
        <v/>
      </c>
      <c r="Q2341" s="67"/>
      <c r="R2341" s="67"/>
      <c r="S2341" s="67"/>
      <c r="T2341" s="67"/>
      <c r="U2341" s="67"/>
      <c r="V2341" s="67"/>
      <c r="W2341" s="85" t="str">
        <f aca="false">IF(AH2341="","",N(Q2341)+N(R2341)+N(S2341)+N(T2341)+N(U2341)+N(V2341))</f>
        <v/>
      </c>
      <c r="X2341" s="85" t="str">
        <f aca="false">IF(AH2341="","",P2341-W2341)</f>
        <v/>
      </c>
      <c r="Y2341" s="67"/>
      <c r="Z2341" s="70" t="str">
        <f aca="false">IF(OR(AH2341="",Y2341=""),"",IF(ABS(X2341-Y2341)&lt;=1,"✓ Cuadra","⚠ Diferencia $"&amp;FIXED(X2341-Y2341,0)))</f>
        <v/>
      </c>
      <c r="AA2341" s="72" t="str">
        <f aca="false">IF(AH2341="","",IFERROR(INDEX(C_TIPO,MATCH(C2341&amp;"-P"&amp;MAX(1,COUNTIFS(C_ID,C2341,C_DEFINE,"Sí",C_INICIO,"&lt;="&amp;EOMONTH(B2341,0))),C_CLAVE,0))&amp;"","Sin dato"))</f>
        <v/>
      </c>
      <c r="AB2341" s="71" t="str">
        <f aca="false">IF(AH2341="","",ROUND(MIN(K2341,TOPE_AFP_UF*AJ2341)*AK2341,0))</f>
        <v/>
      </c>
      <c r="AC2341" s="71" t="str">
        <f aca="false">IF(AH2341="","",ROUND(MIN(K2341,TOPE_AFC_UF*AJ2341)*IF(AA2341="Indefinido",AFC_EMP_INDEF,AFC_EMP_PF),0))</f>
        <v/>
      </c>
      <c r="AD2341" s="71" t="str">
        <f aca="false">IF(AH2341="","",ROUND(MIN(K2341,TOPE_AFP_UF*AJ2341)*(MUTUAL_BASICA+MUTUAL_ADIC+SANNA),0))</f>
        <v/>
      </c>
      <c r="AE2341" s="71" t="str">
        <f aca="false">IF(AH2341="","",P2341-N(N2341)+AB2341+AC2341+AD2341)</f>
        <v/>
      </c>
      <c r="AF2341" s="65"/>
      <c r="AG2341" s="64"/>
      <c r="AH2341" s="72" t="str">
        <f aca="false">IF(OR(B2341="",C2341=""),"",C2341&amp;"|"&amp;(YEAR(B2341)*100+MONTH(B2341)))</f>
        <v/>
      </c>
      <c r="AI2341" s="70" t="str">
        <f aca="false">IF(AH2341="","",IF(COUNTIF(L_CLAVE,AH2341)&gt;1,"⚠ Duplicado","OK"))</f>
        <v/>
      </c>
      <c r="AJ2341" s="86" t="str">
        <f aca="false">IF(AH2341="","",IF(SUMPRODUCT(MAX((IND_PER&lt;=B2341)*(IND_UF&lt;&gt;"")*IND_PER))=0,UF_HOY,INDEX(IND_UF,MATCH(SUMPRODUCT(MAX((IND_PER&lt;=B2341)*(IND_UF&lt;&gt;"")*IND_PER)),IND_PER,0))))</f>
        <v/>
      </c>
      <c r="AK2341" s="87" t="str">
        <f aca="false">IF(AH2341="","",IF(COUNTIF(TASA_DESDE,"&lt;="&amp;B2341)=0,INDEX(TASA_EMP,1),INDEX(TASA_EMP,COUNTIF(TASA_DESDE,"&lt;="&amp;B2341))))</f>
        <v/>
      </c>
    </row>
    <row r="2342" customFormat="false" ht="15" hidden="false" customHeight="false" outlineLevel="0" collapsed="false">
      <c r="B2342" s="78"/>
      <c r="C2342" s="64"/>
      <c r="D2342" s="72" t="str">
        <f aca="false">IF(C2342="","",IFERROR(INDEX(T_NOMBRE,MATCH(C2342,T_ID,0)),"⚠ ID no existe"))</f>
        <v/>
      </c>
      <c r="E2342" s="69"/>
      <c r="F2342" s="67"/>
      <c r="G2342" s="67"/>
      <c r="H2342" s="67"/>
      <c r="I2342" s="67"/>
      <c r="J2342" s="67"/>
      <c r="K2342" s="85" t="str">
        <f aca="false">IF(AH2342="","",N(F2342)+N(G2342)+N(H2342)-N(I2342)+N(J2342))</f>
        <v/>
      </c>
      <c r="L2342" s="67"/>
      <c r="M2342" s="67"/>
      <c r="N2342" s="67"/>
      <c r="O2342" s="67"/>
      <c r="P2342" s="85" t="str">
        <f aca="false">IF(AH2342="","",K2342+N(L2342)+N(M2342)+N(N2342)+N(O2342))</f>
        <v/>
      </c>
      <c r="Q2342" s="67"/>
      <c r="R2342" s="67"/>
      <c r="S2342" s="67"/>
      <c r="T2342" s="67"/>
      <c r="U2342" s="67"/>
      <c r="V2342" s="67"/>
      <c r="W2342" s="85" t="str">
        <f aca="false">IF(AH2342="","",N(Q2342)+N(R2342)+N(S2342)+N(T2342)+N(U2342)+N(V2342))</f>
        <v/>
      </c>
      <c r="X2342" s="85" t="str">
        <f aca="false">IF(AH2342="","",P2342-W2342)</f>
        <v/>
      </c>
      <c r="Y2342" s="67"/>
      <c r="Z2342" s="70" t="str">
        <f aca="false">IF(OR(AH2342="",Y2342=""),"",IF(ABS(X2342-Y2342)&lt;=1,"✓ Cuadra","⚠ Diferencia $"&amp;FIXED(X2342-Y2342,0)))</f>
        <v/>
      </c>
      <c r="AA2342" s="72" t="str">
        <f aca="false">IF(AH2342="","",IFERROR(INDEX(C_TIPO,MATCH(C2342&amp;"-P"&amp;MAX(1,COUNTIFS(C_ID,C2342,C_DEFINE,"Sí",C_INICIO,"&lt;="&amp;EOMONTH(B2342,0))),C_CLAVE,0))&amp;"","Sin dato"))</f>
        <v/>
      </c>
      <c r="AB2342" s="71" t="str">
        <f aca="false">IF(AH2342="","",ROUND(MIN(K2342,TOPE_AFP_UF*AJ2342)*AK2342,0))</f>
        <v/>
      </c>
      <c r="AC2342" s="71" t="str">
        <f aca="false">IF(AH2342="","",ROUND(MIN(K2342,TOPE_AFC_UF*AJ2342)*IF(AA2342="Indefinido",AFC_EMP_INDEF,AFC_EMP_PF),0))</f>
        <v/>
      </c>
      <c r="AD2342" s="71" t="str">
        <f aca="false">IF(AH2342="","",ROUND(MIN(K2342,TOPE_AFP_UF*AJ2342)*(MUTUAL_BASICA+MUTUAL_ADIC+SANNA),0))</f>
        <v/>
      </c>
      <c r="AE2342" s="71" t="str">
        <f aca="false">IF(AH2342="","",P2342-N(N2342)+AB2342+AC2342+AD2342)</f>
        <v/>
      </c>
      <c r="AF2342" s="65"/>
      <c r="AG2342" s="64"/>
      <c r="AH2342" s="72" t="str">
        <f aca="false">IF(OR(B2342="",C2342=""),"",C2342&amp;"|"&amp;(YEAR(B2342)*100+MONTH(B2342)))</f>
        <v/>
      </c>
      <c r="AI2342" s="70" t="str">
        <f aca="false">IF(AH2342="","",IF(COUNTIF(L_CLAVE,AH2342)&gt;1,"⚠ Duplicado","OK"))</f>
        <v/>
      </c>
      <c r="AJ2342" s="86" t="str">
        <f aca="false">IF(AH2342="","",IF(SUMPRODUCT(MAX((IND_PER&lt;=B2342)*(IND_UF&lt;&gt;"")*IND_PER))=0,UF_HOY,INDEX(IND_UF,MATCH(SUMPRODUCT(MAX((IND_PER&lt;=B2342)*(IND_UF&lt;&gt;"")*IND_PER)),IND_PER,0))))</f>
        <v/>
      </c>
      <c r="AK2342" s="87" t="str">
        <f aca="false">IF(AH2342="","",IF(COUNTIF(TASA_DESDE,"&lt;="&amp;B2342)=0,INDEX(TASA_EMP,1),INDEX(TASA_EMP,COUNTIF(TASA_DESDE,"&lt;="&amp;B2342))))</f>
        <v/>
      </c>
    </row>
    <row r="2343" customFormat="false" ht="15" hidden="false" customHeight="false" outlineLevel="0" collapsed="false">
      <c r="B2343" s="78"/>
      <c r="C2343" s="64"/>
      <c r="D2343" s="72" t="str">
        <f aca="false">IF(C2343="","",IFERROR(INDEX(T_NOMBRE,MATCH(C2343,T_ID,0)),"⚠ ID no existe"))</f>
        <v/>
      </c>
      <c r="E2343" s="69"/>
      <c r="F2343" s="67"/>
      <c r="G2343" s="67"/>
      <c r="H2343" s="67"/>
      <c r="I2343" s="67"/>
      <c r="J2343" s="67"/>
      <c r="K2343" s="85" t="str">
        <f aca="false">IF(AH2343="","",N(F2343)+N(G2343)+N(H2343)-N(I2343)+N(J2343))</f>
        <v/>
      </c>
      <c r="L2343" s="67"/>
      <c r="M2343" s="67"/>
      <c r="N2343" s="67"/>
      <c r="O2343" s="67"/>
      <c r="P2343" s="85" t="str">
        <f aca="false">IF(AH2343="","",K2343+N(L2343)+N(M2343)+N(N2343)+N(O2343))</f>
        <v/>
      </c>
      <c r="Q2343" s="67"/>
      <c r="R2343" s="67"/>
      <c r="S2343" s="67"/>
      <c r="T2343" s="67"/>
      <c r="U2343" s="67"/>
      <c r="V2343" s="67"/>
      <c r="W2343" s="85" t="str">
        <f aca="false">IF(AH2343="","",N(Q2343)+N(R2343)+N(S2343)+N(T2343)+N(U2343)+N(V2343))</f>
        <v/>
      </c>
      <c r="X2343" s="85" t="str">
        <f aca="false">IF(AH2343="","",P2343-W2343)</f>
        <v/>
      </c>
      <c r="Y2343" s="67"/>
      <c r="Z2343" s="70" t="str">
        <f aca="false">IF(OR(AH2343="",Y2343=""),"",IF(ABS(X2343-Y2343)&lt;=1,"✓ Cuadra","⚠ Diferencia $"&amp;FIXED(X2343-Y2343,0)))</f>
        <v/>
      </c>
      <c r="AA2343" s="72" t="str">
        <f aca="false">IF(AH2343="","",IFERROR(INDEX(C_TIPO,MATCH(C2343&amp;"-P"&amp;MAX(1,COUNTIFS(C_ID,C2343,C_DEFINE,"Sí",C_INICIO,"&lt;="&amp;EOMONTH(B2343,0))),C_CLAVE,0))&amp;"","Sin dato"))</f>
        <v/>
      </c>
      <c r="AB2343" s="71" t="str">
        <f aca="false">IF(AH2343="","",ROUND(MIN(K2343,TOPE_AFP_UF*AJ2343)*AK2343,0))</f>
        <v/>
      </c>
      <c r="AC2343" s="71" t="str">
        <f aca="false">IF(AH2343="","",ROUND(MIN(K2343,TOPE_AFC_UF*AJ2343)*IF(AA2343="Indefinido",AFC_EMP_INDEF,AFC_EMP_PF),0))</f>
        <v/>
      </c>
      <c r="AD2343" s="71" t="str">
        <f aca="false">IF(AH2343="","",ROUND(MIN(K2343,TOPE_AFP_UF*AJ2343)*(MUTUAL_BASICA+MUTUAL_ADIC+SANNA),0))</f>
        <v/>
      </c>
      <c r="AE2343" s="71" t="str">
        <f aca="false">IF(AH2343="","",P2343-N(N2343)+AB2343+AC2343+AD2343)</f>
        <v/>
      </c>
      <c r="AF2343" s="65"/>
      <c r="AG2343" s="64"/>
      <c r="AH2343" s="72" t="str">
        <f aca="false">IF(OR(B2343="",C2343=""),"",C2343&amp;"|"&amp;(YEAR(B2343)*100+MONTH(B2343)))</f>
        <v/>
      </c>
      <c r="AI2343" s="70" t="str">
        <f aca="false">IF(AH2343="","",IF(COUNTIF(L_CLAVE,AH2343)&gt;1,"⚠ Duplicado","OK"))</f>
        <v/>
      </c>
      <c r="AJ2343" s="86" t="str">
        <f aca="false">IF(AH2343="","",IF(SUMPRODUCT(MAX((IND_PER&lt;=B2343)*(IND_UF&lt;&gt;"")*IND_PER))=0,UF_HOY,INDEX(IND_UF,MATCH(SUMPRODUCT(MAX((IND_PER&lt;=B2343)*(IND_UF&lt;&gt;"")*IND_PER)),IND_PER,0))))</f>
        <v/>
      </c>
      <c r="AK2343" s="87" t="str">
        <f aca="false">IF(AH2343="","",IF(COUNTIF(TASA_DESDE,"&lt;="&amp;B2343)=0,INDEX(TASA_EMP,1),INDEX(TASA_EMP,COUNTIF(TASA_DESDE,"&lt;="&amp;B2343))))</f>
        <v/>
      </c>
    </row>
    <row r="2344" customFormat="false" ht="15" hidden="false" customHeight="false" outlineLevel="0" collapsed="false">
      <c r="B2344" s="78"/>
      <c r="C2344" s="64"/>
      <c r="D2344" s="72" t="str">
        <f aca="false">IF(C2344="","",IFERROR(INDEX(T_NOMBRE,MATCH(C2344,T_ID,0)),"⚠ ID no existe"))</f>
        <v/>
      </c>
      <c r="E2344" s="69"/>
      <c r="F2344" s="67"/>
      <c r="G2344" s="67"/>
      <c r="H2344" s="67"/>
      <c r="I2344" s="67"/>
      <c r="J2344" s="67"/>
      <c r="K2344" s="85" t="str">
        <f aca="false">IF(AH2344="","",N(F2344)+N(G2344)+N(H2344)-N(I2344)+N(J2344))</f>
        <v/>
      </c>
      <c r="L2344" s="67"/>
      <c r="M2344" s="67"/>
      <c r="N2344" s="67"/>
      <c r="O2344" s="67"/>
      <c r="P2344" s="85" t="str">
        <f aca="false">IF(AH2344="","",K2344+N(L2344)+N(M2344)+N(N2344)+N(O2344))</f>
        <v/>
      </c>
      <c r="Q2344" s="67"/>
      <c r="R2344" s="67"/>
      <c r="S2344" s="67"/>
      <c r="T2344" s="67"/>
      <c r="U2344" s="67"/>
      <c r="V2344" s="67"/>
      <c r="W2344" s="85" t="str">
        <f aca="false">IF(AH2344="","",N(Q2344)+N(R2344)+N(S2344)+N(T2344)+N(U2344)+N(V2344))</f>
        <v/>
      </c>
      <c r="X2344" s="85" t="str">
        <f aca="false">IF(AH2344="","",P2344-W2344)</f>
        <v/>
      </c>
      <c r="Y2344" s="67"/>
      <c r="Z2344" s="70" t="str">
        <f aca="false">IF(OR(AH2344="",Y2344=""),"",IF(ABS(X2344-Y2344)&lt;=1,"✓ Cuadra","⚠ Diferencia $"&amp;FIXED(X2344-Y2344,0)))</f>
        <v/>
      </c>
      <c r="AA2344" s="72" t="str">
        <f aca="false">IF(AH2344="","",IFERROR(INDEX(C_TIPO,MATCH(C2344&amp;"-P"&amp;MAX(1,COUNTIFS(C_ID,C2344,C_DEFINE,"Sí",C_INICIO,"&lt;="&amp;EOMONTH(B2344,0))),C_CLAVE,0))&amp;"","Sin dato"))</f>
        <v/>
      </c>
      <c r="AB2344" s="71" t="str">
        <f aca="false">IF(AH2344="","",ROUND(MIN(K2344,TOPE_AFP_UF*AJ2344)*AK2344,0))</f>
        <v/>
      </c>
      <c r="AC2344" s="71" t="str">
        <f aca="false">IF(AH2344="","",ROUND(MIN(K2344,TOPE_AFC_UF*AJ2344)*IF(AA2344="Indefinido",AFC_EMP_INDEF,AFC_EMP_PF),0))</f>
        <v/>
      </c>
      <c r="AD2344" s="71" t="str">
        <f aca="false">IF(AH2344="","",ROUND(MIN(K2344,TOPE_AFP_UF*AJ2344)*(MUTUAL_BASICA+MUTUAL_ADIC+SANNA),0))</f>
        <v/>
      </c>
      <c r="AE2344" s="71" t="str">
        <f aca="false">IF(AH2344="","",P2344-N(N2344)+AB2344+AC2344+AD2344)</f>
        <v/>
      </c>
      <c r="AF2344" s="65"/>
      <c r="AG2344" s="64"/>
      <c r="AH2344" s="72" t="str">
        <f aca="false">IF(OR(B2344="",C2344=""),"",C2344&amp;"|"&amp;(YEAR(B2344)*100+MONTH(B2344)))</f>
        <v/>
      </c>
      <c r="AI2344" s="70" t="str">
        <f aca="false">IF(AH2344="","",IF(COUNTIF(L_CLAVE,AH2344)&gt;1,"⚠ Duplicado","OK"))</f>
        <v/>
      </c>
      <c r="AJ2344" s="86" t="str">
        <f aca="false">IF(AH2344="","",IF(SUMPRODUCT(MAX((IND_PER&lt;=B2344)*(IND_UF&lt;&gt;"")*IND_PER))=0,UF_HOY,INDEX(IND_UF,MATCH(SUMPRODUCT(MAX((IND_PER&lt;=B2344)*(IND_UF&lt;&gt;"")*IND_PER)),IND_PER,0))))</f>
        <v/>
      </c>
      <c r="AK2344" s="87" t="str">
        <f aca="false">IF(AH2344="","",IF(COUNTIF(TASA_DESDE,"&lt;="&amp;B2344)=0,INDEX(TASA_EMP,1),INDEX(TASA_EMP,COUNTIF(TASA_DESDE,"&lt;="&amp;B2344))))</f>
        <v/>
      </c>
    </row>
    <row r="2345" customFormat="false" ht="15" hidden="false" customHeight="false" outlineLevel="0" collapsed="false">
      <c r="B2345" s="78"/>
      <c r="C2345" s="64"/>
      <c r="D2345" s="72" t="str">
        <f aca="false">IF(C2345="","",IFERROR(INDEX(T_NOMBRE,MATCH(C2345,T_ID,0)),"⚠ ID no existe"))</f>
        <v/>
      </c>
      <c r="E2345" s="69"/>
      <c r="F2345" s="67"/>
      <c r="G2345" s="67"/>
      <c r="H2345" s="67"/>
      <c r="I2345" s="67"/>
      <c r="J2345" s="67"/>
      <c r="K2345" s="85" t="str">
        <f aca="false">IF(AH2345="","",N(F2345)+N(G2345)+N(H2345)-N(I2345)+N(J2345))</f>
        <v/>
      </c>
      <c r="L2345" s="67"/>
      <c r="M2345" s="67"/>
      <c r="N2345" s="67"/>
      <c r="O2345" s="67"/>
      <c r="P2345" s="85" t="str">
        <f aca="false">IF(AH2345="","",K2345+N(L2345)+N(M2345)+N(N2345)+N(O2345))</f>
        <v/>
      </c>
      <c r="Q2345" s="67"/>
      <c r="R2345" s="67"/>
      <c r="S2345" s="67"/>
      <c r="T2345" s="67"/>
      <c r="U2345" s="67"/>
      <c r="V2345" s="67"/>
      <c r="W2345" s="85" t="str">
        <f aca="false">IF(AH2345="","",N(Q2345)+N(R2345)+N(S2345)+N(T2345)+N(U2345)+N(V2345))</f>
        <v/>
      </c>
      <c r="X2345" s="85" t="str">
        <f aca="false">IF(AH2345="","",P2345-W2345)</f>
        <v/>
      </c>
      <c r="Y2345" s="67"/>
      <c r="Z2345" s="70" t="str">
        <f aca="false">IF(OR(AH2345="",Y2345=""),"",IF(ABS(X2345-Y2345)&lt;=1,"✓ Cuadra","⚠ Diferencia $"&amp;FIXED(X2345-Y2345,0)))</f>
        <v/>
      </c>
      <c r="AA2345" s="72" t="str">
        <f aca="false">IF(AH2345="","",IFERROR(INDEX(C_TIPO,MATCH(C2345&amp;"-P"&amp;MAX(1,COUNTIFS(C_ID,C2345,C_DEFINE,"Sí",C_INICIO,"&lt;="&amp;EOMONTH(B2345,0))),C_CLAVE,0))&amp;"","Sin dato"))</f>
        <v/>
      </c>
      <c r="AB2345" s="71" t="str">
        <f aca="false">IF(AH2345="","",ROUND(MIN(K2345,TOPE_AFP_UF*AJ2345)*AK2345,0))</f>
        <v/>
      </c>
      <c r="AC2345" s="71" t="str">
        <f aca="false">IF(AH2345="","",ROUND(MIN(K2345,TOPE_AFC_UF*AJ2345)*IF(AA2345="Indefinido",AFC_EMP_INDEF,AFC_EMP_PF),0))</f>
        <v/>
      </c>
      <c r="AD2345" s="71" t="str">
        <f aca="false">IF(AH2345="","",ROUND(MIN(K2345,TOPE_AFP_UF*AJ2345)*(MUTUAL_BASICA+MUTUAL_ADIC+SANNA),0))</f>
        <v/>
      </c>
      <c r="AE2345" s="71" t="str">
        <f aca="false">IF(AH2345="","",P2345-N(N2345)+AB2345+AC2345+AD2345)</f>
        <v/>
      </c>
      <c r="AF2345" s="65"/>
      <c r="AG2345" s="64"/>
      <c r="AH2345" s="72" t="str">
        <f aca="false">IF(OR(B2345="",C2345=""),"",C2345&amp;"|"&amp;(YEAR(B2345)*100+MONTH(B2345)))</f>
        <v/>
      </c>
      <c r="AI2345" s="70" t="str">
        <f aca="false">IF(AH2345="","",IF(COUNTIF(L_CLAVE,AH2345)&gt;1,"⚠ Duplicado","OK"))</f>
        <v/>
      </c>
      <c r="AJ2345" s="86" t="str">
        <f aca="false">IF(AH2345="","",IF(SUMPRODUCT(MAX((IND_PER&lt;=B2345)*(IND_UF&lt;&gt;"")*IND_PER))=0,UF_HOY,INDEX(IND_UF,MATCH(SUMPRODUCT(MAX((IND_PER&lt;=B2345)*(IND_UF&lt;&gt;"")*IND_PER)),IND_PER,0))))</f>
        <v/>
      </c>
      <c r="AK2345" s="87" t="str">
        <f aca="false">IF(AH2345="","",IF(COUNTIF(TASA_DESDE,"&lt;="&amp;B2345)=0,INDEX(TASA_EMP,1),INDEX(TASA_EMP,COUNTIF(TASA_DESDE,"&lt;="&amp;B2345))))</f>
        <v/>
      </c>
    </row>
    <row r="2346" customFormat="false" ht="15" hidden="false" customHeight="false" outlineLevel="0" collapsed="false">
      <c r="B2346" s="78"/>
      <c r="C2346" s="64"/>
      <c r="D2346" s="72" t="str">
        <f aca="false">IF(C2346="","",IFERROR(INDEX(T_NOMBRE,MATCH(C2346,T_ID,0)),"⚠ ID no existe"))</f>
        <v/>
      </c>
      <c r="E2346" s="69"/>
      <c r="F2346" s="67"/>
      <c r="G2346" s="67"/>
      <c r="H2346" s="67"/>
      <c r="I2346" s="67"/>
      <c r="J2346" s="67"/>
      <c r="K2346" s="85" t="str">
        <f aca="false">IF(AH2346="","",N(F2346)+N(G2346)+N(H2346)-N(I2346)+N(J2346))</f>
        <v/>
      </c>
      <c r="L2346" s="67"/>
      <c r="M2346" s="67"/>
      <c r="N2346" s="67"/>
      <c r="O2346" s="67"/>
      <c r="P2346" s="85" t="str">
        <f aca="false">IF(AH2346="","",K2346+N(L2346)+N(M2346)+N(N2346)+N(O2346))</f>
        <v/>
      </c>
      <c r="Q2346" s="67"/>
      <c r="R2346" s="67"/>
      <c r="S2346" s="67"/>
      <c r="T2346" s="67"/>
      <c r="U2346" s="67"/>
      <c r="V2346" s="67"/>
      <c r="W2346" s="85" t="str">
        <f aca="false">IF(AH2346="","",N(Q2346)+N(R2346)+N(S2346)+N(T2346)+N(U2346)+N(V2346))</f>
        <v/>
      </c>
      <c r="X2346" s="85" t="str">
        <f aca="false">IF(AH2346="","",P2346-W2346)</f>
        <v/>
      </c>
      <c r="Y2346" s="67"/>
      <c r="Z2346" s="70" t="str">
        <f aca="false">IF(OR(AH2346="",Y2346=""),"",IF(ABS(X2346-Y2346)&lt;=1,"✓ Cuadra","⚠ Diferencia $"&amp;FIXED(X2346-Y2346,0)))</f>
        <v/>
      </c>
      <c r="AA2346" s="72" t="str">
        <f aca="false">IF(AH2346="","",IFERROR(INDEX(C_TIPO,MATCH(C2346&amp;"-P"&amp;MAX(1,COUNTIFS(C_ID,C2346,C_DEFINE,"Sí",C_INICIO,"&lt;="&amp;EOMONTH(B2346,0))),C_CLAVE,0))&amp;"","Sin dato"))</f>
        <v/>
      </c>
      <c r="AB2346" s="71" t="str">
        <f aca="false">IF(AH2346="","",ROUND(MIN(K2346,TOPE_AFP_UF*AJ2346)*AK2346,0))</f>
        <v/>
      </c>
      <c r="AC2346" s="71" t="str">
        <f aca="false">IF(AH2346="","",ROUND(MIN(K2346,TOPE_AFC_UF*AJ2346)*IF(AA2346="Indefinido",AFC_EMP_INDEF,AFC_EMP_PF),0))</f>
        <v/>
      </c>
      <c r="AD2346" s="71" t="str">
        <f aca="false">IF(AH2346="","",ROUND(MIN(K2346,TOPE_AFP_UF*AJ2346)*(MUTUAL_BASICA+MUTUAL_ADIC+SANNA),0))</f>
        <v/>
      </c>
      <c r="AE2346" s="71" t="str">
        <f aca="false">IF(AH2346="","",P2346-N(N2346)+AB2346+AC2346+AD2346)</f>
        <v/>
      </c>
      <c r="AF2346" s="65"/>
      <c r="AG2346" s="64"/>
      <c r="AH2346" s="72" t="str">
        <f aca="false">IF(OR(B2346="",C2346=""),"",C2346&amp;"|"&amp;(YEAR(B2346)*100+MONTH(B2346)))</f>
        <v/>
      </c>
      <c r="AI2346" s="70" t="str">
        <f aca="false">IF(AH2346="","",IF(COUNTIF(L_CLAVE,AH2346)&gt;1,"⚠ Duplicado","OK"))</f>
        <v/>
      </c>
      <c r="AJ2346" s="86" t="str">
        <f aca="false">IF(AH2346="","",IF(SUMPRODUCT(MAX((IND_PER&lt;=B2346)*(IND_UF&lt;&gt;"")*IND_PER))=0,UF_HOY,INDEX(IND_UF,MATCH(SUMPRODUCT(MAX((IND_PER&lt;=B2346)*(IND_UF&lt;&gt;"")*IND_PER)),IND_PER,0))))</f>
        <v/>
      </c>
      <c r="AK2346" s="87" t="str">
        <f aca="false">IF(AH2346="","",IF(COUNTIF(TASA_DESDE,"&lt;="&amp;B2346)=0,INDEX(TASA_EMP,1),INDEX(TASA_EMP,COUNTIF(TASA_DESDE,"&lt;="&amp;B2346))))</f>
        <v/>
      </c>
    </row>
    <row r="2347" customFormat="false" ht="15" hidden="false" customHeight="false" outlineLevel="0" collapsed="false">
      <c r="B2347" s="78"/>
      <c r="C2347" s="64"/>
      <c r="D2347" s="72" t="str">
        <f aca="false">IF(C2347="","",IFERROR(INDEX(T_NOMBRE,MATCH(C2347,T_ID,0)),"⚠ ID no existe"))</f>
        <v/>
      </c>
      <c r="E2347" s="69"/>
      <c r="F2347" s="67"/>
      <c r="G2347" s="67"/>
      <c r="H2347" s="67"/>
      <c r="I2347" s="67"/>
      <c r="J2347" s="67"/>
      <c r="K2347" s="85" t="str">
        <f aca="false">IF(AH2347="","",N(F2347)+N(G2347)+N(H2347)-N(I2347)+N(J2347))</f>
        <v/>
      </c>
      <c r="L2347" s="67"/>
      <c r="M2347" s="67"/>
      <c r="N2347" s="67"/>
      <c r="O2347" s="67"/>
      <c r="P2347" s="85" t="str">
        <f aca="false">IF(AH2347="","",K2347+N(L2347)+N(M2347)+N(N2347)+N(O2347))</f>
        <v/>
      </c>
      <c r="Q2347" s="67"/>
      <c r="R2347" s="67"/>
      <c r="S2347" s="67"/>
      <c r="T2347" s="67"/>
      <c r="U2347" s="67"/>
      <c r="V2347" s="67"/>
      <c r="W2347" s="85" t="str">
        <f aca="false">IF(AH2347="","",N(Q2347)+N(R2347)+N(S2347)+N(T2347)+N(U2347)+N(V2347))</f>
        <v/>
      </c>
      <c r="X2347" s="85" t="str">
        <f aca="false">IF(AH2347="","",P2347-W2347)</f>
        <v/>
      </c>
      <c r="Y2347" s="67"/>
      <c r="Z2347" s="70" t="str">
        <f aca="false">IF(OR(AH2347="",Y2347=""),"",IF(ABS(X2347-Y2347)&lt;=1,"✓ Cuadra","⚠ Diferencia $"&amp;FIXED(X2347-Y2347,0)))</f>
        <v/>
      </c>
      <c r="AA2347" s="72" t="str">
        <f aca="false">IF(AH2347="","",IFERROR(INDEX(C_TIPO,MATCH(C2347&amp;"-P"&amp;MAX(1,COUNTIFS(C_ID,C2347,C_DEFINE,"Sí",C_INICIO,"&lt;="&amp;EOMONTH(B2347,0))),C_CLAVE,0))&amp;"","Sin dato"))</f>
        <v/>
      </c>
      <c r="AB2347" s="71" t="str">
        <f aca="false">IF(AH2347="","",ROUND(MIN(K2347,TOPE_AFP_UF*AJ2347)*AK2347,0))</f>
        <v/>
      </c>
      <c r="AC2347" s="71" t="str">
        <f aca="false">IF(AH2347="","",ROUND(MIN(K2347,TOPE_AFC_UF*AJ2347)*IF(AA2347="Indefinido",AFC_EMP_INDEF,AFC_EMP_PF),0))</f>
        <v/>
      </c>
      <c r="AD2347" s="71" t="str">
        <f aca="false">IF(AH2347="","",ROUND(MIN(K2347,TOPE_AFP_UF*AJ2347)*(MUTUAL_BASICA+MUTUAL_ADIC+SANNA),0))</f>
        <v/>
      </c>
      <c r="AE2347" s="71" t="str">
        <f aca="false">IF(AH2347="","",P2347-N(N2347)+AB2347+AC2347+AD2347)</f>
        <v/>
      </c>
      <c r="AF2347" s="65"/>
      <c r="AG2347" s="64"/>
      <c r="AH2347" s="72" t="str">
        <f aca="false">IF(OR(B2347="",C2347=""),"",C2347&amp;"|"&amp;(YEAR(B2347)*100+MONTH(B2347)))</f>
        <v/>
      </c>
      <c r="AI2347" s="70" t="str">
        <f aca="false">IF(AH2347="","",IF(COUNTIF(L_CLAVE,AH2347)&gt;1,"⚠ Duplicado","OK"))</f>
        <v/>
      </c>
      <c r="AJ2347" s="86" t="str">
        <f aca="false">IF(AH2347="","",IF(SUMPRODUCT(MAX((IND_PER&lt;=B2347)*(IND_UF&lt;&gt;"")*IND_PER))=0,UF_HOY,INDEX(IND_UF,MATCH(SUMPRODUCT(MAX((IND_PER&lt;=B2347)*(IND_UF&lt;&gt;"")*IND_PER)),IND_PER,0))))</f>
        <v/>
      </c>
      <c r="AK2347" s="87" t="str">
        <f aca="false">IF(AH2347="","",IF(COUNTIF(TASA_DESDE,"&lt;="&amp;B2347)=0,INDEX(TASA_EMP,1),INDEX(TASA_EMP,COUNTIF(TASA_DESDE,"&lt;="&amp;B2347))))</f>
        <v/>
      </c>
    </row>
    <row r="2348" customFormat="false" ht="15" hidden="false" customHeight="false" outlineLevel="0" collapsed="false">
      <c r="B2348" s="78"/>
      <c r="C2348" s="64"/>
      <c r="D2348" s="72" t="str">
        <f aca="false">IF(C2348="","",IFERROR(INDEX(T_NOMBRE,MATCH(C2348,T_ID,0)),"⚠ ID no existe"))</f>
        <v/>
      </c>
      <c r="E2348" s="69"/>
      <c r="F2348" s="67"/>
      <c r="G2348" s="67"/>
      <c r="H2348" s="67"/>
      <c r="I2348" s="67"/>
      <c r="J2348" s="67"/>
      <c r="K2348" s="85" t="str">
        <f aca="false">IF(AH2348="","",N(F2348)+N(G2348)+N(H2348)-N(I2348)+N(J2348))</f>
        <v/>
      </c>
      <c r="L2348" s="67"/>
      <c r="M2348" s="67"/>
      <c r="N2348" s="67"/>
      <c r="O2348" s="67"/>
      <c r="P2348" s="85" t="str">
        <f aca="false">IF(AH2348="","",K2348+N(L2348)+N(M2348)+N(N2348)+N(O2348))</f>
        <v/>
      </c>
      <c r="Q2348" s="67"/>
      <c r="R2348" s="67"/>
      <c r="S2348" s="67"/>
      <c r="T2348" s="67"/>
      <c r="U2348" s="67"/>
      <c r="V2348" s="67"/>
      <c r="W2348" s="85" t="str">
        <f aca="false">IF(AH2348="","",N(Q2348)+N(R2348)+N(S2348)+N(T2348)+N(U2348)+N(V2348))</f>
        <v/>
      </c>
      <c r="X2348" s="85" t="str">
        <f aca="false">IF(AH2348="","",P2348-W2348)</f>
        <v/>
      </c>
      <c r="Y2348" s="67"/>
      <c r="Z2348" s="70" t="str">
        <f aca="false">IF(OR(AH2348="",Y2348=""),"",IF(ABS(X2348-Y2348)&lt;=1,"✓ Cuadra","⚠ Diferencia $"&amp;FIXED(X2348-Y2348,0)))</f>
        <v/>
      </c>
      <c r="AA2348" s="72" t="str">
        <f aca="false">IF(AH2348="","",IFERROR(INDEX(C_TIPO,MATCH(C2348&amp;"-P"&amp;MAX(1,COUNTIFS(C_ID,C2348,C_DEFINE,"Sí",C_INICIO,"&lt;="&amp;EOMONTH(B2348,0))),C_CLAVE,0))&amp;"","Sin dato"))</f>
        <v/>
      </c>
      <c r="AB2348" s="71" t="str">
        <f aca="false">IF(AH2348="","",ROUND(MIN(K2348,TOPE_AFP_UF*AJ2348)*AK2348,0))</f>
        <v/>
      </c>
      <c r="AC2348" s="71" t="str">
        <f aca="false">IF(AH2348="","",ROUND(MIN(K2348,TOPE_AFC_UF*AJ2348)*IF(AA2348="Indefinido",AFC_EMP_INDEF,AFC_EMP_PF),0))</f>
        <v/>
      </c>
      <c r="AD2348" s="71" t="str">
        <f aca="false">IF(AH2348="","",ROUND(MIN(K2348,TOPE_AFP_UF*AJ2348)*(MUTUAL_BASICA+MUTUAL_ADIC+SANNA),0))</f>
        <v/>
      </c>
      <c r="AE2348" s="71" t="str">
        <f aca="false">IF(AH2348="","",P2348-N(N2348)+AB2348+AC2348+AD2348)</f>
        <v/>
      </c>
      <c r="AF2348" s="65"/>
      <c r="AG2348" s="64"/>
      <c r="AH2348" s="72" t="str">
        <f aca="false">IF(OR(B2348="",C2348=""),"",C2348&amp;"|"&amp;(YEAR(B2348)*100+MONTH(B2348)))</f>
        <v/>
      </c>
      <c r="AI2348" s="70" t="str">
        <f aca="false">IF(AH2348="","",IF(COUNTIF(L_CLAVE,AH2348)&gt;1,"⚠ Duplicado","OK"))</f>
        <v/>
      </c>
      <c r="AJ2348" s="86" t="str">
        <f aca="false">IF(AH2348="","",IF(SUMPRODUCT(MAX((IND_PER&lt;=B2348)*(IND_UF&lt;&gt;"")*IND_PER))=0,UF_HOY,INDEX(IND_UF,MATCH(SUMPRODUCT(MAX((IND_PER&lt;=B2348)*(IND_UF&lt;&gt;"")*IND_PER)),IND_PER,0))))</f>
        <v/>
      </c>
      <c r="AK2348" s="87" t="str">
        <f aca="false">IF(AH2348="","",IF(COUNTIF(TASA_DESDE,"&lt;="&amp;B2348)=0,INDEX(TASA_EMP,1),INDEX(TASA_EMP,COUNTIF(TASA_DESDE,"&lt;="&amp;B2348))))</f>
        <v/>
      </c>
    </row>
    <row r="2349" customFormat="false" ht="15" hidden="false" customHeight="false" outlineLevel="0" collapsed="false">
      <c r="B2349" s="78"/>
      <c r="C2349" s="64"/>
      <c r="D2349" s="72" t="str">
        <f aca="false">IF(C2349="","",IFERROR(INDEX(T_NOMBRE,MATCH(C2349,T_ID,0)),"⚠ ID no existe"))</f>
        <v/>
      </c>
      <c r="E2349" s="69"/>
      <c r="F2349" s="67"/>
      <c r="G2349" s="67"/>
      <c r="H2349" s="67"/>
      <c r="I2349" s="67"/>
      <c r="J2349" s="67"/>
      <c r="K2349" s="85" t="str">
        <f aca="false">IF(AH2349="","",N(F2349)+N(G2349)+N(H2349)-N(I2349)+N(J2349))</f>
        <v/>
      </c>
      <c r="L2349" s="67"/>
      <c r="M2349" s="67"/>
      <c r="N2349" s="67"/>
      <c r="O2349" s="67"/>
      <c r="P2349" s="85" t="str">
        <f aca="false">IF(AH2349="","",K2349+N(L2349)+N(M2349)+N(N2349)+N(O2349))</f>
        <v/>
      </c>
      <c r="Q2349" s="67"/>
      <c r="R2349" s="67"/>
      <c r="S2349" s="67"/>
      <c r="T2349" s="67"/>
      <c r="U2349" s="67"/>
      <c r="V2349" s="67"/>
      <c r="W2349" s="85" t="str">
        <f aca="false">IF(AH2349="","",N(Q2349)+N(R2349)+N(S2349)+N(T2349)+N(U2349)+N(V2349))</f>
        <v/>
      </c>
      <c r="X2349" s="85" t="str">
        <f aca="false">IF(AH2349="","",P2349-W2349)</f>
        <v/>
      </c>
      <c r="Y2349" s="67"/>
      <c r="Z2349" s="70" t="str">
        <f aca="false">IF(OR(AH2349="",Y2349=""),"",IF(ABS(X2349-Y2349)&lt;=1,"✓ Cuadra","⚠ Diferencia $"&amp;FIXED(X2349-Y2349,0)))</f>
        <v/>
      </c>
      <c r="AA2349" s="72" t="str">
        <f aca="false">IF(AH2349="","",IFERROR(INDEX(C_TIPO,MATCH(C2349&amp;"-P"&amp;MAX(1,COUNTIFS(C_ID,C2349,C_DEFINE,"Sí",C_INICIO,"&lt;="&amp;EOMONTH(B2349,0))),C_CLAVE,0))&amp;"","Sin dato"))</f>
        <v/>
      </c>
      <c r="AB2349" s="71" t="str">
        <f aca="false">IF(AH2349="","",ROUND(MIN(K2349,TOPE_AFP_UF*AJ2349)*AK2349,0))</f>
        <v/>
      </c>
      <c r="AC2349" s="71" t="str">
        <f aca="false">IF(AH2349="","",ROUND(MIN(K2349,TOPE_AFC_UF*AJ2349)*IF(AA2349="Indefinido",AFC_EMP_INDEF,AFC_EMP_PF),0))</f>
        <v/>
      </c>
      <c r="AD2349" s="71" t="str">
        <f aca="false">IF(AH2349="","",ROUND(MIN(K2349,TOPE_AFP_UF*AJ2349)*(MUTUAL_BASICA+MUTUAL_ADIC+SANNA),0))</f>
        <v/>
      </c>
      <c r="AE2349" s="71" t="str">
        <f aca="false">IF(AH2349="","",P2349-N(N2349)+AB2349+AC2349+AD2349)</f>
        <v/>
      </c>
      <c r="AF2349" s="65"/>
      <c r="AG2349" s="64"/>
      <c r="AH2349" s="72" t="str">
        <f aca="false">IF(OR(B2349="",C2349=""),"",C2349&amp;"|"&amp;(YEAR(B2349)*100+MONTH(B2349)))</f>
        <v/>
      </c>
      <c r="AI2349" s="70" t="str">
        <f aca="false">IF(AH2349="","",IF(COUNTIF(L_CLAVE,AH2349)&gt;1,"⚠ Duplicado","OK"))</f>
        <v/>
      </c>
      <c r="AJ2349" s="86" t="str">
        <f aca="false">IF(AH2349="","",IF(SUMPRODUCT(MAX((IND_PER&lt;=B2349)*(IND_UF&lt;&gt;"")*IND_PER))=0,UF_HOY,INDEX(IND_UF,MATCH(SUMPRODUCT(MAX((IND_PER&lt;=B2349)*(IND_UF&lt;&gt;"")*IND_PER)),IND_PER,0))))</f>
        <v/>
      </c>
      <c r="AK2349" s="87" t="str">
        <f aca="false">IF(AH2349="","",IF(COUNTIF(TASA_DESDE,"&lt;="&amp;B2349)=0,INDEX(TASA_EMP,1),INDEX(TASA_EMP,COUNTIF(TASA_DESDE,"&lt;="&amp;B2349))))</f>
        <v/>
      </c>
    </row>
    <row r="2350" customFormat="false" ht="15" hidden="false" customHeight="false" outlineLevel="0" collapsed="false">
      <c r="B2350" s="78"/>
      <c r="C2350" s="64"/>
      <c r="D2350" s="72" t="str">
        <f aca="false">IF(C2350="","",IFERROR(INDEX(T_NOMBRE,MATCH(C2350,T_ID,0)),"⚠ ID no existe"))</f>
        <v/>
      </c>
      <c r="E2350" s="69"/>
      <c r="F2350" s="67"/>
      <c r="G2350" s="67"/>
      <c r="H2350" s="67"/>
      <c r="I2350" s="67"/>
      <c r="J2350" s="67"/>
      <c r="K2350" s="85" t="str">
        <f aca="false">IF(AH2350="","",N(F2350)+N(G2350)+N(H2350)-N(I2350)+N(J2350))</f>
        <v/>
      </c>
      <c r="L2350" s="67"/>
      <c r="M2350" s="67"/>
      <c r="N2350" s="67"/>
      <c r="O2350" s="67"/>
      <c r="P2350" s="85" t="str">
        <f aca="false">IF(AH2350="","",K2350+N(L2350)+N(M2350)+N(N2350)+N(O2350))</f>
        <v/>
      </c>
      <c r="Q2350" s="67"/>
      <c r="R2350" s="67"/>
      <c r="S2350" s="67"/>
      <c r="T2350" s="67"/>
      <c r="U2350" s="67"/>
      <c r="V2350" s="67"/>
      <c r="W2350" s="85" t="str">
        <f aca="false">IF(AH2350="","",N(Q2350)+N(R2350)+N(S2350)+N(T2350)+N(U2350)+N(V2350))</f>
        <v/>
      </c>
      <c r="X2350" s="85" t="str">
        <f aca="false">IF(AH2350="","",P2350-W2350)</f>
        <v/>
      </c>
      <c r="Y2350" s="67"/>
      <c r="Z2350" s="70" t="str">
        <f aca="false">IF(OR(AH2350="",Y2350=""),"",IF(ABS(X2350-Y2350)&lt;=1,"✓ Cuadra","⚠ Diferencia $"&amp;FIXED(X2350-Y2350,0)))</f>
        <v/>
      </c>
      <c r="AA2350" s="72" t="str">
        <f aca="false">IF(AH2350="","",IFERROR(INDEX(C_TIPO,MATCH(C2350&amp;"-P"&amp;MAX(1,COUNTIFS(C_ID,C2350,C_DEFINE,"Sí",C_INICIO,"&lt;="&amp;EOMONTH(B2350,0))),C_CLAVE,0))&amp;"","Sin dato"))</f>
        <v/>
      </c>
      <c r="AB2350" s="71" t="str">
        <f aca="false">IF(AH2350="","",ROUND(MIN(K2350,TOPE_AFP_UF*AJ2350)*AK2350,0))</f>
        <v/>
      </c>
      <c r="AC2350" s="71" t="str">
        <f aca="false">IF(AH2350="","",ROUND(MIN(K2350,TOPE_AFC_UF*AJ2350)*IF(AA2350="Indefinido",AFC_EMP_INDEF,AFC_EMP_PF),0))</f>
        <v/>
      </c>
      <c r="AD2350" s="71" t="str">
        <f aca="false">IF(AH2350="","",ROUND(MIN(K2350,TOPE_AFP_UF*AJ2350)*(MUTUAL_BASICA+MUTUAL_ADIC+SANNA),0))</f>
        <v/>
      </c>
      <c r="AE2350" s="71" t="str">
        <f aca="false">IF(AH2350="","",P2350-N(N2350)+AB2350+AC2350+AD2350)</f>
        <v/>
      </c>
      <c r="AF2350" s="65"/>
      <c r="AG2350" s="64"/>
      <c r="AH2350" s="72" t="str">
        <f aca="false">IF(OR(B2350="",C2350=""),"",C2350&amp;"|"&amp;(YEAR(B2350)*100+MONTH(B2350)))</f>
        <v/>
      </c>
      <c r="AI2350" s="70" t="str">
        <f aca="false">IF(AH2350="","",IF(COUNTIF(L_CLAVE,AH2350)&gt;1,"⚠ Duplicado","OK"))</f>
        <v/>
      </c>
      <c r="AJ2350" s="86" t="str">
        <f aca="false">IF(AH2350="","",IF(SUMPRODUCT(MAX((IND_PER&lt;=B2350)*(IND_UF&lt;&gt;"")*IND_PER))=0,UF_HOY,INDEX(IND_UF,MATCH(SUMPRODUCT(MAX((IND_PER&lt;=B2350)*(IND_UF&lt;&gt;"")*IND_PER)),IND_PER,0))))</f>
        <v/>
      </c>
      <c r="AK2350" s="87" t="str">
        <f aca="false">IF(AH2350="","",IF(COUNTIF(TASA_DESDE,"&lt;="&amp;B2350)=0,INDEX(TASA_EMP,1),INDEX(TASA_EMP,COUNTIF(TASA_DESDE,"&lt;="&amp;B2350))))</f>
        <v/>
      </c>
    </row>
    <row r="2351" customFormat="false" ht="15" hidden="false" customHeight="false" outlineLevel="0" collapsed="false">
      <c r="B2351" s="78"/>
      <c r="C2351" s="64"/>
      <c r="D2351" s="72" t="str">
        <f aca="false">IF(C2351="","",IFERROR(INDEX(T_NOMBRE,MATCH(C2351,T_ID,0)),"⚠ ID no existe"))</f>
        <v/>
      </c>
      <c r="E2351" s="69"/>
      <c r="F2351" s="67"/>
      <c r="G2351" s="67"/>
      <c r="H2351" s="67"/>
      <c r="I2351" s="67"/>
      <c r="J2351" s="67"/>
      <c r="K2351" s="85" t="str">
        <f aca="false">IF(AH2351="","",N(F2351)+N(G2351)+N(H2351)-N(I2351)+N(J2351))</f>
        <v/>
      </c>
      <c r="L2351" s="67"/>
      <c r="M2351" s="67"/>
      <c r="N2351" s="67"/>
      <c r="O2351" s="67"/>
      <c r="P2351" s="85" t="str">
        <f aca="false">IF(AH2351="","",K2351+N(L2351)+N(M2351)+N(N2351)+N(O2351))</f>
        <v/>
      </c>
      <c r="Q2351" s="67"/>
      <c r="R2351" s="67"/>
      <c r="S2351" s="67"/>
      <c r="T2351" s="67"/>
      <c r="U2351" s="67"/>
      <c r="V2351" s="67"/>
      <c r="W2351" s="85" t="str">
        <f aca="false">IF(AH2351="","",N(Q2351)+N(R2351)+N(S2351)+N(T2351)+N(U2351)+N(V2351))</f>
        <v/>
      </c>
      <c r="X2351" s="85" t="str">
        <f aca="false">IF(AH2351="","",P2351-W2351)</f>
        <v/>
      </c>
      <c r="Y2351" s="67"/>
      <c r="Z2351" s="70" t="str">
        <f aca="false">IF(OR(AH2351="",Y2351=""),"",IF(ABS(X2351-Y2351)&lt;=1,"✓ Cuadra","⚠ Diferencia $"&amp;FIXED(X2351-Y2351,0)))</f>
        <v/>
      </c>
      <c r="AA2351" s="72" t="str">
        <f aca="false">IF(AH2351="","",IFERROR(INDEX(C_TIPO,MATCH(C2351&amp;"-P"&amp;MAX(1,COUNTIFS(C_ID,C2351,C_DEFINE,"Sí",C_INICIO,"&lt;="&amp;EOMONTH(B2351,0))),C_CLAVE,0))&amp;"","Sin dato"))</f>
        <v/>
      </c>
      <c r="AB2351" s="71" t="str">
        <f aca="false">IF(AH2351="","",ROUND(MIN(K2351,TOPE_AFP_UF*AJ2351)*AK2351,0))</f>
        <v/>
      </c>
      <c r="AC2351" s="71" t="str">
        <f aca="false">IF(AH2351="","",ROUND(MIN(K2351,TOPE_AFC_UF*AJ2351)*IF(AA2351="Indefinido",AFC_EMP_INDEF,AFC_EMP_PF),0))</f>
        <v/>
      </c>
      <c r="AD2351" s="71" t="str">
        <f aca="false">IF(AH2351="","",ROUND(MIN(K2351,TOPE_AFP_UF*AJ2351)*(MUTUAL_BASICA+MUTUAL_ADIC+SANNA),0))</f>
        <v/>
      </c>
      <c r="AE2351" s="71" t="str">
        <f aca="false">IF(AH2351="","",P2351-N(N2351)+AB2351+AC2351+AD2351)</f>
        <v/>
      </c>
      <c r="AF2351" s="65"/>
      <c r="AG2351" s="64"/>
      <c r="AH2351" s="72" t="str">
        <f aca="false">IF(OR(B2351="",C2351=""),"",C2351&amp;"|"&amp;(YEAR(B2351)*100+MONTH(B2351)))</f>
        <v/>
      </c>
      <c r="AI2351" s="70" t="str">
        <f aca="false">IF(AH2351="","",IF(COUNTIF(L_CLAVE,AH2351)&gt;1,"⚠ Duplicado","OK"))</f>
        <v/>
      </c>
      <c r="AJ2351" s="86" t="str">
        <f aca="false">IF(AH2351="","",IF(SUMPRODUCT(MAX((IND_PER&lt;=B2351)*(IND_UF&lt;&gt;"")*IND_PER))=0,UF_HOY,INDEX(IND_UF,MATCH(SUMPRODUCT(MAX((IND_PER&lt;=B2351)*(IND_UF&lt;&gt;"")*IND_PER)),IND_PER,0))))</f>
        <v/>
      </c>
      <c r="AK2351" s="87" t="str">
        <f aca="false">IF(AH2351="","",IF(COUNTIF(TASA_DESDE,"&lt;="&amp;B2351)=0,INDEX(TASA_EMP,1),INDEX(TASA_EMP,COUNTIF(TASA_DESDE,"&lt;="&amp;B2351))))</f>
        <v/>
      </c>
    </row>
    <row r="2352" customFormat="false" ht="15" hidden="false" customHeight="false" outlineLevel="0" collapsed="false">
      <c r="B2352" s="78"/>
      <c r="C2352" s="64"/>
      <c r="D2352" s="72" t="str">
        <f aca="false">IF(C2352="","",IFERROR(INDEX(T_NOMBRE,MATCH(C2352,T_ID,0)),"⚠ ID no existe"))</f>
        <v/>
      </c>
      <c r="E2352" s="69"/>
      <c r="F2352" s="67"/>
      <c r="G2352" s="67"/>
      <c r="H2352" s="67"/>
      <c r="I2352" s="67"/>
      <c r="J2352" s="67"/>
      <c r="K2352" s="85" t="str">
        <f aca="false">IF(AH2352="","",N(F2352)+N(G2352)+N(H2352)-N(I2352)+N(J2352))</f>
        <v/>
      </c>
      <c r="L2352" s="67"/>
      <c r="M2352" s="67"/>
      <c r="N2352" s="67"/>
      <c r="O2352" s="67"/>
      <c r="P2352" s="85" t="str">
        <f aca="false">IF(AH2352="","",K2352+N(L2352)+N(M2352)+N(N2352)+N(O2352))</f>
        <v/>
      </c>
      <c r="Q2352" s="67"/>
      <c r="R2352" s="67"/>
      <c r="S2352" s="67"/>
      <c r="T2352" s="67"/>
      <c r="U2352" s="67"/>
      <c r="V2352" s="67"/>
      <c r="W2352" s="85" t="str">
        <f aca="false">IF(AH2352="","",N(Q2352)+N(R2352)+N(S2352)+N(T2352)+N(U2352)+N(V2352))</f>
        <v/>
      </c>
      <c r="X2352" s="85" t="str">
        <f aca="false">IF(AH2352="","",P2352-W2352)</f>
        <v/>
      </c>
      <c r="Y2352" s="67"/>
      <c r="Z2352" s="70" t="str">
        <f aca="false">IF(OR(AH2352="",Y2352=""),"",IF(ABS(X2352-Y2352)&lt;=1,"✓ Cuadra","⚠ Diferencia $"&amp;FIXED(X2352-Y2352,0)))</f>
        <v/>
      </c>
      <c r="AA2352" s="72" t="str">
        <f aca="false">IF(AH2352="","",IFERROR(INDEX(C_TIPO,MATCH(C2352&amp;"-P"&amp;MAX(1,COUNTIFS(C_ID,C2352,C_DEFINE,"Sí",C_INICIO,"&lt;="&amp;EOMONTH(B2352,0))),C_CLAVE,0))&amp;"","Sin dato"))</f>
        <v/>
      </c>
      <c r="AB2352" s="71" t="str">
        <f aca="false">IF(AH2352="","",ROUND(MIN(K2352,TOPE_AFP_UF*AJ2352)*AK2352,0))</f>
        <v/>
      </c>
      <c r="AC2352" s="71" t="str">
        <f aca="false">IF(AH2352="","",ROUND(MIN(K2352,TOPE_AFC_UF*AJ2352)*IF(AA2352="Indefinido",AFC_EMP_INDEF,AFC_EMP_PF),0))</f>
        <v/>
      </c>
      <c r="AD2352" s="71" t="str">
        <f aca="false">IF(AH2352="","",ROUND(MIN(K2352,TOPE_AFP_UF*AJ2352)*(MUTUAL_BASICA+MUTUAL_ADIC+SANNA),0))</f>
        <v/>
      </c>
      <c r="AE2352" s="71" t="str">
        <f aca="false">IF(AH2352="","",P2352-N(N2352)+AB2352+AC2352+AD2352)</f>
        <v/>
      </c>
      <c r="AF2352" s="65"/>
      <c r="AG2352" s="64"/>
      <c r="AH2352" s="72" t="str">
        <f aca="false">IF(OR(B2352="",C2352=""),"",C2352&amp;"|"&amp;(YEAR(B2352)*100+MONTH(B2352)))</f>
        <v/>
      </c>
      <c r="AI2352" s="70" t="str">
        <f aca="false">IF(AH2352="","",IF(COUNTIF(L_CLAVE,AH2352)&gt;1,"⚠ Duplicado","OK"))</f>
        <v/>
      </c>
      <c r="AJ2352" s="86" t="str">
        <f aca="false">IF(AH2352="","",IF(SUMPRODUCT(MAX((IND_PER&lt;=B2352)*(IND_UF&lt;&gt;"")*IND_PER))=0,UF_HOY,INDEX(IND_UF,MATCH(SUMPRODUCT(MAX((IND_PER&lt;=B2352)*(IND_UF&lt;&gt;"")*IND_PER)),IND_PER,0))))</f>
        <v/>
      </c>
      <c r="AK2352" s="87" t="str">
        <f aca="false">IF(AH2352="","",IF(COUNTIF(TASA_DESDE,"&lt;="&amp;B2352)=0,INDEX(TASA_EMP,1),INDEX(TASA_EMP,COUNTIF(TASA_DESDE,"&lt;="&amp;B2352))))</f>
        <v/>
      </c>
    </row>
    <row r="2353" customFormat="false" ht="15" hidden="false" customHeight="false" outlineLevel="0" collapsed="false">
      <c r="B2353" s="78"/>
      <c r="C2353" s="64"/>
      <c r="D2353" s="72" t="str">
        <f aca="false">IF(C2353="","",IFERROR(INDEX(T_NOMBRE,MATCH(C2353,T_ID,0)),"⚠ ID no existe"))</f>
        <v/>
      </c>
      <c r="E2353" s="69"/>
      <c r="F2353" s="67"/>
      <c r="G2353" s="67"/>
      <c r="H2353" s="67"/>
      <c r="I2353" s="67"/>
      <c r="J2353" s="67"/>
      <c r="K2353" s="85" t="str">
        <f aca="false">IF(AH2353="","",N(F2353)+N(G2353)+N(H2353)-N(I2353)+N(J2353))</f>
        <v/>
      </c>
      <c r="L2353" s="67"/>
      <c r="M2353" s="67"/>
      <c r="N2353" s="67"/>
      <c r="O2353" s="67"/>
      <c r="P2353" s="85" t="str">
        <f aca="false">IF(AH2353="","",K2353+N(L2353)+N(M2353)+N(N2353)+N(O2353))</f>
        <v/>
      </c>
      <c r="Q2353" s="67"/>
      <c r="R2353" s="67"/>
      <c r="S2353" s="67"/>
      <c r="T2353" s="67"/>
      <c r="U2353" s="67"/>
      <c r="V2353" s="67"/>
      <c r="W2353" s="85" t="str">
        <f aca="false">IF(AH2353="","",N(Q2353)+N(R2353)+N(S2353)+N(T2353)+N(U2353)+N(V2353))</f>
        <v/>
      </c>
      <c r="X2353" s="85" t="str">
        <f aca="false">IF(AH2353="","",P2353-W2353)</f>
        <v/>
      </c>
      <c r="Y2353" s="67"/>
      <c r="Z2353" s="70" t="str">
        <f aca="false">IF(OR(AH2353="",Y2353=""),"",IF(ABS(X2353-Y2353)&lt;=1,"✓ Cuadra","⚠ Diferencia $"&amp;FIXED(X2353-Y2353,0)))</f>
        <v/>
      </c>
      <c r="AA2353" s="72" t="str">
        <f aca="false">IF(AH2353="","",IFERROR(INDEX(C_TIPO,MATCH(C2353&amp;"-P"&amp;MAX(1,COUNTIFS(C_ID,C2353,C_DEFINE,"Sí",C_INICIO,"&lt;="&amp;EOMONTH(B2353,0))),C_CLAVE,0))&amp;"","Sin dato"))</f>
        <v/>
      </c>
      <c r="AB2353" s="71" t="str">
        <f aca="false">IF(AH2353="","",ROUND(MIN(K2353,TOPE_AFP_UF*AJ2353)*AK2353,0))</f>
        <v/>
      </c>
      <c r="AC2353" s="71" t="str">
        <f aca="false">IF(AH2353="","",ROUND(MIN(K2353,TOPE_AFC_UF*AJ2353)*IF(AA2353="Indefinido",AFC_EMP_INDEF,AFC_EMP_PF),0))</f>
        <v/>
      </c>
      <c r="AD2353" s="71" t="str">
        <f aca="false">IF(AH2353="","",ROUND(MIN(K2353,TOPE_AFP_UF*AJ2353)*(MUTUAL_BASICA+MUTUAL_ADIC+SANNA),0))</f>
        <v/>
      </c>
      <c r="AE2353" s="71" t="str">
        <f aca="false">IF(AH2353="","",P2353-N(N2353)+AB2353+AC2353+AD2353)</f>
        <v/>
      </c>
      <c r="AF2353" s="65"/>
      <c r="AG2353" s="64"/>
      <c r="AH2353" s="72" t="str">
        <f aca="false">IF(OR(B2353="",C2353=""),"",C2353&amp;"|"&amp;(YEAR(B2353)*100+MONTH(B2353)))</f>
        <v/>
      </c>
      <c r="AI2353" s="70" t="str">
        <f aca="false">IF(AH2353="","",IF(COUNTIF(L_CLAVE,AH2353)&gt;1,"⚠ Duplicado","OK"))</f>
        <v/>
      </c>
      <c r="AJ2353" s="86" t="str">
        <f aca="false">IF(AH2353="","",IF(SUMPRODUCT(MAX((IND_PER&lt;=B2353)*(IND_UF&lt;&gt;"")*IND_PER))=0,UF_HOY,INDEX(IND_UF,MATCH(SUMPRODUCT(MAX((IND_PER&lt;=B2353)*(IND_UF&lt;&gt;"")*IND_PER)),IND_PER,0))))</f>
        <v/>
      </c>
      <c r="AK2353" s="87" t="str">
        <f aca="false">IF(AH2353="","",IF(COUNTIF(TASA_DESDE,"&lt;="&amp;B2353)=0,INDEX(TASA_EMP,1),INDEX(TASA_EMP,COUNTIF(TASA_DESDE,"&lt;="&amp;B2353))))</f>
        <v/>
      </c>
    </row>
    <row r="2354" customFormat="false" ht="15" hidden="false" customHeight="false" outlineLevel="0" collapsed="false">
      <c r="B2354" s="78"/>
      <c r="C2354" s="64"/>
      <c r="D2354" s="72" t="str">
        <f aca="false">IF(C2354="","",IFERROR(INDEX(T_NOMBRE,MATCH(C2354,T_ID,0)),"⚠ ID no existe"))</f>
        <v/>
      </c>
      <c r="E2354" s="69"/>
      <c r="F2354" s="67"/>
      <c r="G2354" s="67"/>
      <c r="H2354" s="67"/>
      <c r="I2354" s="67"/>
      <c r="J2354" s="67"/>
      <c r="K2354" s="85" t="str">
        <f aca="false">IF(AH2354="","",N(F2354)+N(G2354)+N(H2354)-N(I2354)+N(J2354))</f>
        <v/>
      </c>
      <c r="L2354" s="67"/>
      <c r="M2354" s="67"/>
      <c r="N2354" s="67"/>
      <c r="O2354" s="67"/>
      <c r="P2354" s="85" t="str">
        <f aca="false">IF(AH2354="","",K2354+N(L2354)+N(M2354)+N(N2354)+N(O2354))</f>
        <v/>
      </c>
      <c r="Q2354" s="67"/>
      <c r="R2354" s="67"/>
      <c r="S2354" s="67"/>
      <c r="T2354" s="67"/>
      <c r="U2354" s="67"/>
      <c r="V2354" s="67"/>
      <c r="W2354" s="85" t="str">
        <f aca="false">IF(AH2354="","",N(Q2354)+N(R2354)+N(S2354)+N(T2354)+N(U2354)+N(V2354))</f>
        <v/>
      </c>
      <c r="X2354" s="85" t="str">
        <f aca="false">IF(AH2354="","",P2354-W2354)</f>
        <v/>
      </c>
      <c r="Y2354" s="67"/>
      <c r="Z2354" s="70" t="str">
        <f aca="false">IF(OR(AH2354="",Y2354=""),"",IF(ABS(X2354-Y2354)&lt;=1,"✓ Cuadra","⚠ Diferencia $"&amp;FIXED(X2354-Y2354,0)))</f>
        <v/>
      </c>
      <c r="AA2354" s="72" t="str">
        <f aca="false">IF(AH2354="","",IFERROR(INDEX(C_TIPO,MATCH(C2354&amp;"-P"&amp;MAX(1,COUNTIFS(C_ID,C2354,C_DEFINE,"Sí",C_INICIO,"&lt;="&amp;EOMONTH(B2354,0))),C_CLAVE,0))&amp;"","Sin dato"))</f>
        <v/>
      </c>
      <c r="AB2354" s="71" t="str">
        <f aca="false">IF(AH2354="","",ROUND(MIN(K2354,TOPE_AFP_UF*AJ2354)*AK2354,0))</f>
        <v/>
      </c>
      <c r="AC2354" s="71" t="str">
        <f aca="false">IF(AH2354="","",ROUND(MIN(K2354,TOPE_AFC_UF*AJ2354)*IF(AA2354="Indefinido",AFC_EMP_INDEF,AFC_EMP_PF),0))</f>
        <v/>
      </c>
      <c r="AD2354" s="71" t="str">
        <f aca="false">IF(AH2354="","",ROUND(MIN(K2354,TOPE_AFP_UF*AJ2354)*(MUTUAL_BASICA+MUTUAL_ADIC+SANNA),0))</f>
        <v/>
      </c>
      <c r="AE2354" s="71" t="str">
        <f aca="false">IF(AH2354="","",P2354-N(N2354)+AB2354+AC2354+AD2354)</f>
        <v/>
      </c>
      <c r="AF2354" s="65"/>
      <c r="AG2354" s="64"/>
      <c r="AH2354" s="72" t="str">
        <f aca="false">IF(OR(B2354="",C2354=""),"",C2354&amp;"|"&amp;(YEAR(B2354)*100+MONTH(B2354)))</f>
        <v/>
      </c>
      <c r="AI2354" s="70" t="str">
        <f aca="false">IF(AH2354="","",IF(COUNTIF(L_CLAVE,AH2354)&gt;1,"⚠ Duplicado","OK"))</f>
        <v/>
      </c>
      <c r="AJ2354" s="86" t="str">
        <f aca="false">IF(AH2354="","",IF(SUMPRODUCT(MAX((IND_PER&lt;=B2354)*(IND_UF&lt;&gt;"")*IND_PER))=0,UF_HOY,INDEX(IND_UF,MATCH(SUMPRODUCT(MAX((IND_PER&lt;=B2354)*(IND_UF&lt;&gt;"")*IND_PER)),IND_PER,0))))</f>
        <v/>
      </c>
      <c r="AK2354" s="87" t="str">
        <f aca="false">IF(AH2354="","",IF(COUNTIF(TASA_DESDE,"&lt;="&amp;B2354)=0,INDEX(TASA_EMP,1),INDEX(TASA_EMP,COUNTIF(TASA_DESDE,"&lt;="&amp;B2354))))</f>
        <v/>
      </c>
    </row>
    <row r="2355" customFormat="false" ht="15" hidden="false" customHeight="false" outlineLevel="0" collapsed="false">
      <c r="B2355" s="78"/>
      <c r="C2355" s="64"/>
      <c r="D2355" s="72" t="str">
        <f aca="false">IF(C2355="","",IFERROR(INDEX(T_NOMBRE,MATCH(C2355,T_ID,0)),"⚠ ID no existe"))</f>
        <v/>
      </c>
      <c r="E2355" s="69"/>
      <c r="F2355" s="67"/>
      <c r="G2355" s="67"/>
      <c r="H2355" s="67"/>
      <c r="I2355" s="67"/>
      <c r="J2355" s="67"/>
      <c r="K2355" s="85" t="str">
        <f aca="false">IF(AH2355="","",N(F2355)+N(G2355)+N(H2355)-N(I2355)+N(J2355))</f>
        <v/>
      </c>
      <c r="L2355" s="67"/>
      <c r="M2355" s="67"/>
      <c r="N2355" s="67"/>
      <c r="O2355" s="67"/>
      <c r="P2355" s="85" t="str">
        <f aca="false">IF(AH2355="","",K2355+N(L2355)+N(M2355)+N(N2355)+N(O2355))</f>
        <v/>
      </c>
      <c r="Q2355" s="67"/>
      <c r="R2355" s="67"/>
      <c r="S2355" s="67"/>
      <c r="T2355" s="67"/>
      <c r="U2355" s="67"/>
      <c r="V2355" s="67"/>
      <c r="W2355" s="85" t="str">
        <f aca="false">IF(AH2355="","",N(Q2355)+N(R2355)+N(S2355)+N(T2355)+N(U2355)+N(V2355))</f>
        <v/>
      </c>
      <c r="X2355" s="85" t="str">
        <f aca="false">IF(AH2355="","",P2355-W2355)</f>
        <v/>
      </c>
      <c r="Y2355" s="67"/>
      <c r="Z2355" s="70" t="str">
        <f aca="false">IF(OR(AH2355="",Y2355=""),"",IF(ABS(X2355-Y2355)&lt;=1,"✓ Cuadra","⚠ Diferencia $"&amp;FIXED(X2355-Y2355,0)))</f>
        <v/>
      </c>
      <c r="AA2355" s="72" t="str">
        <f aca="false">IF(AH2355="","",IFERROR(INDEX(C_TIPO,MATCH(C2355&amp;"-P"&amp;MAX(1,COUNTIFS(C_ID,C2355,C_DEFINE,"Sí",C_INICIO,"&lt;="&amp;EOMONTH(B2355,0))),C_CLAVE,0))&amp;"","Sin dato"))</f>
        <v/>
      </c>
      <c r="AB2355" s="71" t="str">
        <f aca="false">IF(AH2355="","",ROUND(MIN(K2355,TOPE_AFP_UF*AJ2355)*AK2355,0))</f>
        <v/>
      </c>
      <c r="AC2355" s="71" t="str">
        <f aca="false">IF(AH2355="","",ROUND(MIN(K2355,TOPE_AFC_UF*AJ2355)*IF(AA2355="Indefinido",AFC_EMP_INDEF,AFC_EMP_PF),0))</f>
        <v/>
      </c>
      <c r="AD2355" s="71" t="str">
        <f aca="false">IF(AH2355="","",ROUND(MIN(K2355,TOPE_AFP_UF*AJ2355)*(MUTUAL_BASICA+MUTUAL_ADIC+SANNA),0))</f>
        <v/>
      </c>
      <c r="AE2355" s="71" t="str">
        <f aca="false">IF(AH2355="","",P2355-N(N2355)+AB2355+AC2355+AD2355)</f>
        <v/>
      </c>
      <c r="AF2355" s="65"/>
      <c r="AG2355" s="64"/>
      <c r="AH2355" s="72" t="str">
        <f aca="false">IF(OR(B2355="",C2355=""),"",C2355&amp;"|"&amp;(YEAR(B2355)*100+MONTH(B2355)))</f>
        <v/>
      </c>
      <c r="AI2355" s="70" t="str">
        <f aca="false">IF(AH2355="","",IF(COUNTIF(L_CLAVE,AH2355)&gt;1,"⚠ Duplicado","OK"))</f>
        <v/>
      </c>
      <c r="AJ2355" s="86" t="str">
        <f aca="false">IF(AH2355="","",IF(SUMPRODUCT(MAX((IND_PER&lt;=B2355)*(IND_UF&lt;&gt;"")*IND_PER))=0,UF_HOY,INDEX(IND_UF,MATCH(SUMPRODUCT(MAX((IND_PER&lt;=B2355)*(IND_UF&lt;&gt;"")*IND_PER)),IND_PER,0))))</f>
        <v/>
      </c>
      <c r="AK2355" s="87" t="str">
        <f aca="false">IF(AH2355="","",IF(COUNTIF(TASA_DESDE,"&lt;="&amp;B2355)=0,INDEX(TASA_EMP,1),INDEX(TASA_EMP,COUNTIF(TASA_DESDE,"&lt;="&amp;B2355))))</f>
        <v/>
      </c>
    </row>
    <row r="2356" customFormat="false" ht="15" hidden="false" customHeight="false" outlineLevel="0" collapsed="false">
      <c r="B2356" s="78"/>
      <c r="C2356" s="64"/>
      <c r="D2356" s="72" t="str">
        <f aca="false">IF(C2356="","",IFERROR(INDEX(T_NOMBRE,MATCH(C2356,T_ID,0)),"⚠ ID no existe"))</f>
        <v/>
      </c>
      <c r="E2356" s="69"/>
      <c r="F2356" s="67"/>
      <c r="G2356" s="67"/>
      <c r="H2356" s="67"/>
      <c r="I2356" s="67"/>
      <c r="J2356" s="67"/>
      <c r="K2356" s="85" t="str">
        <f aca="false">IF(AH2356="","",N(F2356)+N(G2356)+N(H2356)-N(I2356)+N(J2356))</f>
        <v/>
      </c>
      <c r="L2356" s="67"/>
      <c r="M2356" s="67"/>
      <c r="N2356" s="67"/>
      <c r="O2356" s="67"/>
      <c r="P2356" s="85" t="str">
        <f aca="false">IF(AH2356="","",K2356+N(L2356)+N(M2356)+N(N2356)+N(O2356))</f>
        <v/>
      </c>
      <c r="Q2356" s="67"/>
      <c r="R2356" s="67"/>
      <c r="S2356" s="67"/>
      <c r="T2356" s="67"/>
      <c r="U2356" s="67"/>
      <c r="V2356" s="67"/>
      <c r="W2356" s="85" t="str">
        <f aca="false">IF(AH2356="","",N(Q2356)+N(R2356)+N(S2356)+N(T2356)+N(U2356)+N(V2356))</f>
        <v/>
      </c>
      <c r="X2356" s="85" t="str">
        <f aca="false">IF(AH2356="","",P2356-W2356)</f>
        <v/>
      </c>
      <c r="Y2356" s="67"/>
      <c r="Z2356" s="70" t="str">
        <f aca="false">IF(OR(AH2356="",Y2356=""),"",IF(ABS(X2356-Y2356)&lt;=1,"✓ Cuadra","⚠ Diferencia $"&amp;FIXED(X2356-Y2356,0)))</f>
        <v/>
      </c>
      <c r="AA2356" s="72" t="str">
        <f aca="false">IF(AH2356="","",IFERROR(INDEX(C_TIPO,MATCH(C2356&amp;"-P"&amp;MAX(1,COUNTIFS(C_ID,C2356,C_DEFINE,"Sí",C_INICIO,"&lt;="&amp;EOMONTH(B2356,0))),C_CLAVE,0))&amp;"","Sin dato"))</f>
        <v/>
      </c>
      <c r="AB2356" s="71" t="str">
        <f aca="false">IF(AH2356="","",ROUND(MIN(K2356,TOPE_AFP_UF*AJ2356)*AK2356,0))</f>
        <v/>
      </c>
      <c r="AC2356" s="71" t="str">
        <f aca="false">IF(AH2356="","",ROUND(MIN(K2356,TOPE_AFC_UF*AJ2356)*IF(AA2356="Indefinido",AFC_EMP_INDEF,AFC_EMP_PF),0))</f>
        <v/>
      </c>
      <c r="AD2356" s="71" t="str">
        <f aca="false">IF(AH2356="","",ROUND(MIN(K2356,TOPE_AFP_UF*AJ2356)*(MUTUAL_BASICA+MUTUAL_ADIC+SANNA),0))</f>
        <v/>
      </c>
      <c r="AE2356" s="71" t="str">
        <f aca="false">IF(AH2356="","",P2356-N(N2356)+AB2356+AC2356+AD2356)</f>
        <v/>
      </c>
      <c r="AF2356" s="65"/>
      <c r="AG2356" s="64"/>
      <c r="AH2356" s="72" t="str">
        <f aca="false">IF(OR(B2356="",C2356=""),"",C2356&amp;"|"&amp;(YEAR(B2356)*100+MONTH(B2356)))</f>
        <v/>
      </c>
      <c r="AI2356" s="70" t="str">
        <f aca="false">IF(AH2356="","",IF(COUNTIF(L_CLAVE,AH2356)&gt;1,"⚠ Duplicado","OK"))</f>
        <v/>
      </c>
      <c r="AJ2356" s="86" t="str">
        <f aca="false">IF(AH2356="","",IF(SUMPRODUCT(MAX((IND_PER&lt;=B2356)*(IND_UF&lt;&gt;"")*IND_PER))=0,UF_HOY,INDEX(IND_UF,MATCH(SUMPRODUCT(MAX((IND_PER&lt;=B2356)*(IND_UF&lt;&gt;"")*IND_PER)),IND_PER,0))))</f>
        <v/>
      </c>
      <c r="AK2356" s="87" t="str">
        <f aca="false">IF(AH2356="","",IF(COUNTIF(TASA_DESDE,"&lt;="&amp;B2356)=0,INDEX(TASA_EMP,1),INDEX(TASA_EMP,COUNTIF(TASA_DESDE,"&lt;="&amp;B2356))))</f>
        <v/>
      </c>
    </row>
    <row r="2357" customFormat="false" ht="15" hidden="false" customHeight="false" outlineLevel="0" collapsed="false">
      <c r="B2357" s="78"/>
      <c r="C2357" s="64"/>
      <c r="D2357" s="72" t="str">
        <f aca="false">IF(C2357="","",IFERROR(INDEX(T_NOMBRE,MATCH(C2357,T_ID,0)),"⚠ ID no existe"))</f>
        <v/>
      </c>
      <c r="E2357" s="69"/>
      <c r="F2357" s="67"/>
      <c r="G2357" s="67"/>
      <c r="H2357" s="67"/>
      <c r="I2357" s="67"/>
      <c r="J2357" s="67"/>
      <c r="K2357" s="85" t="str">
        <f aca="false">IF(AH2357="","",N(F2357)+N(G2357)+N(H2357)-N(I2357)+N(J2357))</f>
        <v/>
      </c>
      <c r="L2357" s="67"/>
      <c r="M2357" s="67"/>
      <c r="N2357" s="67"/>
      <c r="O2357" s="67"/>
      <c r="P2357" s="85" t="str">
        <f aca="false">IF(AH2357="","",K2357+N(L2357)+N(M2357)+N(N2357)+N(O2357))</f>
        <v/>
      </c>
      <c r="Q2357" s="67"/>
      <c r="R2357" s="67"/>
      <c r="S2357" s="67"/>
      <c r="T2357" s="67"/>
      <c r="U2357" s="67"/>
      <c r="V2357" s="67"/>
      <c r="W2357" s="85" t="str">
        <f aca="false">IF(AH2357="","",N(Q2357)+N(R2357)+N(S2357)+N(T2357)+N(U2357)+N(V2357))</f>
        <v/>
      </c>
      <c r="X2357" s="85" t="str">
        <f aca="false">IF(AH2357="","",P2357-W2357)</f>
        <v/>
      </c>
      <c r="Y2357" s="67"/>
      <c r="Z2357" s="70" t="str">
        <f aca="false">IF(OR(AH2357="",Y2357=""),"",IF(ABS(X2357-Y2357)&lt;=1,"✓ Cuadra","⚠ Diferencia $"&amp;FIXED(X2357-Y2357,0)))</f>
        <v/>
      </c>
      <c r="AA2357" s="72" t="str">
        <f aca="false">IF(AH2357="","",IFERROR(INDEX(C_TIPO,MATCH(C2357&amp;"-P"&amp;MAX(1,COUNTIFS(C_ID,C2357,C_DEFINE,"Sí",C_INICIO,"&lt;="&amp;EOMONTH(B2357,0))),C_CLAVE,0))&amp;"","Sin dato"))</f>
        <v/>
      </c>
      <c r="AB2357" s="71" t="str">
        <f aca="false">IF(AH2357="","",ROUND(MIN(K2357,TOPE_AFP_UF*AJ2357)*AK2357,0))</f>
        <v/>
      </c>
      <c r="AC2357" s="71" t="str">
        <f aca="false">IF(AH2357="","",ROUND(MIN(K2357,TOPE_AFC_UF*AJ2357)*IF(AA2357="Indefinido",AFC_EMP_INDEF,AFC_EMP_PF),0))</f>
        <v/>
      </c>
      <c r="AD2357" s="71" t="str">
        <f aca="false">IF(AH2357="","",ROUND(MIN(K2357,TOPE_AFP_UF*AJ2357)*(MUTUAL_BASICA+MUTUAL_ADIC+SANNA),0))</f>
        <v/>
      </c>
      <c r="AE2357" s="71" t="str">
        <f aca="false">IF(AH2357="","",P2357-N(N2357)+AB2357+AC2357+AD2357)</f>
        <v/>
      </c>
      <c r="AF2357" s="65"/>
      <c r="AG2357" s="64"/>
      <c r="AH2357" s="72" t="str">
        <f aca="false">IF(OR(B2357="",C2357=""),"",C2357&amp;"|"&amp;(YEAR(B2357)*100+MONTH(B2357)))</f>
        <v/>
      </c>
      <c r="AI2357" s="70" t="str">
        <f aca="false">IF(AH2357="","",IF(COUNTIF(L_CLAVE,AH2357)&gt;1,"⚠ Duplicado","OK"))</f>
        <v/>
      </c>
      <c r="AJ2357" s="86" t="str">
        <f aca="false">IF(AH2357="","",IF(SUMPRODUCT(MAX((IND_PER&lt;=B2357)*(IND_UF&lt;&gt;"")*IND_PER))=0,UF_HOY,INDEX(IND_UF,MATCH(SUMPRODUCT(MAX((IND_PER&lt;=B2357)*(IND_UF&lt;&gt;"")*IND_PER)),IND_PER,0))))</f>
        <v/>
      </c>
      <c r="AK2357" s="87" t="str">
        <f aca="false">IF(AH2357="","",IF(COUNTIF(TASA_DESDE,"&lt;="&amp;B2357)=0,INDEX(TASA_EMP,1),INDEX(TASA_EMP,COUNTIF(TASA_DESDE,"&lt;="&amp;B2357))))</f>
        <v/>
      </c>
    </row>
    <row r="2358" customFormat="false" ht="15" hidden="false" customHeight="false" outlineLevel="0" collapsed="false">
      <c r="B2358" s="78"/>
      <c r="C2358" s="64"/>
      <c r="D2358" s="72" t="str">
        <f aca="false">IF(C2358="","",IFERROR(INDEX(T_NOMBRE,MATCH(C2358,T_ID,0)),"⚠ ID no existe"))</f>
        <v/>
      </c>
      <c r="E2358" s="69"/>
      <c r="F2358" s="67"/>
      <c r="G2358" s="67"/>
      <c r="H2358" s="67"/>
      <c r="I2358" s="67"/>
      <c r="J2358" s="67"/>
      <c r="K2358" s="85" t="str">
        <f aca="false">IF(AH2358="","",N(F2358)+N(G2358)+N(H2358)-N(I2358)+N(J2358))</f>
        <v/>
      </c>
      <c r="L2358" s="67"/>
      <c r="M2358" s="67"/>
      <c r="N2358" s="67"/>
      <c r="O2358" s="67"/>
      <c r="P2358" s="85" t="str">
        <f aca="false">IF(AH2358="","",K2358+N(L2358)+N(M2358)+N(N2358)+N(O2358))</f>
        <v/>
      </c>
      <c r="Q2358" s="67"/>
      <c r="R2358" s="67"/>
      <c r="S2358" s="67"/>
      <c r="T2358" s="67"/>
      <c r="U2358" s="67"/>
      <c r="V2358" s="67"/>
      <c r="W2358" s="85" t="str">
        <f aca="false">IF(AH2358="","",N(Q2358)+N(R2358)+N(S2358)+N(T2358)+N(U2358)+N(V2358))</f>
        <v/>
      </c>
      <c r="X2358" s="85" t="str">
        <f aca="false">IF(AH2358="","",P2358-W2358)</f>
        <v/>
      </c>
      <c r="Y2358" s="67"/>
      <c r="Z2358" s="70" t="str">
        <f aca="false">IF(OR(AH2358="",Y2358=""),"",IF(ABS(X2358-Y2358)&lt;=1,"✓ Cuadra","⚠ Diferencia $"&amp;FIXED(X2358-Y2358,0)))</f>
        <v/>
      </c>
      <c r="AA2358" s="72" t="str">
        <f aca="false">IF(AH2358="","",IFERROR(INDEX(C_TIPO,MATCH(C2358&amp;"-P"&amp;MAX(1,COUNTIFS(C_ID,C2358,C_DEFINE,"Sí",C_INICIO,"&lt;="&amp;EOMONTH(B2358,0))),C_CLAVE,0))&amp;"","Sin dato"))</f>
        <v/>
      </c>
      <c r="AB2358" s="71" t="str">
        <f aca="false">IF(AH2358="","",ROUND(MIN(K2358,TOPE_AFP_UF*AJ2358)*AK2358,0))</f>
        <v/>
      </c>
      <c r="AC2358" s="71" t="str">
        <f aca="false">IF(AH2358="","",ROUND(MIN(K2358,TOPE_AFC_UF*AJ2358)*IF(AA2358="Indefinido",AFC_EMP_INDEF,AFC_EMP_PF),0))</f>
        <v/>
      </c>
      <c r="AD2358" s="71" t="str">
        <f aca="false">IF(AH2358="","",ROUND(MIN(K2358,TOPE_AFP_UF*AJ2358)*(MUTUAL_BASICA+MUTUAL_ADIC+SANNA),0))</f>
        <v/>
      </c>
      <c r="AE2358" s="71" t="str">
        <f aca="false">IF(AH2358="","",P2358-N(N2358)+AB2358+AC2358+AD2358)</f>
        <v/>
      </c>
      <c r="AF2358" s="65"/>
      <c r="AG2358" s="64"/>
      <c r="AH2358" s="72" t="str">
        <f aca="false">IF(OR(B2358="",C2358=""),"",C2358&amp;"|"&amp;(YEAR(B2358)*100+MONTH(B2358)))</f>
        <v/>
      </c>
      <c r="AI2358" s="70" t="str">
        <f aca="false">IF(AH2358="","",IF(COUNTIF(L_CLAVE,AH2358)&gt;1,"⚠ Duplicado","OK"))</f>
        <v/>
      </c>
      <c r="AJ2358" s="86" t="str">
        <f aca="false">IF(AH2358="","",IF(SUMPRODUCT(MAX((IND_PER&lt;=B2358)*(IND_UF&lt;&gt;"")*IND_PER))=0,UF_HOY,INDEX(IND_UF,MATCH(SUMPRODUCT(MAX((IND_PER&lt;=B2358)*(IND_UF&lt;&gt;"")*IND_PER)),IND_PER,0))))</f>
        <v/>
      </c>
      <c r="AK2358" s="87" t="str">
        <f aca="false">IF(AH2358="","",IF(COUNTIF(TASA_DESDE,"&lt;="&amp;B2358)=0,INDEX(TASA_EMP,1),INDEX(TASA_EMP,COUNTIF(TASA_DESDE,"&lt;="&amp;B2358))))</f>
        <v/>
      </c>
    </row>
    <row r="2359" customFormat="false" ht="15" hidden="false" customHeight="false" outlineLevel="0" collapsed="false">
      <c r="B2359" s="78"/>
      <c r="C2359" s="64"/>
      <c r="D2359" s="72" t="str">
        <f aca="false">IF(C2359="","",IFERROR(INDEX(T_NOMBRE,MATCH(C2359,T_ID,0)),"⚠ ID no existe"))</f>
        <v/>
      </c>
      <c r="E2359" s="69"/>
      <c r="F2359" s="67"/>
      <c r="G2359" s="67"/>
      <c r="H2359" s="67"/>
      <c r="I2359" s="67"/>
      <c r="J2359" s="67"/>
      <c r="K2359" s="85" t="str">
        <f aca="false">IF(AH2359="","",N(F2359)+N(G2359)+N(H2359)-N(I2359)+N(J2359))</f>
        <v/>
      </c>
      <c r="L2359" s="67"/>
      <c r="M2359" s="67"/>
      <c r="N2359" s="67"/>
      <c r="O2359" s="67"/>
      <c r="P2359" s="85" t="str">
        <f aca="false">IF(AH2359="","",K2359+N(L2359)+N(M2359)+N(N2359)+N(O2359))</f>
        <v/>
      </c>
      <c r="Q2359" s="67"/>
      <c r="R2359" s="67"/>
      <c r="S2359" s="67"/>
      <c r="T2359" s="67"/>
      <c r="U2359" s="67"/>
      <c r="V2359" s="67"/>
      <c r="W2359" s="85" t="str">
        <f aca="false">IF(AH2359="","",N(Q2359)+N(R2359)+N(S2359)+N(T2359)+N(U2359)+N(V2359))</f>
        <v/>
      </c>
      <c r="X2359" s="85" t="str">
        <f aca="false">IF(AH2359="","",P2359-W2359)</f>
        <v/>
      </c>
      <c r="Y2359" s="67"/>
      <c r="Z2359" s="70" t="str">
        <f aca="false">IF(OR(AH2359="",Y2359=""),"",IF(ABS(X2359-Y2359)&lt;=1,"✓ Cuadra","⚠ Diferencia $"&amp;FIXED(X2359-Y2359,0)))</f>
        <v/>
      </c>
      <c r="AA2359" s="72" t="str">
        <f aca="false">IF(AH2359="","",IFERROR(INDEX(C_TIPO,MATCH(C2359&amp;"-P"&amp;MAX(1,COUNTIFS(C_ID,C2359,C_DEFINE,"Sí",C_INICIO,"&lt;="&amp;EOMONTH(B2359,0))),C_CLAVE,0))&amp;"","Sin dato"))</f>
        <v/>
      </c>
      <c r="AB2359" s="71" t="str">
        <f aca="false">IF(AH2359="","",ROUND(MIN(K2359,TOPE_AFP_UF*AJ2359)*AK2359,0))</f>
        <v/>
      </c>
      <c r="AC2359" s="71" t="str">
        <f aca="false">IF(AH2359="","",ROUND(MIN(K2359,TOPE_AFC_UF*AJ2359)*IF(AA2359="Indefinido",AFC_EMP_INDEF,AFC_EMP_PF),0))</f>
        <v/>
      </c>
      <c r="AD2359" s="71" t="str">
        <f aca="false">IF(AH2359="","",ROUND(MIN(K2359,TOPE_AFP_UF*AJ2359)*(MUTUAL_BASICA+MUTUAL_ADIC+SANNA),0))</f>
        <v/>
      </c>
      <c r="AE2359" s="71" t="str">
        <f aca="false">IF(AH2359="","",P2359-N(N2359)+AB2359+AC2359+AD2359)</f>
        <v/>
      </c>
      <c r="AF2359" s="65"/>
      <c r="AG2359" s="64"/>
      <c r="AH2359" s="72" t="str">
        <f aca="false">IF(OR(B2359="",C2359=""),"",C2359&amp;"|"&amp;(YEAR(B2359)*100+MONTH(B2359)))</f>
        <v/>
      </c>
      <c r="AI2359" s="70" t="str">
        <f aca="false">IF(AH2359="","",IF(COUNTIF(L_CLAVE,AH2359)&gt;1,"⚠ Duplicado","OK"))</f>
        <v/>
      </c>
      <c r="AJ2359" s="86" t="str">
        <f aca="false">IF(AH2359="","",IF(SUMPRODUCT(MAX((IND_PER&lt;=B2359)*(IND_UF&lt;&gt;"")*IND_PER))=0,UF_HOY,INDEX(IND_UF,MATCH(SUMPRODUCT(MAX((IND_PER&lt;=B2359)*(IND_UF&lt;&gt;"")*IND_PER)),IND_PER,0))))</f>
        <v/>
      </c>
      <c r="AK2359" s="87" t="str">
        <f aca="false">IF(AH2359="","",IF(COUNTIF(TASA_DESDE,"&lt;="&amp;B2359)=0,INDEX(TASA_EMP,1),INDEX(TASA_EMP,COUNTIF(TASA_DESDE,"&lt;="&amp;B2359))))</f>
        <v/>
      </c>
    </row>
    <row r="2360" customFormat="false" ht="15" hidden="false" customHeight="false" outlineLevel="0" collapsed="false">
      <c r="B2360" s="78"/>
      <c r="C2360" s="64"/>
      <c r="D2360" s="72" t="str">
        <f aca="false">IF(C2360="","",IFERROR(INDEX(T_NOMBRE,MATCH(C2360,T_ID,0)),"⚠ ID no existe"))</f>
        <v/>
      </c>
      <c r="E2360" s="69"/>
      <c r="F2360" s="67"/>
      <c r="G2360" s="67"/>
      <c r="H2360" s="67"/>
      <c r="I2360" s="67"/>
      <c r="J2360" s="67"/>
      <c r="K2360" s="85" t="str">
        <f aca="false">IF(AH2360="","",N(F2360)+N(G2360)+N(H2360)-N(I2360)+N(J2360))</f>
        <v/>
      </c>
      <c r="L2360" s="67"/>
      <c r="M2360" s="67"/>
      <c r="N2360" s="67"/>
      <c r="O2360" s="67"/>
      <c r="P2360" s="85" t="str">
        <f aca="false">IF(AH2360="","",K2360+N(L2360)+N(M2360)+N(N2360)+N(O2360))</f>
        <v/>
      </c>
      <c r="Q2360" s="67"/>
      <c r="R2360" s="67"/>
      <c r="S2360" s="67"/>
      <c r="T2360" s="67"/>
      <c r="U2360" s="67"/>
      <c r="V2360" s="67"/>
      <c r="W2360" s="85" t="str">
        <f aca="false">IF(AH2360="","",N(Q2360)+N(R2360)+N(S2360)+N(T2360)+N(U2360)+N(V2360))</f>
        <v/>
      </c>
      <c r="X2360" s="85" t="str">
        <f aca="false">IF(AH2360="","",P2360-W2360)</f>
        <v/>
      </c>
      <c r="Y2360" s="67"/>
      <c r="Z2360" s="70" t="str">
        <f aca="false">IF(OR(AH2360="",Y2360=""),"",IF(ABS(X2360-Y2360)&lt;=1,"✓ Cuadra","⚠ Diferencia $"&amp;FIXED(X2360-Y2360,0)))</f>
        <v/>
      </c>
      <c r="AA2360" s="72" t="str">
        <f aca="false">IF(AH2360="","",IFERROR(INDEX(C_TIPO,MATCH(C2360&amp;"-P"&amp;MAX(1,COUNTIFS(C_ID,C2360,C_DEFINE,"Sí",C_INICIO,"&lt;="&amp;EOMONTH(B2360,0))),C_CLAVE,0))&amp;"","Sin dato"))</f>
        <v/>
      </c>
      <c r="AB2360" s="71" t="str">
        <f aca="false">IF(AH2360="","",ROUND(MIN(K2360,TOPE_AFP_UF*AJ2360)*AK2360,0))</f>
        <v/>
      </c>
      <c r="AC2360" s="71" t="str">
        <f aca="false">IF(AH2360="","",ROUND(MIN(K2360,TOPE_AFC_UF*AJ2360)*IF(AA2360="Indefinido",AFC_EMP_INDEF,AFC_EMP_PF),0))</f>
        <v/>
      </c>
      <c r="AD2360" s="71" t="str">
        <f aca="false">IF(AH2360="","",ROUND(MIN(K2360,TOPE_AFP_UF*AJ2360)*(MUTUAL_BASICA+MUTUAL_ADIC+SANNA),0))</f>
        <v/>
      </c>
      <c r="AE2360" s="71" t="str">
        <f aca="false">IF(AH2360="","",P2360-N(N2360)+AB2360+AC2360+AD2360)</f>
        <v/>
      </c>
      <c r="AF2360" s="65"/>
      <c r="AG2360" s="64"/>
      <c r="AH2360" s="72" t="str">
        <f aca="false">IF(OR(B2360="",C2360=""),"",C2360&amp;"|"&amp;(YEAR(B2360)*100+MONTH(B2360)))</f>
        <v/>
      </c>
      <c r="AI2360" s="70" t="str">
        <f aca="false">IF(AH2360="","",IF(COUNTIF(L_CLAVE,AH2360)&gt;1,"⚠ Duplicado","OK"))</f>
        <v/>
      </c>
      <c r="AJ2360" s="86" t="str">
        <f aca="false">IF(AH2360="","",IF(SUMPRODUCT(MAX((IND_PER&lt;=B2360)*(IND_UF&lt;&gt;"")*IND_PER))=0,UF_HOY,INDEX(IND_UF,MATCH(SUMPRODUCT(MAX((IND_PER&lt;=B2360)*(IND_UF&lt;&gt;"")*IND_PER)),IND_PER,0))))</f>
        <v/>
      </c>
      <c r="AK2360" s="87" t="str">
        <f aca="false">IF(AH2360="","",IF(COUNTIF(TASA_DESDE,"&lt;="&amp;B2360)=0,INDEX(TASA_EMP,1),INDEX(TASA_EMP,COUNTIF(TASA_DESDE,"&lt;="&amp;B2360))))</f>
        <v/>
      </c>
    </row>
    <row r="2361" customFormat="false" ht="15" hidden="false" customHeight="false" outlineLevel="0" collapsed="false">
      <c r="B2361" s="78"/>
      <c r="C2361" s="64"/>
      <c r="D2361" s="72" t="str">
        <f aca="false">IF(C2361="","",IFERROR(INDEX(T_NOMBRE,MATCH(C2361,T_ID,0)),"⚠ ID no existe"))</f>
        <v/>
      </c>
      <c r="E2361" s="69"/>
      <c r="F2361" s="67"/>
      <c r="G2361" s="67"/>
      <c r="H2361" s="67"/>
      <c r="I2361" s="67"/>
      <c r="J2361" s="67"/>
      <c r="K2361" s="85" t="str">
        <f aca="false">IF(AH2361="","",N(F2361)+N(G2361)+N(H2361)-N(I2361)+N(J2361))</f>
        <v/>
      </c>
      <c r="L2361" s="67"/>
      <c r="M2361" s="67"/>
      <c r="N2361" s="67"/>
      <c r="O2361" s="67"/>
      <c r="P2361" s="85" t="str">
        <f aca="false">IF(AH2361="","",K2361+N(L2361)+N(M2361)+N(N2361)+N(O2361))</f>
        <v/>
      </c>
      <c r="Q2361" s="67"/>
      <c r="R2361" s="67"/>
      <c r="S2361" s="67"/>
      <c r="T2361" s="67"/>
      <c r="U2361" s="67"/>
      <c r="V2361" s="67"/>
      <c r="W2361" s="85" t="str">
        <f aca="false">IF(AH2361="","",N(Q2361)+N(R2361)+N(S2361)+N(T2361)+N(U2361)+N(V2361))</f>
        <v/>
      </c>
      <c r="X2361" s="85" t="str">
        <f aca="false">IF(AH2361="","",P2361-W2361)</f>
        <v/>
      </c>
      <c r="Y2361" s="67"/>
      <c r="Z2361" s="70" t="str">
        <f aca="false">IF(OR(AH2361="",Y2361=""),"",IF(ABS(X2361-Y2361)&lt;=1,"✓ Cuadra","⚠ Diferencia $"&amp;FIXED(X2361-Y2361,0)))</f>
        <v/>
      </c>
      <c r="AA2361" s="72" t="str">
        <f aca="false">IF(AH2361="","",IFERROR(INDEX(C_TIPO,MATCH(C2361&amp;"-P"&amp;MAX(1,COUNTIFS(C_ID,C2361,C_DEFINE,"Sí",C_INICIO,"&lt;="&amp;EOMONTH(B2361,0))),C_CLAVE,0))&amp;"","Sin dato"))</f>
        <v/>
      </c>
      <c r="AB2361" s="71" t="str">
        <f aca="false">IF(AH2361="","",ROUND(MIN(K2361,TOPE_AFP_UF*AJ2361)*AK2361,0))</f>
        <v/>
      </c>
      <c r="AC2361" s="71" t="str">
        <f aca="false">IF(AH2361="","",ROUND(MIN(K2361,TOPE_AFC_UF*AJ2361)*IF(AA2361="Indefinido",AFC_EMP_INDEF,AFC_EMP_PF),0))</f>
        <v/>
      </c>
      <c r="AD2361" s="71" t="str">
        <f aca="false">IF(AH2361="","",ROUND(MIN(K2361,TOPE_AFP_UF*AJ2361)*(MUTUAL_BASICA+MUTUAL_ADIC+SANNA),0))</f>
        <v/>
      </c>
      <c r="AE2361" s="71" t="str">
        <f aca="false">IF(AH2361="","",P2361-N(N2361)+AB2361+AC2361+AD2361)</f>
        <v/>
      </c>
      <c r="AF2361" s="65"/>
      <c r="AG2361" s="64"/>
      <c r="AH2361" s="72" t="str">
        <f aca="false">IF(OR(B2361="",C2361=""),"",C2361&amp;"|"&amp;(YEAR(B2361)*100+MONTH(B2361)))</f>
        <v/>
      </c>
      <c r="AI2361" s="70" t="str">
        <f aca="false">IF(AH2361="","",IF(COUNTIF(L_CLAVE,AH2361)&gt;1,"⚠ Duplicado","OK"))</f>
        <v/>
      </c>
      <c r="AJ2361" s="86" t="str">
        <f aca="false">IF(AH2361="","",IF(SUMPRODUCT(MAX((IND_PER&lt;=B2361)*(IND_UF&lt;&gt;"")*IND_PER))=0,UF_HOY,INDEX(IND_UF,MATCH(SUMPRODUCT(MAX((IND_PER&lt;=B2361)*(IND_UF&lt;&gt;"")*IND_PER)),IND_PER,0))))</f>
        <v/>
      </c>
      <c r="AK2361" s="87" t="str">
        <f aca="false">IF(AH2361="","",IF(COUNTIF(TASA_DESDE,"&lt;="&amp;B2361)=0,INDEX(TASA_EMP,1),INDEX(TASA_EMP,COUNTIF(TASA_DESDE,"&lt;="&amp;B2361))))</f>
        <v/>
      </c>
    </row>
    <row r="2362" customFormat="false" ht="15" hidden="false" customHeight="false" outlineLevel="0" collapsed="false">
      <c r="B2362" s="78"/>
      <c r="C2362" s="64"/>
      <c r="D2362" s="72" t="str">
        <f aca="false">IF(C2362="","",IFERROR(INDEX(T_NOMBRE,MATCH(C2362,T_ID,0)),"⚠ ID no existe"))</f>
        <v/>
      </c>
      <c r="E2362" s="69"/>
      <c r="F2362" s="67"/>
      <c r="G2362" s="67"/>
      <c r="H2362" s="67"/>
      <c r="I2362" s="67"/>
      <c r="J2362" s="67"/>
      <c r="K2362" s="85" t="str">
        <f aca="false">IF(AH2362="","",N(F2362)+N(G2362)+N(H2362)-N(I2362)+N(J2362))</f>
        <v/>
      </c>
      <c r="L2362" s="67"/>
      <c r="M2362" s="67"/>
      <c r="N2362" s="67"/>
      <c r="O2362" s="67"/>
      <c r="P2362" s="85" t="str">
        <f aca="false">IF(AH2362="","",K2362+N(L2362)+N(M2362)+N(N2362)+N(O2362))</f>
        <v/>
      </c>
      <c r="Q2362" s="67"/>
      <c r="R2362" s="67"/>
      <c r="S2362" s="67"/>
      <c r="T2362" s="67"/>
      <c r="U2362" s="67"/>
      <c r="V2362" s="67"/>
      <c r="W2362" s="85" t="str">
        <f aca="false">IF(AH2362="","",N(Q2362)+N(R2362)+N(S2362)+N(T2362)+N(U2362)+N(V2362))</f>
        <v/>
      </c>
      <c r="X2362" s="85" t="str">
        <f aca="false">IF(AH2362="","",P2362-W2362)</f>
        <v/>
      </c>
      <c r="Y2362" s="67"/>
      <c r="Z2362" s="70" t="str">
        <f aca="false">IF(OR(AH2362="",Y2362=""),"",IF(ABS(X2362-Y2362)&lt;=1,"✓ Cuadra","⚠ Diferencia $"&amp;FIXED(X2362-Y2362,0)))</f>
        <v/>
      </c>
      <c r="AA2362" s="72" t="str">
        <f aca="false">IF(AH2362="","",IFERROR(INDEX(C_TIPO,MATCH(C2362&amp;"-P"&amp;MAX(1,COUNTIFS(C_ID,C2362,C_DEFINE,"Sí",C_INICIO,"&lt;="&amp;EOMONTH(B2362,0))),C_CLAVE,0))&amp;"","Sin dato"))</f>
        <v/>
      </c>
      <c r="AB2362" s="71" t="str">
        <f aca="false">IF(AH2362="","",ROUND(MIN(K2362,TOPE_AFP_UF*AJ2362)*AK2362,0))</f>
        <v/>
      </c>
      <c r="AC2362" s="71" t="str">
        <f aca="false">IF(AH2362="","",ROUND(MIN(K2362,TOPE_AFC_UF*AJ2362)*IF(AA2362="Indefinido",AFC_EMP_INDEF,AFC_EMP_PF),0))</f>
        <v/>
      </c>
      <c r="AD2362" s="71" t="str">
        <f aca="false">IF(AH2362="","",ROUND(MIN(K2362,TOPE_AFP_UF*AJ2362)*(MUTUAL_BASICA+MUTUAL_ADIC+SANNA),0))</f>
        <v/>
      </c>
      <c r="AE2362" s="71" t="str">
        <f aca="false">IF(AH2362="","",P2362-N(N2362)+AB2362+AC2362+AD2362)</f>
        <v/>
      </c>
      <c r="AF2362" s="65"/>
      <c r="AG2362" s="64"/>
      <c r="AH2362" s="72" t="str">
        <f aca="false">IF(OR(B2362="",C2362=""),"",C2362&amp;"|"&amp;(YEAR(B2362)*100+MONTH(B2362)))</f>
        <v/>
      </c>
      <c r="AI2362" s="70" t="str">
        <f aca="false">IF(AH2362="","",IF(COUNTIF(L_CLAVE,AH2362)&gt;1,"⚠ Duplicado","OK"))</f>
        <v/>
      </c>
      <c r="AJ2362" s="86" t="str">
        <f aca="false">IF(AH2362="","",IF(SUMPRODUCT(MAX((IND_PER&lt;=B2362)*(IND_UF&lt;&gt;"")*IND_PER))=0,UF_HOY,INDEX(IND_UF,MATCH(SUMPRODUCT(MAX((IND_PER&lt;=B2362)*(IND_UF&lt;&gt;"")*IND_PER)),IND_PER,0))))</f>
        <v/>
      </c>
      <c r="AK2362" s="87" t="str">
        <f aca="false">IF(AH2362="","",IF(COUNTIF(TASA_DESDE,"&lt;="&amp;B2362)=0,INDEX(TASA_EMP,1),INDEX(TASA_EMP,COUNTIF(TASA_DESDE,"&lt;="&amp;B2362))))</f>
        <v/>
      </c>
    </row>
    <row r="2363" customFormat="false" ht="15" hidden="false" customHeight="false" outlineLevel="0" collapsed="false">
      <c r="B2363" s="78"/>
      <c r="C2363" s="64"/>
      <c r="D2363" s="72" t="str">
        <f aca="false">IF(C2363="","",IFERROR(INDEX(T_NOMBRE,MATCH(C2363,T_ID,0)),"⚠ ID no existe"))</f>
        <v/>
      </c>
      <c r="E2363" s="69"/>
      <c r="F2363" s="67"/>
      <c r="G2363" s="67"/>
      <c r="H2363" s="67"/>
      <c r="I2363" s="67"/>
      <c r="J2363" s="67"/>
      <c r="K2363" s="85" t="str">
        <f aca="false">IF(AH2363="","",N(F2363)+N(G2363)+N(H2363)-N(I2363)+N(J2363))</f>
        <v/>
      </c>
      <c r="L2363" s="67"/>
      <c r="M2363" s="67"/>
      <c r="N2363" s="67"/>
      <c r="O2363" s="67"/>
      <c r="P2363" s="85" t="str">
        <f aca="false">IF(AH2363="","",K2363+N(L2363)+N(M2363)+N(N2363)+N(O2363))</f>
        <v/>
      </c>
      <c r="Q2363" s="67"/>
      <c r="R2363" s="67"/>
      <c r="S2363" s="67"/>
      <c r="T2363" s="67"/>
      <c r="U2363" s="67"/>
      <c r="V2363" s="67"/>
      <c r="W2363" s="85" t="str">
        <f aca="false">IF(AH2363="","",N(Q2363)+N(R2363)+N(S2363)+N(T2363)+N(U2363)+N(V2363))</f>
        <v/>
      </c>
      <c r="X2363" s="85" t="str">
        <f aca="false">IF(AH2363="","",P2363-W2363)</f>
        <v/>
      </c>
      <c r="Y2363" s="67"/>
      <c r="Z2363" s="70" t="str">
        <f aca="false">IF(OR(AH2363="",Y2363=""),"",IF(ABS(X2363-Y2363)&lt;=1,"✓ Cuadra","⚠ Diferencia $"&amp;FIXED(X2363-Y2363,0)))</f>
        <v/>
      </c>
      <c r="AA2363" s="72" t="str">
        <f aca="false">IF(AH2363="","",IFERROR(INDEX(C_TIPO,MATCH(C2363&amp;"-P"&amp;MAX(1,COUNTIFS(C_ID,C2363,C_DEFINE,"Sí",C_INICIO,"&lt;="&amp;EOMONTH(B2363,0))),C_CLAVE,0))&amp;"","Sin dato"))</f>
        <v/>
      </c>
      <c r="AB2363" s="71" t="str">
        <f aca="false">IF(AH2363="","",ROUND(MIN(K2363,TOPE_AFP_UF*AJ2363)*AK2363,0))</f>
        <v/>
      </c>
      <c r="AC2363" s="71" t="str">
        <f aca="false">IF(AH2363="","",ROUND(MIN(K2363,TOPE_AFC_UF*AJ2363)*IF(AA2363="Indefinido",AFC_EMP_INDEF,AFC_EMP_PF),0))</f>
        <v/>
      </c>
      <c r="AD2363" s="71" t="str">
        <f aca="false">IF(AH2363="","",ROUND(MIN(K2363,TOPE_AFP_UF*AJ2363)*(MUTUAL_BASICA+MUTUAL_ADIC+SANNA),0))</f>
        <v/>
      </c>
      <c r="AE2363" s="71" t="str">
        <f aca="false">IF(AH2363="","",P2363-N(N2363)+AB2363+AC2363+AD2363)</f>
        <v/>
      </c>
      <c r="AF2363" s="65"/>
      <c r="AG2363" s="64"/>
      <c r="AH2363" s="72" t="str">
        <f aca="false">IF(OR(B2363="",C2363=""),"",C2363&amp;"|"&amp;(YEAR(B2363)*100+MONTH(B2363)))</f>
        <v/>
      </c>
      <c r="AI2363" s="70" t="str">
        <f aca="false">IF(AH2363="","",IF(COUNTIF(L_CLAVE,AH2363)&gt;1,"⚠ Duplicado","OK"))</f>
        <v/>
      </c>
      <c r="AJ2363" s="86" t="str">
        <f aca="false">IF(AH2363="","",IF(SUMPRODUCT(MAX((IND_PER&lt;=B2363)*(IND_UF&lt;&gt;"")*IND_PER))=0,UF_HOY,INDEX(IND_UF,MATCH(SUMPRODUCT(MAX((IND_PER&lt;=B2363)*(IND_UF&lt;&gt;"")*IND_PER)),IND_PER,0))))</f>
        <v/>
      </c>
      <c r="AK2363" s="87" t="str">
        <f aca="false">IF(AH2363="","",IF(COUNTIF(TASA_DESDE,"&lt;="&amp;B2363)=0,INDEX(TASA_EMP,1),INDEX(TASA_EMP,COUNTIF(TASA_DESDE,"&lt;="&amp;B2363))))</f>
        <v/>
      </c>
    </row>
    <row r="2364" customFormat="false" ht="15" hidden="false" customHeight="false" outlineLevel="0" collapsed="false">
      <c r="B2364" s="78"/>
      <c r="C2364" s="64"/>
      <c r="D2364" s="72" t="str">
        <f aca="false">IF(C2364="","",IFERROR(INDEX(T_NOMBRE,MATCH(C2364,T_ID,0)),"⚠ ID no existe"))</f>
        <v/>
      </c>
      <c r="E2364" s="69"/>
      <c r="F2364" s="67"/>
      <c r="G2364" s="67"/>
      <c r="H2364" s="67"/>
      <c r="I2364" s="67"/>
      <c r="J2364" s="67"/>
      <c r="K2364" s="85" t="str">
        <f aca="false">IF(AH2364="","",N(F2364)+N(G2364)+N(H2364)-N(I2364)+N(J2364))</f>
        <v/>
      </c>
      <c r="L2364" s="67"/>
      <c r="M2364" s="67"/>
      <c r="N2364" s="67"/>
      <c r="O2364" s="67"/>
      <c r="P2364" s="85" t="str">
        <f aca="false">IF(AH2364="","",K2364+N(L2364)+N(M2364)+N(N2364)+N(O2364))</f>
        <v/>
      </c>
      <c r="Q2364" s="67"/>
      <c r="R2364" s="67"/>
      <c r="S2364" s="67"/>
      <c r="T2364" s="67"/>
      <c r="U2364" s="67"/>
      <c r="V2364" s="67"/>
      <c r="W2364" s="85" t="str">
        <f aca="false">IF(AH2364="","",N(Q2364)+N(R2364)+N(S2364)+N(T2364)+N(U2364)+N(V2364))</f>
        <v/>
      </c>
      <c r="X2364" s="85" t="str">
        <f aca="false">IF(AH2364="","",P2364-W2364)</f>
        <v/>
      </c>
      <c r="Y2364" s="67"/>
      <c r="Z2364" s="70" t="str">
        <f aca="false">IF(OR(AH2364="",Y2364=""),"",IF(ABS(X2364-Y2364)&lt;=1,"✓ Cuadra","⚠ Diferencia $"&amp;FIXED(X2364-Y2364,0)))</f>
        <v/>
      </c>
      <c r="AA2364" s="72" t="str">
        <f aca="false">IF(AH2364="","",IFERROR(INDEX(C_TIPO,MATCH(C2364&amp;"-P"&amp;MAX(1,COUNTIFS(C_ID,C2364,C_DEFINE,"Sí",C_INICIO,"&lt;="&amp;EOMONTH(B2364,0))),C_CLAVE,0))&amp;"","Sin dato"))</f>
        <v/>
      </c>
      <c r="AB2364" s="71" t="str">
        <f aca="false">IF(AH2364="","",ROUND(MIN(K2364,TOPE_AFP_UF*AJ2364)*AK2364,0))</f>
        <v/>
      </c>
      <c r="AC2364" s="71" t="str">
        <f aca="false">IF(AH2364="","",ROUND(MIN(K2364,TOPE_AFC_UF*AJ2364)*IF(AA2364="Indefinido",AFC_EMP_INDEF,AFC_EMP_PF),0))</f>
        <v/>
      </c>
      <c r="AD2364" s="71" t="str">
        <f aca="false">IF(AH2364="","",ROUND(MIN(K2364,TOPE_AFP_UF*AJ2364)*(MUTUAL_BASICA+MUTUAL_ADIC+SANNA),0))</f>
        <v/>
      </c>
      <c r="AE2364" s="71" t="str">
        <f aca="false">IF(AH2364="","",P2364-N(N2364)+AB2364+AC2364+AD2364)</f>
        <v/>
      </c>
      <c r="AF2364" s="65"/>
      <c r="AG2364" s="64"/>
      <c r="AH2364" s="72" t="str">
        <f aca="false">IF(OR(B2364="",C2364=""),"",C2364&amp;"|"&amp;(YEAR(B2364)*100+MONTH(B2364)))</f>
        <v/>
      </c>
      <c r="AI2364" s="70" t="str">
        <f aca="false">IF(AH2364="","",IF(COUNTIF(L_CLAVE,AH2364)&gt;1,"⚠ Duplicado","OK"))</f>
        <v/>
      </c>
      <c r="AJ2364" s="86" t="str">
        <f aca="false">IF(AH2364="","",IF(SUMPRODUCT(MAX((IND_PER&lt;=B2364)*(IND_UF&lt;&gt;"")*IND_PER))=0,UF_HOY,INDEX(IND_UF,MATCH(SUMPRODUCT(MAX((IND_PER&lt;=B2364)*(IND_UF&lt;&gt;"")*IND_PER)),IND_PER,0))))</f>
        <v/>
      </c>
      <c r="AK2364" s="87" t="str">
        <f aca="false">IF(AH2364="","",IF(COUNTIF(TASA_DESDE,"&lt;="&amp;B2364)=0,INDEX(TASA_EMP,1),INDEX(TASA_EMP,COUNTIF(TASA_DESDE,"&lt;="&amp;B2364))))</f>
        <v/>
      </c>
    </row>
    <row r="2365" customFormat="false" ht="15" hidden="false" customHeight="false" outlineLevel="0" collapsed="false">
      <c r="B2365" s="78"/>
      <c r="C2365" s="64"/>
      <c r="D2365" s="72" t="str">
        <f aca="false">IF(C2365="","",IFERROR(INDEX(T_NOMBRE,MATCH(C2365,T_ID,0)),"⚠ ID no existe"))</f>
        <v/>
      </c>
      <c r="E2365" s="69"/>
      <c r="F2365" s="67"/>
      <c r="G2365" s="67"/>
      <c r="H2365" s="67"/>
      <c r="I2365" s="67"/>
      <c r="J2365" s="67"/>
      <c r="K2365" s="85" t="str">
        <f aca="false">IF(AH2365="","",N(F2365)+N(G2365)+N(H2365)-N(I2365)+N(J2365))</f>
        <v/>
      </c>
      <c r="L2365" s="67"/>
      <c r="M2365" s="67"/>
      <c r="N2365" s="67"/>
      <c r="O2365" s="67"/>
      <c r="P2365" s="85" t="str">
        <f aca="false">IF(AH2365="","",K2365+N(L2365)+N(M2365)+N(N2365)+N(O2365))</f>
        <v/>
      </c>
      <c r="Q2365" s="67"/>
      <c r="R2365" s="67"/>
      <c r="S2365" s="67"/>
      <c r="T2365" s="67"/>
      <c r="U2365" s="67"/>
      <c r="V2365" s="67"/>
      <c r="W2365" s="85" t="str">
        <f aca="false">IF(AH2365="","",N(Q2365)+N(R2365)+N(S2365)+N(T2365)+N(U2365)+N(V2365))</f>
        <v/>
      </c>
      <c r="X2365" s="85" t="str">
        <f aca="false">IF(AH2365="","",P2365-W2365)</f>
        <v/>
      </c>
      <c r="Y2365" s="67"/>
      <c r="Z2365" s="70" t="str">
        <f aca="false">IF(OR(AH2365="",Y2365=""),"",IF(ABS(X2365-Y2365)&lt;=1,"✓ Cuadra","⚠ Diferencia $"&amp;FIXED(X2365-Y2365,0)))</f>
        <v/>
      </c>
      <c r="AA2365" s="72" t="str">
        <f aca="false">IF(AH2365="","",IFERROR(INDEX(C_TIPO,MATCH(C2365&amp;"-P"&amp;MAX(1,COUNTIFS(C_ID,C2365,C_DEFINE,"Sí",C_INICIO,"&lt;="&amp;EOMONTH(B2365,0))),C_CLAVE,0))&amp;"","Sin dato"))</f>
        <v/>
      </c>
      <c r="AB2365" s="71" t="str">
        <f aca="false">IF(AH2365="","",ROUND(MIN(K2365,TOPE_AFP_UF*AJ2365)*AK2365,0))</f>
        <v/>
      </c>
      <c r="AC2365" s="71" t="str">
        <f aca="false">IF(AH2365="","",ROUND(MIN(K2365,TOPE_AFC_UF*AJ2365)*IF(AA2365="Indefinido",AFC_EMP_INDEF,AFC_EMP_PF),0))</f>
        <v/>
      </c>
      <c r="AD2365" s="71" t="str">
        <f aca="false">IF(AH2365="","",ROUND(MIN(K2365,TOPE_AFP_UF*AJ2365)*(MUTUAL_BASICA+MUTUAL_ADIC+SANNA),0))</f>
        <v/>
      </c>
      <c r="AE2365" s="71" t="str">
        <f aca="false">IF(AH2365="","",P2365-N(N2365)+AB2365+AC2365+AD2365)</f>
        <v/>
      </c>
      <c r="AF2365" s="65"/>
      <c r="AG2365" s="64"/>
      <c r="AH2365" s="72" t="str">
        <f aca="false">IF(OR(B2365="",C2365=""),"",C2365&amp;"|"&amp;(YEAR(B2365)*100+MONTH(B2365)))</f>
        <v/>
      </c>
      <c r="AI2365" s="70" t="str">
        <f aca="false">IF(AH2365="","",IF(COUNTIF(L_CLAVE,AH2365)&gt;1,"⚠ Duplicado","OK"))</f>
        <v/>
      </c>
      <c r="AJ2365" s="86" t="str">
        <f aca="false">IF(AH2365="","",IF(SUMPRODUCT(MAX((IND_PER&lt;=B2365)*(IND_UF&lt;&gt;"")*IND_PER))=0,UF_HOY,INDEX(IND_UF,MATCH(SUMPRODUCT(MAX((IND_PER&lt;=B2365)*(IND_UF&lt;&gt;"")*IND_PER)),IND_PER,0))))</f>
        <v/>
      </c>
      <c r="AK2365" s="87" t="str">
        <f aca="false">IF(AH2365="","",IF(COUNTIF(TASA_DESDE,"&lt;="&amp;B2365)=0,INDEX(TASA_EMP,1),INDEX(TASA_EMP,COUNTIF(TASA_DESDE,"&lt;="&amp;B2365))))</f>
        <v/>
      </c>
    </row>
    <row r="2366" customFormat="false" ht="15" hidden="false" customHeight="false" outlineLevel="0" collapsed="false">
      <c r="B2366" s="78"/>
      <c r="C2366" s="64"/>
      <c r="D2366" s="72" t="str">
        <f aca="false">IF(C2366="","",IFERROR(INDEX(T_NOMBRE,MATCH(C2366,T_ID,0)),"⚠ ID no existe"))</f>
        <v/>
      </c>
      <c r="E2366" s="69"/>
      <c r="F2366" s="67"/>
      <c r="G2366" s="67"/>
      <c r="H2366" s="67"/>
      <c r="I2366" s="67"/>
      <c r="J2366" s="67"/>
      <c r="K2366" s="85" t="str">
        <f aca="false">IF(AH2366="","",N(F2366)+N(G2366)+N(H2366)-N(I2366)+N(J2366))</f>
        <v/>
      </c>
      <c r="L2366" s="67"/>
      <c r="M2366" s="67"/>
      <c r="N2366" s="67"/>
      <c r="O2366" s="67"/>
      <c r="P2366" s="85" t="str">
        <f aca="false">IF(AH2366="","",K2366+N(L2366)+N(M2366)+N(N2366)+N(O2366))</f>
        <v/>
      </c>
      <c r="Q2366" s="67"/>
      <c r="R2366" s="67"/>
      <c r="S2366" s="67"/>
      <c r="T2366" s="67"/>
      <c r="U2366" s="67"/>
      <c r="V2366" s="67"/>
      <c r="W2366" s="85" t="str">
        <f aca="false">IF(AH2366="","",N(Q2366)+N(R2366)+N(S2366)+N(T2366)+N(U2366)+N(V2366))</f>
        <v/>
      </c>
      <c r="X2366" s="85" t="str">
        <f aca="false">IF(AH2366="","",P2366-W2366)</f>
        <v/>
      </c>
      <c r="Y2366" s="67"/>
      <c r="Z2366" s="70" t="str">
        <f aca="false">IF(OR(AH2366="",Y2366=""),"",IF(ABS(X2366-Y2366)&lt;=1,"✓ Cuadra","⚠ Diferencia $"&amp;FIXED(X2366-Y2366,0)))</f>
        <v/>
      </c>
      <c r="AA2366" s="72" t="str">
        <f aca="false">IF(AH2366="","",IFERROR(INDEX(C_TIPO,MATCH(C2366&amp;"-P"&amp;MAX(1,COUNTIFS(C_ID,C2366,C_DEFINE,"Sí",C_INICIO,"&lt;="&amp;EOMONTH(B2366,0))),C_CLAVE,0))&amp;"","Sin dato"))</f>
        <v/>
      </c>
      <c r="AB2366" s="71" t="str">
        <f aca="false">IF(AH2366="","",ROUND(MIN(K2366,TOPE_AFP_UF*AJ2366)*AK2366,0))</f>
        <v/>
      </c>
      <c r="AC2366" s="71" t="str">
        <f aca="false">IF(AH2366="","",ROUND(MIN(K2366,TOPE_AFC_UF*AJ2366)*IF(AA2366="Indefinido",AFC_EMP_INDEF,AFC_EMP_PF),0))</f>
        <v/>
      </c>
      <c r="AD2366" s="71" t="str">
        <f aca="false">IF(AH2366="","",ROUND(MIN(K2366,TOPE_AFP_UF*AJ2366)*(MUTUAL_BASICA+MUTUAL_ADIC+SANNA),0))</f>
        <v/>
      </c>
      <c r="AE2366" s="71" t="str">
        <f aca="false">IF(AH2366="","",P2366-N(N2366)+AB2366+AC2366+AD2366)</f>
        <v/>
      </c>
      <c r="AF2366" s="65"/>
      <c r="AG2366" s="64"/>
      <c r="AH2366" s="72" t="str">
        <f aca="false">IF(OR(B2366="",C2366=""),"",C2366&amp;"|"&amp;(YEAR(B2366)*100+MONTH(B2366)))</f>
        <v/>
      </c>
      <c r="AI2366" s="70" t="str">
        <f aca="false">IF(AH2366="","",IF(COUNTIF(L_CLAVE,AH2366)&gt;1,"⚠ Duplicado","OK"))</f>
        <v/>
      </c>
      <c r="AJ2366" s="86" t="str">
        <f aca="false">IF(AH2366="","",IF(SUMPRODUCT(MAX((IND_PER&lt;=B2366)*(IND_UF&lt;&gt;"")*IND_PER))=0,UF_HOY,INDEX(IND_UF,MATCH(SUMPRODUCT(MAX((IND_PER&lt;=B2366)*(IND_UF&lt;&gt;"")*IND_PER)),IND_PER,0))))</f>
        <v/>
      </c>
      <c r="AK2366" s="87" t="str">
        <f aca="false">IF(AH2366="","",IF(COUNTIF(TASA_DESDE,"&lt;="&amp;B2366)=0,INDEX(TASA_EMP,1),INDEX(TASA_EMP,COUNTIF(TASA_DESDE,"&lt;="&amp;B2366))))</f>
        <v/>
      </c>
    </row>
    <row r="2367" customFormat="false" ht="15" hidden="false" customHeight="false" outlineLevel="0" collapsed="false">
      <c r="B2367" s="78"/>
      <c r="C2367" s="64"/>
      <c r="D2367" s="72" t="str">
        <f aca="false">IF(C2367="","",IFERROR(INDEX(T_NOMBRE,MATCH(C2367,T_ID,0)),"⚠ ID no existe"))</f>
        <v/>
      </c>
      <c r="E2367" s="69"/>
      <c r="F2367" s="67"/>
      <c r="G2367" s="67"/>
      <c r="H2367" s="67"/>
      <c r="I2367" s="67"/>
      <c r="J2367" s="67"/>
      <c r="K2367" s="85" t="str">
        <f aca="false">IF(AH2367="","",N(F2367)+N(G2367)+N(H2367)-N(I2367)+N(J2367))</f>
        <v/>
      </c>
      <c r="L2367" s="67"/>
      <c r="M2367" s="67"/>
      <c r="N2367" s="67"/>
      <c r="O2367" s="67"/>
      <c r="P2367" s="85" t="str">
        <f aca="false">IF(AH2367="","",K2367+N(L2367)+N(M2367)+N(N2367)+N(O2367))</f>
        <v/>
      </c>
      <c r="Q2367" s="67"/>
      <c r="R2367" s="67"/>
      <c r="S2367" s="67"/>
      <c r="T2367" s="67"/>
      <c r="U2367" s="67"/>
      <c r="V2367" s="67"/>
      <c r="W2367" s="85" t="str">
        <f aca="false">IF(AH2367="","",N(Q2367)+N(R2367)+N(S2367)+N(T2367)+N(U2367)+N(V2367))</f>
        <v/>
      </c>
      <c r="X2367" s="85" t="str">
        <f aca="false">IF(AH2367="","",P2367-W2367)</f>
        <v/>
      </c>
      <c r="Y2367" s="67"/>
      <c r="Z2367" s="70" t="str">
        <f aca="false">IF(OR(AH2367="",Y2367=""),"",IF(ABS(X2367-Y2367)&lt;=1,"✓ Cuadra","⚠ Diferencia $"&amp;FIXED(X2367-Y2367,0)))</f>
        <v/>
      </c>
      <c r="AA2367" s="72" t="str">
        <f aca="false">IF(AH2367="","",IFERROR(INDEX(C_TIPO,MATCH(C2367&amp;"-P"&amp;MAX(1,COUNTIFS(C_ID,C2367,C_DEFINE,"Sí",C_INICIO,"&lt;="&amp;EOMONTH(B2367,0))),C_CLAVE,0))&amp;"","Sin dato"))</f>
        <v/>
      </c>
      <c r="AB2367" s="71" t="str">
        <f aca="false">IF(AH2367="","",ROUND(MIN(K2367,TOPE_AFP_UF*AJ2367)*AK2367,0))</f>
        <v/>
      </c>
      <c r="AC2367" s="71" t="str">
        <f aca="false">IF(AH2367="","",ROUND(MIN(K2367,TOPE_AFC_UF*AJ2367)*IF(AA2367="Indefinido",AFC_EMP_INDEF,AFC_EMP_PF),0))</f>
        <v/>
      </c>
      <c r="AD2367" s="71" t="str">
        <f aca="false">IF(AH2367="","",ROUND(MIN(K2367,TOPE_AFP_UF*AJ2367)*(MUTUAL_BASICA+MUTUAL_ADIC+SANNA),0))</f>
        <v/>
      </c>
      <c r="AE2367" s="71" t="str">
        <f aca="false">IF(AH2367="","",P2367-N(N2367)+AB2367+AC2367+AD2367)</f>
        <v/>
      </c>
      <c r="AF2367" s="65"/>
      <c r="AG2367" s="64"/>
      <c r="AH2367" s="72" t="str">
        <f aca="false">IF(OR(B2367="",C2367=""),"",C2367&amp;"|"&amp;(YEAR(B2367)*100+MONTH(B2367)))</f>
        <v/>
      </c>
      <c r="AI2367" s="70" t="str">
        <f aca="false">IF(AH2367="","",IF(COUNTIF(L_CLAVE,AH2367)&gt;1,"⚠ Duplicado","OK"))</f>
        <v/>
      </c>
      <c r="AJ2367" s="86" t="str">
        <f aca="false">IF(AH2367="","",IF(SUMPRODUCT(MAX((IND_PER&lt;=B2367)*(IND_UF&lt;&gt;"")*IND_PER))=0,UF_HOY,INDEX(IND_UF,MATCH(SUMPRODUCT(MAX((IND_PER&lt;=B2367)*(IND_UF&lt;&gt;"")*IND_PER)),IND_PER,0))))</f>
        <v/>
      </c>
      <c r="AK2367" s="87" t="str">
        <f aca="false">IF(AH2367="","",IF(COUNTIF(TASA_DESDE,"&lt;="&amp;B2367)=0,INDEX(TASA_EMP,1),INDEX(TASA_EMP,COUNTIF(TASA_DESDE,"&lt;="&amp;B2367))))</f>
        <v/>
      </c>
    </row>
    <row r="2368" customFormat="false" ht="15" hidden="false" customHeight="false" outlineLevel="0" collapsed="false">
      <c r="B2368" s="78"/>
      <c r="C2368" s="64"/>
      <c r="D2368" s="72" t="str">
        <f aca="false">IF(C2368="","",IFERROR(INDEX(T_NOMBRE,MATCH(C2368,T_ID,0)),"⚠ ID no existe"))</f>
        <v/>
      </c>
      <c r="E2368" s="69"/>
      <c r="F2368" s="67"/>
      <c r="G2368" s="67"/>
      <c r="H2368" s="67"/>
      <c r="I2368" s="67"/>
      <c r="J2368" s="67"/>
      <c r="K2368" s="85" t="str">
        <f aca="false">IF(AH2368="","",N(F2368)+N(G2368)+N(H2368)-N(I2368)+N(J2368))</f>
        <v/>
      </c>
      <c r="L2368" s="67"/>
      <c r="M2368" s="67"/>
      <c r="N2368" s="67"/>
      <c r="O2368" s="67"/>
      <c r="P2368" s="85" t="str">
        <f aca="false">IF(AH2368="","",K2368+N(L2368)+N(M2368)+N(N2368)+N(O2368))</f>
        <v/>
      </c>
      <c r="Q2368" s="67"/>
      <c r="R2368" s="67"/>
      <c r="S2368" s="67"/>
      <c r="T2368" s="67"/>
      <c r="U2368" s="67"/>
      <c r="V2368" s="67"/>
      <c r="W2368" s="85" t="str">
        <f aca="false">IF(AH2368="","",N(Q2368)+N(R2368)+N(S2368)+N(T2368)+N(U2368)+N(V2368))</f>
        <v/>
      </c>
      <c r="X2368" s="85" t="str">
        <f aca="false">IF(AH2368="","",P2368-W2368)</f>
        <v/>
      </c>
      <c r="Y2368" s="67"/>
      <c r="Z2368" s="70" t="str">
        <f aca="false">IF(OR(AH2368="",Y2368=""),"",IF(ABS(X2368-Y2368)&lt;=1,"✓ Cuadra","⚠ Diferencia $"&amp;FIXED(X2368-Y2368,0)))</f>
        <v/>
      </c>
      <c r="AA2368" s="72" t="str">
        <f aca="false">IF(AH2368="","",IFERROR(INDEX(C_TIPO,MATCH(C2368&amp;"-P"&amp;MAX(1,COUNTIFS(C_ID,C2368,C_DEFINE,"Sí",C_INICIO,"&lt;="&amp;EOMONTH(B2368,0))),C_CLAVE,0))&amp;"","Sin dato"))</f>
        <v/>
      </c>
      <c r="AB2368" s="71" t="str">
        <f aca="false">IF(AH2368="","",ROUND(MIN(K2368,TOPE_AFP_UF*AJ2368)*AK2368,0))</f>
        <v/>
      </c>
      <c r="AC2368" s="71" t="str">
        <f aca="false">IF(AH2368="","",ROUND(MIN(K2368,TOPE_AFC_UF*AJ2368)*IF(AA2368="Indefinido",AFC_EMP_INDEF,AFC_EMP_PF),0))</f>
        <v/>
      </c>
      <c r="AD2368" s="71" t="str">
        <f aca="false">IF(AH2368="","",ROUND(MIN(K2368,TOPE_AFP_UF*AJ2368)*(MUTUAL_BASICA+MUTUAL_ADIC+SANNA),0))</f>
        <v/>
      </c>
      <c r="AE2368" s="71" t="str">
        <f aca="false">IF(AH2368="","",P2368-N(N2368)+AB2368+AC2368+AD2368)</f>
        <v/>
      </c>
      <c r="AF2368" s="65"/>
      <c r="AG2368" s="64"/>
      <c r="AH2368" s="72" t="str">
        <f aca="false">IF(OR(B2368="",C2368=""),"",C2368&amp;"|"&amp;(YEAR(B2368)*100+MONTH(B2368)))</f>
        <v/>
      </c>
      <c r="AI2368" s="70" t="str">
        <f aca="false">IF(AH2368="","",IF(COUNTIF(L_CLAVE,AH2368)&gt;1,"⚠ Duplicado","OK"))</f>
        <v/>
      </c>
      <c r="AJ2368" s="86" t="str">
        <f aca="false">IF(AH2368="","",IF(SUMPRODUCT(MAX((IND_PER&lt;=B2368)*(IND_UF&lt;&gt;"")*IND_PER))=0,UF_HOY,INDEX(IND_UF,MATCH(SUMPRODUCT(MAX((IND_PER&lt;=B2368)*(IND_UF&lt;&gt;"")*IND_PER)),IND_PER,0))))</f>
        <v/>
      </c>
      <c r="AK2368" s="87" t="str">
        <f aca="false">IF(AH2368="","",IF(COUNTIF(TASA_DESDE,"&lt;="&amp;B2368)=0,INDEX(TASA_EMP,1),INDEX(TASA_EMP,COUNTIF(TASA_DESDE,"&lt;="&amp;B2368))))</f>
        <v/>
      </c>
    </row>
    <row r="2369" customFormat="false" ht="15" hidden="false" customHeight="false" outlineLevel="0" collapsed="false">
      <c r="B2369" s="78"/>
      <c r="C2369" s="64"/>
      <c r="D2369" s="72" t="str">
        <f aca="false">IF(C2369="","",IFERROR(INDEX(T_NOMBRE,MATCH(C2369,T_ID,0)),"⚠ ID no existe"))</f>
        <v/>
      </c>
      <c r="E2369" s="69"/>
      <c r="F2369" s="67"/>
      <c r="G2369" s="67"/>
      <c r="H2369" s="67"/>
      <c r="I2369" s="67"/>
      <c r="J2369" s="67"/>
      <c r="K2369" s="85" t="str">
        <f aca="false">IF(AH2369="","",N(F2369)+N(G2369)+N(H2369)-N(I2369)+N(J2369))</f>
        <v/>
      </c>
      <c r="L2369" s="67"/>
      <c r="M2369" s="67"/>
      <c r="N2369" s="67"/>
      <c r="O2369" s="67"/>
      <c r="P2369" s="85" t="str">
        <f aca="false">IF(AH2369="","",K2369+N(L2369)+N(M2369)+N(N2369)+N(O2369))</f>
        <v/>
      </c>
      <c r="Q2369" s="67"/>
      <c r="R2369" s="67"/>
      <c r="S2369" s="67"/>
      <c r="T2369" s="67"/>
      <c r="U2369" s="67"/>
      <c r="V2369" s="67"/>
      <c r="W2369" s="85" t="str">
        <f aca="false">IF(AH2369="","",N(Q2369)+N(R2369)+N(S2369)+N(T2369)+N(U2369)+N(V2369))</f>
        <v/>
      </c>
      <c r="X2369" s="85" t="str">
        <f aca="false">IF(AH2369="","",P2369-W2369)</f>
        <v/>
      </c>
      <c r="Y2369" s="67"/>
      <c r="Z2369" s="70" t="str">
        <f aca="false">IF(OR(AH2369="",Y2369=""),"",IF(ABS(X2369-Y2369)&lt;=1,"✓ Cuadra","⚠ Diferencia $"&amp;FIXED(X2369-Y2369,0)))</f>
        <v/>
      </c>
      <c r="AA2369" s="72" t="str">
        <f aca="false">IF(AH2369="","",IFERROR(INDEX(C_TIPO,MATCH(C2369&amp;"-P"&amp;MAX(1,COUNTIFS(C_ID,C2369,C_DEFINE,"Sí",C_INICIO,"&lt;="&amp;EOMONTH(B2369,0))),C_CLAVE,0))&amp;"","Sin dato"))</f>
        <v/>
      </c>
      <c r="AB2369" s="71" t="str">
        <f aca="false">IF(AH2369="","",ROUND(MIN(K2369,TOPE_AFP_UF*AJ2369)*AK2369,0))</f>
        <v/>
      </c>
      <c r="AC2369" s="71" t="str">
        <f aca="false">IF(AH2369="","",ROUND(MIN(K2369,TOPE_AFC_UF*AJ2369)*IF(AA2369="Indefinido",AFC_EMP_INDEF,AFC_EMP_PF),0))</f>
        <v/>
      </c>
      <c r="AD2369" s="71" t="str">
        <f aca="false">IF(AH2369="","",ROUND(MIN(K2369,TOPE_AFP_UF*AJ2369)*(MUTUAL_BASICA+MUTUAL_ADIC+SANNA),0))</f>
        <v/>
      </c>
      <c r="AE2369" s="71" t="str">
        <f aca="false">IF(AH2369="","",P2369-N(N2369)+AB2369+AC2369+AD2369)</f>
        <v/>
      </c>
      <c r="AF2369" s="65"/>
      <c r="AG2369" s="64"/>
      <c r="AH2369" s="72" t="str">
        <f aca="false">IF(OR(B2369="",C2369=""),"",C2369&amp;"|"&amp;(YEAR(B2369)*100+MONTH(B2369)))</f>
        <v/>
      </c>
      <c r="AI2369" s="70" t="str">
        <f aca="false">IF(AH2369="","",IF(COUNTIF(L_CLAVE,AH2369)&gt;1,"⚠ Duplicado","OK"))</f>
        <v/>
      </c>
      <c r="AJ2369" s="86" t="str">
        <f aca="false">IF(AH2369="","",IF(SUMPRODUCT(MAX((IND_PER&lt;=B2369)*(IND_UF&lt;&gt;"")*IND_PER))=0,UF_HOY,INDEX(IND_UF,MATCH(SUMPRODUCT(MAX((IND_PER&lt;=B2369)*(IND_UF&lt;&gt;"")*IND_PER)),IND_PER,0))))</f>
        <v/>
      </c>
      <c r="AK2369" s="87" t="str">
        <f aca="false">IF(AH2369="","",IF(COUNTIF(TASA_DESDE,"&lt;="&amp;B2369)=0,INDEX(TASA_EMP,1),INDEX(TASA_EMP,COUNTIF(TASA_DESDE,"&lt;="&amp;B2369))))</f>
        <v/>
      </c>
    </row>
    <row r="2370" customFormat="false" ht="15" hidden="false" customHeight="false" outlineLevel="0" collapsed="false">
      <c r="B2370" s="78"/>
      <c r="C2370" s="64"/>
      <c r="D2370" s="72" t="str">
        <f aca="false">IF(C2370="","",IFERROR(INDEX(T_NOMBRE,MATCH(C2370,T_ID,0)),"⚠ ID no existe"))</f>
        <v/>
      </c>
      <c r="E2370" s="69"/>
      <c r="F2370" s="67"/>
      <c r="G2370" s="67"/>
      <c r="H2370" s="67"/>
      <c r="I2370" s="67"/>
      <c r="J2370" s="67"/>
      <c r="K2370" s="85" t="str">
        <f aca="false">IF(AH2370="","",N(F2370)+N(G2370)+N(H2370)-N(I2370)+N(J2370))</f>
        <v/>
      </c>
      <c r="L2370" s="67"/>
      <c r="M2370" s="67"/>
      <c r="N2370" s="67"/>
      <c r="O2370" s="67"/>
      <c r="P2370" s="85" t="str">
        <f aca="false">IF(AH2370="","",K2370+N(L2370)+N(M2370)+N(N2370)+N(O2370))</f>
        <v/>
      </c>
      <c r="Q2370" s="67"/>
      <c r="R2370" s="67"/>
      <c r="S2370" s="67"/>
      <c r="T2370" s="67"/>
      <c r="U2370" s="67"/>
      <c r="V2370" s="67"/>
      <c r="W2370" s="85" t="str">
        <f aca="false">IF(AH2370="","",N(Q2370)+N(R2370)+N(S2370)+N(T2370)+N(U2370)+N(V2370))</f>
        <v/>
      </c>
      <c r="X2370" s="85" t="str">
        <f aca="false">IF(AH2370="","",P2370-W2370)</f>
        <v/>
      </c>
      <c r="Y2370" s="67"/>
      <c r="Z2370" s="70" t="str">
        <f aca="false">IF(OR(AH2370="",Y2370=""),"",IF(ABS(X2370-Y2370)&lt;=1,"✓ Cuadra","⚠ Diferencia $"&amp;FIXED(X2370-Y2370,0)))</f>
        <v/>
      </c>
      <c r="AA2370" s="72" t="str">
        <f aca="false">IF(AH2370="","",IFERROR(INDEX(C_TIPO,MATCH(C2370&amp;"-P"&amp;MAX(1,COUNTIFS(C_ID,C2370,C_DEFINE,"Sí",C_INICIO,"&lt;="&amp;EOMONTH(B2370,0))),C_CLAVE,0))&amp;"","Sin dato"))</f>
        <v/>
      </c>
      <c r="AB2370" s="71" t="str">
        <f aca="false">IF(AH2370="","",ROUND(MIN(K2370,TOPE_AFP_UF*AJ2370)*AK2370,0))</f>
        <v/>
      </c>
      <c r="AC2370" s="71" t="str">
        <f aca="false">IF(AH2370="","",ROUND(MIN(K2370,TOPE_AFC_UF*AJ2370)*IF(AA2370="Indefinido",AFC_EMP_INDEF,AFC_EMP_PF),0))</f>
        <v/>
      </c>
      <c r="AD2370" s="71" t="str">
        <f aca="false">IF(AH2370="","",ROUND(MIN(K2370,TOPE_AFP_UF*AJ2370)*(MUTUAL_BASICA+MUTUAL_ADIC+SANNA),0))</f>
        <v/>
      </c>
      <c r="AE2370" s="71" t="str">
        <f aca="false">IF(AH2370="","",P2370-N(N2370)+AB2370+AC2370+AD2370)</f>
        <v/>
      </c>
      <c r="AF2370" s="65"/>
      <c r="AG2370" s="64"/>
      <c r="AH2370" s="72" t="str">
        <f aca="false">IF(OR(B2370="",C2370=""),"",C2370&amp;"|"&amp;(YEAR(B2370)*100+MONTH(B2370)))</f>
        <v/>
      </c>
      <c r="AI2370" s="70" t="str">
        <f aca="false">IF(AH2370="","",IF(COUNTIF(L_CLAVE,AH2370)&gt;1,"⚠ Duplicado","OK"))</f>
        <v/>
      </c>
      <c r="AJ2370" s="86" t="str">
        <f aca="false">IF(AH2370="","",IF(SUMPRODUCT(MAX((IND_PER&lt;=B2370)*(IND_UF&lt;&gt;"")*IND_PER))=0,UF_HOY,INDEX(IND_UF,MATCH(SUMPRODUCT(MAX((IND_PER&lt;=B2370)*(IND_UF&lt;&gt;"")*IND_PER)),IND_PER,0))))</f>
        <v/>
      </c>
      <c r="AK2370" s="87" t="str">
        <f aca="false">IF(AH2370="","",IF(COUNTIF(TASA_DESDE,"&lt;="&amp;B2370)=0,INDEX(TASA_EMP,1),INDEX(TASA_EMP,COUNTIF(TASA_DESDE,"&lt;="&amp;B2370))))</f>
        <v/>
      </c>
    </row>
    <row r="2371" customFormat="false" ht="15" hidden="false" customHeight="false" outlineLevel="0" collapsed="false">
      <c r="B2371" s="78"/>
      <c r="C2371" s="64"/>
      <c r="D2371" s="72" t="str">
        <f aca="false">IF(C2371="","",IFERROR(INDEX(T_NOMBRE,MATCH(C2371,T_ID,0)),"⚠ ID no existe"))</f>
        <v/>
      </c>
      <c r="E2371" s="69"/>
      <c r="F2371" s="67"/>
      <c r="G2371" s="67"/>
      <c r="H2371" s="67"/>
      <c r="I2371" s="67"/>
      <c r="J2371" s="67"/>
      <c r="K2371" s="85" t="str">
        <f aca="false">IF(AH2371="","",N(F2371)+N(G2371)+N(H2371)-N(I2371)+N(J2371))</f>
        <v/>
      </c>
      <c r="L2371" s="67"/>
      <c r="M2371" s="67"/>
      <c r="N2371" s="67"/>
      <c r="O2371" s="67"/>
      <c r="P2371" s="85" t="str">
        <f aca="false">IF(AH2371="","",K2371+N(L2371)+N(M2371)+N(N2371)+N(O2371))</f>
        <v/>
      </c>
      <c r="Q2371" s="67"/>
      <c r="R2371" s="67"/>
      <c r="S2371" s="67"/>
      <c r="T2371" s="67"/>
      <c r="U2371" s="67"/>
      <c r="V2371" s="67"/>
      <c r="W2371" s="85" t="str">
        <f aca="false">IF(AH2371="","",N(Q2371)+N(R2371)+N(S2371)+N(T2371)+N(U2371)+N(V2371))</f>
        <v/>
      </c>
      <c r="X2371" s="85" t="str">
        <f aca="false">IF(AH2371="","",P2371-W2371)</f>
        <v/>
      </c>
      <c r="Y2371" s="67"/>
      <c r="Z2371" s="70" t="str">
        <f aca="false">IF(OR(AH2371="",Y2371=""),"",IF(ABS(X2371-Y2371)&lt;=1,"✓ Cuadra","⚠ Diferencia $"&amp;FIXED(X2371-Y2371,0)))</f>
        <v/>
      </c>
      <c r="AA2371" s="72" t="str">
        <f aca="false">IF(AH2371="","",IFERROR(INDEX(C_TIPO,MATCH(C2371&amp;"-P"&amp;MAX(1,COUNTIFS(C_ID,C2371,C_DEFINE,"Sí",C_INICIO,"&lt;="&amp;EOMONTH(B2371,0))),C_CLAVE,0))&amp;"","Sin dato"))</f>
        <v/>
      </c>
      <c r="AB2371" s="71" t="str">
        <f aca="false">IF(AH2371="","",ROUND(MIN(K2371,TOPE_AFP_UF*AJ2371)*AK2371,0))</f>
        <v/>
      </c>
      <c r="AC2371" s="71" t="str">
        <f aca="false">IF(AH2371="","",ROUND(MIN(K2371,TOPE_AFC_UF*AJ2371)*IF(AA2371="Indefinido",AFC_EMP_INDEF,AFC_EMP_PF),0))</f>
        <v/>
      </c>
      <c r="AD2371" s="71" t="str">
        <f aca="false">IF(AH2371="","",ROUND(MIN(K2371,TOPE_AFP_UF*AJ2371)*(MUTUAL_BASICA+MUTUAL_ADIC+SANNA),0))</f>
        <v/>
      </c>
      <c r="AE2371" s="71" t="str">
        <f aca="false">IF(AH2371="","",P2371-N(N2371)+AB2371+AC2371+AD2371)</f>
        <v/>
      </c>
      <c r="AF2371" s="65"/>
      <c r="AG2371" s="64"/>
      <c r="AH2371" s="72" t="str">
        <f aca="false">IF(OR(B2371="",C2371=""),"",C2371&amp;"|"&amp;(YEAR(B2371)*100+MONTH(B2371)))</f>
        <v/>
      </c>
      <c r="AI2371" s="70" t="str">
        <f aca="false">IF(AH2371="","",IF(COUNTIF(L_CLAVE,AH2371)&gt;1,"⚠ Duplicado","OK"))</f>
        <v/>
      </c>
      <c r="AJ2371" s="86" t="str">
        <f aca="false">IF(AH2371="","",IF(SUMPRODUCT(MAX((IND_PER&lt;=B2371)*(IND_UF&lt;&gt;"")*IND_PER))=0,UF_HOY,INDEX(IND_UF,MATCH(SUMPRODUCT(MAX((IND_PER&lt;=B2371)*(IND_UF&lt;&gt;"")*IND_PER)),IND_PER,0))))</f>
        <v/>
      </c>
      <c r="AK2371" s="87" t="str">
        <f aca="false">IF(AH2371="","",IF(COUNTIF(TASA_DESDE,"&lt;="&amp;B2371)=0,INDEX(TASA_EMP,1),INDEX(TASA_EMP,COUNTIF(TASA_DESDE,"&lt;="&amp;B2371))))</f>
        <v/>
      </c>
    </row>
    <row r="2372" customFormat="false" ht="15" hidden="false" customHeight="false" outlineLevel="0" collapsed="false">
      <c r="B2372" s="78"/>
      <c r="C2372" s="64"/>
      <c r="D2372" s="72" t="str">
        <f aca="false">IF(C2372="","",IFERROR(INDEX(T_NOMBRE,MATCH(C2372,T_ID,0)),"⚠ ID no existe"))</f>
        <v/>
      </c>
      <c r="E2372" s="69"/>
      <c r="F2372" s="67"/>
      <c r="G2372" s="67"/>
      <c r="H2372" s="67"/>
      <c r="I2372" s="67"/>
      <c r="J2372" s="67"/>
      <c r="K2372" s="85" t="str">
        <f aca="false">IF(AH2372="","",N(F2372)+N(G2372)+N(H2372)-N(I2372)+N(J2372))</f>
        <v/>
      </c>
      <c r="L2372" s="67"/>
      <c r="M2372" s="67"/>
      <c r="N2372" s="67"/>
      <c r="O2372" s="67"/>
      <c r="P2372" s="85" t="str">
        <f aca="false">IF(AH2372="","",K2372+N(L2372)+N(M2372)+N(N2372)+N(O2372))</f>
        <v/>
      </c>
      <c r="Q2372" s="67"/>
      <c r="R2372" s="67"/>
      <c r="S2372" s="67"/>
      <c r="T2372" s="67"/>
      <c r="U2372" s="67"/>
      <c r="V2372" s="67"/>
      <c r="W2372" s="85" t="str">
        <f aca="false">IF(AH2372="","",N(Q2372)+N(R2372)+N(S2372)+N(T2372)+N(U2372)+N(V2372))</f>
        <v/>
      </c>
      <c r="X2372" s="85" t="str">
        <f aca="false">IF(AH2372="","",P2372-W2372)</f>
        <v/>
      </c>
      <c r="Y2372" s="67"/>
      <c r="Z2372" s="70" t="str">
        <f aca="false">IF(OR(AH2372="",Y2372=""),"",IF(ABS(X2372-Y2372)&lt;=1,"✓ Cuadra","⚠ Diferencia $"&amp;FIXED(X2372-Y2372,0)))</f>
        <v/>
      </c>
      <c r="AA2372" s="72" t="str">
        <f aca="false">IF(AH2372="","",IFERROR(INDEX(C_TIPO,MATCH(C2372&amp;"-P"&amp;MAX(1,COUNTIFS(C_ID,C2372,C_DEFINE,"Sí",C_INICIO,"&lt;="&amp;EOMONTH(B2372,0))),C_CLAVE,0))&amp;"","Sin dato"))</f>
        <v/>
      </c>
      <c r="AB2372" s="71" t="str">
        <f aca="false">IF(AH2372="","",ROUND(MIN(K2372,TOPE_AFP_UF*AJ2372)*AK2372,0))</f>
        <v/>
      </c>
      <c r="AC2372" s="71" t="str">
        <f aca="false">IF(AH2372="","",ROUND(MIN(K2372,TOPE_AFC_UF*AJ2372)*IF(AA2372="Indefinido",AFC_EMP_INDEF,AFC_EMP_PF),0))</f>
        <v/>
      </c>
      <c r="AD2372" s="71" t="str">
        <f aca="false">IF(AH2372="","",ROUND(MIN(K2372,TOPE_AFP_UF*AJ2372)*(MUTUAL_BASICA+MUTUAL_ADIC+SANNA),0))</f>
        <v/>
      </c>
      <c r="AE2372" s="71" t="str">
        <f aca="false">IF(AH2372="","",P2372-N(N2372)+AB2372+AC2372+AD2372)</f>
        <v/>
      </c>
      <c r="AF2372" s="65"/>
      <c r="AG2372" s="64"/>
      <c r="AH2372" s="72" t="str">
        <f aca="false">IF(OR(B2372="",C2372=""),"",C2372&amp;"|"&amp;(YEAR(B2372)*100+MONTH(B2372)))</f>
        <v/>
      </c>
      <c r="AI2372" s="70" t="str">
        <f aca="false">IF(AH2372="","",IF(COUNTIF(L_CLAVE,AH2372)&gt;1,"⚠ Duplicado","OK"))</f>
        <v/>
      </c>
      <c r="AJ2372" s="86" t="str">
        <f aca="false">IF(AH2372="","",IF(SUMPRODUCT(MAX((IND_PER&lt;=B2372)*(IND_UF&lt;&gt;"")*IND_PER))=0,UF_HOY,INDEX(IND_UF,MATCH(SUMPRODUCT(MAX((IND_PER&lt;=B2372)*(IND_UF&lt;&gt;"")*IND_PER)),IND_PER,0))))</f>
        <v/>
      </c>
      <c r="AK2372" s="87" t="str">
        <f aca="false">IF(AH2372="","",IF(COUNTIF(TASA_DESDE,"&lt;="&amp;B2372)=0,INDEX(TASA_EMP,1),INDEX(TASA_EMP,COUNTIF(TASA_DESDE,"&lt;="&amp;B2372))))</f>
        <v/>
      </c>
    </row>
    <row r="2373" customFormat="false" ht="15" hidden="false" customHeight="false" outlineLevel="0" collapsed="false">
      <c r="B2373" s="78"/>
      <c r="C2373" s="64"/>
      <c r="D2373" s="72" t="str">
        <f aca="false">IF(C2373="","",IFERROR(INDEX(T_NOMBRE,MATCH(C2373,T_ID,0)),"⚠ ID no existe"))</f>
        <v/>
      </c>
      <c r="E2373" s="69"/>
      <c r="F2373" s="67"/>
      <c r="G2373" s="67"/>
      <c r="H2373" s="67"/>
      <c r="I2373" s="67"/>
      <c r="J2373" s="67"/>
      <c r="K2373" s="85" t="str">
        <f aca="false">IF(AH2373="","",N(F2373)+N(G2373)+N(H2373)-N(I2373)+N(J2373))</f>
        <v/>
      </c>
      <c r="L2373" s="67"/>
      <c r="M2373" s="67"/>
      <c r="N2373" s="67"/>
      <c r="O2373" s="67"/>
      <c r="P2373" s="85" t="str">
        <f aca="false">IF(AH2373="","",K2373+N(L2373)+N(M2373)+N(N2373)+N(O2373))</f>
        <v/>
      </c>
      <c r="Q2373" s="67"/>
      <c r="R2373" s="67"/>
      <c r="S2373" s="67"/>
      <c r="T2373" s="67"/>
      <c r="U2373" s="67"/>
      <c r="V2373" s="67"/>
      <c r="W2373" s="85" t="str">
        <f aca="false">IF(AH2373="","",N(Q2373)+N(R2373)+N(S2373)+N(T2373)+N(U2373)+N(V2373))</f>
        <v/>
      </c>
      <c r="X2373" s="85" t="str">
        <f aca="false">IF(AH2373="","",P2373-W2373)</f>
        <v/>
      </c>
      <c r="Y2373" s="67"/>
      <c r="Z2373" s="70" t="str">
        <f aca="false">IF(OR(AH2373="",Y2373=""),"",IF(ABS(X2373-Y2373)&lt;=1,"✓ Cuadra","⚠ Diferencia $"&amp;FIXED(X2373-Y2373,0)))</f>
        <v/>
      </c>
      <c r="AA2373" s="72" t="str">
        <f aca="false">IF(AH2373="","",IFERROR(INDEX(C_TIPO,MATCH(C2373&amp;"-P"&amp;MAX(1,COUNTIFS(C_ID,C2373,C_DEFINE,"Sí",C_INICIO,"&lt;="&amp;EOMONTH(B2373,0))),C_CLAVE,0))&amp;"","Sin dato"))</f>
        <v/>
      </c>
      <c r="AB2373" s="71" t="str">
        <f aca="false">IF(AH2373="","",ROUND(MIN(K2373,TOPE_AFP_UF*AJ2373)*AK2373,0))</f>
        <v/>
      </c>
      <c r="AC2373" s="71" t="str">
        <f aca="false">IF(AH2373="","",ROUND(MIN(K2373,TOPE_AFC_UF*AJ2373)*IF(AA2373="Indefinido",AFC_EMP_INDEF,AFC_EMP_PF),0))</f>
        <v/>
      </c>
      <c r="AD2373" s="71" t="str">
        <f aca="false">IF(AH2373="","",ROUND(MIN(K2373,TOPE_AFP_UF*AJ2373)*(MUTUAL_BASICA+MUTUAL_ADIC+SANNA),0))</f>
        <v/>
      </c>
      <c r="AE2373" s="71" t="str">
        <f aca="false">IF(AH2373="","",P2373-N(N2373)+AB2373+AC2373+AD2373)</f>
        <v/>
      </c>
      <c r="AF2373" s="65"/>
      <c r="AG2373" s="64"/>
      <c r="AH2373" s="72" t="str">
        <f aca="false">IF(OR(B2373="",C2373=""),"",C2373&amp;"|"&amp;(YEAR(B2373)*100+MONTH(B2373)))</f>
        <v/>
      </c>
      <c r="AI2373" s="70" t="str">
        <f aca="false">IF(AH2373="","",IF(COUNTIF(L_CLAVE,AH2373)&gt;1,"⚠ Duplicado","OK"))</f>
        <v/>
      </c>
      <c r="AJ2373" s="86" t="str">
        <f aca="false">IF(AH2373="","",IF(SUMPRODUCT(MAX((IND_PER&lt;=B2373)*(IND_UF&lt;&gt;"")*IND_PER))=0,UF_HOY,INDEX(IND_UF,MATCH(SUMPRODUCT(MAX((IND_PER&lt;=B2373)*(IND_UF&lt;&gt;"")*IND_PER)),IND_PER,0))))</f>
        <v/>
      </c>
      <c r="AK2373" s="87" t="str">
        <f aca="false">IF(AH2373="","",IF(COUNTIF(TASA_DESDE,"&lt;="&amp;B2373)=0,INDEX(TASA_EMP,1),INDEX(TASA_EMP,COUNTIF(TASA_DESDE,"&lt;="&amp;B2373))))</f>
        <v/>
      </c>
    </row>
    <row r="2374" customFormat="false" ht="15" hidden="false" customHeight="false" outlineLevel="0" collapsed="false">
      <c r="B2374" s="78"/>
      <c r="C2374" s="64"/>
      <c r="D2374" s="72" t="str">
        <f aca="false">IF(C2374="","",IFERROR(INDEX(T_NOMBRE,MATCH(C2374,T_ID,0)),"⚠ ID no existe"))</f>
        <v/>
      </c>
      <c r="E2374" s="69"/>
      <c r="F2374" s="67"/>
      <c r="G2374" s="67"/>
      <c r="H2374" s="67"/>
      <c r="I2374" s="67"/>
      <c r="J2374" s="67"/>
      <c r="K2374" s="85" t="str">
        <f aca="false">IF(AH2374="","",N(F2374)+N(G2374)+N(H2374)-N(I2374)+N(J2374))</f>
        <v/>
      </c>
      <c r="L2374" s="67"/>
      <c r="M2374" s="67"/>
      <c r="N2374" s="67"/>
      <c r="O2374" s="67"/>
      <c r="P2374" s="85" t="str">
        <f aca="false">IF(AH2374="","",K2374+N(L2374)+N(M2374)+N(N2374)+N(O2374))</f>
        <v/>
      </c>
      <c r="Q2374" s="67"/>
      <c r="R2374" s="67"/>
      <c r="S2374" s="67"/>
      <c r="T2374" s="67"/>
      <c r="U2374" s="67"/>
      <c r="V2374" s="67"/>
      <c r="W2374" s="85" t="str">
        <f aca="false">IF(AH2374="","",N(Q2374)+N(R2374)+N(S2374)+N(T2374)+N(U2374)+N(V2374))</f>
        <v/>
      </c>
      <c r="X2374" s="85" t="str">
        <f aca="false">IF(AH2374="","",P2374-W2374)</f>
        <v/>
      </c>
      <c r="Y2374" s="67"/>
      <c r="Z2374" s="70" t="str">
        <f aca="false">IF(OR(AH2374="",Y2374=""),"",IF(ABS(X2374-Y2374)&lt;=1,"✓ Cuadra","⚠ Diferencia $"&amp;FIXED(X2374-Y2374,0)))</f>
        <v/>
      </c>
      <c r="AA2374" s="72" t="str">
        <f aca="false">IF(AH2374="","",IFERROR(INDEX(C_TIPO,MATCH(C2374&amp;"-P"&amp;MAX(1,COUNTIFS(C_ID,C2374,C_DEFINE,"Sí",C_INICIO,"&lt;="&amp;EOMONTH(B2374,0))),C_CLAVE,0))&amp;"","Sin dato"))</f>
        <v/>
      </c>
      <c r="AB2374" s="71" t="str">
        <f aca="false">IF(AH2374="","",ROUND(MIN(K2374,TOPE_AFP_UF*AJ2374)*AK2374,0))</f>
        <v/>
      </c>
      <c r="AC2374" s="71" t="str">
        <f aca="false">IF(AH2374="","",ROUND(MIN(K2374,TOPE_AFC_UF*AJ2374)*IF(AA2374="Indefinido",AFC_EMP_INDEF,AFC_EMP_PF),0))</f>
        <v/>
      </c>
      <c r="AD2374" s="71" t="str">
        <f aca="false">IF(AH2374="","",ROUND(MIN(K2374,TOPE_AFP_UF*AJ2374)*(MUTUAL_BASICA+MUTUAL_ADIC+SANNA),0))</f>
        <v/>
      </c>
      <c r="AE2374" s="71" t="str">
        <f aca="false">IF(AH2374="","",P2374-N(N2374)+AB2374+AC2374+AD2374)</f>
        <v/>
      </c>
      <c r="AF2374" s="65"/>
      <c r="AG2374" s="64"/>
      <c r="AH2374" s="72" t="str">
        <f aca="false">IF(OR(B2374="",C2374=""),"",C2374&amp;"|"&amp;(YEAR(B2374)*100+MONTH(B2374)))</f>
        <v/>
      </c>
      <c r="AI2374" s="70" t="str">
        <f aca="false">IF(AH2374="","",IF(COUNTIF(L_CLAVE,AH2374)&gt;1,"⚠ Duplicado","OK"))</f>
        <v/>
      </c>
      <c r="AJ2374" s="86" t="str">
        <f aca="false">IF(AH2374="","",IF(SUMPRODUCT(MAX((IND_PER&lt;=B2374)*(IND_UF&lt;&gt;"")*IND_PER))=0,UF_HOY,INDEX(IND_UF,MATCH(SUMPRODUCT(MAX((IND_PER&lt;=B2374)*(IND_UF&lt;&gt;"")*IND_PER)),IND_PER,0))))</f>
        <v/>
      </c>
      <c r="AK2374" s="87" t="str">
        <f aca="false">IF(AH2374="","",IF(COUNTIF(TASA_DESDE,"&lt;="&amp;B2374)=0,INDEX(TASA_EMP,1),INDEX(TASA_EMP,COUNTIF(TASA_DESDE,"&lt;="&amp;B2374))))</f>
        <v/>
      </c>
    </row>
    <row r="2375" customFormat="false" ht="15" hidden="false" customHeight="false" outlineLevel="0" collapsed="false">
      <c r="B2375" s="78"/>
      <c r="C2375" s="64"/>
      <c r="D2375" s="72" t="str">
        <f aca="false">IF(C2375="","",IFERROR(INDEX(T_NOMBRE,MATCH(C2375,T_ID,0)),"⚠ ID no existe"))</f>
        <v/>
      </c>
      <c r="E2375" s="69"/>
      <c r="F2375" s="67"/>
      <c r="G2375" s="67"/>
      <c r="H2375" s="67"/>
      <c r="I2375" s="67"/>
      <c r="J2375" s="67"/>
      <c r="K2375" s="85" t="str">
        <f aca="false">IF(AH2375="","",N(F2375)+N(G2375)+N(H2375)-N(I2375)+N(J2375))</f>
        <v/>
      </c>
      <c r="L2375" s="67"/>
      <c r="M2375" s="67"/>
      <c r="N2375" s="67"/>
      <c r="O2375" s="67"/>
      <c r="P2375" s="85" t="str">
        <f aca="false">IF(AH2375="","",K2375+N(L2375)+N(M2375)+N(N2375)+N(O2375))</f>
        <v/>
      </c>
      <c r="Q2375" s="67"/>
      <c r="R2375" s="67"/>
      <c r="S2375" s="67"/>
      <c r="T2375" s="67"/>
      <c r="U2375" s="67"/>
      <c r="V2375" s="67"/>
      <c r="W2375" s="85" t="str">
        <f aca="false">IF(AH2375="","",N(Q2375)+N(R2375)+N(S2375)+N(T2375)+N(U2375)+N(V2375))</f>
        <v/>
      </c>
      <c r="X2375" s="85" t="str">
        <f aca="false">IF(AH2375="","",P2375-W2375)</f>
        <v/>
      </c>
      <c r="Y2375" s="67"/>
      <c r="Z2375" s="70" t="str">
        <f aca="false">IF(OR(AH2375="",Y2375=""),"",IF(ABS(X2375-Y2375)&lt;=1,"✓ Cuadra","⚠ Diferencia $"&amp;FIXED(X2375-Y2375,0)))</f>
        <v/>
      </c>
      <c r="AA2375" s="72" t="str">
        <f aca="false">IF(AH2375="","",IFERROR(INDEX(C_TIPO,MATCH(C2375&amp;"-P"&amp;MAX(1,COUNTIFS(C_ID,C2375,C_DEFINE,"Sí",C_INICIO,"&lt;="&amp;EOMONTH(B2375,0))),C_CLAVE,0))&amp;"","Sin dato"))</f>
        <v/>
      </c>
      <c r="AB2375" s="71" t="str">
        <f aca="false">IF(AH2375="","",ROUND(MIN(K2375,TOPE_AFP_UF*AJ2375)*AK2375,0))</f>
        <v/>
      </c>
      <c r="AC2375" s="71" t="str">
        <f aca="false">IF(AH2375="","",ROUND(MIN(K2375,TOPE_AFC_UF*AJ2375)*IF(AA2375="Indefinido",AFC_EMP_INDEF,AFC_EMP_PF),0))</f>
        <v/>
      </c>
      <c r="AD2375" s="71" t="str">
        <f aca="false">IF(AH2375="","",ROUND(MIN(K2375,TOPE_AFP_UF*AJ2375)*(MUTUAL_BASICA+MUTUAL_ADIC+SANNA),0))</f>
        <v/>
      </c>
      <c r="AE2375" s="71" t="str">
        <f aca="false">IF(AH2375="","",P2375-N(N2375)+AB2375+AC2375+AD2375)</f>
        <v/>
      </c>
      <c r="AF2375" s="65"/>
      <c r="AG2375" s="64"/>
      <c r="AH2375" s="72" t="str">
        <f aca="false">IF(OR(B2375="",C2375=""),"",C2375&amp;"|"&amp;(YEAR(B2375)*100+MONTH(B2375)))</f>
        <v/>
      </c>
      <c r="AI2375" s="70" t="str">
        <f aca="false">IF(AH2375="","",IF(COUNTIF(L_CLAVE,AH2375)&gt;1,"⚠ Duplicado","OK"))</f>
        <v/>
      </c>
      <c r="AJ2375" s="86" t="str">
        <f aca="false">IF(AH2375="","",IF(SUMPRODUCT(MAX((IND_PER&lt;=B2375)*(IND_UF&lt;&gt;"")*IND_PER))=0,UF_HOY,INDEX(IND_UF,MATCH(SUMPRODUCT(MAX((IND_PER&lt;=B2375)*(IND_UF&lt;&gt;"")*IND_PER)),IND_PER,0))))</f>
        <v/>
      </c>
      <c r="AK2375" s="87" t="str">
        <f aca="false">IF(AH2375="","",IF(COUNTIF(TASA_DESDE,"&lt;="&amp;B2375)=0,INDEX(TASA_EMP,1),INDEX(TASA_EMP,COUNTIF(TASA_DESDE,"&lt;="&amp;B2375))))</f>
        <v/>
      </c>
    </row>
    <row r="2376" customFormat="false" ht="15" hidden="false" customHeight="false" outlineLevel="0" collapsed="false">
      <c r="B2376" s="78"/>
      <c r="C2376" s="64"/>
      <c r="D2376" s="72" t="str">
        <f aca="false">IF(C2376="","",IFERROR(INDEX(T_NOMBRE,MATCH(C2376,T_ID,0)),"⚠ ID no existe"))</f>
        <v/>
      </c>
      <c r="E2376" s="69"/>
      <c r="F2376" s="67"/>
      <c r="G2376" s="67"/>
      <c r="H2376" s="67"/>
      <c r="I2376" s="67"/>
      <c r="J2376" s="67"/>
      <c r="K2376" s="85" t="str">
        <f aca="false">IF(AH2376="","",N(F2376)+N(G2376)+N(H2376)-N(I2376)+N(J2376))</f>
        <v/>
      </c>
      <c r="L2376" s="67"/>
      <c r="M2376" s="67"/>
      <c r="N2376" s="67"/>
      <c r="O2376" s="67"/>
      <c r="P2376" s="85" t="str">
        <f aca="false">IF(AH2376="","",K2376+N(L2376)+N(M2376)+N(N2376)+N(O2376))</f>
        <v/>
      </c>
      <c r="Q2376" s="67"/>
      <c r="R2376" s="67"/>
      <c r="S2376" s="67"/>
      <c r="T2376" s="67"/>
      <c r="U2376" s="67"/>
      <c r="V2376" s="67"/>
      <c r="W2376" s="85" t="str">
        <f aca="false">IF(AH2376="","",N(Q2376)+N(R2376)+N(S2376)+N(T2376)+N(U2376)+N(V2376))</f>
        <v/>
      </c>
      <c r="X2376" s="85" t="str">
        <f aca="false">IF(AH2376="","",P2376-W2376)</f>
        <v/>
      </c>
      <c r="Y2376" s="67"/>
      <c r="Z2376" s="70" t="str">
        <f aca="false">IF(OR(AH2376="",Y2376=""),"",IF(ABS(X2376-Y2376)&lt;=1,"✓ Cuadra","⚠ Diferencia $"&amp;FIXED(X2376-Y2376,0)))</f>
        <v/>
      </c>
      <c r="AA2376" s="72" t="str">
        <f aca="false">IF(AH2376="","",IFERROR(INDEX(C_TIPO,MATCH(C2376&amp;"-P"&amp;MAX(1,COUNTIFS(C_ID,C2376,C_DEFINE,"Sí",C_INICIO,"&lt;="&amp;EOMONTH(B2376,0))),C_CLAVE,0))&amp;"","Sin dato"))</f>
        <v/>
      </c>
      <c r="AB2376" s="71" t="str">
        <f aca="false">IF(AH2376="","",ROUND(MIN(K2376,TOPE_AFP_UF*AJ2376)*AK2376,0))</f>
        <v/>
      </c>
      <c r="AC2376" s="71" t="str">
        <f aca="false">IF(AH2376="","",ROUND(MIN(K2376,TOPE_AFC_UF*AJ2376)*IF(AA2376="Indefinido",AFC_EMP_INDEF,AFC_EMP_PF),0))</f>
        <v/>
      </c>
      <c r="AD2376" s="71" t="str">
        <f aca="false">IF(AH2376="","",ROUND(MIN(K2376,TOPE_AFP_UF*AJ2376)*(MUTUAL_BASICA+MUTUAL_ADIC+SANNA),0))</f>
        <v/>
      </c>
      <c r="AE2376" s="71" t="str">
        <f aca="false">IF(AH2376="","",P2376-N(N2376)+AB2376+AC2376+AD2376)</f>
        <v/>
      </c>
      <c r="AF2376" s="65"/>
      <c r="AG2376" s="64"/>
      <c r="AH2376" s="72" t="str">
        <f aca="false">IF(OR(B2376="",C2376=""),"",C2376&amp;"|"&amp;(YEAR(B2376)*100+MONTH(B2376)))</f>
        <v/>
      </c>
      <c r="AI2376" s="70" t="str">
        <f aca="false">IF(AH2376="","",IF(COUNTIF(L_CLAVE,AH2376)&gt;1,"⚠ Duplicado","OK"))</f>
        <v/>
      </c>
      <c r="AJ2376" s="86" t="str">
        <f aca="false">IF(AH2376="","",IF(SUMPRODUCT(MAX((IND_PER&lt;=B2376)*(IND_UF&lt;&gt;"")*IND_PER))=0,UF_HOY,INDEX(IND_UF,MATCH(SUMPRODUCT(MAX((IND_PER&lt;=B2376)*(IND_UF&lt;&gt;"")*IND_PER)),IND_PER,0))))</f>
        <v/>
      </c>
      <c r="AK2376" s="87" t="str">
        <f aca="false">IF(AH2376="","",IF(COUNTIF(TASA_DESDE,"&lt;="&amp;B2376)=0,INDEX(TASA_EMP,1),INDEX(TASA_EMP,COUNTIF(TASA_DESDE,"&lt;="&amp;B2376))))</f>
        <v/>
      </c>
    </row>
    <row r="2377" customFormat="false" ht="15" hidden="false" customHeight="false" outlineLevel="0" collapsed="false">
      <c r="B2377" s="78"/>
      <c r="C2377" s="64"/>
      <c r="D2377" s="72" t="str">
        <f aca="false">IF(C2377="","",IFERROR(INDEX(T_NOMBRE,MATCH(C2377,T_ID,0)),"⚠ ID no existe"))</f>
        <v/>
      </c>
      <c r="E2377" s="69"/>
      <c r="F2377" s="67"/>
      <c r="G2377" s="67"/>
      <c r="H2377" s="67"/>
      <c r="I2377" s="67"/>
      <c r="J2377" s="67"/>
      <c r="K2377" s="85" t="str">
        <f aca="false">IF(AH2377="","",N(F2377)+N(G2377)+N(H2377)-N(I2377)+N(J2377))</f>
        <v/>
      </c>
      <c r="L2377" s="67"/>
      <c r="M2377" s="67"/>
      <c r="N2377" s="67"/>
      <c r="O2377" s="67"/>
      <c r="P2377" s="85" t="str">
        <f aca="false">IF(AH2377="","",K2377+N(L2377)+N(M2377)+N(N2377)+N(O2377))</f>
        <v/>
      </c>
      <c r="Q2377" s="67"/>
      <c r="R2377" s="67"/>
      <c r="S2377" s="67"/>
      <c r="T2377" s="67"/>
      <c r="U2377" s="67"/>
      <c r="V2377" s="67"/>
      <c r="W2377" s="85" t="str">
        <f aca="false">IF(AH2377="","",N(Q2377)+N(R2377)+N(S2377)+N(T2377)+N(U2377)+N(V2377))</f>
        <v/>
      </c>
      <c r="X2377" s="85" t="str">
        <f aca="false">IF(AH2377="","",P2377-W2377)</f>
        <v/>
      </c>
      <c r="Y2377" s="67"/>
      <c r="Z2377" s="70" t="str">
        <f aca="false">IF(OR(AH2377="",Y2377=""),"",IF(ABS(X2377-Y2377)&lt;=1,"✓ Cuadra","⚠ Diferencia $"&amp;FIXED(X2377-Y2377,0)))</f>
        <v/>
      </c>
      <c r="AA2377" s="72" t="str">
        <f aca="false">IF(AH2377="","",IFERROR(INDEX(C_TIPO,MATCH(C2377&amp;"-P"&amp;MAX(1,COUNTIFS(C_ID,C2377,C_DEFINE,"Sí",C_INICIO,"&lt;="&amp;EOMONTH(B2377,0))),C_CLAVE,0))&amp;"","Sin dato"))</f>
        <v/>
      </c>
      <c r="AB2377" s="71" t="str">
        <f aca="false">IF(AH2377="","",ROUND(MIN(K2377,TOPE_AFP_UF*AJ2377)*AK2377,0))</f>
        <v/>
      </c>
      <c r="AC2377" s="71" t="str">
        <f aca="false">IF(AH2377="","",ROUND(MIN(K2377,TOPE_AFC_UF*AJ2377)*IF(AA2377="Indefinido",AFC_EMP_INDEF,AFC_EMP_PF),0))</f>
        <v/>
      </c>
      <c r="AD2377" s="71" t="str">
        <f aca="false">IF(AH2377="","",ROUND(MIN(K2377,TOPE_AFP_UF*AJ2377)*(MUTUAL_BASICA+MUTUAL_ADIC+SANNA),0))</f>
        <v/>
      </c>
      <c r="AE2377" s="71" t="str">
        <f aca="false">IF(AH2377="","",P2377-N(N2377)+AB2377+AC2377+AD2377)</f>
        <v/>
      </c>
      <c r="AF2377" s="65"/>
      <c r="AG2377" s="64"/>
      <c r="AH2377" s="72" t="str">
        <f aca="false">IF(OR(B2377="",C2377=""),"",C2377&amp;"|"&amp;(YEAR(B2377)*100+MONTH(B2377)))</f>
        <v/>
      </c>
      <c r="AI2377" s="70" t="str">
        <f aca="false">IF(AH2377="","",IF(COUNTIF(L_CLAVE,AH2377)&gt;1,"⚠ Duplicado","OK"))</f>
        <v/>
      </c>
      <c r="AJ2377" s="86" t="str">
        <f aca="false">IF(AH2377="","",IF(SUMPRODUCT(MAX((IND_PER&lt;=B2377)*(IND_UF&lt;&gt;"")*IND_PER))=0,UF_HOY,INDEX(IND_UF,MATCH(SUMPRODUCT(MAX((IND_PER&lt;=B2377)*(IND_UF&lt;&gt;"")*IND_PER)),IND_PER,0))))</f>
        <v/>
      </c>
      <c r="AK2377" s="87" t="str">
        <f aca="false">IF(AH2377="","",IF(COUNTIF(TASA_DESDE,"&lt;="&amp;B2377)=0,INDEX(TASA_EMP,1),INDEX(TASA_EMP,COUNTIF(TASA_DESDE,"&lt;="&amp;B2377))))</f>
        <v/>
      </c>
    </row>
    <row r="2378" customFormat="false" ht="15" hidden="false" customHeight="false" outlineLevel="0" collapsed="false">
      <c r="B2378" s="78"/>
      <c r="C2378" s="64"/>
      <c r="D2378" s="72" t="str">
        <f aca="false">IF(C2378="","",IFERROR(INDEX(T_NOMBRE,MATCH(C2378,T_ID,0)),"⚠ ID no existe"))</f>
        <v/>
      </c>
      <c r="E2378" s="69"/>
      <c r="F2378" s="67"/>
      <c r="G2378" s="67"/>
      <c r="H2378" s="67"/>
      <c r="I2378" s="67"/>
      <c r="J2378" s="67"/>
      <c r="K2378" s="85" t="str">
        <f aca="false">IF(AH2378="","",N(F2378)+N(G2378)+N(H2378)-N(I2378)+N(J2378))</f>
        <v/>
      </c>
      <c r="L2378" s="67"/>
      <c r="M2378" s="67"/>
      <c r="N2378" s="67"/>
      <c r="O2378" s="67"/>
      <c r="P2378" s="85" t="str">
        <f aca="false">IF(AH2378="","",K2378+N(L2378)+N(M2378)+N(N2378)+N(O2378))</f>
        <v/>
      </c>
      <c r="Q2378" s="67"/>
      <c r="R2378" s="67"/>
      <c r="S2378" s="67"/>
      <c r="T2378" s="67"/>
      <c r="U2378" s="67"/>
      <c r="V2378" s="67"/>
      <c r="W2378" s="85" t="str">
        <f aca="false">IF(AH2378="","",N(Q2378)+N(R2378)+N(S2378)+N(T2378)+N(U2378)+N(V2378))</f>
        <v/>
      </c>
      <c r="X2378" s="85" t="str">
        <f aca="false">IF(AH2378="","",P2378-W2378)</f>
        <v/>
      </c>
      <c r="Y2378" s="67"/>
      <c r="Z2378" s="70" t="str">
        <f aca="false">IF(OR(AH2378="",Y2378=""),"",IF(ABS(X2378-Y2378)&lt;=1,"✓ Cuadra","⚠ Diferencia $"&amp;FIXED(X2378-Y2378,0)))</f>
        <v/>
      </c>
      <c r="AA2378" s="72" t="str">
        <f aca="false">IF(AH2378="","",IFERROR(INDEX(C_TIPO,MATCH(C2378&amp;"-P"&amp;MAX(1,COUNTIFS(C_ID,C2378,C_DEFINE,"Sí",C_INICIO,"&lt;="&amp;EOMONTH(B2378,0))),C_CLAVE,0))&amp;"","Sin dato"))</f>
        <v/>
      </c>
      <c r="AB2378" s="71" t="str">
        <f aca="false">IF(AH2378="","",ROUND(MIN(K2378,TOPE_AFP_UF*AJ2378)*AK2378,0))</f>
        <v/>
      </c>
      <c r="AC2378" s="71" t="str">
        <f aca="false">IF(AH2378="","",ROUND(MIN(K2378,TOPE_AFC_UF*AJ2378)*IF(AA2378="Indefinido",AFC_EMP_INDEF,AFC_EMP_PF),0))</f>
        <v/>
      </c>
      <c r="AD2378" s="71" t="str">
        <f aca="false">IF(AH2378="","",ROUND(MIN(K2378,TOPE_AFP_UF*AJ2378)*(MUTUAL_BASICA+MUTUAL_ADIC+SANNA),0))</f>
        <v/>
      </c>
      <c r="AE2378" s="71" t="str">
        <f aca="false">IF(AH2378="","",P2378-N(N2378)+AB2378+AC2378+AD2378)</f>
        <v/>
      </c>
      <c r="AF2378" s="65"/>
      <c r="AG2378" s="64"/>
      <c r="AH2378" s="72" t="str">
        <f aca="false">IF(OR(B2378="",C2378=""),"",C2378&amp;"|"&amp;(YEAR(B2378)*100+MONTH(B2378)))</f>
        <v/>
      </c>
      <c r="AI2378" s="70" t="str">
        <f aca="false">IF(AH2378="","",IF(COUNTIF(L_CLAVE,AH2378)&gt;1,"⚠ Duplicado","OK"))</f>
        <v/>
      </c>
      <c r="AJ2378" s="86" t="str">
        <f aca="false">IF(AH2378="","",IF(SUMPRODUCT(MAX((IND_PER&lt;=B2378)*(IND_UF&lt;&gt;"")*IND_PER))=0,UF_HOY,INDEX(IND_UF,MATCH(SUMPRODUCT(MAX((IND_PER&lt;=B2378)*(IND_UF&lt;&gt;"")*IND_PER)),IND_PER,0))))</f>
        <v/>
      </c>
      <c r="AK2378" s="87" t="str">
        <f aca="false">IF(AH2378="","",IF(COUNTIF(TASA_DESDE,"&lt;="&amp;B2378)=0,INDEX(TASA_EMP,1),INDEX(TASA_EMP,COUNTIF(TASA_DESDE,"&lt;="&amp;B2378))))</f>
        <v/>
      </c>
    </row>
    <row r="2379" customFormat="false" ht="15" hidden="false" customHeight="false" outlineLevel="0" collapsed="false">
      <c r="B2379" s="78"/>
      <c r="C2379" s="64"/>
      <c r="D2379" s="72" t="str">
        <f aca="false">IF(C2379="","",IFERROR(INDEX(T_NOMBRE,MATCH(C2379,T_ID,0)),"⚠ ID no existe"))</f>
        <v/>
      </c>
      <c r="E2379" s="69"/>
      <c r="F2379" s="67"/>
      <c r="G2379" s="67"/>
      <c r="H2379" s="67"/>
      <c r="I2379" s="67"/>
      <c r="J2379" s="67"/>
      <c r="K2379" s="85" t="str">
        <f aca="false">IF(AH2379="","",N(F2379)+N(G2379)+N(H2379)-N(I2379)+N(J2379))</f>
        <v/>
      </c>
      <c r="L2379" s="67"/>
      <c r="M2379" s="67"/>
      <c r="N2379" s="67"/>
      <c r="O2379" s="67"/>
      <c r="P2379" s="85" t="str">
        <f aca="false">IF(AH2379="","",K2379+N(L2379)+N(M2379)+N(N2379)+N(O2379))</f>
        <v/>
      </c>
      <c r="Q2379" s="67"/>
      <c r="R2379" s="67"/>
      <c r="S2379" s="67"/>
      <c r="T2379" s="67"/>
      <c r="U2379" s="67"/>
      <c r="V2379" s="67"/>
      <c r="W2379" s="85" t="str">
        <f aca="false">IF(AH2379="","",N(Q2379)+N(R2379)+N(S2379)+N(T2379)+N(U2379)+N(V2379))</f>
        <v/>
      </c>
      <c r="X2379" s="85" t="str">
        <f aca="false">IF(AH2379="","",P2379-W2379)</f>
        <v/>
      </c>
      <c r="Y2379" s="67"/>
      <c r="Z2379" s="70" t="str">
        <f aca="false">IF(OR(AH2379="",Y2379=""),"",IF(ABS(X2379-Y2379)&lt;=1,"✓ Cuadra","⚠ Diferencia $"&amp;FIXED(X2379-Y2379,0)))</f>
        <v/>
      </c>
      <c r="AA2379" s="72" t="str">
        <f aca="false">IF(AH2379="","",IFERROR(INDEX(C_TIPO,MATCH(C2379&amp;"-P"&amp;MAX(1,COUNTIFS(C_ID,C2379,C_DEFINE,"Sí",C_INICIO,"&lt;="&amp;EOMONTH(B2379,0))),C_CLAVE,0))&amp;"","Sin dato"))</f>
        <v/>
      </c>
      <c r="AB2379" s="71" t="str">
        <f aca="false">IF(AH2379="","",ROUND(MIN(K2379,TOPE_AFP_UF*AJ2379)*AK2379,0))</f>
        <v/>
      </c>
      <c r="AC2379" s="71" t="str">
        <f aca="false">IF(AH2379="","",ROUND(MIN(K2379,TOPE_AFC_UF*AJ2379)*IF(AA2379="Indefinido",AFC_EMP_INDEF,AFC_EMP_PF),0))</f>
        <v/>
      </c>
      <c r="AD2379" s="71" t="str">
        <f aca="false">IF(AH2379="","",ROUND(MIN(K2379,TOPE_AFP_UF*AJ2379)*(MUTUAL_BASICA+MUTUAL_ADIC+SANNA),0))</f>
        <v/>
      </c>
      <c r="AE2379" s="71" t="str">
        <f aca="false">IF(AH2379="","",P2379-N(N2379)+AB2379+AC2379+AD2379)</f>
        <v/>
      </c>
      <c r="AF2379" s="65"/>
      <c r="AG2379" s="64"/>
      <c r="AH2379" s="72" t="str">
        <f aca="false">IF(OR(B2379="",C2379=""),"",C2379&amp;"|"&amp;(YEAR(B2379)*100+MONTH(B2379)))</f>
        <v/>
      </c>
      <c r="AI2379" s="70" t="str">
        <f aca="false">IF(AH2379="","",IF(COUNTIF(L_CLAVE,AH2379)&gt;1,"⚠ Duplicado","OK"))</f>
        <v/>
      </c>
      <c r="AJ2379" s="86" t="str">
        <f aca="false">IF(AH2379="","",IF(SUMPRODUCT(MAX((IND_PER&lt;=B2379)*(IND_UF&lt;&gt;"")*IND_PER))=0,UF_HOY,INDEX(IND_UF,MATCH(SUMPRODUCT(MAX((IND_PER&lt;=B2379)*(IND_UF&lt;&gt;"")*IND_PER)),IND_PER,0))))</f>
        <v/>
      </c>
      <c r="AK2379" s="87" t="str">
        <f aca="false">IF(AH2379="","",IF(COUNTIF(TASA_DESDE,"&lt;="&amp;B2379)=0,INDEX(TASA_EMP,1),INDEX(TASA_EMP,COUNTIF(TASA_DESDE,"&lt;="&amp;B2379))))</f>
        <v/>
      </c>
    </row>
    <row r="2380" customFormat="false" ht="15" hidden="false" customHeight="false" outlineLevel="0" collapsed="false">
      <c r="B2380" s="78"/>
      <c r="C2380" s="64"/>
      <c r="D2380" s="72" t="str">
        <f aca="false">IF(C2380="","",IFERROR(INDEX(T_NOMBRE,MATCH(C2380,T_ID,0)),"⚠ ID no existe"))</f>
        <v/>
      </c>
      <c r="E2380" s="69"/>
      <c r="F2380" s="67"/>
      <c r="G2380" s="67"/>
      <c r="H2380" s="67"/>
      <c r="I2380" s="67"/>
      <c r="J2380" s="67"/>
      <c r="K2380" s="85" t="str">
        <f aca="false">IF(AH2380="","",N(F2380)+N(G2380)+N(H2380)-N(I2380)+N(J2380))</f>
        <v/>
      </c>
      <c r="L2380" s="67"/>
      <c r="M2380" s="67"/>
      <c r="N2380" s="67"/>
      <c r="O2380" s="67"/>
      <c r="P2380" s="85" t="str">
        <f aca="false">IF(AH2380="","",K2380+N(L2380)+N(M2380)+N(N2380)+N(O2380))</f>
        <v/>
      </c>
      <c r="Q2380" s="67"/>
      <c r="R2380" s="67"/>
      <c r="S2380" s="67"/>
      <c r="T2380" s="67"/>
      <c r="U2380" s="67"/>
      <c r="V2380" s="67"/>
      <c r="W2380" s="85" t="str">
        <f aca="false">IF(AH2380="","",N(Q2380)+N(R2380)+N(S2380)+N(T2380)+N(U2380)+N(V2380))</f>
        <v/>
      </c>
      <c r="X2380" s="85" t="str">
        <f aca="false">IF(AH2380="","",P2380-W2380)</f>
        <v/>
      </c>
      <c r="Y2380" s="67"/>
      <c r="Z2380" s="70" t="str">
        <f aca="false">IF(OR(AH2380="",Y2380=""),"",IF(ABS(X2380-Y2380)&lt;=1,"✓ Cuadra","⚠ Diferencia $"&amp;FIXED(X2380-Y2380,0)))</f>
        <v/>
      </c>
      <c r="AA2380" s="72" t="str">
        <f aca="false">IF(AH2380="","",IFERROR(INDEX(C_TIPO,MATCH(C2380&amp;"-P"&amp;MAX(1,COUNTIFS(C_ID,C2380,C_DEFINE,"Sí",C_INICIO,"&lt;="&amp;EOMONTH(B2380,0))),C_CLAVE,0))&amp;"","Sin dato"))</f>
        <v/>
      </c>
      <c r="AB2380" s="71" t="str">
        <f aca="false">IF(AH2380="","",ROUND(MIN(K2380,TOPE_AFP_UF*AJ2380)*AK2380,0))</f>
        <v/>
      </c>
      <c r="AC2380" s="71" t="str">
        <f aca="false">IF(AH2380="","",ROUND(MIN(K2380,TOPE_AFC_UF*AJ2380)*IF(AA2380="Indefinido",AFC_EMP_INDEF,AFC_EMP_PF),0))</f>
        <v/>
      </c>
      <c r="AD2380" s="71" t="str">
        <f aca="false">IF(AH2380="","",ROUND(MIN(K2380,TOPE_AFP_UF*AJ2380)*(MUTUAL_BASICA+MUTUAL_ADIC+SANNA),0))</f>
        <v/>
      </c>
      <c r="AE2380" s="71" t="str">
        <f aca="false">IF(AH2380="","",P2380-N(N2380)+AB2380+AC2380+AD2380)</f>
        <v/>
      </c>
      <c r="AF2380" s="65"/>
      <c r="AG2380" s="64"/>
      <c r="AH2380" s="72" t="str">
        <f aca="false">IF(OR(B2380="",C2380=""),"",C2380&amp;"|"&amp;(YEAR(B2380)*100+MONTH(B2380)))</f>
        <v/>
      </c>
      <c r="AI2380" s="70" t="str">
        <f aca="false">IF(AH2380="","",IF(COUNTIF(L_CLAVE,AH2380)&gt;1,"⚠ Duplicado","OK"))</f>
        <v/>
      </c>
      <c r="AJ2380" s="86" t="str">
        <f aca="false">IF(AH2380="","",IF(SUMPRODUCT(MAX((IND_PER&lt;=B2380)*(IND_UF&lt;&gt;"")*IND_PER))=0,UF_HOY,INDEX(IND_UF,MATCH(SUMPRODUCT(MAX((IND_PER&lt;=B2380)*(IND_UF&lt;&gt;"")*IND_PER)),IND_PER,0))))</f>
        <v/>
      </c>
      <c r="AK2380" s="87" t="str">
        <f aca="false">IF(AH2380="","",IF(COUNTIF(TASA_DESDE,"&lt;="&amp;B2380)=0,INDEX(TASA_EMP,1),INDEX(TASA_EMP,COUNTIF(TASA_DESDE,"&lt;="&amp;B2380))))</f>
        <v/>
      </c>
    </row>
    <row r="2381" customFormat="false" ht="15" hidden="false" customHeight="false" outlineLevel="0" collapsed="false">
      <c r="B2381" s="78"/>
      <c r="C2381" s="64"/>
      <c r="D2381" s="72" t="str">
        <f aca="false">IF(C2381="","",IFERROR(INDEX(T_NOMBRE,MATCH(C2381,T_ID,0)),"⚠ ID no existe"))</f>
        <v/>
      </c>
      <c r="E2381" s="69"/>
      <c r="F2381" s="67"/>
      <c r="G2381" s="67"/>
      <c r="H2381" s="67"/>
      <c r="I2381" s="67"/>
      <c r="J2381" s="67"/>
      <c r="K2381" s="85" t="str">
        <f aca="false">IF(AH2381="","",N(F2381)+N(G2381)+N(H2381)-N(I2381)+N(J2381))</f>
        <v/>
      </c>
      <c r="L2381" s="67"/>
      <c r="M2381" s="67"/>
      <c r="N2381" s="67"/>
      <c r="O2381" s="67"/>
      <c r="P2381" s="85" t="str">
        <f aca="false">IF(AH2381="","",K2381+N(L2381)+N(M2381)+N(N2381)+N(O2381))</f>
        <v/>
      </c>
      <c r="Q2381" s="67"/>
      <c r="R2381" s="67"/>
      <c r="S2381" s="67"/>
      <c r="T2381" s="67"/>
      <c r="U2381" s="67"/>
      <c r="V2381" s="67"/>
      <c r="W2381" s="85" t="str">
        <f aca="false">IF(AH2381="","",N(Q2381)+N(R2381)+N(S2381)+N(T2381)+N(U2381)+N(V2381))</f>
        <v/>
      </c>
      <c r="X2381" s="85" t="str">
        <f aca="false">IF(AH2381="","",P2381-W2381)</f>
        <v/>
      </c>
      <c r="Y2381" s="67"/>
      <c r="Z2381" s="70" t="str">
        <f aca="false">IF(OR(AH2381="",Y2381=""),"",IF(ABS(X2381-Y2381)&lt;=1,"✓ Cuadra","⚠ Diferencia $"&amp;FIXED(X2381-Y2381,0)))</f>
        <v/>
      </c>
      <c r="AA2381" s="72" t="str">
        <f aca="false">IF(AH2381="","",IFERROR(INDEX(C_TIPO,MATCH(C2381&amp;"-P"&amp;MAX(1,COUNTIFS(C_ID,C2381,C_DEFINE,"Sí",C_INICIO,"&lt;="&amp;EOMONTH(B2381,0))),C_CLAVE,0))&amp;"","Sin dato"))</f>
        <v/>
      </c>
      <c r="AB2381" s="71" t="str">
        <f aca="false">IF(AH2381="","",ROUND(MIN(K2381,TOPE_AFP_UF*AJ2381)*AK2381,0))</f>
        <v/>
      </c>
      <c r="AC2381" s="71" t="str">
        <f aca="false">IF(AH2381="","",ROUND(MIN(K2381,TOPE_AFC_UF*AJ2381)*IF(AA2381="Indefinido",AFC_EMP_INDEF,AFC_EMP_PF),0))</f>
        <v/>
      </c>
      <c r="AD2381" s="71" t="str">
        <f aca="false">IF(AH2381="","",ROUND(MIN(K2381,TOPE_AFP_UF*AJ2381)*(MUTUAL_BASICA+MUTUAL_ADIC+SANNA),0))</f>
        <v/>
      </c>
      <c r="AE2381" s="71" t="str">
        <f aca="false">IF(AH2381="","",P2381-N(N2381)+AB2381+AC2381+AD2381)</f>
        <v/>
      </c>
      <c r="AF2381" s="65"/>
      <c r="AG2381" s="64"/>
      <c r="AH2381" s="72" t="str">
        <f aca="false">IF(OR(B2381="",C2381=""),"",C2381&amp;"|"&amp;(YEAR(B2381)*100+MONTH(B2381)))</f>
        <v/>
      </c>
      <c r="AI2381" s="70" t="str">
        <f aca="false">IF(AH2381="","",IF(COUNTIF(L_CLAVE,AH2381)&gt;1,"⚠ Duplicado","OK"))</f>
        <v/>
      </c>
      <c r="AJ2381" s="86" t="str">
        <f aca="false">IF(AH2381="","",IF(SUMPRODUCT(MAX((IND_PER&lt;=B2381)*(IND_UF&lt;&gt;"")*IND_PER))=0,UF_HOY,INDEX(IND_UF,MATCH(SUMPRODUCT(MAX((IND_PER&lt;=B2381)*(IND_UF&lt;&gt;"")*IND_PER)),IND_PER,0))))</f>
        <v/>
      </c>
      <c r="AK2381" s="87" t="str">
        <f aca="false">IF(AH2381="","",IF(COUNTIF(TASA_DESDE,"&lt;="&amp;B2381)=0,INDEX(TASA_EMP,1),INDEX(TASA_EMP,COUNTIF(TASA_DESDE,"&lt;="&amp;B2381))))</f>
        <v/>
      </c>
    </row>
    <row r="2382" customFormat="false" ht="15" hidden="false" customHeight="false" outlineLevel="0" collapsed="false">
      <c r="B2382" s="78"/>
      <c r="C2382" s="64"/>
      <c r="D2382" s="72" t="str">
        <f aca="false">IF(C2382="","",IFERROR(INDEX(T_NOMBRE,MATCH(C2382,T_ID,0)),"⚠ ID no existe"))</f>
        <v/>
      </c>
      <c r="E2382" s="69"/>
      <c r="F2382" s="67"/>
      <c r="G2382" s="67"/>
      <c r="H2382" s="67"/>
      <c r="I2382" s="67"/>
      <c r="J2382" s="67"/>
      <c r="K2382" s="85" t="str">
        <f aca="false">IF(AH2382="","",N(F2382)+N(G2382)+N(H2382)-N(I2382)+N(J2382))</f>
        <v/>
      </c>
      <c r="L2382" s="67"/>
      <c r="M2382" s="67"/>
      <c r="N2382" s="67"/>
      <c r="O2382" s="67"/>
      <c r="P2382" s="85" t="str">
        <f aca="false">IF(AH2382="","",K2382+N(L2382)+N(M2382)+N(N2382)+N(O2382))</f>
        <v/>
      </c>
      <c r="Q2382" s="67"/>
      <c r="R2382" s="67"/>
      <c r="S2382" s="67"/>
      <c r="T2382" s="67"/>
      <c r="U2382" s="67"/>
      <c r="V2382" s="67"/>
      <c r="W2382" s="85" t="str">
        <f aca="false">IF(AH2382="","",N(Q2382)+N(R2382)+N(S2382)+N(T2382)+N(U2382)+N(V2382))</f>
        <v/>
      </c>
      <c r="X2382" s="85" t="str">
        <f aca="false">IF(AH2382="","",P2382-W2382)</f>
        <v/>
      </c>
      <c r="Y2382" s="67"/>
      <c r="Z2382" s="70" t="str">
        <f aca="false">IF(OR(AH2382="",Y2382=""),"",IF(ABS(X2382-Y2382)&lt;=1,"✓ Cuadra","⚠ Diferencia $"&amp;FIXED(X2382-Y2382,0)))</f>
        <v/>
      </c>
      <c r="AA2382" s="72" t="str">
        <f aca="false">IF(AH2382="","",IFERROR(INDEX(C_TIPO,MATCH(C2382&amp;"-P"&amp;MAX(1,COUNTIFS(C_ID,C2382,C_DEFINE,"Sí",C_INICIO,"&lt;="&amp;EOMONTH(B2382,0))),C_CLAVE,0))&amp;"","Sin dato"))</f>
        <v/>
      </c>
      <c r="AB2382" s="71" t="str">
        <f aca="false">IF(AH2382="","",ROUND(MIN(K2382,TOPE_AFP_UF*AJ2382)*AK2382,0))</f>
        <v/>
      </c>
      <c r="AC2382" s="71" t="str">
        <f aca="false">IF(AH2382="","",ROUND(MIN(K2382,TOPE_AFC_UF*AJ2382)*IF(AA2382="Indefinido",AFC_EMP_INDEF,AFC_EMP_PF),0))</f>
        <v/>
      </c>
      <c r="AD2382" s="71" t="str">
        <f aca="false">IF(AH2382="","",ROUND(MIN(K2382,TOPE_AFP_UF*AJ2382)*(MUTUAL_BASICA+MUTUAL_ADIC+SANNA),0))</f>
        <v/>
      </c>
      <c r="AE2382" s="71" t="str">
        <f aca="false">IF(AH2382="","",P2382-N(N2382)+AB2382+AC2382+AD2382)</f>
        <v/>
      </c>
      <c r="AF2382" s="65"/>
      <c r="AG2382" s="64"/>
      <c r="AH2382" s="72" t="str">
        <f aca="false">IF(OR(B2382="",C2382=""),"",C2382&amp;"|"&amp;(YEAR(B2382)*100+MONTH(B2382)))</f>
        <v/>
      </c>
      <c r="AI2382" s="70" t="str">
        <f aca="false">IF(AH2382="","",IF(COUNTIF(L_CLAVE,AH2382)&gt;1,"⚠ Duplicado","OK"))</f>
        <v/>
      </c>
      <c r="AJ2382" s="86" t="str">
        <f aca="false">IF(AH2382="","",IF(SUMPRODUCT(MAX((IND_PER&lt;=B2382)*(IND_UF&lt;&gt;"")*IND_PER))=0,UF_HOY,INDEX(IND_UF,MATCH(SUMPRODUCT(MAX((IND_PER&lt;=B2382)*(IND_UF&lt;&gt;"")*IND_PER)),IND_PER,0))))</f>
        <v/>
      </c>
      <c r="AK2382" s="87" t="str">
        <f aca="false">IF(AH2382="","",IF(COUNTIF(TASA_DESDE,"&lt;="&amp;B2382)=0,INDEX(TASA_EMP,1),INDEX(TASA_EMP,COUNTIF(TASA_DESDE,"&lt;="&amp;B2382))))</f>
        <v/>
      </c>
    </row>
    <row r="2383" customFormat="false" ht="15" hidden="false" customHeight="false" outlineLevel="0" collapsed="false">
      <c r="B2383" s="78"/>
      <c r="C2383" s="64"/>
      <c r="D2383" s="72" t="str">
        <f aca="false">IF(C2383="","",IFERROR(INDEX(T_NOMBRE,MATCH(C2383,T_ID,0)),"⚠ ID no existe"))</f>
        <v/>
      </c>
      <c r="E2383" s="69"/>
      <c r="F2383" s="67"/>
      <c r="G2383" s="67"/>
      <c r="H2383" s="67"/>
      <c r="I2383" s="67"/>
      <c r="J2383" s="67"/>
      <c r="K2383" s="85" t="str">
        <f aca="false">IF(AH2383="","",N(F2383)+N(G2383)+N(H2383)-N(I2383)+N(J2383))</f>
        <v/>
      </c>
      <c r="L2383" s="67"/>
      <c r="M2383" s="67"/>
      <c r="N2383" s="67"/>
      <c r="O2383" s="67"/>
      <c r="P2383" s="85" t="str">
        <f aca="false">IF(AH2383="","",K2383+N(L2383)+N(M2383)+N(N2383)+N(O2383))</f>
        <v/>
      </c>
      <c r="Q2383" s="67"/>
      <c r="R2383" s="67"/>
      <c r="S2383" s="67"/>
      <c r="T2383" s="67"/>
      <c r="U2383" s="67"/>
      <c r="V2383" s="67"/>
      <c r="W2383" s="85" t="str">
        <f aca="false">IF(AH2383="","",N(Q2383)+N(R2383)+N(S2383)+N(T2383)+N(U2383)+N(V2383))</f>
        <v/>
      </c>
      <c r="X2383" s="85" t="str">
        <f aca="false">IF(AH2383="","",P2383-W2383)</f>
        <v/>
      </c>
      <c r="Y2383" s="67"/>
      <c r="Z2383" s="70" t="str">
        <f aca="false">IF(OR(AH2383="",Y2383=""),"",IF(ABS(X2383-Y2383)&lt;=1,"✓ Cuadra","⚠ Diferencia $"&amp;FIXED(X2383-Y2383,0)))</f>
        <v/>
      </c>
      <c r="AA2383" s="72" t="str">
        <f aca="false">IF(AH2383="","",IFERROR(INDEX(C_TIPO,MATCH(C2383&amp;"-P"&amp;MAX(1,COUNTIFS(C_ID,C2383,C_DEFINE,"Sí",C_INICIO,"&lt;="&amp;EOMONTH(B2383,0))),C_CLAVE,0))&amp;"","Sin dato"))</f>
        <v/>
      </c>
      <c r="AB2383" s="71" t="str">
        <f aca="false">IF(AH2383="","",ROUND(MIN(K2383,TOPE_AFP_UF*AJ2383)*AK2383,0))</f>
        <v/>
      </c>
      <c r="AC2383" s="71" t="str">
        <f aca="false">IF(AH2383="","",ROUND(MIN(K2383,TOPE_AFC_UF*AJ2383)*IF(AA2383="Indefinido",AFC_EMP_INDEF,AFC_EMP_PF),0))</f>
        <v/>
      </c>
      <c r="AD2383" s="71" t="str">
        <f aca="false">IF(AH2383="","",ROUND(MIN(K2383,TOPE_AFP_UF*AJ2383)*(MUTUAL_BASICA+MUTUAL_ADIC+SANNA),0))</f>
        <v/>
      </c>
      <c r="AE2383" s="71" t="str">
        <f aca="false">IF(AH2383="","",P2383-N(N2383)+AB2383+AC2383+AD2383)</f>
        <v/>
      </c>
      <c r="AF2383" s="65"/>
      <c r="AG2383" s="64"/>
      <c r="AH2383" s="72" t="str">
        <f aca="false">IF(OR(B2383="",C2383=""),"",C2383&amp;"|"&amp;(YEAR(B2383)*100+MONTH(B2383)))</f>
        <v/>
      </c>
      <c r="AI2383" s="70" t="str">
        <f aca="false">IF(AH2383="","",IF(COUNTIF(L_CLAVE,AH2383)&gt;1,"⚠ Duplicado","OK"))</f>
        <v/>
      </c>
      <c r="AJ2383" s="86" t="str">
        <f aca="false">IF(AH2383="","",IF(SUMPRODUCT(MAX((IND_PER&lt;=B2383)*(IND_UF&lt;&gt;"")*IND_PER))=0,UF_HOY,INDEX(IND_UF,MATCH(SUMPRODUCT(MAX((IND_PER&lt;=B2383)*(IND_UF&lt;&gt;"")*IND_PER)),IND_PER,0))))</f>
        <v/>
      </c>
      <c r="AK2383" s="87" t="str">
        <f aca="false">IF(AH2383="","",IF(COUNTIF(TASA_DESDE,"&lt;="&amp;B2383)=0,INDEX(TASA_EMP,1),INDEX(TASA_EMP,COUNTIF(TASA_DESDE,"&lt;="&amp;B2383))))</f>
        <v/>
      </c>
    </row>
    <row r="2384" customFormat="false" ht="15" hidden="false" customHeight="false" outlineLevel="0" collapsed="false">
      <c r="B2384" s="78"/>
      <c r="C2384" s="64"/>
      <c r="D2384" s="72" t="str">
        <f aca="false">IF(C2384="","",IFERROR(INDEX(T_NOMBRE,MATCH(C2384,T_ID,0)),"⚠ ID no existe"))</f>
        <v/>
      </c>
      <c r="E2384" s="69"/>
      <c r="F2384" s="67"/>
      <c r="G2384" s="67"/>
      <c r="H2384" s="67"/>
      <c r="I2384" s="67"/>
      <c r="J2384" s="67"/>
      <c r="K2384" s="85" t="str">
        <f aca="false">IF(AH2384="","",N(F2384)+N(G2384)+N(H2384)-N(I2384)+N(J2384))</f>
        <v/>
      </c>
      <c r="L2384" s="67"/>
      <c r="M2384" s="67"/>
      <c r="N2384" s="67"/>
      <c r="O2384" s="67"/>
      <c r="P2384" s="85" t="str">
        <f aca="false">IF(AH2384="","",K2384+N(L2384)+N(M2384)+N(N2384)+N(O2384))</f>
        <v/>
      </c>
      <c r="Q2384" s="67"/>
      <c r="R2384" s="67"/>
      <c r="S2384" s="67"/>
      <c r="T2384" s="67"/>
      <c r="U2384" s="67"/>
      <c r="V2384" s="67"/>
      <c r="W2384" s="85" t="str">
        <f aca="false">IF(AH2384="","",N(Q2384)+N(R2384)+N(S2384)+N(T2384)+N(U2384)+N(V2384))</f>
        <v/>
      </c>
      <c r="X2384" s="85" t="str">
        <f aca="false">IF(AH2384="","",P2384-W2384)</f>
        <v/>
      </c>
      <c r="Y2384" s="67"/>
      <c r="Z2384" s="70" t="str">
        <f aca="false">IF(OR(AH2384="",Y2384=""),"",IF(ABS(X2384-Y2384)&lt;=1,"✓ Cuadra","⚠ Diferencia $"&amp;FIXED(X2384-Y2384,0)))</f>
        <v/>
      </c>
      <c r="AA2384" s="72" t="str">
        <f aca="false">IF(AH2384="","",IFERROR(INDEX(C_TIPO,MATCH(C2384&amp;"-P"&amp;MAX(1,COUNTIFS(C_ID,C2384,C_DEFINE,"Sí",C_INICIO,"&lt;="&amp;EOMONTH(B2384,0))),C_CLAVE,0))&amp;"","Sin dato"))</f>
        <v/>
      </c>
      <c r="AB2384" s="71" t="str">
        <f aca="false">IF(AH2384="","",ROUND(MIN(K2384,TOPE_AFP_UF*AJ2384)*AK2384,0))</f>
        <v/>
      </c>
      <c r="AC2384" s="71" t="str">
        <f aca="false">IF(AH2384="","",ROUND(MIN(K2384,TOPE_AFC_UF*AJ2384)*IF(AA2384="Indefinido",AFC_EMP_INDEF,AFC_EMP_PF),0))</f>
        <v/>
      </c>
      <c r="AD2384" s="71" t="str">
        <f aca="false">IF(AH2384="","",ROUND(MIN(K2384,TOPE_AFP_UF*AJ2384)*(MUTUAL_BASICA+MUTUAL_ADIC+SANNA),0))</f>
        <v/>
      </c>
      <c r="AE2384" s="71" t="str">
        <f aca="false">IF(AH2384="","",P2384-N(N2384)+AB2384+AC2384+AD2384)</f>
        <v/>
      </c>
      <c r="AF2384" s="65"/>
      <c r="AG2384" s="64"/>
      <c r="AH2384" s="72" t="str">
        <f aca="false">IF(OR(B2384="",C2384=""),"",C2384&amp;"|"&amp;(YEAR(B2384)*100+MONTH(B2384)))</f>
        <v/>
      </c>
      <c r="AI2384" s="70" t="str">
        <f aca="false">IF(AH2384="","",IF(COUNTIF(L_CLAVE,AH2384)&gt;1,"⚠ Duplicado","OK"))</f>
        <v/>
      </c>
      <c r="AJ2384" s="86" t="str">
        <f aca="false">IF(AH2384="","",IF(SUMPRODUCT(MAX((IND_PER&lt;=B2384)*(IND_UF&lt;&gt;"")*IND_PER))=0,UF_HOY,INDEX(IND_UF,MATCH(SUMPRODUCT(MAX((IND_PER&lt;=B2384)*(IND_UF&lt;&gt;"")*IND_PER)),IND_PER,0))))</f>
        <v/>
      </c>
      <c r="AK2384" s="87" t="str">
        <f aca="false">IF(AH2384="","",IF(COUNTIF(TASA_DESDE,"&lt;="&amp;B2384)=0,INDEX(TASA_EMP,1),INDEX(TASA_EMP,COUNTIF(TASA_DESDE,"&lt;="&amp;B2384))))</f>
        <v/>
      </c>
    </row>
    <row r="2385" customFormat="false" ht="15" hidden="false" customHeight="false" outlineLevel="0" collapsed="false">
      <c r="B2385" s="78"/>
      <c r="C2385" s="64"/>
      <c r="D2385" s="72" t="str">
        <f aca="false">IF(C2385="","",IFERROR(INDEX(T_NOMBRE,MATCH(C2385,T_ID,0)),"⚠ ID no existe"))</f>
        <v/>
      </c>
      <c r="E2385" s="69"/>
      <c r="F2385" s="67"/>
      <c r="G2385" s="67"/>
      <c r="H2385" s="67"/>
      <c r="I2385" s="67"/>
      <c r="J2385" s="67"/>
      <c r="K2385" s="85" t="str">
        <f aca="false">IF(AH2385="","",N(F2385)+N(G2385)+N(H2385)-N(I2385)+N(J2385))</f>
        <v/>
      </c>
      <c r="L2385" s="67"/>
      <c r="M2385" s="67"/>
      <c r="N2385" s="67"/>
      <c r="O2385" s="67"/>
      <c r="P2385" s="85" t="str">
        <f aca="false">IF(AH2385="","",K2385+N(L2385)+N(M2385)+N(N2385)+N(O2385))</f>
        <v/>
      </c>
      <c r="Q2385" s="67"/>
      <c r="R2385" s="67"/>
      <c r="S2385" s="67"/>
      <c r="T2385" s="67"/>
      <c r="U2385" s="67"/>
      <c r="V2385" s="67"/>
      <c r="W2385" s="85" t="str">
        <f aca="false">IF(AH2385="","",N(Q2385)+N(R2385)+N(S2385)+N(T2385)+N(U2385)+N(V2385))</f>
        <v/>
      </c>
      <c r="X2385" s="85" t="str">
        <f aca="false">IF(AH2385="","",P2385-W2385)</f>
        <v/>
      </c>
      <c r="Y2385" s="67"/>
      <c r="Z2385" s="70" t="str">
        <f aca="false">IF(OR(AH2385="",Y2385=""),"",IF(ABS(X2385-Y2385)&lt;=1,"✓ Cuadra","⚠ Diferencia $"&amp;FIXED(X2385-Y2385,0)))</f>
        <v/>
      </c>
      <c r="AA2385" s="72" t="str">
        <f aca="false">IF(AH2385="","",IFERROR(INDEX(C_TIPO,MATCH(C2385&amp;"-P"&amp;MAX(1,COUNTIFS(C_ID,C2385,C_DEFINE,"Sí",C_INICIO,"&lt;="&amp;EOMONTH(B2385,0))),C_CLAVE,0))&amp;"","Sin dato"))</f>
        <v/>
      </c>
      <c r="AB2385" s="71" t="str">
        <f aca="false">IF(AH2385="","",ROUND(MIN(K2385,TOPE_AFP_UF*AJ2385)*AK2385,0))</f>
        <v/>
      </c>
      <c r="AC2385" s="71" t="str">
        <f aca="false">IF(AH2385="","",ROUND(MIN(K2385,TOPE_AFC_UF*AJ2385)*IF(AA2385="Indefinido",AFC_EMP_INDEF,AFC_EMP_PF),0))</f>
        <v/>
      </c>
      <c r="AD2385" s="71" t="str">
        <f aca="false">IF(AH2385="","",ROUND(MIN(K2385,TOPE_AFP_UF*AJ2385)*(MUTUAL_BASICA+MUTUAL_ADIC+SANNA),0))</f>
        <v/>
      </c>
      <c r="AE2385" s="71" t="str">
        <f aca="false">IF(AH2385="","",P2385-N(N2385)+AB2385+AC2385+AD2385)</f>
        <v/>
      </c>
      <c r="AF2385" s="65"/>
      <c r="AG2385" s="64"/>
      <c r="AH2385" s="72" t="str">
        <f aca="false">IF(OR(B2385="",C2385=""),"",C2385&amp;"|"&amp;(YEAR(B2385)*100+MONTH(B2385)))</f>
        <v/>
      </c>
      <c r="AI2385" s="70" t="str">
        <f aca="false">IF(AH2385="","",IF(COUNTIF(L_CLAVE,AH2385)&gt;1,"⚠ Duplicado","OK"))</f>
        <v/>
      </c>
      <c r="AJ2385" s="86" t="str">
        <f aca="false">IF(AH2385="","",IF(SUMPRODUCT(MAX((IND_PER&lt;=B2385)*(IND_UF&lt;&gt;"")*IND_PER))=0,UF_HOY,INDEX(IND_UF,MATCH(SUMPRODUCT(MAX((IND_PER&lt;=B2385)*(IND_UF&lt;&gt;"")*IND_PER)),IND_PER,0))))</f>
        <v/>
      </c>
      <c r="AK2385" s="87" t="str">
        <f aca="false">IF(AH2385="","",IF(COUNTIF(TASA_DESDE,"&lt;="&amp;B2385)=0,INDEX(TASA_EMP,1),INDEX(TASA_EMP,COUNTIF(TASA_DESDE,"&lt;="&amp;B2385))))</f>
        <v/>
      </c>
    </row>
    <row r="2386" customFormat="false" ht="15" hidden="false" customHeight="false" outlineLevel="0" collapsed="false">
      <c r="B2386" s="78"/>
      <c r="C2386" s="64"/>
      <c r="D2386" s="72" t="str">
        <f aca="false">IF(C2386="","",IFERROR(INDEX(T_NOMBRE,MATCH(C2386,T_ID,0)),"⚠ ID no existe"))</f>
        <v/>
      </c>
      <c r="E2386" s="69"/>
      <c r="F2386" s="67"/>
      <c r="G2386" s="67"/>
      <c r="H2386" s="67"/>
      <c r="I2386" s="67"/>
      <c r="J2386" s="67"/>
      <c r="K2386" s="85" t="str">
        <f aca="false">IF(AH2386="","",N(F2386)+N(G2386)+N(H2386)-N(I2386)+N(J2386))</f>
        <v/>
      </c>
      <c r="L2386" s="67"/>
      <c r="M2386" s="67"/>
      <c r="N2386" s="67"/>
      <c r="O2386" s="67"/>
      <c r="P2386" s="85" t="str">
        <f aca="false">IF(AH2386="","",K2386+N(L2386)+N(M2386)+N(N2386)+N(O2386))</f>
        <v/>
      </c>
      <c r="Q2386" s="67"/>
      <c r="R2386" s="67"/>
      <c r="S2386" s="67"/>
      <c r="T2386" s="67"/>
      <c r="U2386" s="67"/>
      <c r="V2386" s="67"/>
      <c r="W2386" s="85" t="str">
        <f aca="false">IF(AH2386="","",N(Q2386)+N(R2386)+N(S2386)+N(T2386)+N(U2386)+N(V2386))</f>
        <v/>
      </c>
      <c r="X2386" s="85" t="str">
        <f aca="false">IF(AH2386="","",P2386-W2386)</f>
        <v/>
      </c>
      <c r="Y2386" s="67"/>
      <c r="Z2386" s="70" t="str">
        <f aca="false">IF(OR(AH2386="",Y2386=""),"",IF(ABS(X2386-Y2386)&lt;=1,"✓ Cuadra","⚠ Diferencia $"&amp;FIXED(X2386-Y2386,0)))</f>
        <v/>
      </c>
      <c r="AA2386" s="72" t="str">
        <f aca="false">IF(AH2386="","",IFERROR(INDEX(C_TIPO,MATCH(C2386&amp;"-P"&amp;MAX(1,COUNTIFS(C_ID,C2386,C_DEFINE,"Sí",C_INICIO,"&lt;="&amp;EOMONTH(B2386,0))),C_CLAVE,0))&amp;"","Sin dato"))</f>
        <v/>
      </c>
      <c r="AB2386" s="71" t="str">
        <f aca="false">IF(AH2386="","",ROUND(MIN(K2386,TOPE_AFP_UF*AJ2386)*AK2386,0))</f>
        <v/>
      </c>
      <c r="AC2386" s="71" t="str">
        <f aca="false">IF(AH2386="","",ROUND(MIN(K2386,TOPE_AFC_UF*AJ2386)*IF(AA2386="Indefinido",AFC_EMP_INDEF,AFC_EMP_PF),0))</f>
        <v/>
      </c>
      <c r="AD2386" s="71" t="str">
        <f aca="false">IF(AH2386="","",ROUND(MIN(K2386,TOPE_AFP_UF*AJ2386)*(MUTUAL_BASICA+MUTUAL_ADIC+SANNA),0))</f>
        <v/>
      </c>
      <c r="AE2386" s="71" t="str">
        <f aca="false">IF(AH2386="","",P2386-N(N2386)+AB2386+AC2386+AD2386)</f>
        <v/>
      </c>
      <c r="AF2386" s="65"/>
      <c r="AG2386" s="64"/>
      <c r="AH2386" s="72" t="str">
        <f aca="false">IF(OR(B2386="",C2386=""),"",C2386&amp;"|"&amp;(YEAR(B2386)*100+MONTH(B2386)))</f>
        <v/>
      </c>
      <c r="AI2386" s="70" t="str">
        <f aca="false">IF(AH2386="","",IF(COUNTIF(L_CLAVE,AH2386)&gt;1,"⚠ Duplicado","OK"))</f>
        <v/>
      </c>
      <c r="AJ2386" s="86" t="str">
        <f aca="false">IF(AH2386="","",IF(SUMPRODUCT(MAX((IND_PER&lt;=B2386)*(IND_UF&lt;&gt;"")*IND_PER))=0,UF_HOY,INDEX(IND_UF,MATCH(SUMPRODUCT(MAX((IND_PER&lt;=B2386)*(IND_UF&lt;&gt;"")*IND_PER)),IND_PER,0))))</f>
        <v/>
      </c>
      <c r="AK2386" s="87" t="str">
        <f aca="false">IF(AH2386="","",IF(COUNTIF(TASA_DESDE,"&lt;="&amp;B2386)=0,INDEX(TASA_EMP,1),INDEX(TASA_EMP,COUNTIF(TASA_DESDE,"&lt;="&amp;B2386))))</f>
        <v/>
      </c>
    </row>
    <row r="2387" customFormat="false" ht="15" hidden="false" customHeight="false" outlineLevel="0" collapsed="false">
      <c r="B2387" s="78"/>
      <c r="C2387" s="64"/>
      <c r="D2387" s="72" t="str">
        <f aca="false">IF(C2387="","",IFERROR(INDEX(T_NOMBRE,MATCH(C2387,T_ID,0)),"⚠ ID no existe"))</f>
        <v/>
      </c>
      <c r="E2387" s="69"/>
      <c r="F2387" s="67"/>
      <c r="G2387" s="67"/>
      <c r="H2387" s="67"/>
      <c r="I2387" s="67"/>
      <c r="J2387" s="67"/>
      <c r="K2387" s="85" t="str">
        <f aca="false">IF(AH2387="","",N(F2387)+N(G2387)+N(H2387)-N(I2387)+N(J2387))</f>
        <v/>
      </c>
      <c r="L2387" s="67"/>
      <c r="M2387" s="67"/>
      <c r="N2387" s="67"/>
      <c r="O2387" s="67"/>
      <c r="P2387" s="85" t="str">
        <f aca="false">IF(AH2387="","",K2387+N(L2387)+N(M2387)+N(N2387)+N(O2387))</f>
        <v/>
      </c>
      <c r="Q2387" s="67"/>
      <c r="R2387" s="67"/>
      <c r="S2387" s="67"/>
      <c r="T2387" s="67"/>
      <c r="U2387" s="67"/>
      <c r="V2387" s="67"/>
      <c r="W2387" s="85" t="str">
        <f aca="false">IF(AH2387="","",N(Q2387)+N(R2387)+N(S2387)+N(T2387)+N(U2387)+N(V2387))</f>
        <v/>
      </c>
      <c r="X2387" s="85" t="str">
        <f aca="false">IF(AH2387="","",P2387-W2387)</f>
        <v/>
      </c>
      <c r="Y2387" s="67"/>
      <c r="Z2387" s="70" t="str">
        <f aca="false">IF(OR(AH2387="",Y2387=""),"",IF(ABS(X2387-Y2387)&lt;=1,"✓ Cuadra","⚠ Diferencia $"&amp;FIXED(X2387-Y2387,0)))</f>
        <v/>
      </c>
      <c r="AA2387" s="72" t="str">
        <f aca="false">IF(AH2387="","",IFERROR(INDEX(C_TIPO,MATCH(C2387&amp;"-P"&amp;MAX(1,COUNTIFS(C_ID,C2387,C_DEFINE,"Sí",C_INICIO,"&lt;="&amp;EOMONTH(B2387,0))),C_CLAVE,0))&amp;"","Sin dato"))</f>
        <v/>
      </c>
      <c r="AB2387" s="71" t="str">
        <f aca="false">IF(AH2387="","",ROUND(MIN(K2387,TOPE_AFP_UF*AJ2387)*AK2387,0))</f>
        <v/>
      </c>
      <c r="AC2387" s="71" t="str">
        <f aca="false">IF(AH2387="","",ROUND(MIN(K2387,TOPE_AFC_UF*AJ2387)*IF(AA2387="Indefinido",AFC_EMP_INDEF,AFC_EMP_PF),0))</f>
        <v/>
      </c>
      <c r="AD2387" s="71" t="str">
        <f aca="false">IF(AH2387="","",ROUND(MIN(K2387,TOPE_AFP_UF*AJ2387)*(MUTUAL_BASICA+MUTUAL_ADIC+SANNA),0))</f>
        <v/>
      </c>
      <c r="AE2387" s="71" t="str">
        <f aca="false">IF(AH2387="","",P2387-N(N2387)+AB2387+AC2387+AD2387)</f>
        <v/>
      </c>
      <c r="AF2387" s="65"/>
      <c r="AG2387" s="64"/>
      <c r="AH2387" s="72" t="str">
        <f aca="false">IF(OR(B2387="",C2387=""),"",C2387&amp;"|"&amp;(YEAR(B2387)*100+MONTH(B2387)))</f>
        <v/>
      </c>
      <c r="AI2387" s="70" t="str">
        <f aca="false">IF(AH2387="","",IF(COUNTIF(L_CLAVE,AH2387)&gt;1,"⚠ Duplicado","OK"))</f>
        <v/>
      </c>
      <c r="AJ2387" s="86" t="str">
        <f aca="false">IF(AH2387="","",IF(SUMPRODUCT(MAX((IND_PER&lt;=B2387)*(IND_UF&lt;&gt;"")*IND_PER))=0,UF_HOY,INDEX(IND_UF,MATCH(SUMPRODUCT(MAX((IND_PER&lt;=B2387)*(IND_UF&lt;&gt;"")*IND_PER)),IND_PER,0))))</f>
        <v/>
      </c>
      <c r="AK2387" s="87" t="str">
        <f aca="false">IF(AH2387="","",IF(COUNTIF(TASA_DESDE,"&lt;="&amp;B2387)=0,INDEX(TASA_EMP,1),INDEX(TASA_EMP,COUNTIF(TASA_DESDE,"&lt;="&amp;B2387))))</f>
        <v/>
      </c>
    </row>
    <row r="2388" customFormat="false" ht="15" hidden="false" customHeight="false" outlineLevel="0" collapsed="false">
      <c r="B2388" s="78"/>
      <c r="C2388" s="64"/>
      <c r="D2388" s="72" t="str">
        <f aca="false">IF(C2388="","",IFERROR(INDEX(T_NOMBRE,MATCH(C2388,T_ID,0)),"⚠ ID no existe"))</f>
        <v/>
      </c>
      <c r="E2388" s="69"/>
      <c r="F2388" s="67"/>
      <c r="G2388" s="67"/>
      <c r="H2388" s="67"/>
      <c r="I2388" s="67"/>
      <c r="J2388" s="67"/>
      <c r="K2388" s="85" t="str">
        <f aca="false">IF(AH2388="","",N(F2388)+N(G2388)+N(H2388)-N(I2388)+N(J2388))</f>
        <v/>
      </c>
      <c r="L2388" s="67"/>
      <c r="M2388" s="67"/>
      <c r="N2388" s="67"/>
      <c r="O2388" s="67"/>
      <c r="P2388" s="85" t="str">
        <f aca="false">IF(AH2388="","",K2388+N(L2388)+N(M2388)+N(N2388)+N(O2388))</f>
        <v/>
      </c>
      <c r="Q2388" s="67"/>
      <c r="R2388" s="67"/>
      <c r="S2388" s="67"/>
      <c r="T2388" s="67"/>
      <c r="U2388" s="67"/>
      <c r="V2388" s="67"/>
      <c r="W2388" s="85" t="str">
        <f aca="false">IF(AH2388="","",N(Q2388)+N(R2388)+N(S2388)+N(T2388)+N(U2388)+N(V2388))</f>
        <v/>
      </c>
      <c r="X2388" s="85" t="str">
        <f aca="false">IF(AH2388="","",P2388-W2388)</f>
        <v/>
      </c>
      <c r="Y2388" s="67"/>
      <c r="Z2388" s="70" t="str">
        <f aca="false">IF(OR(AH2388="",Y2388=""),"",IF(ABS(X2388-Y2388)&lt;=1,"✓ Cuadra","⚠ Diferencia $"&amp;FIXED(X2388-Y2388,0)))</f>
        <v/>
      </c>
      <c r="AA2388" s="72" t="str">
        <f aca="false">IF(AH2388="","",IFERROR(INDEX(C_TIPO,MATCH(C2388&amp;"-P"&amp;MAX(1,COUNTIFS(C_ID,C2388,C_DEFINE,"Sí",C_INICIO,"&lt;="&amp;EOMONTH(B2388,0))),C_CLAVE,0))&amp;"","Sin dato"))</f>
        <v/>
      </c>
      <c r="AB2388" s="71" t="str">
        <f aca="false">IF(AH2388="","",ROUND(MIN(K2388,TOPE_AFP_UF*AJ2388)*AK2388,0))</f>
        <v/>
      </c>
      <c r="AC2388" s="71" t="str">
        <f aca="false">IF(AH2388="","",ROUND(MIN(K2388,TOPE_AFC_UF*AJ2388)*IF(AA2388="Indefinido",AFC_EMP_INDEF,AFC_EMP_PF),0))</f>
        <v/>
      </c>
      <c r="AD2388" s="71" t="str">
        <f aca="false">IF(AH2388="","",ROUND(MIN(K2388,TOPE_AFP_UF*AJ2388)*(MUTUAL_BASICA+MUTUAL_ADIC+SANNA),0))</f>
        <v/>
      </c>
      <c r="AE2388" s="71" t="str">
        <f aca="false">IF(AH2388="","",P2388-N(N2388)+AB2388+AC2388+AD2388)</f>
        <v/>
      </c>
      <c r="AF2388" s="65"/>
      <c r="AG2388" s="64"/>
      <c r="AH2388" s="72" t="str">
        <f aca="false">IF(OR(B2388="",C2388=""),"",C2388&amp;"|"&amp;(YEAR(B2388)*100+MONTH(B2388)))</f>
        <v/>
      </c>
      <c r="AI2388" s="70" t="str">
        <f aca="false">IF(AH2388="","",IF(COUNTIF(L_CLAVE,AH2388)&gt;1,"⚠ Duplicado","OK"))</f>
        <v/>
      </c>
      <c r="AJ2388" s="86" t="str">
        <f aca="false">IF(AH2388="","",IF(SUMPRODUCT(MAX((IND_PER&lt;=B2388)*(IND_UF&lt;&gt;"")*IND_PER))=0,UF_HOY,INDEX(IND_UF,MATCH(SUMPRODUCT(MAX((IND_PER&lt;=B2388)*(IND_UF&lt;&gt;"")*IND_PER)),IND_PER,0))))</f>
        <v/>
      </c>
      <c r="AK2388" s="87" t="str">
        <f aca="false">IF(AH2388="","",IF(COUNTIF(TASA_DESDE,"&lt;="&amp;B2388)=0,INDEX(TASA_EMP,1),INDEX(TASA_EMP,COUNTIF(TASA_DESDE,"&lt;="&amp;B2388))))</f>
        <v/>
      </c>
    </row>
    <row r="2389" customFormat="false" ht="15" hidden="false" customHeight="false" outlineLevel="0" collapsed="false">
      <c r="B2389" s="78"/>
      <c r="C2389" s="64"/>
      <c r="D2389" s="72" t="str">
        <f aca="false">IF(C2389="","",IFERROR(INDEX(T_NOMBRE,MATCH(C2389,T_ID,0)),"⚠ ID no existe"))</f>
        <v/>
      </c>
      <c r="E2389" s="69"/>
      <c r="F2389" s="67"/>
      <c r="G2389" s="67"/>
      <c r="H2389" s="67"/>
      <c r="I2389" s="67"/>
      <c r="J2389" s="67"/>
      <c r="K2389" s="85" t="str">
        <f aca="false">IF(AH2389="","",N(F2389)+N(G2389)+N(H2389)-N(I2389)+N(J2389))</f>
        <v/>
      </c>
      <c r="L2389" s="67"/>
      <c r="M2389" s="67"/>
      <c r="N2389" s="67"/>
      <c r="O2389" s="67"/>
      <c r="P2389" s="85" t="str">
        <f aca="false">IF(AH2389="","",K2389+N(L2389)+N(M2389)+N(N2389)+N(O2389))</f>
        <v/>
      </c>
      <c r="Q2389" s="67"/>
      <c r="R2389" s="67"/>
      <c r="S2389" s="67"/>
      <c r="T2389" s="67"/>
      <c r="U2389" s="67"/>
      <c r="V2389" s="67"/>
      <c r="W2389" s="85" t="str">
        <f aca="false">IF(AH2389="","",N(Q2389)+N(R2389)+N(S2389)+N(T2389)+N(U2389)+N(V2389))</f>
        <v/>
      </c>
      <c r="X2389" s="85" t="str">
        <f aca="false">IF(AH2389="","",P2389-W2389)</f>
        <v/>
      </c>
      <c r="Y2389" s="67"/>
      <c r="Z2389" s="70" t="str">
        <f aca="false">IF(OR(AH2389="",Y2389=""),"",IF(ABS(X2389-Y2389)&lt;=1,"✓ Cuadra","⚠ Diferencia $"&amp;FIXED(X2389-Y2389,0)))</f>
        <v/>
      </c>
      <c r="AA2389" s="72" t="str">
        <f aca="false">IF(AH2389="","",IFERROR(INDEX(C_TIPO,MATCH(C2389&amp;"-P"&amp;MAX(1,COUNTIFS(C_ID,C2389,C_DEFINE,"Sí",C_INICIO,"&lt;="&amp;EOMONTH(B2389,0))),C_CLAVE,0))&amp;"","Sin dato"))</f>
        <v/>
      </c>
      <c r="AB2389" s="71" t="str">
        <f aca="false">IF(AH2389="","",ROUND(MIN(K2389,TOPE_AFP_UF*AJ2389)*AK2389,0))</f>
        <v/>
      </c>
      <c r="AC2389" s="71" t="str">
        <f aca="false">IF(AH2389="","",ROUND(MIN(K2389,TOPE_AFC_UF*AJ2389)*IF(AA2389="Indefinido",AFC_EMP_INDEF,AFC_EMP_PF),0))</f>
        <v/>
      </c>
      <c r="AD2389" s="71" t="str">
        <f aca="false">IF(AH2389="","",ROUND(MIN(K2389,TOPE_AFP_UF*AJ2389)*(MUTUAL_BASICA+MUTUAL_ADIC+SANNA),0))</f>
        <v/>
      </c>
      <c r="AE2389" s="71" t="str">
        <f aca="false">IF(AH2389="","",P2389-N(N2389)+AB2389+AC2389+AD2389)</f>
        <v/>
      </c>
      <c r="AF2389" s="65"/>
      <c r="AG2389" s="64"/>
      <c r="AH2389" s="72" t="str">
        <f aca="false">IF(OR(B2389="",C2389=""),"",C2389&amp;"|"&amp;(YEAR(B2389)*100+MONTH(B2389)))</f>
        <v/>
      </c>
      <c r="AI2389" s="70" t="str">
        <f aca="false">IF(AH2389="","",IF(COUNTIF(L_CLAVE,AH2389)&gt;1,"⚠ Duplicado","OK"))</f>
        <v/>
      </c>
      <c r="AJ2389" s="86" t="str">
        <f aca="false">IF(AH2389="","",IF(SUMPRODUCT(MAX((IND_PER&lt;=B2389)*(IND_UF&lt;&gt;"")*IND_PER))=0,UF_HOY,INDEX(IND_UF,MATCH(SUMPRODUCT(MAX((IND_PER&lt;=B2389)*(IND_UF&lt;&gt;"")*IND_PER)),IND_PER,0))))</f>
        <v/>
      </c>
      <c r="AK2389" s="87" t="str">
        <f aca="false">IF(AH2389="","",IF(COUNTIF(TASA_DESDE,"&lt;="&amp;B2389)=0,INDEX(TASA_EMP,1),INDEX(TASA_EMP,COUNTIF(TASA_DESDE,"&lt;="&amp;B2389))))</f>
        <v/>
      </c>
    </row>
    <row r="2390" customFormat="false" ht="15" hidden="false" customHeight="false" outlineLevel="0" collapsed="false">
      <c r="B2390" s="78"/>
      <c r="C2390" s="64"/>
      <c r="D2390" s="72" t="str">
        <f aca="false">IF(C2390="","",IFERROR(INDEX(T_NOMBRE,MATCH(C2390,T_ID,0)),"⚠ ID no existe"))</f>
        <v/>
      </c>
      <c r="E2390" s="69"/>
      <c r="F2390" s="67"/>
      <c r="G2390" s="67"/>
      <c r="H2390" s="67"/>
      <c r="I2390" s="67"/>
      <c r="J2390" s="67"/>
      <c r="K2390" s="85" t="str">
        <f aca="false">IF(AH2390="","",N(F2390)+N(G2390)+N(H2390)-N(I2390)+N(J2390))</f>
        <v/>
      </c>
      <c r="L2390" s="67"/>
      <c r="M2390" s="67"/>
      <c r="N2390" s="67"/>
      <c r="O2390" s="67"/>
      <c r="P2390" s="85" t="str">
        <f aca="false">IF(AH2390="","",K2390+N(L2390)+N(M2390)+N(N2390)+N(O2390))</f>
        <v/>
      </c>
      <c r="Q2390" s="67"/>
      <c r="R2390" s="67"/>
      <c r="S2390" s="67"/>
      <c r="T2390" s="67"/>
      <c r="U2390" s="67"/>
      <c r="V2390" s="67"/>
      <c r="W2390" s="85" t="str">
        <f aca="false">IF(AH2390="","",N(Q2390)+N(R2390)+N(S2390)+N(T2390)+N(U2390)+N(V2390))</f>
        <v/>
      </c>
      <c r="X2390" s="85" t="str">
        <f aca="false">IF(AH2390="","",P2390-W2390)</f>
        <v/>
      </c>
      <c r="Y2390" s="67"/>
      <c r="Z2390" s="70" t="str">
        <f aca="false">IF(OR(AH2390="",Y2390=""),"",IF(ABS(X2390-Y2390)&lt;=1,"✓ Cuadra","⚠ Diferencia $"&amp;FIXED(X2390-Y2390,0)))</f>
        <v/>
      </c>
      <c r="AA2390" s="72" t="str">
        <f aca="false">IF(AH2390="","",IFERROR(INDEX(C_TIPO,MATCH(C2390&amp;"-P"&amp;MAX(1,COUNTIFS(C_ID,C2390,C_DEFINE,"Sí",C_INICIO,"&lt;="&amp;EOMONTH(B2390,0))),C_CLAVE,0))&amp;"","Sin dato"))</f>
        <v/>
      </c>
      <c r="AB2390" s="71" t="str">
        <f aca="false">IF(AH2390="","",ROUND(MIN(K2390,TOPE_AFP_UF*AJ2390)*AK2390,0))</f>
        <v/>
      </c>
      <c r="AC2390" s="71" t="str">
        <f aca="false">IF(AH2390="","",ROUND(MIN(K2390,TOPE_AFC_UF*AJ2390)*IF(AA2390="Indefinido",AFC_EMP_INDEF,AFC_EMP_PF),0))</f>
        <v/>
      </c>
      <c r="AD2390" s="71" t="str">
        <f aca="false">IF(AH2390="","",ROUND(MIN(K2390,TOPE_AFP_UF*AJ2390)*(MUTUAL_BASICA+MUTUAL_ADIC+SANNA),0))</f>
        <v/>
      </c>
      <c r="AE2390" s="71" t="str">
        <f aca="false">IF(AH2390="","",P2390-N(N2390)+AB2390+AC2390+AD2390)</f>
        <v/>
      </c>
      <c r="AF2390" s="65"/>
      <c r="AG2390" s="64"/>
      <c r="AH2390" s="72" t="str">
        <f aca="false">IF(OR(B2390="",C2390=""),"",C2390&amp;"|"&amp;(YEAR(B2390)*100+MONTH(B2390)))</f>
        <v/>
      </c>
      <c r="AI2390" s="70" t="str">
        <f aca="false">IF(AH2390="","",IF(COUNTIF(L_CLAVE,AH2390)&gt;1,"⚠ Duplicado","OK"))</f>
        <v/>
      </c>
      <c r="AJ2390" s="86" t="str">
        <f aca="false">IF(AH2390="","",IF(SUMPRODUCT(MAX((IND_PER&lt;=B2390)*(IND_UF&lt;&gt;"")*IND_PER))=0,UF_HOY,INDEX(IND_UF,MATCH(SUMPRODUCT(MAX((IND_PER&lt;=B2390)*(IND_UF&lt;&gt;"")*IND_PER)),IND_PER,0))))</f>
        <v/>
      </c>
      <c r="AK2390" s="87" t="str">
        <f aca="false">IF(AH2390="","",IF(COUNTIF(TASA_DESDE,"&lt;="&amp;B2390)=0,INDEX(TASA_EMP,1),INDEX(TASA_EMP,COUNTIF(TASA_DESDE,"&lt;="&amp;B2390))))</f>
        <v/>
      </c>
    </row>
    <row r="2391" customFormat="false" ht="15" hidden="false" customHeight="false" outlineLevel="0" collapsed="false">
      <c r="B2391" s="78"/>
      <c r="C2391" s="64"/>
      <c r="D2391" s="72" t="str">
        <f aca="false">IF(C2391="","",IFERROR(INDEX(T_NOMBRE,MATCH(C2391,T_ID,0)),"⚠ ID no existe"))</f>
        <v/>
      </c>
      <c r="E2391" s="69"/>
      <c r="F2391" s="67"/>
      <c r="G2391" s="67"/>
      <c r="H2391" s="67"/>
      <c r="I2391" s="67"/>
      <c r="J2391" s="67"/>
      <c r="K2391" s="85" t="str">
        <f aca="false">IF(AH2391="","",N(F2391)+N(G2391)+N(H2391)-N(I2391)+N(J2391))</f>
        <v/>
      </c>
      <c r="L2391" s="67"/>
      <c r="M2391" s="67"/>
      <c r="N2391" s="67"/>
      <c r="O2391" s="67"/>
      <c r="P2391" s="85" t="str">
        <f aca="false">IF(AH2391="","",K2391+N(L2391)+N(M2391)+N(N2391)+N(O2391))</f>
        <v/>
      </c>
      <c r="Q2391" s="67"/>
      <c r="R2391" s="67"/>
      <c r="S2391" s="67"/>
      <c r="T2391" s="67"/>
      <c r="U2391" s="67"/>
      <c r="V2391" s="67"/>
      <c r="W2391" s="85" t="str">
        <f aca="false">IF(AH2391="","",N(Q2391)+N(R2391)+N(S2391)+N(T2391)+N(U2391)+N(V2391))</f>
        <v/>
      </c>
      <c r="X2391" s="85" t="str">
        <f aca="false">IF(AH2391="","",P2391-W2391)</f>
        <v/>
      </c>
      <c r="Y2391" s="67"/>
      <c r="Z2391" s="70" t="str">
        <f aca="false">IF(OR(AH2391="",Y2391=""),"",IF(ABS(X2391-Y2391)&lt;=1,"✓ Cuadra","⚠ Diferencia $"&amp;FIXED(X2391-Y2391,0)))</f>
        <v/>
      </c>
      <c r="AA2391" s="72" t="str">
        <f aca="false">IF(AH2391="","",IFERROR(INDEX(C_TIPO,MATCH(C2391&amp;"-P"&amp;MAX(1,COUNTIFS(C_ID,C2391,C_DEFINE,"Sí",C_INICIO,"&lt;="&amp;EOMONTH(B2391,0))),C_CLAVE,0))&amp;"","Sin dato"))</f>
        <v/>
      </c>
      <c r="AB2391" s="71" t="str">
        <f aca="false">IF(AH2391="","",ROUND(MIN(K2391,TOPE_AFP_UF*AJ2391)*AK2391,0))</f>
        <v/>
      </c>
      <c r="AC2391" s="71" t="str">
        <f aca="false">IF(AH2391="","",ROUND(MIN(K2391,TOPE_AFC_UF*AJ2391)*IF(AA2391="Indefinido",AFC_EMP_INDEF,AFC_EMP_PF),0))</f>
        <v/>
      </c>
      <c r="AD2391" s="71" t="str">
        <f aca="false">IF(AH2391="","",ROUND(MIN(K2391,TOPE_AFP_UF*AJ2391)*(MUTUAL_BASICA+MUTUAL_ADIC+SANNA),0))</f>
        <v/>
      </c>
      <c r="AE2391" s="71" t="str">
        <f aca="false">IF(AH2391="","",P2391-N(N2391)+AB2391+AC2391+AD2391)</f>
        <v/>
      </c>
      <c r="AF2391" s="65"/>
      <c r="AG2391" s="64"/>
      <c r="AH2391" s="72" t="str">
        <f aca="false">IF(OR(B2391="",C2391=""),"",C2391&amp;"|"&amp;(YEAR(B2391)*100+MONTH(B2391)))</f>
        <v/>
      </c>
      <c r="AI2391" s="70" t="str">
        <f aca="false">IF(AH2391="","",IF(COUNTIF(L_CLAVE,AH2391)&gt;1,"⚠ Duplicado","OK"))</f>
        <v/>
      </c>
      <c r="AJ2391" s="86" t="str">
        <f aca="false">IF(AH2391="","",IF(SUMPRODUCT(MAX((IND_PER&lt;=B2391)*(IND_UF&lt;&gt;"")*IND_PER))=0,UF_HOY,INDEX(IND_UF,MATCH(SUMPRODUCT(MAX((IND_PER&lt;=B2391)*(IND_UF&lt;&gt;"")*IND_PER)),IND_PER,0))))</f>
        <v/>
      </c>
      <c r="AK2391" s="87" t="str">
        <f aca="false">IF(AH2391="","",IF(COUNTIF(TASA_DESDE,"&lt;="&amp;B2391)=0,INDEX(TASA_EMP,1),INDEX(TASA_EMP,COUNTIF(TASA_DESDE,"&lt;="&amp;B2391))))</f>
        <v/>
      </c>
    </row>
    <row r="2392" customFormat="false" ht="15" hidden="false" customHeight="false" outlineLevel="0" collapsed="false">
      <c r="B2392" s="78"/>
      <c r="C2392" s="64"/>
      <c r="D2392" s="72" t="str">
        <f aca="false">IF(C2392="","",IFERROR(INDEX(T_NOMBRE,MATCH(C2392,T_ID,0)),"⚠ ID no existe"))</f>
        <v/>
      </c>
      <c r="E2392" s="69"/>
      <c r="F2392" s="67"/>
      <c r="G2392" s="67"/>
      <c r="H2392" s="67"/>
      <c r="I2392" s="67"/>
      <c r="J2392" s="67"/>
      <c r="K2392" s="85" t="str">
        <f aca="false">IF(AH2392="","",N(F2392)+N(G2392)+N(H2392)-N(I2392)+N(J2392))</f>
        <v/>
      </c>
      <c r="L2392" s="67"/>
      <c r="M2392" s="67"/>
      <c r="N2392" s="67"/>
      <c r="O2392" s="67"/>
      <c r="P2392" s="85" t="str">
        <f aca="false">IF(AH2392="","",K2392+N(L2392)+N(M2392)+N(N2392)+N(O2392))</f>
        <v/>
      </c>
      <c r="Q2392" s="67"/>
      <c r="R2392" s="67"/>
      <c r="S2392" s="67"/>
      <c r="T2392" s="67"/>
      <c r="U2392" s="67"/>
      <c r="V2392" s="67"/>
      <c r="W2392" s="85" t="str">
        <f aca="false">IF(AH2392="","",N(Q2392)+N(R2392)+N(S2392)+N(T2392)+N(U2392)+N(V2392))</f>
        <v/>
      </c>
      <c r="X2392" s="85" t="str">
        <f aca="false">IF(AH2392="","",P2392-W2392)</f>
        <v/>
      </c>
      <c r="Y2392" s="67"/>
      <c r="Z2392" s="70" t="str">
        <f aca="false">IF(OR(AH2392="",Y2392=""),"",IF(ABS(X2392-Y2392)&lt;=1,"✓ Cuadra","⚠ Diferencia $"&amp;FIXED(X2392-Y2392,0)))</f>
        <v/>
      </c>
      <c r="AA2392" s="72" t="str">
        <f aca="false">IF(AH2392="","",IFERROR(INDEX(C_TIPO,MATCH(C2392&amp;"-P"&amp;MAX(1,COUNTIFS(C_ID,C2392,C_DEFINE,"Sí",C_INICIO,"&lt;="&amp;EOMONTH(B2392,0))),C_CLAVE,0))&amp;"","Sin dato"))</f>
        <v/>
      </c>
      <c r="AB2392" s="71" t="str">
        <f aca="false">IF(AH2392="","",ROUND(MIN(K2392,TOPE_AFP_UF*AJ2392)*AK2392,0))</f>
        <v/>
      </c>
      <c r="AC2392" s="71" t="str">
        <f aca="false">IF(AH2392="","",ROUND(MIN(K2392,TOPE_AFC_UF*AJ2392)*IF(AA2392="Indefinido",AFC_EMP_INDEF,AFC_EMP_PF),0))</f>
        <v/>
      </c>
      <c r="AD2392" s="71" t="str">
        <f aca="false">IF(AH2392="","",ROUND(MIN(K2392,TOPE_AFP_UF*AJ2392)*(MUTUAL_BASICA+MUTUAL_ADIC+SANNA),0))</f>
        <v/>
      </c>
      <c r="AE2392" s="71" t="str">
        <f aca="false">IF(AH2392="","",P2392-N(N2392)+AB2392+AC2392+AD2392)</f>
        <v/>
      </c>
      <c r="AF2392" s="65"/>
      <c r="AG2392" s="64"/>
      <c r="AH2392" s="72" t="str">
        <f aca="false">IF(OR(B2392="",C2392=""),"",C2392&amp;"|"&amp;(YEAR(B2392)*100+MONTH(B2392)))</f>
        <v/>
      </c>
      <c r="AI2392" s="70" t="str">
        <f aca="false">IF(AH2392="","",IF(COUNTIF(L_CLAVE,AH2392)&gt;1,"⚠ Duplicado","OK"))</f>
        <v/>
      </c>
      <c r="AJ2392" s="86" t="str">
        <f aca="false">IF(AH2392="","",IF(SUMPRODUCT(MAX((IND_PER&lt;=B2392)*(IND_UF&lt;&gt;"")*IND_PER))=0,UF_HOY,INDEX(IND_UF,MATCH(SUMPRODUCT(MAX((IND_PER&lt;=B2392)*(IND_UF&lt;&gt;"")*IND_PER)),IND_PER,0))))</f>
        <v/>
      </c>
      <c r="AK2392" s="87" t="str">
        <f aca="false">IF(AH2392="","",IF(COUNTIF(TASA_DESDE,"&lt;="&amp;B2392)=0,INDEX(TASA_EMP,1),INDEX(TASA_EMP,COUNTIF(TASA_DESDE,"&lt;="&amp;B2392))))</f>
        <v/>
      </c>
    </row>
    <row r="2393" customFormat="false" ht="15" hidden="false" customHeight="false" outlineLevel="0" collapsed="false">
      <c r="B2393" s="78"/>
      <c r="C2393" s="64"/>
      <c r="D2393" s="72" t="str">
        <f aca="false">IF(C2393="","",IFERROR(INDEX(T_NOMBRE,MATCH(C2393,T_ID,0)),"⚠ ID no existe"))</f>
        <v/>
      </c>
      <c r="E2393" s="69"/>
      <c r="F2393" s="67"/>
      <c r="G2393" s="67"/>
      <c r="H2393" s="67"/>
      <c r="I2393" s="67"/>
      <c r="J2393" s="67"/>
      <c r="K2393" s="85" t="str">
        <f aca="false">IF(AH2393="","",N(F2393)+N(G2393)+N(H2393)-N(I2393)+N(J2393))</f>
        <v/>
      </c>
      <c r="L2393" s="67"/>
      <c r="M2393" s="67"/>
      <c r="N2393" s="67"/>
      <c r="O2393" s="67"/>
      <c r="P2393" s="85" t="str">
        <f aca="false">IF(AH2393="","",K2393+N(L2393)+N(M2393)+N(N2393)+N(O2393))</f>
        <v/>
      </c>
      <c r="Q2393" s="67"/>
      <c r="R2393" s="67"/>
      <c r="S2393" s="67"/>
      <c r="T2393" s="67"/>
      <c r="U2393" s="67"/>
      <c r="V2393" s="67"/>
      <c r="W2393" s="85" t="str">
        <f aca="false">IF(AH2393="","",N(Q2393)+N(R2393)+N(S2393)+N(T2393)+N(U2393)+N(V2393))</f>
        <v/>
      </c>
      <c r="X2393" s="85" t="str">
        <f aca="false">IF(AH2393="","",P2393-W2393)</f>
        <v/>
      </c>
      <c r="Y2393" s="67"/>
      <c r="Z2393" s="70" t="str">
        <f aca="false">IF(OR(AH2393="",Y2393=""),"",IF(ABS(X2393-Y2393)&lt;=1,"✓ Cuadra","⚠ Diferencia $"&amp;FIXED(X2393-Y2393,0)))</f>
        <v/>
      </c>
      <c r="AA2393" s="72" t="str">
        <f aca="false">IF(AH2393="","",IFERROR(INDEX(C_TIPO,MATCH(C2393&amp;"-P"&amp;MAX(1,COUNTIFS(C_ID,C2393,C_DEFINE,"Sí",C_INICIO,"&lt;="&amp;EOMONTH(B2393,0))),C_CLAVE,0))&amp;"","Sin dato"))</f>
        <v/>
      </c>
      <c r="AB2393" s="71" t="str">
        <f aca="false">IF(AH2393="","",ROUND(MIN(K2393,TOPE_AFP_UF*AJ2393)*AK2393,0))</f>
        <v/>
      </c>
      <c r="AC2393" s="71" t="str">
        <f aca="false">IF(AH2393="","",ROUND(MIN(K2393,TOPE_AFC_UF*AJ2393)*IF(AA2393="Indefinido",AFC_EMP_INDEF,AFC_EMP_PF),0))</f>
        <v/>
      </c>
      <c r="AD2393" s="71" t="str">
        <f aca="false">IF(AH2393="","",ROUND(MIN(K2393,TOPE_AFP_UF*AJ2393)*(MUTUAL_BASICA+MUTUAL_ADIC+SANNA),0))</f>
        <v/>
      </c>
      <c r="AE2393" s="71" t="str">
        <f aca="false">IF(AH2393="","",P2393-N(N2393)+AB2393+AC2393+AD2393)</f>
        <v/>
      </c>
      <c r="AF2393" s="65"/>
      <c r="AG2393" s="64"/>
      <c r="AH2393" s="72" t="str">
        <f aca="false">IF(OR(B2393="",C2393=""),"",C2393&amp;"|"&amp;(YEAR(B2393)*100+MONTH(B2393)))</f>
        <v/>
      </c>
      <c r="AI2393" s="70" t="str">
        <f aca="false">IF(AH2393="","",IF(COUNTIF(L_CLAVE,AH2393)&gt;1,"⚠ Duplicado","OK"))</f>
        <v/>
      </c>
      <c r="AJ2393" s="86" t="str">
        <f aca="false">IF(AH2393="","",IF(SUMPRODUCT(MAX((IND_PER&lt;=B2393)*(IND_UF&lt;&gt;"")*IND_PER))=0,UF_HOY,INDEX(IND_UF,MATCH(SUMPRODUCT(MAX((IND_PER&lt;=B2393)*(IND_UF&lt;&gt;"")*IND_PER)),IND_PER,0))))</f>
        <v/>
      </c>
      <c r="AK2393" s="87" t="str">
        <f aca="false">IF(AH2393="","",IF(COUNTIF(TASA_DESDE,"&lt;="&amp;B2393)=0,INDEX(TASA_EMP,1),INDEX(TASA_EMP,COUNTIF(TASA_DESDE,"&lt;="&amp;B2393))))</f>
        <v/>
      </c>
    </row>
    <row r="2394" customFormat="false" ht="15" hidden="false" customHeight="false" outlineLevel="0" collapsed="false">
      <c r="B2394" s="78"/>
      <c r="C2394" s="64"/>
      <c r="D2394" s="72" t="str">
        <f aca="false">IF(C2394="","",IFERROR(INDEX(T_NOMBRE,MATCH(C2394,T_ID,0)),"⚠ ID no existe"))</f>
        <v/>
      </c>
      <c r="E2394" s="69"/>
      <c r="F2394" s="67"/>
      <c r="G2394" s="67"/>
      <c r="H2394" s="67"/>
      <c r="I2394" s="67"/>
      <c r="J2394" s="67"/>
      <c r="K2394" s="85" t="str">
        <f aca="false">IF(AH2394="","",N(F2394)+N(G2394)+N(H2394)-N(I2394)+N(J2394))</f>
        <v/>
      </c>
      <c r="L2394" s="67"/>
      <c r="M2394" s="67"/>
      <c r="N2394" s="67"/>
      <c r="O2394" s="67"/>
      <c r="P2394" s="85" t="str">
        <f aca="false">IF(AH2394="","",K2394+N(L2394)+N(M2394)+N(N2394)+N(O2394))</f>
        <v/>
      </c>
      <c r="Q2394" s="67"/>
      <c r="R2394" s="67"/>
      <c r="S2394" s="67"/>
      <c r="T2394" s="67"/>
      <c r="U2394" s="67"/>
      <c r="V2394" s="67"/>
      <c r="W2394" s="85" t="str">
        <f aca="false">IF(AH2394="","",N(Q2394)+N(R2394)+N(S2394)+N(T2394)+N(U2394)+N(V2394))</f>
        <v/>
      </c>
      <c r="X2394" s="85" t="str">
        <f aca="false">IF(AH2394="","",P2394-W2394)</f>
        <v/>
      </c>
      <c r="Y2394" s="67"/>
      <c r="Z2394" s="70" t="str">
        <f aca="false">IF(OR(AH2394="",Y2394=""),"",IF(ABS(X2394-Y2394)&lt;=1,"✓ Cuadra","⚠ Diferencia $"&amp;FIXED(X2394-Y2394,0)))</f>
        <v/>
      </c>
      <c r="AA2394" s="72" t="str">
        <f aca="false">IF(AH2394="","",IFERROR(INDEX(C_TIPO,MATCH(C2394&amp;"-P"&amp;MAX(1,COUNTIFS(C_ID,C2394,C_DEFINE,"Sí",C_INICIO,"&lt;="&amp;EOMONTH(B2394,0))),C_CLAVE,0))&amp;"","Sin dato"))</f>
        <v/>
      </c>
      <c r="AB2394" s="71" t="str">
        <f aca="false">IF(AH2394="","",ROUND(MIN(K2394,TOPE_AFP_UF*AJ2394)*AK2394,0))</f>
        <v/>
      </c>
      <c r="AC2394" s="71" t="str">
        <f aca="false">IF(AH2394="","",ROUND(MIN(K2394,TOPE_AFC_UF*AJ2394)*IF(AA2394="Indefinido",AFC_EMP_INDEF,AFC_EMP_PF),0))</f>
        <v/>
      </c>
      <c r="AD2394" s="71" t="str">
        <f aca="false">IF(AH2394="","",ROUND(MIN(K2394,TOPE_AFP_UF*AJ2394)*(MUTUAL_BASICA+MUTUAL_ADIC+SANNA),0))</f>
        <v/>
      </c>
      <c r="AE2394" s="71" t="str">
        <f aca="false">IF(AH2394="","",P2394-N(N2394)+AB2394+AC2394+AD2394)</f>
        <v/>
      </c>
      <c r="AF2394" s="65"/>
      <c r="AG2394" s="64"/>
      <c r="AH2394" s="72" t="str">
        <f aca="false">IF(OR(B2394="",C2394=""),"",C2394&amp;"|"&amp;(YEAR(B2394)*100+MONTH(B2394)))</f>
        <v/>
      </c>
      <c r="AI2394" s="70" t="str">
        <f aca="false">IF(AH2394="","",IF(COUNTIF(L_CLAVE,AH2394)&gt;1,"⚠ Duplicado","OK"))</f>
        <v/>
      </c>
      <c r="AJ2394" s="86" t="str">
        <f aca="false">IF(AH2394="","",IF(SUMPRODUCT(MAX((IND_PER&lt;=B2394)*(IND_UF&lt;&gt;"")*IND_PER))=0,UF_HOY,INDEX(IND_UF,MATCH(SUMPRODUCT(MAX((IND_PER&lt;=B2394)*(IND_UF&lt;&gt;"")*IND_PER)),IND_PER,0))))</f>
        <v/>
      </c>
      <c r="AK2394" s="87" t="str">
        <f aca="false">IF(AH2394="","",IF(COUNTIF(TASA_DESDE,"&lt;="&amp;B2394)=0,INDEX(TASA_EMP,1),INDEX(TASA_EMP,COUNTIF(TASA_DESDE,"&lt;="&amp;B2394))))</f>
        <v/>
      </c>
    </row>
    <row r="2395" customFormat="false" ht="15" hidden="false" customHeight="false" outlineLevel="0" collapsed="false">
      <c r="B2395" s="78"/>
      <c r="C2395" s="64"/>
      <c r="D2395" s="72" t="str">
        <f aca="false">IF(C2395="","",IFERROR(INDEX(T_NOMBRE,MATCH(C2395,T_ID,0)),"⚠ ID no existe"))</f>
        <v/>
      </c>
      <c r="E2395" s="69"/>
      <c r="F2395" s="67"/>
      <c r="G2395" s="67"/>
      <c r="H2395" s="67"/>
      <c r="I2395" s="67"/>
      <c r="J2395" s="67"/>
      <c r="K2395" s="85" t="str">
        <f aca="false">IF(AH2395="","",N(F2395)+N(G2395)+N(H2395)-N(I2395)+N(J2395))</f>
        <v/>
      </c>
      <c r="L2395" s="67"/>
      <c r="M2395" s="67"/>
      <c r="N2395" s="67"/>
      <c r="O2395" s="67"/>
      <c r="P2395" s="85" t="str">
        <f aca="false">IF(AH2395="","",K2395+N(L2395)+N(M2395)+N(N2395)+N(O2395))</f>
        <v/>
      </c>
      <c r="Q2395" s="67"/>
      <c r="R2395" s="67"/>
      <c r="S2395" s="67"/>
      <c r="T2395" s="67"/>
      <c r="U2395" s="67"/>
      <c r="V2395" s="67"/>
      <c r="W2395" s="85" t="str">
        <f aca="false">IF(AH2395="","",N(Q2395)+N(R2395)+N(S2395)+N(T2395)+N(U2395)+N(V2395))</f>
        <v/>
      </c>
      <c r="X2395" s="85" t="str">
        <f aca="false">IF(AH2395="","",P2395-W2395)</f>
        <v/>
      </c>
      <c r="Y2395" s="67"/>
      <c r="Z2395" s="70" t="str">
        <f aca="false">IF(OR(AH2395="",Y2395=""),"",IF(ABS(X2395-Y2395)&lt;=1,"✓ Cuadra","⚠ Diferencia $"&amp;FIXED(X2395-Y2395,0)))</f>
        <v/>
      </c>
      <c r="AA2395" s="72" t="str">
        <f aca="false">IF(AH2395="","",IFERROR(INDEX(C_TIPO,MATCH(C2395&amp;"-P"&amp;MAX(1,COUNTIFS(C_ID,C2395,C_DEFINE,"Sí",C_INICIO,"&lt;="&amp;EOMONTH(B2395,0))),C_CLAVE,0))&amp;"","Sin dato"))</f>
        <v/>
      </c>
      <c r="AB2395" s="71" t="str">
        <f aca="false">IF(AH2395="","",ROUND(MIN(K2395,TOPE_AFP_UF*AJ2395)*AK2395,0))</f>
        <v/>
      </c>
      <c r="AC2395" s="71" t="str">
        <f aca="false">IF(AH2395="","",ROUND(MIN(K2395,TOPE_AFC_UF*AJ2395)*IF(AA2395="Indefinido",AFC_EMP_INDEF,AFC_EMP_PF),0))</f>
        <v/>
      </c>
      <c r="AD2395" s="71" t="str">
        <f aca="false">IF(AH2395="","",ROUND(MIN(K2395,TOPE_AFP_UF*AJ2395)*(MUTUAL_BASICA+MUTUAL_ADIC+SANNA),0))</f>
        <v/>
      </c>
      <c r="AE2395" s="71" t="str">
        <f aca="false">IF(AH2395="","",P2395-N(N2395)+AB2395+AC2395+AD2395)</f>
        <v/>
      </c>
      <c r="AF2395" s="65"/>
      <c r="AG2395" s="64"/>
      <c r="AH2395" s="72" t="str">
        <f aca="false">IF(OR(B2395="",C2395=""),"",C2395&amp;"|"&amp;(YEAR(B2395)*100+MONTH(B2395)))</f>
        <v/>
      </c>
      <c r="AI2395" s="70" t="str">
        <f aca="false">IF(AH2395="","",IF(COUNTIF(L_CLAVE,AH2395)&gt;1,"⚠ Duplicado","OK"))</f>
        <v/>
      </c>
      <c r="AJ2395" s="86" t="str">
        <f aca="false">IF(AH2395="","",IF(SUMPRODUCT(MAX((IND_PER&lt;=B2395)*(IND_UF&lt;&gt;"")*IND_PER))=0,UF_HOY,INDEX(IND_UF,MATCH(SUMPRODUCT(MAX((IND_PER&lt;=B2395)*(IND_UF&lt;&gt;"")*IND_PER)),IND_PER,0))))</f>
        <v/>
      </c>
      <c r="AK2395" s="87" t="str">
        <f aca="false">IF(AH2395="","",IF(COUNTIF(TASA_DESDE,"&lt;="&amp;B2395)=0,INDEX(TASA_EMP,1),INDEX(TASA_EMP,COUNTIF(TASA_DESDE,"&lt;="&amp;B2395))))</f>
        <v/>
      </c>
    </row>
    <row r="2396" customFormat="false" ht="15" hidden="false" customHeight="false" outlineLevel="0" collapsed="false">
      <c r="B2396" s="78"/>
      <c r="C2396" s="64"/>
      <c r="D2396" s="72" t="str">
        <f aca="false">IF(C2396="","",IFERROR(INDEX(T_NOMBRE,MATCH(C2396,T_ID,0)),"⚠ ID no existe"))</f>
        <v/>
      </c>
      <c r="E2396" s="69"/>
      <c r="F2396" s="67"/>
      <c r="G2396" s="67"/>
      <c r="H2396" s="67"/>
      <c r="I2396" s="67"/>
      <c r="J2396" s="67"/>
      <c r="K2396" s="85" t="str">
        <f aca="false">IF(AH2396="","",N(F2396)+N(G2396)+N(H2396)-N(I2396)+N(J2396))</f>
        <v/>
      </c>
      <c r="L2396" s="67"/>
      <c r="M2396" s="67"/>
      <c r="N2396" s="67"/>
      <c r="O2396" s="67"/>
      <c r="P2396" s="85" t="str">
        <f aca="false">IF(AH2396="","",K2396+N(L2396)+N(M2396)+N(N2396)+N(O2396))</f>
        <v/>
      </c>
      <c r="Q2396" s="67"/>
      <c r="R2396" s="67"/>
      <c r="S2396" s="67"/>
      <c r="T2396" s="67"/>
      <c r="U2396" s="67"/>
      <c r="V2396" s="67"/>
      <c r="W2396" s="85" t="str">
        <f aca="false">IF(AH2396="","",N(Q2396)+N(R2396)+N(S2396)+N(T2396)+N(U2396)+N(V2396))</f>
        <v/>
      </c>
      <c r="X2396" s="85" t="str">
        <f aca="false">IF(AH2396="","",P2396-W2396)</f>
        <v/>
      </c>
      <c r="Y2396" s="67"/>
      <c r="Z2396" s="70" t="str">
        <f aca="false">IF(OR(AH2396="",Y2396=""),"",IF(ABS(X2396-Y2396)&lt;=1,"✓ Cuadra","⚠ Diferencia $"&amp;FIXED(X2396-Y2396,0)))</f>
        <v/>
      </c>
      <c r="AA2396" s="72" t="str">
        <f aca="false">IF(AH2396="","",IFERROR(INDEX(C_TIPO,MATCH(C2396&amp;"-P"&amp;MAX(1,COUNTIFS(C_ID,C2396,C_DEFINE,"Sí",C_INICIO,"&lt;="&amp;EOMONTH(B2396,0))),C_CLAVE,0))&amp;"","Sin dato"))</f>
        <v/>
      </c>
      <c r="AB2396" s="71" t="str">
        <f aca="false">IF(AH2396="","",ROUND(MIN(K2396,TOPE_AFP_UF*AJ2396)*AK2396,0))</f>
        <v/>
      </c>
      <c r="AC2396" s="71" t="str">
        <f aca="false">IF(AH2396="","",ROUND(MIN(K2396,TOPE_AFC_UF*AJ2396)*IF(AA2396="Indefinido",AFC_EMP_INDEF,AFC_EMP_PF),0))</f>
        <v/>
      </c>
      <c r="AD2396" s="71" t="str">
        <f aca="false">IF(AH2396="","",ROUND(MIN(K2396,TOPE_AFP_UF*AJ2396)*(MUTUAL_BASICA+MUTUAL_ADIC+SANNA),0))</f>
        <v/>
      </c>
      <c r="AE2396" s="71" t="str">
        <f aca="false">IF(AH2396="","",P2396-N(N2396)+AB2396+AC2396+AD2396)</f>
        <v/>
      </c>
      <c r="AF2396" s="65"/>
      <c r="AG2396" s="64"/>
      <c r="AH2396" s="72" t="str">
        <f aca="false">IF(OR(B2396="",C2396=""),"",C2396&amp;"|"&amp;(YEAR(B2396)*100+MONTH(B2396)))</f>
        <v/>
      </c>
      <c r="AI2396" s="70" t="str">
        <f aca="false">IF(AH2396="","",IF(COUNTIF(L_CLAVE,AH2396)&gt;1,"⚠ Duplicado","OK"))</f>
        <v/>
      </c>
      <c r="AJ2396" s="86" t="str">
        <f aca="false">IF(AH2396="","",IF(SUMPRODUCT(MAX((IND_PER&lt;=B2396)*(IND_UF&lt;&gt;"")*IND_PER))=0,UF_HOY,INDEX(IND_UF,MATCH(SUMPRODUCT(MAX((IND_PER&lt;=B2396)*(IND_UF&lt;&gt;"")*IND_PER)),IND_PER,0))))</f>
        <v/>
      </c>
      <c r="AK2396" s="87" t="str">
        <f aca="false">IF(AH2396="","",IF(COUNTIF(TASA_DESDE,"&lt;="&amp;B2396)=0,INDEX(TASA_EMP,1),INDEX(TASA_EMP,COUNTIF(TASA_DESDE,"&lt;="&amp;B2396))))</f>
        <v/>
      </c>
    </row>
    <row r="2397" customFormat="false" ht="15" hidden="false" customHeight="false" outlineLevel="0" collapsed="false">
      <c r="B2397" s="78"/>
      <c r="C2397" s="64"/>
      <c r="D2397" s="72" t="str">
        <f aca="false">IF(C2397="","",IFERROR(INDEX(T_NOMBRE,MATCH(C2397,T_ID,0)),"⚠ ID no existe"))</f>
        <v/>
      </c>
      <c r="E2397" s="69"/>
      <c r="F2397" s="67"/>
      <c r="G2397" s="67"/>
      <c r="H2397" s="67"/>
      <c r="I2397" s="67"/>
      <c r="J2397" s="67"/>
      <c r="K2397" s="85" t="str">
        <f aca="false">IF(AH2397="","",N(F2397)+N(G2397)+N(H2397)-N(I2397)+N(J2397))</f>
        <v/>
      </c>
      <c r="L2397" s="67"/>
      <c r="M2397" s="67"/>
      <c r="N2397" s="67"/>
      <c r="O2397" s="67"/>
      <c r="P2397" s="85" t="str">
        <f aca="false">IF(AH2397="","",K2397+N(L2397)+N(M2397)+N(N2397)+N(O2397))</f>
        <v/>
      </c>
      <c r="Q2397" s="67"/>
      <c r="R2397" s="67"/>
      <c r="S2397" s="67"/>
      <c r="T2397" s="67"/>
      <c r="U2397" s="67"/>
      <c r="V2397" s="67"/>
      <c r="W2397" s="85" t="str">
        <f aca="false">IF(AH2397="","",N(Q2397)+N(R2397)+N(S2397)+N(T2397)+N(U2397)+N(V2397))</f>
        <v/>
      </c>
      <c r="X2397" s="85" t="str">
        <f aca="false">IF(AH2397="","",P2397-W2397)</f>
        <v/>
      </c>
      <c r="Y2397" s="67"/>
      <c r="Z2397" s="70" t="str">
        <f aca="false">IF(OR(AH2397="",Y2397=""),"",IF(ABS(X2397-Y2397)&lt;=1,"✓ Cuadra","⚠ Diferencia $"&amp;FIXED(X2397-Y2397,0)))</f>
        <v/>
      </c>
      <c r="AA2397" s="72" t="str">
        <f aca="false">IF(AH2397="","",IFERROR(INDEX(C_TIPO,MATCH(C2397&amp;"-P"&amp;MAX(1,COUNTIFS(C_ID,C2397,C_DEFINE,"Sí",C_INICIO,"&lt;="&amp;EOMONTH(B2397,0))),C_CLAVE,0))&amp;"","Sin dato"))</f>
        <v/>
      </c>
      <c r="AB2397" s="71" t="str">
        <f aca="false">IF(AH2397="","",ROUND(MIN(K2397,TOPE_AFP_UF*AJ2397)*AK2397,0))</f>
        <v/>
      </c>
      <c r="AC2397" s="71" t="str">
        <f aca="false">IF(AH2397="","",ROUND(MIN(K2397,TOPE_AFC_UF*AJ2397)*IF(AA2397="Indefinido",AFC_EMP_INDEF,AFC_EMP_PF),0))</f>
        <v/>
      </c>
      <c r="AD2397" s="71" t="str">
        <f aca="false">IF(AH2397="","",ROUND(MIN(K2397,TOPE_AFP_UF*AJ2397)*(MUTUAL_BASICA+MUTUAL_ADIC+SANNA),0))</f>
        <v/>
      </c>
      <c r="AE2397" s="71" t="str">
        <f aca="false">IF(AH2397="","",P2397-N(N2397)+AB2397+AC2397+AD2397)</f>
        <v/>
      </c>
      <c r="AF2397" s="65"/>
      <c r="AG2397" s="64"/>
      <c r="AH2397" s="72" t="str">
        <f aca="false">IF(OR(B2397="",C2397=""),"",C2397&amp;"|"&amp;(YEAR(B2397)*100+MONTH(B2397)))</f>
        <v/>
      </c>
      <c r="AI2397" s="70" t="str">
        <f aca="false">IF(AH2397="","",IF(COUNTIF(L_CLAVE,AH2397)&gt;1,"⚠ Duplicado","OK"))</f>
        <v/>
      </c>
      <c r="AJ2397" s="86" t="str">
        <f aca="false">IF(AH2397="","",IF(SUMPRODUCT(MAX((IND_PER&lt;=B2397)*(IND_UF&lt;&gt;"")*IND_PER))=0,UF_HOY,INDEX(IND_UF,MATCH(SUMPRODUCT(MAX((IND_PER&lt;=B2397)*(IND_UF&lt;&gt;"")*IND_PER)),IND_PER,0))))</f>
        <v/>
      </c>
      <c r="AK2397" s="87" t="str">
        <f aca="false">IF(AH2397="","",IF(COUNTIF(TASA_DESDE,"&lt;="&amp;B2397)=0,INDEX(TASA_EMP,1),INDEX(TASA_EMP,COUNTIF(TASA_DESDE,"&lt;="&amp;B2397))))</f>
        <v/>
      </c>
    </row>
    <row r="2398" customFormat="false" ht="15" hidden="false" customHeight="false" outlineLevel="0" collapsed="false">
      <c r="B2398" s="78"/>
      <c r="C2398" s="64"/>
      <c r="D2398" s="72" t="str">
        <f aca="false">IF(C2398="","",IFERROR(INDEX(T_NOMBRE,MATCH(C2398,T_ID,0)),"⚠ ID no existe"))</f>
        <v/>
      </c>
      <c r="E2398" s="69"/>
      <c r="F2398" s="67"/>
      <c r="G2398" s="67"/>
      <c r="H2398" s="67"/>
      <c r="I2398" s="67"/>
      <c r="J2398" s="67"/>
      <c r="K2398" s="85" t="str">
        <f aca="false">IF(AH2398="","",N(F2398)+N(G2398)+N(H2398)-N(I2398)+N(J2398))</f>
        <v/>
      </c>
      <c r="L2398" s="67"/>
      <c r="M2398" s="67"/>
      <c r="N2398" s="67"/>
      <c r="O2398" s="67"/>
      <c r="P2398" s="85" t="str">
        <f aca="false">IF(AH2398="","",K2398+N(L2398)+N(M2398)+N(N2398)+N(O2398))</f>
        <v/>
      </c>
      <c r="Q2398" s="67"/>
      <c r="R2398" s="67"/>
      <c r="S2398" s="67"/>
      <c r="T2398" s="67"/>
      <c r="U2398" s="67"/>
      <c r="V2398" s="67"/>
      <c r="W2398" s="85" t="str">
        <f aca="false">IF(AH2398="","",N(Q2398)+N(R2398)+N(S2398)+N(T2398)+N(U2398)+N(V2398))</f>
        <v/>
      </c>
      <c r="X2398" s="85" t="str">
        <f aca="false">IF(AH2398="","",P2398-W2398)</f>
        <v/>
      </c>
      <c r="Y2398" s="67"/>
      <c r="Z2398" s="70" t="str">
        <f aca="false">IF(OR(AH2398="",Y2398=""),"",IF(ABS(X2398-Y2398)&lt;=1,"✓ Cuadra","⚠ Diferencia $"&amp;FIXED(X2398-Y2398,0)))</f>
        <v/>
      </c>
      <c r="AA2398" s="72" t="str">
        <f aca="false">IF(AH2398="","",IFERROR(INDEX(C_TIPO,MATCH(C2398&amp;"-P"&amp;MAX(1,COUNTIFS(C_ID,C2398,C_DEFINE,"Sí",C_INICIO,"&lt;="&amp;EOMONTH(B2398,0))),C_CLAVE,0))&amp;"","Sin dato"))</f>
        <v/>
      </c>
      <c r="AB2398" s="71" t="str">
        <f aca="false">IF(AH2398="","",ROUND(MIN(K2398,TOPE_AFP_UF*AJ2398)*AK2398,0))</f>
        <v/>
      </c>
      <c r="AC2398" s="71" t="str">
        <f aca="false">IF(AH2398="","",ROUND(MIN(K2398,TOPE_AFC_UF*AJ2398)*IF(AA2398="Indefinido",AFC_EMP_INDEF,AFC_EMP_PF),0))</f>
        <v/>
      </c>
      <c r="AD2398" s="71" t="str">
        <f aca="false">IF(AH2398="","",ROUND(MIN(K2398,TOPE_AFP_UF*AJ2398)*(MUTUAL_BASICA+MUTUAL_ADIC+SANNA),0))</f>
        <v/>
      </c>
      <c r="AE2398" s="71" t="str">
        <f aca="false">IF(AH2398="","",P2398-N(N2398)+AB2398+AC2398+AD2398)</f>
        <v/>
      </c>
      <c r="AF2398" s="65"/>
      <c r="AG2398" s="64"/>
      <c r="AH2398" s="72" t="str">
        <f aca="false">IF(OR(B2398="",C2398=""),"",C2398&amp;"|"&amp;(YEAR(B2398)*100+MONTH(B2398)))</f>
        <v/>
      </c>
      <c r="AI2398" s="70" t="str">
        <f aca="false">IF(AH2398="","",IF(COUNTIF(L_CLAVE,AH2398)&gt;1,"⚠ Duplicado","OK"))</f>
        <v/>
      </c>
      <c r="AJ2398" s="86" t="str">
        <f aca="false">IF(AH2398="","",IF(SUMPRODUCT(MAX((IND_PER&lt;=B2398)*(IND_UF&lt;&gt;"")*IND_PER))=0,UF_HOY,INDEX(IND_UF,MATCH(SUMPRODUCT(MAX((IND_PER&lt;=B2398)*(IND_UF&lt;&gt;"")*IND_PER)),IND_PER,0))))</f>
        <v/>
      </c>
      <c r="AK2398" s="87" t="str">
        <f aca="false">IF(AH2398="","",IF(COUNTIF(TASA_DESDE,"&lt;="&amp;B2398)=0,INDEX(TASA_EMP,1),INDEX(TASA_EMP,COUNTIF(TASA_DESDE,"&lt;="&amp;B2398))))</f>
        <v/>
      </c>
    </row>
    <row r="2399" customFormat="false" ht="15" hidden="false" customHeight="false" outlineLevel="0" collapsed="false">
      <c r="B2399" s="78"/>
      <c r="C2399" s="64"/>
      <c r="D2399" s="72" t="str">
        <f aca="false">IF(C2399="","",IFERROR(INDEX(T_NOMBRE,MATCH(C2399,T_ID,0)),"⚠ ID no existe"))</f>
        <v/>
      </c>
      <c r="E2399" s="69"/>
      <c r="F2399" s="67"/>
      <c r="G2399" s="67"/>
      <c r="H2399" s="67"/>
      <c r="I2399" s="67"/>
      <c r="J2399" s="67"/>
      <c r="K2399" s="85" t="str">
        <f aca="false">IF(AH2399="","",N(F2399)+N(G2399)+N(H2399)-N(I2399)+N(J2399))</f>
        <v/>
      </c>
      <c r="L2399" s="67"/>
      <c r="M2399" s="67"/>
      <c r="N2399" s="67"/>
      <c r="O2399" s="67"/>
      <c r="P2399" s="85" t="str">
        <f aca="false">IF(AH2399="","",K2399+N(L2399)+N(M2399)+N(N2399)+N(O2399))</f>
        <v/>
      </c>
      <c r="Q2399" s="67"/>
      <c r="R2399" s="67"/>
      <c r="S2399" s="67"/>
      <c r="T2399" s="67"/>
      <c r="U2399" s="67"/>
      <c r="V2399" s="67"/>
      <c r="W2399" s="85" t="str">
        <f aca="false">IF(AH2399="","",N(Q2399)+N(R2399)+N(S2399)+N(T2399)+N(U2399)+N(V2399))</f>
        <v/>
      </c>
      <c r="X2399" s="85" t="str">
        <f aca="false">IF(AH2399="","",P2399-W2399)</f>
        <v/>
      </c>
      <c r="Y2399" s="67"/>
      <c r="Z2399" s="70" t="str">
        <f aca="false">IF(OR(AH2399="",Y2399=""),"",IF(ABS(X2399-Y2399)&lt;=1,"✓ Cuadra","⚠ Diferencia $"&amp;FIXED(X2399-Y2399,0)))</f>
        <v/>
      </c>
      <c r="AA2399" s="72" t="str">
        <f aca="false">IF(AH2399="","",IFERROR(INDEX(C_TIPO,MATCH(C2399&amp;"-P"&amp;MAX(1,COUNTIFS(C_ID,C2399,C_DEFINE,"Sí",C_INICIO,"&lt;="&amp;EOMONTH(B2399,0))),C_CLAVE,0))&amp;"","Sin dato"))</f>
        <v/>
      </c>
      <c r="AB2399" s="71" t="str">
        <f aca="false">IF(AH2399="","",ROUND(MIN(K2399,TOPE_AFP_UF*AJ2399)*AK2399,0))</f>
        <v/>
      </c>
      <c r="AC2399" s="71" t="str">
        <f aca="false">IF(AH2399="","",ROUND(MIN(K2399,TOPE_AFC_UF*AJ2399)*IF(AA2399="Indefinido",AFC_EMP_INDEF,AFC_EMP_PF),0))</f>
        <v/>
      </c>
      <c r="AD2399" s="71" t="str">
        <f aca="false">IF(AH2399="","",ROUND(MIN(K2399,TOPE_AFP_UF*AJ2399)*(MUTUAL_BASICA+MUTUAL_ADIC+SANNA),0))</f>
        <v/>
      </c>
      <c r="AE2399" s="71" t="str">
        <f aca="false">IF(AH2399="","",P2399-N(N2399)+AB2399+AC2399+AD2399)</f>
        <v/>
      </c>
      <c r="AF2399" s="65"/>
      <c r="AG2399" s="64"/>
      <c r="AH2399" s="72" t="str">
        <f aca="false">IF(OR(B2399="",C2399=""),"",C2399&amp;"|"&amp;(YEAR(B2399)*100+MONTH(B2399)))</f>
        <v/>
      </c>
      <c r="AI2399" s="70" t="str">
        <f aca="false">IF(AH2399="","",IF(COUNTIF(L_CLAVE,AH2399)&gt;1,"⚠ Duplicado","OK"))</f>
        <v/>
      </c>
      <c r="AJ2399" s="86" t="str">
        <f aca="false">IF(AH2399="","",IF(SUMPRODUCT(MAX((IND_PER&lt;=B2399)*(IND_UF&lt;&gt;"")*IND_PER))=0,UF_HOY,INDEX(IND_UF,MATCH(SUMPRODUCT(MAX((IND_PER&lt;=B2399)*(IND_UF&lt;&gt;"")*IND_PER)),IND_PER,0))))</f>
        <v/>
      </c>
      <c r="AK2399" s="87" t="str">
        <f aca="false">IF(AH2399="","",IF(COUNTIF(TASA_DESDE,"&lt;="&amp;B2399)=0,INDEX(TASA_EMP,1),INDEX(TASA_EMP,COUNTIF(TASA_DESDE,"&lt;="&amp;B2399))))</f>
        <v/>
      </c>
    </row>
    <row r="2400" customFormat="false" ht="15" hidden="false" customHeight="false" outlineLevel="0" collapsed="false">
      <c r="B2400" s="78"/>
      <c r="C2400" s="64"/>
      <c r="D2400" s="72" t="str">
        <f aca="false">IF(C2400="","",IFERROR(INDEX(T_NOMBRE,MATCH(C2400,T_ID,0)),"⚠ ID no existe"))</f>
        <v/>
      </c>
      <c r="E2400" s="69"/>
      <c r="F2400" s="67"/>
      <c r="G2400" s="67"/>
      <c r="H2400" s="67"/>
      <c r="I2400" s="67"/>
      <c r="J2400" s="67"/>
      <c r="K2400" s="85" t="str">
        <f aca="false">IF(AH2400="","",N(F2400)+N(G2400)+N(H2400)-N(I2400)+N(J2400))</f>
        <v/>
      </c>
      <c r="L2400" s="67"/>
      <c r="M2400" s="67"/>
      <c r="N2400" s="67"/>
      <c r="O2400" s="67"/>
      <c r="P2400" s="85" t="str">
        <f aca="false">IF(AH2400="","",K2400+N(L2400)+N(M2400)+N(N2400)+N(O2400))</f>
        <v/>
      </c>
      <c r="Q2400" s="67"/>
      <c r="R2400" s="67"/>
      <c r="S2400" s="67"/>
      <c r="T2400" s="67"/>
      <c r="U2400" s="67"/>
      <c r="V2400" s="67"/>
      <c r="W2400" s="85" t="str">
        <f aca="false">IF(AH2400="","",N(Q2400)+N(R2400)+N(S2400)+N(T2400)+N(U2400)+N(V2400))</f>
        <v/>
      </c>
      <c r="X2400" s="85" t="str">
        <f aca="false">IF(AH2400="","",P2400-W2400)</f>
        <v/>
      </c>
      <c r="Y2400" s="67"/>
      <c r="Z2400" s="70" t="str">
        <f aca="false">IF(OR(AH2400="",Y2400=""),"",IF(ABS(X2400-Y2400)&lt;=1,"✓ Cuadra","⚠ Diferencia $"&amp;FIXED(X2400-Y2400,0)))</f>
        <v/>
      </c>
      <c r="AA2400" s="72" t="str">
        <f aca="false">IF(AH2400="","",IFERROR(INDEX(C_TIPO,MATCH(C2400&amp;"-P"&amp;MAX(1,COUNTIFS(C_ID,C2400,C_DEFINE,"Sí",C_INICIO,"&lt;="&amp;EOMONTH(B2400,0))),C_CLAVE,0))&amp;"","Sin dato"))</f>
        <v/>
      </c>
      <c r="AB2400" s="71" t="str">
        <f aca="false">IF(AH2400="","",ROUND(MIN(K2400,TOPE_AFP_UF*AJ2400)*AK2400,0))</f>
        <v/>
      </c>
      <c r="AC2400" s="71" t="str">
        <f aca="false">IF(AH2400="","",ROUND(MIN(K2400,TOPE_AFC_UF*AJ2400)*IF(AA2400="Indefinido",AFC_EMP_INDEF,AFC_EMP_PF),0))</f>
        <v/>
      </c>
      <c r="AD2400" s="71" t="str">
        <f aca="false">IF(AH2400="","",ROUND(MIN(K2400,TOPE_AFP_UF*AJ2400)*(MUTUAL_BASICA+MUTUAL_ADIC+SANNA),0))</f>
        <v/>
      </c>
      <c r="AE2400" s="71" t="str">
        <f aca="false">IF(AH2400="","",P2400-N(N2400)+AB2400+AC2400+AD2400)</f>
        <v/>
      </c>
      <c r="AF2400" s="65"/>
      <c r="AG2400" s="64"/>
      <c r="AH2400" s="72" t="str">
        <f aca="false">IF(OR(B2400="",C2400=""),"",C2400&amp;"|"&amp;(YEAR(B2400)*100+MONTH(B2400)))</f>
        <v/>
      </c>
      <c r="AI2400" s="70" t="str">
        <f aca="false">IF(AH2400="","",IF(COUNTIF(L_CLAVE,AH2400)&gt;1,"⚠ Duplicado","OK"))</f>
        <v/>
      </c>
      <c r="AJ2400" s="86" t="str">
        <f aca="false">IF(AH2400="","",IF(SUMPRODUCT(MAX((IND_PER&lt;=B2400)*(IND_UF&lt;&gt;"")*IND_PER))=0,UF_HOY,INDEX(IND_UF,MATCH(SUMPRODUCT(MAX((IND_PER&lt;=B2400)*(IND_UF&lt;&gt;"")*IND_PER)),IND_PER,0))))</f>
        <v/>
      </c>
      <c r="AK2400" s="87" t="str">
        <f aca="false">IF(AH2400="","",IF(COUNTIF(TASA_DESDE,"&lt;="&amp;B2400)=0,INDEX(TASA_EMP,1),INDEX(TASA_EMP,COUNTIF(TASA_DESDE,"&lt;="&amp;B2400))))</f>
        <v/>
      </c>
    </row>
    <row r="2401" customFormat="false" ht="15" hidden="false" customHeight="false" outlineLevel="0" collapsed="false">
      <c r="B2401" s="78"/>
      <c r="C2401" s="64"/>
      <c r="D2401" s="72" t="str">
        <f aca="false">IF(C2401="","",IFERROR(INDEX(T_NOMBRE,MATCH(C2401,T_ID,0)),"⚠ ID no existe"))</f>
        <v/>
      </c>
      <c r="E2401" s="69"/>
      <c r="F2401" s="67"/>
      <c r="G2401" s="67"/>
      <c r="H2401" s="67"/>
      <c r="I2401" s="67"/>
      <c r="J2401" s="67"/>
      <c r="K2401" s="85" t="str">
        <f aca="false">IF(AH2401="","",N(F2401)+N(G2401)+N(H2401)-N(I2401)+N(J2401))</f>
        <v/>
      </c>
      <c r="L2401" s="67"/>
      <c r="M2401" s="67"/>
      <c r="N2401" s="67"/>
      <c r="O2401" s="67"/>
      <c r="P2401" s="85" t="str">
        <f aca="false">IF(AH2401="","",K2401+N(L2401)+N(M2401)+N(N2401)+N(O2401))</f>
        <v/>
      </c>
      <c r="Q2401" s="67"/>
      <c r="R2401" s="67"/>
      <c r="S2401" s="67"/>
      <c r="T2401" s="67"/>
      <c r="U2401" s="67"/>
      <c r="V2401" s="67"/>
      <c r="W2401" s="85" t="str">
        <f aca="false">IF(AH2401="","",N(Q2401)+N(R2401)+N(S2401)+N(T2401)+N(U2401)+N(V2401))</f>
        <v/>
      </c>
      <c r="X2401" s="85" t="str">
        <f aca="false">IF(AH2401="","",P2401-W2401)</f>
        <v/>
      </c>
      <c r="Y2401" s="67"/>
      <c r="Z2401" s="70" t="str">
        <f aca="false">IF(OR(AH2401="",Y2401=""),"",IF(ABS(X2401-Y2401)&lt;=1,"✓ Cuadra","⚠ Diferencia $"&amp;FIXED(X2401-Y2401,0)))</f>
        <v/>
      </c>
      <c r="AA2401" s="72" t="str">
        <f aca="false">IF(AH2401="","",IFERROR(INDEX(C_TIPO,MATCH(C2401&amp;"-P"&amp;MAX(1,COUNTIFS(C_ID,C2401,C_DEFINE,"Sí",C_INICIO,"&lt;="&amp;EOMONTH(B2401,0))),C_CLAVE,0))&amp;"","Sin dato"))</f>
        <v/>
      </c>
      <c r="AB2401" s="71" t="str">
        <f aca="false">IF(AH2401="","",ROUND(MIN(K2401,TOPE_AFP_UF*AJ2401)*AK2401,0))</f>
        <v/>
      </c>
      <c r="AC2401" s="71" t="str">
        <f aca="false">IF(AH2401="","",ROUND(MIN(K2401,TOPE_AFC_UF*AJ2401)*IF(AA2401="Indefinido",AFC_EMP_INDEF,AFC_EMP_PF),0))</f>
        <v/>
      </c>
      <c r="AD2401" s="71" t="str">
        <f aca="false">IF(AH2401="","",ROUND(MIN(K2401,TOPE_AFP_UF*AJ2401)*(MUTUAL_BASICA+MUTUAL_ADIC+SANNA),0))</f>
        <v/>
      </c>
      <c r="AE2401" s="71" t="str">
        <f aca="false">IF(AH2401="","",P2401-N(N2401)+AB2401+AC2401+AD2401)</f>
        <v/>
      </c>
      <c r="AF2401" s="65"/>
      <c r="AG2401" s="64"/>
      <c r="AH2401" s="72" t="str">
        <f aca="false">IF(OR(B2401="",C2401=""),"",C2401&amp;"|"&amp;(YEAR(B2401)*100+MONTH(B2401)))</f>
        <v/>
      </c>
      <c r="AI2401" s="70" t="str">
        <f aca="false">IF(AH2401="","",IF(COUNTIF(L_CLAVE,AH2401)&gt;1,"⚠ Duplicado","OK"))</f>
        <v/>
      </c>
      <c r="AJ2401" s="86" t="str">
        <f aca="false">IF(AH2401="","",IF(SUMPRODUCT(MAX((IND_PER&lt;=B2401)*(IND_UF&lt;&gt;"")*IND_PER))=0,UF_HOY,INDEX(IND_UF,MATCH(SUMPRODUCT(MAX((IND_PER&lt;=B2401)*(IND_UF&lt;&gt;"")*IND_PER)),IND_PER,0))))</f>
        <v/>
      </c>
      <c r="AK2401" s="87" t="str">
        <f aca="false">IF(AH2401="","",IF(COUNTIF(TASA_DESDE,"&lt;="&amp;B2401)=0,INDEX(TASA_EMP,1),INDEX(TASA_EMP,COUNTIF(TASA_DESDE,"&lt;="&amp;B2401))))</f>
        <v/>
      </c>
    </row>
    <row r="2402" customFormat="false" ht="15" hidden="false" customHeight="false" outlineLevel="0" collapsed="false">
      <c r="B2402" s="78"/>
      <c r="C2402" s="64"/>
      <c r="D2402" s="72" t="str">
        <f aca="false">IF(C2402="","",IFERROR(INDEX(T_NOMBRE,MATCH(C2402,T_ID,0)),"⚠ ID no existe"))</f>
        <v/>
      </c>
      <c r="E2402" s="69"/>
      <c r="F2402" s="67"/>
      <c r="G2402" s="67"/>
      <c r="H2402" s="67"/>
      <c r="I2402" s="67"/>
      <c r="J2402" s="67"/>
      <c r="K2402" s="85" t="str">
        <f aca="false">IF(AH2402="","",N(F2402)+N(G2402)+N(H2402)-N(I2402)+N(J2402))</f>
        <v/>
      </c>
      <c r="L2402" s="67"/>
      <c r="M2402" s="67"/>
      <c r="N2402" s="67"/>
      <c r="O2402" s="67"/>
      <c r="P2402" s="85" t="str">
        <f aca="false">IF(AH2402="","",K2402+N(L2402)+N(M2402)+N(N2402)+N(O2402))</f>
        <v/>
      </c>
      <c r="Q2402" s="67"/>
      <c r="R2402" s="67"/>
      <c r="S2402" s="67"/>
      <c r="T2402" s="67"/>
      <c r="U2402" s="67"/>
      <c r="V2402" s="67"/>
      <c r="W2402" s="85" t="str">
        <f aca="false">IF(AH2402="","",N(Q2402)+N(R2402)+N(S2402)+N(T2402)+N(U2402)+N(V2402))</f>
        <v/>
      </c>
      <c r="X2402" s="85" t="str">
        <f aca="false">IF(AH2402="","",P2402-W2402)</f>
        <v/>
      </c>
      <c r="Y2402" s="67"/>
      <c r="Z2402" s="70" t="str">
        <f aca="false">IF(OR(AH2402="",Y2402=""),"",IF(ABS(X2402-Y2402)&lt;=1,"✓ Cuadra","⚠ Diferencia $"&amp;FIXED(X2402-Y2402,0)))</f>
        <v/>
      </c>
      <c r="AA2402" s="72" t="str">
        <f aca="false">IF(AH2402="","",IFERROR(INDEX(C_TIPO,MATCH(C2402&amp;"-P"&amp;MAX(1,COUNTIFS(C_ID,C2402,C_DEFINE,"Sí",C_INICIO,"&lt;="&amp;EOMONTH(B2402,0))),C_CLAVE,0))&amp;"","Sin dato"))</f>
        <v/>
      </c>
      <c r="AB2402" s="71" t="str">
        <f aca="false">IF(AH2402="","",ROUND(MIN(K2402,TOPE_AFP_UF*AJ2402)*AK2402,0))</f>
        <v/>
      </c>
      <c r="AC2402" s="71" t="str">
        <f aca="false">IF(AH2402="","",ROUND(MIN(K2402,TOPE_AFC_UF*AJ2402)*IF(AA2402="Indefinido",AFC_EMP_INDEF,AFC_EMP_PF),0))</f>
        <v/>
      </c>
      <c r="AD2402" s="71" t="str">
        <f aca="false">IF(AH2402="","",ROUND(MIN(K2402,TOPE_AFP_UF*AJ2402)*(MUTUAL_BASICA+MUTUAL_ADIC+SANNA),0))</f>
        <v/>
      </c>
      <c r="AE2402" s="71" t="str">
        <f aca="false">IF(AH2402="","",P2402-N(N2402)+AB2402+AC2402+AD2402)</f>
        <v/>
      </c>
      <c r="AF2402" s="65"/>
      <c r="AG2402" s="64"/>
      <c r="AH2402" s="72" t="str">
        <f aca="false">IF(OR(B2402="",C2402=""),"",C2402&amp;"|"&amp;(YEAR(B2402)*100+MONTH(B2402)))</f>
        <v/>
      </c>
      <c r="AI2402" s="70" t="str">
        <f aca="false">IF(AH2402="","",IF(COUNTIF(L_CLAVE,AH2402)&gt;1,"⚠ Duplicado","OK"))</f>
        <v/>
      </c>
      <c r="AJ2402" s="86" t="str">
        <f aca="false">IF(AH2402="","",IF(SUMPRODUCT(MAX((IND_PER&lt;=B2402)*(IND_UF&lt;&gt;"")*IND_PER))=0,UF_HOY,INDEX(IND_UF,MATCH(SUMPRODUCT(MAX((IND_PER&lt;=B2402)*(IND_UF&lt;&gt;"")*IND_PER)),IND_PER,0))))</f>
        <v/>
      </c>
      <c r="AK2402" s="87" t="str">
        <f aca="false">IF(AH2402="","",IF(COUNTIF(TASA_DESDE,"&lt;="&amp;B2402)=0,INDEX(TASA_EMP,1),INDEX(TASA_EMP,COUNTIF(TASA_DESDE,"&lt;="&amp;B2402))))</f>
        <v/>
      </c>
    </row>
    <row r="2403" customFormat="false" ht="15" hidden="false" customHeight="false" outlineLevel="0" collapsed="false">
      <c r="B2403" s="78"/>
      <c r="C2403" s="64"/>
      <c r="D2403" s="72" t="str">
        <f aca="false">IF(C2403="","",IFERROR(INDEX(T_NOMBRE,MATCH(C2403,T_ID,0)),"⚠ ID no existe"))</f>
        <v/>
      </c>
      <c r="E2403" s="69"/>
      <c r="F2403" s="67"/>
      <c r="G2403" s="67"/>
      <c r="H2403" s="67"/>
      <c r="I2403" s="67"/>
      <c r="J2403" s="67"/>
      <c r="K2403" s="85" t="str">
        <f aca="false">IF(AH2403="","",N(F2403)+N(G2403)+N(H2403)-N(I2403)+N(J2403))</f>
        <v/>
      </c>
      <c r="L2403" s="67"/>
      <c r="M2403" s="67"/>
      <c r="N2403" s="67"/>
      <c r="O2403" s="67"/>
      <c r="P2403" s="85" t="str">
        <f aca="false">IF(AH2403="","",K2403+N(L2403)+N(M2403)+N(N2403)+N(O2403))</f>
        <v/>
      </c>
      <c r="Q2403" s="67"/>
      <c r="R2403" s="67"/>
      <c r="S2403" s="67"/>
      <c r="T2403" s="67"/>
      <c r="U2403" s="67"/>
      <c r="V2403" s="67"/>
      <c r="W2403" s="85" t="str">
        <f aca="false">IF(AH2403="","",N(Q2403)+N(R2403)+N(S2403)+N(T2403)+N(U2403)+N(V2403))</f>
        <v/>
      </c>
      <c r="X2403" s="85" t="str">
        <f aca="false">IF(AH2403="","",P2403-W2403)</f>
        <v/>
      </c>
      <c r="Y2403" s="67"/>
      <c r="Z2403" s="70" t="str">
        <f aca="false">IF(OR(AH2403="",Y2403=""),"",IF(ABS(X2403-Y2403)&lt;=1,"✓ Cuadra","⚠ Diferencia $"&amp;FIXED(X2403-Y2403,0)))</f>
        <v/>
      </c>
      <c r="AA2403" s="72" t="str">
        <f aca="false">IF(AH2403="","",IFERROR(INDEX(C_TIPO,MATCH(C2403&amp;"-P"&amp;MAX(1,COUNTIFS(C_ID,C2403,C_DEFINE,"Sí",C_INICIO,"&lt;="&amp;EOMONTH(B2403,0))),C_CLAVE,0))&amp;"","Sin dato"))</f>
        <v/>
      </c>
      <c r="AB2403" s="71" t="str">
        <f aca="false">IF(AH2403="","",ROUND(MIN(K2403,TOPE_AFP_UF*AJ2403)*AK2403,0))</f>
        <v/>
      </c>
      <c r="AC2403" s="71" t="str">
        <f aca="false">IF(AH2403="","",ROUND(MIN(K2403,TOPE_AFC_UF*AJ2403)*IF(AA2403="Indefinido",AFC_EMP_INDEF,AFC_EMP_PF),0))</f>
        <v/>
      </c>
      <c r="AD2403" s="71" t="str">
        <f aca="false">IF(AH2403="","",ROUND(MIN(K2403,TOPE_AFP_UF*AJ2403)*(MUTUAL_BASICA+MUTUAL_ADIC+SANNA),0))</f>
        <v/>
      </c>
      <c r="AE2403" s="71" t="str">
        <f aca="false">IF(AH2403="","",P2403-N(N2403)+AB2403+AC2403+AD2403)</f>
        <v/>
      </c>
      <c r="AF2403" s="65"/>
      <c r="AG2403" s="64"/>
      <c r="AH2403" s="72" t="str">
        <f aca="false">IF(OR(B2403="",C2403=""),"",C2403&amp;"|"&amp;(YEAR(B2403)*100+MONTH(B2403)))</f>
        <v/>
      </c>
      <c r="AI2403" s="70" t="str">
        <f aca="false">IF(AH2403="","",IF(COUNTIF(L_CLAVE,AH2403)&gt;1,"⚠ Duplicado","OK"))</f>
        <v/>
      </c>
      <c r="AJ2403" s="86" t="str">
        <f aca="false">IF(AH2403="","",IF(SUMPRODUCT(MAX((IND_PER&lt;=B2403)*(IND_UF&lt;&gt;"")*IND_PER))=0,UF_HOY,INDEX(IND_UF,MATCH(SUMPRODUCT(MAX((IND_PER&lt;=B2403)*(IND_UF&lt;&gt;"")*IND_PER)),IND_PER,0))))</f>
        <v/>
      </c>
      <c r="AK2403" s="87" t="str">
        <f aca="false">IF(AH2403="","",IF(COUNTIF(TASA_DESDE,"&lt;="&amp;B2403)=0,INDEX(TASA_EMP,1),INDEX(TASA_EMP,COUNTIF(TASA_DESDE,"&lt;="&amp;B2403))))</f>
        <v/>
      </c>
    </row>
    <row r="2404" customFormat="false" ht="15" hidden="false" customHeight="false" outlineLevel="0" collapsed="false">
      <c r="B2404" s="78"/>
      <c r="C2404" s="64"/>
      <c r="D2404" s="72" t="str">
        <f aca="false">IF(C2404="","",IFERROR(INDEX(T_NOMBRE,MATCH(C2404,T_ID,0)),"⚠ ID no existe"))</f>
        <v/>
      </c>
      <c r="E2404" s="69"/>
      <c r="F2404" s="67"/>
      <c r="G2404" s="67"/>
      <c r="H2404" s="67"/>
      <c r="I2404" s="67"/>
      <c r="J2404" s="67"/>
      <c r="K2404" s="85" t="str">
        <f aca="false">IF(AH2404="","",N(F2404)+N(G2404)+N(H2404)-N(I2404)+N(J2404))</f>
        <v/>
      </c>
      <c r="L2404" s="67"/>
      <c r="M2404" s="67"/>
      <c r="N2404" s="67"/>
      <c r="O2404" s="67"/>
      <c r="P2404" s="85" t="str">
        <f aca="false">IF(AH2404="","",K2404+N(L2404)+N(M2404)+N(N2404)+N(O2404))</f>
        <v/>
      </c>
      <c r="Q2404" s="67"/>
      <c r="R2404" s="67"/>
      <c r="S2404" s="67"/>
      <c r="T2404" s="67"/>
      <c r="U2404" s="67"/>
      <c r="V2404" s="67"/>
      <c r="W2404" s="85" t="str">
        <f aca="false">IF(AH2404="","",N(Q2404)+N(R2404)+N(S2404)+N(T2404)+N(U2404)+N(V2404))</f>
        <v/>
      </c>
      <c r="X2404" s="85" t="str">
        <f aca="false">IF(AH2404="","",P2404-W2404)</f>
        <v/>
      </c>
      <c r="Y2404" s="67"/>
      <c r="Z2404" s="70" t="str">
        <f aca="false">IF(OR(AH2404="",Y2404=""),"",IF(ABS(X2404-Y2404)&lt;=1,"✓ Cuadra","⚠ Diferencia $"&amp;FIXED(X2404-Y2404,0)))</f>
        <v/>
      </c>
      <c r="AA2404" s="72" t="str">
        <f aca="false">IF(AH2404="","",IFERROR(INDEX(C_TIPO,MATCH(C2404&amp;"-P"&amp;MAX(1,COUNTIFS(C_ID,C2404,C_DEFINE,"Sí",C_INICIO,"&lt;="&amp;EOMONTH(B2404,0))),C_CLAVE,0))&amp;"","Sin dato"))</f>
        <v/>
      </c>
      <c r="AB2404" s="71" t="str">
        <f aca="false">IF(AH2404="","",ROUND(MIN(K2404,TOPE_AFP_UF*AJ2404)*AK2404,0))</f>
        <v/>
      </c>
      <c r="AC2404" s="71" t="str">
        <f aca="false">IF(AH2404="","",ROUND(MIN(K2404,TOPE_AFC_UF*AJ2404)*IF(AA2404="Indefinido",AFC_EMP_INDEF,AFC_EMP_PF),0))</f>
        <v/>
      </c>
      <c r="AD2404" s="71" t="str">
        <f aca="false">IF(AH2404="","",ROUND(MIN(K2404,TOPE_AFP_UF*AJ2404)*(MUTUAL_BASICA+MUTUAL_ADIC+SANNA),0))</f>
        <v/>
      </c>
      <c r="AE2404" s="71" t="str">
        <f aca="false">IF(AH2404="","",P2404-N(N2404)+AB2404+AC2404+AD2404)</f>
        <v/>
      </c>
      <c r="AF2404" s="65"/>
      <c r="AG2404" s="64"/>
      <c r="AH2404" s="72" t="str">
        <f aca="false">IF(OR(B2404="",C2404=""),"",C2404&amp;"|"&amp;(YEAR(B2404)*100+MONTH(B2404)))</f>
        <v/>
      </c>
      <c r="AI2404" s="70" t="str">
        <f aca="false">IF(AH2404="","",IF(COUNTIF(L_CLAVE,AH2404)&gt;1,"⚠ Duplicado","OK"))</f>
        <v/>
      </c>
      <c r="AJ2404" s="86" t="str">
        <f aca="false">IF(AH2404="","",IF(SUMPRODUCT(MAX((IND_PER&lt;=B2404)*(IND_UF&lt;&gt;"")*IND_PER))=0,UF_HOY,INDEX(IND_UF,MATCH(SUMPRODUCT(MAX((IND_PER&lt;=B2404)*(IND_UF&lt;&gt;"")*IND_PER)),IND_PER,0))))</f>
        <v/>
      </c>
      <c r="AK2404" s="87" t="str">
        <f aca="false">IF(AH2404="","",IF(COUNTIF(TASA_DESDE,"&lt;="&amp;B2404)=0,INDEX(TASA_EMP,1),INDEX(TASA_EMP,COUNTIF(TASA_DESDE,"&lt;="&amp;B2404))))</f>
        <v/>
      </c>
    </row>
    <row r="2405" customFormat="false" ht="15" hidden="false" customHeight="false" outlineLevel="0" collapsed="false">
      <c r="B2405" s="78"/>
      <c r="C2405" s="64"/>
      <c r="D2405" s="72" t="str">
        <f aca="false">IF(C2405="","",IFERROR(INDEX(T_NOMBRE,MATCH(C2405,T_ID,0)),"⚠ ID no existe"))</f>
        <v/>
      </c>
      <c r="E2405" s="69"/>
      <c r="F2405" s="67"/>
      <c r="G2405" s="67"/>
      <c r="H2405" s="67"/>
      <c r="I2405" s="67"/>
      <c r="J2405" s="67"/>
      <c r="K2405" s="85" t="str">
        <f aca="false">IF(AH2405="","",N(F2405)+N(G2405)+N(H2405)-N(I2405)+N(J2405))</f>
        <v/>
      </c>
      <c r="L2405" s="67"/>
      <c r="M2405" s="67"/>
      <c r="N2405" s="67"/>
      <c r="O2405" s="67"/>
      <c r="P2405" s="85" t="str">
        <f aca="false">IF(AH2405="","",K2405+N(L2405)+N(M2405)+N(N2405)+N(O2405))</f>
        <v/>
      </c>
      <c r="Q2405" s="67"/>
      <c r="R2405" s="67"/>
      <c r="S2405" s="67"/>
      <c r="T2405" s="67"/>
      <c r="U2405" s="67"/>
      <c r="V2405" s="67"/>
      <c r="W2405" s="85" t="str">
        <f aca="false">IF(AH2405="","",N(Q2405)+N(R2405)+N(S2405)+N(T2405)+N(U2405)+N(V2405))</f>
        <v/>
      </c>
      <c r="X2405" s="85" t="str">
        <f aca="false">IF(AH2405="","",P2405-W2405)</f>
        <v/>
      </c>
      <c r="Y2405" s="67"/>
      <c r="Z2405" s="70" t="str">
        <f aca="false">IF(OR(AH2405="",Y2405=""),"",IF(ABS(X2405-Y2405)&lt;=1,"✓ Cuadra","⚠ Diferencia $"&amp;FIXED(X2405-Y2405,0)))</f>
        <v/>
      </c>
      <c r="AA2405" s="72" t="str">
        <f aca="false">IF(AH2405="","",IFERROR(INDEX(C_TIPO,MATCH(C2405&amp;"-P"&amp;MAX(1,COUNTIFS(C_ID,C2405,C_DEFINE,"Sí",C_INICIO,"&lt;="&amp;EOMONTH(B2405,0))),C_CLAVE,0))&amp;"","Sin dato"))</f>
        <v/>
      </c>
      <c r="AB2405" s="71" t="str">
        <f aca="false">IF(AH2405="","",ROUND(MIN(K2405,TOPE_AFP_UF*AJ2405)*AK2405,0))</f>
        <v/>
      </c>
      <c r="AC2405" s="71" t="str">
        <f aca="false">IF(AH2405="","",ROUND(MIN(K2405,TOPE_AFC_UF*AJ2405)*IF(AA2405="Indefinido",AFC_EMP_INDEF,AFC_EMP_PF),0))</f>
        <v/>
      </c>
      <c r="AD2405" s="71" t="str">
        <f aca="false">IF(AH2405="","",ROUND(MIN(K2405,TOPE_AFP_UF*AJ2405)*(MUTUAL_BASICA+MUTUAL_ADIC+SANNA),0))</f>
        <v/>
      </c>
      <c r="AE2405" s="71" t="str">
        <f aca="false">IF(AH2405="","",P2405-N(N2405)+AB2405+AC2405+AD2405)</f>
        <v/>
      </c>
      <c r="AF2405" s="65"/>
      <c r="AG2405" s="64"/>
      <c r="AH2405" s="72" t="str">
        <f aca="false">IF(OR(B2405="",C2405=""),"",C2405&amp;"|"&amp;(YEAR(B2405)*100+MONTH(B2405)))</f>
        <v/>
      </c>
      <c r="AI2405" s="70" t="str">
        <f aca="false">IF(AH2405="","",IF(COUNTIF(L_CLAVE,AH2405)&gt;1,"⚠ Duplicado","OK"))</f>
        <v/>
      </c>
      <c r="AJ2405" s="86" t="str">
        <f aca="false">IF(AH2405="","",IF(SUMPRODUCT(MAX((IND_PER&lt;=B2405)*(IND_UF&lt;&gt;"")*IND_PER))=0,UF_HOY,INDEX(IND_UF,MATCH(SUMPRODUCT(MAX((IND_PER&lt;=B2405)*(IND_UF&lt;&gt;"")*IND_PER)),IND_PER,0))))</f>
        <v/>
      </c>
      <c r="AK2405" s="87" t="str">
        <f aca="false">IF(AH2405="","",IF(COUNTIF(TASA_DESDE,"&lt;="&amp;B2405)=0,INDEX(TASA_EMP,1),INDEX(TASA_EMP,COUNTIF(TASA_DESDE,"&lt;="&amp;B2405))))</f>
        <v/>
      </c>
    </row>
    <row r="2406" customFormat="false" ht="15" hidden="false" customHeight="false" outlineLevel="0" collapsed="false">
      <c r="B2406" s="78"/>
      <c r="C2406" s="64"/>
      <c r="D2406" s="72" t="str">
        <f aca="false">IF(C2406="","",IFERROR(INDEX(T_NOMBRE,MATCH(C2406,T_ID,0)),"⚠ ID no existe"))</f>
        <v/>
      </c>
      <c r="E2406" s="69"/>
      <c r="F2406" s="67"/>
      <c r="G2406" s="67"/>
      <c r="H2406" s="67"/>
      <c r="I2406" s="67"/>
      <c r="J2406" s="67"/>
      <c r="K2406" s="85" t="str">
        <f aca="false">IF(AH2406="","",N(F2406)+N(G2406)+N(H2406)-N(I2406)+N(J2406))</f>
        <v/>
      </c>
      <c r="L2406" s="67"/>
      <c r="M2406" s="67"/>
      <c r="N2406" s="67"/>
      <c r="O2406" s="67"/>
      <c r="P2406" s="85" t="str">
        <f aca="false">IF(AH2406="","",K2406+N(L2406)+N(M2406)+N(N2406)+N(O2406))</f>
        <v/>
      </c>
      <c r="Q2406" s="67"/>
      <c r="R2406" s="67"/>
      <c r="S2406" s="67"/>
      <c r="T2406" s="67"/>
      <c r="U2406" s="67"/>
      <c r="V2406" s="67"/>
      <c r="W2406" s="85" t="str">
        <f aca="false">IF(AH2406="","",N(Q2406)+N(R2406)+N(S2406)+N(T2406)+N(U2406)+N(V2406))</f>
        <v/>
      </c>
      <c r="X2406" s="85" t="str">
        <f aca="false">IF(AH2406="","",P2406-W2406)</f>
        <v/>
      </c>
      <c r="Y2406" s="67"/>
      <c r="Z2406" s="70" t="str">
        <f aca="false">IF(OR(AH2406="",Y2406=""),"",IF(ABS(X2406-Y2406)&lt;=1,"✓ Cuadra","⚠ Diferencia $"&amp;FIXED(X2406-Y2406,0)))</f>
        <v/>
      </c>
      <c r="AA2406" s="72" t="str">
        <f aca="false">IF(AH2406="","",IFERROR(INDEX(C_TIPO,MATCH(C2406&amp;"-P"&amp;MAX(1,COUNTIFS(C_ID,C2406,C_DEFINE,"Sí",C_INICIO,"&lt;="&amp;EOMONTH(B2406,0))),C_CLAVE,0))&amp;"","Sin dato"))</f>
        <v/>
      </c>
      <c r="AB2406" s="71" t="str">
        <f aca="false">IF(AH2406="","",ROUND(MIN(K2406,TOPE_AFP_UF*AJ2406)*AK2406,0))</f>
        <v/>
      </c>
      <c r="AC2406" s="71" t="str">
        <f aca="false">IF(AH2406="","",ROUND(MIN(K2406,TOPE_AFC_UF*AJ2406)*IF(AA2406="Indefinido",AFC_EMP_INDEF,AFC_EMP_PF),0))</f>
        <v/>
      </c>
      <c r="AD2406" s="71" t="str">
        <f aca="false">IF(AH2406="","",ROUND(MIN(K2406,TOPE_AFP_UF*AJ2406)*(MUTUAL_BASICA+MUTUAL_ADIC+SANNA),0))</f>
        <v/>
      </c>
      <c r="AE2406" s="71" t="str">
        <f aca="false">IF(AH2406="","",P2406-N(N2406)+AB2406+AC2406+AD2406)</f>
        <v/>
      </c>
      <c r="AF2406" s="65"/>
      <c r="AG2406" s="64"/>
      <c r="AH2406" s="72" t="str">
        <f aca="false">IF(OR(B2406="",C2406=""),"",C2406&amp;"|"&amp;(YEAR(B2406)*100+MONTH(B2406)))</f>
        <v/>
      </c>
      <c r="AI2406" s="70" t="str">
        <f aca="false">IF(AH2406="","",IF(COUNTIF(L_CLAVE,AH2406)&gt;1,"⚠ Duplicado","OK"))</f>
        <v/>
      </c>
      <c r="AJ2406" s="86" t="str">
        <f aca="false">IF(AH2406="","",IF(SUMPRODUCT(MAX((IND_PER&lt;=B2406)*(IND_UF&lt;&gt;"")*IND_PER))=0,UF_HOY,INDEX(IND_UF,MATCH(SUMPRODUCT(MAX((IND_PER&lt;=B2406)*(IND_UF&lt;&gt;"")*IND_PER)),IND_PER,0))))</f>
        <v/>
      </c>
      <c r="AK2406" s="87" t="str">
        <f aca="false">IF(AH2406="","",IF(COUNTIF(TASA_DESDE,"&lt;="&amp;B2406)=0,INDEX(TASA_EMP,1),INDEX(TASA_EMP,COUNTIF(TASA_DESDE,"&lt;="&amp;B2406))))</f>
        <v/>
      </c>
    </row>
  </sheetData>
  <autoFilter ref="B6:AI2406"/>
  <conditionalFormatting sqref="Z7:Z2406">
    <cfRule type="expression" priority="2" aboveAverage="0" equalAverage="0" bottom="0" percent="0" rank="0" text="" dxfId="1">
      <formula>LEFT($Z7,1)="⚠"</formula>
    </cfRule>
    <cfRule type="expression" priority="3" aboveAverage="0" equalAverage="0" bottom="0" percent="0" rank="0" text="" dxfId="4">
      <formula>LEFT($Z7,1)="✓"</formula>
    </cfRule>
  </conditionalFormatting>
  <conditionalFormatting sqref="AI7:AI2406">
    <cfRule type="expression" priority="4" aboveAverage="0" equalAverage="0" bottom="0" percent="0" rank="0" text="" dxfId="1">
      <formula>$AI7="⚠ Duplicado"</formula>
    </cfRule>
  </conditionalFormatting>
  <dataValidations count="2">
    <dataValidation allowBlank="true" error="Seleccione un valor de la lista desplegable." errorStyle="stop" errorTitle="Valor no válido" operator="between" showDropDown="false" showErrorMessage="true" showInputMessage="false" sqref="B7:B2406" type="list">
      <formula1>LS_MESES</formula1>
      <formula2>0</formula2>
    </dataValidation>
    <dataValidation allowBlank="true" error="Seleccione un valor de la lista desplegable." errorStyle="stop" errorTitle="Valor no válido" operator="between" showDropDown="false" showErrorMessage="true" showInputMessage="false" sqref="C7:C2406" type="list">
      <formula1>T_ID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4A"/>
    <pageSetUpPr fitToPage="false"/>
  </sheetPr>
  <dimension ref="B2: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16"/>
    <col collapsed="false" customWidth="true" hidden="false" outlineLevel="0" max="4" min="4" style="0" width="58"/>
    <col collapsed="false" customWidth="true" hidden="false" outlineLevel="0" max="5" min="5" style="0" width="16"/>
    <col collapsed="false" customWidth="true" hidden="false" outlineLevel="0" max="6" min="6" style="0" width="14"/>
    <col collapsed="false" customWidth="true" hidden="true" outlineLevel="0" max="8" min="8" style="0" width="12"/>
  </cols>
  <sheetData>
    <row r="2" customFormat="false" ht="24" hidden="false" customHeight="true" outlineLevel="0" collapsed="false">
      <c r="B2" s="1" t="s">
        <v>374</v>
      </c>
      <c r="C2" s="2"/>
      <c r="D2" s="2"/>
      <c r="E2" s="2"/>
      <c r="F2" s="2"/>
    </row>
    <row r="3" customFormat="false" ht="15.75" hidden="false" customHeight="true" outlineLevel="0" collapsed="false">
      <c r="B3" s="3" t="s">
        <v>375</v>
      </c>
      <c r="C3" s="2"/>
      <c r="D3" s="2"/>
      <c r="E3" s="2"/>
      <c r="F3" s="2"/>
    </row>
    <row r="4" customFormat="false" ht="15" hidden="false" customHeight="false" outlineLevel="0" collapsed="false">
      <c r="B4" s="63" t="s">
        <v>220</v>
      </c>
    </row>
    <row r="5" customFormat="false" ht="15" hidden="false" customHeight="false" outlineLevel="0" collapsed="false">
      <c r="B5" s="79" t="s">
        <v>376</v>
      </c>
      <c r="C5" s="88" t="s">
        <v>186</v>
      </c>
      <c r="D5" s="80" t="str">
        <f aca="false">IF(NOT($H$9),"Seleccione un trabajador y un período",IF($H$8,"Comparando con la liquidación registrada en la hoja Liquidaciones","No hay liquidación registrada para este trabajador y mes: solo cálculo de referencia"))</f>
        <v>Comparando con la liquidación registrada en la hoja Liquidaciones</v>
      </c>
      <c r="H5" s="81" t="n">
        <f aca="false">IFERROR(MATCH($C$5,T_ID,0),"")</f>
        <v>2</v>
      </c>
    </row>
    <row r="6" customFormat="false" ht="15" hidden="false" customHeight="false" outlineLevel="0" collapsed="false">
      <c r="B6" s="79" t="s">
        <v>377</v>
      </c>
      <c r="C6" s="52" t="n">
        <v>46266</v>
      </c>
      <c r="H6" s="81" t="str">
        <f aca="false">$C$5&amp;"|"&amp;(YEAR($C$6)*100+MONTH($C$6))</f>
        <v>T002|202609</v>
      </c>
    </row>
    <row r="7" customFormat="false" ht="15" hidden="false" customHeight="false" outlineLevel="0" collapsed="false">
      <c r="H7" s="89" t="b">
        <f aca="false">COUNTIF(N_CLAVE,$H$6)&gt;0</f>
        <v>1</v>
      </c>
    </row>
    <row r="8" customFormat="false" ht="21.75" hidden="false" customHeight="true" outlineLevel="0" collapsed="false">
      <c r="B8" s="90" t="s">
        <v>378</v>
      </c>
      <c r="C8" s="90" t="s">
        <v>379</v>
      </c>
      <c r="D8" s="90" t="s">
        <v>380</v>
      </c>
      <c r="E8" s="90" t="s">
        <v>381</v>
      </c>
      <c r="F8" s="90" t="s">
        <v>382</v>
      </c>
      <c r="H8" s="89" t="b">
        <f aca="false">COUNTIF(L_CLAVE,$H$6)&gt;0</f>
        <v>1</v>
      </c>
    </row>
    <row r="9" customFormat="false" ht="15" hidden="false" customHeight="false" outlineLevel="0" collapsed="false">
      <c r="H9" s="89" t="b">
        <f aca="false">AND(ISNUMBER($H$5),ISNUMBER($C$6))</f>
        <v>1</v>
      </c>
    </row>
    <row r="10" customFormat="false" ht="15" hidden="false" customHeight="false" outlineLevel="0" collapsed="false">
      <c r="B10" s="4" t="s">
        <v>383</v>
      </c>
      <c r="H10" s="82" t="n">
        <f aca="false">IF($H$9,INDEX(T_INGRESO,$H$5),0)</f>
        <v>46237</v>
      </c>
    </row>
    <row r="11" customFormat="false" ht="15" hidden="false" customHeight="false" outlineLevel="0" collapsed="false">
      <c r="B11" s="91" t="s">
        <v>277</v>
      </c>
      <c r="C11" s="72" t="str">
        <f aca="false">IF($H$9,INDEX(T_NOMBRE,$H$5)&amp;"","")</f>
        <v>Juan Pérez (EJEMPLO)</v>
      </c>
      <c r="D11" s="51"/>
      <c r="H11" s="81" t="n">
        <f aca="false">IF($H$9,N(INDEX(T_EGRESO,$H$5)),0)</f>
        <v>0</v>
      </c>
    </row>
    <row r="12" customFormat="false" ht="15" hidden="false" customHeight="false" outlineLevel="0" collapsed="false">
      <c r="B12" s="91" t="s">
        <v>384</v>
      </c>
      <c r="C12" s="72" t="str">
        <f aca="false">IF($H$9,IFERROR(INDEX(C_TIPO,MATCH($C$5&amp;"-P"&amp;MAX(1,COUNTIFS(C_ID,$C$5,C_DEFINE,"Sí",C_INICIO,"&lt;="&amp;EOMONTH($C$6,0))),C_CLAVE,0))&amp;"","Sin contrato"),"")</f>
        <v>Plazo fijo</v>
      </c>
      <c r="D12" s="51" t="s">
        <v>385</v>
      </c>
    </row>
    <row r="13" customFormat="false" ht="15" hidden="false" customHeight="false" outlineLevel="0" collapsed="false">
      <c r="B13" s="91" t="s">
        <v>386</v>
      </c>
      <c r="C13" s="71" t="n">
        <f aca="false">IF($H$9,IFERROR(INDEX(C_SUELDO,MATCH($C$5&amp;"-S"&amp;MAX(1,COUNTIFS(C_ID,$C$5,C_SUELDO,"&lt;&gt;",C_INICIO,"&lt;="&amp;EOMONTH($C$6,0))),C_CLAVES,0)),0),0)</f>
        <v>580000</v>
      </c>
      <c r="D13" s="51" t="s">
        <v>387</v>
      </c>
    </row>
    <row r="14" customFormat="false" ht="15" hidden="false" customHeight="false" outlineLevel="0" collapsed="false">
      <c r="B14" s="91" t="s">
        <v>388</v>
      </c>
      <c r="C14" s="73" t="n">
        <f aca="false">IF($H$9,IF(N(INDEX(T_JORNADA,$H$5))=0,JORNADA_LEGAL,INDEX(T_JORNADA,$H$5)),0)</f>
        <v>42</v>
      </c>
      <c r="D14" s="51"/>
    </row>
    <row r="15" customFormat="false" ht="15" hidden="false" customHeight="false" outlineLevel="0" collapsed="false">
      <c r="B15" s="91" t="s">
        <v>389</v>
      </c>
      <c r="C15" s="86" t="n">
        <f aca="false">IF(SUMPRODUCT(MAX((IND_PER&lt;=$C$6)*(IND_UF&lt;&gt;"")*IND_PER))=0,UF_HOY,INDEX(IND_UF,MATCH(SUMPRODUCT(MAX((IND_PER&lt;=$C$6)*(IND_UF&lt;&gt;"")*IND_PER)),IND_PER,0)))</f>
        <v>41057.2</v>
      </c>
      <c r="D15" s="51" t="s">
        <v>390</v>
      </c>
    </row>
    <row r="16" customFormat="false" ht="15" hidden="false" customHeight="false" outlineLevel="0" collapsed="false">
      <c r="B16" s="91" t="s">
        <v>391</v>
      </c>
      <c r="C16" s="71" t="n">
        <f aca="false">IF(SUMPRODUCT(MAX((IND_PER&lt;=$C$6)*(IND_UTM&lt;&gt;"")*IND_PER))=0,UTM_HOY,INDEX(IND_UTM,MATCH(SUMPRODUCT(MAX((IND_PER&lt;=$C$6)*(IND_UTM&lt;&gt;"")*IND_PER)),IND_PER,0)))</f>
        <v>71649</v>
      </c>
      <c r="D16" s="51" t="s">
        <v>390</v>
      </c>
    </row>
    <row r="17" customFormat="false" ht="15" hidden="false" customHeight="false" outlineLevel="0" collapsed="false">
      <c r="B17" s="91" t="s">
        <v>392</v>
      </c>
      <c r="C17" s="71" t="n">
        <f aca="false">IF(SUMPRODUCT(MAX((IND_PER&lt;=$C$6)*(IND_IMM&lt;&gt;"")*IND_PER))=0,IMM_HOY,INDEX(IND_IMM,MATCH(SUMPRODUCT(MAX((IND_PER&lt;=$C$6)*(IND_IMM&lt;&gt;"")*IND_PER)),IND_PER,0)))</f>
        <v>553553</v>
      </c>
      <c r="D17" s="51" t="s">
        <v>390</v>
      </c>
    </row>
    <row r="18" customFormat="false" ht="15" hidden="false" customHeight="false" outlineLevel="0" collapsed="false">
      <c r="B18" s="91" t="s">
        <v>393</v>
      </c>
      <c r="C18" s="74" t="n">
        <f aca="false">IF($H$9,IF($H$7,SUMIFS(N_DIAS,N_CLAVE,$H$6),IF(OR($H$10&gt;EOMONTH($C$6,0),AND($H$11&gt;0,$H$11&lt;$C$6)),0,IF(AND($H$10&lt;=$C$6,OR($H$11=0,$H$11&gt;=EOMONTH($C$6,0))),30,MIN(30,IF($H$11=0,EOMONTH($C$6,0),MIN($H$11,EOMONTH($C$6,0)))-MAX($C$6,$H$10)+1)))),0)</f>
        <v>29</v>
      </c>
      <c r="D18" s="51" t="str">
        <f aca="false">IF($H$7,"Desde la hoja Novedades","Sin novedades registradas: se asumen los días de contrato del mes")</f>
        <v>Desde la hoja Novedades</v>
      </c>
    </row>
    <row r="19" customFormat="false" ht="15" hidden="false" customHeight="false" outlineLevel="0" collapsed="false">
      <c r="B19" s="91" t="s">
        <v>394</v>
      </c>
      <c r="C19" s="74" t="n">
        <f aca="false">IF($H$7,SUMIFS(N_HE,N_CLAVE,$H$6),0)</f>
        <v>6</v>
      </c>
      <c r="D19" s="51" t="s">
        <v>395</v>
      </c>
    </row>
    <row r="20" customFormat="false" ht="15" hidden="false" customHeight="false" outlineLevel="0" collapsed="false">
      <c r="B20" s="91" t="s">
        <v>396</v>
      </c>
      <c r="C20" s="73" t="n">
        <f aca="false">IF($H$7,SUMIFS(N_ATRASO,N_CLAVE,$H$6),0)</f>
        <v>45</v>
      </c>
      <c r="D20" s="51" t="s">
        <v>395</v>
      </c>
    </row>
    <row r="21" customFormat="false" ht="15" hidden="false" customHeight="false" outlineLevel="0" collapsed="false">
      <c r="B21" s="91" t="s">
        <v>397</v>
      </c>
      <c r="C21" s="71" t="n">
        <f aca="false">IF($H$7,SUMIFS(N_BONO,N_CLAVE,$H$6),0)</f>
        <v>0</v>
      </c>
      <c r="D21" s="51" t="s">
        <v>395</v>
      </c>
    </row>
    <row r="22" customFormat="false" ht="15" hidden="false" customHeight="false" outlineLevel="0" collapsed="false">
      <c r="B22" s="91" t="s">
        <v>398</v>
      </c>
      <c r="C22" s="71" t="n">
        <f aca="false">IF($H$7,SUMIFS(N_ONI,N_CLAVE,$H$6),0)</f>
        <v>0</v>
      </c>
      <c r="D22" s="51" t="s">
        <v>395</v>
      </c>
    </row>
    <row r="23" customFormat="false" ht="15" hidden="false" customHeight="false" outlineLevel="0" collapsed="false">
      <c r="B23" s="91" t="s">
        <v>399</v>
      </c>
      <c r="C23" s="71" t="n">
        <f aca="false">IF($H$7,SUMIFS(N_ANT,N_CLAVE,$H$6),0)</f>
        <v>100000</v>
      </c>
      <c r="D23" s="51" t="s">
        <v>395</v>
      </c>
    </row>
    <row r="24" customFormat="false" ht="15" hidden="false" customHeight="false" outlineLevel="0" collapsed="false">
      <c r="B24" s="91" t="s">
        <v>400</v>
      </c>
      <c r="C24" s="71" t="n">
        <f aca="false">IF($H$7,SUMIFS(N_DESC,N_CLAVE,$H$6),0)</f>
        <v>0</v>
      </c>
      <c r="D24" s="51" t="s">
        <v>395</v>
      </c>
    </row>
    <row r="26" customFormat="false" ht="15" hidden="false" customHeight="false" outlineLevel="0" collapsed="false">
      <c r="B26" s="4" t="s">
        <v>401</v>
      </c>
    </row>
    <row r="27" customFormat="false" ht="15" hidden="false" customHeight="false" outlineLevel="0" collapsed="false">
      <c r="B27" s="91" t="s">
        <v>402</v>
      </c>
      <c r="C27" s="71" t="n">
        <f aca="false">ROUND($C$13*$C$18/30,0)</f>
        <v>560667</v>
      </c>
      <c r="D27" s="51" t="s">
        <v>403</v>
      </c>
    </row>
    <row r="28" customFormat="false" ht="15" hidden="false" customHeight="false" outlineLevel="0" collapsed="false">
      <c r="B28" s="91" t="s">
        <v>404</v>
      </c>
      <c r="C28" s="71" t="n">
        <f aca="false">IF($H$9,ROUND(N(INDEX(T_BONO,$H$5))*$C$18/30,0),0)</f>
        <v>0</v>
      </c>
      <c r="D28" s="51" t="s">
        <v>405</v>
      </c>
    </row>
    <row r="29" customFormat="false" ht="15" hidden="false" customHeight="false" outlineLevel="0" collapsed="false">
      <c r="B29" s="91" t="s">
        <v>406</v>
      </c>
      <c r="C29" s="71" t="n">
        <f aca="false">IF($C$14=0,0,$C$13/30*28/$C$14)</f>
        <v>12888.8888888889</v>
      </c>
      <c r="D29" s="51" t="s">
        <v>407</v>
      </c>
    </row>
    <row r="30" customFormat="false" ht="15" hidden="false" customHeight="false" outlineLevel="0" collapsed="false">
      <c r="B30" s="91" t="s">
        <v>345</v>
      </c>
      <c r="C30" s="71" t="n">
        <f aca="false">ROUND($C$19*$C$29*(1+RECARGO_HE),0)</f>
        <v>116000</v>
      </c>
      <c r="D30" s="51" t="s">
        <v>408</v>
      </c>
    </row>
    <row r="31" customFormat="false" ht="15" hidden="false" customHeight="false" outlineLevel="0" collapsed="false">
      <c r="B31" s="91" t="s">
        <v>409</v>
      </c>
      <c r="C31" s="71" t="n">
        <f aca="false">$C$21</f>
        <v>0</v>
      </c>
      <c r="D31" s="51"/>
    </row>
    <row r="32" customFormat="false" ht="15" hidden="false" customHeight="false" outlineLevel="0" collapsed="false">
      <c r="B32" s="91" t="s">
        <v>410</v>
      </c>
      <c r="C32" s="71" t="n">
        <f aca="false">-ROUND($C$20/60*$C$29,0)</f>
        <v>-9667</v>
      </c>
      <c r="D32" s="51" t="s">
        <v>411</v>
      </c>
    </row>
    <row r="33" customFormat="false" ht="15" hidden="false" customHeight="false" outlineLevel="0" collapsed="false">
      <c r="B33" s="91" t="s">
        <v>160</v>
      </c>
      <c r="C33" s="71" t="n">
        <f aca="false">IF(AND($H$9,LEFT(IF($H$9,INDEX(T_GRAT,$H$5)&amp;"",""),6)="Art. 5"),MAX(0,MIN(ROUND(GRAT_PCT*($C$27+$C$28+$C$30+$C$31+$C$32),0),ROUND(GRAT_TOPE_IMM*$C$17/12*$C$18/30,0))),0)</f>
        <v>166750</v>
      </c>
      <c r="D33" s="51" t="s">
        <v>412</v>
      </c>
    </row>
    <row r="34" customFormat="false" ht="15" hidden="false" customHeight="false" outlineLevel="0" collapsed="false">
      <c r="B34" s="92" t="s">
        <v>413</v>
      </c>
      <c r="C34" s="62" t="n">
        <f aca="false">MAX(0,$C$27+$C$28+$C$30+$C$31+$C$32+$C$33)</f>
        <v>833750</v>
      </c>
      <c r="D34" s="51"/>
      <c r="E34" s="85" t="n">
        <f aca="false">IF($H$8,SUMIFS(L_IMPONIBLE,L_CLAVE,$H$6),"")</f>
        <v>833750</v>
      </c>
      <c r="F34" s="85" t="n">
        <f aca="false">IF(E34="","",C34-E34)</f>
        <v>0</v>
      </c>
    </row>
    <row r="36" customFormat="false" ht="15" hidden="false" customHeight="false" outlineLevel="0" collapsed="false">
      <c r="B36" s="4" t="s">
        <v>414</v>
      </c>
    </row>
    <row r="37" customFormat="false" ht="15" hidden="false" customHeight="false" outlineLevel="0" collapsed="false">
      <c r="B37" s="91" t="s">
        <v>415</v>
      </c>
      <c r="C37" s="71" t="n">
        <f aca="false">IF($H$9,ROUND(N(INDEX(T_COL,$H$5))*$C$18/30,0),0)</f>
        <v>38667</v>
      </c>
      <c r="D37" s="51" t="s">
        <v>416</v>
      </c>
    </row>
    <row r="38" customFormat="false" ht="15" hidden="false" customHeight="false" outlineLevel="0" collapsed="false">
      <c r="B38" s="91" t="s">
        <v>417</v>
      </c>
      <c r="C38" s="71" t="n">
        <f aca="false">IF($H$9,ROUND(N(INDEX(T_MOV,$H$5))*$C$18/30,0),0)</f>
        <v>29000</v>
      </c>
      <c r="D38" s="51"/>
    </row>
    <row r="39" customFormat="false" ht="15" hidden="false" customHeight="false" outlineLevel="0" collapsed="false">
      <c r="B39" s="91" t="s">
        <v>418</v>
      </c>
      <c r="C39" s="71" t="n">
        <f aca="false">IF($H$9,N(INDEX(T_CARGAS,$H$5))*INDEX(AF_MONTO,MIN(4,COUNTIF(AF_HASTA,"&lt;"&amp;$C$34)+1)),0)</f>
        <v>0</v>
      </c>
      <c r="D39" s="51" t="s">
        <v>419</v>
      </c>
    </row>
    <row r="40" customFormat="false" ht="15" hidden="false" customHeight="false" outlineLevel="0" collapsed="false">
      <c r="B40" s="91" t="s">
        <v>420</v>
      </c>
      <c r="C40" s="71" t="n">
        <f aca="false">$C$22</f>
        <v>0</v>
      </c>
      <c r="D40" s="51"/>
    </row>
    <row r="41" customFormat="false" ht="15" hidden="false" customHeight="false" outlineLevel="0" collapsed="false">
      <c r="B41" s="92" t="s">
        <v>421</v>
      </c>
      <c r="C41" s="62" t="n">
        <f aca="false">$C$34+$C$37+$C$38+$C$39+$C$40</f>
        <v>901417</v>
      </c>
      <c r="D41" s="51"/>
      <c r="E41" s="85" t="n">
        <f aca="false">IF($H$8,SUMIFS(L_HABERES,L_CLAVE,$H$6),"")</f>
        <v>901417</v>
      </c>
      <c r="F41" s="85" t="n">
        <f aca="false">IF(E41="","",C41-E41)</f>
        <v>0</v>
      </c>
    </row>
    <row r="43" customFormat="false" ht="15" hidden="false" customHeight="false" outlineLevel="0" collapsed="false">
      <c r="B43" s="4" t="s">
        <v>422</v>
      </c>
    </row>
    <row r="44" customFormat="false" ht="15" hidden="false" customHeight="false" outlineLevel="0" collapsed="false">
      <c r="B44" s="91" t="s">
        <v>423</v>
      </c>
      <c r="C44" s="71" t="n">
        <f aca="false">MIN($C$34,TOPE_AFP_UF*$C$15)</f>
        <v>833750</v>
      </c>
      <c r="D44" s="51"/>
    </row>
    <row r="45" customFormat="false" ht="15" hidden="false" customHeight="false" outlineLevel="0" collapsed="false">
      <c r="B45" s="91" t="s">
        <v>164</v>
      </c>
      <c r="C45" s="71" t="n">
        <f aca="false">IF($H$9,ROUND($C$44*IFERROR(INDEX(AFP_TASA,MATCH(INDEX(T_AFP,$H$5),AFP_NOMBRES,0)),AFP_OBLIG),0),0)</f>
        <v>88211</v>
      </c>
      <c r="D45" s="51" t="str">
        <f aca="false">IF($H$9,"AFP "&amp;INDEX(T_AFP,$H$5)&amp;": "&amp;ROUND(100*IFERROR(INDEX(AFP_TASA,MATCH(INDEX(T_AFP,$H$5),AFP_NOMBRES,0)),AFP_OBLIG),2)&amp;"% (10% + comisión)","")</f>
        <v>AFP Modelo: 10.58% (10% + comisión)</v>
      </c>
      <c r="E45" s="71" t="n">
        <f aca="false">IF($H$8,SUMIFS(L_AFP,L_CLAVE,$H$6),"")</f>
        <v>88211</v>
      </c>
      <c r="F45" s="85" t="n">
        <f aca="false">IF(E45="","",C45-E45)</f>
        <v>0</v>
      </c>
    </row>
    <row r="46" customFormat="false" ht="15" hidden="false" customHeight="false" outlineLevel="0" collapsed="false">
      <c r="B46" s="91" t="s">
        <v>165</v>
      </c>
      <c r="C46" s="71" t="n">
        <f aca="false">IF($H$9,IF(INDEX(T_SALUD,$H$5)="Isapre",MAX(ROUND($C$44*SALUD_PCT,0),ROUND(N(INDEX(T_PLAN,$H$5))*$C$15,0)),ROUND($C$44*SALUD_PCT,0)),0)</f>
        <v>58363</v>
      </c>
      <c r="D46" s="51" t="s">
        <v>424</v>
      </c>
      <c r="E46" s="71" t="n">
        <f aca="false">IF($H$8,SUMIFS(L_SALUD,L_CLAVE,$H$6),"")</f>
        <v>58363</v>
      </c>
      <c r="F46" s="85" t="n">
        <f aca="false">IF(E46="","",C46-E46)</f>
        <v>0</v>
      </c>
    </row>
    <row r="47" customFormat="false" ht="15" hidden="false" customHeight="false" outlineLevel="0" collapsed="false">
      <c r="B47" s="91" t="s">
        <v>425</v>
      </c>
      <c r="C47" s="71" t="n">
        <f aca="false">ROUND(MIN($C$34,TOPE_AFC_UF*$C$15)*IF($C$12="Indefinido",AFC_TRAB_INDEF,AFC_TRAB_PF),0)</f>
        <v>0</v>
      </c>
      <c r="D47" s="51" t="s">
        <v>426</v>
      </c>
      <c r="E47" s="71" t="n">
        <f aca="false">IF($H$8,SUMIFS(L_AFCT,L_CLAVE,$H$6),"")</f>
        <v>0</v>
      </c>
      <c r="F47" s="85" t="n">
        <f aca="false">IF(E47="","",C47-E47)</f>
        <v>0</v>
      </c>
    </row>
    <row r="48" customFormat="false" ht="15" hidden="false" customHeight="false" outlineLevel="0" collapsed="false">
      <c r="B48" s="91" t="s">
        <v>427</v>
      </c>
      <c r="C48" s="71" t="n">
        <f aca="false">MAX(0,$C$34-$C$45-MIN($C$46,ROUND($C$44*SALUD_PCT,0))-$C$47)</f>
        <v>687176</v>
      </c>
      <c r="D48" s="51" t="s">
        <v>428</v>
      </c>
    </row>
    <row r="49" customFormat="false" ht="15" hidden="false" customHeight="false" outlineLevel="0" collapsed="false">
      <c r="B49" s="91" t="s">
        <v>429</v>
      </c>
      <c r="C49" s="71" t="n">
        <f aca="false">IF($C$16=0,0,MAX(0,ROUND($C$48*INDEX(IMP_FACTOR,MATCH($C$48/$C$16,IMP_DESDE,1))-INDEX(IMP_REBAJA,MATCH($C$48/$C$16,IMP_DESDE,1))*$C$16,0)))</f>
        <v>0</v>
      </c>
      <c r="D49" s="51" t="str">
        <f aca="false">IF($C$16=0,"","Base = "&amp;ROUND($C$48/$C$16,2)&amp;" UTM · factor "&amp;ROUND(100*INDEX(IMP_FACTOR,MATCH($C$48/$C$16,IMP_DESDE,1)),1)&amp;"% (Parametros, tabla 10)")</f>
        <v>Base = 9.59 UTM · factor 0% (Parametros, tabla 10)</v>
      </c>
      <c r="E49" s="71" t="n">
        <f aca="false">IF($H$8,SUMIFS(L_IMP,L_CLAVE,$H$6),"")</f>
        <v>0</v>
      </c>
      <c r="F49" s="85" t="n">
        <f aca="false">IF(E49="","",C49-E49)</f>
        <v>0</v>
      </c>
    </row>
    <row r="50" customFormat="false" ht="15" hidden="false" customHeight="false" outlineLevel="0" collapsed="false">
      <c r="B50" s="92" t="s">
        <v>430</v>
      </c>
      <c r="C50" s="62" t="n">
        <f aca="false">$C$45+$C$46+$C$47+$C$49</f>
        <v>146574</v>
      </c>
      <c r="D50" s="51"/>
    </row>
    <row r="52" customFormat="false" ht="15" hidden="false" customHeight="false" outlineLevel="0" collapsed="false">
      <c r="B52" s="4" t="s">
        <v>431</v>
      </c>
    </row>
    <row r="53" customFormat="false" ht="15" hidden="false" customHeight="false" outlineLevel="0" collapsed="false">
      <c r="B53" s="91" t="s">
        <v>145</v>
      </c>
      <c r="C53" s="71" t="n">
        <f aca="false">$C$23</f>
        <v>100000</v>
      </c>
      <c r="D53" s="51"/>
    </row>
    <row r="54" customFormat="false" ht="15" hidden="false" customHeight="false" outlineLevel="0" collapsed="false">
      <c r="B54" s="91" t="s">
        <v>432</v>
      </c>
      <c r="C54" s="71" t="n">
        <f aca="false">$C$24</f>
        <v>0</v>
      </c>
      <c r="D54" s="51"/>
    </row>
    <row r="55" customFormat="false" ht="15" hidden="false" customHeight="false" outlineLevel="0" collapsed="false">
      <c r="B55" s="92" t="s">
        <v>433</v>
      </c>
      <c r="C55" s="62" t="n">
        <f aca="false">$C$41-$C$50-$C$53-$C$54</f>
        <v>654843</v>
      </c>
      <c r="D55" s="51"/>
      <c r="E55" s="85" t="n">
        <f aca="false">IF($H$8,SUMIFS(L_LIQ,L_CLAVE,$H$6),"")</f>
        <v>654843</v>
      </c>
      <c r="F55" s="85" t="n">
        <f aca="false">IF(E55="","",C55-E55)</f>
        <v>0</v>
      </c>
    </row>
    <row r="57" customFormat="false" ht="15" hidden="false" customHeight="false" outlineLevel="0" collapsed="false">
      <c r="B57" s="4" t="s">
        <v>434</v>
      </c>
    </row>
    <row r="58" customFormat="false" ht="15" hidden="false" customHeight="false" outlineLevel="0" collapsed="false">
      <c r="B58" s="91" t="s">
        <v>435</v>
      </c>
      <c r="C58" s="87" t="n">
        <f aca="false">IF(COUNTIF(TASA_DESDE,"&lt;="&amp;$C$6)=0,INDEX(TASA_EMP,1),INDEX(TASA_EMP,COUNTIF(TASA_DESDE,"&lt;="&amp;$C$6)))</f>
        <v>0.035</v>
      </c>
      <c r="D58" s="51" t="s">
        <v>436</v>
      </c>
    </row>
    <row r="59" customFormat="false" ht="15" hidden="false" customHeight="false" outlineLevel="0" collapsed="false">
      <c r="B59" s="91" t="s">
        <v>437</v>
      </c>
      <c r="C59" s="71" t="n">
        <f aca="false">ROUND($C$44*$C$58,0)</f>
        <v>29181</v>
      </c>
      <c r="D59" s="51"/>
    </row>
    <row r="60" customFormat="false" ht="15" hidden="false" customHeight="false" outlineLevel="0" collapsed="false">
      <c r="B60" s="91" t="s">
        <v>438</v>
      </c>
      <c r="C60" s="71" t="n">
        <f aca="false">ROUND(MIN($C$34,TOPE_AFC_UF*$C$15)*IF($C$12="Indefinido",AFC_EMP_INDEF,AFC_EMP_PF),0)</f>
        <v>25013</v>
      </c>
      <c r="D60" s="51" t="s">
        <v>439</v>
      </c>
    </row>
    <row r="61" customFormat="false" ht="15" hidden="false" customHeight="false" outlineLevel="0" collapsed="false">
      <c r="B61" s="91" t="s">
        <v>440</v>
      </c>
      <c r="C61" s="71" t="n">
        <f aca="false">ROUND($C$44*(MUTUAL_BASICA+MUTUAL_ADIC+SANNA),0)</f>
        <v>7754</v>
      </c>
      <c r="D61" s="51" t="s">
        <v>441</v>
      </c>
    </row>
    <row r="62" customFormat="false" ht="15" hidden="false" customHeight="false" outlineLevel="0" collapsed="false">
      <c r="B62" s="92" t="s">
        <v>442</v>
      </c>
      <c r="C62" s="62" t="n">
        <f aca="false">$C$41-$C$39+$C$59+$C$60+$C$61</f>
        <v>963365</v>
      </c>
      <c r="D62" s="51" t="s">
        <v>443</v>
      </c>
      <c r="E62" s="85" t="n">
        <f aca="false">IF($H$8,SUMIFS(L_COSTO,L_CLAVE,$H$6),"")</f>
        <v>963365</v>
      </c>
      <c r="F62" s="85" t="n">
        <f aca="false">IF(E62="","",C62-E62)</f>
        <v>0</v>
      </c>
    </row>
    <row r="64" customFormat="false" ht="15" hidden="false" customHeight="false" outlineLevel="0" collapsed="false">
      <c r="B64" s="63" t="s">
        <v>444</v>
      </c>
    </row>
    <row r="65" customFormat="false" ht="15" hidden="false" customHeight="false" outlineLevel="0" collapsed="false">
      <c r="B65" s="63" t="s">
        <v>445</v>
      </c>
    </row>
    <row r="66" customFormat="false" ht="15" hidden="false" customHeight="false" outlineLevel="0" collapsed="false">
      <c r="B66" s="63" t="s">
        <v>446</v>
      </c>
    </row>
    <row r="67" customFormat="false" ht="15" hidden="false" customHeight="false" outlineLevel="0" collapsed="false">
      <c r="B67" s="63" t="s">
        <v>447</v>
      </c>
    </row>
  </sheetData>
  <conditionalFormatting sqref="F34">
    <cfRule type="expression" priority="2" aboveAverage="0" equalAverage="0" bottom="0" percent="0" rank="0" text="" dxfId="15">
      <formula>AND(ISNUMBER(F34),ABS(F34)&gt;1)</formula>
    </cfRule>
    <cfRule type="expression" priority="3" aboveAverage="0" equalAverage="0" bottom="0" percent="0" rank="0" text="" dxfId="4">
      <formula>AND(ISNUMBER(F34),ABS(F34)&lt;=1)</formula>
    </cfRule>
  </conditionalFormatting>
  <conditionalFormatting sqref="F41">
    <cfRule type="expression" priority="4" aboveAverage="0" equalAverage="0" bottom="0" percent="0" rank="0" text="" dxfId="15">
      <formula>AND(ISNUMBER(F41),ABS(F41)&gt;1)</formula>
    </cfRule>
    <cfRule type="expression" priority="5" aboveAverage="0" equalAverage="0" bottom="0" percent="0" rank="0" text="" dxfId="4">
      <formula>AND(ISNUMBER(F41),ABS(F41)&lt;=1)</formula>
    </cfRule>
  </conditionalFormatting>
  <conditionalFormatting sqref="F45">
    <cfRule type="expression" priority="6" aboveAverage="0" equalAverage="0" bottom="0" percent="0" rank="0" text="" dxfId="15">
      <formula>AND(ISNUMBER(F45),ABS(F45)&gt;1)</formula>
    </cfRule>
    <cfRule type="expression" priority="7" aboveAverage="0" equalAverage="0" bottom="0" percent="0" rank="0" text="" dxfId="4">
      <formula>AND(ISNUMBER(F45),ABS(F45)&lt;=1)</formula>
    </cfRule>
  </conditionalFormatting>
  <conditionalFormatting sqref="F46">
    <cfRule type="expression" priority="8" aboveAverage="0" equalAverage="0" bottom="0" percent="0" rank="0" text="" dxfId="15">
      <formula>AND(ISNUMBER(F46),ABS(F46)&gt;1)</formula>
    </cfRule>
    <cfRule type="expression" priority="9" aboveAverage="0" equalAverage="0" bottom="0" percent="0" rank="0" text="" dxfId="4">
      <formula>AND(ISNUMBER(F46),ABS(F46)&lt;=1)</formula>
    </cfRule>
  </conditionalFormatting>
  <conditionalFormatting sqref="F47">
    <cfRule type="expression" priority="10" aboveAverage="0" equalAverage="0" bottom="0" percent="0" rank="0" text="" dxfId="15">
      <formula>AND(ISNUMBER(F47),ABS(F47)&gt;1)</formula>
    </cfRule>
    <cfRule type="expression" priority="11" aboveAverage="0" equalAverage="0" bottom="0" percent="0" rank="0" text="" dxfId="4">
      <formula>AND(ISNUMBER(F47),ABS(F47)&lt;=1)</formula>
    </cfRule>
  </conditionalFormatting>
  <conditionalFormatting sqref="F49">
    <cfRule type="expression" priority="12" aboveAverage="0" equalAverage="0" bottom="0" percent="0" rank="0" text="" dxfId="15">
      <formula>AND(ISNUMBER(F49),ABS(F49)&gt;1)</formula>
    </cfRule>
    <cfRule type="expression" priority="13" aboveAverage="0" equalAverage="0" bottom="0" percent="0" rank="0" text="" dxfId="4">
      <formula>AND(ISNUMBER(F49),ABS(F49)&lt;=1)</formula>
    </cfRule>
  </conditionalFormatting>
  <conditionalFormatting sqref="F55">
    <cfRule type="expression" priority="14" aboveAverage="0" equalAverage="0" bottom="0" percent="0" rank="0" text="" dxfId="15">
      <formula>AND(ISNUMBER(F55),ABS(F55)&gt;1)</formula>
    </cfRule>
    <cfRule type="expression" priority="15" aboveAverage="0" equalAverage="0" bottom="0" percent="0" rank="0" text="" dxfId="4">
      <formula>AND(ISNUMBER(F55),ABS(F55)&lt;=1)</formula>
    </cfRule>
  </conditionalFormatting>
  <conditionalFormatting sqref="F62">
    <cfRule type="expression" priority="16" aboveAverage="0" equalAverage="0" bottom="0" percent="0" rank="0" text="" dxfId="15">
      <formula>AND(ISNUMBER(F62),ABS(F62)&gt;1)</formula>
    </cfRule>
    <cfRule type="expression" priority="17" aboveAverage="0" equalAverage="0" bottom="0" percent="0" rank="0" text="" dxfId="4">
      <formula>AND(ISNUMBER(F62),ABS(F62)&lt;=1)</formula>
    </cfRule>
  </conditionalFormatting>
  <dataValidations count="2">
    <dataValidation allowBlank="true" error="Seleccione un valor de la lista desplegable." errorStyle="stop" errorTitle="Valor no válido" operator="between" showDropDown="false" showErrorMessage="true" showInputMessage="false" sqref="C5" type="list">
      <formula1>T_ID</formula1>
      <formula2>0</formula2>
    </dataValidation>
    <dataValidation allowBlank="true" error="Seleccione un valor de la lista desplegable." errorStyle="stop" errorTitle="Valor no válido" operator="between" showDropDown="false" showErrorMessage="true" showInputMessage="false" sqref="C6" type="list">
      <formula1>LS_MESES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P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11"/>
    <col collapsed="false" customWidth="true" hidden="false" outlineLevel="0" max="6" min="5" style="0" width="13"/>
    <col collapsed="false" customWidth="true" hidden="false" outlineLevel="0" max="7" min="7" style="0" width="12"/>
    <col collapsed="false" customWidth="true" hidden="false" outlineLevel="0" max="8" min="8" style="0" width="14"/>
    <col collapsed="false" customWidth="true" hidden="false" outlineLevel="0" max="10" min="9" style="0" width="12"/>
    <col collapsed="false" customWidth="true" hidden="false" outlineLevel="0" max="11" min="11" style="0" width="13"/>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24"/>
    <col collapsed="false" customWidth="true" hidden="false" outlineLevel="0" max="16" min="16" style="0" width="30"/>
  </cols>
  <sheetData>
    <row r="2" customFormat="false" ht="24" hidden="false" customHeight="true" outlineLevel="0" collapsed="false">
      <c r="B2" s="1" t="s">
        <v>448</v>
      </c>
      <c r="C2" s="2"/>
      <c r="D2" s="2"/>
      <c r="E2" s="2"/>
      <c r="F2" s="2"/>
      <c r="G2" s="2"/>
      <c r="H2" s="2"/>
      <c r="I2" s="2"/>
      <c r="J2" s="2"/>
      <c r="K2" s="2"/>
      <c r="L2" s="2"/>
      <c r="M2" s="2"/>
      <c r="N2" s="2"/>
      <c r="O2" s="2"/>
      <c r="P2" s="2"/>
    </row>
    <row r="3" customFormat="false" ht="15.75" hidden="false" customHeight="true" outlineLevel="0" collapsed="false">
      <c r="B3" s="3" t="s">
        <v>449</v>
      </c>
      <c r="C3" s="2"/>
      <c r="D3" s="2"/>
      <c r="E3" s="2"/>
      <c r="F3" s="2"/>
      <c r="G3" s="2"/>
      <c r="H3" s="2"/>
      <c r="I3" s="2"/>
      <c r="J3" s="2"/>
      <c r="K3" s="2"/>
      <c r="L3" s="2"/>
      <c r="M3" s="2"/>
      <c r="N3" s="2"/>
      <c r="O3" s="2"/>
      <c r="P3" s="2"/>
    </row>
    <row r="4" customFormat="false" ht="15" hidden="false" customHeight="false" outlineLevel="0" collapsed="false">
      <c r="B4" s="63" t="s">
        <v>220</v>
      </c>
    </row>
    <row r="6" customFormat="false" ht="55.5" hidden="false" customHeight="true" outlineLevel="0" collapsed="false">
      <c r="B6" s="42" t="s">
        <v>450</v>
      </c>
      <c r="C6" s="53" t="s">
        <v>451</v>
      </c>
      <c r="D6" s="53" t="s">
        <v>452</v>
      </c>
      <c r="E6" s="53" t="s">
        <v>453</v>
      </c>
      <c r="F6" s="53" t="s">
        <v>454</v>
      </c>
      <c r="G6" s="53" t="s">
        <v>455</v>
      </c>
      <c r="H6" s="53" t="s">
        <v>456</v>
      </c>
      <c r="I6" s="53" t="s">
        <v>457</v>
      </c>
      <c r="J6" s="53" t="s">
        <v>458</v>
      </c>
      <c r="K6" s="42" t="s">
        <v>459</v>
      </c>
      <c r="L6" s="53" t="s">
        <v>460</v>
      </c>
      <c r="M6" s="42" t="s">
        <v>461</v>
      </c>
      <c r="N6" s="42" t="s">
        <v>462</v>
      </c>
      <c r="O6" s="53" t="s">
        <v>171</v>
      </c>
      <c r="P6" s="42" t="s">
        <v>170</v>
      </c>
    </row>
    <row r="7" customFormat="false" ht="15" hidden="false" customHeight="false" outlineLevel="0" collapsed="false">
      <c r="B7" s="78" t="n">
        <v>46266</v>
      </c>
      <c r="C7" s="75" t="n">
        <f aca="false">IF(B7="","",IF(LEFT(MODALIDAD_PAGO,4)="Elec",DATE(YEAR(B7),MONTH(B7)+1,DIA_PAGO_ELEC),WORKDAY(DATE(YEAR(B7),MONTH(B7)+1,DIA_PAGO_MANUAL)-1,1,FERIADOS)))</f>
        <v>46308</v>
      </c>
      <c r="D7" s="73" t="n">
        <f aca="false">IF(B7="","",COUNTIFS(L_PER,B7))</f>
        <v>5</v>
      </c>
      <c r="E7" s="71" t="n">
        <f aca="false">IF(B7="","",SUMIFS(L_IMPONIBLE,L_PER,B7))</f>
        <v>5198097</v>
      </c>
      <c r="F7" s="71" t="n">
        <f aca="false">IF(B7="","",SUMIFS(L_AFP,L_PER,B7)+SUMIFS(L_SALUD,L_PER,B7)+SUMIFS(L_AFCT,L_PER,B7))</f>
        <v>1004693</v>
      </c>
      <c r="G7" s="71" t="n">
        <f aca="false">IF(B7="","",SUMIFS(L_EMPPREV,L_PER,B7)+SUMIFS(L_AFCE,L_PER,B7)+SUMIFS(L_MUT,L_PER,B7))</f>
        <v>370585</v>
      </c>
      <c r="H7" s="71" t="n">
        <f aca="false">IF(B7="","",F7+G7-SUMIFS(L_ASIGFAM,L_PER,B7))</f>
        <v>1333668</v>
      </c>
      <c r="I7" s="71" t="n">
        <f aca="false">IF(B7="","",SUMIFS(L_IMP,L_PER,B7))</f>
        <v>17639</v>
      </c>
      <c r="J7" s="75" t="n">
        <f aca="false">IF(B7="","",DATE(YEAR(B7),MONTH(B7)+1,20))</f>
        <v>46315</v>
      </c>
      <c r="K7" s="67" t="n">
        <v>1333668</v>
      </c>
      <c r="L7" s="71" t="n">
        <f aca="false">IF(OR(B7="",NOT(ISNUMBER(K7))),"",K7-H7)</f>
        <v>0</v>
      </c>
      <c r="M7" s="65" t="n">
        <v>46304</v>
      </c>
      <c r="N7" s="64" t="s">
        <v>463</v>
      </c>
      <c r="O7" s="70" t="str">
        <f aca="false">IF(B7="","",IF(ISNUMBER(M7),IF(M7&lt;=C7,"Pagado","Pagado con atraso"),IF(FECHA_CORTE&gt;C7,"VENCIDO","Pendiente – vence en "&amp;(C7-FECHA_CORTE)&amp;" días")))</f>
        <v>Pagado</v>
      </c>
      <c r="P7" s="64" t="s">
        <v>464</v>
      </c>
    </row>
    <row r="8" customFormat="false" ht="15" hidden="false" customHeight="false" outlineLevel="0" collapsed="false">
      <c r="B8" s="78" t="n">
        <v>46296</v>
      </c>
      <c r="C8" s="75" t="n">
        <f aca="false">IF(B8="","",IF(LEFT(MODALIDAD_PAGO,4)="Elec",DATE(YEAR(B8),MONTH(B8)+1,DIA_PAGO_ELEC),WORKDAY(DATE(YEAR(B8),MONTH(B8)+1,DIA_PAGO_MANUAL)-1,1,FERIADOS)))</f>
        <v>46339</v>
      </c>
      <c r="D8" s="73" t="n">
        <f aca="false">IF(B8="","",COUNTIFS(L_PER,B8))</f>
        <v>0</v>
      </c>
      <c r="E8" s="71" t="n">
        <f aca="false">IF(B8="","",SUMIFS(L_IMPONIBLE,L_PER,B8))</f>
        <v>0</v>
      </c>
      <c r="F8" s="71" t="n">
        <f aca="false">IF(B8="","",SUMIFS(L_AFP,L_PER,B8)+SUMIFS(L_SALUD,L_PER,B8)+SUMIFS(L_AFCT,L_PER,B8))</f>
        <v>0</v>
      </c>
      <c r="G8" s="71" t="n">
        <f aca="false">IF(B8="","",SUMIFS(L_EMPPREV,L_PER,B8)+SUMIFS(L_AFCE,L_PER,B8)+SUMIFS(L_MUT,L_PER,B8))</f>
        <v>0</v>
      </c>
      <c r="H8" s="71" t="n">
        <f aca="false">IF(B8="","",F8+G8-SUMIFS(L_ASIGFAM,L_PER,B8))</f>
        <v>0</v>
      </c>
      <c r="I8" s="71" t="n">
        <f aca="false">IF(B8="","",SUMIFS(L_IMP,L_PER,B8))</f>
        <v>0</v>
      </c>
      <c r="J8" s="75" t="n">
        <f aca="false">IF(B8="","",DATE(YEAR(B8),MONTH(B8)+1,20))</f>
        <v>46346</v>
      </c>
      <c r="K8" s="67"/>
      <c r="L8" s="71" t="str">
        <f aca="false">IF(OR(B8="",NOT(ISNUMBER(K8))),"",K8-H8)</f>
        <v/>
      </c>
      <c r="M8" s="65"/>
      <c r="N8" s="64"/>
      <c r="O8" s="70" t="str">
        <f aca="false">IF(B8="","",IF(ISNUMBER(M8),IF(M8&lt;=C8,"Pagado","Pagado con atraso"),IF(FECHA_CORTE&gt;C8,"VENCIDO","Pendiente – vence en "&amp;(C8-FECHA_CORTE)&amp;" días")))</f>
        <v>Pendiente – vence en 17 días</v>
      </c>
      <c r="P8" s="64" t="s">
        <v>465</v>
      </c>
    </row>
    <row r="9" customFormat="false" ht="15" hidden="false" customHeight="false" outlineLevel="0" collapsed="false">
      <c r="B9" s="78"/>
      <c r="C9" s="75" t="str">
        <f aca="false">IF(B9="","",IF(LEFT(MODALIDAD_PAGO,4)="Elec",DATE(YEAR(B9),MONTH(B9)+1,DIA_PAGO_ELEC),WORKDAY(DATE(YEAR(B9),MONTH(B9)+1,DIA_PAGO_MANUAL)-1,1,FERIADOS)))</f>
        <v/>
      </c>
      <c r="D9" s="73" t="str">
        <f aca="false">IF(B9="","",COUNTIFS(L_PER,B9))</f>
        <v/>
      </c>
      <c r="E9" s="71" t="str">
        <f aca="false">IF(B9="","",SUMIFS(L_IMPONIBLE,L_PER,B9))</f>
        <v/>
      </c>
      <c r="F9" s="71" t="str">
        <f aca="false">IF(B9="","",SUMIFS(L_AFP,L_PER,B9)+SUMIFS(L_SALUD,L_PER,B9)+SUMIFS(L_AFCT,L_PER,B9))</f>
        <v/>
      </c>
      <c r="G9" s="71" t="str">
        <f aca="false">IF(B9="","",SUMIFS(L_EMPPREV,L_PER,B9)+SUMIFS(L_AFCE,L_PER,B9)+SUMIFS(L_MUT,L_PER,B9))</f>
        <v/>
      </c>
      <c r="H9" s="71" t="str">
        <f aca="false">IF(B9="","",F9+G9-SUMIFS(L_ASIGFAM,L_PER,B9))</f>
        <v/>
      </c>
      <c r="I9" s="71" t="str">
        <f aca="false">IF(B9="","",SUMIFS(L_IMP,L_PER,B9))</f>
        <v/>
      </c>
      <c r="J9" s="75" t="str">
        <f aca="false">IF(B9="","",DATE(YEAR(B9),MONTH(B9)+1,20))</f>
        <v/>
      </c>
      <c r="K9" s="67"/>
      <c r="L9" s="71" t="str">
        <f aca="false">IF(OR(B9="",NOT(ISNUMBER(K9))),"",K9-H9)</f>
        <v/>
      </c>
      <c r="M9" s="65"/>
      <c r="N9" s="64"/>
      <c r="O9" s="70" t="str">
        <f aca="false">IF(B9="","",IF(ISNUMBER(M9),IF(M9&lt;=C9,"Pagado","Pagado con atraso"),IF(FECHA_CORTE&gt;C9,"VENCIDO","Pendiente – vence en "&amp;(C9-FECHA_CORTE)&amp;" días")))</f>
        <v/>
      </c>
      <c r="P9" s="64"/>
    </row>
    <row r="10" customFormat="false" ht="15" hidden="false" customHeight="false" outlineLevel="0" collapsed="false">
      <c r="B10" s="78"/>
      <c r="C10" s="75" t="str">
        <f aca="false">IF(B10="","",IF(LEFT(MODALIDAD_PAGO,4)="Elec",DATE(YEAR(B10),MONTH(B10)+1,DIA_PAGO_ELEC),WORKDAY(DATE(YEAR(B10),MONTH(B10)+1,DIA_PAGO_MANUAL)-1,1,FERIADOS)))</f>
        <v/>
      </c>
      <c r="D10" s="73" t="str">
        <f aca="false">IF(B10="","",COUNTIFS(L_PER,B10))</f>
        <v/>
      </c>
      <c r="E10" s="71" t="str">
        <f aca="false">IF(B10="","",SUMIFS(L_IMPONIBLE,L_PER,B10))</f>
        <v/>
      </c>
      <c r="F10" s="71" t="str">
        <f aca="false">IF(B10="","",SUMIFS(L_AFP,L_PER,B10)+SUMIFS(L_SALUD,L_PER,B10)+SUMIFS(L_AFCT,L_PER,B10))</f>
        <v/>
      </c>
      <c r="G10" s="71" t="str">
        <f aca="false">IF(B10="","",SUMIFS(L_EMPPREV,L_PER,B10)+SUMIFS(L_AFCE,L_PER,B10)+SUMIFS(L_MUT,L_PER,B10))</f>
        <v/>
      </c>
      <c r="H10" s="71" t="str">
        <f aca="false">IF(B10="","",F10+G10-SUMIFS(L_ASIGFAM,L_PER,B10))</f>
        <v/>
      </c>
      <c r="I10" s="71" t="str">
        <f aca="false">IF(B10="","",SUMIFS(L_IMP,L_PER,B10))</f>
        <v/>
      </c>
      <c r="J10" s="75" t="str">
        <f aca="false">IF(B10="","",DATE(YEAR(B10),MONTH(B10)+1,20))</f>
        <v/>
      </c>
      <c r="K10" s="67"/>
      <c r="L10" s="71" t="str">
        <f aca="false">IF(OR(B10="",NOT(ISNUMBER(K10))),"",K10-H10)</f>
        <v/>
      </c>
      <c r="M10" s="65"/>
      <c r="N10" s="64"/>
      <c r="O10" s="70" t="str">
        <f aca="false">IF(B10="","",IF(ISNUMBER(M10),IF(M10&lt;=C10,"Pagado","Pagado con atraso"),IF(FECHA_CORTE&gt;C10,"VENCIDO","Pendiente – vence en "&amp;(C10-FECHA_CORTE)&amp;" días")))</f>
        <v/>
      </c>
      <c r="P10" s="64"/>
    </row>
    <row r="11" customFormat="false" ht="15" hidden="false" customHeight="false" outlineLevel="0" collapsed="false">
      <c r="B11" s="78"/>
      <c r="C11" s="75" t="str">
        <f aca="false">IF(B11="","",IF(LEFT(MODALIDAD_PAGO,4)="Elec",DATE(YEAR(B11),MONTH(B11)+1,DIA_PAGO_ELEC),WORKDAY(DATE(YEAR(B11),MONTH(B11)+1,DIA_PAGO_MANUAL)-1,1,FERIADOS)))</f>
        <v/>
      </c>
      <c r="D11" s="73" t="str">
        <f aca="false">IF(B11="","",COUNTIFS(L_PER,B11))</f>
        <v/>
      </c>
      <c r="E11" s="71" t="str">
        <f aca="false">IF(B11="","",SUMIFS(L_IMPONIBLE,L_PER,B11))</f>
        <v/>
      </c>
      <c r="F11" s="71" t="str">
        <f aca="false">IF(B11="","",SUMIFS(L_AFP,L_PER,B11)+SUMIFS(L_SALUD,L_PER,B11)+SUMIFS(L_AFCT,L_PER,B11))</f>
        <v/>
      </c>
      <c r="G11" s="71" t="str">
        <f aca="false">IF(B11="","",SUMIFS(L_EMPPREV,L_PER,B11)+SUMIFS(L_AFCE,L_PER,B11)+SUMIFS(L_MUT,L_PER,B11))</f>
        <v/>
      </c>
      <c r="H11" s="71" t="str">
        <f aca="false">IF(B11="","",F11+G11-SUMIFS(L_ASIGFAM,L_PER,B11))</f>
        <v/>
      </c>
      <c r="I11" s="71" t="str">
        <f aca="false">IF(B11="","",SUMIFS(L_IMP,L_PER,B11))</f>
        <v/>
      </c>
      <c r="J11" s="75" t="str">
        <f aca="false">IF(B11="","",DATE(YEAR(B11),MONTH(B11)+1,20))</f>
        <v/>
      </c>
      <c r="K11" s="67"/>
      <c r="L11" s="71" t="str">
        <f aca="false">IF(OR(B11="",NOT(ISNUMBER(K11))),"",K11-H11)</f>
        <v/>
      </c>
      <c r="M11" s="65"/>
      <c r="N11" s="64"/>
      <c r="O11" s="70" t="str">
        <f aca="false">IF(B11="","",IF(ISNUMBER(M11),IF(M11&lt;=C11,"Pagado","Pagado con atraso"),IF(FECHA_CORTE&gt;C11,"VENCIDO","Pendiente – vence en "&amp;(C11-FECHA_CORTE)&amp;" días")))</f>
        <v/>
      </c>
      <c r="P11" s="64"/>
    </row>
    <row r="12" customFormat="false" ht="15" hidden="false" customHeight="false" outlineLevel="0" collapsed="false">
      <c r="B12" s="78"/>
      <c r="C12" s="75" t="str">
        <f aca="false">IF(B12="","",IF(LEFT(MODALIDAD_PAGO,4)="Elec",DATE(YEAR(B12),MONTH(B12)+1,DIA_PAGO_ELEC),WORKDAY(DATE(YEAR(B12),MONTH(B12)+1,DIA_PAGO_MANUAL)-1,1,FERIADOS)))</f>
        <v/>
      </c>
      <c r="D12" s="73" t="str">
        <f aca="false">IF(B12="","",COUNTIFS(L_PER,B12))</f>
        <v/>
      </c>
      <c r="E12" s="71" t="str">
        <f aca="false">IF(B12="","",SUMIFS(L_IMPONIBLE,L_PER,B12))</f>
        <v/>
      </c>
      <c r="F12" s="71" t="str">
        <f aca="false">IF(B12="","",SUMIFS(L_AFP,L_PER,B12)+SUMIFS(L_SALUD,L_PER,B12)+SUMIFS(L_AFCT,L_PER,B12))</f>
        <v/>
      </c>
      <c r="G12" s="71" t="str">
        <f aca="false">IF(B12="","",SUMIFS(L_EMPPREV,L_PER,B12)+SUMIFS(L_AFCE,L_PER,B12)+SUMIFS(L_MUT,L_PER,B12))</f>
        <v/>
      </c>
      <c r="H12" s="71" t="str">
        <f aca="false">IF(B12="","",F12+G12-SUMIFS(L_ASIGFAM,L_PER,B12))</f>
        <v/>
      </c>
      <c r="I12" s="71" t="str">
        <f aca="false">IF(B12="","",SUMIFS(L_IMP,L_PER,B12))</f>
        <v/>
      </c>
      <c r="J12" s="75" t="str">
        <f aca="false">IF(B12="","",DATE(YEAR(B12),MONTH(B12)+1,20))</f>
        <v/>
      </c>
      <c r="K12" s="67"/>
      <c r="L12" s="71" t="str">
        <f aca="false">IF(OR(B12="",NOT(ISNUMBER(K12))),"",K12-H12)</f>
        <v/>
      </c>
      <c r="M12" s="65"/>
      <c r="N12" s="64"/>
      <c r="O12" s="70" t="str">
        <f aca="false">IF(B12="","",IF(ISNUMBER(M12),IF(M12&lt;=C12,"Pagado","Pagado con atraso"),IF(FECHA_CORTE&gt;C12,"VENCIDO","Pendiente – vence en "&amp;(C12-FECHA_CORTE)&amp;" días")))</f>
        <v/>
      </c>
      <c r="P12" s="64"/>
    </row>
    <row r="13" customFormat="false" ht="15" hidden="false" customHeight="false" outlineLevel="0" collapsed="false">
      <c r="B13" s="78"/>
      <c r="C13" s="75" t="str">
        <f aca="false">IF(B13="","",IF(LEFT(MODALIDAD_PAGO,4)="Elec",DATE(YEAR(B13),MONTH(B13)+1,DIA_PAGO_ELEC),WORKDAY(DATE(YEAR(B13),MONTH(B13)+1,DIA_PAGO_MANUAL)-1,1,FERIADOS)))</f>
        <v/>
      </c>
      <c r="D13" s="73" t="str">
        <f aca="false">IF(B13="","",COUNTIFS(L_PER,B13))</f>
        <v/>
      </c>
      <c r="E13" s="71" t="str">
        <f aca="false">IF(B13="","",SUMIFS(L_IMPONIBLE,L_PER,B13))</f>
        <v/>
      </c>
      <c r="F13" s="71" t="str">
        <f aca="false">IF(B13="","",SUMIFS(L_AFP,L_PER,B13)+SUMIFS(L_SALUD,L_PER,B13)+SUMIFS(L_AFCT,L_PER,B13))</f>
        <v/>
      </c>
      <c r="G13" s="71" t="str">
        <f aca="false">IF(B13="","",SUMIFS(L_EMPPREV,L_PER,B13)+SUMIFS(L_AFCE,L_PER,B13)+SUMIFS(L_MUT,L_PER,B13))</f>
        <v/>
      </c>
      <c r="H13" s="71" t="str">
        <f aca="false">IF(B13="","",F13+G13-SUMIFS(L_ASIGFAM,L_PER,B13))</f>
        <v/>
      </c>
      <c r="I13" s="71" t="str">
        <f aca="false">IF(B13="","",SUMIFS(L_IMP,L_PER,B13))</f>
        <v/>
      </c>
      <c r="J13" s="75" t="str">
        <f aca="false">IF(B13="","",DATE(YEAR(B13),MONTH(B13)+1,20))</f>
        <v/>
      </c>
      <c r="K13" s="67"/>
      <c r="L13" s="71" t="str">
        <f aca="false">IF(OR(B13="",NOT(ISNUMBER(K13))),"",K13-H13)</f>
        <v/>
      </c>
      <c r="M13" s="65"/>
      <c r="N13" s="64"/>
      <c r="O13" s="70" t="str">
        <f aca="false">IF(B13="","",IF(ISNUMBER(M13),IF(M13&lt;=C13,"Pagado","Pagado con atraso"),IF(FECHA_CORTE&gt;C13,"VENCIDO","Pendiente – vence en "&amp;(C13-FECHA_CORTE)&amp;" días")))</f>
        <v/>
      </c>
      <c r="P13" s="64"/>
    </row>
    <row r="14" customFormat="false" ht="15" hidden="false" customHeight="false" outlineLevel="0" collapsed="false">
      <c r="B14" s="78"/>
      <c r="C14" s="75" t="str">
        <f aca="false">IF(B14="","",IF(LEFT(MODALIDAD_PAGO,4)="Elec",DATE(YEAR(B14),MONTH(B14)+1,DIA_PAGO_ELEC),WORKDAY(DATE(YEAR(B14),MONTH(B14)+1,DIA_PAGO_MANUAL)-1,1,FERIADOS)))</f>
        <v/>
      </c>
      <c r="D14" s="73" t="str">
        <f aca="false">IF(B14="","",COUNTIFS(L_PER,B14))</f>
        <v/>
      </c>
      <c r="E14" s="71" t="str">
        <f aca="false">IF(B14="","",SUMIFS(L_IMPONIBLE,L_PER,B14))</f>
        <v/>
      </c>
      <c r="F14" s="71" t="str">
        <f aca="false">IF(B14="","",SUMIFS(L_AFP,L_PER,B14)+SUMIFS(L_SALUD,L_PER,B14)+SUMIFS(L_AFCT,L_PER,B14))</f>
        <v/>
      </c>
      <c r="G14" s="71" t="str">
        <f aca="false">IF(B14="","",SUMIFS(L_EMPPREV,L_PER,B14)+SUMIFS(L_AFCE,L_PER,B14)+SUMIFS(L_MUT,L_PER,B14))</f>
        <v/>
      </c>
      <c r="H14" s="71" t="str">
        <f aca="false">IF(B14="","",F14+G14-SUMIFS(L_ASIGFAM,L_PER,B14))</f>
        <v/>
      </c>
      <c r="I14" s="71" t="str">
        <f aca="false">IF(B14="","",SUMIFS(L_IMP,L_PER,B14))</f>
        <v/>
      </c>
      <c r="J14" s="75" t="str">
        <f aca="false">IF(B14="","",DATE(YEAR(B14),MONTH(B14)+1,20))</f>
        <v/>
      </c>
      <c r="K14" s="67"/>
      <c r="L14" s="71" t="str">
        <f aca="false">IF(OR(B14="",NOT(ISNUMBER(K14))),"",K14-H14)</f>
        <v/>
      </c>
      <c r="M14" s="65"/>
      <c r="N14" s="64"/>
      <c r="O14" s="70" t="str">
        <f aca="false">IF(B14="","",IF(ISNUMBER(M14),IF(M14&lt;=C14,"Pagado","Pagado con atraso"),IF(FECHA_CORTE&gt;C14,"VENCIDO","Pendiente – vence en "&amp;(C14-FECHA_CORTE)&amp;" días")))</f>
        <v/>
      </c>
      <c r="P14" s="64"/>
    </row>
    <row r="15" customFormat="false" ht="15" hidden="false" customHeight="false" outlineLevel="0" collapsed="false">
      <c r="B15" s="78"/>
      <c r="C15" s="75" t="str">
        <f aca="false">IF(B15="","",IF(LEFT(MODALIDAD_PAGO,4)="Elec",DATE(YEAR(B15),MONTH(B15)+1,DIA_PAGO_ELEC),WORKDAY(DATE(YEAR(B15),MONTH(B15)+1,DIA_PAGO_MANUAL)-1,1,FERIADOS)))</f>
        <v/>
      </c>
      <c r="D15" s="73" t="str">
        <f aca="false">IF(B15="","",COUNTIFS(L_PER,B15))</f>
        <v/>
      </c>
      <c r="E15" s="71" t="str">
        <f aca="false">IF(B15="","",SUMIFS(L_IMPONIBLE,L_PER,B15))</f>
        <v/>
      </c>
      <c r="F15" s="71" t="str">
        <f aca="false">IF(B15="","",SUMIFS(L_AFP,L_PER,B15)+SUMIFS(L_SALUD,L_PER,B15)+SUMIFS(L_AFCT,L_PER,B15))</f>
        <v/>
      </c>
      <c r="G15" s="71" t="str">
        <f aca="false">IF(B15="","",SUMIFS(L_EMPPREV,L_PER,B15)+SUMIFS(L_AFCE,L_PER,B15)+SUMIFS(L_MUT,L_PER,B15))</f>
        <v/>
      </c>
      <c r="H15" s="71" t="str">
        <f aca="false">IF(B15="","",F15+G15-SUMIFS(L_ASIGFAM,L_PER,B15))</f>
        <v/>
      </c>
      <c r="I15" s="71" t="str">
        <f aca="false">IF(B15="","",SUMIFS(L_IMP,L_PER,B15))</f>
        <v/>
      </c>
      <c r="J15" s="75" t="str">
        <f aca="false">IF(B15="","",DATE(YEAR(B15),MONTH(B15)+1,20))</f>
        <v/>
      </c>
      <c r="K15" s="67"/>
      <c r="L15" s="71" t="str">
        <f aca="false">IF(OR(B15="",NOT(ISNUMBER(K15))),"",K15-H15)</f>
        <v/>
      </c>
      <c r="M15" s="65"/>
      <c r="N15" s="64"/>
      <c r="O15" s="70" t="str">
        <f aca="false">IF(B15="","",IF(ISNUMBER(M15),IF(M15&lt;=C15,"Pagado","Pagado con atraso"),IF(FECHA_CORTE&gt;C15,"VENCIDO","Pendiente – vence en "&amp;(C15-FECHA_CORTE)&amp;" días")))</f>
        <v/>
      </c>
      <c r="P15" s="64"/>
    </row>
    <row r="16" customFormat="false" ht="15" hidden="false" customHeight="false" outlineLevel="0" collapsed="false">
      <c r="B16" s="78"/>
      <c r="C16" s="75" t="str">
        <f aca="false">IF(B16="","",IF(LEFT(MODALIDAD_PAGO,4)="Elec",DATE(YEAR(B16),MONTH(B16)+1,DIA_PAGO_ELEC),WORKDAY(DATE(YEAR(B16),MONTH(B16)+1,DIA_PAGO_MANUAL)-1,1,FERIADOS)))</f>
        <v/>
      </c>
      <c r="D16" s="73" t="str">
        <f aca="false">IF(B16="","",COUNTIFS(L_PER,B16))</f>
        <v/>
      </c>
      <c r="E16" s="71" t="str">
        <f aca="false">IF(B16="","",SUMIFS(L_IMPONIBLE,L_PER,B16))</f>
        <v/>
      </c>
      <c r="F16" s="71" t="str">
        <f aca="false">IF(B16="","",SUMIFS(L_AFP,L_PER,B16)+SUMIFS(L_SALUD,L_PER,B16)+SUMIFS(L_AFCT,L_PER,B16))</f>
        <v/>
      </c>
      <c r="G16" s="71" t="str">
        <f aca="false">IF(B16="","",SUMIFS(L_EMPPREV,L_PER,B16)+SUMIFS(L_AFCE,L_PER,B16)+SUMIFS(L_MUT,L_PER,B16))</f>
        <v/>
      </c>
      <c r="H16" s="71" t="str">
        <f aca="false">IF(B16="","",F16+G16-SUMIFS(L_ASIGFAM,L_PER,B16))</f>
        <v/>
      </c>
      <c r="I16" s="71" t="str">
        <f aca="false">IF(B16="","",SUMIFS(L_IMP,L_PER,B16))</f>
        <v/>
      </c>
      <c r="J16" s="75" t="str">
        <f aca="false">IF(B16="","",DATE(YEAR(B16),MONTH(B16)+1,20))</f>
        <v/>
      </c>
      <c r="K16" s="67"/>
      <c r="L16" s="71" t="str">
        <f aca="false">IF(OR(B16="",NOT(ISNUMBER(K16))),"",K16-H16)</f>
        <v/>
      </c>
      <c r="M16" s="65"/>
      <c r="N16" s="64"/>
      <c r="O16" s="70" t="str">
        <f aca="false">IF(B16="","",IF(ISNUMBER(M16),IF(M16&lt;=C16,"Pagado","Pagado con atraso"),IF(FECHA_CORTE&gt;C16,"VENCIDO","Pendiente – vence en "&amp;(C16-FECHA_CORTE)&amp;" días")))</f>
        <v/>
      </c>
      <c r="P16" s="64"/>
    </row>
    <row r="17" customFormat="false" ht="15" hidden="false" customHeight="false" outlineLevel="0" collapsed="false">
      <c r="B17" s="78"/>
      <c r="C17" s="75" t="str">
        <f aca="false">IF(B17="","",IF(LEFT(MODALIDAD_PAGO,4)="Elec",DATE(YEAR(B17),MONTH(B17)+1,DIA_PAGO_ELEC),WORKDAY(DATE(YEAR(B17),MONTH(B17)+1,DIA_PAGO_MANUAL)-1,1,FERIADOS)))</f>
        <v/>
      </c>
      <c r="D17" s="73" t="str">
        <f aca="false">IF(B17="","",COUNTIFS(L_PER,B17))</f>
        <v/>
      </c>
      <c r="E17" s="71" t="str">
        <f aca="false">IF(B17="","",SUMIFS(L_IMPONIBLE,L_PER,B17))</f>
        <v/>
      </c>
      <c r="F17" s="71" t="str">
        <f aca="false">IF(B17="","",SUMIFS(L_AFP,L_PER,B17)+SUMIFS(L_SALUD,L_PER,B17)+SUMIFS(L_AFCT,L_PER,B17))</f>
        <v/>
      </c>
      <c r="G17" s="71" t="str">
        <f aca="false">IF(B17="","",SUMIFS(L_EMPPREV,L_PER,B17)+SUMIFS(L_AFCE,L_PER,B17)+SUMIFS(L_MUT,L_PER,B17))</f>
        <v/>
      </c>
      <c r="H17" s="71" t="str">
        <f aca="false">IF(B17="","",F17+G17-SUMIFS(L_ASIGFAM,L_PER,B17))</f>
        <v/>
      </c>
      <c r="I17" s="71" t="str">
        <f aca="false">IF(B17="","",SUMIFS(L_IMP,L_PER,B17))</f>
        <v/>
      </c>
      <c r="J17" s="75" t="str">
        <f aca="false">IF(B17="","",DATE(YEAR(B17),MONTH(B17)+1,20))</f>
        <v/>
      </c>
      <c r="K17" s="67"/>
      <c r="L17" s="71" t="str">
        <f aca="false">IF(OR(B17="",NOT(ISNUMBER(K17))),"",K17-H17)</f>
        <v/>
      </c>
      <c r="M17" s="65"/>
      <c r="N17" s="64"/>
      <c r="O17" s="70" t="str">
        <f aca="false">IF(B17="","",IF(ISNUMBER(M17),IF(M17&lt;=C17,"Pagado","Pagado con atraso"),IF(FECHA_CORTE&gt;C17,"VENCIDO","Pendiente – vence en "&amp;(C17-FECHA_CORTE)&amp;" días")))</f>
        <v/>
      </c>
      <c r="P17" s="64"/>
    </row>
    <row r="18" customFormat="false" ht="15" hidden="false" customHeight="false" outlineLevel="0" collapsed="false">
      <c r="B18" s="78"/>
      <c r="C18" s="75" t="str">
        <f aca="false">IF(B18="","",IF(LEFT(MODALIDAD_PAGO,4)="Elec",DATE(YEAR(B18),MONTH(B18)+1,DIA_PAGO_ELEC),WORKDAY(DATE(YEAR(B18),MONTH(B18)+1,DIA_PAGO_MANUAL)-1,1,FERIADOS)))</f>
        <v/>
      </c>
      <c r="D18" s="73" t="str">
        <f aca="false">IF(B18="","",COUNTIFS(L_PER,B18))</f>
        <v/>
      </c>
      <c r="E18" s="71" t="str">
        <f aca="false">IF(B18="","",SUMIFS(L_IMPONIBLE,L_PER,B18))</f>
        <v/>
      </c>
      <c r="F18" s="71" t="str">
        <f aca="false">IF(B18="","",SUMIFS(L_AFP,L_PER,B18)+SUMIFS(L_SALUD,L_PER,B18)+SUMIFS(L_AFCT,L_PER,B18))</f>
        <v/>
      </c>
      <c r="G18" s="71" t="str">
        <f aca="false">IF(B18="","",SUMIFS(L_EMPPREV,L_PER,B18)+SUMIFS(L_AFCE,L_PER,B18)+SUMIFS(L_MUT,L_PER,B18))</f>
        <v/>
      </c>
      <c r="H18" s="71" t="str">
        <f aca="false">IF(B18="","",F18+G18-SUMIFS(L_ASIGFAM,L_PER,B18))</f>
        <v/>
      </c>
      <c r="I18" s="71" t="str">
        <f aca="false">IF(B18="","",SUMIFS(L_IMP,L_PER,B18))</f>
        <v/>
      </c>
      <c r="J18" s="75" t="str">
        <f aca="false">IF(B18="","",DATE(YEAR(B18),MONTH(B18)+1,20))</f>
        <v/>
      </c>
      <c r="K18" s="67"/>
      <c r="L18" s="71" t="str">
        <f aca="false">IF(OR(B18="",NOT(ISNUMBER(K18))),"",K18-H18)</f>
        <v/>
      </c>
      <c r="M18" s="65"/>
      <c r="N18" s="64"/>
      <c r="O18" s="70" t="str">
        <f aca="false">IF(B18="","",IF(ISNUMBER(M18),IF(M18&lt;=C18,"Pagado","Pagado con atraso"),IF(FECHA_CORTE&gt;C18,"VENCIDO","Pendiente – vence en "&amp;(C18-FECHA_CORTE)&amp;" días")))</f>
        <v/>
      </c>
      <c r="P18" s="64"/>
    </row>
    <row r="19" customFormat="false" ht="15" hidden="false" customHeight="false" outlineLevel="0" collapsed="false">
      <c r="B19" s="78"/>
      <c r="C19" s="75" t="str">
        <f aca="false">IF(B19="","",IF(LEFT(MODALIDAD_PAGO,4)="Elec",DATE(YEAR(B19),MONTH(B19)+1,DIA_PAGO_ELEC),WORKDAY(DATE(YEAR(B19),MONTH(B19)+1,DIA_PAGO_MANUAL)-1,1,FERIADOS)))</f>
        <v/>
      </c>
      <c r="D19" s="73" t="str">
        <f aca="false">IF(B19="","",COUNTIFS(L_PER,B19))</f>
        <v/>
      </c>
      <c r="E19" s="71" t="str">
        <f aca="false">IF(B19="","",SUMIFS(L_IMPONIBLE,L_PER,B19))</f>
        <v/>
      </c>
      <c r="F19" s="71" t="str">
        <f aca="false">IF(B19="","",SUMIFS(L_AFP,L_PER,B19)+SUMIFS(L_SALUD,L_PER,B19)+SUMIFS(L_AFCT,L_PER,B19))</f>
        <v/>
      </c>
      <c r="G19" s="71" t="str">
        <f aca="false">IF(B19="","",SUMIFS(L_EMPPREV,L_PER,B19)+SUMIFS(L_AFCE,L_PER,B19)+SUMIFS(L_MUT,L_PER,B19))</f>
        <v/>
      </c>
      <c r="H19" s="71" t="str">
        <f aca="false">IF(B19="","",F19+G19-SUMIFS(L_ASIGFAM,L_PER,B19))</f>
        <v/>
      </c>
      <c r="I19" s="71" t="str">
        <f aca="false">IF(B19="","",SUMIFS(L_IMP,L_PER,B19))</f>
        <v/>
      </c>
      <c r="J19" s="75" t="str">
        <f aca="false">IF(B19="","",DATE(YEAR(B19),MONTH(B19)+1,20))</f>
        <v/>
      </c>
      <c r="K19" s="67"/>
      <c r="L19" s="71" t="str">
        <f aca="false">IF(OR(B19="",NOT(ISNUMBER(K19))),"",K19-H19)</f>
        <v/>
      </c>
      <c r="M19" s="65"/>
      <c r="N19" s="64"/>
      <c r="O19" s="70" t="str">
        <f aca="false">IF(B19="","",IF(ISNUMBER(M19),IF(M19&lt;=C19,"Pagado","Pagado con atraso"),IF(FECHA_CORTE&gt;C19,"VENCIDO","Pendiente – vence en "&amp;(C19-FECHA_CORTE)&amp;" días")))</f>
        <v/>
      </c>
      <c r="P19" s="64"/>
    </row>
    <row r="20" customFormat="false" ht="15" hidden="false" customHeight="false" outlineLevel="0" collapsed="false">
      <c r="B20" s="78"/>
      <c r="C20" s="75" t="str">
        <f aca="false">IF(B20="","",IF(LEFT(MODALIDAD_PAGO,4)="Elec",DATE(YEAR(B20),MONTH(B20)+1,DIA_PAGO_ELEC),WORKDAY(DATE(YEAR(B20),MONTH(B20)+1,DIA_PAGO_MANUAL)-1,1,FERIADOS)))</f>
        <v/>
      </c>
      <c r="D20" s="73" t="str">
        <f aca="false">IF(B20="","",COUNTIFS(L_PER,B20))</f>
        <v/>
      </c>
      <c r="E20" s="71" t="str">
        <f aca="false">IF(B20="","",SUMIFS(L_IMPONIBLE,L_PER,B20))</f>
        <v/>
      </c>
      <c r="F20" s="71" t="str">
        <f aca="false">IF(B20="","",SUMIFS(L_AFP,L_PER,B20)+SUMIFS(L_SALUD,L_PER,B20)+SUMIFS(L_AFCT,L_PER,B20))</f>
        <v/>
      </c>
      <c r="G20" s="71" t="str">
        <f aca="false">IF(B20="","",SUMIFS(L_EMPPREV,L_PER,B20)+SUMIFS(L_AFCE,L_PER,B20)+SUMIFS(L_MUT,L_PER,B20))</f>
        <v/>
      </c>
      <c r="H20" s="71" t="str">
        <f aca="false">IF(B20="","",F20+G20-SUMIFS(L_ASIGFAM,L_PER,B20))</f>
        <v/>
      </c>
      <c r="I20" s="71" t="str">
        <f aca="false">IF(B20="","",SUMIFS(L_IMP,L_PER,B20))</f>
        <v/>
      </c>
      <c r="J20" s="75" t="str">
        <f aca="false">IF(B20="","",DATE(YEAR(B20),MONTH(B20)+1,20))</f>
        <v/>
      </c>
      <c r="K20" s="67"/>
      <c r="L20" s="71" t="str">
        <f aca="false">IF(OR(B20="",NOT(ISNUMBER(K20))),"",K20-H20)</f>
        <v/>
      </c>
      <c r="M20" s="65"/>
      <c r="N20" s="64"/>
      <c r="O20" s="70" t="str">
        <f aca="false">IF(B20="","",IF(ISNUMBER(M20),IF(M20&lt;=C20,"Pagado","Pagado con atraso"),IF(FECHA_CORTE&gt;C20,"VENCIDO","Pendiente – vence en "&amp;(C20-FECHA_CORTE)&amp;" días")))</f>
        <v/>
      </c>
      <c r="P20" s="64"/>
    </row>
    <row r="21" customFormat="false" ht="15" hidden="false" customHeight="false" outlineLevel="0" collapsed="false">
      <c r="B21" s="78"/>
      <c r="C21" s="75" t="str">
        <f aca="false">IF(B21="","",IF(LEFT(MODALIDAD_PAGO,4)="Elec",DATE(YEAR(B21),MONTH(B21)+1,DIA_PAGO_ELEC),WORKDAY(DATE(YEAR(B21),MONTH(B21)+1,DIA_PAGO_MANUAL)-1,1,FERIADOS)))</f>
        <v/>
      </c>
      <c r="D21" s="73" t="str">
        <f aca="false">IF(B21="","",COUNTIFS(L_PER,B21))</f>
        <v/>
      </c>
      <c r="E21" s="71" t="str">
        <f aca="false">IF(B21="","",SUMIFS(L_IMPONIBLE,L_PER,B21))</f>
        <v/>
      </c>
      <c r="F21" s="71" t="str">
        <f aca="false">IF(B21="","",SUMIFS(L_AFP,L_PER,B21)+SUMIFS(L_SALUD,L_PER,B21)+SUMIFS(L_AFCT,L_PER,B21))</f>
        <v/>
      </c>
      <c r="G21" s="71" t="str">
        <f aca="false">IF(B21="","",SUMIFS(L_EMPPREV,L_PER,B21)+SUMIFS(L_AFCE,L_PER,B21)+SUMIFS(L_MUT,L_PER,B21))</f>
        <v/>
      </c>
      <c r="H21" s="71" t="str">
        <f aca="false">IF(B21="","",F21+G21-SUMIFS(L_ASIGFAM,L_PER,B21))</f>
        <v/>
      </c>
      <c r="I21" s="71" t="str">
        <f aca="false">IF(B21="","",SUMIFS(L_IMP,L_PER,B21))</f>
        <v/>
      </c>
      <c r="J21" s="75" t="str">
        <f aca="false">IF(B21="","",DATE(YEAR(B21),MONTH(B21)+1,20))</f>
        <v/>
      </c>
      <c r="K21" s="67"/>
      <c r="L21" s="71" t="str">
        <f aca="false">IF(OR(B21="",NOT(ISNUMBER(K21))),"",K21-H21)</f>
        <v/>
      </c>
      <c r="M21" s="65"/>
      <c r="N21" s="64"/>
      <c r="O21" s="70" t="str">
        <f aca="false">IF(B21="","",IF(ISNUMBER(M21),IF(M21&lt;=C21,"Pagado","Pagado con atraso"),IF(FECHA_CORTE&gt;C21,"VENCIDO","Pendiente – vence en "&amp;(C21-FECHA_CORTE)&amp;" días")))</f>
        <v/>
      </c>
      <c r="P21" s="64"/>
    </row>
    <row r="22" customFormat="false" ht="15" hidden="false" customHeight="false" outlineLevel="0" collapsed="false">
      <c r="B22" s="78"/>
      <c r="C22" s="75" t="str">
        <f aca="false">IF(B22="","",IF(LEFT(MODALIDAD_PAGO,4)="Elec",DATE(YEAR(B22),MONTH(B22)+1,DIA_PAGO_ELEC),WORKDAY(DATE(YEAR(B22),MONTH(B22)+1,DIA_PAGO_MANUAL)-1,1,FERIADOS)))</f>
        <v/>
      </c>
      <c r="D22" s="73" t="str">
        <f aca="false">IF(B22="","",COUNTIFS(L_PER,B22))</f>
        <v/>
      </c>
      <c r="E22" s="71" t="str">
        <f aca="false">IF(B22="","",SUMIFS(L_IMPONIBLE,L_PER,B22))</f>
        <v/>
      </c>
      <c r="F22" s="71" t="str">
        <f aca="false">IF(B22="","",SUMIFS(L_AFP,L_PER,B22)+SUMIFS(L_SALUD,L_PER,B22)+SUMIFS(L_AFCT,L_PER,B22))</f>
        <v/>
      </c>
      <c r="G22" s="71" t="str">
        <f aca="false">IF(B22="","",SUMIFS(L_EMPPREV,L_PER,B22)+SUMIFS(L_AFCE,L_PER,B22)+SUMIFS(L_MUT,L_PER,B22))</f>
        <v/>
      </c>
      <c r="H22" s="71" t="str">
        <f aca="false">IF(B22="","",F22+G22-SUMIFS(L_ASIGFAM,L_PER,B22))</f>
        <v/>
      </c>
      <c r="I22" s="71" t="str">
        <f aca="false">IF(B22="","",SUMIFS(L_IMP,L_PER,B22))</f>
        <v/>
      </c>
      <c r="J22" s="75" t="str">
        <f aca="false">IF(B22="","",DATE(YEAR(B22),MONTH(B22)+1,20))</f>
        <v/>
      </c>
      <c r="K22" s="67"/>
      <c r="L22" s="71" t="str">
        <f aca="false">IF(OR(B22="",NOT(ISNUMBER(K22))),"",K22-H22)</f>
        <v/>
      </c>
      <c r="M22" s="65"/>
      <c r="N22" s="64"/>
      <c r="O22" s="70" t="str">
        <f aca="false">IF(B22="","",IF(ISNUMBER(M22),IF(M22&lt;=C22,"Pagado","Pagado con atraso"),IF(FECHA_CORTE&gt;C22,"VENCIDO","Pendiente – vence en "&amp;(C22-FECHA_CORTE)&amp;" días")))</f>
        <v/>
      </c>
      <c r="P22" s="64"/>
    </row>
    <row r="23" customFormat="false" ht="15" hidden="false" customHeight="false" outlineLevel="0" collapsed="false">
      <c r="B23" s="78"/>
      <c r="C23" s="75" t="str">
        <f aca="false">IF(B23="","",IF(LEFT(MODALIDAD_PAGO,4)="Elec",DATE(YEAR(B23),MONTH(B23)+1,DIA_PAGO_ELEC),WORKDAY(DATE(YEAR(B23),MONTH(B23)+1,DIA_PAGO_MANUAL)-1,1,FERIADOS)))</f>
        <v/>
      </c>
      <c r="D23" s="73" t="str">
        <f aca="false">IF(B23="","",COUNTIFS(L_PER,B23))</f>
        <v/>
      </c>
      <c r="E23" s="71" t="str">
        <f aca="false">IF(B23="","",SUMIFS(L_IMPONIBLE,L_PER,B23))</f>
        <v/>
      </c>
      <c r="F23" s="71" t="str">
        <f aca="false">IF(B23="","",SUMIFS(L_AFP,L_PER,B23)+SUMIFS(L_SALUD,L_PER,B23)+SUMIFS(L_AFCT,L_PER,B23))</f>
        <v/>
      </c>
      <c r="G23" s="71" t="str">
        <f aca="false">IF(B23="","",SUMIFS(L_EMPPREV,L_PER,B23)+SUMIFS(L_AFCE,L_PER,B23)+SUMIFS(L_MUT,L_PER,B23))</f>
        <v/>
      </c>
      <c r="H23" s="71" t="str">
        <f aca="false">IF(B23="","",F23+G23-SUMIFS(L_ASIGFAM,L_PER,B23))</f>
        <v/>
      </c>
      <c r="I23" s="71" t="str">
        <f aca="false">IF(B23="","",SUMIFS(L_IMP,L_PER,B23))</f>
        <v/>
      </c>
      <c r="J23" s="75" t="str">
        <f aca="false">IF(B23="","",DATE(YEAR(B23),MONTH(B23)+1,20))</f>
        <v/>
      </c>
      <c r="K23" s="67"/>
      <c r="L23" s="71" t="str">
        <f aca="false">IF(OR(B23="",NOT(ISNUMBER(K23))),"",K23-H23)</f>
        <v/>
      </c>
      <c r="M23" s="65"/>
      <c r="N23" s="64"/>
      <c r="O23" s="70" t="str">
        <f aca="false">IF(B23="","",IF(ISNUMBER(M23),IF(M23&lt;=C23,"Pagado","Pagado con atraso"),IF(FECHA_CORTE&gt;C23,"VENCIDO","Pendiente – vence en "&amp;(C23-FECHA_CORTE)&amp;" días")))</f>
        <v/>
      </c>
      <c r="P23" s="64"/>
    </row>
    <row r="24" customFormat="false" ht="15" hidden="false" customHeight="false" outlineLevel="0" collapsed="false">
      <c r="B24" s="78"/>
      <c r="C24" s="75" t="str">
        <f aca="false">IF(B24="","",IF(LEFT(MODALIDAD_PAGO,4)="Elec",DATE(YEAR(B24),MONTH(B24)+1,DIA_PAGO_ELEC),WORKDAY(DATE(YEAR(B24),MONTH(B24)+1,DIA_PAGO_MANUAL)-1,1,FERIADOS)))</f>
        <v/>
      </c>
      <c r="D24" s="73" t="str">
        <f aca="false">IF(B24="","",COUNTIFS(L_PER,B24))</f>
        <v/>
      </c>
      <c r="E24" s="71" t="str">
        <f aca="false">IF(B24="","",SUMIFS(L_IMPONIBLE,L_PER,B24))</f>
        <v/>
      </c>
      <c r="F24" s="71" t="str">
        <f aca="false">IF(B24="","",SUMIFS(L_AFP,L_PER,B24)+SUMIFS(L_SALUD,L_PER,B24)+SUMIFS(L_AFCT,L_PER,B24))</f>
        <v/>
      </c>
      <c r="G24" s="71" t="str">
        <f aca="false">IF(B24="","",SUMIFS(L_EMPPREV,L_PER,B24)+SUMIFS(L_AFCE,L_PER,B24)+SUMIFS(L_MUT,L_PER,B24))</f>
        <v/>
      </c>
      <c r="H24" s="71" t="str">
        <f aca="false">IF(B24="","",F24+G24-SUMIFS(L_ASIGFAM,L_PER,B24))</f>
        <v/>
      </c>
      <c r="I24" s="71" t="str">
        <f aca="false">IF(B24="","",SUMIFS(L_IMP,L_PER,B24))</f>
        <v/>
      </c>
      <c r="J24" s="75" t="str">
        <f aca="false">IF(B24="","",DATE(YEAR(B24),MONTH(B24)+1,20))</f>
        <v/>
      </c>
      <c r="K24" s="67"/>
      <c r="L24" s="71" t="str">
        <f aca="false">IF(OR(B24="",NOT(ISNUMBER(K24))),"",K24-H24)</f>
        <v/>
      </c>
      <c r="M24" s="65"/>
      <c r="N24" s="64"/>
      <c r="O24" s="70" t="str">
        <f aca="false">IF(B24="","",IF(ISNUMBER(M24),IF(M24&lt;=C24,"Pagado","Pagado con atraso"),IF(FECHA_CORTE&gt;C24,"VENCIDO","Pendiente – vence en "&amp;(C24-FECHA_CORTE)&amp;" días")))</f>
        <v/>
      </c>
      <c r="P24" s="64"/>
    </row>
    <row r="25" customFormat="false" ht="15" hidden="false" customHeight="false" outlineLevel="0" collapsed="false">
      <c r="B25" s="78"/>
      <c r="C25" s="75" t="str">
        <f aca="false">IF(B25="","",IF(LEFT(MODALIDAD_PAGO,4)="Elec",DATE(YEAR(B25),MONTH(B25)+1,DIA_PAGO_ELEC),WORKDAY(DATE(YEAR(B25),MONTH(B25)+1,DIA_PAGO_MANUAL)-1,1,FERIADOS)))</f>
        <v/>
      </c>
      <c r="D25" s="73" t="str">
        <f aca="false">IF(B25="","",COUNTIFS(L_PER,B25))</f>
        <v/>
      </c>
      <c r="E25" s="71" t="str">
        <f aca="false">IF(B25="","",SUMIFS(L_IMPONIBLE,L_PER,B25))</f>
        <v/>
      </c>
      <c r="F25" s="71" t="str">
        <f aca="false">IF(B25="","",SUMIFS(L_AFP,L_PER,B25)+SUMIFS(L_SALUD,L_PER,B25)+SUMIFS(L_AFCT,L_PER,B25))</f>
        <v/>
      </c>
      <c r="G25" s="71" t="str">
        <f aca="false">IF(B25="","",SUMIFS(L_EMPPREV,L_PER,B25)+SUMIFS(L_AFCE,L_PER,B25)+SUMIFS(L_MUT,L_PER,B25))</f>
        <v/>
      </c>
      <c r="H25" s="71" t="str">
        <f aca="false">IF(B25="","",F25+G25-SUMIFS(L_ASIGFAM,L_PER,B25))</f>
        <v/>
      </c>
      <c r="I25" s="71" t="str">
        <f aca="false">IF(B25="","",SUMIFS(L_IMP,L_PER,B25))</f>
        <v/>
      </c>
      <c r="J25" s="75" t="str">
        <f aca="false">IF(B25="","",DATE(YEAR(B25),MONTH(B25)+1,20))</f>
        <v/>
      </c>
      <c r="K25" s="67"/>
      <c r="L25" s="71" t="str">
        <f aca="false">IF(OR(B25="",NOT(ISNUMBER(K25))),"",K25-H25)</f>
        <v/>
      </c>
      <c r="M25" s="65"/>
      <c r="N25" s="64"/>
      <c r="O25" s="70" t="str">
        <f aca="false">IF(B25="","",IF(ISNUMBER(M25),IF(M25&lt;=C25,"Pagado","Pagado con atraso"),IF(FECHA_CORTE&gt;C25,"VENCIDO","Pendiente – vence en "&amp;(C25-FECHA_CORTE)&amp;" días")))</f>
        <v/>
      </c>
      <c r="P25" s="64"/>
    </row>
    <row r="26" customFormat="false" ht="15" hidden="false" customHeight="false" outlineLevel="0" collapsed="false">
      <c r="B26" s="78"/>
      <c r="C26" s="75" t="str">
        <f aca="false">IF(B26="","",IF(LEFT(MODALIDAD_PAGO,4)="Elec",DATE(YEAR(B26),MONTH(B26)+1,DIA_PAGO_ELEC),WORKDAY(DATE(YEAR(B26),MONTH(B26)+1,DIA_PAGO_MANUAL)-1,1,FERIADOS)))</f>
        <v/>
      </c>
      <c r="D26" s="73" t="str">
        <f aca="false">IF(B26="","",COUNTIFS(L_PER,B26))</f>
        <v/>
      </c>
      <c r="E26" s="71" t="str">
        <f aca="false">IF(B26="","",SUMIFS(L_IMPONIBLE,L_PER,B26))</f>
        <v/>
      </c>
      <c r="F26" s="71" t="str">
        <f aca="false">IF(B26="","",SUMIFS(L_AFP,L_PER,B26)+SUMIFS(L_SALUD,L_PER,B26)+SUMIFS(L_AFCT,L_PER,B26))</f>
        <v/>
      </c>
      <c r="G26" s="71" t="str">
        <f aca="false">IF(B26="","",SUMIFS(L_EMPPREV,L_PER,B26)+SUMIFS(L_AFCE,L_PER,B26)+SUMIFS(L_MUT,L_PER,B26))</f>
        <v/>
      </c>
      <c r="H26" s="71" t="str">
        <f aca="false">IF(B26="","",F26+G26-SUMIFS(L_ASIGFAM,L_PER,B26))</f>
        <v/>
      </c>
      <c r="I26" s="71" t="str">
        <f aca="false">IF(B26="","",SUMIFS(L_IMP,L_PER,B26))</f>
        <v/>
      </c>
      <c r="J26" s="75" t="str">
        <f aca="false">IF(B26="","",DATE(YEAR(B26),MONTH(B26)+1,20))</f>
        <v/>
      </c>
      <c r="K26" s="67"/>
      <c r="L26" s="71" t="str">
        <f aca="false">IF(OR(B26="",NOT(ISNUMBER(K26))),"",K26-H26)</f>
        <v/>
      </c>
      <c r="M26" s="65"/>
      <c r="N26" s="64"/>
      <c r="O26" s="70" t="str">
        <f aca="false">IF(B26="","",IF(ISNUMBER(M26),IF(M26&lt;=C26,"Pagado","Pagado con atraso"),IF(FECHA_CORTE&gt;C26,"VENCIDO","Pendiente – vence en "&amp;(C26-FECHA_CORTE)&amp;" días")))</f>
        <v/>
      </c>
      <c r="P26" s="64"/>
    </row>
    <row r="27" customFormat="false" ht="15" hidden="false" customHeight="false" outlineLevel="0" collapsed="false">
      <c r="B27" s="78"/>
      <c r="C27" s="75" t="str">
        <f aca="false">IF(B27="","",IF(LEFT(MODALIDAD_PAGO,4)="Elec",DATE(YEAR(B27),MONTH(B27)+1,DIA_PAGO_ELEC),WORKDAY(DATE(YEAR(B27),MONTH(B27)+1,DIA_PAGO_MANUAL)-1,1,FERIADOS)))</f>
        <v/>
      </c>
      <c r="D27" s="73" t="str">
        <f aca="false">IF(B27="","",COUNTIFS(L_PER,B27))</f>
        <v/>
      </c>
      <c r="E27" s="71" t="str">
        <f aca="false">IF(B27="","",SUMIFS(L_IMPONIBLE,L_PER,B27))</f>
        <v/>
      </c>
      <c r="F27" s="71" t="str">
        <f aca="false">IF(B27="","",SUMIFS(L_AFP,L_PER,B27)+SUMIFS(L_SALUD,L_PER,B27)+SUMIFS(L_AFCT,L_PER,B27))</f>
        <v/>
      </c>
      <c r="G27" s="71" t="str">
        <f aca="false">IF(B27="","",SUMIFS(L_EMPPREV,L_PER,B27)+SUMIFS(L_AFCE,L_PER,B27)+SUMIFS(L_MUT,L_PER,B27))</f>
        <v/>
      </c>
      <c r="H27" s="71" t="str">
        <f aca="false">IF(B27="","",F27+G27-SUMIFS(L_ASIGFAM,L_PER,B27))</f>
        <v/>
      </c>
      <c r="I27" s="71" t="str">
        <f aca="false">IF(B27="","",SUMIFS(L_IMP,L_PER,B27))</f>
        <v/>
      </c>
      <c r="J27" s="75" t="str">
        <f aca="false">IF(B27="","",DATE(YEAR(B27),MONTH(B27)+1,20))</f>
        <v/>
      </c>
      <c r="K27" s="67"/>
      <c r="L27" s="71" t="str">
        <f aca="false">IF(OR(B27="",NOT(ISNUMBER(K27))),"",K27-H27)</f>
        <v/>
      </c>
      <c r="M27" s="65"/>
      <c r="N27" s="64"/>
      <c r="O27" s="70" t="str">
        <f aca="false">IF(B27="","",IF(ISNUMBER(M27),IF(M27&lt;=C27,"Pagado","Pagado con atraso"),IF(FECHA_CORTE&gt;C27,"VENCIDO","Pendiente – vence en "&amp;(C27-FECHA_CORTE)&amp;" días")))</f>
        <v/>
      </c>
      <c r="P27" s="64"/>
    </row>
    <row r="28" customFormat="false" ht="15" hidden="false" customHeight="false" outlineLevel="0" collapsed="false">
      <c r="B28" s="78"/>
      <c r="C28" s="75" t="str">
        <f aca="false">IF(B28="","",IF(LEFT(MODALIDAD_PAGO,4)="Elec",DATE(YEAR(B28),MONTH(B28)+1,DIA_PAGO_ELEC),WORKDAY(DATE(YEAR(B28),MONTH(B28)+1,DIA_PAGO_MANUAL)-1,1,FERIADOS)))</f>
        <v/>
      </c>
      <c r="D28" s="73" t="str">
        <f aca="false">IF(B28="","",COUNTIFS(L_PER,B28))</f>
        <v/>
      </c>
      <c r="E28" s="71" t="str">
        <f aca="false">IF(B28="","",SUMIFS(L_IMPONIBLE,L_PER,B28))</f>
        <v/>
      </c>
      <c r="F28" s="71" t="str">
        <f aca="false">IF(B28="","",SUMIFS(L_AFP,L_PER,B28)+SUMIFS(L_SALUD,L_PER,B28)+SUMIFS(L_AFCT,L_PER,B28))</f>
        <v/>
      </c>
      <c r="G28" s="71" t="str">
        <f aca="false">IF(B28="","",SUMIFS(L_EMPPREV,L_PER,B28)+SUMIFS(L_AFCE,L_PER,B28)+SUMIFS(L_MUT,L_PER,B28))</f>
        <v/>
      </c>
      <c r="H28" s="71" t="str">
        <f aca="false">IF(B28="","",F28+G28-SUMIFS(L_ASIGFAM,L_PER,B28))</f>
        <v/>
      </c>
      <c r="I28" s="71" t="str">
        <f aca="false">IF(B28="","",SUMIFS(L_IMP,L_PER,B28))</f>
        <v/>
      </c>
      <c r="J28" s="75" t="str">
        <f aca="false">IF(B28="","",DATE(YEAR(B28),MONTH(B28)+1,20))</f>
        <v/>
      </c>
      <c r="K28" s="67"/>
      <c r="L28" s="71" t="str">
        <f aca="false">IF(OR(B28="",NOT(ISNUMBER(K28))),"",K28-H28)</f>
        <v/>
      </c>
      <c r="M28" s="65"/>
      <c r="N28" s="64"/>
      <c r="O28" s="70" t="str">
        <f aca="false">IF(B28="","",IF(ISNUMBER(M28),IF(M28&lt;=C28,"Pagado","Pagado con atraso"),IF(FECHA_CORTE&gt;C28,"VENCIDO","Pendiente – vence en "&amp;(C28-FECHA_CORTE)&amp;" días")))</f>
        <v/>
      </c>
      <c r="P28" s="64"/>
    </row>
    <row r="29" customFormat="false" ht="15" hidden="false" customHeight="false" outlineLevel="0" collapsed="false">
      <c r="B29" s="78"/>
      <c r="C29" s="75" t="str">
        <f aca="false">IF(B29="","",IF(LEFT(MODALIDAD_PAGO,4)="Elec",DATE(YEAR(B29),MONTH(B29)+1,DIA_PAGO_ELEC),WORKDAY(DATE(YEAR(B29),MONTH(B29)+1,DIA_PAGO_MANUAL)-1,1,FERIADOS)))</f>
        <v/>
      </c>
      <c r="D29" s="73" t="str">
        <f aca="false">IF(B29="","",COUNTIFS(L_PER,B29))</f>
        <v/>
      </c>
      <c r="E29" s="71" t="str">
        <f aca="false">IF(B29="","",SUMIFS(L_IMPONIBLE,L_PER,B29))</f>
        <v/>
      </c>
      <c r="F29" s="71" t="str">
        <f aca="false">IF(B29="","",SUMIFS(L_AFP,L_PER,B29)+SUMIFS(L_SALUD,L_PER,B29)+SUMIFS(L_AFCT,L_PER,B29))</f>
        <v/>
      </c>
      <c r="G29" s="71" t="str">
        <f aca="false">IF(B29="","",SUMIFS(L_EMPPREV,L_PER,B29)+SUMIFS(L_AFCE,L_PER,B29)+SUMIFS(L_MUT,L_PER,B29))</f>
        <v/>
      </c>
      <c r="H29" s="71" t="str">
        <f aca="false">IF(B29="","",F29+G29-SUMIFS(L_ASIGFAM,L_PER,B29))</f>
        <v/>
      </c>
      <c r="I29" s="71" t="str">
        <f aca="false">IF(B29="","",SUMIFS(L_IMP,L_PER,B29))</f>
        <v/>
      </c>
      <c r="J29" s="75" t="str">
        <f aca="false">IF(B29="","",DATE(YEAR(B29),MONTH(B29)+1,20))</f>
        <v/>
      </c>
      <c r="K29" s="67"/>
      <c r="L29" s="71" t="str">
        <f aca="false">IF(OR(B29="",NOT(ISNUMBER(K29))),"",K29-H29)</f>
        <v/>
      </c>
      <c r="M29" s="65"/>
      <c r="N29" s="64"/>
      <c r="O29" s="70" t="str">
        <f aca="false">IF(B29="","",IF(ISNUMBER(M29),IF(M29&lt;=C29,"Pagado","Pagado con atraso"),IF(FECHA_CORTE&gt;C29,"VENCIDO","Pendiente – vence en "&amp;(C29-FECHA_CORTE)&amp;" días")))</f>
        <v/>
      </c>
      <c r="P29" s="64"/>
    </row>
    <row r="30" customFormat="false" ht="15" hidden="false" customHeight="false" outlineLevel="0" collapsed="false">
      <c r="B30" s="78"/>
      <c r="C30" s="75" t="str">
        <f aca="false">IF(B30="","",IF(LEFT(MODALIDAD_PAGO,4)="Elec",DATE(YEAR(B30),MONTH(B30)+1,DIA_PAGO_ELEC),WORKDAY(DATE(YEAR(B30),MONTH(B30)+1,DIA_PAGO_MANUAL)-1,1,FERIADOS)))</f>
        <v/>
      </c>
      <c r="D30" s="73" t="str">
        <f aca="false">IF(B30="","",COUNTIFS(L_PER,B30))</f>
        <v/>
      </c>
      <c r="E30" s="71" t="str">
        <f aca="false">IF(B30="","",SUMIFS(L_IMPONIBLE,L_PER,B30))</f>
        <v/>
      </c>
      <c r="F30" s="71" t="str">
        <f aca="false">IF(B30="","",SUMIFS(L_AFP,L_PER,B30)+SUMIFS(L_SALUD,L_PER,B30)+SUMIFS(L_AFCT,L_PER,B30))</f>
        <v/>
      </c>
      <c r="G30" s="71" t="str">
        <f aca="false">IF(B30="","",SUMIFS(L_EMPPREV,L_PER,B30)+SUMIFS(L_AFCE,L_PER,B30)+SUMIFS(L_MUT,L_PER,B30))</f>
        <v/>
      </c>
      <c r="H30" s="71" t="str">
        <f aca="false">IF(B30="","",F30+G30-SUMIFS(L_ASIGFAM,L_PER,B30))</f>
        <v/>
      </c>
      <c r="I30" s="71" t="str">
        <f aca="false">IF(B30="","",SUMIFS(L_IMP,L_PER,B30))</f>
        <v/>
      </c>
      <c r="J30" s="75" t="str">
        <f aca="false">IF(B30="","",DATE(YEAR(B30),MONTH(B30)+1,20))</f>
        <v/>
      </c>
      <c r="K30" s="67"/>
      <c r="L30" s="71" t="str">
        <f aca="false">IF(OR(B30="",NOT(ISNUMBER(K30))),"",K30-H30)</f>
        <v/>
      </c>
      <c r="M30" s="65"/>
      <c r="N30" s="64"/>
      <c r="O30" s="70" t="str">
        <f aca="false">IF(B30="","",IF(ISNUMBER(M30),IF(M30&lt;=C30,"Pagado","Pagado con atraso"),IF(FECHA_CORTE&gt;C30,"VENCIDO","Pendiente – vence en "&amp;(C30-FECHA_CORTE)&amp;" días")))</f>
        <v/>
      </c>
      <c r="P30" s="64"/>
    </row>
    <row r="31" customFormat="false" ht="15" hidden="false" customHeight="false" outlineLevel="0" collapsed="false">
      <c r="B31" s="78"/>
      <c r="C31" s="75" t="str">
        <f aca="false">IF(B31="","",IF(LEFT(MODALIDAD_PAGO,4)="Elec",DATE(YEAR(B31),MONTH(B31)+1,DIA_PAGO_ELEC),WORKDAY(DATE(YEAR(B31),MONTH(B31)+1,DIA_PAGO_MANUAL)-1,1,FERIADOS)))</f>
        <v/>
      </c>
      <c r="D31" s="73" t="str">
        <f aca="false">IF(B31="","",COUNTIFS(L_PER,B31))</f>
        <v/>
      </c>
      <c r="E31" s="71" t="str">
        <f aca="false">IF(B31="","",SUMIFS(L_IMPONIBLE,L_PER,B31))</f>
        <v/>
      </c>
      <c r="F31" s="71" t="str">
        <f aca="false">IF(B31="","",SUMIFS(L_AFP,L_PER,B31)+SUMIFS(L_SALUD,L_PER,B31)+SUMIFS(L_AFCT,L_PER,B31))</f>
        <v/>
      </c>
      <c r="G31" s="71" t="str">
        <f aca="false">IF(B31="","",SUMIFS(L_EMPPREV,L_PER,B31)+SUMIFS(L_AFCE,L_PER,B31)+SUMIFS(L_MUT,L_PER,B31))</f>
        <v/>
      </c>
      <c r="H31" s="71" t="str">
        <f aca="false">IF(B31="","",F31+G31-SUMIFS(L_ASIGFAM,L_PER,B31))</f>
        <v/>
      </c>
      <c r="I31" s="71" t="str">
        <f aca="false">IF(B31="","",SUMIFS(L_IMP,L_PER,B31))</f>
        <v/>
      </c>
      <c r="J31" s="75" t="str">
        <f aca="false">IF(B31="","",DATE(YEAR(B31),MONTH(B31)+1,20))</f>
        <v/>
      </c>
      <c r="K31" s="67"/>
      <c r="L31" s="71" t="str">
        <f aca="false">IF(OR(B31="",NOT(ISNUMBER(K31))),"",K31-H31)</f>
        <v/>
      </c>
      <c r="M31" s="65"/>
      <c r="N31" s="64"/>
      <c r="O31" s="70" t="str">
        <f aca="false">IF(B31="","",IF(ISNUMBER(M31),IF(M31&lt;=C31,"Pagado","Pagado con atraso"),IF(FECHA_CORTE&gt;C31,"VENCIDO","Pendiente – vence en "&amp;(C31-FECHA_CORTE)&amp;" días")))</f>
        <v/>
      </c>
      <c r="P31" s="64"/>
    </row>
    <row r="32" customFormat="false" ht="15" hidden="false" customHeight="false" outlineLevel="0" collapsed="false">
      <c r="B32" s="78"/>
      <c r="C32" s="75" t="str">
        <f aca="false">IF(B32="","",IF(LEFT(MODALIDAD_PAGO,4)="Elec",DATE(YEAR(B32),MONTH(B32)+1,DIA_PAGO_ELEC),WORKDAY(DATE(YEAR(B32),MONTH(B32)+1,DIA_PAGO_MANUAL)-1,1,FERIADOS)))</f>
        <v/>
      </c>
      <c r="D32" s="73" t="str">
        <f aca="false">IF(B32="","",COUNTIFS(L_PER,B32))</f>
        <v/>
      </c>
      <c r="E32" s="71" t="str">
        <f aca="false">IF(B32="","",SUMIFS(L_IMPONIBLE,L_PER,B32))</f>
        <v/>
      </c>
      <c r="F32" s="71" t="str">
        <f aca="false">IF(B32="","",SUMIFS(L_AFP,L_PER,B32)+SUMIFS(L_SALUD,L_PER,B32)+SUMIFS(L_AFCT,L_PER,B32))</f>
        <v/>
      </c>
      <c r="G32" s="71" t="str">
        <f aca="false">IF(B32="","",SUMIFS(L_EMPPREV,L_PER,B32)+SUMIFS(L_AFCE,L_PER,B32)+SUMIFS(L_MUT,L_PER,B32))</f>
        <v/>
      </c>
      <c r="H32" s="71" t="str">
        <f aca="false">IF(B32="","",F32+G32-SUMIFS(L_ASIGFAM,L_PER,B32))</f>
        <v/>
      </c>
      <c r="I32" s="71" t="str">
        <f aca="false">IF(B32="","",SUMIFS(L_IMP,L_PER,B32))</f>
        <v/>
      </c>
      <c r="J32" s="75" t="str">
        <f aca="false">IF(B32="","",DATE(YEAR(B32),MONTH(B32)+1,20))</f>
        <v/>
      </c>
      <c r="K32" s="67"/>
      <c r="L32" s="71" t="str">
        <f aca="false">IF(OR(B32="",NOT(ISNUMBER(K32))),"",K32-H32)</f>
        <v/>
      </c>
      <c r="M32" s="65"/>
      <c r="N32" s="64"/>
      <c r="O32" s="70" t="str">
        <f aca="false">IF(B32="","",IF(ISNUMBER(M32),IF(M32&lt;=C32,"Pagado","Pagado con atraso"),IF(FECHA_CORTE&gt;C32,"VENCIDO","Pendiente – vence en "&amp;(C32-FECHA_CORTE)&amp;" días")))</f>
        <v/>
      </c>
      <c r="P32" s="64"/>
    </row>
    <row r="33" customFormat="false" ht="15" hidden="false" customHeight="false" outlineLevel="0" collapsed="false">
      <c r="B33" s="78"/>
      <c r="C33" s="75" t="str">
        <f aca="false">IF(B33="","",IF(LEFT(MODALIDAD_PAGO,4)="Elec",DATE(YEAR(B33),MONTH(B33)+1,DIA_PAGO_ELEC),WORKDAY(DATE(YEAR(B33),MONTH(B33)+1,DIA_PAGO_MANUAL)-1,1,FERIADOS)))</f>
        <v/>
      </c>
      <c r="D33" s="73" t="str">
        <f aca="false">IF(B33="","",COUNTIFS(L_PER,B33))</f>
        <v/>
      </c>
      <c r="E33" s="71" t="str">
        <f aca="false">IF(B33="","",SUMIFS(L_IMPONIBLE,L_PER,B33))</f>
        <v/>
      </c>
      <c r="F33" s="71" t="str">
        <f aca="false">IF(B33="","",SUMIFS(L_AFP,L_PER,B33)+SUMIFS(L_SALUD,L_PER,B33)+SUMIFS(L_AFCT,L_PER,B33))</f>
        <v/>
      </c>
      <c r="G33" s="71" t="str">
        <f aca="false">IF(B33="","",SUMIFS(L_EMPPREV,L_PER,B33)+SUMIFS(L_AFCE,L_PER,B33)+SUMIFS(L_MUT,L_PER,B33))</f>
        <v/>
      </c>
      <c r="H33" s="71" t="str">
        <f aca="false">IF(B33="","",F33+G33-SUMIFS(L_ASIGFAM,L_PER,B33))</f>
        <v/>
      </c>
      <c r="I33" s="71" t="str">
        <f aca="false">IF(B33="","",SUMIFS(L_IMP,L_PER,B33))</f>
        <v/>
      </c>
      <c r="J33" s="75" t="str">
        <f aca="false">IF(B33="","",DATE(YEAR(B33),MONTH(B33)+1,20))</f>
        <v/>
      </c>
      <c r="K33" s="67"/>
      <c r="L33" s="71" t="str">
        <f aca="false">IF(OR(B33="",NOT(ISNUMBER(K33))),"",K33-H33)</f>
        <v/>
      </c>
      <c r="M33" s="65"/>
      <c r="N33" s="64"/>
      <c r="O33" s="70" t="str">
        <f aca="false">IF(B33="","",IF(ISNUMBER(M33),IF(M33&lt;=C33,"Pagado","Pagado con atraso"),IF(FECHA_CORTE&gt;C33,"VENCIDO","Pendiente – vence en "&amp;(C33-FECHA_CORTE)&amp;" días")))</f>
        <v/>
      </c>
      <c r="P33" s="64"/>
    </row>
    <row r="34" customFormat="false" ht="15" hidden="false" customHeight="false" outlineLevel="0" collapsed="false">
      <c r="B34" s="78"/>
      <c r="C34" s="75" t="str">
        <f aca="false">IF(B34="","",IF(LEFT(MODALIDAD_PAGO,4)="Elec",DATE(YEAR(B34),MONTH(B34)+1,DIA_PAGO_ELEC),WORKDAY(DATE(YEAR(B34),MONTH(B34)+1,DIA_PAGO_MANUAL)-1,1,FERIADOS)))</f>
        <v/>
      </c>
      <c r="D34" s="73" t="str">
        <f aca="false">IF(B34="","",COUNTIFS(L_PER,B34))</f>
        <v/>
      </c>
      <c r="E34" s="71" t="str">
        <f aca="false">IF(B34="","",SUMIFS(L_IMPONIBLE,L_PER,B34))</f>
        <v/>
      </c>
      <c r="F34" s="71" t="str">
        <f aca="false">IF(B34="","",SUMIFS(L_AFP,L_PER,B34)+SUMIFS(L_SALUD,L_PER,B34)+SUMIFS(L_AFCT,L_PER,B34))</f>
        <v/>
      </c>
      <c r="G34" s="71" t="str">
        <f aca="false">IF(B34="","",SUMIFS(L_EMPPREV,L_PER,B34)+SUMIFS(L_AFCE,L_PER,B34)+SUMIFS(L_MUT,L_PER,B34))</f>
        <v/>
      </c>
      <c r="H34" s="71" t="str">
        <f aca="false">IF(B34="","",F34+G34-SUMIFS(L_ASIGFAM,L_PER,B34))</f>
        <v/>
      </c>
      <c r="I34" s="71" t="str">
        <f aca="false">IF(B34="","",SUMIFS(L_IMP,L_PER,B34))</f>
        <v/>
      </c>
      <c r="J34" s="75" t="str">
        <f aca="false">IF(B34="","",DATE(YEAR(B34),MONTH(B34)+1,20))</f>
        <v/>
      </c>
      <c r="K34" s="67"/>
      <c r="L34" s="71" t="str">
        <f aca="false">IF(OR(B34="",NOT(ISNUMBER(K34))),"",K34-H34)</f>
        <v/>
      </c>
      <c r="M34" s="65"/>
      <c r="N34" s="64"/>
      <c r="O34" s="70" t="str">
        <f aca="false">IF(B34="","",IF(ISNUMBER(M34),IF(M34&lt;=C34,"Pagado","Pagado con atraso"),IF(FECHA_CORTE&gt;C34,"VENCIDO","Pendiente – vence en "&amp;(C34-FECHA_CORTE)&amp;" días")))</f>
        <v/>
      </c>
      <c r="P34" s="64"/>
    </row>
    <row r="35" customFormat="false" ht="15" hidden="false" customHeight="false" outlineLevel="0" collapsed="false">
      <c r="B35" s="78"/>
      <c r="C35" s="75" t="str">
        <f aca="false">IF(B35="","",IF(LEFT(MODALIDAD_PAGO,4)="Elec",DATE(YEAR(B35),MONTH(B35)+1,DIA_PAGO_ELEC),WORKDAY(DATE(YEAR(B35),MONTH(B35)+1,DIA_PAGO_MANUAL)-1,1,FERIADOS)))</f>
        <v/>
      </c>
      <c r="D35" s="73" t="str">
        <f aca="false">IF(B35="","",COUNTIFS(L_PER,B35))</f>
        <v/>
      </c>
      <c r="E35" s="71" t="str">
        <f aca="false">IF(B35="","",SUMIFS(L_IMPONIBLE,L_PER,B35))</f>
        <v/>
      </c>
      <c r="F35" s="71" t="str">
        <f aca="false">IF(B35="","",SUMIFS(L_AFP,L_PER,B35)+SUMIFS(L_SALUD,L_PER,B35)+SUMIFS(L_AFCT,L_PER,B35))</f>
        <v/>
      </c>
      <c r="G35" s="71" t="str">
        <f aca="false">IF(B35="","",SUMIFS(L_EMPPREV,L_PER,B35)+SUMIFS(L_AFCE,L_PER,B35)+SUMIFS(L_MUT,L_PER,B35))</f>
        <v/>
      </c>
      <c r="H35" s="71" t="str">
        <f aca="false">IF(B35="","",F35+G35-SUMIFS(L_ASIGFAM,L_PER,B35))</f>
        <v/>
      </c>
      <c r="I35" s="71" t="str">
        <f aca="false">IF(B35="","",SUMIFS(L_IMP,L_PER,B35))</f>
        <v/>
      </c>
      <c r="J35" s="75" t="str">
        <f aca="false">IF(B35="","",DATE(YEAR(B35),MONTH(B35)+1,20))</f>
        <v/>
      </c>
      <c r="K35" s="67"/>
      <c r="L35" s="71" t="str">
        <f aca="false">IF(OR(B35="",NOT(ISNUMBER(K35))),"",K35-H35)</f>
        <v/>
      </c>
      <c r="M35" s="65"/>
      <c r="N35" s="64"/>
      <c r="O35" s="70" t="str">
        <f aca="false">IF(B35="","",IF(ISNUMBER(M35),IF(M35&lt;=C35,"Pagado","Pagado con atraso"),IF(FECHA_CORTE&gt;C35,"VENCIDO","Pendiente – vence en "&amp;(C35-FECHA_CORTE)&amp;" días")))</f>
        <v/>
      </c>
      <c r="P35" s="64"/>
    </row>
    <row r="36" customFormat="false" ht="15" hidden="false" customHeight="false" outlineLevel="0" collapsed="false">
      <c r="B36" s="78"/>
      <c r="C36" s="75" t="str">
        <f aca="false">IF(B36="","",IF(LEFT(MODALIDAD_PAGO,4)="Elec",DATE(YEAR(B36),MONTH(B36)+1,DIA_PAGO_ELEC),WORKDAY(DATE(YEAR(B36),MONTH(B36)+1,DIA_PAGO_MANUAL)-1,1,FERIADOS)))</f>
        <v/>
      </c>
      <c r="D36" s="73" t="str">
        <f aca="false">IF(B36="","",COUNTIFS(L_PER,B36))</f>
        <v/>
      </c>
      <c r="E36" s="71" t="str">
        <f aca="false">IF(B36="","",SUMIFS(L_IMPONIBLE,L_PER,B36))</f>
        <v/>
      </c>
      <c r="F36" s="71" t="str">
        <f aca="false">IF(B36="","",SUMIFS(L_AFP,L_PER,B36)+SUMIFS(L_SALUD,L_PER,B36)+SUMIFS(L_AFCT,L_PER,B36))</f>
        <v/>
      </c>
      <c r="G36" s="71" t="str">
        <f aca="false">IF(B36="","",SUMIFS(L_EMPPREV,L_PER,B36)+SUMIFS(L_AFCE,L_PER,B36)+SUMIFS(L_MUT,L_PER,B36))</f>
        <v/>
      </c>
      <c r="H36" s="71" t="str">
        <f aca="false">IF(B36="","",F36+G36-SUMIFS(L_ASIGFAM,L_PER,B36))</f>
        <v/>
      </c>
      <c r="I36" s="71" t="str">
        <f aca="false">IF(B36="","",SUMIFS(L_IMP,L_PER,B36))</f>
        <v/>
      </c>
      <c r="J36" s="75" t="str">
        <f aca="false">IF(B36="","",DATE(YEAR(B36),MONTH(B36)+1,20))</f>
        <v/>
      </c>
      <c r="K36" s="67"/>
      <c r="L36" s="71" t="str">
        <f aca="false">IF(OR(B36="",NOT(ISNUMBER(K36))),"",K36-H36)</f>
        <v/>
      </c>
      <c r="M36" s="65"/>
      <c r="N36" s="64"/>
      <c r="O36" s="70" t="str">
        <f aca="false">IF(B36="","",IF(ISNUMBER(M36),IF(M36&lt;=C36,"Pagado","Pagado con atraso"),IF(FECHA_CORTE&gt;C36,"VENCIDO","Pendiente – vence en "&amp;(C36-FECHA_CORTE)&amp;" días")))</f>
        <v/>
      </c>
      <c r="P36" s="64"/>
    </row>
    <row r="37" customFormat="false" ht="15" hidden="false" customHeight="false" outlineLevel="0" collapsed="false">
      <c r="B37" s="78"/>
      <c r="C37" s="75" t="str">
        <f aca="false">IF(B37="","",IF(LEFT(MODALIDAD_PAGO,4)="Elec",DATE(YEAR(B37),MONTH(B37)+1,DIA_PAGO_ELEC),WORKDAY(DATE(YEAR(B37),MONTH(B37)+1,DIA_PAGO_MANUAL)-1,1,FERIADOS)))</f>
        <v/>
      </c>
      <c r="D37" s="73" t="str">
        <f aca="false">IF(B37="","",COUNTIFS(L_PER,B37))</f>
        <v/>
      </c>
      <c r="E37" s="71" t="str">
        <f aca="false">IF(B37="","",SUMIFS(L_IMPONIBLE,L_PER,B37))</f>
        <v/>
      </c>
      <c r="F37" s="71" t="str">
        <f aca="false">IF(B37="","",SUMIFS(L_AFP,L_PER,B37)+SUMIFS(L_SALUD,L_PER,B37)+SUMIFS(L_AFCT,L_PER,B37))</f>
        <v/>
      </c>
      <c r="G37" s="71" t="str">
        <f aca="false">IF(B37="","",SUMIFS(L_EMPPREV,L_PER,B37)+SUMIFS(L_AFCE,L_PER,B37)+SUMIFS(L_MUT,L_PER,B37))</f>
        <v/>
      </c>
      <c r="H37" s="71" t="str">
        <f aca="false">IF(B37="","",F37+G37-SUMIFS(L_ASIGFAM,L_PER,B37))</f>
        <v/>
      </c>
      <c r="I37" s="71" t="str">
        <f aca="false">IF(B37="","",SUMIFS(L_IMP,L_PER,B37))</f>
        <v/>
      </c>
      <c r="J37" s="75" t="str">
        <f aca="false">IF(B37="","",DATE(YEAR(B37),MONTH(B37)+1,20))</f>
        <v/>
      </c>
      <c r="K37" s="67"/>
      <c r="L37" s="71" t="str">
        <f aca="false">IF(OR(B37="",NOT(ISNUMBER(K37))),"",K37-H37)</f>
        <v/>
      </c>
      <c r="M37" s="65"/>
      <c r="N37" s="64"/>
      <c r="O37" s="70" t="str">
        <f aca="false">IF(B37="","",IF(ISNUMBER(M37),IF(M37&lt;=C37,"Pagado","Pagado con atraso"),IF(FECHA_CORTE&gt;C37,"VENCIDO","Pendiente – vence en "&amp;(C37-FECHA_CORTE)&amp;" días")))</f>
        <v/>
      </c>
      <c r="P37" s="64"/>
    </row>
    <row r="38" customFormat="false" ht="15" hidden="false" customHeight="false" outlineLevel="0" collapsed="false">
      <c r="B38" s="78"/>
      <c r="C38" s="75" t="str">
        <f aca="false">IF(B38="","",IF(LEFT(MODALIDAD_PAGO,4)="Elec",DATE(YEAR(B38),MONTH(B38)+1,DIA_PAGO_ELEC),WORKDAY(DATE(YEAR(B38),MONTH(B38)+1,DIA_PAGO_MANUAL)-1,1,FERIADOS)))</f>
        <v/>
      </c>
      <c r="D38" s="73" t="str">
        <f aca="false">IF(B38="","",COUNTIFS(L_PER,B38))</f>
        <v/>
      </c>
      <c r="E38" s="71" t="str">
        <f aca="false">IF(B38="","",SUMIFS(L_IMPONIBLE,L_PER,B38))</f>
        <v/>
      </c>
      <c r="F38" s="71" t="str">
        <f aca="false">IF(B38="","",SUMIFS(L_AFP,L_PER,B38)+SUMIFS(L_SALUD,L_PER,B38)+SUMIFS(L_AFCT,L_PER,B38))</f>
        <v/>
      </c>
      <c r="G38" s="71" t="str">
        <f aca="false">IF(B38="","",SUMIFS(L_EMPPREV,L_PER,B38)+SUMIFS(L_AFCE,L_PER,B38)+SUMIFS(L_MUT,L_PER,B38))</f>
        <v/>
      </c>
      <c r="H38" s="71" t="str">
        <f aca="false">IF(B38="","",F38+G38-SUMIFS(L_ASIGFAM,L_PER,B38))</f>
        <v/>
      </c>
      <c r="I38" s="71" t="str">
        <f aca="false">IF(B38="","",SUMIFS(L_IMP,L_PER,B38))</f>
        <v/>
      </c>
      <c r="J38" s="75" t="str">
        <f aca="false">IF(B38="","",DATE(YEAR(B38),MONTH(B38)+1,20))</f>
        <v/>
      </c>
      <c r="K38" s="67"/>
      <c r="L38" s="71" t="str">
        <f aca="false">IF(OR(B38="",NOT(ISNUMBER(K38))),"",K38-H38)</f>
        <v/>
      </c>
      <c r="M38" s="65"/>
      <c r="N38" s="64"/>
      <c r="O38" s="70" t="str">
        <f aca="false">IF(B38="","",IF(ISNUMBER(M38),IF(M38&lt;=C38,"Pagado","Pagado con atraso"),IF(FECHA_CORTE&gt;C38,"VENCIDO","Pendiente – vence en "&amp;(C38-FECHA_CORTE)&amp;" días")))</f>
        <v/>
      </c>
      <c r="P38" s="64"/>
    </row>
    <row r="39" customFormat="false" ht="15" hidden="false" customHeight="false" outlineLevel="0" collapsed="false">
      <c r="B39" s="78"/>
      <c r="C39" s="75" t="str">
        <f aca="false">IF(B39="","",IF(LEFT(MODALIDAD_PAGO,4)="Elec",DATE(YEAR(B39),MONTH(B39)+1,DIA_PAGO_ELEC),WORKDAY(DATE(YEAR(B39),MONTH(B39)+1,DIA_PAGO_MANUAL)-1,1,FERIADOS)))</f>
        <v/>
      </c>
      <c r="D39" s="73" t="str">
        <f aca="false">IF(B39="","",COUNTIFS(L_PER,B39))</f>
        <v/>
      </c>
      <c r="E39" s="71" t="str">
        <f aca="false">IF(B39="","",SUMIFS(L_IMPONIBLE,L_PER,B39))</f>
        <v/>
      </c>
      <c r="F39" s="71" t="str">
        <f aca="false">IF(B39="","",SUMIFS(L_AFP,L_PER,B39)+SUMIFS(L_SALUD,L_PER,B39)+SUMIFS(L_AFCT,L_PER,B39))</f>
        <v/>
      </c>
      <c r="G39" s="71" t="str">
        <f aca="false">IF(B39="","",SUMIFS(L_EMPPREV,L_PER,B39)+SUMIFS(L_AFCE,L_PER,B39)+SUMIFS(L_MUT,L_PER,B39))</f>
        <v/>
      </c>
      <c r="H39" s="71" t="str">
        <f aca="false">IF(B39="","",F39+G39-SUMIFS(L_ASIGFAM,L_PER,B39))</f>
        <v/>
      </c>
      <c r="I39" s="71" t="str">
        <f aca="false">IF(B39="","",SUMIFS(L_IMP,L_PER,B39))</f>
        <v/>
      </c>
      <c r="J39" s="75" t="str">
        <f aca="false">IF(B39="","",DATE(YEAR(B39),MONTH(B39)+1,20))</f>
        <v/>
      </c>
      <c r="K39" s="67"/>
      <c r="L39" s="71" t="str">
        <f aca="false">IF(OR(B39="",NOT(ISNUMBER(K39))),"",K39-H39)</f>
        <v/>
      </c>
      <c r="M39" s="65"/>
      <c r="N39" s="64"/>
      <c r="O39" s="70" t="str">
        <f aca="false">IF(B39="","",IF(ISNUMBER(M39),IF(M39&lt;=C39,"Pagado","Pagado con atraso"),IF(FECHA_CORTE&gt;C39,"VENCIDO","Pendiente – vence en "&amp;(C39-FECHA_CORTE)&amp;" días")))</f>
        <v/>
      </c>
      <c r="P39" s="64"/>
    </row>
    <row r="40" customFormat="false" ht="15" hidden="false" customHeight="false" outlineLevel="0" collapsed="false">
      <c r="B40" s="78"/>
      <c r="C40" s="75" t="str">
        <f aca="false">IF(B40="","",IF(LEFT(MODALIDAD_PAGO,4)="Elec",DATE(YEAR(B40),MONTH(B40)+1,DIA_PAGO_ELEC),WORKDAY(DATE(YEAR(B40),MONTH(B40)+1,DIA_PAGO_MANUAL)-1,1,FERIADOS)))</f>
        <v/>
      </c>
      <c r="D40" s="73" t="str">
        <f aca="false">IF(B40="","",COUNTIFS(L_PER,B40))</f>
        <v/>
      </c>
      <c r="E40" s="71" t="str">
        <f aca="false">IF(B40="","",SUMIFS(L_IMPONIBLE,L_PER,B40))</f>
        <v/>
      </c>
      <c r="F40" s="71" t="str">
        <f aca="false">IF(B40="","",SUMIFS(L_AFP,L_PER,B40)+SUMIFS(L_SALUD,L_PER,B40)+SUMIFS(L_AFCT,L_PER,B40))</f>
        <v/>
      </c>
      <c r="G40" s="71" t="str">
        <f aca="false">IF(B40="","",SUMIFS(L_EMPPREV,L_PER,B40)+SUMIFS(L_AFCE,L_PER,B40)+SUMIFS(L_MUT,L_PER,B40))</f>
        <v/>
      </c>
      <c r="H40" s="71" t="str">
        <f aca="false">IF(B40="","",F40+G40-SUMIFS(L_ASIGFAM,L_PER,B40))</f>
        <v/>
      </c>
      <c r="I40" s="71" t="str">
        <f aca="false">IF(B40="","",SUMIFS(L_IMP,L_PER,B40))</f>
        <v/>
      </c>
      <c r="J40" s="75" t="str">
        <f aca="false">IF(B40="","",DATE(YEAR(B40),MONTH(B40)+1,20))</f>
        <v/>
      </c>
      <c r="K40" s="67"/>
      <c r="L40" s="71" t="str">
        <f aca="false">IF(OR(B40="",NOT(ISNUMBER(K40))),"",K40-H40)</f>
        <v/>
      </c>
      <c r="M40" s="65"/>
      <c r="N40" s="64"/>
      <c r="O40" s="70" t="str">
        <f aca="false">IF(B40="","",IF(ISNUMBER(M40),IF(M40&lt;=C40,"Pagado","Pagado con atraso"),IF(FECHA_CORTE&gt;C40,"VENCIDO","Pendiente – vence en "&amp;(C40-FECHA_CORTE)&amp;" días")))</f>
        <v/>
      </c>
      <c r="P40" s="64"/>
    </row>
    <row r="41" customFormat="false" ht="15" hidden="false" customHeight="false" outlineLevel="0" collapsed="false">
      <c r="B41" s="78"/>
      <c r="C41" s="75" t="str">
        <f aca="false">IF(B41="","",IF(LEFT(MODALIDAD_PAGO,4)="Elec",DATE(YEAR(B41),MONTH(B41)+1,DIA_PAGO_ELEC),WORKDAY(DATE(YEAR(B41),MONTH(B41)+1,DIA_PAGO_MANUAL)-1,1,FERIADOS)))</f>
        <v/>
      </c>
      <c r="D41" s="73" t="str">
        <f aca="false">IF(B41="","",COUNTIFS(L_PER,B41))</f>
        <v/>
      </c>
      <c r="E41" s="71" t="str">
        <f aca="false">IF(B41="","",SUMIFS(L_IMPONIBLE,L_PER,B41))</f>
        <v/>
      </c>
      <c r="F41" s="71" t="str">
        <f aca="false">IF(B41="","",SUMIFS(L_AFP,L_PER,B41)+SUMIFS(L_SALUD,L_PER,B41)+SUMIFS(L_AFCT,L_PER,B41))</f>
        <v/>
      </c>
      <c r="G41" s="71" t="str">
        <f aca="false">IF(B41="","",SUMIFS(L_EMPPREV,L_PER,B41)+SUMIFS(L_AFCE,L_PER,B41)+SUMIFS(L_MUT,L_PER,B41))</f>
        <v/>
      </c>
      <c r="H41" s="71" t="str">
        <f aca="false">IF(B41="","",F41+G41-SUMIFS(L_ASIGFAM,L_PER,B41))</f>
        <v/>
      </c>
      <c r="I41" s="71" t="str">
        <f aca="false">IF(B41="","",SUMIFS(L_IMP,L_PER,B41))</f>
        <v/>
      </c>
      <c r="J41" s="75" t="str">
        <f aca="false">IF(B41="","",DATE(YEAR(B41),MONTH(B41)+1,20))</f>
        <v/>
      </c>
      <c r="K41" s="67"/>
      <c r="L41" s="71" t="str">
        <f aca="false">IF(OR(B41="",NOT(ISNUMBER(K41))),"",K41-H41)</f>
        <v/>
      </c>
      <c r="M41" s="65"/>
      <c r="N41" s="64"/>
      <c r="O41" s="70" t="str">
        <f aca="false">IF(B41="","",IF(ISNUMBER(M41),IF(M41&lt;=C41,"Pagado","Pagado con atraso"),IF(FECHA_CORTE&gt;C41,"VENCIDO","Pendiente – vence en "&amp;(C41-FECHA_CORTE)&amp;" días")))</f>
        <v/>
      </c>
      <c r="P41" s="64"/>
    </row>
    <row r="42" customFormat="false" ht="15" hidden="false" customHeight="false" outlineLevel="0" collapsed="false">
      <c r="B42" s="78"/>
      <c r="C42" s="75" t="str">
        <f aca="false">IF(B42="","",IF(LEFT(MODALIDAD_PAGO,4)="Elec",DATE(YEAR(B42),MONTH(B42)+1,DIA_PAGO_ELEC),WORKDAY(DATE(YEAR(B42),MONTH(B42)+1,DIA_PAGO_MANUAL)-1,1,FERIADOS)))</f>
        <v/>
      </c>
      <c r="D42" s="73" t="str">
        <f aca="false">IF(B42="","",COUNTIFS(L_PER,B42))</f>
        <v/>
      </c>
      <c r="E42" s="71" t="str">
        <f aca="false">IF(B42="","",SUMIFS(L_IMPONIBLE,L_PER,B42))</f>
        <v/>
      </c>
      <c r="F42" s="71" t="str">
        <f aca="false">IF(B42="","",SUMIFS(L_AFP,L_PER,B42)+SUMIFS(L_SALUD,L_PER,B42)+SUMIFS(L_AFCT,L_PER,B42))</f>
        <v/>
      </c>
      <c r="G42" s="71" t="str">
        <f aca="false">IF(B42="","",SUMIFS(L_EMPPREV,L_PER,B42)+SUMIFS(L_AFCE,L_PER,B42)+SUMIFS(L_MUT,L_PER,B42))</f>
        <v/>
      </c>
      <c r="H42" s="71" t="str">
        <f aca="false">IF(B42="","",F42+G42-SUMIFS(L_ASIGFAM,L_PER,B42))</f>
        <v/>
      </c>
      <c r="I42" s="71" t="str">
        <f aca="false">IF(B42="","",SUMIFS(L_IMP,L_PER,B42))</f>
        <v/>
      </c>
      <c r="J42" s="75" t="str">
        <f aca="false">IF(B42="","",DATE(YEAR(B42),MONTH(B42)+1,20))</f>
        <v/>
      </c>
      <c r="K42" s="67"/>
      <c r="L42" s="71" t="str">
        <f aca="false">IF(OR(B42="",NOT(ISNUMBER(K42))),"",K42-H42)</f>
        <v/>
      </c>
      <c r="M42" s="65"/>
      <c r="N42" s="64"/>
      <c r="O42" s="70" t="str">
        <f aca="false">IF(B42="","",IF(ISNUMBER(M42),IF(M42&lt;=C42,"Pagado","Pagado con atraso"),IF(FECHA_CORTE&gt;C42,"VENCIDO","Pendiente – vence en "&amp;(C42-FECHA_CORTE)&amp;" días")))</f>
        <v/>
      </c>
      <c r="P42" s="64"/>
    </row>
    <row r="43" customFormat="false" ht="15" hidden="false" customHeight="false" outlineLevel="0" collapsed="false">
      <c r="B43" s="78"/>
      <c r="C43" s="75" t="str">
        <f aca="false">IF(B43="","",IF(LEFT(MODALIDAD_PAGO,4)="Elec",DATE(YEAR(B43),MONTH(B43)+1,DIA_PAGO_ELEC),WORKDAY(DATE(YEAR(B43),MONTH(B43)+1,DIA_PAGO_MANUAL)-1,1,FERIADOS)))</f>
        <v/>
      </c>
      <c r="D43" s="73" t="str">
        <f aca="false">IF(B43="","",COUNTIFS(L_PER,B43))</f>
        <v/>
      </c>
      <c r="E43" s="71" t="str">
        <f aca="false">IF(B43="","",SUMIFS(L_IMPONIBLE,L_PER,B43))</f>
        <v/>
      </c>
      <c r="F43" s="71" t="str">
        <f aca="false">IF(B43="","",SUMIFS(L_AFP,L_PER,B43)+SUMIFS(L_SALUD,L_PER,B43)+SUMIFS(L_AFCT,L_PER,B43))</f>
        <v/>
      </c>
      <c r="G43" s="71" t="str">
        <f aca="false">IF(B43="","",SUMIFS(L_EMPPREV,L_PER,B43)+SUMIFS(L_AFCE,L_PER,B43)+SUMIFS(L_MUT,L_PER,B43))</f>
        <v/>
      </c>
      <c r="H43" s="71" t="str">
        <f aca="false">IF(B43="","",F43+G43-SUMIFS(L_ASIGFAM,L_PER,B43))</f>
        <v/>
      </c>
      <c r="I43" s="71" t="str">
        <f aca="false">IF(B43="","",SUMIFS(L_IMP,L_PER,B43))</f>
        <v/>
      </c>
      <c r="J43" s="75" t="str">
        <f aca="false">IF(B43="","",DATE(YEAR(B43),MONTH(B43)+1,20))</f>
        <v/>
      </c>
      <c r="K43" s="67"/>
      <c r="L43" s="71" t="str">
        <f aca="false">IF(OR(B43="",NOT(ISNUMBER(K43))),"",K43-H43)</f>
        <v/>
      </c>
      <c r="M43" s="65"/>
      <c r="N43" s="64"/>
      <c r="O43" s="70" t="str">
        <f aca="false">IF(B43="","",IF(ISNUMBER(M43),IF(M43&lt;=C43,"Pagado","Pagado con atraso"),IF(FECHA_CORTE&gt;C43,"VENCIDO","Pendiente – vence en "&amp;(C43-FECHA_CORTE)&amp;" días")))</f>
        <v/>
      </c>
      <c r="P43" s="64"/>
    </row>
    <row r="44" customFormat="false" ht="15" hidden="false" customHeight="false" outlineLevel="0" collapsed="false">
      <c r="B44" s="78"/>
      <c r="C44" s="75" t="str">
        <f aca="false">IF(B44="","",IF(LEFT(MODALIDAD_PAGO,4)="Elec",DATE(YEAR(B44),MONTH(B44)+1,DIA_PAGO_ELEC),WORKDAY(DATE(YEAR(B44),MONTH(B44)+1,DIA_PAGO_MANUAL)-1,1,FERIADOS)))</f>
        <v/>
      </c>
      <c r="D44" s="73" t="str">
        <f aca="false">IF(B44="","",COUNTIFS(L_PER,B44))</f>
        <v/>
      </c>
      <c r="E44" s="71" t="str">
        <f aca="false">IF(B44="","",SUMIFS(L_IMPONIBLE,L_PER,B44))</f>
        <v/>
      </c>
      <c r="F44" s="71" t="str">
        <f aca="false">IF(B44="","",SUMIFS(L_AFP,L_PER,B44)+SUMIFS(L_SALUD,L_PER,B44)+SUMIFS(L_AFCT,L_PER,B44))</f>
        <v/>
      </c>
      <c r="G44" s="71" t="str">
        <f aca="false">IF(B44="","",SUMIFS(L_EMPPREV,L_PER,B44)+SUMIFS(L_AFCE,L_PER,B44)+SUMIFS(L_MUT,L_PER,B44))</f>
        <v/>
      </c>
      <c r="H44" s="71" t="str">
        <f aca="false">IF(B44="","",F44+G44-SUMIFS(L_ASIGFAM,L_PER,B44))</f>
        <v/>
      </c>
      <c r="I44" s="71" t="str">
        <f aca="false">IF(B44="","",SUMIFS(L_IMP,L_PER,B44))</f>
        <v/>
      </c>
      <c r="J44" s="75" t="str">
        <f aca="false">IF(B44="","",DATE(YEAR(B44),MONTH(B44)+1,20))</f>
        <v/>
      </c>
      <c r="K44" s="67"/>
      <c r="L44" s="71" t="str">
        <f aca="false">IF(OR(B44="",NOT(ISNUMBER(K44))),"",K44-H44)</f>
        <v/>
      </c>
      <c r="M44" s="65"/>
      <c r="N44" s="64"/>
      <c r="O44" s="70" t="str">
        <f aca="false">IF(B44="","",IF(ISNUMBER(M44),IF(M44&lt;=C44,"Pagado","Pagado con atraso"),IF(FECHA_CORTE&gt;C44,"VENCIDO","Pendiente – vence en "&amp;(C44-FECHA_CORTE)&amp;" días")))</f>
        <v/>
      </c>
      <c r="P44" s="64"/>
    </row>
    <row r="45" customFormat="false" ht="15" hidden="false" customHeight="false" outlineLevel="0" collapsed="false">
      <c r="B45" s="78"/>
      <c r="C45" s="75" t="str">
        <f aca="false">IF(B45="","",IF(LEFT(MODALIDAD_PAGO,4)="Elec",DATE(YEAR(B45),MONTH(B45)+1,DIA_PAGO_ELEC),WORKDAY(DATE(YEAR(B45),MONTH(B45)+1,DIA_PAGO_MANUAL)-1,1,FERIADOS)))</f>
        <v/>
      </c>
      <c r="D45" s="73" t="str">
        <f aca="false">IF(B45="","",COUNTIFS(L_PER,B45))</f>
        <v/>
      </c>
      <c r="E45" s="71" t="str">
        <f aca="false">IF(B45="","",SUMIFS(L_IMPONIBLE,L_PER,B45))</f>
        <v/>
      </c>
      <c r="F45" s="71" t="str">
        <f aca="false">IF(B45="","",SUMIFS(L_AFP,L_PER,B45)+SUMIFS(L_SALUD,L_PER,B45)+SUMIFS(L_AFCT,L_PER,B45))</f>
        <v/>
      </c>
      <c r="G45" s="71" t="str">
        <f aca="false">IF(B45="","",SUMIFS(L_EMPPREV,L_PER,B45)+SUMIFS(L_AFCE,L_PER,B45)+SUMIFS(L_MUT,L_PER,B45))</f>
        <v/>
      </c>
      <c r="H45" s="71" t="str">
        <f aca="false">IF(B45="","",F45+G45-SUMIFS(L_ASIGFAM,L_PER,B45))</f>
        <v/>
      </c>
      <c r="I45" s="71" t="str">
        <f aca="false">IF(B45="","",SUMIFS(L_IMP,L_PER,B45))</f>
        <v/>
      </c>
      <c r="J45" s="75" t="str">
        <f aca="false">IF(B45="","",DATE(YEAR(B45),MONTH(B45)+1,20))</f>
        <v/>
      </c>
      <c r="K45" s="67"/>
      <c r="L45" s="71" t="str">
        <f aca="false">IF(OR(B45="",NOT(ISNUMBER(K45))),"",K45-H45)</f>
        <v/>
      </c>
      <c r="M45" s="65"/>
      <c r="N45" s="64"/>
      <c r="O45" s="70" t="str">
        <f aca="false">IF(B45="","",IF(ISNUMBER(M45),IF(M45&lt;=C45,"Pagado","Pagado con atraso"),IF(FECHA_CORTE&gt;C45,"VENCIDO","Pendiente – vence en "&amp;(C45-FECHA_CORTE)&amp;" días")))</f>
        <v/>
      </c>
      <c r="P45" s="64"/>
    </row>
    <row r="46" customFormat="false" ht="15" hidden="false" customHeight="false" outlineLevel="0" collapsed="false">
      <c r="B46" s="78"/>
      <c r="C46" s="75" t="str">
        <f aca="false">IF(B46="","",IF(LEFT(MODALIDAD_PAGO,4)="Elec",DATE(YEAR(B46),MONTH(B46)+1,DIA_PAGO_ELEC),WORKDAY(DATE(YEAR(B46),MONTH(B46)+1,DIA_PAGO_MANUAL)-1,1,FERIADOS)))</f>
        <v/>
      </c>
      <c r="D46" s="73" t="str">
        <f aca="false">IF(B46="","",COUNTIFS(L_PER,B46))</f>
        <v/>
      </c>
      <c r="E46" s="71" t="str">
        <f aca="false">IF(B46="","",SUMIFS(L_IMPONIBLE,L_PER,B46))</f>
        <v/>
      </c>
      <c r="F46" s="71" t="str">
        <f aca="false">IF(B46="","",SUMIFS(L_AFP,L_PER,B46)+SUMIFS(L_SALUD,L_PER,B46)+SUMIFS(L_AFCT,L_PER,B46))</f>
        <v/>
      </c>
      <c r="G46" s="71" t="str">
        <f aca="false">IF(B46="","",SUMIFS(L_EMPPREV,L_PER,B46)+SUMIFS(L_AFCE,L_PER,B46)+SUMIFS(L_MUT,L_PER,B46))</f>
        <v/>
      </c>
      <c r="H46" s="71" t="str">
        <f aca="false">IF(B46="","",F46+G46-SUMIFS(L_ASIGFAM,L_PER,B46))</f>
        <v/>
      </c>
      <c r="I46" s="71" t="str">
        <f aca="false">IF(B46="","",SUMIFS(L_IMP,L_PER,B46))</f>
        <v/>
      </c>
      <c r="J46" s="75" t="str">
        <f aca="false">IF(B46="","",DATE(YEAR(B46),MONTH(B46)+1,20))</f>
        <v/>
      </c>
      <c r="K46" s="67"/>
      <c r="L46" s="71" t="str">
        <f aca="false">IF(OR(B46="",NOT(ISNUMBER(K46))),"",K46-H46)</f>
        <v/>
      </c>
      <c r="M46" s="65"/>
      <c r="N46" s="64"/>
      <c r="O46" s="70" t="str">
        <f aca="false">IF(B46="","",IF(ISNUMBER(M46),IF(M46&lt;=C46,"Pagado","Pagado con atraso"),IF(FECHA_CORTE&gt;C46,"VENCIDO","Pendiente – vence en "&amp;(C46-FECHA_CORTE)&amp;" días")))</f>
        <v/>
      </c>
      <c r="P46" s="64"/>
    </row>
    <row r="47" customFormat="false" ht="15" hidden="false" customHeight="false" outlineLevel="0" collapsed="false">
      <c r="B47" s="78"/>
      <c r="C47" s="75" t="str">
        <f aca="false">IF(B47="","",IF(LEFT(MODALIDAD_PAGO,4)="Elec",DATE(YEAR(B47),MONTH(B47)+1,DIA_PAGO_ELEC),WORKDAY(DATE(YEAR(B47),MONTH(B47)+1,DIA_PAGO_MANUAL)-1,1,FERIADOS)))</f>
        <v/>
      </c>
      <c r="D47" s="73" t="str">
        <f aca="false">IF(B47="","",COUNTIFS(L_PER,B47))</f>
        <v/>
      </c>
      <c r="E47" s="71" t="str">
        <f aca="false">IF(B47="","",SUMIFS(L_IMPONIBLE,L_PER,B47))</f>
        <v/>
      </c>
      <c r="F47" s="71" t="str">
        <f aca="false">IF(B47="","",SUMIFS(L_AFP,L_PER,B47)+SUMIFS(L_SALUD,L_PER,B47)+SUMIFS(L_AFCT,L_PER,B47))</f>
        <v/>
      </c>
      <c r="G47" s="71" t="str">
        <f aca="false">IF(B47="","",SUMIFS(L_EMPPREV,L_PER,B47)+SUMIFS(L_AFCE,L_PER,B47)+SUMIFS(L_MUT,L_PER,B47))</f>
        <v/>
      </c>
      <c r="H47" s="71" t="str">
        <f aca="false">IF(B47="","",F47+G47-SUMIFS(L_ASIGFAM,L_PER,B47))</f>
        <v/>
      </c>
      <c r="I47" s="71" t="str">
        <f aca="false">IF(B47="","",SUMIFS(L_IMP,L_PER,B47))</f>
        <v/>
      </c>
      <c r="J47" s="75" t="str">
        <f aca="false">IF(B47="","",DATE(YEAR(B47),MONTH(B47)+1,20))</f>
        <v/>
      </c>
      <c r="K47" s="67"/>
      <c r="L47" s="71" t="str">
        <f aca="false">IF(OR(B47="",NOT(ISNUMBER(K47))),"",K47-H47)</f>
        <v/>
      </c>
      <c r="M47" s="65"/>
      <c r="N47" s="64"/>
      <c r="O47" s="70" t="str">
        <f aca="false">IF(B47="","",IF(ISNUMBER(M47),IF(M47&lt;=C47,"Pagado","Pagado con atraso"),IF(FECHA_CORTE&gt;C47,"VENCIDO","Pendiente – vence en "&amp;(C47-FECHA_CORTE)&amp;" días")))</f>
        <v/>
      </c>
      <c r="P47" s="64"/>
    </row>
    <row r="48" customFormat="false" ht="15" hidden="false" customHeight="false" outlineLevel="0" collapsed="false">
      <c r="B48" s="78"/>
      <c r="C48" s="75" t="str">
        <f aca="false">IF(B48="","",IF(LEFT(MODALIDAD_PAGO,4)="Elec",DATE(YEAR(B48),MONTH(B48)+1,DIA_PAGO_ELEC),WORKDAY(DATE(YEAR(B48),MONTH(B48)+1,DIA_PAGO_MANUAL)-1,1,FERIADOS)))</f>
        <v/>
      </c>
      <c r="D48" s="73" t="str">
        <f aca="false">IF(B48="","",COUNTIFS(L_PER,B48))</f>
        <v/>
      </c>
      <c r="E48" s="71" t="str">
        <f aca="false">IF(B48="","",SUMIFS(L_IMPONIBLE,L_PER,B48))</f>
        <v/>
      </c>
      <c r="F48" s="71" t="str">
        <f aca="false">IF(B48="","",SUMIFS(L_AFP,L_PER,B48)+SUMIFS(L_SALUD,L_PER,B48)+SUMIFS(L_AFCT,L_PER,B48))</f>
        <v/>
      </c>
      <c r="G48" s="71" t="str">
        <f aca="false">IF(B48="","",SUMIFS(L_EMPPREV,L_PER,B48)+SUMIFS(L_AFCE,L_PER,B48)+SUMIFS(L_MUT,L_PER,B48))</f>
        <v/>
      </c>
      <c r="H48" s="71" t="str">
        <f aca="false">IF(B48="","",F48+G48-SUMIFS(L_ASIGFAM,L_PER,B48))</f>
        <v/>
      </c>
      <c r="I48" s="71" t="str">
        <f aca="false">IF(B48="","",SUMIFS(L_IMP,L_PER,B48))</f>
        <v/>
      </c>
      <c r="J48" s="75" t="str">
        <f aca="false">IF(B48="","",DATE(YEAR(B48),MONTH(B48)+1,20))</f>
        <v/>
      </c>
      <c r="K48" s="67"/>
      <c r="L48" s="71" t="str">
        <f aca="false">IF(OR(B48="",NOT(ISNUMBER(K48))),"",K48-H48)</f>
        <v/>
      </c>
      <c r="M48" s="65"/>
      <c r="N48" s="64"/>
      <c r="O48" s="70" t="str">
        <f aca="false">IF(B48="","",IF(ISNUMBER(M48),IF(M48&lt;=C48,"Pagado","Pagado con atraso"),IF(FECHA_CORTE&gt;C48,"VENCIDO","Pendiente – vence en "&amp;(C48-FECHA_CORTE)&amp;" días")))</f>
        <v/>
      </c>
      <c r="P48" s="64"/>
    </row>
    <row r="49" customFormat="false" ht="15" hidden="false" customHeight="false" outlineLevel="0" collapsed="false">
      <c r="B49" s="78"/>
      <c r="C49" s="75" t="str">
        <f aca="false">IF(B49="","",IF(LEFT(MODALIDAD_PAGO,4)="Elec",DATE(YEAR(B49),MONTH(B49)+1,DIA_PAGO_ELEC),WORKDAY(DATE(YEAR(B49),MONTH(B49)+1,DIA_PAGO_MANUAL)-1,1,FERIADOS)))</f>
        <v/>
      </c>
      <c r="D49" s="73" t="str">
        <f aca="false">IF(B49="","",COUNTIFS(L_PER,B49))</f>
        <v/>
      </c>
      <c r="E49" s="71" t="str">
        <f aca="false">IF(B49="","",SUMIFS(L_IMPONIBLE,L_PER,B49))</f>
        <v/>
      </c>
      <c r="F49" s="71" t="str">
        <f aca="false">IF(B49="","",SUMIFS(L_AFP,L_PER,B49)+SUMIFS(L_SALUD,L_PER,B49)+SUMIFS(L_AFCT,L_PER,B49))</f>
        <v/>
      </c>
      <c r="G49" s="71" t="str">
        <f aca="false">IF(B49="","",SUMIFS(L_EMPPREV,L_PER,B49)+SUMIFS(L_AFCE,L_PER,B49)+SUMIFS(L_MUT,L_PER,B49))</f>
        <v/>
      </c>
      <c r="H49" s="71" t="str">
        <f aca="false">IF(B49="","",F49+G49-SUMIFS(L_ASIGFAM,L_PER,B49))</f>
        <v/>
      </c>
      <c r="I49" s="71" t="str">
        <f aca="false">IF(B49="","",SUMIFS(L_IMP,L_PER,B49))</f>
        <v/>
      </c>
      <c r="J49" s="75" t="str">
        <f aca="false">IF(B49="","",DATE(YEAR(B49),MONTH(B49)+1,20))</f>
        <v/>
      </c>
      <c r="K49" s="67"/>
      <c r="L49" s="71" t="str">
        <f aca="false">IF(OR(B49="",NOT(ISNUMBER(K49))),"",K49-H49)</f>
        <v/>
      </c>
      <c r="M49" s="65"/>
      <c r="N49" s="64"/>
      <c r="O49" s="70" t="str">
        <f aca="false">IF(B49="","",IF(ISNUMBER(M49),IF(M49&lt;=C49,"Pagado","Pagado con atraso"),IF(FECHA_CORTE&gt;C49,"VENCIDO","Pendiente – vence en "&amp;(C49-FECHA_CORTE)&amp;" días")))</f>
        <v/>
      </c>
      <c r="P49" s="64"/>
    </row>
    <row r="50" customFormat="false" ht="15" hidden="false" customHeight="false" outlineLevel="0" collapsed="false">
      <c r="B50" s="78"/>
      <c r="C50" s="75" t="str">
        <f aca="false">IF(B50="","",IF(LEFT(MODALIDAD_PAGO,4)="Elec",DATE(YEAR(B50),MONTH(B50)+1,DIA_PAGO_ELEC),WORKDAY(DATE(YEAR(B50),MONTH(B50)+1,DIA_PAGO_MANUAL)-1,1,FERIADOS)))</f>
        <v/>
      </c>
      <c r="D50" s="73" t="str">
        <f aca="false">IF(B50="","",COUNTIFS(L_PER,B50))</f>
        <v/>
      </c>
      <c r="E50" s="71" t="str">
        <f aca="false">IF(B50="","",SUMIFS(L_IMPONIBLE,L_PER,B50))</f>
        <v/>
      </c>
      <c r="F50" s="71" t="str">
        <f aca="false">IF(B50="","",SUMIFS(L_AFP,L_PER,B50)+SUMIFS(L_SALUD,L_PER,B50)+SUMIFS(L_AFCT,L_PER,B50))</f>
        <v/>
      </c>
      <c r="G50" s="71" t="str">
        <f aca="false">IF(B50="","",SUMIFS(L_EMPPREV,L_PER,B50)+SUMIFS(L_AFCE,L_PER,B50)+SUMIFS(L_MUT,L_PER,B50))</f>
        <v/>
      </c>
      <c r="H50" s="71" t="str">
        <f aca="false">IF(B50="","",F50+G50-SUMIFS(L_ASIGFAM,L_PER,B50))</f>
        <v/>
      </c>
      <c r="I50" s="71" t="str">
        <f aca="false">IF(B50="","",SUMIFS(L_IMP,L_PER,B50))</f>
        <v/>
      </c>
      <c r="J50" s="75" t="str">
        <f aca="false">IF(B50="","",DATE(YEAR(B50),MONTH(B50)+1,20))</f>
        <v/>
      </c>
      <c r="K50" s="67"/>
      <c r="L50" s="71" t="str">
        <f aca="false">IF(OR(B50="",NOT(ISNUMBER(K50))),"",K50-H50)</f>
        <v/>
      </c>
      <c r="M50" s="65"/>
      <c r="N50" s="64"/>
      <c r="O50" s="70" t="str">
        <f aca="false">IF(B50="","",IF(ISNUMBER(M50),IF(M50&lt;=C50,"Pagado","Pagado con atraso"),IF(FECHA_CORTE&gt;C50,"VENCIDO","Pendiente – vence en "&amp;(C50-FECHA_CORTE)&amp;" días")))</f>
        <v/>
      </c>
      <c r="P50" s="64"/>
    </row>
    <row r="51" customFormat="false" ht="15" hidden="false" customHeight="false" outlineLevel="0" collapsed="false">
      <c r="B51" s="78"/>
      <c r="C51" s="75" t="str">
        <f aca="false">IF(B51="","",IF(LEFT(MODALIDAD_PAGO,4)="Elec",DATE(YEAR(B51),MONTH(B51)+1,DIA_PAGO_ELEC),WORKDAY(DATE(YEAR(B51),MONTH(B51)+1,DIA_PAGO_MANUAL)-1,1,FERIADOS)))</f>
        <v/>
      </c>
      <c r="D51" s="73" t="str">
        <f aca="false">IF(B51="","",COUNTIFS(L_PER,B51))</f>
        <v/>
      </c>
      <c r="E51" s="71" t="str">
        <f aca="false">IF(B51="","",SUMIFS(L_IMPONIBLE,L_PER,B51))</f>
        <v/>
      </c>
      <c r="F51" s="71" t="str">
        <f aca="false">IF(B51="","",SUMIFS(L_AFP,L_PER,B51)+SUMIFS(L_SALUD,L_PER,B51)+SUMIFS(L_AFCT,L_PER,B51))</f>
        <v/>
      </c>
      <c r="G51" s="71" t="str">
        <f aca="false">IF(B51="","",SUMIFS(L_EMPPREV,L_PER,B51)+SUMIFS(L_AFCE,L_PER,B51)+SUMIFS(L_MUT,L_PER,B51))</f>
        <v/>
      </c>
      <c r="H51" s="71" t="str">
        <f aca="false">IF(B51="","",F51+G51-SUMIFS(L_ASIGFAM,L_PER,B51))</f>
        <v/>
      </c>
      <c r="I51" s="71" t="str">
        <f aca="false">IF(B51="","",SUMIFS(L_IMP,L_PER,B51))</f>
        <v/>
      </c>
      <c r="J51" s="75" t="str">
        <f aca="false">IF(B51="","",DATE(YEAR(B51),MONTH(B51)+1,20))</f>
        <v/>
      </c>
      <c r="K51" s="67"/>
      <c r="L51" s="71" t="str">
        <f aca="false">IF(OR(B51="",NOT(ISNUMBER(K51))),"",K51-H51)</f>
        <v/>
      </c>
      <c r="M51" s="65"/>
      <c r="N51" s="64"/>
      <c r="O51" s="70" t="str">
        <f aca="false">IF(B51="","",IF(ISNUMBER(M51),IF(M51&lt;=C51,"Pagado","Pagado con atraso"),IF(FECHA_CORTE&gt;C51,"VENCIDO","Pendiente – vence en "&amp;(C51-FECHA_CORTE)&amp;" días")))</f>
        <v/>
      </c>
      <c r="P51" s="64"/>
    </row>
    <row r="52" customFormat="false" ht="15" hidden="false" customHeight="false" outlineLevel="0" collapsed="false">
      <c r="B52" s="78"/>
      <c r="C52" s="75" t="str">
        <f aca="false">IF(B52="","",IF(LEFT(MODALIDAD_PAGO,4)="Elec",DATE(YEAR(B52),MONTH(B52)+1,DIA_PAGO_ELEC),WORKDAY(DATE(YEAR(B52),MONTH(B52)+1,DIA_PAGO_MANUAL)-1,1,FERIADOS)))</f>
        <v/>
      </c>
      <c r="D52" s="73" t="str">
        <f aca="false">IF(B52="","",COUNTIFS(L_PER,B52))</f>
        <v/>
      </c>
      <c r="E52" s="71" t="str">
        <f aca="false">IF(B52="","",SUMIFS(L_IMPONIBLE,L_PER,B52))</f>
        <v/>
      </c>
      <c r="F52" s="71" t="str">
        <f aca="false">IF(B52="","",SUMIFS(L_AFP,L_PER,B52)+SUMIFS(L_SALUD,L_PER,B52)+SUMIFS(L_AFCT,L_PER,B52))</f>
        <v/>
      </c>
      <c r="G52" s="71" t="str">
        <f aca="false">IF(B52="","",SUMIFS(L_EMPPREV,L_PER,B52)+SUMIFS(L_AFCE,L_PER,B52)+SUMIFS(L_MUT,L_PER,B52))</f>
        <v/>
      </c>
      <c r="H52" s="71" t="str">
        <f aca="false">IF(B52="","",F52+G52-SUMIFS(L_ASIGFAM,L_PER,B52))</f>
        <v/>
      </c>
      <c r="I52" s="71" t="str">
        <f aca="false">IF(B52="","",SUMIFS(L_IMP,L_PER,B52))</f>
        <v/>
      </c>
      <c r="J52" s="75" t="str">
        <f aca="false">IF(B52="","",DATE(YEAR(B52),MONTH(B52)+1,20))</f>
        <v/>
      </c>
      <c r="K52" s="67"/>
      <c r="L52" s="71" t="str">
        <f aca="false">IF(OR(B52="",NOT(ISNUMBER(K52))),"",K52-H52)</f>
        <v/>
      </c>
      <c r="M52" s="65"/>
      <c r="N52" s="64"/>
      <c r="O52" s="70" t="str">
        <f aca="false">IF(B52="","",IF(ISNUMBER(M52),IF(M52&lt;=C52,"Pagado","Pagado con atraso"),IF(FECHA_CORTE&gt;C52,"VENCIDO","Pendiente – vence en "&amp;(C52-FECHA_CORTE)&amp;" días")))</f>
        <v/>
      </c>
      <c r="P52" s="64"/>
    </row>
    <row r="53" customFormat="false" ht="15" hidden="false" customHeight="false" outlineLevel="0" collapsed="false">
      <c r="B53" s="78"/>
      <c r="C53" s="75" t="str">
        <f aca="false">IF(B53="","",IF(LEFT(MODALIDAD_PAGO,4)="Elec",DATE(YEAR(B53),MONTH(B53)+1,DIA_PAGO_ELEC),WORKDAY(DATE(YEAR(B53),MONTH(B53)+1,DIA_PAGO_MANUAL)-1,1,FERIADOS)))</f>
        <v/>
      </c>
      <c r="D53" s="73" t="str">
        <f aca="false">IF(B53="","",COUNTIFS(L_PER,B53))</f>
        <v/>
      </c>
      <c r="E53" s="71" t="str">
        <f aca="false">IF(B53="","",SUMIFS(L_IMPONIBLE,L_PER,B53))</f>
        <v/>
      </c>
      <c r="F53" s="71" t="str">
        <f aca="false">IF(B53="","",SUMIFS(L_AFP,L_PER,B53)+SUMIFS(L_SALUD,L_PER,B53)+SUMIFS(L_AFCT,L_PER,B53))</f>
        <v/>
      </c>
      <c r="G53" s="71" t="str">
        <f aca="false">IF(B53="","",SUMIFS(L_EMPPREV,L_PER,B53)+SUMIFS(L_AFCE,L_PER,B53)+SUMIFS(L_MUT,L_PER,B53))</f>
        <v/>
      </c>
      <c r="H53" s="71" t="str">
        <f aca="false">IF(B53="","",F53+G53-SUMIFS(L_ASIGFAM,L_PER,B53))</f>
        <v/>
      </c>
      <c r="I53" s="71" t="str">
        <f aca="false">IF(B53="","",SUMIFS(L_IMP,L_PER,B53))</f>
        <v/>
      </c>
      <c r="J53" s="75" t="str">
        <f aca="false">IF(B53="","",DATE(YEAR(B53),MONTH(B53)+1,20))</f>
        <v/>
      </c>
      <c r="K53" s="67"/>
      <c r="L53" s="71" t="str">
        <f aca="false">IF(OR(B53="",NOT(ISNUMBER(K53))),"",K53-H53)</f>
        <v/>
      </c>
      <c r="M53" s="65"/>
      <c r="N53" s="64"/>
      <c r="O53" s="70" t="str">
        <f aca="false">IF(B53="","",IF(ISNUMBER(M53),IF(M53&lt;=C53,"Pagado","Pagado con atraso"),IF(FECHA_CORTE&gt;C53,"VENCIDO","Pendiente – vence en "&amp;(C53-FECHA_CORTE)&amp;" días")))</f>
        <v/>
      </c>
      <c r="P53" s="64"/>
    </row>
    <row r="54" customFormat="false" ht="15" hidden="false" customHeight="false" outlineLevel="0" collapsed="false">
      <c r="B54" s="78"/>
      <c r="C54" s="75" t="str">
        <f aca="false">IF(B54="","",IF(LEFT(MODALIDAD_PAGO,4)="Elec",DATE(YEAR(B54),MONTH(B54)+1,DIA_PAGO_ELEC),WORKDAY(DATE(YEAR(B54),MONTH(B54)+1,DIA_PAGO_MANUAL)-1,1,FERIADOS)))</f>
        <v/>
      </c>
      <c r="D54" s="73" t="str">
        <f aca="false">IF(B54="","",COUNTIFS(L_PER,B54))</f>
        <v/>
      </c>
      <c r="E54" s="71" t="str">
        <f aca="false">IF(B54="","",SUMIFS(L_IMPONIBLE,L_PER,B54))</f>
        <v/>
      </c>
      <c r="F54" s="71" t="str">
        <f aca="false">IF(B54="","",SUMIFS(L_AFP,L_PER,B54)+SUMIFS(L_SALUD,L_PER,B54)+SUMIFS(L_AFCT,L_PER,B54))</f>
        <v/>
      </c>
      <c r="G54" s="71" t="str">
        <f aca="false">IF(B54="","",SUMIFS(L_EMPPREV,L_PER,B54)+SUMIFS(L_AFCE,L_PER,B54)+SUMIFS(L_MUT,L_PER,B54))</f>
        <v/>
      </c>
      <c r="H54" s="71" t="str">
        <f aca="false">IF(B54="","",F54+G54-SUMIFS(L_ASIGFAM,L_PER,B54))</f>
        <v/>
      </c>
      <c r="I54" s="71" t="str">
        <f aca="false">IF(B54="","",SUMIFS(L_IMP,L_PER,B54))</f>
        <v/>
      </c>
      <c r="J54" s="75" t="str">
        <f aca="false">IF(B54="","",DATE(YEAR(B54),MONTH(B54)+1,20))</f>
        <v/>
      </c>
      <c r="K54" s="67"/>
      <c r="L54" s="71" t="str">
        <f aca="false">IF(OR(B54="",NOT(ISNUMBER(K54))),"",K54-H54)</f>
        <v/>
      </c>
      <c r="M54" s="65"/>
      <c r="N54" s="64"/>
      <c r="O54" s="70" t="str">
        <f aca="false">IF(B54="","",IF(ISNUMBER(M54),IF(M54&lt;=C54,"Pagado","Pagado con atraso"),IF(FECHA_CORTE&gt;C54,"VENCIDO","Pendiente – vence en "&amp;(C54-FECHA_CORTE)&amp;" días")))</f>
        <v/>
      </c>
      <c r="P54" s="64"/>
    </row>
    <row r="55" customFormat="false" ht="15" hidden="false" customHeight="false" outlineLevel="0" collapsed="false">
      <c r="B55" s="78"/>
      <c r="C55" s="75" t="str">
        <f aca="false">IF(B55="","",IF(LEFT(MODALIDAD_PAGO,4)="Elec",DATE(YEAR(B55),MONTH(B55)+1,DIA_PAGO_ELEC),WORKDAY(DATE(YEAR(B55),MONTH(B55)+1,DIA_PAGO_MANUAL)-1,1,FERIADOS)))</f>
        <v/>
      </c>
      <c r="D55" s="73" t="str">
        <f aca="false">IF(B55="","",COUNTIFS(L_PER,B55))</f>
        <v/>
      </c>
      <c r="E55" s="71" t="str">
        <f aca="false">IF(B55="","",SUMIFS(L_IMPONIBLE,L_PER,B55))</f>
        <v/>
      </c>
      <c r="F55" s="71" t="str">
        <f aca="false">IF(B55="","",SUMIFS(L_AFP,L_PER,B55)+SUMIFS(L_SALUD,L_PER,B55)+SUMIFS(L_AFCT,L_PER,B55))</f>
        <v/>
      </c>
      <c r="G55" s="71" t="str">
        <f aca="false">IF(B55="","",SUMIFS(L_EMPPREV,L_PER,B55)+SUMIFS(L_AFCE,L_PER,B55)+SUMIFS(L_MUT,L_PER,B55))</f>
        <v/>
      </c>
      <c r="H55" s="71" t="str">
        <f aca="false">IF(B55="","",F55+G55-SUMIFS(L_ASIGFAM,L_PER,B55))</f>
        <v/>
      </c>
      <c r="I55" s="71" t="str">
        <f aca="false">IF(B55="","",SUMIFS(L_IMP,L_PER,B55))</f>
        <v/>
      </c>
      <c r="J55" s="75" t="str">
        <f aca="false">IF(B55="","",DATE(YEAR(B55),MONTH(B55)+1,20))</f>
        <v/>
      </c>
      <c r="K55" s="67"/>
      <c r="L55" s="71" t="str">
        <f aca="false">IF(OR(B55="",NOT(ISNUMBER(K55))),"",K55-H55)</f>
        <v/>
      </c>
      <c r="M55" s="65"/>
      <c r="N55" s="64"/>
      <c r="O55" s="70" t="str">
        <f aca="false">IF(B55="","",IF(ISNUMBER(M55),IF(M55&lt;=C55,"Pagado","Pagado con atraso"),IF(FECHA_CORTE&gt;C55,"VENCIDO","Pendiente – vence en "&amp;(C55-FECHA_CORTE)&amp;" días")))</f>
        <v/>
      </c>
      <c r="P55" s="64"/>
    </row>
    <row r="56" customFormat="false" ht="15" hidden="false" customHeight="false" outlineLevel="0" collapsed="false">
      <c r="B56" s="78"/>
      <c r="C56" s="75" t="str">
        <f aca="false">IF(B56="","",IF(LEFT(MODALIDAD_PAGO,4)="Elec",DATE(YEAR(B56),MONTH(B56)+1,DIA_PAGO_ELEC),WORKDAY(DATE(YEAR(B56),MONTH(B56)+1,DIA_PAGO_MANUAL)-1,1,FERIADOS)))</f>
        <v/>
      </c>
      <c r="D56" s="73" t="str">
        <f aca="false">IF(B56="","",COUNTIFS(L_PER,B56))</f>
        <v/>
      </c>
      <c r="E56" s="71" t="str">
        <f aca="false">IF(B56="","",SUMIFS(L_IMPONIBLE,L_PER,B56))</f>
        <v/>
      </c>
      <c r="F56" s="71" t="str">
        <f aca="false">IF(B56="","",SUMIFS(L_AFP,L_PER,B56)+SUMIFS(L_SALUD,L_PER,B56)+SUMIFS(L_AFCT,L_PER,B56))</f>
        <v/>
      </c>
      <c r="G56" s="71" t="str">
        <f aca="false">IF(B56="","",SUMIFS(L_EMPPREV,L_PER,B56)+SUMIFS(L_AFCE,L_PER,B56)+SUMIFS(L_MUT,L_PER,B56))</f>
        <v/>
      </c>
      <c r="H56" s="71" t="str">
        <f aca="false">IF(B56="","",F56+G56-SUMIFS(L_ASIGFAM,L_PER,B56))</f>
        <v/>
      </c>
      <c r="I56" s="71" t="str">
        <f aca="false">IF(B56="","",SUMIFS(L_IMP,L_PER,B56))</f>
        <v/>
      </c>
      <c r="J56" s="75" t="str">
        <f aca="false">IF(B56="","",DATE(YEAR(B56),MONTH(B56)+1,20))</f>
        <v/>
      </c>
      <c r="K56" s="67"/>
      <c r="L56" s="71" t="str">
        <f aca="false">IF(OR(B56="",NOT(ISNUMBER(K56))),"",K56-H56)</f>
        <v/>
      </c>
      <c r="M56" s="65"/>
      <c r="N56" s="64"/>
      <c r="O56" s="70" t="str">
        <f aca="false">IF(B56="","",IF(ISNUMBER(M56),IF(M56&lt;=C56,"Pagado","Pagado con atraso"),IF(FECHA_CORTE&gt;C56,"VENCIDO","Pendiente – vence en "&amp;(C56-FECHA_CORTE)&amp;" días")))</f>
        <v/>
      </c>
      <c r="P56" s="64"/>
    </row>
    <row r="57" customFormat="false" ht="15" hidden="false" customHeight="false" outlineLevel="0" collapsed="false">
      <c r="B57" s="78"/>
      <c r="C57" s="75" t="str">
        <f aca="false">IF(B57="","",IF(LEFT(MODALIDAD_PAGO,4)="Elec",DATE(YEAR(B57),MONTH(B57)+1,DIA_PAGO_ELEC),WORKDAY(DATE(YEAR(B57),MONTH(B57)+1,DIA_PAGO_MANUAL)-1,1,FERIADOS)))</f>
        <v/>
      </c>
      <c r="D57" s="73" t="str">
        <f aca="false">IF(B57="","",COUNTIFS(L_PER,B57))</f>
        <v/>
      </c>
      <c r="E57" s="71" t="str">
        <f aca="false">IF(B57="","",SUMIFS(L_IMPONIBLE,L_PER,B57))</f>
        <v/>
      </c>
      <c r="F57" s="71" t="str">
        <f aca="false">IF(B57="","",SUMIFS(L_AFP,L_PER,B57)+SUMIFS(L_SALUD,L_PER,B57)+SUMIFS(L_AFCT,L_PER,B57))</f>
        <v/>
      </c>
      <c r="G57" s="71" t="str">
        <f aca="false">IF(B57="","",SUMIFS(L_EMPPREV,L_PER,B57)+SUMIFS(L_AFCE,L_PER,B57)+SUMIFS(L_MUT,L_PER,B57))</f>
        <v/>
      </c>
      <c r="H57" s="71" t="str">
        <f aca="false">IF(B57="","",F57+G57-SUMIFS(L_ASIGFAM,L_PER,B57))</f>
        <v/>
      </c>
      <c r="I57" s="71" t="str">
        <f aca="false">IF(B57="","",SUMIFS(L_IMP,L_PER,B57))</f>
        <v/>
      </c>
      <c r="J57" s="75" t="str">
        <f aca="false">IF(B57="","",DATE(YEAR(B57),MONTH(B57)+1,20))</f>
        <v/>
      </c>
      <c r="K57" s="67"/>
      <c r="L57" s="71" t="str">
        <f aca="false">IF(OR(B57="",NOT(ISNUMBER(K57))),"",K57-H57)</f>
        <v/>
      </c>
      <c r="M57" s="65"/>
      <c r="N57" s="64"/>
      <c r="O57" s="70" t="str">
        <f aca="false">IF(B57="","",IF(ISNUMBER(M57),IF(M57&lt;=C57,"Pagado","Pagado con atraso"),IF(FECHA_CORTE&gt;C57,"VENCIDO","Pendiente – vence en "&amp;(C57-FECHA_CORTE)&amp;" días")))</f>
        <v/>
      </c>
      <c r="P57" s="64"/>
    </row>
    <row r="58" customFormat="false" ht="15" hidden="false" customHeight="false" outlineLevel="0" collapsed="false">
      <c r="B58" s="78"/>
      <c r="C58" s="75" t="str">
        <f aca="false">IF(B58="","",IF(LEFT(MODALIDAD_PAGO,4)="Elec",DATE(YEAR(B58),MONTH(B58)+1,DIA_PAGO_ELEC),WORKDAY(DATE(YEAR(B58),MONTH(B58)+1,DIA_PAGO_MANUAL)-1,1,FERIADOS)))</f>
        <v/>
      </c>
      <c r="D58" s="73" t="str">
        <f aca="false">IF(B58="","",COUNTIFS(L_PER,B58))</f>
        <v/>
      </c>
      <c r="E58" s="71" t="str">
        <f aca="false">IF(B58="","",SUMIFS(L_IMPONIBLE,L_PER,B58))</f>
        <v/>
      </c>
      <c r="F58" s="71" t="str">
        <f aca="false">IF(B58="","",SUMIFS(L_AFP,L_PER,B58)+SUMIFS(L_SALUD,L_PER,B58)+SUMIFS(L_AFCT,L_PER,B58))</f>
        <v/>
      </c>
      <c r="G58" s="71" t="str">
        <f aca="false">IF(B58="","",SUMIFS(L_EMPPREV,L_PER,B58)+SUMIFS(L_AFCE,L_PER,B58)+SUMIFS(L_MUT,L_PER,B58))</f>
        <v/>
      </c>
      <c r="H58" s="71" t="str">
        <f aca="false">IF(B58="","",F58+G58-SUMIFS(L_ASIGFAM,L_PER,B58))</f>
        <v/>
      </c>
      <c r="I58" s="71" t="str">
        <f aca="false">IF(B58="","",SUMIFS(L_IMP,L_PER,B58))</f>
        <v/>
      </c>
      <c r="J58" s="75" t="str">
        <f aca="false">IF(B58="","",DATE(YEAR(B58),MONTH(B58)+1,20))</f>
        <v/>
      </c>
      <c r="K58" s="67"/>
      <c r="L58" s="71" t="str">
        <f aca="false">IF(OR(B58="",NOT(ISNUMBER(K58))),"",K58-H58)</f>
        <v/>
      </c>
      <c r="M58" s="65"/>
      <c r="N58" s="64"/>
      <c r="O58" s="70" t="str">
        <f aca="false">IF(B58="","",IF(ISNUMBER(M58),IF(M58&lt;=C58,"Pagado","Pagado con atraso"),IF(FECHA_CORTE&gt;C58,"VENCIDO","Pendiente – vence en "&amp;(C58-FECHA_CORTE)&amp;" días")))</f>
        <v/>
      </c>
      <c r="P58" s="64"/>
    </row>
    <row r="59" customFormat="false" ht="15" hidden="false" customHeight="false" outlineLevel="0" collapsed="false">
      <c r="B59" s="78"/>
      <c r="C59" s="75" t="str">
        <f aca="false">IF(B59="","",IF(LEFT(MODALIDAD_PAGO,4)="Elec",DATE(YEAR(B59),MONTH(B59)+1,DIA_PAGO_ELEC),WORKDAY(DATE(YEAR(B59),MONTH(B59)+1,DIA_PAGO_MANUAL)-1,1,FERIADOS)))</f>
        <v/>
      </c>
      <c r="D59" s="73" t="str">
        <f aca="false">IF(B59="","",COUNTIFS(L_PER,B59))</f>
        <v/>
      </c>
      <c r="E59" s="71" t="str">
        <f aca="false">IF(B59="","",SUMIFS(L_IMPONIBLE,L_PER,B59))</f>
        <v/>
      </c>
      <c r="F59" s="71" t="str">
        <f aca="false">IF(B59="","",SUMIFS(L_AFP,L_PER,B59)+SUMIFS(L_SALUD,L_PER,B59)+SUMIFS(L_AFCT,L_PER,B59))</f>
        <v/>
      </c>
      <c r="G59" s="71" t="str">
        <f aca="false">IF(B59="","",SUMIFS(L_EMPPREV,L_PER,B59)+SUMIFS(L_AFCE,L_PER,B59)+SUMIFS(L_MUT,L_PER,B59))</f>
        <v/>
      </c>
      <c r="H59" s="71" t="str">
        <f aca="false">IF(B59="","",F59+G59-SUMIFS(L_ASIGFAM,L_PER,B59))</f>
        <v/>
      </c>
      <c r="I59" s="71" t="str">
        <f aca="false">IF(B59="","",SUMIFS(L_IMP,L_PER,B59))</f>
        <v/>
      </c>
      <c r="J59" s="75" t="str">
        <f aca="false">IF(B59="","",DATE(YEAR(B59),MONTH(B59)+1,20))</f>
        <v/>
      </c>
      <c r="K59" s="67"/>
      <c r="L59" s="71" t="str">
        <f aca="false">IF(OR(B59="",NOT(ISNUMBER(K59))),"",K59-H59)</f>
        <v/>
      </c>
      <c r="M59" s="65"/>
      <c r="N59" s="64"/>
      <c r="O59" s="70" t="str">
        <f aca="false">IF(B59="","",IF(ISNUMBER(M59),IF(M59&lt;=C59,"Pagado","Pagado con atraso"),IF(FECHA_CORTE&gt;C59,"VENCIDO","Pendiente – vence en "&amp;(C59-FECHA_CORTE)&amp;" días")))</f>
        <v/>
      </c>
      <c r="P59" s="64"/>
    </row>
    <row r="60" customFormat="false" ht="15" hidden="false" customHeight="false" outlineLevel="0" collapsed="false">
      <c r="B60" s="78"/>
      <c r="C60" s="75" t="str">
        <f aca="false">IF(B60="","",IF(LEFT(MODALIDAD_PAGO,4)="Elec",DATE(YEAR(B60),MONTH(B60)+1,DIA_PAGO_ELEC),WORKDAY(DATE(YEAR(B60),MONTH(B60)+1,DIA_PAGO_MANUAL)-1,1,FERIADOS)))</f>
        <v/>
      </c>
      <c r="D60" s="73" t="str">
        <f aca="false">IF(B60="","",COUNTIFS(L_PER,B60))</f>
        <v/>
      </c>
      <c r="E60" s="71" t="str">
        <f aca="false">IF(B60="","",SUMIFS(L_IMPONIBLE,L_PER,B60))</f>
        <v/>
      </c>
      <c r="F60" s="71" t="str">
        <f aca="false">IF(B60="","",SUMIFS(L_AFP,L_PER,B60)+SUMIFS(L_SALUD,L_PER,B60)+SUMIFS(L_AFCT,L_PER,B60))</f>
        <v/>
      </c>
      <c r="G60" s="71" t="str">
        <f aca="false">IF(B60="","",SUMIFS(L_EMPPREV,L_PER,B60)+SUMIFS(L_AFCE,L_PER,B60)+SUMIFS(L_MUT,L_PER,B60))</f>
        <v/>
      </c>
      <c r="H60" s="71" t="str">
        <f aca="false">IF(B60="","",F60+G60-SUMIFS(L_ASIGFAM,L_PER,B60))</f>
        <v/>
      </c>
      <c r="I60" s="71" t="str">
        <f aca="false">IF(B60="","",SUMIFS(L_IMP,L_PER,B60))</f>
        <v/>
      </c>
      <c r="J60" s="75" t="str">
        <f aca="false">IF(B60="","",DATE(YEAR(B60),MONTH(B60)+1,20))</f>
        <v/>
      </c>
      <c r="K60" s="67"/>
      <c r="L60" s="71" t="str">
        <f aca="false">IF(OR(B60="",NOT(ISNUMBER(K60))),"",K60-H60)</f>
        <v/>
      </c>
      <c r="M60" s="65"/>
      <c r="N60" s="64"/>
      <c r="O60" s="70" t="str">
        <f aca="false">IF(B60="","",IF(ISNUMBER(M60),IF(M60&lt;=C60,"Pagado","Pagado con atraso"),IF(FECHA_CORTE&gt;C60,"VENCIDO","Pendiente – vence en "&amp;(C60-FECHA_CORTE)&amp;" días")))</f>
        <v/>
      </c>
      <c r="P60" s="64"/>
    </row>
    <row r="61" customFormat="false" ht="15" hidden="false" customHeight="false" outlineLevel="0" collapsed="false">
      <c r="B61" s="78"/>
      <c r="C61" s="75" t="str">
        <f aca="false">IF(B61="","",IF(LEFT(MODALIDAD_PAGO,4)="Elec",DATE(YEAR(B61),MONTH(B61)+1,DIA_PAGO_ELEC),WORKDAY(DATE(YEAR(B61),MONTH(B61)+1,DIA_PAGO_MANUAL)-1,1,FERIADOS)))</f>
        <v/>
      </c>
      <c r="D61" s="73" t="str">
        <f aca="false">IF(B61="","",COUNTIFS(L_PER,B61))</f>
        <v/>
      </c>
      <c r="E61" s="71" t="str">
        <f aca="false">IF(B61="","",SUMIFS(L_IMPONIBLE,L_PER,B61))</f>
        <v/>
      </c>
      <c r="F61" s="71" t="str">
        <f aca="false">IF(B61="","",SUMIFS(L_AFP,L_PER,B61)+SUMIFS(L_SALUD,L_PER,B61)+SUMIFS(L_AFCT,L_PER,B61))</f>
        <v/>
      </c>
      <c r="G61" s="71" t="str">
        <f aca="false">IF(B61="","",SUMIFS(L_EMPPREV,L_PER,B61)+SUMIFS(L_AFCE,L_PER,B61)+SUMIFS(L_MUT,L_PER,B61))</f>
        <v/>
      </c>
      <c r="H61" s="71" t="str">
        <f aca="false">IF(B61="","",F61+G61-SUMIFS(L_ASIGFAM,L_PER,B61))</f>
        <v/>
      </c>
      <c r="I61" s="71" t="str">
        <f aca="false">IF(B61="","",SUMIFS(L_IMP,L_PER,B61))</f>
        <v/>
      </c>
      <c r="J61" s="75" t="str">
        <f aca="false">IF(B61="","",DATE(YEAR(B61),MONTH(B61)+1,20))</f>
        <v/>
      </c>
      <c r="K61" s="67"/>
      <c r="L61" s="71" t="str">
        <f aca="false">IF(OR(B61="",NOT(ISNUMBER(K61))),"",K61-H61)</f>
        <v/>
      </c>
      <c r="M61" s="65"/>
      <c r="N61" s="64"/>
      <c r="O61" s="70" t="str">
        <f aca="false">IF(B61="","",IF(ISNUMBER(M61),IF(M61&lt;=C61,"Pagado","Pagado con atraso"),IF(FECHA_CORTE&gt;C61,"VENCIDO","Pendiente – vence en "&amp;(C61-FECHA_CORTE)&amp;" días")))</f>
        <v/>
      </c>
      <c r="P61" s="64"/>
    </row>
    <row r="62" customFormat="false" ht="15" hidden="false" customHeight="false" outlineLevel="0" collapsed="false">
      <c r="B62" s="78"/>
      <c r="C62" s="75" t="str">
        <f aca="false">IF(B62="","",IF(LEFT(MODALIDAD_PAGO,4)="Elec",DATE(YEAR(B62),MONTH(B62)+1,DIA_PAGO_ELEC),WORKDAY(DATE(YEAR(B62),MONTH(B62)+1,DIA_PAGO_MANUAL)-1,1,FERIADOS)))</f>
        <v/>
      </c>
      <c r="D62" s="73" t="str">
        <f aca="false">IF(B62="","",COUNTIFS(L_PER,B62))</f>
        <v/>
      </c>
      <c r="E62" s="71" t="str">
        <f aca="false">IF(B62="","",SUMIFS(L_IMPONIBLE,L_PER,B62))</f>
        <v/>
      </c>
      <c r="F62" s="71" t="str">
        <f aca="false">IF(B62="","",SUMIFS(L_AFP,L_PER,B62)+SUMIFS(L_SALUD,L_PER,B62)+SUMIFS(L_AFCT,L_PER,B62))</f>
        <v/>
      </c>
      <c r="G62" s="71" t="str">
        <f aca="false">IF(B62="","",SUMIFS(L_EMPPREV,L_PER,B62)+SUMIFS(L_AFCE,L_PER,B62)+SUMIFS(L_MUT,L_PER,B62))</f>
        <v/>
      </c>
      <c r="H62" s="71" t="str">
        <f aca="false">IF(B62="","",F62+G62-SUMIFS(L_ASIGFAM,L_PER,B62))</f>
        <v/>
      </c>
      <c r="I62" s="71" t="str">
        <f aca="false">IF(B62="","",SUMIFS(L_IMP,L_PER,B62))</f>
        <v/>
      </c>
      <c r="J62" s="75" t="str">
        <f aca="false">IF(B62="","",DATE(YEAR(B62),MONTH(B62)+1,20))</f>
        <v/>
      </c>
      <c r="K62" s="67"/>
      <c r="L62" s="71" t="str">
        <f aca="false">IF(OR(B62="",NOT(ISNUMBER(K62))),"",K62-H62)</f>
        <v/>
      </c>
      <c r="M62" s="65"/>
      <c r="N62" s="64"/>
      <c r="O62" s="70" t="str">
        <f aca="false">IF(B62="","",IF(ISNUMBER(M62),IF(M62&lt;=C62,"Pagado","Pagado con atraso"),IF(FECHA_CORTE&gt;C62,"VENCIDO","Pendiente – vence en "&amp;(C62-FECHA_CORTE)&amp;" días")))</f>
        <v/>
      </c>
      <c r="P62" s="64"/>
    </row>
    <row r="63" customFormat="false" ht="15" hidden="false" customHeight="false" outlineLevel="0" collapsed="false">
      <c r="B63" s="78"/>
      <c r="C63" s="75" t="str">
        <f aca="false">IF(B63="","",IF(LEFT(MODALIDAD_PAGO,4)="Elec",DATE(YEAR(B63),MONTH(B63)+1,DIA_PAGO_ELEC),WORKDAY(DATE(YEAR(B63),MONTH(B63)+1,DIA_PAGO_MANUAL)-1,1,FERIADOS)))</f>
        <v/>
      </c>
      <c r="D63" s="73" t="str">
        <f aca="false">IF(B63="","",COUNTIFS(L_PER,B63))</f>
        <v/>
      </c>
      <c r="E63" s="71" t="str">
        <f aca="false">IF(B63="","",SUMIFS(L_IMPONIBLE,L_PER,B63))</f>
        <v/>
      </c>
      <c r="F63" s="71" t="str">
        <f aca="false">IF(B63="","",SUMIFS(L_AFP,L_PER,B63)+SUMIFS(L_SALUD,L_PER,B63)+SUMIFS(L_AFCT,L_PER,B63))</f>
        <v/>
      </c>
      <c r="G63" s="71" t="str">
        <f aca="false">IF(B63="","",SUMIFS(L_EMPPREV,L_PER,B63)+SUMIFS(L_AFCE,L_PER,B63)+SUMIFS(L_MUT,L_PER,B63))</f>
        <v/>
      </c>
      <c r="H63" s="71" t="str">
        <f aca="false">IF(B63="","",F63+G63-SUMIFS(L_ASIGFAM,L_PER,B63))</f>
        <v/>
      </c>
      <c r="I63" s="71" t="str">
        <f aca="false">IF(B63="","",SUMIFS(L_IMP,L_PER,B63))</f>
        <v/>
      </c>
      <c r="J63" s="75" t="str">
        <f aca="false">IF(B63="","",DATE(YEAR(B63),MONTH(B63)+1,20))</f>
        <v/>
      </c>
      <c r="K63" s="67"/>
      <c r="L63" s="71" t="str">
        <f aca="false">IF(OR(B63="",NOT(ISNUMBER(K63))),"",K63-H63)</f>
        <v/>
      </c>
      <c r="M63" s="65"/>
      <c r="N63" s="64"/>
      <c r="O63" s="70" t="str">
        <f aca="false">IF(B63="","",IF(ISNUMBER(M63),IF(M63&lt;=C63,"Pagado","Pagado con atraso"),IF(FECHA_CORTE&gt;C63,"VENCIDO","Pendiente – vence en "&amp;(C63-FECHA_CORTE)&amp;" días")))</f>
        <v/>
      </c>
      <c r="P63" s="64"/>
    </row>
    <row r="64" customFormat="false" ht="15" hidden="false" customHeight="false" outlineLevel="0" collapsed="false">
      <c r="B64" s="78"/>
      <c r="C64" s="75" t="str">
        <f aca="false">IF(B64="","",IF(LEFT(MODALIDAD_PAGO,4)="Elec",DATE(YEAR(B64),MONTH(B64)+1,DIA_PAGO_ELEC),WORKDAY(DATE(YEAR(B64),MONTH(B64)+1,DIA_PAGO_MANUAL)-1,1,FERIADOS)))</f>
        <v/>
      </c>
      <c r="D64" s="73" t="str">
        <f aca="false">IF(B64="","",COUNTIFS(L_PER,B64))</f>
        <v/>
      </c>
      <c r="E64" s="71" t="str">
        <f aca="false">IF(B64="","",SUMIFS(L_IMPONIBLE,L_PER,B64))</f>
        <v/>
      </c>
      <c r="F64" s="71" t="str">
        <f aca="false">IF(B64="","",SUMIFS(L_AFP,L_PER,B64)+SUMIFS(L_SALUD,L_PER,B64)+SUMIFS(L_AFCT,L_PER,B64))</f>
        <v/>
      </c>
      <c r="G64" s="71" t="str">
        <f aca="false">IF(B64="","",SUMIFS(L_EMPPREV,L_PER,B64)+SUMIFS(L_AFCE,L_PER,B64)+SUMIFS(L_MUT,L_PER,B64))</f>
        <v/>
      </c>
      <c r="H64" s="71" t="str">
        <f aca="false">IF(B64="","",F64+G64-SUMIFS(L_ASIGFAM,L_PER,B64))</f>
        <v/>
      </c>
      <c r="I64" s="71" t="str">
        <f aca="false">IF(B64="","",SUMIFS(L_IMP,L_PER,B64))</f>
        <v/>
      </c>
      <c r="J64" s="75" t="str">
        <f aca="false">IF(B64="","",DATE(YEAR(B64),MONTH(B64)+1,20))</f>
        <v/>
      </c>
      <c r="K64" s="67"/>
      <c r="L64" s="71" t="str">
        <f aca="false">IF(OR(B64="",NOT(ISNUMBER(K64))),"",K64-H64)</f>
        <v/>
      </c>
      <c r="M64" s="65"/>
      <c r="N64" s="64"/>
      <c r="O64" s="70" t="str">
        <f aca="false">IF(B64="","",IF(ISNUMBER(M64),IF(M64&lt;=C64,"Pagado","Pagado con atraso"),IF(FECHA_CORTE&gt;C64,"VENCIDO","Pendiente – vence en "&amp;(C64-FECHA_CORTE)&amp;" días")))</f>
        <v/>
      </c>
      <c r="P64" s="64"/>
    </row>
    <row r="65" customFormat="false" ht="15" hidden="false" customHeight="false" outlineLevel="0" collapsed="false">
      <c r="B65" s="78"/>
      <c r="C65" s="75" t="str">
        <f aca="false">IF(B65="","",IF(LEFT(MODALIDAD_PAGO,4)="Elec",DATE(YEAR(B65),MONTH(B65)+1,DIA_PAGO_ELEC),WORKDAY(DATE(YEAR(B65),MONTH(B65)+1,DIA_PAGO_MANUAL)-1,1,FERIADOS)))</f>
        <v/>
      </c>
      <c r="D65" s="73" t="str">
        <f aca="false">IF(B65="","",COUNTIFS(L_PER,B65))</f>
        <v/>
      </c>
      <c r="E65" s="71" t="str">
        <f aca="false">IF(B65="","",SUMIFS(L_IMPONIBLE,L_PER,B65))</f>
        <v/>
      </c>
      <c r="F65" s="71" t="str">
        <f aca="false">IF(B65="","",SUMIFS(L_AFP,L_PER,B65)+SUMIFS(L_SALUD,L_PER,B65)+SUMIFS(L_AFCT,L_PER,B65))</f>
        <v/>
      </c>
      <c r="G65" s="71" t="str">
        <f aca="false">IF(B65="","",SUMIFS(L_EMPPREV,L_PER,B65)+SUMIFS(L_AFCE,L_PER,B65)+SUMIFS(L_MUT,L_PER,B65))</f>
        <v/>
      </c>
      <c r="H65" s="71" t="str">
        <f aca="false">IF(B65="","",F65+G65-SUMIFS(L_ASIGFAM,L_PER,B65))</f>
        <v/>
      </c>
      <c r="I65" s="71" t="str">
        <f aca="false">IF(B65="","",SUMIFS(L_IMP,L_PER,B65))</f>
        <v/>
      </c>
      <c r="J65" s="75" t="str">
        <f aca="false">IF(B65="","",DATE(YEAR(B65),MONTH(B65)+1,20))</f>
        <v/>
      </c>
      <c r="K65" s="67"/>
      <c r="L65" s="71" t="str">
        <f aca="false">IF(OR(B65="",NOT(ISNUMBER(K65))),"",K65-H65)</f>
        <v/>
      </c>
      <c r="M65" s="65"/>
      <c r="N65" s="64"/>
      <c r="O65" s="70" t="str">
        <f aca="false">IF(B65="","",IF(ISNUMBER(M65),IF(M65&lt;=C65,"Pagado","Pagado con atraso"),IF(FECHA_CORTE&gt;C65,"VENCIDO","Pendiente – vence en "&amp;(C65-FECHA_CORTE)&amp;" días")))</f>
        <v/>
      </c>
      <c r="P65" s="64"/>
    </row>
    <row r="66" customFormat="false" ht="15" hidden="false" customHeight="false" outlineLevel="0" collapsed="false">
      <c r="B66" s="78"/>
      <c r="C66" s="75" t="str">
        <f aca="false">IF(B66="","",IF(LEFT(MODALIDAD_PAGO,4)="Elec",DATE(YEAR(B66),MONTH(B66)+1,DIA_PAGO_ELEC),WORKDAY(DATE(YEAR(B66),MONTH(B66)+1,DIA_PAGO_MANUAL)-1,1,FERIADOS)))</f>
        <v/>
      </c>
      <c r="D66" s="73" t="str">
        <f aca="false">IF(B66="","",COUNTIFS(L_PER,B66))</f>
        <v/>
      </c>
      <c r="E66" s="71" t="str">
        <f aca="false">IF(B66="","",SUMIFS(L_IMPONIBLE,L_PER,B66))</f>
        <v/>
      </c>
      <c r="F66" s="71" t="str">
        <f aca="false">IF(B66="","",SUMIFS(L_AFP,L_PER,B66)+SUMIFS(L_SALUD,L_PER,B66)+SUMIFS(L_AFCT,L_PER,B66))</f>
        <v/>
      </c>
      <c r="G66" s="71" t="str">
        <f aca="false">IF(B66="","",SUMIFS(L_EMPPREV,L_PER,B66)+SUMIFS(L_AFCE,L_PER,B66)+SUMIFS(L_MUT,L_PER,B66))</f>
        <v/>
      </c>
      <c r="H66" s="71" t="str">
        <f aca="false">IF(B66="","",F66+G66-SUMIFS(L_ASIGFAM,L_PER,B66))</f>
        <v/>
      </c>
      <c r="I66" s="71" t="str">
        <f aca="false">IF(B66="","",SUMIFS(L_IMP,L_PER,B66))</f>
        <v/>
      </c>
      <c r="J66" s="75" t="str">
        <f aca="false">IF(B66="","",DATE(YEAR(B66),MONTH(B66)+1,20))</f>
        <v/>
      </c>
      <c r="K66" s="67"/>
      <c r="L66" s="71" t="str">
        <f aca="false">IF(OR(B66="",NOT(ISNUMBER(K66))),"",K66-H66)</f>
        <v/>
      </c>
      <c r="M66" s="65"/>
      <c r="N66" s="64"/>
      <c r="O66" s="70" t="str">
        <f aca="false">IF(B66="","",IF(ISNUMBER(M66),IF(M66&lt;=C66,"Pagado","Pagado con atraso"),IF(FECHA_CORTE&gt;C66,"VENCIDO","Pendiente – vence en "&amp;(C66-FECHA_CORTE)&amp;" días")))</f>
        <v/>
      </c>
      <c r="P66" s="64"/>
    </row>
    <row r="67" customFormat="false" ht="15" hidden="false" customHeight="false" outlineLevel="0" collapsed="false">
      <c r="B67" s="78"/>
      <c r="C67" s="75" t="str">
        <f aca="false">IF(B67="","",IF(LEFT(MODALIDAD_PAGO,4)="Elec",DATE(YEAR(B67),MONTH(B67)+1,DIA_PAGO_ELEC),WORKDAY(DATE(YEAR(B67),MONTH(B67)+1,DIA_PAGO_MANUAL)-1,1,FERIADOS)))</f>
        <v/>
      </c>
      <c r="D67" s="73" t="str">
        <f aca="false">IF(B67="","",COUNTIFS(L_PER,B67))</f>
        <v/>
      </c>
      <c r="E67" s="71" t="str">
        <f aca="false">IF(B67="","",SUMIFS(L_IMPONIBLE,L_PER,B67))</f>
        <v/>
      </c>
      <c r="F67" s="71" t="str">
        <f aca="false">IF(B67="","",SUMIFS(L_AFP,L_PER,B67)+SUMIFS(L_SALUD,L_PER,B67)+SUMIFS(L_AFCT,L_PER,B67))</f>
        <v/>
      </c>
      <c r="G67" s="71" t="str">
        <f aca="false">IF(B67="","",SUMIFS(L_EMPPREV,L_PER,B67)+SUMIFS(L_AFCE,L_PER,B67)+SUMIFS(L_MUT,L_PER,B67))</f>
        <v/>
      </c>
      <c r="H67" s="71" t="str">
        <f aca="false">IF(B67="","",F67+G67-SUMIFS(L_ASIGFAM,L_PER,B67))</f>
        <v/>
      </c>
      <c r="I67" s="71" t="str">
        <f aca="false">IF(B67="","",SUMIFS(L_IMP,L_PER,B67))</f>
        <v/>
      </c>
      <c r="J67" s="75" t="str">
        <f aca="false">IF(B67="","",DATE(YEAR(B67),MONTH(B67)+1,20))</f>
        <v/>
      </c>
      <c r="K67" s="67"/>
      <c r="L67" s="71" t="str">
        <f aca="false">IF(OR(B67="",NOT(ISNUMBER(K67))),"",K67-H67)</f>
        <v/>
      </c>
      <c r="M67" s="65"/>
      <c r="N67" s="64"/>
      <c r="O67" s="70" t="str">
        <f aca="false">IF(B67="","",IF(ISNUMBER(M67),IF(M67&lt;=C67,"Pagado","Pagado con atraso"),IF(FECHA_CORTE&gt;C67,"VENCIDO","Pendiente – vence en "&amp;(C67-FECHA_CORTE)&amp;" días")))</f>
        <v/>
      </c>
      <c r="P67" s="64"/>
    </row>
    <row r="68" customFormat="false" ht="15" hidden="false" customHeight="false" outlineLevel="0" collapsed="false">
      <c r="B68" s="78"/>
      <c r="C68" s="75" t="str">
        <f aca="false">IF(B68="","",IF(LEFT(MODALIDAD_PAGO,4)="Elec",DATE(YEAR(B68),MONTH(B68)+1,DIA_PAGO_ELEC),WORKDAY(DATE(YEAR(B68),MONTH(B68)+1,DIA_PAGO_MANUAL)-1,1,FERIADOS)))</f>
        <v/>
      </c>
      <c r="D68" s="73" t="str">
        <f aca="false">IF(B68="","",COUNTIFS(L_PER,B68))</f>
        <v/>
      </c>
      <c r="E68" s="71" t="str">
        <f aca="false">IF(B68="","",SUMIFS(L_IMPONIBLE,L_PER,B68))</f>
        <v/>
      </c>
      <c r="F68" s="71" t="str">
        <f aca="false">IF(B68="","",SUMIFS(L_AFP,L_PER,B68)+SUMIFS(L_SALUD,L_PER,B68)+SUMIFS(L_AFCT,L_PER,B68))</f>
        <v/>
      </c>
      <c r="G68" s="71" t="str">
        <f aca="false">IF(B68="","",SUMIFS(L_EMPPREV,L_PER,B68)+SUMIFS(L_AFCE,L_PER,B68)+SUMIFS(L_MUT,L_PER,B68))</f>
        <v/>
      </c>
      <c r="H68" s="71" t="str">
        <f aca="false">IF(B68="","",F68+G68-SUMIFS(L_ASIGFAM,L_PER,B68))</f>
        <v/>
      </c>
      <c r="I68" s="71" t="str">
        <f aca="false">IF(B68="","",SUMIFS(L_IMP,L_PER,B68))</f>
        <v/>
      </c>
      <c r="J68" s="75" t="str">
        <f aca="false">IF(B68="","",DATE(YEAR(B68),MONTH(B68)+1,20))</f>
        <v/>
      </c>
      <c r="K68" s="67"/>
      <c r="L68" s="71" t="str">
        <f aca="false">IF(OR(B68="",NOT(ISNUMBER(K68))),"",K68-H68)</f>
        <v/>
      </c>
      <c r="M68" s="65"/>
      <c r="N68" s="64"/>
      <c r="O68" s="70" t="str">
        <f aca="false">IF(B68="","",IF(ISNUMBER(M68),IF(M68&lt;=C68,"Pagado","Pagado con atraso"),IF(FECHA_CORTE&gt;C68,"VENCIDO","Pendiente – vence en "&amp;(C68-FECHA_CORTE)&amp;" días")))</f>
        <v/>
      </c>
      <c r="P68" s="64"/>
    </row>
    <row r="69" customFormat="false" ht="15" hidden="false" customHeight="false" outlineLevel="0" collapsed="false">
      <c r="B69" s="78"/>
      <c r="C69" s="75" t="str">
        <f aca="false">IF(B69="","",IF(LEFT(MODALIDAD_PAGO,4)="Elec",DATE(YEAR(B69),MONTH(B69)+1,DIA_PAGO_ELEC),WORKDAY(DATE(YEAR(B69),MONTH(B69)+1,DIA_PAGO_MANUAL)-1,1,FERIADOS)))</f>
        <v/>
      </c>
      <c r="D69" s="73" t="str">
        <f aca="false">IF(B69="","",COUNTIFS(L_PER,B69))</f>
        <v/>
      </c>
      <c r="E69" s="71" t="str">
        <f aca="false">IF(B69="","",SUMIFS(L_IMPONIBLE,L_PER,B69))</f>
        <v/>
      </c>
      <c r="F69" s="71" t="str">
        <f aca="false">IF(B69="","",SUMIFS(L_AFP,L_PER,B69)+SUMIFS(L_SALUD,L_PER,B69)+SUMIFS(L_AFCT,L_PER,B69))</f>
        <v/>
      </c>
      <c r="G69" s="71" t="str">
        <f aca="false">IF(B69="","",SUMIFS(L_EMPPREV,L_PER,B69)+SUMIFS(L_AFCE,L_PER,B69)+SUMIFS(L_MUT,L_PER,B69))</f>
        <v/>
      </c>
      <c r="H69" s="71" t="str">
        <f aca="false">IF(B69="","",F69+G69-SUMIFS(L_ASIGFAM,L_PER,B69))</f>
        <v/>
      </c>
      <c r="I69" s="71" t="str">
        <f aca="false">IF(B69="","",SUMIFS(L_IMP,L_PER,B69))</f>
        <v/>
      </c>
      <c r="J69" s="75" t="str">
        <f aca="false">IF(B69="","",DATE(YEAR(B69),MONTH(B69)+1,20))</f>
        <v/>
      </c>
      <c r="K69" s="67"/>
      <c r="L69" s="71" t="str">
        <f aca="false">IF(OR(B69="",NOT(ISNUMBER(K69))),"",K69-H69)</f>
        <v/>
      </c>
      <c r="M69" s="65"/>
      <c r="N69" s="64"/>
      <c r="O69" s="70" t="str">
        <f aca="false">IF(B69="","",IF(ISNUMBER(M69),IF(M69&lt;=C69,"Pagado","Pagado con atraso"),IF(FECHA_CORTE&gt;C69,"VENCIDO","Pendiente – vence en "&amp;(C69-FECHA_CORTE)&amp;" días")))</f>
        <v/>
      </c>
      <c r="P69" s="64"/>
    </row>
    <row r="70" customFormat="false" ht="15" hidden="false" customHeight="false" outlineLevel="0" collapsed="false">
      <c r="B70" s="78"/>
      <c r="C70" s="75" t="str">
        <f aca="false">IF(B70="","",IF(LEFT(MODALIDAD_PAGO,4)="Elec",DATE(YEAR(B70),MONTH(B70)+1,DIA_PAGO_ELEC),WORKDAY(DATE(YEAR(B70),MONTH(B70)+1,DIA_PAGO_MANUAL)-1,1,FERIADOS)))</f>
        <v/>
      </c>
      <c r="D70" s="73" t="str">
        <f aca="false">IF(B70="","",COUNTIFS(L_PER,B70))</f>
        <v/>
      </c>
      <c r="E70" s="71" t="str">
        <f aca="false">IF(B70="","",SUMIFS(L_IMPONIBLE,L_PER,B70))</f>
        <v/>
      </c>
      <c r="F70" s="71" t="str">
        <f aca="false">IF(B70="","",SUMIFS(L_AFP,L_PER,B70)+SUMIFS(L_SALUD,L_PER,B70)+SUMIFS(L_AFCT,L_PER,B70))</f>
        <v/>
      </c>
      <c r="G70" s="71" t="str">
        <f aca="false">IF(B70="","",SUMIFS(L_EMPPREV,L_PER,B70)+SUMIFS(L_AFCE,L_PER,B70)+SUMIFS(L_MUT,L_PER,B70))</f>
        <v/>
      </c>
      <c r="H70" s="71" t="str">
        <f aca="false">IF(B70="","",F70+G70-SUMIFS(L_ASIGFAM,L_PER,B70))</f>
        <v/>
      </c>
      <c r="I70" s="71" t="str">
        <f aca="false">IF(B70="","",SUMIFS(L_IMP,L_PER,B70))</f>
        <v/>
      </c>
      <c r="J70" s="75" t="str">
        <f aca="false">IF(B70="","",DATE(YEAR(B70),MONTH(B70)+1,20))</f>
        <v/>
      </c>
      <c r="K70" s="67"/>
      <c r="L70" s="71" t="str">
        <f aca="false">IF(OR(B70="",NOT(ISNUMBER(K70))),"",K70-H70)</f>
        <v/>
      </c>
      <c r="M70" s="65"/>
      <c r="N70" s="64"/>
      <c r="O70" s="70" t="str">
        <f aca="false">IF(B70="","",IF(ISNUMBER(M70),IF(M70&lt;=C70,"Pagado","Pagado con atraso"),IF(FECHA_CORTE&gt;C70,"VENCIDO","Pendiente – vence en "&amp;(C70-FECHA_CORTE)&amp;" días")))</f>
        <v/>
      </c>
      <c r="P70" s="64"/>
    </row>
    <row r="71" customFormat="false" ht="15" hidden="false" customHeight="false" outlineLevel="0" collapsed="false">
      <c r="B71" s="78"/>
      <c r="C71" s="75" t="str">
        <f aca="false">IF(B71="","",IF(LEFT(MODALIDAD_PAGO,4)="Elec",DATE(YEAR(B71),MONTH(B71)+1,DIA_PAGO_ELEC),WORKDAY(DATE(YEAR(B71),MONTH(B71)+1,DIA_PAGO_MANUAL)-1,1,FERIADOS)))</f>
        <v/>
      </c>
      <c r="D71" s="73" t="str">
        <f aca="false">IF(B71="","",COUNTIFS(L_PER,B71))</f>
        <v/>
      </c>
      <c r="E71" s="71" t="str">
        <f aca="false">IF(B71="","",SUMIFS(L_IMPONIBLE,L_PER,B71))</f>
        <v/>
      </c>
      <c r="F71" s="71" t="str">
        <f aca="false">IF(B71="","",SUMIFS(L_AFP,L_PER,B71)+SUMIFS(L_SALUD,L_PER,B71)+SUMIFS(L_AFCT,L_PER,B71))</f>
        <v/>
      </c>
      <c r="G71" s="71" t="str">
        <f aca="false">IF(B71="","",SUMIFS(L_EMPPREV,L_PER,B71)+SUMIFS(L_AFCE,L_PER,B71)+SUMIFS(L_MUT,L_PER,B71))</f>
        <v/>
      </c>
      <c r="H71" s="71" t="str">
        <f aca="false">IF(B71="","",F71+G71-SUMIFS(L_ASIGFAM,L_PER,B71))</f>
        <v/>
      </c>
      <c r="I71" s="71" t="str">
        <f aca="false">IF(B71="","",SUMIFS(L_IMP,L_PER,B71))</f>
        <v/>
      </c>
      <c r="J71" s="75" t="str">
        <f aca="false">IF(B71="","",DATE(YEAR(B71),MONTH(B71)+1,20))</f>
        <v/>
      </c>
      <c r="K71" s="67"/>
      <c r="L71" s="71" t="str">
        <f aca="false">IF(OR(B71="",NOT(ISNUMBER(K71))),"",K71-H71)</f>
        <v/>
      </c>
      <c r="M71" s="65"/>
      <c r="N71" s="64"/>
      <c r="O71" s="70" t="str">
        <f aca="false">IF(B71="","",IF(ISNUMBER(M71),IF(M71&lt;=C71,"Pagado","Pagado con atraso"),IF(FECHA_CORTE&gt;C71,"VENCIDO","Pendiente – vence en "&amp;(C71-FECHA_CORTE)&amp;" días")))</f>
        <v/>
      </c>
      <c r="P71" s="64"/>
    </row>
    <row r="72" customFormat="false" ht="15" hidden="false" customHeight="false" outlineLevel="0" collapsed="false">
      <c r="B72" s="78"/>
      <c r="C72" s="75" t="str">
        <f aca="false">IF(B72="","",IF(LEFT(MODALIDAD_PAGO,4)="Elec",DATE(YEAR(B72),MONTH(B72)+1,DIA_PAGO_ELEC),WORKDAY(DATE(YEAR(B72),MONTH(B72)+1,DIA_PAGO_MANUAL)-1,1,FERIADOS)))</f>
        <v/>
      </c>
      <c r="D72" s="73" t="str">
        <f aca="false">IF(B72="","",COUNTIFS(L_PER,B72))</f>
        <v/>
      </c>
      <c r="E72" s="71" t="str">
        <f aca="false">IF(B72="","",SUMIFS(L_IMPONIBLE,L_PER,B72))</f>
        <v/>
      </c>
      <c r="F72" s="71" t="str">
        <f aca="false">IF(B72="","",SUMIFS(L_AFP,L_PER,B72)+SUMIFS(L_SALUD,L_PER,B72)+SUMIFS(L_AFCT,L_PER,B72))</f>
        <v/>
      </c>
      <c r="G72" s="71" t="str">
        <f aca="false">IF(B72="","",SUMIFS(L_EMPPREV,L_PER,B72)+SUMIFS(L_AFCE,L_PER,B72)+SUMIFS(L_MUT,L_PER,B72))</f>
        <v/>
      </c>
      <c r="H72" s="71" t="str">
        <f aca="false">IF(B72="","",F72+G72-SUMIFS(L_ASIGFAM,L_PER,B72))</f>
        <v/>
      </c>
      <c r="I72" s="71" t="str">
        <f aca="false">IF(B72="","",SUMIFS(L_IMP,L_PER,B72))</f>
        <v/>
      </c>
      <c r="J72" s="75" t="str">
        <f aca="false">IF(B72="","",DATE(YEAR(B72),MONTH(B72)+1,20))</f>
        <v/>
      </c>
      <c r="K72" s="67"/>
      <c r="L72" s="71" t="str">
        <f aca="false">IF(OR(B72="",NOT(ISNUMBER(K72))),"",K72-H72)</f>
        <v/>
      </c>
      <c r="M72" s="65"/>
      <c r="N72" s="64"/>
      <c r="O72" s="70" t="str">
        <f aca="false">IF(B72="","",IF(ISNUMBER(M72),IF(M72&lt;=C72,"Pagado","Pagado con atraso"),IF(FECHA_CORTE&gt;C72,"VENCIDO","Pendiente – vence en "&amp;(C72-FECHA_CORTE)&amp;" días")))</f>
        <v/>
      </c>
      <c r="P72" s="64"/>
    </row>
    <row r="73" customFormat="false" ht="15" hidden="false" customHeight="false" outlineLevel="0" collapsed="false">
      <c r="B73" s="78"/>
      <c r="C73" s="75" t="str">
        <f aca="false">IF(B73="","",IF(LEFT(MODALIDAD_PAGO,4)="Elec",DATE(YEAR(B73),MONTH(B73)+1,DIA_PAGO_ELEC),WORKDAY(DATE(YEAR(B73),MONTH(B73)+1,DIA_PAGO_MANUAL)-1,1,FERIADOS)))</f>
        <v/>
      </c>
      <c r="D73" s="73" t="str">
        <f aca="false">IF(B73="","",COUNTIFS(L_PER,B73))</f>
        <v/>
      </c>
      <c r="E73" s="71" t="str">
        <f aca="false">IF(B73="","",SUMIFS(L_IMPONIBLE,L_PER,B73))</f>
        <v/>
      </c>
      <c r="F73" s="71" t="str">
        <f aca="false">IF(B73="","",SUMIFS(L_AFP,L_PER,B73)+SUMIFS(L_SALUD,L_PER,B73)+SUMIFS(L_AFCT,L_PER,B73))</f>
        <v/>
      </c>
      <c r="G73" s="71" t="str">
        <f aca="false">IF(B73="","",SUMIFS(L_EMPPREV,L_PER,B73)+SUMIFS(L_AFCE,L_PER,B73)+SUMIFS(L_MUT,L_PER,B73))</f>
        <v/>
      </c>
      <c r="H73" s="71" t="str">
        <f aca="false">IF(B73="","",F73+G73-SUMIFS(L_ASIGFAM,L_PER,B73))</f>
        <v/>
      </c>
      <c r="I73" s="71" t="str">
        <f aca="false">IF(B73="","",SUMIFS(L_IMP,L_PER,B73))</f>
        <v/>
      </c>
      <c r="J73" s="75" t="str">
        <f aca="false">IF(B73="","",DATE(YEAR(B73),MONTH(B73)+1,20))</f>
        <v/>
      </c>
      <c r="K73" s="67"/>
      <c r="L73" s="71" t="str">
        <f aca="false">IF(OR(B73="",NOT(ISNUMBER(K73))),"",K73-H73)</f>
        <v/>
      </c>
      <c r="M73" s="65"/>
      <c r="N73" s="64"/>
      <c r="O73" s="70" t="str">
        <f aca="false">IF(B73="","",IF(ISNUMBER(M73),IF(M73&lt;=C73,"Pagado","Pagado con atraso"),IF(FECHA_CORTE&gt;C73,"VENCIDO","Pendiente – vence en "&amp;(C73-FECHA_CORTE)&amp;" días")))</f>
        <v/>
      </c>
      <c r="P73" s="64"/>
    </row>
    <row r="74" customFormat="false" ht="15" hidden="false" customHeight="false" outlineLevel="0" collapsed="false">
      <c r="B74" s="78"/>
      <c r="C74" s="75" t="str">
        <f aca="false">IF(B74="","",IF(LEFT(MODALIDAD_PAGO,4)="Elec",DATE(YEAR(B74),MONTH(B74)+1,DIA_PAGO_ELEC),WORKDAY(DATE(YEAR(B74),MONTH(B74)+1,DIA_PAGO_MANUAL)-1,1,FERIADOS)))</f>
        <v/>
      </c>
      <c r="D74" s="73" t="str">
        <f aca="false">IF(B74="","",COUNTIFS(L_PER,B74))</f>
        <v/>
      </c>
      <c r="E74" s="71" t="str">
        <f aca="false">IF(B74="","",SUMIFS(L_IMPONIBLE,L_PER,B74))</f>
        <v/>
      </c>
      <c r="F74" s="71" t="str">
        <f aca="false">IF(B74="","",SUMIFS(L_AFP,L_PER,B74)+SUMIFS(L_SALUD,L_PER,B74)+SUMIFS(L_AFCT,L_PER,B74))</f>
        <v/>
      </c>
      <c r="G74" s="71" t="str">
        <f aca="false">IF(B74="","",SUMIFS(L_EMPPREV,L_PER,B74)+SUMIFS(L_AFCE,L_PER,B74)+SUMIFS(L_MUT,L_PER,B74))</f>
        <v/>
      </c>
      <c r="H74" s="71" t="str">
        <f aca="false">IF(B74="","",F74+G74-SUMIFS(L_ASIGFAM,L_PER,B74))</f>
        <v/>
      </c>
      <c r="I74" s="71" t="str">
        <f aca="false">IF(B74="","",SUMIFS(L_IMP,L_PER,B74))</f>
        <v/>
      </c>
      <c r="J74" s="75" t="str">
        <f aca="false">IF(B74="","",DATE(YEAR(B74),MONTH(B74)+1,20))</f>
        <v/>
      </c>
      <c r="K74" s="67"/>
      <c r="L74" s="71" t="str">
        <f aca="false">IF(OR(B74="",NOT(ISNUMBER(K74))),"",K74-H74)</f>
        <v/>
      </c>
      <c r="M74" s="65"/>
      <c r="N74" s="64"/>
      <c r="O74" s="70" t="str">
        <f aca="false">IF(B74="","",IF(ISNUMBER(M74),IF(M74&lt;=C74,"Pagado","Pagado con atraso"),IF(FECHA_CORTE&gt;C74,"VENCIDO","Pendiente – vence en "&amp;(C74-FECHA_CORTE)&amp;" días")))</f>
        <v/>
      </c>
      <c r="P74" s="64"/>
    </row>
    <row r="75" customFormat="false" ht="15" hidden="false" customHeight="false" outlineLevel="0" collapsed="false">
      <c r="B75" s="78"/>
      <c r="C75" s="75" t="str">
        <f aca="false">IF(B75="","",IF(LEFT(MODALIDAD_PAGO,4)="Elec",DATE(YEAR(B75),MONTH(B75)+1,DIA_PAGO_ELEC),WORKDAY(DATE(YEAR(B75),MONTH(B75)+1,DIA_PAGO_MANUAL)-1,1,FERIADOS)))</f>
        <v/>
      </c>
      <c r="D75" s="73" t="str">
        <f aca="false">IF(B75="","",COUNTIFS(L_PER,B75))</f>
        <v/>
      </c>
      <c r="E75" s="71" t="str">
        <f aca="false">IF(B75="","",SUMIFS(L_IMPONIBLE,L_PER,B75))</f>
        <v/>
      </c>
      <c r="F75" s="71" t="str">
        <f aca="false">IF(B75="","",SUMIFS(L_AFP,L_PER,B75)+SUMIFS(L_SALUD,L_PER,B75)+SUMIFS(L_AFCT,L_PER,B75))</f>
        <v/>
      </c>
      <c r="G75" s="71" t="str">
        <f aca="false">IF(B75="","",SUMIFS(L_EMPPREV,L_PER,B75)+SUMIFS(L_AFCE,L_PER,B75)+SUMIFS(L_MUT,L_PER,B75))</f>
        <v/>
      </c>
      <c r="H75" s="71" t="str">
        <f aca="false">IF(B75="","",F75+G75-SUMIFS(L_ASIGFAM,L_PER,B75))</f>
        <v/>
      </c>
      <c r="I75" s="71" t="str">
        <f aca="false">IF(B75="","",SUMIFS(L_IMP,L_PER,B75))</f>
        <v/>
      </c>
      <c r="J75" s="75" t="str">
        <f aca="false">IF(B75="","",DATE(YEAR(B75),MONTH(B75)+1,20))</f>
        <v/>
      </c>
      <c r="K75" s="67"/>
      <c r="L75" s="71" t="str">
        <f aca="false">IF(OR(B75="",NOT(ISNUMBER(K75))),"",K75-H75)</f>
        <v/>
      </c>
      <c r="M75" s="65"/>
      <c r="N75" s="64"/>
      <c r="O75" s="70" t="str">
        <f aca="false">IF(B75="","",IF(ISNUMBER(M75),IF(M75&lt;=C75,"Pagado","Pagado con atraso"),IF(FECHA_CORTE&gt;C75,"VENCIDO","Pendiente – vence en "&amp;(C75-FECHA_CORTE)&amp;" días")))</f>
        <v/>
      </c>
      <c r="P75" s="64"/>
    </row>
    <row r="76" customFormat="false" ht="15" hidden="false" customHeight="false" outlineLevel="0" collapsed="false">
      <c r="B76" s="78"/>
      <c r="C76" s="75" t="str">
        <f aca="false">IF(B76="","",IF(LEFT(MODALIDAD_PAGO,4)="Elec",DATE(YEAR(B76),MONTH(B76)+1,DIA_PAGO_ELEC),WORKDAY(DATE(YEAR(B76),MONTH(B76)+1,DIA_PAGO_MANUAL)-1,1,FERIADOS)))</f>
        <v/>
      </c>
      <c r="D76" s="73" t="str">
        <f aca="false">IF(B76="","",COUNTIFS(L_PER,B76))</f>
        <v/>
      </c>
      <c r="E76" s="71" t="str">
        <f aca="false">IF(B76="","",SUMIFS(L_IMPONIBLE,L_PER,B76))</f>
        <v/>
      </c>
      <c r="F76" s="71" t="str">
        <f aca="false">IF(B76="","",SUMIFS(L_AFP,L_PER,B76)+SUMIFS(L_SALUD,L_PER,B76)+SUMIFS(L_AFCT,L_PER,B76))</f>
        <v/>
      </c>
      <c r="G76" s="71" t="str">
        <f aca="false">IF(B76="","",SUMIFS(L_EMPPREV,L_PER,B76)+SUMIFS(L_AFCE,L_PER,B76)+SUMIFS(L_MUT,L_PER,B76))</f>
        <v/>
      </c>
      <c r="H76" s="71" t="str">
        <f aca="false">IF(B76="","",F76+G76-SUMIFS(L_ASIGFAM,L_PER,B76))</f>
        <v/>
      </c>
      <c r="I76" s="71" t="str">
        <f aca="false">IF(B76="","",SUMIFS(L_IMP,L_PER,B76))</f>
        <v/>
      </c>
      <c r="J76" s="75" t="str">
        <f aca="false">IF(B76="","",DATE(YEAR(B76),MONTH(B76)+1,20))</f>
        <v/>
      </c>
      <c r="K76" s="67"/>
      <c r="L76" s="71" t="str">
        <f aca="false">IF(OR(B76="",NOT(ISNUMBER(K76))),"",K76-H76)</f>
        <v/>
      </c>
      <c r="M76" s="65"/>
      <c r="N76" s="64"/>
      <c r="O76" s="70" t="str">
        <f aca="false">IF(B76="","",IF(ISNUMBER(M76),IF(M76&lt;=C76,"Pagado","Pagado con atraso"),IF(FECHA_CORTE&gt;C76,"VENCIDO","Pendiente – vence en "&amp;(C76-FECHA_CORTE)&amp;" días")))</f>
        <v/>
      </c>
      <c r="P76" s="64"/>
    </row>
    <row r="77" customFormat="false" ht="15" hidden="false" customHeight="false" outlineLevel="0" collapsed="false">
      <c r="B77" s="78"/>
      <c r="C77" s="75" t="str">
        <f aca="false">IF(B77="","",IF(LEFT(MODALIDAD_PAGO,4)="Elec",DATE(YEAR(B77),MONTH(B77)+1,DIA_PAGO_ELEC),WORKDAY(DATE(YEAR(B77),MONTH(B77)+1,DIA_PAGO_MANUAL)-1,1,FERIADOS)))</f>
        <v/>
      </c>
      <c r="D77" s="73" t="str">
        <f aca="false">IF(B77="","",COUNTIFS(L_PER,B77))</f>
        <v/>
      </c>
      <c r="E77" s="71" t="str">
        <f aca="false">IF(B77="","",SUMIFS(L_IMPONIBLE,L_PER,B77))</f>
        <v/>
      </c>
      <c r="F77" s="71" t="str">
        <f aca="false">IF(B77="","",SUMIFS(L_AFP,L_PER,B77)+SUMIFS(L_SALUD,L_PER,B77)+SUMIFS(L_AFCT,L_PER,B77))</f>
        <v/>
      </c>
      <c r="G77" s="71" t="str">
        <f aca="false">IF(B77="","",SUMIFS(L_EMPPREV,L_PER,B77)+SUMIFS(L_AFCE,L_PER,B77)+SUMIFS(L_MUT,L_PER,B77))</f>
        <v/>
      </c>
      <c r="H77" s="71" t="str">
        <f aca="false">IF(B77="","",F77+G77-SUMIFS(L_ASIGFAM,L_PER,B77))</f>
        <v/>
      </c>
      <c r="I77" s="71" t="str">
        <f aca="false">IF(B77="","",SUMIFS(L_IMP,L_PER,B77))</f>
        <v/>
      </c>
      <c r="J77" s="75" t="str">
        <f aca="false">IF(B77="","",DATE(YEAR(B77),MONTH(B77)+1,20))</f>
        <v/>
      </c>
      <c r="K77" s="67"/>
      <c r="L77" s="71" t="str">
        <f aca="false">IF(OR(B77="",NOT(ISNUMBER(K77))),"",K77-H77)</f>
        <v/>
      </c>
      <c r="M77" s="65"/>
      <c r="N77" s="64"/>
      <c r="O77" s="70" t="str">
        <f aca="false">IF(B77="","",IF(ISNUMBER(M77),IF(M77&lt;=C77,"Pagado","Pagado con atraso"),IF(FECHA_CORTE&gt;C77,"VENCIDO","Pendiente – vence en "&amp;(C77-FECHA_CORTE)&amp;" días")))</f>
        <v/>
      </c>
      <c r="P77" s="64"/>
    </row>
    <row r="78" customFormat="false" ht="15" hidden="false" customHeight="false" outlineLevel="0" collapsed="false">
      <c r="B78" s="78"/>
      <c r="C78" s="75" t="str">
        <f aca="false">IF(B78="","",IF(LEFT(MODALIDAD_PAGO,4)="Elec",DATE(YEAR(B78),MONTH(B78)+1,DIA_PAGO_ELEC),WORKDAY(DATE(YEAR(B78),MONTH(B78)+1,DIA_PAGO_MANUAL)-1,1,FERIADOS)))</f>
        <v/>
      </c>
      <c r="D78" s="73" t="str">
        <f aca="false">IF(B78="","",COUNTIFS(L_PER,B78))</f>
        <v/>
      </c>
      <c r="E78" s="71" t="str">
        <f aca="false">IF(B78="","",SUMIFS(L_IMPONIBLE,L_PER,B78))</f>
        <v/>
      </c>
      <c r="F78" s="71" t="str">
        <f aca="false">IF(B78="","",SUMIFS(L_AFP,L_PER,B78)+SUMIFS(L_SALUD,L_PER,B78)+SUMIFS(L_AFCT,L_PER,B78))</f>
        <v/>
      </c>
      <c r="G78" s="71" t="str">
        <f aca="false">IF(B78="","",SUMIFS(L_EMPPREV,L_PER,B78)+SUMIFS(L_AFCE,L_PER,B78)+SUMIFS(L_MUT,L_PER,B78))</f>
        <v/>
      </c>
      <c r="H78" s="71" t="str">
        <f aca="false">IF(B78="","",F78+G78-SUMIFS(L_ASIGFAM,L_PER,B78))</f>
        <v/>
      </c>
      <c r="I78" s="71" t="str">
        <f aca="false">IF(B78="","",SUMIFS(L_IMP,L_PER,B78))</f>
        <v/>
      </c>
      <c r="J78" s="75" t="str">
        <f aca="false">IF(B78="","",DATE(YEAR(B78),MONTH(B78)+1,20))</f>
        <v/>
      </c>
      <c r="K78" s="67"/>
      <c r="L78" s="71" t="str">
        <f aca="false">IF(OR(B78="",NOT(ISNUMBER(K78))),"",K78-H78)</f>
        <v/>
      </c>
      <c r="M78" s="65"/>
      <c r="N78" s="64"/>
      <c r="O78" s="70" t="str">
        <f aca="false">IF(B78="","",IF(ISNUMBER(M78),IF(M78&lt;=C78,"Pagado","Pagado con atraso"),IF(FECHA_CORTE&gt;C78,"VENCIDO","Pendiente – vence en "&amp;(C78-FECHA_CORTE)&amp;" días")))</f>
        <v/>
      </c>
      <c r="P78" s="64"/>
    </row>
    <row r="79" customFormat="false" ht="15" hidden="false" customHeight="false" outlineLevel="0" collapsed="false">
      <c r="B79" s="78"/>
      <c r="C79" s="75" t="str">
        <f aca="false">IF(B79="","",IF(LEFT(MODALIDAD_PAGO,4)="Elec",DATE(YEAR(B79),MONTH(B79)+1,DIA_PAGO_ELEC),WORKDAY(DATE(YEAR(B79),MONTH(B79)+1,DIA_PAGO_MANUAL)-1,1,FERIADOS)))</f>
        <v/>
      </c>
      <c r="D79" s="73" t="str">
        <f aca="false">IF(B79="","",COUNTIFS(L_PER,B79))</f>
        <v/>
      </c>
      <c r="E79" s="71" t="str">
        <f aca="false">IF(B79="","",SUMIFS(L_IMPONIBLE,L_PER,B79))</f>
        <v/>
      </c>
      <c r="F79" s="71" t="str">
        <f aca="false">IF(B79="","",SUMIFS(L_AFP,L_PER,B79)+SUMIFS(L_SALUD,L_PER,B79)+SUMIFS(L_AFCT,L_PER,B79))</f>
        <v/>
      </c>
      <c r="G79" s="71" t="str">
        <f aca="false">IF(B79="","",SUMIFS(L_EMPPREV,L_PER,B79)+SUMIFS(L_AFCE,L_PER,B79)+SUMIFS(L_MUT,L_PER,B79))</f>
        <v/>
      </c>
      <c r="H79" s="71" t="str">
        <f aca="false">IF(B79="","",F79+G79-SUMIFS(L_ASIGFAM,L_PER,B79))</f>
        <v/>
      </c>
      <c r="I79" s="71" t="str">
        <f aca="false">IF(B79="","",SUMIFS(L_IMP,L_PER,B79))</f>
        <v/>
      </c>
      <c r="J79" s="75" t="str">
        <f aca="false">IF(B79="","",DATE(YEAR(B79),MONTH(B79)+1,20))</f>
        <v/>
      </c>
      <c r="K79" s="67"/>
      <c r="L79" s="71" t="str">
        <f aca="false">IF(OR(B79="",NOT(ISNUMBER(K79))),"",K79-H79)</f>
        <v/>
      </c>
      <c r="M79" s="65"/>
      <c r="N79" s="64"/>
      <c r="O79" s="70" t="str">
        <f aca="false">IF(B79="","",IF(ISNUMBER(M79),IF(M79&lt;=C79,"Pagado","Pagado con atraso"),IF(FECHA_CORTE&gt;C79,"VENCIDO","Pendiente – vence en "&amp;(C79-FECHA_CORTE)&amp;" días")))</f>
        <v/>
      </c>
      <c r="P79" s="64"/>
    </row>
    <row r="80" customFormat="false" ht="15" hidden="false" customHeight="false" outlineLevel="0" collapsed="false">
      <c r="B80" s="78"/>
      <c r="C80" s="75" t="str">
        <f aca="false">IF(B80="","",IF(LEFT(MODALIDAD_PAGO,4)="Elec",DATE(YEAR(B80),MONTH(B80)+1,DIA_PAGO_ELEC),WORKDAY(DATE(YEAR(B80),MONTH(B80)+1,DIA_PAGO_MANUAL)-1,1,FERIADOS)))</f>
        <v/>
      </c>
      <c r="D80" s="73" t="str">
        <f aca="false">IF(B80="","",COUNTIFS(L_PER,B80))</f>
        <v/>
      </c>
      <c r="E80" s="71" t="str">
        <f aca="false">IF(B80="","",SUMIFS(L_IMPONIBLE,L_PER,B80))</f>
        <v/>
      </c>
      <c r="F80" s="71" t="str">
        <f aca="false">IF(B80="","",SUMIFS(L_AFP,L_PER,B80)+SUMIFS(L_SALUD,L_PER,B80)+SUMIFS(L_AFCT,L_PER,B80))</f>
        <v/>
      </c>
      <c r="G80" s="71" t="str">
        <f aca="false">IF(B80="","",SUMIFS(L_EMPPREV,L_PER,B80)+SUMIFS(L_AFCE,L_PER,B80)+SUMIFS(L_MUT,L_PER,B80))</f>
        <v/>
      </c>
      <c r="H80" s="71" t="str">
        <f aca="false">IF(B80="","",F80+G80-SUMIFS(L_ASIGFAM,L_PER,B80))</f>
        <v/>
      </c>
      <c r="I80" s="71" t="str">
        <f aca="false">IF(B80="","",SUMIFS(L_IMP,L_PER,B80))</f>
        <v/>
      </c>
      <c r="J80" s="75" t="str">
        <f aca="false">IF(B80="","",DATE(YEAR(B80),MONTH(B80)+1,20))</f>
        <v/>
      </c>
      <c r="K80" s="67"/>
      <c r="L80" s="71" t="str">
        <f aca="false">IF(OR(B80="",NOT(ISNUMBER(K80))),"",K80-H80)</f>
        <v/>
      </c>
      <c r="M80" s="65"/>
      <c r="N80" s="64"/>
      <c r="O80" s="70" t="str">
        <f aca="false">IF(B80="","",IF(ISNUMBER(M80),IF(M80&lt;=C80,"Pagado","Pagado con atraso"),IF(FECHA_CORTE&gt;C80,"VENCIDO","Pendiente – vence en "&amp;(C80-FECHA_CORTE)&amp;" días")))</f>
        <v/>
      </c>
      <c r="P80" s="64"/>
    </row>
    <row r="81" customFormat="false" ht="15" hidden="false" customHeight="false" outlineLevel="0" collapsed="false">
      <c r="B81" s="78"/>
      <c r="C81" s="75" t="str">
        <f aca="false">IF(B81="","",IF(LEFT(MODALIDAD_PAGO,4)="Elec",DATE(YEAR(B81),MONTH(B81)+1,DIA_PAGO_ELEC),WORKDAY(DATE(YEAR(B81),MONTH(B81)+1,DIA_PAGO_MANUAL)-1,1,FERIADOS)))</f>
        <v/>
      </c>
      <c r="D81" s="73" t="str">
        <f aca="false">IF(B81="","",COUNTIFS(L_PER,B81))</f>
        <v/>
      </c>
      <c r="E81" s="71" t="str">
        <f aca="false">IF(B81="","",SUMIFS(L_IMPONIBLE,L_PER,B81))</f>
        <v/>
      </c>
      <c r="F81" s="71" t="str">
        <f aca="false">IF(B81="","",SUMIFS(L_AFP,L_PER,B81)+SUMIFS(L_SALUD,L_PER,B81)+SUMIFS(L_AFCT,L_PER,B81))</f>
        <v/>
      </c>
      <c r="G81" s="71" t="str">
        <f aca="false">IF(B81="","",SUMIFS(L_EMPPREV,L_PER,B81)+SUMIFS(L_AFCE,L_PER,B81)+SUMIFS(L_MUT,L_PER,B81))</f>
        <v/>
      </c>
      <c r="H81" s="71" t="str">
        <f aca="false">IF(B81="","",F81+G81-SUMIFS(L_ASIGFAM,L_PER,B81))</f>
        <v/>
      </c>
      <c r="I81" s="71" t="str">
        <f aca="false">IF(B81="","",SUMIFS(L_IMP,L_PER,B81))</f>
        <v/>
      </c>
      <c r="J81" s="75" t="str">
        <f aca="false">IF(B81="","",DATE(YEAR(B81),MONTH(B81)+1,20))</f>
        <v/>
      </c>
      <c r="K81" s="67"/>
      <c r="L81" s="71" t="str">
        <f aca="false">IF(OR(B81="",NOT(ISNUMBER(K81))),"",K81-H81)</f>
        <v/>
      </c>
      <c r="M81" s="65"/>
      <c r="N81" s="64"/>
      <c r="O81" s="70" t="str">
        <f aca="false">IF(B81="","",IF(ISNUMBER(M81),IF(M81&lt;=C81,"Pagado","Pagado con atraso"),IF(FECHA_CORTE&gt;C81,"VENCIDO","Pendiente – vence en "&amp;(C81-FECHA_CORTE)&amp;" días")))</f>
        <v/>
      </c>
      <c r="P81" s="64"/>
    </row>
    <row r="82" customFormat="false" ht="15" hidden="false" customHeight="false" outlineLevel="0" collapsed="false">
      <c r="B82" s="78"/>
      <c r="C82" s="75" t="str">
        <f aca="false">IF(B82="","",IF(LEFT(MODALIDAD_PAGO,4)="Elec",DATE(YEAR(B82),MONTH(B82)+1,DIA_PAGO_ELEC),WORKDAY(DATE(YEAR(B82),MONTH(B82)+1,DIA_PAGO_MANUAL)-1,1,FERIADOS)))</f>
        <v/>
      </c>
      <c r="D82" s="73" t="str">
        <f aca="false">IF(B82="","",COUNTIFS(L_PER,B82))</f>
        <v/>
      </c>
      <c r="E82" s="71" t="str">
        <f aca="false">IF(B82="","",SUMIFS(L_IMPONIBLE,L_PER,B82))</f>
        <v/>
      </c>
      <c r="F82" s="71" t="str">
        <f aca="false">IF(B82="","",SUMIFS(L_AFP,L_PER,B82)+SUMIFS(L_SALUD,L_PER,B82)+SUMIFS(L_AFCT,L_PER,B82))</f>
        <v/>
      </c>
      <c r="G82" s="71" t="str">
        <f aca="false">IF(B82="","",SUMIFS(L_EMPPREV,L_PER,B82)+SUMIFS(L_AFCE,L_PER,B82)+SUMIFS(L_MUT,L_PER,B82))</f>
        <v/>
      </c>
      <c r="H82" s="71" t="str">
        <f aca="false">IF(B82="","",F82+G82-SUMIFS(L_ASIGFAM,L_PER,B82))</f>
        <v/>
      </c>
      <c r="I82" s="71" t="str">
        <f aca="false">IF(B82="","",SUMIFS(L_IMP,L_PER,B82))</f>
        <v/>
      </c>
      <c r="J82" s="75" t="str">
        <f aca="false">IF(B82="","",DATE(YEAR(B82),MONTH(B82)+1,20))</f>
        <v/>
      </c>
      <c r="K82" s="67"/>
      <c r="L82" s="71" t="str">
        <f aca="false">IF(OR(B82="",NOT(ISNUMBER(K82))),"",K82-H82)</f>
        <v/>
      </c>
      <c r="M82" s="65"/>
      <c r="N82" s="64"/>
      <c r="O82" s="70" t="str">
        <f aca="false">IF(B82="","",IF(ISNUMBER(M82),IF(M82&lt;=C82,"Pagado","Pagado con atraso"),IF(FECHA_CORTE&gt;C82,"VENCIDO","Pendiente – vence en "&amp;(C82-FECHA_CORTE)&amp;" días")))</f>
        <v/>
      </c>
      <c r="P82" s="64"/>
    </row>
    <row r="83" customFormat="false" ht="15" hidden="false" customHeight="false" outlineLevel="0" collapsed="false">
      <c r="B83" s="78"/>
      <c r="C83" s="75" t="str">
        <f aca="false">IF(B83="","",IF(LEFT(MODALIDAD_PAGO,4)="Elec",DATE(YEAR(B83),MONTH(B83)+1,DIA_PAGO_ELEC),WORKDAY(DATE(YEAR(B83),MONTH(B83)+1,DIA_PAGO_MANUAL)-1,1,FERIADOS)))</f>
        <v/>
      </c>
      <c r="D83" s="73" t="str">
        <f aca="false">IF(B83="","",COUNTIFS(L_PER,B83))</f>
        <v/>
      </c>
      <c r="E83" s="71" t="str">
        <f aca="false">IF(B83="","",SUMIFS(L_IMPONIBLE,L_PER,B83))</f>
        <v/>
      </c>
      <c r="F83" s="71" t="str">
        <f aca="false">IF(B83="","",SUMIFS(L_AFP,L_PER,B83)+SUMIFS(L_SALUD,L_PER,B83)+SUMIFS(L_AFCT,L_PER,B83))</f>
        <v/>
      </c>
      <c r="G83" s="71" t="str">
        <f aca="false">IF(B83="","",SUMIFS(L_EMPPREV,L_PER,B83)+SUMIFS(L_AFCE,L_PER,B83)+SUMIFS(L_MUT,L_PER,B83))</f>
        <v/>
      </c>
      <c r="H83" s="71" t="str">
        <f aca="false">IF(B83="","",F83+G83-SUMIFS(L_ASIGFAM,L_PER,B83))</f>
        <v/>
      </c>
      <c r="I83" s="71" t="str">
        <f aca="false">IF(B83="","",SUMIFS(L_IMP,L_PER,B83))</f>
        <v/>
      </c>
      <c r="J83" s="75" t="str">
        <f aca="false">IF(B83="","",DATE(YEAR(B83),MONTH(B83)+1,20))</f>
        <v/>
      </c>
      <c r="K83" s="67"/>
      <c r="L83" s="71" t="str">
        <f aca="false">IF(OR(B83="",NOT(ISNUMBER(K83))),"",K83-H83)</f>
        <v/>
      </c>
      <c r="M83" s="65"/>
      <c r="N83" s="64"/>
      <c r="O83" s="70" t="str">
        <f aca="false">IF(B83="","",IF(ISNUMBER(M83),IF(M83&lt;=C83,"Pagado","Pagado con atraso"),IF(FECHA_CORTE&gt;C83,"VENCIDO","Pendiente – vence en "&amp;(C83-FECHA_CORTE)&amp;" días")))</f>
        <v/>
      </c>
      <c r="P83" s="64"/>
    </row>
    <row r="84" customFormat="false" ht="15" hidden="false" customHeight="false" outlineLevel="0" collapsed="false">
      <c r="B84" s="78"/>
      <c r="C84" s="75" t="str">
        <f aca="false">IF(B84="","",IF(LEFT(MODALIDAD_PAGO,4)="Elec",DATE(YEAR(B84),MONTH(B84)+1,DIA_PAGO_ELEC),WORKDAY(DATE(YEAR(B84),MONTH(B84)+1,DIA_PAGO_MANUAL)-1,1,FERIADOS)))</f>
        <v/>
      </c>
      <c r="D84" s="73" t="str">
        <f aca="false">IF(B84="","",COUNTIFS(L_PER,B84))</f>
        <v/>
      </c>
      <c r="E84" s="71" t="str">
        <f aca="false">IF(B84="","",SUMIFS(L_IMPONIBLE,L_PER,B84))</f>
        <v/>
      </c>
      <c r="F84" s="71" t="str">
        <f aca="false">IF(B84="","",SUMIFS(L_AFP,L_PER,B84)+SUMIFS(L_SALUD,L_PER,B84)+SUMIFS(L_AFCT,L_PER,B84))</f>
        <v/>
      </c>
      <c r="G84" s="71" t="str">
        <f aca="false">IF(B84="","",SUMIFS(L_EMPPREV,L_PER,B84)+SUMIFS(L_AFCE,L_PER,B84)+SUMIFS(L_MUT,L_PER,B84))</f>
        <v/>
      </c>
      <c r="H84" s="71" t="str">
        <f aca="false">IF(B84="","",F84+G84-SUMIFS(L_ASIGFAM,L_PER,B84))</f>
        <v/>
      </c>
      <c r="I84" s="71" t="str">
        <f aca="false">IF(B84="","",SUMIFS(L_IMP,L_PER,B84))</f>
        <v/>
      </c>
      <c r="J84" s="75" t="str">
        <f aca="false">IF(B84="","",DATE(YEAR(B84),MONTH(B84)+1,20))</f>
        <v/>
      </c>
      <c r="K84" s="67"/>
      <c r="L84" s="71" t="str">
        <f aca="false">IF(OR(B84="",NOT(ISNUMBER(K84))),"",K84-H84)</f>
        <v/>
      </c>
      <c r="M84" s="65"/>
      <c r="N84" s="64"/>
      <c r="O84" s="70" t="str">
        <f aca="false">IF(B84="","",IF(ISNUMBER(M84),IF(M84&lt;=C84,"Pagado","Pagado con atraso"),IF(FECHA_CORTE&gt;C84,"VENCIDO","Pendiente – vence en "&amp;(C84-FECHA_CORTE)&amp;" días")))</f>
        <v/>
      </c>
      <c r="P84" s="64"/>
    </row>
    <row r="85" customFormat="false" ht="15" hidden="false" customHeight="false" outlineLevel="0" collapsed="false">
      <c r="B85" s="78"/>
      <c r="C85" s="75" t="str">
        <f aca="false">IF(B85="","",IF(LEFT(MODALIDAD_PAGO,4)="Elec",DATE(YEAR(B85),MONTH(B85)+1,DIA_PAGO_ELEC),WORKDAY(DATE(YEAR(B85),MONTH(B85)+1,DIA_PAGO_MANUAL)-1,1,FERIADOS)))</f>
        <v/>
      </c>
      <c r="D85" s="73" t="str">
        <f aca="false">IF(B85="","",COUNTIFS(L_PER,B85))</f>
        <v/>
      </c>
      <c r="E85" s="71" t="str">
        <f aca="false">IF(B85="","",SUMIFS(L_IMPONIBLE,L_PER,B85))</f>
        <v/>
      </c>
      <c r="F85" s="71" t="str">
        <f aca="false">IF(B85="","",SUMIFS(L_AFP,L_PER,B85)+SUMIFS(L_SALUD,L_PER,B85)+SUMIFS(L_AFCT,L_PER,B85))</f>
        <v/>
      </c>
      <c r="G85" s="71" t="str">
        <f aca="false">IF(B85="","",SUMIFS(L_EMPPREV,L_PER,B85)+SUMIFS(L_AFCE,L_PER,B85)+SUMIFS(L_MUT,L_PER,B85))</f>
        <v/>
      </c>
      <c r="H85" s="71" t="str">
        <f aca="false">IF(B85="","",F85+G85-SUMIFS(L_ASIGFAM,L_PER,B85))</f>
        <v/>
      </c>
      <c r="I85" s="71" t="str">
        <f aca="false">IF(B85="","",SUMIFS(L_IMP,L_PER,B85))</f>
        <v/>
      </c>
      <c r="J85" s="75" t="str">
        <f aca="false">IF(B85="","",DATE(YEAR(B85),MONTH(B85)+1,20))</f>
        <v/>
      </c>
      <c r="K85" s="67"/>
      <c r="L85" s="71" t="str">
        <f aca="false">IF(OR(B85="",NOT(ISNUMBER(K85))),"",K85-H85)</f>
        <v/>
      </c>
      <c r="M85" s="65"/>
      <c r="N85" s="64"/>
      <c r="O85" s="70" t="str">
        <f aca="false">IF(B85="","",IF(ISNUMBER(M85),IF(M85&lt;=C85,"Pagado","Pagado con atraso"),IF(FECHA_CORTE&gt;C85,"VENCIDO","Pendiente – vence en "&amp;(C85-FECHA_CORTE)&amp;" días")))</f>
        <v/>
      </c>
      <c r="P85" s="64"/>
    </row>
    <row r="86" customFormat="false" ht="15" hidden="false" customHeight="false" outlineLevel="0" collapsed="false">
      <c r="B86" s="78"/>
      <c r="C86" s="75" t="str">
        <f aca="false">IF(B86="","",IF(LEFT(MODALIDAD_PAGO,4)="Elec",DATE(YEAR(B86),MONTH(B86)+1,DIA_PAGO_ELEC),WORKDAY(DATE(YEAR(B86),MONTH(B86)+1,DIA_PAGO_MANUAL)-1,1,FERIADOS)))</f>
        <v/>
      </c>
      <c r="D86" s="73" t="str">
        <f aca="false">IF(B86="","",COUNTIFS(L_PER,B86))</f>
        <v/>
      </c>
      <c r="E86" s="71" t="str">
        <f aca="false">IF(B86="","",SUMIFS(L_IMPONIBLE,L_PER,B86))</f>
        <v/>
      </c>
      <c r="F86" s="71" t="str">
        <f aca="false">IF(B86="","",SUMIFS(L_AFP,L_PER,B86)+SUMIFS(L_SALUD,L_PER,B86)+SUMIFS(L_AFCT,L_PER,B86))</f>
        <v/>
      </c>
      <c r="G86" s="71" t="str">
        <f aca="false">IF(B86="","",SUMIFS(L_EMPPREV,L_PER,B86)+SUMIFS(L_AFCE,L_PER,B86)+SUMIFS(L_MUT,L_PER,B86))</f>
        <v/>
      </c>
      <c r="H86" s="71" t="str">
        <f aca="false">IF(B86="","",F86+G86-SUMIFS(L_ASIGFAM,L_PER,B86))</f>
        <v/>
      </c>
      <c r="I86" s="71" t="str">
        <f aca="false">IF(B86="","",SUMIFS(L_IMP,L_PER,B86))</f>
        <v/>
      </c>
      <c r="J86" s="75" t="str">
        <f aca="false">IF(B86="","",DATE(YEAR(B86),MONTH(B86)+1,20))</f>
        <v/>
      </c>
      <c r="K86" s="67"/>
      <c r="L86" s="71" t="str">
        <f aca="false">IF(OR(B86="",NOT(ISNUMBER(K86))),"",K86-H86)</f>
        <v/>
      </c>
      <c r="M86" s="65"/>
      <c r="N86" s="64"/>
      <c r="O86" s="70" t="str">
        <f aca="false">IF(B86="","",IF(ISNUMBER(M86),IF(M86&lt;=C86,"Pagado","Pagado con atraso"),IF(FECHA_CORTE&gt;C86,"VENCIDO","Pendiente – vence en "&amp;(C86-FECHA_CORTE)&amp;" días")))</f>
        <v/>
      </c>
      <c r="P86" s="64"/>
    </row>
    <row r="87" customFormat="false" ht="15" hidden="false" customHeight="false" outlineLevel="0" collapsed="false">
      <c r="B87" s="78"/>
      <c r="C87" s="75" t="str">
        <f aca="false">IF(B87="","",IF(LEFT(MODALIDAD_PAGO,4)="Elec",DATE(YEAR(B87),MONTH(B87)+1,DIA_PAGO_ELEC),WORKDAY(DATE(YEAR(B87),MONTH(B87)+1,DIA_PAGO_MANUAL)-1,1,FERIADOS)))</f>
        <v/>
      </c>
      <c r="D87" s="73" t="str">
        <f aca="false">IF(B87="","",COUNTIFS(L_PER,B87))</f>
        <v/>
      </c>
      <c r="E87" s="71" t="str">
        <f aca="false">IF(B87="","",SUMIFS(L_IMPONIBLE,L_PER,B87))</f>
        <v/>
      </c>
      <c r="F87" s="71" t="str">
        <f aca="false">IF(B87="","",SUMIFS(L_AFP,L_PER,B87)+SUMIFS(L_SALUD,L_PER,B87)+SUMIFS(L_AFCT,L_PER,B87))</f>
        <v/>
      </c>
      <c r="G87" s="71" t="str">
        <f aca="false">IF(B87="","",SUMIFS(L_EMPPREV,L_PER,B87)+SUMIFS(L_AFCE,L_PER,B87)+SUMIFS(L_MUT,L_PER,B87))</f>
        <v/>
      </c>
      <c r="H87" s="71" t="str">
        <f aca="false">IF(B87="","",F87+G87-SUMIFS(L_ASIGFAM,L_PER,B87))</f>
        <v/>
      </c>
      <c r="I87" s="71" t="str">
        <f aca="false">IF(B87="","",SUMIFS(L_IMP,L_PER,B87))</f>
        <v/>
      </c>
      <c r="J87" s="75" t="str">
        <f aca="false">IF(B87="","",DATE(YEAR(B87),MONTH(B87)+1,20))</f>
        <v/>
      </c>
      <c r="K87" s="67"/>
      <c r="L87" s="71" t="str">
        <f aca="false">IF(OR(B87="",NOT(ISNUMBER(K87))),"",K87-H87)</f>
        <v/>
      </c>
      <c r="M87" s="65"/>
      <c r="N87" s="64"/>
      <c r="O87" s="70" t="str">
        <f aca="false">IF(B87="","",IF(ISNUMBER(M87),IF(M87&lt;=C87,"Pagado","Pagado con atraso"),IF(FECHA_CORTE&gt;C87,"VENCIDO","Pendiente – vence en "&amp;(C87-FECHA_CORTE)&amp;" días")))</f>
        <v/>
      </c>
      <c r="P87" s="64"/>
    </row>
    <row r="88" customFormat="false" ht="15" hidden="false" customHeight="false" outlineLevel="0" collapsed="false">
      <c r="B88" s="78"/>
      <c r="C88" s="75" t="str">
        <f aca="false">IF(B88="","",IF(LEFT(MODALIDAD_PAGO,4)="Elec",DATE(YEAR(B88),MONTH(B88)+1,DIA_PAGO_ELEC),WORKDAY(DATE(YEAR(B88),MONTH(B88)+1,DIA_PAGO_MANUAL)-1,1,FERIADOS)))</f>
        <v/>
      </c>
      <c r="D88" s="73" t="str">
        <f aca="false">IF(B88="","",COUNTIFS(L_PER,B88))</f>
        <v/>
      </c>
      <c r="E88" s="71" t="str">
        <f aca="false">IF(B88="","",SUMIFS(L_IMPONIBLE,L_PER,B88))</f>
        <v/>
      </c>
      <c r="F88" s="71" t="str">
        <f aca="false">IF(B88="","",SUMIFS(L_AFP,L_PER,B88)+SUMIFS(L_SALUD,L_PER,B88)+SUMIFS(L_AFCT,L_PER,B88))</f>
        <v/>
      </c>
      <c r="G88" s="71" t="str">
        <f aca="false">IF(B88="","",SUMIFS(L_EMPPREV,L_PER,B88)+SUMIFS(L_AFCE,L_PER,B88)+SUMIFS(L_MUT,L_PER,B88))</f>
        <v/>
      </c>
      <c r="H88" s="71" t="str">
        <f aca="false">IF(B88="","",F88+G88-SUMIFS(L_ASIGFAM,L_PER,B88))</f>
        <v/>
      </c>
      <c r="I88" s="71" t="str">
        <f aca="false">IF(B88="","",SUMIFS(L_IMP,L_PER,B88))</f>
        <v/>
      </c>
      <c r="J88" s="75" t="str">
        <f aca="false">IF(B88="","",DATE(YEAR(B88),MONTH(B88)+1,20))</f>
        <v/>
      </c>
      <c r="K88" s="67"/>
      <c r="L88" s="71" t="str">
        <f aca="false">IF(OR(B88="",NOT(ISNUMBER(K88))),"",K88-H88)</f>
        <v/>
      </c>
      <c r="M88" s="65"/>
      <c r="N88" s="64"/>
      <c r="O88" s="70" t="str">
        <f aca="false">IF(B88="","",IF(ISNUMBER(M88),IF(M88&lt;=C88,"Pagado","Pagado con atraso"),IF(FECHA_CORTE&gt;C88,"VENCIDO","Pendiente – vence en "&amp;(C88-FECHA_CORTE)&amp;" días")))</f>
        <v/>
      </c>
      <c r="P88" s="64"/>
    </row>
    <row r="89" customFormat="false" ht="15" hidden="false" customHeight="false" outlineLevel="0" collapsed="false">
      <c r="B89" s="78"/>
      <c r="C89" s="75" t="str">
        <f aca="false">IF(B89="","",IF(LEFT(MODALIDAD_PAGO,4)="Elec",DATE(YEAR(B89),MONTH(B89)+1,DIA_PAGO_ELEC),WORKDAY(DATE(YEAR(B89),MONTH(B89)+1,DIA_PAGO_MANUAL)-1,1,FERIADOS)))</f>
        <v/>
      </c>
      <c r="D89" s="73" t="str">
        <f aca="false">IF(B89="","",COUNTIFS(L_PER,B89))</f>
        <v/>
      </c>
      <c r="E89" s="71" t="str">
        <f aca="false">IF(B89="","",SUMIFS(L_IMPONIBLE,L_PER,B89))</f>
        <v/>
      </c>
      <c r="F89" s="71" t="str">
        <f aca="false">IF(B89="","",SUMIFS(L_AFP,L_PER,B89)+SUMIFS(L_SALUD,L_PER,B89)+SUMIFS(L_AFCT,L_PER,B89))</f>
        <v/>
      </c>
      <c r="G89" s="71" t="str">
        <f aca="false">IF(B89="","",SUMIFS(L_EMPPREV,L_PER,B89)+SUMIFS(L_AFCE,L_PER,B89)+SUMIFS(L_MUT,L_PER,B89))</f>
        <v/>
      </c>
      <c r="H89" s="71" t="str">
        <f aca="false">IF(B89="","",F89+G89-SUMIFS(L_ASIGFAM,L_PER,B89))</f>
        <v/>
      </c>
      <c r="I89" s="71" t="str">
        <f aca="false">IF(B89="","",SUMIFS(L_IMP,L_PER,B89))</f>
        <v/>
      </c>
      <c r="J89" s="75" t="str">
        <f aca="false">IF(B89="","",DATE(YEAR(B89),MONTH(B89)+1,20))</f>
        <v/>
      </c>
      <c r="K89" s="67"/>
      <c r="L89" s="71" t="str">
        <f aca="false">IF(OR(B89="",NOT(ISNUMBER(K89))),"",K89-H89)</f>
        <v/>
      </c>
      <c r="M89" s="65"/>
      <c r="N89" s="64"/>
      <c r="O89" s="70" t="str">
        <f aca="false">IF(B89="","",IF(ISNUMBER(M89),IF(M89&lt;=C89,"Pagado","Pagado con atraso"),IF(FECHA_CORTE&gt;C89,"VENCIDO","Pendiente – vence en "&amp;(C89-FECHA_CORTE)&amp;" días")))</f>
        <v/>
      </c>
      <c r="P89" s="64"/>
    </row>
    <row r="90" customFormat="false" ht="15" hidden="false" customHeight="false" outlineLevel="0" collapsed="false">
      <c r="B90" s="78"/>
      <c r="C90" s="75" t="str">
        <f aca="false">IF(B90="","",IF(LEFT(MODALIDAD_PAGO,4)="Elec",DATE(YEAR(B90),MONTH(B90)+1,DIA_PAGO_ELEC),WORKDAY(DATE(YEAR(B90),MONTH(B90)+1,DIA_PAGO_MANUAL)-1,1,FERIADOS)))</f>
        <v/>
      </c>
      <c r="D90" s="73" t="str">
        <f aca="false">IF(B90="","",COUNTIFS(L_PER,B90))</f>
        <v/>
      </c>
      <c r="E90" s="71" t="str">
        <f aca="false">IF(B90="","",SUMIFS(L_IMPONIBLE,L_PER,B90))</f>
        <v/>
      </c>
      <c r="F90" s="71" t="str">
        <f aca="false">IF(B90="","",SUMIFS(L_AFP,L_PER,B90)+SUMIFS(L_SALUD,L_PER,B90)+SUMIFS(L_AFCT,L_PER,B90))</f>
        <v/>
      </c>
      <c r="G90" s="71" t="str">
        <f aca="false">IF(B90="","",SUMIFS(L_EMPPREV,L_PER,B90)+SUMIFS(L_AFCE,L_PER,B90)+SUMIFS(L_MUT,L_PER,B90))</f>
        <v/>
      </c>
      <c r="H90" s="71" t="str">
        <f aca="false">IF(B90="","",F90+G90-SUMIFS(L_ASIGFAM,L_PER,B90))</f>
        <v/>
      </c>
      <c r="I90" s="71" t="str">
        <f aca="false">IF(B90="","",SUMIFS(L_IMP,L_PER,B90))</f>
        <v/>
      </c>
      <c r="J90" s="75" t="str">
        <f aca="false">IF(B90="","",DATE(YEAR(B90),MONTH(B90)+1,20))</f>
        <v/>
      </c>
      <c r="K90" s="67"/>
      <c r="L90" s="71" t="str">
        <f aca="false">IF(OR(B90="",NOT(ISNUMBER(K90))),"",K90-H90)</f>
        <v/>
      </c>
      <c r="M90" s="65"/>
      <c r="N90" s="64"/>
      <c r="O90" s="70" t="str">
        <f aca="false">IF(B90="","",IF(ISNUMBER(M90),IF(M90&lt;=C90,"Pagado","Pagado con atraso"),IF(FECHA_CORTE&gt;C90,"VENCIDO","Pendiente – vence en "&amp;(C90-FECHA_CORTE)&amp;" días")))</f>
        <v/>
      </c>
      <c r="P90" s="64"/>
    </row>
    <row r="91" customFormat="false" ht="15" hidden="false" customHeight="false" outlineLevel="0" collapsed="false">
      <c r="B91" s="78"/>
      <c r="C91" s="75" t="str">
        <f aca="false">IF(B91="","",IF(LEFT(MODALIDAD_PAGO,4)="Elec",DATE(YEAR(B91),MONTH(B91)+1,DIA_PAGO_ELEC),WORKDAY(DATE(YEAR(B91),MONTH(B91)+1,DIA_PAGO_MANUAL)-1,1,FERIADOS)))</f>
        <v/>
      </c>
      <c r="D91" s="73" t="str">
        <f aca="false">IF(B91="","",COUNTIFS(L_PER,B91))</f>
        <v/>
      </c>
      <c r="E91" s="71" t="str">
        <f aca="false">IF(B91="","",SUMIFS(L_IMPONIBLE,L_PER,B91))</f>
        <v/>
      </c>
      <c r="F91" s="71" t="str">
        <f aca="false">IF(B91="","",SUMIFS(L_AFP,L_PER,B91)+SUMIFS(L_SALUD,L_PER,B91)+SUMIFS(L_AFCT,L_PER,B91))</f>
        <v/>
      </c>
      <c r="G91" s="71" t="str">
        <f aca="false">IF(B91="","",SUMIFS(L_EMPPREV,L_PER,B91)+SUMIFS(L_AFCE,L_PER,B91)+SUMIFS(L_MUT,L_PER,B91))</f>
        <v/>
      </c>
      <c r="H91" s="71" t="str">
        <f aca="false">IF(B91="","",F91+G91-SUMIFS(L_ASIGFAM,L_PER,B91))</f>
        <v/>
      </c>
      <c r="I91" s="71" t="str">
        <f aca="false">IF(B91="","",SUMIFS(L_IMP,L_PER,B91))</f>
        <v/>
      </c>
      <c r="J91" s="75" t="str">
        <f aca="false">IF(B91="","",DATE(YEAR(B91),MONTH(B91)+1,20))</f>
        <v/>
      </c>
      <c r="K91" s="67"/>
      <c r="L91" s="71" t="str">
        <f aca="false">IF(OR(B91="",NOT(ISNUMBER(K91))),"",K91-H91)</f>
        <v/>
      </c>
      <c r="M91" s="65"/>
      <c r="N91" s="64"/>
      <c r="O91" s="70" t="str">
        <f aca="false">IF(B91="","",IF(ISNUMBER(M91),IF(M91&lt;=C91,"Pagado","Pagado con atraso"),IF(FECHA_CORTE&gt;C91,"VENCIDO","Pendiente – vence en "&amp;(C91-FECHA_CORTE)&amp;" días")))</f>
        <v/>
      </c>
      <c r="P91" s="64"/>
    </row>
    <row r="92" customFormat="false" ht="15" hidden="false" customHeight="false" outlineLevel="0" collapsed="false">
      <c r="B92" s="78"/>
      <c r="C92" s="75" t="str">
        <f aca="false">IF(B92="","",IF(LEFT(MODALIDAD_PAGO,4)="Elec",DATE(YEAR(B92),MONTH(B92)+1,DIA_PAGO_ELEC),WORKDAY(DATE(YEAR(B92),MONTH(B92)+1,DIA_PAGO_MANUAL)-1,1,FERIADOS)))</f>
        <v/>
      </c>
      <c r="D92" s="73" t="str">
        <f aca="false">IF(B92="","",COUNTIFS(L_PER,B92))</f>
        <v/>
      </c>
      <c r="E92" s="71" t="str">
        <f aca="false">IF(B92="","",SUMIFS(L_IMPONIBLE,L_PER,B92))</f>
        <v/>
      </c>
      <c r="F92" s="71" t="str">
        <f aca="false">IF(B92="","",SUMIFS(L_AFP,L_PER,B92)+SUMIFS(L_SALUD,L_PER,B92)+SUMIFS(L_AFCT,L_PER,B92))</f>
        <v/>
      </c>
      <c r="G92" s="71" t="str">
        <f aca="false">IF(B92="","",SUMIFS(L_EMPPREV,L_PER,B92)+SUMIFS(L_AFCE,L_PER,B92)+SUMIFS(L_MUT,L_PER,B92))</f>
        <v/>
      </c>
      <c r="H92" s="71" t="str">
        <f aca="false">IF(B92="","",F92+G92-SUMIFS(L_ASIGFAM,L_PER,B92))</f>
        <v/>
      </c>
      <c r="I92" s="71" t="str">
        <f aca="false">IF(B92="","",SUMIFS(L_IMP,L_PER,B92))</f>
        <v/>
      </c>
      <c r="J92" s="75" t="str">
        <f aca="false">IF(B92="","",DATE(YEAR(B92),MONTH(B92)+1,20))</f>
        <v/>
      </c>
      <c r="K92" s="67"/>
      <c r="L92" s="71" t="str">
        <f aca="false">IF(OR(B92="",NOT(ISNUMBER(K92))),"",K92-H92)</f>
        <v/>
      </c>
      <c r="M92" s="65"/>
      <c r="N92" s="64"/>
      <c r="O92" s="70" t="str">
        <f aca="false">IF(B92="","",IF(ISNUMBER(M92),IF(M92&lt;=C92,"Pagado","Pagado con atraso"),IF(FECHA_CORTE&gt;C92,"VENCIDO","Pendiente – vence en "&amp;(C92-FECHA_CORTE)&amp;" días")))</f>
        <v/>
      </c>
      <c r="P92" s="64"/>
    </row>
    <row r="93" customFormat="false" ht="15" hidden="false" customHeight="false" outlineLevel="0" collapsed="false">
      <c r="B93" s="78"/>
      <c r="C93" s="75" t="str">
        <f aca="false">IF(B93="","",IF(LEFT(MODALIDAD_PAGO,4)="Elec",DATE(YEAR(B93),MONTH(B93)+1,DIA_PAGO_ELEC),WORKDAY(DATE(YEAR(B93),MONTH(B93)+1,DIA_PAGO_MANUAL)-1,1,FERIADOS)))</f>
        <v/>
      </c>
      <c r="D93" s="73" t="str">
        <f aca="false">IF(B93="","",COUNTIFS(L_PER,B93))</f>
        <v/>
      </c>
      <c r="E93" s="71" t="str">
        <f aca="false">IF(B93="","",SUMIFS(L_IMPONIBLE,L_PER,B93))</f>
        <v/>
      </c>
      <c r="F93" s="71" t="str">
        <f aca="false">IF(B93="","",SUMIFS(L_AFP,L_PER,B93)+SUMIFS(L_SALUD,L_PER,B93)+SUMIFS(L_AFCT,L_PER,B93))</f>
        <v/>
      </c>
      <c r="G93" s="71" t="str">
        <f aca="false">IF(B93="","",SUMIFS(L_EMPPREV,L_PER,B93)+SUMIFS(L_AFCE,L_PER,B93)+SUMIFS(L_MUT,L_PER,B93))</f>
        <v/>
      </c>
      <c r="H93" s="71" t="str">
        <f aca="false">IF(B93="","",F93+G93-SUMIFS(L_ASIGFAM,L_PER,B93))</f>
        <v/>
      </c>
      <c r="I93" s="71" t="str">
        <f aca="false">IF(B93="","",SUMIFS(L_IMP,L_PER,B93))</f>
        <v/>
      </c>
      <c r="J93" s="75" t="str">
        <f aca="false">IF(B93="","",DATE(YEAR(B93),MONTH(B93)+1,20))</f>
        <v/>
      </c>
      <c r="K93" s="67"/>
      <c r="L93" s="71" t="str">
        <f aca="false">IF(OR(B93="",NOT(ISNUMBER(K93))),"",K93-H93)</f>
        <v/>
      </c>
      <c r="M93" s="65"/>
      <c r="N93" s="64"/>
      <c r="O93" s="70" t="str">
        <f aca="false">IF(B93="","",IF(ISNUMBER(M93),IF(M93&lt;=C93,"Pagado","Pagado con atraso"),IF(FECHA_CORTE&gt;C93,"VENCIDO","Pendiente – vence en "&amp;(C93-FECHA_CORTE)&amp;" días")))</f>
        <v/>
      </c>
      <c r="P93" s="64"/>
    </row>
    <row r="94" customFormat="false" ht="15" hidden="false" customHeight="false" outlineLevel="0" collapsed="false">
      <c r="B94" s="78"/>
      <c r="C94" s="75" t="str">
        <f aca="false">IF(B94="","",IF(LEFT(MODALIDAD_PAGO,4)="Elec",DATE(YEAR(B94),MONTH(B94)+1,DIA_PAGO_ELEC),WORKDAY(DATE(YEAR(B94),MONTH(B94)+1,DIA_PAGO_MANUAL)-1,1,FERIADOS)))</f>
        <v/>
      </c>
      <c r="D94" s="73" t="str">
        <f aca="false">IF(B94="","",COUNTIFS(L_PER,B94))</f>
        <v/>
      </c>
      <c r="E94" s="71" t="str">
        <f aca="false">IF(B94="","",SUMIFS(L_IMPONIBLE,L_PER,B94))</f>
        <v/>
      </c>
      <c r="F94" s="71" t="str">
        <f aca="false">IF(B94="","",SUMIFS(L_AFP,L_PER,B94)+SUMIFS(L_SALUD,L_PER,B94)+SUMIFS(L_AFCT,L_PER,B94))</f>
        <v/>
      </c>
      <c r="G94" s="71" t="str">
        <f aca="false">IF(B94="","",SUMIFS(L_EMPPREV,L_PER,B94)+SUMIFS(L_AFCE,L_PER,B94)+SUMIFS(L_MUT,L_PER,B94))</f>
        <v/>
      </c>
      <c r="H94" s="71" t="str">
        <f aca="false">IF(B94="","",F94+G94-SUMIFS(L_ASIGFAM,L_PER,B94))</f>
        <v/>
      </c>
      <c r="I94" s="71" t="str">
        <f aca="false">IF(B94="","",SUMIFS(L_IMP,L_PER,B94))</f>
        <v/>
      </c>
      <c r="J94" s="75" t="str">
        <f aca="false">IF(B94="","",DATE(YEAR(B94),MONTH(B94)+1,20))</f>
        <v/>
      </c>
      <c r="K94" s="67"/>
      <c r="L94" s="71" t="str">
        <f aca="false">IF(OR(B94="",NOT(ISNUMBER(K94))),"",K94-H94)</f>
        <v/>
      </c>
      <c r="M94" s="65"/>
      <c r="N94" s="64"/>
      <c r="O94" s="70" t="str">
        <f aca="false">IF(B94="","",IF(ISNUMBER(M94),IF(M94&lt;=C94,"Pagado","Pagado con atraso"),IF(FECHA_CORTE&gt;C94,"VENCIDO","Pendiente – vence en "&amp;(C94-FECHA_CORTE)&amp;" días")))</f>
        <v/>
      </c>
      <c r="P94" s="64"/>
    </row>
    <row r="95" customFormat="false" ht="15" hidden="false" customHeight="false" outlineLevel="0" collapsed="false">
      <c r="B95" s="78"/>
      <c r="C95" s="75" t="str">
        <f aca="false">IF(B95="","",IF(LEFT(MODALIDAD_PAGO,4)="Elec",DATE(YEAR(B95),MONTH(B95)+1,DIA_PAGO_ELEC),WORKDAY(DATE(YEAR(B95),MONTH(B95)+1,DIA_PAGO_MANUAL)-1,1,FERIADOS)))</f>
        <v/>
      </c>
      <c r="D95" s="73" t="str">
        <f aca="false">IF(B95="","",COUNTIFS(L_PER,B95))</f>
        <v/>
      </c>
      <c r="E95" s="71" t="str">
        <f aca="false">IF(B95="","",SUMIFS(L_IMPONIBLE,L_PER,B95))</f>
        <v/>
      </c>
      <c r="F95" s="71" t="str">
        <f aca="false">IF(B95="","",SUMIFS(L_AFP,L_PER,B95)+SUMIFS(L_SALUD,L_PER,B95)+SUMIFS(L_AFCT,L_PER,B95))</f>
        <v/>
      </c>
      <c r="G95" s="71" t="str">
        <f aca="false">IF(B95="","",SUMIFS(L_EMPPREV,L_PER,B95)+SUMIFS(L_AFCE,L_PER,B95)+SUMIFS(L_MUT,L_PER,B95))</f>
        <v/>
      </c>
      <c r="H95" s="71" t="str">
        <f aca="false">IF(B95="","",F95+G95-SUMIFS(L_ASIGFAM,L_PER,B95))</f>
        <v/>
      </c>
      <c r="I95" s="71" t="str">
        <f aca="false">IF(B95="","",SUMIFS(L_IMP,L_PER,B95))</f>
        <v/>
      </c>
      <c r="J95" s="75" t="str">
        <f aca="false">IF(B95="","",DATE(YEAR(B95),MONTH(B95)+1,20))</f>
        <v/>
      </c>
      <c r="K95" s="67"/>
      <c r="L95" s="71" t="str">
        <f aca="false">IF(OR(B95="",NOT(ISNUMBER(K95))),"",K95-H95)</f>
        <v/>
      </c>
      <c r="M95" s="65"/>
      <c r="N95" s="64"/>
      <c r="O95" s="70" t="str">
        <f aca="false">IF(B95="","",IF(ISNUMBER(M95),IF(M95&lt;=C95,"Pagado","Pagado con atraso"),IF(FECHA_CORTE&gt;C95,"VENCIDO","Pendiente – vence en "&amp;(C95-FECHA_CORTE)&amp;" días")))</f>
        <v/>
      </c>
      <c r="P95" s="64"/>
    </row>
    <row r="96" customFormat="false" ht="15" hidden="false" customHeight="false" outlineLevel="0" collapsed="false">
      <c r="B96" s="78"/>
      <c r="C96" s="75" t="str">
        <f aca="false">IF(B96="","",IF(LEFT(MODALIDAD_PAGO,4)="Elec",DATE(YEAR(B96),MONTH(B96)+1,DIA_PAGO_ELEC),WORKDAY(DATE(YEAR(B96),MONTH(B96)+1,DIA_PAGO_MANUAL)-1,1,FERIADOS)))</f>
        <v/>
      </c>
      <c r="D96" s="73" t="str">
        <f aca="false">IF(B96="","",COUNTIFS(L_PER,B96))</f>
        <v/>
      </c>
      <c r="E96" s="71" t="str">
        <f aca="false">IF(B96="","",SUMIFS(L_IMPONIBLE,L_PER,B96))</f>
        <v/>
      </c>
      <c r="F96" s="71" t="str">
        <f aca="false">IF(B96="","",SUMIFS(L_AFP,L_PER,B96)+SUMIFS(L_SALUD,L_PER,B96)+SUMIFS(L_AFCT,L_PER,B96))</f>
        <v/>
      </c>
      <c r="G96" s="71" t="str">
        <f aca="false">IF(B96="","",SUMIFS(L_EMPPREV,L_PER,B96)+SUMIFS(L_AFCE,L_PER,B96)+SUMIFS(L_MUT,L_PER,B96))</f>
        <v/>
      </c>
      <c r="H96" s="71" t="str">
        <f aca="false">IF(B96="","",F96+G96-SUMIFS(L_ASIGFAM,L_PER,B96))</f>
        <v/>
      </c>
      <c r="I96" s="71" t="str">
        <f aca="false">IF(B96="","",SUMIFS(L_IMP,L_PER,B96))</f>
        <v/>
      </c>
      <c r="J96" s="75" t="str">
        <f aca="false">IF(B96="","",DATE(YEAR(B96),MONTH(B96)+1,20))</f>
        <v/>
      </c>
      <c r="K96" s="67"/>
      <c r="L96" s="71" t="str">
        <f aca="false">IF(OR(B96="",NOT(ISNUMBER(K96))),"",K96-H96)</f>
        <v/>
      </c>
      <c r="M96" s="65"/>
      <c r="N96" s="64"/>
      <c r="O96" s="70" t="str">
        <f aca="false">IF(B96="","",IF(ISNUMBER(M96),IF(M96&lt;=C96,"Pagado","Pagado con atraso"),IF(FECHA_CORTE&gt;C96,"VENCIDO","Pendiente – vence en "&amp;(C96-FECHA_CORTE)&amp;" días")))</f>
        <v/>
      </c>
      <c r="P96" s="64"/>
    </row>
    <row r="97" customFormat="false" ht="15" hidden="false" customHeight="false" outlineLevel="0" collapsed="false">
      <c r="B97" s="78"/>
      <c r="C97" s="75" t="str">
        <f aca="false">IF(B97="","",IF(LEFT(MODALIDAD_PAGO,4)="Elec",DATE(YEAR(B97),MONTH(B97)+1,DIA_PAGO_ELEC),WORKDAY(DATE(YEAR(B97),MONTH(B97)+1,DIA_PAGO_MANUAL)-1,1,FERIADOS)))</f>
        <v/>
      </c>
      <c r="D97" s="73" t="str">
        <f aca="false">IF(B97="","",COUNTIFS(L_PER,B97))</f>
        <v/>
      </c>
      <c r="E97" s="71" t="str">
        <f aca="false">IF(B97="","",SUMIFS(L_IMPONIBLE,L_PER,B97))</f>
        <v/>
      </c>
      <c r="F97" s="71" t="str">
        <f aca="false">IF(B97="","",SUMIFS(L_AFP,L_PER,B97)+SUMIFS(L_SALUD,L_PER,B97)+SUMIFS(L_AFCT,L_PER,B97))</f>
        <v/>
      </c>
      <c r="G97" s="71" t="str">
        <f aca="false">IF(B97="","",SUMIFS(L_EMPPREV,L_PER,B97)+SUMIFS(L_AFCE,L_PER,B97)+SUMIFS(L_MUT,L_PER,B97))</f>
        <v/>
      </c>
      <c r="H97" s="71" t="str">
        <f aca="false">IF(B97="","",F97+G97-SUMIFS(L_ASIGFAM,L_PER,B97))</f>
        <v/>
      </c>
      <c r="I97" s="71" t="str">
        <f aca="false">IF(B97="","",SUMIFS(L_IMP,L_PER,B97))</f>
        <v/>
      </c>
      <c r="J97" s="75" t="str">
        <f aca="false">IF(B97="","",DATE(YEAR(B97),MONTH(B97)+1,20))</f>
        <v/>
      </c>
      <c r="K97" s="67"/>
      <c r="L97" s="71" t="str">
        <f aca="false">IF(OR(B97="",NOT(ISNUMBER(K97))),"",K97-H97)</f>
        <v/>
      </c>
      <c r="M97" s="65"/>
      <c r="N97" s="64"/>
      <c r="O97" s="70" t="str">
        <f aca="false">IF(B97="","",IF(ISNUMBER(M97),IF(M97&lt;=C97,"Pagado","Pagado con atraso"),IF(FECHA_CORTE&gt;C97,"VENCIDO","Pendiente – vence en "&amp;(C97-FECHA_CORTE)&amp;" días")))</f>
        <v/>
      </c>
      <c r="P97" s="64"/>
    </row>
    <row r="98" customFormat="false" ht="15" hidden="false" customHeight="false" outlineLevel="0" collapsed="false">
      <c r="B98" s="78"/>
      <c r="C98" s="75" t="str">
        <f aca="false">IF(B98="","",IF(LEFT(MODALIDAD_PAGO,4)="Elec",DATE(YEAR(B98),MONTH(B98)+1,DIA_PAGO_ELEC),WORKDAY(DATE(YEAR(B98),MONTH(B98)+1,DIA_PAGO_MANUAL)-1,1,FERIADOS)))</f>
        <v/>
      </c>
      <c r="D98" s="73" t="str">
        <f aca="false">IF(B98="","",COUNTIFS(L_PER,B98))</f>
        <v/>
      </c>
      <c r="E98" s="71" t="str">
        <f aca="false">IF(B98="","",SUMIFS(L_IMPONIBLE,L_PER,B98))</f>
        <v/>
      </c>
      <c r="F98" s="71" t="str">
        <f aca="false">IF(B98="","",SUMIFS(L_AFP,L_PER,B98)+SUMIFS(L_SALUD,L_PER,B98)+SUMIFS(L_AFCT,L_PER,B98))</f>
        <v/>
      </c>
      <c r="G98" s="71" t="str">
        <f aca="false">IF(B98="","",SUMIFS(L_EMPPREV,L_PER,B98)+SUMIFS(L_AFCE,L_PER,B98)+SUMIFS(L_MUT,L_PER,B98))</f>
        <v/>
      </c>
      <c r="H98" s="71" t="str">
        <f aca="false">IF(B98="","",F98+G98-SUMIFS(L_ASIGFAM,L_PER,B98))</f>
        <v/>
      </c>
      <c r="I98" s="71" t="str">
        <f aca="false">IF(B98="","",SUMIFS(L_IMP,L_PER,B98))</f>
        <v/>
      </c>
      <c r="J98" s="75" t="str">
        <f aca="false">IF(B98="","",DATE(YEAR(B98),MONTH(B98)+1,20))</f>
        <v/>
      </c>
      <c r="K98" s="67"/>
      <c r="L98" s="71" t="str">
        <f aca="false">IF(OR(B98="",NOT(ISNUMBER(K98))),"",K98-H98)</f>
        <v/>
      </c>
      <c r="M98" s="65"/>
      <c r="N98" s="64"/>
      <c r="O98" s="70" t="str">
        <f aca="false">IF(B98="","",IF(ISNUMBER(M98),IF(M98&lt;=C98,"Pagado","Pagado con atraso"),IF(FECHA_CORTE&gt;C98,"VENCIDO","Pendiente – vence en "&amp;(C98-FECHA_CORTE)&amp;" días")))</f>
        <v/>
      </c>
      <c r="P98" s="64"/>
    </row>
    <row r="99" customFormat="false" ht="15" hidden="false" customHeight="false" outlineLevel="0" collapsed="false">
      <c r="B99" s="78"/>
      <c r="C99" s="75" t="str">
        <f aca="false">IF(B99="","",IF(LEFT(MODALIDAD_PAGO,4)="Elec",DATE(YEAR(B99),MONTH(B99)+1,DIA_PAGO_ELEC),WORKDAY(DATE(YEAR(B99),MONTH(B99)+1,DIA_PAGO_MANUAL)-1,1,FERIADOS)))</f>
        <v/>
      </c>
      <c r="D99" s="73" t="str">
        <f aca="false">IF(B99="","",COUNTIFS(L_PER,B99))</f>
        <v/>
      </c>
      <c r="E99" s="71" t="str">
        <f aca="false">IF(B99="","",SUMIFS(L_IMPONIBLE,L_PER,B99))</f>
        <v/>
      </c>
      <c r="F99" s="71" t="str">
        <f aca="false">IF(B99="","",SUMIFS(L_AFP,L_PER,B99)+SUMIFS(L_SALUD,L_PER,B99)+SUMIFS(L_AFCT,L_PER,B99))</f>
        <v/>
      </c>
      <c r="G99" s="71" t="str">
        <f aca="false">IF(B99="","",SUMIFS(L_EMPPREV,L_PER,B99)+SUMIFS(L_AFCE,L_PER,B99)+SUMIFS(L_MUT,L_PER,B99))</f>
        <v/>
      </c>
      <c r="H99" s="71" t="str">
        <f aca="false">IF(B99="","",F99+G99-SUMIFS(L_ASIGFAM,L_PER,B99))</f>
        <v/>
      </c>
      <c r="I99" s="71" t="str">
        <f aca="false">IF(B99="","",SUMIFS(L_IMP,L_PER,B99))</f>
        <v/>
      </c>
      <c r="J99" s="75" t="str">
        <f aca="false">IF(B99="","",DATE(YEAR(B99),MONTH(B99)+1,20))</f>
        <v/>
      </c>
      <c r="K99" s="67"/>
      <c r="L99" s="71" t="str">
        <f aca="false">IF(OR(B99="",NOT(ISNUMBER(K99))),"",K99-H99)</f>
        <v/>
      </c>
      <c r="M99" s="65"/>
      <c r="N99" s="64"/>
      <c r="O99" s="70" t="str">
        <f aca="false">IF(B99="","",IF(ISNUMBER(M99),IF(M99&lt;=C99,"Pagado","Pagado con atraso"),IF(FECHA_CORTE&gt;C99,"VENCIDO","Pendiente – vence en "&amp;(C99-FECHA_CORTE)&amp;" días")))</f>
        <v/>
      </c>
      <c r="P99" s="64"/>
    </row>
    <row r="100" customFormat="false" ht="15" hidden="false" customHeight="false" outlineLevel="0" collapsed="false">
      <c r="B100" s="78"/>
      <c r="C100" s="75" t="str">
        <f aca="false">IF(B100="","",IF(LEFT(MODALIDAD_PAGO,4)="Elec",DATE(YEAR(B100),MONTH(B100)+1,DIA_PAGO_ELEC),WORKDAY(DATE(YEAR(B100),MONTH(B100)+1,DIA_PAGO_MANUAL)-1,1,FERIADOS)))</f>
        <v/>
      </c>
      <c r="D100" s="73" t="str">
        <f aca="false">IF(B100="","",COUNTIFS(L_PER,B100))</f>
        <v/>
      </c>
      <c r="E100" s="71" t="str">
        <f aca="false">IF(B100="","",SUMIFS(L_IMPONIBLE,L_PER,B100))</f>
        <v/>
      </c>
      <c r="F100" s="71" t="str">
        <f aca="false">IF(B100="","",SUMIFS(L_AFP,L_PER,B100)+SUMIFS(L_SALUD,L_PER,B100)+SUMIFS(L_AFCT,L_PER,B100))</f>
        <v/>
      </c>
      <c r="G100" s="71" t="str">
        <f aca="false">IF(B100="","",SUMIFS(L_EMPPREV,L_PER,B100)+SUMIFS(L_AFCE,L_PER,B100)+SUMIFS(L_MUT,L_PER,B100))</f>
        <v/>
      </c>
      <c r="H100" s="71" t="str">
        <f aca="false">IF(B100="","",F100+G100-SUMIFS(L_ASIGFAM,L_PER,B100))</f>
        <v/>
      </c>
      <c r="I100" s="71" t="str">
        <f aca="false">IF(B100="","",SUMIFS(L_IMP,L_PER,B100))</f>
        <v/>
      </c>
      <c r="J100" s="75" t="str">
        <f aca="false">IF(B100="","",DATE(YEAR(B100),MONTH(B100)+1,20))</f>
        <v/>
      </c>
      <c r="K100" s="67"/>
      <c r="L100" s="71" t="str">
        <f aca="false">IF(OR(B100="",NOT(ISNUMBER(K100))),"",K100-H100)</f>
        <v/>
      </c>
      <c r="M100" s="65"/>
      <c r="N100" s="64"/>
      <c r="O100" s="70" t="str">
        <f aca="false">IF(B100="","",IF(ISNUMBER(M100),IF(M100&lt;=C100,"Pagado","Pagado con atraso"),IF(FECHA_CORTE&gt;C100,"VENCIDO","Pendiente – vence en "&amp;(C100-FECHA_CORTE)&amp;" días")))</f>
        <v/>
      </c>
      <c r="P100" s="64"/>
    </row>
    <row r="101" customFormat="false" ht="15" hidden="false" customHeight="false" outlineLevel="0" collapsed="false">
      <c r="B101" s="78"/>
      <c r="C101" s="75" t="str">
        <f aca="false">IF(B101="","",IF(LEFT(MODALIDAD_PAGO,4)="Elec",DATE(YEAR(B101),MONTH(B101)+1,DIA_PAGO_ELEC),WORKDAY(DATE(YEAR(B101),MONTH(B101)+1,DIA_PAGO_MANUAL)-1,1,FERIADOS)))</f>
        <v/>
      </c>
      <c r="D101" s="73" t="str">
        <f aca="false">IF(B101="","",COUNTIFS(L_PER,B101))</f>
        <v/>
      </c>
      <c r="E101" s="71" t="str">
        <f aca="false">IF(B101="","",SUMIFS(L_IMPONIBLE,L_PER,B101))</f>
        <v/>
      </c>
      <c r="F101" s="71" t="str">
        <f aca="false">IF(B101="","",SUMIFS(L_AFP,L_PER,B101)+SUMIFS(L_SALUD,L_PER,B101)+SUMIFS(L_AFCT,L_PER,B101))</f>
        <v/>
      </c>
      <c r="G101" s="71" t="str">
        <f aca="false">IF(B101="","",SUMIFS(L_EMPPREV,L_PER,B101)+SUMIFS(L_AFCE,L_PER,B101)+SUMIFS(L_MUT,L_PER,B101))</f>
        <v/>
      </c>
      <c r="H101" s="71" t="str">
        <f aca="false">IF(B101="","",F101+G101-SUMIFS(L_ASIGFAM,L_PER,B101))</f>
        <v/>
      </c>
      <c r="I101" s="71" t="str">
        <f aca="false">IF(B101="","",SUMIFS(L_IMP,L_PER,B101))</f>
        <v/>
      </c>
      <c r="J101" s="75" t="str">
        <f aca="false">IF(B101="","",DATE(YEAR(B101),MONTH(B101)+1,20))</f>
        <v/>
      </c>
      <c r="K101" s="67"/>
      <c r="L101" s="71" t="str">
        <f aca="false">IF(OR(B101="",NOT(ISNUMBER(K101))),"",K101-H101)</f>
        <v/>
      </c>
      <c r="M101" s="65"/>
      <c r="N101" s="64"/>
      <c r="O101" s="70" t="str">
        <f aca="false">IF(B101="","",IF(ISNUMBER(M101),IF(M101&lt;=C101,"Pagado","Pagado con atraso"),IF(FECHA_CORTE&gt;C101,"VENCIDO","Pendiente – vence en "&amp;(C101-FECHA_CORTE)&amp;" días")))</f>
        <v/>
      </c>
      <c r="P101" s="64"/>
    </row>
    <row r="102" customFormat="false" ht="15" hidden="false" customHeight="false" outlineLevel="0" collapsed="false">
      <c r="B102" s="78"/>
      <c r="C102" s="75" t="str">
        <f aca="false">IF(B102="","",IF(LEFT(MODALIDAD_PAGO,4)="Elec",DATE(YEAR(B102),MONTH(B102)+1,DIA_PAGO_ELEC),WORKDAY(DATE(YEAR(B102),MONTH(B102)+1,DIA_PAGO_MANUAL)-1,1,FERIADOS)))</f>
        <v/>
      </c>
      <c r="D102" s="73" t="str">
        <f aca="false">IF(B102="","",COUNTIFS(L_PER,B102))</f>
        <v/>
      </c>
      <c r="E102" s="71" t="str">
        <f aca="false">IF(B102="","",SUMIFS(L_IMPONIBLE,L_PER,B102))</f>
        <v/>
      </c>
      <c r="F102" s="71" t="str">
        <f aca="false">IF(B102="","",SUMIFS(L_AFP,L_PER,B102)+SUMIFS(L_SALUD,L_PER,B102)+SUMIFS(L_AFCT,L_PER,B102))</f>
        <v/>
      </c>
      <c r="G102" s="71" t="str">
        <f aca="false">IF(B102="","",SUMIFS(L_EMPPREV,L_PER,B102)+SUMIFS(L_AFCE,L_PER,B102)+SUMIFS(L_MUT,L_PER,B102))</f>
        <v/>
      </c>
      <c r="H102" s="71" t="str">
        <f aca="false">IF(B102="","",F102+G102-SUMIFS(L_ASIGFAM,L_PER,B102))</f>
        <v/>
      </c>
      <c r="I102" s="71" t="str">
        <f aca="false">IF(B102="","",SUMIFS(L_IMP,L_PER,B102))</f>
        <v/>
      </c>
      <c r="J102" s="75" t="str">
        <f aca="false">IF(B102="","",DATE(YEAR(B102),MONTH(B102)+1,20))</f>
        <v/>
      </c>
      <c r="K102" s="67"/>
      <c r="L102" s="71" t="str">
        <f aca="false">IF(OR(B102="",NOT(ISNUMBER(K102))),"",K102-H102)</f>
        <v/>
      </c>
      <c r="M102" s="65"/>
      <c r="N102" s="64"/>
      <c r="O102" s="70" t="str">
        <f aca="false">IF(B102="","",IF(ISNUMBER(M102),IF(M102&lt;=C102,"Pagado","Pagado con atraso"),IF(FECHA_CORTE&gt;C102,"VENCIDO","Pendiente – vence en "&amp;(C102-FECHA_CORTE)&amp;" días")))</f>
        <v/>
      </c>
      <c r="P102" s="64"/>
    </row>
    <row r="103" customFormat="false" ht="15" hidden="false" customHeight="false" outlineLevel="0" collapsed="false">
      <c r="B103" s="78"/>
      <c r="C103" s="75" t="str">
        <f aca="false">IF(B103="","",IF(LEFT(MODALIDAD_PAGO,4)="Elec",DATE(YEAR(B103),MONTH(B103)+1,DIA_PAGO_ELEC),WORKDAY(DATE(YEAR(B103),MONTH(B103)+1,DIA_PAGO_MANUAL)-1,1,FERIADOS)))</f>
        <v/>
      </c>
      <c r="D103" s="73" t="str">
        <f aca="false">IF(B103="","",COUNTIFS(L_PER,B103))</f>
        <v/>
      </c>
      <c r="E103" s="71" t="str">
        <f aca="false">IF(B103="","",SUMIFS(L_IMPONIBLE,L_PER,B103))</f>
        <v/>
      </c>
      <c r="F103" s="71" t="str">
        <f aca="false">IF(B103="","",SUMIFS(L_AFP,L_PER,B103)+SUMIFS(L_SALUD,L_PER,B103)+SUMIFS(L_AFCT,L_PER,B103))</f>
        <v/>
      </c>
      <c r="G103" s="71" t="str">
        <f aca="false">IF(B103="","",SUMIFS(L_EMPPREV,L_PER,B103)+SUMIFS(L_AFCE,L_PER,B103)+SUMIFS(L_MUT,L_PER,B103))</f>
        <v/>
      </c>
      <c r="H103" s="71" t="str">
        <f aca="false">IF(B103="","",F103+G103-SUMIFS(L_ASIGFAM,L_PER,B103))</f>
        <v/>
      </c>
      <c r="I103" s="71" t="str">
        <f aca="false">IF(B103="","",SUMIFS(L_IMP,L_PER,B103))</f>
        <v/>
      </c>
      <c r="J103" s="75" t="str">
        <f aca="false">IF(B103="","",DATE(YEAR(B103),MONTH(B103)+1,20))</f>
        <v/>
      </c>
      <c r="K103" s="67"/>
      <c r="L103" s="71" t="str">
        <f aca="false">IF(OR(B103="",NOT(ISNUMBER(K103))),"",K103-H103)</f>
        <v/>
      </c>
      <c r="M103" s="65"/>
      <c r="N103" s="64"/>
      <c r="O103" s="70" t="str">
        <f aca="false">IF(B103="","",IF(ISNUMBER(M103),IF(M103&lt;=C103,"Pagado","Pagado con atraso"),IF(FECHA_CORTE&gt;C103,"VENCIDO","Pendiente – vence en "&amp;(C103-FECHA_CORTE)&amp;" días")))</f>
        <v/>
      </c>
      <c r="P103" s="64"/>
    </row>
    <row r="104" customFormat="false" ht="15" hidden="false" customHeight="false" outlineLevel="0" collapsed="false">
      <c r="B104" s="78"/>
      <c r="C104" s="75" t="str">
        <f aca="false">IF(B104="","",IF(LEFT(MODALIDAD_PAGO,4)="Elec",DATE(YEAR(B104),MONTH(B104)+1,DIA_PAGO_ELEC),WORKDAY(DATE(YEAR(B104),MONTH(B104)+1,DIA_PAGO_MANUAL)-1,1,FERIADOS)))</f>
        <v/>
      </c>
      <c r="D104" s="73" t="str">
        <f aca="false">IF(B104="","",COUNTIFS(L_PER,B104))</f>
        <v/>
      </c>
      <c r="E104" s="71" t="str">
        <f aca="false">IF(B104="","",SUMIFS(L_IMPONIBLE,L_PER,B104))</f>
        <v/>
      </c>
      <c r="F104" s="71" t="str">
        <f aca="false">IF(B104="","",SUMIFS(L_AFP,L_PER,B104)+SUMIFS(L_SALUD,L_PER,B104)+SUMIFS(L_AFCT,L_PER,B104))</f>
        <v/>
      </c>
      <c r="G104" s="71" t="str">
        <f aca="false">IF(B104="","",SUMIFS(L_EMPPREV,L_PER,B104)+SUMIFS(L_AFCE,L_PER,B104)+SUMIFS(L_MUT,L_PER,B104))</f>
        <v/>
      </c>
      <c r="H104" s="71" t="str">
        <f aca="false">IF(B104="","",F104+G104-SUMIFS(L_ASIGFAM,L_PER,B104))</f>
        <v/>
      </c>
      <c r="I104" s="71" t="str">
        <f aca="false">IF(B104="","",SUMIFS(L_IMP,L_PER,B104))</f>
        <v/>
      </c>
      <c r="J104" s="75" t="str">
        <f aca="false">IF(B104="","",DATE(YEAR(B104),MONTH(B104)+1,20))</f>
        <v/>
      </c>
      <c r="K104" s="67"/>
      <c r="L104" s="71" t="str">
        <f aca="false">IF(OR(B104="",NOT(ISNUMBER(K104))),"",K104-H104)</f>
        <v/>
      </c>
      <c r="M104" s="65"/>
      <c r="N104" s="64"/>
      <c r="O104" s="70" t="str">
        <f aca="false">IF(B104="","",IF(ISNUMBER(M104),IF(M104&lt;=C104,"Pagado","Pagado con atraso"),IF(FECHA_CORTE&gt;C104,"VENCIDO","Pendiente – vence en "&amp;(C104-FECHA_CORTE)&amp;" días")))</f>
        <v/>
      </c>
      <c r="P104" s="64"/>
    </row>
    <row r="105" customFormat="false" ht="15" hidden="false" customHeight="false" outlineLevel="0" collapsed="false">
      <c r="B105" s="78"/>
      <c r="C105" s="75" t="str">
        <f aca="false">IF(B105="","",IF(LEFT(MODALIDAD_PAGO,4)="Elec",DATE(YEAR(B105),MONTH(B105)+1,DIA_PAGO_ELEC),WORKDAY(DATE(YEAR(B105),MONTH(B105)+1,DIA_PAGO_MANUAL)-1,1,FERIADOS)))</f>
        <v/>
      </c>
      <c r="D105" s="73" t="str">
        <f aca="false">IF(B105="","",COUNTIFS(L_PER,B105))</f>
        <v/>
      </c>
      <c r="E105" s="71" t="str">
        <f aca="false">IF(B105="","",SUMIFS(L_IMPONIBLE,L_PER,B105))</f>
        <v/>
      </c>
      <c r="F105" s="71" t="str">
        <f aca="false">IF(B105="","",SUMIFS(L_AFP,L_PER,B105)+SUMIFS(L_SALUD,L_PER,B105)+SUMIFS(L_AFCT,L_PER,B105))</f>
        <v/>
      </c>
      <c r="G105" s="71" t="str">
        <f aca="false">IF(B105="","",SUMIFS(L_EMPPREV,L_PER,B105)+SUMIFS(L_AFCE,L_PER,B105)+SUMIFS(L_MUT,L_PER,B105))</f>
        <v/>
      </c>
      <c r="H105" s="71" t="str">
        <f aca="false">IF(B105="","",F105+G105-SUMIFS(L_ASIGFAM,L_PER,B105))</f>
        <v/>
      </c>
      <c r="I105" s="71" t="str">
        <f aca="false">IF(B105="","",SUMIFS(L_IMP,L_PER,B105))</f>
        <v/>
      </c>
      <c r="J105" s="75" t="str">
        <f aca="false">IF(B105="","",DATE(YEAR(B105),MONTH(B105)+1,20))</f>
        <v/>
      </c>
      <c r="K105" s="67"/>
      <c r="L105" s="71" t="str">
        <f aca="false">IF(OR(B105="",NOT(ISNUMBER(K105))),"",K105-H105)</f>
        <v/>
      </c>
      <c r="M105" s="65"/>
      <c r="N105" s="64"/>
      <c r="O105" s="70" t="str">
        <f aca="false">IF(B105="","",IF(ISNUMBER(M105),IF(M105&lt;=C105,"Pagado","Pagado con atraso"),IF(FECHA_CORTE&gt;C105,"VENCIDO","Pendiente – vence en "&amp;(C105-FECHA_CORTE)&amp;" días")))</f>
        <v/>
      </c>
      <c r="P105" s="64"/>
    </row>
    <row r="106" customFormat="false" ht="15" hidden="false" customHeight="false" outlineLevel="0" collapsed="false">
      <c r="B106" s="78"/>
      <c r="C106" s="75" t="str">
        <f aca="false">IF(B106="","",IF(LEFT(MODALIDAD_PAGO,4)="Elec",DATE(YEAR(B106),MONTH(B106)+1,DIA_PAGO_ELEC),WORKDAY(DATE(YEAR(B106),MONTH(B106)+1,DIA_PAGO_MANUAL)-1,1,FERIADOS)))</f>
        <v/>
      </c>
      <c r="D106" s="73" t="str">
        <f aca="false">IF(B106="","",COUNTIFS(L_PER,B106))</f>
        <v/>
      </c>
      <c r="E106" s="71" t="str">
        <f aca="false">IF(B106="","",SUMIFS(L_IMPONIBLE,L_PER,B106))</f>
        <v/>
      </c>
      <c r="F106" s="71" t="str">
        <f aca="false">IF(B106="","",SUMIFS(L_AFP,L_PER,B106)+SUMIFS(L_SALUD,L_PER,B106)+SUMIFS(L_AFCT,L_PER,B106))</f>
        <v/>
      </c>
      <c r="G106" s="71" t="str">
        <f aca="false">IF(B106="","",SUMIFS(L_EMPPREV,L_PER,B106)+SUMIFS(L_AFCE,L_PER,B106)+SUMIFS(L_MUT,L_PER,B106))</f>
        <v/>
      </c>
      <c r="H106" s="71" t="str">
        <f aca="false">IF(B106="","",F106+G106-SUMIFS(L_ASIGFAM,L_PER,B106))</f>
        <v/>
      </c>
      <c r="I106" s="71" t="str">
        <f aca="false">IF(B106="","",SUMIFS(L_IMP,L_PER,B106))</f>
        <v/>
      </c>
      <c r="J106" s="75" t="str">
        <f aca="false">IF(B106="","",DATE(YEAR(B106),MONTH(B106)+1,20))</f>
        <v/>
      </c>
      <c r="K106" s="67"/>
      <c r="L106" s="71" t="str">
        <f aca="false">IF(OR(B106="",NOT(ISNUMBER(K106))),"",K106-H106)</f>
        <v/>
      </c>
      <c r="M106" s="65"/>
      <c r="N106" s="64"/>
      <c r="O106" s="70" t="str">
        <f aca="false">IF(B106="","",IF(ISNUMBER(M106),IF(M106&lt;=C106,"Pagado","Pagado con atraso"),IF(FECHA_CORTE&gt;C106,"VENCIDO","Pendiente – vence en "&amp;(C106-FECHA_CORTE)&amp;" días")))</f>
        <v/>
      </c>
      <c r="P106" s="64"/>
    </row>
    <row r="107" customFormat="false" ht="15" hidden="false" customHeight="false" outlineLevel="0" collapsed="false">
      <c r="B107" s="78"/>
      <c r="C107" s="75" t="str">
        <f aca="false">IF(B107="","",IF(LEFT(MODALIDAD_PAGO,4)="Elec",DATE(YEAR(B107),MONTH(B107)+1,DIA_PAGO_ELEC),WORKDAY(DATE(YEAR(B107),MONTH(B107)+1,DIA_PAGO_MANUAL)-1,1,FERIADOS)))</f>
        <v/>
      </c>
      <c r="D107" s="73" t="str">
        <f aca="false">IF(B107="","",COUNTIFS(L_PER,B107))</f>
        <v/>
      </c>
      <c r="E107" s="71" t="str">
        <f aca="false">IF(B107="","",SUMIFS(L_IMPONIBLE,L_PER,B107))</f>
        <v/>
      </c>
      <c r="F107" s="71" t="str">
        <f aca="false">IF(B107="","",SUMIFS(L_AFP,L_PER,B107)+SUMIFS(L_SALUD,L_PER,B107)+SUMIFS(L_AFCT,L_PER,B107))</f>
        <v/>
      </c>
      <c r="G107" s="71" t="str">
        <f aca="false">IF(B107="","",SUMIFS(L_EMPPREV,L_PER,B107)+SUMIFS(L_AFCE,L_PER,B107)+SUMIFS(L_MUT,L_PER,B107))</f>
        <v/>
      </c>
      <c r="H107" s="71" t="str">
        <f aca="false">IF(B107="","",F107+G107-SUMIFS(L_ASIGFAM,L_PER,B107))</f>
        <v/>
      </c>
      <c r="I107" s="71" t="str">
        <f aca="false">IF(B107="","",SUMIFS(L_IMP,L_PER,B107))</f>
        <v/>
      </c>
      <c r="J107" s="75" t="str">
        <f aca="false">IF(B107="","",DATE(YEAR(B107),MONTH(B107)+1,20))</f>
        <v/>
      </c>
      <c r="K107" s="67"/>
      <c r="L107" s="71" t="str">
        <f aca="false">IF(OR(B107="",NOT(ISNUMBER(K107))),"",K107-H107)</f>
        <v/>
      </c>
      <c r="M107" s="65"/>
      <c r="N107" s="64"/>
      <c r="O107" s="70" t="str">
        <f aca="false">IF(B107="","",IF(ISNUMBER(M107),IF(M107&lt;=C107,"Pagado","Pagado con atraso"),IF(FECHA_CORTE&gt;C107,"VENCIDO","Pendiente – vence en "&amp;(C107-FECHA_CORTE)&amp;" días")))</f>
        <v/>
      </c>
      <c r="P107" s="64"/>
    </row>
    <row r="108" customFormat="false" ht="15" hidden="false" customHeight="false" outlineLevel="0" collapsed="false">
      <c r="B108" s="78"/>
      <c r="C108" s="75" t="str">
        <f aca="false">IF(B108="","",IF(LEFT(MODALIDAD_PAGO,4)="Elec",DATE(YEAR(B108),MONTH(B108)+1,DIA_PAGO_ELEC),WORKDAY(DATE(YEAR(B108),MONTH(B108)+1,DIA_PAGO_MANUAL)-1,1,FERIADOS)))</f>
        <v/>
      </c>
      <c r="D108" s="73" t="str">
        <f aca="false">IF(B108="","",COUNTIFS(L_PER,B108))</f>
        <v/>
      </c>
      <c r="E108" s="71" t="str">
        <f aca="false">IF(B108="","",SUMIFS(L_IMPONIBLE,L_PER,B108))</f>
        <v/>
      </c>
      <c r="F108" s="71" t="str">
        <f aca="false">IF(B108="","",SUMIFS(L_AFP,L_PER,B108)+SUMIFS(L_SALUD,L_PER,B108)+SUMIFS(L_AFCT,L_PER,B108))</f>
        <v/>
      </c>
      <c r="G108" s="71" t="str">
        <f aca="false">IF(B108="","",SUMIFS(L_EMPPREV,L_PER,B108)+SUMIFS(L_AFCE,L_PER,B108)+SUMIFS(L_MUT,L_PER,B108))</f>
        <v/>
      </c>
      <c r="H108" s="71" t="str">
        <f aca="false">IF(B108="","",F108+G108-SUMIFS(L_ASIGFAM,L_PER,B108))</f>
        <v/>
      </c>
      <c r="I108" s="71" t="str">
        <f aca="false">IF(B108="","",SUMIFS(L_IMP,L_PER,B108))</f>
        <v/>
      </c>
      <c r="J108" s="75" t="str">
        <f aca="false">IF(B108="","",DATE(YEAR(B108),MONTH(B108)+1,20))</f>
        <v/>
      </c>
      <c r="K108" s="67"/>
      <c r="L108" s="71" t="str">
        <f aca="false">IF(OR(B108="",NOT(ISNUMBER(K108))),"",K108-H108)</f>
        <v/>
      </c>
      <c r="M108" s="65"/>
      <c r="N108" s="64"/>
      <c r="O108" s="70" t="str">
        <f aca="false">IF(B108="","",IF(ISNUMBER(M108),IF(M108&lt;=C108,"Pagado","Pagado con atraso"),IF(FECHA_CORTE&gt;C108,"VENCIDO","Pendiente – vence en "&amp;(C108-FECHA_CORTE)&amp;" días")))</f>
        <v/>
      </c>
      <c r="P108" s="64"/>
    </row>
    <row r="109" customFormat="false" ht="15" hidden="false" customHeight="false" outlineLevel="0" collapsed="false">
      <c r="B109" s="78"/>
      <c r="C109" s="75" t="str">
        <f aca="false">IF(B109="","",IF(LEFT(MODALIDAD_PAGO,4)="Elec",DATE(YEAR(B109),MONTH(B109)+1,DIA_PAGO_ELEC),WORKDAY(DATE(YEAR(B109),MONTH(B109)+1,DIA_PAGO_MANUAL)-1,1,FERIADOS)))</f>
        <v/>
      </c>
      <c r="D109" s="73" t="str">
        <f aca="false">IF(B109="","",COUNTIFS(L_PER,B109))</f>
        <v/>
      </c>
      <c r="E109" s="71" t="str">
        <f aca="false">IF(B109="","",SUMIFS(L_IMPONIBLE,L_PER,B109))</f>
        <v/>
      </c>
      <c r="F109" s="71" t="str">
        <f aca="false">IF(B109="","",SUMIFS(L_AFP,L_PER,B109)+SUMIFS(L_SALUD,L_PER,B109)+SUMIFS(L_AFCT,L_PER,B109))</f>
        <v/>
      </c>
      <c r="G109" s="71" t="str">
        <f aca="false">IF(B109="","",SUMIFS(L_EMPPREV,L_PER,B109)+SUMIFS(L_AFCE,L_PER,B109)+SUMIFS(L_MUT,L_PER,B109))</f>
        <v/>
      </c>
      <c r="H109" s="71" t="str">
        <f aca="false">IF(B109="","",F109+G109-SUMIFS(L_ASIGFAM,L_PER,B109))</f>
        <v/>
      </c>
      <c r="I109" s="71" t="str">
        <f aca="false">IF(B109="","",SUMIFS(L_IMP,L_PER,B109))</f>
        <v/>
      </c>
      <c r="J109" s="75" t="str">
        <f aca="false">IF(B109="","",DATE(YEAR(B109),MONTH(B109)+1,20))</f>
        <v/>
      </c>
      <c r="K109" s="67"/>
      <c r="L109" s="71" t="str">
        <f aca="false">IF(OR(B109="",NOT(ISNUMBER(K109))),"",K109-H109)</f>
        <v/>
      </c>
      <c r="M109" s="65"/>
      <c r="N109" s="64"/>
      <c r="O109" s="70" t="str">
        <f aca="false">IF(B109="","",IF(ISNUMBER(M109),IF(M109&lt;=C109,"Pagado","Pagado con atraso"),IF(FECHA_CORTE&gt;C109,"VENCIDO","Pendiente – vence en "&amp;(C109-FECHA_CORTE)&amp;" días")))</f>
        <v/>
      </c>
      <c r="P109" s="64"/>
    </row>
    <row r="110" customFormat="false" ht="15" hidden="false" customHeight="false" outlineLevel="0" collapsed="false">
      <c r="B110" s="78"/>
      <c r="C110" s="75" t="str">
        <f aca="false">IF(B110="","",IF(LEFT(MODALIDAD_PAGO,4)="Elec",DATE(YEAR(B110),MONTH(B110)+1,DIA_PAGO_ELEC),WORKDAY(DATE(YEAR(B110),MONTH(B110)+1,DIA_PAGO_MANUAL)-1,1,FERIADOS)))</f>
        <v/>
      </c>
      <c r="D110" s="73" t="str">
        <f aca="false">IF(B110="","",COUNTIFS(L_PER,B110))</f>
        <v/>
      </c>
      <c r="E110" s="71" t="str">
        <f aca="false">IF(B110="","",SUMIFS(L_IMPONIBLE,L_PER,B110))</f>
        <v/>
      </c>
      <c r="F110" s="71" t="str">
        <f aca="false">IF(B110="","",SUMIFS(L_AFP,L_PER,B110)+SUMIFS(L_SALUD,L_PER,B110)+SUMIFS(L_AFCT,L_PER,B110))</f>
        <v/>
      </c>
      <c r="G110" s="71" t="str">
        <f aca="false">IF(B110="","",SUMIFS(L_EMPPREV,L_PER,B110)+SUMIFS(L_AFCE,L_PER,B110)+SUMIFS(L_MUT,L_PER,B110))</f>
        <v/>
      </c>
      <c r="H110" s="71" t="str">
        <f aca="false">IF(B110="","",F110+G110-SUMIFS(L_ASIGFAM,L_PER,B110))</f>
        <v/>
      </c>
      <c r="I110" s="71" t="str">
        <f aca="false">IF(B110="","",SUMIFS(L_IMP,L_PER,B110))</f>
        <v/>
      </c>
      <c r="J110" s="75" t="str">
        <f aca="false">IF(B110="","",DATE(YEAR(B110),MONTH(B110)+1,20))</f>
        <v/>
      </c>
      <c r="K110" s="67"/>
      <c r="L110" s="71" t="str">
        <f aca="false">IF(OR(B110="",NOT(ISNUMBER(K110))),"",K110-H110)</f>
        <v/>
      </c>
      <c r="M110" s="65"/>
      <c r="N110" s="64"/>
      <c r="O110" s="70" t="str">
        <f aca="false">IF(B110="","",IF(ISNUMBER(M110),IF(M110&lt;=C110,"Pagado","Pagado con atraso"),IF(FECHA_CORTE&gt;C110,"VENCIDO","Pendiente – vence en "&amp;(C110-FECHA_CORTE)&amp;" días")))</f>
        <v/>
      </c>
      <c r="P110" s="64"/>
    </row>
    <row r="111" customFormat="false" ht="15" hidden="false" customHeight="false" outlineLevel="0" collapsed="false">
      <c r="B111" s="78"/>
      <c r="C111" s="75" t="str">
        <f aca="false">IF(B111="","",IF(LEFT(MODALIDAD_PAGO,4)="Elec",DATE(YEAR(B111),MONTH(B111)+1,DIA_PAGO_ELEC),WORKDAY(DATE(YEAR(B111),MONTH(B111)+1,DIA_PAGO_MANUAL)-1,1,FERIADOS)))</f>
        <v/>
      </c>
      <c r="D111" s="73" t="str">
        <f aca="false">IF(B111="","",COUNTIFS(L_PER,B111))</f>
        <v/>
      </c>
      <c r="E111" s="71" t="str">
        <f aca="false">IF(B111="","",SUMIFS(L_IMPONIBLE,L_PER,B111))</f>
        <v/>
      </c>
      <c r="F111" s="71" t="str">
        <f aca="false">IF(B111="","",SUMIFS(L_AFP,L_PER,B111)+SUMIFS(L_SALUD,L_PER,B111)+SUMIFS(L_AFCT,L_PER,B111))</f>
        <v/>
      </c>
      <c r="G111" s="71" t="str">
        <f aca="false">IF(B111="","",SUMIFS(L_EMPPREV,L_PER,B111)+SUMIFS(L_AFCE,L_PER,B111)+SUMIFS(L_MUT,L_PER,B111))</f>
        <v/>
      </c>
      <c r="H111" s="71" t="str">
        <f aca="false">IF(B111="","",F111+G111-SUMIFS(L_ASIGFAM,L_PER,B111))</f>
        <v/>
      </c>
      <c r="I111" s="71" t="str">
        <f aca="false">IF(B111="","",SUMIFS(L_IMP,L_PER,B111))</f>
        <v/>
      </c>
      <c r="J111" s="75" t="str">
        <f aca="false">IF(B111="","",DATE(YEAR(B111),MONTH(B111)+1,20))</f>
        <v/>
      </c>
      <c r="K111" s="67"/>
      <c r="L111" s="71" t="str">
        <f aca="false">IF(OR(B111="",NOT(ISNUMBER(K111))),"",K111-H111)</f>
        <v/>
      </c>
      <c r="M111" s="65"/>
      <c r="N111" s="64"/>
      <c r="O111" s="70" t="str">
        <f aca="false">IF(B111="","",IF(ISNUMBER(M111),IF(M111&lt;=C111,"Pagado","Pagado con atraso"),IF(FECHA_CORTE&gt;C111,"VENCIDO","Pendiente – vence en "&amp;(C111-FECHA_CORTE)&amp;" días")))</f>
        <v/>
      </c>
      <c r="P111" s="64"/>
    </row>
    <row r="112" customFormat="false" ht="15" hidden="false" customHeight="false" outlineLevel="0" collapsed="false">
      <c r="B112" s="78"/>
      <c r="C112" s="75" t="str">
        <f aca="false">IF(B112="","",IF(LEFT(MODALIDAD_PAGO,4)="Elec",DATE(YEAR(B112),MONTH(B112)+1,DIA_PAGO_ELEC),WORKDAY(DATE(YEAR(B112),MONTH(B112)+1,DIA_PAGO_MANUAL)-1,1,FERIADOS)))</f>
        <v/>
      </c>
      <c r="D112" s="73" t="str">
        <f aca="false">IF(B112="","",COUNTIFS(L_PER,B112))</f>
        <v/>
      </c>
      <c r="E112" s="71" t="str">
        <f aca="false">IF(B112="","",SUMIFS(L_IMPONIBLE,L_PER,B112))</f>
        <v/>
      </c>
      <c r="F112" s="71" t="str">
        <f aca="false">IF(B112="","",SUMIFS(L_AFP,L_PER,B112)+SUMIFS(L_SALUD,L_PER,B112)+SUMIFS(L_AFCT,L_PER,B112))</f>
        <v/>
      </c>
      <c r="G112" s="71" t="str">
        <f aca="false">IF(B112="","",SUMIFS(L_EMPPREV,L_PER,B112)+SUMIFS(L_AFCE,L_PER,B112)+SUMIFS(L_MUT,L_PER,B112))</f>
        <v/>
      </c>
      <c r="H112" s="71" t="str">
        <f aca="false">IF(B112="","",F112+G112-SUMIFS(L_ASIGFAM,L_PER,B112))</f>
        <v/>
      </c>
      <c r="I112" s="71" t="str">
        <f aca="false">IF(B112="","",SUMIFS(L_IMP,L_PER,B112))</f>
        <v/>
      </c>
      <c r="J112" s="75" t="str">
        <f aca="false">IF(B112="","",DATE(YEAR(B112),MONTH(B112)+1,20))</f>
        <v/>
      </c>
      <c r="K112" s="67"/>
      <c r="L112" s="71" t="str">
        <f aca="false">IF(OR(B112="",NOT(ISNUMBER(K112))),"",K112-H112)</f>
        <v/>
      </c>
      <c r="M112" s="65"/>
      <c r="N112" s="64"/>
      <c r="O112" s="70" t="str">
        <f aca="false">IF(B112="","",IF(ISNUMBER(M112),IF(M112&lt;=C112,"Pagado","Pagado con atraso"),IF(FECHA_CORTE&gt;C112,"VENCIDO","Pendiente – vence en "&amp;(C112-FECHA_CORTE)&amp;" días")))</f>
        <v/>
      </c>
      <c r="P112" s="64"/>
    </row>
    <row r="113" customFormat="false" ht="15" hidden="false" customHeight="false" outlineLevel="0" collapsed="false">
      <c r="B113" s="78"/>
      <c r="C113" s="75" t="str">
        <f aca="false">IF(B113="","",IF(LEFT(MODALIDAD_PAGO,4)="Elec",DATE(YEAR(B113),MONTH(B113)+1,DIA_PAGO_ELEC),WORKDAY(DATE(YEAR(B113),MONTH(B113)+1,DIA_PAGO_MANUAL)-1,1,FERIADOS)))</f>
        <v/>
      </c>
      <c r="D113" s="73" t="str">
        <f aca="false">IF(B113="","",COUNTIFS(L_PER,B113))</f>
        <v/>
      </c>
      <c r="E113" s="71" t="str">
        <f aca="false">IF(B113="","",SUMIFS(L_IMPONIBLE,L_PER,B113))</f>
        <v/>
      </c>
      <c r="F113" s="71" t="str">
        <f aca="false">IF(B113="","",SUMIFS(L_AFP,L_PER,B113)+SUMIFS(L_SALUD,L_PER,B113)+SUMIFS(L_AFCT,L_PER,B113))</f>
        <v/>
      </c>
      <c r="G113" s="71" t="str">
        <f aca="false">IF(B113="","",SUMIFS(L_EMPPREV,L_PER,B113)+SUMIFS(L_AFCE,L_PER,B113)+SUMIFS(L_MUT,L_PER,B113))</f>
        <v/>
      </c>
      <c r="H113" s="71" t="str">
        <f aca="false">IF(B113="","",F113+G113-SUMIFS(L_ASIGFAM,L_PER,B113))</f>
        <v/>
      </c>
      <c r="I113" s="71" t="str">
        <f aca="false">IF(B113="","",SUMIFS(L_IMP,L_PER,B113))</f>
        <v/>
      </c>
      <c r="J113" s="75" t="str">
        <f aca="false">IF(B113="","",DATE(YEAR(B113),MONTH(B113)+1,20))</f>
        <v/>
      </c>
      <c r="K113" s="67"/>
      <c r="L113" s="71" t="str">
        <f aca="false">IF(OR(B113="",NOT(ISNUMBER(K113))),"",K113-H113)</f>
        <v/>
      </c>
      <c r="M113" s="65"/>
      <c r="N113" s="64"/>
      <c r="O113" s="70" t="str">
        <f aca="false">IF(B113="","",IF(ISNUMBER(M113),IF(M113&lt;=C113,"Pagado","Pagado con atraso"),IF(FECHA_CORTE&gt;C113,"VENCIDO","Pendiente – vence en "&amp;(C113-FECHA_CORTE)&amp;" días")))</f>
        <v/>
      </c>
      <c r="P113" s="64"/>
    </row>
    <row r="114" customFormat="false" ht="15" hidden="false" customHeight="false" outlineLevel="0" collapsed="false">
      <c r="B114" s="78"/>
      <c r="C114" s="75" t="str">
        <f aca="false">IF(B114="","",IF(LEFT(MODALIDAD_PAGO,4)="Elec",DATE(YEAR(B114),MONTH(B114)+1,DIA_PAGO_ELEC),WORKDAY(DATE(YEAR(B114),MONTH(B114)+1,DIA_PAGO_MANUAL)-1,1,FERIADOS)))</f>
        <v/>
      </c>
      <c r="D114" s="73" t="str">
        <f aca="false">IF(B114="","",COUNTIFS(L_PER,B114))</f>
        <v/>
      </c>
      <c r="E114" s="71" t="str">
        <f aca="false">IF(B114="","",SUMIFS(L_IMPONIBLE,L_PER,B114))</f>
        <v/>
      </c>
      <c r="F114" s="71" t="str">
        <f aca="false">IF(B114="","",SUMIFS(L_AFP,L_PER,B114)+SUMIFS(L_SALUD,L_PER,B114)+SUMIFS(L_AFCT,L_PER,B114))</f>
        <v/>
      </c>
      <c r="G114" s="71" t="str">
        <f aca="false">IF(B114="","",SUMIFS(L_EMPPREV,L_PER,B114)+SUMIFS(L_AFCE,L_PER,B114)+SUMIFS(L_MUT,L_PER,B114))</f>
        <v/>
      </c>
      <c r="H114" s="71" t="str">
        <f aca="false">IF(B114="","",F114+G114-SUMIFS(L_ASIGFAM,L_PER,B114))</f>
        <v/>
      </c>
      <c r="I114" s="71" t="str">
        <f aca="false">IF(B114="","",SUMIFS(L_IMP,L_PER,B114))</f>
        <v/>
      </c>
      <c r="J114" s="75" t="str">
        <f aca="false">IF(B114="","",DATE(YEAR(B114),MONTH(B114)+1,20))</f>
        <v/>
      </c>
      <c r="K114" s="67"/>
      <c r="L114" s="71" t="str">
        <f aca="false">IF(OR(B114="",NOT(ISNUMBER(K114))),"",K114-H114)</f>
        <v/>
      </c>
      <c r="M114" s="65"/>
      <c r="N114" s="64"/>
      <c r="O114" s="70" t="str">
        <f aca="false">IF(B114="","",IF(ISNUMBER(M114),IF(M114&lt;=C114,"Pagado","Pagado con atraso"),IF(FECHA_CORTE&gt;C114,"VENCIDO","Pendiente – vence en "&amp;(C114-FECHA_CORTE)&amp;" días")))</f>
        <v/>
      </c>
      <c r="P114" s="64"/>
    </row>
    <row r="115" customFormat="false" ht="15" hidden="false" customHeight="false" outlineLevel="0" collapsed="false">
      <c r="B115" s="78"/>
      <c r="C115" s="75" t="str">
        <f aca="false">IF(B115="","",IF(LEFT(MODALIDAD_PAGO,4)="Elec",DATE(YEAR(B115),MONTH(B115)+1,DIA_PAGO_ELEC),WORKDAY(DATE(YEAR(B115),MONTH(B115)+1,DIA_PAGO_MANUAL)-1,1,FERIADOS)))</f>
        <v/>
      </c>
      <c r="D115" s="73" t="str">
        <f aca="false">IF(B115="","",COUNTIFS(L_PER,B115))</f>
        <v/>
      </c>
      <c r="E115" s="71" t="str">
        <f aca="false">IF(B115="","",SUMIFS(L_IMPONIBLE,L_PER,B115))</f>
        <v/>
      </c>
      <c r="F115" s="71" t="str">
        <f aca="false">IF(B115="","",SUMIFS(L_AFP,L_PER,B115)+SUMIFS(L_SALUD,L_PER,B115)+SUMIFS(L_AFCT,L_PER,B115))</f>
        <v/>
      </c>
      <c r="G115" s="71" t="str">
        <f aca="false">IF(B115="","",SUMIFS(L_EMPPREV,L_PER,B115)+SUMIFS(L_AFCE,L_PER,B115)+SUMIFS(L_MUT,L_PER,B115))</f>
        <v/>
      </c>
      <c r="H115" s="71" t="str">
        <f aca="false">IF(B115="","",F115+G115-SUMIFS(L_ASIGFAM,L_PER,B115))</f>
        <v/>
      </c>
      <c r="I115" s="71" t="str">
        <f aca="false">IF(B115="","",SUMIFS(L_IMP,L_PER,B115))</f>
        <v/>
      </c>
      <c r="J115" s="75" t="str">
        <f aca="false">IF(B115="","",DATE(YEAR(B115),MONTH(B115)+1,20))</f>
        <v/>
      </c>
      <c r="K115" s="67"/>
      <c r="L115" s="71" t="str">
        <f aca="false">IF(OR(B115="",NOT(ISNUMBER(K115))),"",K115-H115)</f>
        <v/>
      </c>
      <c r="M115" s="65"/>
      <c r="N115" s="64"/>
      <c r="O115" s="70" t="str">
        <f aca="false">IF(B115="","",IF(ISNUMBER(M115),IF(M115&lt;=C115,"Pagado","Pagado con atraso"),IF(FECHA_CORTE&gt;C115,"VENCIDO","Pendiente – vence en "&amp;(C115-FECHA_CORTE)&amp;" días")))</f>
        <v/>
      </c>
      <c r="P115" s="64"/>
    </row>
    <row r="116" customFormat="false" ht="15" hidden="false" customHeight="false" outlineLevel="0" collapsed="false">
      <c r="B116" s="78"/>
      <c r="C116" s="75" t="str">
        <f aca="false">IF(B116="","",IF(LEFT(MODALIDAD_PAGO,4)="Elec",DATE(YEAR(B116),MONTH(B116)+1,DIA_PAGO_ELEC),WORKDAY(DATE(YEAR(B116),MONTH(B116)+1,DIA_PAGO_MANUAL)-1,1,FERIADOS)))</f>
        <v/>
      </c>
      <c r="D116" s="73" t="str">
        <f aca="false">IF(B116="","",COUNTIFS(L_PER,B116))</f>
        <v/>
      </c>
      <c r="E116" s="71" t="str">
        <f aca="false">IF(B116="","",SUMIFS(L_IMPONIBLE,L_PER,B116))</f>
        <v/>
      </c>
      <c r="F116" s="71" t="str">
        <f aca="false">IF(B116="","",SUMIFS(L_AFP,L_PER,B116)+SUMIFS(L_SALUD,L_PER,B116)+SUMIFS(L_AFCT,L_PER,B116))</f>
        <v/>
      </c>
      <c r="G116" s="71" t="str">
        <f aca="false">IF(B116="","",SUMIFS(L_EMPPREV,L_PER,B116)+SUMIFS(L_AFCE,L_PER,B116)+SUMIFS(L_MUT,L_PER,B116))</f>
        <v/>
      </c>
      <c r="H116" s="71" t="str">
        <f aca="false">IF(B116="","",F116+G116-SUMIFS(L_ASIGFAM,L_PER,B116))</f>
        <v/>
      </c>
      <c r="I116" s="71" t="str">
        <f aca="false">IF(B116="","",SUMIFS(L_IMP,L_PER,B116))</f>
        <v/>
      </c>
      <c r="J116" s="75" t="str">
        <f aca="false">IF(B116="","",DATE(YEAR(B116),MONTH(B116)+1,20))</f>
        <v/>
      </c>
      <c r="K116" s="67"/>
      <c r="L116" s="71" t="str">
        <f aca="false">IF(OR(B116="",NOT(ISNUMBER(K116))),"",K116-H116)</f>
        <v/>
      </c>
      <c r="M116" s="65"/>
      <c r="N116" s="64"/>
      <c r="O116" s="70" t="str">
        <f aca="false">IF(B116="","",IF(ISNUMBER(M116),IF(M116&lt;=C116,"Pagado","Pagado con atraso"),IF(FECHA_CORTE&gt;C116,"VENCIDO","Pendiente – vence en "&amp;(C116-FECHA_CORTE)&amp;" días")))</f>
        <v/>
      </c>
      <c r="P116" s="64"/>
    </row>
    <row r="117" customFormat="false" ht="15" hidden="false" customHeight="false" outlineLevel="0" collapsed="false">
      <c r="B117" s="78"/>
      <c r="C117" s="75" t="str">
        <f aca="false">IF(B117="","",IF(LEFT(MODALIDAD_PAGO,4)="Elec",DATE(YEAR(B117),MONTH(B117)+1,DIA_PAGO_ELEC),WORKDAY(DATE(YEAR(B117),MONTH(B117)+1,DIA_PAGO_MANUAL)-1,1,FERIADOS)))</f>
        <v/>
      </c>
      <c r="D117" s="73" t="str">
        <f aca="false">IF(B117="","",COUNTIFS(L_PER,B117))</f>
        <v/>
      </c>
      <c r="E117" s="71" t="str">
        <f aca="false">IF(B117="","",SUMIFS(L_IMPONIBLE,L_PER,B117))</f>
        <v/>
      </c>
      <c r="F117" s="71" t="str">
        <f aca="false">IF(B117="","",SUMIFS(L_AFP,L_PER,B117)+SUMIFS(L_SALUD,L_PER,B117)+SUMIFS(L_AFCT,L_PER,B117))</f>
        <v/>
      </c>
      <c r="G117" s="71" t="str">
        <f aca="false">IF(B117="","",SUMIFS(L_EMPPREV,L_PER,B117)+SUMIFS(L_AFCE,L_PER,B117)+SUMIFS(L_MUT,L_PER,B117))</f>
        <v/>
      </c>
      <c r="H117" s="71" t="str">
        <f aca="false">IF(B117="","",F117+G117-SUMIFS(L_ASIGFAM,L_PER,B117))</f>
        <v/>
      </c>
      <c r="I117" s="71" t="str">
        <f aca="false">IF(B117="","",SUMIFS(L_IMP,L_PER,B117))</f>
        <v/>
      </c>
      <c r="J117" s="75" t="str">
        <f aca="false">IF(B117="","",DATE(YEAR(B117),MONTH(B117)+1,20))</f>
        <v/>
      </c>
      <c r="K117" s="67"/>
      <c r="L117" s="71" t="str">
        <f aca="false">IF(OR(B117="",NOT(ISNUMBER(K117))),"",K117-H117)</f>
        <v/>
      </c>
      <c r="M117" s="65"/>
      <c r="N117" s="64"/>
      <c r="O117" s="70" t="str">
        <f aca="false">IF(B117="","",IF(ISNUMBER(M117),IF(M117&lt;=C117,"Pagado","Pagado con atraso"),IF(FECHA_CORTE&gt;C117,"VENCIDO","Pendiente – vence en "&amp;(C117-FECHA_CORTE)&amp;" días")))</f>
        <v/>
      </c>
      <c r="P117" s="64"/>
    </row>
    <row r="118" customFormat="false" ht="15" hidden="false" customHeight="false" outlineLevel="0" collapsed="false">
      <c r="B118" s="78"/>
      <c r="C118" s="75" t="str">
        <f aca="false">IF(B118="","",IF(LEFT(MODALIDAD_PAGO,4)="Elec",DATE(YEAR(B118),MONTH(B118)+1,DIA_PAGO_ELEC),WORKDAY(DATE(YEAR(B118),MONTH(B118)+1,DIA_PAGO_MANUAL)-1,1,FERIADOS)))</f>
        <v/>
      </c>
      <c r="D118" s="73" t="str">
        <f aca="false">IF(B118="","",COUNTIFS(L_PER,B118))</f>
        <v/>
      </c>
      <c r="E118" s="71" t="str">
        <f aca="false">IF(B118="","",SUMIFS(L_IMPONIBLE,L_PER,B118))</f>
        <v/>
      </c>
      <c r="F118" s="71" t="str">
        <f aca="false">IF(B118="","",SUMIFS(L_AFP,L_PER,B118)+SUMIFS(L_SALUD,L_PER,B118)+SUMIFS(L_AFCT,L_PER,B118))</f>
        <v/>
      </c>
      <c r="G118" s="71" t="str">
        <f aca="false">IF(B118="","",SUMIFS(L_EMPPREV,L_PER,B118)+SUMIFS(L_AFCE,L_PER,B118)+SUMIFS(L_MUT,L_PER,B118))</f>
        <v/>
      </c>
      <c r="H118" s="71" t="str">
        <f aca="false">IF(B118="","",F118+G118-SUMIFS(L_ASIGFAM,L_PER,B118))</f>
        <v/>
      </c>
      <c r="I118" s="71" t="str">
        <f aca="false">IF(B118="","",SUMIFS(L_IMP,L_PER,B118))</f>
        <v/>
      </c>
      <c r="J118" s="75" t="str">
        <f aca="false">IF(B118="","",DATE(YEAR(B118),MONTH(B118)+1,20))</f>
        <v/>
      </c>
      <c r="K118" s="67"/>
      <c r="L118" s="71" t="str">
        <f aca="false">IF(OR(B118="",NOT(ISNUMBER(K118))),"",K118-H118)</f>
        <v/>
      </c>
      <c r="M118" s="65"/>
      <c r="N118" s="64"/>
      <c r="O118" s="70" t="str">
        <f aca="false">IF(B118="","",IF(ISNUMBER(M118),IF(M118&lt;=C118,"Pagado","Pagado con atraso"),IF(FECHA_CORTE&gt;C118,"VENCIDO","Pendiente – vence en "&amp;(C118-FECHA_CORTE)&amp;" días")))</f>
        <v/>
      </c>
      <c r="P118" s="64"/>
    </row>
    <row r="119" customFormat="false" ht="15" hidden="false" customHeight="false" outlineLevel="0" collapsed="false">
      <c r="B119" s="78"/>
      <c r="C119" s="75" t="str">
        <f aca="false">IF(B119="","",IF(LEFT(MODALIDAD_PAGO,4)="Elec",DATE(YEAR(B119),MONTH(B119)+1,DIA_PAGO_ELEC),WORKDAY(DATE(YEAR(B119),MONTH(B119)+1,DIA_PAGO_MANUAL)-1,1,FERIADOS)))</f>
        <v/>
      </c>
      <c r="D119" s="73" t="str">
        <f aca="false">IF(B119="","",COUNTIFS(L_PER,B119))</f>
        <v/>
      </c>
      <c r="E119" s="71" t="str">
        <f aca="false">IF(B119="","",SUMIFS(L_IMPONIBLE,L_PER,B119))</f>
        <v/>
      </c>
      <c r="F119" s="71" t="str">
        <f aca="false">IF(B119="","",SUMIFS(L_AFP,L_PER,B119)+SUMIFS(L_SALUD,L_PER,B119)+SUMIFS(L_AFCT,L_PER,B119))</f>
        <v/>
      </c>
      <c r="G119" s="71" t="str">
        <f aca="false">IF(B119="","",SUMIFS(L_EMPPREV,L_PER,B119)+SUMIFS(L_AFCE,L_PER,B119)+SUMIFS(L_MUT,L_PER,B119))</f>
        <v/>
      </c>
      <c r="H119" s="71" t="str">
        <f aca="false">IF(B119="","",F119+G119-SUMIFS(L_ASIGFAM,L_PER,B119))</f>
        <v/>
      </c>
      <c r="I119" s="71" t="str">
        <f aca="false">IF(B119="","",SUMIFS(L_IMP,L_PER,B119))</f>
        <v/>
      </c>
      <c r="J119" s="75" t="str">
        <f aca="false">IF(B119="","",DATE(YEAR(B119),MONTH(B119)+1,20))</f>
        <v/>
      </c>
      <c r="K119" s="67"/>
      <c r="L119" s="71" t="str">
        <f aca="false">IF(OR(B119="",NOT(ISNUMBER(K119))),"",K119-H119)</f>
        <v/>
      </c>
      <c r="M119" s="65"/>
      <c r="N119" s="64"/>
      <c r="O119" s="70" t="str">
        <f aca="false">IF(B119="","",IF(ISNUMBER(M119),IF(M119&lt;=C119,"Pagado","Pagado con atraso"),IF(FECHA_CORTE&gt;C119,"VENCIDO","Pendiente – vence en "&amp;(C119-FECHA_CORTE)&amp;" días")))</f>
        <v/>
      </c>
      <c r="P119" s="64"/>
    </row>
    <row r="120" customFormat="false" ht="15" hidden="false" customHeight="false" outlineLevel="0" collapsed="false">
      <c r="B120" s="78"/>
      <c r="C120" s="75" t="str">
        <f aca="false">IF(B120="","",IF(LEFT(MODALIDAD_PAGO,4)="Elec",DATE(YEAR(B120),MONTH(B120)+1,DIA_PAGO_ELEC),WORKDAY(DATE(YEAR(B120),MONTH(B120)+1,DIA_PAGO_MANUAL)-1,1,FERIADOS)))</f>
        <v/>
      </c>
      <c r="D120" s="73" t="str">
        <f aca="false">IF(B120="","",COUNTIFS(L_PER,B120))</f>
        <v/>
      </c>
      <c r="E120" s="71" t="str">
        <f aca="false">IF(B120="","",SUMIFS(L_IMPONIBLE,L_PER,B120))</f>
        <v/>
      </c>
      <c r="F120" s="71" t="str">
        <f aca="false">IF(B120="","",SUMIFS(L_AFP,L_PER,B120)+SUMIFS(L_SALUD,L_PER,B120)+SUMIFS(L_AFCT,L_PER,B120))</f>
        <v/>
      </c>
      <c r="G120" s="71" t="str">
        <f aca="false">IF(B120="","",SUMIFS(L_EMPPREV,L_PER,B120)+SUMIFS(L_AFCE,L_PER,B120)+SUMIFS(L_MUT,L_PER,B120))</f>
        <v/>
      </c>
      <c r="H120" s="71" t="str">
        <f aca="false">IF(B120="","",F120+G120-SUMIFS(L_ASIGFAM,L_PER,B120))</f>
        <v/>
      </c>
      <c r="I120" s="71" t="str">
        <f aca="false">IF(B120="","",SUMIFS(L_IMP,L_PER,B120))</f>
        <v/>
      </c>
      <c r="J120" s="75" t="str">
        <f aca="false">IF(B120="","",DATE(YEAR(B120),MONTH(B120)+1,20))</f>
        <v/>
      </c>
      <c r="K120" s="67"/>
      <c r="L120" s="71" t="str">
        <f aca="false">IF(OR(B120="",NOT(ISNUMBER(K120))),"",K120-H120)</f>
        <v/>
      </c>
      <c r="M120" s="65"/>
      <c r="N120" s="64"/>
      <c r="O120" s="70" t="str">
        <f aca="false">IF(B120="","",IF(ISNUMBER(M120),IF(M120&lt;=C120,"Pagado","Pagado con atraso"),IF(FECHA_CORTE&gt;C120,"VENCIDO","Pendiente – vence en "&amp;(C120-FECHA_CORTE)&amp;" días")))</f>
        <v/>
      </c>
      <c r="P120" s="64"/>
    </row>
    <row r="121" customFormat="false" ht="15" hidden="false" customHeight="false" outlineLevel="0" collapsed="false">
      <c r="B121" s="78"/>
      <c r="C121" s="75" t="str">
        <f aca="false">IF(B121="","",IF(LEFT(MODALIDAD_PAGO,4)="Elec",DATE(YEAR(B121),MONTH(B121)+1,DIA_PAGO_ELEC),WORKDAY(DATE(YEAR(B121),MONTH(B121)+1,DIA_PAGO_MANUAL)-1,1,FERIADOS)))</f>
        <v/>
      </c>
      <c r="D121" s="73" t="str">
        <f aca="false">IF(B121="","",COUNTIFS(L_PER,B121))</f>
        <v/>
      </c>
      <c r="E121" s="71" t="str">
        <f aca="false">IF(B121="","",SUMIFS(L_IMPONIBLE,L_PER,B121))</f>
        <v/>
      </c>
      <c r="F121" s="71" t="str">
        <f aca="false">IF(B121="","",SUMIFS(L_AFP,L_PER,B121)+SUMIFS(L_SALUD,L_PER,B121)+SUMIFS(L_AFCT,L_PER,B121))</f>
        <v/>
      </c>
      <c r="G121" s="71" t="str">
        <f aca="false">IF(B121="","",SUMIFS(L_EMPPREV,L_PER,B121)+SUMIFS(L_AFCE,L_PER,B121)+SUMIFS(L_MUT,L_PER,B121))</f>
        <v/>
      </c>
      <c r="H121" s="71" t="str">
        <f aca="false">IF(B121="","",F121+G121-SUMIFS(L_ASIGFAM,L_PER,B121))</f>
        <v/>
      </c>
      <c r="I121" s="71" t="str">
        <f aca="false">IF(B121="","",SUMIFS(L_IMP,L_PER,B121))</f>
        <v/>
      </c>
      <c r="J121" s="75" t="str">
        <f aca="false">IF(B121="","",DATE(YEAR(B121),MONTH(B121)+1,20))</f>
        <v/>
      </c>
      <c r="K121" s="67"/>
      <c r="L121" s="71" t="str">
        <f aca="false">IF(OR(B121="",NOT(ISNUMBER(K121))),"",K121-H121)</f>
        <v/>
      </c>
      <c r="M121" s="65"/>
      <c r="N121" s="64"/>
      <c r="O121" s="70" t="str">
        <f aca="false">IF(B121="","",IF(ISNUMBER(M121),IF(M121&lt;=C121,"Pagado","Pagado con atraso"),IF(FECHA_CORTE&gt;C121,"VENCIDO","Pendiente – vence en "&amp;(C121-FECHA_CORTE)&amp;" días")))</f>
        <v/>
      </c>
      <c r="P121" s="64"/>
    </row>
    <row r="122" customFormat="false" ht="15" hidden="false" customHeight="false" outlineLevel="0" collapsed="false">
      <c r="B122" s="78"/>
      <c r="C122" s="75" t="str">
        <f aca="false">IF(B122="","",IF(LEFT(MODALIDAD_PAGO,4)="Elec",DATE(YEAR(B122),MONTH(B122)+1,DIA_PAGO_ELEC),WORKDAY(DATE(YEAR(B122),MONTH(B122)+1,DIA_PAGO_MANUAL)-1,1,FERIADOS)))</f>
        <v/>
      </c>
      <c r="D122" s="73" t="str">
        <f aca="false">IF(B122="","",COUNTIFS(L_PER,B122))</f>
        <v/>
      </c>
      <c r="E122" s="71" t="str">
        <f aca="false">IF(B122="","",SUMIFS(L_IMPONIBLE,L_PER,B122))</f>
        <v/>
      </c>
      <c r="F122" s="71" t="str">
        <f aca="false">IF(B122="","",SUMIFS(L_AFP,L_PER,B122)+SUMIFS(L_SALUD,L_PER,B122)+SUMIFS(L_AFCT,L_PER,B122))</f>
        <v/>
      </c>
      <c r="G122" s="71" t="str">
        <f aca="false">IF(B122="","",SUMIFS(L_EMPPREV,L_PER,B122)+SUMIFS(L_AFCE,L_PER,B122)+SUMIFS(L_MUT,L_PER,B122))</f>
        <v/>
      </c>
      <c r="H122" s="71" t="str">
        <f aca="false">IF(B122="","",F122+G122-SUMIFS(L_ASIGFAM,L_PER,B122))</f>
        <v/>
      </c>
      <c r="I122" s="71" t="str">
        <f aca="false">IF(B122="","",SUMIFS(L_IMP,L_PER,B122))</f>
        <v/>
      </c>
      <c r="J122" s="75" t="str">
        <f aca="false">IF(B122="","",DATE(YEAR(B122),MONTH(B122)+1,20))</f>
        <v/>
      </c>
      <c r="K122" s="67"/>
      <c r="L122" s="71" t="str">
        <f aca="false">IF(OR(B122="",NOT(ISNUMBER(K122))),"",K122-H122)</f>
        <v/>
      </c>
      <c r="M122" s="65"/>
      <c r="N122" s="64"/>
      <c r="O122" s="70" t="str">
        <f aca="false">IF(B122="","",IF(ISNUMBER(M122),IF(M122&lt;=C122,"Pagado","Pagado con atraso"),IF(FECHA_CORTE&gt;C122,"VENCIDO","Pendiente – vence en "&amp;(C122-FECHA_CORTE)&amp;" días")))</f>
        <v/>
      </c>
      <c r="P122" s="64"/>
    </row>
    <row r="123" customFormat="false" ht="15" hidden="false" customHeight="false" outlineLevel="0" collapsed="false">
      <c r="B123" s="78"/>
      <c r="C123" s="75" t="str">
        <f aca="false">IF(B123="","",IF(LEFT(MODALIDAD_PAGO,4)="Elec",DATE(YEAR(B123),MONTH(B123)+1,DIA_PAGO_ELEC),WORKDAY(DATE(YEAR(B123),MONTH(B123)+1,DIA_PAGO_MANUAL)-1,1,FERIADOS)))</f>
        <v/>
      </c>
      <c r="D123" s="73" t="str">
        <f aca="false">IF(B123="","",COUNTIFS(L_PER,B123))</f>
        <v/>
      </c>
      <c r="E123" s="71" t="str">
        <f aca="false">IF(B123="","",SUMIFS(L_IMPONIBLE,L_PER,B123))</f>
        <v/>
      </c>
      <c r="F123" s="71" t="str">
        <f aca="false">IF(B123="","",SUMIFS(L_AFP,L_PER,B123)+SUMIFS(L_SALUD,L_PER,B123)+SUMIFS(L_AFCT,L_PER,B123))</f>
        <v/>
      </c>
      <c r="G123" s="71" t="str">
        <f aca="false">IF(B123="","",SUMIFS(L_EMPPREV,L_PER,B123)+SUMIFS(L_AFCE,L_PER,B123)+SUMIFS(L_MUT,L_PER,B123))</f>
        <v/>
      </c>
      <c r="H123" s="71" t="str">
        <f aca="false">IF(B123="","",F123+G123-SUMIFS(L_ASIGFAM,L_PER,B123))</f>
        <v/>
      </c>
      <c r="I123" s="71" t="str">
        <f aca="false">IF(B123="","",SUMIFS(L_IMP,L_PER,B123))</f>
        <v/>
      </c>
      <c r="J123" s="75" t="str">
        <f aca="false">IF(B123="","",DATE(YEAR(B123),MONTH(B123)+1,20))</f>
        <v/>
      </c>
      <c r="K123" s="67"/>
      <c r="L123" s="71" t="str">
        <f aca="false">IF(OR(B123="",NOT(ISNUMBER(K123))),"",K123-H123)</f>
        <v/>
      </c>
      <c r="M123" s="65"/>
      <c r="N123" s="64"/>
      <c r="O123" s="70" t="str">
        <f aca="false">IF(B123="","",IF(ISNUMBER(M123),IF(M123&lt;=C123,"Pagado","Pagado con atraso"),IF(FECHA_CORTE&gt;C123,"VENCIDO","Pendiente – vence en "&amp;(C123-FECHA_CORTE)&amp;" días")))</f>
        <v/>
      </c>
      <c r="P123" s="64"/>
    </row>
    <row r="124" customFormat="false" ht="15" hidden="false" customHeight="false" outlineLevel="0" collapsed="false">
      <c r="B124" s="78"/>
      <c r="C124" s="75" t="str">
        <f aca="false">IF(B124="","",IF(LEFT(MODALIDAD_PAGO,4)="Elec",DATE(YEAR(B124),MONTH(B124)+1,DIA_PAGO_ELEC),WORKDAY(DATE(YEAR(B124),MONTH(B124)+1,DIA_PAGO_MANUAL)-1,1,FERIADOS)))</f>
        <v/>
      </c>
      <c r="D124" s="73" t="str">
        <f aca="false">IF(B124="","",COUNTIFS(L_PER,B124))</f>
        <v/>
      </c>
      <c r="E124" s="71" t="str">
        <f aca="false">IF(B124="","",SUMIFS(L_IMPONIBLE,L_PER,B124))</f>
        <v/>
      </c>
      <c r="F124" s="71" t="str">
        <f aca="false">IF(B124="","",SUMIFS(L_AFP,L_PER,B124)+SUMIFS(L_SALUD,L_PER,B124)+SUMIFS(L_AFCT,L_PER,B124))</f>
        <v/>
      </c>
      <c r="G124" s="71" t="str">
        <f aca="false">IF(B124="","",SUMIFS(L_EMPPREV,L_PER,B124)+SUMIFS(L_AFCE,L_PER,B124)+SUMIFS(L_MUT,L_PER,B124))</f>
        <v/>
      </c>
      <c r="H124" s="71" t="str">
        <f aca="false">IF(B124="","",F124+G124-SUMIFS(L_ASIGFAM,L_PER,B124))</f>
        <v/>
      </c>
      <c r="I124" s="71" t="str">
        <f aca="false">IF(B124="","",SUMIFS(L_IMP,L_PER,B124))</f>
        <v/>
      </c>
      <c r="J124" s="75" t="str">
        <f aca="false">IF(B124="","",DATE(YEAR(B124),MONTH(B124)+1,20))</f>
        <v/>
      </c>
      <c r="K124" s="67"/>
      <c r="L124" s="71" t="str">
        <f aca="false">IF(OR(B124="",NOT(ISNUMBER(K124))),"",K124-H124)</f>
        <v/>
      </c>
      <c r="M124" s="65"/>
      <c r="N124" s="64"/>
      <c r="O124" s="70" t="str">
        <f aca="false">IF(B124="","",IF(ISNUMBER(M124),IF(M124&lt;=C124,"Pagado","Pagado con atraso"),IF(FECHA_CORTE&gt;C124,"VENCIDO","Pendiente – vence en "&amp;(C124-FECHA_CORTE)&amp;" días")))</f>
        <v/>
      </c>
      <c r="P124" s="64"/>
    </row>
    <row r="125" customFormat="false" ht="15" hidden="false" customHeight="false" outlineLevel="0" collapsed="false">
      <c r="B125" s="78"/>
      <c r="C125" s="75" t="str">
        <f aca="false">IF(B125="","",IF(LEFT(MODALIDAD_PAGO,4)="Elec",DATE(YEAR(B125),MONTH(B125)+1,DIA_PAGO_ELEC),WORKDAY(DATE(YEAR(B125),MONTH(B125)+1,DIA_PAGO_MANUAL)-1,1,FERIADOS)))</f>
        <v/>
      </c>
      <c r="D125" s="73" t="str">
        <f aca="false">IF(B125="","",COUNTIFS(L_PER,B125))</f>
        <v/>
      </c>
      <c r="E125" s="71" t="str">
        <f aca="false">IF(B125="","",SUMIFS(L_IMPONIBLE,L_PER,B125))</f>
        <v/>
      </c>
      <c r="F125" s="71" t="str">
        <f aca="false">IF(B125="","",SUMIFS(L_AFP,L_PER,B125)+SUMIFS(L_SALUD,L_PER,B125)+SUMIFS(L_AFCT,L_PER,B125))</f>
        <v/>
      </c>
      <c r="G125" s="71" t="str">
        <f aca="false">IF(B125="","",SUMIFS(L_EMPPREV,L_PER,B125)+SUMIFS(L_AFCE,L_PER,B125)+SUMIFS(L_MUT,L_PER,B125))</f>
        <v/>
      </c>
      <c r="H125" s="71" t="str">
        <f aca="false">IF(B125="","",F125+G125-SUMIFS(L_ASIGFAM,L_PER,B125))</f>
        <v/>
      </c>
      <c r="I125" s="71" t="str">
        <f aca="false">IF(B125="","",SUMIFS(L_IMP,L_PER,B125))</f>
        <v/>
      </c>
      <c r="J125" s="75" t="str">
        <f aca="false">IF(B125="","",DATE(YEAR(B125),MONTH(B125)+1,20))</f>
        <v/>
      </c>
      <c r="K125" s="67"/>
      <c r="L125" s="71" t="str">
        <f aca="false">IF(OR(B125="",NOT(ISNUMBER(K125))),"",K125-H125)</f>
        <v/>
      </c>
      <c r="M125" s="65"/>
      <c r="N125" s="64"/>
      <c r="O125" s="70" t="str">
        <f aca="false">IF(B125="","",IF(ISNUMBER(M125),IF(M125&lt;=C125,"Pagado","Pagado con atraso"),IF(FECHA_CORTE&gt;C125,"VENCIDO","Pendiente – vence en "&amp;(C125-FECHA_CORTE)&amp;" días")))</f>
        <v/>
      </c>
      <c r="P125" s="64"/>
    </row>
    <row r="126" customFormat="false" ht="15" hidden="false" customHeight="false" outlineLevel="0" collapsed="false">
      <c r="B126" s="78"/>
      <c r="C126" s="75" t="str">
        <f aca="false">IF(B126="","",IF(LEFT(MODALIDAD_PAGO,4)="Elec",DATE(YEAR(B126),MONTH(B126)+1,DIA_PAGO_ELEC),WORKDAY(DATE(YEAR(B126),MONTH(B126)+1,DIA_PAGO_MANUAL)-1,1,FERIADOS)))</f>
        <v/>
      </c>
      <c r="D126" s="73" t="str">
        <f aca="false">IF(B126="","",COUNTIFS(L_PER,B126))</f>
        <v/>
      </c>
      <c r="E126" s="71" t="str">
        <f aca="false">IF(B126="","",SUMIFS(L_IMPONIBLE,L_PER,B126))</f>
        <v/>
      </c>
      <c r="F126" s="71" t="str">
        <f aca="false">IF(B126="","",SUMIFS(L_AFP,L_PER,B126)+SUMIFS(L_SALUD,L_PER,B126)+SUMIFS(L_AFCT,L_PER,B126))</f>
        <v/>
      </c>
      <c r="G126" s="71" t="str">
        <f aca="false">IF(B126="","",SUMIFS(L_EMPPREV,L_PER,B126)+SUMIFS(L_AFCE,L_PER,B126)+SUMIFS(L_MUT,L_PER,B126))</f>
        <v/>
      </c>
      <c r="H126" s="71" t="str">
        <f aca="false">IF(B126="","",F126+G126-SUMIFS(L_ASIGFAM,L_PER,B126))</f>
        <v/>
      </c>
      <c r="I126" s="71" t="str">
        <f aca="false">IF(B126="","",SUMIFS(L_IMP,L_PER,B126))</f>
        <v/>
      </c>
      <c r="J126" s="75" t="str">
        <f aca="false">IF(B126="","",DATE(YEAR(B126),MONTH(B126)+1,20))</f>
        <v/>
      </c>
      <c r="K126" s="67"/>
      <c r="L126" s="71" t="str">
        <f aca="false">IF(OR(B126="",NOT(ISNUMBER(K126))),"",K126-H126)</f>
        <v/>
      </c>
      <c r="M126" s="65"/>
      <c r="N126" s="64"/>
      <c r="O126" s="70" t="str">
        <f aca="false">IF(B126="","",IF(ISNUMBER(M126),IF(M126&lt;=C126,"Pagado","Pagado con atraso"),IF(FECHA_CORTE&gt;C126,"VENCIDO","Pendiente – vence en "&amp;(C126-FECHA_CORTE)&amp;" días")))</f>
        <v/>
      </c>
      <c r="P126" s="64"/>
    </row>
  </sheetData>
  <conditionalFormatting sqref="O7:O126">
    <cfRule type="expression" priority="2" aboveAverage="0" equalAverage="0" bottom="0" percent="0" rank="0" text="" dxfId="0">
      <formula>$O7="VENCIDO"</formula>
    </cfRule>
    <cfRule type="expression" priority="3" aboveAverage="0" equalAverage="0" bottom="0" percent="0" rank="0" text="" dxfId="3">
      <formula>LEFT($O7,9)="Pendiente"</formula>
    </cfRule>
    <cfRule type="expression" priority="4" aboveAverage="0" equalAverage="0" bottom="0" percent="0" rank="0" text="" dxfId="19">
      <formula>$O7="Pagado con atraso"</formula>
    </cfRule>
    <cfRule type="expression" priority="5" aboveAverage="0" equalAverage="0" bottom="0" percent="0" rank="0" text="" dxfId="4">
      <formula>$O7="Pagado"</formula>
    </cfRule>
  </conditionalFormatting>
  <conditionalFormatting sqref="L7:L126">
    <cfRule type="expression" priority="6" aboveAverage="0" equalAverage="0" bottom="0" percent="0" rank="0" text="" dxfId="19">
      <formula>AND(ISNUMBER($L7),ABS($L7)&gt;100)</formula>
    </cfRule>
  </conditionalFormatting>
  <dataValidations count="2">
    <dataValidation allowBlank="true" error="Ingrese una fecha (dd-mm-aaaa)." errorStyle="stop" errorTitle="Fecha no válida" operator="between" showDropDown="false" showErrorMessage="true" showInputMessage="false" sqref="M7:M126" type="date">
      <formula1>32874</formula1>
      <formula2>73051</formula2>
    </dataValidation>
    <dataValidation allowBlank="true" error="Seleccione un valor de la lista desplegable." errorStyle="stop" errorTitle="Valor no válido" operator="between" showDropDown="false" showErrorMessage="true" showInputMessage="false" sqref="B7:B126" type="list">
      <formula1>LS_MESES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M15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4"/>
    <col collapsed="false" customWidth="true" hidden="false" outlineLevel="0" max="5" min="4" style="0" width="12"/>
    <col collapsed="false" customWidth="true" hidden="false" outlineLevel="0" max="6" min="6" style="0" width="20"/>
    <col collapsed="false" customWidth="true" hidden="false" outlineLevel="0" max="7" min="7" style="0" width="10"/>
    <col collapsed="false" customWidth="true" hidden="false" outlineLevel="0" max="8" min="8" style="0" width="11"/>
    <col collapsed="false" customWidth="true" hidden="false" outlineLevel="0" max="10" min="9" style="0" width="10"/>
    <col collapsed="false" customWidth="true" hidden="false" outlineLevel="0" max="11" min="11" style="0" width="30"/>
    <col collapsed="false" customWidth="true" hidden="false" outlineLevel="0" max="12" min="12" style="0" width="10"/>
    <col collapsed="false" customWidth="true" hidden="false" outlineLevel="0" max="13" min="13" style="0" width="30"/>
  </cols>
  <sheetData>
    <row r="2" customFormat="false" ht="24" hidden="false" customHeight="true" outlineLevel="0" collapsed="false">
      <c r="B2" s="1" t="s">
        <v>466</v>
      </c>
      <c r="C2" s="2"/>
      <c r="D2" s="2"/>
      <c r="E2" s="2"/>
      <c r="F2" s="2"/>
      <c r="G2" s="2"/>
      <c r="H2" s="2"/>
      <c r="I2" s="2"/>
      <c r="J2" s="2"/>
      <c r="K2" s="2"/>
      <c r="L2" s="2"/>
      <c r="M2" s="2"/>
    </row>
    <row r="3" customFormat="false" ht="15.75" hidden="false" customHeight="true" outlineLevel="0" collapsed="false">
      <c r="B3" s="3" t="s">
        <v>467</v>
      </c>
      <c r="C3" s="2"/>
      <c r="D3" s="2"/>
      <c r="E3" s="2"/>
      <c r="F3" s="2"/>
      <c r="G3" s="2"/>
      <c r="H3" s="2"/>
      <c r="I3" s="2"/>
      <c r="J3" s="2"/>
      <c r="K3" s="2"/>
      <c r="L3" s="2"/>
      <c r="M3" s="2"/>
    </row>
    <row r="4" customFormat="false" ht="15" hidden="false" customHeight="false" outlineLevel="0" collapsed="false">
      <c r="B4" s="63" t="s">
        <v>220</v>
      </c>
    </row>
    <row r="6" customFormat="false" ht="43.5" hidden="false" customHeight="true" outlineLevel="0" collapsed="false">
      <c r="B6" s="42" t="s">
        <v>221</v>
      </c>
      <c r="C6" s="53" t="s">
        <v>222</v>
      </c>
      <c r="D6" s="42" t="s">
        <v>468</v>
      </c>
      <c r="E6" s="42" t="s">
        <v>469</v>
      </c>
      <c r="F6" s="42" t="s">
        <v>114</v>
      </c>
      <c r="G6" s="53" t="s">
        <v>470</v>
      </c>
      <c r="H6" s="42" t="s">
        <v>471</v>
      </c>
      <c r="I6" s="53" t="s">
        <v>472</v>
      </c>
      <c r="J6" s="42" t="s">
        <v>473</v>
      </c>
      <c r="K6" s="42" t="s">
        <v>170</v>
      </c>
      <c r="L6" s="53" t="s">
        <v>474</v>
      </c>
      <c r="M6" s="53" t="s">
        <v>475</v>
      </c>
    </row>
    <row r="7" customFormat="false" ht="15" hidden="false" customHeight="false" outlineLevel="0" collapsed="false">
      <c r="B7" s="64" t="s">
        <v>177</v>
      </c>
      <c r="C7" s="72" t="str">
        <f aca="false">IF(B7="","",IFERROR(INDEX(T_NOMBRE,MATCH(B7,T_ID,0)),"⚠ ID no existe"))</f>
        <v>María Soto (EJEMPLO)</v>
      </c>
      <c r="D7" s="65" t="n">
        <v>46034</v>
      </c>
      <c r="E7" s="65" t="n">
        <v>46045</v>
      </c>
      <c r="F7" s="64" t="s">
        <v>476</v>
      </c>
      <c r="G7" s="74" t="n">
        <f aca="false">IF(OR(B7="",NOT(ISNUMBER(D7)),NOT(ISNUMBER(E7))),"",NETWORKDAYS(D7,E7,FERIADOS))</f>
        <v>10</v>
      </c>
      <c r="H7" s="69"/>
      <c r="I7" s="74" t="n">
        <f aca="false">IF(B7="","",IF(ISNUMBER(H7),H7,N(G7)))</f>
        <v>10</v>
      </c>
      <c r="J7" s="64" t="s">
        <v>243</v>
      </c>
      <c r="K7" s="64" t="s">
        <v>477</v>
      </c>
      <c r="L7" s="93" t="n">
        <f aca="false">IF(NOT(ISNUMBER(D7)),"",DATE(YEAR(D7),MONTH(D7),1))</f>
        <v>46023</v>
      </c>
      <c r="M7" s="70" t="str">
        <f aca="false">IF(B7="","",IF(AND(ISNUMBER(D7),ISNUMBER(E7),E7&lt;D7),"⚠ Término anterior al inicio",IF(J7&lt;&gt;"Sí","Pendiente comprobante firmado","OK")))</f>
        <v>OK</v>
      </c>
    </row>
    <row r="8" customFormat="false" ht="15" hidden="false" customHeight="false" outlineLevel="0" collapsed="false">
      <c r="B8" s="64" t="s">
        <v>199</v>
      </c>
      <c r="C8" s="72" t="str">
        <f aca="false">IF(B8="","",IFERROR(INDEX(T_NOMBRE,MATCH(B8,T_ID,0)),"⚠ ID no existe"))</f>
        <v>Pedro Muñoz (EJEMPLO)</v>
      </c>
      <c r="D8" s="65" t="n">
        <v>45691</v>
      </c>
      <c r="E8" s="65" t="n">
        <v>45702</v>
      </c>
      <c r="F8" s="64" t="s">
        <v>476</v>
      </c>
      <c r="G8" s="74" t="n">
        <f aca="false">IF(OR(B8="",NOT(ISNUMBER(D8)),NOT(ISNUMBER(E8))),"",NETWORKDAYS(D8,E8,FERIADOS))</f>
        <v>10</v>
      </c>
      <c r="H8" s="69"/>
      <c r="I8" s="74" t="n">
        <f aca="false">IF(B8="","",IF(ISNUMBER(H8),H8,N(G8)))</f>
        <v>10</v>
      </c>
      <c r="J8" s="64" t="s">
        <v>243</v>
      </c>
      <c r="K8" s="64" t="s">
        <v>478</v>
      </c>
      <c r="L8" s="93" t="n">
        <f aca="false">IF(NOT(ISNUMBER(D8)),"",DATE(YEAR(D8),MONTH(D8),1))</f>
        <v>45689</v>
      </c>
      <c r="M8" s="70" t="str">
        <f aca="false">IF(B8="","",IF(AND(ISNUMBER(D8),ISNUMBER(E8),E8&lt;D8),"⚠ Término anterior al inicio",IF(J8&lt;&gt;"Sí","Pendiente comprobante firmado","OK")))</f>
        <v>OK</v>
      </c>
    </row>
    <row r="9" customFormat="false" ht="15" hidden="false" customHeight="false" outlineLevel="0" collapsed="false">
      <c r="B9" s="64" t="s">
        <v>199</v>
      </c>
      <c r="C9" s="72" t="str">
        <f aca="false">IF(B9="","",IFERROR(INDEX(T_NOMBRE,MATCH(B9,T_ID,0)),"⚠ ID no existe"))</f>
        <v>Pedro Muñoz (EJEMPLO)</v>
      </c>
      <c r="D9" s="65" t="n">
        <v>46055</v>
      </c>
      <c r="E9" s="65" t="n">
        <v>46066</v>
      </c>
      <c r="F9" s="64" t="s">
        <v>476</v>
      </c>
      <c r="G9" s="74" t="n">
        <f aca="false">IF(OR(B9="",NOT(ISNUMBER(D9)),NOT(ISNUMBER(E9))),"",NETWORKDAYS(D9,E9,FERIADOS))</f>
        <v>10</v>
      </c>
      <c r="H9" s="69"/>
      <c r="I9" s="74" t="n">
        <f aca="false">IF(B9="","",IF(ISNUMBER(H9),H9,N(G9)))</f>
        <v>10</v>
      </c>
      <c r="J9" s="64" t="s">
        <v>243</v>
      </c>
      <c r="K9" s="64" t="s">
        <v>479</v>
      </c>
      <c r="L9" s="93" t="n">
        <f aca="false">IF(NOT(ISNUMBER(D9)),"",DATE(YEAR(D9),MONTH(D9),1))</f>
        <v>46054</v>
      </c>
      <c r="M9" s="70" t="str">
        <f aca="false">IF(B9="","",IF(AND(ISNUMBER(D9),ISNUMBER(E9),E9&lt;D9),"⚠ Término anterior al inicio",IF(J9&lt;&gt;"Sí","Pendiente comprobante firmado","OK")))</f>
        <v>OK</v>
      </c>
    </row>
    <row r="10" customFormat="false" ht="15" hidden="false" customHeight="false" outlineLevel="0" collapsed="false">
      <c r="B10" s="64"/>
      <c r="C10" s="72" t="str">
        <f aca="false">IF(B10="","",IFERROR(INDEX(T_NOMBRE,MATCH(B10,T_ID,0)),"⚠ ID no existe"))</f>
        <v/>
      </c>
      <c r="D10" s="65"/>
      <c r="E10" s="65"/>
      <c r="F10" s="64"/>
      <c r="G10" s="74" t="str">
        <f aca="false">IF(OR(B10="",NOT(ISNUMBER(D10)),NOT(ISNUMBER(E10))),"",NETWORKDAYS(D10,E10,FERIADOS))</f>
        <v/>
      </c>
      <c r="H10" s="69"/>
      <c r="I10" s="74" t="str">
        <f aca="false">IF(B10="","",IF(ISNUMBER(H10),H10,N(G10)))</f>
        <v/>
      </c>
      <c r="J10" s="64"/>
      <c r="K10" s="64"/>
      <c r="L10" s="93" t="str">
        <f aca="false">IF(NOT(ISNUMBER(D10)),"",DATE(YEAR(D10),MONTH(D10),1))</f>
        <v/>
      </c>
      <c r="M10" s="70" t="str">
        <f aca="false">IF(B10="","",IF(AND(ISNUMBER(D10),ISNUMBER(E10),E10&lt;D10),"⚠ Término anterior al inicio",IF(J10&lt;&gt;"Sí","Pendiente comprobante firmado","OK")))</f>
        <v/>
      </c>
    </row>
    <row r="11" customFormat="false" ht="15" hidden="false" customHeight="false" outlineLevel="0" collapsed="false">
      <c r="B11" s="64"/>
      <c r="C11" s="72" t="str">
        <f aca="false">IF(B11="","",IFERROR(INDEX(T_NOMBRE,MATCH(B11,T_ID,0)),"⚠ ID no existe"))</f>
        <v/>
      </c>
      <c r="D11" s="65"/>
      <c r="E11" s="65"/>
      <c r="F11" s="64"/>
      <c r="G11" s="74" t="str">
        <f aca="false">IF(OR(B11="",NOT(ISNUMBER(D11)),NOT(ISNUMBER(E11))),"",NETWORKDAYS(D11,E11,FERIADOS))</f>
        <v/>
      </c>
      <c r="H11" s="69"/>
      <c r="I11" s="74" t="str">
        <f aca="false">IF(B11="","",IF(ISNUMBER(H11),H11,N(G11)))</f>
        <v/>
      </c>
      <c r="J11" s="64"/>
      <c r="K11" s="64"/>
      <c r="L11" s="93" t="str">
        <f aca="false">IF(NOT(ISNUMBER(D11)),"",DATE(YEAR(D11),MONTH(D11),1))</f>
        <v/>
      </c>
      <c r="M11" s="70" t="str">
        <f aca="false">IF(B11="","",IF(AND(ISNUMBER(D11),ISNUMBER(E11),E11&lt;D11),"⚠ Término anterior al inicio",IF(J11&lt;&gt;"Sí","Pendiente comprobante firmado","OK")))</f>
        <v/>
      </c>
    </row>
    <row r="12" customFormat="false" ht="15" hidden="false" customHeight="false" outlineLevel="0" collapsed="false">
      <c r="B12" s="64"/>
      <c r="C12" s="72" t="str">
        <f aca="false">IF(B12="","",IFERROR(INDEX(T_NOMBRE,MATCH(B12,T_ID,0)),"⚠ ID no existe"))</f>
        <v/>
      </c>
      <c r="D12" s="65"/>
      <c r="E12" s="65"/>
      <c r="F12" s="64"/>
      <c r="G12" s="74" t="str">
        <f aca="false">IF(OR(B12="",NOT(ISNUMBER(D12)),NOT(ISNUMBER(E12))),"",NETWORKDAYS(D12,E12,FERIADOS))</f>
        <v/>
      </c>
      <c r="H12" s="69"/>
      <c r="I12" s="74" t="str">
        <f aca="false">IF(B12="","",IF(ISNUMBER(H12),H12,N(G12)))</f>
        <v/>
      </c>
      <c r="J12" s="64"/>
      <c r="K12" s="64"/>
      <c r="L12" s="93" t="str">
        <f aca="false">IF(NOT(ISNUMBER(D12)),"",DATE(YEAR(D12),MONTH(D12),1))</f>
        <v/>
      </c>
      <c r="M12" s="70" t="str">
        <f aca="false">IF(B12="","",IF(AND(ISNUMBER(D12),ISNUMBER(E12),E12&lt;D12),"⚠ Término anterior al inicio",IF(J12&lt;&gt;"Sí","Pendiente comprobante firmado","OK")))</f>
        <v/>
      </c>
    </row>
    <row r="13" customFormat="false" ht="15" hidden="false" customHeight="false" outlineLevel="0" collapsed="false">
      <c r="B13" s="64"/>
      <c r="C13" s="72" t="str">
        <f aca="false">IF(B13="","",IFERROR(INDEX(T_NOMBRE,MATCH(B13,T_ID,0)),"⚠ ID no existe"))</f>
        <v/>
      </c>
      <c r="D13" s="65"/>
      <c r="E13" s="65"/>
      <c r="F13" s="64"/>
      <c r="G13" s="74" t="str">
        <f aca="false">IF(OR(B13="",NOT(ISNUMBER(D13)),NOT(ISNUMBER(E13))),"",NETWORKDAYS(D13,E13,FERIADOS))</f>
        <v/>
      </c>
      <c r="H13" s="69"/>
      <c r="I13" s="74" t="str">
        <f aca="false">IF(B13="","",IF(ISNUMBER(H13),H13,N(G13)))</f>
        <v/>
      </c>
      <c r="J13" s="64"/>
      <c r="K13" s="64"/>
      <c r="L13" s="93" t="str">
        <f aca="false">IF(NOT(ISNUMBER(D13)),"",DATE(YEAR(D13),MONTH(D13),1))</f>
        <v/>
      </c>
      <c r="M13" s="70" t="str">
        <f aca="false">IF(B13="","",IF(AND(ISNUMBER(D13),ISNUMBER(E13),E13&lt;D13),"⚠ Término anterior al inicio",IF(J13&lt;&gt;"Sí","Pendiente comprobante firmado","OK")))</f>
        <v/>
      </c>
    </row>
    <row r="14" customFormat="false" ht="15" hidden="false" customHeight="false" outlineLevel="0" collapsed="false">
      <c r="B14" s="64"/>
      <c r="C14" s="72" t="str">
        <f aca="false">IF(B14="","",IFERROR(INDEX(T_NOMBRE,MATCH(B14,T_ID,0)),"⚠ ID no existe"))</f>
        <v/>
      </c>
      <c r="D14" s="65"/>
      <c r="E14" s="65"/>
      <c r="F14" s="64"/>
      <c r="G14" s="74" t="str">
        <f aca="false">IF(OR(B14="",NOT(ISNUMBER(D14)),NOT(ISNUMBER(E14))),"",NETWORKDAYS(D14,E14,FERIADOS))</f>
        <v/>
      </c>
      <c r="H14" s="69"/>
      <c r="I14" s="74" t="str">
        <f aca="false">IF(B14="","",IF(ISNUMBER(H14),H14,N(G14)))</f>
        <v/>
      </c>
      <c r="J14" s="64"/>
      <c r="K14" s="64"/>
      <c r="L14" s="93" t="str">
        <f aca="false">IF(NOT(ISNUMBER(D14)),"",DATE(YEAR(D14),MONTH(D14),1))</f>
        <v/>
      </c>
      <c r="M14" s="70" t="str">
        <f aca="false">IF(B14="","",IF(AND(ISNUMBER(D14),ISNUMBER(E14),E14&lt;D14),"⚠ Término anterior al inicio",IF(J14&lt;&gt;"Sí","Pendiente comprobante firmado","OK")))</f>
        <v/>
      </c>
    </row>
    <row r="15" customFormat="false" ht="15" hidden="false" customHeight="false" outlineLevel="0" collapsed="false">
      <c r="B15" s="64"/>
      <c r="C15" s="72" t="str">
        <f aca="false">IF(B15="","",IFERROR(INDEX(T_NOMBRE,MATCH(B15,T_ID,0)),"⚠ ID no existe"))</f>
        <v/>
      </c>
      <c r="D15" s="65"/>
      <c r="E15" s="65"/>
      <c r="F15" s="64"/>
      <c r="G15" s="74" t="str">
        <f aca="false">IF(OR(B15="",NOT(ISNUMBER(D15)),NOT(ISNUMBER(E15))),"",NETWORKDAYS(D15,E15,FERIADOS))</f>
        <v/>
      </c>
      <c r="H15" s="69"/>
      <c r="I15" s="74" t="str">
        <f aca="false">IF(B15="","",IF(ISNUMBER(H15),H15,N(G15)))</f>
        <v/>
      </c>
      <c r="J15" s="64"/>
      <c r="K15" s="64"/>
      <c r="L15" s="93" t="str">
        <f aca="false">IF(NOT(ISNUMBER(D15)),"",DATE(YEAR(D15),MONTH(D15),1))</f>
        <v/>
      </c>
      <c r="M15" s="70" t="str">
        <f aca="false">IF(B15="","",IF(AND(ISNUMBER(D15),ISNUMBER(E15),E15&lt;D15),"⚠ Término anterior al inicio",IF(J15&lt;&gt;"Sí","Pendiente comprobante firmado","OK")))</f>
        <v/>
      </c>
    </row>
    <row r="16" customFormat="false" ht="15" hidden="false" customHeight="false" outlineLevel="0" collapsed="false">
      <c r="B16" s="64"/>
      <c r="C16" s="72" t="str">
        <f aca="false">IF(B16="","",IFERROR(INDEX(T_NOMBRE,MATCH(B16,T_ID,0)),"⚠ ID no existe"))</f>
        <v/>
      </c>
      <c r="D16" s="65"/>
      <c r="E16" s="65"/>
      <c r="F16" s="64"/>
      <c r="G16" s="74" t="str">
        <f aca="false">IF(OR(B16="",NOT(ISNUMBER(D16)),NOT(ISNUMBER(E16))),"",NETWORKDAYS(D16,E16,FERIADOS))</f>
        <v/>
      </c>
      <c r="H16" s="69"/>
      <c r="I16" s="74" t="str">
        <f aca="false">IF(B16="","",IF(ISNUMBER(H16),H16,N(G16)))</f>
        <v/>
      </c>
      <c r="J16" s="64"/>
      <c r="K16" s="64"/>
      <c r="L16" s="93" t="str">
        <f aca="false">IF(NOT(ISNUMBER(D16)),"",DATE(YEAR(D16),MONTH(D16),1))</f>
        <v/>
      </c>
      <c r="M16" s="70" t="str">
        <f aca="false">IF(B16="","",IF(AND(ISNUMBER(D16),ISNUMBER(E16),E16&lt;D16),"⚠ Término anterior al inicio",IF(J16&lt;&gt;"Sí","Pendiente comprobante firmado","OK")))</f>
        <v/>
      </c>
    </row>
    <row r="17" customFormat="false" ht="15" hidden="false" customHeight="false" outlineLevel="0" collapsed="false">
      <c r="B17" s="64"/>
      <c r="C17" s="72" t="str">
        <f aca="false">IF(B17="","",IFERROR(INDEX(T_NOMBRE,MATCH(B17,T_ID,0)),"⚠ ID no existe"))</f>
        <v/>
      </c>
      <c r="D17" s="65"/>
      <c r="E17" s="65"/>
      <c r="F17" s="64"/>
      <c r="G17" s="74" t="str">
        <f aca="false">IF(OR(B17="",NOT(ISNUMBER(D17)),NOT(ISNUMBER(E17))),"",NETWORKDAYS(D17,E17,FERIADOS))</f>
        <v/>
      </c>
      <c r="H17" s="69"/>
      <c r="I17" s="74" t="str">
        <f aca="false">IF(B17="","",IF(ISNUMBER(H17),H17,N(G17)))</f>
        <v/>
      </c>
      <c r="J17" s="64"/>
      <c r="K17" s="64"/>
      <c r="L17" s="93" t="str">
        <f aca="false">IF(NOT(ISNUMBER(D17)),"",DATE(YEAR(D17),MONTH(D17),1))</f>
        <v/>
      </c>
      <c r="M17" s="70" t="str">
        <f aca="false">IF(B17="","",IF(AND(ISNUMBER(D17),ISNUMBER(E17),E17&lt;D17),"⚠ Término anterior al inicio",IF(J17&lt;&gt;"Sí","Pendiente comprobante firmado","OK")))</f>
        <v/>
      </c>
    </row>
    <row r="18" customFormat="false" ht="15" hidden="false" customHeight="false" outlineLevel="0" collapsed="false">
      <c r="B18" s="64"/>
      <c r="C18" s="72" t="str">
        <f aca="false">IF(B18="","",IFERROR(INDEX(T_NOMBRE,MATCH(B18,T_ID,0)),"⚠ ID no existe"))</f>
        <v/>
      </c>
      <c r="D18" s="65"/>
      <c r="E18" s="65"/>
      <c r="F18" s="64"/>
      <c r="G18" s="74" t="str">
        <f aca="false">IF(OR(B18="",NOT(ISNUMBER(D18)),NOT(ISNUMBER(E18))),"",NETWORKDAYS(D18,E18,FERIADOS))</f>
        <v/>
      </c>
      <c r="H18" s="69"/>
      <c r="I18" s="74" t="str">
        <f aca="false">IF(B18="","",IF(ISNUMBER(H18),H18,N(G18)))</f>
        <v/>
      </c>
      <c r="J18" s="64"/>
      <c r="K18" s="64"/>
      <c r="L18" s="93" t="str">
        <f aca="false">IF(NOT(ISNUMBER(D18)),"",DATE(YEAR(D18),MONTH(D18),1))</f>
        <v/>
      </c>
      <c r="M18" s="70" t="str">
        <f aca="false">IF(B18="","",IF(AND(ISNUMBER(D18),ISNUMBER(E18),E18&lt;D18),"⚠ Término anterior al inicio",IF(J18&lt;&gt;"Sí","Pendiente comprobante firmado","OK")))</f>
        <v/>
      </c>
    </row>
    <row r="19" customFormat="false" ht="15" hidden="false" customHeight="false" outlineLevel="0" collapsed="false">
      <c r="B19" s="64"/>
      <c r="C19" s="72" t="str">
        <f aca="false">IF(B19="","",IFERROR(INDEX(T_NOMBRE,MATCH(B19,T_ID,0)),"⚠ ID no existe"))</f>
        <v/>
      </c>
      <c r="D19" s="65"/>
      <c r="E19" s="65"/>
      <c r="F19" s="64"/>
      <c r="G19" s="74" t="str">
        <f aca="false">IF(OR(B19="",NOT(ISNUMBER(D19)),NOT(ISNUMBER(E19))),"",NETWORKDAYS(D19,E19,FERIADOS))</f>
        <v/>
      </c>
      <c r="H19" s="69"/>
      <c r="I19" s="74" t="str">
        <f aca="false">IF(B19="","",IF(ISNUMBER(H19),H19,N(G19)))</f>
        <v/>
      </c>
      <c r="J19" s="64"/>
      <c r="K19" s="64"/>
      <c r="L19" s="93" t="str">
        <f aca="false">IF(NOT(ISNUMBER(D19)),"",DATE(YEAR(D19),MONTH(D19),1))</f>
        <v/>
      </c>
      <c r="M19" s="70" t="str">
        <f aca="false">IF(B19="","",IF(AND(ISNUMBER(D19),ISNUMBER(E19),E19&lt;D19),"⚠ Término anterior al inicio",IF(J19&lt;&gt;"Sí","Pendiente comprobante firmado","OK")))</f>
        <v/>
      </c>
    </row>
    <row r="20" customFormat="false" ht="15" hidden="false" customHeight="false" outlineLevel="0" collapsed="false">
      <c r="B20" s="64"/>
      <c r="C20" s="72" t="str">
        <f aca="false">IF(B20="","",IFERROR(INDEX(T_NOMBRE,MATCH(B20,T_ID,0)),"⚠ ID no existe"))</f>
        <v/>
      </c>
      <c r="D20" s="65"/>
      <c r="E20" s="65"/>
      <c r="F20" s="64"/>
      <c r="G20" s="74" t="str">
        <f aca="false">IF(OR(B20="",NOT(ISNUMBER(D20)),NOT(ISNUMBER(E20))),"",NETWORKDAYS(D20,E20,FERIADOS))</f>
        <v/>
      </c>
      <c r="H20" s="69"/>
      <c r="I20" s="74" t="str">
        <f aca="false">IF(B20="","",IF(ISNUMBER(H20),H20,N(G20)))</f>
        <v/>
      </c>
      <c r="J20" s="64"/>
      <c r="K20" s="64"/>
      <c r="L20" s="93" t="str">
        <f aca="false">IF(NOT(ISNUMBER(D20)),"",DATE(YEAR(D20),MONTH(D20),1))</f>
        <v/>
      </c>
      <c r="M20" s="70" t="str">
        <f aca="false">IF(B20="","",IF(AND(ISNUMBER(D20),ISNUMBER(E20),E20&lt;D20),"⚠ Término anterior al inicio",IF(J20&lt;&gt;"Sí","Pendiente comprobante firmado","OK")))</f>
        <v/>
      </c>
    </row>
    <row r="21" customFormat="false" ht="15" hidden="false" customHeight="false" outlineLevel="0" collapsed="false">
      <c r="B21" s="64"/>
      <c r="C21" s="72" t="str">
        <f aca="false">IF(B21="","",IFERROR(INDEX(T_NOMBRE,MATCH(B21,T_ID,0)),"⚠ ID no existe"))</f>
        <v/>
      </c>
      <c r="D21" s="65"/>
      <c r="E21" s="65"/>
      <c r="F21" s="64"/>
      <c r="G21" s="74" t="str">
        <f aca="false">IF(OR(B21="",NOT(ISNUMBER(D21)),NOT(ISNUMBER(E21))),"",NETWORKDAYS(D21,E21,FERIADOS))</f>
        <v/>
      </c>
      <c r="H21" s="69"/>
      <c r="I21" s="74" t="str">
        <f aca="false">IF(B21="","",IF(ISNUMBER(H21),H21,N(G21)))</f>
        <v/>
      </c>
      <c r="J21" s="64"/>
      <c r="K21" s="64"/>
      <c r="L21" s="93" t="str">
        <f aca="false">IF(NOT(ISNUMBER(D21)),"",DATE(YEAR(D21),MONTH(D21),1))</f>
        <v/>
      </c>
      <c r="M21" s="70" t="str">
        <f aca="false">IF(B21="","",IF(AND(ISNUMBER(D21),ISNUMBER(E21),E21&lt;D21),"⚠ Término anterior al inicio",IF(J21&lt;&gt;"Sí","Pendiente comprobante firmado","OK")))</f>
        <v/>
      </c>
    </row>
    <row r="22" customFormat="false" ht="15" hidden="false" customHeight="false" outlineLevel="0" collapsed="false">
      <c r="B22" s="64"/>
      <c r="C22" s="72" t="str">
        <f aca="false">IF(B22="","",IFERROR(INDEX(T_NOMBRE,MATCH(B22,T_ID,0)),"⚠ ID no existe"))</f>
        <v/>
      </c>
      <c r="D22" s="65"/>
      <c r="E22" s="65"/>
      <c r="F22" s="64"/>
      <c r="G22" s="74" t="str">
        <f aca="false">IF(OR(B22="",NOT(ISNUMBER(D22)),NOT(ISNUMBER(E22))),"",NETWORKDAYS(D22,E22,FERIADOS))</f>
        <v/>
      </c>
      <c r="H22" s="69"/>
      <c r="I22" s="74" t="str">
        <f aca="false">IF(B22="","",IF(ISNUMBER(H22),H22,N(G22)))</f>
        <v/>
      </c>
      <c r="J22" s="64"/>
      <c r="K22" s="64"/>
      <c r="L22" s="93" t="str">
        <f aca="false">IF(NOT(ISNUMBER(D22)),"",DATE(YEAR(D22),MONTH(D22),1))</f>
        <v/>
      </c>
      <c r="M22" s="70" t="str">
        <f aca="false">IF(B22="","",IF(AND(ISNUMBER(D22),ISNUMBER(E22),E22&lt;D22),"⚠ Término anterior al inicio",IF(J22&lt;&gt;"Sí","Pendiente comprobante firmado","OK")))</f>
        <v/>
      </c>
    </row>
    <row r="23" customFormat="false" ht="15" hidden="false" customHeight="false" outlineLevel="0" collapsed="false">
      <c r="B23" s="64"/>
      <c r="C23" s="72" t="str">
        <f aca="false">IF(B23="","",IFERROR(INDEX(T_NOMBRE,MATCH(B23,T_ID,0)),"⚠ ID no existe"))</f>
        <v/>
      </c>
      <c r="D23" s="65"/>
      <c r="E23" s="65"/>
      <c r="F23" s="64"/>
      <c r="G23" s="74" t="str">
        <f aca="false">IF(OR(B23="",NOT(ISNUMBER(D23)),NOT(ISNUMBER(E23))),"",NETWORKDAYS(D23,E23,FERIADOS))</f>
        <v/>
      </c>
      <c r="H23" s="69"/>
      <c r="I23" s="74" t="str">
        <f aca="false">IF(B23="","",IF(ISNUMBER(H23),H23,N(G23)))</f>
        <v/>
      </c>
      <c r="J23" s="64"/>
      <c r="K23" s="64"/>
      <c r="L23" s="93" t="str">
        <f aca="false">IF(NOT(ISNUMBER(D23)),"",DATE(YEAR(D23),MONTH(D23),1))</f>
        <v/>
      </c>
      <c r="M23" s="70" t="str">
        <f aca="false">IF(B23="","",IF(AND(ISNUMBER(D23),ISNUMBER(E23),E23&lt;D23),"⚠ Término anterior al inicio",IF(J23&lt;&gt;"Sí","Pendiente comprobante firmado","OK")))</f>
        <v/>
      </c>
    </row>
    <row r="24" customFormat="false" ht="15" hidden="false" customHeight="false" outlineLevel="0" collapsed="false">
      <c r="B24" s="64"/>
      <c r="C24" s="72" t="str">
        <f aca="false">IF(B24="","",IFERROR(INDEX(T_NOMBRE,MATCH(B24,T_ID,0)),"⚠ ID no existe"))</f>
        <v/>
      </c>
      <c r="D24" s="65"/>
      <c r="E24" s="65"/>
      <c r="F24" s="64"/>
      <c r="G24" s="74" t="str">
        <f aca="false">IF(OR(B24="",NOT(ISNUMBER(D24)),NOT(ISNUMBER(E24))),"",NETWORKDAYS(D24,E24,FERIADOS))</f>
        <v/>
      </c>
      <c r="H24" s="69"/>
      <c r="I24" s="74" t="str">
        <f aca="false">IF(B24="","",IF(ISNUMBER(H24),H24,N(G24)))</f>
        <v/>
      </c>
      <c r="J24" s="64"/>
      <c r="K24" s="64"/>
      <c r="L24" s="93" t="str">
        <f aca="false">IF(NOT(ISNUMBER(D24)),"",DATE(YEAR(D24),MONTH(D24),1))</f>
        <v/>
      </c>
      <c r="M24" s="70" t="str">
        <f aca="false">IF(B24="","",IF(AND(ISNUMBER(D24),ISNUMBER(E24),E24&lt;D24),"⚠ Término anterior al inicio",IF(J24&lt;&gt;"Sí","Pendiente comprobante firmado","OK")))</f>
        <v/>
      </c>
    </row>
    <row r="25" customFormat="false" ht="15" hidden="false" customHeight="false" outlineLevel="0" collapsed="false">
      <c r="B25" s="64"/>
      <c r="C25" s="72" t="str">
        <f aca="false">IF(B25="","",IFERROR(INDEX(T_NOMBRE,MATCH(B25,T_ID,0)),"⚠ ID no existe"))</f>
        <v/>
      </c>
      <c r="D25" s="65"/>
      <c r="E25" s="65"/>
      <c r="F25" s="64"/>
      <c r="G25" s="74" t="str">
        <f aca="false">IF(OR(B25="",NOT(ISNUMBER(D25)),NOT(ISNUMBER(E25))),"",NETWORKDAYS(D25,E25,FERIADOS))</f>
        <v/>
      </c>
      <c r="H25" s="69"/>
      <c r="I25" s="74" t="str">
        <f aca="false">IF(B25="","",IF(ISNUMBER(H25),H25,N(G25)))</f>
        <v/>
      </c>
      <c r="J25" s="64"/>
      <c r="K25" s="64"/>
      <c r="L25" s="93" t="str">
        <f aca="false">IF(NOT(ISNUMBER(D25)),"",DATE(YEAR(D25),MONTH(D25),1))</f>
        <v/>
      </c>
      <c r="M25" s="70" t="str">
        <f aca="false">IF(B25="","",IF(AND(ISNUMBER(D25),ISNUMBER(E25),E25&lt;D25),"⚠ Término anterior al inicio",IF(J25&lt;&gt;"Sí","Pendiente comprobante firmado","OK")))</f>
        <v/>
      </c>
    </row>
    <row r="26" customFormat="false" ht="15" hidden="false" customHeight="false" outlineLevel="0" collapsed="false">
      <c r="B26" s="64"/>
      <c r="C26" s="72" t="str">
        <f aca="false">IF(B26="","",IFERROR(INDEX(T_NOMBRE,MATCH(B26,T_ID,0)),"⚠ ID no existe"))</f>
        <v/>
      </c>
      <c r="D26" s="65"/>
      <c r="E26" s="65"/>
      <c r="F26" s="64"/>
      <c r="G26" s="74" t="str">
        <f aca="false">IF(OR(B26="",NOT(ISNUMBER(D26)),NOT(ISNUMBER(E26))),"",NETWORKDAYS(D26,E26,FERIADOS))</f>
        <v/>
      </c>
      <c r="H26" s="69"/>
      <c r="I26" s="74" t="str">
        <f aca="false">IF(B26="","",IF(ISNUMBER(H26),H26,N(G26)))</f>
        <v/>
      </c>
      <c r="J26" s="64"/>
      <c r="K26" s="64"/>
      <c r="L26" s="93" t="str">
        <f aca="false">IF(NOT(ISNUMBER(D26)),"",DATE(YEAR(D26),MONTH(D26),1))</f>
        <v/>
      </c>
      <c r="M26" s="70" t="str">
        <f aca="false">IF(B26="","",IF(AND(ISNUMBER(D26),ISNUMBER(E26),E26&lt;D26),"⚠ Término anterior al inicio",IF(J26&lt;&gt;"Sí","Pendiente comprobante firmado","OK")))</f>
        <v/>
      </c>
    </row>
    <row r="27" customFormat="false" ht="15" hidden="false" customHeight="false" outlineLevel="0" collapsed="false">
      <c r="B27" s="64"/>
      <c r="C27" s="72" t="str">
        <f aca="false">IF(B27="","",IFERROR(INDEX(T_NOMBRE,MATCH(B27,T_ID,0)),"⚠ ID no existe"))</f>
        <v/>
      </c>
      <c r="D27" s="65"/>
      <c r="E27" s="65"/>
      <c r="F27" s="64"/>
      <c r="G27" s="74" t="str">
        <f aca="false">IF(OR(B27="",NOT(ISNUMBER(D27)),NOT(ISNUMBER(E27))),"",NETWORKDAYS(D27,E27,FERIADOS))</f>
        <v/>
      </c>
      <c r="H27" s="69"/>
      <c r="I27" s="74" t="str">
        <f aca="false">IF(B27="","",IF(ISNUMBER(H27),H27,N(G27)))</f>
        <v/>
      </c>
      <c r="J27" s="64"/>
      <c r="K27" s="64"/>
      <c r="L27" s="93" t="str">
        <f aca="false">IF(NOT(ISNUMBER(D27)),"",DATE(YEAR(D27),MONTH(D27),1))</f>
        <v/>
      </c>
      <c r="M27" s="70" t="str">
        <f aca="false">IF(B27="","",IF(AND(ISNUMBER(D27),ISNUMBER(E27),E27&lt;D27),"⚠ Término anterior al inicio",IF(J27&lt;&gt;"Sí","Pendiente comprobante firmado","OK")))</f>
        <v/>
      </c>
    </row>
    <row r="28" customFormat="false" ht="15" hidden="false" customHeight="false" outlineLevel="0" collapsed="false">
      <c r="B28" s="64"/>
      <c r="C28" s="72" t="str">
        <f aca="false">IF(B28="","",IFERROR(INDEX(T_NOMBRE,MATCH(B28,T_ID,0)),"⚠ ID no existe"))</f>
        <v/>
      </c>
      <c r="D28" s="65"/>
      <c r="E28" s="65"/>
      <c r="F28" s="64"/>
      <c r="G28" s="74" t="str">
        <f aca="false">IF(OR(B28="",NOT(ISNUMBER(D28)),NOT(ISNUMBER(E28))),"",NETWORKDAYS(D28,E28,FERIADOS))</f>
        <v/>
      </c>
      <c r="H28" s="69"/>
      <c r="I28" s="74" t="str">
        <f aca="false">IF(B28="","",IF(ISNUMBER(H28),H28,N(G28)))</f>
        <v/>
      </c>
      <c r="J28" s="64"/>
      <c r="K28" s="64"/>
      <c r="L28" s="93" t="str">
        <f aca="false">IF(NOT(ISNUMBER(D28)),"",DATE(YEAR(D28),MONTH(D28),1))</f>
        <v/>
      </c>
      <c r="M28" s="70" t="str">
        <f aca="false">IF(B28="","",IF(AND(ISNUMBER(D28),ISNUMBER(E28),E28&lt;D28),"⚠ Término anterior al inicio",IF(J28&lt;&gt;"Sí","Pendiente comprobante firmado","OK")))</f>
        <v/>
      </c>
    </row>
    <row r="29" customFormat="false" ht="15" hidden="false" customHeight="false" outlineLevel="0" collapsed="false">
      <c r="B29" s="64"/>
      <c r="C29" s="72" t="str">
        <f aca="false">IF(B29="","",IFERROR(INDEX(T_NOMBRE,MATCH(B29,T_ID,0)),"⚠ ID no existe"))</f>
        <v/>
      </c>
      <c r="D29" s="65"/>
      <c r="E29" s="65"/>
      <c r="F29" s="64"/>
      <c r="G29" s="74" t="str">
        <f aca="false">IF(OR(B29="",NOT(ISNUMBER(D29)),NOT(ISNUMBER(E29))),"",NETWORKDAYS(D29,E29,FERIADOS))</f>
        <v/>
      </c>
      <c r="H29" s="69"/>
      <c r="I29" s="74" t="str">
        <f aca="false">IF(B29="","",IF(ISNUMBER(H29),H29,N(G29)))</f>
        <v/>
      </c>
      <c r="J29" s="64"/>
      <c r="K29" s="64"/>
      <c r="L29" s="93" t="str">
        <f aca="false">IF(NOT(ISNUMBER(D29)),"",DATE(YEAR(D29),MONTH(D29),1))</f>
        <v/>
      </c>
      <c r="M29" s="70" t="str">
        <f aca="false">IF(B29="","",IF(AND(ISNUMBER(D29),ISNUMBER(E29),E29&lt;D29),"⚠ Término anterior al inicio",IF(J29&lt;&gt;"Sí","Pendiente comprobante firmado","OK")))</f>
        <v/>
      </c>
    </row>
    <row r="30" customFormat="false" ht="15" hidden="false" customHeight="false" outlineLevel="0" collapsed="false">
      <c r="B30" s="64"/>
      <c r="C30" s="72" t="str">
        <f aca="false">IF(B30="","",IFERROR(INDEX(T_NOMBRE,MATCH(B30,T_ID,0)),"⚠ ID no existe"))</f>
        <v/>
      </c>
      <c r="D30" s="65"/>
      <c r="E30" s="65"/>
      <c r="F30" s="64"/>
      <c r="G30" s="74" t="str">
        <f aca="false">IF(OR(B30="",NOT(ISNUMBER(D30)),NOT(ISNUMBER(E30))),"",NETWORKDAYS(D30,E30,FERIADOS))</f>
        <v/>
      </c>
      <c r="H30" s="69"/>
      <c r="I30" s="74" t="str">
        <f aca="false">IF(B30="","",IF(ISNUMBER(H30),H30,N(G30)))</f>
        <v/>
      </c>
      <c r="J30" s="64"/>
      <c r="K30" s="64"/>
      <c r="L30" s="93" t="str">
        <f aca="false">IF(NOT(ISNUMBER(D30)),"",DATE(YEAR(D30),MONTH(D30),1))</f>
        <v/>
      </c>
      <c r="M30" s="70" t="str">
        <f aca="false">IF(B30="","",IF(AND(ISNUMBER(D30),ISNUMBER(E30),E30&lt;D30),"⚠ Término anterior al inicio",IF(J30&lt;&gt;"Sí","Pendiente comprobante firmado","OK")))</f>
        <v/>
      </c>
    </row>
    <row r="31" customFormat="false" ht="15" hidden="false" customHeight="false" outlineLevel="0" collapsed="false">
      <c r="B31" s="64"/>
      <c r="C31" s="72" t="str">
        <f aca="false">IF(B31="","",IFERROR(INDEX(T_NOMBRE,MATCH(B31,T_ID,0)),"⚠ ID no existe"))</f>
        <v/>
      </c>
      <c r="D31" s="65"/>
      <c r="E31" s="65"/>
      <c r="F31" s="64"/>
      <c r="G31" s="74" t="str">
        <f aca="false">IF(OR(B31="",NOT(ISNUMBER(D31)),NOT(ISNUMBER(E31))),"",NETWORKDAYS(D31,E31,FERIADOS))</f>
        <v/>
      </c>
      <c r="H31" s="69"/>
      <c r="I31" s="74" t="str">
        <f aca="false">IF(B31="","",IF(ISNUMBER(H31),H31,N(G31)))</f>
        <v/>
      </c>
      <c r="J31" s="64"/>
      <c r="K31" s="64"/>
      <c r="L31" s="93" t="str">
        <f aca="false">IF(NOT(ISNUMBER(D31)),"",DATE(YEAR(D31),MONTH(D31),1))</f>
        <v/>
      </c>
      <c r="M31" s="70" t="str">
        <f aca="false">IF(B31="","",IF(AND(ISNUMBER(D31),ISNUMBER(E31),E31&lt;D31),"⚠ Término anterior al inicio",IF(J31&lt;&gt;"Sí","Pendiente comprobante firmado","OK")))</f>
        <v/>
      </c>
    </row>
    <row r="32" customFormat="false" ht="15" hidden="false" customHeight="false" outlineLevel="0" collapsed="false">
      <c r="B32" s="64"/>
      <c r="C32" s="72" t="str">
        <f aca="false">IF(B32="","",IFERROR(INDEX(T_NOMBRE,MATCH(B32,T_ID,0)),"⚠ ID no existe"))</f>
        <v/>
      </c>
      <c r="D32" s="65"/>
      <c r="E32" s="65"/>
      <c r="F32" s="64"/>
      <c r="G32" s="74" t="str">
        <f aca="false">IF(OR(B32="",NOT(ISNUMBER(D32)),NOT(ISNUMBER(E32))),"",NETWORKDAYS(D32,E32,FERIADOS))</f>
        <v/>
      </c>
      <c r="H32" s="69"/>
      <c r="I32" s="74" t="str">
        <f aca="false">IF(B32="","",IF(ISNUMBER(H32),H32,N(G32)))</f>
        <v/>
      </c>
      <c r="J32" s="64"/>
      <c r="K32" s="64"/>
      <c r="L32" s="93" t="str">
        <f aca="false">IF(NOT(ISNUMBER(D32)),"",DATE(YEAR(D32),MONTH(D32),1))</f>
        <v/>
      </c>
      <c r="M32" s="70" t="str">
        <f aca="false">IF(B32="","",IF(AND(ISNUMBER(D32),ISNUMBER(E32),E32&lt;D32),"⚠ Término anterior al inicio",IF(J32&lt;&gt;"Sí","Pendiente comprobante firmado","OK")))</f>
        <v/>
      </c>
    </row>
    <row r="33" customFormat="false" ht="15" hidden="false" customHeight="false" outlineLevel="0" collapsed="false">
      <c r="B33" s="64"/>
      <c r="C33" s="72" t="str">
        <f aca="false">IF(B33="","",IFERROR(INDEX(T_NOMBRE,MATCH(B33,T_ID,0)),"⚠ ID no existe"))</f>
        <v/>
      </c>
      <c r="D33" s="65"/>
      <c r="E33" s="65"/>
      <c r="F33" s="64"/>
      <c r="G33" s="74" t="str">
        <f aca="false">IF(OR(B33="",NOT(ISNUMBER(D33)),NOT(ISNUMBER(E33))),"",NETWORKDAYS(D33,E33,FERIADOS))</f>
        <v/>
      </c>
      <c r="H33" s="69"/>
      <c r="I33" s="74" t="str">
        <f aca="false">IF(B33="","",IF(ISNUMBER(H33),H33,N(G33)))</f>
        <v/>
      </c>
      <c r="J33" s="64"/>
      <c r="K33" s="64"/>
      <c r="L33" s="93" t="str">
        <f aca="false">IF(NOT(ISNUMBER(D33)),"",DATE(YEAR(D33),MONTH(D33),1))</f>
        <v/>
      </c>
      <c r="M33" s="70" t="str">
        <f aca="false">IF(B33="","",IF(AND(ISNUMBER(D33),ISNUMBER(E33),E33&lt;D33),"⚠ Término anterior al inicio",IF(J33&lt;&gt;"Sí","Pendiente comprobante firmado","OK")))</f>
        <v/>
      </c>
    </row>
    <row r="34" customFormat="false" ht="15" hidden="false" customHeight="false" outlineLevel="0" collapsed="false">
      <c r="B34" s="64"/>
      <c r="C34" s="72" t="str">
        <f aca="false">IF(B34="","",IFERROR(INDEX(T_NOMBRE,MATCH(B34,T_ID,0)),"⚠ ID no existe"))</f>
        <v/>
      </c>
      <c r="D34" s="65"/>
      <c r="E34" s="65"/>
      <c r="F34" s="64"/>
      <c r="G34" s="74" t="str">
        <f aca="false">IF(OR(B34="",NOT(ISNUMBER(D34)),NOT(ISNUMBER(E34))),"",NETWORKDAYS(D34,E34,FERIADOS))</f>
        <v/>
      </c>
      <c r="H34" s="69"/>
      <c r="I34" s="74" t="str">
        <f aca="false">IF(B34="","",IF(ISNUMBER(H34),H34,N(G34)))</f>
        <v/>
      </c>
      <c r="J34" s="64"/>
      <c r="K34" s="64"/>
      <c r="L34" s="93" t="str">
        <f aca="false">IF(NOT(ISNUMBER(D34)),"",DATE(YEAR(D34),MONTH(D34),1))</f>
        <v/>
      </c>
      <c r="M34" s="70" t="str">
        <f aca="false">IF(B34="","",IF(AND(ISNUMBER(D34),ISNUMBER(E34),E34&lt;D34),"⚠ Término anterior al inicio",IF(J34&lt;&gt;"Sí","Pendiente comprobante firmado","OK")))</f>
        <v/>
      </c>
    </row>
    <row r="35" customFormat="false" ht="15" hidden="false" customHeight="false" outlineLevel="0" collapsed="false">
      <c r="B35" s="64"/>
      <c r="C35" s="72" t="str">
        <f aca="false">IF(B35="","",IFERROR(INDEX(T_NOMBRE,MATCH(B35,T_ID,0)),"⚠ ID no existe"))</f>
        <v/>
      </c>
      <c r="D35" s="65"/>
      <c r="E35" s="65"/>
      <c r="F35" s="64"/>
      <c r="G35" s="74" t="str">
        <f aca="false">IF(OR(B35="",NOT(ISNUMBER(D35)),NOT(ISNUMBER(E35))),"",NETWORKDAYS(D35,E35,FERIADOS))</f>
        <v/>
      </c>
      <c r="H35" s="69"/>
      <c r="I35" s="74" t="str">
        <f aca="false">IF(B35="","",IF(ISNUMBER(H35),H35,N(G35)))</f>
        <v/>
      </c>
      <c r="J35" s="64"/>
      <c r="K35" s="64"/>
      <c r="L35" s="93" t="str">
        <f aca="false">IF(NOT(ISNUMBER(D35)),"",DATE(YEAR(D35),MONTH(D35),1))</f>
        <v/>
      </c>
      <c r="M35" s="70" t="str">
        <f aca="false">IF(B35="","",IF(AND(ISNUMBER(D35),ISNUMBER(E35),E35&lt;D35),"⚠ Término anterior al inicio",IF(J35&lt;&gt;"Sí","Pendiente comprobante firmado","OK")))</f>
        <v/>
      </c>
    </row>
    <row r="36" customFormat="false" ht="15" hidden="false" customHeight="false" outlineLevel="0" collapsed="false">
      <c r="B36" s="64"/>
      <c r="C36" s="72" t="str">
        <f aca="false">IF(B36="","",IFERROR(INDEX(T_NOMBRE,MATCH(B36,T_ID,0)),"⚠ ID no existe"))</f>
        <v/>
      </c>
      <c r="D36" s="65"/>
      <c r="E36" s="65"/>
      <c r="F36" s="64"/>
      <c r="G36" s="74" t="str">
        <f aca="false">IF(OR(B36="",NOT(ISNUMBER(D36)),NOT(ISNUMBER(E36))),"",NETWORKDAYS(D36,E36,FERIADOS))</f>
        <v/>
      </c>
      <c r="H36" s="69"/>
      <c r="I36" s="74" t="str">
        <f aca="false">IF(B36="","",IF(ISNUMBER(H36),H36,N(G36)))</f>
        <v/>
      </c>
      <c r="J36" s="64"/>
      <c r="K36" s="64"/>
      <c r="L36" s="93" t="str">
        <f aca="false">IF(NOT(ISNUMBER(D36)),"",DATE(YEAR(D36),MONTH(D36),1))</f>
        <v/>
      </c>
      <c r="M36" s="70" t="str">
        <f aca="false">IF(B36="","",IF(AND(ISNUMBER(D36),ISNUMBER(E36),E36&lt;D36),"⚠ Término anterior al inicio",IF(J36&lt;&gt;"Sí","Pendiente comprobante firmado","OK")))</f>
        <v/>
      </c>
    </row>
    <row r="37" customFormat="false" ht="15" hidden="false" customHeight="false" outlineLevel="0" collapsed="false">
      <c r="B37" s="64"/>
      <c r="C37" s="72" t="str">
        <f aca="false">IF(B37="","",IFERROR(INDEX(T_NOMBRE,MATCH(B37,T_ID,0)),"⚠ ID no existe"))</f>
        <v/>
      </c>
      <c r="D37" s="65"/>
      <c r="E37" s="65"/>
      <c r="F37" s="64"/>
      <c r="G37" s="74" t="str">
        <f aca="false">IF(OR(B37="",NOT(ISNUMBER(D37)),NOT(ISNUMBER(E37))),"",NETWORKDAYS(D37,E37,FERIADOS))</f>
        <v/>
      </c>
      <c r="H37" s="69"/>
      <c r="I37" s="74" t="str">
        <f aca="false">IF(B37="","",IF(ISNUMBER(H37),H37,N(G37)))</f>
        <v/>
      </c>
      <c r="J37" s="64"/>
      <c r="K37" s="64"/>
      <c r="L37" s="93" t="str">
        <f aca="false">IF(NOT(ISNUMBER(D37)),"",DATE(YEAR(D37),MONTH(D37),1))</f>
        <v/>
      </c>
      <c r="M37" s="70" t="str">
        <f aca="false">IF(B37="","",IF(AND(ISNUMBER(D37),ISNUMBER(E37),E37&lt;D37),"⚠ Término anterior al inicio",IF(J37&lt;&gt;"Sí","Pendiente comprobante firmado","OK")))</f>
        <v/>
      </c>
    </row>
    <row r="38" customFormat="false" ht="15" hidden="false" customHeight="false" outlineLevel="0" collapsed="false">
      <c r="B38" s="64"/>
      <c r="C38" s="72" t="str">
        <f aca="false">IF(B38="","",IFERROR(INDEX(T_NOMBRE,MATCH(B38,T_ID,0)),"⚠ ID no existe"))</f>
        <v/>
      </c>
      <c r="D38" s="65"/>
      <c r="E38" s="65"/>
      <c r="F38" s="64"/>
      <c r="G38" s="74" t="str">
        <f aca="false">IF(OR(B38="",NOT(ISNUMBER(D38)),NOT(ISNUMBER(E38))),"",NETWORKDAYS(D38,E38,FERIADOS))</f>
        <v/>
      </c>
      <c r="H38" s="69"/>
      <c r="I38" s="74" t="str">
        <f aca="false">IF(B38="","",IF(ISNUMBER(H38),H38,N(G38)))</f>
        <v/>
      </c>
      <c r="J38" s="64"/>
      <c r="K38" s="64"/>
      <c r="L38" s="93" t="str">
        <f aca="false">IF(NOT(ISNUMBER(D38)),"",DATE(YEAR(D38),MONTH(D38),1))</f>
        <v/>
      </c>
      <c r="M38" s="70" t="str">
        <f aca="false">IF(B38="","",IF(AND(ISNUMBER(D38),ISNUMBER(E38),E38&lt;D38),"⚠ Término anterior al inicio",IF(J38&lt;&gt;"Sí","Pendiente comprobante firmado","OK")))</f>
        <v/>
      </c>
    </row>
    <row r="39" customFormat="false" ht="15" hidden="false" customHeight="false" outlineLevel="0" collapsed="false">
      <c r="B39" s="64"/>
      <c r="C39" s="72" t="str">
        <f aca="false">IF(B39="","",IFERROR(INDEX(T_NOMBRE,MATCH(B39,T_ID,0)),"⚠ ID no existe"))</f>
        <v/>
      </c>
      <c r="D39" s="65"/>
      <c r="E39" s="65"/>
      <c r="F39" s="64"/>
      <c r="G39" s="74" t="str">
        <f aca="false">IF(OR(B39="",NOT(ISNUMBER(D39)),NOT(ISNUMBER(E39))),"",NETWORKDAYS(D39,E39,FERIADOS))</f>
        <v/>
      </c>
      <c r="H39" s="69"/>
      <c r="I39" s="74" t="str">
        <f aca="false">IF(B39="","",IF(ISNUMBER(H39),H39,N(G39)))</f>
        <v/>
      </c>
      <c r="J39" s="64"/>
      <c r="K39" s="64"/>
      <c r="L39" s="93" t="str">
        <f aca="false">IF(NOT(ISNUMBER(D39)),"",DATE(YEAR(D39),MONTH(D39),1))</f>
        <v/>
      </c>
      <c r="M39" s="70" t="str">
        <f aca="false">IF(B39="","",IF(AND(ISNUMBER(D39),ISNUMBER(E39),E39&lt;D39),"⚠ Término anterior al inicio",IF(J39&lt;&gt;"Sí","Pendiente comprobante firmado","OK")))</f>
        <v/>
      </c>
    </row>
    <row r="40" customFormat="false" ht="15" hidden="false" customHeight="false" outlineLevel="0" collapsed="false">
      <c r="B40" s="64"/>
      <c r="C40" s="72" t="str">
        <f aca="false">IF(B40="","",IFERROR(INDEX(T_NOMBRE,MATCH(B40,T_ID,0)),"⚠ ID no existe"))</f>
        <v/>
      </c>
      <c r="D40" s="65"/>
      <c r="E40" s="65"/>
      <c r="F40" s="64"/>
      <c r="G40" s="74" t="str">
        <f aca="false">IF(OR(B40="",NOT(ISNUMBER(D40)),NOT(ISNUMBER(E40))),"",NETWORKDAYS(D40,E40,FERIADOS))</f>
        <v/>
      </c>
      <c r="H40" s="69"/>
      <c r="I40" s="74" t="str">
        <f aca="false">IF(B40="","",IF(ISNUMBER(H40),H40,N(G40)))</f>
        <v/>
      </c>
      <c r="J40" s="64"/>
      <c r="K40" s="64"/>
      <c r="L40" s="93" t="str">
        <f aca="false">IF(NOT(ISNUMBER(D40)),"",DATE(YEAR(D40),MONTH(D40),1))</f>
        <v/>
      </c>
      <c r="M40" s="70" t="str">
        <f aca="false">IF(B40="","",IF(AND(ISNUMBER(D40),ISNUMBER(E40),E40&lt;D40),"⚠ Término anterior al inicio",IF(J40&lt;&gt;"Sí","Pendiente comprobante firmado","OK")))</f>
        <v/>
      </c>
    </row>
    <row r="41" customFormat="false" ht="15" hidden="false" customHeight="false" outlineLevel="0" collapsed="false">
      <c r="B41" s="64"/>
      <c r="C41" s="72" t="str">
        <f aca="false">IF(B41="","",IFERROR(INDEX(T_NOMBRE,MATCH(B41,T_ID,0)),"⚠ ID no existe"))</f>
        <v/>
      </c>
      <c r="D41" s="65"/>
      <c r="E41" s="65"/>
      <c r="F41" s="64"/>
      <c r="G41" s="74" t="str">
        <f aca="false">IF(OR(B41="",NOT(ISNUMBER(D41)),NOT(ISNUMBER(E41))),"",NETWORKDAYS(D41,E41,FERIADOS))</f>
        <v/>
      </c>
      <c r="H41" s="69"/>
      <c r="I41" s="74" t="str">
        <f aca="false">IF(B41="","",IF(ISNUMBER(H41),H41,N(G41)))</f>
        <v/>
      </c>
      <c r="J41" s="64"/>
      <c r="K41" s="64"/>
      <c r="L41" s="93" t="str">
        <f aca="false">IF(NOT(ISNUMBER(D41)),"",DATE(YEAR(D41),MONTH(D41),1))</f>
        <v/>
      </c>
      <c r="M41" s="70" t="str">
        <f aca="false">IF(B41="","",IF(AND(ISNUMBER(D41),ISNUMBER(E41),E41&lt;D41),"⚠ Término anterior al inicio",IF(J41&lt;&gt;"Sí","Pendiente comprobante firmado","OK")))</f>
        <v/>
      </c>
    </row>
    <row r="42" customFormat="false" ht="15" hidden="false" customHeight="false" outlineLevel="0" collapsed="false">
      <c r="B42" s="64"/>
      <c r="C42" s="72" t="str">
        <f aca="false">IF(B42="","",IFERROR(INDEX(T_NOMBRE,MATCH(B42,T_ID,0)),"⚠ ID no existe"))</f>
        <v/>
      </c>
      <c r="D42" s="65"/>
      <c r="E42" s="65"/>
      <c r="F42" s="64"/>
      <c r="G42" s="74" t="str">
        <f aca="false">IF(OR(B42="",NOT(ISNUMBER(D42)),NOT(ISNUMBER(E42))),"",NETWORKDAYS(D42,E42,FERIADOS))</f>
        <v/>
      </c>
      <c r="H42" s="69"/>
      <c r="I42" s="74" t="str">
        <f aca="false">IF(B42="","",IF(ISNUMBER(H42),H42,N(G42)))</f>
        <v/>
      </c>
      <c r="J42" s="64"/>
      <c r="K42" s="64"/>
      <c r="L42" s="93" t="str">
        <f aca="false">IF(NOT(ISNUMBER(D42)),"",DATE(YEAR(D42),MONTH(D42),1))</f>
        <v/>
      </c>
      <c r="M42" s="70" t="str">
        <f aca="false">IF(B42="","",IF(AND(ISNUMBER(D42),ISNUMBER(E42),E42&lt;D42),"⚠ Término anterior al inicio",IF(J42&lt;&gt;"Sí","Pendiente comprobante firmado","OK")))</f>
        <v/>
      </c>
    </row>
    <row r="43" customFormat="false" ht="15" hidden="false" customHeight="false" outlineLevel="0" collapsed="false">
      <c r="B43" s="64"/>
      <c r="C43" s="72" t="str">
        <f aca="false">IF(B43="","",IFERROR(INDEX(T_NOMBRE,MATCH(B43,T_ID,0)),"⚠ ID no existe"))</f>
        <v/>
      </c>
      <c r="D43" s="65"/>
      <c r="E43" s="65"/>
      <c r="F43" s="64"/>
      <c r="G43" s="74" t="str">
        <f aca="false">IF(OR(B43="",NOT(ISNUMBER(D43)),NOT(ISNUMBER(E43))),"",NETWORKDAYS(D43,E43,FERIADOS))</f>
        <v/>
      </c>
      <c r="H43" s="69"/>
      <c r="I43" s="74" t="str">
        <f aca="false">IF(B43="","",IF(ISNUMBER(H43),H43,N(G43)))</f>
        <v/>
      </c>
      <c r="J43" s="64"/>
      <c r="K43" s="64"/>
      <c r="L43" s="93" t="str">
        <f aca="false">IF(NOT(ISNUMBER(D43)),"",DATE(YEAR(D43),MONTH(D43),1))</f>
        <v/>
      </c>
      <c r="M43" s="70" t="str">
        <f aca="false">IF(B43="","",IF(AND(ISNUMBER(D43),ISNUMBER(E43),E43&lt;D43),"⚠ Término anterior al inicio",IF(J43&lt;&gt;"Sí","Pendiente comprobante firmado","OK")))</f>
        <v/>
      </c>
    </row>
    <row r="44" customFormat="false" ht="15" hidden="false" customHeight="false" outlineLevel="0" collapsed="false">
      <c r="B44" s="64"/>
      <c r="C44" s="72" t="str">
        <f aca="false">IF(B44="","",IFERROR(INDEX(T_NOMBRE,MATCH(B44,T_ID,0)),"⚠ ID no existe"))</f>
        <v/>
      </c>
      <c r="D44" s="65"/>
      <c r="E44" s="65"/>
      <c r="F44" s="64"/>
      <c r="G44" s="74" t="str">
        <f aca="false">IF(OR(B44="",NOT(ISNUMBER(D44)),NOT(ISNUMBER(E44))),"",NETWORKDAYS(D44,E44,FERIADOS))</f>
        <v/>
      </c>
      <c r="H44" s="69"/>
      <c r="I44" s="74" t="str">
        <f aca="false">IF(B44="","",IF(ISNUMBER(H44),H44,N(G44)))</f>
        <v/>
      </c>
      <c r="J44" s="64"/>
      <c r="K44" s="64"/>
      <c r="L44" s="93" t="str">
        <f aca="false">IF(NOT(ISNUMBER(D44)),"",DATE(YEAR(D44),MONTH(D44),1))</f>
        <v/>
      </c>
      <c r="M44" s="70" t="str">
        <f aca="false">IF(B44="","",IF(AND(ISNUMBER(D44),ISNUMBER(E44),E44&lt;D44),"⚠ Término anterior al inicio",IF(J44&lt;&gt;"Sí","Pendiente comprobante firmado","OK")))</f>
        <v/>
      </c>
    </row>
    <row r="45" customFormat="false" ht="15" hidden="false" customHeight="false" outlineLevel="0" collapsed="false">
      <c r="B45" s="64"/>
      <c r="C45" s="72" t="str">
        <f aca="false">IF(B45="","",IFERROR(INDEX(T_NOMBRE,MATCH(B45,T_ID,0)),"⚠ ID no existe"))</f>
        <v/>
      </c>
      <c r="D45" s="65"/>
      <c r="E45" s="65"/>
      <c r="F45" s="64"/>
      <c r="G45" s="74" t="str">
        <f aca="false">IF(OR(B45="",NOT(ISNUMBER(D45)),NOT(ISNUMBER(E45))),"",NETWORKDAYS(D45,E45,FERIADOS))</f>
        <v/>
      </c>
      <c r="H45" s="69"/>
      <c r="I45" s="74" t="str">
        <f aca="false">IF(B45="","",IF(ISNUMBER(H45),H45,N(G45)))</f>
        <v/>
      </c>
      <c r="J45" s="64"/>
      <c r="K45" s="64"/>
      <c r="L45" s="93" t="str">
        <f aca="false">IF(NOT(ISNUMBER(D45)),"",DATE(YEAR(D45),MONTH(D45),1))</f>
        <v/>
      </c>
      <c r="M45" s="70" t="str">
        <f aca="false">IF(B45="","",IF(AND(ISNUMBER(D45),ISNUMBER(E45),E45&lt;D45),"⚠ Término anterior al inicio",IF(J45&lt;&gt;"Sí","Pendiente comprobante firmado","OK")))</f>
        <v/>
      </c>
    </row>
    <row r="46" customFormat="false" ht="15" hidden="false" customHeight="false" outlineLevel="0" collapsed="false">
      <c r="B46" s="64"/>
      <c r="C46" s="72" t="str">
        <f aca="false">IF(B46="","",IFERROR(INDEX(T_NOMBRE,MATCH(B46,T_ID,0)),"⚠ ID no existe"))</f>
        <v/>
      </c>
      <c r="D46" s="65"/>
      <c r="E46" s="65"/>
      <c r="F46" s="64"/>
      <c r="G46" s="74" t="str">
        <f aca="false">IF(OR(B46="",NOT(ISNUMBER(D46)),NOT(ISNUMBER(E46))),"",NETWORKDAYS(D46,E46,FERIADOS))</f>
        <v/>
      </c>
      <c r="H46" s="69"/>
      <c r="I46" s="74" t="str">
        <f aca="false">IF(B46="","",IF(ISNUMBER(H46),H46,N(G46)))</f>
        <v/>
      </c>
      <c r="J46" s="64"/>
      <c r="K46" s="64"/>
      <c r="L46" s="93" t="str">
        <f aca="false">IF(NOT(ISNUMBER(D46)),"",DATE(YEAR(D46),MONTH(D46),1))</f>
        <v/>
      </c>
      <c r="M46" s="70" t="str">
        <f aca="false">IF(B46="","",IF(AND(ISNUMBER(D46),ISNUMBER(E46),E46&lt;D46),"⚠ Término anterior al inicio",IF(J46&lt;&gt;"Sí","Pendiente comprobante firmado","OK")))</f>
        <v/>
      </c>
    </row>
    <row r="47" customFormat="false" ht="15" hidden="false" customHeight="false" outlineLevel="0" collapsed="false">
      <c r="B47" s="64"/>
      <c r="C47" s="72" t="str">
        <f aca="false">IF(B47="","",IFERROR(INDEX(T_NOMBRE,MATCH(B47,T_ID,0)),"⚠ ID no existe"))</f>
        <v/>
      </c>
      <c r="D47" s="65"/>
      <c r="E47" s="65"/>
      <c r="F47" s="64"/>
      <c r="G47" s="74" t="str">
        <f aca="false">IF(OR(B47="",NOT(ISNUMBER(D47)),NOT(ISNUMBER(E47))),"",NETWORKDAYS(D47,E47,FERIADOS))</f>
        <v/>
      </c>
      <c r="H47" s="69"/>
      <c r="I47" s="74" t="str">
        <f aca="false">IF(B47="","",IF(ISNUMBER(H47),H47,N(G47)))</f>
        <v/>
      </c>
      <c r="J47" s="64"/>
      <c r="K47" s="64"/>
      <c r="L47" s="93" t="str">
        <f aca="false">IF(NOT(ISNUMBER(D47)),"",DATE(YEAR(D47),MONTH(D47),1))</f>
        <v/>
      </c>
      <c r="M47" s="70" t="str">
        <f aca="false">IF(B47="","",IF(AND(ISNUMBER(D47),ISNUMBER(E47),E47&lt;D47),"⚠ Término anterior al inicio",IF(J47&lt;&gt;"Sí","Pendiente comprobante firmado","OK")))</f>
        <v/>
      </c>
    </row>
    <row r="48" customFormat="false" ht="15" hidden="false" customHeight="false" outlineLevel="0" collapsed="false">
      <c r="B48" s="64"/>
      <c r="C48" s="72" t="str">
        <f aca="false">IF(B48="","",IFERROR(INDEX(T_NOMBRE,MATCH(B48,T_ID,0)),"⚠ ID no existe"))</f>
        <v/>
      </c>
      <c r="D48" s="65"/>
      <c r="E48" s="65"/>
      <c r="F48" s="64"/>
      <c r="G48" s="74" t="str">
        <f aca="false">IF(OR(B48="",NOT(ISNUMBER(D48)),NOT(ISNUMBER(E48))),"",NETWORKDAYS(D48,E48,FERIADOS))</f>
        <v/>
      </c>
      <c r="H48" s="69"/>
      <c r="I48" s="74" t="str">
        <f aca="false">IF(B48="","",IF(ISNUMBER(H48),H48,N(G48)))</f>
        <v/>
      </c>
      <c r="J48" s="64"/>
      <c r="K48" s="64"/>
      <c r="L48" s="93" t="str">
        <f aca="false">IF(NOT(ISNUMBER(D48)),"",DATE(YEAR(D48),MONTH(D48),1))</f>
        <v/>
      </c>
      <c r="M48" s="70" t="str">
        <f aca="false">IF(B48="","",IF(AND(ISNUMBER(D48),ISNUMBER(E48),E48&lt;D48),"⚠ Término anterior al inicio",IF(J48&lt;&gt;"Sí","Pendiente comprobante firmado","OK")))</f>
        <v/>
      </c>
    </row>
    <row r="49" customFormat="false" ht="15" hidden="false" customHeight="false" outlineLevel="0" collapsed="false">
      <c r="B49" s="64"/>
      <c r="C49" s="72" t="str">
        <f aca="false">IF(B49="","",IFERROR(INDEX(T_NOMBRE,MATCH(B49,T_ID,0)),"⚠ ID no existe"))</f>
        <v/>
      </c>
      <c r="D49" s="65"/>
      <c r="E49" s="65"/>
      <c r="F49" s="64"/>
      <c r="G49" s="74" t="str">
        <f aca="false">IF(OR(B49="",NOT(ISNUMBER(D49)),NOT(ISNUMBER(E49))),"",NETWORKDAYS(D49,E49,FERIADOS))</f>
        <v/>
      </c>
      <c r="H49" s="69"/>
      <c r="I49" s="74" t="str">
        <f aca="false">IF(B49="","",IF(ISNUMBER(H49),H49,N(G49)))</f>
        <v/>
      </c>
      <c r="J49" s="64"/>
      <c r="K49" s="64"/>
      <c r="L49" s="93" t="str">
        <f aca="false">IF(NOT(ISNUMBER(D49)),"",DATE(YEAR(D49),MONTH(D49),1))</f>
        <v/>
      </c>
      <c r="M49" s="70" t="str">
        <f aca="false">IF(B49="","",IF(AND(ISNUMBER(D49),ISNUMBER(E49),E49&lt;D49),"⚠ Término anterior al inicio",IF(J49&lt;&gt;"Sí","Pendiente comprobante firmado","OK")))</f>
        <v/>
      </c>
    </row>
    <row r="50" customFormat="false" ht="15" hidden="false" customHeight="false" outlineLevel="0" collapsed="false">
      <c r="B50" s="64"/>
      <c r="C50" s="72" t="str">
        <f aca="false">IF(B50="","",IFERROR(INDEX(T_NOMBRE,MATCH(B50,T_ID,0)),"⚠ ID no existe"))</f>
        <v/>
      </c>
      <c r="D50" s="65"/>
      <c r="E50" s="65"/>
      <c r="F50" s="64"/>
      <c r="G50" s="74" t="str">
        <f aca="false">IF(OR(B50="",NOT(ISNUMBER(D50)),NOT(ISNUMBER(E50))),"",NETWORKDAYS(D50,E50,FERIADOS))</f>
        <v/>
      </c>
      <c r="H50" s="69"/>
      <c r="I50" s="74" t="str">
        <f aca="false">IF(B50="","",IF(ISNUMBER(H50),H50,N(G50)))</f>
        <v/>
      </c>
      <c r="J50" s="64"/>
      <c r="K50" s="64"/>
      <c r="L50" s="93" t="str">
        <f aca="false">IF(NOT(ISNUMBER(D50)),"",DATE(YEAR(D50),MONTH(D50),1))</f>
        <v/>
      </c>
      <c r="M50" s="70" t="str">
        <f aca="false">IF(B50="","",IF(AND(ISNUMBER(D50),ISNUMBER(E50),E50&lt;D50),"⚠ Término anterior al inicio",IF(J50&lt;&gt;"Sí","Pendiente comprobante firmado","OK")))</f>
        <v/>
      </c>
    </row>
    <row r="51" customFormat="false" ht="15" hidden="false" customHeight="false" outlineLevel="0" collapsed="false">
      <c r="B51" s="64"/>
      <c r="C51" s="72" t="str">
        <f aca="false">IF(B51="","",IFERROR(INDEX(T_NOMBRE,MATCH(B51,T_ID,0)),"⚠ ID no existe"))</f>
        <v/>
      </c>
      <c r="D51" s="65"/>
      <c r="E51" s="65"/>
      <c r="F51" s="64"/>
      <c r="G51" s="74" t="str">
        <f aca="false">IF(OR(B51="",NOT(ISNUMBER(D51)),NOT(ISNUMBER(E51))),"",NETWORKDAYS(D51,E51,FERIADOS))</f>
        <v/>
      </c>
      <c r="H51" s="69"/>
      <c r="I51" s="74" t="str">
        <f aca="false">IF(B51="","",IF(ISNUMBER(H51),H51,N(G51)))</f>
        <v/>
      </c>
      <c r="J51" s="64"/>
      <c r="K51" s="64"/>
      <c r="L51" s="93" t="str">
        <f aca="false">IF(NOT(ISNUMBER(D51)),"",DATE(YEAR(D51),MONTH(D51),1))</f>
        <v/>
      </c>
      <c r="M51" s="70" t="str">
        <f aca="false">IF(B51="","",IF(AND(ISNUMBER(D51),ISNUMBER(E51),E51&lt;D51),"⚠ Término anterior al inicio",IF(J51&lt;&gt;"Sí","Pendiente comprobante firmado","OK")))</f>
        <v/>
      </c>
    </row>
    <row r="52" customFormat="false" ht="15" hidden="false" customHeight="false" outlineLevel="0" collapsed="false">
      <c r="B52" s="64"/>
      <c r="C52" s="72" t="str">
        <f aca="false">IF(B52="","",IFERROR(INDEX(T_NOMBRE,MATCH(B52,T_ID,0)),"⚠ ID no existe"))</f>
        <v/>
      </c>
      <c r="D52" s="65"/>
      <c r="E52" s="65"/>
      <c r="F52" s="64"/>
      <c r="G52" s="74" t="str">
        <f aca="false">IF(OR(B52="",NOT(ISNUMBER(D52)),NOT(ISNUMBER(E52))),"",NETWORKDAYS(D52,E52,FERIADOS))</f>
        <v/>
      </c>
      <c r="H52" s="69"/>
      <c r="I52" s="74" t="str">
        <f aca="false">IF(B52="","",IF(ISNUMBER(H52),H52,N(G52)))</f>
        <v/>
      </c>
      <c r="J52" s="64"/>
      <c r="K52" s="64"/>
      <c r="L52" s="93" t="str">
        <f aca="false">IF(NOT(ISNUMBER(D52)),"",DATE(YEAR(D52),MONTH(D52),1))</f>
        <v/>
      </c>
      <c r="M52" s="70" t="str">
        <f aca="false">IF(B52="","",IF(AND(ISNUMBER(D52),ISNUMBER(E52),E52&lt;D52),"⚠ Término anterior al inicio",IF(J52&lt;&gt;"Sí","Pendiente comprobante firmado","OK")))</f>
        <v/>
      </c>
    </row>
    <row r="53" customFormat="false" ht="15" hidden="false" customHeight="false" outlineLevel="0" collapsed="false">
      <c r="B53" s="64"/>
      <c r="C53" s="72" t="str">
        <f aca="false">IF(B53="","",IFERROR(INDEX(T_NOMBRE,MATCH(B53,T_ID,0)),"⚠ ID no existe"))</f>
        <v/>
      </c>
      <c r="D53" s="65"/>
      <c r="E53" s="65"/>
      <c r="F53" s="64"/>
      <c r="G53" s="74" t="str">
        <f aca="false">IF(OR(B53="",NOT(ISNUMBER(D53)),NOT(ISNUMBER(E53))),"",NETWORKDAYS(D53,E53,FERIADOS))</f>
        <v/>
      </c>
      <c r="H53" s="69"/>
      <c r="I53" s="74" t="str">
        <f aca="false">IF(B53="","",IF(ISNUMBER(H53),H53,N(G53)))</f>
        <v/>
      </c>
      <c r="J53" s="64"/>
      <c r="K53" s="64"/>
      <c r="L53" s="93" t="str">
        <f aca="false">IF(NOT(ISNUMBER(D53)),"",DATE(YEAR(D53),MONTH(D53),1))</f>
        <v/>
      </c>
      <c r="M53" s="70" t="str">
        <f aca="false">IF(B53="","",IF(AND(ISNUMBER(D53),ISNUMBER(E53),E53&lt;D53),"⚠ Término anterior al inicio",IF(J53&lt;&gt;"Sí","Pendiente comprobante firmado","OK")))</f>
        <v/>
      </c>
    </row>
    <row r="54" customFormat="false" ht="15" hidden="false" customHeight="false" outlineLevel="0" collapsed="false">
      <c r="B54" s="64"/>
      <c r="C54" s="72" t="str">
        <f aca="false">IF(B54="","",IFERROR(INDEX(T_NOMBRE,MATCH(B54,T_ID,0)),"⚠ ID no existe"))</f>
        <v/>
      </c>
      <c r="D54" s="65"/>
      <c r="E54" s="65"/>
      <c r="F54" s="64"/>
      <c r="G54" s="74" t="str">
        <f aca="false">IF(OR(B54="",NOT(ISNUMBER(D54)),NOT(ISNUMBER(E54))),"",NETWORKDAYS(D54,E54,FERIADOS))</f>
        <v/>
      </c>
      <c r="H54" s="69"/>
      <c r="I54" s="74" t="str">
        <f aca="false">IF(B54="","",IF(ISNUMBER(H54),H54,N(G54)))</f>
        <v/>
      </c>
      <c r="J54" s="64"/>
      <c r="K54" s="64"/>
      <c r="L54" s="93" t="str">
        <f aca="false">IF(NOT(ISNUMBER(D54)),"",DATE(YEAR(D54),MONTH(D54),1))</f>
        <v/>
      </c>
      <c r="M54" s="70" t="str">
        <f aca="false">IF(B54="","",IF(AND(ISNUMBER(D54),ISNUMBER(E54),E54&lt;D54),"⚠ Término anterior al inicio",IF(J54&lt;&gt;"Sí","Pendiente comprobante firmado","OK")))</f>
        <v/>
      </c>
    </row>
    <row r="55" customFormat="false" ht="15" hidden="false" customHeight="false" outlineLevel="0" collapsed="false">
      <c r="B55" s="64"/>
      <c r="C55" s="72" t="str">
        <f aca="false">IF(B55="","",IFERROR(INDEX(T_NOMBRE,MATCH(B55,T_ID,0)),"⚠ ID no existe"))</f>
        <v/>
      </c>
      <c r="D55" s="65"/>
      <c r="E55" s="65"/>
      <c r="F55" s="64"/>
      <c r="G55" s="74" t="str">
        <f aca="false">IF(OR(B55="",NOT(ISNUMBER(D55)),NOT(ISNUMBER(E55))),"",NETWORKDAYS(D55,E55,FERIADOS))</f>
        <v/>
      </c>
      <c r="H55" s="69"/>
      <c r="I55" s="74" t="str">
        <f aca="false">IF(B55="","",IF(ISNUMBER(H55),H55,N(G55)))</f>
        <v/>
      </c>
      <c r="J55" s="64"/>
      <c r="K55" s="64"/>
      <c r="L55" s="93" t="str">
        <f aca="false">IF(NOT(ISNUMBER(D55)),"",DATE(YEAR(D55),MONTH(D55),1))</f>
        <v/>
      </c>
      <c r="M55" s="70" t="str">
        <f aca="false">IF(B55="","",IF(AND(ISNUMBER(D55),ISNUMBER(E55),E55&lt;D55),"⚠ Término anterior al inicio",IF(J55&lt;&gt;"Sí","Pendiente comprobante firmado","OK")))</f>
        <v/>
      </c>
    </row>
    <row r="56" customFormat="false" ht="15" hidden="false" customHeight="false" outlineLevel="0" collapsed="false">
      <c r="B56" s="64"/>
      <c r="C56" s="72" t="str">
        <f aca="false">IF(B56="","",IFERROR(INDEX(T_NOMBRE,MATCH(B56,T_ID,0)),"⚠ ID no existe"))</f>
        <v/>
      </c>
      <c r="D56" s="65"/>
      <c r="E56" s="65"/>
      <c r="F56" s="64"/>
      <c r="G56" s="74" t="str">
        <f aca="false">IF(OR(B56="",NOT(ISNUMBER(D56)),NOT(ISNUMBER(E56))),"",NETWORKDAYS(D56,E56,FERIADOS))</f>
        <v/>
      </c>
      <c r="H56" s="69"/>
      <c r="I56" s="74" t="str">
        <f aca="false">IF(B56="","",IF(ISNUMBER(H56),H56,N(G56)))</f>
        <v/>
      </c>
      <c r="J56" s="64"/>
      <c r="K56" s="64"/>
      <c r="L56" s="93" t="str">
        <f aca="false">IF(NOT(ISNUMBER(D56)),"",DATE(YEAR(D56),MONTH(D56),1))</f>
        <v/>
      </c>
      <c r="M56" s="70" t="str">
        <f aca="false">IF(B56="","",IF(AND(ISNUMBER(D56),ISNUMBER(E56),E56&lt;D56),"⚠ Término anterior al inicio",IF(J56&lt;&gt;"Sí","Pendiente comprobante firmado","OK")))</f>
        <v/>
      </c>
    </row>
    <row r="57" customFormat="false" ht="15" hidden="false" customHeight="false" outlineLevel="0" collapsed="false">
      <c r="B57" s="64"/>
      <c r="C57" s="72" t="str">
        <f aca="false">IF(B57="","",IFERROR(INDEX(T_NOMBRE,MATCH(B57,T_ID,0)),"⚠ ID no existe"))</f>
        <v/>
      </c>
      <c r="D57" s="65"/>
      <c r="E57" s="65"/>
      <c r="F57" s="64"/>
      <c r="G57" s="74" t="str">
        <f aca="false">IF(OR(B57="",NOT(ISNUMBER(D57)),NOT(ISNUMBER(E57))),"",NETWORKDAYS(D57,E57,FERIADOS))</f>
        <v/>
      </c>
      <c r="H57" s="69"/>
      <c r="I57" s="74" t="str">
        <f aca="false">IF(B57="","",IF(ISNUMBER(H57),H57,N(G57)))</f>
        <v/>
      </c>
      <c r="J57" s="64"/>
      <c r="K57" s="64"/>
      <c r="L57" s="93" t="str">
        <f aca="false">IF(NOT(ISNUMBER(D57)),"",DATE(YEAR(D57),MONTH(D57),1))</f>
        <v/>
      </c>
      <c r="M57" s="70" t="str">
        <f aca="false">IF(B57="","",IF(AND(ISNUMBER(D57),ISNUMBER(E57),E57&lt;D57),"⚠ Término anterior al inicio",IF(J57&lt;&gt;"Sí","Pendiente comprobante firmado","OK")))</f>
        <v/>
      </c>
    </row>
    <row r="58" customFormat="false" ht="15" hidden="false" customHeight="false" outlineLevel="0" collapsed="false">
      <c r="B58" s="64"/>
      <c r="C58" s="72" t="str">
        <f aca="false">IF(B58="","",IFERROR(INDEX(T_NOMBRE,MATCH(B58,T_ID,0)),"⚠ ID no existe"))</f>
        <v/>
      </c>
      <c r="D58" s="65"/>
      <c r="E58" s="65"/>
      <c r="F58" s="64"/>
      <c r="G58" s="74" t="str">
        <f aca="false">IF(OR(B58="",NOT(ISNUMBER(D58)),NOT(ISNUMBER(E58))),"",NETWORKDAYS(D58,E58,FERIADOS))</f>
        <v/>
      </c>
      <c r="H58" s="69"/>
      <c r="I58" s="74" t="str">
        <f aca="false">IF(B58="","",IF(ISNUMBER(H58),H58,N(G58)))</f>
        <v/>
      </c>
      <c r="J58" s="64"/>
      <c r="K58" s="64"/>
      <c r="L58" s="93" t="str">
        <f aca="false">IF(NOT(ISNUMBER(D58)),"",DATE(YEAR(D58),MONTH(D58),1))</f>
        <v/>
      </c>
      <c r="M58" s="70" t="str">
        <f aca="false">IF(B58="","",IF(AND(ISNUMBER(D58),ISNUMBER(E58),E58&lt;D58),"⚠ Término anterior al inicio",IF(J58&lt;&gt;"Sí","Pendiente comprobante firmado","OK")))</f>
        <v/>
      </c>
    </row>
    <row r="59" customFormat="false" ht="15" hidden="false" customHeight="false" outlineLevel="0" collapsed="false">
      <c r="B59" s="64"/>
      <c r="C59" s="72" t="str">
        <f aca="false">IF(B59="","",IFERROR(INDEX(T_NOMBRE,MATCH(B59,T_ID,0)),"⚠ ID no existe"))</f>
        <v/>
      </c>
      <c r="D59" s="65"/>
      <c r="E59" s="65"/>
      <c r="F59" s="64"/>
      <c r="G59" s="74" t="str">
        <f aca="false">IF(OR(B59="",NOT(ISNUMBER(D59)),NOT(ISNUMBER(E59))),"",NETWORKDAYS(D59,E59,FERIADOS))</f>
        <v/>
      </c>
      <c r="H59" s="69"/>
      <c r="I59" s="74" t="str">
        <f aca="false">IF(B59="","",IF(ISNUMBER(H59),H59,N(G59)))</f>
        <v/>
      </c>
      <c r="J59" s="64"/>
      <c r="K59" s="64"/>
      <c r="L59" s="93" t="str">
        <f aca="false">IF(NOT(ISNUMBER(D59)),"",DATE(YEAR(D59),MONTH(D59),1))</f>
        <v/>
      </c>
      <c r="M59" s="70" t="str">
        <f aca="false">IF(B59="","",IF(AND(ISNUMBER(D59),ISNUMBER(E59),E59&lt;D59),"⚠ Término anterior al inicio",IF(J59&lt;&gt;"Sí","Pendiente comprobante firmado","OK")))</f>
        <v/>
      </c>
    </row>
    <row r="60" customFormat="false" ht="15" hidden="false" customHeight="false" outlineLevel="0" collapsed="false">
      <c r="B60" s="64"/>
      <c r="C60" s="72" t="str">
        <f aca="false">IF(B60="","",IFERROR(INDEX(T_NOMBRE,MATCH(B60,T_ID,0)),"⚠ ID no existe"))</f>
        <v/>
      </c>
      <c r="D60" s="65"/>
      <c r="E60" s="65"/>
      <c r="F60" s="64"/>
      <c r="G60" s="74" t="str">
        <f aca="false">IF(OR(B60="",NOT(ISNUMBER(D60)),NOT(ISNUMBER(E60))),"",NETWORKDAYS(D60,E60,FERIADOS))</f>
        <v/>
      </c>
      <c r="H60" s="69"/>
      <c r="I60" s="74" t="str">
        <f aca="false">IF(B60="","",IF(ISNUMBER(H60),H60,N(G60)))</f>
        <v/>
      </c>
      <c r="J60" s="64"/>
      <c r="K60" s="64"/>
      <c r="L60" s="93" t="str">
        <f aca="false">IF(NOT(ISNUMBER(D60)),"",DATE(YEAR(D60),MONTH(D60),1))</f>
        <v/>
      </c>
      <c r="M60" s="70" t="str">
        <f aca="false">IF(B60="","",IF(AND(ISNUMBER(D60),ISNUMBER(E60),E60&lt;D60),"⚠ Término anterior al inicio",IF(J60&lt;&gt;"Sí","Pendiente comprobante firmado","OK")))</f>
        <v/>
      </c>
    </row>
    <row r="61" customFormat="false" ht="15" hidden="false" customHeight="false" outlineLevel="0" collapsed="false">
      <c r="B61" s="64"/>
      <c r="C61" s="72" t="str">
        <f aca="false">IF(B61="","",IFERROR(INDEX(T_NOMBRE,MATCH(B61,T_ID,0)),"⚠ ID no existe"))</f>
        <v/>
      </c>
      <c r="D61" s="65"/>
      <c r="E61" s="65"/>
      <c r="F61" s="64"/>
      <c r="G61" s="74" t="str">
        <f aca="false">IF(OR(B61="",NOT(ISNUMBER(D61)),NOT(ISNUMBER(E61))),"",NETWORKDAYS(D61,E61,FERIADOS))</f>
        <v/>
      </c>
      <c r="H61" s="69"/>
      <c r="I61" s="74" t="str">
        <f aca="false">IF(B61="","",IF(ISNUMBER(H61),H61,N(G61)))</f>
        <v/>
      </c>
      <c r="J61" s="64"/>
      <c r="K61" s="64"/>
      <c r="L61" s="93" t="str">
        <f aca="false">IF(NOT(ISNUMBER(D61)),"",DATE(YEAR(D61),MONTH(D61),1))</f>
        <v/>
      </c>
      <c r="M61" s="70" t="str">
        <f aca="false">IF(B61="","",IF(AND(ISNUMBER(D61),ISNUMBER(E61),E61&lt;D61),"⚠ Término anterior al inicio",IF(J61&lt;&gt;"Sí","Pendiente comprobante firmado","OK")))</f>
        <v/>
      </c>
    </row>
    <row r="62" customFormat="false" ht="15" hidden="false" customHeight="false" outlineLevel="0" collapsed="false">
      <c r="B62" s="64"/>
      <c r="C62" s="72" t="str">
        <f aca="false">IF(B62="","",IFERROR(INDEX(T_NOMBRE,MATCH(B62,T_ID,0)),"⚠ ID no existe"))</f>
        <v/>
      </c>
      <c r="D62" s="65"/>
      <c r="E62" s="65"/>
      <c r="F62" s="64"/>
      <c r="G62" s="74" t="str">
        <f aca="false">IF(OR(B62="",NOT(ISNUMBER(D62)),NOT(ISNUMBER(E62))),"",NETWORKDAYS(D62,E62,FERIADOS))</f>
        <v/>
      </c>
      <c r="H62" s="69"/>
      <c r="I62" s="74" t="str">
        <f aca="false">IF(B62="","",IF(ISNUMBER(H62),H62,N(G62)))</f>
        <v/>
      </c>
      <c r="J62" s="64"/>
      <c r="K62" s="64"/>
      <c r="L62" s="93" t="str">
        <f aca="false">IF(NOT(ISNUMBER(D62)),"",DATE(YEAR(D62),MONTH(D62),1))</f>
        <v/>
      </c>
      <c r="M62" s="70" t="str">
        <f aca="false">IF(B62="","",IF(AND(ISNUMBER(D62),ISNUMBER(E62),E62&lt;D62),"⚠ Término anterior al inicio",IF(J62&lt;&gt;"Sí","Pendiente comprobante firmado","OK")))</f>
        <v/>
      </c>
    </row>
    <row r="63" customFormat="false" ht="15" hidden="false" customHeight="false" outlineLevel="0" collapsed="false">
      <c r="B63" s="64"/>
      <c r="C63" s="72" t="str">
        <f aca="false">IF(B63="","",IFERROR(INDEX(T_NOMBRE,MATCH(B63,T_ID,0)),"⚠ ID no existe"))</f>
        <v/>
      </c>
      <c r="D63" s="65"/>
      <c r="E63" s="65"/>
      <c r="F63" s="64"/>
      <c r="G63" s="74" t="str">
        <f aca="false">IF(OR(B63="",NOT(ISNUMBER(D63)),NOT(ISNUMBER(E63))),"",NETWORKDAYS(D63,E63,FERIADOS))</f>
        <v/>
      </c>
      <c r="H63" s="69"/>
      <c r="I63" s="74" t="str">
        <f aca="false">IF(B63="","",IF(ISNUMBER(H63),H63,N(G63)))</f>
        <v/>
      </c>
      <c r="J63" s="64"/>
      <c r="K63" s="64"/>
      <c r="L63" s="93" t="str">
        <f aca="false">IF(NOT(ISNUMBER(D63)),"",DATE(YEAR(D63),MONTH(D63),1))</f>
        <v/>
      </c>
      <c r="M63" s="70" t="str">
        <f aca="false">IF(B63="","",IF(AND(ISNUMBER(D63),ISNUMBER(E63),E63&lt;D63),"⚠ Término anterior al inicio",IF(J63&lt;&gt;"Sí","Pendiente comprobante firmado","OK")))</f>
        <v/>
      </c>
    </row>
    <row r="64" customFormat="false" ht="15" hidden="false" customHeight="false" outlineLevel="0" collapsed="false">
      <c r="B64" s="64"/>
      <c r="C64" s="72" t="str">
        <f aca="false">IF(B64="","",IFERROR(INDEX(T_NOMBRE,MATCH(B64,T_ID,0)),"⚠ ID no existe"))</f>
        <v/>
      </c>
      <c r="D64" s="65"/>
      <c r="E64" s="65"/>
      <c r="F64" s="64"/>
      <c r="G64" s="74" t="str">
        <f aca="false">IF(OR(B64="",NOT(ISNUMBER(D64)),NOT(ISNUMBER(E64))),"",NETWORKDAYS(D64,E64,FERIADOS))</f>
        <v/>
      </c>
      <c r="H64" s="69"/>
      <c r="I64" s="74" t="str">
        <f aca="false">IF(B64="","",IF(ISNUMBER(H64),H64,N(G64)))</f>
        <v/>
      </c>
      <c r="J64" s="64"/>
      <c r="K64" s="64"/>
      <c r="L64" s="93" t="str">
        <f aca="false">IF(NOT(ISNUMBER(D64)),"",DATE(YEAR(D64),MONTH(D64),1))</f>
        <v/>
      </c>
      <c r="M64" s="70" t="str">
        <f aca="false">IF(B64="","",IF(AND(ISNUMBER(D64),ISNUMBER(E64),E64&lt;D64),"⚠ Término anterior al inicio",IF(J64&lt;&gt;"Sí","Pendiente comprobante firmado","OK")))</f>
        <v/>
      </c>
    </row>
    <row r="65" customFormat="false" ht="15" hidden="false" customHeight="false" outlineLevel="0" collapsed="false">
      <c r="B65" s="64"/>
      <c r="C65" s="72" t="str">
        <f aca="false">IF(B65="","",IFERROR(INDEX(T_NOMBRE,MATCH(B65,T_ID,0)),"⚠ ID no existe"))</f>
        <v/>
      </c>
      <c r="D65" s="65"/>
      <c r="E65" s="65"/>
      <c r="F65" s="64"/>
      <c r="G65" s="74" t="str">
        <f aca="false">IF(OR(B65="",NOT(ISNUMBER(D65)),NOT(ISNUMBER(E65))),"",NETWORKDAYS(D65,E65,FERIADOS))</f>
        <v/>
      </c>
      <c r="H65" s="69"/>
      <c r="I65" s="74" t="str">
        <f aca="false">IF(B65="","",IF(ISNUMBER(H65),H65,N(G65)))</f>
        <v/>
      </c>
      <c r="J65" s="64"/>
      <c r="K65" s="64"/>
      <c r="L65" s="93" t="str">
        <f aca="false">IF(NOT(ISNUMBER(D65)),"",DATE(YEAR(D65),MONTH(D65),1))</f>
        <v/>
      </c>
      <c r="M65" s="70" t="str">
        <f aca="false">IF(B65="","",IF(AND(ISNUMBER(D65),ISNUMBER(E65),E65&lt;D65),"⚠ Término anterior al inicio",IF(J65&lt;&gt;"Sí","Pendiente comprobante firmado","OK")))</f>
        <v/>
      </c>
    </row>
    <row r="66" customFormat="false" ht="15" hidden="false" customHeight="false" outlineLevel="0" collapsed="false">
      <c r="B66" s="64"/>
      <c r="C66" s="72" t="str">
        <f aca="false">IF(B66="","",IFERROR(INDEX(T_NOMBRE,MATCH(B66,T_ID,0)),"⚠ ID no existe"))</f>
        <v/>
      </c>
      <c r="D66" s="65"/>
      <c r="E66" s="65"/>
      <c r="F66" s="64"/>
      <c r="G66" s="74" t="str">
        <f aca="false">IF(OR(B66="",NOT(ISNUMBER(D66)),NOT(ISNUMBER(E66))),"",NETWORKDAYS(D66,E66,FERIADOS))</f>
        <v/>
      </c>
      <c r="H66" s="69"/>
      <c r="I66" s="74" t="str">
        <f aca="false">IF(B66="","",IF(ISNUMBER(H66),H66,N(G66)))</f>
        <v/>
      </c>
      <c r="J66" s="64"/>
      <c r="K66" s="64"/>
      <c r="L66" s="93" t="str">
        <f aca="false">IF(NOT(ISNUMBER(D66)),"",DATE(YEAR(D66),MONTH(D66),1))</f>
        <v/>
      </c>
      <c r="M66" s="70" t="str">
        <f aca="false">IF(B66="","",IF(AND(ISNUMBER(D66),ISNUMBER(E66),E66&lt;D66),"⚠ Término anterior al inicio",IF(J66&lt;&gt;"Sí","Pendiente comprobante firmado","OK")))</f>
        <v/>
      </c>
    </row>
    <row r="67" customFormat="false" ht="15" hidden="false" customHeight="false" outlineLevel="0" collapsed="false">
      <c r="B67" s="64"/>
      <c r="C67" s="72" t="str">
        <f aca="false">IF(B67="","",IFERROR(INDEX(T_NOMBRE,MATCH(B67,T_ID,0)),"⚠ ID no existe"))</f>
        <v/>
      </c>
      <c r="D67" s="65"/>
      <c r="E67" s="65"/>
      <c r="F67" s="64"/>
      <c r="G67" s="74" t="str">
        <f aca="false">IF(OR(B67="",NOT(ISNUMBER(D67)),NOT(ISNUMBER(E67))),"",NETWORKDAYS(D67,E67,FERIADOS))</f>
        <v/>
      </c>
      <c r="H67" s="69"/>
      <c r="I67" s="74" t="str">
        <f aca="false">IF(B67="","",IF(ISNUMBER(H67),H67,N(G67)))</f>
        <v/>
      </c>
      <c r="J67" s="64"/>
      <c r="K67" s="64"/>
      <c r="L67" s="93" t="str">
        <f aca="false">IF(NOT(ISNUMBER(D67)),"",DATE(YEAR(D67),MONTH(D67),1))</f>
        <v/>
      </c>
      <c r="M67" s="70" t="str">
        <f aca="false">IF(B67="","",IF(AND(ISNUMBER(D67),ISNUMBER(E67),E67&lt;D67),"⚠ Término anterior al inicio",IF(J67&lt;&gt;"Sí","Pendiente comprobante firmado","OK")))</f>
        <v/>
      </c>
    </row>
    <row r="68" customFormat="false" ht="15" hidden="false" customHeight="false" outlineLevel="0" collapsed="false">
      <c r="B68" s="64"/>
      <c r="C68" s="72" t="str">
        <f aca="false">IF(B68="","",IFERROR(INDEX(T_NOMBRE,MATCH(B68,T_ID,0)),"⚠ ID no existe"))</f>
        <v/>
      </c>
      <c r="D68" s="65"/>
      <c r="E68" s="65"/>
      <c r="F68" s="64"/>
      <c r="G68" s="74" t="str">
        <f aca="false">IF(OR(B68="",NOT(ISNUMBER(D68)),NOT(ISNUMBER(E68))),"",NETWORKDAYS(D68,E68,FERIADOS))</f>
        <v/>
      </c>
      <c r="H68" s="69"/>
      <c r="I68" s="74" t="str">
        <f aca="false">IF(B68="","",IF(ISNUMBER(H68),H68,N(G68)))</f>
        <v/>
      </c>
      <c r="J68" s="64"/>
      <c r="K68" s="64"/>
      <c r="L68" s="93" t="str">
        <f aca="false">IF(NOT(ISNUMBER(D68)),"",DATE(YEAR(D68),MONTH(D68),1))</f>
        <v/>
      </c>
      <c r="M68" s="70" t="str">
        <f aca="false">IF(B68="","",IF(AND(ISNUMBER(D68),ISNUMBER(E68),E68&lt;D68),"⚠ Término anterior al inicio",IF(J68&lt;&gt;"Sí","Pendiente comprobante firmado","OK")))</f>
        <v/>
      </c>
    </row>
    <row r="69" customFormat="false" ht="15" hidden="false" customHeight="false" outlineLevel="0" collapsed="false">
      <c r="B69" s="64"/>
      <c r="C69" s="72" t="str">
        <f aca="false">IF(B69="","",IFERROR(INDEX(T_NOMBRE,MATCH(B69,T_ID,0)),"⚠ ID no existe"))</f>
        <v/>
      </c>
      <c r="D69" s="65"/>
      <c r="E69" s="65"/>
      <c r="F69" s="64"/>
      <c r="G69" s="74" t="str">
        <f aca="false">IF(OR(B69="",NOT(ISNUMBER(D69)),NOT(ISNUMBER(E69))),"",NETWORKDAYS(D69,E69,FERIADOS))</f>
        <v/>
      </c>
      <c r="H69" s="69"/>
      <c r="I69" s="74" t="str">
        <f aca="false">IF(B69="","",IF(ISNUMBER(H69),H69,N(G69)))</f>
        <v/>
      </c>
      <c r="J69" s="64"/>
      <c r="K69" s="64"/>
      <c r="L69" s="93" t="str">
        <f aca="false">IF(NOT(ISNUMBER(D69)),"",DATE(YEAR(D69),MONTH(D69),1))</f>
        <v/>
      </c>
      <c r="M69" s="70" t="str">
        <f aca="false">IF(B69="","",IF(AND(ISNUMBER(D69),ISNUMBER(E69),E69&lt;D69),"⚠ Término anterior al inicio",IF(J69&lt;&gt;"Sí","Pendiente comprobante firmado","OK")))</f>
        <v/>
      </c>
    </row>
    <row r="70" customFormat="false" ht="15" hidden="false" customHeight="false" outlineLevel="0" collapsed="false">
      <c r="B70" s="64"/>
      <c r="C70" s="72" t="str">
        <f aca="false">IF(B70="","",IFERROR(INDEX(T_NOMBRE,MATCH(B70,T_ID,0)),"⚠ ID no existe"))</f>
        <v/>
      </c>
      <c r="D70" s="65"/>
      <c r="E70" s="65"/>
      <c r="F70" s="64"/>
      <c r="G70" s="74" t="str">
        <f aca="false">IF(OR(B70="",NOT(ISNUMBER(D70)),NOT(ISNUMBER(E70))),"",NETWORKDAYS(D70,E70,FERIADOS))</f>
        <v/>
      </c>
      <c r="H70" s="69"/>
      <c r="I70" s="74" t="str">
        <f aca="false">IF(B70="","",IF(ISNUMBER(H70),H70,N(G70)))</f>
        <v/>
      </c>
      <c r="J70" s="64"/>
      <c r="K70" s="64"/>
      <c r="L70" s="93" t="str">
        <f aca="false">IF(NOT(ISNUMBER(D70)),"",DATE(YEAR(D70),MONTH(D70),1))</f>
        <v/>
      </c>
      <c r="M70" s="70" t="str">
        <f aca="false">IF(B70="","",IF(AND(ISNUMBER(D70),ISNUMBER(E70),E70&lt;D70),"⚠ Término anterior al inicio",IF(J70&lt;&gt;"Sí","Pendiente comprobante firmado","OK")))</f>
        <v/>
      </c>
    </row>
    <row r="71" customFormat="false" ht="15" hidden="false" customHeight="false" outlineLevel="0" collapsed="false">
      <c r="B71" s="64"/>
      <c r="C71" s="72" t="str">
        <f aca="false">IF(B71="","",IFERROR(INDEX(T_NOMBRE,MATCH(B71,T_ID,0)),"⚠ ID no existe"))</f>
        <v/>
      </c>
      <c r="D71" s="65"/>
      <c r="E71" s="65"/>
      <c r="F71" s="64"/>
      <c r="G71" s="74" t="str">
        <f aca="false">IF(OR(B71="",NOT(ISNUMBER(D71)),NOT(ISNUMBER(E71))),"",NETWORKDAYS(D71,E71,FERIADOS))</f>
        <v/>
      </c>
      <c r="H71" s="69"/>
      <c r="I71" s="74" t="str">
        <f aca="false">IF(B71="","",IF(ISNUMBER(H71),H71,N(G71)))</f>
        <v/>
      </c>
      <c r="J71" s="64"/>
      <c r="K71" s="64"/>
      <c r="L71" s="93" t="str">
        <f aca="false">IF(NOT(ISNUMBER(D71)),"",DATE(YEAR(D71),MONTH(D71),1))</f>
        <v/>
      </c>
      <c r="M71" s="70" t="str">
        <f aca="false">IF(B71="","",IF(AND(ISNUMBER(D71),ISNUMBER(E71),E71&lt;D71),"⚠ Término anterior al inicio",IF(J71&lt;&gt;"Sí","Pendiente comprobante firmado","OK")))</f>
        <v/>
      </c>
    </row>
    <row r="72" customFormat="false" ht="15" hidden="false" customHeight="false" outlineLevel="0" collapsed="false">
      <c r="B72" s="64"/>
      <c r="C72" s="72" t="str">
        <f aca="false">IF(B72="","",IFERROR(INDEX(T_NOMBRE,MATCH(B72,T_ID,0)),"⚠ ID no existe"))</f>
        <v/>
      </c>
      <c r="D72" s="65"/>
      <c r="E72" s="65"/>
      <c r="F72" s="64"/>
      <c r="G72" s="74" t="str">
        <f aca="false">IF(OR(B72="",NOT(ISNUMBER(D72)),NOT(ISNUMBER(E72))),"",NETWORKDAYS(D72,E72,FERIADOS))</f>
        <v/>
      </c>
      <c r="H72" s="69"/>
      <c r="I72" s="74" t="str">
        <f aca="false">IF(B72="","",IF(ISNUMBER(H72),H72,N(G72)))</f>
        <v/>
      </c>
      <c r="J72" s="64"/>
      <c r="K72" s="64"/>
      <c r="L72" s="93" t="str">
        <f aca="false">IF(NOT(ISNUMBER(D72)),"",DATE(YEAR(D72),MONTH(D72),1))</f>
        <v/>
      </c>
      <c r="M72" s="70" t="str">
        <f aca="false">IF(B72="","",IF(AND(ISNUMBER(D72),ISNUMBER(E72),E72&lt;D72),"⚠ Término anterior al inicio",IF(J72&lt;&gt;"Sí","Pendiente comprobante firmado","OK")))</f>
        <v/>
      </c>
    </row>
    <row r="73" customFormat="false" ht="15" hidden="false" customHeight="false" outlineLevel="0" collapsed="false">
      <c r="B73" s="64"/>
      <c r="C73" s="72" t="str">
        <f aca="false">IF(B73="","",IFERROR(INDEX(T_NOMBRE,MATCH(B73,T_ID,0)),"⚠ ID no existe"))</f>
        <v/>
      </c>
      <c r="D73" s="65"/>
      <c r="E73" s="65"/>
      <c r="F73" s="64"/>
      <c r="G73" s="74" t="str">
        <f aca="false">IF(OR(B73="",NOT(ISNUMBER(D73)),NOT(ISNUMBER(E73))),"",NETWORKDAYS(D73,E73,FERIADOS))</f>
        <v/>
      </c>
      <c r="H73" s="69"/>
      <c r="I73" s="74" t="str">
        <f aca="false">IF(B73="","",IF(ISNUMBER(H73),H73,N(G73)))</f>
        <v/>
      </c>
      <c r="J73" s="64"/>
      <c r="K73" s="64"/>
      <c r="L73" s="93" t="str">
        <f aca="false">IF(NOT(ISNUMBER(D73)),"",DATE(YEAR(D73),MONTH(D73),1))</f>
        <v/>
      </c>
      <c r="M73" s="70" t="str">
        <f aca="false">IF(B73="","",IF(AND(ISNUMBER(D73),ISNUMBER(E73),E73&lt;D73),"⚠ Término anterior al inicio",IF(J73&lt;&gt;"Sí","Pendiente comprobante firmado","OK")))</f>
        <v/>
      </c>
    </row>
    <row r="74" customFormat="false" ht="15" hidden="false" customHeight="false" outlineLevel="0" collapsed="false">
      <c r="B74" s="64"/>
      <c r="C74" s="72" t="str">
        <f aca="false">IF(B74="","",IFERROR(INDEX(T_NOMBRE,MATCH(B74,T_ID,0)),"⚠ ID no existe"))</f>
        <v/>
      </c>
      <c r="D74" s="65"/>
      <c r="E74" s="65"/>
      <c r="F74" s="64"/>
      <c r="G74" s="74" t="str">
        <f aca="false">IF(OR(B74="",NOT(ISNUMBER(D74)),NOT(ISNUMBER(E74))),"",NETWORKDAYS(D74,E74,FERIADOS))</f>
        <v/>
      </c>
      <c r="H74" s="69"/>
      <c r="I74" s="74" t="str">
        <f aca="false">IF(B74="","",IF(ISNUMBER(H74),H74,N(G74)))</f>
        <v/>
      </c>
      <c r="J74" s="64"/>
      <c r="K74" s="64"/>
      <c r="L74" s="93" t="str">
        <f aca="false">IF(NOT(ISNUMBER(D74)),"",DATE(YEAR(D74),MONTH(D74),1))</f>
        <v/>
      </c>
      <c r="M74" s="70" t="str">
        <f aca="false">IF(B74="","",IF(AND(ISNUMBER(D74),ISNUMBER(E74),E74&lt;D74),"⚠ Término anterior al inicio",IF(J74&lt;&gt;"Sí","Pendiente comprobante firmado","OK")))</f>
        <v/>
      </c>
    </row>
    <row r="75" customFormat="false" ht="15" hidden="false" customHeight="false" outlineLevel="0" collapsed="false">
      <c r="B75" s="64"/>
      <c r="C75" s="72" t="str">
        <f aca="false">IF(B75="","",IFERROR(INDEX(T_NOMBRE,MATCH(B75,T_ID,0)),"⚠ ID no existe"))</f>
        <v/>
      </c>
      <c r="D75" s="65"/>
      <c r="E75" s="65"/>
      <c r="F75" s="64"/>
      <c r="G75" s="74" t="str">
        <f aca="false">IF(OR(B75="",NOT(ISNUMBER(D75)),NOT(ISNUMBER(E75))),"",NETWORKDAYS(D75,E75,FERIADOS))</f>
        <v/>
      </c>
      <c r="H75" s="69"/>
      <c r="I75" s="74" t="str">
        <f aca="false">IF(B75="","",IF(ISNUMBER(H75),H75,N(G75)))</f>
        <v/>
      </c>
      <c r="J75" s="64"/>
      <c r="K75" s="64"/>
      <c r="L75" s="93" t="str">
        <f aca="false">IF(NOT(ISNUMBER(D75)),"",DATE(YEAR(D75),MONTH(D75),1))</f>
        <v/>
      </c>
      <c r="M75" s="70" t="str">
        <f aca="false">IF(B75="","",IF(AND(ISNUMBER(D75),ISNUMBER(E75),E75&lt;D75),"⚠ Término anterior al inicio",IF(J75&lt;&gt;"Sí","Pendiente comprobante firmado","OK")))</f>
        <v/>
      </c>
    </row>
    <row r="76" customFormat="false" ht="15" hidden="false" customHeight="false" outlineLevel="0" collapsed="false">
      <c r="B76" s="64"/>
      <c r="C76" s="72" t="str">
        <f aca="false">IF(B76="","",IFERROR(INDEX(T_NOMBRE,MATCH(B76,T_ID,0)),"⚠ ID no existe"))</f>
        <v/>
      </c>
      <c r="D76" s="65"/>
      <c r="E76" s="65"/>
      <c r="F76" s="64"/>
      <c r="G76" s="74" t="str">
        <f aca="false">IF(OR(B76="",NOT(ISNUMBER(D76)),NOT(ISNUMBER(E76))),"",NETWORKDAYS(D76,E76,FERIADOS))</f>
        <v/>
      </c>
      <c r="H76" s="69"/>
      <c r="I76" s="74" t="str">
        <f aca="false">IF(B76="","",IF(ISNUMBER(H76),H76,N(G76)))</f>
        <v/>
      </c>
      <c r="J76" s="64"/>
      <c r="K76" s="64"/>
      <c r="L76" s="93" t="str">
        <f aca="false">IF(NOT(ISNUMBER(D76)),"",DATE(YEAR(D76),MONTH(D76),1))</f>
        <v/>
      </c>
      <c r="M76" s="70" t="str">
        <f aca="false">IF(B76="","",IF(AND(ISNUMBER(D76),ISNUMBER(E76),E76&lt;D76),"⚠ Término anterior al inicio",IF(J76&lt;&gt;"Sí","Pendiente comprobante firmado","OK")))</f>
        <v/>
      </c>
    </row>
    <row r="77" customFormat="false" ht="15" hidden="false" customHeight="false" outlineLevel="0" collapsed="false">
      <c r="B77" s="64"/>
      <c r="C77" s="72" t="str">
        <f aca="false">IF(B77="","",IFERROR(INDEX(T_NOMBRE,MATCH(B77,T_ID,0)),"⚠ ID no existe"))</f>
        <v/>
      </c>
      <c r="D77" s="65"/>
      <c r="E77" s="65"/>
      <c r="F77" s="64"/>
      <c r="G77" s="74" t="str">
        <f aca="false">IF(OR(B77="",NOT(ISNUMBER(D77)),NOT(ISNUMBER(E77))),"",NETWORKDAYS(D77,E77,FERIADOS))</f>
        <v/>
      </c>
      <c r="H77" s="69"/>
      <c r="I77" s="74" t="str">
        <f aca="false">IF(B77="","",IF(ISNUMBER(H77),H77,N(G77)))</f>
        <v/>
      </c>
      <c r="J77" s="64"/>
      <c r="K77" s="64"/>
      <c r="L77" s="93" t="str">
        <f aca="false">IF(NOT(ISNUMBER(D77)),"",DATE(YEAR(D77),MONTH(D77),1))</f>
        <v/>
      </c>
      <c r="M77" s="70" t="str">
        <f aca="false">IF(B77="","",IF(AND(ISNUMBER(D77),ISNUMBER(E77),E77&lt;D77),"⚠ Término anterior al inicio",IF(J77&lt;&gt;"Sí","Pendiente comprobante firmado","OK")))</f>
        <v/>
      </c>
    </row>
    <row r="78" customFormat="false" ht="15" hidden="false" customHeight="false" outlineLevel="0" collapsed="false">
      <c r="B78" s="64"/>
      <c r="C78" s="72" t="str">
        <f aca="false">IF(B78="","",IFERROR(INDEX(T_NOMBRE,MATCH(B78,T_ID,0)),"⚠ ID no existe"))</f>
        <v/>
      </c>
      <c r="D78" s="65"/>
      <c r="E78" s="65"/>
      <c r="F78" s="64"/>
      <c r="G78" s="74" t="str">
        <f aca="false">IF(OR(B78="",NOT(ISNUMBER(D78)),NOT(ISNUMBER(E78))),"",NETWORKDAYS(D78,E78,FERIADOS))</f>
        <v/>
      </c>
      <c r="H78" s="69"/>
      <c r="I78" s="74" t="str">
        <f aca="false">IF(B78="","",IF(ISNUMBER(H78),H78,N(G78)))</f>
        <v/>
      </c>
      <c r="J78" s="64"/>
      <c r="K78" s="64"/>
      <c r="L78" s="93" t="str">
        <f aca="false">IF(NOT(ISNUMBER(D78)),"",DATE(YEAR(D78),MONTH(D78),1))</f>
        <v/>
      </c>
      <c r="M78" s="70" t="str">
        <f aca="false">IF(B78="","",IF(AND(ISNUMBER(D78),ISNUMBER(E78),E78&lt;D78),"⚠ Término anterior al inicio",IF(J78&lt;&gt;"Sí","Pendiente comprobante firmado","OK")))</f>
        <v/>
      </c>
    </row>
    <row r="79" customFormat="false" ht="15" hidden="false" customHeight="false" outlineLevel="0" collapsed="false">
      <c r="B79" s="64"/>
      <c r="C79" s="72" t="str">
        <f aca="false">IF(B79="","",IFERROR(INDEX(T_NOMBRE,MATCH(B79,T_ID,0)),"⚠ ID no existe"))</f>
        <v/>
      </c>
      <c r="D79" s="65"/>
      <c r="E79" s="65"/>
      <c r="F79" s="64"/>
      <c r="G79" s="74" t="str">
        <f aca="false">IF(OR(B79="",NOT(ISNUMBER(D79)),NOT(ISNUMBER(E79))),"",NETWORKDAYS(D79,E79,FERIADOS))</f>
        <v/>
      </c>
      <c r="H79" s="69"/>
      <c r="I79" s="74" t="str">
        <f aca="false">IF(B79="","",IF(ISNUMBER(H79),H79,N(G79)))</f>
        <v/>
      </c>
      <c r="J79" s="64"/>
      <c r="K79" s="64"/>
      <c r="L79" s="93" t="str">
        <f aca="false">IF(NOT(ISNUMBER(D79)),"",DATE(YEAR(D79),MONTH(D79),1))</f>
        <v/>
      </c>
      <c r="M79" s="70" t="str">
        <f aca="false">IF(B79="","",IF(AND(ISNUMBER(D79),ISNUMBER(E79),E79&lt;D79),"⚠ Término anterior al inicio",IF(J79&lt;&gt;"Sí","Pendiente comprobante firmado","OK")))</f>
        <v/>
      </c>
    </row>
    <row r="80" customFormat="false" ht="15" hidden="false" customHeight="false" outlineLevel="0" collapsed="false">
      <c r="B80" s="64"/>
      <c r="C80" s="72" t="str">
        <f aca="false">IF(B80="","",IFERROR(INDEX(T_NOMBRE,MATCH(B80,T_ID,0)),"⚠ ID no existe"))</f>
        <v/>
      </c>
      <c r="D80" s="65"/>
      <c r="E80" s="65"/>
      <c r="F80" s="64"/>
      <c r="G80" s="74" t="str">
        <f aca="false">IF(OR(B80="",NOT(ISNUMBER(D80)),NOT(ISNUMBER(E80))),"",NETWORKDAYS(D80,E80,FERIADOS))</f>
        <v/>
      </c>
      <c r="H80" s="69"/>
      <c r="I80" s="74" t="str">
        <f aca="false">IF(B80="","",IF(ISNUMBER(H80),H80,N(G80)))</f>
        <v/>
      </c>
      <c r="J80" s="64"/>
      <c r="K80" s="64"/>
      <c r="L80" s="93" t="str">
        <f aca="false">IF(NOT(ISNUMBER(D80)),"",DATE(YEAR(D80),MONTH(D80),1))</f>
        <v/>
      </c>
      <c r="M80" s="70" t="str">
        <f aca="false">IF(B80="","",IF(AND(ISNUMBER(D80),ISNUMBER(E80),E80&lt;D80),"⚠ Término anterior al inicio",IF(J80&lt;&gt;"Sí","Pendiente comprobante firmado","OK")))</f>
        <v/>
      </c>
    </row>
    <row r="81" customFormat="false" ht="15" hidden="false" customHeight="false" outlineLevel="0" collapsed="false">
      <c r="B81" s="64"/>
      <c r="C81" s="72" t="str">
        <f aca="false">IF(B81="","",IFERROR(INDEX(T_NOMBRE,MATCH(B81,T_ID,0)),"⚠ ID no existe"))</f>
        <v/>
      </c>
      <c r="D81" s="65"/>
      <c r="E81" s="65"/>
      <c r="F81" s="64"/>
      <c r="G81" s="74" t="str">
        <f aca="false">IF(OR(B81="",NOT(ISNUMBER(D81)),NOT(ISNUMBER(E81))),"",NETWORKDAYS(D81,E81,FERIADOS))</f>
        <v/>
      </c>
      <c r="H81" s="69"/>
      <c r="I81" s="74" t="str">
        <f aca="false">IF(B81="","",IF(ISNUMBER(H81),H81,N(G81)))</f>
        <v/>
      </c>
      <c r="J81" s="64"/>
      <c r="K81" s="64"/>
      <c r="L81" s="93" t="str">
        <f aca="false">IF(NOT(ISNUMBER(D81)),"",DATE(YEAR(D81),MONTH(D81),1))</f>
        <v/>
      </c>
      <c r="M81" s="70" t="str">
        <f aca="false">IF(B81="","",IF(AND(ISNUMBER(D81),ISNUMBER(E81),E81&lt;D81),"⚠ Término anterior al inicio",IF(J81&lt;&gt;"Sí","Pendiente comprobante firmado","OK")))</f>
        <v/>
      </c>
    </row>
    <row r="82" customFormat="false" ht="15" hidden="false" customHeight="false" outlineLevel="0" collapsed="false">
      <c r="B82" s="64"/>
      <c r="C82" s="72" t="str">
        <f aca="false">IF(B82="","",IFERROR(INDEX(T_NOMBRE,MATCH(B82,T_ID,0)),"⚠ ID no existe"))</f>
        <v/>
      </c>
      <c r="D82" s="65"/>
      <c r="E82" s="65"/>
      <c r="F82" s="64"/>
      <c r="G82" s="74" t="str">
        <f aca="false">IF(OR(B82="",NOT(ISNUMBER(D82)),NOT(ISNUMBER(E82))),"",NETWORKDAYS(D82,E82,FERIADOS))</f>
        <v/>
      </c>
      <c r="H82" s="69"/>
      <c r="I82" s="74" t="str">
        <f aca="false">IF(B82="","",IF(ISNUMBER(H82),H82,N(G82)))</f>
        <v/>
      </c>
      <c r="J82" s="64"/>
      <c r="K82" s="64"/>
      <c r="L82" s="93" t="str">
        <f aca="false">IF(NOT(ISNUMBER(D82)),"",DATE(YEAR(D82),MONTH(D82),1))</f>
        <v/>
      </c>
      <c r="M82" s="70" t="str">
        <f aca="false">IF(B82="","",IF(AND(ISNUMBER(D82),ISNUMBER(E82),E82&lt;D82),"⚠ Término anterior al inicio",IF(J82&lt;&gt;"Sí","Pendiente comprobante firmado","OK")))</f>
        <v/>
      </c>
    </row>
    <row r="83" customFormat="false" ht="15" hidden="false" customHeight="false" outlineLevel="0" collapsed="false">
      <c r="B83" s="64"/>
      <c r="C83" s="72" t="str">
        <f aca="false">IF(B83="","",IFERROR(INDEX(T_NOMBRE,MATCH(B83,T_ID,0)),"⚠ ID no existe"))</f>
        <v/>
      </c>
      <c r="D83" s="65"/>
      <c r="E83" s="65"/>
      <c r="F83" s="64"/>
      <c r="G83" s="74" t="str">
        <f aca="false">IF(OR(B83="",NOT(ISNUMBER(D83)),NOT(ISNUMBER(E83))),"",NETWORKDAYS(D83,E83,FERIADOS))</f>
        <v/>
      </c>
      <c r="H83" s="69"/>
      <c r="I83" s="74" t="str">
        <f aca="false">IF(B83="","",IF(ISNUMBER(H83),H83,N(G83)))</f>
        <v/>
      </c>
      <c r="J83" s="64"/>
      <c r="K83" s="64"/>
      <c r="L83" s="93" t="str">
        <f aca="false">IF(NOT(ISNUMBER(D83)),"",DATE(YEAR(D83),MONTH(D83),1))</f>
        <v/>
      </c>
      <c r="M83" s="70" t="str">
        <f aca="false">IF(B83="","",IF(AND(ISNUMBER(D83),ISNUMBER(E83),E83&lt;D83),"⚠ Término anterior al inicio",IF(J83&lt;&gt;"Sí","Pendiente comprobante firmado","OK")))</f>
        <v/>
      </c>
    </row>
    <row r="84" customFormat="false" ht="15" hidden="false" customHeight="false" outlineLevel="0" collapsed="false">
      <c r="B84" s="64"/>
      <c r="C84" s="72" t="str">
        <f aca="false">IF(B84="","",IFERROR(INDEX(T_NOMBRE,MATCH(B84,T_ID,0)),"⚠ ID no existe"))</f>
        <v/>
      </c>
      <c r="D84" s="65"/>
      <c r="E84" s="65"/>
      <c r="F84" s="64"/>
      <c r="G84" s="74" t="str">
        <f aca="false">IF(OR(B84="",NOT(ISNUMBER(D84)),NOT(ISNUMBER(E84))),"",NETWORKDAYS(D84,E84,FERIADOS))</f>
        <v/>
      </c>
      <c r="H84" s="69"/>
      <c r="I84" s="74" t="str">
        <f aca="false">IF(B84="","",IF(ISNUMBER(H84),H84,N(G84)))</f>
        <v/>
      </c>
      <c r="J84" s="64"/>
      <c r="K84" s="64"/>
      <c r="L84" s="93" t="str">
        <f aca="false">IF(NOT(ISNUMBER(D84)),"",DATE(YEAR(D84),MONTH(D84),1))</f>
        <v/>
      </c>
      <c r="M84" s="70" t="str">
        <f aca="false">IF(B84="","",IF(AND(ISNUMBER(D84),ISNUMBER(E84),E84&lt;D84),"⚠ Término anterior al inicio",IF(J84&lt;&gt;"Sí","Pendiente comprobante firmado","OK")))</f>
        <v/>
      </c>
    </row>
    <row r="85" customFormat="false" ht="15" hidden="false" customHeight="false" outlineLevel="0" collapsed="false">
      <c r="B85" s="64"/>
      <c r="C85" s="72" t="str">
        <f aca="false">IF(B85="","",IFERROR(INDEX(T_NOMBRE,MATCH(B85,T_ID,0)),"⚠ ID no existe"))</f>
        <v/>
      </c>
      <c r="D85" s="65"/>
      <c r="E85" s="65"/>
      <c r="F85" s="64"/>
      <c r="G85" s="74" t="str">
        <f aca="false">IF(OR(B85="",NOT(ISNUMBER(D85)),NOT(ISNUMBER(E85))),"",NETWORKDAYS(D85,E85,FERIADOS))</f>
        <v/>
      </c>
      <c r="H85" s="69"/>
      <c r="I85" s="74" t="str">
        <f aca="false">IF(B85="","",IF(ISNUMBER(H85),H85,N(G85)))</f>
        <v/>
      </c>
      <c r="J85" s="64"/>
      <c r="K85" s="64"/>
      <c r="L85" s="93" t="str">
        <f aca="false">IF(NOT(ISNUMBER(D85)),"",DATE(YEAR(D85),MONTH(D85),1))</f>
        <v/>
      </c>
      <c r="M85" s="70" t="str">
        <f aca="false">IF(B85="","",IF(AND(ISNUMBER(D85),ISNUMBER(E85),E85&lt;D85),"⚠ Término anterior al inicio",IF(J85&lt;&gt;"Sí","Pendiente comprobante firmado","OK")))</f>
        <v/>
      </c>
    </row>
    <row r="86" customFormat="false" ht="15" hidden="false" customHeight="false" outlineLevel="0" collapsed="false">
      <c r="B86" s="64"/>
      <c r="C86" s="72" t="str">
        <f aca="false">IF(B86="","",IFERROR(INDEX(T_NOMBRE,MATCH(B86,T_ID,0)),"⚠ ID no existe"))</f>
        <v/>
      </c>
      <c r="D86" s="65"/>
      <c r="E86" s="65"/>
      <c r="F86" s="64"/>
      <c r="G86" s="74" t="str">
        <f aca="false">IF(OR(B86="",NOT(ISNUMBER(D86)),NOT(ISNUMBER(E86))),"",NETWORKDAYS(D86,E86,FERIADOS))</f>
        <v/>
      </c>
      <c r="H86" s="69"/>
      <c r="I86" s="74" t="str">
        <f aca="false">IF(B86="","",IF(ISNUMBER(H86),H86,N(G86)))</f>
        <v/>
      </c>
      <c r="J86" s="64"/>
      <c r="K86" s="64"/>
      <c r="L86" s="93" t="str">
        <f aca="false">IF(NOT(ISNUMBER(D86)),"",DATE(YEAR(D86),MONTH(D86),1))</f>
        <v/>
      </c>
      <c r="M86" s="70" t="str">
        <f aca="false">IF(B86="","",IF(AND(ISNUMBER(D86),ISNUMBER(E86),E86&lt;D86),"⚠ Término anterior al inicio",IF(J86&lt;&gt;"Sí","Pendiente comprobante firmado","OK")))</f>
        <v/>
      </c>
    </row>
    <row r="87" customFormat="false" ht="15" hidden="false" customHeight="false" outlineLevel="0" collapsed="false">
      <c r="B87" s="64"/>
      <c r="C87" s="72" t="str">
        <f aca="false">IF(B87="","",IFERROR(INDEX(T_NOMBRE,MATCH(B87,T_ID,0)),"⚠ ID no existe"))</f>
        <v/>
      </c>
      <c r="D87" s="65"/>
      <c r="E87" s="65"/>
      <c r="F87" s="64"/>
      <c r="G87" s="74" t="str">
        <f aca="false">IF(OR(B87="",NOT(ISNUMBER(D87)),NOT(ISNUMBER(E87))),"",NETWORKDAYS(D87,E87,FERIADOS))</f>
        <v/>
      </c>
      <c r="H87" s="69"/>
      <c r="I87" s="74" t="str">
        <f aca="false">IF(B87="","",IF(ISNUMBER(H87),H87,N(G87)))</f>
        <v/>
      </c>
      <c r="J87" s="64"/>
      <c r="K87" s="64"/>
      <c r="L87" s="93" t="str">
        <f aca="false">IF(NOT(ISNUMBER(D87)),"",DATE(YEAR(D87),MONTH(D87),1))</f>
        <v/>
      </c>
      <c r="M87" s="70" t="str">
        <f aca="false">IF(B87="","",IF(AND(ISNUMBER(D87),ISNUMBER(E87),E87&lt;D87),"⚠ Término anterior al inicio",IF(J87&lt;&gt;"Sí","Pendiente comprobante firmado","OK")))</f>
        <v/>
      </c>
    </row>
    <row r="88" customFormat="false" ht="15" hidden="false" customHeight="false" outlineLevel="0" collapsed="false">
      <c r="B88" s="64"/>
      <c r="C88" s="72" t="str">
        <f aca="false">IF(B88="","",IFERROR(INDEX(T_NOMBRE,MATCH(B88,T_ID,0)),"⚠ ID no existe"))</f>
        <v/>
      </c>
      <c r="D88" s="65"/>
      <c r="E88" s="65"/>
      <c r="F88" s="64"/>
      <c r="G88" s="74" t="str">
        <f aca="false">IF(OR(B88="",NOT(ISNUMBER(D88)),NOT(ISNUMBER(E88))),"",NETWORKDAYS(D88,E88,FERIADOS))</f>
        <v/>
      </c>
      <c r="H88" s="69"/>
      <c r="I88" s="74" t="str">
        <f aca="false">IF(B88="","",IF(ISNUMBER(H88),H88,N(G88)))</f>
        <v/>
      </c>
      <c r="J88" s="64"/>
      <c r="K88" s="64"/>
      <c r="L88" s="93" t="str">
        <f aca="false">IF(NOT(ISNUMBER(D88)),"",DATE(YEAR(D88),MONTH(D88),1))</f>
        <v/>
      </c>
      <c r="M88" s="70" t="str">
        <f aca="false">IF(B88="","",IF(AND(ISNUMBER(D88),ISNUMBER(E88),E88&lt;D88),"⚠ Término anterior al inicio",IF(J88&lt;&gt;"Sí","Pendiente comprobante firmado","OK")))</f>
        <v/>
      </c>
    </row>
    <row r="89" customFormat="false" ht="15" hidden="false" customHeight="false" outlineLevel="0" collapsed="false">
      <c r="B89" s="64"/>
      <c r="C89" s="72" t="str">
        <f aca="false">IF(B89="","",IFERROR(INDEX(T_NOMBRE,MATCH(B89,T_ID,0)),"⚠ ID no existe"))</f>
        <v/>
      </c>
      <c r="D89" s="65"/>
      <c r="E89" s="65"/>
      <c r="F89" s="64"/>
      <c r="G89" s="74" t="str">
        <f aca="false">IF(OR(B89="",NOT(ISNUMBER(D89)),NOT(ISNUMBER(E89))),"",NETWORKDAYS(D89,E89,FERIADOS))</f>
        <v/>
      </c>
      <c r="H89" s="69"/>
      <c r="I89" s="74" t="str">
        <f aca="false">IF(B89="","",IF(ISNUMBER(H89),H89,N(G89)))</f>
        <v/>
      </c>
      <c r="J89" s="64"/>
      <c r="K89" s="64"/>
      <c r="L89" s="93" t="str">
        <f aca="false">IF(NOT(ISNUMBER(D89)),"",DATE(YEAR(D89),MONTH(D89),1))</f>
        <v/>
      </c>
      <c r="M89" s="70" t="str">
        <f aca="false">IF(B89="","",IF(AND(ISNUMBER(D89),ISNUMBER(E89),E89&lt;D89),"⚠ Término anterior al inicio",IF(J89&lt;&gt;"Sí","Pendiente comprobante firmado","OK")))</f>
        <v/>
      </c>
    </row>
    <row r="90" customFormat="false" ht="15" hidden="false" customHeight="false" outlineLevel="0" collapsed="false">
      <c r="B90" s="64"/>
      <c r="C90" s="72" t="str">
        <f aca="false">IF(B90="","",IFERROR(INDEX(T_NOMBRE,MATCH(B90,T_ID,0)),"⚠ ID no existe"))</f>
        <v/>
      </c>
      <c r="D90" s="65"/>
      <c r="E90" s="65"/>
      <c r="F90" s="64"/>
      <c r="G90" s="74" t="str">
        <f aca="false">IF(OR(B90="",NOT(ISNUMBER(D90)),NOT(ISNUMBER(E90))),"",NETWORKDAYS(D90,E90,FERIADOS))</f>
        <v/>
      </c>
      <c r="H90" s="69"/>
      <c r="I90" s="74" t="str">
        <f aca="false">IF(B90="","",IF(ISNUMBER(H90),H90,N(G90)))</f>
        <v/>
      </c>
      <c r="J90" s="64"/>
      <c r="K90" s="64"/>
      <c r="L90" s="93" t="str">
        <f aca="false">IF(NOT(ISNUMBER(D90)),"",DATE(YEAR(D90),MONTH(D90),1))</f>
        <v/>
      </c>
      <c r="M90" s="70" t="str">
        <f aca="false">IF(B90="","",IF(AND(ISNUMBER(D90),ISNUMBER(E90),E90&lt;D90),"⚠ Término anterior al inicio",IF(J90&lt;&gt;"Sí","Pendiente comprobante firmado","OK")))</f>
        <v/>
      </c>
    </row>
    <row r="91" customFormat="false" ht="15" hidden="false" customHeight="false" outlineLevel="0" collapsed="false">
      <c r="B91" s="64"/>
      <c r="C91" s="72" t="str">
        <f aca="false">IF(B91="","",IFERROR(INDEX(T_NOMBRE,MATCH(B91,T_ID,0)),"⚠ ID no existe"))</f>
        <v/>
      </c>
      <c r="D91" s="65"/>
      <c r="E91" s="65"/>
      <c r="F91" s="64"/>
      <c r="G91" s="74" t="str">
        <f aca="false">IF(OR(B91="",NOT(ISNUMBER(D91)),NOT(ISNUMBER(E91))),"",NETWORKDAYS(D91,E91,FERIADOS))</f>
        <v/>
      </c>
      <c r="H91" s="69"/>
      <c r="I91" s="74" t="str">
        <f aca="false">IF(B91="","",IF(ISNUMBER(H91),H91,N(G91)))</f>
        <v/>
      </c>
      <c r="J91" s="64"/>
      <c r="K91" s="64"/>
      <c r="L91" s="93" t="str">
        <f aca="false">IF(NOT(ISNUMBER(D91)),"",DATE(YEAR(D91),MONTH(D91),1))</f>
        <v/>
      </c>
      <c r="M91" s="70" t="str">
        <f aca="false">IF(B91="","",IF(AND(ISNUMBER(D91),ISNUMBER(E91),E91&lt;D91),"⚠ Término anterior al inicio",IF(J91&lt;&gt;"Sí","Pendiente comprobante firmado","OK")))</f>
        <v/>
      </c>
    </row>
    <row r="92" customFormat="false" ht="15" hidden="false" customHeight="false" outlineLevel="0" collapsed="false">
      <c r="B92" s="64"/>
      <c r="C92" s="72" t="str">
        <f aca="false">IF(B92="","",IFERROR(INDEX(T_NOMBRE,MATCH(B92,T_ID,0)),"⚠ ID no existe"))</f>
        <v/>
      </c>
      <c r="D92" s="65"/>
      <c r="E92" s="65"/>
      <c r="F92" s="64"/>
      <c r="G92" s="74" t="str">
        <f aca="false">IF(OR(B92="",NOT(ISNUMBER(D92)),NOT(ISNUMBER(E92))),"",NETWORKDAYS(D92,E92,FERIADOS))</f>
        <v/>
      </c>
      <c r="H92" s="69"/>
      <c r="I92" s="74" t="str">
        <f aca="false">IF(B92="","",IF(ISNUMBER(H92),H92,N(G92)))</f>
        <v/>
      </c>
      <c r="J92" s="64"/>
      <c r="K92" s="64"/>
      <c r="L92" s="93" t="str">
        <f aca="false">IF(NOT(ISNUMBER(D92)),"",DATE(YEAR(D92),MONTH(D92),1))</f>
        <v/>
      </c>
      <c r="M92" s="70" t="str">
        <f aca="false">IF(B92="","",IF(AND(ISNUMBER(D92),ISNUMBER(E92),E92&lt;D92),"⚠ Término anterior al inicio",IF(J92&lt;&gt;"Sí","Pendiente comprobante firmado","OK")))</f>
        <v/>
      </c>
    </row>
    <row r="93" customFormat="false" ht="15" hidden="false" customHeight="false" outlineLevel="0" collapsed="false">
      <c r="B93" s="64"/>
      <c r="C93" s="72" t="str">
        <f aca="false">IF(B93="","",IFERROR(INDEX(T_NOMBRE,MATCH(B93,T_ID,0)),"⚠ ID no existe"))</f>
        <v/>
      </c>
      <c r="D93" s="65"/>
      <c r="E93" s="65"/>
      <c r="F93" s="64"/>
      <c r="G93" s="74" t="str">
        <f aca="false">IF(OR(B93="",NOT(ISNUMBER(D93)),NOT(ISNUMBER(E93))),"",NETWORKDAYS(D93,E93,FERIADOS))</f>
        <v/>
      </c>
      <c r="H93" s="69"/>
      <c r="I93" s="74" t="str">
        <f aca="false">IF(B93="","",IF(ISNUMBER(H93),H93,N(G93)))</f>
        <v/>
      </c>
      <c r="J93" s="64"/>
      <c r="K93" s="64"/>
      <c r="L93" s="93" t="str">
        <f aca="false">IF(NOT(ISNUMBER(D93)),"",DATE(YEAR(D93),MONTH(D93),1))</f>
        <v/>
      </c>
      <c r="M93" s="70" t="str">
        <f aca="false">IF(B93="","",IF(AND(ISNUMBER(D93),ISNUMBER(E93),E93&lt;D93),"⚠ Término anterior al inicio",IF(J93&lt;&gt;"Sí","Pendiente comprobante firmado","OK")))</f>
        <v/>
      </c>
    </row>
    <row r="94" customFormat="false" ht="15" hidden="false" customHeight="false" outlineLevel="0" collapsed="false">
      <c r="B94" s="64"/>
      <c r="C94" s="72" t="str">
        <f aca="false">IF(B94="","",IFERROR(INDEX(T_NOMBRE,MATCH(B94,T_ID,0)),"⚠ ID no existe"))</f>
        <v/>
      </c>
      <c r="D94" s="65"/>
      <c r="E94" s="65"/>
      <c r="F94" s="64"/>
      <c r="G94" s="74" t="str">
        <f aca="false">IF(OR(B94="",NOT(ISNUMBER(D94)),NOT(ISNUMBER(E94))),"",NETWORKDAYS(D94,E94,FERIADOS))</f>
        <v/>
      </c>
      <c r="H94" s="69"/>
      <c r="I94" s="74" t="str">
        <f aca="false">IF(B94="","",IF(ISNUMBER(H94),H94,N(G94)))</f>
        <v/>
      </c>
      <c r="J94" s="64"/>
      <c r="K94" s="64"/>
      <c r="L94" s="93" t="str">
        <f aca="false">IF(NOT(ISNUMBER(D94)),"",DATE(YEAR(D94),MONTH(D94),1))</f>
        <v/>
      </c>
      <c r="M94" s="70" t="str">
        <f aca="false">IF(B94="","",IF(AND(ISNUMBER(D94),ISNUMBER(E94),E94&lt;D94),"⚠ Término anterior al inicio",IF(J94&lt;&gt;"Sí","Pendiente comprobante firmado","OK")))</f>
        <v/>
      </c>
    </row>
    <row r="95" customFormat="false" ht="15" hidden="false" customHeight="false" outlineLevel="0" collapsed="false">
      <c r="B95" s="64"/>
      <c r="C95" s="72" t="str">
        <f aca="false">IF(B95="","",IFERROR(INDEX(T_NOMBRE,MATCH(B95,T_ID,0)),"⚠ ID no existe"))</f>
        <v/>
      </c>
      <c r="D95" s="65"/>
      <c r="E95" s="65"/>
      <c r="F95" s="64"/>
      <c r="G95" s="74" t="str">
        <f aca="false">IF(OR(B95="",NOT(ISNUMBER(D95)),NOT(ISNUMBER(E95))),"",NETWORKDAYS(D95,E95,FERIADOS))</f>
        <v/>
      </c>
      <c r="H95" s="69"/>
      <c r="I95" s="74" t="str">
        <f aca="false">IF(B95="","",IF(ISNUMBER(H95),H95,N(G95)))</f>
        <v/>
      </c>
      <c r="J95" s="64"/>
      <c r="K95" s="64"/>
      <c r="L95" s="93" t="str">
        <f aca="false">IF(NOT(ISNUMBER(D95)),"",DATE(YEAR(D95),MONTH(D95),1))</f>
        <v/>
      </c>
      <c r="M95" s="70" t="str">
        <f aca="false">IF(B95="","",IF(AND(ISNUMBER(D95),ISNUMBER(E95),E95&lt;D95),"⚠ Término anterior al inicio",IF(J95&lt;&gt;"Sí","Pendiente comprobante firmado","OK")))</f>
        <v/>
      </c>
    </row>
    <row r="96" customFormat="false" ht="15" hidden="false" customHeight="false" outlineLevel="0" collapsed="false">
      <c r="B96" s="64"/>
      <c r="C96" s="72" t="str">
        <f aca="false">IF(B96="","",IFERROR(INDEX(T_NOMBRE,MATCH(B96,T_ID,0)),"⚠ ID no existe"))</f>
        <v/>
      </c>
      <c r="D96" s="65"/>
      <c r="E96" s="65"/>
      <c r="F96" s="64"/>
      <c r="G96" s="74" t="str">
        <f aca="false">IF(OR(B96="",NOT(ISNUMBER(D96)),NOT(ISNUMBER(E96))),"",NETWORKDAYS(D96,E96,FERIADOS))</f>
        <v/>
      </c>
      <c r="H96" s="69"/>
      <c r="I96" s="74" t="str">
        <f aca="false">IF(B96="","",IF(ISNUMBER(H96),H96,N(G96)))</f>
        <v/>
      </c>
      <c r="J96" s="64"/>
      <c r="K96" s="64"/>
      <c r="L96" s="93" t="str">
        <f aca="false">IF(NOT(ISNUMBER(D96)),"",DATE(YEAR(D96),MONTH(D96),1))</f>
        <v/>
      </c>
      <c r="M96" s="70" t="str">
        <f aca="false">IF(B96="","",IF(AND(ISNUMBER(D96),ISNUMBER(E96),E96&lt;D96),"⚠ Término anterior al inicio",IF(J96&lt;&gt;"Sí","Pendiente comprobante firmado","OK")))</f>
        <v/>
      </c>
    </row>
    <row r="97" customFormat="false" ht="15" hidden="false" customHeight="false" outlineLevel="0" collapsed="false">
      <c r="B97" s="64"/>
      <c r="C97" s="72" t="str">
        <f aca="false">IF(B97="","",IFERROR(INDEX(T_NOMBRE,MATCH(B97,T_ID,0)),"⚠ ID no existe"))</f>
        <v/>
      </c>
      <c r="D97" s="65"/>
      <c r="E97" s="65"/>
      <c r="F97" s="64"/>
      <c r="G97" s="74" t="str">
        <f aca="false">IF(OR(B97="",NOT(ISNUMBER(D97)),NOT(ISNUMBER(E97))),"",NETWORKDAYS(D97,E97,FERIADOS))</f>
        <v/>
      </c>
      <c r="H97" s="69"/>
      <c r="I97" s="74" t="str">
        <f aca="false">IF(B97="","",IF(ISNUMBER(H97),H97,N(G97)))</f>
        <v/>
      </c>
      <c r="J97" s="64"/>
      <c r="K97" s="64"/>
      <c r="L97" s="93" t="str">
        <f aca="false">IF(NOT(ISNUMBER(D97)),"",DATE(YEAR(D97),MONTH(D97),1))</f>
        <v/>
      </c>
      <c r="M97" s="70" t="str">
        <f aca="false">IF(B97="","",IF(AND(ISNUMBER(D97),ISNUMBER(E97),E97&lt;D97),"⚠ Término anterior al inicio",IF(J97&lt;&gt;"Sí","Pendiente comprobante firmado","OK")))</f>
        <v/>
      </c>
    </row>
    <row r="98" customFormat="false" ht="15" hidden="false" customHeight="false" outlineLevel="0" collapsed="false">
      <c r="B98" s="64"/>
      <c r="C98" s="72" t="str">
        <f aca="false">IF(B98="","",IFERROR(INDEX(T_NOMBRE,MATCH(B98,T_ID,0)),"⚠ ID no existe"))</f>
        <v/>
      </c>
      <c r="D98" s="65"/>
      <c r="E98" s="65"/>
      <c r="F98" s="64"/>
      <c r="G98" s="74" t="str">
        <f aca="false">IF(OR(B98="",NOT(ISNUMBER(D98)),NOT(ISNUMBER(E98))),"",NETWORKDAYS(D98,E98,FERIADOS))</f>
        <v/>
      </c>
      <c r="H98" s="69"/>
      <c r="I98" s="74" t="str">
        <f aca="false">IF(B98="","",IF(ISNUMBER(H98),H98,N(G98)))</f>
        <v/>
      </c>
      <c r="J98" s="64"/>
      <c r="K98" s="64"/>
      <c r="L98" s="93" t="str">
        <f aca="false">IF(NOT(ISNUMBER(D98)),"",DATE(YEAR(D98),MONTH(D98),1))</f>
        <v/>
      </c>
      <c r="M98" s="70" t="str">
        <f aca="false">IF(B98="","",IF(AND(ISNUMBER(D98),ISNUMBER(E98),E98&lt;D98),"⚠ Término anterior al inicio",IF(J98&lt;&gt;"Sí","Pendiente comprobante firmado","OK")))</f>
        <v/>
      </c>
    </row>
    <row r="99" customFormat="false" ht="15" hidden="false" customHeight="false" outlineLevel="0" collapsed="false">
      <c r="B99" s="64"/>
      <c r="C99" s="72" t="str">
        <f aca="false">IF(B99="","",IFERROR(INDEX(T_NOMBRE,MATCH(B99,T_ID,0)),"⚠ ID no existe"))</f>
        <v/>
      </c>
      <c r="D99" s="65"/>
      <c r="E99" s="65"/>
      <c r="F99" s="64"/>
      <c r="G99" s="74" t="str">
        <f aca="false">IF(OR(B99="",NOT(ISNUMBER(D99)),NOT(ISNUMBER(E99))),"",NETWORKDAYS(D99,E99,FERIADOS))</f>
        <v/>
      </c>
      <c r="H99" s="69"/>
      <c r="I99" s="74" t="str">
        <f aca="false">IF(B99="","",IF(ISNUMBER(H99),H99,N(G99)))</f>
        <v/>
      </c>
      <c r="J99" s="64"/>
      <c r="K99" s="64"/>
      <c r="L99" s="93" t="str">
        <f aca="false">IF(NOT(ISNUMBER(D99)),"",DATE(YEAR(D99),MONTH(D99),1))</f>
        <v/>
      </c>
      <c r="M99" s="70" t="str">
        <f aca="false">IF(B99="","",IF(AND(ISNUMBER(D99),ISNUMBER(E99),E99&lt;D99),"⚠ Término anterior al inicio",IF(J99&lt;&gt;"Sí","Pendiente comprobante firmado","OK")))</f>
        <v/>
      </c>
    </row>
    <row r="100" customFormat="false" ht="15" hidden="false" customHeight="false" outlineLevel="0" collapsed="false">
      <c r="B100" s="64"/>
      <c r="C100" s="72" t="str">
        <f aca="false">IF(B100="","",IFERROR(INDEX(T_NOMBRE,MATCH(B100,T_ID,0)),"⚠ ID no existe"))</f>
        <v/>
      </c>
      <c r="D100" s="65"/>
      <c r="E100" s="65"/>
      <c r="F100" s="64"/>
      <c r="G100" s="74" t="str">
        <f aca="false">IF(OR(B100="",NOT(ISNUMBER(D100)),NOT(ISNUMBER(E100))),"",NETWORKDAYS(D100,E100,FERIADOS))</f>
        <v/>
      </c>
      <c r="H100" s="69"/>
      <c r="I100" s="74" t="str">
        <f aca="false">IF(B100="","",IF(ISNUMBER(H100),H100,N(G100)))</f>
        <v/>
      </c>
      <c r="J100" s="64"/>
      <c r="K100" s="64"/>
      <c r="L100" s="93" t="str">
        <f aca="false">IF(NOT(ISNUMBER(D100)),"",DATE(YEAR(D100),MONTH(D100),1))</f>
        <v/>
      </c>
      <c r="M100" s="70" t="str">
        <f aca="false">IF(B100="","",IF(AND(ISNUMBER(D100),ISNUMBER(E100),E100&lt;D100),"⚠ Término anterior al inicio",IF(J100&lt;&gt;"Sí","Pendiente comprobante firmado","OK")))</f>
        <v/>
      </c>
    </row>
    <row r="101" customFormat="false" ht="15" hidden="false" customHeight="false" outlineLevel="0" collapsed="false">
      <c r="B101" s="64"/>
      <c r="C101" s="72" t="str">
        <f aca="false">IF(B101="","",IFERROR(INDEX(T_NOMBRE,MATCH(B101,T_ID,0)),"⚠ ID no existe"))</f>
        <v/>
      </c>
      <c r="D101" s="65"/>
      <c r="E101" s="65"/>
      <c r="F101" s="64"/>
      <c r="G101" s="74" t="str">
        <f aca="false">IF(OR(B101="",NOT(ISNUMBER(D101)),NOT(ISNUMBER(E101))),"",NETWORKDAYS(D101,E101,FERIADOS))</f>
        <v/>
      </c>
      <c r="H101" s="69"/>
      <c r="I101" s="74" t="str">
        <f aca="false">IF(B101="","",IF(ISNUMBER(H101),H101,N(G101)))</f>
        <v/>
      </c>
      <c r="J101" s="64"/>
      <c r="K101" s="64"/>
      <c r="L101" s="93" t="str">
        <f aca="false">IF(NOT(ISNUMBER(D101)),"",DATE(YEAR(D101),MONTH(D101),1))</f>
        <v/>
      </c>
      <c r="M101" s="70" t="str">
        <f aca="false">IF(B101="","",IF(AND(ISNUMBER(D101),ISNUMBER(E101),E101&lt;D101),"⚠ Término anterior al inicio",IF(J101&lt;&gt;"Sí","Pendiente comprobante firmado","OK")))</f>
        <v/>
      </c>
    </row>
    <row r="102" customFormat="false" ht="15" hidden="false" customHeight="false" outlineLevel="0" collapsed="false">
      <c r="B102" s="64"/>
      <c r="C102" s="72" t="str">
        <f aca="false">IF(B102="","",IFERROR(INDEX(T_NOMBRE,MATCH(B102,T_ID,0)),"⚠ ID no existe"))</f>
        <v/>
      </c>
      <c r="D102" s="65"/>
      <c r="E102" s="65"/>
      <c r="F102" s="64"/>
      <c r="G102" s="74" t="str">
        <f aca="false">IF(OR(B102="",NOT(ISNUMBER(D102)),NOT(ISNUMBER(E102))),"",NETWORKDAYS(D102,E102,FERIADOS))</f>
        <v/>
      </c>
      <c r="H102" s="69"/>
      <c r="I102" s="74" t="str">
        <f aca="false">IF(B102="","",IF(ISNUMBER(H102),H102,N(G102)))</f>
        <v/>
      </c>
      <c r="J102" s="64"/>
      <c r="K102" s="64"/>
      <c r="L102" s="93" t="str">
        <f aca="false">IF(NOT(ISNUMBER(D102)),"",DATE(YEAR(D102),MONTH(D102),1))</f>
        <v/>
      </c>
      <c r="M102" s="70" t="str">
        <f aca="false">IF(B102="","",IF(AND(ISNUMBER(D102),ISNUMBER(E102),E102&lt;D102),"⚠ Término anterior al inicio",IF(J102&lt;&gt;"Sí","Pendiente comprobante firmado","OK")))</f>
        <v/>
      </c>
    </row>
    <row r="103" customFormat="false" ht="15" hidden="false" customHeight="false" outlineLevel="0" collapsed="false">
      <c r="B103" s="64"/>
      <c r="C103" s="72" t="str">
        <f aca="false">IF(B103="","",IFERROR(INDEX(T_NOMBRE,MATCH(B103,T_ID,0)),"⚠ ID no existe"))</f>
        <v/>
      </c>
      <c r="D103" s="65"/>
      <c r="E103" s="65"/>
      <c r="F103" s="64"/>
      <c r="G103" s="74" t="str">
        <f aca="false">IF(OR(B103="",NOT(ISNUMBER(D103)),NOT(ISNUMBER(E103))),"",NETWORKDAYS(D103,E103,FERIADOS))</f>
        <v/>
      </c>
      <c r="H103" s="69"/>
      <c r="I103" s="74" t="str">
        <f aca="false">IF(B103="","",IF(ISNUMBER(H103),H103,N(G103)))</f>
        <v/>
      </c>
      <c r="J103" s="64"/>
      <c r="K103" s="64"/>
      <c r="L103" s="93" t="str">
        <f aca="false">IF(NOT(ISNUMBER(D103)),"",DATE(YEAR(D103),MONTH(D103),1))</f>
        <v/>
      </c>
      <c r="M103" s="70" t="str">
        <f aca="false">IF(B103="","",IF(AND(ISNUMBER(D103),ISNUMBER(E103),E103&lt;D103),"⚠ Término anterior al inicio",IF(J103&lt;&gt;"Sí","Pendiente comprobante firmado","OK")))</f>
        <v/>
      </c>
    </row>
    <row r="104" customFormat="false" ht="15" hidden="false" customHeight="false" outlineLevel="0" collapsed="false">
      <c r="B104" s="64"/>
      <c r="C104" s="72" t="str">
        <f aca="false">IF(B104="","",IFERROR(INDEX(T_NOMBRE,MATCH(B104,T_ID,0)),"⚠ ID no existe"))</f>
        <v/>
      </c>
      <c r="D104" s="65"/>
      <c r="E104" s="65"/>
      <c r="F104" s="64"/>
      <c r="G104" s="74" t="str">
        <f aca="false">IF(OR(B104="",NOT(ISNUMBER(D104)),NOT(ISNUMBER(E104))),"",NETWORKDAYS(D104,E104,FERIADOS))</f>
        <v/>
      </c>
      <c r="H104" s="69"/>
      <c r="I104" s="74" t="str">
        <f aca="false">IF(B104="","",IF(ISNUMBER(H104),H104,N(G104)))</f>
        <v/>
      </c>
      <c r="J104" s="64"/>
      <c r="K104" s="64"/>
      <c r="L104" s="93" t="str">
        <f aca="false">IF(NOT(ISNUMBER(D104)),"",DATE(YEAR(D104),MONTH(D104),1))</f>
        <v/>
      </c>
      <c r="M104" s="70" t="str">
        <f aca="false">IF(B104="","",IF(AND(ISNUMBER(D104),ISNUMBER(E104),E104&lt;D104),"⚠ Término anterior al inicio",IF(J104&lt;&gt;"Sí","Pendiente comprobante firmado","OK")))</f>
        <v/>
      </c>
    </row>
    <row r="105" customFormat="false" ht="15" hidden="false" customHeight="false" outlineLevel="0" collapsed="false">
      <c r="B105" s="64"/>
      <c r="C105" s="72" t="str">
        <f aca="false">IF(B105="","",IFERROR(INDEX(T_NOMBRE,MATCH(B105,T_ID,0)),"⚠ ID no existe"))</f>
        <v/>
      </c>
      <c r="D105" s="65"/>
      <c r="E105" s="65"/>
      <c r="F105" s="64"/>
      <c r="G105" s="74" t="str">
        <f aca="false">IF(OR(B105="",NOT(ISNUMBER(D105)),NOT(ISNUMBER(E105))),"",NETWORKDAYS(D105,E105,FERIADOS))</f>
        <v/>
      </c>
      <c r="H105" s="69"/>
      <c r="I105" s="74" t="str">
        <f aca="false">IF(B105="","",IF(ISNUMBER(H105),H105,N(G105)))</f>
        <v/>
      </c>
      <c r="J105" s="64"/>
      <c r="K105" s="64"/>
      <c r="L105" s="93" t="str">
        <f aca="false">IF(NOT(ISNUMBER(D105)),"",DATE(YEAR(D105),MONTH(D105),1))</f>
        <v/>
      </c>
      <c r="M105" s="70" t="str">
        <f aca="false">IF(B105="","",IF(AND(ISNUMBER(D105),ISNUMBER(E105),E105&lt;D105),"⚠ Término anterior al inicio",IF(J105&lt;&gt;"Sí","Pendiente comprobante firmado","OK")))</f>
        <v/>
      </c>
    </row>
    <row r="106" customFormat="false" ht="15" hidden="false" customHeight="false" outlineLevel="0" collapsed="false">
      <c r="B106" s="64"/>
      <c r="C106" s="72" t="str">
        <f aca="false">IF(B106="","",IFERROR(INDEX(T_NOMBRE,MATCH(B106,T_ID,0)),"⚠ ID no existe"))</f>
        <v/>
      </c>
      <c r="D106" s="65"/>
      <c r="E106" s="65"/>
      <c r="F106" s="64"/>
      <c r="G106" s="74" t="str">
        <f aca="false">IF(OR(B106="",NOT(ISNUMBER(D106)),NOT(ISNUMBER(E106))),"",NETWORKDAYS(D106,E106,FERIADOS))</f>
        <v/>
      </c>
      <c r="H106" s="69"/>
      <c r="I106" s="74" t="str">
        <f aca="false">IF(B106="","",IF(ISNUMBER(H106),H106,N(G106)))</f>
        <v/>
      </c>
      <c r="J106" s="64"/>
      <c r="K106" s="64"/>
      <c r="L106" s="93" t="str">
        <f aca="false">IF(NOT(ISNUMBER(D106)),"",DATE(YEAR(D106),MONTH(D106),1))</f>
        <v/>
      </c>
      <c r="M106" s="70" t="str">
        <f aca="false">IF(B106="","",IF(AND(ISNUMBER(D106),ISNUMBER(E106),E106&lt;D106),"⚠ Término anterior al inicio",IF(J106&lt;&gt;"Sí","Pendiente comprobante firmado","OK")))</f>
        <v/>
      </c>
    </row>
    <row r="107" customFormat="false" ht="15" hidden="false" customHeight="false" outlineLevel="0" collapsed="false">
      <c r="B107" s="64"/>
      <c r="C107" s="72" t="str">
        <f aca="false">IF(B107="","",IFERROR(INDEX(T_NOMBRE,MATCH(B107,T_ID,0)),"⚠ ID no existe"))</f>
        <v/>
      </c>
      <c r="D107" s="65"/>
      <c r="E107" s="65"/>
      <c r="F107" s="64"/>
      <c r="G107" s="74" t="str">
        <f aca="false">IF(OR(B107="",NOT(ISNUMBER(D107)),NOT(ISNUMBER(E107))),"",NETWORKDAYS(D107,E107,FERIADOS))</f>
        <v/>
      </c>
      <c r="H107" s="69"/>
      <c r="I107" s="74" t="str">
        <f aca="false">IF(B107="","",IF(ISNUMBER(H107),H107,N(G107)))</f>
        <v/>
      </c>
      <c r="J107" s="64"/>
      <c r="K107" s="64"/>
      <c r="L107" s="93" t="str">
        <f aca="false">IF(NOT(ISNUMBER(D107)),"",DATE(YEAR(D107),MONTH(D107),1))</f>
        <v/>
      </c>
      <c r="M107" s="70" t="str">
        <f aca="false">IF(B107="","",IF(AND(ISNUMBER(D107),ISNUMBER(E107),E107&lt;D107),"⚠ Término anterior al inicio",IF(J107&lt;&gt;"Sí","Pendiente comprobante firmado","OK")))</f>
        <v/>
      </c>
    </row>
    <row r="108" customFormat="false" ht="15" hidden="false" customHeight="false" outlineLevel="0" collapsed="false">
      <c r="B108" s="64"/>
      <c r="C108" s="72" t="str">
        <f aca="false">IF(B108="","",IFERROR(INDEX(T_NOMBRE,MATCH(B108,T_ID,0)),"⚠ ID no existe"))</f>
        <v/>
      </c>
      <c r="D108" s="65"/>
      <c r="E108" s="65"/>
      <c r="F108" s="64"/>
      <c r="G108" s="74" t="str">
        <f aca="false">IF(OR(B108="",NOT(ISNUMBER(D108)),NOT(ISNUMBER(E108))),"",NETWORKDAYS(D108,E108,FERIADOS))</f>
        <v/>
      </c>
      <c r="H108" s="69"/>
      <c r="I108" s="74" t="str">
        <f aca="false">IF(B108="","",IF(ISNUMBER(H108),H108,N(G108)))</f>
        <v/>
      </c>
      <c r="J108" s="64"/>
      <c r="K108" s="64"/>
      <c r="L108" s="93" t="str">
        <f aca="false">IF(NOT(ISNUMBER(D108)),"",DATE(YEAR(D108),MONTH(D108),1))</f>
        <v/>
      </c>
      <c r="M108" s="70" t="str">
        <f aca="false">IF(B108="","",IF(AND(ISNUMBER(D108),ISNUMBER(E108),E108&lt;D108),"⚠ Término anterior al inicio",IF(J108&lt;&gt;"Sí","Pendiente comprobante firmado","OK")))</f>
        <v/>
      </c>
    </row>
    <row r="109" customFormat="false" ht="15" hidden="false" customHeight="false" outlineLevel="0" collapsed="false">
      <c r="B109" s="64"/>
      <c r="C109" s="72" t="str">
        <f aca="false">IF(B109="","",IFERROR(INDEX(T_NOMBRE,MATCH(B109,T_ID,0)),"⚠ ID no existe"))</f>
        <v/>
      </c>
      <c r="D109" s="65"/>
      <c r="E109" s="65"/>
      <c r="F109" s="64"/>
      <c r="G109" s="74" t="str">
        <f aca="false">IF(OR(B109="",NOT(ISNUMBER(D109)),NOT(ISNUMBER(E109))),"",NETWORKDAYS(D109,E109,FERIADOS))</f>
        <v/>
      </c>
      <c r="H109" s="69"/>
      <c r="I109" s="74" t="str">
        <f aca="false">IF(B109="","",IF(ISNUMBER(H109),H109,N(G109)))</f>
        <v/>
      </c>
      <c r="J109" s="64"/>
      <c r="K109" s="64"/>
      <c r="L109" s="93" t="str">
        <f aca="false">IF(NOT(ISNUMBER(D109)),"",DATE(YEAR(D109),MONTH(D109),1))</f>
        <v/>
      </c>
      <c r="M109" s="70" t="str">
        <f aca="false">IF(B109="","",IF(AND(ISNUMBER(D109),ISNUMBER(E109),E109&lt;D109),"⚠ Término anterior al inicio",IF(J109&lt;&gt;"Sí","Pendiente comprobante firmado","OK")))</f>
        <v/>
      </c>
    </row>
    <row r="110" customFormat="false" ht="15" hidden="false" customHeight="false" outlineLevel="0" collapsed="false">
      <c r="B110" s="64"/>
      <c r="C110" s="72" t="str">
        <f aca="false">IF(B110="","",IFERROR(INDEX(T_NOMBRE,MATCH(B110,T_ID,0)),"⚠ ID no existe"))</f>
        <v/>
      </c>
      <c r="D110" s="65"/>
      <c r="E110" s="65"/>
      <c r="F110" s="64"/>
      <c r="G110" s="74" t="str">
        <f aca="false">IF(OR(B110="",NOT(ISNUMBER(D110)),NOT(ISNUMBER(E110))),"",NETWORKDAYS(D110,E110,FERIADOS))</f>
        <v/>
      </c>
      <c r="H110" s="69"/>
      <c r="I110" s="74" t="str">
        <f aca="false">IF(B110="","",IF(ISNUMBER(H110),H110,N(G110)))</f>
        <v/>
      </c>
      <c r="J110" s="64"/>
      <c r="K110" s="64"/>
      <c r="L110" s="93" t="str">
        <f aca="false">IF(NOT(ISNUMBER(D110)),"",DATE(YEAR(D110),MONTH(D110),1))</f>
        <v/>
      </c>
      <c r="M110" s="70" t="str">
        <f aca="false">IF(B110="","",IF(AND(ISNUMBER(D110),ISNUMBER(E110),E110&lt;D110),"⚠ Término anterior al inicio",IF(J110&lt;&gt;"Sí","Pendiente comprobante firmado","OK")))</f>
        <v/>
      </c>
    </row>
    <row r="111" customFormat="false" ht="15" hidden="false" customHeight="false" outlineLevel="0" collapsed="false">
      <c r="B111" s="64"/>
      <c r="C111" s="72" t="str">
        <f aca="false">IF(B111="","",IFERROR(INDEX(T_NOMBRE,MATCH(B111,T_ID,0)),"⚠ ID no existe"))</f>
        <v/>
      </c>
      <c r="D111" s="65"/>
      <c r="E111" s="65"/>
      <c r="F111" s="64"/>
      <c r="G111" s="74" t="str">
        <f aca="false">IF(OR(B111="",NOT(ISNUMBER(D111)),NOT(ISNUMBER(E111))),"",NETWORKDAYS(D111,E111,FERIADOS))</f>
        <v/>
      </c>
      <c r="H111" s="69"/>
      <c r="I111" s="74" t="str">
        <f aca="false">IF(B111="","",IF(ISNUMBER(H111),H111,N(G111)))</f>
        <v/>
      </c>
      <c r="J111" s="64"/>
      <c r="K111" s="64"/>
      <c r="L111" s="93" t="str">
        <f aca="false">IF(NOT(ISNUMBER(D111)),"",DATE(YEAR(D111),MONTH(D111),1))</f>
        <v/>
      </c>
      <c r="M111" s="70" t="str">
        <f aca="false">IF(B111="","",IF(AND(ISNUMBER(D111),ISNUMBER(E111),E111&lt;D111),"⚠ Término anterior al inicio",IF(J111&lt;&gt;"Sí","Pendiente comprobante firmado","OK")))</f>
        <v/>
      </c>
    </row>
    <row r="112" customFormat="false" ht="15" hidden="false" customHeight="false" outlineLevel="0" collapsed="false">
      <c r="B112" s="64"/>
      <c r="C112" s="72" t="str">
        <f aca="false">IF(B112="","",IFERROR(INDEX(T_NOMBRE,MATCH(B112,T_ID,0)),"⚠ ID no existe"))</f>
        <v/>
      </c>
      <c r="D112" s="65"/>
      <c r="E112" s="65"/>
      <c r="F112" s="64"/>
      <c r="G112" s="74" t="str">
        <f aca="false">IF(OR(B112="",NOT(ISNUMBER(D112)),NOT(ISNUMBER(E112))),"",NETWORKDAYS(D112,E112,FERIADOS))</f>
        <v/>
      </c>
      <c r="H112" s="69"/>
      <c r="I112" s="74" t="str">
        <f aca="false">IF(B112="","",IF(ISNUMBER(H112),H112,N(G112)))</f>
        <v/>
      </c>
      <c r="J112" s="64"/>
      <c r="K112" s="64"/>
      <c r="L112" s="93" t="str">
        <f aca="false">IF(NOT(ISNUMBER(D112)),"",DATE(YEAR(D112),MONTH(D112),1))</f>
        <v/>
      </c>
      <c r="M112" s="70" t="str">
        <f aca="false">IF(B112="","",IF(AND(ISNUMBER(D112),ISNUMBER(E112),E112&lt;D112),"⚠ Término anterior al inicio",IF(J112&lt;&gt;"Sí","Pendiente comprobante firmado","OK")))</f>
        <v/>
      </c>
    </row>
    <row r="113" customFormat="false" ht="15" hidden="false" customHeight="false" outlineLevel="0" collapsed="false">
      <c r="B113" s="64"/>
      <c r="C113" s="72" t="str">
        <f aca="false">IF(B113="","",IFERROR(INDEX(T_NOMBRE,MATCH(B113,T_ID,0)),"⚠ ID no existe"))</f>
        <v/>
      </c>
      <c r="D113" s="65"/>
      <c r="E113" s="65"/>
      <c r="F113" s="64"/>
      <c r="G113" s="74" t="str">
        <f aca="false">IF(OR(B113="",NOT(ISNUMBER(D113)),NOT(ISNUMBER(E113))),"",NETWORKDAYS(D113,E113,FERIADOS))</f>
        <v/>
      </c>
      <c r="H113" s="69"/>
      <c r="I113" s="74" t="str">
        <f aca="false">IF(B113="","",IF(ISNUMBER(H113),H113,N(G113)))</f>
        <v/>
      </c>
      <c r="J113" s="64"/>
      <c r="K113" s="64"/>
      <c r="L113" s="93" t="str">
        <f aca="false">IF(NOT(ISNUMBER(D113)),"",DATE(YEAR(D113),MONTH(D113),1))</f>
        <v/>
      </c>
      <c r="M113" s="70" t="str">
        <f aca="false">IF(B113="","",IF(AND(ISNUMBER(D113),ISNUMBER(E113),E113&lt;D113),"⚠ Término anterior al inicio",IF(J113&lt;&gt;"Sí","Pendiente comprobante firmado","OK")))</f>
        <v/>
      </c>
    </row>
    <row r="114" customFormat="false" ht="15" hidden="false" customHeight="false" outlineLevel="0" collapsed="false">
      <c r="B114" s="64"/>
      <c r="C114" s="72" t="str">
        <f aca="false">IF(B114="","",IFERROR(INDEX(T_NOMBRE,MATCH(B114,T_ID,0)),"⚠ ID no existe"))</f>
        <v/>
      </c>
      <c r="D114" s="65"/>
      <c r="E114" s="65"/>
      <c r="F114" s="64"/>
      <c r="G114" s="74" t="str">
        <f aca="false">IF(OR(B114="",NOT(ISNUMBER(D114)),NOT(ISNUMBER(E114))),"",NETWORKDAYS(D114,E114,FERIADOS))</f>
        <v/>
      </c>
      <c r="H114" s="69"/>
      <c r="I114" s="74" t="str">
        <f aca="false">IF(B114="","",IF(ISNUMBER(H114),H114,N(G114)))</f>
        <v/>
      </c>
      <c r="J114" s="64"/>
      <c r="K114" s="64"/>
      <c r="L114" s="93" t="str">
        <f aca="false">IF(NOT(ISNUMBER(D114)),"",DATE(YEAR(D114),MONTH(D114),1))</f>
        <v/>
      </c>
      <c r="M114" s="70" t="str">
        <f aca="false">IF(B114="","",IF(AND(ISNUMBER(D114),ISNUMBER(E114),E114&lt;D114),"⚠ Término anterior al inicio",IF(J114&lt;&gt;"Sí","Pendiente comprobante firmado","OK")))</f>
        <v/>
      </c>
    </row>
    <row r="115" customFormat="false" ht="15" hidden="false" customHeight="false" outlineLevel="0" collapsed="false">
      <c r="B115" s="64"/>
      <c r="C115" s="72" t="str">
        <f aca="false">IF(B115="","",IFERROR(INDEX(T_NOMBRE,MATCH(B115,T_ID,0)),"⚠ ID no existe"))</f>
        <v/>
      </c>
      <c r="D115" s="65"/>
      <c r="E115" s="65"/>
      <c r="F115" s="64"/>
      <c r="G115" s="74" t="str">
        <f aca="false">IF(OR(B115="",NOT(ISNUMBER(D115)),NOT(ISNUMBER(E115))),"",NETWORKDAYS(D115,E115,FERIADOS))</f>
        <v/>
      </c>
      <c r="H115" s="69"/>
      <c r="I115" s="74" t="str">
        <f aca="false">IF(B115="","",IF(ISNUMBER(H115),H115,N(G115)))</f>
        <v/>
      </c>
      <c r="J115" s="64"/>
      <c r="K115" s="64"/>
      <c r="L115" s="93" t="str">
        <f aca="false">IF(NOT(ISNUMBER(D115)),"",DATE(YEAR(D115),MONTH(D115),1))</f>
        <v/>
      </c>
      <c r="M115" s="70" t="str">
        <f aca="false">IF(B115="","",IF(AND(ISNUMBER(D115),ISNUMBER(E115),E115&lt;D115),"⚠ Término anterior al inicio",IF(J115&lt;&gt;"Sí","Pendiente comprobante firmado","OK")))</f>
        <v/>
      </c>
    </row>
    <row r="116" customFormat="false" ht="15" hidden="false" customHeight="false" outlineLevel="0" collapsed="false">
      <c r="B116" s="64"/>
      <c r="C116" s="72" t="str">
        <f aca="false">IF(B116="","",IFERROR(INDEX(T_NOMBRE,MATCH(B116,T_ID,0)),"⚠ ID no existe"))</f>
        <v/>
      </c>
      <c r="D116" s="65"/>
      <c r="E116" s="65"/>
      <c r="F116" s="64"/>
      <c r="G116" s="74" t="str">
        <f aca="false">IF(OR(B116="",NOT(ISNUMBER(D116)),NOT(ISNUMBER(E116))),"",NETWORKDAYS(D116,E116,FERIADOS))</f>
        <v/>
      </c>
      <c r="H116" s="69"/>
      <c r="I116" s="74" t="str">
        <f aca="false">IF(B116="","",IF(ISNUMBER(H116),H116,N(G116)))</f>
        <v/>
      </c>
      <c r="J116" s="64"/>
      <c r="K116" s="64"/>
      <c r="L116" s="93" t="str">
        <f aca="false">IF(NOT(ISNUMBER(D116)),"",DATE(YEAR(D116),MONTH(D116),1))</f>
        <v/>
      </c>
      <c r="M116" s="70" t="str">
        <f aca="false">IF(B116="","",IF(AND(ISNUMBER(D116),ISNUMBER(E116),E116&lt;D116),"⚠ Término anterior al inicio",IF(J116&lt;&gt;"Sí","Pendiente comprobante firmado","OK")))</f>
        <v/>
      </c>
    </row>
    <row r="117" customFormat="false" ht="15" hidden="false" customHeight="false" outlineLevel="0" collapsed="false">
      <c r="B117" s="64"/>
      <c r="C117" s="72" t="str">
        <f aca="false">IF(B117="","",IFERROR(INDEX(T_NOMBRE,MATCH(B117,T_ID,0)),"⚠ ID no existe"))</f>
        <v/>
      </c>
      <c r="D117" s="65"/>
      <c r="E117" s="65"/>
      <c r="F117" s="64"/>
      <c r="G117" s="74" t="str">
        <f aca="false">IF(OR(B117="",NOT(ISNUMBER(D117)),NOT(ISNUMBER(E117))),"",NETWORKDAYS(D117,E117,FERIADOS))</f>
        <v/>
      </c>
      <c r="H117" s="69"/>
      <c r="I117" s="74" t="str">
        <f aca="false">IF(B117="","",IF(ISNUMBER(H117),H117,N(G117)))</f>
        <v/>
      </c>
      <c r="J117" s="64"/>
      <c r="K117" s="64"/>
      <c r="L117" s="93" t="str">
        <f aca="false">IF(NOT(ISNUMBER(D117)),"",DATE(YEAR(D117),MONTH(D117),1))</f>
        <v/>
      </c>
      <c r="M117" s="70" t="str">
        <f aca="false">IF(B117="","",IF(AND(ISNUMBER(D117),ISNUMBER(E117),E117&lt;D117),"⚠ Término anterior al inicio",IF(J117&lt;&gt;"Sí","Pendiente comprobante firmado","OK")))</f>
        <v/>
      </c>
    </row>
    <row r="118" customFormat="false" ht="15" hidden="false" customHeight="false" outlineLevel="0" collapsed="false">
      <c r="B118" s="64"/>
      <c r="C118" s="72" t="str">
        <f aca="false">IF(B118="","",IFERROR(INDEX(T_NOMBRE,MATCH(B118,T_ID,0)),"⚠ ID no existe"))</f>
        <v/>
      </c>
      <c r="D118" s="65"/>
      <c r="E118" s="65"/>
      <c r="F118" s="64"/>
      <c r="G118" s="74" t="str">
        <f aca="false">IF(OR(B118="",NOT(ISNUMBER(D118)),NOT(ISNUMBER(E118))),"",NETWORKDAYS(D118,E118,FERIADOS))</f>
        <v/>
      </c>
      <c r="H118" s="69"/>
      <c r="I118" s="74" t="str">
        <f aca="false">IF(B118="","",IF(ISNUMBER(H118),H118,N(G118)))</f>
        <v/>
      </c>
      <c r="J118" s="64"/>
      <c r="K118" s="64"/>
      <c r="L118" s="93" t="str">
        <f aca="false">IF(NOT(ISNUMBER(D118)),"",DATE(YEAR(D118),MONTH(D118),1))</f>
        <v/>
      </c>
      <c r="M118" s="70" t="str">
        <f aca="false">IF(B118="","",IF(AND(ISNUMBER(D118),ISNUMBER(E118),E118&lt;D118),"⚠ Término anterior al inicio",IF(J118&lt;&gt;"Sí","Pendiente comprobante firmado","OK")))</f>
        <v/>
      </c>
    </row>
    <row r="119" customFormat="false" ht="15" hidden="false" customHeight="false" outlineLevel="0" collapsed="false">
      <c r="B119" s="64"/>
      <c r="C119" s="72" t="str">
        <f aca="false">IF(B119="","",IFERROR(INDEX(T_NOMBRE,MATCH(B119,T_ID,0)),"⚠ ID no existe"))</f>
        <v/>
      </c>
      <c r="D119" s="65"/>
      <c r="E119" s="65"/>
      <c r="F119" s="64"/>
      <c r="G119" s="74" t="str">
        <f aca="false">IF(OR(B119="",NOT(ISNUMBER(D119)),NOT(ISNUMBER(E119))),"",NETWORKDAYS(D119,E119,FERIADOS))</f>
        <v/>
      </c>
      <c r="H119" s="69"/>
      <c r="I119" s="74" t="str">
        <f aca="false">IF(B119="","",IF(ISNUMBER(H119),H119,N(G119)))</f>
        <v/>
      </c>
      <c r="J119" s="64"/>
      <c r="K119" s="64"/>
      <c r="L119" s="93" t="str">
        <f aca="false">IF(NOT(ISNUMBER(D119)),"",DATE(YEAR(D119),MONTH(D119),1))</f>
        <v/>
      </c>
      <c r="M119" s="70" t="str">
        <f aca="false">IF(B119="","",IF(AND(ISNUMBER(D119),ISNUMBER(E119),E119&lt;D119),"⚠ Término anterior al inicio",IF(J119&lt;&gt;"Sí","Pendiente comprobante firmado","OK")))</f>
        <v/>
      </c>
    </row>
    <row r="120" customFormat="false" ht="15" hidden="false" customHeight="false" outlineLevel="0" collapsed="false">
      <c r="B120" s="64"/>
      <c r="C120" s="72" t="str">
        <f aca="false">IF(B120="","",IFERROR(INDEX(T_NOMBRE,MATCH(B120,T_ID,0)),"⚠ ID no existe"))</f>
        <v/>
      </c>
      <c r="D120" s="65"/>
      <c r="E120" s="65"/>
      <c r="F120" s="64"/>
      <c r="G120" s="74" t="str">
        <f aca="false">IF(OR(B120="",NOT(ISNUMBER(D120)),NOT(ISNUMBER(E120))),"",NETWORKDAYS(D120,E120,FERIADOS))</f>
        <v/>
      </c>
      <c r="H120" s="69"/>
      <c r="I120" s="74" t="str">
        <f aca="false">IF(B120="","",IF(ISNUMBER(H120),H120,N(G120)))</f>
        <v/>
      </c>
      <c r="J120" s="64"/>
      <c r="K120" s="64"/>
      <c r="L120" s="93" t="str">
        <f aca="false">IF(NOT(ISNUMBER(D120)),"",DATE(YEAR(D120),MONTH(D120),1))</f>
        <v/>
      </c>
      <c r="M120" s="70" t="str">
        <f aca="false">IF(B120="","",IF(AND(ISNUMBER(D120),ISNUMBER(E120),E120&lt;D120),"⚠ Término anterior al inicio",IF(J120&lt;&gt;"Sí","Pendiente comprobante firmado","OK")))</f>
        <v/>
      </c>
    </row>
    <row r="121" customFormat="false" ht="15" hidden="false" customHeight="false" outlineLevel="0" collapsed="false">
      <c r="B121" s="64"/>
      <c r="C121" s="72" t="str">
        <f aca="false">IF(B121="","",IFERROR(INDEX(T_NOMBRE,MATCH(B121,T_ID,0)),"⚠ ID no existe"))</f>
        <v/>
      </c>
      <c r="D121" s="65"/>
      <c r="E121" s="65"/>
      <c r="F121" s="64"/>
      <c r="G121" s="74" t="str">
        <f aca="false">IF(OR(B121="",NOT(ISNUMBER(D121)),NOT(ISNUMBER(E121))),"",NETWORKDAYS(D121,E121,FERIADOS))</f>
        <v/>
      </c>
      <c r="H121" s="69"/>
      <c r="I121" s="74" t="str">
        <f aca="false">IF(B121="","",IF(ISNUMBER(H121),H121,N(G121)))</f>
        <v/>
      </c>
      <c r="J121" s="64"/>
      <c r="K121" s="64"/>
      <c r="L121" s="93" t="str">
        <f aca="false">IF(NOT(ISNUMBER(D121)),"",DATE(YEAR(D121),MONTH(D121),1))</f>
        <v/>
      </c>
      <c r="M121" s="70" t="str">
        <f aca="false">IF(B121="","",IF(AND(ISNUMBER(D121),ISNUMBER(E121),E121&lt;D121),"⚠ Término anterior al inicio",IF(J121&lt;&gt;"Sí","Pendiente comprobante firmado","OK")))</f>
        <v/>
      </c>
    </row>
    <row r="122" customFormat="false" ht="15" hidden="false" customHeight="false" outlineLevel="0" collapsed="false">
      <c r="B122" s="64"/>
      <c r="C122" s="72" t="str">
        <f aca="false">IF(B122="","",IFERROR(INDEX(T_NOMBRE,MATCH(B122,T_ID,0)),"⚠ ID no existe"))</f>
        <v/>
      </c>
      <c r="D122" s="65"/>
      <c r="E122" s="65"/>
      <c r="F122" s="64"/>
      <c r="G122" s="74" t="str">
        <f aca="false">IF(OR(B122="",NOT(ISNUMBER(D122)),NOT(ISNUMBER(E122))),"",NETWORKDAYS(D122,E122,FERIADOS))</f>
        <v/>
      </c>
      <c r="H122" s="69"/>
      <c r="I122" s="74" t="str">
        <f aca="false">IF(B122="","",IF(ISNUMBER(H122),H122,N(G122)))</f>
        <v/>
      </c>
      <c r="J122" s="64"/>
      <c r="K122" s="64"/>
      <c r="L122" s="93" t="str">
        <f aca="false">IF(NOT(ISNUMBER(D122)),"",DATE(YEAR(D122),MONTH(D122),1))</f>
        <v/>
      </c>
      <c r="M122" s="70" t="str">
        <f aca="false">IF(B122="","",IF(AND(ISNUMBER(D122),ISNUMBER(E122),E122&lt;D122),"⚠ Término anterior al inicio",IF(J122&lt;&gt;"Sí","Pendiente comprobante firmado","OK")))</f>
        <v/>
      </c>
    </row>
    <row r="123" customFormat="false" ht="15" hidden="false" customHeight="false" outlineLevel="0" collapsed="false">
      <c r="B123" s="64"/>
      <c r="C123" s="72" t="str">
        <f aca="false">IF(B123="","",IFERROR(INDEX(T_NOMBRE,MATCH(B123,T_ID,0)),"⚠ ID no existe"))</f>
        <v/>
      </c>
      <c r="D123" s="65"/>
      <c r="E123" s="65"/>
      <c r="F123" s="64"/>
      <c r="G123" s="74" t="str">
        <f aca="false">IF(OR(B123="",NOT(ISNUMBER(D123)),NOT(ISNUMBER(E123))),"",NETWORKDAYS(D123,E123,FERIADOS))</f>
        <v/>
      </c>
      <c r="H123" s="69"/>
      <c r="I123" s="74" t="str">
        <f aca="false">IF(B123="","",IF(ISNUMBER(H123),H123,N(G123)))</f>
        <v/>
      </c>
      <c r="J123" s="64"/>
      <c r="K123" s="64"/>
      <c r="L123" s="93" t="str">
        <f aca="false">IF(NOT(ISNUMBER(D123)),"",DATE(YEAR(D123),MONTH(D123),1))</f>
        <v/>
      </c>
      <c r="M123" s="70" t="str">
        <f aca="false">IF(B123="","",IF(AND(ISNUMBER(D123),ISNUMBER(E123),E123&lt;D123),"⚠ Término anterior al inicio",IF(J123&lt;&gt;"Sí","Pendiente comprobante firmado","OK")))</f>
        <v/>
      </c>
    </row>
    <row r="124" customFormat="false" ht="15" hidden="false" customHeight="false" outlineLevel="0" collapsed="false">
      <c r="B124" s="64"/>
      <c r="C124" s="72" t="str">
        <f aca="false">IF(B124="","",IFERROR(INDEX(T_NOMBRE,MATCH(B124,T_ID,0)),"⚠ ID no existe"))</f>
        <v/>
      </c>
      <c r="D124" s="65"/>
      <c r="E124" s="65"/>
      <c r="F124" s="64"/>
      <c r="G124" s="74" t="str">
        <f aca="false">IF(OR(B124="",NOT(ISNUMBER(D124)),NOT(ISNUMBER(E124))),"",NETWORKDAYS(D124,E124,FERIADOS))</f>
        <v/>
      </c>
      <c r="H124" s="69"/>
      <c r="I124" s="74" t="str">
        <f aca="false">IF(B124="","",IF(ISNUMBER(H124),H124,N(G124)))</f>
        <v/>
      </c>
      <c r="J124" s="64"/>
      <c r="K124" s="64"/>
      <c r="L124" s="93" t="str">
        <f aca="false">IF(NOT(ISNUMBER(D124)),"",DATE(YEAR(D124),MONTH(D124),1))</f>
        <v/>
      </c>
      <c r="M124" s="70" t="str">
        <f aca="false">IF(B124="","",IF(AND(ISNUMBER(D124),ISNUMBER(E124),E124&lt;D124),"⚠ Término anterior al inicio",IF(J124&lt;&gt;"Sí","Pendiente comprobante firmado","OK")))</f>
        <v/>
      </c>
    </row>
    <row r="125" customFormat="false" ht="15" hidden="false" customHeight="false" outlineLevel="0" collapsed="false">
      <c r="B125" s="64"/>
      <c r="C125" s="72" t="str">
        <f aca="false">IF(B125="","",IFERROR(INDEX(T_NOMBRE,MATCH(B125,T_ID,0)),"⚠ ID no existe"))</f>
        <v/>
      </c>
      <c r="D125" s="65"/>
      <c r="E125" s="65"/>
      <c r="F125" s="64"/>
      <c r="G125" s="74" t="str">
        <f aca="false">IF(OR(B125="",NOT(ISNUMBER(D125)),NOT(ISNUMBER(E125))),"",NETWORKDAYS(D125,E125,FERIADOS))</f>
        <v/>
      </c>
      <c r="H125" s="69"/>
      <c r="I125" s="74" t="str">
        <f aca="false">IF(B125="","",IF(ISNUMBER(H125),H125,N(G125)))</f>
        <v/>
      </c>
      <c r="J125" s="64"/>
      <c r="K125" s="64"/>
      <c r="L125" s="93" t="str">
        <f aca="false">IF(NOT(ISNUMBER(D125)),"",DATE(YEAR(D125),MONTH(D125),1))</f>
        <v/>
      </c>
      <c r="M125" s="70" t="str">
        <f aca="false">IF(B125="","",IF(AND(ISNUMBER(D125),ISNUMBER(E125),E125&lt;D125),"⚠ Término anterior al inicio",IF(J125&lt;&gt;"Sí","Pendiente comprobante firmado","OK")))</f>
        <v/>
      </c>
    </row>
    <row r="126" customFormat="false" ht="15" hidden="false" customHeight="false" outlineLevel="0" collapsed="false">
      <c r="B126" s="64"/>
      <c r="C126" s="72" t="str">
        <f aca="false">IF(B126="","",IFERROR(INDEX(T_NOMBRE,MATCH(B126,T_ID,0)),"⚠ ID no existe"))</f>
        <v/>
      </c>
      <c r="D126" s="65"/>
      <c r="E126" s="65"/>
      <c r="F126" s="64"/>
      <c r="G126" s="74" t="str">
        <f aca="false">IF(OR(B126="",NOT(ISNUMBER(D126)),NOT(ISNUMBER(E126))),"",NETWORKDAYS(D126,E126,FERIADOS))</f>
        <v/>
      </c>
      <c r="H126" s="69"/>
      <c r="I126" s="74" t="str">
        <f aca="false">IF(B126="","",IF(ISNUMBER(H126),H126,N(G126)))</f>
        <v/>
      </c>
      <c r="J126" s="64"/>
      <c r="K126" s="64"/>
      <c r="L126" s="93" t="str">
        <f aca="false">IF(NOT(ISNUMBER(D126)),"",DATE(YEAR(D126),MONTH(D126),1))</f>
        <v/>
      </c>
      <c r="M126" s="70" t="str">
        <f aca="false">IF(B126="","",IF(AND(ISNUMBER(D126),ISNUMBER(E126),E126&lt;D126),"⚠ Término anterior al inicio",IF(J126&lt;&gt;"Sí","Pendiente comprobante firmado","OK")))</f>
        <v/>
      </c>
    </row>
    <row r="127" customFormat="false" ht="15" hidden="false" customHeight="false" outlineLevel="0" collapsed="false">
      <c r="B127" s="64"/>
      <c r="C127" s="72" t="str">
        <f aca="false">IF(B127="","",IFERROR(INDEX(T_NOMBRE,MATCH(B127,T_ID,0)),"⚠ ID no existe"))</f>
        <v/>
      </c>
      <c r="D127" s="65"/>
      <c r="E127" s="65"/>
      <c r="F127" s="64"/>
      <c r="G127" s="74" t="str">
        <f aca="false">IF(OR(B127="",NOT(ISNUMBER(D127)),NOT(ISNUMBER(E127))),"",NETWORKDAYS(D127,E127,FERIADOS))</f>
        <v/>
      </c>
      <c r="H127" s="69"/>
      <c r="I127" s="74" t="str">
        <f aca="false">IF(B127="","",IF(ISNUMBER(H127),H127,N(G127)))</f>
        <v/>
      </c>
      <c r="J127" s="64"/>
      <c r="K127" s="64"/>
      <c r="L127" s="93" t="str">
        <f aca="false">IF(NOT(ISNUMBER(D127)),"",DATE(YEAR(D127),MONTH(D127),1))</f>
        <v/>
      </c>
      <c r="M127" s="70" t="str">
        <f aca="false">IF(B127="","",IF(AND(ISNUMBER(D127),ISNUMBER(E127),E127&lt;D127),"⚠ Término anterior al inicio",IF(J127&lt;&gt;"Sí","Pendiente comprobante firmado","OK")))</f>
        <v/>
      </c>
    </row>
    <row r="128" customFormat="false" ht="15" hidden="false" customHeight="false" outlineLevel="0" collapsed="false">
      <c r="B128" s="64"/>
      <c r="C128" s="72" t="str">
        <f aca="false">IF(B128="","",IFERROR(INDEX(T_NOMBRE,MATCH(B128,T_ID,0)),"⚠ ID no existe"))</f>
        <v/>
      </c>
      <c r="D128" s="65"/>
      <c r="E128" s="65"/>
      <c r="F128" s="64"/>
      <c r="G128" s="74" t="str">
        <f aca="false">IF(OR(B128="",NOT(ISNUMBER(D128)),NOT(ISNUMBER(E128))),"",NETWORKDAYS(D128,E128,FERIADOS))</f>
        <v/>
      </c>
      <c r="H128" s="69"/>
      <c r="I128" s="74" t="str">
        <f aca="false">IF(B128="","",IF(ISNUMBER(H128),H128,N(G128)))</f>
        <v/>
      </c>
      <c r="J128" s="64"/>
      <c r="K128" s="64"/>
      <c r="L128" s="93" t="str">
        <f aca="false">IF(NOT(ISNUMBER(D128)),"",DATE(YEAR(D128),MONTH(D128),1))</f>
        <v/>
      </c>
      <c r="M128" s="70" t="str">
        <f aca="false">IF(B128="","",IF(AND(ISNUMBER(D128),ISNUMBER(E128),E128&lt;D128),"⚠ Término anterior al inicio",IF(J128&lt;&gt;"Sí","Pendiente comprobante firmado","OK")))</f>
        <v/>
      </c>
    </row>
    <row r="129" customFormat="false" ht="15" hidden="false" customHeight="false" outlineLevel="0" collapsed="false">
      <c r="B129" s="64"/>
      <c r="C129" s="72" t="str">
        <f aca="false">IF(B129="","",IFERROR(INDEX(T_NOMBRE,MATCH(B129,T_ID,0)),"⚠ ID no existe"))</f>
        <v/>
      </c>
      <c r="D129" s="65"/>
      <c r="E129" s="65"/>
      <c r="F129" s="64"/>
      <c r="G129" s="74" t="str">
        <f aca="false">IF(OR(B129="",NOT(ISNUMBER(D129)),NOT(ISNUMBER(E129))),"",NETWORKDAYS(D129,E129,FERIADOS))</f>
        <v/>
      </c>
      <c r="H129" s="69"/>
      <c r="I129" s="74" t="str">
        <f aca="false">IF(B129="","",IF(ISNUMBER(H129),H129,N(G129)))</f>
        <v/>
      </c>
      <c r="J129" s="64"/>
      <c r="K129" s="64"/>
      <c r="L129" s="93" t="str">
        <f aca="false">IF(NOT(ISNUMBER(D129)),"",DATE(YEAR(D129),MONTH(D129),1))</f>
        <v/>
      </c>
      <c r="M129" s="70" t="str">
        <f aca="false">IF(B129="","",IF(AND(ISNUMBER(D129),ISNUMBER(E129),E129&lt;D129),"⚠ Término anterior al inicio",IF(J129&lt;&gt;"Sí","Pendiente comprobante firmado","OK")))</f>
        <v/>
      </c>
    </row>
    <row r="130" customFormat="false" ht="15" hidden="false" customHeight="false" outlineLevel="0" collapsed="false">
      <c r="B130" s="64"/>
      <c r="C130" s="72" t="str">
        <f aca="false">IF(B130="","",IFERROR(INDEX(T_NOMBRE,MATCH(B130,T_ID,0)),"⚠ ID no existe"))</f>
        <v/>
      </c>
      <c r="D130" s="65"/>
      <c r="E130" s="65"/>
      <c r="F130" s="64"/>
      <c r="G130" s="74" t="str">
        <f aca="false">IF(OR(B130="",NOT(ISNUMBER(D130)),NOT(ISNUMBER(E130))),"",NETWORKDAYS(D130,E130,FERIADOS))</f>
        <v/>
      </c>
      <c r="H130" s="69"/>
      <c r="I130" s="74" t="str">
        <f aca="false">IF(B130="","",IF(ISNUMBER(H130),H130,N(G130)))</f>
        <v/>
      </c>
      <c r="J130" s="64"/>
      <c r="K130" s="64"/>
      <c r="L130" s="93" t="str">
        <f aca="false">IF(NOT(ISNUMBER(D130)),"",DATE(YEAR(D130),MONTH(D130),1))</f>
        <v/>
      </c>
      <c r="M130" s="70" t="str">
        <f aca="false">IF(B130="","",IF(AND(ISNUMBER(D130),ISNUMBER(E130),E130&lt;D130),"⚠ Término anterior al inicio",IF(J130&lt;&gt;"Sí","Pendiente comprobante firmado","OK")))</f>
        <v/>
      </c>
    </row>
    <row r="131" customFormat="false" ht="15" hidden="false" customHeight="false" outlineLevel="0" collapsed="false">
      <c r="B131" s="64"/>
      <c r="C131" s="72" t="str">
        <f aca="false">IF(B131="","",IFERROR(INDEX(T_NOMBRE,MATCH(B131,T_ID,0)),"⚠ ID no existe"))</f>
        <v/>
      </c>
      <c r="D131" s="65"/>
      <c r="E131" s="65"/>
      <c r="F131" s="64"/>
      <c r="G131" s="74" t="str">
        <f aca="false">IF(OR(B131="",NOT(ISNUMBER(D131)),NOT(ISNUMBER(E131))),"",NETWORKDAYS(D131,E131,FERIADOS))</f>
        <v/>
      </c>
      <c r="H131" s="69"/>
      <c r="I131" s="74" t="str">
        <f aca="false">IF(B131="","",IF(ISNUMBER(H131),H131,N(G131)))</f>
        <v/>
      </c>
      <c r="J131" s="64"/>
      <c r="K131" s="64"/>
      <c r="L131" s="93" t="str">
        <f aca="false">IF(NOT(ISNUMBER(D131)),"",DATE(YEAR(D131),MONTH(D131),1))</f>
        <v/>
      </c>
      <c r="M131" s="70" t="str">
        <f aca="false">IF(B131="","",IF(AND(ISNUMBER(D131),ISNUMBER(E131),E131&lt;D131),"⚠ Término anterior al inicio",IF(J131&lt;&gt;"Sí","Pendiente comprobante firmado","OK")))</f>
        <v/>
      </c>
    </row>
    <row r="132" customFormat="false" ht="15" hidden="false" customHeight="false" outlineLevel="0" collapsed="false">
      <c r="B132" s="64"/>
      <c r="C132" s="72" t="str">
        <f aca="false">IF(B132="","",IFERROR(INDEX(T_NOMBRE,MATCH(B132,T_ID,0)),"⚠ ID no existe"))</f>
        <v/>
      </c>
      <c r="D132" s="65"/>
      <c r="E132" s="65"/>
      <c r="F132" s="64"/>
      <c r="G132" s="74" t="str">
        <f aca="false">IF(OR(B132="",NOT(ISNUMBER(D132)),NOT(ISNUMBER(E132))),"",NETWORKDAYS(D132,E132,FERIADOS))</f>
        <v/>
      </c>
      <c r="H132" s="69"/>
      <c r="I132" s="74" t="str">
        <f aca="false">IF(B132="","",IF(ISNUMBER(H132),H132,N(G132)))</f>
        <v/>
      </c>
      <c r="J132" s="64"/>
      <c r="K132" s="64"/>
      <c r="L132" s="93" t="str">
        <f aca="false">IF(NOT(ISNUMBER(D132)),"",DATE(YEAR(D132),MONTH(D132),1))</f>
        <v/>
      </c>
      <c r="M132" s="70" t="str">
        <f aca="false">IF(B132="","",IF(AND(ISNUMBER(D132),ISNUMBER(E132),E132&lt;D132),"⚠ Término anterior al inicio",IF(J132&lt;&gt;"Sí","Pendiente comprobante firmado","OK")))</f>
        <v/>
      </c>
    </row>
    <row r="133" customFormat="false" ht="15" hidden="false" customHeight="false" outlineLevel="0" collapsed="false">
      <c r="B133" s="64"/>
      <c r="C133" s="72" t="str">
        <f aca="false">IF(B133="","",IFERROR(INDEX(T_NOMBRE,MATCH(B133,T_ID,0)),"⚠ ID no existe"))</f>
        <v/>
      </c>
      <c r="D133" s="65"/>
      <c r="E133" s="65"/>
      <c r="F133" s="64"/>
      <c r="G133" s="74" t="str">
        <f aca="false">IF(OR(B133="",NOT(ISNUMBER(D133)),NOT(ISNUMBER(E133))),"",NETWORKDAYS(D133,E133,FERIADOS))</f>
        <v/>
      </c>
      <c r="H133" s="69"/>
      <c r="I133" s="74" t="str">
        <f aca="false">IF(B133="","",IF(ISNUMBER(H133),H133,N(G133)))</f>
        <v/>
      </c>
      <c r="J133" s="64"/>
      <c r="K133" s="64"/>
      <c r="L133" s="93" t="str">
        <f aca="false">IF(NOT(ISNUMBER(D133)),"",DATE(YEAR(D133),MONTH(D133),1))</f>
        <v/>
      </c>
      <c r="M133" s="70" t="str">
        <f aca="false">IF(B133="","",IF(AND(ISNUMBER(D133),ISNUMBER(E133),E133&lt;D133),"⚠ Término anterior al inicio",IF(J133&lt;&gt;"Sí","Pendiente comprobante firmado","OK")))</f>
        <v/>
      </c>
    </row>
    <row r="134" customFormat="false" ht="15" hidden="false" customHeight="false" outlineLevel="0" collapsed="false">
      <c r="B134" s="64"/>
      <c r="C134" s="72" t="str">
        <f aca="false">IF(B134="","",IFERROR(INDEX(T_NOMBRE,MATCH(B134,T_ID,0)),"⚠ ID no existe"))</f>
        <v/>
      </c>
      <c r="D134" s="65"/>
      <c r="E134" s="65"/>
      <c r="F134" s="64"/>
      <c r="G134" s="74" t="str">
        <f aca="false">IF(OR(B134="",NOT(ISNUMBER(D134)),NOT(ISNUMBER(E134))),"",NETWORKDAYS(D134,E134,FERIADOS))</f>
        <v/>
      </c>
      <c r="H134" s="69"/>
      <c r="I134" s="74" t="str">
        <f aca="false">IF(B134="","",IF(ISNUMBER(H134),H134,N(G134)))</f>
        <v/>
      </c>
      <c r="J134" s="64"/>
      <c r="K134" s="64"/>
      <c r="L134" s="93" t="str">
        <f aca="false">IF(NOT(ISNUMBER(D134)),"",DATE(YEAR(D134),MONTH(D134),1))</f>
        <v/>
      </c>
      <c r="M134" s="70" t="str">
        <f aca="false">IF(B134="","",IF(AND(ISNUMBER(D134),ISNUMBER(E134),E134&lt;D134),"⚠ Término anterior al inicio",IF(J134&lt;&gt;"Sí","Pendiente comprobante firmado","OK")))</f>
        <v/>
      </c>
    </row>
    <row r="135" customFormat="false" ht="15" hidden="false" customHeight="false" outlineLevel="0" collapsed="false">
      <c r="B135" s="64"/>
      <c r="C135" s="72" t="str">
        <f aca="false">IF(B135="","",IFERROR(INDEX(T_NOMBRE,MATCH(B135,T_ID,0)),"⚠ ID no existe"))</f>
        <v/>
      </c>
      <c r="D135" s="65"/>
      <c r="E135" s="65"/>
      <c r="F135" s="64"/>
      <c r="G135" s="74" t="str">
        <f aca="false">IF(OR(B135="",NOT(ISNUMBER(D135)),NOT(ISNUMBER(E135))),"",NETWORKDAYS(D135,E135,FERIADOS))</f>
        <v/>
      </c>
      <c r="H135" s="69"/>
      <c r="I135" s="74" t="str">
        <f aca="false">IF(B135="","",IF(ISNUMBER(H135),H135,N(G135)))</f>
        <v/>
      </c>
      <c r="J135" s="64"/>
      <c r="K135" s="64"/>
      <c r="L135" s="93" t="str">
        <f aca="false">IF(NOT(ISNUMBER(D135)),"",DATE(YEAR(D135),MONTH(D135),1))</f>
        <v/>
      </c>
      <c r="M135" s="70" t="str">
        <f aca="false">IF(B135="","",IF(AND(ISNUMBER(D135),ISNUMBER(E135),E135&lt;D135),"⚠ Término anterior al inicio",IF(J135&lt;&gt;"Sí","Pendiente comprobante firmado","OK")))</f>
        <v/>
      </c>
    </row>
    <row r="136" customFormat="false" ht="15" hidden="false" customHeight="false" outlineLevel="0" collapsed="false">
      <c r="B136" s="64"/>
      <c r="C136" s="72" t="str">
        <f aca="false">IF(B136="","",IFERROR(INDEX(T_NOMBRE,MATCH(B136,T_ID,0)),"⚠ ID no existe"))</f>
        <v/>
      </c>
      <c r="D136" s="65"/>
      <c r="E136" s="65"/>
      <c r="F136" s="64"/>
      <c r="G136" s="74" t="str">
        <f aca="false">IF(OR(B136="",NOT(ISNUMBER(D136)),NOT(ISNUMBER(E136))),"",NETWORKDAYS(D136,E136,FERIADOS))</f>
        <v/>
      </c>
      <c r="H136" s="69"/>
      <c r="I136" s="74" t="str">
        <f aca="false">IF(B136="","",IF(ISNUMBER(H136),H136,N(G136)))</f>
        <v/>
      </c>
      <c r="J136" s="64"/>
      <c r="K136" s="64"/>
      <c r="L136" s="93" t="str">
        <f aca="false">IF(NOT(ISNUMBER(D136)),"",DATE(YEAR(D136),MONTH(D136),1))</f>
        <v/>
      </c>
      <c r="M136" s="70" t="str">
        <f aca="false">IF(B136="","",IF(AND(ISNUMBER(D136),ISNUMBER(E136),E136&lt;D136),"⚠ Término anterior al inicio",IF(J136&lt;&gt;"Sí","Pendiente comprobante firmado","OK")))</f>
        <v/>
      </c>
    </row>
    <row r="137" customFormat="false" ht="15" hidden="false" customHeight="false" outlineLevel="0" collapsed="false">
      <c r="B137" s="64"/>
      <c r="C137" s="72" t="str">
        <f aca="false">IF(B137="","",IFERROR(INDEX(T_NOMBRE,MATCH(B137,T_ID,0)),"⚠ ID no existe"))</f>
        <v/>
      </c>
      <c r="D137" s="65"/>
      <c r="E137" s="65"/>
      <c r="F137" s="64"/>
      <c r="G137" s="74" t="str">
        <f aca="false">IF(OR(B137="",NOT(ISNUMBER(D137)),NOT(ISNUMBER(E137))),"",NETWORKDAYS(D137,E137,FERIADOS))</f>
        <v/>
      </c>
      <c r="H137" s="69"/>
      <c r="I137" s="74" t="str">
        <f aca="false">IF(B137="","",IF(ISNUMBER(H137),H137,N(G137)))</f>
        <v/>
      </c>
      <c r="J137" s="64"/>
      <c r="K137" s="64"/>
      <c r="L137" s="93" t="str">
        <f aca="false">IF(NOT(ISNUMBER(D137)),"",DATE(YEAR(D137),MONTH(D137),1))</f>
        <v/>
      </c>
      <c r="M137" s="70" t="str">
        <f aca="false">IF(B137="","",IF(AND(ISNUMBER(D137),ISNUMBER(E137),E137&lt;D137),"⚠ Término anterior al inicio",IF(J137&lt;&gt;"Sí","Pendiente comprobante firmado","OK")))</f>
        <v/>
      </c>
    </row>
    <row r="138" customFormat="false" ht="15" hidden="false" customHeight="false" outlineLevel="0" collapsed="false">
      <c r="B138" s="64"/>
      <c r="C138" s="72" t="str">
        <f aca="false">IF(B138="","",IFERROR(INDEX(T_NOMBRE,MATCH(B138,T_ID,0)),"⚠ ID no existe"))</f>
        <v/>
      </c>
      <c r="D138" s="65"/>
      <c r="E138" s="65"/>
      <c r="F138" s="64"/>
      <c r="G138" s="74" t="str">
        <f aca="false">IF(OR(B138="",NOT(ISNUMBER(D138)),NOT(ISNUMBER(E138))),"",NETWORKDAYS(D138,E138,FERIADOS))</f>
        <v/>
      </c>
      <c r="H138" s="69"/>
      <c r="I138" s="74" t="str">
        <f aca="false">IF(B138="","",IF(ISNUMBER(H138),H138,N(G138)))</f>
        <v/>
      </c>
      <c r="J138" s="64"/>
      <c r="K138" s="64"/>
      <c r="L138" s="93" t="str">
        <f aca="false">IF(NOT(ISNUMBER(D138)),"",DATE(YEAR(D138),MONTH(D138),1))</f>
        <v/>
      </c>
      <c r="M138" s="70" t="str">
        <f aca="false">IF(B138="","",IF(AND(ISNUMBER(D138),ISNUMBER(E138),E138&lt;D138),"⚠ Término anterior al inicio",IF(J138&lt;&gt;"Sí","Pendiente comprobante firmado","OK")))</f>
        <v/>
      </c>
    </row>
    <row r="139" customFormat="false" ht="15" hidden="false" customHeight="false" outlineLevel="0" collapsed="false">
      <c r="B139" s="64"/>
      <c r="C139" s="72" t="str">
        <f aca="false">IF(B139="","",IFERROR(INDEX(T_NOMBRE,MATCH(B139,T_ID,0)),"⚠ ID no existe"))</f>
        <v/>
      </c>
      <c r="D139" s="65"/>
      <c r="E139" s="65"/>
      <c r="F139" s="64"/>
      <c r="G139" s="74" t="str">
        <f aca="false">IF(OR(B139="",NOT(ISNUMBER(D139)),NOT(ISNUMBER(E139))),"",NETWORKDAYS(D139,E139,FERIADOS))</f>
        <v/>
      </c>
      <c r="H139" s="69"/>
      <c r="I139" s="74" t="str">
        <f aca="false">IF(B139="","",IF(ISNUMBER(H139),H139,N(G139)))</f>
        <v/>
      </c>
      <c r="J139" s="64"/>
      <c r="K139" s="64"/>
      <c r="L139" s="93" t="str">
        <f aca="false">IF(NOT(ISNUMBER(D139)),"",DATE(YEAR(D139),MONTH(D139),1))</f>
        <v/>
      </c>
      <c r="M139" s="70" t="str">
        <f aca="false">IF(B139="","",IF(AND(ISNUMBER(D139),ISNUMBER(E139),E139&lt;D139),"⚠ Término anterior al inicio",IF(J139&lt;&gt;"Sí","Pendiente comprobante firmado","OK")))</f>
        <v/>
      </c>
    </row>
    <row r="140" customFormat="false" ht="15" hidden="false" customHeight="false" outlineLevel="0" collapsed="false">
      <c r="B140" s="64"/>
      <c r="C140" s="72" t="str">
        <f aca="false">IF(B140="","",IFERROR(INDEX(T_NOMBRE,MATCH(B140,T_ID,0)),"⚠ ID no existe"))</f>
        <v/>
      </c>
      <c r="D140" s="65"/>
      <c r="E140" s="65"/>
      <c r="F140" s="64"/>
      <c r="G140" s="74" t="str">
        <f aca="false">IF(OR(B140="",NOT(ISNUMBER(D140)),NOT(ISNUMBER(E140))),"",NETWORKDAYS(D140,E140,FERIADOS))</f>
        <v/>
      </c>
      <c r="H140" s="69"/>
      <c r="I140" s="74" t="str">
        <f aca="false">IF(B140="","",IF(ISNUMBER(H140),H140,N(G140)))</f>
        <v/>
      </c>
      <c r="J140" s="64"/>
      <c r="K140" s="64"/>
      <c r="L140" s="93" t="str">
        <f aca="false">IF(NOT(ISNUMBER(D140)),"",DATE(YEAR(D140),MONTH(D140),1))</f>
        <v/>
      </c>
      <c r="M140" s="70" t="str">
        <f aca="false">IF(B140="","",IF(AND(ISNUMBER(D140),ISNUMBER(E140),E140&lt;D140),"⚠ Término anterior al inicio",IF(J140&lt;&gt;"Sí","Pendiente comprobante firmado","OK")))</f>
        <v/>
      </c>
    </row>
    <row r="141" customFormat="false" ht="15" hidden="false" customHeight="false" outlineLevel="0" collapsed="false">
      <c r="B141" s="64"/>
      <c r="C141" s="72" t="str">
        <f aca="false">IF(B141="","",IFERROR(INDEX(T_NOMBRE,MATCH(B141,T_ID,0)),"⚠ ID no existe"))</f>
        <v/>
      </c>
      <c r="D141" s="65"/>
      <c r="E141" s="65"/>
      <c r="F141" s="64"/>
      <c r="G141" s="74" t="str">
        <f aca="false">IF(OR(B141="",NOT(ISNUMBER(D141)),NOT(ISNUMBER(E141))),"",NETWORKDAYS(D141,E141,FERIADOS))</f>
        <v/>
      </c>
      <c r="H141" s="69"/>
      <c r="I141" s="74" t="str">
        <f aca="false">IF(B141="","",IF(ISNUMBER(H141),H141,N(G141)))</f>
        <v/>
      </c>
      <c r="J141" s="64"/>
      <c r="K141" s="64"/>
      <c r="L141" s="93" t="str">
        <f aca="false">IF(NOT(ISNUMBER(D141)),"",DATE(YEAR(D141),MONTH(D141),1))</f>
        <v/>
      </c>
      <c r="M141" s="70" t="str">
        <f aca="false">IF(B141="","",IF(AND(ISNUMBER(D141),ISNUMBER(E141),E141&lt;D141),"⚠ Término anterior al inicio",IF(J141&lt;&gt;"Sí","Pendiente comprobante firmado","OK")))</f>
        <v/>
      </c>
    </row>
    <row r="142" customFormat="false" ht="15" hidden="false" customHeight="false" outlineLevel="0" collapsed="false">
      <c r="B142" s="64"/>
      <c r="C142" s="72" t="str">
        <f aca="false">IF(B142="","",IFERROR(INDEX(T_NOMBRE,MATCH(B142,T_ID,0)),"⚠ ID no existe"))</f>
        <v/>
      </c>
      <c r="D142" s="65"/>
      <c r="E142" s="65"/>
      <c r="F142" s="64"/>
      <c r="G142" s="74" t="str">
        <f aca="false">IF(OR(B142="",NOT(ISNUMBER(D142)),NOT(ISNUMBER(E142))),"",NETWORKDAYS(D142,E142,FERIADOS))</f>
        <v/>
      </c>
      <c r="H142" s="69"/>
      <c r="I142" s="74" t="str">
        <f aca="false">IF(B142="","",IF(ISNUMBER(H142),H142,N(G142)))</f>
        <v/>
      </c>
      <c r="J142" s="64"/>
      <c r="K142" s="64"/>
      <c r="L142" s="93" t="str">
        <f aca="false">IF(NOT(ISNUMBER(D142)),"",DATE(YEAR(D142),MONTH(D142),1))</f>
        <v/>
      </c>
      <c r="M142" s="70" t="str">
        <f aca="false">IF(B142="","",IF(AND(ISNUMBER(D142),ISNUMBER(E142),E142&lt;D142),"⚠ Término anterior al inicio",IF(J142&lt;&gt;"Sí","Pendiente comprobante firmado","OK")))</f>
        <v/>
      </c>
    </row>
    <row r="143" customFormat="false" ht="15" hidden="false" customHeight="false" outlineLevel="0" collapsed="false">
      <c r="B143" s="64"/>
      <c r="C143" s="72" t="str">
        <f aca="false">IF(B143="","",IFERROR(INDEX(T_NOMBRE,MATCH(B143,T_ID,0)),"⚠ ID no existe"))</f>
        <v/>
      </c>
      <c r="D143" s="65"/>
      <c r="E143" s="65"/>
      <c r="F143" s="64"/>
      <c r="G143" s="74" t="str">
        <f aca="false">IF(OR(B143="",NOT(ISNUMBER(D143)),NOT(ISNUMBER(E143))),"",NETWORKDAYS(D143,E143,FERIADOS))</f>
        <v/>
      </c>
      <c r="H143" s="69"/>
      <c r="I143" s="74" t="str">
        <f aca="false">IF(B143="","",IF(ISNUMBER(H143),H143,N(G143)))</f>
        <v/>
      </c>
      <c r="J143" s="64"/>
      <c r="K143" s="64"/>
      <c r="L143" s="93" t="str">
        <f aca="false">IF(NOT(ISNUMBER(D143)),"",DATE(YEAR(D143),MONTH(D143),1))</f>
        <v/>
      </c>
      <c r="M143" s="70" t="str">
        <f aca="false">IF(B143="","",IF(AND(ISNUMBER(D143),ISNUMBER(E143),E143&lt;D143),"⚠ Término anterior al inicio",IF(J143&lt;&gt;"Sí","Pendiente comprobante firmado","OK")))</f>
        <v/>
      </c>
    </row>
    <row r="144" customFormat="false" ht="15" hidden="false" customHeight="false" outlineLevel="0" collapsed="false">
      <c r="B144" s="64"/>
      <c r="C144" s="72" t="str">
        <f aca="false">IF(B144="","",IFERROR(INDEX(T_NOMBRE,MATCH(B144,T_ID,0)),"⚠ ID no existe"))</f>
        <v/>
      </c>
      <c r="D144" s="65"/>
      <c r="E144" s="65"/>
      <c r="F144" s="64"/>
      <c r="G144" s="74" t="str">
        <f aca="false">IF(OR(B144="",NOT(ISNUMBER(D144)),NOT(ISNUMBER(E144))),"",NETWORKDAYS(D144,E144,FERIADOS))</f>
        <v/>
      </c>
      <c r="H144" s="69"/>
      <c r="I144" s="74" t="str">
        <f aca="false">IF(B144="","",IF(ISNUMBER(H144),H144,N(G144)))</f>
        <v/>
      </c>
      <c r="J144" s="64"/>
      <c r="K144" s="64"/>
      <c r="L144" s="93" t="str">
        <f aca="false">IF(NOT(ISNUMBER(D144)),"",DATE(YEAR(D144),MONTH(D144),1))</f>
        <v/>
      </c>
      <c r="M144" s="70" t="str">
        <f aca="false">IF(B144="","",IF(AND(ISNUMBER(D144),ISNUMBER(E144),E144&lt;D144),"⚠ Término anterior al inicio",IF(J144&lt;&gt;"Sí","Pendiente comprobante firmado","OK")))</f>
        <v/>
      </c>
    </row>
    <row r="145" customFormat="false" ht="15" hidden="false" customHeight="false" outlineLevel="0" collapsed="false">
      <c r="B145" s="64"/>
      <c r="C145" s="72" t="str">
        <f aca="false">IF(B145="","",IFERROR(INDEX(T_NOMBRE,MATCH(B145,T_ID,0)),"⚠ ID no existe"))</f>
        <v/>
      </c>
      <c r="D145" s="65"/>
      <c r="E145" s="65"/>
      <c r="F145" s="64"/>
      <c r="G145" s="74" t="str">
        <f aca="false">IF(OR(B145="",NOT(ISNUMBER(D145)),NOT(ISNUMBER(E145))),"",NETWORKDAYS(D145,E145,FERIADOS))</f>
        <v/>
      </c>
      <c r="H145" s="69"/>
      <c r="I145" s="74" t="str">
        <f aca="false">IF(B145="","",IF(ISNUMBER(H145),H145,N(G145)))</f>
        <v/>
      </c>
      <c r="J145" s="64"/>
      <c r="K145" s="64"/>
      <c r="L145" s="93" t="str">
        <f aca="false">IF(NOT(ISNUMBER(D145)),"",DATE(YEAR(D145),MONTH(D145),1))</f>
        <v/>
      </c>
      <c r="M145" s="70" t="str">
        <f aca="false">IF(B145="","",IF(AND(ISNUMBER(D145),ISNUMBER(E145),E145&lt;D145),"⚠ Término anterior al inicio",IF(J145&lt;&gt;"Sí","Pendiente comprobante firmado","OK")))</f>
        <v/>
      </c>
    </row>
    <row r="146" customFormat="false" ht="15" hidden="false" customHeight="false" outlineLevel="0" collapsed="false">
      <c r="B146" s="64"/>
      <c r="C146" s="72" t="str">
        <f aca="false">IF(B146="","",IFERROR(INDEX(T_NOMBRE,MATCH(B146,T_ID,0)),"⚠ ID no existe"))</f>
        <v/>
      </c>
      <c r="D146" s="65"/>
      <c r="E146" s="65"/>
      <c r="F146" s="64"/>
      <c r="G146" s="74" t="str">
        <f aca="false">IF(OR(B146="",NOT(ISNUMBER(D146)),NOT(ISNUMBER(E146))),"",NETWORKDAYS(D146,E146,FERIADOS))</f>
        <v/>
      </c>
      <c r="H146" s="69"/>
      <c r="I146" s="74" t="str">
        <f aca="false">IF(B146="","",IF(ISNUMBER(H146),H146,N(G146)))</f>
        <v/>
      </c>
      <c r="J146" s="64"/>
      <c r="K146" s="64"/>
      <c r="L146" s="93" t="str">
        <f aca="false">IF(NOT(ISNUMBER(D146)),"",DATE(YEAR(D146),MONTH(D146),1))</f>
        <v/>
      </c>
      <c r="M146" s="70" t="str">
        <f aca="false">IF(B146="","",IF(AND(ISNUMBER(D146),ISNUMBER(E146),E146&lt;D146),"⚠ Término anterior al inicio",IF(J146&lt;&gt;"Sí","Pendiente comprobante firmado","OK")))</f>
        <v/>
      </c>
    </row>
    <row r="147" customFormat="false" ht="15" hidden="false" customHeight="false" outlineLevel="0" collapsed="false">
      <c r="B147" s="64"/>
      <c r="C147" s="72" t="str">
        <f aca="false">IF(B147="","",IFERROR(INDEX(T_NOMBRE,MATCH(B147,T_ID,0)),"⚠ ID no existe"))</f>
        <v/>
      </c>
      <c r="D147" s="65"/>
      <c r="E147" s="65"/>
      <c r="F147" s="64"/>
      <c r="G147" s="74" t="str">
        <f aca="false">IF(OR(B147="",NOT(ISNUMBER(D147)),NOT(ISNUMBER(E147))),"",NETWORKDAYS(D147,E147,FERIADOS))</f>
        <v/>
      </c>
      <c r="H147" s="69"/>
      <c r="I147" s="74" t="str">
        <f aca="false">IF(B147="","",IF(ISNUMBER(H147),H147,N(G147)))</f>
        <v/>
      </c>
      <c r="J147" s="64"/>
      <c r="K147" s="64"/>
      <c r="L147" s="93" t="str">
        <f aca="false">IF(NOT(ISNUMBER(D147)),"",DATE(YEAR(D147),MONTH(D147),1))</f>
        <v/>
      </c>
      <c r="M147" s="70" t="str">
        <f aca="false">IF(B147="","",IF(AND(ISNUMBER(D147),ISNUMBER(E147),E147&lt;D147),"⚠ Término anterior al inicio",IF(J147&lt;&gt;"Sí","Pendiente comprobante firmado","OK")))</f>
        <v/>
      </c>
    </row>
    <row r="148" customFormat="false" ht="15" hidden="false" customHeight="false" outlineLevel="0" collapsed="false">
      <c r="B148" s="64"/>
      <c r="C148" s="72" t="str">
        <f aca="false">IF(B148="","",IFERROR(INDEX(T_NOMBRE,MATCH(B148,T_ID,0)),"⚠ ID no existe"))</f>
        <v/>
      </c>
      <c r="D148" s="65"/>
      <c r="E148" s="65"/>
      <c r="F148" s="64"/>
      <c r="G148" s="74" t="str">
        <f aca="false">IF(OR(B148="",NOT(ISNUMBER(D148)),NOT(ISNUMBER(E148))),"",NETWORKDAYS(D148,E148,FERIADOS))</f>
        <v/>
      </c>
      <c r="H148" s="69"/>
      <c r="I148" s="74" t="str">
        <f aca="false">IF(B148="","",IF(ISNUMBER(H148),H148,N(G148)))</f>
        <v/>
      </c>
      <c r="J148" s="64"/>
      <c r="K148" s="64"/>
      <c r="L148" s="93" t="str">
        <f aca="false">IF(NOT(ISNUMBER(D148)),"",DATE(YEAR(D148),MONTH(D148),1))</f>
        <v/>
      </c>
      <c r="M148" s="70" t="str">
        <f aca="false">IF(B148="","",IF(AND(ISNUMBER(D148),ISNUMBER(E148),E148&lt;D148),"⚠ Término anterior al inicio",IF(J148&lt;&gt;"Sí","Pendiente comprobante firmado","OK")))</f>
        <v/>
      </c>
    </row>
    <row r="149" customFormat="false" ht="15" hidden="false" customHeight="false" outlineLevel="0" collapsed="false">
      <c r="B149" s="64"/>
      <c r="C149" s="72" t="str">
        <f aca="false">IF(B149="","",IFERROR(INDEX(T_NOMBRE,MATCH(B149,T_ID,0)),"⚠ ID no existe"))</f>
        <v/>
      </c>
      <c r="D149" s="65"/>
      <c r="E149" s="65"/>
      <c r="F149" s="64"/>
      <c r="G149" s="74" t="str">
        <f aca="false">IF(OR(B149="",NOT(ISNUMBER(D149)),NOT(ISNUMBER(E149))),"",NETWORKDAYS(D149,E149,FERIADOS))</f>
        <v/>
      </c>
      <c r="H149" s="69"/>
      <c r="I149" s="74" t="str">
        <f aca="false">IF(B149="","",IF(ISNUMBER(H149),H149,N(G149)))</f>
        <v/>
      </c>
      <c r="J149" s="64"/>
      <c r="K149" s="64"/>
      <c r="L149" s="93" t="str">
        <f aca="false">IF(NOT(ISNUMBER(D149)),"",DATE(YEAR(D149),MONTH(D149),1))</f>
        <v/>
      </c>
      <c r="M149" s="70" t="str">
        <f aca="false">IF(B149="","",IF(AND(ISNUMBER(D149),ISNUMBER(E149),E149&lt;D149),"⚠ Término anterior al inicio",IF(J149&lt;&gt;"Sí","Pendiente comprobante firmado","OK")))</f>
        <v/>
      </c>
    </row>
    <row r="150" customFormat="false" ht="15" hidden="false" customHeight="false" outlineLevel="0" collapsed="false">
      <c r="B150" s="64"/>
      <c r="C150" s="72" t="str">
        <f aca="false">IF(B150="","",IFERROR(INDEX(T_NOMBRE,MATCH(B150,T_ID,0)),"⚠ ID no existe"))</f>
        <v/>
      </c>
      <c r="D150" s="65"/>
      <c r="E150" s="65"/>
      <c r="F150" s="64"/>
      <c r="G150" s="74" t="str">
        <f aca="false">IF(OR(B150="",NOT(ISNUMBER(D150)),NOT(ISNUMBER(E150))),"",NETWORKDAYS(D150,E150,FERIADOS))</f>
        <v/>
      </c>
      <c r="H150" s="69"/>
      <c r="I150" s="74" t="str">
        <f aca="false">IF(B150="","",IF(ISNUMBER(H150),H150,N(G150)))</f>
        <v/>
      </c>
      <c r="J150" s="64"/>
      <c r="K150" s="64"/>
      <c r="L150" s="93" t="str">
        <f aca="false">IF(NOT(ISNUMBER(D150)),"",DATE(YEAR(D150),MONTH(D150),1))</f>
        <v/>
      </c>
      <c r="M150" s="70" t="str">
        <f aca="false">IF(B150="","",IF(AND(ISNUMBER(D150),ISNUMBER(E150),E150&lt;D150),"⚠ Término anterior al inicio",IF(J150&lt;&gt;"Sí","Pendiente comprobante firmado","OK")))</f>
        <v/>
      </c>
    </row>
    <row r="151" customFormat="false" ht="15" hidden="false" customHeight="false" outlineLevel="0" collapsed="false">
      <c r="B151" s="64"/>
      <c r="C151" s="72" t="str">
        <f aca="false">IF(B151="","",IFERROR(INDEX(T_NOMBRE,MATCH(B151,T_ID,0)),"⚠ ID no existe"))</f>
        <v/>
      </c>
      <c r="D151" s="65"/>
      <c r="E151" s="65"/>
      <c r="F151" s="64"/>
      <c r="G151" s="74" t="str">
        <f aca="false">IF(OR(B151="",NOT(ISNUMBER(D151)),NOT(ISNUMBER(E151))),"",NETWORKDAYS(D151,E151,FERIADOS))</f>
        <v/>
      </c>
      <c r="H151" s="69"/>
      <c r="I151" s="74" t="str">
        <f aca="false">IF(B151="","",IF(ISNUMBER(H151),H151,N(G151)))</f>
        <v/>
      </c>
      <c r="J151" s="64"/>
      <c r="K151" s="64"/>
      <c r="L151" s="93" t="str">
        <f aca="false">IF(NOT(ISNUMBER(D151)),"",DATE(YEAR(D151),MONTH(D151),1))</f>
        <v/>
      </c>
      <c r="M151" s="70" t="str">
        <f aca="false">IF(B151="","",IF(AND(ISNUMBER(D151),ISNUMBER(E151),E151&lt;D151),"⚠ Término anterior al inicio",IF(J151&lt;&gt;"Sí","Pendiente comprobante firmado","OK")))</f>
        <v/>
      </c>
    </row>
    <row r="152" customFormat="false" ht="15" hidden="false" customHeight="false" outlineLevel="0" collapsed="false">
      <c r="B152" s="64"/>
      <c r="C152" s="72" t="str">
        <f aca="false">IF(B152="","",IFERROR(INDEX(T_NOMBRE,MATCH(B152,T_ID,0)),"⚠ ID no existe"))</f>
        <v/>
      </c>
      <c r="D152" s="65"/>
      <c r="E152" s="65"/>
      <c r="F152" s="64"/>
      <c r="G152" s="74" t="str">
        <f aca="false">IF(OR(B152="",NOT(ISNUMBER(D152)),NOT(ISNUMBER(E152))),"",NETWORKDAYS(D152,E152,FERIADOS))</f>
        <v/>
      </c>
      <c r="H152" s="69"/>
      <c r="I152" s="74" t="str">
        <f aca="false">IF(B152="","",IF(ISNUMBER(H152),H152,N(G152)))</f>
        <v/>
      </c>
      <c r="J152" s="64"/>
      <c r="K152" s="64"/>
      <c r="L152" s="93" t="str">
        <f aca="false">IF(NOT(ISNUMBER(D152)),"",DATE(YEAR(D152),MONTH(D152),1))</f>
        <v/>
      </c>
      <c r="M152" s="70" t="str">
        <f aca="false">IF(B152="","",IF(AND(ISNUMBER(D152),ISNUMBER(E152),E152&lt;D152),"⚠ Término anterior al inicio",IF(J152&lt;&gt;"Sí","Pendiente comprobante firmado","OK")))</f>
        <v/>
      </c>
    </row>
    <row r="153" customFormat="false" ht="15" hidden="false" customHeight="false" outlineLevel="0" collapsed="false">
      <c r="B153" s="64"/>
      <c r="C153" s="72" t="str">
        <f aca="false">IF(B153="","",IFERROR(INDEX(T_NOMBRE,MATCH(B153,T_ID,0)),"⚠ ID no existe"))</f>
        <v/>
      </c>
      <c r="D153" s="65"/>
      <c r="E153" s="65"/>
      <c r="F153" s="64"/>
      <c r="G153" s="74" t="str">
        <f aca="false">IF(OR(B153="",NOT(ISNUMBER(D153)),NOT(ISNUMBER(E153))),"",NETWORKDAYS(D153,E153,FERIADOS))</f>
        <v/>
      </c>
      <c r="H153" s="69"/>
      <c r="I153" s="74" t="str">
        <f aca="false">IF(B153="","",IF(ISNUMBER(H153),H153,N(G153)))</f>
        <v/>
      </c>
      <c r="J153" s="64"/>
      <c r="K153" s="64"/>
      <c r="L153" s="93" t="str">
        <f aca="false">IF(NOT(ISNUMBER(D153)),"",DATE(YEAR(D153),MONTH(D153),1))</f>
        <v/>
      </c>
      <c r="M153" s="70" t="str">
        <f aca="false">IF(B153="","",IF(AND(ISNUMBER(D153),ISNUMBER(E153),E153&lt;D153),"⚠ Término anterior al inicio",IF(J153&lt;&gt;"Sí","Pendiente comprobante firmado","OK")))</f>
        <v/>
      </c>
    </row>
    <row r="154" customFormat="false" ht="15" hidden="false" customHeight="false" outlineLevel="0" collapsed="false">
      <c r="B154" s="64"/>
      <c r="C154" s="72" t="str">
        <f aca="false">IF(B154="","",IFERROR(INDEX(T_NOMBRE,MATCH(B154,T_ID,0)),"⚠ ID no existe"))</f>
        <v/>
      </c>
      <c r="D154" s="65"/>
      <c r="E154" s="65"/>
      <c r="F154" s="64"/>
      <c r="G154" s="74" t="str">
        <f aca="false">IF(OR(B154="",NOT(ISNUMBER(D154)),NOT(ISNUMBER(E154))),"",NETWORKDAYS(D154,E154,FERIADOS))</f>
        <v/>
      </c>
      <c r="H154" s="69"/>
      <c r="I154" s="74" t="str">
        <f aca="false">IF(B154="","",IF(ISNUMBER(H154),H154,N(G154)))</f>
        <v/>
      </c>
      <c r="J154" s="64"/>
      <c r="K154" s="64"/>
      <c r="L154" s="93" t="str">
        <f aca="false">IF(NOT(ISNUMBER(D154)),"",DATE(YEAR(D154),MONTH(D154),1))</f>
        <v/>
      </c>
      <c r="M154" s="70" t="str">
        <f aca="false">IF(B154="","",IF(AND(ISNUMBER(D154),ISNUMBER(E154),E154&lt;D154),"⚠ Término anterior al inicio",IF(J154&lt;&gt;"Sí","Pendiente comprobante firmado","OK")))</f>
        <v/>
      </c>
    </row>
    <row r="155" customFormat="false" ht="15" hidden="false" customHeight="false" outlineLevel="0" collapsed="false">
      <c r="B155" s="64"/>
      <c r="C155" s="72" t="str">
        <f aca="false">IF(B155="","",IFERROR(INDEX(T_NOMBRE,MATCH(B155,T_ID,0)),"⚠ ID no existe"))</f>
        <v/>
      </c>
      <c r="D155" s="65"/>
      <c r="E155" s="65"/>
      <c r="F155" s="64"/>
      <c r="G155" s="74" t="str">
        <f aca="false">IF(OR(B155="",NOT(ISNUMBER(D155)),NOT(ISNUMBER(E155))),"",NETWORKDAYS(D155,E155,FERIADOS))</f>
        <v/>
      </c>
      <c r="H155" s="69"/>
      <c r="I155" s="74" t="str">
        <f aca="false">IF(B155="","",IF(ISNUMBER(H155),H155,N(G155)))</f>
        <v/>
      </c>
      <c r="J155" s="64"/>
      <c r="K155" s="64"/>
      <c r="L155" s="93" t="str">
        <f aca="false">IF(NOT(ISNUMBER(D155)),"",DATE(YEAR(D155),MONTH(D155),1))</f>
        <v/>
      </c>
      <c r="M155" s="70" t="str">
        <f aca="false">IF(B155="","",IF(AND(ISNUMBER(D155),ISNUMBER(E155),E155&lt;D155),"⚠ Término anterior al inicio",IF(J155&lt;&gt;"Sí","Pendiente comprobante firmado","OK")))</f>
        <v/>
      </c>
    </row>
    <row r="156" customFormat="false" ht="15" hidden="false" customHeight="false" outlineLevel="0" collapsed="false">
      <c r="B156" s="64"/>
      <c r="C156" s="72" t="str">
        <f aca="false">IF(B156="","",IFERROR(INDEX(T_NOMBRE,MATCH(B156,T_ID,0)),"⚠ ID no existe"))</f>
        <v/>
      </c>
      <c r="D156" s="65"/>
      <c r="E156" s="65"/>
      <c r="F156" s="64"/>
      <c r="G156" s="74" t="str">
        <f aca="false">IF(OR(B156="",NOT(ISNUMBER(D156)),NOT(ISNUMBER(E156))),"",NETWORKDAYS(D156,E156,FERIADOS))</f>
        <v/>
      </c>
      <c r="H156" s="69"/>
      <c r="I156" s="74" t="str">
        <f aca="false">IF(B156="","",IF(ISNUMBER(H156),H156,N(G156)))</f>
        <v/>
      </c>
      <c r="J156" s="64"/>
      <c r="K156" s="64"/>
      <c r="L156" s="93" t="str">
        <f aca="false">IF(NOT(ISNUMBER(D156)),"",DATE(YEAR(D156),MONTH(D156),1))</f>
        <v/>
      </c>
      <c r="M156" s="70" t="str">
        <f aca="false">IF(B156="","",IF(AND(ISNUMBER(D156),ISNUMBER(E156),E156&lt;D156),"⚠ Término anterior al inicio",IF(J156&lt;&gt;"Sí","Pendiente comprobante firmado","OK")))</f>
        <v/>
      </c>
    </row>
    <row r="157" customFormat="false" ht="15" hidden="false" customHeight="false" outlineLevel="0" collapsed="false">
      <c r="B157" s="64"/>
      <c r="C157" s="72" t="str">
        <f aca="false">IF(B157="","",IFERROR(INDEX(T_NOMBRE,MATCH(B157,T_ID,0)),"⚠ ID no existe"))</f>
        <v/>
      </c>
      <c r="D157" s="65"/>
      <c r="E157" s="65"/>
      <c r="F157" s="64"/>
      <c r="G157" s="74" t="str">
        <f aca="false">IF(OR(B157="",NOT(ISNUMBER(D157)),NOT(ISNUMBER(E157))),"",NETWORKDAYS(D157,E157,FERIADOS))</f>
        <v/>
      </c>
      <c r="H157" s="69"/>
      <c r="I157" s="74" t="str">
        <f aca="false">IF(B157="","",IF(ISNUMBER(H157),H157,N(G157)))</f>
        <v/>
      </c>
      <c r="J157" s="64"/>
      <c r="K157" s="64"/>
      <c r="L157" s="93" t="str">
        <f aca="false">IF(NOT(ISNUMBER(D157)),"",DATE(YEAR(D157),MONTH(D157),1))</f>
        <v/>
      </c>
      <c r="M157" s="70" t="str">
        <f aca="false">IF(B157="","",IF(AND(ISNUMBER(D157),ISNUMBER(E157),E157&lt;D157),"⚠ Término anterior al inicio",IF(J157&lt;&gt;"Sí","Pendiente comprobante firmado","OK")))</f>
        <v/>
      </c>
    </row>
    <row r="158" customFormat="false" ht="15" hidden="false" customHeight="false" outlineLevel="0" collapsed="false">
      <c r="B158" s="64"/>
      <c r="C158" s="72" t="str">
        <f aca="false">IF(B158="","",IFERROR(INDEX(T_NOMBRE,MATCH(B158,T_ID,0)),"⚠ ID no existe"))</f>
        <v/>
      </c>
      <c r="D158" s="65"/>
      <c r="E158" s="65"/>
      <c r="F158" s="64"/>
      <c r="G158" s="74" t="str">
        <f aca="false">IF(OR(B158="",NOT(ISNUMBER(D158)),NOT(ISNUMBER(E158))),"",NETWORKDAYS(D158,E158,FERIADOS))</f>
        <v/>
      </c>
      <c r="H158" s="69"/>
      <c r="I158" s="74" t="str">
        <f aca="false">IF(B158="","",IF(ISNUMBER(H158),H158,N(G158)))</f>
        <v/>
      </c>
      <c r="J158" s="64"/>
      <c r="K158" s="64"/>
      <c r="L158" s="93" t="str">
        <f aca="false">IF(NOT(ISNUMBER(D158)),"",DATE(YEAR(D158),MONTH(D158),1))</f>
        <v/>
      </c>
      <c r="M158" s="70" t="str">
        <f aca="false">IF(B158="","",IF(AND(ISNUMBER(D158),ISNUMBER(E158),E158&lt;D158),"⚠ Término anterior al inicio",IF(J158&lt;&gt;"Sí","Pendiente comprobante firmado","OK")))</f>
        <v/>
      </c>
    </row>
    <row r="159" customFormat="false" ht="15" hidden="false" customHeight="false" outlineLevel="0" collapsed="false">
      <c r="B159" s="64"/>
      <c r="C159" s="72" t="str">
        <f aca="false">IF(B159="","",IFERROR(INDEX(T_NOMBRE,MATCH(B159,T_ID,0)),"⚠ ID no existe"))</f>
        <v/>
      </c>
      <c r="D159" s="65"/>
      <c r="E159" s="65"/>
      <c r="F159" s="64"/>
      <c r="G159" s="74" t="str">
        <f aca="false">IF(OR(B159="",NOT(ISNUMBER(D159)),NOT(ISNUMBER(E159))),"",NETWORKDAYS(D159,E159,FERIADOS))</f>
        <v/>
      </c>
      <c r="H159" s="69"/>
      <c r="I159" s="74" t="str">
        <f aca="false">IF(B159="","",IF(ISNUMBER(H159),H159,N(G159)))</f>
        <v/>
      </c>
      <c r="J159" s="64"/>
      <c r="K159" s="64"/>
      <c r="L159" s="93" t="str">
        <f aca="false">IF(NOT(ISNUMBER(D159)),"",DATE(YEAR(D159),MONTH(D159),1))</f>
        <v/>
      </c>
      <c r="M159" s="70" t="str">
        <f aca="false">IF(B159="","",IF(AND(ISNUMBER(D159),ISNUMBER(E159),E159&lt;D159),"⚠ Término anterior al inicio",IF(J159&lt;&gt;"Sí","Pendiente comprobante firmado","OK")))</f>
        <v/>
      </c>
    </row>
    <row r="160" customFormat="false" ht="15" hidden="false" customHeight="false" outlineLevel="0" collapsed="false">
      <c r="B160" s="64"/>
      <c r="C160" s="72" t="str">
        <f aca="false">IF(B160="","",IFERROR(INDEX(T_NOMBRE,MATCH(B160,T_ID,0)),"⚠ ID no existe"))</f>
        <v/>
      </c>
      <c r="D160" s="65"/>
      <c r="E160" s="65"/>
      <c r="F160" s="64"/>
      <c r="G160" s="74" t="str">
        <f aca="false">IF(OR(B160="",NOT(ISNUMBER(D160)),NOT(ISNUMBER(E160))),"",NETWORKDAYS(D160,E160,FERIADOS))</f>
        <v/>
      </c>
      <c r="H160" s="69"/>
      <c r="I160" s="74" t="str">
        <f aca="false">IF(B160="","",IF(ISNUMBER(H160),H160,N(G160)))</f>
        <v/>
      </c>
      <c r="J160" s="64"/>
      <c r="K160" s="64"/>
      <c r="L160" s="93" t="str">
        <f aca="false">IF(NOT(ISNUMBER(D160)),"",DATE(YEAR(D160),MONTH(D160),1))</f>
        <v/>
      </c>
      <c r="M160" s="70" t="str">
        <f aca="false">IF(B160="","",IF(AND(ISNUMBER(D160),ISNUMBER(E160),E160&lt;D160),"⚠ Término anterior al inicio",IF(J160&lt;&gt;"Sí","Pendiente comprobante firmado","OK")))</f>
        <v/>
      </c>
    </row>
    <row r="161" customFormat="false" ht="15" hidden="false" customHeight="false" outlineLevel="0" collapsed="false">
      <c r="B161" s="64"/>
      <c r="C161" s="72" t="str">
        <f aca="false">IF(B161="","",IFERROR(INDEX(T_NOMBRE,MATCH(B161,T_ID,0)),"⚠ ID no existe"))</f>
        <v/>
      </c>
      <c r="D161" s="65"/>
      <c r="E161" s="65"/>
      <c r="F161" s="64"/>
      <c r="G161" s="74" t="str">
        <f aca="false">IF(OR(B161="",NOT(ISNUMBER(D161)),NOT(ISNUMBER(E161))),"",NETWORKDAYS(D161,E161,FERIADOS))</f>
        <v/>
      </c>
      <c r="H161" s="69"/>
      <c r="I161" s="74" t="str">
        <f aca="false">IF(B161="","",IF(ISNUMBER(H161),H161,N(G161)))</f>
        <v/>
      </c>
      <c r="J161" s="64"/>
      <c r="K161" s="64"/>
      <c r="L161" s="93" t="str">
        <f aca="false">IF(NOT(ISNUMBER(D161)),"",DATE(YEAR(D161),MONTH(D161),1))</f>
        <v/>
      </c>
      <c r="M161" s="70" t="str">
        <f aca="false">IF(B161="","",IF(AND(ISNUMBER(D161),ISNUMBER(E161),E161&lt;D161),"⚠ Término anterior al inicio",IF(J161&lt;&gt;"Sí","Pendiente comprobante firmado","OK")))</f>
        <v/>
      </c>
    </row>
    <row r="162" customFormat="false" ht="15" hidden="false" customHeight="false" outlineLevel="0" collapsed="false">
      <c r="B162" s="64"/>
      <c r="C162" s="72" t="str">
        <f aca="false">IF(B162="","",IFERROR(INDEX(T_NOMBRE,MATCH(B162,T_ID,0)),"⚠ ID no existe"))</f>
        <v/>
      </c>
      <c r="D162" s="65"/>
      <c r="E162" s="65"/>
      <c r="F162" s="64"/>
      <c r="G162" s="74" t="str">
        <f aca="false">IF(OR(B162="",NOT(ISNUMBER(D162)),NOT(ISNUMBER(E162))),"",NETWORKDAYS(D162,E162,FERIADOS))</f>
        <v/>
      </c>
      <c r="H162" s="69"/>
      <c r="I162" s="74" t="str">
        <f aca="false">IF(B162="","",IF(ISNUMBER(H162),H162,N(G162)))</f>
        <v/>
      </c>
      <c r="J162" s="64"/>
      <c r="K162" s="64"/>
      <c r="L162" s="93" t="str">
        <f aca="false">IF(NOT(ISNUMBER(D162)),"",DATE(YEAR(D162),MONTH(D162),1))</f>
        <v/>
      </c>
      <c r="M162" s="70" t="str">
        <f aca="false">IF(B162="","",IF(AND(ISNUMBER(D162),ISNUMBER(E162),E162&lt;D162),"⚠ Término anterior al inicio",IF(J162&lt;&gt;"Sí","Pendiente comprobante firmado","OK")))</f>
        <v/>
      </c>
    </row>
    <row r="163" customFormat="false" ht="15" hidden="false" customHeight="false" outlineLevel="0" collapsed="false">
      <c r="B163" s="64"/>
      <c r="C163" s="72" t="str">
        <f aca="false">IF(B163="","",IFERROR(INDEX(T_NOMBRE,MATCH(B163,T_ID,0)),"⚠ ID no existe"))</f>
        <v/>
      </c>
      <c r="D163" s="65"/>
      <c r="E163" s="65"/>
      <c r="F163" s="64"/>
      <c r="G163" s="74" t="str">
        <f aca="false">IF(OR(B163="",NOT(ISNUMBER(D163)),NOT(ISNUMBER(E163))),"",NETWORKDAYS(D163,E163,FERIADOS))</f>
        <v/>
      </c>
      <c r="H163" s="69"/>
      <c r="I163" s="74" t="str">
        <f aca="false">IF(B163="","",IF(ISNUMBER(H163),H163,N(G163)))</f>
        <v/>
      </c>
      <c r="J163" s="64"/>
      <c r="K163" s="64"/>
      <c r="L163" s="93" t="str">
        <f aca="false">IF(NOT(ISNUMBER(D163)),"",DATE(YEAR(D163),MONTH(D163),1))</f>
        <v/>
      </c>
      <c r="M163" s="70" t="str">
        <f aca="false">IF(B163="","",IF(AND(ISNUMBER(D163),ISNUMBER(E163),E163&lt;D163),"⚠ Término anterior al inicio",IF(J163&lt;&gt;"Sí","Pendiente comprobante firmado","OK")))</f>
        <v/>
      </c>
    </row>
    <row r="164" customFormat="false" ht="15" hidden="false" customHeight="false" outlineLevel="0" collapsed="false">
      <c r="B164" s="64"/>
      <c r="C164" s="72" t="str">
        <f aca="false">IF(B164="","",IFERROR(INDEX(T_NOMBRE,MATCH(B164,T_ID,0)),"⚠ ID no existe"))</f>
        <v/>
      </c>
      <c r="D164" s="65"/>
      <c r="E164" s="65"/>
      <c r="F164" s="64"/>
      <c r="G164" s="74" t="str">
        <f aca="false">IF(OR(B164="",NOT(ISNUMBER(D164)),NOT(ISNUMBER(E164))),"",NETWORKDAYS(D164,E164,FERIADOS))</f>
        <v/>
      </c>
      <c r="H164" s="69"/>
      <c r="I164" s="74" t="str">
        <f aca="false">IF(B164="","",IF(ISNUMBER(H164),H164,N(G164)))</f>
        <v/>
      </c>
      <c r="J164" s="64"/>
      <c r="K164" s="64"/>
      <c r="L164" s="93" t="str">
        <f aca="false">IF(NOT(ISNUMBER(D164)),"",DATE(YEAR(D164),MONTH(D164),1))</f>
        <v/>
      </c>
      <c r="M164" s="70" t="str">
        <f aca="false">IF(B164="","",IF(AND(ISNUMBER(D164),ISNUMBER(E164),E164&lt;D164),"⚠ Término anterior al inicio",IF(J164&lt;&gt;"Sí","Pendiente comprobante firmado","OK")))</f>
        <v/>
      </c>
    </row>
    <row r="165" customFormat="false" ht="15" hidden="false" customHeight="false" outlineLevel="0" collapsed="false">
      <c r="B165" s="64"/>
      <c r="C165" s="72" t="str">
        <f aca="false">IF(B165="","",IFERROR(INDEX(T_NOMBRE,MATCH(B165,T_ID,0)),"⚠ ID no existe"))</f>
        <v/>
      </c>
      <c r="D165" s="65"/>
      <c r="E165" s="65"/>
      <c r="F165" s="64"/>
      <c r="G165" s="74" t="str">
        <f aca="false">IF(OR(B165="",NOT(ISNUMBER(D165)),NOT(ISNUMBER(E165))),"",NETWORKDAYS(D165,E165,FERIADOS))</f>
        <v/>
      </c>
      <c r="H165" s="69"/>
      <c r="I165" s="74" t="str">
        <f aca="false">IF(B165="","",IF(ISNUMBER(H165),H165,N(G165)))</f>
        <v/>
      </c>
      <c r="J165" s="64"/>
      <c r="K165" s="64"/>
      <c r="L165" s="93" t="str">
        <f aca="false">IF(NOT(ISNUMBER(D165)),"",DATE(YEAR(D165),MONTH(D165),1))</f>
        <v/>
      </c>
      <c r="M165" s="70" t="str">
        <f aca="false">IF(B165="","",IF(AND(ISNUMBER(D165),ISNUMBER(E165),E165&lt;D165),"⚠ Término anterior al inicio",IF(J165&lt;&gt;"Sí","Pendiente comprobante firmado","OK")))</f>
        <v/>
      </c>
    </row>
    <row r="166" customFormat="false" ht="15" hidden="false" customHeight="false" outlineLevel="0" collapsed="false">
      <c r="B166" s="64"/>
      <c r="C166" s="72" t="str">
        <f aca="false">IF(B166="","",IFERROR(INDEX(T_NOMBRE,MATCH(B166,T_ID,0)),"⚠ ID no existe"))</f>
        <v/>
      </c>
      <c r="D166" s="65"/>
      <c r="E166" s="65"/>
      <c r="F166" s="64"/>
      <c r="G166" s="74" t="str">
        <f aca="false">IF(OR(B166="",NOT(ISNUMBER(D166)),NOT(ISNUMBER(E166))),"",NETWORKDAYS(D166,E166,FERIADOS))</f>
        <v/>
      </c>
      <c r="H166" s="69"/>
      <c r="I166" s="74" t="str">
        <f aca="false">IF(B166="","",IF(ISNUMBER(H166),H166,N(G166)))</f>
        <v/>
      </c>
      <c r="J166" s="64"/>
      <c r="K166" s="64"/>
      <c r="L166" s="93" t="str">
        <f aca="false">IF(NOT(ISNUMBER(D166)),"",DATE(YEAR(D166),MONTH(D166),1))</f>
        <v/>
      </c>
      <c r="M166" s="70" t="str">
        <f aca="false">IF(B166="","",IF(AND(ISNUMBER(D166),ISNUMBER(E166),E166&lt;D166),"⚠ Término anterior al inicio",IF(J166&lt;&gt;"Sí","Pendiente comprobante firmado","OK")))</f>
        <v/>
      </c>
    </row>
    <row r="167" customFormat="false" ht="15" hidden="false" customHeight="false" outlineLevel="0" collapsed="false">
      <c r="B167" s="64"/>
      <c r="C167" s="72" t="str">
        <f aca="false">IF(B167="","",IFERROR(INDEX(T_NOMBRE,MATCH(B167,T_ID,0)),"⚠ ID no existe"))</f>
        <v/>
      </c>
      <c r="D167" s="65"/>
      <c r="E167" s="65"/>
      <c r="F167" s="64"/>
      <c r="G167" s="74" t="str">
        <f aca="false">IF(OR(B167="",NOT(ISNUMBER(D167)),NOT(ISNUMBER(E167))),"",NETWORKDAYS(D167,E167,FERIADOS))</f>
        <v/>
      </c>
      <c r="H167" s="69"/>
      <c r="I167" s="74" t="str">
        <f aca="false">IF(B167="","",IF(ISNUMBER(H167),H167,N(G167)))</f>
        <v/>
      </c>
      <c r="J167" s="64"/>
      <c r="K167" s="64"/>
      <c r="L167" s="93" t="str">
        <f aca="false">IF(NOT(ISNUMBER(D167)),"",DATE(YEAR(D167),MONTH(D167),1))</f>
        <v/>
      </c>
      <c r="M167" s="70" t="str">
        <f aca="false">IF(B167="","",IF(AND(ISNUMBER(D167),ISNUMBER(E167),E167&lt;D167),"⚠ Término anterior al inicio",IF(J167&lt;&gt;"Sí","Pendiente comprobante firmado","OK")))</f>
        <v/>
      </c>
    </row>
    <row r="168" customFormat="false" ht="15" hidden="false" customHeight="false" outlineLevel="0" collapsed="false">
      <c r="B168" s="64"/>
      <c r="C168" s="72" t="str">
        <f aca="false">IF(B168="","",IFERROR(INDEX(T_NOMBRE,MATCH(B168,T_ID,0)),"⚠ ID no existe"))</f>
        <v/>
      </c>
      <c r="D168" s="65"/>
      <c r="E168" s="65"/>
      <c r="F168" s="64"/>
      <c r="G168" s="74" t="str">
        <f aca="false">IF(OR(B168="",NOT(ISNUMBER(D168)),NOT(ISNUMBER(E168))),"",NETWORKDAYS(D168,E168,FERIADOS))</f>
        <v/>
      </c>
      <c r="H168" s="69"/>
      <c r="I168" s="74" t="str">
        <f aca="false">IF(B168="","",IF(ISNUMBER(H168),H168,N(G168)))</f>
        <v/>
      </c>
      <c r="J168" s="64"/>
      <c r="K168" s="64"/>
      <c r="L168" s="93" t="str">
        <f aca="false">IF(NOT(ISNUMBER(D168)),"",DATE(YEAR(D168),MONTH(D168),1))</f>
        <v/>
      </c>
      <c r="M168" s="70" t="str">
        <f aca="false">IF(B168="","",IF(AND(ISNUMBER(D168),ISNUMBER(E168),E168&lt;D168),"⚠ Término anterior al inicio",IF(J168&lt;&gt;"Sí","Pendiente comprobante firmado","OK")))</f>
        <v/>
      </c>
    </row>
    <row r="169" customFormat="false" ht="15" hidden="false" customHeight="false" outlineLevel="0" collapsed="false">
      <c r="B169" s="64"/>
      <c r="C169" s="72" t="str">
        <f aca="false">IF(B169="","",IFERROR(INDEX(T_NOMBRE,MATCH(B169,T_ID,0)),"⚠ ID no existe"))</f>
        <v/>
      </c>
      <c r="D169" s="65"/>
      <c r="E169" s="65"/>
      <c r="F169" s="64"/>
      <c r="G169" s="74" t="str">
        <f aca="false">IF(OR(B169="",NOT(ISNUMBER(D169)),NOT(ISNUMBER(E169))),"",NETWORKDAYS(D169,E169,FERIADOS))</f>
        <v/>
      </c>
      <c r="H169" s="69"/>
      <c r="I169" s="74" t="str">
        <f aca="false">IF(B169="","",IF(ISNUMBER(H169),H169,N(G169)))</f>
        <v/>
      </c>
      <c r="J169" s="64"/>
      <c r="K169" s="64"/>
      <c r="L169" s="93" t="str">
        <f aca="false">IF(NOT(ISNUMBER(D169)),"",DATE(YEAR(D169),MONTH(D169),1))</f>
        <v/>
      </c>
      <c r="M169" s="70" t="str">
        <f aca="false">IF(B169="","",IF(AND(ISNUMBER(D169),ISNUMBER(E169),E169&lt;D169),"⚠ Término anterior al inicio",IF(J169&lt;&gt;"Sí","Pendiente comprobante firmado","OK")))</f>
        <v/>
      </c>
    </row>
    <row r="170" customFormat="false" ht="15" hidden="false" customHeight="false" outlineLevel="0" collapsed="false">
      <c r="B170" s="64"/>
      <c r="C170" s="72" t="str">
        <f aca="false">IF(B170="","",IFERROR(INDEX(T_NOMBRE,MATCH(B170,T_ID,0)),"⚠ ID no existe"))</f>
        <v/>
      </c>
      <c r="D170" s="65"/>
      <c r="E170" s="65"/>
      <c r="F170" s="64"/>
      <c r="G170" s="74" t="str">
        <f aca="false">IF(OR(B170="",NOT(ISNUMBER(D170)),NOT(ISNUMBER(E170))),"",NETWORKDAYS(D170,E170,FERIADOS))</f>
        <v/>
      </c>
      <c r="H170" s="69"/>
      <c r="I170" s="74" t="str">
        <f aca="false">IF(B170="","",IF(ISNUMBER(H170),H170,N(G170)))</f>
        <v/>
      </c>
      <c r="J170" s="64"/>
      <c r="K170" s="64"/>
      <c r="L170" s="93" t="str">
        <f aca="false">IF(NOT(ISNUMBER(D170)),"",DATE(YEAR(D170),MONTH(D170),1))</f>
        <v/>
      </c>
      <c r="M170" s="70" t="str">
        <f aca="false">IF(B170="","",IF(AND(ISNUMBER(D170),ISNUMBER(E170),E170&lt;D170),"⚠ Término anterior al inicio",IF(J170&lt;&gt;"Sí","Pendiente comprobante firmado","OK")))</f>
        <v/>
      </c>
    </row>
    <row r="171" customFormat="false" ht="15" hidden="false" customHeight="false" outlineLevel="0" collapsed="false">
      <c r="B171" s="64"/>
      <c r="C171" s="72" t="str">
        <f aca="false">IF(B171="","",IFERROR(INDEX(T_NOMBRE,MATCH(B171,T_ID,0)),"⚠ ID no existe"))</f>
        <v/>
      </c>
      <c r="D171" s="65"/>
      <c r="E171" s="65"/>
      <c r="F171" s="64"/>
      <c r="G171" s="74" t="str">
        <f aca="false">IF(OR(B171="",NOT(ISNUMBER(D171)),NOT(ISNUMBER(E171))),"",NETWORKDAYS(D171,E171,FERIADOS))</f>
        <v/>
      </c>
      <c r="H171" s="69"/>
      <c r="I171" s="74" t="str">
        <f aca="false">IF(B171="","",IF(ISNUMBER(H171),H171,N(G171)))</f>
        <v/>
      </c>
      <c r="J171" s="64"/>
      <c r="K171" s="64"/>
      <c r="L171" s="93" t="str">
        <f aca="false">IF(NOT(ISNUMBER(D171)),"",DATE(YEAR(D171),MONTH(D171),1))</f>
        <v/>
      </c>
      <c r="M171" s="70" t="str">
        <f aca="false">IF(B171="","",IF(AND(ISNUMBER(D171),ISNUMBER(E171),E171&lt;D171),"⚠ Término anterior al inicio",IF(J171&lt;&gt;"Sí","Pendiente comprobante firmado","OK")))</f>
        <v/>
      </c>
    </row>
    <row r="172" customFormat="false" ht="15" hidden="false" customHeight="false" outlineLevel="0" collapsed="false">
      <c r="B172" s="64"/>
      <c r="C172" s="72" t="str">
        <f aca="false">IF(B172="","",IFERROR(INDEX(T_NOMBRE,MATCH(B172,T_ID,0)),"⚠ ID no existe"))</f>
        <v/>
      </c>
      <c r="D172" s="65"/>
      <c r="E172" s="65"/>
      <c r="F172" s="64"/>
      <c r="G172" s="74" t="str">
        <f aca="false">IF(OR(B172="",NOT(ISNUMBER(D172)),NOT(ISNUMBER(E172))),"",NETWORKDAYS(D172,E172,FERIADOS))</f>
        <v/>
      </c>
      <c r="H172" s="69"/>
      <c r="I172" s="74" t="str">
        <f aca="false">IF(B172="","",IF(ISNUMBER(H172),H172,N(G172)))</f>
        <v/>
      </c>
      <c r="J172" s="64"/>
      <c r="K172" s="64"/>
      <c r="L172" s="93" t="str">
        <f aca="false">IF(NOT(ISNUMBER(D172)),"",DATE(YEAR(D172),MONTH(D172),1))</f>
        <v/>
      </c>
      <c r="M172" s="70" t="str">
        <f aca="false">IF(B172="","",IF(AND(ISNUMBER(D172),ISNUMBER(E172),E172&lt;D172),"⚠ Término anterior al inicio",IF(J172&lt;&gt;"Sí","Pendiente comprobante firmado","OK")))</f>
        <v/>
      </c>
    </row>
    <row r="173" customFormat="false" ht="15" hidden="false" customHeight="false" outlineLevel="0" collapsed="false">
      <c r="B173" s="64"/>
      <c r="C173" s="72" t="str">
        <f aca="false">IF(B173="","",IFERROR(INDEX(T_NOMBRE,MATCH(B173,T_ID,0)),"⚠ ID no existe"))</f>
        <v/>
      </c>
      <c r="D173" s="65"/>
      <c r="E173" s="65"/>
      <c r="F173" s="64"/>
      <c r="G173" s="74" t="str">
        <f aca="false">IF(OR(B173="",NOT(ISNUMBER(D173)),NOT(ISNUMBER(E173))),"",NETWORKDAYS(D173,E173,FERIADOS))</f>
        <v/>
      </c>
      <c r="H173" s="69"/>
      <c r="I173" s="74" t="str">
        <f aca="false">IF(B173="","",IF(ISNUMBER(H173),H173,N(G173)))</f>
        <v/>
      </c>
      <c r="J173" s="64"/>
      <c r="K173" s="64"/>
      <c r="L173" s="93" t="str">
        <f aca="false">IF(NOT(ISNUMBER(D173)),"",DATE(YEAR(D173),MONTH(D173),1))</f>
        <v/>
      </c>
      <c r="M173" s="70" t="str">
        <f aca="false">IF(B173="","",IF(AND(ISNUMBER(D173),ISNUMBER(E173),E173&lt;D173),"⚠ Término anterior al inicio",IF(J173&lt;&gt;"Sí","Pendiente comprobante firmado","OK")))</f>
        <v/>
      </c>
    </row>
    <row r="174" customFormat="false" ht="15" hidden="false" customHeight="false" outlineLevel="0" collapsed="false">
      <c r="B174" s="64"/>
      <c r="C174" s="72" t="str">
        <f aca="false">IF(B174="","",IFERROR(INDEX(T_NOMBRE,MATCH(B174,T_ID,0)),"⚠ ID no existe"))</f>
        <v/>
      </c>
      <c r="D174" s="65"/>
      <c r="E174" s="65"/>
      <c r="F174" s="64"/>
      <c r="G174" s="74" t="str">
        <f aca="false">IF(OR(B174="",NOT(ISNUMBER(D174)),NOT(ISNUMBER(E174))),"",NETWORKDAYS(D174,E174,FERIADOS))</f>
        <v/>
      </c>
      <c r="H174" s="69"/>
      <c r="I174" s="74" t="str">
        <f aca="false">IF(B174="","",IF(ISNUMBER(H174),H174,N(G174)))</f>
        <v/>
      </c>
      <c r="J174" s="64"/>
      <c r="K174" s="64"/>
      <c r="L174" s="93" t="str">
        <f aca="false">IF(NOT(ISNUMBER(D174)),"",DATE(YEAR(D174),MONTH(D174),1))</f>
        <v/>
      </c>
      <c r="M174" s="70" t="str">
        <f aca="false">IF(B174="","",IF(AND(ISNUMBER(D174),ISNUMBER(E174),E174&lt;D174),"⚠ Término anterior al inicio",IF(J174&lt;&gt;"Sí","Pendiente comprobante firmado","OK")))</f>
        <v/>
      </c>
    </row>
    <row r="175" customFormat="false" ht="15" hidden="false" customHeight="false" outlineLevel="0" collapsed="false">
      <c r="B175" s="64"/>
      <c r="C175" s="72" t="str">
        <f aca="false">IF(B175="","",IFERROR(INDEX(T_NOMBRE,MATCH(B175,T_ID,0)),"⚠ ID no existe"))</f>
        <v/>
      </c>
      <c r="D175" s="65"/>
      <c r="E175" s="65"/>
      <c r="F175" s="64"/>
      <c r="G175" s="74" t="str">
        <f aca="false">IF(OR(B175="",NOT(ISNUMBER(D175)),NOT(ISNUMBER(E175))),"",NETWORKDAYS(D175,E175,FERIADOS))</f>
        <v/>
      </c>
      <c r="H175" s="69"/>
      <c r="I175" s="74" t="str">
        <f aca="false">IF(B175="","",IF(ISNUMBER(H175),H175,N(G175)))</f>
        <v/>
      </c>
      <c r="J175" s="64"/>
      <c r="K175" s="64"/>
      <c r="L175" s="93" t="str">
        <f aca="false">IF(NOT(ISNUMBER(D175)),"",DATE(YEAR(D175),MONTH(D175),1))</f>
        <v/>
      </c>
      <c r="M175" s="70" t="str">
        <f aca="false">IF(B175="","",IF(AND(ISNUMBER(D175),ISNUMBER(E175),E175&lt;D175),"⚠ Término anterior al inicio",IF(J175&lt;&gt;"Sí","Pendiente comprobante firmado","OK")))</f>
        <v/>
      </c>
    </row>
    <row r="176" customFormat="false" ht="15" hidden="false" customHeight="false" outlineLevel="0" collapsed="false">
      <c r="B176" s="64"/>
      <c r="C176" s="72" t="str">
        <f aca="false">IF(B176="","",IFERROR(INDEX(T_NOMBRE,MATCH(B176,T_ID,0)),"⚠ ID no existe"))</f>
        <v/>
      </c>
      <c r="D176" s="65"/>
      <c r="E176" s="65"/>
      <c r="F176" s="64"/>
      <c r="G176" s="74" t="str">
        <f aca="false">IF(OR(B176="",NOT(ISNUMBER(D176)),NOT(ISNUMBER(E176))),"",NETWORKDAYS(D176,E176,FERIADOS))</f>
        <v/>
      </c>
      <c r="H176" s="69"/>
      <c r="I176" s="74" t="str">
        <f aca="false">IF(B176="","",IF(ISNUMBER(H176),H176,N(G176)))</f>
        <v/>
      </c>
      <c r="J176" s="64"/>
      <c r="K176" s="64"/>
      <c r="L176" s="93" t="str">
        <f aca="false">IF(NOT(ISNUMBER(D176)),"",DATE(YEAR(D176),MONTH(D176),1))</f>
        <v/>
      </c>
      <c r="M176" s="70" t="str">
        <f aca="false">IF(B176="","",IF(AND(ISNUMBER(D176),ISNUMBER(E176),E176&lt;D176),"⚠ Término anterior al inicio",IF(J176&lt;&gt;"Sí","Pendiente comprobante firmado","OK")))</f>
        <v/>
      </c>
    </row>
    <row r="177" customFormat="false" ht="15" hidden="false" customHeight="false" outlineLevel="0" collapsed="false">
      <c r="B177" s="64"/>
      <c r="C177" s="72" t="str">
        <f aca="false">IF(B177="","",IFERROR(INDEX(T_NOMBRE,MATCH(B177,T_ID,0)),"⚠ ID no existe"))</f>
        <v/>
      </c>
      <c r="D177" s="65"/>
      <c r="E177" s="65"/>
      <c r="F177" s="64"/>
      <c r="G177" s="74" t="str">
        <f aca="false">IF(OR(B177="",NOT(ISNUMBER(D177)),NOT(ISNUMBER(E177))),"",NETWORKDAYS(D177,E177,FERIADOS))</f>
        <v/>
      </c>
      <c r="H177" s="69"/>
      <c r="I177" s="74" t="str">
        <f aca="false">IF(B177="","",IF(ISNUMBER(H177),H177,N(G177)))</f>
        <v/>
      </c>
      <c r="J177" s="64"/>
      <c r="K177" s="64"/>
      <c r="L177" s="93" t="str">
        <f aca="false">IF(NOT(ISNUMBER(D177)),"",DATE(YEAR(D177),MONTH(D177),1))</f>
        <v/>
      </c>
      <c r="M177" s="70" t="str">
        <f aca="false">IF(B177="","",IF(AND(ISNUMBER(D177),ISNUMBER(E177),E177&lt;D177),"⚠ Término anterior al inicio",IF(J177&lt;&gt;"Sí","Pendiente comprobante firmado","OK")))</f>
        <v/>
      </c>
    </row>
    <row r="178" customFormat="false" ht="15" hidden="false" customHeight="false" outlineLevel="0" collapsed="false">
      <c r="B178" s="64"/>
      <c r="C178" s="72" t="str">
        <f aca="false">IF(B178="","",IFERROR(INDEX(T_NOMBRE,MATCH(B178,T_ID,0)),"⚠ ID no existe"))</f>
        <v/>
      </c>
      <c r="D178" s="65"/>
      <c r="E178" s="65"/>
      <c r="F178" s="64"/>
      <c r="G178" s="74" t="str">
        <f aca="false">IF(OR(B178="",NOT(ISNUMBER(D178)),NOT(ISNUMBER(E178))),"",NETWORKDAYS(D178,E178,FERIADOS))</f>
        <v/>
      </c>
      <c r="H178" s="69"/>
      <c r="I178" s="74" t="str">
        <f aca="false">IF(B178="","",IF(ISNUMBER(H178),H178,N(G178)))</f>
        <v/>
      </c>
      <c r="J178" s="64"/>
      <c r="K178" s="64"/>
      <c r="L178" s="93" t="str">
        <f aca="false">IF(NOT(ISNUMBER(D178)),"",DATE(YEAR(D178),MONTH(D178),1))</f>
        <v/>
      </c>
      <c r="M178" s="70" t="str">
        <f aca="false">IF(B178="","",IF(AND(ISNUMBER(D178),ISNUMBER(E178),E178&lt;D178),"⚠ Término anterior al inicio",IF(J178&lt;&gt;"Sí","Pendiente comprobante firmado","OK")))</f>
        <v/>
      </c>
    </row>
    <row r="179" customFormat="false" ht="15" hidden="false" customHeight="false" outlineLevel="0" collapsed="false">
      <c r="B179" s="64"/>
      <c r="C179" s="72" t="str">
        <f aca="false">IF(B179="","",IFERROR(INDEX(T_NOMBRE,MATCH(B179,T_ID,0)),"⚠ ID no existe"))</f>
        <v/>
      </c>
      <c r="D179" s="65"/>
      <c r="E179" s="65"/>
      <c r="F179" s="64"/>
      <c r="G179" s="74" t="str">
        <f aca="false">IF(OR(B179="",NOT(ISNUMBER(D179)),NOT(ISNUMBER(E179))),"",NETWORKDAYS(D179,E179,FERIADOS))</f>
        <v/>
      </c>
      <c r="H179" s="69"/>
      <c r="I179" s="74" t="str">
        <f aca="false">IF(B179="","",IF(ISNUMBER(H179),H179,N(G179)))</f>
        <v/>
      </c>
      <c r="J179" s="64"/>
      <c r="K179" s="64"/>
      <c r="L179" s="93" t="str">
        <f aca="false">IF(NOT(ISNUMBER(D179)),"",DATE(YEAR(D179),MONTH(D179),1))</f>
        <v/>
      </c>
      <c r="M179" s="70" t="str">
        <f aca="false">IF(B179="","",IF(AND(ISNUMBER(D179),ISNUMBER(E179),E179&lt;D179),"⚠ Término anterior al inicio",IF(J179&lt;&gt;"Sí","Pendiente comprobante firmado","OK")))</f>
        <v/>
      </c>
    </row>
    <row r="180" customFormat="false" ht="15" hidden="false" customHeight="false" outlineLevel="0" collapsed="false">
      <c r="B180" s="64"/>
      <c r="C180" s="72" t="str">
        <f aca="false">IF(B180="","",IFERROR(INDEX(T_NOMBRE,MATCH(B180,T_ID,0)),"⚠ ID no existe"))</f>
        <v/>
      </c>
      <c r="D180" s="65"/>
      <c r="E180" s="65"/>
      <c r="F180" s="64"/>
      <c r="G180" s="74" t="str">
        <f aca="false">IF(OR(B180="",NOT(ISNUMBER(D180)),NOT(ISNUMBER(E180))),"",NETWORKDAYS(D180,E180,FERIADOS))</f>
        <v/>
      </c>
      <c r="H180" s="69"/>
      <c r="I180" s="74" t="str">
        <f aca="false">IF(B180="","",IF(ISNUMBER(H180),H180,N(G180)))</f>
        <v/>
      </c>
      <c r="J180" s="64"/>
      <c r="K180" s="64"/>
      <c r="L180" s="93" t="str">
        <f aca="false">IF(NOT(ISNUMBER(D180)),"",DATE(YEAR(D180),MONTH(D180),1))</f>
        <v/>
      </c>
      <c r="M180" s="70" t="str">
        <f aca="false">IF(B180="","",IF(AND(ISNUMBER(D180),ISNUMBER(E180),E180&lt;D180),"⚠ Término anterior al inicio",IF(J180&lt;&gt;"Sí","Pendiente comprobante firmado","OK")))</f>
        <v/>
      </c>
    </row>
    <row r="181" customFormat="false" ht="15" hidden="false" customHeight="false" outlineLevel="0" collapsed="false">
      <c r="B181" s="64"/>
      <c r="C181" s="72" t="str">
        <f aca="false">IF(B181="","",IFERROR(INDEX(T_NOMBRE,MATCH(B181,T_ID,0)),"⚠ ID no existe"))</f>
        <v/>
      </c>
      <c r="D181" s="65"/>
      <c r="E181" s="65"/>
      <c r="F181" s="64"/>
      <c r="G181" s="74" t="str">
        <f aca="false">IF(OR(B181="",NOT(ISNUMBER(D181)),NOT(ISNUMBER(E181))),"",NETWORKDAYS(D181,E181,FERIADOS))</f>
        <v/>
      </c>
      <c r="H181" s="69"/>
      <c r="I181" s="74" t="str">
        <f aca="false">IF(B181="","",IF(ISNUMBER(H181),H181,N(G181)))</f>
        <v/>
      </c>
      <c r="J181" s="64"/>
      <c r="K181" s="64"/>
      <c r="L181" s="93" t="str">
        <f aca="false">IF(NOT(ISNUMBER(D181)),"",DATE(YEAR(D181),MONTH(D181),1))</f>
        <v/>
      </c>
      <c r="M181" s="70" t="str">
        <f aca="false">IF(B181="","",IF(AND(ISNUMBER(D181),ISNUMBER(E181),E181&lt;D181),"⚠ Término anterior al inicio",IF(J181&lt;&gt;"Sí","Pendiente comprobante firmado","OK")))</f>
        <v/>
      </c>
    </row>
    <row r="182" customFormat="false" ht="15" hidden="false" customHeight="false" outlineLevel="0" collapsed="false">
      <c r="B182" s="64"/>
      <c r="C182" s="72" t="str">
        <f aca="false">IF(B182="","",IFERROR(INDEX(T_NOMBRE,MATCH(B182,T_ID,0)),"⚠ ID no existe"))</f>
        <v/>
      </c>
      <c r="D182" s="65"/>
      <c r="E182" s="65"/>
      <c r="F182" s="64"/>
      <c r="G182" s="74" t="str">
        <f aca="false">IF(OR(B182="",NOT(ISNUMBER(D182)),NOT(ISNUMBER(E182))),"",NETWORKDAYS(D182,E182,FERIADOS))</f>
        <v/>
      </c>
      <c r="H182" s="69"/>
      <c r="I182" s="74" t="str">
        <f aca="false">IF(B182="","",IF(ISNUMBER(H182),H182,N(G182)))</f>
        <v/>
      </c>
      <c r="J182" s="64"/>
      <c r="K182" s="64"/>
      <c r="L182" s="93" t="str">
        <f aca="false">IF(NOT(ISNUMBER(D182)),"",DATE(YEAR(D182),MONTH(D182),1))</f>
        <v/>
      </c>
      <c r="M182" s="70" t="str">
        <f aca="false">IF(B182="","",IF(AND(ISNUMBER(D182),ISNUMBER(E182),E182&lt;D182),"⚠ Término anterior al inicio",IF(J182&lt;&gt;"Sí","Pendiente comprobante firmado","OK")))</f>
        <v/>
      </c>
    </row>
    <row r="183" customFormat="false" ht="15" hidden="false" customHeight="false" outlineLevel="0" collapsed="false">
      <c r="B183" s="64"/>
      <c r="C183" s="72" t="str">
        <f aca="false">IF(B183="","",IFERROR(INDEX(T_NOMBRE,MATCH(B183,T_ID,0)),"⚠ ID no existe"))</f>
        <v/>
      </c>
      <c r="D183" s="65"/>
      <c r="E183" s="65"/>
      <c r="F183" s="64"/>
      <c r="G183" s="74" t="str">
        <f aca="false">IF(OR(B183="",NOT(ISNUMBER(D183)),NOT(ISNUMBER(E183))),"",NETWORKDAYS(D183,E183,FERIADOS))</f>
        <v/>
      </c>
      <c r="H183" s="69"/>
      <c r="I183" s="74" t="str">
        <f aca="false">IF(B183="","",IF(ISNUMBER(H183),H183,N(G183)))</f>
        <v/>
      </c>
      <c r="J183" s="64"/>
      <c r="K183" s="64"/>
      <c r="L183" s="93" t="str">
        <f aca="false">IF(NOT(ISNUMBER(D183)),"",DATE(YEAR(D183),MONTH(D183),1))</f>
        <v/>
      </c>
      <c r="M183" s="70" t="str">
        <f aca="false">IF(B183="","",IF(AND(ISNUMBER(D183),ISNUMBER(E183),E183&lt;D183),"⚠ Término anterior al inicio",IF(J183&lt;&gt;"Sí","Pendiente comprobante firmado","OK")))</f>
        <v/>
      </c>
    </row>
    <row r="184" customFormat="false" ht="15" hidden="false" customHeight="false" outlineLevel="0" collapsed="false">
      <c r="B184" s="64"/>
      <c r="C184" s="72" t="str">
        <f aca="false">IF(B184="","",IFERROR(INDEX(T_NOMBRE,MATCH(B184,T_ID,0)),"⚠ ID no existe"))</f>
        <v/>
      </c>
      <c r="D184" s="65"/>
      <c r="E184" s="65"/>
      <c r="F184" s="64"/>
      <c r="G184" s="74" t="str">
        <f aca="false">IF(OR(B184="",NOT(ISNUMBER(D184)),NOT(ISNUMBER(E184))),"",NETWORKDAYS(D184,E184,FERIADOS))</f>
        <v/>
      </c>
      <c r="H184" s="69"/>
      <c r="I184" s="74" t="str">
        <f aca="false">IF(B184="","",IF(ISNUMBER(H184),H184,N(G184)))</f>
        <v/>
      </c>
      <c r="J184" s="64"/>
      <c r="K184" s="64"/>
      <c r="L184" s="93" t="str">
        <f aca="false">IF(NOT(ISNUMBER(D184)),"",DATE(YEAR(D184),MONTH(D184),1))</f>
        <v/>
      </c>
      <c r="M184" s="70" t="str">
        <f aca="false">IF(B184="","",IF(AND(ISNUMBER(D184),ISNUMBER(E184),E184&lt;D184),"⚠ Término anterior al inicio",IF(J184&lt;&gt;"Sí","Pendiente comprobante firmado","OK")))</f>
        <v/>
      </c>
    </row>
    <row r="185" customFormat="false" ht="15" hidden="false" customHeight="false" outlineLevel="0" collapsed="false">
      <c r="B185" s="64"/>
      <c r="C185" s="72" t="str">
        <f aca="false">IF(B185="","",IFERROR(INDEX(T_NOMBRE,MATCH(B185,T_ID,0)),"⚠ ID no existe"))</f>
        <v/>
      </c>
      <c r="D185" s="65"/>
      <c r="E185" s="65"/>
      <c r="F185" s="64"/>
      <c r="G185" s="74" t="str">
        <f aca="false">IF(OR(B185="",NOT(ISNUMBER(D185)),NOT(ISNUMBER(E185))),"",NETWORKDAYS(D185,E185,FERIADOS))</f>
        <v/>
      </c>
      <c r="H185" s="69"/>
      <c r="I185" s="74" t="str">
        <f aca="false">IF(B185="","",IF(ISNUMBER(H185),H185,N(G185)))</f>
        <v/>
      </c>
      <c r="J185" s="64"/>
      <c r="K185" s="64"/>
      <c r="L185" s="93" t="str">
        <f aca="false">IF(NOT(ISNUMBER(D185)),"",DATE(YEAR(D185),MONTH(D185),1))</f>
        <v/>
      </c>
      <c r="M185" s="70" t="str">
        <f aca="false">IF(B185="","",IF(AND(ISNUMBER(D185),ISNUMBER(E185),E185&lt;D185),"⚠ Término anterior al inicio",IF(J185&lt;&gt;"Sí","Pendiente comprobante firmado","OK")))</f>
        <v/>
      </c>
    </row>
    <row r="186" customFormat="false" ht="15" hidden="false" customHeight="false" outlineLevel="0" collapsed="false">
      <c r="B186" s="64"/>
      <c r="C186" s="72" t="str">
        <f aca="false">IF(B186="","",IFERROR(INDEX(T_NOMBRE,MATCH(B186,T_ID,0)),"⚠ ID no existe"))</f>
        <v/>
      </c>
      <c r="D186" s="65"/>
      <c r="E186" s="65"/>
      <c r="F186" s="64"/>
      <c r="G186" s="74" t="str">
        <f aca="false">IF(OR(B186="",NOT(ISNUMBER(D186)),NOT(ISNUMBER(E186))),"",NETWORKDAYS(D186,E186,FERIADOS))</f>
        <v/>
      </c>
      <c r="H186" s="69"/>
      <c r="I186" s="74" t="str">
        <f aca="false">IF(B186="","",IF(ISNUMBER(H186),H186,N(G186)))</f>
        <v/>
      </c>
      <c r="J186" s="64"/>
      <c r="K186" s="64"/>
      <c r="L186" s="93" t="str">
        <f aca="false">IF(NOT(ISNUMBER(D186)),"",DATE(YEAR(D186),MONTH(D186),1))</f>
        <v/>
      </c>
      <c r="M186" s="70" t="str">
        <f aca="false">IF(B186="","",IF(AND(ISNUMBER(D186),ISNUMBER(E186),E186&lt;D186),"⚠ Término anterior al inicio",IF(J186&lt;&gt;"Sí","Pendiente comprobante firmado","OK")))</f>
        <v/>
      </c>
    </row>
    <row r="187" customFormat="false" ht="15" hidden="false" customHeight="false" outlineLevel="0" collapsed="false">
      <c r="B187" s="64"/>
      <c r="C187" s="72" t="str">
        <f aca="false">IF(B187="","",IFERROR(INDEX(T_NOMBRE,MATCH(B187,T_ID,0)),"⚠ ID no existe"))</f>
        <v/>
      </c>
      <c r="D187" s="65"/>
      <c r="E187" s="65"/>
      <c r="F187" s="64"/>
      <c r="G187" s="74" t="str">
        <f aca="false">IF(OR(B187="",NOT(ISNUMBER(D187)),NOT(ISNUMBER(E187))),"",NETWORKDAYS(D187,E187,FERIADOS))</f>
        <v/>
      </c>
      <c r="H187" s="69"/>
      <c r="I187" s="74" t="str">
        <f aca="false">IF(B187="","",IF(ISNUMBER(H187),H187,N(G187)))</f>
        <v/>
      </c>
      <c r="J187" s="64"/>
      <c r="K187" s="64"/>
      <c r="L187" s="93" t="str">
        <f aca="false">IF(NOT(ISNUMBER(D187)),"",DATE(YEAR(D187),MONTH(D187),1))</f>
        <v/>
      </c>
      <c r="M187" s="70" t="str">
        <f aca="false">IF(B187="","",IF(AND(ISNUMBER(D187),ISNUMBER(E187),E187&lt;D187),"⚠ Término anterior al inicio",IF(J187&lt;&gt;"Sí","Pendiente comprobante firmado","OK")))</f>
        <v/>
      </c>
    </row>
    <row r="188" customFormat="false" ht="15" hidden="false" customHeight="false" outlineLevel="0" collapsed="false">
      <c r="B188" s="64"/>
      <c r="C188" s="72" t="str">
        <f aca="false">IF(B188="","",IFERROR(INDEX(T_NOMBRE,MATCH(B188,T_ID,0)),"⚠ ID no existe"))</f>
        <v/>
      </c>
      <c r="D188" s="65"/>
      <c r="E188" s="65"/>
      <c r="F188" s="64"/>
      <c r="G188" s="74" t="str">
        <f aca="false">IF(OR(B188="",NOT(ISNUMBER(D188)),NOT(ISNUMBER(E188))),"",NETWORKDAYS(D188,E188,FERIADOS))</f>
        <v/>
      </c>
      <c r="H188" s="69"/>
      <c r="I188" s="74" t="str">
        <f aca="false">IF(B188="","",IF(ISNUMBER(H188),H188,N(G188)))</f>
        <v/>
      </c>
      <c r="J188" s="64"/>
      <c r="K188" s="64"/>
      <c r="L188" s="93" t="str">
        <f aca="false">IF(NOT(ISNUMBER(D188)),"",DATE(YEAR(D188),MONTH(D188),1))</f>
        <v/>
      </c>
      <c r="M188" s="70" t="str">
        <f aca="false">IF(B188="","",IF(AND(ISNUMBER(D188),ISNUMBER(E188),E188&lt;D188),"⚠ Término anterior al inicio",IF(J188&lt;&gt;"Sí","Pendiente comprobante firmado","OK")))</f>
        <v/>
      </c>
    </row>
    <row r="189" customFormat="false" ht="15" hidden="false" customHeight="false" outlineLevel="0" collapsed="false">
      <c r="B189" s="64"/>
      <c r="C189" s="72" t="str">
        <f aca="false">IF(B189="","",IFERROR(INDEX(T_NOMBRE,MATCH(B189,T_ID,0)),"⚠ ID no existe"))</f>
        <v/>
      </c>
      <c r="D189" s="65"/>
      <c r="E189" s="65"/>
      <c r="F189" s="64"/>
      <c r="G189" s="74" t="str">
        <f aca="false">IF(OR(B189="",NOT(ISNUMBER(D189)),NOT(ISNUMBER(E189))),"",NETWORKDAYS(D189,E189,FERIADOS))</f>
        <v/>
      </c>
      <c r="H189" s="69"/>
      <c r="I189" s="74" t="str">
        <f aca="false">IF(B189="","",IF(ISNUMBER(H189),H189,N(G189)))</f>
        <v/>
      </c>
      <c r="J189" s="64"/>
      <c r="K189" s="64"/>
      <c r="L189" s="93" t="str">
        <f aca="false">IF(NOT(ISNUMBER(D189)),"",DATE(YEAR(D189),MONTH(D189),1))</f>
        <v/>
      </c>
      <c r="M189" s="70" t="str">
        <f aca="false">IF(B189="","",IF(AND(ISNUMBER(D189),ISNUMBER(E189),E189&lt;D189),"⚠ Término anterior al inicio",IF(J189&lt;&gt;"Sí","Pendiente comprobante firmado","OK")))</f>
        <v/>
      </c>
    </row>
    <row r="190" customFormat="false" ht="15" hidden="false" customHeight="false" outlineLevel="0" collapsed="false">
      <c r="B190" s="64"/>
      <c r="C190" s="72" t="str">
        <f aca="false">IF(B190="","",IFERROR(INDEX(T_NOMBRE,MATCH(B190,T_ID,0)),"⚠ ID no existe"))</f>
        <v/>
      </c>
      <c r="D190" s="65"/>
      <c r="E190" s="65"/>
      <c r="F190" s="64"/>
      <c r="G190" s="74" t="str">
        <f aca="false">IF(OR(B190="",NOT(ISNUMBER(D190)),NOT(ISNUMBER(E190))),"",NETWORKDAYS(D190,E190,FERIADOS))</f>
        <v/>
      </c>
      <c r="H190" s="69"/>
      <c r="I190" s="74" t="str">
        <f aca="false">IF(B190="","",IF(ISNUMBER(H190),H190,N(G190)))</f>
        <v/>
      </c>
      <c r="J190" s="64"/>
      <c r="K190" s="64"/>
      <c r="L190" s="93" t="str">
        <f aca="false">IF(NOT(ISNUMBER(D190)),"",DATE(YEAR(D190),MONTH(D190),1))</f>
        <v/>
      </c>
      <c r="M190" s="70" t="str">
        <f aca="false">IF(B190="","",IF(AND(ISNUMBER(D190),ISNUMBER(E190),E190&lt;D190),"⚠ Término anterior al inicio",IF(J190&lt;&gt;"Sí","Pendiente comprobante firmado","OK")))</f>
        <v/>
      </c>
    </row>
    <row r="191" customFormat="false" ht="15" hidden="false" customHeight="false" outlineLevel="0" collapsed="false">
      <c r="B191" s="64"/>
      <c r="C191" s="72" t="str">
        <f aca="false">IF(B191="","",IFERROR(INDEX(T_NOMBRE,MATCH(B191,T_ID,0)),"⚠ ID no existe"))</f>
        <v/>
      </c>
      <c r="D191" s="65"/>
      <c r="E191" s="65"/>
      <c r="F191" s="64"/>
      <c r="G191" s="74" t="str">
        <f aca="false">IF(OR(B191="",NOT(ISNUMBER(D191)),NOT(ISNUMBER(E191))),"",NETWORKDAYS(D191,E191,FERIADOS))</f>
        <v/>
      </c>
      <c r="H191" s="69"/>
      <c r="I191" s="74" t="str">
        <f aca="false">IF(B191="","",IF(ISNUMBER(H191),H191,N(G191)))</f>
        <v/>
      </c>
      <c r="J191" s="64"/>
      <c r="K191" s="64"/>
      <c r="L191" s="93" t="str">
        <f aca="false">IF(NOT(ISNUMBER(D191)),"",DATE(YEAR(D191),MONTH(D191),1))</f>
        <v/>
      </c>
      <c r="M191" s="70" t="str">
        <f aca="false">IF(B191="","",IF(AND(ISNUMBER(D191),ISNUMBER(E191),E191&lt;D191),"⚠ Término anterior al inicio",IF(J191&lt;&gt;"Sí","Pendiente comprobante firmado","OK")))</f>
        <v/>
      </c>
    </row>
    <row r="192" customFormat="false" ht="15" hidden="false" customHeight="false" outlineLevel="0" collapsed="false">
      <c r="B192" s="64"/>
      <c r="C192" s="72" t="str">
        <f aca="false">IF(B192="","",IFERROR(INDEX(T_NOMBRE,MATCH(B192,T_ID,0)),"⚠ ID no existe"))</f>
        <v/>
      </c>
      <c r="D192" s="65"/>
      <c r="E192" s="65"/>
      <c r="F192" s="64"/>
      <c r="G192" s="74" t="str">
        <f aca="false">IF(OR(B192="",NOT(ISNUMBER(D192)),NOT(ISNUMBER(E192))),"",NETWORKDAYS(D192,E192,FERIADOS))</f>
        <v/>
      </c>
      <c r="H192" s="69"/>
      <c r="I192" s="74" t="str">
        <f aca="false">IF(B192="","",IF(ISNUMBER(H192),H192,N(G192)))</f>
        <v/>
      </c>
      <c r="J192" s="64"/>
      <c r="K192" s="64"/>
      <c r="L192" s="93" t="str">
        <f aca="false">IF(NOT(ISNUMBER(D192)),"",DATE(YEAR(D192),MONTH(D192),1))</f>
        <v/>
      </c>
      <c r="M192" s="70" t="str">
        <f aca="false">IF(B192="","",IF(AND(ISNUMBER(D192),ISNUMBER(E192),E192&lt;D192),"⚠ Término anterior al inicio",IF(J192&lt;&gt;"Sí","Pendiente comprobante firmado","OK")))</f>
        <v/>
      </c>
    </row>
    <row r="193" customFormat="false" ht="15" hidden="false" customHeight="false" outlineLevel="0" collapsed="false">
      <c r="B193" s="64"/>
      <c r="C193" s="72" t="str">
        <f aca="false">IF(B193="","",IFERROR(INDEX(T_NOMBRE,MATCH(B193,T_ID,0)),"⚠ ID no existe"))</f>
        <v/>
      </c>
      <c r="D193" s="65"/>
      <c r="E193" s="65"/>
      <c r="F193" s="64"/>
      <c r="G193" s="74" t="str">
        <f aca="false">IF(OR(B193="",NOT(ISNUMBER(D193)),NOT(ISNUMBER(E193))),"",NETWORKDAYS(D193,E193,FERIADOS))</f>
        <v/>
      </c>
      <c r="H193" s="69"/>
      <c r="I193" s="74" t="str">
        <f aca="false">IF(B193="","",IF(ISNUMBER(H193),H193,N(G193)))</f>
        <v/>
      </c>
      <c r="J193" s="64"/>
      <c r="K193" s="64"/>
      <c r="L193" s="93" t="str">
        <f aca="false">IF(NOT(ISNUMBER(D193)),"",DATE(YEAR(D193),MONTH(D193),1))</f>
        <v/>
      </c>
      <c r="M193" s="70" t="str">
        <f aca="false">IF(B193="","",IF(AND(ISNUMBER(D193),ISNUMBER(E193),E193&lt;D193),"⚠ Término anterior al inicio",IF(J193&lt;&gt;"Sí","Pendiente comprobante firmado","OK")))</f>
        <v/>
      </c>
    </row>
    <row r="194" customFormat="false" ht="15" hidden="false" customHeight="false" outlineLevel="0" collapsed="false">
      <c r="B194" s="64"/>
      <c r="C194" s="72" t="str">
        <f aca="false">IF(B194="","",IFERROR(INDEX(T_NOMBRE,MATCH(B194,T_ID,0)),"⚠ ID no existe"))</f>
        <v/>
      </c>
      <c r="D194" s="65"/>
      <c r="E194" s="65"/>
      <c r="F194" s="64"/>
      <c r="G194" s="74" t="str">
        <f aca="false">IF(OR(B194="",NOT(ISNUMBER(D194)),NOT(ISNUMBER(E194))),"",NETWORKDAYS(D194,E194,FERIADOS))</f>
        <v/>
      </c>
      <c r="H194" s="69"/>
      <c r="I194" s="74" t="str">
        <f aca="false">IF(B194="","",IF(ISNUMBER(H194),H194,N(G194)))</f>
        <v/>
      </c>
      <c r="J194" s="64"/>
      <c r="K194" s="64"/>
      <c r="L194" s="93" t="str">
        <f aca="false">IF(NOT(ISNUMBER(D194)),"",DATE(YEAR(D194),MONTH(D194),1))</f>
        <v/>
      </c>
      <c r="M194" s="70" t="str">
        <f aca="false">IF(B194="","",IF(AND(ISNUMBER(D194),ISNUMBER(E194),E194&lt;D194),"⚠ Término anterior al inicio",IF(J194&lt;&gt;"Sí","Pendiente comprobante firmado","OK")))</f>
        <v/>
      </c>
    </row>
    <row r="195" customFormat="false" ht="15" hidden="false" customHeight="false" outlineLevel="0" collapsed="false">
      <c r="B195" s="64"/>
      <c r="C195" s="72" t="str">
        <f aca="false">IF(B195="","",IFERROR(INDEX(T_NOMBRE,MATCH(B195,T_ID,0)),"⚠ ID no existe"))</f>
        <v/>
      </c>
      <c r="D195" s="65"/>
      <c r="E195" s="65"/>
      <c r="F195" s="64"/>
      <c r="G195" s="74" t="str">
        <f aca="false">IF(OR(B195="",NOT(ISNUMBER(D195)),NOT(ISNUMBER(E195))),"",NETWORKDAYS(D195,E195,FERIADOS))</f>
        <v/>
      </c>
      <c r="H195" s="69"/>
      <c r="I195" s="74" t="str">
        <f aca="false">IF(B195="","",IF(ISNUMBER(H195),H195,N(G195)))</f>
        <v/>
      </c>
      <c r="J195" s="64"/>
      <c r="K195" s="64"/>
      <c r="L195" s="93" t="str">
        <f aca="false">IF(NOT(ISNUMBER(D195)),"",DATE(YEAR(D195),MONTH(D195),1))</f>
        <v/>
      </c>
      <c r="M195" s="70" t="str">
        <f aca="false">IF(B195="","",IF(AND(ISNUMBER(D195),ISNUMBER(E195),E195&lt;D195),"⚠ Término anterior al inicio",IF(J195&lt;&gt;"Sí","Pendiente comprobante firmado","OK")))</f>
        <v/>
      </c>
    </row>
    <row r="196" customFormat="false" ht="15" hidden="false" customHeight="false" outlineLevel="0" collapsed="false">
      <c r="B196" s="64"/>
      <c r="C196" s="72" t="str">
        <f aca="false">IF(B196="","",IFERROR(INDEX(T_NOMBRE,MATCH(B196,T_ID,0)),"⚠ ID no existe"))</f>
        <v/>
      </c>
      <c r="D196" s="65"/>
      <c r="E196" s="65"/>
      <c r="F196" s="64"/>
      <c r="G196" s="74" t="str">
        <f aca="false">IF(OR(B196="",NOT(ISNUMBER(D196)),NOT(ISNUMBER(E196))),"",NETWORKDAYS(D196,E196,FERIADOS))</f>
        <v/>
      </c>
      <c r="H196" s="69"/>
      <c r="I196" s="74" t="str">
        <f aca="false">IF(B196="","",IF(ISNUMBER(H196),H196,N(G196)))</f>
        <v/>
      </c>
      <c r="J196" s="64"/>
      <c r="K196" s="64"/>
      <c r="L196" s="93" t="str">
        <f aca="false">IF(NOT(ISNUMBER(D196)),"",DATE(YEAR(D196),MONTH(D196),1))</f>
        <v/>
      </c>
      <c r="M196" s="70" t="str">
        <f aca="false">IF(B196="","",IF(AND(ISNUMBER(D196),ISNUMBER(E196),E196&lt;D196),"⚠ Término anterior al inicio",IF(J196&lt;&gt;"Sí","Pendiente comprobante firmado","OK")))</f>
        <v/>
      </c>
    </row>
    <row r="197" customFormat="false" ht="15" hidden="false" customHeight="false" outlineLevel="0" collapsed="false">
      <c r="B197" s="64"/>
      <c r="C197" s="72" t="str">
        <f aca="false">IF(B197="","",IFERROR(INDEX(T_NOMBRE,MATCH(B197,T_ID,0)),"⚠ ID no existe"))</f>
        <v/>
      </c>
      <c r="D197" s="65"/>
      <c r="E197" s="65"/>
      <c r="F197" s="64"/>
      <c r="G197" s="74" t="str">
        <f aca="false">IF(OR(B197="",NOT(ISNUMBER(D197)),NOT(ISNUMBER(E197))),"",NETWORKDAYS(D197,E197,FERIADOS))</f>
        <v/>
      </c>
      <c r="H197" s="69"/>
      <c r="I197" s="74" t="str">
        <f aca="false">IF(B197="","",IF(ISNUMBER(H197),H197,N(G197)))</f>
        <v/>
      </c>
      <c r="J197" s="64"/>
      <c r="K197" s="64"/>
      <c r="L197" s="93" t="str">
        <f aca="false">IF(NOT(ISNUMBER(D197)),"",DATE(YEAR(D197),MONTH(D197),1))</f>
        <v/>
      </c>
      <c r="M197" s="70" t="str">
        <f aca="false">IF(B197="","",IF(AND(ISNUMBER(D197),ISNUMBER(E197),E197&lt;D197),"⚠ Término anterior al inicio",IF(J197&lt;&gt;"Sí","Pendiente comprobante firmado","OK")))</f>
        <v/>
      </c>
    </row>
    <row r="198" customFormat="false" ht="15" hidden="false" customHeight="false" outlineLevel="0" collapsed="false">
      <c r="B198" s="64"/>
      <c r="C198" s="72" t="str">
        <f aca="false">IF(B198="","",IFERROR(INDEX(T_NOMBRE,MATCH(B198,T_ID,0)),"⚠ ID no existe"))</f>
        <v/>
      </c>
      <c r="D198" s="65"/>
      <c r="E198" s="65"/>
      <c r="F198" s="64"/>
      <c r="G198" s="74" t="str">
        <f aca="false">IF(OR(B198="",NOT(ISNUMBER(D198)),NOT(ISNUMBER(E198))),"",NETWORKDAYS(D198,E198,FERIADOS))</f>
        <v/>
      </c>
      <c r="H198" s="69"/>
      <c r="I198" s="74" t="str">
        <f aca="false">IF(B198="","",IF(ISNUMBER(H198),H198,N(G198)))</f>
        <v/>
      </c>
      <c r="J198" s="64"/>
      <c r="K198" s="64"/>
      <c r="L198" s="93" t="str">
        <f aca="false">IF(NOT(ISNUMBER(D198)),"",DATE(YEAR(D198),MONTH(D198),1))</f>
        <v/>
      </c>
      <c r="M198" s="70" t="str">
        <f aca="false">IF(B198="","",IF(AND(ISNUMBER(D198),ISNUMBER(E198),E198&lt;D198),"⚠ Término anterior al inicio",IF(J198&lt;&gt;"Sí","Pendiente comprobante firmado","OK")))</f>
        <v/>
      </c>
    </row>
    <row r="199" customFormat="false" ht="15" hidden="false" customHeight="false" outlineLevel="0" collapsed="false">
      <c r="B199" s="64"/>
      <c r="C199" s="72" t="str">
        <f aca="false">IF(B199="","",IFERROR(INDEX(T_NOMBRE,MATCH(B199,T_ID,0)),"⚠ ID no existe"))</f>
        <v/>
      </c>
      <c r="D199" s="65"/>
      <c r="E199" s="65"/>
      <c r="F199" s="64"/>
      <c r="G199" s="74" t="str">
        <f aca="false">IF(OR(B199="",NOT(ISNUMBER(D199)),NOT(ISNUMBER(E199))),"",NETWORKDAYS(D199,E199,FERIADOS))</f>
        <v/>
      </c>
      <c r="H199" s="69"/>
      <c r="I199" s="74" t="str">
        <f aca="false">IF(B199="","",IF(ISNUMBER(H199),H199,N(G199)))</f>
        <v/>
      </c>
      <c r="J199" s="64"/>
      <c r="K199" s="64"/>
      <c r="L199" s="93" t="str">
        <f aca="false">IF(NOT(ISNUMBER(D199)),"",DATE(YEAR(D199),MONTH(D199),1))</f>
        <v/>
      </c>
      <c r="M199" s="70" t="str">
        <f aca="false">IF(B199="","",IF(AND(ISNUMBER(D199),ISNUMBER(E199),E199&lt;D199),"⚠ Término anterior al inicio",IF(J199&lt;&gt;"Sí","Pendiente comprobante firmado","OK")))</f>
        <v/>
      </c>
    </row>
    <row r="200" customFormat="false" ht="15" hidden="false" customHeight="false" outlineLevel="0" collapsed="false">
      <c r="B200" s="64"/>
      <c r="C200" s="72" t="str">
        <f aca="false">IF(B200="","",IFERROR(INDEX(T_NOMBRE,MATCH(B200,T_ID,0)),"⚠ ID no existe"))</f>
        <v/>
      </c>
      <c r="D200" s="65"/>
      <c r="E200" s="65"/>
      <c r="F200" s="64"/>
      <c r="G200" s="74" t="str">
        <f aca="false">IF(OR(B200="",NOT(ISNUMBER(D200)),NOT(ISNUMBER(E200))),"",NETWORKDAYS(D200,E200,FERIADOS))</f>
        <v/>
      </c>
      <c r="H200" s="69"/>
      <c r="I200" s="74" t="str">
        <f aca="false">IF(B200="","",IF(ISNUMBER(H200),H200,N(G200)))</f>
        <v/>
      </c>
      <c r="J200" s="64"/>
      <c r="K200" s="64"/>
      <c r="L200" s="93" t="str">
        <f aca="false">IF(NOT(ISNUMBER(D200)),"",DATE(YEAR(D200),MONTH(D200),1))</f>
        <v/>
      </c>
      <c r="M200" s="70" t="str">
        <f aca="false">IF(B200="","",IF(AND(ISNUMBER(D200),ISNUMBER(E200),E200&lt;D200),"⚠ Término anterior al inicio",IF(J200&lt;&gt;"Sí","Pendiente comprobante firmado","OK")))</f>
        <v/>
      </c>
    </row>
    <row r="201" customFormat="false" ht="15" hidden="false" customHeight="false" outlineLevel="0" collapsed="false">
      <c r="B201" s="64"/>
      <c r="C201" s="72" t="str">
        <f aca="false">IF(B201="","",IFERROR(INDEX(T_NOMBRE,MATCH(B201,T_ID,0)),"⚠ ID no existe"))</f>
        <v/>
      </c>
      <c r="D201" s="65"/>
      <c r="E201" s="65"/>
      <c r="F201" s="64"/>
      <c r="G201" s="74" t="str">
        <f aca="false">IF(OR(B201="",NOT(ISNUMBER(D201)),NOT(ISNUMBER(E201))),"",NETWORKDAYS(D201,E201,FERIADOS))</f>
        <v/>
      </c>
      <c r="H201" s="69"/>
      <c r="I201" s="74" t="str">
        <f aca="false">IF(B201="","",IF(ISNUMBER(H201),H201,N(G201)))</f>
        <v/>
      </c>
      <c r="J201" s="64"/>
      <c r="K201" s="64"/>
      <c r="L201" s="93" t="str">
        <f aca="false">IF(NOT(ISNUMBER(D201)),"",DATE(YEAR(D201),MONTH(D201),1))</f>
        <v/>
      </c>
      <c r="M201" s="70" t="str">
        <f aca="false">IF(B201="","",IF(AND(ISNUMBER(D201),ISNUMBER(E201),E201&lt;D201),"⚠ Término anterior al inicio",IF(J201&lt;&gt;"Sí","Pendiente comprobante firmado","OK")))</f>
        <v/>
      </c>
    </row>
    <row r="202" customFormat="false" ht="15" hidden="false" customHeight="false" outlineLevel="0" collapsed="false">
      <c r="B202" s="64"/>
      <c r="C202" s="72" t="str">
        <f aca="false">IF(B202="","",IFERROR(INDEX(T_NOMBRE,MATCH(B202,T_ID,0)),"⚠ ID no existe"))</f>
        <v/>
      </c>
      <c r="D202" s="65"/>
      <c r="E202" s="65"/>
      <c r="F202" s="64"/>
      <c r="G202" s="74" t="str">
        <f aca="false">IF(OR(B202="",NOT(ISNUMBER(D202)),NOT(ISNUMBER(E202))),"",NETWORKDAYS(D202,E202,FERIADOS))</f>
        <v/>
      </c>
      <c r="H202" s="69"/>
      <c r="I202" s="74" t="str">
        <f aca="false">IF(B202="","",IF(ISNUMBER(H202),H202,N(G202)))</f>
        <v/>
      </c>
      <c r="J202" s="64"/>
      <c r="K202" s="64"/>
      <c r="L202" s="93" t="str">
        <f aca="false">IF(NOT(ISNUMBER(D202)),"",DATE(YEAR(D202),MONTH(D202),1))</f>
        <v/>
      </c>
      <c r="M202" s="70" t="str">
        <f aca="false">IF(B202="","",IF(AND(ISNUMBER(D202),ISNUMBER(E202),E202&lt;D202),"⚠ Término anterior al inicio",IF(J202&lt;&gt;"Sí","Pendiente comprobante firmado","OK")))</f>
        <v/>
      </c>
    </row>
    <row r="203" customFormat="false" ht="15" hidden="false" customHeight="false" outlineLevel="0" collapsed="false">
      <c r="B203" s="64"/>
      <c r="C203" s="72" t="str">
        <f aca="false">IF(B203="","",IFERROR(INDEX(T_NOMBRE,MATCH(B203,T_ID,0)),"⚠ ID no existe"))</f>
        <v/>
      </c>
      <c r="D203" s="65"/>
      <c r="E203" s="65"/>
      <c r="F203" s="64"/>
      <c r="G203" s="74" t="str">
        <f aca="false">IF(OR(B203="",NOT(ISNUMBER(D203)),NOT(ISNUMBER(E203))),"",NETWORKDAYS(D203,E203,FERIADOS))</f>
        <v/>
      </c>
      <c r="H203" s="69"/>
      <c r="I203" s="74" t="str">
        <f aca="false">IF(B203="","",IF(ISNUMBER(H203),H203,N(G203)))</f>
        <v/>
      </c>
      <c r="J203" s="64"/>
      <c r="K203" s="64"/>
      <c r="L203" s="93" t="str">
        <f aca="false">IF(NOT(ISNUMBER(D203)),"",DATE(YEAR(D203),MONTH(D203),1))</f>
        <v/>
      </c>
      <c r="M203" s="70" t="str">
        <f aca="false">IF(B203="","",IF(AND(ISNUMBER(D203),ISNUMBER(E203),E203&lt;D203),"⚠ Término anterior al inicio",IF(J203&lt;&gt;"Sí","Pendiente comprobante firmado","OK")))</f>
        <v/>
      </c>
    </row>
    <row r="204" customFormat="false" ht="15" hidden="false" customHeight="false" outlineLevel="0" collapsed="false">
      <c r="B204" s="64"/>
      <c r="C204" s="72" t="str">
        <f aca="false">IF(B204="","",IFERROR(INDEX(T_NOMBRE,MATCH(B204,T_ID,0)),"⚠ ID no existe"))</f>
        <v/>
      </c>
      <c r="D204" s="65"/>
      <c r="E204" s="65"/>
      <c r="F204" s="64"/>
      <c r="G204" s="74" t="str">
        <f aca="false">IF(OR(B204="",NOT(ISNUMBER(D204)),NOT(ISNUMBER(E204))),"",NETWORKDAYS(D204,E204,FERIADOS))</f>
        <v/>
      </c>
      <c r="H204" s="69"/>
      <c r="I204" s="74" t="str">
        <f aca="false">IF(B204="","",IF(ISNUMBER(H204),H204,N(G204)))</f>
        <v/>
      </c>
      <c r="J204" s="64"/>
      <c r="K204" s="64"/>
      <c r="L204" s="93" t="str">
        <f aca="false">IF(NOT(ISNUMBER(D204)),"",DATE(YEAR(D204),MONTH(D204),1))</f>
        <v/>
      </c>
      <c r="M204" s="70" t="str">
        <f aca="false">IF(B204="","",IF(AND(ISNUMBER(D204),ISNUMBER(E204),E204&lt;D204),"⚠ Término anterior al inicio",IF(J204&lt;&gt;"Sí","Pendiente comprobante firmado","OK")))</f>
        <v/>
      </c>
    </row>
    <row r="205" customFormat="false" ht="15" hidden="false" customHeight="false" outlineLevel="0" collapsed="false">
      <c r="B205" s="64"/>
      <c r="C205" s="72" t="str">
        <f aca="false">IF(B205="","",IFERROR(INDEX(T_NOMBRE,MATCH(B205,T_ID,0)),"⚠ ID no existe"))</f>
        <v/>
      </c>
      <c r="D205" s="65"/>
      <c r="E205" s="65"/>
      <c r="F205" s="64"/>
      <c r="G205" s="74" t="str">
        <f aca="false">IF(OR(B205="",NOT(ISNUMBER(D205)),NOT(ISNUMBER(E205))),"",NETWORKDAYS(D205,E205,FERIADOS))</f>
        <v/>
      </c>
      <c r="H205" s="69"/>
      <c r="I205" s="74" t="str">
        <f aca="false">IF(B205="","",IF(ISNUMBER(H205),H205,N(G205)))</f>
        <v/>
      </c>
      <c r="J205" s="64"/>
      <c r="K205" s="64"/>
      <c r="L205" s="93" t="str">
        <f aca="false">IF(NOT(ISNUMBER(D205)),"",DATE(YEAR(D205),MONTH(D205),1))</f>
        <v/>
      </c>
      <c r="M205" s="70" t="str">
        <f aca="false">IF(B205="","",IF(AND(ISNUMBER(D205),ISNUMBER(E205),E205&lt;D205),"⚠ Término anterior al inicio",IF(J205&lt;&gt;"Sí","Pendiente comprobante firmado","OK")))</f>
        <v/>
      </c>
    </row>
    <row r="206" customFormat="false" ht="15" hidden="false" customHeight="false" outlineLevel="0" collapsed="false">
      <c r="B206" s="64"/>
      <c r="C206" s="72" t="str">
        <f aca="false">IF(B206="","",IFERROR(INDEX(T_NOMBRE,MATCH(B206,T_ID,0)),"⚠ ID no existe"))</f>
        <v/>
      </c>
      <c r="D206" s="65"/>
      <c r="E206" s="65"/>
      <c r="F206" s="64"/>
      <c r="G206" s="74" t="str">
        <f aca="false">IF(OR(B206="",NOT(ISNUMBER(D206)),NOT(ISNUMBER(E206))),"",NETWORKDAYS(D206,E206,FERIADOS))</f>
        <v/>
      </c>
      <c r="H206" s="69"/>
      <c r="I206" s="74" t="str">
        <f aca="false">IF(B206="","",IF(ISNUMBER(H206),H206,N(G206)))</f>
        <v/>
      </c>
      <c r="J206" s="64"/>
      <c r="K206" s="64"/>
      <c r="L206" s="93" t="str">
        <f aca="false">IF(NOT(ISNUMBER(D206)),"",DATE(YEAR(D206),MONTH(D206),1))</f>
        <v/>
      </c>
      <c r="M206" s="70" t="str">
        <f aca="false">IF(B206="","",IF(AND(ISNUMBER(D206),ISNUMBER(E206),E206&lt;D206),"⚠ Término anterior al inicio",IF(J206&lt;&gt;"Sí","Pendiente comprobante firmado","OK")))</f>
        <v/>
      </c>
    </row>
    <row r="207" customFormat="false" ht="15" hidden="false" customHeight="false" outlineLevel="0" collapsed="false">
      <c r="B207" s="64"/>
      <c r="C207" s="72" t="str">
        <f aca="false">IF(B207="","",IFERROR(INDEX(T_NOMBRE,MATCH(B207,T_ID,0)),"⚠ ID no existe"))</f>
        <v/>
      </c>
      <c r="D207" s="65"/>
      <c r="E207" s="65"/>
      <c r="F207" s="64"/>
      <c r="G207" s="74" t="str">
        <f aca="false">IF(OR(B207="",NOT(ISNUMBER(D207)),NOT(ISNUMBER(E207))),"",NETWORKDAYS(D207,E207,FERIADOS))</f>
        <v/>
      </c>
      <c r="H207" s="69"/>
      <c r="I207" s="74" t="str">
        <f aca="false">IF(B207="","",IF(ISNUMBER(H207),H207,N(G207)))</f>
        <v/>
      </c>
      <c r="J207" s="64"/>
      <c r="K207" s="64"/>
      <c r="L207" s="93" t="str">
        <f aca="false">IF(NOT(ISNUMBER(D207)),"",DATE(YEAR(D207),MONTH(D207),1))</f>
        <v/>
      </c>
      <c r="M207" s="70" t="str">
        <f aca="false">IF(B207="","",IF(AND(ISNUMBER(D207),ISNUMBER(E207),E207&lt;D207),"⚠ Término anterior al inicio",IF(J207&lt;&gt;"Sí","Pendiente comprobante firmado","OK")))</f>
        <v/>
      </c>
    </row>
    <row r="208" customFormat="false" ht="15" hidden="false" customHeight="false" outlineLevel="0" collapsed="false">
      <c r="B208" s="64"/>
      <c r="C208" s="72" t="str">
        <f aca="false">IF(B208="","",IFERROR(INDEX(T_NOMBRE,MATCH(B208,T_ID,0)),"⚠ ID no existe"))</f>
        <v/>
      </c>
      <c r="D208" s="65"/>
      <c r="E208" s="65"/>
      <c r="F208" s="64"/>
      <c r="G208" s="74" t="str">
        <f aca="false">IF(OR(B208="",NOT(ISNUMBER(D208)),NOT(ISNUMBER(E208))),"",NETWORKDAYS(D208,E208,FERIADOS))</f>
        <v/>
      </c>
      <c r="H208" s="69"/>
      <c r="I208" s="74" t="str">
        <f aca="false">IF(B208="","",IF(ISNUMBER(H208),H208,N(G208)))</f>
        <v/>
      </c>
      <c r="J208" s="64"/>
      <c r="K208" s="64"/>
      <c r="L208" s="93" t="str">
        <f aca="false">IF(NOT(ISNUMBER(D208)),"",DATE(YEAR(D208),MONTH(D208),1))</f>
        <v/>
      </c>
      <c r="M208" s="70" t="str">
        <f aca="false">IF(B208="","",IF(AND(ISNUMBER(D208),ISNUMBER(E208),E208&lt;D208),"⚠ Término anterior al inicio",IF(J208&lt;&gt;"Sí","Pendiente comprobante firmado","OK")))</f>
        <v/>
      </c>
    </row>
    <row r="209" customFormat="false" ht="15" hidden="false" customHeight="false" outlineLevel="0" collapsed="false">
      <c r="B209" s="64"/>
      <c r="C209" s="72" t="str">
        <f aca="false">IF(B209="","",IFERROR(INDEX(T_NOMBRE,MATCH(B209,T_ID,0)),"⚠ ID no existe"))</f>
        <v/>
      </c>
      <c r="D209" s="65"/>
      <c r="E209" s="65"/>
      <c r="F209" s="64"/>
      <c r="G209" s="74" t="str">
        <f aca="false">IF(OR(B209="",NOT(ISNUMBER(D209)),NOT(ISNUMBER(E209))),"",NETWORKDAYS(D209,E209,FERIADOS))</f>
        <v/>
      </c>
      <c r="H209" s="69"/>
      <c r="I209" s="74" t="str">
        <f aca="false">IF(B209="","",IF(ISNUMBER(H209),H209,N(G209)))</f>
        <v/>
      </c>
      <c r="J209" s="64"/>
      <c r="K209" s="64"/>
      <c r="L209" s="93" t="str">
        <f aca="false">IF(NOT(ISNUMBER(D209)),"",DATE(YEAR(D209),MONTH(D209),1))</f>
        <v/>
      </c>
      <c r="M209" s="70" t="str">
        <f aca="false">IF(B209="","",IF(AND(ISNUMBER(D209),ISNUMBER(E209),E209&lt;D209),"⚠ Término anterior al inicio",IF(J209&lt;&gt;"Sí","Pendiente comprobante firmado","OK")))</f>
        <v/>
      </c>
    </row>
    <row r="210" customFormat="false" ht="15" hidden="false" customHeight="false" outlineLevel="0" collapsed="false">
      <c r="B210" s="64"/>
      <c r="C210" s="72" t="str">
        <f aca="false">IF(B210="","",IFERROR(INDEX(T_NOMBRE,MATCH(B210,T_ID,0)),"⚠ ID no existe"))</f>
        <v/>
      </c>
      <c r="D210" s="65"/>
      <c r="E210" s="65"/>
      <c r="F210" s="64"/>
      <c r="G210" s="74" t="str">
        <f aca="false">IF(OR(B210="",NOT(ISNUMBER(D210)),NOT(ISNUMBER(E210))),"",NETWORKDAYS(D210,E210,FERIADOS))</f>
        <v/>
      </c>
      <c r="H210" s="69"/>
      <c r="I210" s="74" t="str">
        <f aca="false">IF(B210="","",IF(ISNUMBER(H210),H210,N(G210)))</f>
        <v/>
      </c>
      <c r="J210" s="64"/>
      <c r="K210" s="64"/>
      <c r="L210" s="93" t="str">
        <f aca="false">IF(NOT(ISNUMBER(D210)),"",DATE(YEAR(D210),MONTH(D210),1))</f>
        <v/>
      </c>
      <c r="M210" s="70" t="str">
        <f aca="false">IF(B210="","",IF(AND(ISNUMBER(D210),ISNUMBER(E210),E210&lt;D210),"⚠ Término anterior al inicio",IF(J210&lt;&gt;"Sí","Pendiente comprobante firmado","OK")))</f>
        <v/>
      </c>
    </row>
    <row r="211" customFormat="false" ht="15" hidden="false" customHeight="false" outlineLevel="0" collapsed="false">
      <c r="B211" s="64"/>
      <c r="C211" s="72" t="str">
        <f aca="false">IF(B211="","",IFERROR(INDEX(T_NOMBRE,MATCH(B211,T_ID,0)),"⚠ ID no existe"))</f>
        <v/>
      </c>
      <c r="D211" s="65"/>
      <c r="E211" s="65"/>
      <c r="F211" s="64"/>
      <c r="G211" s="74" t="str">
        <f aca="false">IF(OR(B211="",NOT(ISNUMBER(D211)),NOT(ISNUMBER(E211))),"",NETWORKDAYS(D211,E211,FERIADOS))</f>
        <v/>
      </c>
      <c r="H211" s="69"/>
      <c r="I211" s="74" t="str">
        <f aca="false">IF(B211="","",IF(ISNUMBER(H211),H211,N(G211)))</f>
        <v/>
      </c>
      <c r="J211" s="64"/>
      <c r="K211" s="64"/>
      <c r="L211" s="93" t="str">
        <f aca="false">IF(NOT(ISNUMBER(D211)),"",DATE(YEAR(D211),MONTH(D211),1))</f>
        <v/>
      </c>
      <c r="M211" s="70" t="str">
        <f aca="false">IF(B211="","",IF(AND(ISNUMBER(D211),ISNUMBER(E211),E211&lt;D211),"⚠ Término anterior al inicio",IF(J211&lt;&gt;"Sí","Pendiente comprobante firmado","OK")))</f>
        <v/>
      </c>
    </row>
    <row r="212" customFormat="false" ht="15" hidden="false" customHeight="false" outlineLevel="0" collapsed="false">
      <c r="B212" s="64"/>
      <c r="C212" s="72" t="str">
        <f aca="false">IF(B212="","",IFERROR(INDEX(T_NOMBRE,MATCH(B212,T_ID,0)),"⚠ ID no existe"))</f>
        <v/>
      </c>
      <c r="D212" s="65"/>
      <c r="E212" s="65"/>
      <c r="F212" s="64"/>
      <c r="G212" s="74" t="str">
        <f aca="false">IF(OR(B212="",NOT(ISNUMBER(D212)),NOT(ISNUMBER(E212))),"",NETWORKDAYS(D212,E212,FERIADOS))</f>
        <v/>
      </c>
      <c r="H212" s="69"/>
      <c r="I212" s="74" t="str">
        <f aca="false">IF(B212="","",IF(ISNUMBER(H212),H212,N(G212)))</f>
        <v/>
      </c>
      <c r="J212" s="64"/>
      <c r="K212" s="64"/>
      <c r="L212" s="93" t="str">
        <f aca="false">IF(NOT(ISNUMBER(D212)),"",DATE(YEAR(D212),MONTH(D212),1))</f>
        <v/>
      </c>
      <c r="M212" s="70" t="str">
        <f aca="false">IF(B212="","",IF(AND(ISNUMBER(D212),ISNUMBER(E212),E212&lt;D212),"⚠ Término anterior al inicio",IF(J212&lt;&gt;"Sí","Pendiente comprobante firmado","OK")))</f>
        <v/>
      </c>
    </row>
    <row r="213" customFormat="false" ht="15" hidden="false" customHeight="false" outlineLevel="0" collapsed="false">
      <c r="B213" s="64"/>
      <c r="C213" s="72" t="str">
        <f aca="false">IF(B213="","",IFERROR(INDEX(T_NOMBRE,MATCH(B213,T_ID,0)),"⚠ ID no existe"))</f>
        <v/>
      </c>
      <c r="D213" s="65"/>
      <c r="E213" s="65"/>
      <c r="F213" s="64"/>
      <c r="G213" s="74" t="str">
        <f aca="false">IF(OR(B213="",NOT(ISNUMBER(D213)),NOT(ISNUMBER(E213))),"",NETWORKDAYS(D213,E213,FERIADOS))</f>
        <v/>
      </c>
      <c r="H213" s="69"/>
      <c r="I213" s="74" t="str">
        <f aca="false">IF(B213="","",IF(ISNUMBER(H213),H213,N(G213)))</f>
        <v/>
      </c>
      <c r="J213" s="64"/>
      <c r="K213" s="64"/>
      <c r="L213" s="93" t="str">
        <f aca="false">IF(NOT(ISNUMBER(D213)),"",DATE(YEAR(D213),MONTH(D213),1))</f>
        <v/>
      </c>
      <c r="M213" s="70" t="str">
        <f aca="false">IF(B213="","",IF(AND(ISNUMBER(D213),ISNUMBER(E213),E213&lt;D213),"⚠ Término anterior al inicio",IF(J213&lt;&gt;"Sí","Pendiente comprobante firmado","OK")))</f>
        <v/>
      </c>
    </row>
    <row r="214" customFormat="false" ht="15" hidden="false" customHeight="false" outlineLevel="0" collapsed="false">
      <c r="B214" s="64"/>
      <c r="C214" s="72" t="str">
        <f aca="false">IF(B214="","",IFERROR(INDEX(T_NOMBRE,MATCH(B214,T_ID,0)),"⚠ ID no existe"))</f>
        <v/>
      </c>
      <c r="D214" s="65"/>
      <c r="E214" s="65"/>
      <c r="F214" s="64"/>
      <c r="G214" s="74" t="str">
        <f aca="false">IF(OR(B214="",NOT(ISNUMBER(D214)),NOT(ISNUMBER(E214))),"",NETWORKDAYS(D214,E214,FERIADOS))</f>
        <v/>
      </c>
      <c r="H214" s="69"/>
      <c r="I214" s="74" t="str">
        <f aca="false">IF(B214="","",IF(ISNUMBER(H214),H214,N(G214)))</f>
        <v/>
      </c>
      <c r="J214" s="64"/>
      <c r="K214" s="64"/>
      <c r="L214" s="93" t="str">
        <f aca="false">IF(NOT(ISNUMBER(D214)),"",DATE(YEAR(D214),MONTH(D214),1))</f>
        <v/>
      </c>
      <c r="M214" s="70" t="str">
        <f aca="false">IF(B214="","",IF(AND(ISNUMBER(D214),ISNUMBER(E214),E214&lt;D214),"⚠ Término anterior al inicio",IF(J214&lt;&gt;"Sí","Pendiente comprobante firmado","OK")))</f>
        <v/>
      </c>
    </row>
    <row r="215" customFormat="false" ht="15" hidden="false" customHeight="false" outlineLevel="0" collapsed="false">
      <c r="B215" s="64"/>
      <c r="C215" s="72" t="str">
        <f aca="false">IF(B215="","",IFERROR(INDEX(T_NOMBRE,MATCH(B215,T_ID,0)),"⚠ ID no existe"))</f>
        <v/>
      </c>
      <c r="D215" s="65"/>
      <c r="E215" s="65"/>
      <c r="F215" s="64"/>
      <c r="G215" s="74" t="str">
        <f aca="false">IF(OR(B215="",NOT(ISNUMBER(D215)),NOT(ISNUMBER(E215))),"",NETWORKDAYS(D215,E215,FERIADOS))</f>
        <v/>
      </c>
      <c r="H215" s="69"/>
      <c r="I215" s="74" t="str">
        <f aca="false">IF(B215="","",IF(ISNUMBER(H215),H215,N(G215)))</f>
        <v/>
      </c>
      <c r="J215" s="64"/>
      <c r="K215" s="64"/>
      <c r="L215" s="93" t="str">
        <f aca="false">IF(NOT(ISNUMBER(D215)),"",DATE(YEAR(D215),MONTH(D215),1))</f>
        <v/>
      </c>
      <c r="M215" s="70" t="str">
        <f aca="false">IF(B215="","",IF(AND(ISNUMBER(D215),ISNUMBER(E215),E215&lt;D215),"⚠ Término anterior al inicio",IF(J215&lt;&gt;"Sí","Pendiente comprobante firmado","OK")))</f>
        <v/>
      </c>
    </row>
    <row r="216" customFormat="false" ht="15" hidden="false" customHeight="false" outlineLevel="0" collapsed="false">
      <c r="B216" s="64"/>
      <c r="C216" s="72" t="str">
        <f aca="false">IF(B216="","",IFERROR(INDEX(T_NOMBRE,MATCH(B216,T_ID,0)),"⚠ ID no existe"))</f>
        <v/>
      </c>
      <c r="D216" s="65"/>
      <c r="E216" s="65"/>
      <c r="F216" s="64"/>
      <c r="G216" s="74" t="str">
        <f aca="false">IF(OR(B216="",NOT(ISNUMBER(D216)),NOT(ISNUMBER(E216))),"",NETWORKDAYS(D216,E216,FERIADOS))</f>
        <v/>
      </c>
      <c r="H216" s="69"/>
      <c r="I216" s="74" t="str">
        <f aca="false">IF(B216="","",IF(ISNUMBER(H216),H216,N(G216)))</f>
        <v/>
      </c>
      <c r="J216" s="64"/>
      <c r="K216" s="64"/>
      <c r="L216" s="93" t="str">
        <f aca="false">IF(NOT(ISNUMBER(D216)),"",DATE(YEAR(D216),MONTH(D216),1))</f>
        <v/>
      </c>
      <c r="M216" s="70" t="str">
        <f aca="false">IF(B216="","",IF(AND(ISNUMBER(D216),ISNUMBER(E216),E216&lt;D216),"⚠ Término anterior al inicio",IF(J216&lt;&gt;"Sí","Pendiente comprobante firmado","OK")))</f>
        <v/>
      </c>
    </row>
    <row r="217" customFormat="false" ht="15" hidden="false" customHeight="false" outlineLevel="0" collapsed="false">
      <c r="B217" s="64"/>
      <c r="C217" s="72" t="str">
        <f aca="false">IF(B217="","",IFERROR(INDEX(T_NOMBRE,MATCH(B217,T_ID,0)),"⚠ ID no existe"))</f>
        <v/>
      </c>
      <c r="D217" s="65"/>
      <c r="E217" s="65"/>
      <c r="F217" s="64"/>
      <c r="G217" s="74" t="str">
        <f aca="false">IF(OR(B217="",NOT(ISNUMBER(D217)),NOT(ISNUMBER(E217))),"",NETWORKDAYS(D217,E217,FERIADOS))</f>
        <v/>
      </c>
      <c r="H217" s="69"/>
      <c r="I217" s="74" t="str">
        <f aca="false">IF(B217="","",IF(ISNUMBER(H217),H217,N(G217)))</f>
        <v/>
      </c>
      <c r="J217" s="64"/>
      <c r="K217" s="64"/>
      <c r="L217" s="93" t="str">
        <f aca="false">IF(NOT(ISNUMBER(D217)),"",DATE(YEAR(D217),MONTH(D217),1))</f>
        <v/>
      </c>
      <c r="M217" s="70" t="str">
        <f aca="false">IF(B217="","",IF(AND(ISNUMBER(D217),ISNUMBER(E217),E217&lt;D217),"⚠ Término anterior al inicio",IF(J217&lt;&gt;"Sí","Pendiente comprobante firmado","OK")))</f>
        <v/>
      </c>
    </row>
    <row r="218" customFormat="false" ht="15" hidden="false" customHeight="false" outlineLevel="0" collapsed="false">
      <c r="B218" s="64"/>
      <c r="C218" s="72" t="str">
        <f aca="false">IF(B218="","",IFERROR(INDEX(T_NOMBRE,MATCH(B218,T_ID,0)),"⚠ ID no existe"))</f>
        <v/>
      </c>
      <c r="D218" s="65"/>
      <c r="E218" s="65"/>
      <c r="F218" s="64"/>
      <c r="G218" s="74" t="str">
        <f aca="false">IF(OR(B218="",NOT(ISNUMBER(D218)),NOT(ISNUMBER(E218))),"",NETWORKDAYS(D218,E218,FERIADOS))</f>
        <v/>
      </c>
      <c r="H218" s="69"/>
      <c r="I218" s="74" t="str">
        <f aca="false">IF(B218="","",IF(ISNUMBER(H218),H218,N(G218)))</f>
        <v/>
      </c>
      <c r="J218" s="64"/>
      <c r="K218" s="64"/>
      <c r="L218" s="93" t="str">
        <f aca="false">IF(NOT(ISNUMBER(D218)),"",DATE(YEAR(D218),MONTH(D218),1))</f>
        <v/>
      </c>
      <c r="M218" s="70" t="str">
        <f aca="false">IF(B218="","",IF(AND(ISNUMBER(D218),ISNUMBER(E218),E218&lt;D218),"⚠ Término anterior al inicio",IF(J218&lt;&gt;"Sí","Pendiente comprobante firmado","OK")))</f>
        <v/>
      </c>
    </row>
    <row r="219" customFormat="false" ht="15" hidden="false" customHeight="false" outlineLevel="0" collapsed="false">
      <c r="B219" s="64"/>
      <c r="C219" s="72" t="str">
        <f aca="false">IF(B219="","",IFERROR(INDEX(T_NOMBRE,MATCH(B219,T_ID,0)),"⚠ ID no existe"))</f>
        <v/>
      </c>
      <c r="D219" s="65"/>
      <c r="E219" s="65"/>
      <c r="F219" s="64"/>
      <c r="G219" s="74" t="str">
        <f aca="false">IF(OR(B219="",NOT(ISNUMBER(D219)),NOT(ISNUMBER(E219))),"",NETWORKDAYS(D219,E219,FERIADOS))</f>
        <v/>
      </c>
      <c r="H219" s="69"/>
      <c r="I219" s="74" t="str">
        <f aca="false">IF(B219="","",IF(ISNUMBER(H219),H219,N(G219)))</f>
        <v/>
      </c>
      <c r="J219" s="64"/>
      <c r="K219" s="64"/>
      <c r="L219" s="93" t="str">
        <f aca="false">IF(NOT(ISNUMBER(D219)),"",DATE(YEAR(D219),MONTH(D219),1))</f>
        <v/>
      </c>
      <c r="M219" s="70" t="str">
        <f aca="false">IF(B219="","",IF(AND(ISNUMBER(D219),ISNUMBER(E219),E219&lt;D219),"⚠ Término anterior al inicio",IF(J219&lt;&gt;"Sí","Pendiente comprobante firmado","OK")))</f>
        <v/>
      </c>
    </row>
    <row r="220" customFormat="false" ht="15" hidden="false" customHeight="false" outlineLevel="0" collapsed="false">
      <c r="B220" s="64"/>
      <c r="C220" s="72" t="str">
        <f aca="false">IF(B220="","",IFERROR(INDEX(T_NOMBRE,MATCH(B220,T_ID,0)),"⚠ ID no existe"))</f>
        <v/>
      </c>
      <c r="D220" s="65"/>
      <c r="E220" s="65"/>
      <c r="F220" s="64"/>
      <c r="G220" s="74" t="str">
        <f aca="false">IF(OR(B220="",NOT(ISNUMBER(D220)),NOT(ISNUMBER(E220))),"",NETWORKDAYS(D220,E220,FERIADOS))</f>
        <v/>
      </c>
      <c r="H220" s="69"/>
      <c r="I220" s="74" t="str">
        <f aca="false">IF(B220="","",IF(ISNUMBER(H220),H220,N(G220)))</f>
        <v/>
      </c>
      <c r="J220" s="64"/>
      <c r="K220" s="64"/>
      <c r="L220" s="93" t="str">
        <f aca="false">IF(NOT(ISNUMBER(D220)),"",DATE(YEAR(D220),MONTH(D220),1))</f>
        <v/>
      </c>
      <c r="M220" s="70" t="str">
        <f aca="false">IF(B220="","",IF(AND(ISNUMBER(D220),ISNUMBER(E220),E220&lt;D220),"⚠ Término anterior al inicio",IF(J220&lt;&gt;"Sí","Pendiente comprobante firmado","OK")))</f>
        <v/>
      </c>
    </row>
    <row r="221" customFormat="false" ht="15" hidden="false" customHeight="false" outlineLevel="0" collapsed="false">
      <c r="B221" s="64"/>
      <c r="C221" s="72" t="str">
        <f aca="false">IF(B221="","",IFERROR(INDEX(T_NOMBRE,MATCH(B221,T_ID,0)),"⚠ ID no existe"))</f>
        <v/>
      </c>
      <c r="D221" s="65"/>
      <c r="E221" s="65"/>
      <c r="F221" s="64"/>
      <c r="G221" s="74" t="str">
        <f aca="false">IF(OR(B221="",NOT(ISNUMBER(D221)),NOT(ISNUMBER(E221))),"",NETWORKDAYS(D221,E221,FERIADOS))</f>
        <v/>
      </c>
      <c r="H221" s="69"/>
      <c r="I221" s="74" t="str">
        <f aca="false">IF(B221="","",IF(ISNUMBER(H221),H221,N(G221)))</f>
        <v/>
      </c>
      <c r="J221" s="64"/>
      <c r="K221" s="64"/>
      <c r="L221" s="93" t="str">
        <f aca="false">IF(NOT(ISNUMBER(D221)),"",DATE(YEAR(D221),MONTH(D221),1))</f>
        <v/>
      </c>
      <c r="M221" s="70" t="str">
        <f aca="false">IF(B221="","",IF(AND(ISNUMBER(D221),ISNUMBER(E221),E221&lt;D221),"⚠ Término anterior al inicio",IF(J221&lt;&gt;"Sí","Pendiente comprobante firmado","OK")))</f>
        <v/>
      </c>
    </row>
    <row r="222" customFormat="false" ht="15" hidden="false" customHeight="false" outlineLevel="0" collapsed="false">
      <c r="B222" s="64"/>
      <c r="C222" s="72" t="str">
        <f aca="false">IF(B222="","",IFERROR(INDEX(T_NOMBRE,MATCH(B222,T_ID,0)),"⚠ ID no existe"))</f>
        <v/>
      </c>
      <c r="D222" s="65"/>
      <c r="E222" s="65"/>
      <c r="F222" s="64"/>
      <c r="G222" s="74" t="str">
        <f aca="false">IF(OR(B222="",NOT(ISNUMBER(D222)),NOT(ISNUMBER(E222))),"",NETWORKDAYS(D222,E222,FERIADOS))</f>
        <v/>
      </c>
      <c r="H222" s="69"/>
      <c r="I222" s="74" t="str">
        <f aca="false">IF(B222="","",IF(ISNUMBER(H222),H222,N(G222)))</f>
        <v/>
      </c>
      <c r="J222" s="64"/>
      <c r="K222" s="64"/>
      <c r="L222" s="93" t="str">
        <f aca="false">IF(NOT(ISNUMBER(D222)),"",DATE(YEAR(D222),MONTH(D222),1))</f>
        <v/>
      </c>
      <c r="M222" s="70" t="str">
        <f aca="false">IF(B222="","",IF(AND(ISNUMBER(D222),ISNUMBER(E222),E222&lt;D222),"⚠ Término anterior al inicio",IF(J222&lt;&gt;"Sí","Pendiente comprobante firmado","OK")))</f>
        <v/>
      </c>
    </row>
    <row r="223" customFormat="false" ht="15" hidden="false" customHeight="false" outlineLevel="0" collapsed="false">
      <c r="B223" s="64"/>
      <c r="C223" s="72" t="str">
        <f aca="false">IF(B223="","",IFERROR(INDEX(T_NOMBRE,MATCH(B223,T_ID,0)),"⚠ ID no existe"))</f>
        <v/>
      </c>
      <c r="D223" s="65"/>
      <c r="E223" s="65"/>
      <c r="F223" s="64"/>
      <c r="G223" s="74" t="str">
        <f aca="false">IF(OR(B223="",NOT(ISNUMBER(D223)),NOT(ISNUMBER(E223))),"",NETWORKDAYS(D223,E223,FERIADOS))</f>
        <v/>
      </c>
      <c r="H223" s="69"/>
      <c r="I223" s="74" t="str">
        <f aca="false">IF(B223="","",IF(ISNUMBER(H223),H223,N(G223)))</f>
        <v/>
      </c>
      <c r="J223" s="64"/>
      <c r="K223" s="64"/>
      <c r="L223" s="93" t="str">
        <f aca="false">IF(NOT(ISNUMBER(D223)),"",DATE(YEAR(D223),MONTH(D223),1))</f>
        <v/>
      </c>
      <c r="M223" s="70" t="str">
        <f aca="false">IF(B223="","",IF(AND(ISNUMBER(D223),ISNUMBER(E223),E223&lt;D223),"⚠ Término anterior al inicio",IF(J223&lt;&gt;"Sí","Pendiente comprobante firmado","OK")))</f>
        <v/>
      </c>
    </row>
    <row r="224" customFormat="false" ht="15" hidden="false" customHeight="false" outlineLevel="0" collapsed="false">
      <c r="B224" s="64"/>
      <c r="C224" s="72" t="str">
        <f aca="false">IF(B224="","",IFERROR(INDEX(T_NOMBRE,MATCH(B224,T_ID,0)),"⚠ ID no existe"))</f>
        <v/>
      </c>
      <c r="D224" s="65"/>
      <c r="E224" s="65"/>
      <c r="F224" s="64"/>
      <c r="G224" s="74" t="str">
        <f aca="false">IF(OR(B224="",NOT(ISNUMBER(D224)),NOT(ISNUMBER(E224))),"",NETWORKDAYS(D224,E224,FERIADOS))</f>
        <v/>
      </c>
      <c r="H224" s="69"/>
      <c r="I224" s="74" t="str">
        <f aca="false">IF(B224="","",IF(ISNUMBER(H224),H224,N(G224)))</f>
        <v/>
      </c>
      <c r="J224" s="64"/>
      <c r="K224" s="64"/>
      <c r="L224" s="93" t="str">
        <f aca="false">IF(NOT(ISNUMBER(D224)),"",DATE(YEAR(D224),MONTH(D224),1))</f>
        <v/>
      </c>
      <c r="M224" s="70" t="str">
        <f aca="false">IF(B224="","",IF(AND(ISNUMBER(D224),ISNUMBER(E224),E224&lt;D224),"⚠ Término anterior al inicio",IF(J224&lt;&gt;"Sí","Pendiente comprobante firmado","OK")))</f>
        <v/>
      </c>
    </row>
    <row r="225" customFormat="false" ht="15" hidden="false" customHeight="false" outlineLevel="0" collapsed="false">
      <c r="B225" s="64"/>
      <c r="C225" s="72" t="str">
        <f aca="false">IF(B225="","",IFERROR(INDEX(T_NOMBRE,MATCH(B225,T_ID,0)),"⚠ ID no existe"))</f>
        <v/>
      </c>
      <c r="D225" s="65"/>
      <c r="E225" s="65"/>
      <c r="F225" s="64"/>
      <c r="G225" s="74" t="str">
        <f aca="false">IF(OR(B225="",NOT(ISNUMBER(D225)),NOT(ISNUMBER(E225))),"",NETWORKDAYS(D225,E225,FERIADOS))</f>
        <v/>
      </c>
      <c r="H225" s="69"/>
      <c r="I225" s="74" t="str">
        <f aca="false">IF(B225="","",IF(ISNUMBER(H225),H225,N(G225)))</f>
        <v/>
      </c>
      <c r="J225" s="64"/>
      <c r="K225" s="64"/>
      <c r="L225" s="93" t="str">
        <f aca="false">IF(NOT(ISNUMBER(D225)),"",DATE(YEAR(D225),MONTH(D225),1))</f>
        <v/>
      </c>
      <c r="M225" s="70" t="str">
        <f aca="false">IF(B225="","",IF(AND(ISNUMBER(D225),ISNUMBER(E225),E225&lt;D225),"⚠ Término anterior al inicio",IF(J225&lt;&gt;"Sí","Pendiente comprobante firmado","OK")))</f>
        <v/>
      </c>
    </row>
    <row r="226" customFormat="false" ht="15" hidden="false" customHeight="false" outlineLevel="0" collapsed="false">
      <c r="B226" s="64"/>
      <c r="C226" s="72" t="str">
        <f aca="false">IF(B226="","",IFERROR(INDEX(T_NOMBRE,MATCH(B226,T_ID,0)),"⚠ ID no existe"))</f>
        <v/>
      </c>
      <c r="D226" s="65"/>
      <c r="E226" s="65"/>
      <c r="F226" s="64"/>
      <c r="G226" s="74" t="str">
        <f aca="false">IF(OR(B226="",NOT(ISNUMBER(D226)),NOT(ISNUMBER(E226))),"",NETWORKDAYS(D226,E226,FERIADOS))</f>
        <v/>
      </c>
      <c r="H226" s="69"/>
      <c r="I226" s="74" t="str">
        <f aca="false">IF(B226="","",IF(ISNUMBER(H226),H226,N(G226)))</f>
        <v/>
      </c>
      <c r="J226" s="64"/>
      <c r="K226" s="64"/>
      <c r="L226" s="93" t="str">
        <f aca="false">IF(NOT(ISNUMBER(D226)),"",DATE(YEAR(D226),MONTH(D226),1))</f>
        <v/>
      </c>
      <c r="M226" s="70" t="str">
        <f aca="false">IF(B226="","",IF(AND(ISNUMBER(D226),ISNUMBER(E226),E226&lt;D226),"⚠ Término anterior al inicio",IF(J226&lt;&gt;"Sí","Pendiente comprobante firmado","OK")))</f>
        <v/>
      </c>
    </row>
    <row r="227" customFormat="false" ht="15" hidden="false" customHeight="false" outlineLevel="0" collapsed="false">
      <c r="B227" s="64"/>
      <c r="C227" s="72" t="str">
        <f aca="false">IF(B227="","",IFERROR(INDEX(T_NOMBRE,MATCH(B227,T_ID,0)),"⚠ ID no existe"))</f>
        <v/>
      </c>
      <c r="D227" s="65"/>
      <c r="E227" s="65"/>
      <c r="F227" s="64"/>
      <c r="G227" s="74" t="str">
        <f aca="false">IF(OR(B227="",NOT(ISNUMBER(D227)),NOT(ISNUMBER(E227))),"",NETWORKDAYS(D227,E227,FERIADOS))</f>
        <v/>
      </c>
      <c r="H227" s="69"/>
      <c r="I227" s="74" t="str">
        <f aca="false">IF(B227="","",IF(ISNUMBER(H227),H227,N(G227)))</f>
        <v/>
      </c>
      <c r="J227" s="64"/>
      <c r="K227" s="64"/>
      <c r="L227" s="93" t="str">
        <f aca="false">IF(NOT(ISNUMBER(D227)),"",DATE(YEAR(D227),MONTH(D227),1))</f>
        <v/>
      </c>
      <c r="M227" s="70" t="str">
        <f aca="false">IF(B227="","",IF(AND(ISNUMBER(D227),ISNUMBER(E227),E227&lt;D227),"⚠ Término anterior al inicio",IF(J227&lt;&gt;"Sí","Pendiente comprobante firmado","OK")))</f>
        <v/>
      </c>
    </row>
    <row r="228" customFormat="false" ht="15" hidden="false" customHeight="false" outlineLevel="0" collapsed="false">
      <c r="B228" s="64"/>
      <c r="C228" s="72" t="str">
        <f aca="false">IF(B228="","",IFERROR(INDEX(T_NOMBRE,MATCH(B228,T_ID,0)),"⚠ ID no existe"))</f>
        <v/>
      </c>
      <c r="D228" s="65"/>
      <c r="E228" s="65"/>
      <c r="F228" s="64"/>
      <c r="G228" s="74" t="str">
        <f aca="false">IF(OR(B228="",NOT(ISNUMBER(D228)),NOT(ISNUMBER(E228))),"",NETWORKDAYS(D228,E228,FERIADOS))</f>
        <v/>
      </c>
      <c r="H228" s="69"/>
      <c r="I228" s="74" t="str">
        <f aca="false">IF(B228="","",IF(ISNUMBER(H228),H228,N(G228)))</f>
        <v/>
      </c>
      <c r="J228" s="64"/>
      <c r="K228" s="64"/>
      <c r="L228" s="93" t="str">
        <f aca="false">IF(NOT(ISNUMBER(D228)),"",DATE(YEAR(D228),MONTH(D228),1))</f>
        <v/>
      </c>
      <c r="M228" s="70" t="str">
        <f aca="false">IF(B228="","",IF(AND(ISNUMBER(D228),ISNUMBER(E228),E228&lt;D228),"⚠ Término anterior al inicio",IF(J228&lt;&gt;"Sí","Pendiente comprobante firmado","OK")))</f>
        <v/>
      </c>
    </row>
    <row r="229" customFormat="false" ht="15" hidden="false" customHeight="false" outlineLevel="0" collapsed="false">
      <c r="B229" s="64"/>
      <c r="C229" s="72" t="str">
        <f aca="false">IF(B229="","",IFERROR(INDEX(T_NOMBRE,MATCH(B229,T_ID,0)),"⚠ ID no existe"))</f>
        <v/>
      </c>
      <c r="D229" s="65"/>
      <c r="E229" s="65"/>
      <c r="F229" s="64"/>
      <c r="G229" s="74" t="str">
        <f aca="false">IF(OR(B229="",NOT(ISNUMBER(D229)),NOT(ISNUMBER(E229))),"",NETWORKDAYS(D229,E229,FERIADOS))</f>
        <v/>
      </c>
      <c r="H229" s="69"/>
      <c r="I229" s="74" t="str">
        <f aca="false">IF(B229="","",IF(ISNUMBER(H229),H229,N(G229)))</f>
        <v/>
      </c>
      <c r="J229" s="64"/>
      <c r="K229" s="64"/>
      <c r="L229" s="93" t="str">
        <f aca="false">IF(NOT(ISNUMBER(D229)),"",DATE(YEAR(D229),MONTH(D229),1))</f>
        <v/>
      </c>
      <c r="M229" s="70" t="str">
        <f aca="false">IF(B229="","",IF(AND(ISNUMBER(D229),ISNUMBER(E229),E229&lt;D229),"⚠ Término anterior al inicio",IF(J229&lt;&gt;"Sí","Pendiente comprobante firmado","OK")))</f>
        <v/>
      </c>
    </row>
    <row r="230" customFormat="false" ht="15" hidden="false" customHeight="false" outlineLevel="0" collapsed="false">
      <c r="B230" s="64"/>
      <c r="C230" s="72" t="str">
        <f aca="false">IF(B230="","",IFERROR(INDEX(T_NOMBRE,MATCH(B230,T_ID,0)),"⚠ ID no existe"))</f>
        <v/>
      </c>
      <c r="D230" s="65"/>
      <c r="E230" s="65"/>
      <c r="F230" s="64"/>
      <c r="G230" s="74" t="str">
        <f aca="false">IF(OR(B230="",NOT(ISNUMBER(D230)),NOT(ISNUMBER(E230))),"",NETWORKDAYS(D230,E230,FERIADOS))</f>
        <v/>
      </c>
      <c r="H230" s="69"/>
      <c r="I230" s="74" t="str">
        <f aca="false">IF(B230="","",IF(ISNUMBER(H230),H230,N(G230)))</f>
        <v/>
      </c>
      <c r="J230" s="64"/>
      <c r="K230" s="64"/>
      <c r="L230" s="93" t="str">
        <f aca="false">IF(NOT(ISNUMBER(D230)),"",DATE(YEAR(D230),MONTH(D230),1))</f>
        <v/>
      </c>
      <c r="M230" s="70" t="str">
        <f aca="false">IF(B230="","",IF(AND(ISNUMBER(D230),ISNUMBER(E230),E230&lt;D230),"⚠ Término anterior al inicio",IF(J230&lt;&gt;"Sí","Pendiente comprobante firmado","OK")))</f>
        <v/>
      </c>
    </row>
    <row r="231" customFormat="false" ht="15" hidden="false" customHeight="false" outlineLevel="0" collapsed="false">
      <c r="B231" s="64"/>
      <c r="C231" s="72" t="str">
        <f aca="false">IF(B231="","",IFERROR(INDEX(T_NOMBRE,MATCH(B231,T_ID,0)),"⚠ ID no existe"))</f>
        <v/>
      </c>
      <c r="D231" s="65"/>
      <c r="E231" s="65"/>
      <c r="F231" s="64"/>
      <c r="G231" s="74" t="str">
        <f aca="false">IF(OR(B231="",NOT(ISNUMBER(D231)),NOT(ISNUMBER(E231))),"",NETWORKDAYS(D231,E231,FERIADOS))</f>
        <v/>
      </c>
      <c r="H231" s="69"/>
      <c r="I231" s="74" t="str">
        <f aca="false">IF(B231="","",IF(ISNUMBER(H231),H231,N(G231)))</f>
        <v/>
      </c>
      <c r="J231" s="64"/>
      <c r="K231" s="64"/>
      <c r="L231" s="93" t="str">
        <f aca="false">IF(NOT(ISNUMBER(D231)),"",DATE(YEAR(D231),MONTH(D231),1))</f>
        <v/>
      </c>
      <c r="M231" s="70" t="str">
        <f aca="false">IF(B231="","",IF(AND(ISNUMBER(D231),ISNUMBER(E231),E231&lt;D231),"⚠ Término anterior al inicio",IF(J231&lt;&gt;"Sí","Pendiente comprobante firmado","OK")))</f>
        <v/>
      </c>
    </row>
    <row r="232" customFormat="false" ht="15" hidden="false" customHeight="false" outlineLevel="0" collapsed="false">
      <c r="B232" s="64"/>
      <c r="C232" s="72" t="str">
        <f aca="false">IF(B232="","",IFERROR(INDEX(T_NOMBRE,MATCH(B232,T_ID,0)),"⚠ ID no existe"))</f>
        <v/>
      </c>
      <c r="D232" s="65"/>
      <c r="E232" s="65"/>
      <c r="F232" s="64"/>
      <c r="G232" s="74" t="str">
        <f aca="false">IF(OR(B232="",NOT(ISNUMBER(D232)),NOT(ISNUMBER(E232))),"",NETWORKDAYS(D232,E232,FERIADOS))</f>
        <v/>
      </c>
      <c r="H232" s="69"/>
      <c r="I232" s="74" t="str">
        <f aca="false">IF(B232="","",IF(ISNUMBER(H232),H232,N(G232)))</f>
        <v/>
      </c>
      <c r="J232" s="64"/>
      <c r="K232" s="64"/>
      <c r="L232" s="93" t="str">
        <f aca="false">IF(NOT(ISNUMBER(D232)),"",DATE(YEAR(D232),MONTH(D232),1))</f>
        <v/>
      </c>
      <c r="M232" s="70" t="str">
        <f aca="false">IF(B232="","",IF(AND(ISNUMBER(D232),ISNUMBER(E232),E232&lt;D232),"⚠ Término anterior al inicio",IF(J232&lt;&gt;"Sí","Pendiente comprobante firmado","OK")))</f>
        <v/>
      </c>
    </row>
    <row r="233" customFormat="false" ht="15" hidden="false" customHeight="false" outlineLevel="0" collapsed="false">
      <c r="B233" s="64"/>
      <c r="C233" s="72" t="str">
        <f aca="false">IF(B233="","",IFERROR(INDEX(T_NOMBRE,MATCH(B233,T_ID,0)),"⚠ ID no existe"))</f>
        <v/>
      </c>
      <c r="D233" s="65"/>
      <c r="E233" s="65"/>
      <c r="F233" s="64"/>
      <c r="G233" s="74" t="str">
        <f aca="false">IF(OR(B233="",NOT(ISNUMBER(D233)),NOT(ISNUMBER(E233))),"",NETWORKDAYS(D233,E233,FERIADOS))</f>
        <v/>
      </c>
      <c r="H233" s="69"/>
      <c r="I233" s="74" t="str">
        <f aca="false">IF(B233="","",IF(ISNUMBER(H233),H233,N(G233)))</f>
        <v/>
      </c>
      <c r="J233" s="64"/>
      <c r="K233" s="64"/>
      <c r="L233" s="93" t="str">
        <f aca="false">IF(NOT(ISNUMBER(D233)),"",DATE(YEAR(D233),MONTH(D233),1))</f>
        <v/>
      </c>
      <c r="M233" s="70" t="str">
        <f aca="false">IF(B233="","",IF(AND(ISNUMBER(D233),ISNUMBER(E233),E233&lt;D233),"⚠ Término anterior al inicio",IF(J233&lt;&gt;"Sí","Pendiente comprobante firmado","OK")))</f>
        <v/>
      </c>
    </row>
    <row r="234" customFormat="false" ht="15" hidden="false" customHeight="false" outlineLevel="0" collapsed="false">
      <c r="B234" s="64"/>
      <c r="C234" s="72" t="str">
        <f aca="false">IF(B234="","",IFERROR(INDEX(T_NOMBRE,MATCH(B234,T_ID,0)),"⚠ ID no existe"))</f>
        <v/>
      </c>
      <c r="D234" s="65"/>
      <c r="E234" s="65"/>
      <c r="F234" s="64"/>
      <c r="G234" s="74" t="str">
        <f aca="false">IF(OR(B234="",NOT(ISNUMBER(D234)),NOT(ISNUMBER(E234))),"",NETWORKDAYS(D234,E234,FERIADOS))</f>
        <v/>
      </c>
      <c r="H234" s="69"/>
      <c r="I234" s="74" t="str">
        <f aca="false">IF(B234="","",IF(ISNUMBER(H234),H234,N(G234)))</f>
        <v/>
      </c>
      <c r="J234" s="64"/>
      <c r="K234" s="64"/>
      <c r="L234" s="93" t="str">
        <f aca="false">IF(NOT(ISNUMBER(D234)),"",DATE(YEAR(D234),MONTH(D234),1))</f>
        <v/>
      </c>
      <c r="M234" s="70" t="str">
        <f aca="false">IF(B234="","",IF(AND(ISNUMBER(D234),ISNUMBER(E234),E234&lt;D234),"⚠ Término anterior al inicio",IF(J234&lt;&gt;"Sí","Pendiente comprobante firmado","OK")))</f>
        <v/>
      </c>
    </row>
    <row r="235" customFormat="false" ht="15" hidden="false" customHeight="false" outlineLevel="0" collapsed="false">
      <c r="B235" s="64"/>
      <c r="C235" s="72" t="str">
        <f aca="false">IF(B235="","",IFERROR(INDEX(T_NOMBRE,MATCH(B235,T_ID,0)),"⚠ ID no existe"))</f>
        <v/>
      </c>
      <c r="D235" s="65"/>
      <c r="E235" s="65"/>
      <c r="F235" s="64"/>
      <c r="G235" s="74" t="str">
        <f aca="false">IF(OR(B235="",NOT(ISNUMBER(D235)),NOT(ISNUMBER(E235))),"",NETWORKDAYS(D235,E235,FERIADOS))</f>
        <v/>
      </c>
      <c r="H235" s="69"/>
      <c r="I235" s="74" t="str">
        <f aca="false">IF(B235="","",IF(ISNUMBER(H235),H235,N(G235)))</f>
        <v/>
      </c>
      <c r="J235" s="64"/>
      <c r="K235" s="64"/>
      <c r="L235" s="93" t="str">
        <f aca="false">IF(NOT(ISNUMBER(D235)),"",DATE(YEAR(D235),MONTH(D235),1))</f>
        <v/>
      </c>
      <c r="M235" s="70" t="str">
        <f aca="false">IF(B235="","",IF(AND(ISNUMBER(D235),ISNUMBER(E235),E235&lt;D235),"⚠ Término anterior al inicio",IF(J235&lt;&gt;"Sí","Pendiente comprobante firmado","OK")))</f>
        <v/>
      </c>
    </row>
    <row r="236" customFormat="false" ht="15" hidden="false" customHeight="false" outlineLevel="0" collapsed="false">
      <c r="B236" s="64"/>
      <c r="C236" s="72" t="str">
        <f aca="false">IF(B236="","",IFERROR(INDEX(T_NOMBRE,MATCH(B236,T_ID,0)),"⚠ ID no existe"))</f>
        <v/>
      </c>
      <c r="D236" s="65"/>
      <c r="E236" s="65"/>
      <c r="F236" s="64"/>
      <c r="G236" s="74" t="str">
        <f aca="false">IF(OR(B236="",NOT(ISNUMBER(D236)),NOT(ISNUMBER(E236))),"",NETWORKDAYS(D236,E236,FERIADOS))</f>
        <v/>
      </c>
      <c r="H236" s="69"/>
      <c r="I236" s="74" t="str">
        <f aca="false">IF(B236="","",IF(ISNUMBER(H236),H236,N(G236)))</f>
        <v/>
      </c>
      <c r="J236" s="64"/>
      <c r="K236" s="64"/>
      <c r="L236" s="93" t="str">
        <f aca="false">IF(NOT(ISNUMBER(D236)),"",DATE(YEAR(D236),MONTH(D236),1))</f>
        <v/>
      </c>
      <c r="M236" s="70" t="str">
        <f aca="false">IF(B236="","",IF(AND(ISNUMBER(D236),ISNUMBER(E236),E236&lt;D236),"⚠ Término anterior al inicio",IF(J236&lt;&gt;"Sí","Pendiente comprobante firmado","OK")))</f>
        <v/>
      </c>
    </row>
    <row r="237" customFormat="false" ht="15" hidden="false" customHeight="false" outlineLevel="0" collapsed="false">
      <c r="B237" s="64"/>
      <c r="C237" s="72" t="str">
        <f aca="false">IF(B237="","",IFERROR(INDEX(T_NOMBRE,MATCH(B237,T_ID,0)),"⚠ ID no existe"))</f>
        <v/>
      </c>
      <c r="D237" s="65"/>
      <c r="E237" s="65"/>
      <c r="F237" s="64"/>
      <c r="G237" s="74" t="str">
        <f aca="false">IF(OR(B237="",NOT(ISNUMBER(D237)),NOT(ISNUMBER(E237))),"",NETWORKDAYS(D237,E237,FERIADOS))</f>
        <v/>
      </c>
      <c r="H237" s="69"/>
      <c r="I237" s="74" t="str">
        <f aca="false">IF(B237="","",IF(ISNUMBER(H237),H237,N(G237)))</f>
        <v/>
      </c>
      <c r="J237" s="64"/>
      <c r="K237" s="64"/>
      <c r="L237" s="93" t="str">
        <f aca="false">IF(NOT(ISNUMBER(D237)),"",DATE(YEAR(D237),MONTH(D237),1))</f>
        <v/>
      </c>
      <c r="M237" s="70" t="str">
        <f aca="false">IF(B237="","",IF(AND(ISNUMBER(D237),ISNUMBER(E237),E237&lt;D237),"⚠ Término anterior al inicio",IF(J237&lt;&gt;"Sí","Pendiente comprobante firmado","OK")))</f>
        <v/>
      </c>
    </row>
    <row r="238" customFormat="false" ht="15" hidden="false" customHeight="false" outlineLevel="0" collapsed="false">
      <c r="B238" s="64"/>
      <c r="C238" s="72" t="str">
        <f aca="false">IF(B238="","",IFERROR(INDEX(T_NOMBRE,MATCH(B238,T_ID,0)),"⚠ ID no existe"))</f>
        <v/>
      </c>
      <c r="D238" s="65"/>
      <c r="E238" s="65"/>
      <c r="F238" s="64"/>
      <c r="G238" s="74" t="str">
        <f aca="false">IF(OR(B238="",NOT(ISNUMBER(D238)),NOT(ISNUMBER(E238))),"",NETWORKDAYS(D238,E238,FERIADOS))</f>
        <v/>
      </c>
      <c r="H238" s="69"/>
      <c r="I238" s="74" t="str">
        <f aca="false">IF(B238="","",IF(ISNUMBER(H238),H238,N(G238)))</f>
        <v/>
      </c>
      <c r="J238" s="64"/>
      <c r="K238" s="64"/>
      <c r="L238" s="93" t="str">
        <f aca="false">IF(NOT(ISNUMBER(D238)),"",DATE(YEAR(D238),MONTH(D238),1))</f>
        <v/>
      </c>
      <c r="M238" s="70" t="str">
        <f aca="false">IF(B238="","",IF(AND(ISNUMBER(D238),ISNUMBER(E238),E238&lt;D238),"⚠ Término anterior al inicio",IF(J238&lt;&gt;"Sí","Pendiente comprobante firmado","OK")))</f>
        <v/>
      </c>
    </row>
    <row r="239" customFormat="false" ht="15" hidden="false" customHeight="false" outlineLevel="0" collapsed="false">
      <c r="B239" s="64"/>
      <c r="C239" s="72" t="str">
        <f aca="false">IF(B239="","",IFERROR(INDEX(T_NOMBRE,MATCH(B239,T_ID,0)),"⚠ ID no existe"))</f>
        <v/>
      </c>
      <c r="D239" s="65"/>
      <c r="E239" s="65"/>
      <c r="F239" s="64"/>
      <c r="G239" s="74" t="str">
        <f aca="false">IF(OR(B239="",NOT(ISNUMBER(D239)),NOT(ISNUMBER(E239))),"",NETWORKDAYS(D239,E239,FERIADOS))</f>
        <v/>
      </c>
      <c r="H239" s="69"/>
      <c r="I239" s="74" t="str">
        <f aca="false">IF(B239="","",IF(ISNUMBER(H239),H239,N(G239)))</f>
        <v/>
      </c>
      <c r="J239" s="64"/>
      <c r="K239" s="64"/>
      <c r="L239" s="93" t="str">
        <f aca="false">IF(NOT(ISNUMBER(D239)),"",DATE(YEAR(D239),MONTH(D239),1))</f>
        <v/>
      </c>
      <c r="M239" s="70" t="str">
        <f aca="false">IF(B239="","",IF(AND(ISNUMBER(D239),ISNUMBER(E239),E239&lt;D239),"⚠ Término anterior al inicio",IF(J239&lt;&gt;"Sí","Pendiente comprobante firmado","OK")))</f>
        <v/>
      </c>
    </row>
    <row r="240" customFormat="false" ht="15" hidden="false" customHeight="false" outlineLevel="0" collapsed="false">
      <c r="B240" s="64"/>
      <c r="C240" s="72" t="str">
        <f aca="false">IF(B240="","",IFERROR(INDEX(T_NOMBRE,MATCH(B240,T_ID,0)),"⚠ ID no existe"))</f>
        <v/>
      </c>
      <c r="D240" s="65"/>
      <c r="E240" s="65"/>
      <c r="F240" s="64"/>
      <c r="G240" s="74" t="str">
        <f aca="false">IF(OR(B240="",NOT(ISNUMBER(D240)),NOT(ISNUMBER(E240))),"",NETWORKDAYS(D240,E240,FERIADOS))</f>
        <v/>
      </c>
      <c r="H240" s="69"/>
      <c r="I240" s="74" t="str">
        <f aca="false">IF(B240="","",IF(ISNUMBER(H240),H240,N(G240)))</f>
        <v/>
      </c>
      <c r="J240" s="64"/>
      <c r="K240" s="64"/>
      <c r="L240" s="93" t="str">
        <f aca="false">IF(NOT(ISNUMBER(D240)),"",DATE(YEAR(D240),MONTH(D240),1))</f>
        <v/>
      </c>
      <c r="M240" s="70" t="str">
        <f aca="false">IF(B240="","",IF(AND(ISNUMBER(D240),ISNUMBER(E240),E240&lt;D240),"⚠ Término anterior al inicio",IF(J240&lt;&gt;"Sí","Pendiente comprobante firmado","OK")))</f>
        <v/>
      </c>
    </row>
    <row r="241" customFormat="false" ht="15" hidden="false" customHeight="false" outlineLevel="0" collapsed="false">
      <c r="B241" s="64"/>
      <c r="C241" s="72" t="str">
        <f aca="false">IF(B241="","",IFERROR(INDEX(T_NOMBRE,MATCH(B241,T_ID,0)),"⚠ ID no existe"))</f>
        <v/>
      </c>
      <c r="D241" s="65"/>
      <c r="E241" s="65"/>
      <c r="F241" s="64"/>
      <c r="G241" s="74" t="str">
        <f aca="false">IF(OR(B241="",NOT(ISNUMBER(D241)),NOT(ISNUMBER(E241))),"",NETWORKDAYS(D241,E241,FERIADOS))</f>
        <v/>
      </c>
      <c r="H241" s="69"/>
      <c r="I241" s="74" t="str">
        <f aca="false">IF(B241="","",IF(ISNUMBER(H241),H241,N(G241)))</f>
        <v/>
      </c>
      <c r="J241" s="64"/>
      <c r="K241" s="64"/>
      <c r="L241" s="93" t="str">
        <f aca="false">IF(NOT(ISNUMBER(D241)),"",DATE(YEAR(D241),MONTH(D241),1))</f>
        <v/>
      </c>
      <c r="M241" s="70" t="str">
        <f aca="false">IF(B241="","",IF(AND(ISNUMBER(D241),ISNUMBER(E241),E241&lt;D241),"⚠ Término anterior al inicio",IF(J241&lt;&gt;"Sí","Pendiente comprobante firmado","OK")))</f>
        <v/>
      </c>
    </row>
    <row r="242" customFormat="false" ht="15" hidden="false" customHeight="false" outlineLevel="0" collapsed="false">
      <c r="B242" s="64"/>
      <c r="C242" s="72" t="str">
        <f aca="false">IF(B242="","",IFERROR(INDEX(T_NOMBRE,MATCH(B242,T_ID,0)),"⚠ ID no existe"))</f>
        <v/>
      </c>
      <c r="D242" s="65"/>
      <c r="E242" s="65"/>
      <c r="F242" s="64"/>
      <c r="G242" s="74" t="str">
        <f aca="false">IF(OR(B242="",NOT(ISNUMBER(D242)),NOT(ISNUMBER(E242))),"",NETWORKDAYS(D242,E242,FERIADOS))</f>
        <v/>
      </c>
      <c r="H242" s="69"/>
      <c r="I242" s="74" t="str">
        <f aca="false">IF(B242="","",IF(ISNUMBER(H242),H242,N(G242)))</f>
        <v/>
      </c>
      <c r="J242" s="64"/>
      <c r="K242" s="64"/>
      <c r="L242" s="93" t="str">
        <f aca="false">IF(NOT(ISNUMBER(D242)),"",DATE(YEAR(D242),MONTH(D242),1))</f>
        <v/>
      </c>
      <c r="M242" s="70" t="str">
        <f aca="false">IF(B242="","",IF(AND(ISNUMBER(D242),ISNUMBER(E242),E242&lt;D242),"⚠ Término anterior al inicio",IF(J242&lt;&gt;"Sí","Pendiente comprobante firmado","OK")))</f>
        <v/>
      </c>
    </row>
    <row r="243" customFormat="false" ht="15" hidden="false" customHeight="false" outlineLevel="0" collapsed="false">
      <c r="B243" s="64"/>
      <c r="C243" s="72" t="str">
        <f aca="false">IF(B243="","",IFERROR(INDEX(T_NOMBRE,MATCH(B243,T_ID,0)),"⚠ ID no existe"))</f>
        <v/>
      </c>
      <c r="D243" s="65"/>
      <c r="E243" s="65"/>
      <c r="F243" s="64"/>
      <c r="G243" s="74" t="str">
        <f aca="false">IF(OR(B243="",NOT(ISNUMBER(D243)),NOT(ISNUMBER(E243))),"",NETWORKDAYS(D243,E243,FERIADOS))</f>
        <v/>
      </c>
      <c r="H243" s="69"/>
      <c r="I243" s="74" t="str">
        <f aca="false">IF(B243="","",IF(ISNUMBER(H243),H243,N(G243)))</f>
        <v/>
      </c>
      <c r="J243" s="64"/>
      <c r="K243" s="64"/>
      <c r="L243" s="93" t="str">
        <f aca="false">IF(NOT(ISNUMBER(D243)),"",DATE(YEAR(D243),MONTH(D243),1))</f>
        <v/>
      </c>
      <c r="M243" s="70" t="str">
        <f aca="false">IF(B243="","",IF(AND(ISNUMBER(D243),ISNUMBER(E243),E243&lt;D243),"⚠ Término anterior al inicio",IF(J243&lt;&gt;"Sí","Pendiente comprobante firmado","OK")))</f>
        <v/>
      </c>
    </row>
    <row r="244" customFormat="false" ht="15" hidden="false" customHeight="false" outlineLevel="0" collapsed="false">
      <c r="B244" s="64"/>
      <c r="C244" s="72" t="str">
        <f aca="false">IF(B244="","",IFERROR(INDEX(T_NOMBRE,MATCH(B244,T_ID,0)),"⚠ ID no existe"))</f>
        <v/>
      </c>
      <c r="D244" s="65"/>
      <c r="E244" s="65"/>
      <c r="F244" s="64"/>
      <c r="G244" s="74" t="str">
        <f aca="false">IF(OR(B244="",NOT(ISNUMBER(D244)),NOT(ISNUMBER(E244))),"",NETWORKDAYS(D244,E244,FERIADOS))</f>
        <v/>
      </c>
      <c r="H244" s="69"/>
      <c r="I244" s="74" t="str">
        <f aca="false">IF(B244="","",IF(ISNUMBER(H244),H244,N(G244)))</f>
        <v/>
      </c>
      <c r="J244" s="64"/>
      <c r="K244" s="64"/>
      <c r="L244" s="93" t="str">
        <f aca="false">IF(NOT(ISNUMBER(D244)),"",DATE(YEAR(D244),MONTH(D244),1))</f>
        <v/>
      </c>
      <c r="M244" s="70" t="str">
        <f aca="false">IF(B244="","",IF(AND(ISNUMBER(D244),ISNUMBER(E244),E244&lt;D244),"⚠ Término anterior al inicio",IF(J244&lt;&gt;"Sí","Pendiente comprobante firmado","OK")))</f>
        <v/>
      </c>
    </row>
    <row r="245" customFormat="false" ht="15" hidden="false" customHeight="false" outlineLevel="0" collapsed="false">
      <c r="B245" s="64"/>
      <c r="C245" s="72" t="str">
        <f aca="false">IF(B245="","",IFERROR(INDEX(T_NOMBRE,MATCH(B245,T_ID,0)),"⚠ ID no existe"))</f>
        <v/>
      </c>
      <c r="D245" s="65"/>
      <c r="E245" s="65"/>
      <c r="F245" s="64"/>
      <c r="G245" s="74" t="str">
        <f aca="false">IF(OR(B245="",NOT(ISNUMBER(D245)),NOT(ISNUMBER(E245))),"",NETWORKDAYS(D245,E245,FERIADOS))</f>
        <v/>
      </c>
      <c r="H245" s="69"/>
      <c r="I245" s="74" t="str">
        <f aca="false">IF(B245="","",IF(ISNUMBER(H245),H245,N(G245)))</f>
        <v/>
      </c>
      <c r="J245" s="64"/>
      <c r="K245" s="64"/>
      <c r="L245" s="93" t="str">
        <f aca="false">IF(NOT(ISNUMBER(D245)),"",DATE(YEAR(D245),MONTH(D245),1))</f>
        <v/>
      </c>
      <c r="M245" s="70" t="str">
        <f aca="false">IF(B245="","",IF(AND(ISNUMBER(D245),ISNUMBER(E245),E245&lt;D245),"⚠ Término anterior al inicio",IF(J245&lt;&gt;"Sí","Pendiente comprobante firmado","OK")))</f>
        <v/>
      </c>
    </row>
    <row r="246" customFormat="false" ht="15" hidden="false" customHeight="false" outlineLevel="0" collapsed="false">
      <c r="B246" s="64"/>
      <c r="C246" s="72" t="str">
        <f aca="false">IF(B246="","",IFERROR(INDEX(T_NOMBRE,MATCH(B246,T_ID,0)),"⚠ ID no existe"))</f>
        <v/>
      </c>
      <c r="D246" s="65"/>
      <c r="E246" s="65"/>
      <c r="F246" s="64"/>
      <c r="G246" s="74" t="str">
        <f aca="false">IF(OR(B246="",NOT(ISNUMBER(D246)),NOT(ISNUMBER(E246))),"",NETWORKDAYS(D246,E246,FERIADOS))</f>
        <v/>
      </c>
      <c r="H246" s="69"/>
      <c r="I246" s="74" t="str">
        <f aca="false">IF(B246="","",IF(ISNUMBER(H246),H246,N(G246)))</f>
        <v/>
      </c>
      <c r="J246" s="64"/>
      <c r="K246" s="64"/>
      <c r="L246" s="93" t="str">
        <f aca="false">IF(NOT(ISNUMBER(D246)),"",DATE(YEAR(D246),MONTH(D246),1))</f>
        <v/>
      </c>
      <c r="M246" s="70" t="str">
        <f aca="false">IF(B246="","",IF(AND(ISNUMBER(D246),ISNUMBER(E246),E246&lt;D246),"⚠ Término anterior al inicio",IF(J246&lt;&gt;"Sí","Pendiente comprobante firmado","OK")))</f>
        <v/>
      </c>
    </row>
    <row r="247" customFormat="false" ht="15" hidden="false" customHeight="false" outlineLevel="0" collapsed="false">
      <c r="B247" s="64"/>
      <c r="C247" s="72" t="str">
        <f aca="false">IF(B247="","",IFERROR(INDEX(T_NOMBRE,MATCH(B247,T_ID,0)),"⚠ ID no existe"))</f>
        <v/>
      </c>
      <c r="D247" s="65"/>
      <c r="E247" s="65"/>
      <c r="F247" s="64"/>
      <c r="G247" s="74" t="str">
        <f aca="false">IF(OR(B247="",NOT(ISNUMBER(D247)),NOT(ISNUMBER(E247))),"",NETWORKDAYS(D247,E247,FERIADOS))</f>
        <v/>
      </c>
      <c r="H247" s="69"/>
      <c r="I247" s="74" t="str">
        <f aca="false">IF(B247="","",IF(ISNUMBER(H247),H247,N(G247)))</f>
        <v/>
      </c>
      <c r="J247" s="64"/>
      <c r="K247" s="64"/>
      <c r="L247" s="93" t="str">
        <f aca="false">IF(NOT(ISNUMBER(D247)),"",DATE(YEAR(D247),MONTH(D247),1))</f>
        <v/>
      </c>
      <c r="M247" s="70" t="str">
        <f aca="false">IF(B247="","",IF(AND(ISNUMBER(D247),ISNUMBER(E247),E247&lt;D247),"⚠ Término anterior al inicio",IF(J247&lt;&gt;"Sí","Pendiente comprobante firmado","OK")))</f>
        <v/>
      </c>
    </row>
    <row r="248" customFormat="false" ht="15" hidden="false" customHeight="false" outlineLevel="0" collapsed="false">
      <c r="B248" s="64"/>
      <c r="C248" s="72" t="str">
        <f aca="false">IF(B248="","",IFERROR(INDEX(T_NOMBRE,MATCH(B248,T_ID,0)),"⚠ ID no existe"))</f>
        <v/>
      </c>
      <c r="D248" s="65"/>
      <c r="E248" s="65"/>
      <c r="F248" s="64"/>
      <c r="G248" s="74" t="str">
        <f aca="false">IF(OR(B248="",NOT(ISNUMBER(D248)),NOT(ISNUMBER(E248))),"",NETWORKDAYS(D248,E248,FERIADOS))</f>
        <v/>
      </c>
      <c r="H248" s="69"/>
      <c r="I248" s="74" t="str">
        <f aca="false">IF(B248="","",IF(ISNUMBER(H248),H248,N(G248)))</f>
        <v/>
      </c>
      <c r="J248" s="64"/>
      <c r="K248" s="64"/>
      <c r="L248" s="93" t="str">
        <f aca="false">IF(NOT(ISNUMBER(D248)),"",DATE(YEAR(D248),MONTH(D248),1))</f>
        <v/>
      </c>
      <c r="M248" s="70" t="str">
        <f aca="false">IF(B248="","",IF(AND(ISNUMBER(D248),ISNUMBER(E248),E248&lt;D248),"⚠ Término anterior al inicio",IF(J248&lt;&gt;"Sí","Pendiente comprobante firmado","OK")))</f>
        <v/>
      </c>
    </row>
    <row r="249" customFormat="false" ht="15" hidden="false" customHeight="false" outlineLevel="0" collapsed="false">
      <c r="B249" s="64"/>
      <c r="C249" s="72" t="str">
        <f aca="false">IF(B249="","",IFERROR(INDEX(T_NOMBRE,MATCH(B249,T_ID,0)),"⚠ ID no existe"))</f>
        <v/>
      </c>
      <c r="D249" s="65"/>
      <c r="E249" s="65"/>
      <c r="F249" s="64"/>
      <c r="G249" s="74" t="str">
        <f aca="false">IF(OR(B249="",NOT(ISNUMBER(D249)),NOT(ISNUMBER(E249))),"",NETWORKDAYS(D249,E249,FERIADOS))</f>
        <v/>
      </c>
      <c r="H249" s="69"/>
      <c r="I249" s="74" t="str">
        <f aca="false">IF(B249="","",IF(ISNUMBER(H249),H249,N(G249)))</f>
        <v/>
      </c>
      <c r="J249" s="64"/>
      <c r="K249" s="64"/>
      <c r="L249" s="93" t="str">
        <f aca="false">IF(NOT(ISNUMBER(D249)),"",DATE(YEAR(D249),MONTH(D249),1))</f>
        <v/>
      </c>
      <c r="M249" s="70" t="str">
        <f aca="false">IF(B249="","",IF(AND(ISNUMBER(D249),ISNUMBER(E249),E249&lt;D249),"⚠ Término anterior al inicio",IF(J249&lt;&gt;"Sí","Pendiente comprobante firmado","OK")))</f>
        <v/>
      </c>
    </row>
    <row r="250" customFormat="false" ht="15" hidden="false" customHeight="false" outlineLevel="0" collapsed="false">
      <c r="B250" s="64"/>
      <c r="C250" s="72" t="str">
        <f aca="false">IF(B250="","",IFERROR(INDEX(T_NOMBRE,MATCH(B250,T_ID,0)),"⚠ ID no existe"))</f>
        <v/>
      </c>
      <c r="D250" s="65"/>
      <c r="E250" s="65"/>
      <c r="F250" s="64"/>
      <c r="G250" s="74" t="str">
        <f aca="false">IF(OR(B250="",NOT(ISNUMBER(D250)),NOT(ISNUMBER(E250))),"",NETWORKDAYS(D250,E250,FERIADOS))</f>
        <v/>
      </c>
      <c r="H250" s="69"/>
      <c r="I250" s="74" t="str">
        <f aca="false">IF(B250="","",IF(ISNUMBER(H250),H250,N(G250)))</f>
        <v/>
      </c>
      <c r="J250" s="64"/>
      <c r="K250" s="64"/>
      <c r="L250" s="93" t="str">
        <f aca="false">IF(NOT(ISNUMBER(D250)),"",DATE(YEAR(D250),MONTH(D250),1))</f>
        <v/>
      </c>
      <c r="M250" s="70" t="str">
        <f aca="false">IF(B250="","",IF(AND(ISNUMBER(D250),ISNUMBER(E250),E250&lt;D250),"⚠ Término anterior al inicio",IF(J250&lt;&gt;"Sí","Pendiente comprobante firmado","OK")))</f>
        <v/>
      </c>
    </row>
    <row r="251" customFormat="false" ht="15" hidden="false" customHeight="false" outlineLevel="0" collapsed="false">
      <c r="B251" s="64"/>
      <c r="C251" s="72" t="str">
        <f aca="false">IF(B251="","",IFERROR(INDEX(T_NOMBRE,MATCH(B251,T_ID,0)),"⚠ ID no existe"))</f>
        <v/>
      </c>
      <c r="D251" s="65"/>
      <c r="E251" s="65"/>
      <c r="F251" s="64"/>
      <c r="G251" s="74" t="str">
        <f aca="false">IF(OR(B251="",NOT(ISNUMBER(D251)),NOT(ISNUMBER(E251))),"",NETWORKDAYS(D251,E251,FERIADOS))</f>
        <v/>
      </c>
      <c r="H251" s="69"/>
      <c r="I251" s="74" t="str">
        <f aca="false">IF(B251="","",IF(ISNUMBER(H251),H251,N(G251)))</f>
        <v/>
      </c>
      <c r="J251" s="64"/>
      <c r="K251" s="64"/>
      <c r="L251" s="93" t="str">
        <f aca="false">IF(NOT(ISNUMBER(D251)),"",DATE(YEAR(D251),MONTH(D251),1))</f>
        <v/>
      </c>
      <c r="M251" s="70" t="str">
        <f aca="false">IF(B251="","",IF(AND(ISNUMBER(D251),ISNUMBER(E251),E251&lt;D251),"⚠ Término anterior al inicio",IF(J251&lt;&gt;"Sí","Pendiente comprobante firmado","OK")))</f>
        <v/>
      </c>
    </row>
    <row r="252" customFormat="false" ht="15" hidden="false" customHeight="false" outlineLevel="0" collapsed="false">
      <c r="B252" s="64"/>
      <c r="C252" s="72" t="str">
        <f aca="false">IF(B252="","",IFERROR(INDEX(T_NOMBRE,MATCH(B252,T_ID,0)),"⚠ ID no existe"))</f>
        <v/>
      </c>
      <c r="D252" s="65"/>
      <c r="E252" s="65"/>
      <c r="F252" s="64"/>
      <c r="G252" s="74" t="str">
        <f aca="false">IF(OR(B252="",NOT(ISNUMBER(D252)),NOT(ISNUMBER(E252))),"",NETWORKDAYS(D252,E252,FERIADOS))</f>
        <v/>
      </c>
      <c r="H252" s="69"/>
      <c r="I252" s="74" t="str">
        <f aca="false">IF(B252="","",IF(ISNUMBER(H252),H252,N(G252)))</f>
        <v/>
      </c>
      <c r="J252" s="64"/>
      <c r="K252" s="64"/>
      <c r="L252" s="93" t="str">
        <f aca="false">IF(NOT(ISNUMBER(D252)),"",DATE(YEAR(D252),MONTH(D252),1))</f>
        <v/>
      </c>
      <c r="M252" s="70" t="str">
        <f aca="false">IF(B252="","",IF(AND(ISNUMBER(D252),ISNUMBER(E252),E252&lt;D252),"⚠ Término anterior al inicio",IF(J252&lt;&gt;"Sí","Pendiente comprobante firmado","OK")))</f>
        <v/>
      </c>
    </row>
    <row r="253" customFormat="false" ht="15" hidden="false" customHeight="false" outlineLevel="0" collapsed="false">
      <c r="B253" s="64"/>
      <c r="C253" s="72" t="str">
        <f aca="false">IF(B253="","",IFERROR(INDEX(T_NOMBRE,MATCH(B253,T_ID,0)),"⚠ ID no existe"))</f>
        <v/>
      </c>
      <c r="D253" s="65"/>
      <c r="E253" s="65"/>
      <c r="F253" s="64"/>
      <c r="G253" s="74" t="str">
        <f aca="false">IF(OR(B253="",NOT(ISNUMBER(D253)),NOT(ISNUMBER(E253))),"",NETWORKDAYS(D253,E253,FERIADOS))</f>
        <v/>
      </c>
      <c r="H253" s="69"/>
      <c r="I253" s="74" t="str">
        <f aca="false">IF(B253="","",IF(ISNUMBER(H253),H253,N(G253)))</f>
        <v/>
      </c>
      <c r="J253" s="64"/>
      <c r="K253" s="64"/>
      <c r="L253" s="93" t="str">
        <f aca="false">IF(NOT(ISNUMBER(D253)),"",DATE(YEAR(D253),MONTH(D253),1))</f>
        <v/>
      </c>
      <c r="M253" s="70" t="str">
        <f aca="false">IF(B253="","",IF(AND(ISNUMBER(D253),ISNUMBER(E253),E253&lt;D253),"⚠ Término anterior al inicio",IF(J253&lt;&gt;"Sí","Pendiente comprobante firmado","OK")))</f>
        <v/>
      </c>
    </row>
    <row r="254" customFormat="false" ht="15" hidden="false" customHeight="false" outlineLevel="0" collapsed="false">
      <c r="B254" s="64"/>
      <c r="C254" s="72" t="str">
        <f aca="false">IF(B254="","",IFERROR(INDEX(T_NOMBRE,MATCH(B254,T_ID,0)),"⚠ ID no existe"))</f>
        <v/>
      </c>
      <c r="D254" s="65"/>
      <c r="E254" s="65"/>
      <c r="F254" s="64"/>
      <c r="G254" s="74" t="str">
        <f aca="false">IF(OR(B254="",NOT(ISNUMBER(D254)),NOT(ISNUMBER(E254))),"",NETWORKDAYS(D254,E254,FERIADOS))</f>
        <v/>
      </c>
      <c r="H254" s="69"/>
      <c r="I254" s="74" t="str">
        <f aca="false">IF(B254="","",IF(ISNUMBER(H254),H254,N(G254)))</f>
        <v/>
      </c>
      <c r="J254" s="64"/>
      <c r="K254" s="64"/>
      <c r="L254" s="93" t="str">
        <f aca="false">IF(NOT(ISNUMBER(D254)),"",DATE(YEAR(D254),MONTH(D254),1))</f>
        <v/>
      </c>
      <c r="M254" s="70" t="str">
        <f aca="false">IF(B254="","",IF(AND(ISNUMBER(D254),ISNUMBER(E254),E254&lt;D254),"⚠ Término anterior al inicio",IF(J254&lt;&gt;"Sí","Pendiente comprobante firmado","OK")))</f>
        <v/>
      </c>
    </row>
    <row r="255" customFormat="false" ht="15" hidden="false" customHeight="false" outlineLevel="0" collapsed="false">
      <c r="B255" s="64"/>
      <c r="C255" s="72" t="str">
        <f aca="false">IF(B255="","",IFERROR(INDEX(T_NOMBRE,MATCH(B255,T_ID,0)),"⚠ ID no existe"))</f>
        <v/>
      </c>
      <c r="D255" s="65"/>
      <c r="E255" s="65"/>
      <c r="F255" s="64"/>
      <c r="G255" s="74" t="str">
        <f aca="false">IF(OR(B255="",NOT(ISNUMBER(D255)),NOT(ISNUMBER(E255))),"",NETWORKDAYS(D255,E255,FERIADOS))</f>
        <v/>
      </c>
      <c r="H255" s="69"/>
      <c r="I255" s="74" t="str">
        <f aca="false">IF(B255="","",IF(ISNUMBER(H255),H255,N(G255)))</f>
        <v/>
      </c>
      <c r="J255" s="64"/>
      <c r="K255" s="64"/>
      <c r="L255" s="93" t="str">
        <f aca="false">IF(NOT(ISNUMBER(D255)),"",DATE(YEAR(D255),MONTH(D255),1))</f>
        <v/>
      </c>
      <c r="M255" s="70" t="str">
        <f aca="false">IF(B255="","",IF(AND(ISNUMBER(D255),ISNUMBER(E255),E255&lt;D255),"⚠ Término anterior al inicio",IF(J255&lt;&gt;"Sí","Pendiente comprobante firmado","OK")))</f>
        <v/>
      </c>
    </row>
    <row r="256" customFormat="false" ht="15" hidden="false" customHeight="false" outlineLevel="0" collapsed="false">
      <c r="B256" s="64"/>
      <c r="C256" s="72" t="str">
        <f aca="false">IF(B256="","",IFERROR(INDEX(T_NOMBRE,MATCH(B256,T_ID,0)),"⚠ ID no existe"))</f>
        <v/>
      </c>
      <c r="D256" s="65"/>
      <c r="E256" s="65"/>
      <c r="F256" s="64"/>
      <c r="G256" s="74" t="str">
        <f aca="false">IF(OR(B256="",NOT(ISNUMBER(D256)),NOT(ISNUMBER(E256))),"",NETWORKDAYS(D256,E256,FERIADOS))</f>
        <v/>
      </c>
      <c r="H256" s="69"/>
      <c r="I256" s="74" t="str">
        <f aca="false">IF(B256="","",IF(ISNUMBER(H256),H256,N(G256)))</f>
        <v/>
      </c>
      <c r="J256" s="64"/>
      <c r="K256" s="64"/>
      <c r="L256" s="93" t="str">
        <f aca="false">IF(NOT(ISNUMBER(D256)),"",DATE(YEAR(D256),MONTH(D256),1))</f>
        <v/>
      </c>
      <c r="M256" s="70" t="str">
        <f aca="false">IF(B256="","",IF(AND(ISNUMBER(D256),ISNUMBER(E256),E256&lt;D256),"⚠ Término anterior al inicio",IF(J256&lt;&gt;"Sí","Pendiente comprobante firmado","OK")))</f>
        <v/>
      </c>
    </row>
    <row r="257" customFormat="false" ht="15" hidden="false" customHeight="false" outlineLevel="0" collapsed="false">
      <c r="B257" s="64"/>
      <c r="C257" s="72" t="str">
        <f aca="false">IF(B257="","",IFERROR(INDEX(T_NOMBRE,MATCH(B257,T_ID,0)),"⚠ ID no existe"))</f>
        <v/>
      </c>
      <c r="D257" s="65"/>
      <c r="E257" s="65"/>
      <c r="F257" s="64"/>
      <c r="G257" s="74" t="str">
        <f aca="false">IF(OR(B257="",NOT(ISNUMBER(D257)),NOT(ISNUMBER(E257))),"",NETWORKDAYS(D257,E257,FERIADOS))</f>
        <v/>
      </c>
      <c r="H257" s="69"/>
      <c r="I257" s="74" t="str">
        <f aca="false">IF(B257="","",IF(ISNUMBER(H257),H257,N(G257)))</f>
        <v/>
      </c>
      <c r="J257" s="64"/>
      <c r="K257" s="64"/>
      <c r="L257" s="93" t="str">
        <f aca="false">IF(NOT(ISNUMBER(D257)),"",DATE(YEAR(D257),MONTH(D257),1))</f>
        <v/>
      </c>
      <c r="M257" s="70" t="str">
        <f aca="false">IF(B257="","",IF(AND(ISNUMBER(D257),ISNUMBER(E257),E257&lt;D257),"⚠ Término anterior al inicio",IF(J257&lt;&gt;"Sí","Pendiente comprobante firmado","OK")))</f>
        <v/>
      </c>
    </row>
    <row r="258" customFormat="false" ht="15" hidden="false" customHeight="false" outlineLevel="0" collapsed="false">
      <c r="B258" s="64"/>
      <c r="C258" s="72" t="str">
        <f aca="false">IF(B258="","",IFERROR(INDEX(T_NOMBRE,MATCH(B258,T_ID,0)),"⚠ ID no existe"))</f>
        <v/>
      </c>
      <c r="D258" s="65"/>
      <c r="E258" s="65"/>
      <c r="F258" s="64"/>
      <c r="G258" s="74" t="str">
        <f aca="false">IF(OR(B258="",NOT(ISNUMBER(D258)),NOT(ISNUMBER(E258))),"",NETWORKDAYS(D258,E258,FERIADOS))</f>
        <v/>
      </c>
      <c r="H258" s="69"/>
      <c r="I258" s="74" t="str">
        <f aca="false">IF(B258="","",IF(ISNUMBER(H258),H258,N(G258)))</f>
        <v/>
      </c>
      <c r="J258" s="64"/>
      <c r="K258" s="64"/>
      <c r="L258" s="93" t="str">
        <f aca="false">IF(NOT(ISNUMBER(D258)),"",DATE(YEAR(D258),MONTH(D258),1))</f>
        <v/>
      </c>
      <c r="M258" s="70" t="str">
        <f aca="false">IF(B258="","",IF(AND(ISNUMBER(D258),ISNUMBER(E258),E258&lt;D258),"⚠ Término anterior al inicio",IF(J258&lt;&gt;"Sí","Pendiente comprobante firmado","OK")))</f>
        <v/>
      </c>
    </row>
    <row r="259" customFormat="false" ht="15" hidden="false" customHeight="false" outlineLevel="0" collapsed="false">
      <c r="B259" s="64"/>
      <c r="C259" s="72" t="str">
        <f aca="false">IF(B259="","",IFERROR(INDEX(T_NOMBRE,MATCH(B259,T_ID,0)),"⚠ ID no existe"))</f>
        <v/>
      </c>
      <c r="D259" s="65"/>
      <c r="E259" s="65"/>
      <c r="F259" s="64"/>
      <c r="G259" s="74" t="str">
        <f aca="false">IF(OR(B259="",NOT(ISNUMBER(D259)),NOT(ISNUMBER(E259))),"",NETWORKDAYS(D259,E259,FERIADOS))</f>
        <v/>
      </c>
      <c r="H259" s="69"/>
      <c r="I259" s="74" t="str">
        <f aca="false">IF(B259="","",IF(ISNUMBER(H259),H259,N(G259)))</f>
        <v/>
      </c>
      <c r="J259" s="64"/>
      <c r="K259" s="64"/>
      <c r="L259" s="93" t="str">
        <f aca="false">IF(NOT(ISNUMBER(D259)),"",DATE(YEAR(D259),MONTH(D259),1))</f>
        <v/>
      </c>
      <c r="M259" s="70" t="str">
        <f aca="false">IF(B259="","",IF(AND(ISNUMBER(D259),ISNUMBER(E259),E259&lt;D259),"⚠ Término anterior al inicio",IF(J259&lt;&gt;"Sí","Pendiente comprobante firmado","OK")))</f>
        <v/>
      </c>
    </row>
    <row r="260" customFormat="false" ht="15" hidden="false" customHeight="false" outlineLevel="0" collapsed="false">
      <c r="B260" s="64"/>
      <c r="C260" s="72" t="str">
        <f aca="false">IF(B260="","",IFERROR(INDEX(T_NOMBRE,MATCH(B260,T_ID,0)),"⚠ ID no existe"))</f>
        <v/>
      </c>
      <c r="D260" s="65"/>
      <c r="E260" s="65"/>
      <c r="F260" s="64"/>
      <c r="G260" s="74" t="str">
        <f aca="false">IF(OR(B260="",NOT(ISNUMBER(D260)),NOT(ISNUMBER(E260))),"",NETWORKDAYS(D260,E260,FERIADOS))</f>
        <v/>
      </c>
      <c r="H260" s="69"/>
      <c r="I260" s="74" t="str">
        <f aca="false">IF(B260="","",IF(ISNUMBER(H260),H260,N(G260)))</f>
        <v/>
      </c>
      <c r="J260" s="64"/>
      <c r="K260" s="64"/>
      <c r="L260" s="93" t="str">
        <f aca="false">IF(NOT(ISNUMBER(D260)),"",DATE(YEAR(D260),MONTH(D260),1))</f>
        <v/>
      </c>
      <c r="M260" s="70" t="str">
        <f aca="false">IF(B260="","",IF(AND(ISNUMBER(D260),ISNUMBER(E260),E260&lt;D260),"⚠ Término anterior al inicio",IF(J260&lt;&gt;"Sí","Pendiente comprobante firmado","OK")))</f>
        <v/>
      </c>
    </row>
    <row r="261" customFormat="false" ht="15" hidden="false" customHeight="false" outlineLevel="0" collapsed="false">
      <c r="B261" s="64"/>
      <c r="C261" s="72" t="str">
        <f aca="false">IF(B261="","",IFERROR(INDEX(T_NOMBRE,MATCH(B261,T_ID,0)),"⚠ ID no existe"))</f>
        <v/>
      </c>
      <c r="D261" s="65"/>
      <c r="E261" s="65"/>
      <c r="F261" s="64"/>
      <c r="G261" s="74" t="str">
        <f aca="false">IF(OR(B261="",NOT(ISNUMBER(D261)),NOT(ISNUMBER(E261))),"",NETWORKDAYS(D261,E261,FERIADOS))</f>
        <v/>
      </c>
      <c r="H261" s="69"/>
      <c r="I261" s="74" t="str">
        <f aca="false">IF(B261="","",IF(ISNUMBER(H261),H261,N(G261)))</f>
        <v/>
      </c>
      <c r="J261" s="64"/>
      <c r="K261" s="64"/>
      <c r="L261" s="93" t="str">
        <f aca="false">IF(NOT(ISNUMBER(D261)),"",DATE(YEAR(D261),MONTH(D261),1))</f>
        <v/>
      </c>
      <c r="M261" s="70" t="str">
        <f aca="false">IF(B261="","",IF(AND(ISNUMBER(D261),ISNUMBER(E261),E261&lt;D261),"⚠ Término anterior al inicio",IF(J261&lt;&gt;"Sí","Pendiente comprobante firmado","OK")))</f>
        <v/>
      </c>
    </row>
    <row r="262" customFormat="false" ht="15" hidden="false" customHeight="false" outlineLevel="0" collapsed="false">
      <c r="B262" s="64"/>
      <c r="C262" s="72" t="str">
        <f aca="false">IF(B262="","",IFERROR(INDEX(T_NOMBRE,MATCH(B262,T_ID,0)),"⚠ ID no existe"))</f>
        <v/>
      </c>
      <c r="D262" s="65"/>
      <c r="E262" s="65"/>
      <c r="F262" s="64"/>
      <c r="G262" s="74" t="str">
        <f aca="false">IF(OR(B262="",NOT(ISNUMBER(D262)),NOT(ISNUMBER(E262))),"",NETWORKDAYS(D262,E262,FERIADOS))</f>
        <v/>
      </c>
      <c r="H262" s="69"/>
      <c r="I262" s="74" t="str">
        <f aca="false">IF(B262="","",IF(ISNUMBER(H262),H262,N(G262)))</f>
        <v/>
      </c>
      <c r="J262" s="64"/>
      <c r="K262" s="64"/>
      <c r="L262" s="93" t="str">
        <f aca="false">IF(NOT(ISNUMBER(D262)),"",DATE(YEAR(D262),MONTH(D262),1))</f>
        <v/>
      </c>
      <c r="M262" s="70" t="str">
        <f aca="false">IF(B262="","",IF(AND(ISNUMBER(D262),ISNUMBER(E262),E262&lt;D262),"⚠ Término anterior al inicio",IF(J262&lt;&gt;"Sí","Pendiente comprobante firmado","OK")))</f>
        <v/>
      </c>
    </row>
    <row r="263" customFormat="false" ht="15" hidden="false" customHeight="false" outlineLevel="0" collapsed="false">
      <c r="B263" s="64"/>
      <c r="C263" s="72" t="str">
        <f aca="false">IF(B263="","",IFERROR(INDEX(T_NOMBRE,MATCH(B263,T_ID,0)),"⚠ ID no existe"))</f>
        <v/>
      </c>
      <c r="D263" s="65"/>
      <c r="E263" s="65"/>
      <c r="F263" s="64"/>
      <c r="G263" s="74" t="str">
        <f aca="false">IF(OR(B263="",NOT(ISNUMBER(D263)),NOT(ISNUMBER(E263))),"",NETWORKDAYS(D263,E263,FERIADOS))</f>
        <v/>
      </c>
      <c r="H263" s="69"/>
      <c r="I263" s="74" t="str">
        <f aca="false">IF(B263="","",IF(ISNUMBER(H263),H263,N(G263)))</f>
        <v/>
      </c>
      <c r="J263" s="64"/>
      <c r="K263" s="64"/>
      <c r="L263" s="93" t="str">
        <f aca="false">IF(NOT(ISNUMBER(D263)),"",DATE(YEAR(D263),MONTH(D263),1))</f>
        <v/>
      </c>
      <c r="M263" s="70" t="str">
        <f aca="false">IF(B263="","",IF(AND(ISNUMBER(D263),ISNUMBER(E263),E263&lt;D263),"⚠ Término anterior al inicio",IF(J263&lt;&gt;"Sí","Pendiente comprobante firmado","OK")))</f>
        <v/>
      </c>
    </row>
    <row r="264" customFormat="false" ht="15" hidden="false" customHeight="false" outlineLevel="0" collapsed="false">
      <c r="B264" s="64"/>
      <c r="C264" s="72" t="str">
        <f aca="false">IF(B264="","",IFERROR(INDEX(T_NOMBRE,MATCH(B264,T_ID,0)),"⚠ ID no existe"))</f>
        <v/>
      </c>
      <c r="D264" s="65"/>
      <c r="E264" s="65"/>
      <c r="F264" s="64"/>
      <c r="G264" s="74" t="str">
        <f aca="false">IF(OR(B264="",NOT(ISNUMBER(D264)),NOT(ISNUMBER(E264))),"",NETWORKDAYS(D264,E264,FERIADOS))</f>
        <v/>
      </c>
      <c r="H264" s="69"/>
      <c r="I264" s="74" t="str">
        <f aca="false">IF(B264="","",IF(ISNUMBER(H264),H264,N(G264)))</f>
        <v/>
      </c>
      <c r="J264" s="64"/>
      <c r="K264" s="64"/>
      <c r="L264" s="93" t="str">
        <f aca="false">IF(NOT(ISNUMBER(D264)),"",DATE(YEAR(D264),MONTH(D264),1))</f>
        <v/>
      </c>
      <c r="M264" s="70" t="str">
        <f aca="false">IF(B264="","",IF(AND(ISNUMBER(D264),ISNUMBER(E264),E264&lt;D264),"⚠ Término anterior al inicio",IF(J264&lt;&gt;"Sí","Pendiente comprobante firmado","OK")))</f>
        <v/>
      </c>
    </row>
    <row r="265" customFormat="false" ht="15" hidden="false" customHeight="false" outlineLevel="0" collapsed="false">
      <c r="B265" s="64"/>
      <c r="C265" s="72" t="str">
        <f aca="false">IF(B265="","",IFERROR(INDEX(T_NOMBRE,MATCH(B265,T_ID,0)),"⚠ ID no existe"))</f>
        <v/>
      </c>
      <c r="D265" s="65"/>
      <c r="E265" s="65"/>
      <c r="F265" s="64"/>
      <c r="G265" s="74" t="str">
        <f aca="false">IF(OR(B265="",NOT(ISNUMBER(D265)),NOT(ISNUMBER(E265))),"",NETWORKDAYS(D265,E265,FERIADOS))</f>
        <v/>
      </c>
      <c r="H265" s="69"/>
      <c r="I265" s="74" t="str">
        <f aca="false">IF(B265="","",IF(ISNUMBER(H265),H265,N(G265)))</f>
        <v/>
      </c>
      <c r="J265" s="64"/>
      <c r="K265" s="64"/>
      <c r="L265" s="93" t="str">
        <f aca="false">IF(NOT(ISNUMBER(D265)),"",DATE(YEAR(D265),MONTH(D265),1))</f>
        <v/>
      </c>
      <c r="M265" s="70" t="str">
        <f aca="false">IF(B265="","",IF(AND(ISNUMBER(D265),ISNUMBER(E265),E265&lt;D265),"⚠ Término anterior al inicio",IF(J265&lt;&gt;"Sí","Pendiente comprobante firmado","OK")))</f>
        <v/>
      </c>
    </row>
    <row r="266" customFormat="false" ht="15" hidden="false" customHeight="false" outlineLevel="0" collapsed="false">
      <c r="B266" s="64"/>
      <c r="C266" s="72" t="str">
        <f aca="false">IF(B266="","",IFERROR(INDEX(T_NOMBRE,MATCH(B266,T_ID,0)),"⚠ ID no existe"))</f>
        <v/>
      </c>
      <c r="D266" s="65"/>
      <c r="E266" s="65"/>
      <c r="F266" s="64"/>
      <c r="G266" s="74" t="str">
        <f aca="false">IF(OR(B266="",NOT(ISNUMBER(D266)),NOT(ISNUMBER(E266))),"",NETWORKDAYS(D266,E266,FERIADOS))</f>
        <v/>
      </c>
      <c r="H266" s="69"/>
      <c r="I266" s="74" t="str">
        <f aca="false">IF(B266="","",IF(ISNUMBER(H266),H266,N(G266)))</f>
        <v/>
      </c>
      <c r="J266" s="64"/>
      <c r="K266" s="64"/>
      <c r="L266" s="93" t="str">
        <f aca="false">IF(NOT(ISNUMBER(D266)),"",DATE(YEAR(D266),MONTH(D266),1))</f>
        <v/>
      </c>
      <c r="M266" s="70" t="str">
        <f aca="false">IF(B266="","",IF(AND(ISNUMBER(D266),ISNUMBER(E266),E266&lt;D266),"⚠ Término anterior al inicio",IF(J266&lt;&gt;"Sí","Pendiente comprobante firmado","OK")))</f>
        <v/>
      </c>
    </row>
    <row r="267" customFormat="false" ht="15" hidden="false" customHeight="false" outlineLevel="0" collapsed="false">
      <c r="B267" s="64"/>
      <c r="C267" s="72" t="str">
        <f aca="false">IF(B267="","",IFERROR(INDEX(T_NOMBRE,MATCH(B267,T_ID,0)),"⚠ ID no existe"))</f>
        <v/>
      </c>
      <c r="D267" s="65"/>
      <c r="E267" s="65"/>
      <c r="F267" s="64"/>
      <c r="G267" s="74" t="str">
        <f aca="false">IF(OR(B267="",NOT(ISNUMBER(D267)),NOT(ISNUMBER(E267))),"",NETWORKDAYS(D267,E267,FERIADOS))</f>
        <v/>
      </c>
      <c r="H267" s="69"/>
      <c r="I267" s="74" t="str">
        <f aca="false">IF(B267="","",IF(ISNUMBER(H267),H267,N(G267)))</f>
        <v/>
      </c>
      <c r="J267" s="64"/>
      <c r="K267" s="64"/>
      <c r="L267" s="93" t="str">
        <f aca="false">IF(NOT(ISNUMBER(D267)),"",DATE(YEAR(D267),MONTH(D267),1))</f>
        <v/>
      </c>
      <c r="M267" s="70" t="str">
        <f aca="false">IF(B267="","",IF(AND(ISNUMBER(D267),ISNUMBER(E267),E267&lt;D267),"⚠ Término anterior al inicio",IF(J267&lt;&gt;"Sí","Pendiente comprobante firmado","OK")))</f>
        <v/>
      </c>
    </row>
    <row r="268" customFormat="false" ht="15" hidden="false" customHeight="false" outlineLevel="0" collapsed="false">
      <c r="B268" s="64"/>
      <c r="C268" s="72" t="str">
        <f aca="false">IF(B268="","",IFERROR(INDEX(T_NOMBRE,MATCH(B268,T_ID,0)),"⚠ ID no existe"))</f>
        <v/>
      </c>
      <c r="D268" s="65"/>
      <c r="E268" s="65"/>
      <c r="F268" s="64"/>
      <c r="G268" s="74" t="str">
        <f aca="false">IF(OR(B268="",NOT(ISNUMBER(D268)),NOT(ISNUMBER(E268))),"",NETWORKDAYS(D268,E268,FERIADOS))</f>
        <v/>
      </c>
      <c r="H268" s="69"/>
      <c r="I268" s="74" t="str">
        <f aca="false">IF(B268="","",IF(ISNUMBER(H268),H268,N(G268)))</f>
        <v/>
      </c>
      <c r="J268" s="64"/>
      <c r="K268" s="64"/>
      <c r="L268" s="93" t="str">
        <f aca="false">IF(NOT(ISNUMBER(D268)),"",DATE(YEAR(D268),MONTH(D268),1))</f>
        <v/>
      </c>
      <c r="M268" s="70" t="str">
        <f aca="false">IF(B268="","",IF(AND(ISNUMBER(D268),ISNUMBER(E268),E268&lt;D268),"⚠ Término anterior al inicio",IF(J268&lt;&gt;"Sí","Pendiente comprobante firmado","OK")))</f>
        <v/>
      </c>
    </row>
    <row r="269" customFormat="false" ht="15" hidden="false" customHeight="false" outlineLevel="0" collapsed="false">
      <c r="B269" s="64"/>
      <c r="C269" s="72" t="str">
        <f aca="false">IF(B269="","",IFERROR(INDEX(T_NOMBRE,MATCH(B269,T_ID,0)),"⚠ ID no existe"))</f>
        <v/>
      </c>
      <c r="D269" s="65"/>
      <c r="E269" s="65"/>
      <c r="F269" s="64"/>
      <c r="G269" s="74" t="str">
        <f aca="false">IF(OR(B269="",NOT(ISNUMBER(D269)),NOT(ISNUMBER(E269))),"",NETWORKDAYS(D269,E269,FERIADOS))</f>
        <v/>
      </c>
      <c r="H269" s="69"/>
      <c r="I269" s="74" t="str">
        <f aca="false">IF(B269="","",IF(ISNUMBER(H269),H269,N(G269)))</f>
        <v/>
      </c>
      <c r="J269" s="64"/>
      <c r="K269" s="64"/>
      <c r="L269" s="93" t="str">
        <f aca="false">IF(NOT(ISNUMBER(D269)),"",DATE(YEAR(D269),MONTH(D269),1))</f>
        <v/>
      </c>
      <c r="M269" s="70" t="str">
        <f aca="false">IF(B269="","",IF(AND(ISNUMBER(D269),ISNUMBER(E269),E269&lt;D269),"⚠ Término anterior al inicio",IF(J269&lt;&gt;"Sí","Pendiente comprobante firmado","OK")))</f>
        <v/>
      </c>
    </row>
    <row r="270" customFormat="false" ht="15" hidden="false" customHeight="false" outlineLevel="0" collapsed="false">
      <c r="B270" s="64"/>
      <c r="C270" s="72" t="str">
        <f aca="false">IF(B270="","",IFERROR(INDEX(T_NOMBRE,MATCH(B270,T_ID,0)),"⚠ ID no existe"))</f>
        <v/>
      </c>
      <c r="D270" s="65"/>
      <c r="E270" s="65"/>
      <c r="F270" s="64"/>
      <c r="G270" s="74" t="str">
        <f aca="false">IF(OR(B270="",NOT(ISNUMBER(D270)),NOT(ISNUMBER(E270))),"",NETWORKDAYS(D270,E270,FERIADOS))</f>
        <v/>
      </c>
      <c r="H270" s="69"/>
      <c r="I270" s="74" t="str">
        <f aca="false">IF(B270="","",IF(ISNUMBER(H270),H270,N(G270)))</f>
        <v/>
      </c>
      <c r="J270" s="64"/>
      <c r="K270" s="64"/>
      <c r="L270" s="93" t="str">
        <f aca="false">IF(NOT(ISNUMBER(D270)),"",DATE(YEAR(D270),MONTH(D270),1))</f>
        <v/>
      </c>
      <c r="M270" s="70" t="str">
        <f aca="false">IF(B270="","",IF(AND(ISNUMBER(D270),ISNUMBER(E270),E270&lt;D270),"⚠ Término anterior al inicio",IF(J270&lt;&gt;"Sí","Pendiente comprobante firmado","OK")))</f>
        <v/>
      </c>
    </row>
    <row r="271" customFormat="false" ht="15" hidden="false" customHeight="false" outlineLevel="0" collapsed="false">
      <c r="B271" s="64"/>
      <c r="C271" s="72" t="str">
        <f aca="false">IF(B271="","",IFERROR(INDEX(T_NOMBRE,MATCH(B271,T_ID,0)),"⚠ ID no existe"))</f>
        <v/>
      </c>
      <c r="D271" s="65"/>
      <c r="E271" s="65"/>
      <c r="F271" s="64"/>
      <c r="G271" s="74" t="str">
        <f aca="false">IF(OR(B271="",NOT(ISNUMBER(D271)),NOT(ISNUMBER(E271))),"",NETWORKDAYS(D271,E271,FERIADOS))</f>
        <v/>
      </c>
      <c r="H271" s="69"/>
      <c r="I271" s="74" t="str">
        <f aca="false">IF(B271="","",IF(ISNUMBER(H271),H271,N(G271)))</f>
        <v/>
      </c>
      <c r="J271" s="64"/>
      <c r="K271" s="64"/>
      <c r="L271" s="93" t="str">
        <f aca="false">IF(NOT(ISNUMBER(D271)),"",DATE(YEAR(D271),MONTH(D271),1))</f>
        <v/>
      </c>
      <c r="M271" s="70" t="str">
        <f aca="false">IF(B271="","",IF(AND(ISNUMBER(D271),ISNUMBER(E271),E271&lt;D271),"⚠ Término anterior al inicio",IF(J271&lt;&gt;"Sí","Pendiente comprobante firmado","OK")))</f>
        <v/>
      </c>
    </row>
    <row r="272" customFormat="false" ht="15" hidden="false" customHeight="false" outlineLevel="0" collapsed="false">
      <c r="B272" s="64"/>
      <c r="C272" s="72" t="str">
        <f aca="false">IF(B272="","",IFERROR(INDEX(T_NOMBRE,MATCH(B272,T_ID,0)),"⚠ ID no existe"))</f>
        <v/>
      </c>
      <c r="D272" s="65"/>
      <c r="E272" s="65"/>
      <c r="F272" s="64"/>
      <c r="G272" s="74" t="str">
        <f aca="false">IF(OR(B272="",NOT(ISNUMBER(D272)),NOT(ISNUMBER(E272))),"",NETWORKDAYS(D272,E272,FERIADOS))</f>
        <v/>
      </c>
      <c r="H272" s="69"/>
      <c r="I272" s="74" t="str">
        <f aca="false">IF(B272="","",IF(ISNUMBER(H272),H272,N(G272)))</f>
        <v/>
      </c>
      <c r="J272" s="64"/>
      <c r="K272" s="64"/>
      <c r="L272" s="93" t="str">
        <f aca="false">IF(NOT(ISNUMBER(D272)),"",DATE(YEAR(D272),MONTH(D272),1))</f>
        <v/>
      </c>
      <c r="M272" s="70" t="str">
        <f aca="false">IF(B272="","",IF(AND(ISNUMBER(D272),ISNUMBER(E272),E272&lt;D272),"⚠ Término anterior al inicio",IF(J272&lt;&gt;"Sí","Pendiente comprobante firmado","OK")))</f>
        <v/>
      </c>
    </row>
    <row r="273" customFormat="false" ht="15" hidden="false" customHeight="false" outlineLevel="0" collapsed="false">
      <c r="B273" s="64"/>
      <c r="C273" s="72" t="str">
        <f aca="false">IF(B273="","",IFERROR(INDEX(T_NOMBRE,MATCH(B273,T_ID,0)),"⚠ ID no existe"))</f>
        <v/>
      </c>
      <c r="D273" s="65"/>
      <c r="E273" s="65"/>
      <c r="F273" s="64"/>
      <c r="G273" s="74" t="str">
        <f aca="false">IF(OR(B273="",NOT(ISNUMBER(D273)),NOT(ISNUMBER(E273))),"",NETWORKDAYS(D273,E273,FERIADOS))</f>
        <v/>
      </c>
      <c r="H273" s="69"/>
      <c r="I273" s="74" t="str">
        <f aca="false">IF(B273="","",IF(ISNUMBER(H273),H273,N(G273)))</f>
        <v/>
      </c>
      <c r="J273" s="64"/>
      <c r="K273" s="64"/>
      <c r="L273" s="93" t="str">
        <f aca="false">IF(NOT(ISNUMBER(D273)),"",DATE(YEAR(D273),MONTH(D273),1))</f>
        <v/>
      </c>
      <c r="M273" s="70" t="str">
        <f aca="false">IF(B273="","",IF(AND(ISNUMBER(D273),ISNUMBER(E273),E273&lt;D273),"⚠ Término anterior al inicio",IF(J273&lt;&gt;"Sí","Pendiente comprobante firmado","OK")))</f>
        <v/>
      </c>
    </row>
    <row r="274" customFormat="false" ht="15" hidden="false" customHeight="false" outlineLevel="0" collapsed="false">
      <c r="B274" s="64"/>
      <c r="C274" s="72" t="str">
        <f aca="false">IF(B274="","",IFERROR(INDEX(T_NOMBRE,MATCH(B274,T_ID,0)),"⚠ ID no existe"))</f>
        <v/>
      </c>
      <c r="D274" s="65"/>
      <c r="E274" s="65"/>
      <c r="F274" s="64"/>
      <c r="G274" s="74" t="str">
        <f aca="false">IF(OR(B274="",NOT(ISNUMBER(D274)),NOT(ISNUMBER(E274))),"",NETWORKDAYS(D274,E274,FERIADOS))</f>
        <v/>
      </c>
      <c r="H274" s="69"/>
      <c r="I274" s="74" t="str">
        <f aca="false">IF(B274="","",IF(ISNUMBER(H274),H274,N(G274)))</f>
        <v/>
      </c>
      <c r="J274" s="64"/>
      <c r="K274" s="64"/>
      <c r="L274" s="93" t="str">
        <f aca="false">IF(NOT(ISNUMBER(D274)),"",DATE(YEAR(D274),MONTH(D274),1))</f>
        <v/>
      </c>
      <c r="M274" s="70" t="str">
        <f aca="false">IF(B274="","",IF(AND(ISNUMBER(D274),ISNUMBER(E274),E274&lt;D274),"⚠ Término anterior al inicio",IF(J274&lt;&gt;"Sí","Pendiente comprobante firmado","OK")))</f>
        <v/>
      </c>
    </row>
    <row r="275" customFormat="false" ht="15" hidden="false" customHeight="false" outlineLevel="0" collapsed="false">
      <c r="B275" s="64"/>
      <c r="C275" s="72" t="str">
        <f aca="false">IF(B275="","",IFERROR(INDEX(T_NOMBRE,MATCH(B275,T_ID,0)),"⚠ ID no existe"))</f>
        <v/>
      </c>
      <c r="D275" s="65"/>
      <c r="E275" s="65"/>
      <c r="F275" s="64"/>
      <c r="G275" s="74" t="str">
        <f aca="false">IF(OR(B275="",NOT(ISNUMBER(D275)),NOT(ISNUMBER(E275))),"",NETWORKDAYS(D275,E275,FERIADOS))</f>
        <v/>
      </c>
      <c r="H275" s="69"/>
      <c r="I275" s="74" t="str">
        <f aca="false">IF(B275="","",IF(ISNUMBER(H275),H275,N(G275)))</f>
        <v/>
      </c>
      <c r="J275" s="64"/>
      <c r="K275" s="64"/>
      <c r="L275" s="93" t="str">
        <f aca="false">IF(NOT(ISNUMBER(D275)),"",DATE(YEAR(D275),MONTH(D275),1))</f>
        <v/>
      </c>
      <c r="M275" s="70" t="str">
        <f aca="false">IF(B275="","",IF(AND(ISNUMBER(D275),ISNUMBER(E275),E275&lt;D275),"⚠ Término anterior al inicio",IF(J275&lt;&gt;"Sí","Pendiente comprobante firmado","OK")))</f>
        <v/>
      </c>
    </row>
    <row r="276" customFormat="false" ht="15" hidden="false" customHeight="false" outlineLevel="0" collapsed="false">
      <c r="B276" s="64"/>
      <c r="C276" s="72" t="str">
        <f aca="false">IF(B276="","",IFERROR(INDEX(T_NOMBRE,MATCH(B276,T_ID,0)),"⚠ ID no existe"))</f>
        <v/>
      </c>
      <c r="D276" s="65"/>
      <c r="E276" s="65"/>
      <c r="F276" s="64"/>
      <c r="G276" s="74" t="str">
        <f aca="false">IF(OR(B276="",NOT(ISNUMBER(D276)),NOT(ISNUMBER(E276))),"",NETWORKDAYS(D276,E276,FERIADOS))</f>
        <v/>
      </c>
      <c r="H276" s="69"/>
      <c r="I276" s="74" t="str">
        <f aca="false">IF(B276="","",IF(ISNUMBER(H276),H276,N(G276)))</f>
        <v/>
      </c>
      <c r="J276" s="64"/>
      <c r="K276" s="64"/>
      <c r="L276" s="93" t="str">
        <f aca="false">IF(NOT(ISNUMBER(D276)),"",DATE(YEAR(D276),MONTH(D276),1))</f>
        <v/>
      </c>
      <c r="M276" s="70" t="str">
        <f aca="false">IF(B276="","",IF(AND(ISNUMBER(D276),ISNUMBER(E276),E276&lt;D276),"⚠ Término anterior al inicio",IF(J276&lt;&gt;"Sí","Pendiente comprobante firmado","OK")))</f>
        <v/>
      </c>
    </row>
    <row r="277" customFormat="false" ht="15" hidden="false" customHeight="false" outlineLevel="0" collapsed="false">
      <c r="B277" s="64"/>
      <c r="C277" s="72" t="str">
        <f aca="false">IF(B277="","",IFERROR(INDEX(T_NOMBRE,MATCH(B277,T_ID,0)),"⚠ ID no existe"))</f>
        <v/>
      </c>
      <c r="D277" s="65"/>
      <c r="E277" s="65"/>
      <c r="F277" s="64"/>
      <c r="G277" s="74" t="str">
        <f aca="false">IF(OR(B277="",NOT(ISNUMBER(D277)),NOT(ISNUMBER(E277))),"",NETWORKDAYS(D277,E277,FERIADOS))</f>
        <v/>
      </c>
      <c r="H277" s="69"/>
      <c r="I277" s="74" t="str">
        <f aca="false">IF(B277="","",IF(ISNUMBER(H277),H277,N(G277)))</f>
        <v/>
      </c>
      <c r="J277" s="64"/>
      <c r="K277" s="64"/>
      <c r="L277" s="93" t="str">
        <f aca="false">IF(NOT(ISNUMBER(D277)),"",DATE(YEAR(D277),MONTH(D277),1))</f>
        <v/>
      </c>
      <c r="M277" s="70" t="str">
        <f aca="false">IF(B277="","",IF(AND(ISNUMBER(D277),ISNUMBER(E277),E277&lt;D277),"⚠ Término anterior al inicio",IF(J277&lt;&gt;"Sí","Pendiente comprobante firmado","OK")))</f>
        <v/>
      </c>
    </row>
    <row r="278" customFormat="false" ht="15" hidden="false" customHeight="false" outlineLevel="0" collapsed="false">
      <c r="B278" s="64"/>
      <c r="C278" s="72" t="str">
        <f aca="false">IF(B278="","",IFERROR(INDEX(T_NOMBRE,MATCH(B278,T_ID,0)),"⚠ ID no existe"))</f>
        <v/>
      </c>
      <c r="D278" s="65"/>
      <c r="E278" s="65"/>
      <c r="F278" s="64"/>
      <c r="G278" s="74" t="str">
        <f aca="false">IF(OR(B278="",NOT(ISNUMBER(D278)),NOT(ISNUMBER(E278))),"",NETWORKDAYS(D278,E278,FERIADOS))</f>
        <v/>
      </c>
      <c r="H278" s="69"/>
      <c r="I278" s="74" t="str">
        <f aca="false">IF(B278="","",IF(ISNUMBER(H278),H278,N(G278)))</f>
        <v/>
      </c>
      <c r="J278" s="64"/>
      <c r="K278" s="64"/>
      <c r="L278" s="93" t="str">
        <f aca="false">IF(NOT(ISNUMBER(D278)),"",DATE(YEAR(D278),MONTH(D278),1))</f>
        <v/>
      </c>
      <c r="M278" s="70" t="str">
        <f aca="false">IF(B278="","",IF(AND(ISNUMBER(D278),ISNUMBER(E278),E278&lt;D278),"⚠ Término anterior al inicio",IF(J278&lt;&gt;"Sí","Pendiente comprobante firmado","OK")))</f>
        <v/>
      </c>
    </row>
    <row r="279" customFormat="false" ht="15" hidden="false" customHeight="false" outlineLevel="0" collapsed="false">
      <c r="B279" s="64"/>
      <c r="C279" s="72" t="str">
        <f aca="false">IF(B279="","",IFERROR(INDEX(T_NOMBRE,MATCH(B279,T_ID,0)),"⚠ ID no existe"))</f>
        <v/>
      </c>
      <c r="D279" s="65"/>
      <c r="E279" s="65"/>
      <c r="F279" s="64"/>
      <c r="G279" s="74" t="str">
        <f aca="false">IF(OR(B279="",NOT(ISNUMBER(D279)),NOT(ISNUMBER(E279))),"",NETWORKDAYS(D279,E279,FERIADOS))</f>
        <v/>
      </c>
      <c r="H279" s="69"/>
      <c r="I279" s="74" t="str">
        <f aca="false">IF(B279="","",IF(ISNUMBER(H279),H279,N(G279)))</f>
        <v/>
      </c>
      <c r="J279" s="64"/>
      <c r="K279" s="64"/>
      <c r="L279" s="93" t="str">
        <f aca="false">IF(NOT(ISNUMBER(D279)),"",DATE(YEAR(D279),MONTH(D279),1))</f>
        <v/>
      </c>
      <c r="M279" s="70" t="str">
        <f aca="false">IF(B279="","",IF(AND(ISNUMBER(D279),ISNUMBER(E279),E279&lt;D279),"⚠ Término anterior al inicio",IF(J279&lt;&gt;"Sí","Pendiente comprobante firmado","OK")))</f>
        <v/>
      </c>
    </row>
    <row r="280" customFormat="false" ht="15" hidden="false" customHeight="false" outlineLevel="0" collapsed="false">
      <c r="B280" s="64"/>
      <c r="C280" s="72" t="str">
        <f aca="false">IF(B280="","",IFERROR(INDEX(T_NOMBRE,MATCH(B280,T_ID,0)),"⚠ ID no existe"))</f>
        <v/>
      </c>
      <c r="D280" s="65"/>
      <c r="E280" s="65"/>
      <c r="F280" s="64"/>
      <c r="G280" s="74" t="str">
        <f aca="false">IF(OR(B280="",NOT(ISNUMBER(D280)),NOT(ISNUMBER(E280))),"",NETWORKDAYS(D280,E280,FERIADOS))</f>
        <v/>
      </c>
      <c r="H280" s="69"/>
      <c r="I280" s="74" t="str">
        <f aca="false">IF(B280="","",IF(ISNUMBER(H280),H280,N(G280)))</f>
        <v/>
      </c>
      <c r="J280" s="64"/>
      <c r="K280" s="64"/>
      <c r="L280" s="93" t="str">
        <f aca="false">IF(NOT(ISNUMBER(D280)),"",DATE(YEAR(D280),MONTH(D280),1))</f>
        <v/>
      </c>
      <c r="M280" s="70" t="str">
        <f aca="false">IF(B280="","",IF(AND(ISNUMBER(D280),ISNUMBER(E280),E280&lt;D280),"⚠ Término anterior al inicio",IF(J280&lt;&gt;"Sí","Pendiente comprobante firmado","OK")))</f>
        <v/>
      </c>
    </row>
    <row r="281" customFormat="false" ht="15" hidden="false" customHeight="false" outlineLevel="0" collapsed="false">
      <c r="B281" s="64"/>
      <c r="C281" s="72" t="str">
        <f aca="false">IF(B281="","",IFERROR(INDEX(T_NOMBRE,MATCH(B281,T_ID,0)),"⚠ ID no existe"))</f>
        <v/>
      </c>
      <c r="D281" s="65"/>
      <c r="E281" s="65"/>
      <c r="F281" s="64"/>
      <c r="G281" s="74" t="str">
        <f aca="false">IF(OR(B281="",NOT(ISNUMBER(D281)),NOT(ISNUMBER(E281))),"",NETWORKDAYS(D281,E281,FERIADOS))</f>
        <v/>
      </c>
      <c r="H281" s="69"/>
      <c r="I281" s="74" t="str">
        <f aca="false">IF(B281="","",IF(ISNUMBER(H281),H281,N(G281)))</f>
        <v/>
      </c>
      <c r="J281" s="64"/>
      <c r="K281" s="64"/>
      <c r="L281" s="93" t="str">
        <f aca="false">IF(NOT(ISNUMBER(D281)),"",DATE(YEAR(D281),MONTH(D281),1))</f>
        <v/>
      </c>
      <c r="M281" s="70" t="str">
        <f aca="false">IF(B281="","",IF(AND(ISNUMBER(D281),ISNUMBER(E281),E281&lt;D281),"⚠ Término anterior al inicio",IF(J281&lt;&gt;"Sí","Pendiente comprobante firmado","OK")))</f>
        <v/>
      </c>
    </row>
    <row r="282" customFormat="false" ht="15" hidden="false" customHeight="false" outlineLevel="0" collapsed="false">
      <c r="B282" s="64"/>
      <c r="C282" s="72" t="str">
        <f aca="false">IF(B282="","",IFERROR(INDEX(T_NOMBRE,MATCH(B282,T_ID,0)),"⚠ ID no existe"))</f>
        <v/>
      </c>
      <c r="D282" s="65"/>
      <c r="E282" s="65"/>
      <c r="F282" s="64"/>
      <c r="G282" s="74" t="str">
        <f aca="false">IF(OR(B282="",NOT(ISNUMBER(D282)),NOT(ISNUMBER(E282))),"",NETWORKDAYS(D282,E282,FERIADOS))</f>
        <v/>
      </c>
      <c r="H282" s="69"/>
      <c r="I282" s="74" t="str">
        <f aca="false">IF(B282="","",IF(ISNUMBER(H282),H282,N(G282)))</f>
        <v/>
      </c>
      <c r="J282" s="64"/>
      <c r="K282" s="64"/>
      <c r="L282" s="93" t="str">
        <f aca="false">IF(NOT(ISNUMBER(D282)),"",DATE(YEAR(D282),MONTH(D282),1))</f>
        <v/>
      </c>
      <c r="M282" s="70" t="str">
        <f aca="false">IF(B282="","",IF(AND(ISNUMBER(D282),ISNUMBER(E282),E282&lt;D282),"⚠ Término anterior al inicio",IF(J282&lt;&gt;"Sí","Pendiente comprobante firmado","OK")))</f>
        <v/>
      </c>
    </row>
    <row r="283" customFormat="false" ht="15" hidden="false" customHeight="false" outlineLevel="0" collapsed="false">
      <c r="B283" s="64"/>
      <c r="C283" s="72" t="str">
        <f aca="false">IF(B283="","",IFERROR(INDEX(T_NOMBRE,MATCH(B283,T_ID,0)),"⚠ ID no existe"))</f>
        <v/>
      </c>
      <c r="D283" s="65"/>
      <c r="E283" s="65"/>
      <c r="F283" s="64"/>
      <c r="G283" s="74" t="str">
        <f aca="false">IF(OR(B283="",NOT(ISNUMBER(D283)),NOT(ISNUMBER(E283))),"",NETWORKDAYS(D283,E283,FERIADOS))</f>
        <v/>
      </c>
      <c r="H283" s="69"/>
      <c r="I283" s="74" t="str">
        <f aca="false">IF(B283="","",IF(ISNUMBER(H283),H283,N(G283)))</f>
        <v/>
      </c>
      <c r="J283" s="64"/>
      <c r="K283" s="64"/>
      <c r="L283" s="93" t="str">
        <f aca="false">IF(NOT(ISNUMBER(D283)),"",DATE(YEAR(D283),MONTH(D283),1))</f>
        <v/>
      </c>
      <c r="M283" s="70" t="str">
        <f aca="false">IF(B283="","",IF(AND(ISNUMBER(D283),ISNUMBER(E283),E283&lt;D283),"⚠ Término anterior al inicio",IF(J283&lt;&gt;"Sí","Pendiente comprobante firmado","OK")))</f>
        <v/>
      </c>
    </row>
    <row r="284" customFormat="false" ht="15" hidden="false" customHeight="false" outlineLevel="0" collapsed="false">
      <c r="B284" s="64"/>
      <c r="C284" s="72" t="str">
        <f aca="false">IF(B284="","",IFERROR(INDEX(T_NOMBRE,MATCH(B284,T_ID,0)),"⚠ ID no existe"))</f>
        <v/>
      </c>
      <c r="D284" s="65"/>
      <c r="E284" s="65"/>
      <c r="F284" s="64"/>
      <c r="G284" s="74" t="str">
        <f aca="false">IF(OR(B284="",NOT(ISNUMBER(D284)),NOT(ISNUMBER(E284))),"",NETWORKDAYS(D284,E284,FERIADOS))</f>
        <v/>
      </c>
      <c r="H284" s="69"/>
      <c r="I284" s="74" t="str">
        <f aca="false">IF(B284="","",IF(ISNUMBER(H284),H284,N(G284)))</f>
        <v/>
      </c>
      <c r="J284" s="64"/>
      <c r="K284" s="64"/>
      <c r="L284" s="93" t="str">
        <f aca="false">IF(NOT(ISNUMBER(D284)),"",DATE(YEAR(D284),MONTH(D284),1))</f>
        <v/>
      </c>
      <c r="M284" s="70" t="str">
        <f aca="false">IF(B284="","",IF(AND(ISNUMBER(D284),ISNUMBER(E284),E284&lt;D284),"⚠ Término anterior al inicio",IF(J284&lt;&gt;"Sí","Pendiente comprobante firmado","OK")))</f>
        <v/>
      </c>
    </row>
    <row r="285" customFormat="false" ht="15" hidden="false" customHeight="false" outlineLevel="0" collapsed="false">
      <c r="B285" s="64"/>
      <c r="C285" s="72" t="str">
        <f aca="false">IF(B285="","",IFERROR(INDEX(T_NOMBRE,MATCH(B285,T_ID,0)),"⚠ ID no existe"))</f>
        <v/>
      </c>
      <c r="D285" s="65"/>
      <c r="E285" s="65"/>
      <c r="F285" s="64"/>
      <c r="G285" s="74" t="str">
        <f aca="false">IF(OR(B285="",NOT(ISNUMBER(D285)),NOT(ISNUMBER(E285))),"",NETWORKDAYS(D285,E285,FERIADOS))</f>
        <v/>
      </c>
      <c r="H285" s="69"/>
      <c r="I285" s="74" t="str">
        <f aca="false">IF(B285="","",IF(ISNUMBER(H285),H285,N(G285)))</f>
        <v/>
      </c>
      <c r="J285" s="64"/>
      <c r="K285" s="64"/>
      <c r="L285" s="93" t="str">
        <f aca="false">IF(NOT(ISNUMBER(D285)),"",DATE(YEAR(D285),MONTH(D285),1))</f>
        <v/>
      </c>
      <c r="M285" s="70" t="str">
        <f aca="false">IF(B285="","",IF(AND(ISNUMBER(D285),ISNUMBER(E285),E285&lt;D285),"⚠ Término anterior al inicio",IF(J285&lt;&gt;"Sí","Pendiente comprobante firmado","OK")))</f>
        <v/>
      </c>
    </row>
    <row r="286" customFormat="false" ht="15" hidden="false" customHeight="false" outlineLevel="0" collapsed="false">
      <c r="B286" s="64"/>
      <c r="C286" s="72" t="str">
        <f aca="false">IF(B286="","",IFERROR(INDEX(T_NOMBRE,MATCH(B286,T_ID,0)),"⚠ ID no existe"))</f>
        <v/>
      </c>
      <c r="D286" s="65"/>
      <c r="E286" s="65"/>
      <c r="F286" s="64"/>
      <c r="G286" s="74" t="str">
        <f aca="false">IF(OR(B286="",NOT(ISNUMBER(D286)),NOT(ISNUMBER(E286))),"",NETWORKDAYS(D286,E286,FERIADOS))</f>
        <v/>
      </c>
      <c r="H286" s="69"/>
      <c r="I286" s="74" t="str">
        <f aca="false">IF(B286="","",IF(ISNUMBER(H286),H286,N(G286)))</f>
        <v/>
      </c>
      <c r="J286" s="64"/>
      <c r="K286" s="64"/>
      <c r="L286" s="93" t="str">
        <f aca="false">IF(NOT(ISNUMBER(D286)),"",DATE(YEAR(D286),MONTH(D286),1))</f>
        <v/>
      </c>
      <c r="M286" s="70" t="str">
        <f aca="false">IF(B286="","",IF(AND(ISNUMBER(D286),ISNUMBER(E286),E286&lt;D286),"⚠ Término anterior al inicio",IF(J286&lt;&gt;"Sí","Pendiente comprobante firmado","OK")))</f>
        <v/>
      </c>
    </row>
    <row r="287" customFormat="false" ht="15" hidden="false" customHeight="false" outlineLevel="0" collapsed="false">
      <c r="B287" s="64"/>
      <c r="C287" s="72" t="str">
        <f aca="false">IF(B287="","",IFERROR(INDEX(T_NOMBRE,MATCH(B287,T_ID,0)),"⚠ ID no existe"))</f>
        <v/>
      </c>
      <c r="D287" s="65"/>
      <c r="E287" s="65"/>
      <c r="F287" s="64"/>
      <c r="G287" s="74" t="str">
        <f aca="false">IF(OR(B287="",NOT(ISNUMBER(D287)),NOT(ISNUMBER(E287))),"",NETWORKDAYS(D287,E287,FERIADOS))</f>
        <v/>
      </c>
      <c r="H287" s="69"/>
      <c r="I287" s="74" t="str">
        <f aca="false">IF(B287="","",IF(ISNUMBER(H287),H287,N(G287)))</f>
        <v/>
      </c>
      <c r="J287" s="64"/>
      <c r="K287" s="64"/>
      <c r="L287" s="93" t="str">
        <f aca="false">IF(NOT(ISNUMBER(D287)),"",DATE(YEAR(D287),MONTH(D287),1))</f>
        <v/>
      </c>
      <c r="M287" s="70" t="str">
        <f aca="false">IF(B287="","",IF(AND(ISNUMBER(D287),ISNUMBER(E287),E287&lt;D287),"⚠ Término anterior al inicio",IF(J287&lt;&gt;"Sí","Pendiente comprobante firmado","OK")))</f>
        <v/>
      </c>
    </row>
    <row r="288" customFormat="false" ht="15" hidden="false" customHeight="false" outlineLevel="0" collapsed="false">
      <c r="B288" s="64"/>
      <c r="C288" s="72" t="str">
        <f aca="false">IF(B288="","",IFERROR(INDEX(T_NOMBRE,MATCH(B288,T_ID,0)),"⚠ ID no existe"))</f>
        <v/>
      </c>
      <c r="D288" s="65"/>
      <c r="E288" s="65"/>
      <c r="F288" s="64"/>
      <c r="G288" s="74" t="str">
        <f aca="false">IF(OR(B288="",NOT(ISNUMBER(D288)),NOT(ISNUMBER(E288))),"",NETWORKDAYS(D288,E288,FERIADOS))</f>
        <v/>
      </c>
      <c r="H288" s="69"/>
      <c r="I288" s="74" t="str">
        <f aca="false">IF(B288="","",IF(ISNUMBER(H288),H288,N(G288)))</f>
        <v/>
      </c>
      <c r="J288" s="64"/>
      <c r="K288" s="64"/>
      <c r="L288" s="93" t="str">
        <f aca="false">IF(NOT(ISNUMBER(D288)),"",DATE(YEAR(D288),MONTH(D288),1))</f>
        <v/>
      </c>
      <c r="M288" s="70" t="str">
        <f aca="false">IF(B288="","",IF(AND(ISNUMBER(D288),ISNUMBER(E288),E288&lt;D288),"⚠ Término anterior al inicio",IF(J288&lt;&gt;"Sí","Pendiente comprobante firmado","OK")))</f>
        <v/>
      </c>
    </row>
    <row r="289" customFormat="false" ht="15" hidden="false" customHeight="false" outlineLevel="0" collapsed="false">
      <c r="B289" s="64"/>
      <c r="C289" s="72" t="str">
        <f aca="false">IF(B289="","",IFERROR(INDEX(T_NOMBRE,MATCH(B289,T_ID,0)),"⚠ ID no existe"))</f>
        <v/>
      </c>
      <c r="D289" s="65"/>
      <c r="E289" s="65"/>
      <c r="F289" s="64"/>
      <c r="G289" s="74" t="str">
        <f aca="false">IF(OR(B289="",NOT(ISNUMBER(D289)),NOT(ISNUMBER(E289))),"",NETWORKDAYS(D289,E289,FERIADOS))</f>
        <v/>
      </c>
      <c r="H289" s="69"/>
      <c r="I289" s="74" t="str">
        <f aca="false">IF(B289="","",IF(ISNUMBER(H289),H289,N(G289)))</f>
        <v/>
      </c>
      <c r="J289" s="64"/>
      <c r="K289" s="64"/>
      <c r="L289" s="93" t="str">
        <f aca="false">IF(NOT(ISNUMBER(D289)),"",DATE(YEAR(D289),MONTH(D289),1))</f>
        <v/>
      </c>
      <c r="M289" s="70" t="str">
        <f aca="false">IF(B289="","",IF(AND(ISNUMBER(D289),ISNUMBER(E289),E289&lt;D289),"⚠ Término anterior al inicio",IF(J289&lt;&gt;"Sí","Pendiente comprobante firmado","OK")))</f>
        <v/>
      </c>
    </row>
    <row r="290" customFormat="false" ht="15" hidden="false" customHeight="false" outlineLevel="0" collapsed="false">
      <c r="B290" s="64"/>
      <c r="C290" s="72" t="str">
        <f aca="false">IF(B290="","",IFERROR(INDEX(T_NOMBRE,MATCH(B290,T_ID,0)),"⚠ ID no existe"))</f>
        <v/>
      </c>
      <c r="D290" s="65"/>
      <c r="E290" s="65"/>
      <c r="F290" s="64"/>
      <c r="G290" s="74" t="str">
        <f aca="false">IF(OR(B290="",NOT(ISNUMBER(D290)),NOT(ISNUMBER(E290))),"",NETWORKDAYS(D290,E290,FERIADOS))</f>
        <v/>
      </c>
      <c r="H290" s="69"/>
      <c r="I290" s="74" t="str">
        <f aca="false">IF(B290="","",IF(ISNUMBER(H290),H290,N(G290)))</f>
        <v/>
      </c>
      <c r="J290" s="64"/>
      <c r="K290" s="64"/>
      <c r="L290" s="93" t="str">
        <f aca="false">IF(NOT(ISNUMBER(D290)),"",DATE(YEAR(D290),MONTH(D290),1))</f>
        <v/>
      </c>
      <c r="M290" s="70" t="str">
        <f aca="false">IF(B290="","",IF(AND(ISNUMBER(D290),ISNUMBER(E290),E290&lt;D290),"⚠ Término anterior al inicio",IF(J290&lt;&gt;"Sí","Pendiente comprobante firmado","OK")))</f>
        <v/>
      </c>
    </row>
    <row r="291" customFormat="false" ht="15" hidden="false" customHeight="false" outlineLevel="0" collapsed="false">
      <c r="B291" s="64"/>
      <c r="C291" s="72" t="str">
        <f aca="false">IF(B291="","",IFERROR(INDEX(T_NOMBRE,MATCH(B291,T_ID,0)),"⚠ ID no existe"))</f>
        <v/>
      </c>
      <c r="D291" s="65"/>
      <c r="E291" s="65"/>
      <c r="F291" s="64"/>
      <c r="G291" s="74" t="str">
        <f aca="false">IF(OR(B291="",NOT(ISNUMBER(D291)),NOT(ISNUMBER(E291))),"",NETWORKDAYS(D291,E291,FERIADOS))</f>
        <v/>
      </c>
      <c r="H291" s="69"/>
      <c r="I291" s="74" t="str">
        <f aca="false">IF(B291="","",IF(ISNUMBER(H291),H291,N(G291)))</f>
        <v/>
      </c>
      <c r="J291" s="64"/>
      <c r="K291" s="64"/>
      <c r="L291" s="93" t="str">
        <f aca="false">IF(NOT(ISNUMBER(D291)),"",DATE(YEAR(D291),MONTH(D291),1))</f>
        <v/>
      </c>
      <c r="M291" s="70" t="str">
        <f aca="false">IF(B291="","",IF(AND(ISNUMBER(D291),ISNUMBER(E291),E291&lt;D291),"⚠ Término anterior al inicio",IF(J291&lt;&gt;"Sí","Pendiente comprobante firmado","OK")))</f>
        <v/>
      </c>
    </row>
    <row r="292" customFormat="false" ht="15" hidden="false" customHeight="false" outlineLevel="0" collapsed="false">
      <c r="B292" s="64"/>
      <c r="C292" s="72" t="str">
        <f aca="false">IF(B292="","",IFERROR(INDEX(T_NOMBRE,MATCH(B292,T_ID,0)),"⚠ ID no existe"))</f>
        <v/>
      </c>
      <c r="D292" s="65"/>
      <c r="E292" s="65"/>
      <c r="F292" s="64"/>
      <c r="G292" s="74" t="str">
        <f aca="false">IF(OR(B292="",NOT(ISNUMBER(D292)),NOT(ISNUMBER(E292))),"",NETWORKDAYS(D292,E292,FERIADOS))</f>
        <v/>
      </c>
      <c r="H292" s="69"/>
      <c r="I292" s="74" t="str">
        <f aca="false">IF(B292="","",IF(ISNUMBER(H292),H292,N(G292)))</f>
        <v/>
      </c>
      <c r="J292" s="64"/>
      <c r="K292" s="64"/>
      <c r="L292" s="93" t="str">
        <f aca="false">IF(NOT(ISNUMBER(D292)),"",DATE(YEAR(D292),MONTH(D292),1))</f>
        <v/>
      </c>
      <c r="M292" s="70" t="str">
        <f aca="false">IF(B292="","",IF(AND(ISNUMBER(D292),ISNUMBER(E292),E292&lt;D292),"⚠ Término anterior al inicio",IF(J292&lt;&gt;"Sí","Pendiente comprobante firmado","OK")))</f>
        <v/>
      </c>
    </row>
    <row r="293" customFormat="false" ht="15" hidden="false" customHeight="false" outlineLevel="0" collapsed="false">
      <c r="B293" s="64"/>
      <c r="C293" s="72" t="str">
        <f aca="false">IF(B293="","",IFERROR(INDEX(T_NOMBRE,MATCH(B293,T_ID,0)),"⚠ ID no existe"))</f>
        <v/>
      </c>
      <c r="D293" s="65"/>
      <c r="E293" s="65"/>
      <c r="F293" s="64"/>
      <c r="G293" s="74" t="str">
        <f aca="false">IF(OR(B293="",NOT(ISNUMBER(D293)),NOT(ISNUMBER(E293))),"",NETWORKDAYS(D293,E293,FERIADOS))</f>
        <v/>
      </c>
      <c r="H293" s="69"/>
      <c r="I293" s="74" t="str">
        <f aca="false">IF(B293="","",IF(ISNUMBER(H293),H293,N(G293)))</f>
        <v/>
      </c>
      <c r="J293" s="64"/>
      <c r="K293" s="64"/>
      <c r="L293" s="93" t="str">
        <f aca="false">IF(NOT(ISNUMBER(D293)),"",DATE(YEAR(D293),MONTH(D293),1))</f>
        <v/>
      </c>
      <c r="M293" s="70" t="str">
        <f aca="false">IF(B293="","",IF(AND(ISNUMBER(D293),ISNUMBER(E293),E293&lt;D293),"⚠ Término anterior al inicio",IF(J293&lt;&gt;"Sí","Pendiente comprobante firmado","OK")))</f>
        <v/>
      </c>
    </row>
    <row r="294" customFormat="false" ht="15" hidden="false" customHeight="false" outlineLevel="0" collapsed="false">
      <c r="B294" s="64"/>
      <c r="C294" s="72" t="str">
        <f aca="false">IF(B294="","",IFERROR(INDEX(T_NOMBRE,MATCH(B294,T_ID,0)),"⚠ ID no existe"))</f>
        <v/>
      </c>
      <c r="D294" s="65"/>
      <c r="E294" s="65"/>
      <c r="F294" s="64"/>
      <c r="G294" s="74" t="str">
        <f aca="false">IF(OR(B294="",NOT(ISNUMBER(D294)),NOT(ISNUMBER(E294))),"",NETWORKDAYS(D294,E294,FERIADOS))</f>
        <v/>
      </c>
      <c r="H294" s="69"/>
      <c r="I294" s="74" t="str">
        <f aca="false">IF(B294="","",IF(ISNUMBER(H294),H294,N(G294)))</f>
        <v/>
      </c>
      <c r="J294" s="64"/>
      <c r="K294" s="64"/>
      <c r="L294" s="93" t="str">
        <f aca="false">IF(NOT(ISNUMBER(D294)),"",DATE(YEAR(D294),MONTH(D294),1))</f>
        <v/>
      </c>
      <c r="M294" s="70" t="str">
        <f aca="false">IF(B294="","",IF(AND(ISNUMBER(D294),ISNUMBER(E294),E294&lt;D294),"⚠ Término anterior al inicio",IF(J294&lt;&gt;"Sí","Pendiente comprobante firmado","OK")))</f>
        <v/>
      </c>
    </row>
    <row r="295" customFormat="false" ht="15" hidden="false" customHeight="false" outlineLevel="0" collapsed="false">
      <c r="B295" s="64"/>
      <c r="C295" s="72" t="str">
        <f aca="false">IF(B295="","",IFERROR(INDEX(T_NOMBRE,MATCH(B295,T_ID,0)),"⚠ ID no existe"))</f>
        <v/>
      </c>
      <c r="D295" s="65"/>
      <c r="E295" s="65"/>
      <c r="F295" s="64"/>
      <c r="G295" s="74" t="str">
        <f aca="false">IF(OR(B295="",NOT(ISNUMBER(D295)),NOT(ISNUMBER(E295))),"",NETWORKDAYS(D295,E295,FERIADOS))</f>
        <v/>
      </c>
      <c r="H295" s="69"/>
      <c r="I295" s="74" t="str">
        <f aca="false">IF(B295="","",IF(ISNUMBER(H295),H295,N(G295)))</f>
        <v/>
      </c>
      <c r="J295" s="64"/>
      <c r="K295" s="64"/>
      <c r="L295" s="93" t="str">
        <f aca="false">IF(NOT(ISNUMBER(D295)),"",DATE(YEAR(D295),MONTH(D295),1))</f>
        <v/>
      </c>
      <c r="M295" s="70" t="str">
        <f aca="false">IF(B295="","",IF(AND(ISNUMBER(D295),ISNUMBER(E295),E295&lt;D295),"⚠ Término anterior al inicio",IF(J295&lt;&gt;"Sí","Pendiente comprobante firmado","OK")))</f>
        <v/>
      </c>
    </row>
    <row r="296" customFormat="false" ht="15" hidden="false" customHeight="false" outlineLevel="0" collapsed="false">
      <c r="B296" s="64"/>
      <c r="C296" s="72" t="str">
        <f aca="false">IF(B296="","",IFERROR(INDEX(T_NOMBRE,MATCH(B296,T_ID,0)),"⚠ ID no existe"))</f>
        <v/>
      </c>
      <c r="D296" s="65"/>
      <c r="E296" s="65"/>
      <c r="F296" s="64"/>
      <c r="G296" s="74" t="str">
        <f aca="false">IF(OR(B296="",NOT(ISNUMBER(D296)),NOT(ISNUMBER(E296))),"",NETWORKDAYS(D296,E296,FERIADOS))</f>
        <v/>
      </c>
      <c r="H296" s="69"/>
      <c r="I296" s="74" t="str">
        <f aca="false">IF(B296="","",IF(ISNUMBER(H296),H296,N(G296)))</f>
        <v/>
      </c>
      <c r="J296" s="64"/>
      <c r="K296" s="64"/>
      <c r="L296" s="93" t="str">
        <f aca="false">IF(NOT(ISNUMBER(D296)),"",DATE(YEAR(D296),MONTH(D296),1))</f>
        <v/>
      </c>
      <c r="M296" s="70" t="str">
        <f aca="false">IF(B296="","",IF(AND(ISNUMBER(D296),ISNUMBER(E296),E296&lt;D296),"⚠ Término anterior al inicio",IF(J296&lt;&gt;"Sí","Pendiente comprobante firmado","OK")))</f>
        <v/>
      </c>
    </row>
    <row r="297" customFormat="false" ht="15" hidden="false" customHeight="false" outlineLevel="0" collapsed="false">
      <c r="B297" s="64"/>
      <c r="C297" s="72" t="str">
        <f aca="false">IF(B297="","",IFERROR(INDEX(T_NOMBRE,MATCH(B297,T_ID,0)),"⚠ ID no existe"))</f>
        <v/>
      </c>
      <c r="D297" s="65"/>
      <c r="E297" s="65"/>
      <c r="F297" s="64"/>
      <c r="G297" s="74" t="str">
        <f aca="false">IF(OR(B297="",NOT(ISNUMBER(D297)),NOT(ISNUMBER(E297))),"",NETWORKDAYS(D297,E297,FERIADOS))</f>
        <v/>
      </c>
      <c r="H297" s="69"/>
      <c r="I297" s="74" t="str">
        <f aca="false">IF(B297="","",IF(ISNUMBER(H297),H297,N(G297)))</f>
        <v/>
      </c>
      <c r="J297" s="64"/>
      <c r="K297" s="64"/>
      <c r="L297" s="93" t="str">
        <f aca="false">IF(NOT(ISNUMBER(D297)),"",DATE(YEAR(D297),MONTH(D297),1))</f>
        <v/>
      </c>
      <c r="M297" s="70" t="str">
        <f aca="false">IF(B297="","",IF(AND(ISNUMBER(D297),ISNUMBER(E297),E297&lt;D297),"⚠ Término anterior al inicio",IF(J297&lt;&gt;"Sí","Pendiente comprobante firmado","OK")))</f>
        <v/>
      </c>
    </row>
    <row r="298" customFormat="false" ht="15" hidden="false" customHeight="false" outlineLevel="0" collapsed="false">
      <c r="B298" s="64"/>
      <c r="C298" s="72" t="str">
        <f aca="false">IF(B298="","",IFERROR(INDEX(T_NOMBRE,MATCH(B298,T_ID,0)),"⚠ ID no existe"))</f>
        <v/>
      </c>
      <c r="D298" s="65"/>
      <c r="E298" s="65"/>
      <c r="F298" s="64"/>
      <c r="G298" s="74" t="str">
        <f aca="false">IF(OR(B298="",NOT(ISNUMBER(D298)),NOT(ISNUMBER(E298))),"",NETWORKDAYS(D298,E298,FERIADOS))</f>
        <v/>
      </c>
      <c r="H298" s="69"/>
      <c r="I298" s="74" t="str">
        <f aca="false">IF(B298="","",IF(ISNUMBER(H298),H298,N(G298)))</f>
        <v/>
      </c>
      <c r="J298" s="64"/>
      <c r="K298" s="64"/>
      <c r="L298" s="93" t="str">
        <f aca="false">IF(NOT(ISNUMBER(D298)),"",DATE(YEAR(D298),MONTH(D298),1))</f>
        <v/>
      </c>
      <c r="M298" s="70" t="str">
        <f aca="false">IF(B298="","",IF(AND(ISNUMBER(D298),ISNUMBER(E298),E298&lt;D298),"⚠ Término anterior al inicio",IF(J298&lt;&gt;"Sí","Pendiente comprobante firmado","OK")))</f>
        <v/>
      </c>
    </row>
    <row r="299" customFormat="false" ht="15" hidden="false" customHeight="false" outlineLevel="0" collapsed="false">
      <c r="B299" s="64"/>
      <c r="C299" s="72" t="str">
        <f aca="false">IF(B299="","",IFERROR(INDEX(T_NOMBRE,MATCH(B299,T_ID,0)),"⚠ ID no existe"))</f>
        <v/>
      </c>
      <c r="D299" s="65"/>
      <c r="E299" s="65"/>
      <c r="F299" s="64"/>
      <c r="G299" s="74" t="str">
        <f aca="false">IF(OR(B299="",NOT(ISNUMBER(D299)),NOT(ISNUMBER(E299))),"",NETWORKDAYS(D299,E299,FERIADOS))</f>
        <v/>
      </c>
      <c r="H299" s="69"/>
      <c r="I299" s="74" t="str">
        <f aca="false">IF(B299="","",IF(ISNUMBER(H299),H299,N(G299)))</f>
        <v/>
      </c>
      <c r="J299" s="64"/>
      <c r="K299" s="64"/>
      <c r="L299" s="93" t="str">
        <f aca="false">IF(NOT(ISNUMBER(D299)),"",DATE(YEAR(D299),MONTH(D299),1))</f>
        <v/>
      </c>
      <c r="M299" s="70" t="str">
        <f aca="false">IF(B299="","",IF(AND(ISNUMBER(D299),ISNUMBER(E299),E299&lt;D299),"⚠ Término anterior al inicio",IF(J299&lt;&gt;"Sí","Pendiente comprobante firmado","OK")))</f>
        <v/>
      </c>
    </row>
    <row r="300" customFormat="false" ht="15" hidden="false" customHeight="false" outlineLevel="0" collapsed="false">
      <c r="B300" s="64"/>
      <c r="C300" s="72" t="str">
        <f aca="false">IF(B300="","",IFERROR(INDEX(T_NOMBRE,MATCH(B300,T_ID,0)),"⚠ ID no existe"))</f>
        <v/>
      </c>
      <c r="D300" s="65"/>
      <c r="E300" s="65"/>
      <c r="F300" s="64"/>
      <c r="G300" s="74" t="str">
        <f aca="false">IF(OR(B300="",NOT(ISNUMBER(D300)),NOT(ISNUMBER(E300))),"",NETWORKDAYS(D300,E300,FERIADOS))</f>
        <v/>
      </c>
      <c r="H300" s="69"/>
      <c r="I300" s="74" t="str">
        <f aca="false">IF(B300="","",IF(ISNUMBER(H300),H300,N(G300)))</f>
        <v/>
      </c>
      <c r="J300" s="64"/>
      <c r="K300" s="64"/>
      <c r="L300" s="93" t="str">
        <f aca="false">IF(NOT(ISNUMBER(D300)),"",DATE(YEAR(D300),MONTH(D300),1))</f>
        <v/>
      </c>
      <c r="M300" s="70" t="str">
        <f aca="false">IF(B300="","",IF(AND(ISNUMBER(D300),ISNUMBER(E300),E300&lt;D300),"⚠ Término anterior al inicio",IF(J300&lt;&gt;"Sí","Pendiente comprobante firmado","OK")))</f>
        <v/>
      </c>
    </row>
    <row r="301" customFormat="false" ht="15" hidden="false" customHeight="false" outlineLevel="0" collapsed="false">
      <c r="B301" s="64"/>
      <c r="C301" s="72" t="str">
        <f aca="false">IF(B301="","",IFERROR(INDEX(T_NOMBRE,MATCH(B301,T_ID,0)),"⚠ ID no existe"))</f>
        <v/>
      </c>
      <c r="D301" s="65"/>
      <c r="E301" s="65"/>
      <c r="F301" s="64"/>
      <c r="G301" s="74" t="str">
        <f aca="false">IF(OR(B301="",NOT(ISNUMBER(D301)),NOT(ISNUMBER(E301))),"",NETWORKDAYS(D301,E301,FERIADOS))</f>
        <v/>
      </c>
      <c r="H301" s="69"/>
      <c r="I301" s="74" t="str">
        <f aca="false">IF(B301="","",IF(ISNUMBER(H301),H301,N(G301)))</f>
        <v/>
      </c>
      <c r="J301" s="64"/>
      <c r="K301" s="64"/>
      <c r="L301" s="93" t="str">
        <f aca="false">IF(NOT(ISNUMBER(D301)),"",DATE(YEAR(D301),MONTH(D301),1))</f>
        <v/>
      </c>
      <c r="M301" s="70" t="str">
        <f aca="false">IF(B301="","",IF(AND(ISNUMBER(D301),ISNUMBER(E301),E301&lt;D301),"⚠ Término anterior al inicio",IF(J301&lt;&gt;"Sí","Pendiente comprobante firmado","OK")))</f>
        <v/>
      </c>
    </row>
    <row r="302" customFormat="false" ht="15" hidden="false" customHeight="false" outlineLevel="0" collapsed="false">
      <c r="B302" s="64"/>
      <c r="C302" s="72" t="str">
        <f aca="false">IF(B302="","",IFERROR(INDEX(T_NOMBRE,MATCH(B302,T_ID,0)),"⚠ ID no existe"))</f>
        <v/>
      </c>
      <c r="D302" s="65"/>
      <c r="E302" s="65"/>
      <c r="F302" s="64"/>
      <c r="G302" s="74" t="str">
        <f aca="false">IF(OR(B302="",NOT(ISNUMBER(D302)),NOT(ISNUMBER(E302))),"",NETWORKDAYS(D302,E302,FERIADOS))</f>
        <v/>
      </c>
      <c r="H302" s="69"/>
      <c r="I302" s="74" t="str">
        <f aca="false">IF(B302="","",IF(ISNUMBER(H302),H302,N(G302)))</f>
        <v/>
      </c>
      <c r="J302" s="64"/>
      <c r="K302" s="64"/>
      <c r="L302" s="93" t="str">
        <f aca="false">IF(NOT(ISNUMBER(D302)),"",DATE(YEAR(D302),MONTH(D302),1))</f>
        <v/>
      </c>
      <c r="M302" s="70" t="str">
        <f aca="false">IF(B302="","",IF(AND(ISNUMBER(D302),ISNUMBER(E302),E302&lt;D302),"⚠ Término anterior al inicio",IF(J302&lt;&gt;"Sí","Pendiente comprobante firmado","OK")))</f>
        <v/>
      </c>
    </row>
    <row r="303" customFormat="false" ht="15" hidden="false" customHeight="false" outlineLevel="0" collapsed="false">
      <c r="B303" s="64"/>
      <c r="C303" s="72" t="str">
        <f aca="false">IF(B303="","",IFERROR(INDEX(T_NOMBRE,MATCH(B303,T_ID,0)),"⚠ ID no existe"))</f>
        <v/>
      </c>
      <c r="D303" s="65"/>
      <c r="E303" s="65"/>
      <c r="F303" s="64"/>
      <c r="G303" s="74" t="str">
        <f aca="false">IF(OR(B303="",NOT(ISNUMBER(D303)),NOT(ISNUMBER(E303))),"",NETWORKDAYS(D303,E303,FERIADOS))</f>
        <v/>
      </c>
      <c r="H303" s="69"/>
      <c r="I303" s="74" t="str">
        <f aca="false">IF(B303="","",IF(ISNUMBER(H303),H303,N(G303)))</f>
        <v/>
      </c>
      <c r="J303" s="64"/>
      <c r="K303" s="64"/>
      <c r="L303" s="93" t="str">
        <f aca="false">IF(NOT(ISNUMBER(D303)),"",DATE(YEAR(D303),MONTH(D303),1))</f>
        <v/>
      </c>
      <c r="M303" s="70" t="str">
        <f aca="false">IF(B303="","",IF(AND(ISNUMBER(D303),ISNUMBER(E303),E303&lt;D303),"⚠ Término anterior al inicio",IF(J303&lt;&gt;"Sí","Pendiente comprobante firmado","OK")))</f>
        <v/>
      </c>
    </row>
    <row r="304" customFormat="false" ht="15" hidden="false" customHeight="false" outlineLevel="0" collapsed="false">
      <c r="B304" s="64"/>
      <c r="C304" s="72" t="str">
        <f aca="false">IF(B304="","",IFERROR(INDEX(T_NOMBRE,MATCH(B304,T_ID,0)),"⚠ ID no existe"))</f>
        <v/>
      </c>
      <c r="D304" s="65"/>
      <c r="E304" s="65"/>
      <c r="F304" s="64"/>
      <c r="G304" s="74" t="str">
        <f aca="false">IF(OR(B304="",NOT(ISNUMBER(D304)),NOT(ISNUMBER(E304))),"",NETWORKDAYS(D304,E304,FERIADOS))</f>
        <v/>
      </c>
      <c r="H304" s="69"/>
      <c r="I304" s="74" t="str">
        <f aca="false">IF(B304="","",IF(ISNUMBER(H304),H304,N(G304)))</f>
        <v/>
      </c>
      <c r="J304" s="64"/>
      <c r="K304" s="64"/>
      <c r="L304" s="93" t="str">
        <f aca="false">IF(NOT(ISNUMBER(D304)),"",DATE(YEAR(D304),MONTH(D304),1))</f>
        <v/>
      </c>
      <c r="M304" s="70" t="str">
        <f aca="false">IF(B304="","",IF(AND(ISNUMBER(D304),ISNUMBER(E304),E304&lt;D304),"⚠ Término anterior al inicio",IF(J304&lt;&gt;"Sí","Pendiente comprobante firmado","OK")))</f>
        <v/>
      </c>
    </row>
    <row r="305" customFormat="false" ht="15" hidden="false" customHeight="false" outlineLevel="0" collapsed="false">
      <c r="B305" s="64"/>
      <c r="C305" s="72" t="str">
        <f aca="false">IF(B305="","",IFERROR(INDEX(T_NOMBRE,MATCH(B305,T_ID,0)),"⚠ ID no existe"))</f>
        <v/>
      </c>
      <c r="D305" s="65"/>
      <c r="E305" s="65"/>
      <c r="F305" s="64"/>
      <c r="G305" s="74" t="str">
        <f aca="false">IF(OR(B305="",NOT(ISNUMBER(D305)),NOT(ISNUMBER(E305))),"",NETWORKDAYS(D305,E305,FERIADOS))</f>
        <v/>
      </c>
      <c r="H305" s="69"/>
      <c r="I305" s="74" t="str">
        <f aca="false">IF(B305="","",IF(ISNUMBER(H305),H305,N(G305)))</f>
        <v/>
      </c>
      <c r="J305" s="64"/>
      <c r="K305" s="64"/>
      <c r="L305" s="93" t="str">
        <f aca="false">IF(NOT(ISNUMBER(D305)),"",DATE(YEAR(D305),MONTH(D305),1))</f>
        <v/>
      </c>
      <c r="M305" s="70" t="str">
        <f aca="false">IF(B305="","",IF(AND(ISNUMBER(D305),ISNUMBER(E305),E305&lt;D305),"⚠ Término anterior al inicio",IF(J305&lt;&gt;"Sí","Pendiente comprobante firmado","OK")))</f>
        <v/>
      </c>
    </row>
    <row r="306" customFormat="false" ht="15" hidden="false" customHeight="false" outlineLevel="0" collapsed="false">
      <c r="B306" s="64"/>
      <c r="C306" s="72" t="str">
        <f aca="false">IF(B306="","",IFERROR(INDEX(T_NOMBRE,MATCH(B306,T_ID,0)),"⚠ ID no existe"))</f>
        <v/>
      </c>
      <c r="D306" s="65"/>
      <c r="E306" s="65"/>
      <c r="F306" s="64"/>
      <c r="G306" s="74" t="str">
        <f aca="false">IF(OR(B306="",NOT(ISNUMBER(D306)),NOT(ISNUMBER(E306))),"",NETWORKDAYS(D306,E306,FERIADOS))</f>
        <v/>
      </c>
      <c r="H306" s="69"/>
      <c r="I306" s="74" t="str">
        <f aca="false">IF(B306="","",IF(ISNUMBER(H306),H306,N(G306)))</f>
        <v/>
      </c>
      <c r="J306" s="64"/>
      <c r="K306" s="64"/>
      <c r="L306" s="93" t="str">
        <f aca="false">IF(NOT(ISNUMBER(D306)),"",DATE(YEAR(D306),MONTH(D306),1))</f>
        <v/>
      </c>
      <c r="M306" s="70" t="str">
        <f aca="false">IF(B306="","",IF(AND(ISNUMBER(D306),ISNUMBER(E306),E306&lt;D306),"⚠ Término anterior al inicio",IF(J306&lt;&gt;"Sí","Pendiente comprobante firmado","OK")))</f>
        <v/>
      </c>
    </row>
    <row r="307" customFormat="false" ht="15" hidden="false" customHeight="false" outlineLevel="0" collapsed="false">
      <c r="B307" s="64"/>
      <c r="C307" s="72" t="str">
        <f aca="false">IF(B307="","",IFERROR(INDEX(T_NOMBRE,MATCH(B307,T_ID,0)),"⚠ ID no existe"))</f>
        <v/>
      </c>
      <c r="D307" s="65"/>
      <c r="E307" s="65"/>
      <c r="F307" s="64"/>
      <c r="G307" s="74" t="str">
        <f aca="false">IF(OR(B307="",NOT(ISNUMBER(D307)),NOT(ISNUMBER(E307))),"",NETWORKDAYS(D307,E307,FERIADOS))</f>
        <v/>
      </c>
      <c r="H307" s="69"/>
      <c r="I307" s="74" t="str">
        <f aca="false">IF(B307="","",IF(ISNUMBER(H307),H307,N(G307)))</f>
        <v/>
      </c>
      <c r="J307" s="64"/>
      <c r="K307" s="64"/>
      <c r="L307" s="93" t="str">
        <f aca="false">IF(NOT(ISNUMBER(D307)),"",DATE(YEAR(D307),MONTH(D307),1))</f>
        <v/>
      </c>
      <c r="M307" s="70" t="str">
        <f aca="false">IF(B307="","",IF(AND(ISNUMBER(D307),ISNUMBER(E307),E307&lt;D307),"⚠ Término anterior al inicio",IF(J307&lt;&gt;"Sí","Pendiente comprobante firmado","OK")))</f>
        <v/>
      </c>
    </row>
    <row r="308" customFormat="false" ht="15" hidden="false" customHeight="false" outlineLevel="0" collapsed="false">
      <c r="B308" s="64"/>
      <c r="C308" s="72" t="str">
        <f aca="false">IF(B308="","",IFERROR(INDEX(T_NOMBRE,MATCH(B308,T_ID,0)),"⚠ ID no existe"))</f>
        <v/>
      </c>
      <c r="D308" s="65"/>
      <c r="E308" s="65"/>
      <c r="F308" s="64"/>
      <c r="G308" s="74" t="str">
        <f aca="false">IF(OR(B308="",NOT(ISNUMBER(D308)),NOT(ISNUMBER(E308))),"",NETWORKDAYS(D308,E308,FERIADOS))</f>
        <v/>
      </c>
      <c r="H308" s="69"/>
      <c r="I308" s="74" t="str">
        <f aca="false">IF(B308="","",IF(ISNUMBER(H308),H308,N(G308)))</f>
        <v/>
      </c>
      <c r="J308" s="64"/>
      <c r="K308" s="64"/>
      <c r="L308" s="93" t="str">
        <f aca="false">IF(NOT(ISNUMBER(D308)),"",DATE(YEAR(D308),MONTH(D308),1))</f>
        <v/>
      </c>
      <c r="M308" s="70" t="str">
        <f aca="false">IF(B308="","",IF(AND(ISNUMBER(D308),ISNUMBER(E308),E308&lt;D308),"⚠ Término anterior al inicio",IF(J308&lt;&gt;"Sí","Pendiente comprobante firmado","OK")))</f>
        <v/>
      </c>
    </row>
    <row r="309" customFormat="false" ht="15" hidden="false" customHeight="false" outlineLevel="0" collapsed="false">
      <c r="B309" s="64"/>
      <c r="C309" s="72" t="str">
        <f aca="false">IF(B309="","",IFERROR(INDEX(T_NOMBRE,MATCH(B309,T_ID,0)),"⚠ ID no existe"))</f>
        <v/>
      </c>
      <c r="D309" s="65"/>
      <c r="E309" s="65"/>
      <c r="F309" s="64"/>
      <c r="G309" s="74" t="str">
        <f aca="false">IF(OR(B309="",NOT(ISNUMBER(D309)),NOT(ISNUMBER(E309))),"",NETWORKDAYS(D309,E309,FERIADOS))</f>
        <v/>
      </c>
      <c r="H309" s="69"/>
      <c r="I309" s="74" t="str">
        <f aca="false">IF(B309="","",IF(ISNUMBER(H309),H309,N(G309)))</f>
        <v/>
      </c>
      <c r="J309" s="64"/>
      <c r="K309" s="64"/>
      <c r="L309" s="93" t="str">
        <f aca="false">IF(NOT(ISNUMBER(D309)),"",DATE(YEAR(D309),MONTH(D309),1))</f>
        <v/>
      </c>
      <c r="M309" s="70" t="str">
        <f aca="false">IF(B309="","",IF(AND(ISNUMBER(D309),ISNUMBER(E309),E309&lt;D309),"⚠ Término anterior al inicio",IF(J309&lt;&gt;"Sí","Pendiente comprobante firmado","OK")))</f>
        <v/>
      </c>
    </row>
    <row r="310" customFormat="false" ht="15" hidden="false" customHeight="false" outlineLevel="0" collapsed="false">
      <c r="B310" s="64"/>
      <c r="C310" s="72" t="str">
        <f aca="false">IF(B310="","",IFERROR(INDEX(T_NOMBRE,MATCH(B310,T_ID,0)),"⚠ ID no existe"))</f>
        <v/>
      </c>
      <c r="D310" s="65"/>
      <c r="E310" s="65"/>
      <c r="F310" s="64"/>
      <c r="G310" s="74" t="str">
        <f aca="false">IF(OR(B310="",NOT(ISNUMBER(D310)),NOT(ISNUMBER(E310))),"",NETWORKDAYS(D310,E310,FERIADOS))</f>
        <v/>
      </c>
      <c r="H310" s="69"/>
      <c r="I310" s="74" t="str">
        <f aca="false">IF(B310="","",IF(ISNUMBER(H310),H310,N(G310)))</f>
        <v/>
      </c>
      <c r="J310" s="64"/>
      <c r="K310" s="64"/>
      <c r="L310" s="93" t="str">
        <f aca="false">IF(NOT(ISNUMBER(D310)),"",DATE(YEAR(D310),MONTH(D310),1))</f>
        <v/>
      </c>
      <c r="M310" s="70" t="str">
        <f aca="false">IF(B310="","",IF(AND(ISNUMBER(D310),ISNUMBER(E310),E310&lt;D310),"⚠ Término anterior al inicio",IF(J310&lt;&gt;"Sí","Pendiente comprobante firmado","OK")))</f>
        <v/>
      </c>
    </row>
    <row r="311" customFormat="false" ht="15" hidden="false" customHeight="false" outlineLevel="0" collapsed="false">
      <c r="B311" s="64"/>
      <c r="C311" s="72" t="str">
        <f aca="false">IF(B311="","",IFERROR(INDEX(T_NOMBRE,MATCH(B311,T_ID,0)),"⚠ ID no existe"))</f>
        <v/>
      </c>
      <c r="D311" s="65"/>
      <c r="E311" s="65"/>
      <c r="F311" s="64"/>
      <c r="G311" s="74" t="str">
        <f aca="false">IF(OR(B311="",NOT(ISNUMBER(D311)),NOT(ISNUMBER(E311))),"",NETWORKDAYS(D311,E311,FERIADOS))</f>
        <v/>
      </c>
      <c r="H311" s="69"/>
      <c r="I311" s="74" t="str">
        <f aca="false">IF(B311="","",IF(ISNUMBER(H311),H311,N(G311)))</f>
        <v/>
      </c>
      <c r="J311" s="64"/>
      <c r="K311" s="64"/>
      <c r="L311" s="93" t="str">
        <f aca="false">IF(NOT(ISNUMBER(D311)),"",DATE(YEAR(D311),MONTH(D311),1))</f>
        <v/>
      </c>
      <c r="M311" s="70" t="str">
        <f aca="false">IF(B311="","",IF(AND(ISNUMBER(D311),ISNUMBER(E311),E311&lt;D311),"⚠ Término anterior al inicio",IF(J311&lt;&gt;"Sí","Pendiente comprobante firmado","OK")))</f>
        <v/>
      </c>
    </row>
    <row r="312" customFormat="false" ht="15" hidden="false" customHeight="false" outlineLevel="0" collapsed="false">
      <c r="B312" s="64"/>
      <c r="C312" s="72" t="str">
        <f aca="false">IF(B312="","",IFERROR(INDEX(T_NOMBRE,MATCH(B312,T_ID,0)),"⚠ ID no existe"))</f>
        <v/>
      </c>
      <c r="D312" s="65"/>
      <c r="E312" s="65"/>
      <c r="F312" s="64"/>
      <c r="G312" s="74" t="str">
        <f aca="false">IF(OR(B312="",NOT(ISNUMBER(D312)),NOT(ISNUMBER(E312))),"",NETWORKDAYS(D312,E312,FERIADOS))</f>
        <v/>
      </c>
      <c r="H312" s="69"/>
      <c r="I312" s="74" t="str">
        <f aca="false">IF(B312="","",IF(ISNUMBER(H312),H312,N(G312)))</f>
        <v/>
      </c>
      <c r="J312" s="64"/>
      <c r="K312" s="64"/>
      <c r="L312" s="93" t="str">
        <f aca="false">IF(NOT(ISNUMBER(D312)),"",DATE(YEAR(D312),MONTH(D312),1))</f>
        <v/>
      </c>
      <c r="M312" s="70" t="str">
        <f aca="false">IF(B312="","",IF(AND(ISNUMBER(D312),ISNUMBER(E312),E312&lt;D312),"⚠ Término anterior al inicio",IF(J312&lt;&gt;"Sí","Pendiente comprobante firmado","OK")))</f>
        <v/>
      </c>
    </row>
    <row r="313" customFormat="false" ht="15" hidden="false" customHeight="false" outlineLevel="0" collapsed="false">
      <c r="B313" s="64"/>
      <c r="C313" s="72" t="str">
        <f aca="false">IF(B313="","",IFERROR(INDEX(T_NOMBRE,MATCH(B313,T_ID,0)),"⚠ ID no existe"))</f>
        <v/>
      </c>
      <c r="D313" s="65"/>
      <c r="E313" s="65"/>
      <c r="F313" s="64"/>
      <c r="G313" s="74" t="str">
        <f aca="false">IF(OR(B313="",NOT(ISNUMBER(D313)),NOT(ISNUMBER(E313))),"",NETWORKDAYS(D313,E313,FERIADOS))</f>
        <v/>
      </c>
      <c r="H313" s="69"/>
      <c r="I313" s="74" t="str">
        <f aca="false">IF(B313="","",IF(ISNUMBER(H313),H313,N(G313)))</f>
        <v/>
      </c>
      <c r="J313" s="64"/>
      <c r="K313" s="64"/>
      <c r="L313" s="93" t="str">
        <f aca="false">IF(NOT(ISNUMBER(D313)),"",DATE(YEAR(D313),MONTH(D313),1))</f>
        <v/>
      </c>
      <c r="M313" s="70" t="str">
        <f aca="false">IF(B313="","",IF(AND(ISNUMBER(D313),ISNUMBER(E313),E313&lt;D313),"⚠ Término anterior al inicio",IF(J313&lt;&gt;"Sí","Pendiente comprobante firmado","OK")))</f>
        <v/>
      </c>
    </row>
    <row r="314" customFormat="false" ht="15" hidden="false" customHeight="false" outlineLevel="0" collapsed="false">
      <c r="B314" s="64"/>
      <c r="C314" s="72" t="str">
        <f aca="false">IF(B314="","",IFERROR(INDEX(T_NOMBRE,MATCH(B314,T_ID,0)),"⚠ ID no existe"))</f>
        <v/>
      </c>
      <c r="D314" s="65"/>
      <c r="E314" s="65"/>
      <c r="F314" s="64"/>
      <c r="G314" s="74" t="str">
        <f aca="false">IF(OR(B314="",NOT(ISNUMBER(D314)),NOT(ISNUMBER(E314))),"",NETWORKDAYS(D314,E314,FERIADOS))</f>
        <v/>
      </c>
      <c r="H314" s="69"/>
      <c r="I314" s="74" t="str">
        <f aca="false">IF(B314="","",IF(ISNUMBER(H314),H314,N(G314)))</f>
        <v/>
      </c>
      <c r="J314" s="64"/>
      <c r="K314" s="64"/>
      <c r="L314" s="93" t="str">
        <f aca="false">IF(NOT(ISNUMBER(D314)),"",DATE(YEAR(D314),MONTH(D314),1))</f>
        <v/>
      </c>
      <c r="M314" s="70" t="str">
        <f aca="false">IF(B314="","",IF(AND(ISNUMBER(D314),ISNUMBER(E314),E314&lt;D314),"⚠ Término anterior al inicio",IF(J314&lt;&gt;"Sí","Pendiente comprobante firmado","OK")))</f>
        <v/>
      </c>
    </row>
    <row r="315" customFormat="false" ht="15" hidden="false" customHeight="false" outlineLevel="0" collapsed="false">
      <c r="B315" s="64"/>
      <c r="C315" s="72" t="str">
        <f aca="false">IF(B315="","",IFERROR(INDEX(T_NOMBRE,MATCH(B315,T_ID,0)),"⚠ ID no existe"))</f>
        <v/>
      </c>
      <c r="D315" s="65"/>
      <c r="E315" s="65"/>
      <c r="F315" s="64"/>
      <c r="G315" s="74" t="str">
        <f aca="false">IF(OR(B315="",NOT(ISNUMBER(D315)),NOT(ISNUMBER(E315))),"",NETWORKDAYS(D315,E315,FERIADOS))</f>
        <v/>
      </c>
      <c r="H315" s="69"/>
      <c r="I315" s="74" t="str">
        <f aca="false">IF(B315="","",IF(ISNUMBER(H315),H315,N(G315)))</f>
        <v/>
      </c>
      <c r="J315" s="64"/>
      <c r="K315" s="64"/>
      <c r="L315" s="93" t="str">
        <f aca="false">IF(NOT(ISNUMBER(D315)),"",DATE(YEAR(D315),MONTH(D315),1))</f>
        <v/>
      </c>
      <c r="M315" s="70" t="str">
        <f aca="false">IF(B315="","",IF(AND(ISNUMBER(D315),ISNUMBER(E315),E315&lt;D315),"⚠ Término anterior al inicio",IF(J315&lt;&gt;"Sí","Pendiente comprobante firmado","OK")))</f>
        <v/>
      </c>
    </row>
    <row r="316" customFormat="false" ht="15" hidden="false" customHeight="false" outlineLevel="0" collapsed="false">
      <c r="B316" s="64"/>
      <c r="C316" s="72" t="str">
        <f aca="false">IF(B316="","",IFERROR(INDEX(T_NOMBRE,MATCH(B316,T_ID,0)),"⚠ ID no existe"))</f>
        <v/>
      </c>
      <c r="D316" s="65"/>
      <c r="E316" s="65"/>
      <c r="F316" s="64"/>
      <c r="G316" s="74" t="str">
        <f aca="false">IF(OR(B316="",NOT(ISNUMBER(D316)),NOT(ISNUMBER(E316))),"",NETWORKDAYS(D316,E316,FERIADOS))</f>
        <v/>
      </c>
      <c r="H316" s="69"/>
      <c r="I316" s="74" t="str">
        <f aca="false">IF(B316="","",IF(ISNUMBER(H316),H316,N(G316)))</f>
        <v/>
      </c>
      <c r="J316" s="64"/>
      <c r="K316" s="64"/>
      <c r="L316" s="93" t="str">
        <f aca="false">IF(NOT(ISNUMBER(D316)),"",DATE(YEAR(D316),MONTH(D316),1))</f>
        <v/>
      </c>
      <c r="M316" s="70" t="str">
        <f aca="false">IF(B316="","",IF(AND(ISNUMBER(D316),ISNUMBER(E316),E316&lt;D316),"⚠ Término anterior al inicio",IF(J316&lt;&gt;"Sí","Pendiente comprobante firmado","OK")))</f>
        <v/>
      </c>
    </row>
    <row r="317" customFormat="false" ht="15" hidden="false" customHeight="false" outlineLevel="0" collapsed="false">
      <c r="B317" s="64"/>
      <c r="C317" s="72" t="str">
        <f aca="false">IF(B317="","",IFERROR(INDEX(T_NOMBRE,MATCH(B317,T_ID,0)),"⚠ ID no existe"))</f>
        <v/>
      </c>
      <c r="D317" s="65"/>
      <c r="E317" s="65"/>
      <c r="F317" s="64"/>
      <c r="G317" s="74" t="str">
        <f aca="false">IF(OR(B317="",NOT(ISNUMBER(D317)),NOT(ISNUMBER(E317))),"",NETWORKDAYS(D317,E317,FERIADOS))</f>
        <v/>
      </c>
      <c r="H317" s="69"/>
      <c r="I317" s="74" t="str">
        <f aca="false">IF(B317="","",IF(ISNUMBER(H317),H317,N(G317)))</f>
        <v/>
      </c>
      <c r="J317" s="64"/>
      <c r="K317" s="64"/>
      <c r="L317" s="93" t="str">
        <f aca="false">IF(NOT(ISNUMBER(D317)),"",DATE(YEAR(D317),MONTH(D317),1))</f>
        <v/>
      </c>
      <c r="M317" s="70" t="str">
        <f aca="false">IF(B317="","",IF(AND(ISNUMBER(D317),ISNUMBER(E317),E317&lt;D317),"⚠ Término anterior al inicio",IF(J317&lt;&gt;"Sí","Pendiente comprobante firmado","OK")))</f>
        <v/>
      </c>
    </row>
    <row r="318" customFormat="false" ht="15" hidden="false" customHeight="false" outlineLevel="0" collapsed="false">
      <c r="B318" s="64"/>
      <c r="C318" s="72" t="str">
        <f aca="false">IF(B318="","",IFERROR(INDEX(T_NOMBRE,MATCH(B318,T_ID,0)),"⚠ ID no existe"))</f>
        <v/>
      </c>
      <c r="D318" s="65"/>
      <c r="E318" s="65"/>
      <c r="F318" s="64"/>
      <c r="G318" s="74" t="str">
        <f aca="false">IF(OR(B318="",NOT(ISNUMBER(D318)),NOT(ISNUMBER(E318))),"",NETWORKDAYS(D318,E318,FERIADOS))</f>
        <v/>
      </c>
      <c r="H318" s="69"/>
      <c r="I318" s="74" t="str">
        <f aca="false">IF(B318="","",IF(ISNUMBER(H318),H318,N(G318)))</f>
        <v/>
      </c>
      <c r="J318" s="64"/>
      <c r="K318" s="64"/>
      <c r="L318" s="93" t="str">
        <f aca="false">IF(NOT(ISNUMBER(D318)),"",DATE(YEAR(D318),MONTH(D318),1))</f>
        <v/>
      </c>
      <c r="M318" s="70" t="str">
        <f aca="false">IF(B318="","",IF(AND(ISNUMBER(D318),ISNUMBER(E318),E318&lt;D318),"⚠ Término anterior al inicio",IF(J318&lt;&gt;"Sí","Pendiente comprobante firmado","OK")))</f>
        <v/>
      </c>
    </row>
    <row r="319" customFormat="false" ht="15" hidden="false" customHeight="false" outlineLevel="0" collapsed="false">
      <c r="B319" s="64"/>
      <c r="C319" s="72" t="str">
        <f aca="false">IF(B319="","",IFERROR(INDEX(T_NOMBRE,MATCH(B319,T_ID,0)),"⚠ ID no existe"))</f>
        <v/>
      </c>
      <c r="D319" s="65"/>
      <c r="E319" s="65"/>
      <c r="F319" s="64"/>
      <c r="G319" s="74" t="str">
        <f aca="false">IF(OR(B319="",NOT(ISNUMBER(D319)),NOT(ISNUMBER(E319))),"",NETWORKDAYS(D319,E319,FERIADOS))</f>
        <v/>
      </c>
      <c r="H319" s="69"/>
      <c r="I319" s="74" t="str">
        <f aca="false">IF(B319="","",IF(ISNUMBER(H319),H319,N(G319)))</f>
        <v/>
      </c>
      <c r="J319" s="64"/>
      <c r="K319" s="64"/>
      <c r="L319" s="93" t="str">
        <f aca="false">IF(NOT(ISNUMBER(D319)),"",DATE(YEAR(D319),MONTH(D319),1))</f>
        <v/>
      </c>
      <c r="M319" s="70" t="str">
        <f aca="false">IF(B319="","",IF(AND(ISNUMBER(D319),ISNUMBER(E319),E319&lt;D319),"⚠ Término anterior al inicio",IF(J319&lt;&gt;"Sí","Pendiente comprobante firmado","OK")))</f>
        <v/>
      </c>
    </row>
    <row r="320" customFormat="false" ht="15" hidden="false" customHeight="false" outlineLevel="0" collapsed="false">
      <c r="B320" s="64"/>
      <c r="C320" s="72" t="str">
        <f aca="false">IF(B320="","",IFERROR(INDEX(T_NOMBRE,MATCH(B320,T_ID,0)),"⚠ ID no existe"))</f>
        <v/>
      </c>
      <c r="D320" s="65"/>
      <c r="E320" s="65"/>
      <c r="F320" s="64"/>
      <c r="G320" s="74" t="str">
        <f aca="false">IF(OR(B320="",NOT(ISNUMBER(D320)),NOT(ISNUMBER(E320))),"",NETWORKDAYS(D320,E320,FERIADOS))</f>
        <v/>
      </c>
      <c r="H320" s="69"/>
      <c r="I320" s="74" t="str">
        <f aca="false">IF(B320="","",IF(ISNUMBER(H320),H320,N(G320)))</f>
        <v/>
      </c>
      <c r="J320" s="64"/>
      <c r="K320" s="64"/>
      <c r="L320" s="93" t="str">
        <f aca="false">IF(NOT(ISNUMBER(D320)),"",DATE(YEAR(D320),MONTH(D320),1))</f>
        <v/>
      </c>
      <c r="M320" s="70" t="str">
        <f aca="false">IF(B320="","",IF(AND(ISNUMBER(D320),ISNUMBER(E320),E320&lt;D320),"⚠ Término anterior al inicio",IF(J320&lt;&gt;"Sí","Pendiente comprobante firmado","OK")))</f>
        <v/>
      </c>
    </row>
    <row r="321" customFormat="false" ht="15" hidden="false" customHeight="false" outlineLevel="0" collapsed="false">
      <c r="B321" s="64"/>
      <c r="C321" s="72" t="str">
        <f aca="false">IF(B321="","",IFERROR(INDEX(T_NOMBRE,MATCH(B321,T_ID,0)),"⚠ ID no existe"))</f>
        <v/>
      </c>
      <c r="D321" s="65"/>
      <c r="E321" s="65"/>
      <c r="F321" s="64"/>
      <c r="G321" s="74" t="str">
        <f aca="false">IF(OR(B321="",NOT(ISNUMBER(D321)),NOT(ISNUMBER(E321))),"",NETWORKDAYS(D321,E321,FERIADOS))</f>
        <v/>
      </c>
      <c r="H321" s="69"/>
      <c r="I321" s="74" t="str">
        <f aca="false">IF(B321="","",IF(ISNUMBER(H321),H321,N(G321)))</f>
        <v/>
      </c>
      <c r="J321" s="64"/>
      <c r="K321" s="64"/>
      <c r="L321" s="93" t="str">
        <f aca="false">IF(NOT(ISNUMBER(D321)),"",DATE(YEAR(D321),MONTH(D321),1))</f>
        <v/>
      </c>
      <c r="M321" s="70" t="str">
        <f aca="false">IF(B321="","",IF(AND(ISNUMBER(D321),ISNUMBER(E321),E321&lt;D321),"⚠ Término anterior al inicio",IF(J321&lt;&gt;"Sí","Pendiente comprobante firmado","OK")))</f>
        <v/>
      </c>
    </row>
    <row r="322" customFormat="false" ht="15" hidden="false" customHeight="false" outlineLevel="0" collapsed="false">
      <c r="B322" s="64"/>
      <c r="C322" s="72" t="str">
        <f aca="false">IF(B322="","",IFERROR(INDEX(T_NOMBRE,MATCH(B322,T_ID,0)),"⚠ ID no existe"))</f>
        <v/>
      </c>
      <c r="D322" s="65"/>
      <c r="E322" s="65"/>
      <c r="F322" s="64"/>
      <c r="G322" s="74" t="str">
        <f aca="false">IF(OR(B322="",NOT(ISNUMBER(D322)),NOT(ISNUMBER(E322))),"",NETWORKDAYS(D322,E322,FERIADOS))</f>
        <v/>
      </c>
      <c r="H322" s="69"/>
      <c r="I322" s="74" t="str">
        <f aca="false">IF(B322="","",IF(ISNUMBER(H322),H322,N(G322)))</f>
        <v/>
      </c>
      <c r="J322" s="64"/>
      <c r="K322" s="64"/>
      <c r="L322" s="93" t="str">
        <f aca="false">IF(NOT(ISNUMBER(D322)),"",DATE(YEAR(D322),MONTH(D322),1))</f>
        <v/>
      </c>
      <c r="M322" s="70" t="str">
        <f aca="false">IF(B322="","",IF(AND(ISNUMBER(D322),ISNUMBER(E322),E322&lt;D322),"⚠ Término anterior al inicio",IF(J322&lt;&gt;"Sí","Pendiente comprobante firmado","OK")))</f>
        <v/>
      </c>
    </row>
    <row r="323" customFormat="false" ht="15" hidden="false" customHeight="false" outlineLevel="0" collapsed="false">
      <c r="B323" s="64"/>
      <c r="C323" s="72" t="str">
        <f aca="false">IF(B323="","",IFERROR(INDEX(T_NOMBRE,MATCH(B323,T_ID,0)),"⚠ ID no existe"))</f>
        <v/>
      </c>
      <c r="D323" s="65"/>
      <c r="E323" s="65"/>
      <c r="F323" s="64"/>
      <c r="G323" s="74" t="str">
        <f aca="false">IF(OR(B323="",NOT(ISNUMBER(D323)),NOT(ISNUMBER(E323))),"",NETWORKDAYS(D323,E323,FERIADOS))</f>
        <v/>
      </c>
      <c r="H323" s="69"/>
      <c r="I323" s="74" t="str">
        <f aca="false">IF(B323="","",IF(ISNUMBER(H323),H323,N(G323)))</f>
        <v/>
      </c>
      <c r="J323" s="64"/>
      <c r="K323" s="64"/>
      <c r="L323" s="93" t="str">
        <f aca="false">IF(NOT(ISNUMBER(D323)),"",DATE(YEAR(D323),MONTH(D323),1))</f>
        <v/>
      </c>
      <c r="M323" s="70" t="str">
        <f aca="false">IF(B323="","",IF(AND(ISNUMBER(D323),ISNUMBER(E323),E323&lt;D323),"⚠ Término anterior al inicio",IF(J323&lt;&gt;"Sí","Pendiente comprobante firmado","OK")))</f>
        <v/>
      </c>
    </row>
    <row r="324" customFormat="false" ht="15" hidden="false" customHeight="false" outlineLevel="0" collapsed="false">
      <c r="B324" s="64"/>
      <c r="C324" s="72" t="str">
        <f aca="false">IF(B324="","",IFERROR(INDEX(T_NOMBRE,MATCH(B324,T_ID,0)),"⚠ ID no existe"))</f>
        <v/>
      </c>
      <c r="D324" s="65"/>
      <c r="E324" s="65"/>
      <c r="F324" s="64"/>
      <c r="G324" s="74" t="str">
        <f aca="false">IF(OR(B324="",NOT(ISNUMBER(D324)),NOT(ISNUMBER(E324))),"",NETWORKDAYS(D324,E324,FERIADOS))</f>
        <v/>
      </c>
      <c r="H324" s="69"/>
      <c r="I324" s="74" t="str">
        <f aca="false">IF(B324="","",IF(ISNUMBER(H324),H324,N(G324)))</f>
        <v/>
      </c>
      <c r="J324" s="64"/>
      <c r="K324" s="64"/>
      <c r="L324" s="93" t="str">
        <f aca="false">IF(NOT(ISNUMBER(D324)),"",DATE(YEAR(D324),MONTH(D324),1))</f>
        <v/>
      </c>
      <c r="M324" s="70" t="str">
        <f aca="false">IF(B324="","",IF(AND(ISNUMBER(D324),ISNUMBER(E324),E324&lt;D324),"⚠ Término anterior al inicio",IF(J324&lt;&gt;"Sí","Pendiente comprobante firmado","OK")))</f>
        <v/>
      </c>
    </row>
    <row r="325" customFormat="false" ht="15" hidden="false" customHeight="false" outlineLevel="0" collapsed="false">
      <c r="B325" s="64"/>
      <c r="C325" s="72" t="str">
        <f aca="false">IF(B325="","",IFERROR(INDEX(T_NOMBRE,MATCH(B325,T_ID,0)),"⚠ ID no existe"))</f>
        <v/>
      </c>
      <c r="D325" s="65"/>
      <c r="E325" s="65"/>
      <c r="F325" s="64"/>
      <c r="G325" s="74" t="str">
        <f aca="false">IF(OR(B325="",NOT(ISNUMBER(D325)),NOT(ISNUMBER(E325))),"",NETWORKDAYS(D325,E325,FERIADOS))</f>
        <v/>
      </c>
      <c r="H325" s="69"/>
      <c r="I325" s="74" t="str">
        <f aca="false">IF(B325="","",IF(ISNUMBER(H325),H325,N(G325)))</f>
        <v/>
      </c>
      <c r="J325" s="64"/>
      <c r="K325" s="64"/>
      <c r="L325" s="93" t="str">
        <f aca="false">IF(NOT(ISNUMBER(D325)),"",DATE(YEAR(D325),MONTH(D325),1))</f>
        <v/>
      </c>
      <c r="M325" s="70" t="str">
        <f aca="false">IF(B325="","",IF(AND(ISNUMBER(D325),ISNUMBER(E325),E325&lt;D325),"⚠ Término anterior al inicio",IF(J325&lt;&gt;"Sí","Pendiente comprobante firmado","OK")))</f>
        <v/>
      </c>
    </row>
    <row r="326" customFormat="false" ht="15" hidden="false" customHeight="false" outlineLevel="0" collapsed="false">
      <c r="B326" s="64"/>
      <c r="C326" s="72" t="str">
        <f aca="false">IF(B326="","",IFERROR(INDEX(T_NOMBRE,MATCH(B326,T_ID,0)),"⚠ ID no existe"))</f>
        <v/>
      </c>
      <c r="D326" s="65"/>
      <c r="E326" s="65"/>
      <c r="F326" s="64"/>
      <c r="G326" s="74" t="str">
        <f aca="false">IF(OR(B326="",NOT(ISNUMBER(D326)),NOT(ISNUMBER(E326))),"",NETWORKDAYS(D326,E326,FERIADOS))</f>
        <v/>
      </c>
      <c r="H326" s="69"/>
      <c r="I326" s="74" t="str">
        <f aca="false">IF(B326="","",IF(ISNUMBER(H326),H326,N(G326)))</f>
        <v/>
      </c>
      <c r="J326" s="64"/>
      <c r="K326" s="64"/>
      <c r="L326" s="93" t="str">
        <f aca="false">IF(NOT(ISNUMBER(D326)),"",DATE(YEAR(D326),MONTH(D326),1))</f>
        <v/>
      </c>
      <c r="M326" s="70" t="str">
        <f aca="false">IF(B326="","",IF(AND(ISNUMBER(D326),ISNUMBER(E326),E326&lt;D326),"⚠ Término anterior al inicio",IF(J326&lt;&gt;"Sí","Pendiente comprobante firmado","OK")))</f>
        <v/>
      </c>
    </row>
    <row r="327" customFormat="false" ht="15" hidden="false" customHeight="false" outlineLevel="0" collapsed="false">
      <c r="B327" s="64"/>
      <c r="C327" s="72" t="str">
        <f aca="false">IF(B327="","",IFERROR(INDEX(T_NOMBRE,MATCH(B327,T_ID,0)),"⚠ ID no existe"))</f>
        <v/>
      </c>
      <c r="D327" s="65"/>
      <c r="E327" s="65"/>
      <c r="F327" s="64"/>
      <c r="G327" s="74" t="str">
        <f aca="false">IF(OR(B327="",NOT(ISNUMBER(D327)),NOT(ISNUMBER(E327))),"",NETWORKDAYS(D327,E327,FERIADOS))</f>
        <v/>
      </c>
      <c r="H327" s="69"/>
      <c r="I327" s="74" t="str">
        <f aca="false">IF(B327="","",IF(ISNUMBER(H327),H327,N(G327)))</f>
        <v/>
      </c>
      <c r="J327" s="64"/>
      <c r="K327" s="64"/>
      <c r="L327" s="93" t="str">
        <f aca="false">IF(NOT(ISNUMBER(D327)),"",DATE(YEAR(D327),MONTH(D327),1))</f>
        <v/>
      </c>
      <c r="M327" s="70" t="str">
        <f aca="false">IF(B327="","",IF(AND(ISNUMBER(D327),ISNUMBER(E327),E327&lt;D327),"⚠ Término anterior al inicio",IF(J327&lt;&gt;"Sí","Pendiente comprobante firmado","OK")))</f>
        <v/>
      </c>
    </row>
    <row r="328" customFormat="false" ht="15" hidden="false" customHeight="false" outlineLevel="0" collapsed="false">
      <c r="B328" s="64"/>
      <c r="C328" s="72" t="str">
        <f aca="false">IF(B328="","",IFERROR(INDEX(T_NOMBRE,MATCH(B328,T_ID,0)),"⚠ ID no existe"))</f>
        <v/>
      </c>
      <c r="D328" s="65"/>
      <c r="E328" s="65"/>
      <c r="F328" s="64"/>
      <c r="G328" s="74" t="str">
        <f aca="false">IF(OR(B328="",NOT(ISNUMBER(D328)),NOT(ISNUMBER(E328))),"",NETWORKDAYS(D328,E328,FERIADOS))</f>
        <v/>
      </c>
      <c r="H328" s="69"/>
      <c r="I328" s="74" t="str">
        <f aca="false">IF(B328="","",IF(ISNUMBER(H328),H328,N(G328)))</f>
        <v/>
      </c>
      <c r="J328" s="64"/>
      <c r="K328" s="64"/>
      <c r="L328" s="93" t="str">
        <f aca="false">IF(NOT(ISNUMBER(D328)),"",DATE(YEAR(D328),MONTH(D328),1))</f>
        <v/>
      </c>
      <c r="M328" s="70" t="str">
        <f aca="false">IF(B328="","",IF(AND(ISNUMBER(D328),ISNUMBER(E328),E328&lt;D328),"⚠ Término anterior al inicio",IF(J328&lt;&gt;"Sí","Pendiente comprobante firmado","OK")))</f>
        <v/>
      </c>
    </row>
    <row r="329" customFormat="false" ht="15" hidden="false" customHeight="false" outlineLevel="0" collapsed="false">
      <c r="B329" s="64"/>
      <c r="C329" s="72" t="str">
        <f aca="false">IF(B329="","",IFERROR(INDEX(T_NOMBRE,MATCH(B329,T_ID,0)),"⚠ ID no existe"))</f>
        <v/>
      </c>
      <c r="D329" s="65"/>
      <c r="E329" s="65"/>
      <c r="F329" s="64"/>
      <c r="G329" s="74" t="str">
        <f aca="false">IF(OR(B329="",NOT(ISNUMBER(D329)),NOT(ISNUMBER(E329))),"",NETWORKDAYS(D329,E329,FERIADOS))</f>
        <v/>
      </c>
      <c r="H329" s="69"/>
      <c r="I329" s="74" t="str">
        <f aca="false">IF(B329="","",IF(ISNUMBER(H329),H329,N(G329)))</f>
        <v/>
      </c>
      <c r="J329" s="64"/>
      <c r="K329" s="64"/>
      <c r="L329" s="93" t="str">
        <f aca="false">IF(NOT(ISNUMBER(D329)),"",DATE(YEAR(D329),MONTH(D329),1))</f>
        <v/>
      </c>
      <c r="M329" s="70" t="str">
        <f aca="false">IF(B329="","",IF(AND(ISNUMBER(D329),ISNUMBER(E329),E329&lt;D329),"⚠ Término anterior al inicio",IF(J329&lt;&gt;"Sí","Pendiente comprobante firmado","OK")))</f>
        <v/>
      </c>
    </row>
    <row r="330" customFormat="false" ht="15" hidden="false" customHeight="false" outlineLevel="0" collapsed="false">
      <c r="B330" s="64"/>
      <c r="C330" s="72" t="str">
        <f aca="false">IF(B330="","",IFERROR(INDEX(T_NOMBRE,MATCH(B330,T_ID,0)),"⚠ ID no existe"))</f>
        <v/>
      </c>
      <c r="D330" s="65"/>
      <c r="E330" s="65"/>
      <c r="F330" s="64"/>
      <c r="G330" s="74" t="str">
        <f aca="false">IF(OR(B330="",NOT(ISNUMBER(D330)),NOT(ISNUMBER(E330))),"",NETWORKDAYS(D330,E330,FERIADOS))</f>
        <v/>
      </c>
      <c r="H330" s="69"/>
      <c r="I330" s="74" t="str">
        <f aca="false">IF(B330="","",IF(ISNUMBER(H330),H330,N(G330)))</f>
        <v/>
      </c>
      <c r="J330" s="64"/>
      <c r="K330" s="64"/>
      <c r="L330" s="93" t="str">
        <f aca="false">IF(NOT(ISNUMBER(D330)),"",DATE(YEAR(D330),MONTH(D330),1))</f>
        <v/>
      </c>
      <c r="M330" s="70" t="str">
        <f aca="false">IF(B330="","",IF(AND(ISNUMBER(D330),ISNUMBER(E330),E330&lt;D330),"⚠ Término anterior al inicio",IF(J330&lt;&gt;"Sí","Pendiente comprobante firmado","OK")))</f>
        <v/>
      </c>
    </row>
    <row r="331" customFormat="false" ht="15" hidden="false" customHeight="false" outlineLevel="0" collapsed="false">
      <c r="B331" s="64"/>
      <c r="C331" s="72" t="str">
        <f aca="false">IF(B331="","",IFERROR(INDEX(T_NOMBRE,MATCH(B331,T_ID,0)),"⚠ ID no existe"))</f>
        <v/>
      </c>
      <c r="D331" s="65"/>
      <c r="E331" s="65"/>
      <c r="F331" s="64"/>
      <c r="G331" s="74" t="str">
        <f aca="false">IF(OR(B331="",NOT(ISNUMBER(D331)),NOT(ISNUMBER(E331))),"",NETWORKDAYS(D331,E331,FERIADOS))</f>
        <v/>
      </c>
      <c r="H331" s="69"/>
      <c r="I331" s="74" t="str">
        <f aca="false">IF(B331="","",IF(ISNUMBER(H331),H331,N(G331)))</f>
        <v/>
      </c>
      <c r="J331" s="64"/>
      <c r="K331" s="64"/>
      <c r="L331" s="93" t="str">
        <f aca="false">IF(NOT(ISNUMBER(D331)),"",DATE(YEAR(D331),MONTH(D331),1))</f>
        <v/>
      </c>
      <c r="M331" s="70" t="str">
        <f aca="false">IF(B331="","",IF(AND(ISNUMBER(D331),ISNUMBER(E331),E331&lt;D331),"⚠ Término anterior al inicio",IF(J331&lt;&gt;"Sí","Pendiente comprobante firmado","OK")))</f>
        <v/>
      </c>
    </row>
    <row r="332" customFormat="false" ht="15" hidden="false" customHeight="false" outlineLevel="0" collapsed="false">
      <c r="B332" s="64"/>
      <c r="C332" s="72" t="str">
        <f aca="false">IF(B332="","",IFERROR(INDEX(T_NOMBRE,MATCH(B332,T_ID,0)),"⚠ ID no existe"))</f>
        <v/>
      </c>
      <c r="D332" s="65"/>
      <c r="E332" s="65"/>
      <c r="F332" s="64"/>
      <c r="G332" s="74" t="str">
        <f aca="false">IF(OR(B332="",NOT(ISNUMBER(D332)),NOT(ISNUMBER(E332))),"",NETWORKDAYS(D332,E332,FERIADOS))</f>
        <v/>
      </c>
      <c r="H332" s="69"/>
      <c r="I332" s="74" t="str">
        <f aca="false">IF(B332="","",IF(ISNUMBER(H332),H332,N(G332)))</f>
        <v/>
      </c>
      <c r="J332" s="64"/>
      <c r="K332" s="64"/>
      <c r="L332" s="93" t="str">
        <f aca="false">IF(NOT(ISNUMBER(D332)),"",DATE(YEAR(D332),MONTH(D332),1))</f>
        <v/>
      </c>
      <c r="M332" s="70" t="str">
        <f aca="false">IF(B332="","",IF(AND(ISNUMBER(D332),ISNUMBER(E332),E332&lt;D332),"⚠ Término anterior al inicio",IF(J332&lt;&gt;"Sí","Pendiente comprobante firmado","OK")))</f>
        <v/>
      </c>
    </row>
    <row r="333" customFormat="false" ht="15" hidden="false" customHeight="false" outlineLevel="0" collapsed="false">
      <c r="B333" s="64"/>
      <c r="C333" s="72" t="str">
        <f aca="false">IF(B333="","",IFERROR(INDEX(T_NOMBRE,MATCH(B333,T_ID,0)),"⚠ ID no existe"))</f>
        <v/>
      </c>
      <c r="D333" s="65"/>
      <c r="E333" s="65"/>
      <c r="F333" s="64"/>
      <c r="G333" s="74" t="str">
        <f aca="false">IF(OR(B333="",NOT(ISNUMBER(D333)),NOT(ISNUMBER(E333))),"",NETWORKDAYS(D333,E333,FERIADOS))</f>
        <v/>
      </c>
      <c r="H333" s="69"/>
      <c r="I333" s="74" t="str">
        <f aca="false">IF(B333="","",IF(ISNUMBER(H333),H333,N(G333)))</f>
        <v/>
      </c>
      <c r="J333" s="64"/>
      <c r="K333" s="64"/>
      <c r="L333" s="93" t="str">
        <f aca="false">IF(NOT(ISNUMBER(D333)),"",DATE(YEAR(D333),MONTH(D333),1))</f>
        <v/>
      </c>
      <c r="M333" s="70" t="str">
        <f aca="false">IF(B333="","",IF(AND(ISNUMBER(D333),ISNUMBER(E333),E333&lt;D333),"⚠ Término anterior al inicio",IF(J333&lt;&gt;"Sí","Pendiente comprobante firmado","OK")))</f>
        <v/>
      </c>
    </row>
    <row r="334" customFormat="false" ht="15" hidden="false" customHeight="false" outlineLevel="0" collapsed="false">
      <c r="B334" s="64"/>
      <c r="C334" s="72" t="str">
        <f aca="false">IF(B334="","",IFERROR(INDEX(T_NOMBRE,MATCH(B334,T_ID,0)),"⚠ ID no existe"))</f>
        <v/>
      </c>
      <c r="D334" s="65"/>
      <c r="E334" s="65"/>
      <c r="F334" s="64"/>
      <c r="G334" s="74" t="str">
        <f aca="false">IF(OR(B334="",NOT(ISNUMBER(D334)),NOT(ISNUMBER(E334))),"",NETWORKDAYS(D334,E334,FERIADOS))</f>
        <v/>
      </c>
      <c r="H334" s="69"/>
      <c r="I334" s="74" t="str">
        <f aca="false">IF(B334="","",IF(ISNUMBER(H334),H334,N(G334)))</f>
        <v/>
      </c>
      <c r="J334" s="64"/>
      <c r="K334" s="64"/>
      <c r="L334" s="93" t="str">
        <f aca="false">IF(NOT(ISNUMBER(D334)),"",DATE(YEAR(D334),MONTH(D334),1))</f>
        <v/>
      </c>
      <c r="M334" s="70" t="str">
        <f aca="false">IF(B334="","",IF(AND(ISNUMBER(D334),ISNUMBER(E334),E334&lt;D334),"⚠ Término anterior al inicio",IF(J334&lt;&gt;"Sí","Pendiente comprobante firmado","OK")))</f>
        <v/>
      </c>
    </row>
    <row r="335" customFormat="false" ht="15" hidden="false" customHeight="false" outlineLevel="0" collapsed="false">
      <c r="B335" s="64"/>
      <c r="C335" s="72" t="str">
        <f aca="false">IF(B335="","",IFERROR(INDEX(T_NOMBRE,MATCH(B335,T_ID,0)),"⚠ ID no existe"))</f>
        <v/>
      </c>
      <c r="D335" s="65"/>
      <c r="E335" s="65"/>
      <c r="F335" s="64"/>
      <c r="G335" s="74" t="str">
        <f aca="false">IF(OR(B335="",NOT(ISNUMBER(D335)),NOT(ISNUMBER(E335))),"",NETWORKDAYS(D335,E335,FERIADOS))</f>
        <v/>
      </c>
      <c r="H335" s="69"/>
      <c r="I335" s="74" t="str">
        <f aca="false">IF(B335="","",IF(ISNUMBER(H335),H335,N(G335)))</f>
        <v/>
      </c>
      <c r="J335" s="64"/>
      <c r="K335" s="64"/>
      <c r="L335" s="93" t="str">
        <f aca="false">IF(NOT(ISNUMBER(D335)),"",DATE(YEAR(D335),MONTH(D335),1))</f>
        <v/>
      </c>
      <c r="M335" s="70" t="str">
        <f aca="false">IF(B335="","",IF(AND(ISNUMBER(D335),ISNUMBER(E335),E335&lt;D335),"⚠ Término anterior al inicio",IF(J335&lt;&gt;"Sí","Pendiente comprobante firmado","OK")))</f>
        <v/>
      </c>
    </row>
    <row r="336" customFormat="false" ht="15" hidden="false" customHeight="false" outlineLevel="0" collapsed="false">
      <c r="B336" s="64"/>
      <c r="C336" s="72" t="str">
        <f aca="false">IF(B336="","",IFERROR(INDEX(T_NOMBRE,MATCH(B336,T_ID,0)),"⚠ ID no existe"))</f>
        <v/>
      </c>
      <c r="D336" s="65"/>
      <c r="E336" s="65"/>
      <c r="F336" s="64"/>
      <c r="G336" s="74" t="str">
        <f aca="false">IF(OR(B336="",NOT(ISNUMBER(D336)),NOT(ISNUMBER(E336))),"",NETWORKDAYS(D336,E336,FERIADOS))</f>
        <v/>
      </c>
      <c r="H336" s="69"/>
      <c r="I336" s="74" t="str">
        <f aca="false">IF(B336="","",IF(ISNUMBER(H336),H336,N(G336)))</f>
        <v/>
      </c>
      <c r="J336" s="64"/>
      <c r="K336" s="64"/>
      <c r="L336" s="93" t="str">
        <f aca="false">IF(NOT(ISNUMBER(D336)),"",DATE(YEAR(D336),MONTH(D336),1))</f>
        <v/>
      </c>
      <c r="M336" s="70" t="str">
        <f aca="false">IF(B336="","",IF(AND(ISNUMBER(D336),ISNUMBER(E336),E336&lt;D336),"⚠ Término anterior al inicio",IF(J336&lt;&gt;"Sí","Pendiente comprobante firmado","OK")))</f>
        <v/>
      </c>
    </row>
    <row r="337" customFormat="false" ht="15" hidden="false" customHeight="false" outlineLevel="0" collapsed="false">
      <c r="B337" s="64"/>
      <c r="C337" s="72" t="str">
        <f aca="false">IF(B337="","",IFERROR(INDEX(T_NOMBRE,MATCH(B337,T_ID,0)),"⚠ ID no existe"))</f>
        <v/>
      </c>
      <c r="D337" s="65"/>
      <c r="E337" s="65"/>
      <c r="F337" s="64"/>
      <c r="G337" s="74" t="str">
        <f aca="false">IF(OR(B337="",NOT(ISNUMBER(D337)),NOT(ISNUMBER(E337))),"",NETWORKDAYS(D337,E337,FERIADOS))</f>
        <v/>
      </c>
      <c r="H337" s="69"/>
      <c r="I337" s="74" t="str">
        <f aca="false">IF(B337="","",IF(ISNUMBER(H337),H337,N(G337)))</f>
        <v/>
      </c>
      <c r="J337" s="64"/>
      <c r="K337" s="64"/>
      <c r="L337" s="93" t="str">
        <f aca="false">IF(NOT(ISNUMBER(D337)),"",DATE(YEAR(D337),MONTH(D337),1))</f>
        <v/>
      </c>
      <c r="M337" s="70" t="str">
        <f aca="false">IF(B337="","",IF(AND(ISNUMBER(D337),ISNUMBER(E337),E337&lt;D337),"⚠ Término anterior al inicio",IF(J337&lt;&gt;"Sí","Pendiente comprobante firmado","OK")))</f>
        <v/>
      </c>
    </row>
    <row r="338" customFormat="false" ht="15" hidden="false" customHeight="false" outlineLevel="0" collapsed="false">
      <c r="B338" s="64"/>
      <c r="C338" s="72" t="str">
        <f aca="false">IF(B338="","",IFERROR(INDEX(T_NOMBRE,MATCH(B338,T_ID,0)),"⚠ ID no existe"))</f>
        <v/>
      </c>
      <c r="D338" s="65"/>
      <c r="E338" s="65"/>
      <c r="F338" s="64"/>
      <c r="G338" s="74" t="str">
        <f aca="false">IF(OR(B338="",NOT(ISNUMBER(D338)),NOT(ISNUMBER(E338))),"",NETWORKDAYS(D338,E338,FERIADOS))</f>
        <v/>
      </c>
      <c r="H338" s="69"/>
      <c r="I338" s="74" t="str">
        <f aca="false">IF(B338="","",IF(ISNUMBER(H338),H338,N(G338)))</f>
        <v/>
      </c>
      <c r="J338" s="64"/>
      <c r="K338" s="64"/>
      <c r="L338" s="93" t="str">
        <f aca="false">IF(NOT(ISNUMBER(D338)),"",DATE(YEAR(D338),MONTH(D338),1))</f>
        <v/>
      </c>
      <c r="M338" s="70" t="str">
        <f aca="false">IF(B338="","",IF(AND(ISNUMBER(D338),ISNUMBER(E338),E338&lt;D338),"⚠ Término anterior al inicio",IF(J338&lt;&gt;"Sí","Pendiente comprobante firmado","OK")))</f>
        <v/>
      </c>
    </row>
    <row r="339" customFormat="false" ht="15" hidden="false" customHeight="false" outlineLevel="0" collapsed="false">
      <c r="B339" s="64"/>
      <c r="C339" s="72" t="str">
        <f aca="false">IF(B339="","",IFERROR(INDEX(T_NOMBRE,MATCH(B339,T_ID,0)),"⚠ ID no existe"))</f>
        <v/>
      </c>
      <c r="D339" s="65"/>
      <c r="E339" s="65"/>
      <c r="F339" s="64"/>
      <c r="G339" s="74" t="str">
        <f aca="false">IF(OR(B339="",NOT(ISNUMBER(D339)),NOT(ISNUMBER(E339))),"",NETWORKDAYS(D339,E339,FERIADOS))</f>
        <v/>
      </c>
      <c r="H339" s="69"/>
      <c r="I339" s="74" t="str">
        <f aca="false">IF(B339="","",IF(ISNUMBER(H339),H339,N(G339)))</f>
        <v/>
      </c>
      <c r="J339" s="64"/>
      <c r="K339" s="64"/>
      <c r="L339" s="93" t="str">
        <f aca="false">IF(NOT(ISNUMBER(D339)),"",DATE(YEAR(D339),MONTH(D339),1))</f>
        <v/>
      </c>
      <c r="M339" s="70" t="str">
        <f aca="false">IF(B339="","",IF(AND(ISNUMBER(D339),ISNUMBER(E339),E339&lt;D339),"⚠ Término anterior al inicio",IF(J339&lt;&gt;"Sí","Pendiente comprobante firmado","OK")))</f>
        <v/>
      </c>
    </row>
    <row r="340" customFormat="false" ht="15" hidden="false" customHeight="false" outlineLevel="0" collapsed="false">
      <c r="B340" s="64"/>
      <c r="C340" s="72" t="str">
        <f aca="false">IF(B340="","",IFERROR(INDEX(T_NOMBRE,MATCH(B340,T_ID,0)),"⚠ ID no existe"))</f>
        <v/>
      </c>
      <c r="D340" s="65"/>
      <c r="E340" s="65"/>
      <c r="F340" s="64"/>
      <c r="G340" s="74" t="str">
        <f aca="false">IF(OR(B340="",NOT(ISNUMBER(D340)),NOT(ISNUMBER(E340))),"",NETWORKDAYS(D340,E340,FERIADOS))</f>
        <v/>
      </c>
      <c r="H340" s="69"/>
      <c r="I340" s="74" t="str">
        <f aca="false">IF(B340="","",IF(ISNUMBER(H340),H340,N(G340)))</f>
        <v/>
      </c>
      <c r="J340" s="64"/>
      <c r="K340" s="64"/>
      <c r="L340" s="93" t="str">
        <f aca="false">IF(NOT(ISNUMBER(D340)),"",DATE(YEAR(D340),MONTH(D340),1))</f>
        <v/>
      </c>
      <c r="M340" s="70" t="str">
        <f aca="false">IF(B340="","",IF(AND(ISNUMBER(D340),ISNUMBER(E340),E340&lt;D340),"⚠ Término anterior al inicio",IF(J340&lt;&gt;"Sí","Pendiente comprobante firmado","OK")))</f>
        <v/>
      </c>
    </row>
    <row r="341" customFormat="false" ht="15" hidden="false" customHeight="false" outlineLevel="0" collapsed="false">
      <c r="B341" s="64"/>
      <c r="C341" s="72" t="str">
        <f aca="false">IF(B341="","",IFERROR(INDEX(T_NOMBRE,MATCH(B341,T_ID,0)),"⚠ ID no existe"))</f>
        <v/>
      </c>
      <c r="D341" s="65"/>
      <c r="E341" s="65"/>
      <c r="F341" s="64"/>
      <c r="G341" s="74" t="str">
        <f aca="false">IF(OR(B341="",NOT(ISNUMBER(D341)),NOT(ISNUMBER(E341))),"",NETWORKDAYS(D341,E341,FERIADOS))</f>
        <v/>
      </c>
      <c r="H341" s="69"/>
      <c r="I341" s="74" t="str">
        <f aca="false">IF(B341="","",IF(ISNUMBER(H341),H341,N(G341)))</f>
        <v/>
      </c>
      <c r="J341" s="64"/>
      <c r="K341" s="64"/>
      <c r="L341" s="93" t="str">
        <f aca="false">IF(NOT(ISNUMBER(D341)),"",DATE(YEAR(D341),MONTH(D341),1))</f>
        <v/>
      </c>
      <c r="M341" s="70" t="str">
        <f aca="false">IF(B341="","",IF(AND(ISNUMBER(D341),ISNUMBER(E341),E341&lt;D341),"⚠ Término anterior al inicio",IF(J341&lt;&gt;"Sí","Pendiente comprobante firmado","OK")))</f>
        <v/>
      </c>
    </row>
    <row r="342" customFormat="false" ht="15" hidden="false" customHeight="false" outlineLevel="0" collapsed="false">
      <c r="B342" s="64"/>
      <c r="C342" s="72" t="str">
        <f aca="false">IF(B342="","",IFERROR(INDEX(T_NOMBRE,MATCH(B342,T_ID,0)),"⚠ ID no existe"))</f>
        <v/>
      </c>
      <c r="D342" s="65"/>
      <c r="E342" s="65"/>
      <c r="F342" s="64"/>
      <c r="G342" s="74" t="str">
        <f aca="false">IF(OR(B342="",NOT(ISNUMBER(D342)),NOT(ISNUMBER(E342))),"",NETWORKDAYS(D342,E342,FERIADOS))</f>
        <v/>
      </c>
      <c r="H342" s="69"/>
      <c r="I342" s="74" t="str">
        <f aca="false">IF(B342="","",IF(ISNUMBER(H342),H342,N(G342)))</f>
        <v/>
      </c>
      <c r="J342" s="64"/>
      <c r="K342" s="64"/>
      <c r="L342" s="93" t="str">
        <f aca="false">IF(NOT(ISNUMBER(D342)),"",DATE(YEAR(D342),MONTH(D342),1))</f>
        <v/>
      </c>
      <c r="M342" s="70" t="str">
        <f aca="false">IF(B342="","",IF(AND(ISNUMBER(D342),ISNUMBER(E342),E342&lt;D342),"⚠ Término anterior al inicio",IF(J342&lt;&gt;"Sí","Pendiente comprobante firmado","OK")))</f>
        <v/>
      </c>
    </row>
    <row r="343" customFormat="false" ht="15" hidden="false" customHeight="false" outlineLevel="0" collapsed="false">
      <c r="B343" s="64"/>
      <c r="C343" s="72" t="str">
        <f aca="false">IF(B343="","",IFERROR(INDEX(T_NOMBRE,MATCH(B343,T_ID,0)),"⚠ ID no existe"))</f>
        <v/>
      </c>
      <c r="D343" s="65"/>
      <c r="E343" s="65"/>
      <c r="F343" s="64"/>
      <c r="G343" s="74" t="str">
        <f aca="false">IF(OR(B343="",NOT(ISNUMBER(D343)),NOT(ISNUMBER(E343))),"",NETWORKDAYS(D343,E343,FERIADOS))</f>
        <v/>
      </c>
      <c r="H343" s="69"/>
      <c r="I343" s="74" t="str">
        <f aca="false">IF(B343="","",IF(ISNUMBER(H343),H343,N(G343)))</f>
        <v/>
      </c>
      <c r="J343" s="64"/>
      <c r="K343" s="64"/>
      <c r="L343" s="93" t="str">
        <f aca="false">IF(NOT(ISNUMBER(D343)),"",DATE(YEAR(D343),MONTH(D343),1))</f>
        <v/>
      </c>
      <c r="M343" s="70" t="str">
        <f aca="false">IF(B343="","",IF(AND(ISNUMBER(D343),ISNUMBER(E343),E343&lt;D343),"⚠ Término anterior al inicio",IF(J343&lt;&gt;"Sí","Pendiente comprobante firmado","OK")))</f>
        <v/>
      </c>
    </row>
    <row r="344" customFormat="false" ht="15" hidden="false" customHeight="false" outlineLevel="0" collapsed="false">
      <c r="B344" s="64"/>
      <c r="C344" s="72" t="str">
        <f aca="false">IF(B344="","",IFERROR(INDEX(T_NOMBRE,MATCH(B344,T_ID,0)),"⚠ ID no existe"))</f>
        <v/>
      </c>
      <c r="D344" s="65"/>
      <c r="E344" s="65"/>
      <c r="F344" s="64"/>
      <c r="G344" s="74" t="str">
        <f aca="false">IF(OR(B344="",NOT(ISNUMBER(D344)),NOT(ISNUMBER(E344))),"",NETWORKDAYS(D344,E344,FERIADOS))</f>
        <v/>
      </c>
      <c r="H344" s="69"/>
      <c r="I344" s="74" t="str">
        <f aca="false">IF(B344="","",IF(ISNUMBER(H344),H344,N(G344)))</f>
        <v/>
      </c>
      <c r="J344" s="64"/>
      <c r="K344" s="64"/>
      <c r="L344" s="93" t="str">
        <f aca="false">IF(NOT(ISNUMBER(D344)),"",DATE(YEAR(D344),MONTH(D344),1))</f>
        <v/>
      </c>
      <c r="M344" s="70" t="str">
        <f aca="false">IF(B344="","",IF(AND(ISNUMBER(D344),ISNUMBER(E344),E344&lt;D344),"⚠ Término anterior al inicio",IF(J344&lt;&gt;"Sí","Pendiente comprobante firmado","OK")))</f>
        <v/>
      </c>
    </row>
    <row r="345" customFormat="false" ht="15" hidden="false" customHeight="false" outlineLevel="0" collapsed="false">
      <c r="B345" s="64"/>
      <c r="C345" s="72" t="str">
        <f aca="false">IF(B345="","",IFERROR(INDEX(T_NOMBRE,MATCH(B345,T_ID,0)),"⚠ ID no existe"))</f>
        <v/>
      </c>
      <c r="D345" s="65"/>
      <c r="E345" s="65"/>
      <c r="F345" s="64"/>
      <c r="G345" s="74" t="str">
        <f aca="false">IF(OR(B345="",NOT(ISNUMBER(D345)),NOT(ISNUMBER(E345))),"",NETWORKDAYS(D345,E345,FERIADOS))</f>
        <v/>
      </c>
      <c r="H345" s="69"/>
      <c r="I345" s="74" t="str">
        <f aca="false">IF(B345="","",IF(ISNUMBER(H345),H345,N(G345)))</f>
        <v/>
      </c>
      <c r="J345" s="64"/>
      <c r="K345" s="64"/>
      <c r="L345" s="93" t="str">
        <f aca="false">IF(NOT(ISNUMBER(D345)),"",DATE(YEAR(D345),MONTH(D345),1))</f>
        <v/>
      </c>
      <c r="M345" s="70" t="str">
        <f aca="false">IF(B345="","",IF(AND(ISNUMBER(D345),ISNUMBER(E345),E345&lt;D345),"⚠ Término anterior al inicio",IF(J345&lt;&gt;"Sí","Pendiente comprobante firmado","OK")))</f>
        <v/>
      </c>
    </row>
    <row r="346" customFormat="false" ht="15" hidden="false" customHeight="false" outlineLevel="0" collapsed="false">
      <c r="B346" s="64"/>
      <c r="C346" s="72" t="str">
        <f aca="false">IF(B346="","",IFERROR(INDEX(T_NOMBRE,MATCH(B346,T_ID,0)),"⚠ ID no existe"))</f>
        <v/>
      </c>
      <c r="D346" s="65"/>
      <c r="E346" s="65"/>
      <c r="F346" s="64"/>
      <c r="G346" s="74" t="str">
        <f aca="false">IF(OR(B346="",NOT(ISNUMBER(D346)),NOT(ISNUMBER(E346))),"",NETWORKDAYS(D346,E346,FERIADOS))</f>
        <v/>
      </c>
      <c r="H346" s="69"/>
      <c r="I346" s="74" t="str">
        <f aca="false">IF(B346="","",IF(ISNUMBER(H346),H346,N(G346)))</f>
        <v/>
      </c>
      <c r="J346" s="64"/>
      <c r="K346" s="64"/>
      <c r="L346" s="93" t="str">
        <f aca="false">IF(NOT(ISNUMBER(D346)),"",DATE(YEAR(D346),MONTH(D346),1))</f>
        <v/>
      </c>
      <c r="M346" s="70" t="str">
        <f aca="false">IF(B346="","",IF(AND(ISNUMBER(D346),ISNUMBER(E346),E346&lt;D346),"⚠ Término anterior al inicio",IF(J346&lt;&gt;"Sí","Pendiente comprobante firmado","OK")))</f>
        <v/>
      </c>
    </row>
    <row r="347" customFormat="false" ht="15" hidden="false" customHeight="false" outlineLevel="0" collapsed="false">
      <c r="B347" s="64"/>
      <c r="C347" s="72" t="str">
        <f aca="false">IF(B347="","",IFERROR(INDEX(T_NOMBRE,MATCH(B347,T_ID,0)),"⚠ ID no existe"))</f>
        <v/>
      </c>
      <c r="D347" s="65"/>
      <c r="E347" s="65"/>
      <c r="F347" s="64"/>
      <c r="G347" s="74" t="str">
        <f aca="false">IF(OR(B347="",NOT(ISNUMBER(D347)),NOT(ISNUMBER(E347))),"",NETWORKDAYS(D347,E347,FERIADOS))</f>
        <v/>
      </c>
      <c r="H347" s="69"/>
      <c r="I347" s="74" t="str">
        <f aca="false">IF(B347="","",IF(ISNUMBER(H347),H347,N(G347)))</f>
        <v/>
      </c>
      <c r="J347" s="64"/>
      <c r="K347" s="64"/>
      <c r="L347" s="93" t="str">
        <f aca="false">IF(NOT(ISNUMBER(D347)),"",DATE(YEAR(D347),MONTH(D347),1))</f>
        <v/>
      </c>
      <c r="M347" s="70" t="str">
        <f aca="false">IF(B347="","",IF(AND(ISNUMBER(D347),ISNUMBER(E347),E347&lt;D347),"⚠ Término anterior al inicio",IF(J347&lt;&gt;"Sí","Pendiente comprobante firmado","OK")))</f>
        <v/>
      </c>
    </row>
    <row r="348" customFormat="false" ht="15" hidden="false" customHeight="false" outlineLevel="0" collapsed="false">
      <c r="B348" s="64"/>
      <c r="C348" s="72" t="str">
        <f aca="false">IF(B348="","",IFERROR(INDEX(T_NOMBRE,MATCH(B348,T_ID,0)),"⚠ ID no existe"))</f>
        <v/>
      </c>
      <c r="D348" s="65"/>
      <c r="E348" s="65"/>
      <c r="F348" s="64"/>
      <c r="G348" s="74" t="str">
        <f aca="false">IF(OR(B348="",NOT(ISNUMBER(D348)),NOT(ISNUMBER(E348))),"",NETWORKDAYS(D348,E348,FERIADOS))</f>
        <v/>
      </c>
      <c r="H348" s="69"/>
      <c r="I348" s="74" t="str">
        <f aca="false">IF(B348="","",IF(ISNUMBER(H348),H348,N(G348)))</f>
        <v/>
      </c>
      <c r="J348" s="64"/>
      <c r="K348" s="64"/>
      <c r="L348" s="93" t="str">
        <f aca="false">IF(NOT(ISNUMBER(D348)),"",DATE(YEAR(D348),MONTH(D348),1))</f>
        <v/>
      </c>
      <c r="M348" s="70" t="str">
        <f aca="false">IF(B348="","",IF(AND(ISNUMBER(D348),ISNUMBER(E348),E348&lt;D348),"⚠ Término anterior al inicio",IF(J348&lt;&gt;"Sí","Pendiente comprobante firmado","OK")))</f>
        <v/>
      </c>
    </row>
    <row r="349" customFormat="false" ht="15" hidden="false" customHeight="false" outlineLevel="0" collapsed="false">
      <c r="B349" s="64"/>
      <c r="C349" s="72" t="str">
        <f aca="false">IF(B349="","",IFERROR(INDEX(T_NOMBRE,MATCH(B349,T_ID,0)),"⚠ ID no existe"))</f>
        <v/>
      </c>
      <c r="D349" s="65"/>
      <c r="E349" s="65"/>
      <c r="F349" s="64"/>
      <c r="G349" s="74" t="str">
        <f aca="false">IF(OR(B349="",NOT(ISNUMBER(D349)),NOT(ISNUMBER(E349))),"",NETWORKDAYS(D349,E349,FERIADOS))</f>
        <v/>
      </c>
      <c r="H349" s="69"/>
      <c r="I349" s="74" t="str">
        <f aca="false">IF(B349="","",IF(ISNUMBER(H349),H349,N(G349)))</f>
        <v/>
      </c>
      <c r="J349" s="64"/>
      <c r="K349" s="64"/>
      <c r="L349" s="93" t="str">
        <f aca="false">IF(NOT(ISNUMBER(D349)),"",DATE(YEAR(D349),MONTH(D349),1))</f>
        <v/>
      </c>
      <c r="M349" s="70" t="str">
        <f aca="false">IF(B349="","",IF(AND(ISNUMBER(D349),ISNUMBER(E349),E349&lt;D349),"⚠ Término anterior al inicio",IF(J349&lt;&gt;"Sí","Pendiente comprobante firmado","OK")))</f>
        <v/>
      </c>
    </row>
    <row r="350" customFormat="false" ht="15" hidden="false" customHeight="false" outlineLevel="0" collapsed="false">
      <c r="B350" s="64"/>
      <c r="C350" s="72" t="str">
        <f aca="false">IF(B350="","",IFERROR(INDEX(T_NOMBRE,MATCH(B350,T_ID,0)),"⚠ ID no existe"))</f>
        <v/>
      </c>
      <c r="D350" s="65"/>
      <c r="E350" s="65"/>
      <c r="F350" s="64"/>
      <c r="G350" s="74" t="str">
        <f aca="false">IF(OR(B350="",NOT(ISNUMBER(D350)),NOT(ISNUMBER(E350))),"",NETWORKDAYS(D350,E350,FERIADOS))</f>
        <v/>
      </c>
      <c r="H350" s="69"/>
      <c r="I350" s="74" t="str">
        <f aca="false">IF(B350="","",IF(ISNUMBER(H350),H350,N(G350)))</f>
        <v/>
      </c>
      <c r="J350" s="64"/>
      <c r="K350" s="64"/>
      <c r="L350" s="93" t="str">
        <f aca="false">IF(NOT(ISNUMBER(D350)),"",DATE(YEAR(D350),MONTH(D350),1))</f>
        <v/>
      </c>
      <c r="M350" s="70" t="str">
        <f aca="false">IF(B350="","",IF(AND(ISNUMBER(D350),ISNUMBER(E350),E350&lt;D350),"⚠ Término anterior al inicio",IF(J350&lt;&gt;"Sí","Pendiente comprobante firmado","OK")))</f>
        <v/>
      </c>
    </row>
    <row r="351" customFormat="false" ht="15" hidden="false" customHeight="false" outlineLevel="0" collapsed="false">
      <c r="B351" s="64"/>
      <c r="C351" s="72" t="str">
        <f aca="false">IF(B351="","",IFERROR(INDEX(T_NOMBRE,MATCH(B351,T_ID,0)),"⚠ ID no existe"))</f>
        <v/>
      </c>
      <c r="D351" s="65"/>
      <c r="E351" s="65"/>
      <c r="F351" s="64"/>
      <c r="G351" s="74" t="str">
        <f aca="false">IF(OR(B351="",NOT(ISNUMBER(D351)),NOT(ISNUMBER(E351))),"",NETWORKDAYS(D351,E351,FERIADOS))</f>
        <v/>
      </c>
      <c r="H351" s="69"/>
      <c r="I351" s="74" t="str">
        <f aca="false">IF(B351="","",IF(ISNUMBER(H351),H351,N(G351)))</f>
        <v/>
      </c>
      <c r="J351" s="64"/>
      <c r="K351" s="64"/>
      <c r="L351" s="93" t="str">
        <f aca="false">IF(NOT(ISNUMBER(D351)),"",DATE(YEAR(D351),MONTH(D351),1))</f>
        <v/>
      </c>
      <c r="M351" s="70" t="str">
        <f aca="false">IF(B351="","",IF(AND(ISNUMBER(D351),ISNUMBER(E351),E351&lt;D351),"⚠ Término anterior al inicio",IF(J351&lt;&gt;"Sí","Pendiente comprobante firmado","OK")))</f>
        <v/>
      </c>
    </row>
    <row r="352" customFormat="false" ht="15" hidden="false" customHeight="false" outlineLevel="0" collapsed="false">
      <c r="B352" s="64"/>
      <c r="C352" s="72" t="str">
        <f aca="false">IF(B352="","",IFERROR(INDEX(T_NOMBRE,MATCH(B352,T_ID,0)),"⚠ ID no existe"))</f>
        <v/>
      </c>
      <c r="D352" s="65"/>
      <c r="E352" s="65"/>
      <c r="F352" s="64"/>
      <c r="G352" s="74" t="str">
        <f aca="false">IF(OR(B352="",NOT(ISNUMBER(D352)),NOT(ISNUMBER(E352))),"",NETWORKDAYS(D352,E352,FERIADOS))</f>
        <v/>
      </c>
      <c r="H352" s="69"/>
      <c r="I352" s="74" t="str">
        <f aca="false">IF(B352="","",IF(ISNUMBER(H352),H352,N(G352)))</f>
        <v/>
      </c>
      <c r="J352" s="64"/>
      <c r="K352" s="64"/>
      <c r="L352" s="93" t="str">
        <f aca="false">IF(NOT(ISNUMBER(D352)),"",DATE(YEAR(D352),MONTH(D352),1))</f>
        <v/>
      </c>
      <c r="M352" s="70" t="str">
        <f aca="false">IF(B352="","",IF(AND(ISNUMBER(D352),ISNUMBER(E352),E352&lt;D352),"⚠ Término anterior al inicio",IF(J352&lt;&gt;"Sí","Pendiente comprobante firmado","OK")))</f>
        <v/>
      </c>
    </row>
    <row r="353" customFormat="false" ht="15" hidden="false" customHeight="false" outlineLevel="0" collapsed="false">
      <c r="B353" s="64"/>
      <c r="C353" s="72" t="str">
        <f aca="false">IF(B353="","",IFERROR(INDEX(T_NOMBRE,MATCH(B353,T_ID,0)),"⚠ ID no existe"))</f>
        <v/>
      </c>
      <c r="D353" s="65"/>
      <c r="E353" s="65"/>
      <c r="F353" s="64"/>
      <c r="G353" s="74" t="str">
        <f aca="false">IF(OR(B353="",NOT(ISNUMBER(D353)),NOT(ISNUMBER(E353))),"",NETWORKDAYS(D353,E353,FERIADOS))</f>
        <v/>
      </c>
      <c r="H353" s="69"/>
      <c r="I353" s="74" t="str">
        <f aca="false">IF(B353="","",IF(ISNUMBER(H353),H353,N(G353)))</f>
        <v/>
      </c>
      <c r="J353" s="64"/>
      <c r="K353" s="64"/>
      <c r="L353" s="93" t="str">
        <f aca="false">IF(NOT(ISNUMBER(D353)),"",DATE(YEAR(D353),MONTH(D353),1))</f>
        <v/>
      </c>
      <c r="M353" s="70" t="str">
        <f aca="false">IF(B353="","",IF(AND(ISNUMBER(D353),ISNUMBER(E353),E353&lt;D353),"⚠ Término anterior al inicio",IF(J353&lt;&gt;"Sí","Pendiente comprobante firmado","OK")))</f>
        <v/>
      </c>
    </row>
    <row r="354" customFormat="false" ht="15" hidden="false" customHeight="false" outlineLevel="0" collapsed="false">
      <c r="B354" s="64"/>
      <c r="C354" s="72" t="str">
        <f aca="false">IF(B354="","",IFERROR(INDEX(T_NOMBRE,MATCH(B354,T_ID,0)),"⚠ ID no existe"))</f>
        <v/>
      </c>
      <c r="D354" s="65"/>
      <c r="E354" s="65"/>
      <c r="F354" s="64"/>
      <c r="G354" s="74" t="str">
        <f aca="false">IF(OR(B354="",NOT(ISNUMBER(D354)),NOT(ISNUMBER(E354))),"",NETWORKDAYS(D354,E354,FERIADOS))</f>
        <v/>
      </c>
      <c r="H354" s="69"/>
      <c r="I354" s="74" t="str">
        <f aca="false">IF(B354="","",IF(ISNUMBER(H354),H354,N(G354)))</f>
        <v/>
      </c>
      <c r="J354" s="64"/>
      <c r="K354" s="64"/>
      <c r="L354" s="93" t="str">
        <f aca="false">IF(NOT(ISNUMBER(D354)),"",DATE(YEAR(D354),MONTH(D354),1))</f>
        <v/>
      </c>
      <c r="M354" s="70" t="str">
        <f aca="false">IF(B354="","",IF(AND(ISNUMBER(D354),ISNUMBER(E354),E354&lt;D354),"⚠ Término anterior al inicio",IF(J354&lt;&gt;"Sí","Pendiente comprobante firmado","OK")))</f>
        <v/>
      </c>
    </row>
    <row r="355" customFormat="false" ht="15" hidden="false" customHeight="false" outlineLevel="0" collapsed="false">
      <c r="B355" s="64"/>
      <c r="C355" s="72" t="str">
        <f aca="false">IF(B355="","",IFERROR(INDEX(T_NOMBRE,MATCH(B355,T_ID,0)),"⚠ ID no existe"))</f>
        <v/>
      </c>
      <c r="D355" s="65"/>
      <c r="E355" s="65"/>
      <c r="F355" s="64"/>
      <c r="G355" s="74" t="str">
        <f aca="false">IF(OR(B355="",NOT(ISNUMBER(D355)),NOT(ISNUMBER(E355))),"",NETWORKDAYS(D355,E355,FERIADOS))</f>
        <v/>
      </c>
      <c r="H355" s="69"/>
      <c r="I355" s="74" t="str">
        <f aca="false">IF(B355="","",IF(ISNUMBER(H355),H355,N(G355)))</f>
        <v/>
      </c>
      <c r="J355" s="64"/>
      <c r="K355" s="64"/>
      <c r="L355" s="93" t="str">
        <f aca="false">IF(NOT(ISNUMBER(D355)),"",DATE(YEAR(D355),MONTH(D355),1))</f>
        <v/>
      </c>
      <c r="M355" s="70" t="str">
        <f aca="false">IF(B355="","",IF(AND(ISNUMBER(D355),ISNUMBER(E355),E355&lt;D355),"⚠ Término anterior al inicio",IF(J355&lt;&gt;"Sí","Pendiente comprobante firmado","OK")))</f>
        <v/>
      </c>
    </row>
    <row r="356" customFormat="false" ht="15" hidden="false" customHeight="false" outlineLevel="0" collapsed="false">
      <c r="B356" s="64"/>
      <c r="C356" s="72" t="str">
        <f aca="false">IF(B356="","",IFERROR(INDEX(T_NOMBRE,MATCH(B356,T_ID,0)),"⚠ ID no existe"))</f>
        <v/>
      </c>
      <c r="D356" s="65"/>
      <c r="E356" s="65"/>
      <c r="F356" s="64"/>
      <c r="G356" s="74" t="str">
        <f aca="false">IF(OR(B356="",NOT(ISNUMBER(D356)),NOT(ISNUMBER(E356))),"",NETWORKDAYS(D356,E356,FERIADOS))</f>
        <v/>
      </c>
      <c r="H356" s="69"/>
      <c r="I356" s="74" t="str">
        <f aca="false">IF(B356="","",IF(ISNUMBER(H356),H356,N(G356)))</f>
        <v/>
      </c>
      <c r="J356" s="64"/>
      <c r="K356" s="64"/>
      <c r="L356" s="93" t="str">
        <f aca="false">IF(NOT(ISNUMBER(D356)),"",DATE(YEAR(D356),MONTH(D356),1))</f>
        <v/>
      </c>
      <c r="M356" s="70" t="str">
        <f aca="false">IF(B356="","",IF(AND(ISNUMBER(D356),ISNUMBER(E356),E356&lt;D356),"⚠ Término anterior al inicio",IF(J356&lt;&gt;"Sí","Pendiente comprobante firmado","OK")))</f>
        <v/>
      </c>
    </row>
    <row r="357" customFormat="false" ht="15" hidden="false" customHeight="false" outlineLevel="0" collapsed="false">
      <c r="B357" s="64"/>
      <c r="C357" s="72" t="str">
        <f aca="false">IF(B357="","",IFERROR(INDEX(T_NOMBRE,MATCH(B357,T_ID,0)),"⚠ ID no existe"))</f>
        <v/>
      </c>
      <c r="D357" s="65"/>
      <c r="E357" s="65"/>
      <c r="F357" s="64"/>
      <c r="G357" s="74" t="str">
        <f aca="false">IF(OR(B357="",NOT(ISNUMBER(D357)),NOT(ISNUMBER(E357))),"",NETWORKDAYS(D357,E357,FERIADOS))</f>
        <v/>
      </c>
      <c r="H357" s="69"/>
      <c r="I357" s="74" t="str">
        <f aca="false">IF(B357="","",IF(ISNUMBER(H357),H357,N(G357)))</f>
        <v/>
      </c>
      <c r="J357" s="64"/>
      <c r="K357" s="64"/>
      <c r="L357" s="93" t="str">
        <f aca="false">IF(NOT(ISNUMBER(D357)),"",DATE(YEAR(D357),MONTH(D357),1))</f>
        <v/>
      </c>
      <c r="M357" s="70" t="str">
        <f aca="false">IF(B357="","",IF(AND(ISNUMBER(D357),ISNUMBER(E357),E357&lt;D357),"⚠ Término anterior al inicio",IF(J357&lt;&gt;"Sí","Pendiente comprobante firmado","OK")))</f>
        <v/>
      </c>
    </row>
    <row r="358" customFormat="false" ht="15" hidden="false" customHeight="false" outlineLevel="0" collapsed="false">
      <c r="B358" s="64"/>
      <c r="C358" s="72" t="str">
        <f aca="false">IF(B358="","",IFERROR(INDEX(T_NOMBRE,MATCH(B358,T_ID,0)),"⚠ ID no existe"))</f>
        <v/>
      </c>
      <c r="D358" s="65"/>
      <c r="E358" s="65"/>
      <c r="F358" s="64"/>
      <c r="G358" s="74" t="str">
        <f aca="false">IF(OR(B358="",NOT(ISNUMBER(D358)),NOT(ISNUMBER(E358))),"",NETWORKDAYS(D358,E358,FERIADOS))</f>
        <v/>
      </c>
      <c r="H358" s="69"/>
      <c r="I358" s="74" t="str">
        <f aca="false">IF(B358="","",IF(ISNUMBER(H358),H358,N(G358)))</f>
        <v/>
      </c>
      <c r="J358" s="64"/>
      <c r="K358" s="64"/>
      <c r="L358" s="93" t="str">
        <f aca="false">IF(NOT(ISNUMBER(D358)),"",DATE(YEAR(D358),MONTH(D358),1))</f>
        <v/>
      </c>
      <c r="M358" s="70" t="str">
        <f aca="false">IF(B358="","",IF(AND(ISNUMBER(D358),ISNUMBER(E358),E358&lt;D358),"⚠ Término anterior al inicio",IF(J358&lt;&gt;"Sí","Pendiente comprobante firmado","OK")))</f>
        <v/>
      </c>
    </row>
    <row r="359" customFormat="false" ht="15" hidden="false" customHeight="false" outlineLevel="0" collapsed="false">
      <c r="B359" s="64"/>
      <c r="C359" s="72" t="str">
        <f aca="false">IF(B359="","",IFERROR(INDEX(T_NOMBRE,MATCH(B359,T_ID,0)),"⚠ ID no existe"))</f>
        <v/>
      </c>
      <c r="D359" s="65"/>
      <c r="E359" s="65"/>
      <c r="F359" s="64"/>
      <c r="G359" s="74" t="str">
        <f aca="false">IF(OR(B359="",NOT(ISNUMBER(D359)),NOT(ISNUMBER(E359))),"",NETWORKDAYS(D359,E359,FERIADOS))</f>
        <v/>
      </c>
      <c r="H359" s="69"/>
      <c r="I359" s="74" t="str">
        <f aca="false">IF(B359="","",IF(ISNUMBER(H359),H359,N(G359)))</f>
        <v/>
      </c>
      <c r="J359" s="64"/>
      <c r="K359" s="64"/>
      <c r="L359" s="93" t="str">
        <f aca="false">IF(NOT(ISNUMBER(D359)),"",DATE(YEAR(D359),MONTH(D359),1))</f>
        <v/>
      </c>
      <c r="M359" s="70" t="str">
        <f aca="false">IF(B359="","",IF(AND(ISNUMBER(D359),ISNUMBER(E359),E359&lt;D359),"⚠ Término anterior al inicio",IF(J359&lt;&gt;"Sí","Pendiente comprobante firmado","OK")))</f>
        <v/>
      </c>
    </row>
    <row r="360" customFormat="false" ht="15" hidden="false" customHeight="false" outlineLevel="0" collapsed="false">
      <c r="B360" s="64"/>
      <c r="C360" s="72" t="str">
        <f aca="false">IF(B360="","",IFERROR(INDEX(T_NOMBRE,MATCH(B360,T_ID,0)),"⚠ ID no existe"))</f>
        <v/>
      </c>
      <c r="D360" s="65"/>
      <c r="E360" s="65"/>
      <c r="F360" s="64"/>
      <c r="G360" s="74" t="str">
        <f aca="false">IF(OR(B360="",NOT(ISNUMBER(D360)),NOT(ISNUMBER(E360))),"",NETWORKDAYS(D360,E360,FERIADOS))</f>
        <v/>
      </c>
      <c r="H360" s="69"/>
      <c r="I360" s="74" t="str">
        <f aca="false">IF(B360="","",IF(ISNUMBER(H360),H360,N(G360)))</f>
        <v/>
      </c>
      <c r="J360" s="64"/>
      <c r="K360" s="64"/>
      <c r="L360" s="93" t="str">
        <f aca="false">IF(NOT(ISNUMBER(D360)),"",DATE(YEAR(D360),MONTH(D360),1))</f>
        <v/>
      </c>
      <c r="M360" s="70" t="str">
        <f aca="false">IF(B360="","",IF(AND(ISNUMBER(D360),ISNUMBER(E360),E360&lt;D360),"⚠ Término anterior al inicio",IF(J360&lt;&gt;"Sí","Pendiente comprobante firmado","OK")))</f>
        <v/>
      </c>
    </row>
    <row r="361" customFormat="false" ht="15" hidden="false" customHeight="false" outlineLevel="0" collapsed="false">
      <c r="B361" s="64"/>
      <c r="C361" s="72" t="str">
        <f aca="false">IF(B361="","",IFERROR(INDEX(T_NOMBRE,MATCH(B361,T_ID,0)),"⚠ ID no existe"))</f>
        <v/>
      </c>
      <c r="D361" s="65"/>
      <c r="E361" s="65"/>
      <c r="F361" s="64"/>
      <c r="G361" s="74" t="str">
        <f aca="false">IF(OR(B361="",NOT(ISNUMBER(D361)),NOT(ISNUMBER(E361))),"",NETWORKDAYS(D361,E361,FERIADOS))</f>
        <v/>
      </c>
      <c r="H361" s="69"/>
      <c r="I361" s="74" t="str">
        <f aca="false">IF(B361="","",IF(ISNUMBER(H361),H361,N(G361)))</f>
        <v/>
      </c>
      <c r="J361" s="64"/>
      <c r="K361" s="64"/>
      <c r="L361" s="93" t="str">
        <f aca="false">IF(NOT(ISNUMBER(D361)),"",DATE(YEAR(D361),MONTH(D361),1))</f>
        <v/>
      </c>
      <c r="M361" s="70" t="str">
        <f aca="false">IF(B361="","",IF(AND(ISNUMBER(D361),ISNUMBER(E361),E361&lt;D361),"⚠ Término anterior al inicio",IF(J361&lt;&gt;"Sí","Pendiente comprobante firmado","OK")))</f>
        <v/>
      </c>
    </row>
    <row r="362" customFormat="false" ht="15" hidden="false" customHeight="false" outlineLevel="0" collapsed="false">
      <c r="B362" s="64"/>
      <c r="C362" s="72" t="str">
        <f aca="false">IF(B362="","",IFERROR(INDEX(T_NOMBRE,MATCH(B362,T_ID,0)),"⚠ ID no existe"))</f>
        <v/>
      </c>
      <c r="D362" s="65"/>
      <c r="E362" s="65"/>
      <c r="F362" s="64"/>
      <c r="G362" s="74" t="str">
        <f aca="false">IF(OR(B362="",NOT(ISNUMBER(D362)),NOT(ISNUMBER(E362))),"",NETWORKDAYS(D362,E362,FERIADOS))</f>
        <v/>
      </c>
      <c r="H362" s="69"/>
      <c r="I362" s="74" t="str">
        <f aca="false">IF(B362="","",IF(ISNUMBER(H362),H362,N(G362)))</f>
        <v/>
      </c>
      <c r="J362" s="64"/>
      <c r="K362" s="64"/>
      <c r="L362" s="93" t="str">
        <f aca="false">IF(NOT(ISNUMBER(D362)),"",DATE(YEAR(D362),MONTH(D362),1))</f>
        <v/>
      </c>
      <c r="M362" s="70" t="str">
        <f aca="false">IF(B362="","",IF(AND(ISNUMBER(D362),ISNUMBER(E362),E362&lt;D362),"⚠ Término anterior al inicio",IF(J362&lt;&gt;"Sí","Pendiente comprobante firmado","OK")))</f>
        <v/>
      </c>
    </row>
    <row r="363" customFormat="false" ht="15" hidden="false" customHeight="false" outlineLevel="0" collapsed="false">
      <c r="B363" s="64"/>
      <c r="C363" s="72" t="str">
        <f aca="false">IF(B363="","",IFERROR(INDEX(T_NOMBRE,MATCH(B363,T_ID,0)),"⚠ ID no existe"))</f>
        <v/>
      </c>
      <c r="D363" s="65"/>
      <c r="E363" s="65"/>
      <c r="F363" s="64"/>
      <c r="G363" s="74" t="str">
        <f aca="false">IF(OR(B363="",NOT(ISNUMBER(D363)),NOT(ISNUMBER(E363))),"",NETWORKDAYS(D363,E363,FERIADOS))</f>
        <v/>
      </c>
      <c r="H363" s="69"/>
      <c r="I363" s="74" t="str">
        <f aca="false">IF(B363="","",IF(ISNUMBER(H363),H363,N(G363)))</f>
        <v/>
      </c>
      <c r="J363" s="64"/>
      <c r="K363" s="64"/>
      <c r="L363" s="93" t="str">
        <f aca="false">IF(NOT(ISNUMBER(D363)),"",DATE(YEAR(D363),MONTH(D363),1))</f>
        <v/>
      </c>
      <c r="M363" s="70" t="str">
        <f aca="false">IF(B363="","",IF(AND(ISNUMBER(D363),ISNUMBER(E363),E363&lt;D363),"⚠ Término anterior al inicio",IF(J363&lt;&gt;"Sí","Pendiente comprobante firmado","OK")))</f>
        <v/>
      </c>
    </row>
    <row r="364" customFormat="false" ht="15" hidden="false" customHeight="false" outlineLevel="0" collapsed="false">
      <c r="B364" s="64"/>
      <c r="C364" s="72" t="str">
        <f aca="false">IF(B364="","",IFERROR(INDEX(T_NOMBRE,MATCH(B364,T_ID,0)),"⚠ ID no existe"))</f>
        <v/>
      </c>
      <c r="D364" s="65"/>
      <c r="E364" s="65"/>
      <c r="F364" s="64"/>
      <c r="G364" s="74" t="str">
        <f aca="false">IF(OR(B364="",NOT(ISNUMBER(D364)),NOT(ISNUMBER(E364))),"",NETWORKDAYS(D364,E364,FERIADOS))</f>
        <v/>
      </c>
      <c r="H364" s="69"/>
      <c r="I364" s="74" t="str">
        <f aca="false">IF(B364="","",IF(ISNUMBER(H364),H364,N(G364)))</f>
        <v/>
      </c>
      <c r="J364" s="64"/>
      <c r="K364" s="64"/>
      <c r="L364" s="93" t="str">
        <f aca="false">IF(NOT(ISNUMBER(D364)),"",DATE(YEAR(D364),MONTH(D364),1))</f>
        <v/>
      </c>
      <c r="M364" s="70" t="str">
        <f aca="false">IF(B364="","",IF(AND(ISNUMBER(D364),ISNUMBER(E364),E364&lt;D364),"⚠ Término anterior al inicio",IF(J364&lt;&gt;"Sí","Pendiente comprobante firmado","OK")))</f>
        <v/>
      </c>
    </row>
    <row r="365" customFormat="false" ht="15" hidden="false" customHeight="false" outlineLevel="0" collapsed="false">
      <c r="B365" s="64"/>
      <c r="C365" s="72" t="str">
        <f aca="false">IF(B365="","",IFERROR(INDEX(T_NOMBRE,MATCH(B365,T_ID,0)),"⚠ ID no existe"))</f>
        <v/>
      </c>
      <c r="D365" s="65"/>
      <c r="E365" s="65"/>
      <c r="F365" s="64"/>
      <c r="G365" s="74" t="str">
        <f aca="false">IF(OR(B365="",NOT(ISNUMBER(D365)),NOT(ISNUMBER(E365))),"",NETWORKDAYS(D365,E365,FERIADOS))</f>
        <v/>
      </c>
      <c r="H365" s="69"/>
      <c r="I365" s="74" t="str">
        <f aca="false">IF(B365="","",IF(ISNUMBER(H365),H365,N(G365)))</f>
        <v/>
      </c>
      <c r="J365" s="64"/>
      <c r="K365" s="64"/>
      <c r="L365" s="93" t="str">
        <f aca="false">IF(NOT(ISNUMBER(D365)),"",DATE(YEAR(D365),MONTH(D365),1))</f>
        <v/>
      </c>
      <c r="M365" s="70" t="str">
        <f aca="false">IF(B365="","",IF(AND(ISNUMBER(D365),ISNUMBER(E365),E365&lt;D365),"⚠ Término anterior al inicio",IF(J365&lt;&gt;"Sí","Pendiente comprobante firmado","OK")))</f>
        <v/>
      </c>
    </row>
    <row r="366" customFormat="false" ht="15" hidden="false" customHeight="false" outlineLevel="0" collapsed="false">
      <c r="B366" s="64"/>
      <c r="C366" s="72" t="str">
        <f aca="false">IF(B366="","",IFERROR(INDEX(T_NOMBRE,MATCH(B366,T_ID,0)),"⚠ ID no existe"))</f>
        <v/>
      </c>
      <c r="D366" s="65"/>
      <c r="E366" s="65"/>
      <c r="F366" s="64"/>
      <c r="G366" s="74" t="str">
        <f aca="false">IF(OR(B366="",NOT(ISNUMBER(D366)),NOT(ISNUMBER(E366))),"",NETWORKDAYS(D366,E366,FERIADOS))</f>
        <v/>
      </c>
      <c r="H366" s="69"/>
      <c r="I366" s="74" t="str">
        <f aca="false">IF(B366="","",IF(ISNUMBER(H366),H366,N(G366)))</f>
        <v/>
      </c>
      <c r="J366" s="64"/>
      <c r="K366" s="64"/>
      <c r="L366" s="93" t="str">
        <f aca="false">IF(NOT(ISNUMBER(D366)),"",DATE(YEAR(D366),MONTH(D366),1))</f>
        <v/>
      </c>
      <c r="M366" s="70" t="str">
        <f aca="false">IF(B366="","",IF(AND(ISNUMBER(D366),ISNUMBER(E366),E366&lt;D366),"⚠ Término anterior al inicio",IF(J366&lt;&gt;"Sí","Pendiente comprobante firmado","OK")))</f>
        <v/>
      </c>
    </row>
    <row r="367" customFormat="false" ht="15" hidden="false" customHeight="false" outlineLevel="0" collapsed="false">
      <c r="B367" s="64"/>
      <c r="C367" s="72" t="str">
        <f aca="false">IF(B367="","",IFERROR(INDEX(T_NOMBRE,MATCH(B367,T_ID,0)),"⚠ ID no existe"))</f>
        <v/>
      </c>
      <c r="D367" s="65"/>
      <c r="E367" s="65"/>
      <c r="F367" s="64"/>
      <c r="G367" s="74" t="str">
        <f aca="false">IF(OR(B367="",NOT(ISNUMBER(D367)),NOT(ISNUMBER(E367))),"",NETWORKDAYS(D367,E367,FERIADOS))</f>
        <v/>
      </c>
      <c r="H367" s="69"/>
      <c r="I367" s="74" t="str">
        <f aca="false">IF(B367="","",IF(ISNUMBER(H367),H367,N(G367)))</f>
        <v/>
      </c>
      <c r="J367" s="64"/>
      <c r="K367" s="64"/>
      <c r="L367" s="93" t="str">
        <f aca="false">IF(NOT(ISNUMBER(D367)),"",DATE(YEAR(D367),MONTH(D367),1))</f>
        <v/>
      </c>
      <c r="M367" s="70" t="str">
        <f aca="false">IF(B367="","",IF(AND(ISNUMBER(D367),ISNUMBER(E367),E367&lt;D367),"⚠ Término anterior al inicio",IF(J367&lt;&gt;"Sí","Pendiente comprobante firmado","OK")))</f>
        <v/>
      </c>
    </row>
    <row r="368" customFormat="false" ht="15" hidden="false" customHeight="false" outlineLevel="0" collapsed="false">
      <c r="B368" s="64"/>
      <c r="C368" s="72" t="str">
        <f aca="false">IF(B368="","",IFERROR(INDEX(T_NOMBRE,MATCH(B368,T_ID,0)),"⚠ ID no existe"))</f>
        <v/>
      </c>
      <c r="D368" s="65"/>
      <c r="E368" s="65"/>
      <c r="F368" s="64"/>
      <c r="G368" s="74" t="str">
        <f aca="false">IF(OR(B368="",NOT(ISNUMBER(D368)),NOT(ISNUMBER(E368))),"",NETWORKDAYS(D368,E368,FERIADOS))</f>
        <v/>
      </c>
      <c r="H368" s="69"/>
      <c r="I368" s="74" t="str">
        <f aca="false">IF(B368="","",IF(ISNUMBER(H368),H368,N(G368)))</f>
        <v/>
      </c>
      <c r="J368" s="64"/>
      <c r="K368" s="64"/>
      <c r="L368" s="93" t="str">
        <f aca="false">IF(NOT(ISNUMBER(D368)),"",DATE(YEAR(D368),MONTH(D368),1))</f>
        <v/>
      </c>
      <c r="M368" s="70" t="str">
        <f aca="false">IF(B368="","",IF(AND(ISNUMBER(D368),ISNUMBER(E368),E368&lt;D368),"⚠ Término anterior al inicio",IF(J368&lt;&gt;"Sí","Pendiente comprobante firmado","OK")))</f>
        <v/>
      </c>
    </row>
    <row r="369" customFormat="false" ht="15" hidden="false" customHeight="false" outlineLevel="0" collapsed="false">
      <c r="B369" s="64"/>
      <c r="C369" s="72" t="str">
        <f aca="false">IF(B369="","",IFERROR(INDEX(T_NOMBRE,MATCH(B369,T_ID,0)),"⚠ ID no existe"))</f>
        <v/>
      </c>
      <c r="D369" s="65"/>
      <c r="E369" s="65"/>
      <c r="F369" s="64"/>
      <c r="G369" s="74" t="str">
        <f aca="false">IF(OR(B369="",NOT(ISNUMBER(D369)),NOT(ISNUMBER(E369))),"",NETWORKDAYS(D369,E369,FERIADOS))</f>
        <v/>
      </c>
      <c r="H369" s="69"/>
      <c r="I369" s="74" t="str">
        <f aca="false">IF(B369="","",IF(ISNUMBER(H369),H369,N(G369)))</f>
        <v/>
      </c>
      <c r="J369" s="64"/>
      <c r="K369" s="64"/>
      <c r="L369" s="93" t="str">
        <f aca="false">IF(NOT(ISNUMBER(D369)),"",DATE(YEAR(D369),MONTH(D369),1))</f>
        <v/>
      </c>
      <c r="M369" s="70" t="str">
        <f aca="false">IF(B369="","",IF(AND(ISNUMBER(D369),ISNUMBER(E369),E369&lt;D369),"⚠ Término anterior al inicio",IF(J369&lt;&gt;"Sí","Pendiente comprobante firmado","OK")))</f>
        <v/>
      </c>
    </row>
    <row r="370" customFormat="false" ht="15" hidden="false" customHeight="false" outlineLevel="0" collapsed="false">
      <c r="B370" s="64"/>
      <c r="C370" s="72" t="str">
        <f aca="false">IF(B370="","",IFERROR(INDEX(T_NOMBRE,MATCH(B370,T_ID,0)),"⚠ ID no existe"))</f>
        <v/>
      </c>
      <c r="D370" s="65"/>
      <c r="E370" s="65"/>
      <c r="F370" s="64"/>
      <c r="G370" s="74" t="str">
        <f aca="false">IF(OR(B370="",NOT(ISNUMBER(D370)),NOT(ISNUMBER(E370))),"",NETWORKDAYS(D370,E370,FERIADOS))</f>
        <v/>
      </c>
      <c r="H370" s="69"/>
      <c r="I370" s="74" t="str">
        <f aca="false">IF(B370="","",IF(ISNUMBER(H370),H370,N(G370)))</f>
        <v/>
      </c>
      <c r="J370" s="64"/>
      <c r="K370" s="64"/>
      <c r="L370" s="93" t="str">
        <f aca="false">IF(NOT(ISNUMBER(D370)),"",DATE(YEAR(D370),MONTH(D370),1))</f>
        <v/>
      </c>
      <c r="M370" s="70" t="str">
        <f aca="false">IF(B370="","",IF(AND(ISNUMBER(D370),ISNUMBER(E370),E370&lt;D370),"⚠ Término anterior al inicio",IF(J370&lt;&gt;"Sí","Pendiente comprobante firmado","OK")))</f>
        <v/>
      </c>
    </row>
    <row r="371" customFormat="false" ht="15" hidden="false" customHeight="false" outlineLevel="0" collapsed="false">
      <c r="B371" s="64"/>
      <c r="C371" s="72" t="str">
        <f aca="false">IF(B371="","",IFERROR(INDEX(T_NOMBRE,MATCH(B371,T_ID,0)),"⚠ ID no existe"))</f>
        <v/>
      </c>
      <c r="D371" s="65"/>
      <c r="E371" s="65"/>
      <c r="F371" s="64"/>
      <c r="G371" s="74" t="str">
        <f aca="false">IF(OR(B371="",NOT(ISNUMBER(D371)),NOT(ISNUMBER(E371))),"",NETWORKDAYS(D371,E371,FERIADOS))</f>
        <v/>
      </c>
      <c r="H371" s="69"/>
      <c r="I371" s="74" t="str">
        <f aca="false">IF(B371="","",IF(ISNUMBER(H371),H371,N(G371)))</f>
        <v/>
      </c>
      <c r="J371" s="64"/>
      <c r="K371" s="64"/>
      <c r="L371" s="93" t="str">
        <f aca="false">IF(NOT(ISNUMBER(D371)),"",DATE(YEAR(D371),MONTH(D371),1))</f>
        <v/>
      </c>
      <c r="M371" s="70" t="str">
        <f aca="false">IF(B371="","",IF(AND(ISNUMBER(D371),ISNUMBER(E371),E371&lt;D371),"⚠ Término anterior al inicio",IF(J371&lt;&gt;"Sí","Pendiente comprobante firmado","OK")))</f>
        <v/>
      </c>
    </row>
    <row r="372" customFormat="false" ht="15" hidden="false" customHeight="false" outlineLevel="0" collapsed="false">
      <c r="B372" s="64"/>
      <c r="C372" s="72" t="str">
        <f aca="false">IF(B372="","",IFERROR(INDEX(T_NOMBRE,MATCH(B372,T_ID,0)),"⚠ ID no existe"))</f>
        <v/>
      </c>
      <c r="D372" s="65"/>
      <c r="E372" s="65"/>
      <c r="F372" s="64"/>
      <c r="G372" s="74" t="str">
        <f aca="false">IF(OR(B372="",NOT(ISNUMBER(D372)),NOT(ISNUMBER(E372))),"",NETWORKDAYS(D372,E372,FERIADOS))</f>
        <v/>
      </c>
      <c r="H372" s="69"/>
      <c r="I372" s="74" t="str">
        <f aca="false">IF(B372="","",IF(ISNUMBER(H372),H372,N(G372)))</f>
        <v/>
      </c>
      <c r="J372" s="64"/>
      <c r="K372" s="64"/>
      <c r="L372" s="93" t="str">
        <f aca="false">IF(NOT(ISNUMBER(D372)),"",DATE(YEAR(D372),MONTH(D372),1))</f>
        <v/>
      </c>
      <c r="M372" s="70" t="str">
        <f aca="false">IF(B372="","",IF(AND(ISNUMBER(D372),ISNUMBER(E372),E372&lt;D372),"⚠ Término anterior al inicio",IF(J372&lt;&gt;"Sí","Pendiente comprobante firmado","OK")))</f>
        <v/>
      </c>
    </row>
    <row r="373" customFormat="false" ht="15" hidden="false" customHeight="false" outlineLevel="0" collapsed="false">
      <c r="B373" s="64"/>
      <c r="C373" s="72" t="str">
        <f aca="false">IF(B373="","",IFERROR(INDEX(T_NOMBRE,MATCH(B373,T_ID,0)),"⚠ ID no existe"))</f>
        <v/>
      </c>
      <c r="D373" s="65"/>
      <c r="E373" s="65"/>
      <c r="F373" s="64"/>
      <c r="G373" s="74" t="str">
        <f aca="false">IF(OR(B373="",NOT(ISNUMBER(D373)),NOT(ISNUMBER(E373))),"",NETWORKDAYS(D373,E373,FERIADOS))</f>
        <v/>
      </c>
      <c r="H373" s="69"/>
      <c r="I373" s="74" t="str">
        <f aca="false">IF(B373="","",IF(ISNUMBER(H373),H373,N(G373)))</f>
        <v/>
      </c>
      <c r="J373" s="64"/>
      <c r="K373" s="64"/>
      <c r="L373" s="93" t="str">
        <f aca="false">IF(NOT(ISNUMBER(D373)),"",DATE(YEAR(D373),MONTH(D373),1))</f>
        <v/>
      </c>
      <c r="M373" s="70" t="str">
        <f aca="false">IF(B373="","",IF(AND(ISNUMBER(D373),ISNUMBER(E373),E373&lt;D373),"⚠ Término anterior al inicio",IF(J373&lt;&gt;"Sí","Pendiente comprobante firmado","OK")))</f>
        <v/>
      </c>
    </row>
    <row r="374" customFormat="false" ht="15" hidden="false" customHeight="false" outlineLevel="0" collapsed="false">
      <c r="B374" s="64"/>
      <c r="C374" s="72" t="str">
        <f aca="false">IF(B374="","",IFERROR(INDEX(T_NOMBRE,MATCH(B374,T_ID,0)),"⚠ ID no existe"))</f>
        <v/>
      </c>
      <c r="D374" s="65"/>
      <c r="E374" s="65"/>
      <c r="F374" s="64"/>
      <c r="G374" s="74" t="str">
        <f aca="false">IF(OR(B374="",NOT(ISNUMBER(D374)),NOT(ISNUMBER(E374))),"",NETWORKDAYS(D374,E374,FERIADOS))</f>
        <v/>
      </c>
      <c r="H374" s="69"/>
      <c r="I374" s="74" t="str">
        <f aca="false">IF(B374="","",IF(ISNUMBER(H374),H374,N(G374)))</f>
        <v/>
      </c>
      <c r="J374" s="64"/>
      <c r="K374" s="64"/>
      <c r="L374" s="93" t="str">
        <f aca="false">IF(NOT(ISNUMBER(D374)),"",DATE(YEAR(D374),MONTH(D374),1))</f>
        <v/>
      </c>
      <c r="M374" s="70" t="str">
        <f aca="false">IF(B374="","",IF(AND(ISNUMBER(D374),ISNUMBER(E374),E374&lt;D374),"⚠ Término anterior al inicio",IF(J374&lt;&gt;"Sí","Pendiente comprobante firmado","OK")))</f>
        <v/>
      </c>
    </row>
    <row r="375" customFormat="false" ht="15" hidden="false" customHeight="false" outlineLevel="0" collapsed="false">
      <c r="B375" s="64"/>
      <c r="C375" s="72" t="str">
        <f aca="false">IF(B375="","",IFERROR(INDEX(T_NOMBRE,MATCH(B375,T_ID,0)),"⚠ ID no existe"))</f>
        <v/>
      </c>
      <c r="D375" s="65"/>
      <c r="E375" s="65"/>
      <c r="F375" s="64"/>
      <c r="G375" s="74" t="str">
        <f aca="false">IF(OR(B375="",NOT(ISNUMBER(D375)),NOT(ISNUMBER(E375))),"",NETWORKDAYS(D375,E375,FERIADOS))</f>
        <v/>
      </c>
      <c r="H375" s="69"/>
      <c r="I375" s="74" t="str">
        <f aca="false">IF(B375="","",IF(ISNUMBER(H375),H375,N(G375)))</f>
        <v/>
      </c>
      <c r="J375" s="64"/>
      <c r="K375" s="64"/>
      <c r="L375" s="93" t="str">
        <f aca="false">IF(NOT(ISNUMBER(D375)),"",DATE(YEAR(D375),MONTH(D375),1))</f>
        <v/>
      </c>
      <c r="M375" s="70" t="str">
        <f aca="false">IF(B375="","",IF(AND(ISNUMBER(D375),ISNUMBER(E375),E375&lt;D375),"⚠ Término anterior al inicio",IF(J375&lt;&gt;"Sí","Pendiente comprobante firmado","OK")))</f>
        <v/>
      </c>
    </row>
    <row r="376" customFormat="false" ht="15" hidden="false" customHeight="false" outlineLevel="0" collapsed="false">
      <c r="B376" s="64"/>
      <c r="C376" s="72" t="str">
        <f aca="false">IF(B376="","",IFERROR(INDEX(T_NOMBRE,MATCH(B376,T_ID,0)),"⚠ ID no existe"))</f>
        <v/>
      </c>
      <c r="D376" s="65"/>
      <c r="E376" s="65"/>
      <c r="F376" s="64"/>
      <c r="G376" s="74" t="str">
        <f aca="false">IF(OR(B376="",NOT(ISNUMBER(D376)),NOT(ISNUMBER(E376))),"",NETWORKDAYS(D376,E376,FERIADOS))</f>
        <v/>
      </c>
      <c r="H376" s="69"/>
      <c r="I376" s="74" t="str">
        <f aca="false">IF(B376="","",IF(ISNUMBER(H376),H376,N(G376)))</f>
        <v/>
      </c>
      <c r="J376" s="64"/>
      <c r="K376" s="64"/>
      <c r="L376" s="93" t="str">
        <f aca="false">IF(NOT(ISNUMBER(D376)),"",DATE(YEAR(D376),MONTH(D376),1))</f>
        <v/>
      </c>
      <c r="M376" s="70" t="str">
        <f aca="false">IF(B376="","",IF(AND(ISNUMBER(D376),ISNUMBER(E376),E376&lt;D376),"⚠ Término anterior al inicio",IF(J376&lt;&gt;"Sí","Pendiente comprobante firmado","OK")))</f>
        <v/>
      </c>
    </row>
    <row r="377" customFormat="false" ht="15" hidden="false" customHeight="false" outlineLevel="0" collapsed="false">
      <c r="B377" s="64"/>
      <c r="C377" s="72" t="str">
        <f aca="false">IF(B377="","",IFERROR(INDEX(T_NOMBRE,MATCH(B377,T_ID,0)),"⚠ ID no existe"))</f>
        <v/>
      </c>
      <c r="D377" s="65"/>
      <c r="E377" s="65"/>
      <c r="F377" s="64"/>
      <c r="G377" s="74" t="str">
        <f aca="false">IF(OR(B377="",NOT(ISNUMBER(D377)),NOT(ISNUMBER(E377))),"",NETWORKDAYS(D377,E377,FERIADOS))</f>
        <v/>
      </c>
      <c r="H377" s="69"/>
      <c r="I377" s="74" t="str">
        <f aca="false">IF(B377="","",IF(ISNUMBER(H377),H377,N(G377)))</f>
        <v/>
      </c>
      <c r="J377" s="64"/>
      <c r="K377" s="64"/>
      <c r="L377" s="93" t="str">
        <f aca="false">IF(NOT(ISNUMBER(D377)),"",DATE(YEAR(D377),MONTH(D377),1))</f>
        <v/>
      </c>
      <c r="M377" s="70" t="str">
        <f aca="false">IF(B377="","",IF(AND(ISNUMBER(D377),ISNUMBER(E377),E377&lt;D377),"⚠ Término anterior al inicio",IF(J377&lt;&gt;"Sí","Pendiente comprobante firmado","OK")))</f>
        <v/>
      </c>
    </row>
    <row r="378" customFormat="false" ht="15" hidden="false" customHeight="false" outlineLevel="0" collapsed="false">
      <c r="B378" s="64"/>
      <c r="C378" s="72" t="str">
        <f aca="false">IF(B378="","",IFERROR(INDEX(T_NOMBRE,MATCH(B378,T_ID,0)),"⚠ ID no existe"))</f>
        <v/>
      </c>
      <c r="D378" s="65"/>
      <c r="E378" s="65"/>
      <c r="F378" s="64"/>
      <c r="G378" s="74" t="str">
        <f aca="false">IF(OR(B378="",NOT(ISNUMBER(D378)),NOT(ISNUMBER(E378))),"",NETWORKDAYS(D378,E378,FERIADOS))</f>
        <v/>
      </c>
      <c r="H378" s="69"/>
      <c r="I378" s="74" t="str">
        <f aca="false">IF(B378="","",IF(ISNUMBER(H378),H378,N(G378)))</f>
        <v/>
      </c>
      <c r="J378" s="64"/>
      <c r="K378" s="64"/>
      <c r="L378" s="93" t="str">
        <f aca="false">IF(NOT(ISNUMBER(D378)),"",DATE(YEAR(D378),MONTH(D378),1))</f>
        <v/>
      </c>
      <c r="M378" s="70" t="str">
        <f aca="false">IF(B378="","",IF(AND(ISNUMBER(D378),ISNUMBER(E378),E378&lt;D378),"⚠ Término anterior al inicio",IF(J378&lt;&gt;"Sí","Pendiente comprobante firmado","OK")))</f>
        <v/>
      </c>
    </row>
    <row r="379" customFormat="false" ht="15" hidden="false" customHeight="false" outlineLevel="0" collapsed="false">
      <c r="B379" s="64"/>
      <c r="C379" s="72" t="str">
        <f aca="false">IF(B379="","",IFERROR(INDEX(T_NOMBRE,MATCH(B379,T_ID,0)),"⚠ ID no existe"))</f>
        <v/>
      </c>
      <c r="D379" s="65"/>
      <c r="E379" s="65"/>
      <c r="F379" s="64"/>
      <c r="G379" s="74" t="str">
        <f aca="false">IF(OR(B379="",NOT(ISNUMBER(D379)),NOT(ISNUMBER(E379))),"",NETWORKDAYS(D379,E379,FERIADOS))</f>
        <v/>
      </c>
      <c r="H379" s="69"/>
      <c r="I379" s="74" t="str">
        <f aca="false">IF(B379="","",IF(ISNUMBER(H379),H379,N(G379)))</f>
        <v/>
      </c>
      <c r="J379" s="64"/>
      <c r="K379" s="64"/>
      <c r="L379" s="93" t="str">
        <f aca="false">IF(NOT(ISNUMBER(D379)),"",DATE(YEAR(D379),MONTH(D379),1))</f>
        <v/>
      </c>
      <c r="M379" s="70" t="str">
        <f aca="false">IF(B379="","",IF(AND(ISNUMBER(D379),ISNUMBER(E379),E379&lt;D379),"⚠ Término anterior al inicio",IF(J379&lt;&gt;"Sí","Pendiente comprobante firmado","OK")))</f>
        <v/>
      </c>
    </row>
    <row r="380" customFormat="false" ht="15" hidden="false" customHeight="false" outlineLevel="0" collapsed="false">
      <c r="B380" s="64"/>
      <c r="C380" s="72" t="str">
        <f aca="false">IF(B380="","",IFERROR(INDEX(T_NOMBRE,MATCH(B380,T_ID,0)),"⚠ ID no existe"))</f>
        <v/>
      </c>
      <c r="D380" s="65"/>
      <c r="E380" s="65"/>
      <c r="F380" s="64"/>
      <c r="G380" s="74" t="str">
        <f aca="false">IF(OR(B380="",NOT(ISNUMBER(D380)),NOT(ISNUMBER(E380))),"",NETWORKDAYS(D380,E380,FERIADOS))</f>
        <v/>
      </c>
      <c r="H380" s="69"/>
      <c r="I380" s="74" t="str">
        <f aca="false">IF(B380="","",IF(ISNUMBER(H380),H380,N(G380)))</f>
        <v/>
      </c>
      <c r="J380" s="64"/>
      <c r="K380" s="64"/>
      <c r="L380" s="93" t="str">
        <f aca="false">IF(NOT(ISNUMBER(D380)),"",DATE(YEAR(D380),MONTH(D380),1))</f>
        <v/>
      </c>
      <c r="M380" s="70" t="str">
        <f aca="false">IF(B380="","",IF(AND(ISNUMBER(D380),ISNUMBER(E380),E380&lt;D380),"⚠ Término anterior al inicio",IF(J380&lt;&gt;"Sí","Pendiente comprobante firmado","OK")))</f>
        <v/>
      </c>
    </row>
    <row r="381" customFormat="false" ht="15" hidden="false" customHeight="false" outlineLevel="0" collapsed="false">
      <c r="B381" s="64"/>
      <c r="C381" s="72" t="str">
        <f aca="false">IF(B381="","",IFERROR(INDEX(T_NOMBRE,MATCH(B381,T_ID,0)),"⚠ ID no existe"))</f>
        <v/>
      </c>
      <c r="D381" s="65"/>
      <c r="E381" s="65"/>
      <c r="F381" s="64"/>
      <c r="G381" s="74" t="str">
        <f aca="false">IF(OR(B381="",NOT(ISNUMBER(D381)),NOT(ISNUMBER(E381))),"",NETWORKDAYS(D381,E381,FERIADOS))</f>
        <v/>
      </c>
      <c r="H381" s="69"/>
      <c r="I381" s="74" t="str">
        <f aca="false">IF(B381="","",IF(ISNUMBER(H381),H381,N(G381)))</f>
        <v/>
      </c>
      <c r="J381" s="64"/>
      <c r="K381" s="64"/>
      <c r="L381" s="93" t="str">
        <f aca="false">IF(NOT(ISNUMBER(D381)),"",DATE(YEAR(D381),MONTH(D381),1))</f>
        <v/>
      </c>
      <c r="M381" s="70" t="str">
        <f aca="false">IF(B381="","",IF(AND(ISNUMBER(D381),ISNUMBER(E381),E381&lt;D381),"⚠ Término anterior al inicio",IF(J381&lt;&gt;"Sí","Pendiente comprobante firmado","OK")))</f>
        <v/>
      </c>
    </row>
    <row r="382" customFormat="false" ht="15" hidden="false" customHeight="false" outlineLevel="0" collapsed="false">
      <c r="B382" s="64"/>
      <c r="C382" s="72" t="str">
        <f aca="false">IF(B382="","",IFERROR(INDEX(T_NOMBRE,MATCH(B382,T_ID,0)),"⚠ ID no existe"))</f>
        <v/>
      </c>
      <c r="D382" s="65"/>
      <c r="E382" s="65"/>
      <c r="F382" s="64"/>
      <c r="G382" s="74" t="str">
        <f aca="false">IF(OR(B382="",NOT(ISNUMBER(D382)),NOT(ISNUMBER(E382))),"",NETWORKDAYS(D382,E382,FERIADOS))</f>
        <v/>
      </c>
      <c r="H382" s="69"/>
      <c r="I382" s="74" t="str">
        <f aca="false">IF(B382="","",IF(ISNUMBER(H382),H382,N(G382)))</f>
        <v/>
      </c>
      <c r="J382" s="64"/>
      <c r="K382" s="64"/>
      <c r="L382" s="93" t="str">
        <f aca="false">IF(NOT(ISNUMBER(D382)),"",DATE(YEAR(D382),MONTH(D382),1))</f>
        <v/>
      </c>
      <c r="M382" s="70" t="str">
        <f aca="false">IF(B382="","",IF(AND(ISNUMBER(D382),ISNUMBER(E382),E382&lt;D382),"⚠ Término anterior al inicio",IF(J382&lt;&gt;"Sí","Pendiente comprobante firmado","OK")))</f>
        <v/>
      </c>
    </row>
    <row r="383" customFormat="false" ht="15" hidden="false" customHeight="false" outlineLevel="0" collapsed="false">
      <c r="B383" s="64"/>
      <c r="C383" s="72" t="str">
        <f aca="false">IF(B383="","",IFERROR(INDEX(T_NOMBRE,MATCH(B383,T_ID,0)),"⚠ ID no existe"))</f>
        <v/>
      </c>
      <c r="D383" s="65"/>
      <c r="E383" s="65"/>
      <c r="F383" s="64"/>
      <c r="G383" s="74" t="str">
        <f aca="false">IF(OR(B383="",NOT(ISNUMBER(D383)),NOT(ISNUMBER(E383))),"",NETWORKDAYS(D383,E383,FERIADOS))</f>
        <v/>
      </c>
      <c r="H383" s="69"/>
      <c r="I383" s="74" t="str">
        <f aca="false">IF(B383="","",IF(ISNUMBER(H383),H383,N(G383)))</f>
        <v/>
      </c>
      <c r="J383" s="64"/>
      <c r="K383" s="64"/>
      <c r="L383" s="93" t="str">
        <f aca="false">IF(NOT(ISNUMBER(D383)),"",DATE(YEAR(D383),MONTH(D383),1))</f>
        <v/>
      </c>
      <c r="M383" s="70" t="str">
        <f aca="false">IF(B383="","",IF(AND(ISNUMBER(D383),ISNUMBER(E383),E383&lt;D383),"⚠ Término anterior al inicio",IF(J383&lt;&gt;"Sí","Pendiente comprobante firmado","OK")))</f>
        <v/>
      </c>
    </row>
    <row r="384" customFormat="false" ht="15" hidden="false" customHeight="false" outlineLevel="0" collapsed="false">
      <c r="B384" s="64"/>
      <c r="C384" s="72" t="str">
        <f aca="false">IF(B384="","",IFERROR(INDEX(T_NOMBRE,MATCH(B384,T_ID,0)),"⚠ ID no existe"))</f>
        <v/>
      </c>
      <c r="D384" s="65"/>
      <c r="E384" s="65"/>
      <c r="F384" s="64"/>
      <c r="G384" s="74" t="str">
        <f aca="false">IF(OR(B384="",NOT(ISNUMBER(D384)),NOT(ISNUMBER(E384))),"",NETWORKDAYS(D384,E384,FERIADOS))</f>
        <v/>
      </c>
      <c r="H384" s="69"/>
      <c r="I384" s="74" t="str">
        <f aca="false">IF(B384="","",IF(ISNUMBER(H384),H384,N(G384)))</f>
        <v/>
      </c>
      <c r="J384" s="64"/>
      <c r="K384" s="64"/>
      <c r="L384" s="93" t="str">
        <f aca="false">IF(NOT(ISNUMBER(D384)),"",DATE(YEAR(D384),MONTH(D384),1))</f>
        <v/>
      </c>
      <c r="M384" s="70" t="str">
        <f aca="false">IF(B384="","",IF(AND(ISNUMBER(D384),ISNUMBER(E384),E384&lt;D384),"⚠ Término anterior al inicio",IF(J384&lt;&gt;"Sí","Pendiente comprobante firmado","OK")))</f>
        <v/>
      </c>
    </row>
    <row r="385" customFormat="false" ht="15" hidden="false" customHeight="false" outlineLevel="0" collapsed="false">
      <c r="B385" s="64"/>
      <c r="C385" s="72" t="str">
        <f aca="false">IF(B385="","",IFERROR(INDEX(T_NOMBRE,MATCH(B385,T_ID,0)),"⚠ ID no existe"))</f>
        <v/>
      </c>
      <c r="D385" s="65"/>
      <c r="E385" s="65"/>
      <c r="F385" s="64"/>
      <c r="G385" s="74" t="str">
        <f aca="false">IF(OR(B385="",NOT(ISNUMBER(D385)),NOT(ISNUMBER(E385))),"",NETWORKDAYS(D385,E385,FERIADOS))</f>
        <v/>
      </c>
      <c r="H385" s="69"/>
      <c r="I385" s="74" t="str">
        <f aca="false">IF(B385="","",IF(ISNUMBER(H385),H385,N(G385)))</f>
        <v/>
      </c>
      <c r="J385" s="64"/>
      <c r="K385" s="64"/>
      <c r="L385" s="93" t="str">
        <f aca="false">IF(NOT(ISNUMBER(D385)),"",DATE(YEAR(D385),MONTH(D385),1))</f>
        <v/>
      </c>
      <c r="M385" s="70" t="str">
        <f aca="false">IF(B385="","",IF(AND(ISNUMBER(D385),ISNUMBER(E385),E385&lt;D385),"⚠ Término anterior al inicio",IF(J385&lt;&gt;"Sí","Pendiente comprobante firmado","OK")))</f>
        <v/>
      </c>
    </row>
    <row r="386" customFormat="false" ht="15" hidden="false" customHeight="false" outlineLevel="0" collapsed="false">
      <c r="B386" s="64"/>
      <c r="C386" s="72" t="str">
        <f aca="false">IF(B386="","",IFERROR(INDEX(T_NOMBRE,MATCH(B386,T_ID,0)),"⚠ ID no existe"))</f>
        <v/>
      </c>
      <c r="D386" s="65"/>
      <c r="E386" s="65"/>
      <c r="F386" s="64"/>
      <c r="G386" s="74" t="str">
        <f aca="false">IF(OR(B386="",NOT(ISNUMBER(D386)),NOT(ISNUMBER(E386))),"",NETWORKDAYS(D386,E386,FERIADOS))</f>
        <v/>
      </c>
      <c r="H386" s="69"/>
      <c r="I386" s="74" t="str">
        <f aca="false">IF(B386="","",IF(ISNUMBER(H386),H386,N(G386)))</f>
        <v/>
      </c>
      <c r="J386" s="64"/>
      <c r="K386" s="64"/>
      <c r="L386" s="93" t="str">
        <f aca="false">IF(NOT(ISNUMBER(D386)),"",DATE(YEAR(D386),MONTH(D386),1))</f>
        <v/>
      </c>
      <c r="M386" s="70" t="str">
        <f aca="false">IF(B386="","",IF(AND(ISNUMBER(D386),ISNUMBER(E386),E386&lt;D386),"⚠ Término anterior al inicio",IF(J386&lt;&gt;"Sí","Pendiente comprobante firmado","OK")))</f>
        <v/>
      </c>
    </row>
    <row r="387" customFormat="false" ht="15" hidden="false" customHeight="false" outlineLevel="0" collapsed="false">
      <c r="B387" s="64"/>
      <c r="C387" s="72" t="str">
        <f aca="false">IF(B387="","",IFERROR(INDEX(T_NOMBRE,MATCH(B387,T_ID,0)),"⚠ ID no existe"))</f>
        <v/>
      </c>
      <c r="D387" s="65"/>
      <c r="E387" s="65"/>
      <c r="F387" s="64"/>
      <c r="G387" s="74" t="str">
        <f aca="false">IF(OR(B387="",NOT(ISNUMBER(D387)),NOT(ISNUMBER(E387))),"",NETWORKDAYS(D387,E387,FERIADOS))</f>
        <v/>
      </c>
      <c r="H387" s="69"/>
      <c r="I387" s="74" t="str">
        <f aca="false">IF(B387="","",IF(ISNUMBER(H387),H387,N(G387)))</f>
        <v/>
      </c>
      <c r="J387" s="64"/>
      <c r="K387" s="64"/>
      <c r="L387" s="93" t="str">
        <f aca="false">IF(NOT(ISNUMBER(D387)),"",DATE(YEAR(D387),MONTH(D387),1))</f>
        <v/>
      </c>
      <c r="M387" s="70" t="str">
        <f aca="false">IF(B387="","",IF(AND(ISNUMBER(D387),ISNUMBER(E387),E387&lt;D387),"⚠ Término anterior al inicio",IF(J387&lt;&gt;"Sí","Pendiente comprobante firmado","OK")))</f>
        <v/>
      </c>
    </row>
    <row r="388" customFormat="false" ht="15" hidden="false" customHeight="false" outlineLevel="0" collapsed="false">
      <c r="B388" s="64"/>
      <c r="C388" s="72" t="str">
        <f aca="false">IF(B388="","",IFERROR(INDEX(T_NOMBRE,MATCH(B388,T_ID,0)),"⚠ ID no existe"))</f>
        <v/>
      </c>
      <c r="D388" s="65"/>
      <c r="E388" s="65"/>
      <c r="F388" s="64"/>
      <c r="G388" s="74" t="str">
        <f aca="false">IF(OR(B388="",NOT(ISNUMBER(D388)),NOT(ISNUMBER(E388))),"",NETWORKDAYS(D388,E388,FERIADOS))</f>
        <v/>
      </c>
      <c r="H388" s="69"/>
      <c r="I388" s="74" t="str">
        <f aca="false">IF(B388="","",IF(ISNUMBER(H388),H388,N(G388)))</f>
        <v/>
      </c>
      <c r="J388" s="64"/>
      <c r="K388" s="64"/>
      <c r="L388" s="93" t="str">
        <f aca="false">IF(NOT(ISNUMBER(D388)),"",DATE(YEAR(D388),MONTH(D388),1))</f>
        <v/>
      </c>
      <c r="M388" s="70" t="str">
        <f aca="false">IF(B388="","",IF(AND(ISNUMBER(D388),ISNUMBER(E388),E388&lt;D388),"⚠ Término anterior al inicio",IF(J388&lt;&gt;"Sí","Pendiente comprobante firmado","OK")))</f>
        <v/>
      </c>
    </row>
    <row r="389" customFormat="false" ht="15" hidden="false" customHeight="false" outlineLevel="0" collapsed="false">
      <c r="B389" s="64"/>
      <c r="C389" s="72" t="str">
        <f aca="false">IF(B389="","",IFERROR(INDEX(T_NOMBRE,MATCH(B389,T_ID,0)),"⚠ ID no existe"))</f>
        <v/>
      </c>
      <c r="D389" s="65"/>
      <c r="E389" s="65"/>
      <c r="F389" s="64"/>
      <c r="G389" s="74" t="str">
        <f aca="false">IF(OR(B389="",NOT(ISNUMBER(D389)),NOT(ISNUMBER(E389))),"",NETWORKDAYS(D389,E389,FERIADOS))</f>
        <v/>
      </c>
      <c r="H389" s="69"/>
      <c r="I389" s="74" t="str">
        <f aca="false">IF(B389="","",IF(ISNUMBER(H389),H389,N(G389)))</f>
        <v/>
      </c>
      <c r="J389" s="64"/>
      <c r="K389" s="64"/>
      <c r="L389" s="93" t="str">
        <f aca="false">IF(NOT(ISNUMBER(D389)),"",DATE(YEAR(D389),MONTH(D389),1))</f>
        <v/>
      </c>
      <c r="M389" s="70" t="str">
        <f aca="false">IF(B389="","",IF(AND(ISNUMBER(D389),ISNUMBER(E389),E389&lt;D389),"⚠ Término anterior al inicio",IF(J389&lt;&gt;"Sí","Pendiente comprobante firmado","OK")))</f>
        <v/>
      </c>
    </row>
    <row r="390" customFormat="false" ht="15" hidden="false" customHeight="false" outlineLevel="0" collapsed="false">
      <c r="B390" s="64"/>
      <c r="C390" s="72" t="str">
        <f aca="false">IF(B390="","",IFERROR(INDEX(T_NOMBRE,MATCH(B390,T_ID,0)),"⚠ ID no existe"))</f>
        <v/>
      </c>
      <c r="D390" s="65"/>
      <c r="E390" s="65"/>
      <c r="F390" s="64"/>
      <c r="G390" s="74" t="str">
        <f aca="false">IF(OR(B390="",NOT(ISNUMBER(D390)),NOT(ISNUMBER(E390))),"",NETWORKDAYS(D390,E390,FERIADOS))</f>
        <v/>
      </c>
      <c r="H390" s="69"/>
      <c r="I390" s="74" t="str">
        <f aca="false">IF(B390="","",IF(ISNUMBER(H390),H390,N(G390)))</f>
        <v/>
      </c>
      <c r="J390" s="64"/>
      <c r="K390" s="64"/>
      <c r="L390" s="93" t="str">
        <f aca="false">IF(NOT(ISNUMBER(D390)),"",DATE(YEAR(D390),MONTH(D390),1))</f>
        <v/>
      </c>
      <c r="M390" s="70" t="str">
        <f aca="false">IF(B390="","",IF(AND(ISNUMBER(D390),ISNUMBER(E390),E390&lt;D390),"⚠ Término anterior al inicio",IF(J390&lt;&gt;"Sí","Pendiente comprobante firmado","OK")))</f>
        <v/>
      </c>
    </row>
    <row r="391" customFormat="false" ht="15" hidden="false" customHeight="false" outlineLevel="0" collapsed="false">
      <c r="B391" s="64"/>
      <c r="C391" s="72" t="str">
        <f aca="false">IF(B391="","",IFERROR(INDEX(T_NOMBRE,MATCH(B391,T_ID,0)),"⚠ ID no existe"))</f>
        <v/>
      </c>
      <c r="D391" s="65"/>
      <c r="E391" s="65"/>
      <c r="F391" s="64"/>
      <c r="G391" s="74" t="str">
        <f aca="false">IF(OR(B391="",NOT(ISNUMBER(D391)),NOT(ISNUMBER(E391))),"",NETWORKDAYS(D391,E391,FERIADOS))</f>
        <v/>
      </c>
      <c r="H391" s="69"/>
      <c r="I391" s="74" t="str">
        <f aca="false">IF(B391="","",IF(ISNUMBER(H391),H391,N(G391)))</f>
        <v/>
      </c>
      <c r="J391" s="64"/>
      <c r="K391" s="64"/>
      <c r="L391" s="93" t="str">
        <f aca="false">IF(NOT(ISNUMBER(D391)),"",DATE(YEAR(D391),MONTH(D391),1))</f>
        <v/>
      </c>
      <c r="M391" s="70" t="str">
        <f aca="false">IF(B391="","",IF(AND(ISNUMBER(D391),ISNUMBER(E391),E391&lt;D391),"⚠ Término anterior al inicio",IF(J391&lt;&gt;"Sí","Pendiente comprobante firmado","OK")))</f>
        <v/>
      </c>
    </row>
    <row r="392" customFormat="false" ht="15" hidden="false" customHeight="false" outlineLevel="0" collapsed="false">
      <c r="B392" s="64"/>
      <c r="C392" s="72" t="str">
        <f aca="false">IF(B392="","",IFERROR(INDEX(T_NOMBRE,MATCH(B392,T_ID,0)),"⚠ ID no existe"))</f>
        <v/>
      </c>
      <c r="D392" s="65"/>
      <c r="E392" s="65"/>
      <c r="F392" s="64"/>
      <c r="G392" s="74" t="str">
        <f aca="false">IF(OR(B392="",NOT(ISNUMBER(D392)),NOT(ISNUMBER(E392))),"",NETWORKDAYS(D392,E392,FERIADOS))</f>
        <v/>
      </c>
      <c r="H392" s="69"/>
      <c r="I392" s="74" t="str">
        <f aca="false">IF(B392="","",IF(ISNUMBER(H392),H392,N(G392)))</f>
        <v/>
      </c>
      <c r="J392" s="64"/>
      <c r="K392" s="64"/>
      <c r="L392" s="93" t="str">
        <f aca="false">IF(NOT(ISNUMBER(D392)),"",DATE(YEAR(D392),MONTH(D392),1))</f>
        <v/>
      </c>
      <c r="M392" s="70" t="str">
        <f aca="false">IF(B392="","",IF(AND(ISNUMBER(D392),ISNUMBER(E392),E392&lt;D392),"⚠ Término anterior al inicio",IF(J392&lt;&gt;"Sí","Pendiente comprobante firmado","OK")))</f>
        <v/>
      </c>
    </row>
    <row r="393" customFormat="false" ht="15" hidden="false" customHeight="false" outlineLevel="0" collapsed="false">
      <c r="B393" s="64"/>
      <c r="C393" s="72" t="str">
        <f aca="false">IF(B393="","",IFERROR(INDEX(T_NOMBRE,MATCH(B393,T_ID,0)),"⚠ ID no existe"))</f>
        <v/>
      </c>
      <c r="D393" s="65"/>
      <c r="E393" s="65"/>
      <c r="F393" s="64"/>
      <c r="G393" s="74" t="str">
        <f aca="false">IF(OR(B393="",NOT(ISNUMBER(D393)),NOT(ISNUMBER(E393))),"",NETWORKDAYS(D393,E393,FERIADOS))</f>
        <v/>
      </c>
      <c r="H393" s="69"/>
      <c r="I393" s="74" t="str">
        <f aca="false">IF(B393="","",IF(ISNUMBER(H393),H393,N(G393)))</f>
        <v/>
      </c>
      <c r="J393" s="64"/>
      <c r="K393" s="64"/>
      <c r="L393" s="93" t="str">
        <f aca="false">IF(NOT(ISNUMBER(D393)),"",DATE(YEAR(D393),MONTH(D393),1))</f>
        <v/>
      </c>
      <c r="M393" s="70" t="str">
        <f aca="false">IF(B393="","",IF(AND(ISNUMBER(D393),ISNUMBER(E393),E393&lt;D393),"⚠ Término anterior al inicio",IF(J393&lt;&gt;"Sí","Pendiente comprobante firmado","OK")))</f>
        <v/>
      </c>
    </row>
    <row r="394" customFormat="false" ht="15" hidden="false" customHeight="false" outlineLevel="0" collapsed="false">
      <c r="B394" s="64"/>
      <c r="C394" s="72" t="str">
        <f aca="false">IF(B394="","",IFERROR(INDEX(T_NOMBRE,MATCH(B394,T_ID,0)),"⚠ ID no existe"))</f>
        <v/>
      </c>
      <c r="D394" s="65"/>
      <c r="E394" s="65"/>
      <c r="F394" s="64"/>
      <c r="G394" s="74" t="str">
        <f aca="false">IF(OR(B394="",NOT(ISNUMBER(D394)),NOT(ISNUMBER(E394))),"",NETWORKDAYS(D394,E394,FERIADOS))</f>
        <v/>
      </c>
      <c r="H394" s="69"/>
      <c r="I394" s="74" t="str">
        <f aca="false">IF(B394="","",IF(ISNUMBER(H394),H394,N(G394)))</f>
        <v/>
      </c>
      <c r="J394" s="64"/>
      <c r="K394" s="64"/>
      <c r="L394" s="93" t="str">
        <f aca="false">IF(NOT(ISNUMBER(D394)),"",DATE(YEAR(D394),MONTH(D394),1))</f>
        <v/>
      </c>
      <c r="M394" s="70" t="str">
        <f aca="false">IF(B394="","",IF(AND(ISNUMBER(D394),ISNUMBER(E394),E394&lt;D394),"⚠ Término anterior al inicio",IF(J394&lt;&gt;"Sí","Pendiente comprobante firmado","OK")))</f>
        <v/>
      </c>
    </row>
    <row r="395" customFormat="false" ht="15" hidden="false" customHeight="false" outlineLevel="0" collapsed="false">
      <c r="B395" s="64"/>
      <c r="C395" s="72" t="str">
        <f aca="false">IF(B395="","",IFERROR(INDEX(T_NOMBRE,MATCH(B395,T_ID,0)),"⚠ ID no existe"))</f>
        <v/>
      </c>
      <c r="D395" s="65"/>
      <c r="E395" s="65"/>
      <c r="F395" s="64"/>
      <c r="G395" s="74" t="str">
        <f aca="false">IF(OR(B395="",NOT(ISNUMBER(D395)),NOT(ISNUMBER(E395))),"",NETWORKDAYS(D395,E395,FERIADOS))</f>
        <v/>
      </c>
      <c r="H395" s="69"/>
      <c r="I395" s="74" t="str">
        <f aca="false">IF(B395="","",IF(ISNUMBER(H395),H395,N(G395)))</f>
        <v/>
      </c>
      <c r="J395" s="64"/>
      <c r="K395" s="64"/>
      <c r="L395" s="93" t="str">
        <f aca="false">IF(NOT(ISNUMBER(D395)),"",DATE(YEAR(D395),MONTH(D395),1))</f>
        <v/>
      </c>
      <c r="M395" s="70" t="str">
        <f aca="false">IF(B395="","",IF(AND(ISNUMBER(D395),ISNUMBER(E395),E395&lt;D395),"⚠ Término anterior al inicio",IF(J395&lt;&gt;"Sí","Pendiente comprobante firmado","OK")))</f>
        <v/>
      </c>
    </row>
    <row r="396" customFormat="false" ht="15" hidden="false" customHeight="false" outlineLevel="0" collapsed="false">
      <c r="B396" s="64"/>
      <c r="C396" s="72" t="str">
        <f aca="false">IF(B396="","",IFERROR(INDEX(T_NOMBRE,MATCH(B396,T_ID,0)),"⚠ ID no existe"))</f>
        <v/>
      </c>
      <c r="D396" s="65"/>
      <c r="E396" s="65"/>
      <c r="F396" s="64"/>
      <c r="G396" s="74" t="str">
        <f aca="false">IF(OR(B396="",NOT(ISNUMBER(D396)),NOT(ISNUMBER(E396))),"",NETWORKDAYS(D396,E396,FERIADOS))</f>
        <v/>
      </c>
      <c r="H396" s="69"/>
      <c r="I396" s="74" t="str">
        <f aca="false">IF(B396="","",IF(ISNUMBER(H396),H396,N(G396)))</f>
        <v/>
      </c>
      <c r="J396" s="64"/>
      <c r="K396" s="64"/>
      <c r="L396" s="93" t="str">
        <f aca="false">IF(NOT(ISNUMBER(D396)),"",DATE(YEAR(D396),MONTH(D396),1))</f>
        <v/>
      </c>
      <c r="M396" s="70" t="str">
        <f aca="false">IF(B396="","",IF(AND(ISNUMBER(D396),ISNUMBER(E396),E396&lt;D396),"⚠ Término anterior al inicio",IF(J396&lt;&gt;"Sí","Pendiente comprobante firmado","OK")))</f>
        <v/>
      </c>
    </row>
    <row r="397" customFormat="false" ht="15" hidden="false" customHeight="false" outlineLevel="0" collapsed="false">
      <c r="B397" s="64"/>
      <c r="C397" s="72" t="str">
        <f aca="false">IF(B397="","",IFERROR(INDEX(T_NOMBRE,MATCH(B397,T_ID,0)),"⚠ ID no existe"))</f>
        <v/>
      </c>
      <c r="D397" s="65"/>
      <c r="E397" s="65"/>
      <c r="F397" s="64"/>
      <c r="G397" s="74" t="str">
        <f aca="false">IF(OR(B397="",NOT(ISNUMBER(D397)),NOT(ISNUMBER(E397))),"",NETWORKDAYS(D397,E397,FERIADOS))</f>
        <v/>
      </c>
      <c r="H397" s="69"/>
      <c r="I397" s="74" t="str">
        <f aca="false">IF(B397="","",IF(ISNUMBER(H397),H397,N(G397)))</f>
        <v/>
      </c>
      <c r="J397" s="64"/>
      <c r="K397" s="64"/>
      <c r="L397" s="93" t="str">
        <f aca="false">IF(NOT(ISNUMBER(D397)),"",DATE(YEAR(D397),MONTH(D397),1))</f>
        <v/>
      </c>
      <c r="M397" s="70" t="str">
        <f aca="false">IF(B397="","",IF(AND(ISNUMBER(D397),ISNUMBER(E397),E397&lt;D397),"⚠ Término anterior al inicio",IF(J397&lt;&gt;"Sí","Pendiente comprobante firmado","OK")))</f>
        <v/>
      </c>
    </row>
    <row r="398" customFormat="false" ht="15" hidden="false" customHeight="false" outlineLevel="0" collapsed="false">
      <c r="B398" s="64"/>
      <c r="C398" s="72" t="str">
        <f aca="false">IF(B398="","",IFERROR(INDEX(T_NOMBRE,MATCH(B398,T_ID,0)),"⚠ ID no existe"))</f>
        <v/>
      </c>
      <c r="D398" s="65"/>
      <c r="E398" s="65"/>
      <c r="F398" s="64"/>
      <c r="G398" s="74" t="str">
        <f aca="false">IF(OR(B398="",NOT(ISNUMBER(D398)),NOT(ISNUMBER(E398))),"",NETWORKDAYS(D398,E398,FERIADOS))</f>
        <v/>
      </c>
      <c r="H398" s="69"/>
      <c r="I398" s="74" t="str">
        <f aca="false">IF(B398="","",IF(ISNUMBER(H398),H398,N(G398)))</f>
        <v/>
      </c>
      <c r="J398" s="64"/>
      <c r="K398" s="64"/>
      <c r="L398" s="93" t="str">
        <f aca="false">IF(NOT(ISNUMBER(D398)),"",DATE(YEAR(D398),MONTH(D398),1))</f>
        <v/>
      </c>
      <c r="M398" s="70" t="str">
        <f aca="false">IF(B398="","",IF(AND(ISNUMBER(D398),ISNUMBER(E398),E398&lt;D398),"⚠ Término anterior al inicio",IF(J398&lt;&gt;"Sí","Pendiente comprobante firmado","OK")))</f>
        <v/>
      </c>
    </row>
    <row r="399" customFormat="false" ht="15" hidden="false" customHeight="false" outlineLevel="0" collapsed="false">
      <c r="B399" s="64"/>
      <c r="C399" s="72" t="str">
        <f aca="false">IF(B399="","",IFERROR(INDEX(T_NOMBRE,MATCH(B399,T_ID,0)),"⚠ ID no existe"))</f>
        <v/>
      </c>
      <c r="D399" s="65"/>
      <c r="E399" s="65"/>
      <c r="F399" s="64"/>
      <c r="G399" s="74" t="str">
        <f aca="false">IF(OR(B399="",NOT(ISNUMBER(D399)),NOT(ISNUMBER(E399))),"",NETWORKDAYS(D399,E399,FERIADOS))</f>
        <v/>
      </c>
      <c r="H399" s="69"/>
      <c r="I399" s="74" t="str">
        <f aca="false">IF(B399="","",IF(ISNUMBER(H399),H399,N(G399)))</f>
        <v/>
      </c>
      <c r="J399" s="64"/>
      <c r="K399" s="64"/>
      <c r="L399" s="93" t="str">
        <f aca="false">IF(NOT(ISNUMBER(D399)),"",DATE(YEAR(D399),MONTH(D399),1))</f>
        <v/>
      </c>
      <c r="M399" s="70" t="str">
        <f aca="false">IF(B399="","",IF(AND(ISNUMBER(D399),ISNUMBER(E399),E399&lt;D399),"⚠ Término anterior al inicio",IF(J399&lt;&gt;"Sí","Pendiente comprobante firmado","OK")))</f>
        <v/>
      </c>
    </row>
    <row r="400" customFormat="false" ht="15" hidden="false" customHeight="false" outlineLevel="0" collapsed="false">
      <c r="B400" s="64"/>
      <c r="C400" s="72" t="str">
        <f aca="false">IF(B400="","",IFERROR(INDEX(T_NOMBRE,MATCH(B400,T_ID,0)),"⚠ ID no existe"))</f>
        <v/>
      </c>
      <c r="D400" s="65"/>
      <c r="E400" s="65"/>
      <c r="F400" s="64"/>
      <c r="G400" s="74" t="str">
        <f aca="false">IF(OR(B400="",NOT(ISNUMBER(D400)),NOT(ISNUMBER(E400))),"",NETWORKDAYS(D400,E400,FERIADOS))</f>
        <v/>
      </c>
      <c r="H400" s="69"/>
      <c r="I400" s="74" t="str">
        <f aca="false">IF(B400="","",IF(ISNUMBER(H400),H400,N(G400)))</f>
        <v/>
      </c>
      <c r="J400" s="64"/>
      <c r="K400" s="64"/>
      <c r="L400" s="93" t="str">
        <f aca="false">IF(NOT(ISNUMBER(D400)),"",DATE(YEAR(D400),MONTH(D400),1))</f>
        <v/>
      </c>
      <c r="M400" s="70" t="str">
        <f aca="false">IF(B400="","",IF(AND(ISNUMBER(D400),ISNUMBER(E400),E400&lt;D400),"⚠ Término anterior al inicio",IF(J400&lt;&gt;"Sí","Pendiente comprobante firmado","OK")))</f>
        <v/>
      </c>
    </row>
    <row r="401" customFormat="false" ht="15" hidden="false" customHeight="false" outlineLevel="0" collapsed="false">
      <c r="B401" s="64"/>
      <c r="C401" s="72" t="str">
        <f aca="false">IF(B401="","",IFERROR(INDEX(T_NOMBRE,MATCH(B401,T_ID,0)),"⚠ ID no existe"))</f>
        <v/>
      </c>
      <c r="D401" s="65"/>
      <c r="E401" s="65"/>
      <c r="F401" s="64"/>
      <c r="G401" s="74" t="str">
        <f aca="false">IF(OR(B401="",NOT(ISNUMBER(D401)),NOT(ISNUMBER(E401))),"",NETWORKDAYS(D401,E401,FERIADOS))</f>
        <v/>
      </c>
      <c r="H401" s="69"/>
      <c r="I401" s="74" t="str">
        <f aca="false">IF(B401="","",IF(ISNUMBER(H401),H401,N(G401)))</f>
        <v/>
      </c>
      <c r="J401" s="64"/>
      <c r="K401" s="64"/>
      <c r="L401" s="93" t="str">
        <f aca="false">IF(NOT(ISNUMBER(D401)),"",DATE(YEAR(D401),MONTH(D401),1))</f>
        <v/>
      </c>
      <c r="M401" s="70" t="str">
        <f aca="false">IF(B401="","",IF(AND(ISNUMBER(D401),ISNUMBER(E401),E401&lt;D401),"⚠ Término anterior al inicio",IF(J401&lt;&gt;"Sí","Pendiente comprobante firmado","OK")))</f>
        <v/>
      </c>
    </row>
    <row r="402" customFormat="false" ht="15" hidden="false" customHeight="false" outlineLevel="0" collapsed="false">
      <c r="B402" s="64"/>
      <c r="C402" s="72" t="str">
        <f aca="false">IF(B402="","",IFERROR(INDEX(T_NOMBRE,MATCH(B402,T_ID,0)),"⚠ ID no existe"))</f>
        <v/>
      </c>
      <c r="D402" s="65"/>
      <c r="E402" s="65"/>
      <c r="F402" s="64"/>
      <c r="G402" s="74" t="str">
        <f aca="false">IF(OR(B402="",NOT(ISNUMBER(D402)),NOT(ISNUMBER(E402))),"",NETWORKDAYS(D402,E402,FERIADOS))</f>
        <v/>
      </c>
      <c r="H402" s="69"/>
      <c r="I402" s="74" t="str">
        <f aca="false">IF(B402="","",IF(ISNUMBER(H402),H402,N(G402)))</f>
        <v/>
      </c>
      <c r="J402" s="64"/>
      <c r="K402" s="64"/>
      <c r="L402" s="93" t="str">
        <f aca="false">IF(NOT(ISNUMBER(D402)),"",DATE(YEAR(D402),MONTH(D402),1))</f>
        <v/>
      </c>
      <c r="M402" s="70" t="str">
        <f aca="false">IF(B402="","",IF(AND(ISNUMBER(D402),ISNUMBER(E402),E402&lt;D402),"⚠ Término anterior al inicio",IF(J402&lt;&gt;"Sí","Pendiente comprobante firmado","OK")))</f>
        <v/>
      </c>
    </row>
    <row r="403" customFormat="false" ht="15" hidden="false" customHeight="false" outlineLevel="0" collapsed="false">
      <c r="B403" s="64"/>
      <c r="C403" s="72" t="str">
        <f aca="false">IF(B403="","",IFERROR(INDEX(T_NOMBRE,MATCH(B403,T_ID,0)),"⚠ ID no existe"))</f>
        <v/>
      </c>
      <c r="D403" s="65"/>
      <c r="E403" s="65"/>
      <c r="F403" s="64"/>
      <c r="G403" s="74" t="str">
        <f aca="false">IF(OR(B403="",NOT(ISNUMBER(D403)),NOT(ISNUMBER(E403))),"",NETWORKDAYS(D403,E403,FERIADOS))</f>
        <v/>
      </c>
      <c r="H403" s="69"/>
      <c r="I403" s="74" t="str">
        <f aca="false">IF(B403="","",IF(ISNUMBER(H403),H403,N(G403)))</f>
        <v/>
      </c>
      <c r="J403" s="64"/>
      <c r="K403" s="64"/>
      <c r="L403" s="93" t="str">
        <f aca="false">IF(NOT(ISNUMBER(D403)),"",DATE(YEAR(D403),MONTH(D403),1))</f>
        <v/>
      </c>
      <c r="M403" s="70" t="str">
        <f aca="false">IF(B403="","",IF(AND(ISNUMBER(D403),ISNUMBER(E403),E403&lt;D403),"⚠ Término anterior al inicio",IF(J403&lt;&gt;"Sí","Pendiente comprobante firmado","OK")))</f>
        <v/>
      </c>
    </row>
    <row r="404" customFormat="false" ht="15" hidden="false" customHeight="false" outlineLevel="0" collapsed="false">
      <c r="B404" s="64"/>
      <c r="C404" s="72" t="str">
        <f aca="false">IF(B404="","",IFERROR(INDEX(T_NOMBRE,MATCH(B404,T_ID,0)),"⚠ ID no existe"))</f>
        <v/>
      </c>
      <c r="D404" s="65"/>
      <c r="E404" s="65"/>
      <c r="F404" s="64"/>
      <c r="G404" s="74" t="str">
        <f aca="false">IF(OR(B404="",NOT(ISNUMBER(D404)),NOT(ISNUMBER(E404))),"",NETWORKDAYS(D404,E404,FERIADOS))</f>
        <v/>
      </c>
      <c r="H404" s="69"/>
      <c r="I404" s="74" t="str">
        <f aca="false">IF(B404="","",IF(ISNUMBER(H404),H404,N(G404)))</f>
        <v/>
      </c>
      <c r="J404" s="64"/>
      <c r="K404" s="64"/>
      <c r="L404" s="93" t="str">
        <f aca="false">IF(NOT(ISNUMBER(D404)),"",DATE(YEAR(D404),MONTH(D404),1))</f>
        <v/>
      </c>
      <c r="M404" s="70" t="str">
        <f aca="false">IF(B404="","",IF(AND(ISNUMBER(D404),ISNUMBER(E404),E404&lt;D404),"⚠ Término anterior al inicio",IF(J404&lt;&gt;"Sí","Pendiente comprobante firmado","OK")))</f>
        <v/>
      </c>
    </row>
    <row r="405" customFormat="false" ht="15" hidden="false" customHeight="false" outlineLevel="0" collapsed="false">
      <c r="B405" s="64"/>
      <c r="C405" s="72" t="str">
        <f aca="false">IF(B405="","",IFERROR(INDEX(T_NOMBRE,MATCH(B405,T_ID,0)),"⚠ ID no existe"))</f>
        <v/>
      </c>
      <c r="D405" s="65"/>
      <c r="E405" s="65"/>
      <c r="F405" s="64"/>
      <c r="G405" s="74" t="str">
        <f aca="false">IF(OR(B405="",NOT(ISNUMBER(D405)),NOT(ISNUMBER(E405))),"",NETWORKDAYS(D405,E405,FERIADOS))</f>
        <v/>
      </c>
      <c r="H405" s="69"/>
      <c r="I405" s="74" t="str">
        <f aca="false">IF(B405="","",IF(ISNUMBER(H405),H405,N(G405)))</f>
        <v/>
      </c>
      <c r="J405" s="64"/>
      <c r="K405" s="64"/>
      <c r="L405" s="93" t="str">
        <f aca="false">IF(NOT(ISNUMBER(D405)),"",DATE(YEAR(D405),MONTH(D405),1))</f>
        <v/>
      </c>
      <c r="M405" s="70" t="str">
        <f aca="false">IF(B405="","",IF(AND(ISNUMBER(D405),ISNUMBER(E405),E405&lt;D405),"⚠ Término anterior al inicio",IF(J405&lt;&gt;"Sí","Pendiente comprobante firmado","OK")))</f>
        <v/>
      </c>
    </row>
    <row r="406" customFormat="false" ht="15" hidden="false" customHeight="false" outlineLevel="0" collapsed="false">
      <c r="B406" s="64"/>
      <c r="C406" s="72" t="str">
        <f aca="false">IF(B406="","",IFERROR(INDEX(T_NOMBRE,MATCH(B406,T_ID,0)),"⚠ ID no existe"))</f>
        <v/>
      </c>
      <c r="D406" s="65"/>
      <c r="E406" s="65"/>
      <c r="F406" s="64"/>
      <c r="G406" s="74" t="str">
        <f aca="false">IF(OR(B406="",NOT(ISNUMBER(D406)),NOT(ISNUMBER(E406))),"",NETWORKDAYS(D406,E406,FERIADOS))</f>
        <v/>
      </c>
      <c r="H406" s="69"/>
      <c r="I406" s="74" t="str">
        <f aca="false">IF(B406="","",IF(ISNUMBER(H406),H406,N(G406)))</f>
        <v/>
      </c>
      <c r="J406" s="64"/>
      <c r="K406" s="64"/>
      <c r="L406" s="93" t="str">
        <f aca="false">IF(NOT(ISNUMBER(D406)),"",DATE(YEAR(D406),MONTH(D406),1))</f>
        <v/>
      </c>
      <c r="M406" s="70" t="str">
        <f aca="false">IF(B406="","",IF(AND(ISNUMBER(D406),ISNUMBER(E406),E406&lt;D406),"⚠ Término anterior al inicio",IF(J406&lt;&gt;"Sí","Pendiente comprobante firmado","OK")))</f>
        <v/>
      </c>
    </row>
    <row r="407" customFormat="false" ht="15" hidden="false" customHeight="false" outlineLevel="0" collapsed="false">
      <c r="B407" s="64"/>
      <c r="C407" s="72" t="str">
        <f aca="false">IF(B407="","",IFERROR(INDEX(T_NOMBRE,MATCH(B407,T_ID,0)),"⚠ ID no existe"))</f>
        <v/>
      </c>
      <c r="D407" s="65"/>
      <c r="E407" s="65"/>
      <c r="F407" s="64"/>
      <c r="G407" s="74" t="str">
        <f aca="false">IF(OR(B407="",NOT(ISNUMBER(D407)),NOT(ISNUMBER(E407))),"",NETWORKDAYS(D407,E407,FERIADOS))</f>
        <v/>
      </c>
      <c r="H407" s="69"/>
      <c r="I407" s="74" t="str">
        <f aca="false">IF(B407="","",IF(ISNUMBER(H407),H407,N(G407)))</f>
        <v/>
      </c>
      <c r="J407" s="64"/>
      <c r="K407" s="64"/>
      <c r="L407" s="93" t="str">
        <f aca="false">IF(NOT(ISNUMBER(D407)),"",DATE(YEAR(D407),MONTH(D407),1))</f>
        <v/>
      </c>
      <c r="M407" s="70" t="str">
        <f aca="false">IF(B407="","",IF(AND(ISNUMBER(D407),ISNUMBER(E407),E407&lt;D407),"⚠ Término anterior al inicio",IF(J407&lt;&gt;"Sí","Pendiente comprobante firmado","OK")))</f>
        <v/>
      </c>
    </row>
    <row r="408" customFormat="false" ht="15" hidden="false" customHeight="false" outlineLevel="0" collapsed="false">
      <c r="B408" s="64"/>
      <c r="C408" s="72" t="str">
        <f aca="false">IF(B408="","",IFERROR(INDEX(T_NOMBRE,MATCH(B408,T_ID,0)),"⚠ ID no existe"))</f>
        <v/>
      </c>
      <c r="D408" s="65"/>
      <c r="E408" s="65"/>
      <c r="F408" s="64"/>
      <c r="G408" s="74" t="str">
        <f aca="false">IF(OR(B408="",NOT(ISNUMBER(D408)),NOT(ISNUMBER(E408))),"",NETWORKDAYS(D408,E408,FERIADOS))</f>
        <v/>
      </c>
      <c r="H408" s="69"/>
      <c r="I408" s="74" t="str">
        <f aca="false">IF(B408="","",IF(ISNUMBER(H408),H408,N(G408)))</f>
        <v/>
      </c>
      <c r="J408" s="64"/>
      <c r="K408" s="64"/>
      <c r="L408" s="93" t="str">
        <f aca="false">IF(NOT(ISNUMBER(D408)),"",DATE(YEAR(D408),MONTH(D408),1))</f>
        <v/>
      </c>
      <c r="M408" s="70" t="str">
        <f aca="false">IF(B408="","",IF(AND(ISNUMBER(D408),ISNUMBER(E408),E408&lt;D408),"⚠ Término anterior al inicio",IF(J408&lt;&gt;"Sí","Pendiente comprobante firmado","OK")))</f>
        <v/>
      </c>
    </row>
    <row r="409" customFormat="false" ht="15" hidden="false" customHeight="false" outlineLevel="0" collapsed="false">
      <c r="B409" s="64"/>
      <c r="C409" s="72" t="str">
        <f aca="false">IF(B409="","",IFERROR(INDEX(T_NOMBRE,MATCH(B409,T_ID,0)),"⚠ ID no existe"))</f>
        <v/>
      </c>
      <c r="D409" s="65"/>
      <c r="E409" s="65"/>
      <c r="F409" s="64"/>
      <c r="G409" s="74" t="str">
        <f aca="false">IF(OR(B409="",NOT(ISNUMBER(D409)),NOT(ISNUMBER(E409))),"",NETWORKDAYS(D409,E409,FERIADOS))</f>
        <v/>
      </c>
      <c r="H409" s="69"/>
      <c r="I409" s="74" t="str">
        <f aca="false">IF(B409="","",IF(ISNUMBER(H409),H409,N(G409)))</f>
        <v/>
      </c>
      <c r="J409" s="64"/>
      <c r="K409" s="64"/>
      <c r="L409" s="93" t="str">
        <f aca="false">IF(NOT(ISNUMBER(D409)),"",DATE(YEAR(D409),MONTH(D409),1))</f>
        <v/>
      </c>
      <c r="M409" s="70" t="str">
        <f aca="false">IF(B409="","",IF(AND(ISNUMBER(D409),ISNUMBER(E409),E409&lt;D409),"⚠ Término anterior al inicio",IF(J409&lt;&gt;"Sí","Pendiente comprobante firmado","OK")))</f>
        <v/>
      </c>
    </row>
    <row r="410" customFormat="false" ht="15" hidden="false" customHeight="false" outlineLevel="0" collapsed="false">
      <c r="B410" s="64"/>
      <c r="C410" s="72" t="str">
        <f aca="false">IF(B410="","",IFERROR(INDEX(T_NOMBRE,MATCH(B410,T_ID,0)),"⚠ ID no existe"))</f>
        <v/>
      </c>
      <c r="D410" s="65"/>
      <c r="E410" s="65"/>
      <c r="F410" s="64"/>
      <c r="G410" s="74" t="str">
        <f aca="false">IF(OR(B410="",NOT(ISNUMBER(D410)),NOT(ISNUMBER(E410))),"",NETWORKDAYS(D410,E410,FERIADOS))</f>
        <v/>
      </c>
      <c r="H410" s="69"/>
      <c r="I410" s="74" t="str">
        <f aca="false">IF(B410="","",IF(ISNUMBER(H410),H410,N(G410)))</f>
        <v/>
      </c>
      <c r="J410" s="64"/>
      <c r="K410" s="64"/>
      <c r="L410" s="93" t="str">
        <f aca="false">IF(NOT(ISNUMBER(D410)),"",DATE(YEAR(D410),MONTH(D410),1))</f>
        <v/>
      </c>
      <c r="M410" s="70" t="str">
        <f aca="false">IF(B410="","",IF(AND(ISNUMBER(D410),ISNUMBER(E410),E410&lt;D410),"⚠ Término anterior al inicio",IF(J410&lt;&gt;"Sí","Pendiente comprobante firmado","OK")))</f>
        <v/>
      </c>
    </row>
    <row r="411" customFormat="false" ht="15" hidden="false" customHeight="false" outlineLevel="0" collapsed="false">
      <c r="B411" s="64"/>
      <c r="C411" s="72" t="str">
        <f aca="false">IF(B411="","",IFERROR(INDEX(T_NOMBRE,MATCH(B411,T_ID,0)),"⚠ ID no existe"))</f>
        <v/>
      </c>
      <c r="D411" s="65"/>
      <c r="E411" s="65"/>
      <c r="F411" s="64"/>
      <c r="G411" s="74" t="str">
        <f aca="false">IF(OR(B411="",NOT(ISNUMBER(D411)),NOT(ISNUMBER(E411))),"",NETWORKDAYS(D411,E411,FERIADOS))</f>
        <v/>
      </c>
      <c r="H411" s="69"/>
      <c r="I411" s="74" t="str">
        <f aca="false">IF(B411="","",IF(ISNUMBER(H411),H411,N(G411)))</f>
        <v/>
      </c>
      <c r="J411" s="64"/>
      <c r="K411" s="64"/>
      <c r="L411" s="93" t="str">
        <f aca="false">IF(NOT(ISNUMBER(D411)),"",DATE(YEAR(D411),MONTH(D411),1))</f>
        <v/>
      </c>
      <c r="M411" s="70" t="str">
        <f aca="false">IF(B411="","",IF(AND(ISNUMBER(D411),ISNUMBER(E411),E411&lt;D411),"⚠ Término anterior al inicio",IF(J411&lt;&gt;"Sí","Pendiente comprobante firmado","OK")))</f>
        <v/>
      </c>
    </row>
    <row r="412" customFormat="false" ht="15" hidden="false" customHeight="false" outlineLevel="0" collapsed="false">
      <c r="B412" s="64"/>
      <c r="C412" s="72" t="str">
        <f aca="false">IF(B412="","",IFERROR(INDEX(T_NOMBRE,MATCH(B412,T_ID,0)),"⚠ ID no existe"))</f>
        <v/>
      </c>
      <c r="D412" s="65"/>
      <c r="E412" s="65"/>
      <c r="F412" s="64"/>
      <c r="G412" s="74" t="str">
        <f aca="false">IF(OR(B412="",NOT(ISNUMBER(D412)),NOT(ISNUMBER(E412))),"",NETWORKDAYS(D412,E412,FERIADOS))</f>
        <v/>
      </c>
      <c r="H412" s="69"/>
      <c r="I412" s="74" t="str">
        <f aca="false">IF(B412="","",IF(ISNUMBER(H412),H412,N(G412)))</f>
        <v/>
      </c>
      <c r="J412" s="64"/>
      <c r="K412" s="64"/>
      <c r="L412" s="93" t="str">
        <f aca="false">IF(NOT(ISNUMBER(D412)),"",DATE(YEAR(D412),MONTH(D412),1))</f>
        <v/>
      </c>
      <c r="M412" s="70" t="str">
        <f aca="false">IF(B412="","",IF(AND(ISNUMBER(D412),ISNUMBER(E412),E412&lt;D412),"⚠ Término anterior al inicio",IF(J412&lt;&gt;"Sí","Pendiente comprobante firmado","OK")))</f>
        <v/>
      </c>
    </row>
    <row r="413" customFormat="false" ht="15" hidden="false" customHeight="false" outlineLevel="0" collapsed="false">
      <c r="B413" s="64"/>
      <c r="C413" s="72" t="str">
        <f aca="false">IF(B413="","",IFERROR(INDEX(T_NOMBRE,MATCH(B413,T_ID,0)),"⚠ ID no existe"))</f>
        <v/>
      </c>
      <c r="D413" s="65"/>
      <c r="E413" s="65"/>
      <c r="F413" s="64"/>
      <c r="G413" s="74" t="str">
        <f aca="false">IF(OR(B413="",NOT(ISNUMBER(D413)),NOT(ISNUMBER(E413))),"",NETWORKDAYS(D413,E413,FERIADOS))</f>
        <v/>
      </c>
      <c r="H413" s="69"/>
      <c r="I413" s="74" t="str">
        <f aca="false">IF(B413="","",IF(ISNUMBER(H413),H413,N(G413)))</f>
        <v/>
      </c>
      <c r="J413" s="64"/>
      <c r="K413" s="64"/>
      <c r="L413" s="93" t="str">
        <f aca="false">IF(NOT(ISNUMBER(D413)),"",DATE(YEAR(D413),MONTH(D413),1))</f>
        <v/>
      </c>
      <c r="M413" s="70" t="str">
        <f aca="false">IF(B413="","",IF(AND(ISNUMBER(D413),ISNUMBER(E413),E413&lt;D413),"⚠ Término anterior al inicio",IF(J413&lt;&gt;"Sí","Pendiente comprobante firmado","OK")))</f>
        <v/>
      </c>
    </row>
    <row r="414" customFormat="false" ht="15" hidden="false" customHeight="false" outlineLevel="0" collapsed="false">
      <c r="B414" s="64"/>
      <c r="C414" s="72" t="str">
        <f aca="false">IF(B414="","",IFERROR(INDEX(T_NOMBRE,MATCH(B414,T_ID,0)),"⚠ ID no existe"))</f>
        <v/>
      </c>
      <c r="D414" s="65"/>
      <c r="E414" s="65"/>
      <c r="F414" s="64"/>
      <c r="G414" s="74" t="str">
        <f aca="false">IF(OR(B414="",NOT(ISNUMBER(D414)),NOT(ISNUMBER(E414))),"",NETWORKDAYS(D414,E414,FERIADOS))</f>
        <v/>
      </c>
      <c r="H414" s="69"/>
      <c r="I414" s="74" t="str">
        <f aca="false">IF(B414="","",IF(ISNUMBER(H414),H414,N(G414)))</f>
        <v/>
      </c>
      <c r="J414" s="64"/>
      <c r="K414" s="64"/>
      <c r="L414" s="93" t="str">
        <f aca="false">IF(NOT(ISNUMBER(D414)),"",DATE(YEAR(D414),MONTH(D414),1))</f>
        <v/>
      </c>
      <c r="M414" s="70" t="str">
        <f aca="false">IF(B414="","",IF(AND(ISNUMBER(D414),ISNUMBER(E414),E414&lt;D414),"⚠ Término anterior al inicio",IF(J414&lt;&gt;"Sí","Pendiente comprobante firmado","OK")))</f>
        <v/>
      </c>
    </row>
    <row r="415" customFormat="false" ht="15" hidden="false" customHeight="false" outlineLevel="0" collapsed="false">
      <c r="B415" s="64"/>
      <c r="C415" s="72" t="str">
        <f aca="false">IF(B415="","",IFERROR(INDEX(T_NOMBRE,MATCH(B415,T_ID,0)),"⚠ ID no existe"))</f>
        <v/>
      </c>
      <c r="D415" s="65"/>
      <c r="E415" s="65"/>
      <c r="F415" s="64"/>
      <c r="G415" s="74" t="str">
        <f aca="false">IF(OR(B415="",NOT(ISNUMBER(D415)),NOT(ISNUMBER(E415))),"",NETWORKDAYS(D415,E415,FERIADOS))</f>
        <v/>
      </c>
      <c r="H415" s="69"/>
      <c r="I415" s="74" t="str">
        <f aca="false">IF(B415="","",IF(ISNUMBER(H415),H415,N(G415)))</f>
        <v/>
      </c>
      <c r="J415" s="64"/>
      <c r="K415" s="64"/>
      <c r="L415" s="93" t="str">
        <f aca="false">IF(NOT(ISNUMBER(D415)),"",DATE(YEAR(D415),MONTH(D415),1))</f>
        <v/>
      </c>
      <c r="M415" s="70" t="str">
        <f aca="false">IF(B415="","",IF(AND(ISNUMBER(D415),ISNUMBER(E415),E415&lt;D415),"⚠ Término anterior al inicio",IF(J415&lt;&gt;"Sí","Pendiente comprobante firmado","OK")))</f>
        <v/>
      </c>
    </row>
    <row r="416" customFormat="false" ht="15" hidden="false" customHeight="false" outlineLevel="0" collapsed="false">
      <c r="B416" s="64"/>
      <c r="C416" s="72" t="str">
        <f aca="false">IF(B416="","",IFERROR(INDEX(T_NOMBRE,MATCH(B416,T_ID,0)),"⚠ ID no existe"))</f>
        <v/>
      </c>
      <c r="D416" s="65"/>
      <c r="E416" s="65"/>
      <c r="F416" s="64"/>
      <c r="G416" s="74" t="str">
        <f aca="false">IF(OR(B416="",NOT(ISNUMBER(D416)),NOT(ISNUMBER(E416))),"",NETWORKDAYS(D416,E416,FERIADOS))</f>
        <v/>
      </c>
      <c r="H416" s="69"/>
      <c r="I416" s="74" t="str">
        <f aca="false">IF(B416="","",IF(ISNUMBER(H416),H416,N(G416)))</f>
        <v/>
      </c>
      <c r="J416" s="64"/>
      <c r="K416" s="64"/>
      <c r="L416" s="93" t="str">
        <f aca="false">IF(NOT(ISNUMBER(D416)),"",DATE(YEAR(D416),MONTH(D416),1))</f>
        <v/>
      </c>
      <c r="M416" s="70" t="str">
        <f aca="false">IF(B416="","",IF(AND(ISNUMBER(D416),ISNUMBER(E416),E416&lt;D416),"⚠ Término anterior al inicio",IF(J416&lt;&gt;"Sí","Pendiente comprobante firmado","OK")))</f>
        <v/>
      </c>
    </row>
    <row r="417" customFormat="false" ht="15" hidden="false" customHeight="false" outlineLevel="0" collapsed="false">
      <c r="B417" s="64"/>
      <c r="C417" s="72" t="str">
        <f aca="false">IF(B417="","",IFERROR(INDEX(T_NOMBRE,MATCH(B417,T_ID,0)),"⚠ ID no existe"))</f>
        <v/>
      </c>
      <c r="D417" s="65"/>
      <c r="E417" s="65"/>
      <c r="F417" s="64"/>
      <c r="G417" s="74" t="str">
        <f aca="false">IF(OR(B417="",NOT(ISNUMBER(D417)),NOT(ISNUMBER(E417))),"",NETWORKDAYS(D417,E417,FERIADOS))</f>
        <v/>
      </c>
      <c r="H417" s="69"/>
      <c r="I417" s="74" t="str">
        <f aca="false">IF(B417="","",IF(ISNUMBER(H417),H417,N(G417)))</f>
        <v/>
      </c>
      <c r="J417" s="64"/>
      <c r="K417" s="64"/>
      <c r="L417" s="93" t="str">
        <f aca="false">IF(NOT(ISNUMBER(D417)),"",DATE(YEAR(D417),MONTH(D417),1))</f>
        <v/>
      </c>
      <c r="M417" s="70" t="str">
        <f aca="false">IF(B417="","",IF(AND(ISNUMBER(D417),ISNUMBER(E417),E417&lt;D417),"⚠ Término anterior al inicio",IF(J417&lt;&gt;"Sí","Pendiente comprobante firmado","OK")))</f>
        <v/>
      </c>
    </row>
    <row r="418" customFormat="false" ht="15" hidden="false" customHeight="false" outlineLevel="0" collapsed="false">
      <c r="B418" s="64"/>
      <c r="C418" s="72" t="str">
        <f aca="false">IF(B418="","",IFERROR(INDEX(T_NOMBRE,MATCH(B418,T_ID,0)),"⚠ ID no existe"))</f>
        <v/>
      </c>
      <c r="D418" s="65"/>
      <c r="E418" s="65"/>
      <c r="F418" s="64"/>
      <c r="G418" s="74" t="str">
        <f aca="false">IF(OR(B418="",NOT(ISNUMBER(D418)),NOT(ISNUMBER(E418))),"",NETWORKDAYS(D418,E418,FERIADOS))</f>
        <v/>
      </c>
      <c r="H418" s="69"/>
      <c r="I418" s="74" t="str">
        <f aca="false">IF(B418="","",IF(ISNUMBER(H418),H418,N(G418)))</f>
        <v/>
      </c>
      <c r="J418" s="64"/>
      <c r="K418" s="64"/>
      <c r="L418" s="93" t="str">
        <f aca="false">IF(NOT(ISNUMBER(D418)),"",DATE(YEAR(D418),MONTH(D418),1))</f>
        <v/>
      </c>
      <c r="M418" s="70" t="str">
        <f aca="false">IF(B418="","",IF(AND(ISNUMBER(D418),ISNUMBER(E418),E418&lt;D418),"⚠ Término anterior al inicio",IF(J418&lt;&gt;"Sí","Pendiente comprobante firmado","OK")))</f>
        <v/>
      </c>
    </row>
    <row r="419" customFormat="false" ht="15" hidden="false" customHeight="false" outlineLevel="0" collapsed="false">
      <c r="B419" s="64"/>
      <c r="C419" s="72" t="str">
        <f aca="false">IF(B419="","",IFERROR(INDEX(T_NOMBRE,MATCH(B419,T_ID,0)),"⚠ ID no existe"))</f>
        <v/>
      </c>
      <c r="D419" s="65"/>
      <c r="E419" s="65"/>
      <c r="F419" s="64"/>
      <c r="G419" s="74" t="str">
        <f aca="false">IF(OR(B419="",NOT(ISNUMBER(D419)),NOT(ISNUMBER(E419))),"",NETWORKDAYS(D419,E419,FERIADOS))</f>
        <v/>
      </c>
      <c r="H419" s="69"/>
      <c r="I419" s="74" t="str">
        <f aca="false">IF(B419="","",IF(ISNUMBER(H419),H419,N(G419)))</f>
        <v/>
      </c>
      <c r="J419" s="64"/>
      <c r="K419" s="64"/>
      <c r="L419" s="93" t="str">
        <f aca="false">IF(NOT(ISNUMBER(D419)),"",DATE(YEAR(D419),MONTH(D419),1))</f>
        <v/>
      </c>
      <c r="M419" s="70" t="str">
        <f aca="false">IF(B419="","",IF(AND(ISNUMBER(D419),ISNUMBER(E419),E419&lt;D419),"⚠ Término anterior al inicio",IF(J419&lt;&gt;"Sí","Pendiente comprobante firmado","OK")))</f>
        <v/>
      </c>
    </row>
    <row r="420" customFormat="false" ht="15" hidden="false" customHeight="false" outlineLevel="0" collapsed="false">
      <c r="B420" s="64"/>
      <c r="C420" s="72" t="str">
        <f aca="false">IF(B420="","",IFERROR(INDEX(T_NOMBRE,MATCH(B420,T_ID,0)),"⚠ ID no existe"))</f>
        <v/>
      </c>
      <c r="D420" s="65"/>
      <c r="E420" s="65"/>
      <c r="F420" s="64"/>
      <c r="G420" s="74" t="str">
        <f aca="false">IF(OR(B420="",NOT(ISNUMBER(D420)),NOT(ISNUMBER(E420))),"",NETWORKDAYS(D420,E420,FERIADOS))</f>
        <v/>
      </c>
      <c r="H420" s="69"/>
      <c r="I420" s="74" t="str">
        <f aca="false">IF(B420="","",IF(ISNUMBER(H420),H420,N(G420)))</f>
        <v/>
      </c>
      <c r="J420" s="64"/>
      <c r="K420" s="64"/>
      <c r="L420" s="93" t="str">
        <f aca="false">IF(NOT(ISNUMBER(D420)),"",DATE(YEAR(D420),MONTH(D420),1))</f>
        <v/>
      </c>
      <c r="M420" s="70" t="str">
        <f aca="false">IF(B420="","",IF(AND(ISNUMBER(D420),ISNUMBER(E420),E420&lt;D420),"⚠ Término anterior al inicio",IF(J420&lt;&gt;"Sí","Pendiente comprobante firmado","OK")))</f>
        <v/>
      </c>
    </row>
    <row r="421" customFormat="false" ht="15" hidden="false" customHeight="false" outlineLevel="0" collapsed="false">
      <c r="B421" s="64"/>
      <c r="C421" s="72" t="str">
        <f aca="false">IF(B421="","",IFERROR(INDEX(T_NOMBRE,MATCH(B421,T_ID,0)),"⚠ ID no existe"))</f>
        <v/>
      </c>
      <c r="D421" s="65"/>
      <c r="E421" s="65"/>
      <c r="F421" s="64"/>
      <c r="G421" s="74" t="str">
        <f aca="false">IF(OR(B421="",NOT(ISNUMBER(D421)),NOT(ISNUMBER(E421))),"",NETWORKDAYS(D421,E421,FERIADOS))</f>
        <v/>
      </c>
      <c r="H421" s="69"/>
      <c r="I421" s="74" t="str">
        <f aca="false">IF(B421="","",IF(ISNUMBER(H421),H421,N(G421)))</f>
        <v/>
      </c>
      <c r="J421" s="64"/>
      <c r="K421" s="64"/>
      <c r="L421" s="93" t="str">
        <f aca="false">IF(NOT(ISNUMBER(D421)),"",DATE(YEAR(D421),MONTH(D421),1))</f>
        <v/>
      </c>
      <c r="M421" s="70" t="str">
        <f aca="false">IF(B421="","",IF(AND(ISNUMBER(D421),ISNUMBER(E421),E421&lt;D421),"⚠ Término anterior al inicio",IF(J421&lt;&gt;"Sí","Pendiente comprobante firmado","OK")))</f>
        <v/>
      </c>
    </row>
    <row r="422" customFormat="false" ht="15" hidden="false" customHeight="false" outlineLevel="0" collapsed="false">
      <c r="B422" s="64"/>
      <c r="C422" s="72" t="str">
        <f aca="false">IF(B422="","",IFERROR(INDEX(T_NOMBRE,MATCH(B422,T_ID,0)),"⚠ ID no existe"))</f>
        <v/>
      </c>
      <c r="D422" s="65"/>
      <c r="E422" s="65"/>
      <c r="F422" s="64"/>
      <c r="G422" s="74" t="str">
        <f aca="false">IF(OR(B422="",NOT(ISNUMBER(D422)),NOT(ISNUMBER(E422))),"",NETWORKDAYS(D422,E422,FERIADOS))</f>
        <v/>
      </c>
      <c r="H422" s="69"/>
      <c r="I422" s="74" t="str">
        <f aca="false">IF(B422="","",IF(ISNUMBER(H422),H422,N(G422)))</f>
        <v/>
      </c>
      <c r="J422" s="64"/>
      <c r="K422" s="64"/>
      <c r="L422" s="93" t="str">
        <f aca="false">IF(NOT(ISNUMBER(D422)),"",DATE(YEAR(D422),MONTH(D422),1))</f>
        <v/>
      </c>
      <c r="M422" s="70" t="str">
        <f aca="false">IF(B422="","",IF(AND(ISNUMBER(D422),ISNUMBER(E422),E422&lt;D422),"⚠ Término anterior al inicio",IF(J422&lt;&gt;"Sí","Pendiente comprobante firmado","OK")))</f>
        <v/>
      </c>
    </row>
    <row r="423" customFormat="false" ht="15" hidden="false" customHeight="false" outlineLevel="0" collapsed="false">
      <c r="B423" s="64"/>
      <c r="C423" s="72" t="str">
        <f aca="false">IF(B423="","",IFERROR(INDEX(T_NOMBRE,MATCH(B423,T_ID,0)),"⚠ ID no existe"))</f>
        <v/>
      </c>
      <c r="D423" s="65"/>
      <c r="E423" s="65"/>
      <c r="F423" s="64"/>
      <c r="G423" s="74" t="str">
        <f aca="false">IF(OR(B423="",NOT(ISNUMBER(D423)),NOT(ISNUMBER(E423))),"",NETWORKDAYS(D423,E423,FERIADOS))</f>
        <v/>
      </c>
      <c r="H423" s="69"/>
      <c r="I423" s="74" t="str">
        <f aca="false">IF(B423="","",IF(ISNUMBER(H423),H423,N(G423)))</f>
        <v/>
      </c>
      <c r="J423" s="64"/>
      <c r="K423" s="64"/>
      <c r="L423" s="93" t="str">
        <f aca="false">IF(NOT(ISNUMBER(D423)),"",DATE(YEAR(D423),MONTH(D423),1))</f>
        <v/>
      </c>
      <c r="M423" s="70" t="str">
        <f aca="false">IF(B423="","",IF(AND(ISNUMBER(D423),ISNUMBER(E423),E423&lt;D423),"⚠ Término anterior al inicio",IF(J423&lt;&gt;"Sí","Pendiente comprobante firmado","OK")))</f>
        <v/>
      </c>
    </row>
    <row r="424" customFormat="false" ht="15" hidden="false" customHeight="false" outlineLevel="0" collapsed="false">
      <c r="B424" s="64"/>
      <c r="C424" s="72" t="str">
        <f aca="false">IF(B424="","",IFERROR(INDEX(T_NOMBRE,MATCH(B424,T_ID,0)),"⚠ ID no existe"))</f>
        <v/>
      </c>
      <c r="D424" s="65"/>
      <c r="E424" s="65"/>
      <c r="F424" s="64"/>
      <c r="G424" s="74" t="str">
        <f aca="false">IF(OR(B424="",NOT(ISNUMBER(D424)),NOT(ISNUMBER(E424))),"",NETWORKDAYS(D424,E424,FERIADOS))</f>
        <v/>
      </c>
      <c r="H424" s="69"/>
      <c r="I424" s="74" t="str">
        <f aca="false">IF(B424="","",IF(ISNUMBER(H424),H424,N(G424)))</f>
        <v/>
      </c>
      <c r="J424" s="64"/>
      <c r="K424" s="64"/>
      <c r="L424" s="93" t="str">
        <f aca="false">IF(NOT(ISNUMBER(D424)),"",DATE(YEAR(D424),MONTH(D424),1))</f>
        <v/>
      </c>
      <c r="M424" s="70" t="str">
        <f aca="false">IF(B424="","",IF(AND(ISNUMBER(D424),ISNUMBER(E424),E424&lt;D424),"⚠ Término anterior al inicio",IF(J424&lt;&gt;"Sí","Pendiente comprobante firmado","OK")))</f>
        <v/>
      </c>
    </row>
    <row r="425" customFormat="false" ht="15" hidden="false" customHeight="false" outlineLevel="0" collapsed="false">
      <c r="B425" s="64"/>
      <c r="C425" s="72" t="str">
        <f aca="false">IF(B425="","",IFERROR(INDEX(T_NOMBRE,MATCH(B425,T_ID,0)),"⚠ ID no existe"))</f>
        <v/>
      </c>
      <c r="D425" s="65"/>
      <c r="E425" s="65"/>
      <c r="F425" s="64"/>
      <c r="G425" s="74" t="str">
        <f aca="false">IF(OR(B425="",NOT(ISNUMBER(D425)),NOT(ISNUMBER(E425))),"",NETWORKDAYS(D425,E425,FERIADOS))</f>
        <v/>
      </c>
      <c r="H425" s="69"/>
      <c r="I425" s="74" t="str">
        <f aca="false">IF(B425="","",IF(ISNUMBER(H425),H425,N(G425)))</f>
        <v/>
      </c>
      <c r="J425" s="64"/>
      <c r="K425" s="64"/>
      <c r="L425" s="93" t="str">
        <f aca="false">IF(NOT(ISNUMBER(D425)),"",DATE(YEAR(D425),MONTH(D425),1))</f>
        <v/>
      </c>
      <c r="M425" s="70" t="str">
        <f aca="false">IF(B425="","",IF(AND(ISNUMBER(D425),ISNUMBER(E425),E425&lt;D425),"⚠ Término anterior al inicio",IF(J425&lt;&gt;"Sí","Pendiente comprobante firmado","OK")))</f>
        <v/>
      </c>
    </row>
    <row r="426" customFormat="false" ht="15" hidden="false" customHeight="false" outlineLevel="0" collapsed="false">
      <c r="B426" s="64"/>
      <c r="C426" s="72" t="str">
        <f aca="false">IF(B426="","",IFERROR(INDEX(T_NOMBRE,MATCH(B426,T_ID,0)),"⚠ ID no existe"))</f>
        <v/>
      </c>
      <c r="D426" s="65"/>
      <c r="E426" s="65"/>
      <c r="F426" s="64"/>
      <c r="G426" s="74" t="str">
        <f aca="false">IF(OR(B426="",NOT(ISNUMBER(D426)),NOT(ISNUMBER(E426))),"",NETWORKDAYS(D426,E426,FERIADOS))</f>
        <v/>
      </c>
      <c r="H426" s="69"/>
      <c r="I426" s="74" t="str">
        <f aca="false">IF(B426="","",IF(ISNUMBER(H426),H426,N(G426)))</f>
        <v/>
      </c>
      <c r="J426" s="64"/>
      <c r="K426" s="64"/>
      <c r="L426" s="93" t="str">
        <f aca="false">IF(NOT(ISNUMBER(D426)),"",DATE(YEAR(D426),MONTH(D426),1))</f>
        <v/>
      </c>
      <c r="M426" s="70" t="str">
        <f aca="false">IF(B426="","",IF(AND(ISNUMBER(D426),ISNUMBER(E426),E426&lt;D426),"⚠ Término anterior al inicio",IF(J426&lt;&gt;"Sí","Pendiente comprobante firmado","OK")))</f>
        <v/>
      </c>
    </row>
    <row r="427" customFormat="false" ht="15" hidden="false" customHeight="false" outlineLevel="0" collapsed="false">
      <c r="B427" s="64"/>
      <c r="C427" s="72" t="str">
        <f aca="false">IF(B427="","",IFERROR(INDEX(T_NOMBRE,MATCH(B427,T_ID,0)),"⚠ ID no existe"))</f>
        <v/>
      </c>
      <c r="D427" s="65"/>
      <c r="E427" s="65"/>
      <c r="F427" s="64"/>
      <c r="G427" s="74" t="str">
        <f aca="false">IF(OR(B427="",NOT(ISNUMBER(D427)),NOT(ISNUMBER(E427))),"",NETWORKDAYS(D427,E427,FERIADOS))</f>
        <v/>
      </c>
      <c r="H427" s="69"/>
      <c r="I427" s="74" t="str">
        <f aca="false">IF(B427="","",IF(ISNUMBER(H427),H427,N(G427)))</f>
        <v/>
      </c>
      <c r="J427" s="64"/>
      <c r="K427" s="64"/>
      <c r="L427" s="93" t="str">
        <f aca="false">IF(NOT(ISNUMBER(D427)),"",DATE(YEAR(D427),MONTH(D427),1))</f>
        <v/>
      </c>
      <c r="M427" s="70" t="str">
        <f aca="false">IF(B427="","",IF(AND(ISNUMBER(D427),ISNUMBER(E427),E427&lt;D427),"⚠ Término anterior al inicio",IF(J427&lt;&gt;"Sí","Pendiente comprobante firmado","OK")))</f>
        <v/>
      </c>
    </row>
    <row r="428" customFormat="false" ht="15" hidden="false" customHeight="false" outlineLevel="0" collapsed="false">
      <c r="B428" s="64"/>
      <c r="C428" s="72" t="str">
        <f aca="false">IF(B428="","",IFERROR(INDEX(T_NOMBRE,MATCH(B428,T_ID,0)),"⚠ ID no existe"))</f>
        <v/>
      </c>
      <c r="D428" s="65"/>
      <c r="E428" s="65"/>
      <c r="F428" s="64"/>
      <c r="G428" s="74" t="str">
        <f aca="false">IF(OR(B428="",NOT(ISNUMBER(D428)),NOT(ISNUMBER(E428))),"",NETWORKDAYS(D428,E428,FERIADOS))</f>
        <v/>
      </c>
      <c r="H428" s="69"/>
      <c r="I428" s="74" t="str">
        <f aca="false">IF(B428="","",IF(ISNUMBER(H428),H428,N(G428)))</f>
        <v/>
      </c>
      <c r="J428" s="64"/>
      <c r="K428" s="64"/>
      <c r="L428" s="93" t="str">
        <f aca="false">IF(NOT(ISNUMBER(D428)),"",DATE(YEAR(D428),MONTH(D428),1))</f>
        <v/>
      </c>
      <c r="M428" s="70" t="str">
        <f aca="false">IF(B428="","",IF(AND(ISNUMBER(D428),ISNUMBER(E428),E428&lt;D428),"⚠ Término anterior al inicio",IF(J428&lt;&gt;"Sí","Pendiente comprobante firmado","OK")))</f>
        <v/>
      </c>
    </row>
    <row r="429" customFormat="false" ht="15" hidden="false" customHeight="false" outlineLevel="0" collapsed="false">
      <c r="B429" s="64"/>
      <c r="C429" s="72" t="str">
        <f aca="false">IF(B429="","",IFERROR(INDEX(T_NOMBRE,MATCH(B429,T_ID,0)),"⚠ ID no existe"))</f>
        <v/>
      </c>
      <c r="D429" s="65"/>
      <c r="E429" s="65"/>
      <c r="F429" s="64"/>
      <c r="G429" s="74" t="str">
        <f aca="false">IF(OR(B429="",NOT(ISNUMBER(D429)),NOT(ISNUMBER(E429))),"",NETWORKDAYS(D429,E429,FERIADOS))</f>
        <v/>
      </c>
      <c r="H429" s="69"/>
      <c r="I429" s="74" t="str">
        <f aca="false">IF(B429="","",IF(ISNUMBER(H429),H429,N(G429)))</f>
        <v/>
      </c>
      <c r="J429" s="64"/>
      <c r="K429" s="64"/>
      <c r="L429" s="93" t="str">
        <f aca="false">IF(NOT(ISNUMBER(D429)),"",DATE(YEAR(D429),MONTH(D429),1))</f>
        <v/>
      </c>
      <c r="M429" s="70" t="str">
        <f aca="false">IF(B429="","",IF(AND(ISNUMBER(D429),ISNUMBER(E429),E429&lt;D429),"⚠ Término anterior al inicio",IF(J429&lt;&gt;"Sí","Pendiente comprobante firmado","OK")))</f>
        <v/>
      </c>
    </row>
    <row r="430" customFormat="false" ht="15" hidden="false" customHeight="false" outlineLevel="0" collapsed="false">
      <c r="B430" s="64"/>
      <c r="C430" s="72" t="str">
        <f aca="false">IF(B430="","",IFERROR(INDEX(T_NOMBRE,MATCH(B430,T_ID,0)),"⚠ ID no existe"))</f>
        <v/>
      </c>
      <c r="D430" s="65"/>
      <c r="E430" s="65"/>
      <c r="F430" s="64"/>
      <c r="G430" s="74" t="str">
        <f aca="false">IF(OR(B430="",NOT(ISNUMBER(D430)),NOT(ISNUMBER(E430))),"",NETWORKDAYS(D430,E430,FERIADOS))</f>
        <v/>
      </c>
      <c r="H430" s="69"/>
      <c r="I430" s="74" t="str">
        <f aca="false">IF(B430="","",IF(ISNUMBER(H430),H430,N(G430)))</f>
        <v/>
      </c>
      <c r="J430" s="64"/>
      <c r="K430" s="64"/>
      <c r="L430" s="93" t="str">
        <f aca="false">IF(NOT(ISNUMBER(D430)),"",DATE(YEAR(D430),MONTH(D430),1))</f>
        <v/>
      </c>
      <c r="M430" s="70" t="str">
        <f aca="false">IF(B430="","",IF(AND(ISNUMBER(D430),ISNUMBER(E430),E430&lt;D430),"⚠ Término anterior al inicio",IF(J430&lt;&gt;"Sí","Pendiente comprobante firmado","OK")))</f>
        <v/>
      </c>
    </row>
    <row r="431" customFormat="false" ht="15" hidden="false" customHeight="false" outlineLevel="0" collapsed="false">
      <c r="B431" s="64"/>
      <c r="C431" s="72" t="str">
        <f aca="false">IF(B431="","",IFERROR(INDEX(T_NOMBRE,MATCH(B431,T_ID,0)),"⚠ ID no existe"))</f>
        <v/>
      </c>
      <c r="D431" s="65"/>
      <c r="E431" s="65"/>
      <c r="F431" s="64"/>
      <c r="G431" s="74" t="str">
        <f aca="false">IF(OR(B431="",NOT(ISNUMBER(D431)),NOT(ISNUMBER(E431))),"",NETWORKDAYS(D431,E431,FERIADOS))</f>
        <v/>
      </c>
      <c r="H431" s="69"/>
      <c r="I431" s="74" t="str">
        <f aca="false">IF(B431="","",IF(ISNUMBER(H431),H431,N(G431)))</f>
        <v/>
      </c>
      <c r="J431" s="64"/>
      <c r="K431" s="64"/>
      <c r="L431" s="93" t="str">
        <f aca="false">IF(NOT(ISNUMBER(D431)),"",DATE(YEAR(D431),MONTH(D431),1))</f>
        <v/>
      </c>
      <c r="M431" s="70" t="str">
        <f aca="false">IF(B431="","",IF(AND(ISNUMBER(D431),ISNUMBER(E431),E431&lt;D431),"⚠ Término anterior al inicio",IF(J431&lt;&gt;"Sí","Pendiente comprobante firmado","OK")))</f>
        <v/>
      </c>
    </row>
    <row r="432" customFormat="false" ht="15" hidden="false" customHeight="false" outlineLevel="0" collapsed="false">
      <c r="B432" s="64"/>
      <c r="C432" s="72" t="str">
        <f aca="false">IF(B432="","",IFERROR(INDEX(T_NOMBRE,MATCH(B432,T_ID,0)),"⚠ ID no existe"))</f>
        <v/>
      </c>
      <c r="D432" s="65"/>
      <c r="E432" s="65"/>
      <c r="F432" s="64"/>
      <c r="G432" s="74" t="str">
        <f aca="false">IF(OR(B432="",NOT(ISNUMBER(D432)),NOT(ISNUMBER(E432))),"",NETWORKDAYS(D432,E432,FERIADOS))</f>
        <v/>
      </c>
      <c r="H432" s="69"/>
      <c r="I432" s="74" t="str">
        <f aca="false">IF(B432="","",IF(ISNUMBER(H432),H432,N(G432)))</f>
        <v/>
      </c>
      <c r="J432" s="64"/>
      <c r="K432" s="64"/>
      <c r="L432" s="93" t="str">
        <f aca="false">IF(NOT(ISNUMBER(D432)),"",DATE(YEAR(D432),MONTH(D432),1))</f>
        <v/>
      </c>
      <c r="M432" s="70" t="str">
        <f aca="false">IF(B432="","",IF(AND(ISNUMBER(D432),ISNUMBER(E432),E432&lt;D432),"⚠ Término anterior al inicio",IF(J432&lt;&gt;"Sí","Pendiente comprobante firmado","OK")))</f>
        <v/>
      </c>
    </row>
    <row r="433" customFormat="false" ht="15" hidden="false" customHeight="false" outlineLevel="0" collapsed="false">
      <c r="B433" s="64"/>
      <c r="C433" s="72" t="str">
        <f aca="false">IF(B433="","",IFERROR(INDEX(T_NOMBRE,MATCH(B433,T_ID,0)),"⚠ ID no existe"))</f>
        <v/>
      </c>
      <c r="D433" s="65"/>
      <c r="E433" s="65"/>
      <c r="F433" s="64"/>
      <c r="G433" s="74" t="str">
        <f aca="false">IF(OR(B433="",NOT(ISNUMBER(D433)),NOT(ISNUMBER(E433))),"",NETWORKDAYS(D433,E433,FERIADOS))</f>
        <v/>
      </c>
      <c r="H433" s="69"/>
      <c r="I433" s="74" t="str">
        <f aca="false">IF(B433="","",IF(ISNUMBER(H433),H433,N(G433)))</f>
        <v/>
      </c>
      <c r="J433" s="64"/>
      <c r="K433" s="64"/>
      <c r="L433" s="93" t="str">
        <f aca="false">IF(NOT(ISNUMBER(D433)),"",DATE(YEAR(D433),MONTH(D433),1))</f>
        <v/>
      </c>
      <c r="M433" s="70" t="str">
        <f aca="false">IF(B433="","",IF(AND(ISNUMBER(D433),ISNUMBER(E433),E433&lt;D433),"⚠ Término anterior al inicio",IF(J433&lt;&gt;"Sí","Pendiente comprobante firmado","OK")))</f>
        <v/>
      </c>
    </row>
    <row r="434" customFormat="false" ht="15" hidden="false" customHeight="false" outlineLevel="0" collapsed="false">
      <c r="B434" s="64"/>
      <c r="C434" s="72" t="str">
        <f aca="false">IF(B434="","",IFERROR(INDEX(T_NOMBRE,MATCH(B434,T_ID,0)),"⚠ ID no existe"))</f>
        <v/>
      </c>
      <c r="D434" s="65"/>
      <c r="E434" s="65"/>
      <c r="F434" s="64"/>
      <c r="G434" s="74" t="str">
        <f aca="false">IF(OR(B434="",NOT(ISNUMBER(D434)),NOT(ISNUMBER(E434))),"",NETWORKDAYS(D434,E434,FERIADOS))</f>
        <v/>
      </c>
      <c r="H434" s="69"/>
      <c r="I434" s="74" t="str">
        <f aca="false">IF(B434="","",IF(ISNUMBER(H434),H434,N(G434)))</f>
        <v/>
      </c>
      <c r="J434" s="64"/>
      <c r="K434" s="64"/>
      <c r="L434" s="93" t="str">
        <f aca="false">IF(NOT(ISNUMBER(D434)),"",DATE(YEAR(D434),MONTH(D434),1))</f>
        <v/>
      </c>
      <c r="M434" s="70" t="str">
        <f aca="false">IF(B434="","",IF(AND(ISNUMBER(D434),ISNUMBER(E434),E434&lt;D434),"⚠ Término anterior al inicio",IF(J434&lt;&gt;"Sí","Pendiente comprobante firmado","OK")))</f>
        <v/>
      </c>
    </row>
    <row r="435" customFormat="false" ht="15" hidden="false" customHeight="false" outlineLevel="0" collapsed="false">
      <c r="B435" s="64"/>
      <c r="C435" s="72" t="str">
        <f aca="false">IF(B435="","",IFERROR(INDEX(T_NOMBRE,MATCH(B435,T_ID,0)),"⚠ ID no existe"))</f>
        <v/>
      </c>
      <c r="D435" s="65"/>
      <c r="E435" s="65"/>
      <c r="F435" s="64"/>
      <c r="G435" s="74" t="str">
        <f aca="false">IF(OR(B435="",NOT(ISNUMBER(D435)),NOT(ISNUMBER(E435))),"",NETWORKDAYS(D435,E435,FERIADOS))</f>
        <v/>
      </c>
      <c r="H435" s="69"/>
      <c r="I435" s="74" t="str">
        <f aca="false">IF(B435="","",IF(ISNUMBER(H435),H435,N(G435)))</f>
        <v/>
      </c>
      <c r="J435" s="64"/>
      <c r="K435" s="64"/>
      <c r="L435" s="93" t="str">
        <f aca="false">IF(NOT(ISNUMBER(D435)),"",DATE(YEAR(D435),MONTH(D435),1))</f>
        <v/>
      </c>
      <c r="M435" s="70" t="str">
        <f aca="false">IF(B435="","",IF(AND(ISNUMBER(D435),ISNUMBER(E435),E435&lt;D435),"⚠ Término anterior al inicio",IF(J435&lt;&gt;"Sí","Pendiente comprobante firmado","OK")))</f>
        <v/>
      </c>
    </row>
    <row r="436" customFormat="false" ht="15" hidden="false" customHeight="false" outlineLevel="0" collapsed="false">
      <c r="B436" s="64"/>
      <c r="C436" s="72" t="str">
        <f aca="false">IF(B436="","",IFERROR(INDEX(T_NOMBRE,MATCH(B436,T_ID,0)),"⚠ ID no existe"))</f>
        <v/>
      </c>
      <c r="D436" s="65"/>
      <c r="E436" s="65"/>
      <c r="F436" s="64"/>
      <c r="G436" s="74" t="str">
        <f aca="false">IF(OR(B436="",NOT(ISNUMBER(D436)),NOT(ISNUMBER(E436))),"",NETWORKDAYS(D436,E436,FERIADOS))</f>
        <v/>
      </c>
      <c r="H436" s="69"/>
      <c r="I436" s="74" t="str">
        <f aca="false">IF(B436="","",IF(ISNUMBER(H436),H436,N(G436)))</f>
        <v/>
      </c>
      <c r="J436" s="64"/>
      <c r="K436" s="64"/>
      <c r="L436" s="93" t="str">
        <f aca="false">IF(NOT(ISNUMBER(D436)),"",DATE(YEAR(D436),MONTH(D436),1))</f>
        <v/>
      </c>
      <c r="M436" s="70" t="str">
        <f aca="false">IF(B436="","",IF(AND(ISNUMBER(D436),ISNUMBER(E436),E436&lt;D436),"⚠ Término anterior al inicio",IF(J436&lt;&gt;"Sí","Pendiente comprobante firmado","OK")))</f>
        <v/>
      </c>
    </row>
    <row r="437" customFormat="false" ht="15" hidden="false" customHeight="false" outlineLevel="0" collapsed="false">
      <c r="B437" s="64"/>
      <c r="C437" s="72" t="str">
        <f aca="false">IF(B437="","",IFERROR(INDEX(T_NOMBRE,MATCH(B437,T_ID,0)),"⚠ ID no existe"))</f>
        <v/>
      </c>
      <c r="D437" s="65"/>
      <c r="E437" s="65"/>
      <c r="F437" s="64"/>
      <c r="G437" s="74" t="str">
        <f aca="false">IF(OR(B437="",NOT(ISNUMBER(D437)),NOT(ISNUMBER(E437))),"",NETWORKDAYS(D437,E437,FERIADOS))</f>
        <v/>
      </c>
      <c r="H437" s="69"/>
      <c r="I437" s="74" t="str">
        <f aca="false">IF(B437="","",IF(ISNUMBER(H437),H437,N(G437)))</f>
        <v/>
      </c>
      <c r="J437" s="64"/>
      <c r="K437" s="64"/>
      <c r="L437" s="93" t="str">
        <f aca="false">IF(NOT(ISNUMBER(D437)),"",DATE(YEAR(D437),MONTH(D437),1))</f>
        <v/>
      </c>
      <c r="M437" s="70" t="str">
        <f aca="false">IF(B437="","",IF(AND(ISNUMBER(D437),ISNUMBER(E437),E437&lt;D437),"⚠ Término anterior al inicio",IF(J437&lt;&gt;"Sí","Pendiente comprobante firmado","OK")))</f>
        <v/>
      </c>
    </row>
    <row r="438" customFormat="false" ht="15" hidden="false" customHeight="false" outlineLevel="0" collapsed="false">
      <c r="B438" s="64"/>
      <c r="C438" s="72" t="str">
        <f aca="false">IF(B438="","",IFERROR(INDEX(T_NOMBRE,MATCH(B438,T_ID,0)),"⚠ ID no existe"))</f>
        <v/>
      </c>
      <c r="D438" s="65"/>
      <c r="E438" s="65"/>
      <c r="F438" s="64"/>
      <c r="G438" s="74" t="str">
        <f aca="false">IF(OR(B438="",NOT(ISNUMBER(D438)),NOT(ISNUMBER(E438))),"",NETWORKDAYS(D438,E438,FERIADOS))</f>
        <v/>
      </c>
      <c r="H438" s="69"/>
      <c r="I438" s="74" t="str">
        <f aca="false">IF(B438="","",IF(ISNUMBER(H438),H438,N(G438)))</f>
        <v/>
      </c>
      <c r="J438" s="64"/>
      <c r="K438" s="64"/>
      <c r="L438" s="93" t="str">
        <f aca="false">IF(NOT(ISNUMBER(D438)),"",DATE(YEAR(D438),MONTH(D438),1))</f>
        <v/>
      </c>
      <c r="M438" s="70" t="str">
        <f aca="false">IF(B438="","",IF(AND(ISNUMBER(D438),ISNUMBER(E438),E438&lt;D438),"⚠ Término anterior al inicio",IF(J438&lt;&gt;"Sí","Pendiente comprobante firmado","OK")))</f>
        <v/>
      </c>
    </row>
    <row r="439" customFormat="false" ht="15" hidden="false" customHeight="false" outlineLevel="0" collapsed="false">
      <c r="B439" s="64"/>
      <c r="C439" s="72" t="str">
        <f aca="false">IF(B439="","",IFERROR(INDEX(T_NOMBRE,MATCH(B439,T_ID,0)),"⚠ ID no existe"))</f>
        <v/>
      </c>
      <c r="D439" s="65"/>
      <c r="E439" s="65"/>
      <c r="F439" s="64"/>
      <c r="G439" s="74" t="str">
        <f aca="false">IF(OR(B439="",NOT(ISNUMBER(D439)),NOT(ISNUMBER(E439))),"",NETWORKDAYS(D439,E439,FERIADOS))</f>
        <v/>
      </c>
      <c r="H439" s="69"/>
      <c r="I439" s="74" t="str">
        <f aca="false">IF(B439="","",IF(ISNUMBER(H439),H439,N(G439)))</f>
        <v/>
      </c>
      <c r="J439" s="64"/>
      <c r="K439" s="64"/>
      <c r="L439" s="93" t="str">
        <f aca="false">IF(NOT(ISNUMBER(D439)),"",DATE(YEAR(D439),MONTH(D439),1))</f>
        <v/>
      </c>
      <c r="M439" s="70" t="str">
        <f aca="false">IF(B439="","",IF(AND(ISNUMBER(D439),ISNUMBER(E439),E439&lt;D439),"⚠ Término anterior al inicio",IF(J439&lt;&gt;"Sí","Pendiente comprobante firmado","OK")))</f>
        <v/>
      </c>
    </row>
    <row r="440" customFormat="false" ht="15" hidden="false" customHeight="false" outlineLevel="0" collapsed="false">
      <c r="B440" s="64"/>
      <c r="C440" s="72" t="str">
        <f aca="false">IF(B440="","",IFERROR(INDEX(T_NOMBRE,MATCH(B440,T_ID,0)),"⚠ ID no existe"))</f>
        <v/>
      </c>
      <c r="D440" s="65"/>
      <c r="E440" s="65"/>
      <c r="F440" s="64"/>
      <c r="G440" s="74" t="str">
        <f aca="false">IF(OR(B440="",NOT(ISNUMBER(D440)),NOT(ISNUMBER(E440))),"",NETWORKDAYS(D440,E440,FERIADOS))</f>
        <v/>
      </c>
      <c r="H440" s="69"/>
      <c r="I440" s="74" t="str">
        <f aca="false">IF(B440="","",IF(ISNUMBER(H440),H440,N(G440)))</f>
        <v/>
      </c>
      <c r="J440" s="64"/>
      <c r="K440" s="64"/>
      <c r="L440" s="93" t="str">
        <f aca="false">IF(NOT(ISNUMBER(D440)),"",DATE(YEAR(D440),MONTH(D440),1))</f>
        <v/>
      </c>
      <c r="M440" s="70" t="str">
        <f aca="false">IF(B440="","",IF(AND(ISNUMBER(D440),ISNUMBER(E440),E440&lt;D440),"⚠ Término anterior al inicio",IF(J440&lt;&gt;"Sí","Pendiente comprobante firmado","OK")))</f>
        <v/>
      </c>
    </row>
    <row r="441" customFormat="false" ht="15" hidden="false" customHeight="false" outlineLevel="0" collapsed="false">
      <c r="B441" s="64"/>
      <c r="C441" s="72" t="str">
        <f aca="false">IF(B441="","",IFERROR(INDEX(T_NOMBRE,MATCH(B441,T_ID,0)),"⚠ ID no existe"))</f>
        <v/>
      </c>
      <c r="D441" s="65"/>
      <c r="E441" s="65"/>
      <c r="F441" s="64"/>
      <c r="G441" s="74" t="str">
        <f aca="false">IF(OR(B441="",NOT(ISNUMBER(D441)),NOT(ISNUMBER(E441))),"",NETWORKDAYS(D441,E441,FERIADOS))</f>
        <v/>
      </c>
      <c r="H441" s="69"/>
      <c r="I441" s="74" t="str">
        <f aca="false">IF(B441="","",IF(ISNUMBER(H441),H441,N(G441)))</f>
        <v/>
      </c>
      <c r="J441" s="64"/>
      <c r="K441" s="64"/>
      <c r="L441" s="93" t="str">
        <f aca="false">IF(NOT(ISNUMBER(D441)),"",DATE(YEAR(D441),MONTH(D441),1))</f>
        <v/>
      </c>
      <c r="M441" s="70" t="str">
        <f aca="false">IF(B441="","",IF(AND(ISNUMBER(D441),ISNUMBER(E441),E441&lt;D441),"⚠ Término anterior al inicio",IF(J441&lt;&gt;"Sí","Pendiente comprobante firmado","OK")))</f>
        <v/>
      </c>
    </row>
    <row r="442" customFormat="false" ht="15" hidden="false" customHeight="false" outlineLevel="0" collapsed="false">
      <c r="B442" s="64"/>
      <c r="C442" s="72" t="str">
        <f aca="false">IF(B442="","",IFERROR(INDEX(T_NOMBRE,MATCH(B442,T_ID,0)),"⚠ ID no existe"))</f>
        <v/>
      </c>
      <c r="D442" s="65"/>
      <c r="E442" s="65"/>
      <c r="F442" s="64"/>
      <c r="G442" s="74" t="str">
        <f aca="false">IF(OR(B442="",NOT(ISNUMBER(D442)),NOT(ISNUMBER(E442))),"",NETWORKDAYS(D442,E442,FERIADOS))</f>
        <v/>
      </c>
      <c r="H442" s="69"/>
      <c r="I442" s="74" t="str">
        <f aca="false">IF(B442="","",IF(ISNUMBER(H442),H442,N(G442)))</f>
        <v/>
      </c>
      <c r="J442" s="64"/>
      <c r="K442" s="64"/>
      <c r="L442" s="93" t="str">
        <f aca="false">IF(NOT(ISNUMBER(D442)),"",DATE(YEAR(D442),MONTH(D442),1))</f>
        <v/>
      </c>
      <c r="M442" s="70" t="str">
        <f aca="false">IF(B442="","",IF(AND(ISNUMBER(D442),ISNUMBER(E442),E442&lt;D442),"⚠ Término anterior al inicio",IF(J442&lt;&gt;"Sí","Pendiente comprobante firmado","OK")))</f>
        <v/>
      </c>
    </row>
    <row r="443" customFormat="false" ht="15" hidden="false" customHeight="false" outlineLevel="0" collapsed="false">
      <c r="B443" s="64"/>
      <c r="C443" s="72" t="str">
        <f aca="false">IF(B443="","",IFERROR(INDEX(T_NOMBRE,MATCH(B443,T_ID,0)),"⚠ ID no existe"))</f>
        <v/>
      </c>
      <c r="D443" s="65"/>
      <c r="E443" s="65"/>
      <c r="F443" s="64"/>
      <c r="G443" s="74" t="str">
        <f aca="false">IF(OR(B443="",NOT(ISNUMBER(D443)),NOT(ISNUMBER(E443))),"",NETWORKDAYS(D443,E443,FERIADOS))</f>
        <v/>
      </c>
      <c r="H443" s="69"/>
      <c r="I443" s="74" t="str">
        <f aca="false">IF(B443="","",IF(ISNUMBER(H443),H443,N(G443)))</f>
        <v/>
      </c>
      <c r="J443" s="64"/>
      <c r="K443" s="64"/>
      <c r="L443" s="93" t="str">
        <f aca="false">IF(NOT(ISNUMBER(D443)),"",DATE(YEAR(D443),MONTH(D443),1))</f>
        <v/>
      </c>
      <c r="M443" s="70" t="str">
        <f aca="false">IF(B443="","",IF(AND(ISNUMBER(D443),ISNUMBER(E443),E443&lt;D443),"⚠ Término anterior al inicio",IF(J443&lt;&gt;"Sí","Pendiente comprobante firmado","OK")))</f>
        <v/>
      </c>
    </row>
    <row r="444" customFormat="false" ht="15" hidden="false" customHeight="false" outlineLevel="0" collapsed="false">
      <c r="B444" s="64"/>
      <c r="C444" s="72" t="str">
        <f aca="false">IF(B444="","",IFERROR(INDEX(T_NOMBRE,MATCH(B444,T_ID,0)),"⚠ ID no existe"))</f>
        <v/>
      </c>
      <c r="D444" s="65"/>
      <c r="E444" s="65"/>
      <c r="F444" s="64"/>
      <c r="G444" s="74" t="str">
        <f aca="false">IF(OR(B444="",NOT(ISNUMBER(D444)),NOT(ISNUMBER(E444))),"",NETWORKDAYS(D444,E444,FERIADOS))</f>
        <v/>
      </c>
      <c r="H444" s="69"/>
      <c r="I444" s="74" t="str">
        <f aca="false">IF(B444="","",IF(ISNUMBER(H444),H444,N(G444)))</f>
        <v/>
      </c>
      <c r="J444" s="64"/>
      <c r="K444" s="64"/>
      <c r="L444" s="93" t="str">
        <f aca="false">IF(NOT(ISNUMBER(D444)),"",DATE(YEAR(D444),MONTH(D444),1))</f>
        <v/>
      </c>
      <c r="M444" s="70" t="str">
        <f aca="false">IF(B444="","",IF(AND(ISNUMBER(D444),ISNUMBER(E444),E444&lt;D444),"⚠ Término anterior al inicio",IF(J444&lt;&gt;"Sí","Pendiente comprobante firmado","OK")))</f>
        <v/>
      </c>
    </row>
    <row r="445" customFormat="false" ht="15" hidden="false" customHeight="false" outlineLevel="0" collapsed="false">
      <c r="B445" s="64"/>
      <c r="C445" s="72" t="str">
        <f aca="false">IF(B445="","",IFERROR(INDEX(T_NOMBRE,MATCH(B445,T_ID,0)),"⚠ ID no existe"))</f>
        <v/>
      </c>
      <c r="D445" s="65"/>
      <c r="E445" s="65"/>
      <c r="F445" s="64"/>
      <c r="G445" s="74" t="str">
        <f aca="false">IF(OR(B445="",NOT(ISNUMBER(D445)),NOT(ISNUMBER(E445))),"",NETWORKDAYS(D445,E445,FERIADOS))</f>
        <v/>
      </c>
      <c r="H445" s="69"/>
      <c r="I445" s="74" t="str">
        <f aca="false">IF(B445="","",IF(ISNUMBER(H445),H445,N(G445)))</f>
        <v/>
      </c>
      <c r="J445" s="64"/>
      <c r="K445" s="64"/>
      <c r="L445" s="93" t="str">
        <f aca="false">IF(NOT(ISNUMBER(D445)),"",DATE(YEAR(D445),MONTH(D445),1))</f>
        <v/>
      </c>
      <c r="M445" s="70" t="str">
        <f aca="false">IF(B445="","",IF(AND(ISNUMBER(D445),ISNUMBER(E445),E445&lt;D445),"⚠ Término anterior al inicio",IF(J445&lt;&gt;"Sí","Pendiente comprobante firmado","OK")))</f>
        <v/>
      </c>
    </row>
    <row r="446" customFormat="false" ht="15" hidden="false" customHeight="false" outlineLevel="0" collapsed="false">
      <c r="B446" s="64"/>
      <c r="C446" s="72" t="str">
        <f aca="false">IF(B446="","",IFERROR(INDEX(T_NOMBRE,MATCH(B446,T_ID,0)),"⚠ ID no existe"))</f>
        <v/>
      </c>
      <c r="D446" s="65"/>
      <c r="E446" s="65"/>
      <c r="F446" s="64"/>
      <c r="G446" s="74" t="str">
        <f aca="false">IF(OR(B446="",NOT(ISNUMBER(D446)),NOT(ISNUMBER(E446))),"",NETWORKDAYS(D446,E446,FERIADOS))</f>
        <v/>
      </c>
      <c r="H446" s="69"/>
      <c r="I446" s="74" t="str">
        <f aca="false">IF(B446="","",IF(ISNUMBER(H446),H446,N(G446)))</f>
        <v/>
      </c>
      <c r="J446" s="64"/>
      <c r="K446" s="64"/>
      <c r="L446" s="93" t="str">
        <f aca="false">IF(NOT(ISNUMBER(D446)),"",DATE(YEAR(D446),MONTH(D446),1))</f>
        <v/>
      </c>
      <c r="M446" s="70" t="str">
        <f aca="false">IF(B446="","",IF(AND(ISNUMBER(D446),ISNUMBER(E446),E446&lt;D446),"⚠ Término anterior al inicio",IF(J446&lt;&gt;"Sí","Pendiente comprobante firmado","OK")))</f>
        <v/>
      </c>
    </row>
    <row r="447" customFormat="false" ht="15" hidden="false" customHeight="false" outlineLevel="0" collapsed="false">
      <c r="B447" s="64"/>
      <c r="C447" s="72" t="str">
        <f aca="false">IF(B447="","",IFERROR(INDEX(T_NOMBRE,MATCH(B447,T_ID,0)),"⚠ ID no existe"))</f>
        <v/>
      </c>
      <c r="D447" s="65"/>
      <c r="E447" s="65"/>
      <c r="F447" s="64"/>
      <c r="G447" s="74" t="str">
        <f aca="false">IF(OR(B447="",NOT(ISNUMBER(D447)),NOT(ISNUMBER(E447))),"",NETWORKDAYS(D447,E447,FERIADOS))</f>
        <v/>
      </c>
      <c r="H447" s="69"/>
      <c r="I447" s="74" t="str">
        <f aca="false">IF(B447="","",IF(ISNUMBER(H447),H447,N(G447)))</f>
        <v/>
      </c>
      <c r="J447" s="64"/>
      <c r="K447" s="64"/>
      <c r="L447" s="93" t="str">
        <f aca="false">IF(NOT(ISNUMBER(D447)),"",DATE(YEAR(D447),MONTH(D447),1))</f>
        <v/>
      </c>
      <c r="M447" s="70" t="str">
        <f aca="false">IF(B447="","",IF(AND(ISNUMBER(D447),ISNUMBER(E447),E447&lt;D447),"⚠ Término anterior al inicio",IF(J447&lt;&gt;"Sí","Pendiente comprobante firmado","OK")))</f>
        <v/>
      </c>
    </row>
    <row r="448" customFormat="false" ht="15" hidden="false" customHeight="false" outlineLevel="0" collapsed="false">
      <c r="B448" s="64"/>
      <c r="C448" s="72" t="str">
        <f aca="false">IF(B448="","",IFERROR(INDEX(T_NOMBRE,MATCH(B448,T_ID,0)),"⚠ ID no existe"))</f>
        <v/>
      </c>
      <c r="D448" s="65"/>
      <c r="E448" s="65"/>
      <c r="F448" s="64"/>
      <c r="G448" s="74" t="str">
        <f aca="false">IF(OR(B448="",NOT(ISNUMBER(D448)),NOT(ISNUMBER(E448))),"",NETWORKDAYS(D448,E448,FERIADOS))</f>
        <v/>
      </c>
      <c r="H448" s="69"/>
      <c r="I448" s="74" t="str">
        <f aca="false">IF(B448="","",IF(ISNUMBER(H448),H448,N(G448)))</f>
        <v/>
      </c>
      <c r="J448" s="64"/>
      <c r="K448" s="64"/>
      <c r="L448" s="93" t="str">
        <f aca="false">IF(NOT(ISNUMBER(D448)),"",DATE(YEAR(D448),MONTH(D448),1))</f>
        <v/>
      </c>
      <c r="M448" s="70" t="str">
        <f aca="false">IF(B448="","",IF(AND(ISNUMBER(D448),ISNUMBER(E448),E448&lt;D448),"⚠ Término anterior al inicio",IF(J448&lt;&gt;"Sí","Pendiente comprobante firmado","OK")))</f>
        <v/>
      </c>
    </row>
    <row r="449" customFormat="false" ht="15" hidden="false" customHeight="false" outlineLevel="0" collapsed="false">
      <c r="B449" s="64"/>
      <c r="C449" s="72" t="str">
        <f aca="false">IF(B449="","",IFERROR(INDEX(T_NOMBRE,MATCH(B449,T_ID,0)),"⚠ ID no existe"))</f>
        <v/>
      </c>
      <c r="D449" s="65"/>
      <c r="E449" s="65"/>
      <c r="F449" s="64"/>
      <c r="G449" s="74" t="str">
        <f aca="false">IF(OR(B449="",NOT(ISNUMBER(D449)),NOT(ISNUMBER(E449))),"",NETWORKDAYS(D449,E449,FERIADOS))</f>
        <v/>
      </c>
      <c r="H449" s="69"/>
      <c r="I449" s="74" t="str">
        <f aca="false">IF(B449="","",IF(ISNUMBER(H449),H449,N(G449)))</f>
        <v/>
      </c>
      <c r="J449" s="64"/>
      <c r="K449" s="64"/>
      <c r="L449" s="93" t="str">
        <f aca="false">IF(NOT(ISNUMBER(D449)),"",DATE(YEAR(D449),MONTH(D449),1))</f>
        <v/>
      </c>
      <c r="M449" s="70" t="str">
        <f aca="false">IF(B449="","",IF(AND(ISNUMBER(D449),ISNUMBER(E449),E449&lt;D449),"⚠ Término anterior al inicio",IF(J449&lt;&gt;"Sí","Pendiente comprobante firmado","OK")))</f>
        <v/>
      </c>
    </row>
    <row r="450" customFormat="false" ht="15" hidden="false" customHeight="false" outlineLevel="0" collapsed="false">
      <c r="B450" s="64"/>
      <c r="C450" s="72" t="str">
        <f aca="false">IF(B450="","",IFERROR(INDEX(T_NOMBRE,MATCH(B450,T_ID,0)),"⚠ ID no existe"))</f>
        <v/>
      </c>
      <c r="D450" s="65"/>
      <c r="E450" s="65"/>
      <c r="F450" s="64"/>
      <c r="G450" s="74" t="str">
        <f aca="false">IF(OR(B450="",NOT(ISNUMBER(D450)),NOT(ISNUMBER(E450))),"",NETWORKDAYS(D450,E450,FERIADOS))</f>
        <v/>
      </c>
      <c r="H450" s="69"/>
      <c r="I450" s="74" t="str">
        <f aca="false">IF(B450="","",IF(ISNUMBER(H450),H450,N(G450)))</f>
        <v/>
      </c>
      <c r="J450" s="64"/>
      <c r="K450" s="64"/>
      <c r="L450" s="93" t="str">
        <f aca="false">IF(NOT(ISNUMBER(D450)),"",DATE(YEAR(D450),MONTH(D450),1))</f>
        <v/>
      </c>
      <c r="M450" s="70" t="str">
        <f aca="false">IF(B450="","",IF(AND(ISNUMBER(D450),ISNUMBER(E450),E450&lt;D450),"⚠ Término anterior al inicio",IF(J450&lt;&gt;"Sí","Pendiente comprobante firmado","OK")))</f>
        <v/>
      </c>
    </row>
    <row r="451" customFormat="false" ht="15" hidden="false" customHeight="false" outlineLevel="0" collapsed="false">
      <c r="B451" s="64"/>
      <c r="C451" s="72" t="str">
        <f aca="false">IF(B451="","",IFERROR(INDEX(T_NOMBRE,MATCH(B451,T_ID,0)),"⚠ ID no existe"))</f>
        <v/>
      </c>
      <c r="D451" s="65"/>
      <c r="E451" s="65"/>
      <c r="F451" s="64"/>
      <c r="G451" s="74" t="str">
        <f aca="false">IF(OR(B451="",NOT(ISNUMBER(D451)),NOT(ISNUMBER(E451))),"",NETWORKDAYS(D451,E451,FERIADOS))</f>
        <v/>
      </c>
      <c r="H451" s="69"/>
      <c r="I451" s="74" t="str">
        <f aca="false">IF(B451="","",IF(ISNUMBER(H451),H451,N(G451)))</f>
        <v/>
      </c>
      <c r="J451" s="64"/>
      <c r="K451" s="64"/>
      <c r="L451" s="93" t="str">
        <f aca="false">IF(NOT(ISNUMBER(D451)),"",DATE(YEAR(D451),MONTH(D451),1))</f>
        <v/>
      </c>
      <c r="M451" s="70" t="str">
        <f aca="false">IF(B451="","",IF(AND(ISNUMBER(D451),ISNUMBER(E451),E451&lt;D451),"⚠ Término anterior al inicio",IF(J451&lt;&gt;"Sí","Pendiente comprobante firmado","OK")))</f>
        <v/>
      </c>
    </row>
    <row r="452" customFormat="false" ht="15" hidden="false" customHeight="false" outlineLevel="0" collapsed="false">
      <c r="B452" s="64"/>
      <c r="C452" s="72" t="str">
        <f aca="false">IF(B452="","",IFERROR(INDEX(T_NOMBRE,MATCH(B452,T_ID,0)),"⚠ ID no existe"))</f>
        <v/>
      </c>
      <c r="D452" s="65"/>
      <c r="E452" s="65"/>
      <c r="F452" s="64"/>
      <c r="G452" s="74" t="str">
        <f aca="false">IF(OR(B452="",NOT(ISNUMBER(D452)),NOT(ISNUMBER(E452))),"",NETWORKDAYS(D452,E452,FERIADOS))</f>
        <v/>
      </c>
      <c r="H452" s="69"/>
      <c r="I452" s="74" t="str">
        <f aca="false">IF(B452="","",IF(ISNUMBER(H452),H452,N(G452)))</f>
        <v/>
      </c>
      <c r="J452" s="64"/>
      <c r="K452" s="64"/>
      <c r="L452" s="93" t="str">
        <f aca="false">IF(NOT(ISNUMBER(D452)),"",DATE(YEAR(D452),MONTH(D452),1))</f>
        <v/>
      </c>
      <c r="M452" s="70" t="str">
        <f aca="false">IF(B452="","",IF(AND(ISNUMBER(D452),ISNUMBER(E452),E452&lt;D452),"⚠ Término anterior al inicio",IF(J452&lt;&gt;"Sí","Pendiente comprobante firmado","OK")))</f>
        <v/>
      </c>
    </row>
    <row r="453" customFormat="false" ht="15" hidden="false" customHeight="false" outlineLevel="0" collapsed="false">
      <c r="B453" s="64"/>
      <c r="C453" s="72" t="str">
        <f aca="false">IF(B453="","",IFERROR(INDEX(T_NOMBRE,MATCH(B453,T_ID,0)),"⚠ ID no existe"))</f>
        <v/>
      </c>
      <c r="D453" s="65"/>
      <c r="E453" s="65"/>
      <c r="F453" s="64"/>
      <c r="G453" s="74" t="str">
        <f aca="false">IF(OR(B453="",NOT(ISNUMBER(D453)),NOT(ISNUMBER(E453))),"",NETWORKDAYS(D453,E453,FERIADOS))</f>
        <v/>
      </c>
      <c r="H453" s="69"/>
      <c r="I453" s="74" t="str">
        <f aca="false">IF(B453="","",IF(ISNUMBER(H453),H453,N(G453)))</f>
        <v/>
      </c>
      <c r="J453" s="64"/>
      <c r="K453" s="64"/>
      <c r="L453" s="93" t="str">
        <f aca="false">IF(NOT(ISNUMBER(D453)),"",DATE(YEAR(D453),MONTH(D453),1))</f>
        <v/>
      </c>
      <c r="M453" s="70" t="str">
        <f aca="false">IF(B453="","",IF(AND(ISNUMBER(D453),ISNUMBER(E453),E453&lt;D453),"⚠ Término anterior al inicio",IF(J453&lt;&gt;"Sí","Pendiente comprobante firmado","OK")))</f>
        <v/>
      </c>
    </row>
    <row r="454" customFormat="false" ht="15" hidden="false" customHeight="false" outlineLevel="0" collapsed="false">
      <c r="B454" s="64"/>
      <c r="C454" s="72" t="str">
        <f aca="false">IF(B454="","",IFERROR(INDEX(T_NOMBRE,MATCH(B454,T_ID,0)),"⚠ ID no existe"))</f>
        <v/>
      </c>
      <c r="D454" s="65"/>
      <c r="E454" s="65"/>
      <c r="F454" s="64"/>
      <c r="G454" s="74" t="str">
        <f aca="false">IF(OR(B454="",NOT(ISNUMBER(D454)),NOT(ISNUMBER(E454))),"",NETWORKDAYS(D454,E454,FERIADOS))</f>
        <v/>
      </c>
      <c r="H454" s="69"/>
      <c r="I454" s="74" t="str">
        <f aca="false">IF(B454="","",IF(ISNUMBER(H454),H454,N(G454)))</f>
        <v/>
      </c>
      <c r="J454" s="64"/>
      <c r="K454" s="64"/>
      <c r="L454" s="93" t="str">
        <f aca="false">IF(NOT(ISNUMBER(D454)),"",DATE(YEAR(D454),MONTH(D454),1))</f>
        <v/>
      </c>
      <c r="M454" s="70" t="str">
        <f aca="false">IF(B454="","",IF(AND(ISNUMBER(D454),ISNUMBER(E454),E454&lt;D454),"⚠ Término anterior al inicio",IF(J454&lt;&gt;"Sí","Pendiente comprobante firmado","OK")))</f>
        <v/>
      </c>
    </row>
    <row r="455" customFormat="false" ht="15" hidden="false" customHeight="false" outlineLevel="0" collapsed="false">
      <c r="B455" s="64"/>
      <c r="C455" s="72" t="str">
        <f aca="false">IF(B455="","",IFERROR(INDEX(T_NOMBRE,MATCH(B455,T_ID,0)),"⚠ ID no existe"))</f>
        <v/>
      </c>
      <c r="D455" s="65"/>
      <c r="E455" s="65"/>
      <c r="F455" s="64"/>
      <c r="G455" s="74" t="str">
        <f aca="false">IF(OR(B455="",NOT(ISNUMBER(D455)),NOT(ISNUMBER(E455))),"",NETWORKDAYS(D455,E455,FERIADOS))</f>
        <v/>
      </c>
      <c r="H455" s="69"/>
      <c r="I455" s="74" t="str">
        <f aca="false">IF(B455="","",IF(ISNUMBER(H455),H455,N(G455)))</f>
        <v/>
      </c>
      <c r="J455" s="64"/>
      <c r="K455" s="64"/>
      <c r="L455" s="93" t="str">
        <f aca="false">IF(NOT(ISNUMBER(D455)),"",DATE(YEAR(D455),MONTH(D455),1))</f>
        <v/>
      </c>
      <c r="M455" s="70" t="str">
        <f aca="false">IF(B455="","",IF(AND(ISNUMBER(D455),ISNUMBER(E455),E455&lt;D455),"⚠ Término anterior al inicio",IF(J455&lt;&gt;"Sí","Pendiente comprobante firmado","OK")))</f>
        <v/>
      </c>
    </row>
    <row r="456" customFormat="false" ht="15" hidden="false" customHeight="false" outlineLevel="0" collapsed="false">
      <c r="B456" s="64"/>
      <c r="C456" s="72" t="str">
        <f aca="false">IF(B456="","",IFERROR(INDEX(T_NOMBRE,MATCH(B456,T_ID,0)),"⚠ ID no existe"))</f>
        <v/>
      </c>
      <c r="D456" s="65"/>
      <c r="E456" s="65"/>
      <c r="F456" s="64"/>
      <c r="G456" s="74" t="str">
        <f aca="false">IF(OR(B456="",NOT(ISNUMBER(D456)),NOT(ISNUMBER(E456))),"",NETWORKDAYS(D456,E456,FERIADOS))</f>
        <v/>
      </c>
      <c r="H456" s="69"/>
      <c r="I456" s="74" t="str">
        <f aca="false">IF(B456="","",IF(ISNUMBER(H456),H456,N(G456)))</f>
        <v/>
      </c>
      <c r="J456" s="64"/>
      <c r="K456" s="64"/>
      <c r="L456" s="93" t="str">
        <f aca="false">IF(NOT(ISNUMBER(D456)),"",DATE(YEAR(D456),MONTH(D456),1))</f>
        <v/>
      </c>
      <c r="M456" s="70" t="str">
        <f aca="false">IF(B456="","",IF(AND(ISNUMBER(D456),ISNUMBER(E456),E456&lt;D456),"⚠ Término anterior al inicio",IF(J456&lt;&gt;"Sí","Pendiente comprobante firmado","OK")))</f>
        <v/>
      </c>
    </row>
    <row r="457" customFormat="false" ht="15" hidden="false" customHeight="false" outlineLevel="0" collapsed="false">
      <c r="B457" s="64"/>
      <c r="C457" s="72" t="str">
        <f aca="false">IF(B457="","",IFERROR(INDEX(T_NOMBRE,MATCH(B457,T_ID,0)),"⚠ ID no existe"))</f>
        <v/>
      </c>
      <c r="D457" s="65"/>
      <c r="E457" s="65"/>
      <c r="F457" s="64"/>
      <c r="G457" s="74" t="str">
        <f aca="false">IF(OR(B457="",NOT(ISNUMBER(D457)),NOT(ISNUMBER(E457))),"",NETWORKDAYS(D457,E457,FERIADOS))</f>
        <v/>
      </c>
      <c r="H457" s="69"/>
      <c r="I457" s="74" t="str">
        <f aca="false">IF(B457="","",IF(ISNUMBER(H457),H457,N(G457)))</f>
        <v/>
      </c>
      <c r="J457" s="64"/>
      <c r="K457" s="64"/>
      <c r="L457" s="93" t="str">
        <f aca="false">IF(NOT(ISNUMBER(D457)),"",DATE(YEAR(D457),MONTH(D457),1))</f>
        <v/>
      </c>
      <c r="M457" s="70" t="str">
        <f aca="false">IF(B457="","",IF(AND(ISNUMBER(D457),ISNUMBER(E457),E457&lt;D457),"⚠ Término anterior al inicio",IF(J457&lt;&gt;"Sí","Pendiente comprobante firmado","OK")))</f>
        <v/>
      </c>
    </row>
    <row r="458" customFormat="false" ht="15" hidden="false" customHeight="false" outlineLevel="0" collapsed="false">
      <c r="B458" s="64"/>
      <c r="C458" s="72" t="str">
        <f aca="false">IF(B458="","",IFERROR(INDEX(T_NOMBRE,MATCH(B458,T_ID,0)),"⚠ ID no existe"))</f>
        <v/>
      </c>
      <c r="D458" s="65"/>
      <c r="E458" s="65"/>
      <c r="F458" s="64"/>
      <c r="G458" s="74" t="str">
        <f aca="false">IF(OR(B458="",NOT(ISNUMBER(D458)),NOT(ISNUMBER(E458))),"",NETWORKDAYS(D458,E458,FERIADOS))</f>
        <v/>
      </c>
      <c r="H458" s="69"/>
      <c r="I458" s="74" t="str">
        <f aca="false">IF(B458="","",IF(ISNUMBER(H458),H458,N(G458)))</f>
        <v/>
      </c>
      <c r="J458" s="64"/>
      <c r="K458" s="64"/>
      <c r="L458" s="93" t="str">
        <f aca="false">IF(NOT(ISNUMBER(D458)),"",DATE(YEAR(D458),MONTH(D458),1))</f>
        <v/>
      </c>
      <c r="M458" s="70" t="str">
        <f aca="false">IF(B458="","",IF(AND(ISNUMBER(D458),ISNUMBER(E458),E458&lt;D458),"⚠ Término anterior al inicio",IF(J458&lt;&gt;"Sí","Pendiente comprobante firmado","OK")))</f>
        <v/>
      </c>
    </row>
    <row r="459" customFormat="false" ht="15" hidden="false" customHeight="false" outlineLevel="0" collapsed="false">
      <c r="B459" s="64"/>
      <c r="C459" s="72" t="str">
        <f aca="false">IF(B459="","",IFERROR(INDEX(T_NOMBRE,MATCH(B459,T_ID,0)),"⚠ ID no existe"))</f>
        <v/>
      </c>
      <c r="D459" s="65"/>
      <c r="E459" s="65"/>
      <c r="F459" s="64"/>
      <c r="G459" s="74" t="str">
        <f aca="false">IF(OR(B459="",NOT(ISNUMBER(D459)),NOT(ISNUMBER(E459))),"",NETWORKDAYS(D459,E459,FERIADOS))</f>
        <v/>
      </c>
      <c r="H459" s="69"/>
      <c r="I459" s="74" t="str">
        <f aca="false">IF(B459="","",IF(ISNUMBER(H459),H459,N(G459)))</f>
        <v/>
      </c>
      <c r="J459" s="64"/>
      <c r="K459" s="64"/>
      <c r="L459" s="93" t="str">
        <f aca="false">IF(NOT(ISNUMBER(D459)),"",DATE(YEAR(D459),MONTH(D459),1))</f>
        <v/>
      </c>
      <c r="M459" s="70" t="str">
        <f aca="false">IF(B459="","",IF(AND(ISNUMBER(D459),ISNUMBER(E459),E459&lt;D459),"⚠ Término anterior al inicio",IF(J459&lt;&gt;"Sí","Pendiente comprobante firmado","OK")))</f>
        <v/>
      </c>
    </row>
    <row r="460" customFormat="false" ht="15" hidden="false" customHeight="false" outlineLevel="0" collapsed="false">
      <c r="B460" s="64"/>
      <c r="C460" s="72" t="str">
        <f aca="false">IF(B460="","",IFERROR(INDEX(T_NOMBRE,MATCH(B460,T_ID,0)),"⚠ ID no existe"))</f>
        <v/>
      </c>
      <c r="D460" s="65"/>
      <c r="E460" s="65"/>
      <c r="F460" s="64"/>
      <c r="G460" s="74" t="str">
        <f aca="false">IF(OR(B460="",NOT(ISNUMBER(D460)),NOT(ISNUMBER(E460))),"",NETWORKDAYS(D460,E460,FERIADOS))</f>
        <v/>
      </c>
      <c r="H460" s="69"/>
      <c r="I460" s="74" t="str">
        <f aca="false">IF(B460="","",IF(ISNUMBER(H460),H460,N(G460)))</f>
        <v/>
      </c>
      <c r="J460" s="64"/>
      <c r="K460" s="64"/>
      <c r="L460" s="93" t="str">
        <f aca="false">IF(NOT(ISNUMBER(D460)),"",DATE(YEAR(D460),MONTH(D460),1))</f>
        <v/>
      </c>
      <c r="M460" s="70" t="str">
        <f aca="false">IF(B460="","",IF(AND(ISNUMBER(D460),ISNUMBER(E460),E460&lt;D460),"⚠ Término anterior al inicio",IF(J460&lt;&gt;"Sí","Pendiente comprobante firmado","OK")))</f>
        <v/>
      </c>
    </row>
    <row r="461" customFormat="false" ht="15" hidden="false" customHeight="false" outlineLevel="0" collapsed="false">
      <c r="B461" s="64"/>
      <c r="C461" s="72" t="str">
        <f aca="false">IF(B461="","",IFERROR(INDEX(T_NOMBRE,MATCH(B461,T_ID,0)),"⚠ ID no existe"))</f>
        <v/>
      </c>
      <c r="D461" s="65"/>
      <c r="E461" s="65"/>
      <c r="F461" s="64"/>
      <c r="G461" s="74" t="str">
        <f aca="false">IF(OR(B461="",NOT(ISNUMBER(D461)),NOT(ISNUMBER(E461))),"",NETWORKDAYS(D461,E461,FERIADOS))</f>
        <v/>
      </c>
      <c r="H461" s="69"/>
      <c r="I461" s="74" t="str">
        <f aca="false">IF(B461="","",IF(ISNUMBER(H461),H461,N(G461)))</f>
        <v/>
      </c>
      <c r="J461" s="64"/>
      <c r="K461" s="64"/>
      <c r="L461" s="93" t="str">
        <f aca="false">IF(NOT(ISNUMBER(D461)),"",DATE(YEAR(D461),MONTH(D461),1))</f>
        <v/>
      </c>
      <c r="M461" s="70" t="str">
        <f aca="false">IF(B461="","",IF(AND(ISNUMBER(D461),ISNUMBER(E461),E461&lt;D461),"⚠ Término anterior al inicio",IF(J461&lt;&gt;"Sí","Pendiente comprobante firmado","OK")))</f>
        <v/>
      </c>
    </row>
    <row r="462" customFormat="false" ht="15" hidden="false" customHeight="false" outlineLevel="0" collapsed="false">
      <c r="B462" s="64"/>
      <c r="C462" s="72" t="str">
        <f aca="false">IF(B462="","",IFERROR(INDEX(T_NOMBRE,MATCH(B462,T_ID,0)),"⚠ ID no existe"))</f>
        <v/>
      </c>
      <c r="D462" s="65"/>
      <c r="E462" s="65"/>
      <c r="F462" s="64"/>
      <c r="G462" s="74" t="str">
        <f aca="false">IF(OR(B462="",NOT(ISNUMBER(D462)),NOT(ISNUMBER(E462))),"",NETWORKDAYS(D462,E462,FERIADOS))</f>
        <v/>
      </c>
      <c r="H462" s="69"/>
      <c r="I462" s="74" t="str">
        <f aca="false">IF(B462="","",IF(ISNUMBER(H462),H462,N(G462)))</f>
        <v/>
      </c>
      <c r="J462" s="64"/>
      <c r="K462" s="64"/>
      <c r="L462" s="93" t="str">
        <f aca="false">IF(NOT(ISNUMBER(D462)),"",DATE(YEAR(D462),MONTH(D462),1))</f>
        <v/>
      </c>
      <c r="M462" s="70" t="str">
        <f aca="false">IF(B462="","",IF(AND(ISNUMBER(D462),ISNUMBER(E462),E462&lt;D462),"⚠ Término anterior al inicio",IF(J462&lt;&gt;"Sí","Pendiente comprobante firmado","OK")))</f>
        <v/>
      </c>
    </row>
    <row r="463" customFormat="false" ht="15" hidden="false" customHeight="false" outlineLevel="0" collapsed="false">
      <c r="B463" s="64"/>
      <c r="C463" s="72" t="str">
        <f aca="false">IF(B463="","",IFERROR(INDEX(T_NOMBRE,MATCH(B463,T_ID,0)),"⚠ ID no existe"))</f>
        <v/>
      </c>
      <c r="D463" s="65"/>
      <c r="E463" s="65"/>
      <c r="F463" s="64"/>
      <c r="G463" s="74" t="str">
        <f aca="false">IF(OR(B463="",NOT(ISNUMBER(D463)),NOT(ISNUMBER(E463))),"",NETWORKDAYS(D463,E463,FERIADOS))</f>
        <v/>
      </c>
      <c r="H463" s="69"/>
      <c r="I463" s="74" t="str">
        <f aca="false">IF(B463="","",IF(ISNUMBER(H463),H463,N(G463)))</f>
        <v/>
      </c>
      <c r="J463" s="64"/>
      <c r="K463" s="64"/>
      <c r="L463" s="93" t="str">
        <f aca="false">IF(NOT(ISNUMBER(D463)),"",DATE(YEAR(D463),MONTH(D463),1))</f>
        <v/>
      </c>
      <c r="M463" s="70" t="str">
        <f aca="false">IF(B463="","",IF(AND(ISNUMBER(D463),ISNUMBER(E463),E463&lt;D463),"⚠ Término anterior al inicio",IF(J463&lt;&gt;"Sí","Pendiente comprobante firmado","OK")))</f>
        <v/>
      </c>
    </row>
    <row r="464" customFormat="false" ht="15" hidden="false" customHeight="false" outlineLevel="0" collapsed="false">
      <c r="B464" s="64"/>
      <c r="C464" s="72" t="str">
        <f aca="false">IF(B464="","",IFERROR(INDEX(T_NOMBRE,MATCH(B464,T_ID,0)),"⚠ ID no existe"))</f>
        <v/>
      </c>
      <c r="D464" s="65"/>
      <c r="E464" s="65"/>
      <c r="F464" s="64"/>
      <c r="G464" s="74" t="str">
        <f aca="false">IF(OR(B464="",NOT(ISNUMBER(D464)),NOT(ISNUMBER(E464))),"",NETWORKDAYS(D464,E464,FERIADOS))</f>
        <v/>
      </c>
      <c r="H464" s="69"/>
      <c r="I464" s="74" t="str">
        <f aca="false">IF(B464="","",IF(ISNUMBER(H464),H464,N(G464)))</f>
        <v/>
      </c>
      <c r="J464" s="64"/>
      <c r="K464" s="64"/>
      <c r="L464" s="93" t="str">
        <f aca="false">IF(NOT(ISNUMBER(D464)),"",DATE(YEAR(D464),MONTH(D464),1))</f>
        <v/>
      </c>
      <c r="M464" s="70" t="str">
        <f aca="false">IF(B464="","",IF(AND(ISNUMBER(D464),ISNUMBER(E464),E464&lt;D464),"⚠ Término anterior al inicio",IF(J464&lt;&gt;"Sí","Pendiente comprobante firmado","OK")))</f>
        <v/>
      </c>
    </row>
    <row r="465" customFormat="false" ht="15" hidden="false" customHeight="false" outlineLevel="0" collapsed="false">
      <c r="B465" s="64"/>
      <c r="C465" s="72" t="str">
        <f aca="false">IF(B465="","",IFERROR(INDEX(T_NOMBRE,MATCH(B465,T_ID,0)),"⚠ ID no existe"))</f>
        <v/>
      </c>
      <c r="D465" s="65"/>
      <c r="E465" s="65"/>
      <c r="F465" s="64"/>
      <c r="G465" s="74" t="str">
        <f aca="false">IF(OR(B465="",NOT(ISNUMBER(D465)),NOT(ISNUMBER(E465))),"",NETWORKDAYS(D465,E465,FERIADOS))</f>
        <v/>
      </c>
      <c r="H465" s="69"/>
      <c r="I465" s="74" t="str">
        <f aca="false">IF(B465="","",IF(ISNUMBER(H465),H465,N(G465)))</f>
        <v/>
      </c>
      <c r="J465" s="64"/>
      <c r="K465" s="64"/>
      <c r="L465" s="93" t="str">
        <f aca="false">IF(NOT(ISNUMBER(D465)),"",DATE(YEAR(D465),MONTH(D465),1))</f>
        <v/>
      </c>
      <c r="M465" s="70" t="str">
        <f aca="false">IF(B465="","",IF(AND(ISNUMBER(D465),ISNUMBER(E465),E465&lt;D465),"⚠ Término anterior al inicio",IF(J465&lt;&gt;"Sí","Pendiente comprobante firmado","OK")))</f>
        <v/>
      </c>
    </row>
    <row r="466" customFormat="false" ht="15" hidden="false" customHeight="false" outlineLevel="0" collapsed="false">
      <c r="B466" s="64"/>
      <c r="C466" s="72" t="str">
        <f aca="false">IF(B466="","",IFERROR(INDEX(T_NOMBRE,MATCH(B466,T_ID,0)),"⚠ ID no existe"))</f>
        <v/>
      </c>
      <c r="D466" s="65"/>
      <c r="E466" s="65"/>
      <c r="F466" s="64"/>
      <c r="G466" s="74" t="str">
        <f aca="false">IF(OR(B466="",NOT(ISNUMBER(D466)),NOT(ISNUMBER(E466))),"",NETWORKDAYS(D466,E466,FERIADOS))</f>
        <v/>
      </c>
      <c r="H466" s="69"/>
      <c r="I466" s="74" t="str">
        <f aca="false">IF(B466="","",IF(ISNUMBER(H466),H466,N(G466)))</f>
        <v/>
      </c>
      <c r="J466" s="64"/>
      <c r="K466" s="64"/>
      <c r="L466" s="93" t="str">
        <f aca="false">IF(NOT(ISNUMBER(D466)),"",DATE(YEAR(D466),MONTH(D466),1))</f>
        <v/>
      </c>
      <c r="M466" s="70" t="str">
        <f aca="false">IF(B466="","",IF(AND(ISNUMBER(D466),ISNUMBER(E466),E466&lt;D466),"⚠ Término anterior al inicio",IF(J466&lt;&gt;"Sí","Pendiente comprobante firmado","OK")))</f>
        <v/>
      </c>
    </row>
    <row r="467" customFormat="false" ht="15" hidden="false" customHeight="false" outlineLevel="0" collapsed="false">
      <c r="B467" s="64"/>
      <c r="C467" s="72" t="str">
        <f aca="false">IF(B467="","",IFERROR(INDEX(T_NOMBRE,MATCH(B467,T_ID,0)),"⚠ ID no existe"))</f>
        <v/>
      </c>
      <c r="D467" s="65"/>
      <c r="E467" s="65"/>
      <c r="F467" s="64"/>
      <c r="G467" s="74" t="str">
        <f aca="false">IF(OR(B467="",NOT(ISNUMBER(D467)),NOT(ISNUMBER(E467))),"",NETWORKDAYS(D467,E467,FERIADOS))</f>
        <v/>
      </c>
      <c r="H467" s="69"/>
      <c r="I467" s="74" t="str">
        <f aca="false">IF(B467="","",IF(ISNUMBER(H467),H467,N(G467)))</f>
        <v/>
      </c>
      <c r="J467" s="64"/>
      <c r="K467" s="64"/>
      <c r="L467" s="93" t="str">
        <f aca="false">IF(NOT(ISNUMBER(D467)),"",DATE(YEAR(D467),MONTH(D467),1))</f>
        <v/>
      </c>
      <c r="M467" s="70" t="str">
        <f aca="false">IF(B467="","",IF(AND(ISNUMBER(D467),ISNUMBER(E467),E467&lt;D467),"⚠ Término anterior al inicio",IF(J467&lt;&gt;"Sí","Pendiente comprobante firmado","OK")))</f>
        <v/>
      </c>
    </row>
    <row r="468" customFormat="false" ht="15" hidden="false" customHeight="false" outlineLevel="0" collapsed="false">
      <c r="B468" s="64"/>
      <c r="C468" s="72" t="str">
        <f aca="false">IF(B468="","",IFERROR(INDEX(T_NOMBRE,MATCH(B468,T_ID,0)),"⚠ ID no existe"))</f>
        <v/>
      </c>
      <c r="D468" s="65"/>
      <c r="E468" s="65"/>
      <c r="F468" s="64"/>
      <c r="G468" s="74" t="str">
        <f aca="false">IF(OR(B468="",NOT(ISNUMBER(D468)),NOT(ISNUMBER(E468))),"",NETWORKDAYS(D468,E468,FERIADOS))</f>
        <v/>
      </c>
      <c r="H468" s="69"/>
      <c r="I468" s="74" t="str">
        <f aca="false">IF(B468="","",IF(ISNUMBER(H468),H468,N(G468)))</f>
        <v/>
      </c>
      <c r="J468" s="64"/>
      <c r="K468" s="64"/>
      <c r="L468" s="93" t="str">
        <f aca="false">IF(NOT(ISNUMBER(D468)),"",DATE(YEAR(D468),MONTH(D468),1))</f>
        <v/>
      </c>
      <c r="M468" s="70" t="str">
        <f aca="false">IF(B468="","",IF(AND(ISNUMBER(D468),ISNUMBER(E468),E468&lt;D468),"⚠ Término anterior al inicio",IF(J468&lt;&gt;"Sí","Pendiente comprobante firmado","OK")))</f>
        <v/>
      </c>
    </row>
    <row r="469" customFormat="false" ht="15" hidden="false" customHeight="false" outlineLevel="0" collapsed="false">
      <c r="B469" s="64"/>
      <c r="C469" s="72" t="str">
        <f aca="false">IF(B469="","",IFERROR(INDEX(T_NOMBRE,MATCH(B469,T_ID,0)),"⚠ ID no existe"))</f>
        <v/>
      </c>
      <c r="D469" s="65"/>
      <c r="E469" s="65"/>
      <c r="F469" s="64"/>
      <c r="G469" s="74" t="str">
        <f aca="false">IF(OR(B469="",NOT(ISNUMBER(D469)),NOT(ISNUMBER(E469))),"",NETWORKDAYS(D469,E469,FERIADOS))</f>
        <v/>
      </c>
      <c r="H469" s="69"/>
      <c r="I469" s="74" t="str">
        <f aca="false">IF(B469="","",IF(ISNUMBER(H469),H469,N(G469)))</f>
        <v/>
      </c>
      <c r="J469" s="64"/>
      <c r="K469" s="64"/>
      <c r="L469" s="93" t="str">
        <f aca="false">IF(NOT(ISNUMBER(D469)),"",DATE(YEAR(D469),MONTH(D469),1))</f>
        <v/>
      </c>
      <c r="M469" s="70" t="str">
        <f aca="false">IF(B469="","",IF(AND(ISNUMBER(D469),ISNUMBER(E469),E469&lt;D469),"⚠ Término anterior al inicio",IF(J469&lt;&gt;"Sí","Pendiente comprobante firmado","OK")))</f>
        <v/>
      </c>
    </row>
    <row r="470" customFormat="false" ht="15" hidden="false" customHeight="false" outlineLevel="0" collapsed="false">
      <c r="B470" s="64"/>
      <c r="C470" s="72" t="str">
        <f aca="false">IF(B470="","",IFERROR(INDEX(T_NOMBRE,MATCH(B470,T_ID,0)),"⚠ ID no existe"))</f>
        <v/>
      </c>
      <c r="D470" s="65"/>
      <c r="E470" s="65"/>
      <c r="F470" s="64"/>
      <c r="G470" s="74" t="str">
        <f aca="false">IF(OR(B470="",NOT(ISNUMBER(D470)),NOT(ISNUMBER(E470))),"",NETWORKDAYS(D470,E470,FERIADOS))</f>
        <v/>
      </c>
      <c r="H470" s="69"/>
      <c r="I470" s="74" t="str">
        <f aca="false">IF(B470="","",IF(ISNUMBER(H470),H470,N(G470)))</f>
        <v/>
      </c>
      <c r="J470" s="64"/>
      <c r="K470" s="64"/>
      <c r="L470" s="93" t="str">
        <f aca="false">IF(NOT(ISNUMBER(D470)),"",DATE(YEAR(D470),MONTH(D470),1))</f>
        <v/>
      </c>
      <c r="M470" s="70" t="str">
        <f aca="false">IF(B470="","",IF(AND(ISNUMBER(D470),ISNUMBER(E470),E470&lt;D470),"⚠ Término anterior al inicio",IF(J470&lt;&gt;"Sí","Pendiente comprobante firmado","OK")))</f>
        <v/>
      </c>
    </row>
    <row r="471" customFormat="false" ht="15" hidden="false" customHeight="false" outlineLevel="0" collapsed="false">
      <c r="B471" s="64"/>
      <c r="C471" s="72" t="str">
        <f aca="false">IF(B471="","",IFERROR(INDEX(T_NOMBRE,MATCH(B471,T_ID,0)),"⚠ ID no existe"))</f>
        <v/>
      </c>
      <c r="D471" s="65"/>
      <c r="E471" s="65"/>
      <c r="F471" s="64"/>
      <c r="G471" s="74" t="str">
        <f aca="false">IF(OR(B471="",NOT(ISNUMBER(D471)),NOT(ISNUMBER(E471))),"",NETWORKDAYS(D471,E471,FERIADOS))</f>
        <v/>
      </c>
      <c r="H471" s="69"/>
      <c r="I471" s="74" t="str">
        <f aca="false">IF(B471="","",IF(ISNUMBER(H471),H471,N(G471)))</f>
        <v/>
      </c>
      <c r="J471" s="64"/>
      <c r="K471" s="64"/>
      <c r="L471" s="93" t="str">
        <f aca="false">IF(NOT(ISNUMBER(D471)),"",DATE(YEAR(D471),MONTH(D471),1))</f>
        <v/>
      </c>
      <c r="M471" s="70" t="str">
        <f aca="false">IF(B471="","",IF(AND(ISNUMBER(D471),ISNUMBER(E471),E471&lt;D471),"⚠ Término anterior al inicio",IF(J471&lt;&gt;"Sí","Pendiente comprobante firmado","OK")))</f>
        <v/>
      </c>
    </row>
    <row r="472" customFormat="false" ht="15" hidden="false" customHeight="false" outlineLevel="0" collapsed="false">
      <c r="B472" s="64"/>
      <c r="C472" s="72" t="str">
        <f aca="false">IF(B472="","",IFERROR(INDEX(T_NOMBRE,MATCH(B472,T_ID,0)),"⚠ ID no existe"))</f>
        <v/>
      </c>
      <c r="D472" s="65"/>
      <c r="E472" s="65"/>
      <c r="F472" s="64"/>
      <c r="G472" s="74" t="str">
        <f aca="false">IF(OR(B472="",NOT(ISNUMBER(D472)),NOT(ISNUMBER(E472))),"",NETWORKDAYS(D472,E472,FERIADOS))</f>
        <v/>
      </c>
      <c r="H472" s="69"/>
      <c r="I472" s="74" t="str">
        <f aca="false">IF(B472="","",IF(ISNUMBER(H472),H472,N(G472)))</f>
        <v/>
      </c>
      <c r="J472" s="64"/>
      <c r="K472" s="64"/>
      <c r="L472" s="93" t="str">
        <f aca="false">IF(NOT(ISNUMBER(D472)),"",DATE(YEAR(D472),MONTH(D472),1))</f>
        <v/>
      </c>
      <c r="M472" s="70" t="str">
        <f aca="false">IF(B472="","",IF(AND(ISNUMBER(D472),ISNUMBER(E472),E472&lt;D472),"⚠ Término anterior al inicio",IF(J472&lt;&gt;"Sí","Pendiente comprobante firmado","OK")))</f>
        <v/>
      </c>
    </row>
    <row r="473" customFormat="false" ht="15" hidden="false" customHeight="false" outlineLevel="0" collapsed="false">
      <c r="B473" s="64"/>
      <c r="C473" s="72" t="str">
        <f aca="false">IF(B473="","",IFERROR(INDEX(T_NOMBRE,MATCH(B473,T_ID,0)),"⚠ ID no existe"))</f>
        <v/>
      </c>
      <c r="D473" s="65"/>
      <c r="E473" s="65"/>
      <c r="F473" s="64"/>
      <c r="G473" s="74" t="str">
        <f aca="false">IF(OR(B473="",NOT(ISNUMBER(D473)),NOT(ISNUMBER(E473))),"",NETWORKDAYS(D473,E473,FERIADOS))</f>
        <v/>
      </c>
      <c r="H473" s="69"/>
      <c r="I473" s="74" t="str">
        <f aca="false">IF(B473="","",IF(ISNUMBER(H473),H473,N(G473)))</f>
        <v/>
      </c>
      <c r="J473" s="64"/>
      <c r="K473" s="64"/>
      <c r="L473" s="93" t="str">
        <f aca="false">IF(NOT(ISNUMBER(D473)),"",DATE(YEAR(D473),MONTH(D473),1))</f>
        <v/>
      </c>
      <c r="M473" s="70" t="str">
        <f aca="false">IF(B473="","",IF(AND(ISNUMBER(D473),ISNUMBER(E473),E473&lt;D473),"⚠ Término anterior al inicio",IF(J473&lt;&gt;"Sí","Pendiente comprobante firmado","OK")))</f>
        <v/>
      </c>
    </row>
    <row r="474" customFormat="false" ht="15" hidden="false" customHeight="false" outlineLevel="0" collapsed="false">
      <c r="B474" s="64"/>
      <c r="C474" s="72" t="str">
        <f aca="false">IF(B474="","",IFERROR(INDEX(T_NOMBRE,MATCH(B474,T_ID,0)),"⚠ ID no existe"))</f>
        <v/>
      </c>
      <c r="D474" s="65"/>
      <c r="E474" s="65"/>
      <c r="F474" s="64"/>
      <c r="G474" s="74" t="str">
        <f aca="false">IF(OR(B474="",NOT(ISNUMBER(D474)),NOT(ISNUMBER(E474))),"",NETWORKDAYS(D474,E474,FERIADOS))</f>
        <v/>
      </c>
      <c r="H474" s="69"/>
      <c r="I474" s="74" t="str">
        <f aca="false">IF(B474="","",IF(ISNUMBER(H474),H474,N(G474)))</f>
        <v/>
      </c>
      <c r="J474" s="64"/>
      <c r="K474" s="64"/>
      <c r="L474" s="93" t="str">
        <f aca="false">IF(NOT(ISNUMBER(D474)),"",DATE(YEAR(D474),MONTH(D474),1))</f>
        <v/>
      </c>
      <c r="M474" s="70" t="str">
        <f aca="false">IF(B474="","",IF(AND(ISNUMBER(D474),ISNUMBER(E474),E474&lt;D474),"⚠ Término anterior al inicio",IF(J474&lt;&gt;"Sí","Pendiente comprobante firmado","OK")))</f>
        <v/>
      </c>
    </row>
    <row r="475" customFormat="false" ht="15" hidden="false" customHeight="false" outlineLevel="0" collapsed="false">
      <c r="B475" s="64"/>
      <c r="C475" s="72" t="str">
        <f aca="false">IF(B475="","",IFERROR(INDEX(T_NOMBRE,MATCH(B475,T_ID,0)),"⚠ ID no existe"))</f>
        <v/>
      </c>
      <c r="D475" s="65"/>
      <c r="E475" s="65"/>
      <c r="F475" s="64"/>
      <c r="G475" s="74" t="str">
        <f aca="false">IF(OR(B475="",NOT(ISNUMBER(D475)),NOT(ISNUMBER(E475))),"",NETWORKDAYS(D475,E475,FERIADOS))</f>
        <v/>
      </c>
      <c r="H475" s="69"/>
      <c r="I475" s="74" t="str">
        <f aca="false">IF(B475="","",IF(ISNUMBER(H475),H475,N(G475)))</f>
        <v/>
      </c>
      <c r="J475" s="64"/>
      <c r="K475" s="64"/>
      <c r="L475" s="93" t="str">
        <f aca="false">IF(NOT(ISNUMBER(D475)),"",DATE(YEAR(D475),MONTH(D475),1))</f>
        <v/>
      </c>
      <c r="M475" s="70" t="str">
        <f aca="false">IF(B475="","",IF(AND(ISNUMBER(D475),ISNUMBER(E475),E475&lt;D475),"⚠ Término anterior al inicio",IF(J475&lt;&gt;"Sí","Pendiente comprobante firmado","OK")))</f>
        <v/>
      </c>
    </row>
    <row r="476" customFormat="false" ht="15" hidden="false" customHeight="false" outlineLevel="0" collapsed="false">
      <c r="B476" s="64"/>
      <c r="C476" s="72" t="str">
        <f aca="false">IF(B476="","",IFERROR(INDEX(T_NOMBRE,MATCH(B476,T_ID,0)),"⚠ ID no existe"))</f>
        <v/>
      </c>
      <c r="D476" s="65"/>
      <c r="E476" s="65"/>
      <c r="F476" s="64"/>
      <c r="G476" s="74" t="str">
        <f aca="false">IF(OR(B476="",NOT(ISNUMBER(D476)),NOT(ISNUMBER(E476))),"",NETWORKDAYS(D476,E476,FERIADOS))</f>
        <v/>
      </c>
      <c r="H476" s="69"/>
      <c r="I476" s="74" t="str">
        <f aca="false">IF(B476="","",IF(ISNUMBER(H476),H476,N(G476)))</f>
        <v/>
      </c>
      <c r="J476" s="64"/>
      <c r="K476" s="64"/>
      <c r="L476" s="93" t="str">
        <f aca="false">IF(NOT(ISNUMBER(D476)),"",DATE(YEAR(D476),MONTH(D476),1))</f>
        <v/>
      </c>
      <c r="M476" s="70" t="str">
        <f aca="false">IF(B476="","",IF(AND(ISNUMBER(D476),ISNUMBER(E476),E476&lt;D476),"⚠ Término anterior al inicio",IF(J476&lt;&gt;"Sí","Pendiente comprobante firmado","OK")))</f>
        <v/>
      </c>
    </row>
    <row r="477" customFormat="false" ht="15" hidden="false" customHeight="false" outlineLevel="0" collapsed="false">
      <c r="B477" s="64"/>
      <c r="C477" s="72" t="str">
        <f aca="false">IF(B477="","",IFERROR(INDEX(T_NOMBRE,MATCH(B477,T_ID,0)),"⚠ ID no existe"))</f>
        <v/>
      </c>
      <c r="D477" s="65"/>
      <c r="E477" s="65"/>
      <c r="F477" s="64"/>
      <c r="G477" s="74" t="str">
        <f aca="false">IF(OR(B477="",NOT(ISNUMBER(D477)),NOT(ISNUMBER(E477))),"",NETWORKDAYS(D477,E477,FERIADOS))</f>
        <v/>
      </c>
      <c r="H477" s="69"/>
      <c r="I477" s="74" t="str">
        <f aca="false">IF(B477="","",IF(ISNUMBER(H477),H477,N(G477)))</f>
        <v/>
      </c>
      <c r="J477" s="64"/>
      <c r="K477" s="64"/>
      <c r="L477" s="93" t="str">
        <f aca="false">IF(NOT(ISNUMBER(D477)),"",DATE(YEAR(D477),MONTH(D477),1))</f>
        <v/>
      </c>
      <c r="M477" s="70" t="str">
        <f aca="false">IF(B477="","",IF(AND(ISNUMBER(D477),ISNUMBER(E477),E477&lt;D477),"⚠ Término anterior al inicio",IF(J477&lt;&gt;"Sí","Pendiente comprobante firmado","OK")))</f>
        <v/>
      </c>
    </row>
    <row r="478" customFormat="false" ht="15" hidden="false" customHeight="false" outlineLevel="0" collapsed="false">
      <c r="B478" s="64"/>
      <c r="C478" s="72" t="str">
        <f aca="false">IF(B478="","",IFERROR(INDEX(T_NOMBRE,MATCH(B478,T_ID,0)),"⚠ ID no existe"))</f>
        <v/>
      </c>
      <c r="D478" s="65"/>
      <c r="E478" s="65"/>
      <c r="F478" s="64"/>
      <c r="G478" s="74" t="str">
        <f aca="false">IF(OR(B478="",NOT(ISNUMBER(D478)),NOT(ISNUMBER(E478))),"",NETWORKDAYS(D478,E478,FERIADOS))</f>
        <v/>
      </c>
      <c r="H478" s="69"/>
      <c r="I478" s="74" t="str">
        <f aca="false">IF(B478="","",IF(ISNUMBER(H478),H478,N(G478)))</f>
        <v/>
      </c>
      <c r="J478" s="64"/>
      <c r="K478" s="64"/>
      <c r="L478" s="93" t="str">
        <f aca="false">IF(NOT(ISNUMBER(D478)),"",DATE(YEAR(D478),MONTH(D478),1))</f>
        <v/>
      </c>
      <c r="M478" s="70" t="str">
        <f aca="false">IF(B478="","",IF(AND(ISNUMBER(D478),ISNUMBER(E478),E478&lt;D478),"⚠ Término anterior al inicio",IF(J478&lt;&gt;"Sí","Pendiente comprobante firmado","OK")))</f>
        <v/>
      </c>
    </row>
    <row r="479" customFormat="false" ht="15" hidden="false" customHeight="false" outlineLevel="0" collapsed="false">
      <c r="B479" s="64"/>
      <c r="C479" s="72" t="str">
        <f aca="false">IF(B479="","",IFERROR(INDEX(T_NOMBRE,MATCH(B479,T_ID,0)),"⚠ ID no existe"))</f>
        <v/>
      </c>
      <c r="D479" s="65"/>
      <c r="E479" s="65"/>
      <c r="F479" s="64"/>
      <c r="G479" s="74" t="str">
        <f aca="false">IF(OR(B479="",NOT(ISNUMBER(D479)),NOT(ISNUMBER(E479))),"",NETWORKDAYS(D479,E479,FERIADOS))</f>
        <v/>
      </c>
      <c r="H479" s="69"/>
      <c r="I479" s="74" t="str">
        <f aca="false">IF(B479="","",IF(ISNUMBER(H479),H479,N(G479)))</f>
        <v/>
      </c>
      <c r="J479" s="64"/>
      <c r="K479" s="64"/>
      <c r="L479" s="93" t="str">
        <f aca="false">IF(NOT(ISNUMBER(D479)),"",DATE(YEAR(D479),MONTH(D479),1))</f>
        <v/>
      </c>
      <c r="M479" s="70" t="str">
        <f aca="false">IF(B479="","",IF(AND(ISNUMBER(D479),ISNUMBER(E479),E479&lt;D479),"⚠ Término anterior al inicio",IF(J479&lt;&gt;"Sí","Pendiente comprobante firmado","OK")))</f>
        <v/>
      </c>
    </row>
    <row r="480" customFormat="false" ht="15" hidden="false" customHeight="false" outlineLevel="0" collapsed="false">
      <c r="B480" s="64"/>
      <c r="C480" s="72" t="str">
        <f aca="false">IF(B480="","",IFERROR(INDEX(T_NOMBRE,MATCH(B480,T_ID,0)),"⚠ ID no existe"))</f>
        <v/>
      </c>
      <c r="D480" s="65"/>
      <c r="E480" s="65"/>
      <c r="F480" s="64"/>
      <c r="G480" s="74" t="str">
        <f aca="false">IF(OR(B480="",NOT(ISNUMBER(D480)),NOT(ISNUMBER(E480))),"",NETWORKDAYS(D480,E480,FERIADOS))</f>
        <v/>
      </c>
      <c r="H480" s="69"/>
      <c r="I480" s="74" t="str">
        <f aca="false">IF(B480="","",IF(ISNUMBER(H480),H480,N(G480)))</f>
        <v/>
      </c>
      <c r="J480" s="64"/>
      <c r="K480" s="64"/>
      <c r="L480" s="93" t="str">
        <f aca="false">IF(NOT(ISNUMBER(D480)),"",DATE(YEAR(D480),MONTH(D480),1))</f>
        <v/>
      </c>
      <c r="M480" s="70" t="str">
        <f aca="false">IF(B480="","",IF(AND(ISNUMBER(D480),ISNUMBER(E480),E480&lt;D480),"⚠ Término anterior al inicio",IF(J480&lt;&gt;"Sí","Pendiente comprobante firmado","OK")))</f>
        <v/>
      </c>
    </row>
    <row r="481" customFormat="false" ht="15" hidden="false" customHeight="false" outlineLevel="0" collapsed="false">
      <c r="B481" s="64"/>
      <c r="C481" s="72" t="str">
        <f aca="false">IF(B481="","",IFERROR(INDEX(T_NOMBRE,MATCH(B481,T_ID,0)),"⚠ ID no existe"))</f>
        <v/>
      </c>
      <c r="D481" s="65"/>
      <c r="E481" s="65"/>
      <c r="F481" s="64"/>
      <c r="G481" s="74" t="str">
        <f aca="false">IF(OR(B481="",NOT(ISNUMBER(D481)),NOT(ISNUMBER(E481))),"",NETWORKDAYS(D481,E481,FERIADOS))</f>
        <v/>
      </c>
      <c r="H481" s="69"/>
      <c r="I481" s="74" t="str">
        <f aca="false">IF(B481="","",IF(ISNUMBER(H481),H481,N(G481)))</f>
        <v/>
      </c>
      <c r="J481" s="64"/>
      <c r="K481" s="64"/>
      <c r="L481" s="93" t="str">
        <f aca="false">IF(NOT(ISNUMBER(D481)),"",DATE(YEAR(D481),MONTH(D481),1))</f>
        <v/>
      </c>
      <c r="M481" s="70" t="str">
        <f aca="false">IF(B481="","",IF(AND(ISNUMBER(D481),ISNUMBER(E481),E481&lt;D481),"⚠ Término anterior al inicio",IF(J481&lt;&gt;"Sí","Pendiente comprobante firmado","OK")))</f>
        <v/>
      </c>
    </row>
    <row r="482" customFormat="false" ht="15" hidden="false" customHeight="false" outlineLevel="0" collapsed="false">
      <c r="B482" s="64"/>
      <c r="C482" s="72" t="str">
        <f aca="false">IF(B482="","",IFERROR(INDEX(T_NOMBRE,MATCH(B482,T_ID,0)),"⚠ ID no existe"))</f>
        <v/>
      </c>
      <c r="D482" s="65"/>
      <c r="E482" s="65"/>
      <c r="F482" s="64"/>
      <c r="G482" s="74" t="str">
        <f aca="false">IF(OR(B482="",NOT(ISNUMBER(D482)),NOT(ISNUMBER(E482))),"",NETWORKDAYS(D482,E482,FERIADOS))</f>
        <v/>
      </c>
      <c r="H482" s="69"/>
      <c r="I482" s="74" t="str">
        <f aca="false">IF(B482="","",IF(ISNUMBER(H482),H482,N(G482)))</f>
        <v/>
      </c>
      <c r="J482" s="64"/>
      <c r="K482" s="64"/>
      <c r="L482" s="93" t="str">
        <f aca="false">IF(NOT(ISNUMBER(D482)),"",DATE(YEAR(D482),MONTH(D482),1))</f>
        <v/>
      </c>
      <c r="M482" s="70" t="str">
        <f aca="false">IF(B482="","",IF(AND(ISNUMBER(D482),ISNUMBER(E482),E482&lt;D482),"⚠ Término anterior al inicio",IF(J482&lt;&gt;"Sí","Pendiente comprobante firmado","OK")))</f>
        <v/>
      </c>
    </row>
    <row r="483" customFormat="false" ht="15" hidden="false" customHeight="false" outlineLevel="0" collapsed="false">
      <c r="B483" s="64"/>
      <c r="C483" s="72" t="str">
        <f aca="false">IF(B483="","",IFERROR(INDEX(T_NOMBRE,MATCH(B483,T_ID,0)),"⚠ ID no existe"))</f>
        <v/>
      </c>
      <c r="D483" s="65"/>
      <c r="E483" s="65"/>
      <c r="F483" s="64"/>
      <c r="G483" s="74" t="str">
        <f aca="false">IF(OR(B483="",NOT(ISNUMBER(D483)),NOT(ISNUMBER(E483))),"",NETWORKDAYS(D483,E483,FERIADOS))</f>
        <v/>
      </c>
      <c r="H483" s="69"/>
      <c r="I483" s="74" t="str">
        <f aca="false">IF(B483="","",IF(ISNUMBER(H483),H483,N(G483)))</f>
        <v/>
      </c>
      <c r="J483" s="64"/>
      <c r="K483" s="64"/>
      <c r="L483" s="93" t="str">
        <f aca="false">IF(NOT(ISNUMBER(D483)),"",DATE(YEAR(D483),MONTH(D483),1))</f>
        <v/>
      </c>
      <c r="M483" s="70" t="str">
        <f aca="false">IF(B483="","",IF(AND(ISNUMBER(D483),ISNUMBER(E483),E483&lt;D483),"⚠ Término anterior al inicio",IF(J483&lt;&gt;"Sí","Pendiente comprobante firmado","OK")))</f>
        <v/>
      </c>
    </row>
    <row r="484" customFormat="false" ht="15" hidden="false" customHeight="false" outlineLevel="0" collapsed="false">
      <c r="B484" s="64"/>
      <c r="C484" s="72" t="str">
        <f aca="false">IF(B484="","",IFERROR(INDEX(T_NOMBRE,MATCH(B484,T_ID,0)),"⚠ ID no existe"))</f>
        <v/>
      </c>
      <c r="D484" s="65"/>
      <c r="E484" s="65"/>
      <c r="F484" s="64"/>
      <c r="G484" s="74" t="str">
        <f aca="false">IF(OR(B484="",NOT(ISNUMBER(D484)),NOT(ISNUMBER(E484))),"",NETWORKDAYS(D484,E484,FERIADOS))</f>
        <v/>
      </c>
      <c r="H484" s="69"/>
      <c r="I484" s="74" t="str">
        <f aca="false">IF(B484="","",IF(ISNUMBER(H484),H484,N(G484)))</f>
        <v/>
      </c>
      <c r="J484" s="64"/>
      <c r="K484" s="64"/>
      <c r="L484" s="93" t="str">
        <f aca="false">IF(NOT(ISNUMBER(D484)),"",DATE(YEAR(D484),MONTH(D484),1))</f>
        <v/>
      </c>
      <c r="M484" s="70" t="str">
        <f aca="false">IF(B484="","",IF(AND(ISNUMBER(D484),ISNUMBER(E484),E484&lt;D484),"⚠ Término anterior al inicio",IF(J484&lt;&gt;"Sí","Pendiente comprobante firmado","OK")))</f>
        <v/>
      </c>
    </row>
    <row r="485" customFormat="false" ht="15" hidden="false" customHeight="false" outlineLevel="0" collapsed="false">
      <c r="B485" s="64"/>
      <c r="C485" s="72" t="str">
        <f aca="false">IF(B485="","",IFERROR(INDEX(T_NOMBRE,MATCH(B485,T_ID,0)),"⚠ ID no existe"))</f>
        <v/>
      </c>
      <c r="D485" s="65"/>
      <c r="E485" s="65"/>
      <c r="F485" s="64"/>
      <c r="G485" s="74" t="str">
        <f aca="false">IF(OR(B485="",NOT(ISNUMBER(D485)),NOT(ISNUMBER(E485))),"",NETWORKDAYS(D485,E485,FERIADOS))</f>
        <v/>
      </c>
      <c r="H485" s="69"/>
      <c r="I485" s="74" t="str">
        <f aca="false">IF(B485="","",IF(ISNUMBER(H485),H485,N(G485)))</f>
        <v/>
      </c>
      <c r="J485" s="64"/>
      <c r="K485" s="64"/>
      <c r="L485" s="93" t="str">
        <f aca="false">IF(NOT(ISNUMBER(D485)),"",DATE(YEAR(D485),MONTH(D485),1))</f>
        <v/>
      </c>
      <c r="M485" s="70" t="str">
        <f aca="false">IF(B485="","",IF(AND(ISNUMBER(D485),ISNUMBER(E485),E485&lt;D485),"⚠ Término anterior al inicio",IF(J485&lt;&gt;"Sí","Pendiente comprobante firmado","OK")))</f>
        <v/>
      </c>
    </row>
    <row r="486" customFormat="false" ht="15" hidden="false" customHeight="false" outlineLevel="0" collapsed="false">
      <c r="B486" s="64"/>
      <c r="C486" s="72" t="str">
        <f aca="false">IF(B486="","",IFERROR(INDEX(T_NOMBRE,MATCH(B486,T_ID,0)),"⚠ ID no existe"))</f>
        <v/>
      </c>
      <c r="D486" s="65"/>
      <c r="E486" s="65"/>
      <c r="F486" s="64"/>
      <c r="G486" s="74" t="str">
        <f aca="false">IF(OR(B486="",NOT(ISNUMBER(D486)),NOT(ISNUMBER(E486))),"",NETWORKDAYS(D486,E486,FERIADOS))</f>
        <v/>
      </c>
      <c r="H486" s="69"/>
      <c r="I486" s="74" t="str">
        <f aca="false">IF(B486="","",IF(ISNUMBER(H486),H486,N(G486)))</f>
        <v/>
      </c>
      <c r="J486" s="64"/>
      <c r="K486" s="64"/>
      <c r="L486" s="93" t="str">
        <f aca="false">IF(NOT(ISNUMBER(D486)),"",DATE(YEAR(D486),MONTH(D486),1))</f>
        <v/>
      </c>
      <c r="M486" s="70" t="str">
        <f aca="false">IF(B486="","",IF(AND(ISNUMBER(D486),ISNUMBER(E486),E486&lt;D486),"⚠ Término anterior al inicio",IF(J486&lt;&gt;"Sí","Pendiente comprobante firmado","OK")))</f>
        <v/>
      </c>
    </row>
    <row r="487" customFormat="false" ht="15" hidden="false" customHeight="false" outlineLevel="0" collapsed="false">
      <c r="B487" s="64"/>
      <c r="C487" s="72" t="str">
        <f aca="false">IF(B487="","",IFERROR(INDEX(T_NOMBRE,MATCH(B487,T_ID,0)),"⚠ ID no existe"))</f>
        <v/>
      </c>
      <c r="D487" s="65"/>
      <c r="E487" s="65"/>
      <c r="F487" s="64"/>
      <c r="G487" s="74" t="str">
        <f aca="false">IF(OR(B487="",NOT(ISNUMBER(D487)),NOT(ISNUMBER(E487))),"",NETWORKDAYS(D487,E487,FERIADOS))</f>
        <v/>
      </c>
      <c r="H487" s="69"/>
      <c r="I487" s="74" t="str">
        <f aca="false">IF(B487="","",IF(ISNUMBER(H487),H487,N(G487)))</f>
        <v/>
      </c>
      <c r="J487" s="64"/>
      <c r="K487" s="64"/>
      <c r="L487" s="93" t="str">
        <f aca="false">IF(NOT(ISNUMBER(D487)),"",DATE(YEAR(D487),MONTH(D487),1))</f>
        <v/>
      </c>
      <c r="M487" s="70" t="str">
        <f aca="false">IF(B487="","",IF(AND(ISNUMBER(D487),ISNUMBER(E487),E487&lt;D487),"⚠ Término anterior al inicio",IF(J487&lt;&gt;"Sí","Pendiente comprobante firmado","OK")))</f>
        <v/>
      </c>
    </row>
    <row r="488" customFormat="false" ht="15" hidden="false" customHeight="false" outlineLevel="0" collapsed="false">
      <c r="B488" s="64"/>
      <c r="C488" s="72" t="str">
        <f aca="false">IF(B488="","",IFERROR(INDEX(T_NOMBRE,MATCH(B488,T_ID,0)),"⚠ ID no existe"))</f>
        <v/>
      </c>
      <c r="D488" s="65"/>
      <c r="E488" s="65"/>
      <c r="F488" s="64"/>
      <c r="G488" s="74" t="str">
        <f aca="false">IF(OR(B488="",NOT(ISNUMBER(D488)),NOT(ISNUMBER(E488))),"",NETWORKDAYS(D488,E488,FERIADOS))</f>
        <v/>
      </c>
      <c r="H488" s="69"/>
      <c r="I488" s="74" t="str">
        <f aca="false">IF(B488="","",IF(ISNUMBER(H488),H488,N(G488)))</f>
        <v/>
      </c>
      <c r="J488" s="64"/>
      <c r="K488" s="64"/>
      <c r="L488" s="93" t="str">
        <f aca="false">IF(NOT(ISNUMBER(D488)),"",DATE(YEAR(D488),MONTH(D488),1))</f>
        <v/>
      </c>
      <c r="M488" s="70" t="str">
        <f aca="false">IF(B488="","",IF(AND(ISNUMBER(D488),ISNUMBER(E488),E488&lt;D488),"⚠ Término anterior al inicio",IF(J488&lt;&gt;"Sí","Pendiente comprobante firmado","OK")))</f>
        <v/>
      </c>
    </row>
    <row r="489" customFormat="false" ht="15" hidden="false" customHeight="false" outlineLevel="0" collapsed="false">
      <c r="B489" s="64"/>
      <c r="C489" s="72" t="str">
        <f aca="false">IF(B489="","",IFERROR(INDEX(T_NOMBRE,MATCH(B489,T_ID,0)),"⚠ ID no existe"))</f>
        <v/>
      </c>
      <c r="D489" s="65"/>
      <c r="E489" s="65"/>
      <c r="F489" s="64"/>
      <c r="G489" s="74" t="str">
        <f aca="false">IF(OR(B489="",NOT(ISNUMBER(D489)),NOT(ISNUMBER(E489))),"",NETWORKDAYS(D489,E489,FERIADOS))</f>
        <v/>
      </c>
      <c r="H489" s="69"/>
      <c r="I489" s="74" t="str">
        <f aca="false">IF(B489="","",IF(ISNUMBER(H489),H489,N(G489)))</f>
        <v/>
      </c>
      <c r="J489" s="64"/>
      <c r="K489" s="64"/>
      <c r="L489" s="93" t="str">
        <f aca="false">IF(NOT(ISNUMBER(D489)),"",DATE(YEAR(D489),MONTH(D489),1))</f>
        <v/>
      </c>
      <c r="M489" s="70" t="str">
        <f aca="false">IF(B489="","",IF(AND(ISNUMBER(D489),ISNUMBER(E489),E489&lt;D489),"⚠ Término anterior al inicio",IF(J489&lt;&gt;"Sí","Pendiente comprobante firmado","OK")))</f>
        <v/>
      </c>
    </row>
    <row r="490" customFormat="false" ht="15" hidden="false" customHeight="false" outlineLevel="0" collapsed="false">
      <c r="B490" s="64"/>
      <c r="C490" s="72" t="str">
        <f aca="false">IF(B490="","",IFERROR(INDEX(T_NOMBRE,MATCH(B490,T_ID,0)),"⚠ ID no existe"))</f>
        <v/>
      </c>
      <c r="D490" s="65"/>
      <c r="E490" s="65"/>
      <c r="F490" s="64"/>
      <c r="G490" s="74" t="str">
        <f aca="false">IF(OR(B490="",NOT(ISNUMBER(D490)),NOT(ISNUMBER(E490))),"",NETWORKDAYS(D490,E490,FERIADOS))</f>
        <v/>
      </c>
      <c r="H490" s="69"/>
      <c r="I490" s="74" t="str">
        <f aca="false">IF(B490="","",IF(ISNUMBER(H490),H490,N(G490)))</f>
        <v/>
      </c>
      <c r="J490" s="64"/>
      <c r="K490" s="64"/>
      <c r="L490" s="93" t="str">
        <f aca="false">IF(NOT(ISNUMBER(D490)),"",DATE(YEAR(D490),MONTH(D490),1))</f>
        <v/>
      </c>
      <c r="M490" s="70" t="str">
        <f aca="false">IF(B490="","",IF(AND(ISNUMBER(D490),ISNUMBER(E490),E490&lt;D490),"⚠ Término anterior al inicio",IF(J490&lt;&gt;"Sí","Pendiente comprobante firmado","OK")))</f>
        <v/>
      </c>
    </row>
    <row r="491" customFormat="false" ht="15" hidden="false" customHeight="false" outlineLevel="0" collapsed="false">
      <c r="B491" s="64"/>
      <c r="C491" s="72" t="str">
        <f aca="false">IF(B491="","",IFERROR(INDEX(T_NOMBRE,MATCH(B491,T_ID,0)),"⚠ ID no existe"))</f>
        <v/>
      </c>
      <c r="D491" s="65"/>
      <c r="E491" s="65"/>
      <c r="F491" s="64"/>
      <c r="G491" s="74" t="str">
        <f aca="false">IF(OR(B491="",NOT(ISNUMBER(D491)),NOT(ISNUMBER(E491))),"",NETWORKDAYS(D491,E491,FERIADOS))</f>
        <v/>
      </c>
      <c r="H491" s="69"/>
      <c r="I491" s="74" t="str">
        <f aca="false">IF(B491="","",IF(ISNUMBER(H491),H491,N(G491)))</f>
        <v/>
      </c>
      <c r="J491" s="64"/>
      <c r="K491" s="64"/>
      <c r="L491" s="93" t="str">
        <f aca="false">IF(NOT(ISNUMBER(D491)),"",DATE(YEAR(D491),MONTH(D491),1))</f>
        <v/>
      </c>
      <c r="M491" s="70" t="str">
        <f aca="false">IF(B491="","",IF(AND(ISNUMBER(D491),ISNUMBER(E491),E491&lt;D491),"⚠ Término anterior al inicio",IF(J491&lt;&gt;"Sí","Pendiente comprobante firmado","OK")))</f>
        <v/>
      </c>
    </row>
    <row r="492" customFormat="false" ht="15" hidden="false" customHeight="false" outlineLevel="0" collapsed="false">
      <c r="B492" s="64"/>
      <c r="C492" s="72" t="str">
        <f aca="false">IF(B492="","",IFERROR(INDEX(T_NOMBRE,MATCH(B492,T_ID,0)),"⚠ ID no existe"))</f>
        <v/>
      </c>
      <c r="D492" s="65"/>
      <c r="E492" s="65"/>
      <c r="F492" s="64"/>
      <c r="G492" s="74" t="str">
        <f aca="false">IF(OR(B492="",NOT(ISNUMBER(D492)),NOT(ISNUMBER(E492))),"",NETWORKDAYS(D492,E492,FERIADOS))</f>
        <v/>
      </c>
      <c r="H492" s="69"/>
      <c r="I492" s="74" t="str">
        <f aca="false">IF(B492="","",IF(ISNUMBER(H492),H492,N(G492)))</f>
        <v/>
      </c>
      <c r="J492" s="64"/>
      <c r="K492" s="64"/>
      <c r="L492" s="93" t="str">
        <f aca="false">IF(NOT(ISNUMBER(D492)),"",DATE(YEAR(D492),MONTH(D492),1))</f>
        <v/>
      </c>
      <c r="M492" s="70" t="str">
        <f aca="false">IF(B492="","",IF(AND(ISNUMBER(D492),ISNUMBER(E492),E492&lt;D492),"⚠ Término anterior al inicio",IF(J492&lt;&gt;"Sí","Pendiente comprobante firmado","OK")))</f>
        <v/>
      </c>
    </row>
    <row r="493" customFormat="false" ht="15" hidden="false" customHeight="false" outlineLevel="0" collapsed="false">
      <c r="B493" s="64"/>
      <c r="C493" s="72" t="str">
        <f aca="false">IF(B493="","",IFERROR(INDEX(T_NOMBRE,MATCH(B493,T_ID,0)),"⚠ ID no existe"))</f>
        <v/>
      </c>
      <c r="D493" s="65"/>
      <c r="E493" s="65"/>
      <c r="F493" s="64"/>
      <c r="G493" s="74" t="str">
        <f aca="false">IF(OR(B493="",NOT(ISNUMBER(D493)),NOT(ISNUMBER(E493))),"",NETWORKDAYS(D493,E493,FERIADOS))</f>
        <v/>
      </c>
      <c r="H493" s="69"/>
      <c r="I493" s="74" t="str">
        <f aca="false">IF(B493="","",IF(ISNUMBER(H493),H493,N(G493)))</f>
        <v/>
      </c>
      <c r="J493" s="64"/>
      <c r="K493" s="64"/>
      <c r="L493" s="93" t="str">
        <f aca="false">IF(NOT(ISNUMBER(D493)),"",DATE(YEAR(D493),MONTH(D493),1))</f>
        <v/>
      </c>
      <c r="M493" s="70" t="str">
        <f aca="false">IF(B493="","",IF(AND(ISNUMBER(D493),ISNUMBER(E493),E493&lt;D493),"⚠ Término anterior al inicio",IF(J493&lt;&gt;"Sí","Pendiente comprobante firmado","OK")))</f>
        <v/>
      </c>
    </row>
    <row r="494" customFormat="false" ht="15" hidden="false" customHeight="false" outlineLevel="0" collapsed="false">
      <c r="B494" s="64"/>
      <c r="C494" s="72" t="str">
        <f aca="false">IF(B494="","",IFERROR(INDEX(T_NOMBRE,MATCH(B494,T_ID,0)),"⚠ ID no existe"))</f>
        <v/>
      </c>
      <c r="D494" s="65"/>
      <c r="E494" s="65"/>
      <c r="F494" s="64"/>
      <c r="G494" s="74" t="str">
        <f aca="false">IF(OR(B494="",NOT(ISNUMBER(D494)),NOT(ISNUMBER(E494))),"",NETWORKDAYS(D494,E494,FERIADOS))</f>
        <v/>
      </c>
      <c r="H494" s="69"/>
      <c r="I494" s="74" t="str">
        <f aca="false">IF(B494="","",IF(ISNUMBER(H494),H494,N(G494)))</f>
        <v/>
      </c>
      <c r="J494" s="64"/>
      <c r="K494" s="64"/>
      <c r="L494" s="93" t="str">
        <f aca="false">IF(NOT(ISNUMBER(D494)),"",DATE(YEAR(D494),MONTH(D494),1))</f>
        <v/>
      </c>
      <c r="M494" s="70" t="str">
        <f aca="false">IF(B494="","",IF(AND(ISNUMBER(D494),ISNUMBER(E494),E494&lt;D494),"⚠ Término anterior al inicio",IF(J494&lt;&gt;"Sí","Pendiente comprobante firmado","OK")))</f>
        <v/>
      </c>
    </row>
    <row r="495" customFormat="false" ht="15" hidden="false" customHeight="false" outlineLevel="0" collapsed="false">
      <c r="B495" s="64"/>
      <c r="C495" s="72" t="str">
        <f aca="false">IF(B495="","",IFERROR(INDEX(T_NOMBRE,MATCH(B495,T_ID,0)),"⚠ ID no existe"))</f>
        <v/>
      </c>
      <c r="D495" s="65"/>
      <c r="E495" s="65"/>
      <c r="F495" s="64"/>
      <c r="G495" s="74" t="str">
        <f aca="false">IF(OR(B495="",NOT(ISNUMBER(D495)),NOT(ISNUMBER(E495))),"",NETWORKDAYS(D495,E495,FERIADOS))</f>
        <v/>
      </c>
      <c r="H495" s="69"/>
      <c r="I495" s="74" t="str">
        <f aca="false">IF(B495="","",IF(ISNUMBER(H495),H495,N(G495)))</f>
        <v/>
      </c>
      <c r="J495" s="64"/>
      <c r="K495" s="64"/>
      <c r="L495" s="93" t="str">
        <f aca="false">IF(NOT(ISNUMBER(D495)),"",DATE(YEAR(D495),MONTH(D495),1))</f>
        <v/>
      </c>
      <c r="M495" s="70" t="str">
        <f aca="false">IF(B495="","",IF(AND(ISNUMBER(D495),ISNUMBER(E495),E495&lt;D495),"⚠ Término anterior al inicio",IF(J495&lt;&gt;"Sí","Pendiente comprobante firmado","OK")))</f>
        <v/>
      </c>
    </row>
    <row r="496" customFormat="false" ht="15" hidden="false" customHeight="false" outlineLevel="0" collapsed="false">
      <c r="B496" s="64"/>
      <c r="C496" s="72" t="str">
        <f aca="false">IF(B496="","",IFERROR(INDEX(T_NOMBRE,MATCH(B496,T_ID,0)),"⚠ ID no existe"))</f>
        <v/>
      </c>
      <c r="D496" s="65"/>
      <c r="E496" s="65"/>
      <c r="F496" s="64"/>
      <c r="G496" s="74" t="str">
        <f aca="false">IF(OR(B496="",NOT(ISNUMBER(D496)),NOT(ISNUMBER(E496))),"",NETWORKDAYS(D496,E496,FERIADOS))</f>
        <v/>
      </c>
      <c r="H496" s="69"/>
      <c r="I496" s="74" t="str">
        <f aca="false">IF(B496="","",IF(ISNUMBER(H496),H496,N(G496)))</f>
        <v/>
      </c>
      <c r="J496" s="64"/>
      <c r="K496" s="64"/>
      <c r="L496" s="93" t="str">
        <f aca="false">IF(NOT(ISNUMBER(D496)),"",DATE(YEAR(D496),MONTH(D496),1))</f>
        <v/>
      </c>
      <c r="M496" s="70" t="str">
        <f aca="false">IF(B496="","",IF(AND(ISNUMBER(D496),ISNUMBER(E496),E496&lt;D496),"⚠ Término anterior al inicio",IF(J496&lt;&gt;"Sí","Pendiente comprobante firmado","OK")))</f>
        <v/>
      </c>
    </row>
    <row r="497" customFormat="false" ht="15" hidden="false" customHeight="false" outlineLevel="0" collapsed="false">
      <c r="B497" s="64"/>
      <c r="C497" s="72" t="str">
        <f aca="false">IF(B497="","",IFERROR(INDEX(T_NOMBRE,MATCH(B497,T_ID,0)),"⚠ ID no existe"))</f>
        <v/>
      </c>
      <c r="D497" s="65"/>
      <c r="E497" s="65"/>
      <c r="F497" s="64"/>
      <c r="G497" s="74" t="str">
        <f aca="false">IF(OR(B497="",NOT(ISNUMBER(D497)),NOT(ISNUMBER(E497))),"",NETWORKDAYS(D497,E497,FERIADOS))</f>
        <v/>
      </c>
      <c r="H497" s="69"/>
      <c r="I497" s="74" t="str">
        <f aca="false">IF(B497="","",IF(ISNUMBER(H497),H497,N(G497)))</f>
        <v/>
      </c>
      <c r="J497" s="64"/>
      <c r="K497" s="64"/>
      <c r="L497" s="93" t="str">
        <f aca="false">IF(NOT(ISNUMBER(D497)),"",DATE(YEAR(D497),MONTH(D497),1))</f>
        <v/>
      </c>
      <c r="M497" s="70" t="str">
        <f aca="false">IF(B497="","",IF(AND(ISNUMBER(D497),ISNUMBER(E497),E497&lt;D497),"⚠ Término anterior al inicio",IF(J497&lt;&gt;"Sí","Pendiente comprobante firmado","OK")))</f>
        <v/>
      </c>
    </row>
    <row r="498" customFormat="false" ht="15" hidden="false" customHeight="false" outlineLevel="0" collapsed="false">
      <c r="B498" s="64"/>
      <c r="C498" s="72" t="str">
        <f aca="false">IF(B498="","",IFERROR(INDEX(T_NOMBRE,MATCH(B498,T_ID,0)),"⚠ ID no existe"))</f>
        <v/>
      </c>
      <c r="D498" s="65"/>
      <c r="E498" s="65"/>
      <c r="F498" s="64"/>
      <c r="G498" s="74" t="str">
        <f aca="false">IF(OR(B498="",NOT(ISNUMBER(D498)),NOT(ISNUMBER(E498))),"",NETWORKDAYS(D498,E498,FERIADOS))</f>
        <v/>
      </c>
      <c r="H498" s="69"/>
      <c r="I498" s="74" t="str">
        <f aca="false">IF(B498="","",IF(ISNUMBER(H498),H498,N(G498)))</f>
        <v/>
      </c>
      <c r="J498" s="64"/>
      <c r="K498" s="64"/>
      <c r="L498" s="93" t="str">
        <f aca="false">IF(NOT(ISNUMBER(D498)),"",DATE(YEAR(D498),MONTH(D498),1))</f>
        <v/>
      </c>
      <c r="M498" s="70" t="str">
        <f aca="false">IF(B498="","",IF(AND(ISNUMBER(D498),ISNUMBER(E498),E498&lt;D498),"⚠ Término anterior al inicio",IF(J498&lt;&gt;"Sí","Pendiente comprobante firmado","OK")))</f>
        <v/>
      </c>
    </row>
    <row r="499" customFormat="false" ht="15" hidden="false" customHeight="false" outlineLevel="0" collapsed="false">
      <c r="B499" s="64"/>
      <c r="C499" s="72" t="str">
        <f aca="false">IF(B499="","",IFERROR(INDEX(T_NOMBRE,MATCH(B499,T_ID,0)),"⚠ ID no existe"))</f>
        <v/>
      </c>
      <c r="D499" s="65"/>
      <c r="E499" s="65"/>
      <c r="F499" s="64"/>
      <c r="G499" s="74" t="str">
        <f aca="false">IF(OR(B499="",NOT(ISNUMBER(D499)),NOT(ISNUMBER(E499))),"",NETWORKDAYS(D499,E499,FERIADOS))</f>
        <v/>
      </c>
      <c r="H499" s="69"/>
      <c r="I499" s="74" t="str">
        <f aca="false">IF(B499="","",IF(ISNUMBER(H499),H499,N(G499)))</f>
        <v/>
      </c>
      <c r="J499" s="64"/>
      <c r="K499" s="64"/>
      <c r="L499" s="93" t="str">
        <f aca="false">IF(NOT(ISNUMBER(D499)),"",DATE(YEAR(D499),MONTH(D499),1))</f>
        <v/>
      </c>
      <c r="M499" s="70" t="str">
        <f aca="false">IF(B499="","",IF(AND(ISNUMBER(D499),ISNUMBER(E499),E499&lt;D499),"⚠ Término anterior al inicio",IF(J499&lt;&gt;"Sí","Pendiente comprobante firmado","OK")))</f>
        <v/>
      </c>
    </row>
    <row r="500" customFormat="false" ht="15" hidden="false" customHeight="false" outlineLevel="0" collapsed="false">
      <c r="B500" s="64"/>
      <c r="C500" s="72" t="str">
        <f aca="false">IF(B500="","",IFERROR(INDEX(T_NOMBRE,MATCH(B500,T_ID,0)),"⚠ ID no existe"))</f>
        <v/>
      </c>
      <c r="D500" s="65"/>
      <c r="E500" s="65"/>
      <c r="F500" s="64"/>
      <c r="G500" s="74" t="str">
        <f aca="false">IF(OR(B500="",NOT(ISNUMBER(D500)),NOT(ISNUMBER(E500))),"",NETWORKDAYS(D500,E500,FERIADOS))</f>
        <v/>
      </c>
      <c r="H500" s="69"/>
      <c r="I500" s="74" t="str">
        <f aca="false">IF(B500="","",IF(ISNUMBER(H500),H500,N(G500)))</f>
        <v/>
      </c>
      <c r="J500" s="64"/>
      <c r="K500" s="64"/>
      <c r="L500" s="93" t="str">
        <f aca="false">IF(NOT(ISNUMBER(D500)),"",DATE(YEAR(D500),MONTH(D500),1))</f>
        <v/>
      </c>
      <c r="M500" s="70" t="str">
        <f aca="false">IF(B500="","",IF(AND(ISNUMBER(D500),ISNUMBER(E500),E500&lt;D500),"⚠ Término anterior al inicio",IF(J500&lt;&gt;"Sí","Pendiente comprobante firmado","OK")))</f>
        <v/>
      </c>
    </row>
    <row r="501" customFormat="false" ht="15" hidden="false" customHeight="false" outlineLevel="0" collapsed="false">
      <c r="B501" s="64"/>
      <c r="C501" s="72" t="str">
        <f aca="false">IF(B501="","",IFERROR(INDEX(T_NOMBRE,MATCH(B501,T_ID,0)),"⚠ ID no existe"))</f>
        <v/>
      </c>
      <c r="D501" s="65"/>
      <c r="E501" s="65"/>
      <c r="F501" s="64"/>
      <c r="G501" s="74" t="str">
        <f aca="false">IF(OR(B501="",NOT(ISNUMBER(D501)),NOT(ISNUMBER(E501))),"",NETWORKDAYS(D501,E501,FERIADOS))</f>
        <v/>
      </c>
      <c r="H501" s="69"/>
      <c r="I501" s="74" t="str">
        <f aca="false">IF(B501="","",IF(ISNUMBER(H501),H501,N(G501)))</f>
        <v/>
      </c>
      <c r="J501" s="64"/>
      <c r="K501" s="64"/>
      <c r="L501" s="93" t="str">
        <f aca="false">IF(NOT(ISNUMBER(D501)),"",DATE(YEAR(D501),MONTH(D501),1))</f>
        <v/>
      </c>
      <c r="M501" s="70" t="str">
        <f aca="false">IF(B501="","",IF(AND(ISNUMBER(D501),ISNUMBER(E501),E501&lt;D501),"⚠ Término anterior al inicio",IF(J501&lt;&gt;"Sí","Pendiente comprobante firmado","OK")))</f>
        <v/>
      </c>
    </row>
    <row r="502" customFormat="false" ht="15" hidden="false" customHeight="false" outlineLevel="0" collapsed="false">
      <c r="B502" s="64"/>
      <c r="C502" s="72" t="str">
        <f aca="false">IF(B502="","",IFERROR(INDEX(T_NOMBRE,MATCH(B502,T_ID,0)),"⚠ ID no existe"))</f>
        <v/>
      </c>
      <c r="D502" s="65"/>
      <c r="E502" s="65"/>
      <c r="F502" s="64"/>
      <c r="G502" s="74" t="str">
        <f aca="false">IF(OR(B502="",NOT(ISNUMBER(D502)),NOT(ISNUMBER(E502))),"",NETWORKDAYS(D502,E502,FERIADOS))</f>
        <v/>
      </c>
      <c r="H502" s="69"/>
      <c r="I502" s="74" t="str">
        <f aca="false">IF(B502="","",IF(ISNUMBER(H502),H502,N(G502)))</f>
        <v/>
      </c>
      <c r="J502" s="64"/>
      <c r="K502" s="64"/>
      <c r="L502" s="93" t="str">
        <f aca="false">IF(NOT(ISNUMBER(D502)),"",DATE(YEAR(D502),MONTH(D502),1))</f>
        <v/>
      </c>
      <c r="M502" s="70" t="str">
        <f aca="false">IF(B502="","",IF(AND(ISNUMBER(D502),ISNUMBER(E502),E502&lt;D502),"⚠ Término anterior al inicio",IF(J502&lt;&gt;"Sí","Pendiente comprobante firmado","OK")))</f>
        <v/>
      </c>
    </row>
    <row r="503" customFormat="false" ht="15" hidden="false" customHeight="false" outlineLevel="0" collapsed="false">
      <c r="B503" s="64"/>
      <c r="C503" s="72" t="str">
        <f aca="false">IF(B503="","",IFERROR(INDEX(T_NOMBRE,MATCH(B503,T_ID,0)),"⚠ ID no existe"))</f>
        <v/>
      </c>
      <c r="D503" s="65"/>
      <c r="E503" s="65"/>
      <c r="F503" s="64"/>
      <c r="G503" s="74" t="str">
        <f aca="false">IF(OR(B503="",NOT(ISNUMBER(D503)),NOT(ISNUMBER(E503))),"",NETWORKDAYS(D503,E503,FERIADOS))</f>
        <v/>
      </c>
      <c r="H503" s="69"/>
      <c r="I503" s="74" t="str">
        <f aca="false">IF(B503="","",IF(ISNUMBER(H503),H503,N(G503)))</f>
        <v/>
      </c>
      <c r="J503" s="64"/>
      <c r="K503" s="64"/>
      <c r="L503" s="93" t="str">
        <f aca="false">IF(NOT(ISNUMBER(D503)),"",DATE(YEAR(D503),MONTH(D503),1))</f>
        <v/>
      </c>
      <c r="M503" s="70" t="str">
        <f aca="false">IF(B503="","",IF(AND(ISNUMBER(D503),ISNUMBER(E503),E503&lt;D503),"⚠ Término anterior al inicio",IF(J503&lt;&gt;"Sí","Pendiente comprobante firmado","OK")))</f>
        <v/>
      </c>
    </row>
    <row r="504" customFormat="false" ht="15" hidden="false" customHeight="false" outlineLevel="0" collapsed="false">
      <c r="B504" s="64"/>
      <c r="C504" s="72" t="str">
        <f aca="false">IF(B504="","",IFERROR(INDEX(T_NOMBRE,MATCH(B504,T_ID,0)),"⚠ ID no existe"))</f>
        <v/>
      </c>
      <c r="D504" s="65"/>
      <c r="E504" s="65"/>
      <c r="F504" s="64"/>
      <c r="G504" s="74" t="str">
        <f aca="false">IF(OR(B504="",NOT(ISNUMBER(D504)),NOT(ISNUMBER(E504))),"",NETWORKDAYS(D504,E504,FERIADOS))</f>
        <v/>
      </c>
      <c r="H504" s="69"/>
      <c r="I504" s="74" t="str">
        <f aca="false">IF(B504="","",IF(ISNUMBER(H504),H504,N(G504)))</f>
        <v/>
      </c>
      <c r="J504" s="64"/>
      <c r="K504" s="64"/>
      <c r="L504" s="93" t="str">
        <f aca="false">IF(NOT(ISNUMBER(D504)),"",DATE(YEAR(D504),MONTH(D504),1))</f>
        <v/>
      </c>
      <c r="M504" s="70" t="str">
        <f aca="false">IF(B504="","",IF(AND(ISNUMBER(D504),ISNUMBER(E504),E504&lt;D504),"⚠ Término anterior al inicio",IF(J504&lt;&gt;"Sí","Pendiente comprobante firmado","OK")))</f>
        <v/>
      </c>
    </row>
    <row r="505" customFormat="false" ht="15" hidden="false" customHeight="false" outlineLevel="0" collapsed="false">
      <c r="B505" s="64"/>
      <c r="C505" s="72" t="str">
        <f aca="false">IF(B505="","",IFERROR(INDEX(T_NOMBRE,MATCH(B505,T_ID,0)),"⚠ ID no existe"))</f>
        <v/>
      </c>
      <c r="D505" s="65"/>
      <c r="E505" s="65"/>
      <c r="F505" s="64"/>
      <c r="G505" s="74" t="str">
        <f aca="false">IF(OR(B505="",NOT(ISNUMBER(D505)),NOT(ISNUMBER(E505))),"",NETWORKDAYS(D505,E505,FERIADOS))</f>
        <v/>
      </c>
      <c r="H505" s="69"/>
      <c r="I505" s="74" t="str">
        <f aca="false">IF(B505="","",IF(ISNUMBER(H505),H505,N(G505)))</f>
        <v/>
      </c>
      <c r="J505" s="64"/>
      <c r="K505" s="64"/>
      <c r="L505" s="93" t="str">
        <f aca="false">IF(NOT(ISNUMBER(D505)),"",DATE(YEAR(D505),MONTH(D505),1))</f>
        <v/>
      </c>
      <c r="M505" s="70" t="str">
        <f aca="false">IF(B505="","",IF(AND(ISNUMBER(D505),ISNUMBER(E505),E505&lt;D505),"⚠ Término anterior al inicio",IF(J505&lt;&gt;"Sí","Pendiente comprobante firmado","OK")))</f>
        <v/>
      </c>
    </row>
    <row r="506" customFormat="false" ht="15" hidden="false" customHeight="false" outlineLevel="0" collapsed="false">
      <c r="B506" s="64"/>
      <c r="C506" s="72" t="str">
        <f aca="false">IF(B506="","",IFERROR(INDEX(T_NOMBRE,MATCH(B506,T_ID,0)),"⚠ ID no existe"))</f>
        <v/>
      </c>
      <c r="D506" s="65"/>
      <c r="E506" s="65"/>
      <c r="F506" s="64"/>
      <c r="G506" s="74" t="str">
        <f aca="false">IF(OR(B506="",NOT(ISNUMBER(D506)),NOT(ISNUMBER(E506))),"",NETWORKDAYS(D506,E506,FERIADOS))</f>
        <v/>
      </c>
      <c r="H506" s="69"/>
      <c r="I506" s="74" t="str">
        <f aca="false">IF(B506="","",IF(ISNUMBER(H506),H506,N(G506)))</f>
        <v/>
      </c>
      <c r="J506" s="64"/>
      <c r="K506" s="64"/>
      <c r="L506" s="93" t="str">
        <f aca="false">IF(NOT(ISNUMBER(D506)),"",DATE(YEAR(D506),MONTH(D506),1))</f>
        <v/>
      </c>
      <c r="M506" s="70" t="str">
        <f aca="false">IF(B506="","",IF(AND(ISNUMBER(D506),ISNUMBER(E506),E506&lt;D506),"⚠ Término anterior al inicio",IF(J506&lt;&gt;"Sí","Pendiente comprobante firmado","OK")))</f>
        <v/>
      </c>
    </row>
    <row r="507" customFormat="false" ht="15" hidden="false" customHeight="false" outlineLevel="0" collapsed="false">
      <c r="B507" s="64"/>
      <c r="C507" s="72" t="str">
        <f aca="false">IF(B507="","",IFERROR(INDEX(T_NOMBRE,MATCH(B507,T_ID,0)),"⚠ ID no existe"))</f>
        <v/>
      </c>
      <c r="D507" s="65"/>
      <c r="E507" s="65"/>
      <c r="F507" s="64"/>
      <c r="G507" s="74" t="str">
        <f aca="false">IF(OR(B507="",NOT(ISNUMBER(D507)),NOT(ISNUMBER(E507))),"",NETWORKDAYS(D507,E507,FERIADOS))</f>
        <v/>
      </c>
      <c r="H507" s="69"/>
      <c r="I507" s="74" t="str">
        <f aca="false">IF(B507="","",IF(ISNUMBER(H507),H507,N(G507)))</f>
        <v/>
      </c>
      <c r="J507" s="64"/>
      <c r="K507" s="64"/>
      <c r="L507" s="93" t="str">
        <f aca="false">IF(NOT(ISNUMBER(D507)),"",DATE(YEAR(D507),MONTH(D507),1))</f>
        <v/>
      </c>
      <c r="M507" s="70" t="str">
        <f aca="false">IF(B507="","",IF(AND(ISNUMBER(D507),ISNUMBER(E507),E507&lt;D507),"⚠ Término anterior al inicio",IF(J507&lt;&gt;"Sí","Pendiente comprobante firmado","OK")))</f>
        <v/>
      </c>
    </row>
    <row r="508" customFormat="false" ht="15" hidden="false" customHeight="false" outlineLevel="0" collapsed="false">
      <c r="B508" s="64"/>
      <c r="C508" s="72" t="str">
        <f aca="false">IF(B508="","",IFERROR(INDEX(T_NOMBRE,MATCH(B508,T_ID,0)),"⚠ ID no existe"))</f>
        <v/>
      </c>
      <c r="D508" s="65"/>
      <c r="E508" s="65"/>
      <c r="F508" s="64"/>
      <c r="G508" s="74" t="str">
        <f aca="false">IF(OR(B508="",NOT(ISNUMBER(D508)),NOT(ISNUMBER(E508))),"",NETWORKDAYS(D508,E508,FERIADOS))</f>
        <v/>
      </c>
      <c r="H508" s="69"/>
      <c r="I508" s="74" t="str">
        <f aca="false">IF(B508="","",IF(ISNUMBER(H508),H508,N(G508)))</f>
        <v/>
      </c>
      <c r="J508" s="64"/>
      <c r="K508" s="64"/>
      <c r="L508" s="93" t="str">
        <f aca="false">IF(NOT(ISNUMBER(D508)),"",DATE(YEAR(D508),MONTH(D508),1))</f>
        <v/>
      </c>
      <c r="M508" s="70" t="str">
        <f aca="false">IF(B508="","",IF(AND(ISNUMBER(D508),ISNUMBER(E508),E508&lt;D508),"⚠ Término anterior al inicio",IF(J508&lt;&gt;"Sí","Pendiente comprobante firmado","OK")))</f>
        <v/>
      </c>
    </row>
    <row r="509" customFormat="false" ht="15" hidden="false" customHeight="false" outlineLevel="0" collapsed="false">
      <c r="B509" s="64"/>
      <c r="C509" s="72" t="str">
        <f aca="false">IF(B509="","",IFERROR(INDEX(T_NOMBRE,MATCH(B509,T_ID,0)),"⚠ ID no existe"))</f>
        <v/>
      </c>
      <c r="D509" s="65"/>
      <c r="E509" s="65"/>
      <c r="F509" s="64"/>
      <c r="G509" s="74" t="str">
        <f aca="false">IF(OR(B509="",NOT(ISNUMBER(D509)),NOT(ISNUMBER(E509))),"",NETWORKDAYS(D509,E509,FERIADOS))</f>
        <v/>
      </c>
      <c r="H509" s="69"/>
      <c r="I509" s="74" t="str">
        <f aca="false">IF(B509="","",IF(ISNUMBER(H509),H509,N(G509)))</f>
        <v/>
      </c>
      <c r="J509" s="64"/>
      <c r="K509" s="64"/>
      <c r="L509" s="93" t="str">
        <f aca="false">IF(NOT(ISNUMBER(D509)),"",DATE(YEAR(D509),MONTH(D509),1))</f>
        <v/>
      </c>
      <c r="M509" s="70" t="str">
        <f aca="false">IF(B509="","",IF(AND(ISNUMBER(D509),ISNUMBER(E509),E509&lt;D509),"⚠ Término anterior al inicio",IF(J509&lt;&gt;"Sí","Pendiente comprobante firmado","OK")))</f>
        <v/>
      </c>
    </row>
    <row r="510" customFormat="false" ht="15" hidden="false" customHeight="false" outlineLevel="0" collapsed="false">
      <c r="B510" s="64"/>
      <c r="C510" s="72" t="str">
        <f aca="false">IF(B510="","",IFERROR(INDEX(T_NOMBRE,MATCH(B510,T_ID,0)),"⚠ ID no existe"))</f>
        <v/>
      </c>
      <c r="D510" s="65"/>
      <c r="E510" s="65"/>
      <c r="F510" s="64"/>
      <c r="G510" s="74" t="str">
        <f aca="false">IF(OR(B510="",NOT(ISNUMBER(D510)),NOT(ISNUMBER(E510))),"",NETWORKDAYS(D510,E510,FERIADOS))</f>
        <v/>
      </c>
      <c r="H510" s="69"/>
      <c r="I510" s="74" t="str">
        <f aca="false">IF(B510="","",IF(ISNUMBER(H510),H510,N(G510)))</f>
        <v/>
      </c>
      <c r="J510" s="64"/>
      <c r="K510" s="64"/>
      <c r="L510" s="93" t="str">
        <f aca="false">IF(NOT(ISNUMBER(D510)),"",DATE(YEAR(D510),MONTH(D510),1))</f>
        <v/>
      </c>
      <c r="M510" s="70" t="str">
        <f aca="false">IF(B510="","",IF(AND(ISNUMBER(D510),ISNUMBER(E510),E510&lt;D510),"⚠ Término anterior al inicio",IF(J510&lt;&gt;"Sí","Pendiente comprobante firmado","OK")))</f>
        <v/>
      </c>
    </row>
    <row r="511" customFormat="false" ht="15" hidden="false" customHeight="false" outlineLevel="0" collapsed="false">
      <c r="B511" s="64"/>
      <c r="C511" s="72" t="str">
        <f aca="false">IF(B511="","",IFERROR(INDEX(T_NOMBRE,MATCH(B511,T_ID,0)),"⚠ ID no existe"))</f>
        <v/>
      </c>
      <c r="D511" s="65"/>
      <c r="E511" s="65"/>
      <c r="F511" s="64"/>
      <c r="G511" s="74" t="str">
        <f aca="false">IF(OR(B511="",NOT(ISNUMBER(D511)),NOT(ISNUMBER(E511))),"",NETWORKDAYS(D511,E511,FERIADOS))</f>
        <v/>
      </c>
      <c r="H511" s="69"/>
      <c r="I511" s="74" t="str">
        <f aca="false">IF(B511="","",IF(ISNUMBER(H511),H511,N(G511)))</f>
        <v/>
      </c>
      <c r="J511" s="64"/>
      <c r="K511" s="64"/>
      <c r="L511" s="93" t="str">
        <f aca="false">IF(NOT(ISNUMBER(D511)),"",DATE(YEAR(D511),MONTH(D511),1))</f>
        <v/>
      </c>
      <c r="M511" s="70" t="str">
        <f aca="false">IF(B511="","",IF(AND(ISNUMBER(D511),ISNUMBER(E511),E511&lt;D511),"⚠ Término anterior al inicio",IF(J511&lt;&gt;"Sí","Pendiente comprobante firmado","OK")))</f>
        <v/>
      </c>
    </row>
    <row r="512" customFormat="false" ht="15" hidden="false" customHeight="false" outlineLevel="0" collapsed="false">
      <c r="B512" s="64"/>
      <c r="C512" s="72" t="str">
        <f aca="false">IF(B512="","",IFERROR(INDEX(T_NOMBRE,MATCH(B512,T_ID,0)),"⚠ ID no existe"))</f>
        <v/>
      </c>
      <c r="D512" s="65"/>
      <c r="E512" s="65"/>
      <c r="F512" s="64"/>
      <c r="G512" s="74" t="str">
        <f aca="false">IF(OR(B512="",NOT(ISNUMBER(D512)),NOT(ISNUMBER(E512))),"",NETWORKDAYS(D512,E512,FERIADOS))</f>
        <v/>
      </c>
      <c r="H512" s="69"/>
      <c r="I512" s="74" t="str">
        <f aca="false">IF(B512="","",IF(ISNUMBER(H512),H512,N(G512)))</f>
        <v/>
      </c>
      <c r="J512" s="64"/>
      <c r="K512" s="64"/>
      <c r="L512" s="93" t="str">
        <f aca="false">IF(NOT(ISNUMBER(D512)),"",DATE(YEAR(D512),MONTH(D512),1))</f>
        <v/>
      </c>
      <c r="M512" s="70" t="str">
        <f aca="false">IF(B512="","",IF(AND(ISNUMBER(D512),ISNUMBER(E512),E512&lt;D512),"⚠ Término anterior al inicio",IF(J512&lt;&gt;"Sí","Pendiente comprobante firmado","OK")))</f>
        <v/>
      </c>
    </row>
    <row r="513" customFormat="false" ht="15" hidden="false" customHeight="false" outlineLevel="0" collapsed="false">
      <c r="B513" s="64"/>
      <c r="C513" s="72" t="str">
        <f aca="false">IF(B513="","",IFERROR(INDEX(T_NOMBRE,MATCH(B513,T_ID,0)),"⚠ ID no existe"))</f>
        <v/>
      </c>
      <c r="D513" s="65"/>
      <c r="E513" s="65"/>
      <c r="F513" s="64"/>
      <c r="G513" s="74" t="str">
        <f aca="false">IF(OR(B513="",NOT(ISNUMBER(D513)),NOT(ISNUMBER(E513))),"",NETWORKDAYS(D513,E513,FERIADOS))</f>
        <v/>
      </c>
      <c r="H513" s="69"/>
      <c r="I513" s="74" t="str">
        <f aca="false">IF(B513="","",IF(ISNUMBER(H513),H513,N(G513)))</f>
        <v/>
      </c>
      <c r="J513" s="64"/>
      <c r="K513" s="64"/>
      <c r="L513" s="93" t="str">
        <f aca="false">IF(NOT(ISNUMBER(D513)),"",DATE(YEAR(D513),MONTH(D513),1))</f>
        <v/>
      </c>
      <c r="M513" s="70" t="str">
        <f aca="false">IF(B513="","",IF(AND(ISNUMBER(D513),ISNUMBER(E513),E513&lt;D513),"⚠ Término anterior al inicio",IF(J513&lt;&gt;"Sí","Pendiente comprobante firmado","OK")))</f>
        <v/>
      </c>
    </row>
    <row r="514" customFormat="false" ht="15" hidden="false" customHeight="false" outlineLevel="0" collapsed="false">
      <c r="B514" s="64"/>
      <c r="C514" s="72" t="str">
        <f aca="false">IF(B514="","",IFERROR(INDEX(T_NOMBRE,MATCH(B514,T_ID,0)),"⚠ ID no existe"))</f>
        <v/>
      </c>
      <c r="D514" s="65"/>
      <c r="E514" s="65"/>
      <c r="F514" s="64"/>
      <c r="G514" s="74" t="str">
        <f aca="false">IF(OR(B514="",NOT(ISNUMBER(D514)),NOT(ISNUMBER(E514))),"",NETWORKDAYS(D514,E514,FERIADOS))</f>
        <v/>
      </c>
      <c r="H514" s="69"/>
      <c r="I514" s="74" t="str">
        <f aca="false">IF(B514="","",IF(ISNUMBER(H514),H514,N(G514)))</f>
        <v/>
      </c>
      <c r="J514" s="64"/>
      <c r="K514" s="64"/>
      <c r="L514" s="93" t="str">
        <f aca="false">IF(NOT(ISNUMBER(D514)),"",DATE(YEAR(D514),MONTH(D514),1))</f>
        <v/>
      </c>
      <c r="M514" s="70" t="str">
        <f aca="false">IF(B514="","",IF(AND(ISNUMBER(D514),ISNUMBER(E514),E514&lt;D514),"⚠ Término anterior al inicio",IF(J514&lt;&gt;"Sí","Pendiente comprobante firmado","OK")))</f>
        <v/>
      </c>
    </row>
    <row r="515" customFormat="false" ht="15" hidden="false" customHeight="false" outlineLevel="0" collapsed="false">
      <c r="B515" s="64"/>
      <c r="C515" s="72" t="str">
        <f aca="false">IF(B515="","",IFERROR(INDEX(T_NOMBRE,MATCH(B515,T_ID,0)),"⚠ ID no existe"))</f>
        <v/>
      </c>
      <c r="D515" s="65"/>
      <c r="E515" s="65"/>
      <c r="F515" s="64"/>
      <c r="G515" s="74" t="str">
        <f aca="false">IF(OR(B515="",NOT(ISNUMBER(D515)),NOT(ISNUMBER(E515))),"",NETWORKDAYS(D515,E515,FERIADOS))</f>
        <v/>
      </c>
      <c r="H515" s="69"/>
      <c r="I515" s="74" t="str">
        <f aca="false">IF(B515="","",IF(ISNUMBER(H515),H515,N(G515)))</f>
        <v/>
      </c>
      <c r="J515" s="64"/>
      <c r="K515" s="64"/>
      <c r="L515" s="93" t="str">
        <f aca="false">IF(NOT(ISNUMBER(D515)),"",DATE(YEAR(D515),MONTH(D515),1))</f>
        <v/>
      </c>
      <c r="M515" s="70" t="str">
        <f aca="false">IF(B515="","",IF(AND(ISNUMBER(D515),ISNUMBER(E515),E515&lt;D515),"⚠ Término anterior al inicio",IF(J515&lt;&gt;"Sí","Pendiente comprobante firmado","OK")))</f>
        <v/>
      </c>
    </row>
    <row r="516" customFormat="false" ht="15" hidden="false" customHeight="false" outlineLevel="0" collapsed="false">
      <c r="B516" s="64"/>
      <c r="C516" s="72" t="str">
        <f aca="false">IF(B516="","",IFERROR(INDEX(T_NOMBRE,MATCH(B516,T_ID,0)),"⚠ ID no existe"))</f>
        <v/>
      </c>
      <c r="D516" s="65"/>
      <c r="E516" s="65"/>
      <c r="F516" s="64"/>
      <c r="G516" s="74" t="str">
        <f aca="false">IF(OR(B516="",NOT(ISNUMBER(D516)),NOT(ISNUMBER(E516))),"",NETWORKDAYS(D516,E516,FERIADOS))</f>
        <v/>
      </c>
      <c r="H516" s="69"/>
      <c r="I516" s="74" t="str">
        <f aca="false">IF(B516="","",IF(ISNUMBER(H516),H516,N(G516)))</f>
        <v/>
      </c>
      <c r="J516" s="64"/>
      <c r="K516" s="64"/>
      <c r="L516" s="93" t="str">
        <f aca="false">IF(NOT(ISNUMBER(D516)),"",DATE(YEAR(D516),MONTH(D516),1))</f>
        <v/>
      </c>
      <c r="M516" s="70" t="str">
        <f aca="false">IF(B516="","",IF(AND(ISNUMBER(D516),ISNUMBER(E516),E516&lt;D516),"⚠ Término anterior al inicio",IF(J516&lt;&gt;"Sí","Pendiente comprobante firmado","OK")))</f>
        <v/>
      </c>
    </row>
    <row r="517" customFormat="false" ht="15" hidden="false" customHeight="false" outlineLevel="0" collapsed="false">
      <c r="B517" s="64"/>
      <c r="C517" s="72" t="str">
        <f aca="false">IF(B517="","",IFERROR(INDEX(T_NOMBRE,MATCH(B517,T_ID,0)),"⚠ ID no existe"))</f>
        <v/>
      </c>
      <c r="D517" s="65"/>
      <c r="E517" s="65"/>
      <c r="F517" s="64"/>
      <c r="G517" s="74" t="str">
        <f aca="false">IF(OR(B517="",NOT(ISNUMBER(D517)),NOT(ISNUMBER(E517))),"",NETWORKDAYS(D517,E517,FERIADOS))</f>
        <v/>
      </c>
      <c r="H517" s="69"/>
      <c r="I517" s="74" t="str">
        <f aca="false">IF(B517="","",IF(ISNUMBER(H517),H517,N(G517)))</f>
        <v/>
      </c>
      <c r="J517" s="64"/>
      <c r="K517" s="64"/>
      <c r="L517" s="93" t="str">
        <f aca="false">IF(NOT(ISNUMBER(D517)),"",DATE(YEAR(D517),MONTH(D517),1))</f>
        <v/>
      </c>
      <c r="M517" s="70" t="str">
        <f aca="false">IF(B517="","",IF(AND(ISNUMBER(D517),ISNUMBER(E517),E517&lt;D517),"⚠ Término anterior al inicio",IF(J517&lt;&gt;"Sí","Pendiente comprobante firmado","OK")))</f>
        <v/>
      </c>
    </row>
    <row r="518" customFormat="false" ht="15" hidden="false" customHeight="false" outlineLevel="0" collapsed="false">
      <c r="B518" s="64"/>
      <c r="C518" s="72" t="str">
        <f aca="false">IF(B518="","",IFERROR(INDEX(T_NOMBRE,MATCH(B518,T_ID,0)),"⚠ ID no existe"))</f>
        <v/>
      </c>
      <c r="D518" s="65"/>
      <c r="E518" s="65"/>
      <c r="F518" s="64"/>
      <c r="G518" s="74" t="str">
        <f aca="false">IF(OR(B518="",NOT(ISNUMBER(D518)),NOT(ISNUMBER(E518))),"",NETWORKDAYS(D518,E518,FERIADOS))</f>
        <v/>
      </c>
      <c r="H518" s="69"/>
      <c r="I518" s="74" t="str">
        <f aca="false">IF(B518="","",IF(ISNUMBER(H518),H518,N(G518)))</f>
        <v/>
      </c>
      <c r="J518" s="64"/>
      <c r="K518" s="64"/>
      <c r="L518" s="93" t="str">
        <f aca="false">IF(NOT(ISNUMBER(D518)),"",DATE(YEAR(D518),MONTH(D518),1))</f>
        <v/>
      </c>
      <c r="M518" s="70" t="str">
        <f aca="false">IF(B518="","",IF(AND(ISNUMBER(D518),ISNUMBER(E518),E518&lt;D518),"⚠ Término anterior al inicio",IF(J518&lt;&gt;"Sí","Pendiente comprobante firmado","OK")))</f>
        <v/>
      </c>
    </row>
    <row r="519" customFormat="false" ht="15" hidden="false" customHeight="false" outlineLevel="0" collapsed="false">
      <c r="B519" s="64"/>
      <c r="C519" s="72" t="str">
        <f aca="false">IF(B519="","",IFERROR(INDEX(T_NOMBRE,MATCH(B519,T_ID,0)),"⚠ ID no existe"))</f>
        <v/>
      </c>
      <c r="D519" s="65"/>
      <c r="E519" s="65"/>
      <c r="F519" s="64"/>
      <c r="G519" s="74" t="str">
        <f aca="false">IF(OR(B519="",NOT(ISNUMBER(D519)),NOT(ISNUMBER(E519))),"",NETWORKDAYS(D519,E519,FERIADOS))</f>
        <v/>
      </c>
      <c r="H519" s="69"/>
      <c r="I519" s="74" t="str">
        <f aca="false">IF(B519="","",IF(ISNUMBER(H519),H519,N(G519)))</f>
        <v/>
      </c>
      <c r="J519" s="64"/>
      <c r="K519" s="64"/>
      <c r="L519" s="93" t="str">
        <f aca="false">IF(NOT(ISNUMBER(D519)),"",DATE(YEAR(D519),MONTH(D519),1))</f>
        <v/>
      </c>
      <c r="M519" s="70" t="str">
        <f aca="false">IF(B519="","",IF(AND(ISNUMBER(D519),ISNUMBER(E519),E519&lt;D519),"⚠ Término anterior al inicio",IF(J519&lt;&gt;"Sí","Pendiente comprobante firmado","OK")))</f>
        <v/>
      </c>
    </row>
    <row r="520" customFormat="false" ht="15" hidden="false" customHeight="false" outlineLevel="0" collapsed="false">
      <c r="B520" s="64"/>
      <c r="C520" s="72" t="str">
        <f aca="false">IF(B520="","",IFERROR(INDEX(T_NOMBRE,MATCH(B520,T_ID,0)),"⚠ ID no existe"))</f>
        <v/>
      </c>
      <c r="D520" s="65"/>
      <c r="E520" s="65"/>
      <c r="F520" s="64"/>
      <c r="G520" s="74" t="str">
        <f aca="false">IF(OR(B520="",NOT(ISNUMBER(D520)),NOT(ISNUMBER(E520))),"",NETWORKDAYS(D520,E520,FERIADOS))</f>
        <v/>
      </c>
      <c r="H520" s="69"/>
      <c r="I520" s="74" t="str">
        <f aca="false">IF(B520="","",IF(ISNUMBER(H520),H520,N(G520)))</f>
        <v/>
      </c>
      <c r="J520" s="64"/>
      <c r="K520" s="64"/>
      <c r="L520" s="93" t="str">
        <f aca="false">IF(NOT(ISNUMBER(D520)),"",DATE(YEAR(D520),MONTH(D520),1))</f>
        <v/>
      </c>
      <c r="M520" s="70" t="str">
        <f aca="false">IF(B520="","",IF(AND(ISNUMBER(D520),ISNUMBER(E520),E520&lt;D520),"⚠ Término anterior al inicio",IF(J520&lt;&gt;"Sí","Pendiente comprobante firmado","OK")))</f>
        <v/>
      </c>
    </row>
    <row r="521" customFormat="false" ht="15" hidden="false" customHeight="false" outlineLevel="0" collapsed="false">
      <c r="B521" s="64"/>
      <c r="C521" s="72" t="str">
        <f aca="false">IF(B521="","",IFERROR(INDEX(T_NOMBRE,MATCH(B521,T_ID,0)),"⚠ ID no existe"))</f>
        <v/>
      </c>
      <c r="D521" s="65"/>
      <c r="E521" s="65"/>
      <c r="F521" s="64"/>
      <c r="G521" s="74" t="str">
        <f aca="false">IF(OR(B521="",NOT(ISNUMBER(D521)),NOT(ISNUMBER(E521))),"",NETWORKDAYS(D521,E521,FERIADOS))</f>
        <v/>
      </c>
      <c r="H521" s="69"/>
      <c r="I521" s="74" t="str">
        <f aca="false">IF(B521="","",IF(ISNUMBER(H521),H521,N(G521)))</f>
        <v/>
      </c>
      <c r="J521" s="64"/>
      <c r="K521" s="64"/>
      <c r="L521" s="93" t="str">
        <f aca="false">IF(NOT(ISNUMBER(D521)),"",DATE(YEAR(D521),MONTH(D521),1))</f>
        <v/>
      </c>
      <c r="M521" s="70" t="str">
        <f aca="false">IF(B521="","",IF(AND(ISNUMBER(D521),ISNUMBER(E521),E521&lt;D521),"⚠ Término anterior al inicio",IF(J521&lt;&gt;"Sí","Pendiente comprobante firmado","OK")))</f>
        <v/>
      </c>
    </row>
    <row r="522" customFormat="false" ht="15" hidden="false" customHeight="false" outlineLevel="0" collapsed="false">
      <c r="B522" s="64"/>
      <c r="C522" s="72" t="str">
        <f aca="false">IF(B522="","",IFERROR(INDEX(T_NOMBRE,MATCH(B522,T_ID,0)),"⚠ ID no existe"))</f>
        <v/>
      </c>
      <c r="D522" s="65"/>
      <c r="E522" s="65"/>
      <c r="F522" s="64"/>
      <c r="G522" s="74" t="str">
        <f aca="false">IF(OR(B522="",NOT(ISNUMBER(D522)),NOT(ISNUMBER(E522))),"",NETWORKDAYS(D522,E522,FERIADOS))</f>
        <v/>
      </c>
      <c r="H522" s="69"/>
      <c r="I522" s="74" t="str">
        <f aca="false">IF(B522="","",IF(ISNUMBER(H522),H522,N(G522)))</f>
        <v/>
      </c>
      <c r="J522" s="64"/>
      <c r="K522" s="64"/>
      <c r="L522" s="93" t="str">
        <f aca="false">IF(NOT(ISNUMBER(D522)),"",DATE(YEAR(D522),MONTH(D522),1))</f>
        <v/>
      </c>
      <c r="M522" s="70" t="str">
        <f aca="false">IF(B522="","",IF(AND(ISNUMBER(D522),ISNUMBER(E522),E522&lt;D522),"⚠ Término anterior al inicio",IF(J522&lt;&gt;"Sí","Pendiente comprobante firmado","OK")))</f>
        <v/>
      </c>
    </row>
    <row r="523" customFormat="false" ht="15" hidden="false" customHeight="false" outlineLevel="0" collapsed="false">
      <c r="B523" s="64"/>
      <c r="C523" s="72" t="str">
        <f aca="false">IF(B523="","",IFERROR(INDEX(T_NOMBRE,MATCH(B523,T_ID,0)),"⚠ ID no existe"))</f>
        <v/>
      </c>
      <c r="D523" s="65"/>
      <c r="E523" s="65"/>
      <c r="F523" s="64"/>
      <c r="G523" s="74" t="str">
        <f aca="false">IF(OR(B523="",NOT(ISNUMBER(D523)),NOT(ISNUMBER(E523))),"",NETWORKDAYS(D523,E523,FERIADOS))</f>
        <v/>
      </c>
      <c r="H523" s="69"/>
      <c r="I523" s="74" t="str">
        <f aca="false">IF(B523="","",IF(ISNUMBER(H523),H523,N(G523)))</f>
        <v/>
      </c>
      <c r="J523" s="64"/>
      <c r="K523" s="64"/>
      <c r="L523" s="93" t="str">
        <f aca="false">IF(NOT(ISNUMBER(D523)),"",DATE(YEAR(D523),MONTH(D523),1))</f>
        <v/>
      </c>
      <c r="M523" s="70" t="str">
        <f aca="false">IF(B523="","",IF(AND(ISNUMBER(D523),ISNUMBER(E523),E523&lt;D523),"⚠ Término anterior al inicio",IF(J523&lt;&gt;"Sí","Pendiente comprobante firmado","OK")))</f>
        <v/>
      </c>
    </row>
    <row r="524" customFormat="false" ht="15" hidden="false" customHeight="false" outlineLevel="0" collapsed="false">
      <c r="B524" s="64"/>
      <c r="C524" s="72" t="str">
        <f aca="false">IF(B524="","",IFERROR(INDEX(T_NOMBRE,MATCH(B524,T_ID,0)),"⚠ ID no existe"))</f>
        <v/>
      </c>
      <c r="D524" s="65"/>
      <c r="E524" s="65"/>
      <c r="F524" s="64"/>
      <c r="G524" s="74" t="str">
        <f aca="false">IF(OR(B524="",NOT(ISNUMBER(D524)),NOT(ISNUMBER(E524))),"",NETWORKDAYS(D524,E524,FERIADOS))</f>
        <v/>
      </c>
      <c r="H524" s="69"/>
      <c r="I524" s="74" t="str">
        <f aca="false">IF(B524="","",IF(ISNUMBER(H524),H524,N(G524)))</f>
        <v/>
      </c>
      <c r="J524" s="64"/>
      <c r="K524" s="64"/>
      <c r="L524" s="93" t="str">
        <f aca="false">IF(NOT(ISNUMBER(D524)),"",DATE(YEAR(D524),MONTH(D524),1))</f>
        <v/>
      </c>
      <c r="M524" s="70" t="str">
        <f aca="false">IF(B524="","",IF(AND(ISNUMBER(D524),ISNUMBER(E524),E524&lt;D524),"⚠ Término anterior al inicio",IF(J524&lt;&gt;"Sí","Pendiente comprobante firmado","OK")))</f>
        <v/>
      </c>
    </row>
    <row r="525" customFormat="false" ht="15" hidden="false" customHeight="false" outlineLevel="0" collapsed="false">
      <c r="B525" s="64"/>
      <c r="C525" s="72" t="str">
        <f aca="false">IF(B525="","",IFERROR(INDEX(T_NOMBRE,MATCH(B525,T_ID,0)),"⚠ ID no existe"))</f>
        <v/>
      </c>
      <c r="D525" s="65"/>
      <c r="E525" s="65"/>
      <c r="F525" s="64"/>
      <c r="G525" s="74" t="str">
        <f aca="false">IF(OR(B525="",NOT(ISNUMBER(D525)),NOT(ISNUMBER(E525))),"",NETWORKDAYS(D525,E525,FERIADOS))</f>
        <v/>
      </c>
      <c r="H525" s="69"/>
      <c r="I525" s="74" t="str">
        <f aca="false">IF(B525="","",IF(ISNUMBER(H525),H525,N(G525)))</f>
        <v/>
      </c>
      <c r="J525" s="64"/>
      <c r="K525" s="64"/>
      <c r="L525" s="93" t="str">
        <f aca="false">IF(NOT(ISNUMBER(D525)),"",DATE(YEAR(D525),MONTH(D525),1))</f>
        <v/>
      </c>
      <c r="M525" s="70" t="str">
        <f aca="false">IF(B525="","",IF(AND(ISNUMBER(D525),ISNUMBER(E525),E525&lt;D525),"⚠ Término anterior al inicio",IF(J525&lt;&gt;"Sí","Pendiente comprobante firmado","OK")))</f>
        <v/>
      </c>
    </row>
    <row r="526" customFormat="false" ht="15" hidden="false" customHeight="false" outlineLevel="0" collapsed="false">
      <c r="B526" s="64"/>
      <c r="C526" s="72" t="str">
        <f aca="false">IF(B526="","",IFERROR(INDEX(T_NOMBRE,MATCH(B526,T_ID,0)),"⚠ ID no existe"))</f>
        <v/>
      </c>
      <c r="D526" s="65"/>
      <c r="E526" s="65"/>
      <c r="F526" s="64"/>
      <c r="G526" s="74" t="str">
        <f aca="false">IF(OR(B526="",NOT(ISNUMBER(D526)),NOT(ISNUMBER(E526))),"",NETWORKDAYS(D526,E526,FERIADOS))</f>
        <v/>
      </c>
      <c r="H526" s="69"/>
      <c r="I526" s="74" t="str">
        <f aca="false">IF(B526="","",IF(ISNUMBER(H526),H526,N(G526)))</f>
        <v/>
      </c>
      <c r="J526" s="64"/>
      <c r="K526" s="64"/>
      <c r="L526" s="93" t="str">
        <f aca="false">IF(NOT(ISNUMBER(D526)),"",DATE(YEAR(D526),MONTH(D526),1))</f>
        <v/>
      </c>
      <c r="M526" s="70" t="str">
        <f aca="false">IF(B526="","",IF(AND(ISNUMBER(D526),ISNUMBER(E526),E526&lt;D526),"⚠ Término anterior al inicio",IF(J526&lt;&gt;"Sí","Pendiente comprobante firmado","OK")))</f>
        <v/>
      </c>
    </row>
    <row r="527" customFormat="false" ht="15" hidden="false" customHeight="false" outlineLevel="0" collapsed="false">
      <c r="B527" s="64"/>
      <c r="C527" s="72" t="str">
        <f aca="false">IF(B527="","",IFERROR(INDEX(T_NOMBRE,MATCH(B527,T_ID,0)),"⚠ ID no existe"))</f>
        <v/>
      </c>
      <c r="D527" s="65"/>
      <c r="E527" s="65"/>
      <c r="F527" s="64"/>
      <c r="G527" s="74" t="str">
        <f aca="false">IF(OR(B527="",NOT(ISNUMBER(D527)),NOT(ISNUMBER(E527))),"",NETWORKDAYS(D527,E527,FERIADOS))</f>
        <v/>
      </c>
      <c r="H527" s="69"/>
      <c r="I527" s="74" t="str">
        <f aca="false">IF(B527="","",IF(ISNUMBER(H527),H527,N(G527)))</f>
        <v/>
      </c>
      <c r="J527" s="64"/>
      <c r="K527" s="64"/>
      <c r="L527" s="93" t="str">
        <f aca="false">IF(NOT(ISNUMBER(D527)),"",DATE(YEAR(D527),MONTH(D527),1))</f>
        <v/>
      </c>
      <c r="M527" s="70" t="str">
        <f aca="false">IF(B527="","",IF(AND(ISNUMBER(D527),ISNUMBER(E527),E527&lt;D527),"⚠ Término anterior al inicio",IF(J527&lt;&gt;"Sí","Pendiente comprobante firmado","OK")))</f>
        <v/>
      </c>
    </row>
    <row r="528" customFormat="false" ht="15" hidden="false" customHeight="false" outlineLevel="0" collapsed="false">
      <c r="B528" s="64"/>
      <c r="C528" s="72" t="str">
        <f aca="false">IF(B528="","",IFERROR(INDEX(T_NOMBRE,MATCH(B528,T_ID,0)),"⚠ ID no existe"))</f>
        <v/>
      </c>
      <c r="D528" s="65"/>
      <c r="E528" s="65"/>
      <c r="F528" s="64"/>
      <c r="G528" s="74" t="str">
        <f aca="false">IF(OR(B528="",NOT(ISNUMBER(D528)),NOT(ISNUMBER(E528))),"",NETWORKDAYS(D528,E528,FERIADOS))</f>
        <v/>
      </c>
      <c r="H528" s="69"/>
      <c r="I528" s="74" t="str">
        <f aca="false">IF(B528="","",IF(ISNUMBER(H528),H528,N(G528)))</f>
        <v/>
      </c>
      <c r="J528" s="64"/>
      <c r="K528" s="64"/>
      <c r="L528" s="93" t="str">
        <f aca="false">IF(NOT(ISNUMBER(D528)),"",DATE(YEAR(D528),MONTH(D528),1))</f>
        <v/>
      </c>
      <c r="M528" s="70" t="str">
        <f aca="false">IF(B528="","",IF(AND(ISNUMBER(D528),ISNUMBER(E528),E528&lt;D528),"⚠ Término anterior al inicio",IF(J528&lt;&gt;"Sí","Pendiente comprobante firmado","OK")))</f>
        <v/>
      </c>
    </row>
    <row r="529" customFormat="false" ht="15" hidden="false" customHeight="false" outlineLevel="0" collapsed="false">
      <c r="B529" s="64"/>
      <c r="C529" s="72" t="str">
        <f aca="false">IF(B529="","",IFERROR(INDEX(T_NOMBRE,MATCH(B529,T_ID,0)),"⚠ ID no existe"))</f>
        <v/>
      </c>
      <c r="D529" s="65"/>
      <c r="E529" s="65"/>
      <c r="F529" s="64"/>
      <c r="G529" s="74" t="str">
        <f aca="false">IF(OR(B529="",NOT(ISNUMBER(D529)),NOT(ISNUMBER(E529))),"",NETWORKDAYS(D529,E529,FERIADOS))</f>
        <v/>
      </c>
      <c r="H529" s="69"/>
      <c r="I529" s="74" t="str">
        <f aca="false">IF(B529="","",IF(ISNUMBER(H529),H529,N(G529)))</f>
        <v/>
      </c>
      <c r="J529" s="64"/>
      <c r="K529" s="64"/>
      <c r="L529" s="93" t="str">
        <f aca="false">IF(NOT(ISNUMBER(D529)),"",DATE(YEAR(D529),MONTH(D529),1))</f>
        <v/>
      </c>
      <c r="M529" s="70" t="str">
        <f aca="false">IF(B529="","",IF(AND(ISNUMBER(D529),ISNUMBER(E529),E529&lt;D529),"⚠ Término anterior al inicio",IF(J529&lt;&gt;"Sí","Pendiente comprobante firmado","OK")))</f>
        <v/>
      </c>
    </row>
    <row r="530" customFormat="false" ht="15" hidden="false" customHeight="false" outlineLevel="0" collapsed="false">
      <c r="B530" s="64"/>
      <c r="C530" s="72" t="str">
        <f aca="false">IF(B530="","",IFERROR(INDEX(T_NOMBRE,MATCH(B530,T_ID,0)),"⚠ ID no existe"))</f>
        <v/>
      </c>
      <c r="D530" s="65"/>
      <c r="E530" s="65"/>
      <c r="F530" s="64"/>
      <c r="G530" s="74" t="str">
        <f aca="false">IF(OR(B530="",NOT(ISNUMBER(D530)),NOT(ISNUMBER(E530))),"",NETWORKDAYS(D530,E530,FERIADOS))</f>
        <v/>
      </c>
      <c r="H530" s="69"/>
      <c r="I530" s="74" t="str">
        <f aca="false">IF(B530="","",IF(ISNUMBER(H530),H530,N(G530)))</f>
        <v/>
      </c>
      <c r="J530" s="64"/>
      <c r="K530" s="64"/>
      <c r="L530" s="93" t="str">
        <f aca="false">IF(NOT(ISNUMBER(D530)),"",DATE(YEAR(D530),MONTH(D530),1))</f>
        <v/>
      </c>
      <c r="M530" s="70" t="str">
        <f aca="false">IF(B530="","",IF(AND(ISNUMBER(D530),ISNUMBER(E530),E530&lt;D530),"⚠ Término anterior al inicio",IF(J530&lt;&gt;"Sí","Pendiente comprobante firmado","OK")))</f>
        <v/>
      </c>
    </row>
    <row r="531" customFormat="false" ht="15" hidden="false" customHeight="false" outlineLevel="0" collapsed="false">
      <c r="B531" s="64"/>
      <c r="C531" s="72" t="str">
        <f aca="false">IF(B531="","",IFERROR(INDEX(T_NOMBRE,MATCH(B531,T_ID,0)),"⚠ ID no existe"))</f>
        <v/>
      </c>
      <c r="D531" s="65"/>
      <c r="E531" s="65"/>
      <c r="F531" s="64"/>
      <c r="G531" s="74" t="str">
        <f aca="false">IF(OR(B531="",NOT(ISNUMBER(D531)),NOT(ISNUMBER(E531))),"",NETWORKDAYS(D531,E531,FERIADOS))</f>
        <v/>
      </c>
      <c r="H531" s="69"/>
      <c r="I531" s="74" t="str">
        <f aca="false">IF(B531="","",IF(ISNUMBER(H531),H531,N(G531)))</f>
        <v/>
      </c>
      <c r="J531" s="64"/>
      <c r="K531" s="64"/>
      <c r="L531" s="93" t="str">
        <f aca="false">IF(NOT(ISNUMBER(D531)),"",DATE(YEAR(D531),MONTH(D531),1))</f>
        <v/>
      </c>
      <c r="M531" s="70" t="str">
        <f aca="false">IF(B531="","",IF(AND(ISNUMBER(D531),ISNUMBER(E531),E531&lt;D531),"⚠ Término anterior al inicio",IF(J531&lt;&gt;"Sí","Pendiente comprobante firmado","OK")))</f>
        <v/>
      </c>
    </row>
    <row r="532" customFormat="false" ht="15" hidden="false" customHeight="false" outlineLevel="0" collapsed="false">
      <c r="B532" s="64"/>
      <c r="C532" s="72" t="str">
        <f aca="false">IF(B532="","",IFERROR(INDEX(T_NOMBRE,MATCH(B532,T_ID,0)),"⚠ ID no existe"))</f>
        <v/>
      </c>
      <c r="D532" s="65"/>
      <c r="E532" s="65"/>
      <c r="F532" s="64"/>
      <c r="G532" s="74" t="str">
        <f aca="false">IF(OR(B532="",NOT(ISNUMBER(D532)),NOT(ISNUMBER(E532))),"",NETWORKDAYS(D532,E532,FERIADOS))</f>
        <v/>
      </c>
      <c r="H532" s="69"/>
      <c r="I532" s="74" t="str">
        <f aca="false">IF(B532="","",IF(ISNUMBER(H532),H532,N(G532)))</f>
        <v/>
      </c>
      <c r="J532" s="64"/>
      <c r="K532" s="64"/>
      <c r="L532" s="93" t="str">
        <f aca="false">IF(NOT(ISNUMBER(D532)),"",DATE(YEAR(D532),MONTH(D532),1))</f>
        <v/>
      </c>
      <c r="M532" s="70" t="str">
        <f aca="false">IF(B532="","",IF(AND(ISNUMBER(D532),ISNUMBER(E532),E532&lt;D532),"⚠ Término anterior al inicio",IF(J532&lt;&gt;"Sí","Pendiente comprobante firmado","OK")))</f>
        <v/>
      </c>
    </row>
    <row r="533" customFormat="false" ht="15" hidden="false" customHeight="false" outlineLevel="0" collapsed="false">
      <c r="B533" s="64"/>
      <c r="C533" s="72" t="str">
        <f aca="false">IF(B533="","",IFERROR(INDEX(T_NOMBRE,MATCH(B533,T_ID,0)),"⚠ ID no existe"))</f>
        <v/>
      </c>
      <c r="D533" s="65"/>
      <c r="E533" s="65"/>
      <c r="F533" s="64"/>
      <c r="G533" s="74" t="str">
        <f aca="false">IF(OR(B533="",NOT(ISNUMBER(D533)),NOT(ISNUMBER(E533))),"",NETWORKDAYS(D533,E533,FERIADOS))</f>
        <v/>
      </c>
      <c r="H533" s="69"/>
      <c r="I533" s="74" t="str">
        <f aca="false">IF(B533="","",IF(ISNUMBER(H533),H533,N(G533)))</f>
        <v/>
      </c>
      <c r="J533" s="64"/>
      <c r="K533" s="64"/>
      <c r="L533" s="93" t="str">
        <f aca="false">IF(NOT(ISNUMBER(D533)),"",DATE(YEAR(D533),MONTH(D533),1))</f>
        <v/>
      </c>
      <c r="M533" s="70" t="str">
        <f aca="false">IF(B533="","",IF(AND(ISNUMBER(D533),ISNUMBER(E533),E533&lt;D533),"⚠ Término anterior al inicio",IF(J533&lt;&gt;"Sí","Pendiente comprobante firmado","OK")))</f>
        <v/>
      </c>
    </row>
    <row r="534" customFormat="false" ht="15" hidden="false" customHeight="false" outlineLevel="0" collapsed="false">
      <c r="B534" s="64"/>
      <c r="C534" s="72" t="str">
        <f aca="false">IF(B534="","",IFERROR(INDEX(T_NOMBRE,MATCH(B534,T_ID,0)),"⚠ ID no existe"))</f>
        <v/>
      </c>
      <c r="D534" s="65"/>
      <c r="E534" s="65"/>
      <c r="F534" s="64"/>
      <c r="G534" s="74" t="str">
        <f aca="false">IF(OR(B534="",NOT(ISNUMBER(D534)),NOT(ISNUMBER(E534))),"",NETWORKDAYS(D534,E534,FERIADOS))</f>
        <v/>
      </c>
      <c r="H534" s="69"/>
      <c r="I534" s="74" t="str">
        <f aca="false">IF(B534="","",IF(ISNUMBER(H534),H534,N(G534)))</f>
        <v/>
      </c>
      <c r="J534" s="64"/>
      <c r="K534" s="64"/>
      <c r="L534" s="93" t="str">
        <f aca="false">IF(NOT(ISNUMBER(D534)),"",DATE(YEAR(D534),MONTH(D534),1))</f>
        <v/>
      </c>
      <c r="M534" s="70" t="str">
        <f aca="false">IF(B534="","",IF(AND(ISNUMBER(D534),ISNUMBER(E534),E534&lt;D534),"⚠ Término anterior al inicio",IF(J534&lt;&gt;"Sí","Pendiente comprobante firmado","OK")))</f>
        <v/>
      </c>
    </row>
    <row r="535" customFormat="false" ht="15" hidden="false" customHeight="false" outlineLevel="0" collapsed="false">
      <c r="B535" s="64"/>
      <c r="C535" s="72" t="str">
        <f aca="false">IF(B535="","",IFERROR(INDEX(T_NOMBRE,MATCH(B535,T_ID,0)),"⚠ ID no existe"))</f>
        <v/>
      </c>
      <c r="D535" s="65"/>
      <c r="E535" s="65"/>
      <c r="F535" s="64"/>
      <c r="G535" s="74" t="str">
        <f aca="false">IF(OR(B535="",NOT(ISNUMBER(D535)),NOT(ISNUMBER(E535))),"",NETWORKDAYS(D535,E535,FERIADOS))</f>
        <v/>
      </c>
      <c r="H535" s="69"/>
      <c r="I535" s="74" t="str">
        <f aca="false">IF(B535="","",IF(ISNUMBER(H535),H535,N(G535)))</f>
        <v/>
      </c>
      <c r="J535" s="64"/>
      <c r="K535" s="64"/>
      <c r="L535" s="93" t="str">
        <f aca="false">IF(NOT(ISNUMBER(D535)),"",DATE(YEAR(D535),MONTH(D535),1))</f>
        <v/>
      </c>
      <c r="M535" s="70" t="str">
        <f aca="false">IF(B535="","",IF(AND(ISNUMBER(D535),ISNUMBER(E535),E535&lt;D535),"⚠ Término anterior al inicio",IF(J535&lt;&gt;"Sí","Pendiente comprobante firmado","OK")))</f>
        <v/>
      </c>
    </row>
    <row r="536" customFormat="false" ht="15" hidden="false" customHeight="false" outlineLevel="0" collapsed="false">
      <c r="B536" s="64"/>
      <c r="C536" s="72" t="str">
        <f aca="false">IF(B536="","",IFERROR(INDEX(T_NOMBRE,MATCH(B536,T_ID,0)),"⚠ ID no existe"))</f>
        <v/>
      </c>
      <c r="D536" s="65"/>
      <c r="E536" s="65"/>
      <c r="F536" s="64"/>
      <c r="G536" s="74" t="str">
        <f aca="false">IF(OR(B536="",NOT(ISNUMBER(D536)),NOT(ISNUMBER(E536))),"",NETWORKDAYS(D536,E536,FERIADOS))</f>
        <v/>
      </c>
      <c r="H536" s="69"/>
      <c r="I536" s="74" t="str">
        <f aca="false">IF(B536="","",IF(ISNUMBER(H536),H536,N(G536)))</f>
        <v/>
      </c>
      <c r="J536" s="64"/>
      <c r="K536" s="64"/>
      <c r="L536" s="93" t="str">
        <f aca="false">IF(NOT(ISNUMBER(D536)),"",DATE(YEAR(D536),MONTH(D536),1))</f>
        <v/>
      </c>
      <c r="M536" s="70" t="str">
        <f aca="false">IF(B536="","",IF(AND(ISNUMBER(D536),ISNUMBER(E536),E536&lt;D536),"⚠ Término anterior al inicio",IF(J536&lt;&gt;"Sí","Pendiente comprobante firmado","OK")))</f>
        <v/>
      </c>
    </row>
    <row r="537" customFormat="false" ht="15" hidden="false" customHeight="false" outlineLevel="0" collapsed="false">
      <c r="B537" s="64"/>
      <c r="C537" s="72" t="str">
        <f aca="false">IF(B537="","",IFERROR(INDEX(T_NOMBRE,MATCH(B537,T_ID,0)),"⚠ ID no existe"))</f>
        <v/>
      </c>
      <c r="D537" s="65"/>
      <c r="E537" s="65"/>
      <c r="F537" s="64"/>
      <c r="G537" s="74" t="str">
        <f aca="false">IF(OR(B537="",NOT(ISNUMBER(D537)),NOT(ISNUMBER(E537))),"",NETWORKDAYS(D537,E537,FERIADOS))</f>
        <v/>
      </c>
      <c r="H537" s="69"/>
      <c r="I537" s="74" t="str">
        <f aca="false">IF(B537="","",IF(ISNUMBER(H537),H537,N(G537)))</f>
        <v/>
      </c>
      <c r="J537" s="64"/>
      <c r="K537" s="64"/>
      <c r="L537" s="93" t="str">
        <f aca="false">IF(NOT(ISNUMBER(D537)),"",DATE(YEAR(D537),MONTH(D537),1))</f>
        <v/>
      </c>
      <c r="M537" s="70" t="str">
        <f aca="false">IF(B537="","",IF(AND(ISNUMBER(D537),ISNUMBER(E537),E537&lt;D537),"⚠ Término anterior al inicio",IF(J537&lt;&gt;"Sí","Pendiente comprobante firmado","OK")))</f>
        <v/>
      </c>
    </row>
    <row r="538" customFormat="false" ht="15" hidden="false" customHeight="false" outlineLevel="0" collapsed="false">
      <c r="B538" s="64"/>
      <c r="C538" s="72" t="str">
        <f aca="false">IF(B538="","",IFERROR(INDEX(T_NOMBRE,MATCH(B538,T_ID,0)),"⚠ ID no existe"))</f>
        <v/>
      </c>
      <c r="D538" s="65"/>
      <c r="E538" s="65"/>
      <c r="F538" s="64"/>
      <c r="G538" s="74" t="str">
        <f aca="false">IF(OR(B538="",NOT(ISNUMBER(D538)),NOT(ISNUMBER(E538))),"",NETWORKDAYS(D538,E538,FERIADOS))</f>
        <v/>
      </c>
      <c r="H538" s="69"/>
      <c r="I538" s="74" t="str">
        <f aca="false">IF(B538="","",IF(ISNUMBER(H538),H538,N(G538)))</f>
        <v/>
      </c>
      <c r="J538" s="64"/>
      <c r="K538" s="64"/>
      <c r="L538" s="93" t="str">
        <f aca="false">IF(NOT(ISNUMBER(D538)),"",DATE(YEAR(D538),MONTH(D538),1))</f>
        <v/>
      </c>
      <c r="M538" s="70" t="str">
        <f aca="false">IF(B538="","",IF(AND(ISNUMBER(D538),ISNUMBER(E538),E538&lt;D538),"⚠ Término anterior al inicio",IF(J538&lt;&gt;"Sí","Pendiente comprobante firmado","OK")))</f>
        <v/>
      </c>
    </row>
    <row r="539" customFormat="false" ht="15" hidden="false" customHeight="false" outlineLevel="0" collapsed="false">
      <c r="B539" s="64"/>
      <c r="C539" s="72" t="str">
        <f aca="false">IF(B539="","",IFERROR(INDEX(T_NOMBRE,MATCH(B539,T_ID,0)),"⚠ ID no existe"))</f>
        <v/>
      </c>
      <c r="D539" s="65"/>
      <c r="E539" s="65"/>
      <c r="F539" s="64"/>
      <c r="G539" s="74" t="str">
        <f aca="false">IF(OR(B539="",NOT(ISNUMBER(D539)),NOT(ISNUMBER(E539))),"",NETWORKDAYS(D539,E539,FERIADOS))</f>
        <v/>
      </c>
      <c r="H539" s="69"/>
      <c r="I539" s="74" t="str">
        <f aca="false">IF(B539="","",IF(ISNUMBER(H539),H539,N(G539)))</f>
        <v/>
      </c>
      <c r="J539" s="64"/>
      <c r="K539" s="64"/>
      <c r="L539" s="93" t="str">
        <f aca="false">IF(NOT(ISNUMBER(D539)),"",DATE(YEAR(D539),MONTH(D539),1))</f>
        <v/>
      </c>
      <c r="M539" s="70" t="str">
        <f aca="false">IF(B539="","",IF(AND(ISNUMBER(D539),ISNUMBER(E539),E539&lt;D539),"⚠ Término anterior al inicio",IF(J539&lt;&gt;"Sí","Pendiente comprobante firmado","OK")))</f>
        <v/>
      </c>
    </row>
    <row r="540" customFormat="false" ht="15" hidden="false" customHeight="false" outlineLevel="0" collapsed="false">
      <c r="B540" s="64"/>
      <c r="C540" s="72" t="str">
        <f aca="false">IF(B540="","",IFERROR(INDEX(T_NOMBRE,MATCH(B540,T_ID,0)),"⚠ ID no existe"))</f>
        <v/>
      </c>
      <c r="D540" s="65"/>
      <c r="E540" s="65"/>
      <c r="F540" s="64"/>
      <c r="G540" s="74" t="str">
        <f aca="false">IF(OR(B540="",NOT(ISNUMBER(D540)),NOT(ISNUMBER(E540))),"",NETWORKDAYS(D540,E540,FERIADOS))</f>
        <v/>
      </c>
      <c r="H540" s="69"/>
      <c r="I540" s="74" t="str">
        <f aca="false">IF(B540="","",IF(ISNUMBER(H540),H540,N(G540)))</f>
        <v/>
      </c>
      <c r="J540" s="64"/>
      <c r="K540" s="64"/>
      <c r="L540" s="93" t="str">
        <f aca="false">IF(NOT(ISNUMBER(D540)),"",DATE(YEAR(D540),MONTH(D540),1))</f>
        <v/>
      </c>
      <c r="M540" s="70" t="str">
        <f aca="false">IF(B540="","",IF(AND(ISNUMBER(D540),ISNUMBER(E540),E540&lt;D540),"⚠ Término anterior al inicio",IF(J540&lt;&gt;"Sí","Pendiente comprobante firmado","OK")))</f>
        <v/>
      </c>
    </row>
    <row r="541" customFormat="false" ht="15" hidden="false" customHeight="false" outlineLevel="0" collapsed="false">
      <c r="B541" s="64"/>
      <c r="C541" s="72" t="str">
        <f aca="false">IF(B541="","",IFERROR(INDEX(T_NOMBRE,MATCH(B541,T_ID,0)),"⚠ ID no existe"))</f>
        <v/>
      </c>
      <c r="D541" s="65"/>
      <c r="E541" s="65"/>
      <c r="F541" s="64"/>
      <c r="G541" s="74" t="str">
        <f aca="false">IF(OR(B541="",NOT(ISNUMBER(D541)),NOT(ISNUMBER(E541))),"",NETWORKDAYS(D541,E541,FERIADOS))</f>
        <v/>
      </c>
      <c r="H541" s="69"/>
      <c r="I541" s="74" t="str">
        <f aca="false">IF(B541="","",IF(ISNUMBER(H541),H541,N(G541)))</f>
        <v/>
      </c>
      <c r="J541" s="64"/>
      <c r="K541" s="64"/>
      <c r="L541" s="93" t="str">
        <f aca="false">IF(NOT(ISNUMBER(D541)),"",DATE(YEAR(D541),MONTH(D541),1))</f>
        <v/>
      </c>
      <c r="M541" s="70" t="str">
        <f aca="false">IF(B541="","",IF(AND(ISNUMBER(D541),ISNUMBER(E541),E541&lt;D541),"⚠ Término anterior al inicio",IF(J541&lt;&gt;"Sí","Pendiente comprobante firmado","OK")))</f>
        <v/>
      </c>
    </row>
    <row r="542" customFormat="false" ht="15" hidden="false" customHeight="false" outlineLevel="0" collapsed="false">
      <c r="B542" s="64"/>
      <c r="C542" s="72" t="str">
        <f aca="false">IF(B542="","",IFERROR(INDEX(T_NOMBRE,MATCH(B542,T_ID,0)),"⚠ ID no existe"))</f>
        <v/>
      </c>
      <c r="D542" s="65"/>
      <c r="E542" s="65"/>
      <c r="F542" s="64"/>
      <c r="G542" s="74" t="str">
        <f aca="false">IF(OR(B542="",NOT(ISNUMBER(D542)),NOT(ISNUMBER(E542))),"",NETWORKDAYS(D542,E542,FERIADOS))</f>
        <v/>
      </c>
      <c r="H542" s="69"/>
      <c r="I542" s="74" t="str">
        <f aca="false">IF(B542="","",IF(ISNUMBER(H542),H542,N(G542)))</f>
        <v/>
      </c>
      <c r="J542" s="64"/>
      <c r="K542" s="64"/>
      <c r="L542" s="93" t="str">
        <f aca="false">IF(NOT(ISNUMBER(D542)),"",DATE(YEAR(D542),MONTH(D542),1))</f>
        <v/>
      </c>
      <c r="M542" s="70" t="str">
        <f aca="false">IF(B542="","",IF(AND(ISNUMBER(D542),ISNUMBER(E542),E542&lt;D542),"⚠ Término anterior al inicio",IF(J542&lt;&gt;"Sí","Pendiente comprobante firmado","OK")))</f>
        <v/>
      </c>
    </row>
    <row r="543" customFormat="false" ht="15" hidden="false" customHeight="false" outlineLevel="0" collapsed="false">
      <c r="B543" s="64"/>
      <c r="C543" s="72" t="str">
        <f aca="false">IF(B543="","",IFERROR(INDEX(T_NOMBRE,MATCH(B543,T_ID,0)),"⚠ ID no existe"))</f>
        <v/>
      </c>
      <c r="D543" s="65"/>
      <c r="E543" s="65"/>
      <c r="F543" s="64"/>
      <c r="G543" s="74" t="str">
        <f aca="false">IF(OR(B543="",NOT(ISNUMBER(D543)),NOT(ISNUMBER(E543))),"",NETWORKDAYS(D543,E543,FERIADOS))</f>
        <v/>
      </c>
      <c r="H543" s="69"/>
      <c r="I543" s="74" t="str">
        <f aca="false">IF(B543="","",IF(ISNUMBER(H543),H543,N(G543)))</f>
        <v/>
      </c>
      <c r="J543" s="64"/>
      <c r="K543" s="64"/>
      <c r="L543" s="93" t="str">
        <f aca="false">IF(NOT(ISNUMBER(D543)),"",DATE(YEAR(D543),MONTH(D543),1))</f>
        <v/>
      </c>
      <c r="M543" s="70" t="str">
        <f aca="false">IF(B543="","",IF(AND(ISNUMBER(D543),ISNUMBER(E543),E543&lt;D543),"⚠ Término anterior al inicio",IF(J543&lt;&gt;"Sí","Pendiente comprobante firmado","OK")))</f>
        <v/>
      </c>
    </row>
    <row r="544" customFormat="false" ht="15" hidden="false" customHeight="false" outlineLevel="0" collapsed="false">
      <c r="B544" s="64"/>
      <c r="C544" s="72" t="str">
        <f aca="false">IF(B544="","",IFERROR(INDEX(T_NOMBRE,MATCH(B544,T_ID,0)),"⚠ ID no existe"))</f>
        <v/>
      </c>
      <c r="D544" s="65"/>
      <c r="E544" s="65"/>
      <c r="F544" s="64"/>
      <c r="G544" s="74" t="str">
        <f aca="false">IF(OR(B544="",NOT(ISNUMBER(D544)),NOT(ISNUMBER(E544))),"",NETWORKDAYS(D544,E544,FERIADOS))</f>
        <v/>
      </c>
      <c r="H544" s="69"/>
      <c r="I544" s="74" t="str">
        <f aca="false">IF(B544="","",IF(ISNUMBER(H544),H544,N(G544)))</f>
        <v/>
      </c>
      <c r="J544" s="64"/>
      <c r="K544" s="64"/>
      <c r="L544" s="93" t="str">
        <f aca="false">IF(NOT(ISNUMBER(D544)),"",DATE(YEAR(D544),MONTH(D544),1))</f>
        <v/>
      </c>
      <c r="M544" s="70" t="str">
        <f aca="false">IF(B544="","",IF(AND(ISNUMBER(D544),ISNUMBER(E544),E544&lt;D544),"⚠ Término anterior al inicio",IF(J544&lt;&gt;"Sí","Pendiente comprobante firmado","OK")))</f>
        <v/>
      </c>
    </row>
    <row r="545" customFormat="false" ht="15" hidden="false" customHeight="false" outlineLevel="0" collapsed="false">
      <c r="B545" s="64"/>
      <c r="C545" s="72" t="str">
        <f aca="false">IF(B545="","",IFERROR(INDEX(T_NOMBRE,MATCH(B545,T_ID,0)),"⚠ ID no existe"))</f>
        <v/>
      </c>
      <c r="D545" s="65"/>
      <c r="E545" s="65"/>
      <c r="F545" s="64"/>
      <c r="G545" s="74" t="str">
        <f aca="false">IF(OR(B545="",NOT(ISNUMBER(D545)),NOT(ISNUMBER(E545))),"",NETWORKDAYS(D545,E545,FERIADOS))</f>
        <v/>
      </c>
      <c r="H545" s="69"/>
      <c r="I545" s="74" t="str">
        <f aca="false">IF(B545="","",IF(ISNUMBER(H545),H545,N(G545)))</f>
        <v/>
      </c>
      <c r="J545" s="64"/>
      <c r="K545" s="64"/>
      <c r="L545" s="93" t="str">
        <f aca="false">IF(NOT(ISNUMBER(D545)),"",DATE(YEAR(D545),MONTH(D545),1))</f>
        <v/>
      </c>
      <c r="M545" s="70" t="str">
        <f aca="false">IF(B545="","",IF(AND(ISNUMBER(D545),ISNUMBER(E545),E545&lt;D545),"⚠ Término anterior al inicio",IF(J545&lt;&gt;"Sí","Pendiente comprobante firmado","OK")))</f>
        <v/>
      </c>
    </row>
    <row r="546" customFormat="false" ht="15" hidden="false" customHeight="false" outlineLevel="0" collapsed="false">
      <c r="B546" s="64"/>
      <c r="C546" s="72" t="str">
        <f aca="false">IF(B546="","",IFERROR(INDEX(T_NOMBRE,MATCH(B546,T_ID,0)),"⚠ ID no existe"))</f>
        <v/>
      </c>
      <c r="D546" s="65"/>
      <c r="E546" s="65"/>
      <c r="F546" s="64"/>
      <c r="G546" s="74" t="str">
        <f aca="false">IF(OR(B546="",NOT(ISNUMBER(D546)),NOT(ISNUMBER(E546))),"",NETWORKDAYS(D546,E546,FERIADOS))</f>
        <v/>
      </c>
      <c r="H546" s="69"/>
      <c r="I546" s="74" t="str">
        <f aca="false">IF(B546="","",IF(ISNUMBER(H546),H546,N(G546)))</f>
        <v/>
      </c>
      <c r="J546" s="64"/>
      <c r="K546" s="64"/>
      <c r="L546" s="93" t="str">
        <f aca="false">IF(NOT(ISNUMBER(D546)),"",DATE(YEAR(D546),MONTH(D546),1))</f>
        <v/>
      </c>
      <c r="M546" s="70" t="str">
        <f aca="false">IF(B546="","",IF(AND(ISNUMBER(D546),ISNUMBER(E546),E546&lt;D546),"⚠ Término anterior al inicio",IF(J546&lt;&gt;"Sí","Pendiente comprobante firmado","OK")))</f>
        <v/>
      </c>
    </row>
    <row r="547" customFormat="false" ht="15" hidden="false" customHeight="false" outlineLevel="0" collapsed="false">
      <c r="B547" s="64"/>
      <c r="C547" s="72" t="str">
        <f aca="false">IF(B547="","",IFERROR(INDEX(T_NOMBRE,MATCH(B547,T_ID,0)),"⚠ ID no existe"))</f>
        <v/>
      </c>
      <c r="D547" s="65"/>
      <c r="E547" s="65"/>
      <c r="F547" s="64"/>
      <c r="G547" s="74" t="str">
        <f aca="false">IF(OR(B547="",NOT(ISNUMBER(D547)),NOT(ISNUMBER(E547))),"",NETWORKDAYS(D547,E547,FERIADOS))</f>
        <v/>
      </c>
      <c r="H547" s="69"/>
      <c r="I547" s="74" t="str">
        <f aca="false">IF(B547="","",IF(ISNUMBER(H547),H547,N(G547)))</f>
        <v/>
      </c>
      <c r="J547" s="64"/>
      <c r="K547" s="64"/>
      <c r="L547" s="93" t="str">
        <f aca="false">IF(NOT(ISNUMBER(D547)),"",DATE(YEAR(D547),MONTH(D547),1))</f>
        <v/>
      </c>
      <c r="M547" s="70" t="str">
        <f aca="false">IF(B547="","",IF(AND(ISNUMBER(D547),ISNUMBER(E547),E547&lt;D547),"⚠ Término anterior al inicio",IF(J547&lt;&gt;"Sí","Pendiente comprobante firmado","OK")))</f>
        <v/>
      </c>
    </row>
    <row r="548" customFormat="false" ht="15" hidden="false" customHeight="false" outlineLevel="0" collapsed="false">
      <c r="B548" s="64"/>
      <c r="C548" s="72" t="str">
        <f aca="false">IF(B548="","",IFERROR(INDEX(T_NOMBRE,MATCH(B548,T_ID,0)),"⚠ ID no existe"))</f>
        <v/>
      </c>
      <c r="D548" s="65"/>
      <c r="E548" s="65"/>
      <c r="F548" s="64"/>
      <c r="G548" s="74" t="str">
        <f aca="false">IF(OR(B548="",NOT(ISNUMBER(D548)),NOT(ISNUMBER(E548))),"",NETWORKDAYS(D548,E548,FERIADOS))</f>
        <v/>
      </c>
      <c r="H548" s="69"/>
      <c r="I548" s="74" t="str">
        <f aca="false">IF(B548="","",IF(ISNUMBER(H548),H548,N(G548)))</f>
        <v/>
      </c>
      <c r="J548" s="64"/>
      <c r="K548" s="64"/>
      <c r="L548" s="93" t="str">
        <f aca="false">IF(NOT(ISNUMBER(D548)),"",DATE(YEAR(D548),MONTH(D548),1))</f>
        <v/>
      </c>
      <c r="M548" s="70" t="str">
        <f aca="false">IF(B548="","",IF(AND(ISNUMBER(D548),ISNUMBER(E548),E548&lt;D548),"⚠ Término anterior al inicio",IF(J548&lt;&gt;"Sí","Pendiente comprobante firmado","OK")))</f>
        <v/>
      </c>
    </row>
    <row r="549" customFormat="false" ht="15" hidden="false" customHeight="false" outlineLevel="0" collapsed="false">
      <c r="B549" s="64"/>
      <c r="C549" s="72" t="str">
        <f aca="false">IF(B549="","",IFERROR(INDEX(T_NOMBRE,MATCH(B549,T_ID,0)),"⚠ ID no existe"))</f>
        <v/>
      </c>
      <c r="D549" s="65"/>
      <c r="E549" s="65"/>
      <c r="F549" s="64"/>
      <c r="G549" s="74" t="str">
        <f aca="false">IF(OR(B549="",NOT(ISNUMBER(D549)),NOT(ISNUMBER(E549))),"",NETWORKDAYS(D549,E549,FERIADOS))</f>
        <v/>
      </c>
      <c r="H549" s="69"/>
      <c r="I549" s="74" t="str">
        <f aca="false">IF(B549="","",IF(ISNUMBER(H549),H549,N(G549)))</f>
        <v/>
      </c>
      <c r="J549" s="64"/>
      <c r="K549" s="64"/>
      <c r="L549" s="93" t="str">
        <f aca="false">IF(NOT(ISNUMBER(D549)),"",DATE(YEAR(D549),MONTH(D549),1))</f>
        <v/>
      </c>
      <c r="M549" s="70" t="str">
        <f aca="false">IF(B549="","",IF(AND(ISNUMBER(D549),ISNUMBER(E549),E549&lt;D549),"⚠ Término anterior al inicio",IF(J549&lt;&gt;"Sí","Pendiente comprobante firmado","OK")))</f>
        <v/>
      </c>
    </row>
    <row r="550" customFormat="false" ht="15" hidden="false" customHeight="false" outlineLevel="0" collapsed="false">
      <c r="B550" s="64"/>
      <c r="C550" s="72" t="str">
        <f aca="false">IF(B550="","",IFERROR(INDEX(T_NOMBRE,MATCH(B550,T_ID,0)),"⚠ ID no existe"))</f>
        <v/>
      </c>
      <c r="D550" s="65"/>
      <c r="E550" s="65"/>
      <c r="F550" s="64"/>
      <c r="G550" s="74" t="str">
        <f aca="false">IF(OR(B550="",NOT(ISNUMBER(D550)),NOT(ISNUMBER(E550))),"",NETWORKDAYS(D550,E550,FERIADOS))</f>
        <v/>
      </c>
      <c r="H550" s="69"/>
      <c r="I550" s="74" t="str">
        <f aca="false">IF(B550="","",IF(ISNUMBER(H550),H550,N(G550)))</f>
        <v/>
      </c>
      <c r="J550" s="64"/>
      <c r="K550" s="64"/>
      <c r="L550" s="93" t="str">
        <f aca="false">IF(NOT(ISNUMBER(D550)),"",DATE(YEAR(D550),MONTH(D550),1))</f>
        <v/>
      </c>
      <c r="M550" s="70" t="str">
        <f aca="false">IF(B550="","",IF(AND(ISNUMBER(D550),ISNUMBER(E550),E550&lt;D550),"⚠ Término anterior al inicio",IF(J550&lt;&gt;"Sí","Pendiente comprobante firmado","OK")))</f>
        <v/>
      </c>
    </row>
    <row r="551" customFormat="false" ht="15" hidden="false" customHeight="false" outlineLevel="0" collapsed="false">
      <c r="B551" s="64"/>
      <c r="C551" s="72" t="str">
        <f aca="false">IF(B551="","",IFERROR(INDEX(T_NOMBRE,MATCH(B551,T_ID,0)),"⚠ ID no existe"))</f>
        <v/>
      </c>
      <c r="D551" s="65"/>
      <c r="E551" s="65"/>
      <c r="F551" s="64"/>
      <c r="G551" s="74" t="str">
        <f aca="false">IF(OR(B551="",NOT(ISNUMBER(D551)),NOT(ISNUMBER(E551))),"",NETWORKDAYS(D551,E551,FERIADOS))</f>
        <v/>
      </c>
      <c r="H551" s="69"/>
      <c r="I551" s="74" t="str">
        <f aca="false">IF(B551="","",IF(ISNUMBER(H551),H551,N(G551)))</f>
        <v/>
      </c>
      <c r="J551" s="64"/>
      <c r="K551" s="64"/>
      <c r="L551" s="93" t="str">
        <f aca="false">IF(NOT(ISNUMBER(D551)),"",DATE(YEAR(D551),MONTH(D551),1))</f>
        <v/>
      </c>
      <c r="M551" s="70" t="str">
        <f aca="false">IF(B551="","",IF(AND(ISNUMBER(D551),ISNUMBER(E551),E551&lt;D551),"⚠ Término anterior al inicio",IF(J551&lt;&gt;"Sí","Pendiente comprobante firmado","OK")))</f>
        <v/>
      </c>
    </row>
    <row r="552" customFormat="false" ht="15" hidden="false" customHeight="false" outlineLevel="0" collapsed="false">
      <c r="B552" s="64"/>
      <c r="C552" s="72" t="str">
        <f aca="false">IF(B552="","",IFERROR(INDEX(T_NOMBRE,MATCH(B552,T_ID,0)),"⚠ ID no existe"))</f>
        <v/>
      </c>
      <c r="D552" s="65"/>
      <c r="E552" s="65"/>
      <c r="F552" s="64"/>
      <c r="G552" s="74" t="str">
        <f aca="false">IF(OR(B552="",NOT(ISNUMBER(D552)),NOT(ISNUMBER(E552))),"",NETWORKDAYS(D552,E552,FERIADOS))</f>
        <v/>
      </c>
      <c r="H552" s="69"/>
      <c r="I552" s="74" t="str">
        <f aca="false">IF(B552="","",IF(ISNUMBER(H552),H552,N(G552)))</f>
        <v/>
      </c>
      <c r="J552" s="64"/>
      <c r="K552" s="64"/>
      <c r="L552" s="93" t="str">
        <f aca="false">IF(NOT(ISNUMBER(D552)),"",DATE(YEAR(D552),MONTH(D552),1))</f>
        <v/>
      </c>
      <c r="M552" s="70" t="str">
        <f aca="false">IF(B552="","",IF(AND(ISNUMBER(D552),ISNUMBER(E552),E552&lt;D552),"⚠ Término anterior al inicio",IF(J552&lt;&gt;"Sí","Pendiente comprobante firmado","OK")))</f>
        <v/>
      </c>
    </row>
    <row r="553" customFormat="false" ht="15" hidden="false" customHeight="false" outlineLevel="0" collapsed="false">
      <c r="B553" s="64"/>
      <c r="C553" s="72" t="str">
        <f aca="false">IF(B553="","",IFERROR(INDEX(T_NOMBRE,MATCH(B553,T_ID,0)),"⚠ ID no existe"))</f>
        <v/>
      </c>
      <c r="D553" s="65"/>
      <c r="E553" s="65"/>
      <c r="F553" s="64"/>
      <c r="G553" s="74" t="str">
        <f aca="false">IF(OR(B553="",NOT(ISNUMBER(D553)),NOT(ISNUMBER(E553))),"",NETWORKDAYS(D553,E553,FERIADOS))</f>
        <v/>
      </c>
      <c r="H553" s="69"/>
      <c r="I553" s="74" t="str">
        <f aca="false">IF(B553="","",IF(ISNUMBER(H553),H553,N(G553)))</f>
        <v/>
      </c>
      <c r="J553" s="64"/>
      <c r="K553" s="64"/>
      <c r="L553" s="93" t="str">
        <f aca="false">IF(NOT(ISNUMBER(D553)),"",DATE(YEAR(D553),MONTH(D553),1))</f>
        <v/>
      </c>
      <c r="M553" s="70" t="str">
        <f aca="false">IF(B553="","",IF(AND(ISNUMBER(D553),ISNUMBER(E553),E553&lt;D553),"⚠ Término anterior al inicio",IF(J553&lt;&gt;"Sí","Pendiente comprobante firmado","OK")))</f>
        <v/>
      </c>
    </row>
    <row r="554" customFormat="false" ht="15" hidden="false" customHeight="false" outlineLevel="0" collapsed="false">
      <c r="B554" s="64"/>
      <c r="C554" s="72" t="str">
        <f aca="false">IF(B554="","",IFERROR(INDEX(T_NOMBRE,MATCH(B554,T_ID,0)),"⚠ ID no existe"))</f>
        <v/>
      </c>
      <c r="D554" s="65"/>
      <c r="E554" s="65"/>
      <c r="F554" s="64"/>
      <c r="G554" s="74" t="str">
        <f aca="false">IF(OR(B554="",NOT(ISNUMBER(D554)),NOT(ISNUMBER(E554))),"",NETWORKDAYS(D554,E554,FERIADOS))</f>
        <v/>
      </c>
      <c r="H554" s="69"/>
      <c r="I554" s="74" t="str">
        <f aca="false">IF(B554="","",IF(ISNUMBER(H554),H554,N(G554)))</f>
        <v/>
      </c>
      <c r="J554" s="64"/>
      <c r="K554" s="64"/>
      <c r="L554" s="93" t="str">
        <f aca="false">IF(NOT(ISNUMBER(D554)),"",DATE(YEAR(D554),MONTH(D554),1))</f>
        <v/>
      </c>
      <c r="M554" s="70" t="str">
        <f aca="false">IF(B554="","",IF(AND(ISNUMBER(D554),ISNUMBER(E554),E554&lt;D554),"⚠ Término anterior al inicio",IF(J554&lt;&gt;"Sí","Pendiente comprobante firmado","OK")))</f>
        <v/>
      </c>
    </row>
    <row r="555" customFormat="false" ht="15" hidden="false" customHeight="false" outlineLevel="0" collapsed="false">
      <c r="B555" s="64"/>
      <c r="C555" s="72" t="str">
        <f aca="false">IF(B555="","",IFERROR(INDEX(T_NOMBRE,MATCH(B555,T_ID,0)),"⚠ ID no existe"))</f>
        <v/>
      </c>
      <c r="D555" s="65"/>
      <c r="E555" s="65"/>
      <c r="F555" s="64"/>
      <c r="G555" s="74" t="str">
        <f aca="false">IF(OR(B555="",NOT(ISNUMBER(D555)),NOT(ISNUMBER(E555))),"",NETWORKDAYS(D555,E555,FERIADOS))</f>
        <v/>
      </c>
      <c r="H555" s="69"/>
      <c r="I555" s="74" t="str">
        <f aca="false">IF(B555="","",IF(ISNUMBER(H555),H555,N(G555)))</f>
        <v/>
      </c>
      <c r="J555" s="64"/>
      <c r="K555" s="64"/>
      <c r="L555" s="93" t="str">
        <f aca="false">IF(NOT(ISNUMBER(D555)),"",DATE(YEAR(D555),MONTH(D555),1))</f>
        <v/>
      </c>
      <c r="M555" s="70" t="str">
        <f aca="false">IF(B555="","",IF(AND(ISNUMBER(D555),ISNUMBER(E555),E555&lt;D555),"⚠ Término anterior al inicio",IF(J555&lt;&gt;"Sí","Pendiente comprobante firmado","OK")))</f>
        <v/>
      </c>
    </row>
    <row r="556" customFormat="false" ht="15" hidden="false" customHeight="false" outlineLevel="0" collapsed="false">
      <c r="B556" s="64"/>
      <c r="C556" s="72" t="str">
        <f aca="false">IF(B556="","",IFERROR(INDEX(T_NOMBRE,MATCH(B556,T_ID,0)),"⚠ ID no existe"))</f>
        <v/>
      </c>
      <c r="D556" s="65"/>
      <c r="E556" s="65"/>
      <c r="F556" s="64"/>
      <c r="G556" s="74" t="str">
        <f aca="false">IF(OR(B556="",NOT(ISNUMBER(D556)),NOT(ISNUMBER(E556))),"",NETWORKDAYS(D556,E556,FERIADOS))</f>
        <v/>
      </c>
      <c r="H556" s="69"/>
      <c r="I556" s="74" t="str">
        <f aca="false">IF(B556="","",IF(ISNUMBER(H556),H556,N(G556)))</f>
        <v/>
      </c>
      <c r="J556" s="64"/>
      <c r="K556" s="64"/>
      <c r="L556" s="93" t="str">
        <f aca="false">IF(NOT(ISNUMBER(D556)),"",DATE(YEAR(D556),MONTH(D556),1))</f>
        <v/>
      </c>
      <c r="M556" s="70" t="str">
        <f aca="false">IF(B556="","",IF(AND(ISNUMBER(D556),ISNUMBER(E556),E556&lt;D556),"⚠ Término anterior al inicio",IF(J556&lt;&gt;"Sí","Pendiente comprobante firmado","OK")))</f>
        <v/>
      </c>
    </row>
    <row r="557" customFormat="false" ht="15" hidden="false" customHeight="false" outlineLevel="0" collapsed="false">
      <c r="B557" s="64"/>
      <c r="C557" s="72" t="str">
        <f aca="false">IF(B557="","",IFERROR(INDEX(T_NOMBRE,MATCH(B557,T_ID,0)),"⚠ ID no existe"))</f>
        <v/>
      </c>
      <c r="D557" s="65"/>
      <c r="E557" s="65"/>
      <c r="F557" s="64"/>
      <c r="G557" s="74" t="str">
        <f aca="false">IF(OR(B557="",NOT(ISNUMBER(D557)),NOT(ISNUMBER(E557))),"",NETWORKDAYS(D557,E557,FERIADOS))</f>
        <v/>
      </c>
      <c r="H557" s="69"/>
      <c r="I557" s="74" t="str">
        <f aca="false">IF(B557="","",IF(ISNUMBER(H557),H557,N(G557)))</f>
        <v/>
      </c>
      <c r="J557" s="64"/>
      <c r="K557" s="64"/>
      <c r="L557" s="93" t="str">
        <f aca="false">IF(NOT(ISNUMBER(D557)),"",DATE(YEAR(D557),MONTH(D557),1))</f>
        <v/>
      </c>
      <c r="M557" s="70" t="str">
        <f aca="false">IF(B557="","",IF(AND(ISNUMBER(D557),ISNUMBER(E557),E557&lt;D557),"⚠ Término anterior al inicio",IF(J557&lt;&gt;"Sí","Pendiente comprobante firmado","OK")))</f>
        <v/>
      </c>
    </row>
    <row r="558" customFormat="false" ht="15" hidden="false" customHeight="false" outlineLevel="0" collapsed="false">
      <c r="B558" s="64"/>
      <c r="C558" s="72" t="str">
        <f aca="false">IF(B558="","",IFERROR(INDEX(T_NOMBRE,MATCH(B558,T_ID,0)),"⚠ ID no existe"))</f>
        <v/>
      </c>
      <c r="D558" s="65"/>
      <c r="E558" s="65"/>
      <c r="F558" s="64"/>
      <c r="G558" s="74" t="str">
        <f aca="false">IF(OR(B558="",NOT(ISNUMBER(D558)),NOT(ISNUMBER(E558))),"",NETWORKDAYS(D558,E558,FERIADOS))</f>
        <v/>
      </c>
      <c r="H558" s="69"/>
      <c r="I558" s="74" t="str">
        <f aca="false">IF(B558="","",IF(ISNUMBER(H558),H558,N(G558)))</f>
        <v/>
      </c>
      <c r="J558" s="64"/>
      <c r="K558" s="64"/>
      <c r="L558" s="93" t="str">
        <f aca="false">IF(NOT(ISNUMBER(D558)),"",DATE(YEAR(D558),MONTH(D558),1))</f>
        <v/>
      </c>
      <c r="M558" s="70" t="str">
        <f aca="false">IF(B558="","",IF(AND(ISNUMBER(D558),ISNUMBER(E558),E558&lt;D558),"⚠ Término anterior al inicio",IF(J558&lt;&gt;"Sí","Pendiente comprobante firmado","OK")))</f>
        <v/>
      </c>
    </row>
    <row r="559" customFormat="false" ht="15" hidden="false" customHeight="false" outlineLevel="0" collapsed="false">
      <c r="B559" s="64"/>
      <c r="C559" s="72" t="str">
        <f aca="false">IF(B559="","",IFERROR(INDEX(T_NOMBRE,MATCH(B559,T_ID,0)),"⚠ ID no existe"))</f>
        <v/>
      </c>
      <c r="D559" s="65"/>
      <c r="E559" s="65"/>
      <c r="F559" s="64"/>
      <c r="G559" s="74" t="str">
        <f aca="false">IF(OR(B559="",NOT(ISNUMBER(D559)),NOT(ISNUMBER(E559))),"",NETWORKDAYS(D559,E559,FERIADOS))</f>
        <v/>
      </c>
      <c r="H559" s="69"/>
      <c r="I559" s="74" t="str">
        <f aca="false">IF(B559="","",IF(ISNUMBER(H559),H559,N(G559)))</f>
        <v/>
      </c>
      <c r="J559" s="64"/>
      <c r="K559" s="64"/>
      <c r="L559" s="93" t="str">
        <f aca="false">IF(NOT(ISNUMBER(D559)),"",DATE(YEAR(D559),MONTH(D559),1))</f>
        <v/>
      </c>
      <c r="M559" s="70" t="str">
        <f aca="false">IF(B559="","",IF(AND(ISNUMBER(D559),ISNUMBER(E559),E559&lt;D559),"⚠ Término anterior al inicio",IF(J559&lt;&gt;"Sí","Pendiente comprobante firmado","OK")))</f>
        <v/>
      </c>
    </row>
    <row r="560" customFormat="false" ht="15" hidden="false" customHeight="false" outlineLevel="0" collapsed="false">
      <c r="B560" s="64"/>
      <c r="C560" s="72" t="str">
        <f aca="false">IF(B560="","",IFERROR(INDEX(T_NOMBRE,MATCH(B560,T_ID,0)),"⚠ ID no existe"))</f>
        <v/>
      </c>
      <c r="D560" s="65"/>
      <c r="E560" s="65"/>
      <c r="F560" s="64"/>
      <c r="G560" s="74" t="str">
        <f aca="false">IF(OR(B560="",NOT(ISNUMBER(D560)),NOT(ISNUMBER(E560))),"",NETWORKDAYS(D560,E560,FERIADOS))</f>
        <v/>
      </c>
      <c r="H560" s="69"/>
      <c r="I560" s="74" t="str">
        <f aca="false">IF(B560="","",IF(ISNUMBER(H560),H560,N(G560)))</f>
        <v/>
      </c>
      <c r="J560" s="64"/>
      <c r="K560" s="64"/>
      <c r="L560" s="93" t="str">
        <f aca="false">IF(NOT(ISNUMBER(D560)),"",DATE(YEAR(D560),MONTH(D560),1))</f>
        <v/>
      </c>
      <c r="M560" s="70" t="str">
        <f aca="false">IF(B560="","",IF(AND(ISNUMBER(D560),ISNUMBER(E560),E560&lt;D560),"⚠ Término anterior al inicio",IF(J560&lt;&gt;"Sí","Pendiente comprobante firmado","OK")))</f>
        <v/>
      </c>
    </row>
    <row r="561" customFormat="false" ht="15" hidden="false" customHeight="false" outlineLevel="0" collapsed="false">
      <c r="B561" s="64"/>
      <c r="C561" s="72" t="str">
        <f aca="false">IF(B561="","",IFERROR(INDEX(T_NOMBRE,MATCH(B561,T_ID,0)),"⚠ ID no existe"))</f>
        <v/>
      </c>
      <c r="D561" s="65"/>
      <c r="E561" s="65"/>
      <c r="F561" s="64"/>
      <c r="G561" s="74" t="str">
        <f aca="false">IF(OR(B561="",NOT(ISNUMBER(D561)),NOT(ISNUMBER(E561))),"",NETWORKDAYS(D561,E561,FERIADOS))</f>
        <v/>
      </c>
      <c r="H561" s="69"/>
      <c r="I561" s="74" t="str">
        <f aca="false">IF(B561="","",IF(ISNUMBER(H561),H561,N(G561)))</f>
        <v/>
      </c>
      <c r="J561" s="64"/>
      <c r="K561" s="64"/>
      <c r="L561" s="93" t="str">
        <f aca="false">IF(NOT(ISNUMBER(D561)),"",DATE(YEAR(D561),MONTH(D561),1))</f>
        <v/>
      </c>
      <c r="M561" s="70" t="str">
        <f aca="false">IF(B561="","",IF(AND(ISNUMBER(D561),ISNUMBER(E561),E561&lt;D561),"⚠ Término anterior al inicio",IF(J561&lt;&gt;"Sí","Pendiente comprobante firmado","OK")))</f>
        <v/>
      </c>
    </row>
    <row r="562" customFormat="false" ht="15" hidden="false" customHeight="false" outlineLevel="0" collapsed="false">
      <c r="B562" s="64"/>
      <c r="C562" s="72" t="str">
        <f aca="false">IF(B562="","",IFERROR(INDEX(T_NOMBRE,MATCH(B562,T_ID,0)),"⚠ ID no existe"))</f>
        <v/>
      </c>
      <c r="D562" s="65"/>
      <c r="E562" s="65"/>
      <c r="F562" s="64"/>
      <c r="G562" s="74" t="str">
        <f aca="false">IF(OR(B562="",NOT(ISNUMBER(D562)),NOT(ISNUMBER(E562))),"",NETWORKDAYS(D562,E562,FERIADOS))</f>
        <v/>
      </c>
      <c r="H562" s="69"/>
      <c r="I562" s="74" t="str">
        <f aca="false">IF(B562="","",IF(ISNUMBER(H562),H562,N(G562)))</f>
        <v/>
      </c>
      <c r="J562" s="64"/>
      <c r="K562" s="64"/>
      <c r="L562" s="93" t="str">
        <f aca="false">IF(NOT(ISNUMBER(D562)),"",DATE(YEAR(D562),MONTH(D562),1))</f>
        <v/>
      </c>
      <c r="M562" s="70" t="str">
        <f aca="false">IF(B562="","",IF(AND(ISNUMBER(D562),ISNUMBER(E562),E562&lt;D562),"⚠ Término anterior al inicio",IF(J562&lt;&gt;"Sí","Pendiente comprobante firmado","OK")))</f>
        <v/>
      </c>
    </row>
    <row r="563" customFormat="false" ht="15" hidden="false" customHeight="false" outlineLevel="0" collapsed="false">
      <c r="B563" s="64"/>
      <c r="C563" s="72" t="str">
        <f aca="false">IF(B563="","",IFERROR(INDEX(T_NOMBRE,MATCH(B563,T_ID,0)),"⚠ ID no existe"))</f>
        <v/>
      </c>
      <c r="D563" s="65"/>
      <c r="E563" s="65"/>
      <c r="F563" s="64"/>
      <c r="G563" s="74" t="str">
        <f aca="false">IF(OR(B563="",NOT(ISNUMBER(D563)),NOT(ISNUMBER(E563))),"",NETWORKDAYS(D563,E563,FERIADOS))</f>
        <v/>
      </c>
      <c r="H563" s="69"/>
      <c r="I563" s="74" t="str">
        <f aca="false">IF(B563="","",IF(ISNUMBER(H563),H563,N(G563)))</f>
        <v/>
      </c>
      <c r="J563" s="64"/>
      <c r="K563" s="64"/>
      <c r="L563" s="93" t="str">
        <f aca="false">IF(NOT(ISNUMBER(D563)),"",DATE(YEAR(D563),MONTH(D563),1))</f>
        <v/>
      </c>
      <c r="M563" s="70" t="str">
        <f aca="false">IF(B563="","",IF(AND(ISNUMBER(D563),ISNUMBER(E563),E563&lt;D563),"⚠ Término anterior al inicio",IF(J563&lt;&gt;"Sí","Pendiente comprobante firmado","OK")))</f>
        <v/>
      </c>
    </row>
    <row r="564" customFormat="false" ht="15" hidden="false" customHeight="false" outlineLevel="0" collapsed="false">
      <c r="B564" s="64"/>
      <c r="C564" s="72" t="str">
        <f aca="false">IF(B564="","",IFERROR(INDEX(T_NOMBRE,MATCH(B564,T_ID,0)),"⚠ ID no existe"))</f>
        <v/>
      </c>
      <c r="D564" s="65"/>
      <c r="E564" s="65"/>
      <c r="F564" s="64"/>
      <c r="G564" s="74" t="str">
        <f aca="false">IF(OR(B564="",NOT(ISNUMBER(D564)),NOT(ISNUMBER(E564))),"",NETWORKDAYS(D564,E564,FERIADOS))</f>
        <v/>
      </c>
      <c r="H564" s="69"/>
      <c r="I564" s="74" t="str">
        <f aca="false">IF(B564="","",IF(ISNUMBER(H564),H564,N(G564)))</f>
        <v/>
      </c>
      <c r="J564" s="64"/>
      <c r="K564" s="64"/>
      <c r="L564" s="93" t="str">
        <f aca="false">IF(NOT(ISNUMBER(D564)),"",DATE(YEAR(D564),MONTH(D564),1))</f>
        <v/>
      </c>
      <c r="M564" s="70" t="str">
        <f aca="false">IF(B564="","",IF(AND(ISNUMBER(D564),ISNUMBER(E564),E564&lt;D564),"⚠ Término anterior al inicio",IF(J564&lt;&gt;"Sí","Pendiente comprobante firmado","OK")))</f>
        <v/>
      </c>
    </row>
    <row r="565" customFormat="false" ht="15" hidden="false" customHeight="false" outlineLevel="0" collapsed="false">
      <c r="B565" s="64"/>
      <c r="C565" s="72" t="str">
        <f aca="false">IF(B565="","",IFERROR(INDEX(T_NOMBRE,MATCH(B565,T_ID,0)),"⚠ ID no existe"))</f>
        <v/>
      </c>
      <c r="D565" s="65"/>
      <c r="E565" s="65"/>
      <c r="F565" s="64"/>
      <c r="G565" s="74" t="str">
        <f aca="false">IF(OR(B565="",NOT(ISNUMBER(D565)),NOT(ISNUMBER(E565))),"",NETWORKDAYS(D565,E565,FERIADOS))</f>
        <v/>
      </c>
      <c r="H565" s="69"/>
      <c r="I565" s="74" t="str">
        <f aca="false">IF(B565="","",IF(ISNUMBER(H565),H565,N(G565)))</f>
        <v/>
      </c>
      <c r="J565" s="64"/>
      <c r="K565" s="64"/>
      <c r="L565" s="93" t="str">
        <f aca="false">IF(NOT(ISNUMBER(D565)),"",DATE(YEAR(D565),MONTH(D565),1))</f>
        <v/>
      </c>
      <c r="M565" s="70" t="str">
        <f aca="false">IF(B565="","",IF(AND(ISNUMBER(D565),ISNUMBER(E565),E565&lt;D565),"⚠ Término anterior al inicio",IF(J565&lt;&gt;"Sí","Pendiente comprobante firmado","OK")))</f>
        <v/>
      </c>
    </row>
    <row r="566" customFormat="false" ht="15" hidden="false" customHeight="false" outlineLevel="0" collapsed="false">
      <c r="B566" s="64"/>
      <c r="C566" s="72" t="str">
        <f aca="false">IF(B566="","",IFERROR(INDEX(T_NOMBRE,MATCH(B566,T_ID,0)),"⚠ ID no existe"))</f>
        <v/>
      </c>
      <c r="D566" s="65"/>
      <c r="E566" s="65"/>
      <c r="F566" s="64"/>
      <c r="G566" s="74" t="str">
        <f aca="false">IF(OR(B566="",NOT(ISNUMBER(D566)),NOT(ISNUMBER(E566))),"",NETWORKDAYS(D566,E566,FERIADOS))</f>
        <v/>
      </c>
      <c r="H566" s="69"/>
      <c r="I566" s="74" t="str">
        <f aca="false">IF(B566="","",IF(ISNUMBER(H566),H566,N(G566)))</f>
        <v/>
      </c>
      <c r="J566" s="64"/>
      <c r="K566" s="64"/>
      <c r="L566" s="93" t="str">
        <f aca="false">IF(NOT(ISNUMBER(D566)),"",DATE(YEAR(D566),MONTH(D566),1))</f>
        <v/>
      </c>
      <c r="M566" s="70" t="str">
        <f aca="false">IF(B566="","",IF(AND(ISNUMBER(D566),ISNUMBER(E566),E566&lt;D566),"⚠ Término anterior al inicio",IF(J566&lt;&gt;"Sí","Pendiente comprobante firmado","OK")))</f>
        <v/>
      </c>
    </row>
    <row r="567" customFormat="false" ht="15" hidden="false" customHeight="false" outlineLevel="0" collapsed="false">
      <c r="B567" s="64"/>
      <c r="C567" s="72" t="str">
        <f aca="false">IF(B567="","",IFERROR(INDEX(T_NOMBRE,MATCH(B567,T_ID,0)),"⚠ ID no existe"))</f>
        <v/>
      </c>
      <c r="D567" s="65"/>
      <c r="E567" s="65"/>
      <c r="F567" s="64"/>
      <c r="G567" s="74" t="str">
        <f aca="false">IF(OR(B567="",NOT(ISNUMBER(D567)),NOT(ISNUMBER(E567))),"",NETWORKDAYS(D567,E567,FERIADOS))</f>
        <v/>
      </c>
      <c r="H567" s="69"/>
      <c r="I567" s="74" t="str">
        <f aca="false">IF(B567="","",IF(ISNUMBER(H567),H567,N(G567)))</f>
        <v/>
      </c>
      <c r="J567" s="64"/>
      <c r="K567" s="64"/>
      <c r="L567" s="93" t="str">
        <f aca="false">IF(NOT(ISNUMBER(D567)),"",DATE(YEAR(D567),MONTH(D567),1))</f>
        <v/>
      </c>
      <c r="M567" s="70" t="str">
        <f aca="false">IF(B567="","",IF(AND(ISNUMBER(D567),ISNUMBER(E567),E567&lt;D567),"⚠ Término anterior al inicio",IF(J567&lt;&gt;"Sí","Pendiente comprobante firmado","OK")))</f>
        <v/>
      </c>
    </row>
    <row r="568" customFormat="false" ht="15" hidden="false" customHeight="false" outlineLevel="0" collapsed="false">
      <c r="B568" s="64"/>
      <c r="C568" s="72" t="str">
        <f aca="false">IF(B568="","",IFERROR(INDEX(T_NOMBRE,MATCH(B568,T_ID,0)),"⚠ ID no existe"))</f>
        <v/>
      </c>
      <c r="D568" s="65"/>
      <c r="E568" s="65"/>
      <c r="F568" s="64"/>
      <c r="G568" s="74" t="str">
        <f aca="false">IF(OR(B568="",NOT(ISNUMBER(D568)),NOT(ISNUMBER(E568))),"",NETWORKDAYS(D568,E568,FERIADOS))</f>
        <v/>
      </c>
      <c r="H568" s="69"/>
      <c r="I568" s="74" t="str">
        <f aca="false">IF(B568="","",IF(ISNUMBER(H568),H568,N(G568)))</f>
        <v/>
      </c>
      <c r="J568" s="64"/>
      <c r="K568" s="64"/>
      <c r="L568" s="93" t="str">
        <f aca="false">IF(NOT(ISNUMBER(D568)),"",DATE(YEAR(D568),MONTH(D568),1))</f>
        <v/>
      </c>
      <c r="M568" s="70" t="str">
        <f aca="false">IF(B568="","",IF(AND(ISNUMBER(D568),ISNUMBER(E568),E568&lt;D568),"⚠ Término anterior al inicio",IF(J568&lt;&gt;"Sí","Pendiente comprobante firmado","OK")))</f>
        <v/>
      </c>
    </row>
    <row r="569" customFormat="false" ht="15" hidden="false" customHeight="false" outlineLevel="0" collapsed="false">
      <c r="B569" s="64"/>
      <c r="C569" s="72" t="str">
        <f aca="false">IF(B569="","",IFERROR(INDEX(T_NOMBRE,MATCH(B569,T_ID,0)),"⚠ ID no existe"))</f>
        <v/>
      </c>
      <c r="D569" s="65"/>
      <c r="E569" s="65"/>
      <c r="F569" s="64"/>
      <c r="G569" s="74" t="str">
        <f aca="false">IF(OR(B569="",NOT(ISNUMBER(D569)),NOT(ISNUMBER(E569))),"",NETWORKDAYS(D569,E569,FERIADOS))</f>
        <v/>
      </c>
      <c r="H569" s="69"/>
      <c r="I569" s="74" t="str">
        <f aca="false">IF(B569="","",IF(ISNUMBER(H569),H569,N(G569)))</f>
        <v/>
      </c>
      <c r="J569" s="64"/>
      <c r="K569" s="64"/>
      <c r="L569" s="93" t="str">
        <f aca="false">IF(NOT(ISNUMBER(D569)),"",DATE(YEAR(D569),MONTH(D569),1))</f>
        <v/>
      </c>
      <c r="M569" s="70" t="str">
        <f aca="false">IF(B569="","",IF(AND(ISNUMBER(D569),ISNUMBER(E569),E569&lt;D569),"⚠ Término anterior al inicio",IF(J569&lt;&gt;"Sí","Pendiente comprobante firmado","OK")))</f>
        <v/>
      </c>
    </row>
    <row r="570" customFormat="false" ht="15" hidden="false" customHeight="false" outlineLevel="0" collapsed="false">
      <c r="B570" s="64"/>
      <c r="C570" s="72" t="str">
        <f aca="false">IF(B570="","",IFERROR(INDEX(T_NOMBRE,MATCH(B570,T_ID,0)),"⚠ ID no existe"))</f>
        <v/>
      </c>
      <c r="D570" s="65"/>
      <c r="E570" s="65"/>
      <c r="F570" s="64"/>
      <c r="G570" s="74" t="str">
        <f aca="false">IF(OR(B570="",NOT(ISNUMBER(D570)),NOT(ISNUMBER(E570))),"",NETWORKDAYS(D570,E570,FERIADOS))</f>
        <v/>
      </c>
      <c r="H570" s="69"/>
      <c r="I570" s="74" t="str">
        <f aca="false">IF(B570="","",IF(ISNUMBER(H570),H570,N(G570)))</f>
        <v/>
      </c>
      <c r="J570" s="64"/>
      <c r="K570" s="64"/>
      <c r="L570" s="93" t="str">
        <f aca="false">IF(NOT(ISNUMBER(D570)),"",DATE(YEAR(D570),MONTH(D570),1))</f>
        <v/>
      </c>
      <c r="M570" s="70" t="str">
        <f aca="false">IF(B570="","",IF(AND(ISNUMBER(D570),ISNUMBER(E570),E570&lt;D570),"⚠ Término anterior al inicio",IF(J570&lt;&gt;"Sí","Pendiente comprobante firmado","OK")))</f>
        <v/>
      </c>
    </row>
    <row r="571" customFormat="false" ht="15" hidden="false" customHeight="false" outlineLevel="0" collapsed="false">
      <c r="B571" s="64"/>
      <c r="C571" s="72" t="str">
        <f aca="false">IF(B571="","",IFERROR(INDEX(T_NOMBRE,MATCH(B571,T_ID,0)),"⚠ ID no existe"))</f>
        <v/>
      </c>
      <c r="D571" s="65"/>
      <c r="E571" s="65"/>
      <c r="F571" s="64"/>
      <c r="G571" s="74" t="str">
        <f aca="false">IF(OR(B571="",NOT(ISNUMBER(D571)),NOT(ISNUMBER(E571))),"",NETWORKDAYS(D571,E571,FERIADOS))</f>
        <v/>
      </c>
      <c r="H571" s="69"/>
      <c r="I571" s="74" t="str">
        <f aca="false">IF(B571="","",IF(ISNUMBER(H571),H571,N(G571)))</f>
        <v/>
      </c>
      <c r="J571" s="64"/>
      <c r="K571" s="64"/>
      <c r="L571" s="93" t="str">
        <f aca="false">IF(NOT(ISNUMBER(D571)),"",DATE(YEAR(D571),MONTH(D571),1))</f>
        <v/>
      </c>
      <c r="M571" s="70" t="str">
        <f aca="false">IF(B571="","",IF(AND(ISNUMBER(D571),ISNUMBER(E571),E571&lt;D571),"⚠ Término anterior al inicio",IF(J571&lt;&gt;"Sí","Pendiente comprobante firmado","OK")))</f>
        <v/>
      </c>
    </row>
    <row r="572" customFormat="false" ht="15" hidden="false" customHeight="false" outlineLevel="0" collapsed="false">
      <c r="B572" s="64"/>
      <c r="C572" s="72" t="str">
        <f aca="false">IF(B572="","",IFERROR(INDEX(T_NOMBRE,MATCH(B572,T_ID,0)),"⚠ ID no existe"))</f>
        <v/>
      </c>
      <c r="D572" s="65"/>
      <c r="E572" s="65"/>
      <c r="F572" s="64"/>
      <c r="G572" s="74" t="str">
        <f aca="false">IF(OR(B572="",NOT(ISNUMBER(D572)),NOT(ISNUMBER(E572))),"",NETWORKDAYS(D572,E572,FERIADOS))</f>
        <v/>
      </c>
      <c r="H572" s="69"/>
      <c r="I572" s="74" t="str">
        <f aca="false">IF(B572="","",IF(ISNUMBER(H572),H572,N(G572)))</f>
        <v/>
      </c>
      <c r="J572" s="64"/>
      <c r="K572" s="64"/>
      <c r="L572" s="93" t="str">
        <f aca="false">IF(NOT(ISNUMBER(D572)),"",DATE(YEAR(D572),MONTH(D572),1))</f>
        <v/>
      </c>
      <c r="M572" s="70" t="str">
        <f aca="false">IF(B572="","",IF(AND(ISNUMBER(D572),ISNUMBER(E572),E572&lt;D572),"⚠ Término anterior al inicio",IF(J572&lt;&gt;"Sí","Pendiente comprobante firmado","OK")))</f>
        <v/>
      </c>
    </row>
    <row r="573" customFormat="false" ht="15" hidden="false" customHeight="false" outlineLevel="0" collapsed="false">
      <c r="B573" s="64"/>
      <c r="C573" s="72" t="str">
        <f aca="false">IF(B573="","",IFERROR(INDEX(T_NOMBRE,MATCH(B573,T_ID,0)),"⚠ ID no existe"))</f>
        <v/>
      </c>
      <c r="D573" s="65"/>
      <c r="E573" s="65"/>
      <c r="F573" s="64"/>
      <c r="G573" s="74" t="str">
        <f aca="false">IF(OR(B573="",NOT(ISNUMBER(D573)),NOT(ISNUMBER(E573))),"",NETWORKDAYS(D573,E573,FERIADOS))</f>
        <v/>
      </c>
      <c r="H573" s="69"/>
      <c r="I573" s="74" t="str">
        <f aca="false">IF(B573="","",IF(ISNUMBER(H573),H573,N(G573)))</f>
        <v/>
      </c>
      <c r="J573" s="64"/>
      <c r="K573" s="64"/>
      <c r="L573" s="93" t="str">
        <f aca="false">IF(NOT(ISNUMBER(D573)),"",DATE(YEAR(D573),MONTH(D573),1))</f>
        <v/>
      </c>
      <c r="M573" s="70" t="str">
        <f aca="false">IF(B573="","",IF(AND(ISNUMBER(D573),ISNUMBER(E573),E573&lt;D573),"⚠ Término anterior al inicio",IF(J573&lt;&gt;"Sí","Pendiente comprobante firmado","OK")))</f>
        <v/>
      </c>
    </row>
    <row r="574" customFormat="false" ht="15" hidden="false" customHeight="false" outlineLevel="0" collapsed="false">
      <c r="B574" s="64"/>
      <c r="C574" s="72" t="str">
        <f aca="false">IF(B574="","",IFERROR(INDEX(T_NOMBRE,MATCH(B574,T_ID,0)),"⚠ ID no existe"))</f>
        <v/>
      </c>
      <c r="D574" s="65"/>
      <c r="E574" s="65"/>
      <c r="F574" s="64"/>
      <c r="G574" s="74" t="str">
        <f aca="false">IF(OR(B574="",NOT(ISNUMBER(D574)),NOT(ISNUMBER(E574))),"",NETWORKDAYS(D574,E574,FERIADOS))</f>
        <v/>
      </c>
      <c r="H574" s="69"/>
      <c r="I574" s="74" t="str">
        <f aca="false">IF(B574="","",IF(ISNUMBER(H574),H574,N(G574)))</f>
        <v/>
      </c>
      <c r="J574" s="64"/>
      <c r="K574" s="64"/>
      <c r="L574" s="93" t="str">
        <f aca="false">IF(NOT(ISNUMBER(D574)),"",DATE(YEAR(D574),MONTH(D574),1))</f>
        <v/>
      </c>
      <c r="M574" s="70" t="str">
        <f aca="false">IF(B574="","",IF(AND(ISNUMBER(D574),ISNUMBER(E574),E574&lt;D574),"⚠ Término anterior al inicio",IF(J574&lt;&gt;"Sí","Pendiente comprobante firmado","OK")))</f>
        <v/>
      </c>
    </row>
    <row r="575" customFormat="false" ht="15" hidden="false" customHeight="false" outlineLevel="0" collapsed="false">
      <c r="B575" s="64"/>
      <c r="C575" s="72" t="str">
        <f aca="false">IF(B575="","",IFERROR(INDEX(T_NOMBRE,MATCH(B575,T_ID,0)),"⚠ ID no existe"))</f>
        <v/>
      </c>
      <c r="D575" s="65"/>
      <c r="E575" s="65"/>
      <c r="F575" s="64"/>
      <c r="G575" s="74" t="str">
        <f aca="false">IF(OR(B575="",NOT(ISNUMBER(D575)),NOT(ISNUMBER(E575))),"",NETWORKDAYS(D575,E575,FERIADOS))</f>
        <v/>
      </c>
      <c r="H575" s="69"/>
      <c r="I575" s="74" t="str">
        <f aca="false">IF(B575="","",IF(ISNUMBER(H575),H575,N(G575)))</f>
        <v/>
      </c>
      <c r="J575" s="64"/>
      <c r="K575" s="64"/>
      <c r="L575" s="93" t="str">
        <f aca="false">IF(NOT(ISNUMBER(D575)),"",DATE(YEAR(D575),MONTH(D575),1))</f>
        <v/>
      </c>
      <c r="M575" s="70" t="str">
        <f aca="false">IF(B575="","",IF(AND(ISNUMBER(D575),ISNUMBER(E575),E575&lt;D575),"⚠ Término anterior al inicio",IF(J575&lt;&gt;"Sí","Pendiente comprobante firmado","OK")))</f>
        <v/>
      </c>
    </row>
    <row r="576" customFormat="false" ht="15" hidden="false" customHeight="false" outlineLevel="0" collapsed="false">
      <c r="B576" s="64"/>
      <c r="C576" s="72" t="str">
        <f aca="false">IF(B576="","",IFERROR(INDEX(T_NOMBRE,MATCH(B576,T_ID,0)),"⚠ ID no existe"))</f>
        <v/>
      </c>
      <c r="D576" s="65"/>
      <c r="E576" s="65"/>
      <c r="F576" s="64"/>
      <c r="G576" s="74" t="str">
        <f aca="false">IF(OR(B576="",NOT(ISNUMBER(D576)),NOT(ISNUMBER(E576))),"",NETWORKDAYS(D576,E576,FERIADOS))</f>
        <v/>
      </c>
      <c r="H576" s="69"/>
      <c r="I576" s="74" t="str">
        <f aca="false">IF(B576="","",IF(ISNUMBER(H576),H576,N(G576)))</f>
        <v/>
      </c>
      <c r="J576" s="64"/>
      <c r="K576" s="64"/>
      <c r="L576" s="93" t="str">
        <f aca="false">IF(NOT(ISNUMBER(D576)),"",DATE(YEAR(D576),MONTH(D576),1))</f>
        <v/>
      </c>
      <c r="M576" s="70" t="str">
        <f aca="false">IF(B576="","",IF(AND(ISNUMBER(D576),ISNUMBER(E576),E576&lt;D576),"⚠ Término anterior al inicio",IF(J576&lt;&gt;"Sí","Pendiente comprobante firmado","OK")))</f>
        <v/>
      </c>
    </row>
    <row r="577" customFormat="false" ht="15" hidden="false" customHeight="false" outlineLevel="0" collapsed="false">
      <c r="B577" s="64"/>
      <c r="C577" s="72" t="str">
        <f aca="false">IF(B577="","",IFERROR(INDEX(T_NOMBRE,MATCH(B577,T_ID,0)),"⚠ ID no existe"))</f>
        <v/>
      </c>
      <c r="D577" s="65"/>
      <c r="E577" s="65"/>
      <c r="F577" s="64"/>
      <c r="G577" s="74" t="str">
        <f aca="false">IF(OR(B577="",NOT(ISNUMBER(D577)),NOT(ISNUMBER(E577))),"",NETWORKDAYS(D577,E577,FERIADOS))</f>
        <v/>
      </c>
      <c r="H577" s="69"/>
      <c r="I577" s="74" t="str">
        <f aca="false">IF(B577="","",IF(ISNUMBER(H577),H577,N(G577)))</f>
        <v/>
      </c>
      <c r="J577" s="64"/>
      <c r="K577" s="64"/>
      <c r="L577" s="93" t="str">
        <f aca="false">IF(NOT(ISNUMBER(D577)),"",DATE(YEAR(D577),MONTH(D577),1))</f>
        <v/>
      </c>
      <c r="M577" s="70" t="str">
        <f aca="false">IF(B577="","",IF(AND(ISNUMBER(D577),ISNUMBER(E577),E577&lt;D577),"⚠ Término anterior al inicio",IF(J577&lt;&gt;"Sí","Pendiente comprobante firmado","OK")))</f>
        <v/>
      </c>
    </row>
    <row r="578" customFormat="false" ht="15" hidden="false" customHeight="false" outlineLevel="0" collapsed="false">
      <c r="B578" s="64"/>
      <c r="C578" s="72" t="str">
        <f aca="false">IF(B578="","",IFERROR(INDEX(T_NOMBRE,MATCH(B578,T_ID,0)),"⚠ ID no existe"))</f>
        <v/>
      </c>
      <c r="D578" s="65"/>
      <c r="E578" s="65"/>
      <c r="F578" s="64"/>
      <c r="G578" s="74" t="str">
        <f aca="false">IF(OR(B578="",NOT(ISNUMBER(D578)),NOT(ISNUMBER(E578))),"",NETWORKDAYS(D578,E578,FERIADOS))</f>
        <v/>
      </c>
      <c r="H578" s="69"/>
      <c r="I578" s="74" t="str">
        <f aca="false">IF(B578="","",IF(ISNUMBER(H578),H578,N(G578)))</f>
        <v/>
      </c>
      <c r="J578" s="64"/>
      <c r="K578" s="64"/>
      <c r="L578" s="93" t="str">
        <f aca="false">IF(NOT(ISNUMBER(D578)),"",DATE(YEAR(D578),MONTH(D578),1))</f>
        <v/>
      </c>
      <c r="M578" s="70" t="str">
        <f aca="false">IF(B578="","",IF(AND(ISNUMBER(D578),ISNUMBER(E578),E578&lt;D578),"⚠ Término anterior al inicio",IF(J578&lt;&gt;"Sí","Pendiente comprobante firmado","OK")))</f>
        <v/>
      </c>
    </row>
    <row r="579" customFormat="false" ht="15" hidden="false" customHeight="false" outlineLevel="0" collapsed="false">
      <c r="B579" s="64"/>
      <c r="C579" s="72" t="str">
        <f aca="false">IF(B579="","",IFERROR(INDEX(T_NOMBRE,MATCH(B579,T_ID,0)),"⚠ ID no existe"))</f>
        <v/>
      </c>
      <c r="D579" s="65"/>
      <c r="E579" s="65"/>
      <c r="F579" s="64"/>
      <c r="G579" s="74" t="str">
        <f aca="false">IF(OR(B579="",NOT(ISNUMBER(D579)),NOT(ISNUMBER(E579))),"",NETWORKDAYS(D579,E579,FERIADOS))</f>
        <v/>
      </c>
      <c r="H579" s="69"/>
      <c r="I579" s="74" t="str">
        <f aca="false">IF(B579="","",IF(ISNUMBER(H579),H579,N(G579)))</f>
        <v/>
      </c>
      <c r="J579" s="64"/>
      <c r="K579" s="64"/>
      <c r="L579" s="93" t="str">
        <f aca="false">IF(NOT(ISNUMBER(D579)),"",DATE(YEAR(D579),MONTH(D579),1))</f>
        <v/>
      </c>
      <c r="M579" s="70" t="str">
        <f aca="false">IF(B579="","",IF(AND(ISNUMBER(D579),ISNUMBER(E579),E579&lt;D579),"⚠ Término anterior al inicio",IF(J579&lt;&gt;"Sí","Pendiente comprobante firmado","OK")))</f>
        <v/>
      </c>
    </row>
    <row r="580" customFormat="false" ht="15" hidden="false" customHeight="false" outlineLevel="0" collapsed="false">
      <c r="B580" s="64"/>
      <c r="C580" s="72" t="str">
        <f aca="false">IF(B580="","",IFERROR(INDEX(T_NOMBRE,MATCH(B580,T_ID,0)),"⚠ ID no existe"))</f>
        <v/>
      </c>
      <c r="D580" s="65"/>
      <c r="E580" s="65"/>
      <c r="F580" s="64"/>
      <c r="G580" s="74" t="str">
        <f aca="false">IF(OR(B580="",NOT(ISNUMBER(D580)),NOT(ISNUMBER(E580))),"",NETWORKDAYS(D580,E580,FERIADOS))</f>
        <v/>
      </c>
      <c r="H580" s="69"/>
      <c r="I580" s="74" t="str">
        <f aca="false">IF(B580="","",IF(ISNUMBER(H580),H580,N(G580)))</f>
        <v/>
      </c>
      <c r="J580" s="64"/>
      <c r="K580" s="64"/>
      <c r="L580" s="93" t="str">
        <f aca="false">IF(NOT(ISNUMBER(D580)),"",DATE(YEAR(D580),MONTH(D580),1))</f>
        <v/>
      </c>
      <c r="M580" s="70" t="str">
        <f aca="false">IF(B580="","",IF(AND(ISNUMBER(D580),ISNUMBER(E580),E580&lt;D580),"⚠ Término anterior al inicio",IF(J580&lt;&gt;"Sí","Pendiente comprobante firmado","OK")))</f>
        <v/>
      </c>
    </row>
    <row r="581" customFormat="false" ht="15" hidden="false" customHeight="false" outlineLevel="0" collapsed="false">
      <c r="B581" s="64"/>
      <c r="C581" s="72" t="str">
        <f aca="false">IF(B581="","",IFERROR(INDEX(T_NOMBRE,MATCH(B581,T_ID,0)),"⚠ ID no existe"))</f>
        <v/>
      </c>
      <c r="D581" s="65"/>
      <c r="E581" s="65"/>
      <c r="F581" s="64"/>
      <c r="G581" s="74" t="str">
        <f aca="false">IF(OR(B581="",NOT(ISNUMBER(D581)),NOT(ISNUMBER(E581))),"",NETWORKDAYS(D581,E581,FERIADOS))</f>
        <v/>
      </c>
      <c r="H581" s="69"/>
      <c r="I581" s="74" t="str">
        <f aca="false">IF(B581="","",IF(ISNUMBER(H581),H581,N(G581)))</f>
        <v/>
      </c>
      <c r="J581" s="64"/>
      <c r="K581" s="64"/>
      <c r="L581" s="93" t="str">
        <f aca="false">IF(NOT(ISNUMBER(D581)),"",DATE(YEAR(D581),MONTH(D581),1))</f>
        <v/>
      </c>
      <c r="M581" s="70" t="str">
        <f aca="false">IF(B581="","",IF(AND(ISNUMBER(D581),ISNUMBER(E581),E581&lt;D581),"⚠ Término anterior al inicio",IF(J581&lt;&gt;"Sí","Pendiente comprobante firmado","OK")))</f>
        <v/>
      </c>
    </row>
    <row r="582" customFormat="false" ht="15" hidden="false" customHeight="false" outlineLevel="0" collapsed="false">
      <c r="B582" s="64"/>
      <c r="C582" s="72" t="str">
        <f aca="false">IF(B582="","",IFERROR(INDEX(T_NOMBRE,MATCH(B582,T_ID,0)),"⚠ ID no existe"))</f>
        <v/>
      </c>
      <c r="D582" s="65"/>
      <c r="E582" s="65"/>
      <c r="F582" s="64"/>
      <c r="G582" s="74" t="str">
        <f aca="false">IF(OR(B582="",NOT(ISNUMBER(D582)),NOT(ISNUMBER(E582))),"",NETWORKDAYS(D582,E582,FERIADOS))</f>
        <v/>
      </c>
      <c r="H582" s="69"/>
      <c r="I582" s="74" t="str">
        <f aca="false">IF(B582="","",IF(ISNUMBER(H582),H582,N(G582)))</f>
        <v/>
      </c>
      <c r="J582" s="64"/>
      <c r="K582" s="64"/>
      <c r="L582" s="93" t="str">
        <f aca="false">IF(NOT(ISNUMBER(D582)),"",DATE(YEAR(D582),MONTH(D582),1))</f>
        <v/>
      </c>
      <c r="M582" s="70" t="str">
        <f aca="false">IF(B582="","",IF(AND(ISNUMBER(D582),ISNUMBER(E582),E582&lt;D582),"⚠ Término anterior al inicio",IF(J582&lt;&gt;"Sí","Pendiente comprobante firmado","OK")))</f>
        <v/>
      </c>
    </row>
    <row r="583" customFormat="false" ht="15" hidden="false" customHeight="false" outlineLevel="0" collapsed="false">
      <c r="B583" s="64"/>
      <c r="C583" s="72" t="str">
        <f aca="false">IF(B583="","",IFERROR(INDEX(T_NOMBRE,MATCH(B583,T_ID,0)),"⚠ ID no existe"))</f>
        <v/>
      </c>
      <c r="D583" s="65"/>
      <c r="E583" s="65"/>
      <c r="F583" s="64"/>
      <c r="G583" s="74" t="str">
        <f aca="false">IF(OR(B583="",NOT(ISNUMBER(D583)),NOT(ISNUMBER(E583))),"",NETWORKDAYS(D583,E583,FERIADOS))</f>
        <v/>
      </c>
      <c r="H583" s="69"/>
      <c r="I583" s="74" t="str">
        <f aca="false">IF(B583="","",IF(ISNUMBER(H583),H583,N(G583)))</f>
        <v/>
      </c>
      <c r="J583" s="64"/>
      <c r="K583" s="64"/>
      <c r="L583" s="93" t="str">
        <f aca="false">IF(NOT(ISNUMBER(D583)),"",DATE(YEAR(D583),MONTH(D583),1))</f>
        <v/>
      </c>
      <c r="M583" s="70" t="str">
        <f aca="false">IF(B583="","",IF(AND(ISNUMBER(D583),ISNUMBER(E583),E583&lt;D583),"⚠ Término anterior al inicio",IF(J583&lt;&gt;"Sí","Pendiente comprobante firmado","OK")))</f>
        <v/>
      </c>
    </row>
    <row r="584" customFormat="false" ht="15" hidden="false" customHeight="false" outlineLevel="0" collapsed="false">
      <c r="B584" s="64"/>
      <c r="C584" s="72" t="str">
        <f aca="false">IF(B584="","",IFERROR(INDEX(T_NOMBRE,MATCH(B584,T_ID,0)),"⚠ ID no existe"))</f>
        <v/>
      </c>
      <c r="D584" s="65"/>
      <c r="E584" s="65"/>
      <c r="F584" s="64"/>
      <c r="G584" s="74" t="str">
        <f aca="false">IF(OR(B584="",NOT(ISNUMBER(D584)),NOT(ISNUMBER(E584))),"",NETWORKDAYS(D584,E584,FERIADOS))</f>
        <v/>
      </c>
      <c r="H584" s="69"/>
      <c r="I584" s="74" t="str">
        <f aca="false">IF(B584="","",IF(ISNUMBER(H584),H584,N(G584)))</f>
        <v/>
      </c>
      <c r="J584" s="64"/>
      <c r="K584" s="64"/>
      <c r="L584" s="93" t="str">
        <f aca="false">IF(NOT(ISNUMBER(D584)),"",DATE(YEAR(D584),MONTH(D584),1))</f>
        <v/>
      </c>
      <c r="M584" s="70" t="str">
        <f aca="false">IF(B584="","",IF(AND(ISNUMBER(D584),ISNUMBER(E584),E584&lt;D584),"⚠ Término anterior al inicio",IF(J584&lt;&gt;"Sí","Pendiente comprobante firmado","OK")))</f>
        <v/>
      </c>
    </row>
    <row r="585" customFormat="false" ht="15" hidden="false" customHeight="false" outlineLevel="0" collapsed="false">
      <c r="B585" s="64"/>
      <c r="C585" s="72" t="str">
        <f aca="false">IF(B585="","",IFERROR(INDEX(T_NOMBRE,MATCH(B585,T_ID,0)),"⚠ ID no existe"))</f>
        <v/>
      </c>
      <c r="D585" s="65"/>
      <c r="E585" s="65"/>
      <c r="F585" s="64"/>
      <c r="G585" s="74" t="str">
        <f aca="false">IF(OR(B585="",NOT(ISNUMBER(D585)),NOT(ISNUMBER(E585))),"",NETWORKDAYS(D585,E585,FERIADOS))</f>
        <v/>
      </c>
      <c r="H585" s="69"/>
      <c r="I585" s="74" t="str">
        <f aca="false">IF(B585="","",IF(ISNUMBER(H585),H585,N(G585)))</f>
        <v/>
      </c>
      <c r="J585" s="64"/>
      <c r="K585" s="64"/>
      <c r="L585" s="93" t="str">
        <f aca="false">IF(NOT(ISNUMBER(D585)),"",DATE(YEAR(D585),MONTH(D585),1))</f>
        <v/>
      </c>
      <c r="M585" s="70" t="str">
        <f aca="false">IF(B585="","",IF(AND(ISNUMBER(D585),ISNUMBER(E585),E585&lt;D585),"⚠ Término anterior al inicio",IF(J585&lt;&gt;"Sí","Pendiente comprobante firmado","OK")))</f>
        <v/>
      </c>
    </row>
    <row r="586" customFormat="false" ht="15" hidden="false" customHeight="false" outlineLevel="0" collapsed="false">
      <c r="B586" s="64"/>
      <c r="C586" s="72" t="str">
        <f aca="false">IF(B586="","",IFERROR(INDEX(T_NOMBRE,MATCH(B586,T_ID,0)),"⚠ ID no existe"))</f>
        <v/>
      </c>
      <c r="D586" s="65"/>
      <c r="E586" s="65"/>
      <c r="F586" s="64"/>
      <c r="G586" s="74" t="str">
        <f aca="false">IF(OR(B586="",NOT(ISNUMBER(D586)),NOT(ISNUMBER(E586))),"",NETWORKDAYS(D586,E586,FERIADOS))</f>
        <v/>
      </c>
      <c r="H586" s="69"/>
      <c r="I586" s="74" t="str">
        <f aca="false">IF(B586="","",IF(ISNUMBER(H586),H586,N(G586)))</f>
        <v/>
      </c>
      <c r="J586" s="64"/>
      <c r="K586" s="64"/>
      <c r="L586" s="93" t="str">
        <f aca="false">IF(NOT(ISNUMBER(D586)),"",DATE(YEAR(D586),MONTH(D586),1))</f>
        <v/>
      </c>
      <c r="M586" s="70" t="str">
        <f aca="false">IF(B586="","",IF(AND(ISNUMBER(D586),ISNUMBER(E586),E586&lt;D586),"⚠ Término anterior al inicio",IF(J586&lt;&gt;"Sí","Pendiente comprobante firmado","OK")))</f>
        <v/>
      </c>
    </row>
    <row r="587" customFormat="false" ht="15" hidden="false" customHeight="false" outlineLevel="0" collapsed="false">
      <c r="B587" s="64"/>
      <c r="C587" s="72" t="str">
        <f aca="false">IF(B587="","",IFERROR(INDEX(T_NOMBRE,MATCH(B587,T_ID,0)),"⚠ ID no existe"))</f>
        <v/>
      </c>
      <c r="D587" s="65"/>
      <c r="E587" s="65"/>
      <c r="F587" s="64"/>
      <c r="G587" s="74" t="str">
        <f aca="false">IF(OR(B587="",NOT(ISNUMBER(D587)),NOT(ISNUMBER(E587))),"",NETWORKDAYS(D587,E587,FERIADOS))</f>
        <v/>
      </c>
      <c r="H587" s="69"/>
      <c r="I587" s="74" t="str">
        <f aca="false">IF(B587="","",IF(ISNUMBER(H587),H587,N(G587)))</f>
        <v/>
      </c>
      <c r="J587" s="64"/>
      <c r="K587" s="64"/>
      <c r="L587" s="93" t="str">
        <f aca="false">IF(NOT(ISNUMBER(D587)),"",DATE(YEAR(D587),MONTH(D587),1))</f>
        <v/>
      </c>
      <c r="M587" s="70" t="str">
        <f aca="false">IF(B587="","",IF(AND(ISNUMBER(D587),ISNUMBER(E587),E587&lt;D587),"⚠ Término anterior al inicio",IF(J587&lt;&gt;"Sí","Pendiente comprobante firmado","OK")))</f>
        <v/>
      </c>
    </row>
    <row r="588" customFormat="false" ht="15" hidden="false" customHeight="false" outlineLevel="0" collapsed="false">
      <c r="B588" s="64"/>
      <c r="C588" s="72" t="str">
        <f aca="false">IF(B588="","",IFERROR(INDEX(T_NOMBRE,MATCH(B588,T_ID,0)),"⚠ ID no existe"))</f>
        <v/>
      </c>
      <c r="D588" s="65"/>
      <c r="E588" s="65"/>
      <c r="F588" s="64"/>
      <c r="G588" s="74" t="str">
        <f aca="false">IF(OR(B588="",NOT(ISNUMBER(D588)),NOT(ISNUMBER(E588))),"",NETWORKDAYS(D588,E588,FERIADOS))</f>
        <v/>
      </c>
      <c r="H588" s="69"/>
      <c r="I588" s="74" t="str">
        <f aca="false">IF(B588="","",IF(ISNUMBER(H588),H588,N(G588)))</f>
        <v/>
      </c>
      <c r="J588" s="64"/>
      <c r="K588" s="64"/>
      <c r="L588" s="93" t="str">
        <f aca="false">IF(NOT(ISNUMBER(D588)),"",DATE(YEAR(D588),MONTH(D588),1))</f>
        <v/>
      </c>
      <c r="M588" s="70" t="str">
        <f aca="false">IF(B588="","",IF(AND(ISNUMBER(D588),ISNUMBER(E588),E588&lt;D588),"⚠ Término anterior al inicio",IF(J588&lt;&gt;"Sí","Pendiente comprobante firmado","OK")))</f>
        <v/>
      </c>
    </row>
    <row r="589" customFormat="false" ht="15" hidden="false" customHeight="false" outlineLevel="0" collapsed="false">
      <c r="B589" s="64"/>
      <c r="C589" s="72" t="str">
        <f aca="false">IF(B589="","",IFERROR(INDEX(T_NOMBRE,MATCH(B589,T_ID,0)),"⚠ ID no existe"))</f>
        <v/>
      </c>
      <c r="D589" s="65"/>
      <c r="E589" s="65"/>
      <c r="F589" s="64"/>
      <c r="G589" s="74" t="str">
        <f aca="false">IF(OR(B589="",NOT(ISNUMBER(D589)),NOT(ISNUMBER(E589))),"",NETWORKDAYS(D589,E589,FERIADOS))</f>
        <v/>
      </c>
      <c r="H589" s="69"/>
      <c r="I589" s="74" t="str">
        <f aca="false">IF(B589="","",IF(ISNUMBER(H589),H589,N(G589)))</f>
        <v/>
      </c>
      <c r="J589" s="64"/>
      <c r="K589" s="64"/>
      <c r="L589" s="93" t="str">
        <f aca="false">IF(NOT(ISNUMBER(D589)),"",DATE(YEAR(D589),MONTH(D589),1))</f>
        <v/>
      </c>
      <c r="M589" s="70" t="str">
        <f aca="false">IF(B589="","",IF(AND(ISNUMBER(D589),ISNUMBER(E589),E589&lt;D589),"⚠ Término anterior al inicio",IF(J589&lt;&gt;"Sí","Pendiente comprobante firmado","OK")))</f>
        <v/>
      </c>
    </row>
    <row r="590" customFormat="false" ht="15" hidden="false" customHeight="false" outlineLevel="0" collapsed="false">
      <c r="B590" s="64"/>
      <c r="C590" s="72" t="str">
        <f aca="false">IF(B590="","",IFERROR(INDEX(T_NOMBRE,MATCH(B590,T_ID,0)),"⚠ ID no existe"))</f>
        <v/>
      </c>
      <c r="D590" s="65"/>
      <c r="E590" s="65"/>
      <c r="F590" s="64"/>
      <c r="G590" s="74" t="str">
        <f aca="false">IF(OR(B590="",NOT(ISNUMBER(D590)),NOT(ISNUMBER(E590))),"",NETWORKDAYS(D590,E590,FERIADOS))</f>
        <v/>
      </c>
      <c r="H590" s="69"/>
      <c r="I590" s="74" t="str">
        <f aca="false">IF(B590="","",IF(ISNUMBER(H590),H590,N(G590)))</f>
        <v/>
      </c>
      <c r="J590" s="64"/>
      <c r="K590" s="64"/>
      <c r="L590" s="93" t="str">
        <f aca="false">IF(NOT(ISNUMBER(D590)),"",DATE(YEAR(D590),MONTH(D590),1))</f>
        <v/>
      </c>
      <c r="M590" s="70" t="str">
        <f aca="false">IF(B590="","",IF(AND(ISNUMBER(D590),ISNUMBER(E590),E590&lt;D590),"⚠ Término anterior al inicio",IF(J590&lt;&gt;"Sí","Pendiente comprobante firmado","OK")))</f>
        <v/>
      </c>
    </row>
    <row r="591" customFormat="false" ht="15" hidden="false" customHeight="false" outlineLevel="0" collapsed="false">
      <c r="B591" s="64"/>
      <c r="C591" s="72" t="str">
        <f aca="false">IF(B591="","",IFERROR(INDEX(T_NOMBRE,MATCH(B591,T_ID,0)),"⚠ ID no existe"))</f>
        <v/>
      </c>
      <c r="D591" s="65"/>
      <c r="E591" s="65"/>
      <c r="F591" s="64"/>
      <c r="G591" s="74" t="str">
        <f aca="false">IF(OR(B591="",NOT(ISNUMBER(D591)),NOT(ISNUMBER(E591))),"",NETWORKDAYS(D591,E591,FERIADOS))</f>
        <v/>
      </c>
      <c r="H591" s="69"/>
      <c r="I591" s="74" t="str">
        <f aca="false">IF(B591="","",IF(ISNUMBER(H591),H591,N(G591)))</f>
        <v/>
      </c>
      <c r="J591" s="64"/>
      <c r="K591" s="64"/>
      <c r="L591" s="93" t="str">
        <f aca="false">IF(NOT(ISNUMBER(D591)),"",DATE(YEAR(D591),MONTH(D591),1))</f>
        <v/>
      </c>
      <c r="M591" s="70" t="str">
        <f aca="false">IF(B591="","",IF(AND(ISNUMBER(D591),ISNUMBER(E591),E591&lt;D591),"⚠ Término anterior al inicio",IF(J591&lt;&gt;"Sí","Pendiente comprobante firmado","OK")))</f>
        <v/>
      </c>
    </row>
    <row r="592" customFormat="false" ht="15" hidden="false" customHeight="false" outlineLevel="0" collapsed="false">
      <c r="B592" s="64"/>
      <c r="C592" s="72" t="str">
        <f aca="false">IF(B592="","",IFERROR(INDEX(T_NOMBRE,MATCH(B592,T_ID,0)),"⚠ ID no existe"))</f>
        <v/>
      </c>
      <c r="D592" s="65"/>
      <c r="E592" s="65"/>
      <c r="F592" s="64"/>
      <c r="G592" s="74" t="str">
        <f aca="false">IF(OR(B592="",NOT(ISNUMBER(D592)),NOT(ISNUMBER(E592))),"",NETWORKDAYS(D592,E592,FERIADOS))</f>
        <v/>
      </c>
      <c r="H592" s="69"/>
      <c r="I592" s="74" t="str">
        <f aca="false">IF(B592="","",IF(ISNUMBER(H592),H592,N(G592)))</f>
        <v/>
      </c>
      <c r="J592" s="64"/>
      <c r="K592" s="64"/>
      <c r="L592" s="93" t="str">
        <f aca="false">IF(NOT(ISNUMBER(D592)),"",DATE(YEAR(D592),MONTH(D592),1))</f>
        <v/>
      </c>
      <c r="M592" s="70" t="str">
        <f aca="false">IF(B592="","",IF(AND(ISNUMBER(D592),ISNUMBER(E592),E592&lt;D592),"⚠ Término anterior al inicio",IF(J592&lt;&gt;"Sí","Pendiente comprobante firmado","OK")))</f>
        <v/>
      </c>
    </row>
    <row r="593" customFormat="false" ht="15" hidden="false" customHeight="false" outlineLevel="0" collapsed="false">
      <c r="B593" s="64"/>
      <c r="C593" s="72" t="str">
        <f aca="false">IF(B593="","",IFERROR(INDEX(T_NOMBRE,MATCH(B593,T_ID,0)),"⚠ ID no existe"))</f>
        <v/>
      </c>
      <c r="D593" s="65"/>
      <c r="E593" s="65"/>
      <c r="F593" s="64"/>
      <c r="G593" s="74" t="str">
        <f aca="false">IF(OR(B593="",NOT(ISNUMBER(D593)),NOT(ISNUMBER(E593))),"",NETWORKDAYS(D593,E593,FERIADOS))</f>
        <v/>
      </c>
      <c r="H593" s="69"/>
      <c r="I593" s="74" t="str">
        <f aca="false">IF(B593="","",IF(ISNUMBER(H593),H593,N(G593)))</f>
        <v/>
      </c>
      <c r="J593" s="64"/>
      <c r="K593" s="64"/>
      <c r="L593" s="93" t="str">
        <f aca="false">IF(NOT(ISNUMBER(D593)),"",DATE(YEAR(D593),MONTH(D593),1))</f>
        <v/>
      </c>
      <c r="M593" s="70" t="str">
        <f aca="false">IF(B593="","",IF(AND(ISNUMBER(D593),ISNUMBER(E593),E593&lt;D593),"⚠ Término anterior al inicio",IF(J593&lt;&gt;"Sí","Pendiente comprobante firmado","OK")))</f>
        <v/>
      </c>
    </row>
    <row r="594" customFormat="false" ht="15" hidden="false" customHeight="false" outlineLevel="0" collapsed="false">
      <c r="B594" s="64"/>
      <c r="C594" s="72" t="str">
        <f aca="false">IF(B594="","",IFERROR(INDEX(T_NOMBRE,MATCH(B594,T_ID,0)),"⚠ ID no existe"))</f>
        <v/>
      </c>
      <c r="D594" s="65"/>
      <c r="E594" s="65"/>
      <c r="F594" s="64"/>
      <c r="G594" s="74" t="str">
        <f aca="false">IF(OR(B594="",NOT(ISNUMBER(D594)),NOT(ISNUMBER(E594))),"",NETWORKDAYS(D594,E594,FERIADOS))</f>
        <v/>
      </c>
      <c r="H594" s="69"/>
      <c r="I594" s="74" t="str">
        <f aca="false">IF(B594="","",IF(ISNUMBER(H594),H594,N(G594)))</f>
        <v/>
      </c>
      <c r="J594" s="64"/>
      <c r="K594" s="64"/>
      <c r="L594" s="93" t="str">
        <f aca="false">IF(NOT(ISNUMBER(D594)),"",DATE(YEAR(D594),MONTH(D594),1))</f>
        <v/>
      </c>
      <c r="M594" s="70" t="str">
        <f aca="false">IF(B594="","",IF(AND(ISNUMBER(D594),ISNUMBER(E594),E594&lt;D594),"⚠ Término anterior al inicio",IF(J594&lt;&gt;"Sí","Pendiente comprobante firmado","OK")))</f>
        <v/>
      </c>
    </row>
    <row r="595" customFormat="false" ht="15" hidden="false" customHeight="false" outlineLevel="0" collapsed="false">
      <c r="B595" s="64"/>
      <c r="C595" s="72" t="str">
        <f aca="false">IF(B595="","",IFERROR(INDEX(T_NOMBRE,MATCH(B595,T_ID,0)),"⚠ ID no existe"))</f>
        <v/>
      </c>
      <c r="D595" s="65"/>
      <c r="E595" s="65"/>
      <c r="F595" s="64"/>
      <c r="G595" s="74" t="str">
        <f aca="false">IF(OR(B595="",NOT(ISNUMBER(D595)),NOT(ISNUMBER(E595))),"",NETWORKDAYS(D595,E595,FERIADOS))</f>
        <v/>
      </c>
      <c r="H595" s="69"/>
      <c r="I595" s="74" t="str">
        <f aca="false">IF(B595="","",IF(ISNUMBER(H595),H595,N(G595)))</f>
        <v/>
      </c>
      <c r="J595" s="64"/>
      <c r="K595" s="64"/>
      <c r="L595" s="93" t="str">
        <f aca="false">IF(NOT(ISNUMBER(D595)),"",DATE(YEAR(D595),MONTH(D595),1))</f>
        <v/>
      </c>
      <c r="M595" s="70" t="str">
        <f aca="false">IF(B595="","",IF(AND(ISNUMBER(D595),ISNUMBER(E595),E595&lt;D595),"⚠ Término anterior al inicio",IF(J595&lt;&gt;"Sí","Pendiente comprobante firmado","OK")))</f>
        <v/>
      </c>
    </row>
    <row r="596" customFormat="false" ht="15" hidden="false" customHeight="false" outlineLevel="0" collapsed="false">
      <c r="B596" s="64"/>
      <c r="C596" s="72" t="str">
        <f aca="false">IF(B596="","",IFERROR(INDEX(T_NOMBRE,MATCH(B596,T_ID,0)),"⚠ ID no existe"))</f>
        <v/>
      </c>
      <c r="D596" s="65"/>
      <c r="E596" s="65"/>
      <c r="F596" s="64"/>
      <c r="G596" s="74" t="str">
        <f aca="false">IF(OR(B596="",NOT(ISNUMBER(D596)),NOT(ISNUMBER(E596))),"",NETWORKDAYS(D596,E596,FERIADOS))</f>
        <v/>
      </c>
      <c r="H596" s="69"/>
      <c r="I596" s="74" t="str">
        <f aca="false">IF(B596="","",IF(ISNUMBER(H596),H596,N(G596)))</f>
        <v/>
      </c>
      <c r="J596" s="64"/>
      <c r="K596" s="64"/>
      <c r="L596" s="93" t="str">
        <f aca="false">IF(NOT(ISNUMBER(D596)),"",DATE(YEAR(D596),MONTH(D596),1))</f>
        <v/>
      </c>
      <c r="M596" s="70" t="str">
        <f aca="false">IF(B596="","",IF(AND(ISNUMBER(D596),ISNUMBER(E596),E596&lt;D596),"⚠ Término anterior al inicio",IF(J596&lt;&gt;"Sí","Pendiente comprobante firmado","OK")))</f>
        <v/>
      </c>
    </row>
    <row r="597" customFormat="false" ht="15" hidden="false" customHeight="false" outlineLevel="0" collapsed="false">
      <c r="B597" s="64"/>
      <c r="C597" s="72" t="str">
        <f aca="false">IF(B597="","",IFERROR(INDEX(T_NOMBRE,MATCH(B597,T_ID,0)),"⚠ ID no existe"))</f>
        <v/>
      </c>
      <c r="D597" s="65"/>
      <c r="E597" s="65"/>
      <c r="F597" s="64"/>
      <c r="G597" s="74" t="str">
        <f aca="false">IF(OR(B597="",NOT(ISNUMBER(D597)),NOT(ISNUMBER(E597))),"",NETWORKDAYS(D597,E597,FERIADOS))</f>
        <v/>
      </c>
      <c r="H597" s="69"/>
      <c r="I597" s="74" t="str">
        <f aca="false">IF(B597="","",IF(ISNUMBER(H597),H597,N(G597)))</f>
        <v/>
      </c>
      <c r="J597" s="64"/>
      <c r="K597" s="64"/>
      <c r="L597" s="93" t="str">
        <f aca="false">IF(NOT(ISNUMBER(D597)),"",DATE(YEAR(D597),MONTH(D597),1))</f>
        <v/>
      </c>
      <c r="M597" s="70" t="str">
        <f aca="false">IF(B597="","",IF(AND(ISNUMBER(D597),ISNUMBER(E597),E597&lt;D597),"⚠ Término anterior al inicio",IF(J597&lt;&gt;"Sí","Pendiente comprobante firmado","OK")))</f>
        <v/>
      </c>
    </row>
    <row r="598" customFormat="false" ht="15" hidden="false" customHeight="false" outlineLevel="0" collapsed="false">
      <c r="B598" s="64"/>
      <c r="C598" s="72" t="str">
        <f aca="false">IF(B598="","",IFERROR(INDEX(T_NOMBRE,MATCH(B598,T_ID,0)),"⚠ ID no existe"))</f>
        <v/>
      </c>
      <c r="D598" s="65"/>
      <c r="E598" s="65"/>
      <c r="F598" s="64"/>
      <c r="G598" s="74" t="str">
        <f aca="false">IF(OR(B598="",NOT(ISNUMBER(D598)),NOT(ISNUMBER(E598))),"",NETWORKDAYS(D598,E598,FERIADOS))</f>
        <v/>
      </c>
      <c r="H598" s="69"/>
      <c r="I598" s="74" t="str">
        <f aca="false">IF(B598="","",IF(ISNUMBER(H598),H598,N(G598)))</f>
        <v/>
      </c>
      <c r="J598" s="64"/>
      <c r="K598" s="64"/>
      <c r="L598" s="93" t="str">
        <f aca="false">IF(NOT(ISNUMBER(D598)),"",DATE(YEAR(D598),MONTH(D598),1))</f>
        <v/>
      </c>
      <c r="M598" s="70" t="str">
        <f aca="false">IF(B598="","",IF(AND(ISNUMBER(D598),ISNUMBER(E598),E598&lt;D598),"⚠ Término anterior al inicio",IF(J598&lt;&gt;"Sí","Pendiente comprobante firmado","OK")))</f>
        <v/>
      </c>
    </row>
    <row r="599" customFormat="false" ht="15" hidden="false" customHeight="false" outlineLevel="0" collapsed="false">
      <c r="B599" s="64"/>
      <c r="C599" s="72" t="str">
        <f aca="false">IF(B599="","",IFERROR(INDEX(T_NOMBRE,MATCH(B599,T_ID,0)),"⚠ ID no existe"))</f>
        <v/>
      </c>
      <c r="D599" s="65"/>
      <c r="E599" s="65"/>
      <c r="F599" s="64"/>
      <c r="G599" s="74" t="str">
        <f aca="false">IF(OR(B599="",NOT(ISNUMBER(D599)),NOT(ISNUMBER(E599))),"",NETWORKDAYS(D599,E599,FERIADOS))</f>
        <v/>
      </c>
      <c r="H599" s="69"/>
      <c r="I599" s="74" t="str">
        <f aca="false">IF(B599="","",IF(ISNUMBER(H599),H599,N(G599)))</f>
        <v/>
      </c>
      <c r="J599" s="64"/>
      <c r="K599" s="64"/>
      <c r="L599" s="93" t="str">
        <f aca="false">IF(NOT(ISNUMBER(D599)),"",DATE(YEAR(D599),MONTH(D599),1))</f>
        <v/>
      </c>
      <c r="M599" s="70" t="str">
        <f aca="false">IF(B599="","",IF(AND(ISNUMBER(D599),ISNUMBER(E599),E599&lt;D599),"⚠ Término anterior al inicio",IF(J599&lt;&gt;"Sí","Pendiente comprobante firmado","OK")))</f>
        <v/>
      </c>
    </row>
    <row r="600" customFormat="false" ht="15" hidden="false" customHeight="false" outlineLevel="0" collapsed="false">
      <c r="B600" s="64"/>
      <c r="C600" s="72" t="str">
        <f aca="false">IF(B600="","",IFERROR(INDEX(T_NOMBRE,MATCH(B600,T_ID,0)),"⚠ ID no existe"))</f>
        <v/>
      </c>
      <c r="D600" s="65"/>
      <c r="E600" s="65"/>
      <c r="F600" s="64"/>
      <c r="G600" s="74" t="str">
        <f aca="false">IF(OR(B600="",NOT(ISNUMBER(D600)),NOT(ISNUMBER(E600))),"",NETWORKDAYS(D600,E600,FERIADOS))</f>
        <v/>
      </c>
      <c r="H600" s="69"/>
      <c r="I600" s="74" t="str">
        <f aca="false">IF(B600="","",IF(ISNUMBER(H600),H600,N(G600)))</f>
        <v/>
      </c>
      <c r="J600" s="64"/>
      <c r="K600" s="64"/>
      <c r="L600" s="93" t="str">
        <f aca="false">IF(NOT(ISNUMBER(D600)),"",DATE(YEAR(D600),MONTH(D600),1))</f>
        <v/>
      </c>
      <c r="M600" s="70" t="str">
        <f aca="false">IF(B600="","",IF(AND(ISNUMBER(D600),ISNUMBER(E600),E600&lt;D600),"⚠ Término anterior al inicio",IF(J600&lt;&gt;"Sí","Pendiente comprobante firmado","OK")))</f>
        <v/>
      </c>
    </row>
    <row r="601" customFormat="false" ht="15" hidden="false" customHeight="false" outlineLevel="0" collapsed="false">
      <c r="B601" s="64"/>
      <c r="C601" s="72" t="str">
        <f aca="false">IF(B601="","",IFERROR(INDEX(T_NOMBRE,MATCH(B601,T_ID,0)),"⚠ ID no existe"))</f>
        <v/>
      </c>
      <c r="D601" s="65"/>
      <c r="E601" s="65"/>
      <c r="F601" s="64"/>
      <c r="G601" s="74" t="str">
        <f aca="false">IF(OR(B601="",NOT(ISNUMBER(D601)),NOT(ISNUMBER(E601))),"",NETWORKDAYS(D601,E601,FERIADOS))</f>
        <v/>
      </c>
      <c r="H601" s="69"/>
      <c r="I601" s="74" t="str">
        <f aca="false">IF(B601="","",IF(ISNUMBER(H601),H601,N(G601)))</f>
        <v/>
      </c>
      <c r="J601" s="64"/>
      <c r="K601" s="64"/>
      <c r="L601" s="93" t="str">
        <f aca="false">IF(NOT(ISNUMBER(D601)),"",DATE(YEAR(D601),MONTH(D601),1))</f>
        <v/>
      </c>
      <c r="M601" s="70" t="str">
        <f aca="false">IF(B601="","",IF(AND(ISNUMBER(D601),ISNUMBER(E601),E601&lt;D601),"⚠ Término anterior al inicio",IF(J601&lt;&gt;"Sí","Pendiente comprobante firmado","OK")))</f>
        <v/>
      </c>
    </row>
    <row r="602" customFormat="false" ht="15" hidden="false" customHeight="false" outlineLevel="0" collapsed="false">
      <c r="B602" s="64"/>
      <c r="C602" s="72" t="str">
        <f aca="false">IF(B602="","",IFERROR(INDEX(T_NOMBRE,MATCH(B602,T_ID,0)),"⚠ ID no existe"))</f>
        <v/>
      </c>
      <c r="D602" s="65"/>
      <c r="E602" s="65"/>
      <c r="F602" s="64"/>
      <c r="G602" s="74" t="str">
        <f aca="false">IF(OR(B602="",NOT(ISNUMBER(D602)),NOT(ISNUMBER(E602))),"",NETWORKDAYS(D602,E602,FERIADOS))</f>
        <v/>
      </c>
      <c r="H602" s="69"/>
      <c r="I602" s="74" t="str">
        <f aca="false">IF(B602="","",IF(ISNUMBER(H602),H602,N(G602)))</f>
        <v/>
      </c>
      <c r="J602" s="64"/>
      <c r="K602" s="64"/>
      <c r="L602" s="93" t="str">
        <f aca="false">IF(NOT(ISNUMBER(D602)),"",DATE(YEAR(D602),MONTH(D602),1))</f>
        <v/>
      </c>
      <c r="M602" s="70" t="str">
        <f aca="false">IF(B602="","",IF(AND(ISNUMBER(D602),ISNUMBER(E602),E602&lt;D602),"⚠ Término anterior al inicio",IF(J602&lt;&gt;"Sí","Pendiente comprobante firmado","OK")))</f>
        <v/>
      </c>
    </row>
    <row r="603" customFormat="false" ht="15" hidden="false" customHeight="false" outlineLevel="0" collapsed="false">
      <c r="B603" s="64"/>
      <c r="C603" s="72" t="str">
        <f aca="false">IF(B603="","",IFERROR(INDEX(T_NOMBRE,MATCH(B603,T_ID,0)),"⚠ ID no existe"))</f>
        <v/>
      </c>
      <c r="D603" s="65"/>
      <c r="E603" s="65"/>
      <c r="F603" s="64"/>
      <c r="G603" s="74" t="str">
        <f aca="false">IF(OR(B603="",NOT(ISNUMBER(D603)),NOT(ISNUMBER(E603))),"",NETWORKDAYS(D603,E603,FERIADOS))</f>
        <v/>
      </c>
      <c r="H603" s="69"/>
      <c r="I603" s="74" t="str">
        <f aca="false">IF(B603="","",IF(ISNUMBER(H603),H603,N(G603)))</f>
        <v/>
      </c>
      <c r="J603" s="64"/>
      <c r="K603" s="64"/>
      <c r="L603" s="93" t="str">
        <f aca="false">IF(NOT(ISNUMBER(D603)),"",DATE(YEAR(D603),MONTH(D603),1))</f>
        <v/>
      </c>
      <c r="M603" s="70" t="str">
        <f aca="false">IF(B603="","",IF(AND(ISNUMBER(D603),ISNUMBER(E603),E603&lt;D603),"⚠ Término anterior al inicio",IF(J603&lt;&gt;"Sí","Pendiente comprobante firmado","OK")))</f>
        <v/>
      </c>
    </row>
    <row r="604" customFormat="false" ht="15" hidden="false" customHeight="false" outlineLevel="0" collapsed="false">
      <c r="B604" s="64"/>
      <c r="C604" s="72" t="str">
        <f aca="false">IF(B604="","",IFERROR(INDEX(T_NOMBRE,MATCH(B604,T_ID,0)),"⚠ ID no existe"))</f>
        <v/>
      </c>
      <c r="D604" s="65"/>
      <c r="E604" s="65"/>
      <c r="F604" s="64"/>
      <c r="G604" s="74" t="str">
        <f aca="false">IF(OR(B604="",NOT(ISNUMBER(D604)),NOT(ISNUMBER(E604))),"",NETWORKDAYS(D604,E604,FERIADOS))</f>
        <v/>
      </c>
      <c r="H604" s="69"/>
      <c r="I604" s="74" t="str">
        <f aca="false">IF(B604="","",IF(ISNUMBER(H604),H604,N(G604)))</f>
        <v/>
      </c>
      <c r="J604" s="64"/>
      <c r="K604" s="64"/>
      <c r="L604" s="93" t="str">
        <f aca="false">IF(NOT(ISNUMBER(D604)),"",DATE(YEAR(D604),MONTH(D604),1))</f>
        <v/>
      </c>
      <c r="M604" s="70" t="str">
        <f aca="false">IF(B604="","",IF(AND(ISNUMBER(D604),ISNUMBER(E604),E604&lt;D604),"⚠ Término anterior al inicio",IF(J604&lt;&gt;"Sí","Pendiente comprobante firmado","OK")))</f>
        <v/>
      </c>
    </row>
    <row r="605" customFormat="false" ht="15" hidden="false" customHeight="false" outlineLevel="0" collapsed="false">
      <c r="B605" s="64"/>
      <c r="C605" s="72" t="str">
        <f aca="false">IF(B605="","",IFERROR(INDEX(T_NOMBRE,MATCH(B605,T_ID,0)),"⚠ ID no existe"))</f>
        <v/>
      </c>
      <c r="D605" s="65"/>
      <c r="E605" s="65"/>
      <c r="F605" s="64"/>
      <c r="G605" s="74" t="str">
        <f aca="false">IF(OR(B605="",NOT(ISNUMBER(D605)),NOT(ISNUMBER(E605))),"",NETWORKDAYS(D605,E605,FERIADOS))</f>
        <v/>
      </c>
      <c r="H605" s="69"/>
      <c r="I605" s="74" t="str">
        <f aca="false">IF(B605="","",IF(ISNUMBER(H605),H605,N(G605)))</f>
        <v/>
      </c>
      <c r="J605" s="64"/>
      <c r="K605" s="64"/>
      <c r="L605" s="93" t="str">
        <f aca="false">IF(NOT(ISNUMBER(D605)),"",DATE(YEAR(D605),MONTH(D605),1))</f>
        <v/>
      </c>
      <c r="M605" s="70" t="str">
        <f aca="false">IF(B605="","",IF(AND(ISNUMBER(D605),ISNUMBER(E605),E605&lt;D605),"⚠ Término anterior al inicio",IF(J605&lt;&gt;"Sí","Pendiente comprobante firmado","OK")))</f>
        <v/>
      </c>
    </row>
    <row r="606" customFormat="false" ht="15" hidden="false" customHeight="false" outlineLevel="0" collapsed="false">
      <c r="B606" s="64"/>
      <c r="C606" s="72" t="str">
        <f aca="false">IF(B606="","",IFERROR(INDEX(T_NOMBRE,MATCH(B606,T_ID,0)),"⚠ ID no existe"))</f>
        <v/>
      </c>
      <c r="D606" s="65"/>
      <c r="E606" s="65"/>
      <c r="F606" s="64"/>
      <c r="G606" s="74" t="str">
        <f aca="false">IF(OR(B606="",NOT(ISNUMBER(D606)),NOT(ISNUMBER(E606))),"",NETWORKDAYS(D606,E606,FERIADOS))</f>
        <v/>
      </c>
      <c r="H606" s="69"/>
      <c r="I606" s="74" t="str">
        <f aca="false">IF(B606="","",IF(ISNUMBER(H606),H606,N(G606)))</f>
        <v/>
      </c>
      <c r="J606" s="64"/>
      <c r="K606" s="64"/>
      <c r="L606" s="93" t="str">
        <f aca="false">IF(NOT(ISNUMBER(D606)),"",DATE(YEAR(D606),MONTH(D606),1))</f>
        <v/>
      </c>
      <c r="M606" s="70" t="str">
        <f aca="false">IF(B606="","",IF(AND(ISNUMBER(D606),ISNUMBER(E606),E606&lt;D606),"⚠ Término anterior al inicio",IF(J606&lt;&gt;"Sí","Pendiente comprobante firmado","OK")))</f>
        <v/>
      </c>
    </row>
    <row r="607" customFormat="false" ht="15" hidden="false" customHeight="false" outlineLevel="0" collapsed="false">
      <c r="B607" s="64"/>
      <c r="C607" s="72" t="str">
        <f aca="false">IF(B607="","",IFERROR(INDEX(T_NOMBRE,MATCH(B607,T_ID,0)),"⚠ ID no existe"))</f>
        <v/>
      </c>
      <c r="D607" s="65"/>
      <c r="E607" s="65"/>
      <c r="F607" s="64"/>
      <c r="G607" s="74" t="str">
        <f aca="false">IF(OR(B607="",NOT(ISNUMBER(D607)),NOT(ISNUMBER(E607))),"",NETWORKDAYS(D607,E607,FERIADOS))</f>
        <v/>
      </c>
      <c r="H607" s="69"/>
      <c r="I607" s="74" t="str">
        <f aca="false">IF(B607="","",IF(ISNUMBER(H607),H607,N(G607)))</f>
        <v/>
      </c>
      <c r="J607" s="64"/>
      <c r="K607" s="64"/>
      <c r="L607" s="93" t="str">
        <f aca="false">IF(NOT(ISNUMBER(D607)),"",DATE(YEAR(D607),MONTH(D607),1))</f>
        <v/>
      </c>
      <c r="M607" s="70" t="str">
        <f aca="false">IF(B607="","",IF(AND(ISNUMBER(D607),ISNUMBER(E607),E607&lt;D607),"⚠ Término anterior al inicio",IF(J607&lt;&gt;"Sí","Pendiente comprobante firmado","OK")))</f>
        <v/>
      </c>
    </row>
    <row r="608" customFormat="false" ht="15" hidden="false" customHeight="false" outlineLevel="0" collapsed="false">
      <c r="B608" s="64"/>
      <c r="C608" s="72" t="str">
        <f aca="false">IF(B608="","",IFERROR(INDEX(T_NOMBRE,MATCH(B608,T_ID,0)),"⚠ ID no existe"))</f>
        <v/>
      </c>
      <c r="D608" s="65"/>
      <c r="E608" s="65"/>
      <c r="F608" s="64"/>
      <c r="G608" s="74" t="str">
        <f aca="false">IF(OR(B608="",NOT(ISNUMBER(D608)),NOT(ISNUMBER(E608))),"",NETWORKDAYS(D608,E608,FERIADOS))</f>
        <v/>
      </c>
      <c r="H608" s="69"/>
      <c r="I608" s="74" t="str">
        <f aca="false">IF(B608="","",IF(ISNUMBER(H608),H608,N(G608)))</f>
        <v/>
      </c>
      <c r="J608" s="64"/>
      <c r="K608" s="64"/>
      <c r="L608" s="93" t="str">
        <f aca="false">IF(NOT(ISNUMBER(D608)),"",DATE(YEAR(D608),MONTH(D608),1))</f>
        <v/>
      </c>
      <c r="M608" s="70" t="str">
        <f aca="false">IF(B608="","",IF(AND(ISNUMBER(D608),ISNUMBER(E608),E608&lt;D608),"⚠ Término anterior al inicio",IF(J608&lt;&gt;"Sí","Pendiente comprobante firmado","OK")))</f>
        <v/>
      </c>
    </row>
    <row r="609" customFormat="false" ht="15" hidden="false" customHeight="false" outlineLevel="0" collapsed="false">
      <c r="B609" s="64"/>
      <c r="C609" s="72" t="str">
        <f aca="false">IF(B609="","",IFERROR(INDEX(T_NOMBRE,MATCH(B609,T_ID,0)),"⚠ ID no existe"))</f>
        <v/>
      </c>
      <c r="D609" s="65"/>
      <c r="E609" s="65"/>
      <c r="F609" s="64"/>
      <c r="G609" s="74" t="str">
        <f aca="false">IF(OR(B609="",NOT(ISNUMBER(D609)),NOT(ISNUMBER(E609))),"",NETWORKDAYS(D609,E609,FERIADOS))</f>
        <v/>
      </c>
      <c r="H609" s="69"/>
      <c r="I609" s="74" t="str">
        <f aca="false">IF(B609="","",IF(ISNUMBER(H609),H609,N(G609)))</f>
        <v/>
      </c>
      <c r="J609" s="64"/>
      <c r="K609" s="64"/>
      <c r="L609" s="93" t="str">
        <f aca="false">IF(NOT(ISNUMBER(D609)),"",DATE(YEAR(D609),MONTH(D609),1))</f>
        <v/>
      </c>
      <c r="M609" s="70" t="str">
        <f aca="false">IF(B609="","",IF(AND(ISNUMBER(D609),ISNUMBER(E609),E609&lt;D609),"⚠ Término anterior al inicio",IF(J609&lt;&gt;"Sí","Pendiente comprobante firmado","OK")))</f>
        <v/>
      </c>
    </row>
    <row r="610" customFormat="false" ht="15" hidden="false" customHeight="false" outlineLevel="0" collapsed="false">
      <c r="B610" s="64"/>
      <c r="C610" s="72" t="str">
        <f aca="false">IF(B610="","",IFERROR(INDEX(T_NOMBRE,MATCH(B610,T_ID,0)),"⚠ ID no existe"))</f>
        <v/>
      </c>
      <c r="D610" s="65"/>
      <c r="E610" s="65"/>
      <c r="F610" s="64"/>
      <c r="G610" s="74" t="str">
        <f aca="false">IF(OR(B610="",NOT(ISNUMBER(D610)),NOT(ISNUMBER(E610))),"",NETWORKDAYS(D610,E610,FERIADOS))</f>
        <v/>
      </c>
      <c r="H610" s="69"/>
      <c r="I610" s="74" t="str">
        <f aca="false">IF(B610="","",IF(ISNUMBER(H610),H610,N(G610)))</f>
        <v/>
      </c>
      <c r="J610" s="64"/>
      <c r="K610" s="64"/>
      <c r="L610" s="93" t="str">
        <f aca="false">IF(NOT(ISNUMBER(D610)),"",DATE(YEAR(D610),MONTH(D610),1))</f>
        <v/>
      </c>
      <c r="M610" s="70" t="str">
        <f aca="false">IF(B610="","",IF(AND(ISNUMBER(D610),ISNUMBER(E610),E610&lt;D610),"⚠ Término anterior al inicio",IF(J610&lt;&gt;"Sí","Pendiente comprobante firmado","OK")))</f>
        <v/>
      </c>
    </row>
    <row r="611" customFormat="false" ht="15" hidden="false" customHeight="false" outlineLevel="0" collapsed="false">
      <c r="B611" s="64"/>
      <c r="C611" s="72" t="str">
        <f aca="false">IF(B611="","",IFERROR(INDEX(T_NOMBRE,MATCH(B611,T_ID,0)),"⚠ ID no existe"))</f>
        <v/>
      </c>
      <c r="D611" s="65"/>
      <c r="E611" s="65"/>
      <c r="F611" s="64"/>
      <c r="G611" s="74" t="str">
        <f aca="false">IF(OR(B611="",NOT(ISNUMBER(D611)),NOT(ISNUMBER(E611))),"",NETWORKDAYS(D611,E611,FERIADOS))</f>
        <v/>
      </c>
      <c r="H611" s="69"/>
      <c r="I611" s="74" t="str">
        <f aca="false">IF(B611="","",IF(ISNUMBER(H611),H611,N(G611)))</f>
        <v/>
      </c>
      <c r="J611" s="64"/>
      <c r="K611" s="64"/>
      <c r="L611" s="93" t="str">
        <f aca="false">IF(NOT(ISNUMBER(D611)),"",DATE(YEAR(D611),MONTH(D611),1))</f>
        <v/>
      </c>
      <c r="M611" s="70" t="str">
        <f aca="false">IF(B611="","",IF(AND(ISNUMBER(D611),ISNUMBER(E611),E611&lt;D611),"⚠ Término anterior al inicio",IF(J611&lt;&gt;"Sí","Pendiente comprobante firmado","OK")))</f>
        <v/>
      </c>
    </row>
    <row r="612" customFormat="false" ht="15" hidden="false" customHeight="false" outlineLevel="0" collapsed="false">
      <c r="B612" s="64"/>
      <c r="C612" s="72" t="str">
        <f aca="false">IF(B612="","",IFERROR(INDEX(T_NOMBRE,MATCH(B612,T_ID,0)),"⚠ ID no existe"))</f>
        <v/>
      </c>
      <c r="D612" s="65"/>
      <c r="E612" s="65"/>
      <c r="F612" s="64"/>
      <c r="G612" s="74" t="str">
        <f aca="false">IF(OR(B612="",NOT(ISNUMBER(D612)),NOT(ISNUMBER(E612))),"",NETWORKDAYS(D612,E612,FERIADOS))</f>
        <v/>
      </c>
      <c r="H612" s="69"/>
      <c r="I612" s="74" t="str">
        <f aca="false">IF(B612="","",IF(ISNUMBER(H612),H612,N(G612)))</f>
        <v/>
      </c>
      <c r="J612" s="64"/>
      <c r="K612" s="64"/>
      <c r="L612" s="93" t="str">
        <f aca="false">IF(NOT(ISNUMBER(D612)),"",DATE(YEAR(D612),MONTH(D612),1))</f>
        <v/>
      </c>
      <c r="M612" s="70" t="str">
        <f aca="false">IF(B612="","",IF(AND(ISNUMBER(D612),ISNUMBER(E612),E612&lt;D612),"⚠ Término anterior al inicio",IF(J612&lt;&gt;"Sí","Pendiente comprobante firmado","OK")))</f>
        <v/>
      </c>
    </row>
    <row r="613" customFormat="false" ht="15" hidden="false" customHeight="false" outlineLevel="0" collapsed="false">
      <c r="B613" s="64"/>
      <c r="C613" s="72" t="str">
        <f aca="false">IF(B613="","",IFERROR(INDEX(T_NOMBRE,MATCH(B613,T_ID,0)),"⚠ ID no existe"))</f>
        <v/>
      </c>
      <c r="D613" s="65"/>
      <c r="E613" s="65"/>
      <c r="F613" s="64"/>
      <c r="G613" s="74" t="str">
        <f aca="false">IF(OR(B613="",NOT(ISNUMBER(D613)),NOT(ISNUMBER(E613))),"",NETWORKDAYS(D613,E613,FERIADOS))</f>
        <v/>
      </c>
      <c r="H613" s="69"/>
      <c r="I613" s="74" t="str">
        <f aca="false">IF(B613="","",IF(ISNUMBER(H613),H613,N(G613)))</f>
        <v/>
      </c>
      <c r="J613" s="64"/>
      <c r="K613" s="64"/>
      <c r="L613" s="93" t="str">
        <f aca="false">IF(NOT(ISNUMBER(D613)),"",DATE(YEAR(D613),MONTH(D613),1))</f>
        <v/>
      </c>
      <c r="M613" s="70" t="str">
        <f aca="false">IF(B613="","",IF(AND(ISNUMBER(D613),ISNUMBER(E613),E613&lt;D613),"⚠ Término anterior al inicio",IF(J613&lt;&gt;"Sí","Pendiente comprobante firmado","OK")))</f>
        <v/>
      </c>
    </row>
    <row r="614" customFormat="false" ht="15" hidden="false" customHeight="false" outlineLevel="0" collapsed="false">
      <c r="B614" s="64"/>
      <c r="C614" s="72" t="str">
        <f aca="false">IF(B614="","",IFERROR(INDEX(T_NOMBRE,MATCH(B614,T_ID,0)),"⚠ ID no existe"))</f>
        <v/>
      </c>
      <c r="D614" s="65"/>
      <c r="E614" s="65"/>
      <c r="F614" s="64"/>
      <c r="G614" s="74" t="str">
        <f aca="false">IF(OR(B614="",NOT(ISNUMBER(D614)),NOT(ISNUMBER(E614))),"",NETWORKDAYS(D614,E614,FERIADOS))</f>
        <v/>
      </c>
      <c r="H614" s="69"/>
      <c r="I614" s="74" t="str">
        <f aca="false">IF(B614="","",IF(ISNUMBER(H614),H614,N(G614)))</f>
        <v/>
      </c>
      <c r="J614" s="64"/>
      <c r="K614" s="64"/>
      <c r="L614" s="93" t="str">
        <f aca="false">IF(NOT(ISNUMBER(D614)),"",DATE(YEAR(D614),MONTH(D614),1))</f>
        <v/>
      </c>
      <c r="M614" s="70" t="str">
        <f aca="false">IF(B614="","",IF(AND(ISNUMBER(D614),ISNUMBER(E614),E614&lt;D614),"⚠ Término anterior al inicio",IF(J614&lt;&gt;"Sí","Pendiente comprobante firmado","OK")))</f>
        <v/>
      </c>
    </row>
    <row r="615" customFormat="false" ht="15" hidden="false" customHeight="false" outlineLevel="0" collapsed="false">
      <c r="B615" s="64"/>
      <c r="C615" s="72" t="str">
        <f aca="false">IF(B615="","",IFERROR(INDEX(T_NOMBRE,MATCH(B615,T_ID,0)),"⚠ ID no existe"))</f>
        <v/>
      </c>
      <c r="D615" s="65"/>
      <c r="E615" s="65"/>
      <c r="F615" s="64"/>
      <c r="G615" s="74" t="str">
        <f aca="false">IF(OR(B615="",NOT(ISNUMBER(D615)),NOT(ISNUMBER(E615))),"",NETWORKDAYS(D615,E615,FERIADOS))</f>
        <v/>
      </c>
      <c r="H615" s="69"/>
      <c r="I615" s="74" t="str">
        <f aca="false">IF(B615="","",IF(ISNUMBER(H615),H615,N(G615)))</f>
        <v/>
      </c>
      <c r="J615" s="64"/>
      <c r="K615" s="64"/>
      <c r="L615" s="93" t="str">
        <f aca="false">IF(NOT(ISNUMBER(D615)),"",DATE(YEAR(D615),MONTH(D615),1))</f>
        <v/>
      </c>
      <c r="M615" s="70" t="str">
        <f aca="false">IF(B615="","",IF(AND(ISNUMBER(D615),ISNUMBER(E615),E615&lt;D615),"⚠ Término anterior al inicio",IF(J615&lt;&gt;"Sí","Pendiente comprobante firmado","OK")))</f>
        <v/>
      </c>
    </row>
    <row r="616" customFormat="false" ht="15" hidden="false" customHeight="false" outlineLevel="0" collapsed="false">
      <c r="B616" s="64"/>
      <c r="C616" s="72" t="str">
        <f aca="false">IF(B616="","",IFERROR(INDEX(T_NOMBRE,MATCH(B616,T_ID,0)),"⚠ ID no existe"))</f>
        <v/>
      </c>
      <c r="D616" s="65"/>
      <c r="E616" s="65"/>
      <c r="F616" s="64"/>
      <c r="G616" s="74" t="str">
        <f aca="false">IF(OR(B616="",NOT(ISNUMBER(D616)),NOT(ISNUMBER(E616))),"",NETWORKDAYS(D616,E616,FERIADOS))</f>
        <v/>
      </c>
      <c r="H616" s="69"/>
      <c r="I616" s="74" t="str">
        <f aca="false">IF(B616="","",IF(ISNUMBER(H616),H616,N(G616)))</f>
        <v/>
      </c>
      <c r="J616" s="64"/>
      <c r="K616" s="64"/>
      <c r="L616" s="93" t="str">
        <f aca="false">IF(NOT(ISNUMBER(D616)),"",DATE(YEAR(D616),MONTH(D616),1))</f>
        <v/>
      </c>
      <c r="M616" s="70" t="str">
        <f aca="false">IF(B616="","",IF(AND(ISNUMBER(D616),ISNUMBER(E616),E616&lt;D616),"⚠ Término anterior al inicio",IF(J616&lt;&gt;"Sí","Pendiente comprobante firmado","OK")))</f>
        <v/>
      </c>
    </row>
    <row r="617" customFormat="false" ht="15" hidden="false" customHeight="false" outlineLevel="0" collapsed="false">
      <c r="B617" s="64"/>
      <c r="C617" s="72" t="str">
        <f aca="false">IF(B617="","",IFERROR(INDEX(T_NOMBRE,MATCH(B617,T_ID,0)),"⚠ ID no existe"))</f>
        <v/>
      </c>
      <c r="D617" s="65"/>
      <c r="E617" s="65"/>
      <c r="F617" s="64"/>
      <c r="G617" s="74" t="str">
        <f aca="false">IF(OR(B617="",NOT(ISNUMBER(D617)),NOT(ISNUMBER(E617))),"",NETWORKDAYS(D617,E617,FERIADOS))</f>
        <v/>
      </c>
      <c r="H617" s="69"/>
      <c r="I617" s="74" t="str">
        <f aca="false">IF(B617="","",IF(ISNUMBER(H617),H617,N(G617)))</f>
        <v/>
      </c>
      <c r="J617" s="64"/>
      <c r="K617" s="64"/>
      <c r="L617" s="93" t="str">
        <f aca="false">IF(NOT(ISNUMBER(D617)),"",DATE(YEAR(D617),MONTH(D617),1))</f>
        <v/>
      </c>
      <c r="M617" s="70" t="str">
        <f aca="false">IF(B617="","",IF(AND(ISNUMBER(D617),ISNUMBER(E617),E617&lt;D617),"⚠ Término anterior al inicio",IF(J617&lt;&gt;"Sí","Pendiente comprobante firmado","OK")))</f>
        <v/>
      </c>
    </row>
    <row r="618" customFormat="false" ht="15" hidden="false" customHeight="false" outlineLevel="0" collapsed="false">
      <c r="B618" s="64"/>
      <c r="C618" s="72" t="str">
        <f aca="false">IF(B618="","",IFERROR(INDEX(T_NOMBRE,MATCH(B618,T_ID,0)),"⚠ ID no existe"))</f>
        <v/>
      </c>
      <c r="D618" s="65"/>
      <c r="E618" s="65"/>
      <c r="F618" s="64"/>
      <c r="G618" s="74" t="str">
        <f aca="false">IF(OR(B618="",NOT(ISNUMBER(D618)),NOT(ISNUMBER(E618))),"",NETWORKDAYS(D618,E618,FERIADOS))</f>
        <v/>
      </c>
      <c r="H618" s="69"/>
      <c r="I618" s="74" t="str">
        <f aca="false">IF(B618="","",IF(ISNUMBER(H618),H618,N(G618)))</f>
        <v/>
      </c>
      <c r="J618" s="64"/>
      <c r="K618" s="64"/>
      <c r="L618" s="93" t="str">
        <f aca="false">IF(NOT(ISNUMBER(D618)),"",DATE(YEAR(D618),MONTH(D618),1))</f>
        <v/>
      </c>
      <c r="M618" s="70" t="str">
        <f aca="false">IF(B618="","",IF(AND(ISNUMBER(D618),ISNUMBER(E618),E618&lt;D618),"⚠ Término anterior al inicio",IF(J618&lt;&gt;"Sí","Pendiente comprobante firmado","OK")))</f>
        <v/>
      </c>
    </row>
    <row r="619" customFormat="false" ht="15" hidden="false" customHeight="false" outlineLevel="0" collapsed="false">
      <c r="B619" s="64"/>
      <c r="C619" s="72" t="str">
        <f aca="false">IF(B619="","",IFERROR(INDEX(T_NOMBRE,MATCH(B619,T_ID,0)),"⚠ ID no existe"))</f>
        <v/>
      </c>
      <c r="D619" s="65"/>
      <c r="E619" s="65"/>
      <c r="F619" s="64"/>
      <c r="G619" s="74" t="str">
        <f aca="false">IF(OR(B619="",NOT(ISNUMBER(D619)),NOT(ISNUMBER(E619))),"",NETWORKDAYS(D619,E619,FERIADOS))</f>
        <v/>
      </c>
      <c r="H619" s="69"/>
      <c r="I619" s="74" t="str">
        <f aca="false">IF(B619="","",IF(ISNUMBER(H619),H619,N(G619)))</f>
        <v/>
      </c>
      <c r="J619" s="64"/>
      <c r="K619" s="64"/>
      <c r="L619" s="93" t="str">
        <f aca="false">IF(NOT(ISNUMBER(D619)),"",DATE(YEAR(D619),MONTH(D619),1))</f>
        <v/>
      </c>
      <c r="M619" s="70" t="str">
        <f aca="false">IF(B619="","",IF(AND(ISNUMBER(D619),ISNUMBER(E619),E619&lt;D619),"⚠ Término anterior al inicio",IF(J619&lt;&gt;"Sí","Pendiente comprobante firmado","OK")))</f>
        <v/>
      </c>
    </row>
    <row r="620" customFormat="false" ht="15" hidden="false" customHeight="false" outlineLevel="0" collapsed="false">
      <c r="B620" s="64"/>
      <c r="C620" s="72" t="str">
        <f aca="false">IF(B620="","",IFERROR(INDEX(T_NOMBRE,MATCH(B620,T_ID,0)),"⚠ ID no existe"))</f>
        <v/>
      </c>
      <c r="D620" s="65"/>
      <c r="E620" s="65"/>
      <c r="F620" s="64"/>
      <c r="G620" s="74" t="str">
        <f aca="false">IF(OR(B620="",NOT(ISNUMBER(D620)),NOT(ISNUMBER(E620))),"",NETWORKDAYS(D620,E620,FERIADOS))</f>
        <v/>
      </c>
      <c r="H620" s="69"/>
      <c r="I620" s="74" t="str">
        <f aca="false">IF(B620="","",IF(ISNUMBER(H620),H620,N(G620)))</f>
        <v/>
      </c>
      <c r="J620" s="64"/>
      <c r="K620" s="64"/>
      <c r="L620" s="93" t="str">
        <f aca="false">IF(NOT(ISNUMBER(D620)),"",DATE(YEAR(D620),MONTH(D620),1))</f>
        <v/>
      </c>
      <c r="M620" s="70" t="str">
        <f aca="false">IF(B620="","",IF(AND(ISNUMBER(D620),ISNUMBER(E620),E620&lt;D620),"⚠ Término anterior al inicio",IF(J620&lt;&gt;"Sí","Pendiente comprobante firmado","OK")))</f>
        <v/>
      </c>
    </row>
    <row r="621" customFormat="false" ht="15" hidden="false" customHeight="false" outlineLevel="0" collapsed="false">
      <c r="B621" s="64"/>
      <c r="C621" s="72" t="str">
        <f aca="false">IF(B621="","",IFERROR(INDEX(T_NOMBRE,MATCH(B621,T_ID,0)),"⚠ ID no existe"))</f>
        <v/>
      </c>
      <c r="D621" s="65"/>
      <c r="E621" s="65"/>
      <c r="F621" s="64"/>
      <c r="G621" s="74" t="str">
        <f aca="false">IF(OR(B621="",NOT(ISNUMBER(D621)),NOT(ISNUMBER(E621))),"",NETWORKDAYS(D621,E621,FERIADOS))</f>
        <v/>
      </c>
      <c r="H621" s="69"/>
      <c r="I621" s="74" t="str">
        <f aca="false">IF(B621="","",IF(ISNUMBER(H621),H621,N(G621)))</f>
        <v/>
      </c>
      <c r="J621" s="64"/>
      <c r="K621" s="64"/>
      <c r="L621" s="93" t="str">
        <f aca="false">IF(NOT(ISNUMBER(D621)),"",DATE(YEAR(D621),MONTH(D621),1))</f>
        <v/>
      </c>
      <c r="M621" s="70" t="str">
        <f aca="false">IF(B621="","",IF(AND(ISNUMBER(D621),ISNUMBER(E621),E621&lt;D621),"⚠ Término anterior al inicio",IF(J621&lt;&gt;"Sí","Pendiente comprobante firmado","OK")))</f>
        <v/>
      </c>
    </row>
    <row r="622" customFormat="false" ht="15" hidden="false" customHeight="false" outlineLevel="0" collapsed="false">
      <c r="B622" s="64"/>
      <c r="C622" s="72" t="str">
        <f aca="false">IF(B622="","",IFERROR(INDEX(T_NOMBRE,MATCH(B622,T_ID,0)),"⚠ ID no existe"))</f>
        <v/>
      </c>
      <c r="D622" s="65"/>
      <c r="E622" s="65"/>
      <c r="F622" s="64"/>
      <c r="G622" s="74" t="str">
        <f aca="false">IF(OR(B622="",NOT(ISNUMBER(D622)),NOT(ISNUMBER(E622))),"",NETWORKDAYS(D622,E622,FERIADOS))</f>
        <v/>
      </c>
      <c r="H622" s="69"/>
      <c r="I622" s="74" t="str">
        <f aca="false">IF(B622="","",IF(ISNUMBER(H622),H622,N(G622)))</f>
        <v/>
      </c>
      <c r="J622" s="64"/>
      <c r="K622" s="64"/>
      <c r="L622" s="93" t="str">
        <f aca="false">IF(NOT(ISNUMBER(D622)),"",DATE(YEAR(D622),MONTH(D622),1))</f>
        <v/>
      </c>
      <c r="M622" s="70" t="str">
        <f aca="false">IF(B622="","",IF(AND(ISNUMBER(D622),ISNUMBER(E622),E622&lt;D622),"⚠ Término anterior al inicio",IF(J622&lt;&gt;"Sí","Pendiente comprobante firmado","OK")))</f>
        <v/>
      </c>
    </row>
    <row r="623" customFormat="false" ht="15" hidden="false" customHeight="false" outlineLevel="0" collapsed="false">
      <c r="B623" s="64"/>
      <c r="C623" s="72" t="str">
        <f aca="false">IF(B623="","",IFERROR(INDEX(T_NOMBRE,MATCH(B623,T_ID,0)),"⚠ ID no existe"))</f>
        <v/>
      </c>
      <c r="D623" s="65"/>
      <c r="E623" s="65"/>
      <c r="F623" s="64"/>
      <c r="G623" s="74" t="str">
        <f aca="false">IF(OR(B623="",NOT(ISNUMBER(D623)),NOT(ISNUMBER(E623))),"",NETWORKDAYS(D623,E623,FERIADOS))</f>
        <v/>
      </c>
      <c r="H623" s="69"/>
      <c r="I623" s="74" t="str">
        <f aca="false">IF(B623="","",IF(ISNUMBER(H623),H623,N(G623)))</f>
        <v/>
      </c>
      <c r="J623" s="64"/>
      <c r="K623" s="64"/>
      <c r="L623" s="93" t="str">
        <f aca="false">IF(NOT(ISNUMBER(D623)),"",DATE(YEAR(D623),MONTH(D623),1))</f>
        <v/>
      </c>
      <c r="M623" s="70" t="str">
        <f aca="false">IF(B623="","",IF(AND(ISNUMBER(D623),ISNUMBER(E623),E623&lt;D623),"⚠ Término anterior al inicio",IF(J623&lt;&gt;"Sí","Pendiente comprobante firmado","OK")))</f>
        <v/>
      </c>
    </row>
    <row r="624" customFormat="false" ht="15" hidden="false" customHeight="false" outlineLevel="0" collapsed="false">
      <c r="B624" s="64"/>
      <c r="C624" s="72" t="str">
        <f aca="false">IF(B624="","",IFERROR(INDEX(T_NOMBRE,MATCH(B624,T_ID,0)),"⚠ ID no existe"))</f>
        <v/>
      </c>
      <c r="D624" s="65"/>
      <c r="E624" s="65"/>
      <c r="F624" s="64"/>
      <c r="G624" s="74" t="str">
        <f aca="false">IF(OR(B624="",NOT(ISNUMBER(D624)),NOT(ISNUMBER(E624))),"",NETWORKDAYS(D624,E624,FERIADOS))</f>
        <v/>
      </c>
      <c r="H624" s="69"/>
      <c r="I624" s="74" t="str">
        <f aca="false">IF(B624="","",IF(ISNUMBER(H624),H624,N(G624)))</f>
        <v/>
      </c>
      <c r="J624" s="64"/>
      <c r="K624" s="64"/>
      <c r="L624" s="93" t="str">
        <f aca="false">IF(NOT(ISNUMBER(D624)),"",DATE(YEAR(D624),MONTH(D624),1))</f>
        <v/>
      </c>
      <c r="M624" s="70" t="str">
        <f aca="false">IF(B624="","",IF(AND(ISNUMBER(D624),ISNUMBER(E624),E624&lt;D624),"⚠ Término anterior al inicio",IF(J624&lt;&gt;"Sí","Pendiente comprobante firmado","OK")))</f>
        <v/>
      </c>
    </row>
    <row r="625" customFormat="false" ht="15" hidden="false" customHeight="false" outlineLevel="0" collapsed="false">
      <c r="B625" s="64"/>
      <c r="C625" s="72" t="str">
        <f aca="false">IF(B625="","",IFERROR(INDEX(T_NOMBRE,MATCH(B625,T_ID,0)),"⚠ ID no existe"))</f>
        <v/>
      </c>
      <c r="D625" s="65"/>
      <c r="E625" s="65"/>
      <c r="F625" s="64"/>
      <c r="G625" s="74" t="str">
        <f aca="false">IF(OR(B625="",NOT(ISNUMBER(D625)),NOT(ISNUMBER(E625))),"",NETWORKDAYS(D625,E625,FERIADOS))</f>
        <v/>
      </c>
      <c r="H625" s="69"/>
      <c r="I625" s="74" t="str">
        <f aca="false">IF(B625="","",IF(ISNUMBER(H625),H625,N(G625)))</f>
        <v/>
      </c>
      <c r="J625" s="64"/>
      <c r="K625" s="64"/>
      <c r="L625" s="93" t="str">
        <f aca="false">IF(NOT(ISNUMBER(D625)),"",DATE(YEAR(D625),MONTH(D625),1))</f>
        <v/>
      </c>
      <c r="M625" s="70" t="str">
        <f aca="false">IF(B625="","",IF(AND(ISNUMBER(D625),ISNUMBER(E625),E625&lt;D625),"⚠ Término anterior al inicio",IF(J625&lt;&gt;"Sí","Pendiente comprobante firmado","OK")))</f>
        <v/>
      </c>
    </row>
    <row r="626" customFormat="false" ht="15" hidden="false" customHeight="false" outlineLevel="0" collapsed="false">
      <c r="B626" s="64"/>
      <c r="C626" s="72" t="str">
        <f aca="false">IF(B626="","",IFERROR(INDEX(T_NOMBRE,MATCH(B626,T_ID,0)),"⚠ ID no existe"))</f>
        <v/>
      </c>
      <c r="D626" s="65"/>
      <c r="E626" s="65"/>
      <c r="F626" s="64"/>
      <c r="G626" s="74" t="str">
        <f aca="false">IF(OR(B626="",NOT(ISNUMBER(D626)),NOT(ISNUMBER(E626))),"",NETWORKDAYS(D626,E626,FERIADOS))</f>
        <v/>
      </c>
      <c r="H626" s="69"/>
      <c r="I626" s="74" t="str">
        <f aca="false">IF(B626="","",IF(ISNUMBER(H626),H626,N(G626)))</f>
        <v/>
      </c>
      <c r="J626" s="64"/>
      <c r="K626" s="64"/>
      <c r="L626" s="93" t="str">
        <f aca="false">IF(NOT(ISNUMBER(D626)),"",DATE(YEAR(D626),MONTH(D626),1))</f>
        <v/>
      </c>
      <c r="M626" s="70" t="str">
        <f aca="false">IF(B626="","",IF(AND(ISNUMBER(D626),ISNUMBER(E626),E626&lt;D626),"⚠ Término anterior al inicio",IF(J626&lt;&gt;"Sí","Pendiente comprobante firmado","OK")))</f>
        <v/>
      </c>
    </row>
    <row r="627" customFormat="false" ht="15" hidden="false" customHeight="false" outlineLevel="0" collapsed="false">
      <c r="B627" s="64"/>
      <c r="C627" s="72" t="str">
        <f aca="false">IF(B627="","",IFERROR(INDEX(T_NOMBRE,MATCH(B627,T_ID,0)),"⚠ ID no existe"))</f>
        <v/>
      </c>
      <c r="D627" s="65"/>
      <c r="E627" s="65"/>
      <c r="F627" s="64"/>
      <c r="G627" s="74" t="str">
        <f aca="false">IF(OR(B627="",NOT(ISNUMBER(D627)),NOT(ISNUMBER(E627))),"",NETWORKDAYS(D627,E627,FERIADOS))</f>
        <v/>
      </c>
      <c r="H627" s="69"/>
      <c r="I627" s="74" t="str">
        <f aca="false">IF(B627="","",IF(ISNUMBER(H627),H627,N(G627)))</f>
        <v/>
      </c>
      <c r="J627" s="64"/>
      <c r="K627" s="64"/>
      <c r="L627" s="93" t="str">
        <f aca="false">IF(NOT(ISNUMBER(D627)),"",DATE(YEAR(D627),MONTH(D627),1))</f>
        <v/>
      </c>
      <c r="M627" s="70" t="str">
        <f aca="false">IF(B627="","",IF(AND(ISNUMBER(D627),ISNUMBER(E627),E627&lt;D627),"⚠ Término anterior al inicio",IF(J627&lt;&gt;"Sí","Pendiente comprobante firmado","OK")))</f>
        <v/>
      </c>
    </row>
    <row r="628" customFormat="false" ht="15" hidden="false" customHeight="false" outlineLevel="0" collapsed="false">
      <c r="B628" s="64"/>
      <c r="C628" s="72" t="str">
        <f aca="false">IF(B628="","",IFERROR(INDEX(T_NOMBRE,MATCH(B628,T_ID,0)),"⚠ ID no existe"))</f>
        <v/>
      </c>
      <c r="D628" s="65"/>
      <c r="E628" s="65"/>
      <c r="F628" s="64"/>
      <c r="G628" s="74" t="str">
        <f aca="false">IF(OR(B628="",NOT(ISNUMBER(D628)),NOT(ISNUMBER(E628))),"",NETWORKDAYS(D628,E628,FERIADOS))</f>
        <v/>
      </c>
      <c r="H628" s="69"/>
      <c r="I628" s="74" t="str">
        <f aca="false">IF(B628="","",IF(ISNUMBER(H628),H628,N(G628)))</f>
        <v/>
      </c>
      <c r="J628" s="64"/>
      <c r="K628" s="64"/>
      <c r="L628" s="93" t="str">
        <f aca="false">IF(NOT(ISNUMBER(D628)),"",DATE(YEAR(D628),MONTH(D628),1))</f>
        <v/>
      </c>
      <c r="M628" s="70" t="str">
        <f aca="false">IF(B628="","",IF(AND(ISNUMBER(D628),ISNUMBER(E628),E628&lt;D628),"⚠ Término anterior al inicio",IF(J628&lt;&gt;"Sí","Pendiente comprobante firmado","OK")))</f>
        <v/>
      </c>
    </row>
    <row r="629" customFormat="false" ht="15" hidden="false" customHeight="false" outlineLevel="0" collapsed="false">
      <c r="B629" s="64"/>
      <c r="C629" s="72" t="str">
        <f aca="false">IF(B629="","",IFERROR(INDEX(T_NOMBRE,MATCH(B629,T_ID,0)),"⚠ ID no existe"))</f>
        <v/>
      </c>
      <c r="D629" s="65"/>
      <c r="E629" s="65"/>
      <c r="F629" s="64"/>
      <c r="G629" s="74" t="str">
        <f aca="false">IF(OR(B629="",NOT(ISNUMBER(D629)),NOT(ISNUMBER(E629))),"",NETWORKDAYS(D629,E629,FERIADOS))</f>
        <v/>
      </c>
      <c r="H629" s="69"/>
      <c r="I629" s="74" t="str">
        <f aca="false">IF(B629="","",IF(ISNUMBER(H629),H629,N(G629)))</f>
        <v/>
      </c>
      <c r="J629" s="64"/>
      <c r="K629" s="64"/>
      <c r="L629" s="93" t="str">
        <f aca="false">IF(NOT(ISNUMBER(D629)),"",DATE(YEAR(D629),MONTH(D629),1))</f>
        <v/>
      </c>
      <c r="M629" s="70" t="str">
        <f aca="false">IF(B629="","",IF(AND(ISNUMBER(D629),ISNUMBER(E629),E629&lt;D629),"⚠ Término anterior al inicio",IF(J629&lt;&gt;"Sí","Pendiente comprobante firmado","OK")))</f>
        <v/>
      </c>
    </row>
    <row r="630" customFormat="false" ht="15" hidden="false" customHeight="false" outlineLevel="0" collapsed="false">
      <c r="B630" s="64"/>
      <c r="C630" s="72" t="str">
        <f aca="false">IF(B630="","",IFERROR(INDEX(T_NOMBRE,MATCH(B630,T_ID,0)),"⚠ ID no existe"))</f>
        <v/>
      </c>
      <c r="D630" s="65"/>
      <c r="E630" s="65"/>
      <c r="F630" s="64"/>
      <c r="G630" s="74" t="str">
        <f aca="false">IF(OR(B630="",NOT(ISNUMBER(D630)),NOT(ISNUMBER(E630))),"",NETWORKDAYS(D630,E630,FERIADOS))</f>
        <v/>
      </c>
      <c r="H630" s="69"/>
      <c r="I630" s="74" t="str">
        <f aca="false">IF(B630="","",IF(ISNUMBER(H630),H630,N(G630)))</f>
        <v/>
      </c>
      <c r="J630" s="64"/>
      <c r="K630" s="64"/>
      <c r="L630" s="93" t="str">
        <f aca="false">IF(NOT(ISNUMBER(D630)),"",DATE(YEAR(D630),MONTH(D630),1))</f>
        <v/>
      </c>
      <c r="M630" s="70" t="str">
        <f aca="false">IF(B630="","",IF(AND(ISNUMBER(D630),ISNUMBER(E630),E630&lt;D630),"⚠ Término anterior al inicio",IF(J630&lt;&gt;"Sí","Pendiente comprobante firmado","OK")))</f>
        <v/>
      </c>
    </row>
    <row r="631" customFormat="false" ht="15" hidden="false" customHeight="false" outlineLevel="0" collapsed="false">
      <c r="B631" s="64"/>
      <c r="C631" s="72" t="str">
        <f aca="false">IF(B631="","",IFERROR(INDEX(T_NOMBRE,MATCH(B631,T_ID,0)),"⚠ ID no existe"))</f>
        <v/>
      </c>
      <c r="D631" s="65"/>
      <c r="E631" s="65"/>
      <c r="F631" s="64"/>
      <c r="G631" s="74" t="str">
        <f aca="false">IF(OR(B631="",NOT(ISNUMBER(D631)),NOT(ISNUMBER(E631))),"",NETWORKDAYS(D631,E631,FERIADOS))</f>
        <v/>
      </c>
      <c r="H631" s="69"/>
      <c r="I631" s="74" t="str">
        <f aca="false">IF(B631="","",IF(ISNUMBER(H631),H631,N(G631)))</f>
        <v/>
      </c>
      <c r="J631" s="64"/>
      <c r="K631" s="64"/>
      <c r="L631" s="93" t="str">
        <f aca="false">IF(NOT(ISNUMBER(D631)),"",DATE(YEAR(D631),MONTH(D631),1))</f>
        <v/>
      </c>
      <c r="M631" s="70" t="str">
        <f aca="false">IF(B631="","",IF(AND(ISNUMBER(D631),ISNUMBER(E631),E631&lt;D631),"⚠ Término anterior al inicio",IF(J631&lt;&gt;"Sí","Pendiente comprobante firmado","OK")))</f>
        <v/>
      </c>
    </row>
    <row r="632" customFormat="false" ht="15" hidden="false" customHeight="false" outlineLevel="0" collapsed="false">
      <c r="B632" s="64"/>
      <c r="C632" s="72" t="str">
        <f aca="false">IF(B632="","",IFERROR(INDEX(T_NOMBRE,MATCH(B632,T_ID,0)),"⚠ ID no existe"))</f>
        <v/>
      </c>
      <c r="D632" s="65"/>
      <c r="E632" s="65"/>
      <c r="F632" s="64"/>
      <c r="G632" s="74" t="str">
        <f aca="false">IF(OR(B632="",NOT(ISNUMBER(D632)),NOT(ISNUMBER(E632))),"",NETWORKDAYS(D632,E632,FERIADOS))</f>
        <v/>
      </c>
      <c r="H632" s="69"/>
      <c r="I632" s="74" t="str">
        <f aca="false">IF(B632="","",IF(ISNUMBER(H632),H632,N(G632)))</f>
        <v/>
      </c>
      <c r="J632" s="64"/>
      <c r="K632" s="64"/>
      <c r="L632" s="93" t="str">
        <f aca="false">IF(NOT(ISNUMBER(D632)),"",DATE(YEAR(D632),MONTH(D632),1))</f>
        <v/>
      </c>
      <c r="M632" s="70" t="str">
        <f aca="false">IF(B632="","",IF(AND(ISNUMBER(D632),ISNUMBER(E632),E632&lt;D632),"⚠ Término anterior al inicio",IF(J632&lt;&gt;"Sí","Pendiente comprobante firmado","OK")))</f>
        <v/>
      </c>
    </row>
    <row r="633" customFormat="false" ht="15" hidden="false" customHeight="false" outlineLevel="0" collapsed="false">
      <c r="B633" s="64"/>
      <c r="C633" s="72" t="str">
        <f aca="false">IF(B633="","",IFERROR(INDEX(T_NOMBRE,MATCH(B633,T_ID,0)),"⚠ ID no existe"))</f>
        <v/>
      </c>
      <c r="D633" s="65"/>
      <c r="E633" s="65"/>
      <c r="F633" s="64"/>
      <c r="G633" s="74" t="str">
        <f aca="false">IF(OR(B633="",NOT(ISNUMBER(D633)),NOT(ISNUMBER(E633))),"",NETWORKDAYS(D633,E633,FERIADOS))</f>
        <v/>
      </c>
      <c r="H633" s="69"/>
      <c r="I633" s="74" t="str">
        <f aca="false">IF(B633="","",IF(ISNUMBER(H633),H633,N(G633)))</f>
        <v/>
      </c>
      <c r="J633" s="64"/>
      <c r="K633" s="64"/>
      <c r="L633" s="93" t="str">
        <f aca="false">IF(NOT(ISNUMBER(D633)),"",DATE(YEAR(D633),MONTH(D633),1))</f>
        <v/>
      </c>
      <c r="M633" s="70" t="str">
        <f aca="false">IF(B633="","",IF(AND(ISNUMBER(D633),ISNUMBER(E633),E633&lt;D633),"⚠ Término anterior al inicio",IF(J633&lt;&gt;"Sí","Pendiente comprobante firmado","OK")))</f>
        <v/>
      </c>
    </row>
    <row r="634" customFormat="false" ht="15" hidden="false" customHeight="false" outlineLevel="0" collapsed="false">
      <c r="B634" s="64"/>
      <c r="C634" s="72" t="str">
        <f aca="false">IF(B634="","",IFERROR(INDEX(T_NOMBRE,MATCH(B634,T_ID,0)),"⚠ ID no existe"))</f>
        <v/>
      </c>
      <c r="D634" s="65"/>
      <c r="E634" s="65"/>
      <c r="F634" s="64"/>
      <c r="G634" s="74" t="str">
        <f aca="false">IF(OR(B634="",NOT(ISNUMBER(D634)),NOT(ISNUMBER(E634))),"",NETWORKDAYS(D634,E634,FERIADOS))</f>
        <v/>
      </c>
      <c r="H634" s="69"/>
      <c r="I634" s="74" t="str">
        <f aca="false">IF(B634="","",IF(ISNUMBER(H634),H634,N(G634)))</f>
        <v/>
      </c>
      <c r="J634" s="64"/>
      <c r="K634" s="64"/>
      <c r="L634" s="93" t="str">
        <f aca="false">IF(NOT(ISNUMBER(D634)),"",DATE(YEAR(D634),MONTH(D634),1))</f>
        <v/>
      </c>
      <c r="M634" s="70" t="str">
        <f aca="false">IF(B634="","",IF(AND(ISNUMBER(D634),ISNUMBER(E634),E634&lt;D634),"⚠ Término anterior al inicio",IF(J634&lt;&gt;"Sí","Pendiente comprobante firmado","OK")))</f>
        <v/>
      </c>
    </row>
    <row r="635" customFormat="false" ht="15" hidden="false" customHeight="false" outlineLevel="0" collapsed="false">
      <c r="B635" s="64"/>
      <c r="C635" s="72" t="str">
        <f aca="false">IF(B635="","",IFERROR(INDEX(T_NOMBRE,MATCH(B635,T_ID,0)),"⚠ ID no existe"))</f>
        <v/>
      </c>
      <c r="D635" s="65"/>
      <c r="E635" s="65"/>
      <c r="F635" s="64"/>
      <c r="G635" s="74" t="str">
        <f aca="false">IF(OR(B635="",NOT(ISNUMBER(D635)),NOT(ISNUMBER(E635))),"",NETWORKDAYS(D635,E635,FERIADOS))</f>
        <v/>
      </c>
      <c r="H635" s="69"/>
      <c r="I635" s="74" t="str">
        <f aca="false">IF(B635="","",IF(ISNUMBER(H635),H635,N(G635)))</f>
        <v/>
      </c>
      <c r="J635" s="64"/>
      <c r="K635" s="64"/>
      <c r="L635" s="93" t="str">
        <f aca="false">IF(NOT(ISNUMBER(D635)),"",DATE(YEAR(D635),MONTH(D635),1))</f>
        <v/>
      </c>
      <c r="M635" s="70" t="str">
        <f aca="false">IF(B635="","",IF(AND(ISNUMBER(D635),ISNUMBER(E635),E635&lt;D635),"⚠ Término anterior al inicio",IF(J635&lt;&gt;"Sí","Pendiente comprobante firmado","OK")))</f>
        <v/>
      </c>
    </row>
    <row r="636" customFormat="false" ht="15" hidden="false" customHeight="false" outlineLevel="0" collapsed="false">
      <c r="B636" s="64"/>
      <c r="C636" s="72" t="str">
        <f aca="false">IF(B636="","",IFERROR(INDEX(T_NOMBRE,MATCH(B636,T_ID,0)),"⚠ ID no existe"))</f>
        <v/>
      </c>
      <c r="D636" s="65"/>
      <c r="E636" s="65"/>
      <c r="F636" s="64"/>
      <c r="G636" s="74" t="str">
        <f aca="false">IF(OR(B636="",NOT(ISNUMBER(D636)),NOT(ISNUMBER(E636))),"",NETWORKDAYS(D636,E636,FERIADOS))</f>
        <v/>
      </c>
      <c r="H636" s="69"/>
      <c r="I636" s="74" t="str">
        <f aca="false">IF(B636="","",IF(ISNUMBER(H636),H636,N(G636)))</f>
        <v/>
      </c>
      <c r="J636" s="64"/>
      <c r="K636" s="64"/>
      <c r="L636" s="93" t="str">
        <f aca="false">IF(NOT(ISNUMBER(D636)),"",DATE(YEAR(D636),MONTH(D636),1))</f>
        <v/>
      </c>
      <c r="M636" s="70" t="str">
        <f aca="false">IF(B636="","",IF(AND(ISNUMBER(D636),ISNUMBER(E636),E636&lt;D636),"⚠ Término anterior al inicio",IF(J636&lt;&gt;"Sí","Pendiente comprobante firmado","OK")))</f>
        <v/>
      </c>
    </row>
    <row r="637" customFormat="false" ht="15" hidden="false" customHeight="false" outlineLevel="0" collapsed="false">
      <c r="B637" s="64"/>
      <c r="C637" s="72" t="str">
        <f aca="false">IF(B637="","",IFERROR(INDEX(T_NOMBRE,MATCH(B637,T_ID,0)),"⚠ ID no existe"))</f>
        <v/>
      </c>
      <c r="D637" s="65"/>
      <c r="E637" s="65"/>
      <c r="F637" s="64"/>
      <c r="G637" s="74" t="str">
        <f aca="false">IF(OR(B637="",NOT(ISNUMBER(D637)),NOT(ISNUMBER(E637))),"",NETWORKDAYS(D637,E637,FERIADOS))</f>
        <v/>
      </c>
      <c r="H637" s="69"/>
      <c r="I637" s="74" t="str">
        <f aca="false">IF(B637="","",IF(ISNUMBER(H637),H637,N(G637)))</f>
        <v/>
      </c>
      <c r="J637" s="64"/>
      <c r="K637" s="64"/>
      <c r="L637" s="93" t="str">
        <f aca="false">IF(NOT(ISNUMBER(D637)),"",DATE(YEAR(D637),MONTH(D637),1))</f>
        <v/>
      </c>
      <c r="M637" s="70" t="str">
        <f aca="false">IF(B637="","",IF(AND(ISNUMBER(D637),ISNUMBER(E637),E637&lt;D637),"⚠ Término anterior al inicio",IF(J637&lt;&gt;"Sí","Pendiente comprobante firmado","OK")))</f>
        <v/>
      </c>
    </row>
    <row r="638" customFormat="false" ht="15" hidden="false" customHeight="false" outlineLevel="0" collapsed="false">
      <c r="B638" s="64"/>
      <c r="C638" s="72" t="str">
        <f aca="false">IF(B638="","",IFERROR(INDEX(T_NOMBRE,MATCH(B638,T_ID,0)),"⚠ ID no existe"))</f>
        <v/>
      </c>
      <c r="D638" s="65"/>
      <c r="E638" s="65"/>
      <c r="F638" s="64"/>
      <c r="G638" s="74" t="str">
        <f aca="false">IF(OR(B638="",NOT(ISNUMBER(D638)),NOT(ISNUMBER(E638))),"",NETWORKDAYS(D638,E638,FERIADOS))</f>
        <v/>
      </c>
      <c r="H638" s="69"/>
      <c r="I638" s="74" t="str">
        <f aca="false">IF(B638="","",IF(ISNUMBER(H638),H638,N(G638)))</f>
        <v/>
      </c>
      <c r="J638" s="64"/>
      <c r="K638" s="64"/>
      <c r="L638" s="93" t="str">
        <f aca="false">IF(NOT(ISNUMBER(D638)),"",DATE(YEAR(D638),MONTH(D638),1))</f>
        <v/>
      </c>
      <c r="M638" s="70" t="str">
        <f aca="false">IF(B638="","",IF(AND(ISNUMBER(D638),ISNUMBER(E638),E638&lt;D638),"⚠ Término anterior al inicio",IF(J638&lt;&gt;"Sí","Pendiente comprobante firmado","OK")))</f>
        <v/>
      </c>
    </row>
    <row r="639" customFormat="false" ht="15" hidden="false" customHeight="false" outlineLevel="0" collapsed="false">
      <c r="B639" s="64"/>
      <c r="C639" s="72" t="str">
        <f aca="false">IF(B639="","",IFERROR(INDEX(T_NOMBRE,MATCH(B639,T_ID,0)),"⚠ ID no existe"))</f>
        <v/>
      </c>
      <c r="D639" s="65"/>
      <c r="E639" s="65"/>
      <c r="F639" s="64"/>
      <c r="G639" s="74" t="str">
        <f aca="false">IF(OR(B639="",NOT(ISNUMBER(D639)),NOT(ISNUMBER(E639))),"",NETWORKDAYS(D639,E639,FERIADOS))</f>
        <v/>
      </c>
      <c r="H639" s="69"/>
      <c r="I639" s="74" t="str">
        <f aca="false">IF(B639="","",IF(ISNUMBER(H639),H639,N(G639)))</f>
        <v/>
      </c>
      <c r="J639" s="64"/>
      <c r="K639" s="64"/>
      <c r="L639" s="93" t="str">
        <f aca="false">IF(NOT(ISNUMBER(D639)),"",DATE(YEAR(D639),MONTH(D639),1))</f>
        <v/>
      </c>
      <c r="M639" s="70" t="str">
        <f aca="false">IF(B639="","",IF(AND(ISNUMBER(D639),ISNUMBER(E639),E639&lt;D639),"⚠ Término anterior al inicio",IF(J639&lt;&gt;"Sí","Pendiente comprobante firmado","OK")))</f>
        <v/>
      </c>
    </row>
    <row r="640" customFormat="false" ht="15" hidden="false" customHeight="false" outlineLevel="0" collapsed="false">
      <c r="B640" s="64"/>
      <c r="C640" s="72" t="str">
        <f aca="false">IF(B640="","",IFERROR(INDEX(T_NOMBRE,MATCH(B640,T_ID,0)),"⚠ ID no existe"))</f>
        <v/>
      </c>
      <c r="D640" s="65"/>
      <c r="E640" s="65"/>
      <c r="F640" s="64"/>
      <c r="G640" s="74" t="str">
        <f aca="false">IF(OR(B640="",NOT(ISNUMBER(D640)),NOT(ISNUMBER(E640))),"",NETWORKDAYS(D640,E640,FERIADOS))</f>
        <v/>
      </c>
      <c r="H640" s="69"/>
      <c r="I640" s="74" t="str">
        <f aca="false">IF(B640="","",IF(ISNUMBER(H640),H640,N(G640)))</f>
        <v/>
      </c>
      <c r="J640" s="64"/>
      <c r="K640" s="64"/>
      <c r="L640" s="93" t="str">
        <f aca="false">IF(NOT(ISNUMBER(D640)),"",DATE(YEAR(D640),MONTH(D640),1))</f>
        <v/>
      </c>
      <c r="M640" s="70" t="str">
        <f aca="false">IF(B640="","",IF(AND(ISNUMBER(D640),ISNUMBER(E640),E640&lt;D640),"⚠ Término anterior al inicio",IF(J640&lt;&gt;"Sí","Pendiente comprobante firmado","OK")))</f>
        <v/>
      </c>
    </row>
    <row r="641" customFormat="false" ht="15" hidden="false" customHeight="false" outlineLevel="0" collapsed="false">
      <c r="B641" s="64"/>
      <c r="C641" s="72" t="str">
        <f aca="false">IF(B641="","",IFERROR(INDEX(T_NOMBRE,MATCH(B641,T_ID,0)),"⚠ ID no existe"))</f>
        <v/>
      </c>
      <c r="D641" s="65"/>
      <c r="E641" s="65"/>
      <c r="F641" s="64"/>
      <c r="G641" s="74" t="str">
        <f aca="false">IF(OR(B641="",NOT(ISNUMBER(D641)),NOT(ISNUMBER(E641))),"",NETWORKDAYS(D641,E641,FERIADOS))</f>
        <v/>
      </c>
      <c r="H641" s="69"/>
      <c r="I641" s="74" t="str">
        <f aca="false">IF(B641="","",IF(ISNUMBER(H641),H641,N(G641)))</f>
        <v/>
      </c>
      <c r="J641" s="64"/>
      <c r="K641" s="64"/>
      <c r="L641" s="93" t="str">
        <f aca="false">IF(NOT(ISNUMBER(D641)),"",DATE(YEAR(D641),MONTH(D641),1))</f>
        <v/>
      </c>
      <c r="M641" s="70" t="str">
        <f aca="false">IF(B641="","",IF(AND(ISNUMBER(D641),ISNUMBER(E641),E641&lt;D641),"⚠ Término anterior al inicio",IF(J641&lt;&gt;"Sí","Pendiente comprobante firmado","OK")))</f>
        <v/>
      </c>
    </row>
    <row r="642" customFormat="false" ht="15" hidden="false" customHeight="false" outlineLevel="0" collapsed="false">
      <c r="B642" s="64"/>
      <c r="C642" s="72" t="str">
        <f aca="false">IF(B642="","",IFERROR(INDEX(T_NOMBRE,MATCH(B642,T_ID,0)),"⚠ ID no existe"))</f>
        <v/>
      </c>
      <c r="D642" s="65"/>
      <c r="E642" s="65"/>
      <c r="F642" s="64"/>
      <c r="G642" s="74" t="str">
        <f aca="false">IF(OR(B642="",NOT(ISNUMBER(D642)),NOT(ISNUMBER(E642))),"",NETWORKDAYS(D642,E642,FERIADOS))</f>
        <v/>
      </c>
      <c r="H642" s="69"/>
      <c r="I642" s="74" t="str">
        <f aca="false">IF(B642="","",IF(ISNUMBER(H642),H642,N(G642)))</f>
        <v/>
      </c>
      <c r="J642" s="64"/>
      <c r="K642" s="64"/>
      <c r="L642" s="93" t="str">
        <f aca="false">IF(NOT(ISNUMBER(D642)),"",DATE(YEAR(D642),MONTH(D642),1))</f>
        <v/>
      </c>
      <c r="M642" s="70" t="str">
        <f aca="false">IF(B642="","",IF(AND(ISNUMBER(D642),ISNUMBER(E642),E642&lt;D642),"⚠ Término anterior al inicio",IF(J642&lt;&gt;"Sí","Pendiente comprobante firmado","OK")))</f>
        <v/>
      </c>
    </row>
    <row r="643" customFormat="false" ht="15" hidden="false" customHeight="false" outlineLevel="0" collapsed="false">
      <c r="B643" s="64"/>
      <c r="C643" s="72" t="str">
        <f aca="false">IF(B643="","",IFERROR(INDEX(T_NOMBRE,MATCH(B643,T_ID,0)),"⚠ ID no existe"))</f>
        <v/>
      </c>
      <c r="D643" s="65"/>
      <c r="E643" s="65"/>
      <c r="F643" s="64"/>
      <c r="G643" s="74" t="str">
        <f aca="false">IF(OR(B643="",NOT(ISNUMBER(D643)),NOT(ISNUMBER(E643))),"",NETWORKDAYS(D643,E643,FERIADOS))</f>
        <v/>
      </c>
      <c r="H643" s="69"/>
      <c r="I643" s="74" t="str">
        <f aca="false">IF(B643="","",IF(ISNUMBER(H643),H643,N(G643)))</f>
        <v/>
      </c>
      <c r="J643" s="64"/>
      <c r="K643" s="64"/>
      <c r="L643" s="93" t="str">
        <f aca="false">IF(NOT(ISNUMBER(D643)),"",DATE(YEAR(D643),MONTH(D643),1))</f>
        <v/>
      </c>
      <c r="M643" s="70" t="str">
        <f aca="false">IF(B643="","",IF(AND(ISNUMBER(D643),ISNUMBER(E643),E643&lt;D643),"⚠ Término anterior al inicio",IF(J643&lt;&gt;"Sí","Pendiente comprobante firmado","OK")))</f>
        <v/>
      </c>
    </row>
    <row r="644" customFormat="false" ht="15" hidden="false" customHeight="false" outlineLevel="0" collapsed="false">
      <c r="B644" s="64"/>
      <c r="C644" s="72" t="str">
        <f aca="false">IF(B644="","",IFERROR(INDEX(T_NOMBRE,MATCH(B644,T_ID,0)),"⚠ ID no existe"))</f>
        <v/>
      </c>
      <c r="D644" s="65"/>
      <c r="E644" s="65"/>
      <c r="F644" s="64"/>
      <c r="G644" s="74" t="str">
        <f aca="false">IF(OR(B644="",NOT(ISNUMBER(D644)),NOT(ISNUMBER(E644))),"",NETWORKDAYS(D644,E644,FERIADOS))</f>
        <v/>
      </c>
      <c r="H644" s="69"/>
      <c r="I644" s="74" t="str">
        <f aca="false">IF(B644="","",IF(ISNUMBER(H644),H644,N(G644)))</f>
        <v/>
      </c>
      <c r="J644" s="64"/>
      <c r="K644" s="64"/>
      <c r="L644" s="93" t="str">
        <f aca="false">IF(NOT(ISNUMBER(D644)),"",DATE(YEAR(D644),MONTH(D644),1))</f>
        <v/>
      </c>
      <c r="M644" s="70" t="str">
        <f aca="false">IF(B644="","",IF(AND(ISNUMBER(D644),ISNUMBER(E644),E644&lt;D644),"⚠ Término anterior al inicio",IF(J644&lt;&gt;"Sí","Pendiente comprobante firmado","OK")))</f>
        <v/>
      </c>
    </row>
    <row r="645" customFormat="false" ht="15" hidden="false" customHeight="false" outlineLevel="0" collapsed="false">
      <c r="B645" s="64"/>
      <c r="C645" s="72" t="str">
        <f aca="false">IF(B645="","",IFERROR(INDEX(T_NOMBRE,MATCH(B645,T_ID,0)),"⚠ ID no existe"))</f>
        <v/>
      </c>
      <c r="D645" s="65"/>
      <c r="E645" s="65"/>
      <c r="F645" s="64"/>
      <c r="G645" s="74" t="str">
        <f aca="false">IF(OR(B645="",NOT(ISNUMBER(D645)),NOT(ISNUMBER(E645))),"",NETWORKDAYS(D645,E645,FERIADOS))</f>
        <v/>
      </c>
      <c r="H645" s="69"/>
      <c r="I645" s="74" t="str">
        <f aca="false">IF(B645="","",IF(ISNUMBER(H645),H645,N(G645)))</f>
        <v/>
      </c>
      <c r="J645" s="64"/>
      <c r="K645" s="64"/>
      <c r="L645" s="93" t="str">
        <f aca="false">IF(NOT(ISNUMBER(D645)),"",DATE(YEAR(D645),MONTH(D645),1))</f>
        <v/>
      </c>
      <c r="M645" s="70" t="str">
        <f aca="false">IF(B645="","",IF(AND(ISNUMBER(D645),ISNUMBER(E645),E645&lt;D645),"⚠ Término anterior al inicio",IF(J645&lt;&gt;"Sí","Pendiente comprobante firmado","OK")))</f>
        <v/>
      </c>
    </row>
    <row r="646" customFormat="false" ht="15" hidden="false" customHeight="false" outlineLevel="0" collapsed="false">
      <c r="B646" s="64"/>
      <c r="C646" s="72" t="str">
        <f aca="false">IF(B646="","",IFERROR(INDEX(T_NOMBRE,MATCH(B646,T_ID,0)),"⚠ ID no existe"))</f>
        <v/>
      </c>
      <c r="D646" s="65"/>
      <c r="E646" s="65"/>
      <c r="F646" s="64"/>
      <c r="G646" s="74" t="str">
        <f aca="false">IF(OR(B646="",NOT(ISNUMBER(D646)),NOT(ISNUMBER(E646))),"",NETWORKDAYS(D646,E646,FERIADOS))</f>
        <v/>
      </c>
      <c r="H646" s="69"/>
      <c r="I646" s="74" t="str">
        <f aca="false">IF(B646="","",IF(ISNUMBER(H646),H646,N(G646)))</f>
        <v/>
      </c>
      <c r="J646" s="64"/>
      <c r="K646" s="64"/>
      <c r="L646" s="93" t="str">
        <f aca="false">IF(NOT(ISNUMBER(D646)),"",DATE(YEAR(D646),MONTH(D646),1))</f>
        <v/>
      </c>
      <c r="M646" s="70" t="str">
        <f aca="false">IF(B646="","",IF(AND(ISNUMBER(D646),ISNUMBER(E646),E646&lt;D646),"⚠ Término anterior al inicio",IF(J646&lt;&gt;"Sí","Pendiente comprobante firmado","OK")))</f>
        <v/>
      </c>
    </row>
    <row r="647" customFormat="false" ht="15" hidden="false" customHeight="false" outlineLevel="0" collapsed="false">
      <c r="B647" s="64"/>
      <c r="C647" s="72" t="str">
        <f aca="false">IF(B647="","",IFERROR(INDEX(T_NOMBRE,MATCH(B647,T_ID,0)),"⚠ ID no existe"))</f>
        <v/>
      </c>
      <c r="D647" s="65"/>
      <c r="E647" s="65"/>
      <c r="F647" s="64"/>
      <c r="G647" s="74" t="str">
        <f aca="false">IF(OR(B647="",NOT(ISNUMBER(D647)),NOT(ISNUMBER(E647))),"",NETWORKDAYS(D647,E647,FERIADOS))</f>
        <v/>
      </c>
      <c r="H647" s="69"/>
      <c r="I647" s="74" t="str">
        <f aca="false">IF(B647="","",IF(ISNUMBER(H647),H647,N(G647)))</f>
        <v/>
      </c>
      <c r="J647" s="64"/>
      <c r="K647" s="64"/>
      <c r="L647" s="93" t="str">
        <f aca="false">IF(NOT(ISNUMBER(D647)),"",DATE(YEAR(D647),MONTH(D647),1))</f>
        <v/>
      </c>
      <c r="M647" s="70" t="str">
        <f aca="false">IF(B647="","",IF(AND(ISNUMBER(D647),ISNUMBER(E647),E647&lt;D647),"⚠ Término anterior al inicio",IF(J647&lt;&gt;"Sí","Pendiente comprobante firmado","OK")))</f>
        <v/>
      </c>
    </row>
    <row r="648" customFormat="false" ht="15" hidden="false" customHeight="false" outlineLevel="0" collapsed="false">
      <c r="B648" s="64"/>
      <c r="C648" s="72" t="str">
        <f aca="false">IF(B648="","",IFERROR(INDEX(T_NOMBRE,MATCH(B648,T_ID,0)),"⚠ ID no existe"))</f>
        <v/>
      </c>
      <c r="D648" s="65"/>
      <c r="E648" s="65"/>
      <c r="F648" s="64"/>
      <c r="G648" s="74" t="str">
        <f aca="false">IF(OR(B648="",NOT(ISNUMBER(D648)),NOT(ISNUMBER(E648))),"",NETWORKDAYS(D648,E648,FERIADOS))</f>
        <v/>
      </c>
      <c r="H648" s="69"/>
      <c r="I648" s="74" t="str">
        <f aca="false">IF(B648="","",IF(ISNUMBER(H648),H648,N(G648)))</f>
        <v/>
      </c>
      <c r="J648" s="64"/>
      <c r="K648" s="64"/>
      <c r="L648" s="93" t="str">
        <f aca="false">IF(NOT(ISNUMBER(D648)),"",DATE(YEAR(D648),MONTH(D648),1))</f>
        <v/>
      </c>
      <c r="M648" s="70" t="str">
        <f aca="false">IF(B648="","",IF(AND(ISNUMBER(D648),ISNUMBER(E648),E648&lt;D648),"⚠ Término anterior al inicio",IF(J648&lt;&gt;"Sí","Pendiente comprobante firmado","OK")))</f>
        <v/>
      </c>
    </row>
    <row r="649" customFormat="false" ht="15" hidden="false" customHeight="false" outlineLevel="0" collapsed="false">
      <c r="B649" s="64"/>
      <c r="C649" s="72" t="str">
        <f aca="false">IF(B649="","",IFERROR(INDEX(T_NOMBRE,MATCH(B649,T_ID,0)),"⚠ ID no existe"))</f>
        <v/>
      </c>
      <c r="D649" s="65"/>
      <c r="E649" s="65"/>
      <c r="F649" s="64"/>
      <c r="G649" s="74" t="str">
        <f aca="false">IF(OR(B649="",NOT(ISNUMBER(D649)),NOT(ISNUMBER(E649))),"",NETWORKDAYS(D649,E649,FERIADOS))</f>
        <v/>
      </c>
      <c r="H649" s="69"/>
      <c r="I649" s="74" t="str">
        <f aca="false">IF(B649="","",IF(ISNUMBER(H649),H649,N(G649)))</f>
        <v/>
      </c>
      <c r="J649" s="64"/>
      <c r="K649" s="64"/>
      <c r="L649" s="93" t="str">
        <f aca="false">IF(NOT(ISNUMBER(D649)),"",DATE(YEAR(D649),MONTH(D649),1))</f>
        <v/>
      </c>
      <c r="M649" s="70" t="str">
        <f aca="false">IF(B649="","",IF(AND(ISNUMBER(D649),ISNUMBER(E649),E649&lt;D649),"⚠ Término anterior al inicio",IF(J649&lt;&gt;"Sí","Pendiente comprobante firmado","OK")))</f>
        <v/>
      </c>
    </row>
    <row r="650" customFormat="false" ht="15" hidden="false" customHeight="false" outlineLevel="0" collapsed="false">
      <c r="B650" s="64"/>
      <c r="C650" s="72" t="str">
        <f aca="false">IF(B650="","",IFERROR(INDEX(T_NOMBRE,MATCH(B650,T_ID,0)),"⚠ ID no existe"))</f>
        <v/>
      </c>
      <c r="D650" s="65"/>
      <c r="E650" s="65"/>
      <c r="F650" s="64"/>
      <c r="G650" s="74" t="str">
        <f aca="false">IF(OR(B650="",NOT(ISNUMBER(D650)),NOT(ISNUMBER(E650))),"",NETWORKDAYS(D650,E650,FERIADOS))</f>
        <v/>
      </c>
      <c r="H650" s="69"/>
      <c r="I650" s="74" t="str">
        <f aca="false">IF(B650="","",IF(ISNUMBER(H650),H650,N(G650)))</f>
        <v/>
      </c>
      <c r="J650" s="64"/>
      <c r="K650" s="64"/>
      <c r="L650" s="93" t="str">
        <f aca="false">IF(NOT(ISNUMBER(D650)),"",DATE(YEAR(D650),MONTH(D650),1))</f>
        <v/>
      </c>
      <c r="M650" s="70" t="str">
        <f aca="false">IF(B650="","",IF(AND(ISNUMBER(D650),ISNUMBER(E650),E650&lt;D650),"⚠ Término anterior al inicio",IF(J650&lt;&gt;"Sí","Pendiente comprobante firmado","OK")))</f>
        <v/>
      </c>
    </row>
    <row r="651" customFormat="false" ht="15" hidden="false" customHeight="false" outlineLevel="0" collapsed="false">
      <c r="B651" s="64"/>
      <c r="C651" s="72" t="str">
        <f aca="false">IF(B651="","",IFERROR(INDEX(T_NOMBRE,MATCH(B651,T_ID,0)),"⚠ ID no existe"))</f>
        <v/>
      </c>
      <c r="D651" s="65"/>
      <c r="E651" s="65"/>
      <c r="F651" s="64"/>
      <c r="G651" s="74" t="str">
        <f aca="false">IF(OR(B651="",NOT(ISNUMBER(D651)),NOT(ISNUMBER(E651))),"",NETWORKDAYS(D651,E651,FERIADOS))</f>
        <v/>
      </c>
      <c r="H651" s="69"/>
      <c r="I651" s="74" t="str">
        <f aca="false">IF(B651="","",IF(ISNUMBER(H651),H651,N(G651)))</f>
        <v/>
      </c>
      <c r="J651" s="64"/>
      <c r="K651" s="64"/>
      <c r="L651" s="93" t="str">
        <f aca="false">IF(NOT(ISNUMBER(D651)),"",DATE(YEAR(D651),MONTH(D651),1))</f>
        <v/>
      </c>
      <c r="M651" s="70" t="str">
        <f aca="false">IF(B651="","",IF(AND(ISNUMBER(D651),ISNUMBER(E651),E651&lt;D651),"⚠ Término anterior al inicio",IF(J651&lt;&gt;"Sí","Pendiente comprobante firmado","OK")))</f>
        <v/>
      </c>
    </row>
    <row r="652" customFormat="false" ht="15" hidden="false" customHeight="false" outlineLevel="0" collapsed="false">
      <c r="B652" s="64"/>
      <c r="C652" s="72" t="str">
        <f aca="false">IF(B652="","",IFERROR(INDEX(T_NOMBRE,MATCH(B652,T_ID,0)),"⚠ ID no existe"))</f>
        <v/>
      </c>
      <c r="D652" s="65"/>
      <c r="E652" s="65"/>
      <c r="F652" s="64"/>
      <c r="G652" s="74" t="str">
        <f aca="false">IF(OR(B652="",NOT(ISNUMBER(D652)),NOT(ISNUMBER(E652))),"",NETWORKDAYS(D652,E652,FERIADOS))</f>
        <v/>
      </c>
      <c r="H652" s="69"/>
      <c r="I652" s="74" t="str">
        <f aca="false">IF(B652="","",IF(ISNUMBER(H652),H652,N(G652)))</f>
        <v/>
      </c>
      <c r="J652" s="64"/>
      <c r="K652" s="64"/>
      <c r="L652" s="93" t="str">
        <f aca="false">IF(NOT(ISNUMBER(D652)),"",DATE(YEAR(D652),MONTH(D652),1))</f>
        <v/>
      </c>
      <c r="M652" s="70" t="str">
        <f aca="false">IF(B652="","",IF(AND(ISNUMBER(D652),ISNUMBER(E652),E652&lt;D652),"⚠ Término anterior al inicio",IF(J652&lt;&gt;"Sí","Pendiente comprobante firmado","OK")))</f>
        <v/>
      </c>
    </row>
    <row r="653" customFormat="false" ht="15" hidden="false" customHeight="false" outlineLevel="0" collapsed="false">
      <c r="B653" s="64"/>
      <c r="C653" s="72" t="str">
        <f aca="false">IF(B653="","",IFERROR(INDEX(T_NOMBRE,MATCH(B653,T_ID,0)),"⚠ ID no existe"))</f>
        <v/>
      </c>
      <c r="D653" s="65"/>
      <c r="E653" s="65"/>
      <c r="F653" s="64"/>
      <c r="G653" s="74" t="str">
        <f aca="false">IF(OR(B653="",NOT(ISNUMBER(D653)),NOT(ISNUMBER(E653))),"",NETWORKDAYS(D653,E653,FERIADOS))</f>
        <v/>
      </c>
      <c r="H653" s="69"/>
      <c r="I653" s="74" t="str">
        <f aca="false">IF(B653="","",IF(ISNUMBER(H653),H653,N(G653)))</f>
        <v/>
      </c>
      <c r="J653" s="64"/>
      <c r="K653" s="64"/>
      <c r="L653" s="93" t="str">
        <f aca="false">IF(NOT(ISNUMBER(D653)),"",DATE(YEAR(D653),MONTH(D653),1))</f>
        <v/>
      </c>
      <c r="M653" s="70" t="str">
        <f aca="false">IF(B653="","",IF(AND(ISNUMBER(D653),ISNUMBER(E653),E653&lt;D653),"⚠ Término anterior al inicio",IF(J653&lt;&gt;"Sí","Pendiente comprobante firmado","OK")))</f>
        <v/>
      </c>
    </row>
    <row r="654" customFormat="false" ht="15" hidden="false" customHeight="false" outlineLevel="0" collapsed="false">
      <c r="B654" s="64"/>
      <c r="C654" s="72" t="str">
        <f aca="false">IF(B654="","",IFERROR(INDEX(T_NOMBRE,MATCH(B654,T_ID,0)),"⚠ ID no existe"))</f>
        <v/>
      </c>
      <c r="D654" s="65"/>
      <c r="E654" s="65"/>
      <c r="F654" s="64"/>
      <c r="G654" s="74" t="str">
        <f aca="false">IF(OR(B654="",NOT(ISNUMBER(D654)),NOT(ISNUMBER(E654))),"",NETWORKDAYS(D654,E654,FERIADOS))</f>
        <v/>
      </c>
      <c r="H654" s="69"/>
      <c r="I654" s="74" t="str">
        <f aca="false">IF(B654="","",IF(ISNUMBER(H654),H654,N(G654)))</f>
        <v/>
      </c>
      <c r="J654" s="64"/>
      <c r="K654" s="64"/>
      <c r="L654" s="93" t="str">
        <f aca="false">IF(NOT(ISNUMBER(D654)),"",DATE(YEAR(D654),MONTH(D654),1))</f>
        <v/>
      </c>
      <c r="M654" s="70" t="str">
        <f aca="false">IF(B654="","",IF(AND(ISNUMBER(D654),ISNUMBER(E654),E654&lt;D654),"⚠ Término anterior al inicio",IF(J654&lt;&gt;"Sí","Pendiente comprobante firmado","OK")))</f>
        <v/>
      </c>
    </row>
    <row r="655" customFormat="false" ht="15" hidden="false" customHeight="false" outlineLevel="0" collapsed="false">
      <c r="B655" s="64"/>
      <c r="C655" s="72" t="str">
        <f aca="false">IF(B655="","",IFERROR(INDEX(T_NOMBRE,MATCH(B655,T_ID,0)),"⚠ ID no existe"))</f>
        <v/>
      </c>
      <c r="D655" s="65"/>
      <c r="E655" s="65"/>
      <c r="F655" s="64"/>
      <c r="G655" s="74" t="str">
        <f aca="false">IF(OR(B655="",NOT(ISNUMBER(D655)),NOT(ISNUMBER(E655))),"",NETWORKDAYS(D655,E655,FERIADOS))</f>
        <v/>
      </c>
      <c r="H655" s="69"/>
      <c r="I655" s="74" t="str">
        <f aca="false">IF(B655="","",IF(ISNUMBER(H655),H655,N(G655)))</f>
        <v/>
      </c>
      <c r="J655" s="64"/>
      <c r="K655" s="64"/>
      <c r="L655" s="93" t="str">
        <f aca="false">IF(NOT(ISNUMBER(D655)),"",DATE(YEAR(D655),MONTH(D655),1))</f>
        <v/>
      </c>
      <c r="M655" s="70" t="str">
        <f aca="false">IF(B655="","",IF(AND(ISNUMBER(D655),ISNUMBER(E655),E655&lt;D655),"⚠ Término anterior al inicio",IF(J655&lt;&gt;"Sí","Pendiente comprobante firmado","OK")))</f>
        <v/>
      </c>
    </row>
    <row r="656" customFormat="false" ht="15" hidden="false" customHeight="false" outlineLevel="0" collapsed="false">
      <c r="B656" s="64"/>
      <c r="C656" s="72" t="str">
        <f aca="false">IF(B656="","",IFERROR(INDEX(T_NOMBRE,MATCH(B656,T_ID,0)),"⚠ ID no existe"))</f>
        <v/>
      </c>
      <c r="D656" s="65"/>
      <c r="E656" s="65"/>
      <c r="F656" s="64"/>
      <c r="G656" s="74" t="str">
        <f aca="false">IF(OR(B656="",NOT(ISNUMBER(D656)),NOT(ISNUMBER(E656))),"",NETWORKDAYS(D656,E656,FERIADOS))</f>
        <v/>
      </c>
      <c r="H656" s="69"/>
      <c r="I656" s="74" t="str">
        <f aca="false">IF(B656="","",IF(ISNUMBER(H656),H656,N(G656)))</f>
        <v/>
      </c>
      <c r="J656" s="64"/>
      <c r="K656" s="64"/>
      <c r="L656" s="93" t="str">
        <f aca="false">IF(NOT(ISNUMBER(D656)),"",DATE(YEAR(D656),MONTH(D656),1))</f>
        <v/>
      </c>
      <c r="M656" s="70" t="str">
        <f aca="false">IF(B656="","",IF(AND(ISNUMBER(D656),ISNUMBER(E656),E656&lt;D656),"⚠ Término anterior al inicio",IF(J656&lt;&gt;"Sí","Pendiente comprobante firmado","OK")))</f>
        <v/>
      </c>
    </row>
    <row r="657" customFormat="false" ht="15" hidden="false" customHeight="false" outlineLevel="0" collapsed="false">
      <c r="B657" s="64"/>
      <c r="C657" s="72" t="str">
        <f aca="false">IF(B657="","",IFERROR(INDEX(T_NOMBRE,MATCH(B657,T_ID,0)),"⚠ ID no existe"))</f>
        <v/>
      </c>
      <c r="D657" s="65"/>
      <c r="E657" s="65"/>
      <c r="F657" s="64"/>
      <c r="G657" s="74" t="str">
        <f aca="false">IF(OR(B657="",NOT(ISNUMBER(D657)),NOT(ISNUMBER(E657))),"",NETWORKDAYS(D657,E657,FERIADOS))</f>
        <v/>
      </c>
      <c r="H657" s="69"/>
      <c r="I657" s="74" t="str">
        <f aca="false">IF(B657="","",IF(ISNUMBER(H657),H657,N(G657)))</f>
        <v/>
      </c>
      <c r="J657" s="64"/>
      <c r="K657" s="64"/>
      <c r="L657" s="93" t="str">
        <f aca="false">IF(NOT(ISNUMBER(D657)),"",DATE(YEAR(D657),MONTH(D657),1))</f>
        <v/>
      </c>
      <c r="M657" s="70" t="str">
        <f aca="false">IF(B657="","",IF(AND(ISNUMBER(D657),ISNUMBER(E657),E657&lt;D657),"⚠ Término anterior al inicio",IF(J657&lt;&gt;"Sí","Pendiente comprobante firmado","OK")))</f>
        <v/>
      </c>
    </row>
    <row r="658" customFormat="false" ht="15" hidden="false" customHeight="false" outlineLevel="0" collapsed="false">
      <c r="B658" s="64"/>
      <c r="C658" s="72" t="str">
        <f aca="false">IF(B658="","",IFERROR(INDEX(T_NOMBRE,MATCH(B658,T_ID,0)),"⚠ ID no existe"))</f>
        <v/>
      </c>
      <c r="D658" s="65"/>
      <c r="E658" s="65"/>
      <c r="F658" s="64"/>
      <c r="G658" s="74" t="str">
        <f aca="false">IF(OR(B658="",NOT(ISNUMBER(D658)),NOT(ISNUMBER(E658))),"",NETWORKDAYS(D658,E658,FERIADOS))</f>
        <v/>
      </c>
      <c r="H658" s="69"/>
      <c r="I658" s="74" t="str">
        <f aca="false">IF(B658="","",IF(ISNUMBER(H658),H658,N(G658)))</f>
        <v/>
      </c>
      <c r="J658" s="64"/>
      <c r="K658" s="64"/>
      <c r="L658" s="93" t="str">
        <f aca="false">IF(NOT(ISNUMBER(D658)),"",DATE(YEAR(D658),MONTH(D658),1))</f>
        <v/>
      </c>
      <c r="M658" s="70" t="str">
        <f aca="false">IF(B658="","",IF(AND(ISNUMBER(D658),ISNUMBER(E658),E658&lt;D658),"⚠ Término anterior al inicio",IF(J658&lt;&gt;"Sí","Pendiente comprobante firmado","OK")))</f>
        <v/>
      </c>
    </row>
    <row r="659" customFormat="false" ht="15" hidden="false" customHeight="false" outlineLevel="0" collapsed="false">
      <c r="B659" s="64"/>
      <c r="C659" s="72" t="str">
        <f aca="false">IF(B659="","",IFERROR(INDEX(T_NOMBRE,MATCH(B659,T_ID,0)),"⚠ ID no existe"))</f>
        <v/>
      </c>
      <c r="D659" s="65"/>
      <c r="E659" s="65"/>
      <c r="F659" s="64"/>
      <c r="G659" s="74" t="str">
        <f aca="false">IF(OR(B659="",NOT(ISNUMBER(D659)),NOT(ISNUMBER(E659))),"",NETWORKDAYS(D659,E659,FERIADOS))</f>
        <v/>
      </c>
      <c r="H659" s="69"/>
      <c r="I659" s="74" t="str">
        <f aca="false">IF(B659="","",IF(ISNUMBER(H659),H659,N(G659)))</f>
        <v/>
      </c>
      <c r="J659" s="64"/>
      <c r="K659" s="64"/>
      <c r="L659" s="93" t="str">
        <f aca="false">IF(NOT(ISNUMBER(D659)),"",DATE(YEAR(D659),MONTH(D659),1))</f>
        <v/>
      </c>
      <c r="M659" s="70" t="str">
        <f aca="false">IF(B659="","",IF(AND(ISNUMBER(D659),ISNUMBER(E659),E659&lt;D659),"⚠ Término anterior al inicio",IF(J659&lt;&gt;"Sí","Pendiente comprobante firmado","OK")))</f>
        <v/>
      </c>
    </row>
    <row r="660" customFormat="false" ht="15" hidden="false" customHeight="false" outlineLevel="0" collapsed="false">
      <c r="B660" s="64"/>
      <c r="C660" s="72" t="str">
        <f aca="false">IF(B660="","",IFERROR(INDEX(T_NOMBRE,MATCH(B660,T_ID,0)),"⚠ ID no existe"))</f>
        <v/>
      </c>
      <c r="D660" s="65"/>
      <c r="E660" s="65"/>
      <c r="F660" s="64"/>
      <c r="G660" s="74" t="str">
        <f aca="false">IF(OR(B660="",NOT(ISNUMBER(D660)),NOT(ISNUMBER(E660))),"",NETWORKDAYS(D660,E660,FERIADOS))</f>
        <v/>
      </c>
      <c r="H660" s="69"/>
      <c r="I660" s="74" t="str">
        <f aca="false">IF(B660="","",IF(ISNUMBER(H660),H660,N(G660)))</f>
        <v/>
      </c>
      <c r="J660" s="64"/>
      <c r="K660" s="64"/>
      <c r="L660" s="93" t="str">
        <f aca="false">IF(NOT(ISNUMBER(D660)),"",DATE(YEAR(D660),MONTH(D660),1))</f>
        <v/>
      </c>
      <c r="M660" s="70" t="str">
        <f aca="false">IF(B660="","",IF(AND(ISNUMBER(D660),ISNUMBER(E660),E660&lt;D660),"⚠ Término anterior al inicio",IF(J660&lt;&gt;"Sí","Pendiente comprobante firmado","OK")))</f>
        <v/>
      </c>
    </row>
    <row r="661" customFormat="false" ht="15" hidden="false" customHeight="false" outlineLevel="0" collapsed="false">
      <c r="B661" s="64"/>
      <c r="C661" s="72" t="str">
        <f aca="false">IF(B661="","",IFERROR(INDEX(T_NOMBRE,MATCH(B661,T_ID,0)),"⚠ ID no existe"))</f>
        <v/>
      </c>
      <c r="D661" s="65"/>
      <c r="E661" s="65"/>
      <c r="F661" s="64"/>
      <c r="G661" s="74" t="str">
        <f aca="false">IF(OR(B661="",NOT(ISNUMBER(D661)),NOT(ISNUMBER(E661))),"",NETWORKDAYS(D661,E661,FERIADOS))</f>
        <v/>
      </c>
      <c r="H661" s="69"/>
      <c r="I661" s="74" t="str">
        <f aca="false">IF(B661="","",IF(ISNUMBER(H661),H661,N(G661)))</f>
        <v/>
      </c>
      <c r="J661" s="64"/>
      <c r="K661" s="64"/>
      <c r="L661" s="93" t="str">
        <f aca="false">IF(NOT(ISNUMBER(D661)),"",DATE(YEAR(D661),MONTH(D661),1))</f>
        <v/>
      </c>
      <c r="M661" s="70" t="str">
        <f aca="false">IF(B661="","",IF(AND(ISNUMBER(D661),ISNUMBER(E661),E661&lt;D661),"⚠ Término anterior al inicio",IF(J661&lt;&gt;"Sí","Pendiente comprobante firmado","OK")))</f>
        <v/>
      </c>
    </row>
    <row r="662" customFormat="false" ht="15" hidden="false" customHeight="false" outlineLevel="0" collapsed="false">
      <c r="B662" s="64"/>
      <c r="C662" s="72" t="str">
        <f aca="false">IF(B662="","",IFERROR(INDEX(T_NOMBRE,MATCH(B662,T_ID,0)),"⚠ ID no existe"))</f>
        <v/>
      </c>
      <c r="D662" s="65"/>
      <c r="E662" s="65"/>
      <c r="F662" s="64"/>
      <c r="G662" s="74" t="str">
        <f aca="false">IF(OR(B662="",NOT(ISNUMBER(D662)),NOT(ISNUMBER(E662))),"",NETWORKDAYS(D662,E662,FERIADOS))</f>
        <v/>
      </c>
      <c r="H662" s="69"/>
      <c r="I662" s="74" t="str">
        <f aca="false">IF(B662="","",IF(ISNUMBER(H662),H662,N(G662)))</f>
        <v/>
      </c>
      <c r="J662" s="64"/>
      <c r="K662" s="64"/>
      <c r="L662" s="93" t="str">
        <f aca="false">IF(NOT(ISNUMBER(D662)),"",DATE(YEAR(D662),MONTH(D662),1))</f>
        <v/>
      </c>
      <c r="M662" s="70" t="str">
        <f aca="false">IF(B662="","",IF(AND(ISNUMBER(D662),ISNUMBER(E662),E662&lt;D662),"⚠ Término anterior al inicio",IF(J662&lt;&gt;"Sí","Pendiente comprobante firmado","OK")))</f>
        <v/>
      </c>
    </row>
    <row r="663" customFormat="false" ht="15" hidden="false" customHeight="false" outlineLevel="0" collapsed="false">
      <c r="B663" s="64"/>
      <c r="C663" s="72" t="str">
        <f aca="false">IF(B663="","",IFERROR(INDEX(T_NOMBRE,MATCH(B663,T_ID,0)),"⚠ ID no existe"))</f>
        <v/>
      </c>
      <c r="D663" s="65"/>
      <c r="E663" s="65"/>
      <c r="F663" s="64"/>
      <c r="G663" s="74" t="str">
        <f aca="false">IF(OR(B663="",NOT(ISNUMBER(D663)),NOT(ISNUMBER(E663))),"",NETWORKDAYS(D663,E663,FERIADOS))</f>
        <v/>
      </c>
      <c r="H663" s="69"/>
      <c r="I663" s="74" t="str">
        <f aca="false">IF(B663="","",IF(ISNUMBER(H663),H663,N(G663)))</f>
        <v/>
      </c>
      <c r="J663" s="64"/>
      <c r="K663" s="64"/>
      <c r="L663" s="93" t="str">
        <f aca="false">IF(NOT(ISNUMBER(D663)),"",DATE(YEAR(D663),MONTH(D663),1))</f>
        <v/>
      </c>
      <c r="M663" s="70" t="str">
        <f aca="false">IF(B663="","",IF(AND(ISNUMBER(D663),ISNUMBER(E663),E663&lt;D663),"⚠ Término anterior al inicio",IF(J663&lt;&gt;"Sí","Pendiente comprobante firmado","OK")))</f>
        <v/>
      </c>
    </row>
    <row r="664" customFormat="false" ht="15" hidden="false" customHeight="false" outlineLevel="0" collapsed="false">
      <c r="B664" s="64"/>
      <c r="C664" s="72" t="str">
        <f aca="false">IF(B664="","",IFERROR(INDEX(T_NOMBRE,MATCH(B664,T_ID,0)),"⚠ ID no existe"))</f>
        <v/>
      </c>
      <c r="D664" s="65"/>
      <c r="E664" s="65"/>
      <c r="F664" s="64"/>
      <c r="G664" s="74" t="str">
        <f aca="false">IF(OR(B664="",NOT(ISNUMBER(D664)),NOT(ISNUMBER(E664))),"",NETWORKDAYS(D664,E664,FERIADOS))</f>
        <v/>
      </c>
      <c r="H664" s="69"/>
      <c r="I664" s="74" t="str">
        <f aca="false">IF(B664="","",IF(ISNUMBER(H664),H664,N(G664)))</f>
        <v/>
      </c>
      <c r="J664" s="64"/>
      <c r="K664" s="64"/>
      <c r="L664" s="93" t="str">
        <f aca="false">IF(NOT(ISNUMBER(D664)),"",DATE(YEAR(D664),MONTH(D664),1))</f>
        <v/>
      </c>
      <c r="M664" s="70" t="str">
        <f aca="false">IF(B664="","",IF(AND(ISNUMBER(D664),ISNUMBER(E664),E664&lt;D664),"⚠ Término anterior al inicio",IF(J664&lt;&gt;"Sí","Pendiente comprobante firmado","OK")))</f>
        <v/>
      </c>
    </row>
    <row r="665" customFormat="false" ht="15" hidden="false" customHeight="false" outlineLevel="0" collapsed="false">
      <c r="B665" s="64"/>
      <c r="C665" s="72" t="str">
        <f aca="false">IF(B665="","",IFERROR(INDEX(T_NOMBRE,MATCH(B665,T_ID,0)),"⚠ ID no existe"))</f>
        <v/>
      </c>
      <c r="D665" s="65"/>
      <c r="E665" s="65"/>
      <c r="F665" s="64"/>
      <c r="G665" s="74" t="str">
        <f aca="false">IF(OR(B665="",NOT(ISNUMBER(D665)),NOT(ISNUMBER(E665))),"",NETWORKDAYS(D665,E665,FERIADOS))</f>
        <v/>
      </c>
      <c r="H665" s="69"/>
      <c r="I665" s="74" t="str">
        <f aca="false">IF(B665="","",IF(ISNUMBER(H665),H665,N(G665)))</f>
        <v/>
      </c>
      <c r="J665" s="64"/>
      <c r="K665" s="64"/>
      <c r="L665" s="93" t="str">
        <f aca="false">IF(NOT(ISNUMBER(D665)),"",DATE(YEAR(D665),MONTH(D665),1))</f>
        <v/>
      </c>
      <c r="M665" s="70" t="str">
        <f aca="false">IF(B665="","",IF(AND(ISNUMBER(D665),ISNUMBER(E665),E665&lt;D665),"⚠ Término anterior al inicio",IF(J665&lt;&gt;"Sí","Pendiente comprobante firmado","OK")))</f>
        <v/>
      </c>
    </row>
    <row r="666" customFormat="false" ht="15" hidden="false" customHeight="false" outlineLevel="0" collapsed="false">
      <c r="B666" s="64"/>
      <c r="C666" s="72" t="str">
        <f aca="false">IF(B666="","",IFERROR(INDEX(T_NOMBRE,MATCH(B666,T_ID,0)),"⚠ ID no existe"))</f>
        <v/>
      </c>
      <c r="D666" s="65"/>
      <c r="E666" s="65"/>
      <c r="F666" s="64"/>
      <c r="G666" s="74" t="str">
        <f aca="false">IF(OR(B666="",NOT(ISNUMBER(D666)),NOT(ISNUMBER(E666))),"",NETWORKDAYS(D666,E666,FERIADOS))</f>
        <v/>
      </c>
      <c r="H666" s="69"/>
      <c r="I666" s="74" t="str">
        <f aca="false">IF(B666="","",IF(ISNUMBER(H666),H666,N(G666)))</f>
        <v/>
      </c>
      <c r="J666" s="64"/>
      <c r="K666" s="64"/>
      <c r="L666" s="93" t="str">
        <f aca="false">IF(NOT(ISNUMBER(D666)),"",DATE(YEAR(D666),MONTH(D666),1))</f>
        <v/>
      </c>
      <c r="M666" s="70" t="str">
        <f aca="false">IF(B666="","",IF(AND(ISNUMBER(D666),ISNUMBER(E666),E666&lt;D666),"⚠ Término anterior al inicio",IF(J666&lt;&gt;"Sí","Pendiente comprobante firmado","OK")))</f>
        <v/>
      </c>
    </row>
    <row r="667" customFormat="false" ht="15" hidden="false" customHeight="false" outlineLevel="0" collapsed="false">
      <c r="B667" s="64"/>
      <c r="C667" s="72" t="str">
        <f aca="false">IF(B667="","",IFERROR(INDEX(T_NOMBRE,MATCH(B667,T_ID,0)),"⚠ ID no existe"))</f>
        <v/>
      </c>
      <c r="D667" s="65"/>
      <c r="E667" s="65"/>
      <c r="F667" s="64"/>
      <c r="G667" s="74" t="str">
        <f aca="false">IF(OR(B667="",NOT(ISNUMBER(D667)),NOT(ISNUMBER(E667))),"",NETWORKDAYS(D667,E667,FERIADOS))</f>
        <v/>
      </c>
      <c r="H667" s="69"/>
      <c r="I667" s="74" t="str">
        <f aca="false">IF(B667="","",IF(ISNUMBER(H667),H667,N(G667)))</f>
        <v/>
      </c>
      <c r="J667" s="64"/>
      <c r="K667" s="64"/>
      <c r="L667" s="93" t="str">
        <f aca="false">IF(NOT(ISNUMBER(D667)),"",DATE(YEAR(D667),MONTH(D667),1))</f>
        <v/>
      </c>
      <c r="M667" s="70" t="str">
        <f aca="false">IF(B667="","",IF(AND(ISNUMBER(D667),ISNUMBER(E667),E667&lt;D667),"⚠ Término anterior al inicio",IF(J667&lt;&gt;"Sí","Pendiente comprobante firmado","OK")))</f>
        <v/>
      </c>
    </row>
    <row r="668" customFormat="false" ht="15" hidden="false" customHeight="false" outlineLevel="0" collapsed="false">
      <c r="B668" s="64"/>
      <c r="C668" s="72" t="str">
        <f aca="false">IF(B668="","",IFERROR(INDEX(T_NOMBRE,MATCH(B668,T_ID,0)),"⚠ ID no existe"))</f>
        <v/>
      </c>
      <c r="D668" s="65"/>
      <c r="E668" s="65"/>
      <c r="F668" s="64"/>
      <c r="G668" s="74" t="str">
        <f aca="false">IF(OR(B668="",NOT(ISNUMBER(D668)),NOT(ISNUMBER(E668))),"",NETWORKDAYS(D668,E668,FERIADOS))</f>
        <v/>
      </c>
      <c r="H668" s="69"/>
      <c r="I668" s="74" t="str">
        <f aca="false">IF(B668="","",IF(ISNUMBER(H668),H668,N(G668)))</f>
        <v/>
      </c>
      <c r="J668" s="64"/>
      <c r="K668" s="64"/>
      <c r="L668" s="93" t="str">
        <f aca="false">IF(NOT(ISNUMBER(D668)),"",DATE(YEAR(D668),MONTH(D668),1))</f>
        <v/>
      </c>
      <c r="M668" s="70" t="str">
        <f aca="false">IF(B668="","",IF(AND(ISNUMBER(D668),ISNUMBER(E668),E668&lt;D668),"⚠ Término anterior al inicio",IF(J668&lt;&gt;"Sí","Pendiente comprobante firmado","OK")))</f>
        <v/>
      </c>
    </row>
    <row r="669" customFormat="false" ht="15" hidden="false" customHeight="false" outlineLevel="0" collapsed="false">
      <c r="B669" s="64"/>
      <c r="C669" s="72" t="str">
        <f aca="false">IF(B669="","",IFERROR(INDEX(T_NOMBRE,MATCH(B669,T_ID,0)),"⚠ ID no existe"))</f>
        <v/>
      </c>
      <c r="D669" s="65"/>
      <c r="E669" s="65"/>
      <c r="F669" s="64"/>
      <c r="G669" s="74" t="str">
        <f aca="false">IF(OR(B669="",NOT(ISNUMBER(D669)),NOT(ISNUMBER(E669))),"",NETWORKDAYS(D669,E669,FERIADOS))</f>
        <v/>
      </c>
      <c r="H669" s="69"/>
      <c r="I669" s="74" t="str">
        <f aca="false">IF(B669="","",IF(ISNUMBER(H669),H669,N(G669)))</f>
        <v/>
      </c>
      <c r="J669" s="64"/>
      <c r="K669" s="64"/>
      <c r="L669" s="93" t="str">
        <f aca="false">IF(NOT(ISNUMBER(D669)),"",DATE(YEAR(D669),MONTH(D669),1))</f>
        <v/>
      </c>
      <c r="M669" s="70" t="str">
        <f aca="false">IF(B669="","",IF(AND(ISNUMBER(D669),ISNUMBER(E669),E669&lt;D669),"⚠ Término anterior al inicio",IF(J669&lt;&gt;"Sí","Pendiente comprobante firmado","OK")))</f>
        <v/>
      </c>
    </row>
    <row r="670" customFormat="false" ht="15" hidden="false" customHeight="false" outlineLevel="0" collapsed="false">
      <c r="B670" s="64"/>
      <c r="C670" s="72" t="str">
        <f aca="false">IF(B670="","",IFERROR(INDEX(T_NOMBRE,MATCH(B670,T_ID,0)),"⚠ ID no existe"))</f>
        <v/>
      </c>
      <c r="D670" s="65"/>
      <c r="E670" s="65"/>
      <c r="F670" s="64"/>
      <c r="G670" s="74" t="str">
        <f aca="false">IF(OR(B670="",NOT(ISNUMBER(D670)),NOT(ISNUMBER(E670))),"",NETWORKDAYS(D670,E670,FERIADOS))</f>
        <v/>
      </c>
      <c r="H670" s="69"/>
      <c r="I670" s="74" t="str">
        <f aca="false">IF(B670="","",IF(ISNUMBER(H670),H670,N(G670)))</f>
        <v/>
      </c>
      <c r="J670" s="64"/>
      <c r="K670" s="64"/>
      <c r="L670" s="93" t="str">
        <f aca="false">IF(NOT(ISNUMBER(D670)),"",DATE(YEAR(D670),MONTH(D670),1))</f>
        <v/>
      </c>
      <c r="M670" s="70" t="str">
        <f aca="false">IF(B670="","",IF(AND(ISNUMBER(D670),ISNUMBER(E670),E670&lt;D670),"⚠ Término anterior al inicio",IF(J670&lt;&gt;"Sí","Pendiente comprobante firmado","OK")))</f>
        <v/>
      </c>
    </row>
    <row r="671" customFormat="false" ht="15" hidden="false" customHeight="false" outlineLevel="0" collapsed="false">
      <c r="B671" s="64"/>
      <c r="C671" s="72" t="str">
        <f aca="false">IF(B671="","",IFERROR(INDEX(T_NOMBRE,MATCH(B671,T_ID,0)),"⚠ ID no existe"))</f>
        <v/>
      </c>
      <c r="D671" s="65"/>
      <c r="E671" s="65"/>
      <c r="F671" s="64"/>
      <c r="G671" s="74" t="str">
        <f aca="false">IF(OR(B671="",NOT(ISNUMBER(D671)),NOT(ISNUMBER(E671))),"",NETWORKDAYS(D671,E671,FERIADOS))</f>
        <v/>
      </c>
      <c r="H671" s="69"/>
      <c r="I671" s="74" t="str">
        <f aca="false">IF(B671="","",IF(ISNUMBER(H671),H671,N(G671)))</f>
        <v/>
      </c>
      <c r="J671" s="64"/>
      <c r="K671" s="64"/>
      <c r="L671" s="93" t="str">
        <f aca="false">IF(NOT(ISNUMBER(D671)),"",DATE(YEAR(D671),MONTH(D671),1))</f>
        <v/>
      </c>
      <c r="M671" s="70" t="str">
        <f aca="false">IF(B671="","",IF(AND(ISNUMBER(D671),ISNUMBER(E671),E671&lt;D671),"⚠ Término anterior al inicio",IF(J671&lt;&gt;"Sí","Pendiente comprobante firmado","OK")))</f>
        <v/>
      </c>
    </row>
    <row r="672" customFormat="false" ht="15" hidden="false" customHeight="false" outlineLevel="0" collapsed="false">
      <c r="B672" s="64"/>
      <c r="C672" s="72" t="str">
        <f aca="false">IF(B672="","",IFERROR(INDEX(T_NOMBRE,MATCH(B672,T_ID,0)),"⚠ ID no existe"))</f>
        <v/>
      </c>
      <c r="D672" s="65"/>
      <c r="E672" s="65"/>
      <c r="F672" s="64"/>
      <c r="G672" s="74" t="str">
        <f aca="false">IF(OR(B672="",NOT(ISNUMBER(D672)),NOT(ISNUMBER(E672))),"",NETWORKDAYS(D672,E672,FERIADOS))</f>
        <v/>
      </c>
      <c r="H672" s="69"/>
      <c r="I672" s="74" t="str">
        <f aca="false">IF(B672="","",IF(ISNUMBER(H672),H672,N(G672)))</f>
        <v/>
      </c>
      <c r="J672" s="64"/>
      <c r="K672" s="64"/>
      <c r="L672" s="93" t="str">
        <f aca="false">IF(NOT(ISNUMBER(D672)),"",DATE(YEAR(D672),MONTH(D672),1))</f>
        <v/>
      </c>
      <c r="M672" s="70" t="str">
        <f aca="false">IF(B672="","",IF(AND(ISNUMBER(D672),ISNUMBER(E672),E672&lt;D672),"⚠ Término anterior al inicio",IF(J672&lt;&gt;"Sí","Pendiente comprobante firmado","OK")))</f>
        <v/>
      </c>
    </row>
    <row r="673" customFormat="false" ht="15" hidden="false" customHeight="false" outlineLevel="0" collapsed="false">
      <c r="B673" s="64"/>
      <c r="C673" s="72" t="str">
        <f aca="false">IF(B673="","",IFERROR(INDEX(T_NOMBRE,MATCH(B673,T_ID,0)),"⚠ ID no existe"))</f>
        <v/>
      </c>
      <c r="D673" s="65"/>
      <c r="E673" s="65"/>
      <c r="F673" s="64"/>
      <c r="G673" s="74" t="str">
        <f aca="false">IF(OR(B673="",NOT(ISNUMBER(D673)),NOT(ISNUMBER(E673))),"",NETWORKDAYS(D673,E673,FERIADOS))</f>
        <v/>
      </c>
      <c r="H673" s="69"/>
      <c r="I673" s="74" t="str">
        <f aca="false">IF(B673="","",IF(ISNUMBER(H673),H673,N(G673)))</f>
        <v/>
      </c>
      <c r="J673" s="64"/>
      <c r="K673" s="64"/>
      <c r="L673" s="93" t="str">
        <f aca="false">IF(NOT(ISNUMBER(D673)),"",DATE(YEAR(D673),MONTH(D673),1))</f>
        <v/>
      </c>
      <c r="M673" s="70" t="str">
        <f aca="false">IF(B673="","",IF(AND(ISNUMBER(D673),ISNUMBER(E673),E673&lt;D673),"⚠ Término anterior al inicio",IF(J673&lt;&gt;"Sí","Pendiente comprobante firmado","OK")))</f>
        <v/>
      </c>
    </row>
    <row r="674" customFormat="false" ht="15" hidden="false" customHeight="false" outlineLevel="0" collapsed="false">
      <c r="B674" s="64"/>
      <c r="C674" s="72" t="str">
        <f aca="false">IF(B674="","",IFERROR(INDEX(T_NOMBRE,MATCH(B674,T_ID,0)),"⚠ ID no existe"))</f>
        <v/>
      </c>
      <c r="D674" s="65"/>
      <c r="E674" s="65"/>
      <c r="F674" s="64"/>
      <c r="G674" s="74" t="str">
        <f aca="false">IF(OR(B674="",NOT(ISNUMBER(D674)),NOT(ISNUMBER(E674))),"",NETWORKDAYS(D674,E674,FERIADOS))</f>
        <v/>
      </c>
      <c r="H674" s="69"/>
      <c r="I674" s="74" t="str">
        <f aca="false">IF(B674="","",IF(ISNUMBER(H674),H674,N(G674)))</f>
        <v/>
      </c>
      <c r="J674" s="64"/>
      <c r="K674" s="64"/>
      <c r="L674" s="93" t="str">
        <f aca="false">IF(NOT(ISNUMBER(D674)),"",DATE(YEAR(D674),MONTH(D674),1))</f>
        <v/>
      </c>
      <c r="M674" s="70" t="str">
        <f aca="false">IF(B674="","",IF(AND(ISNUMBER(D674),ISNUMBER(E674),E674&lt;D674),"⚠ Término anterior al inicio",IF(J674&lt;&gt;"Sí","Pendiente comprobante firmado","OK")))</f>
        <v/>
      </c>
    </row>
    <row r="675" customFormat="false" ht="15" hidden="false" customHeight="false" outlineLevel="0" collapsed="false">
      <c r="B675" s="64"/>
      <c r="C675" s="72" t="str">
        <f aca="false">IF(B675="","",IFERROR(INDEX(T_NOMBRE,MATCH(B675,T_ID,0)),"⚠ ID no existe"))</f>
        <v/>
      </c>
      <c r="D675" s="65"/>
      <c r="E675" s="65"/>
      <c r="F675" s="64"/>
      <c r="G675" s="74" t="str">
        <f aca="false">IF(OR(B675="",NOT(ISNUMBER(D675)),NOT(ISNUMBER(E675))),"",NETWORKDAYS(D675,E675,FERIADOS))</f>
        <v/>
      </c>
      <c r="H675" s="69"/>
      <c r="I675" s="74" t="str">
        <f aca="false">IF(B675="","",IF(ISNUMBER(H675),H675,N(G675)))</f>
        <v/>
      </c>
      <c r="J675" s="64"/>
      <c r="K675" s="64"/>
      <c r="L675" s="93" t="str">
        <f aca="false">IF(NOT(ISNUMBER(D675)),"",DATE(YEAR(D675),MONTH(D675),1))</f>
        <v/>
      </c>
      <c r="M675" s="70" t="str">
        <f aca="false">IF(B675="","",IF(AND(ISNUMBER(D675),ISNUMBER(E675),E675&lt;D675),"⚠ Término anterior al inicio",IF(J675&lt;&gt;"Sí","Pendiente comprobante firmado","OK")))</f>
        <v/>
      </c>
    </row>
    <row r="676" customFormat="false" ht="15" hidden="false" customHeight="false" outlineLevel="0" collapsed="false">
      <c r="B676" s="64"/>
      <c r="C676" s="72" t="str">
        <f aca="false">IF(B676="","",IFERROR(INDEX(T_NOMBRE,MATCH(B676,T_ID,0)),"⚠ ID no existe"))</f>
        <v/>
      </c>
      <c r="D676" s="65"/>
      <c r="E676" s="65"/>
      <c r="F676" s="64"/>
      <c r="G676" s="74" t="str">
        <f aca="false">IF(OR(B676="",NOT(ISNUMBER(D676)),NOT(ISNUMBER(E676))),"",NETWORKDAYS(D676,E676,FERIADOS))</f>
        <v/>
      </c>
      <c r="H676" s="69"/>
      <c r="I676" s="74" t="str">
        <f aca="false">IF(B676="","",IF(ISNUMBER(H676),H676,N(G676)))</f>
        <v/>
      </c>
      <c r="J676" s="64"/>
      <c r="K676" s="64"/>
      <c r="L676" s="93" t="str">
        <f aca="false">IF(NOT(ISNUMBER(D676)),"",DATE(YEAR(D676),MONTH(D676),1))</f>
        <v/>
      </c>
      <c r="M676" s="70" t="str">
        <f aca="false">IF(B676="","",IF(AND(ISNUMBER(D676),ISNUMBER(E676),E676&lt;D676),"⚠ Término anterior al inicio",IF(J676&lt;&gt;"Sí","Pendiente comprobante firmado","OK")))</f>
        <v/>
      </c>
    </row>
    <row r="677" customFormat="false" ht="15" hidden="false" customHeight="false" outlineLevel="0" collapsed="false">
      <c r="B677" s="64"/>
      <c r="C677" s="72" t="str">
        <f aca="false">IF(B677="","",IFERROR(INDEX(T_NOMBRE,MATCH(B677,T_ID,0)),"⚠ ID no existe"))</f>
        <v/>
      </c>
      <c r="D677" s="65"/>
      <c r="E677" s="65"/>
      <c r="F677" s="64"/>
      <c r="G677" s="74" t="str">
        <f aca="false">IF(OR(B677="",NOT(ISNUMBER(D677)),NOT(ISNUMBER(E677))),"",NETWORKDAYS(D677,E677,FERIADOS))</f>
        <v/>
      </c>
      <c r="H677" s="69"/>
      <c r="I677" s="74" t="str">
        <f aca="false">IF(B677="","",IF(ISNUMBER(H677),H677,N(G677)))</f>
        <v/>
      </c>
      <c r="J677" s="64"/>
      <c r="K677" s="64"/>
      <c r="L677" s="93" t="str">
        <f aca="false">IF(NOT(ISNUMBER(D677)),"",DATE(YEAR(D677),MONTH(D677),1))</f>
        <v/>
      </c>
      <c r="M677" s="70" t="str">
        <f aca="false">IF(B677="","",IF(AND(ISNUMBER(D677),ISNUMBER(E677),E677&lt;D677),"⚠ Término anterior al inicio",IF(J677&lt;&gt;"Sí","Pendiente comprobante firmado","OK")))</f>
        <v/>
      </c>
    </row>
    <row r="678" customFormat="false" ht="15" hidden="false" customHeight="false" outlineLevel="0" collapsed="false">
      <c r="B678" s="64"/>
      <c r="C678" s="72" t="str">
        <f aca="false">IF(B678="","",IFERROR(INDEX(T_NOMBRE,MATCH(B678,T_ID,0)),"⚠ ID no existe"))</f>
        <v/>
      </c>
      <c r="D678" s="65"/>
      <c r="E678" s="65"/>
      <c r="F678" s="64"/>
      <c r="G678" s="74" t="str">
        <f aca="false">IF(OR(B678="",NOT(ISNUMBER(D678)),NOT(ISNUMBER(E678))),"",NETWORKDAYS(D678,E678,FERIADOS))</f>
        <v/>
      </c>
      <c r="H678" s="69"/>
      <c r="I678" s="74" t="str">
        <f aca="false">IF(B678="","",IF(ISNUMBER(H678),H678,N(G678)))</f>
        <v/>
      </c>
      <c r="J678" s="64"/>
      <c r="K678" s="64"/>
      <c r="L678" s="93" t="str">
        <f aca="false">IF(NOT(ISNUMBER(D678)),"",DATE(YEAR(D678),MONTH(D678),1))</f>
        <v/>
      </c>
      <c r="M678" s="70" t="str">
        <f aca="false">IF(B678="","",IF(AND(ISNUMBER(D678),ISNUMBER(E678),E678&lt;D678),"⚠ Término anterior al inicio",IF(J678&lt;&gt;"Sí","Pendiente comprobante firmado","OK")))</f>
        <v/>
      </c>
    </row>
    <row r="679" customFormat="false" ht="15" hidden="false" customHeight="false" outlineLevel="0" collapsed="false">
      <c r="B679" s="64"/>
      <c r="C679" s="72" t="str">
        <f aca="false">IF(B679="","",IFERROR(INDEX(T_NOMBRE,MATCH(B679,T_ID,0)),"⚠ ID no existe"))</f>
        <v/>
      </c>
      <c r="D679" s="65"/>
      <c r="E679" s="65"/>
      <c r="F679" s="64"/>
      <c r="G679" s="74" t="str">
        <f aca="false">IF(OR(B679="",NOT(ISNUMBER(D679)),NOT(ISNUMBER(E679))),"",NETWORKDAYS(D679,E679,FERIADOS))</f>
        <v/>
      </c>
      <c r="H679" s="69"/>
      <c r="I679" s="74" t="str">
        <f aca="false">IF(B679="","",IF(ISNUMBER(H679),H679,N(G679)))</f>
        <v/>
      </c>
      <c r="J679" s="64"/>
      <c r="K679" s="64"/>
      <c r="L679" s="93" t="str">
        <f aca="false">IF(NOT(ISNUMBER(D679)),"",DATE(YEAR(D679),MONTH(D679),1))</f>
        <v/>
      </c>
      <c r="M679" s="70" t="str">
        <f aca="false">IF(B679="","",IF(AND(ISNUMBER(D679),ISNUMBER(E679),E679&lt;D679),"⚠ Término anterior al inicio",IF(J679&lt;&gt;"Sí","Pendiente comprobante firmado","OK")))</f>
        <v/>
      </c>
    </row>
    <row r="680" customFormat="false" ht="15" hidden="false" customHeight="false" outlineLevel="0" collapsed="false">
      <c r="B680" s="64"/>
      <c r="C680" s="72" t="str">
        <f aca="false">IF(B680="","",IFERROR(INDEX(T_NOMBRE,MATCH(B680,T_ID,0)),"⚠ ID no existe"))</f>
        <v/>
      </c>
      <c r="D680" s="65"/>
      <c r="E680" s="65"/>
      <c r="F680" s="64"/>
      <c r="G680" s="74" t="str">
        <f aca="false">IF(OR(B680="",NOT(ISNUMBER(D680)),NOT(ISNUMBER(E680))),"",NETWORKDAYS(D680,E680,FERIADOS))</f>
        <v/>
      </c>
      <c r="H680" s="69"/>
      <c r="I680" s="74" t="str">
        <f aca="false">IF(B680="","",IF(ISNUMBER(H680),H680,N(G680)))</f>
        <v/>
      </c>
      <c r="J680" s="64"/>
      <c r="K680" s="64"/>
      <c r="L680" s="93" t="str">
        <f aca="false">IF(NOT(ISNUMBER(D680)),"",DATE(YEAR(D680),MONTH(D680),1))</f>
        <v/>
      </c>
      <c r="M680" s="70" t="str">
        <f aca="false">IF(B680="","",IF(AND(ISNUMBER(D680),ISNUMBER(E680),E680&lt;D680),"⚠ Término anterior al inicio",IF(J680&lt;&gt;"Sí","Pendiente comprobante firmado","OK")))</f>
        <v/>
      </c>
    </row>
    <row r="681" customFormat="false" ht="15" hidden="false" customHeight="false" outlineLevel="0" collapsed="false">
      <c r="B681" s="64"/>
      <c r="C681" s="72" t="str">
        <f aca="false">IF(B681="","",IFERROR(INDEX(T_NOMBRE,MATCH(B681,T_ID,0)),"⚠ ID no existe"))</f>
        <v/>
      </c>
      <c r="D681" s="65"/>
      <c r="E681" s="65"/>
      <c r="F681" s="64"/>
      <c r="G681" s="74" t="str">
        <f aca="false">IF(OR(B681="",NOT(ISNUMBER(D681)),NOT(ISNUMBER(E681))),"",NETWORKDAYS(D681,E681,FERIADOS))</f>
        <v/>
      </c>
      <c r="H681" s="69"/>
      <c r="I681" s="74" t="str">
        <f aca="false">IF(B681="","",IF(ISNUMBER(H681),H681,N(G681)))</f>
        <v/>
      </c>
      <c r="J681" s="64"/>
      <c r="K681" s="64"/>
      <c r="L681" s="93" t="str">
        <f aca="false">IF(NOT(ISNUMBER(D681)),"",DATE(YEAR(D681),MONTH(D681),1))</f>
        <v/>
      </c>
      <c r="M681" s="70" t="str">
        <f aca="false">IF(B681="","",IF(AND(ISNUMBER(D681),ISNUMBER(E681),E681&lt;D681),"⚠ Término anterior al inicio",IF(J681&lt;&gt;"Sí","Pendiente comprobante firmado","OK")))</f>
        <v/>
      </c>
    </row>
    <row r="682" customFormat="false" ht="15" hidden="false" customHeight="false" outlineLevel="0" collapsed="false">
      <c r="B682" s="64"/>
      <c r="C682" s="72" t="str">
        <f aca="false">IF(B682="","",IFERROR(INDEX(T_NOMBRE,MATCH(B682,T_ID,0)),"⚠ ID no existe"))</f>
        <v/>
      </c>
      <c r="D682" s="65"/>
      <c r="E682" s="65"/>
      <c r="F682" s="64"/>
      <c r="G682" s="74" t="str">
        <f aca="false">IF(OR(B682="",NOT(ISNUMBER(D682)),NOT(ISNUMBER(E682))),"",NETWORKDAYS(D682,E682,FERIADOS))</f>
        <v/>
      </c>
      <c r="H682" s="69"/>
      <c r="I682" s="74" t="str">
        <f aca="false">IF(B682="","",IF(ISNUMBER(H682),H682,N(G682)))</f>
        <v/>
      </c>
      <c r="J682" s="64"/>
      <c r="K682" s="64"/>
      <c r="L682" s="93" t="str">
        <f aca="false">IF(NOT(ISNUMBER(D682)),"",DATE(YEAR(D682),MONTH(D682),1))</f>
        <v/>
      </c>
      <c r="M682" s="70" t="str">
        <f aca="false">IF(B682="","",IF(AND(ISNUMBER(D682),ISNUMBER(E682),E682&lt;D682),"⚠ Término anterior al inicio",IF(J682&lt;&gt;"Sí","Pendiente comprobante firmado","OK")))</f>
        <v/>
      </c>
    </row>
    <row r="683" customFormat="false" ht="15" hidden="false" customHeight="false" outlineLevel="0" collapsed="false">
      <c r="B683" s="64"/>
      <c r="C683" s="72" t="str">
        <f aca="false">IF(B683="","",IFERROR(INDEX(T_NOMBRE,MATCH(B683,T_ID,0)),"⚠ ID no existe"))</f>
        <v/>
      </c>
      <c r="D683" s="65"/>
      <c r="E683" s="65"/>
      <c r="F683" s="64"/>
      <c r="G683" s="74" t="str">
        <f aca="false">IF(OR(B683="",NOT(ISNUMBER(D683)),NOT(ISNUMBER(E683))),"",NETWORKDAYS(D683,E683,FERIADOS))</f>
        <v/>
      </c>
      <c r="H683" s="69"/>
      <c r="I683" s="74" t="str">
        <f aca="false">IF(B683="","",IF(ISNUMBER(H683),H683,N(G683)))</f>
        <v/>
      </c>
      <c r="J683" s="64"/>
      <c r="K683" s="64"/>
      <c r="L683" s="93" t="str">
        <f aca="false">IF(NOT(ISNUMBER(D683)),"",DATE(YEAR(D683),MONTH(D683),1))</f>
        <v/>
      </c>
      <c r="M683" s="70" t="str">
        <f aca="false">IF(B683="","",IF(AND(ISNUMBER(D683),ISNUMBER(E683),E683&lt;D683),"⚠ Término anterior al inicio",IF(J683&lt;&gt;"Sí","Pendiente comprobante firmado","OK")))</f>
        <v/>
      </c>
    </row>
    <row r="684" customFormat="false" ht="15" hidden="false" customHeight="false" outlineLevel="0" collapsed="false">
      <c r="B684" s="64"/>
      <c r="C684" s="72" t="str">
        <f aca="false">IF(B684="","",IFERROR(INDEX(T_NOMBRE,MATCH(B684,T_ID,0)),"⚠ ID no existe"))</f>
        <v/>
      </c>
      <c r="D684" s="65"/>
      <c r="E684" s="65"/>
      <c r="F684" s="64"/>
      <c r="G684" s="74" t="str">
        <f aca="false">IF(OR(B684="",NOT(ISNUMBER(D684)),NOT(ISNUMBER(E684))),"",NETWORKDAYS(D684,E684,FERIADOS))</f>
        <v/>
      </c>
      <c r="H684" s="69"/>
      <c r="I684" s="74" t="str">
        <f aca="false">IF(B684="","",IF(ISNUMBER(H684),H684,N(G684)))</f>
        <v/>
      </c>
      <c r="J684" s="64"/>
      <c r="K684" s="64"/>
      <c r="L684" s="93" t="str">
        <f aca="false">IF(NOT(ISNUMBER(D684)),"",DATE(YEAR(D684),MONTH(D684),1))</f>
        <v/>
      </c>
      <c r="M684" s="70" t="str">
        <f aca="false">IF(B684="","",IF(AND(ISNUMBER(D684),ISNUMBER(E684),E684&lt;D684),"⚠ Término anterior al inicio",IF(J684&lt;&gt;"Sí","Pendiente comprobante firmado","OK")))</f>
        <v/>
      </c>
    </row>
    <row r="685" customFormat="false" ht="15" hidden="false" customHeight="false" outlineLevel="0" collapsed="false">
      <c r="B685" s="64"/>
      <c r="C685" s="72" t="str">
        <f aca="false">IF(B685="","",IFERROR(INDEX(T_NOMBRE,MATCH(B685,T_ID,0)),"⚠ ID no existe"))</f>
        <v/>
      </c>
      <c r="D685" s="65"/>
      <c r="E685" s="65"/>
      <c r="F685" s="64"/>
      <c r="G685" s="74" t="str">
        <f aca="false">IF(OR(B685="",NOT(ISNUMBER(D685)),NOT(ISNUMBER(E685))),"",NETWORKDAYS(D685,E685,FERIADOS))</f>
        <v/>
      </c>
      <c r="H685" s="69"/>
      <c r="I685" s="74" t="str">
        <f aca="false">IF(B685="","",IF(ISNUMBER(H685),H685,N(G685)))</f>
        <v/>
      </c>
      <c r="J685" s="64"/>
      <c r="K685" s="64"/>
      <c r="L685" s="93" t="str">
        <f aca="false">IF(NOT(ISNUMBER(D685)),"",DATE(YEAR(D685),MONTH(D685),1))</f>
        <v/>
      </c>
      <c r="M685" s="70" t="str">
        <f aca="false">IF(B685="","",IF(AND(ISNUMBER(D685),ISNUMBER(E685),E685&lt;D685),"⚠ Término anterior al inicio",IF(J685&lt;&gt;"Sí","Pendiente comprobante firmado","OK")))</f>
        <v/>
      </c>
    </row>
    <row r="686" customFormat="false" ht="15" hidden="false" customHeight="false" outlineLevel="0" collapsed="false">
      <c r="B686" s="64"/>
      <c r="C686" s="72" t="str">
        <f aca="false">IF(B686="","",IFERROR(INDEX(T_NOMBRE,MATCH(B686,T_ID,0)),"⚠ ID no existe"))</f>
        <v/>
      </c>
      <c r="D686" s="65"/>
      <c r="E686" s="65"/>
      <c r="F686" s="64"/>
      <c r="G686" s="74" t="str">
        <f aca="false">IF(OR(B686="",NOT(ISNUMBER(D686)),NOT(ISNUMBER(E686))),"",NETWORKDAYS(D686,E686,FERIADOS))</f>
        <v/>
      </c>
      <c r="H686" s="69"/>
      <c r="I686" s="74" t="str">
        <f aca="false">IF(B686="","",IF(ISNUMBER(H686),H686,N(G686)))</f>
        <v/>
      </c>
      <c r="J686" s="64"/>
      <c r="K686" s="64"/>
      <c r="L686" s="93" t="str">
        <f aca="false">IF(NOT(ISNUMBER(D686)),"",DATE(YEAR(D686),MONTH(D686),1))</f>
        <v/>
      </c>
      <c r="M686" s="70" t="str">
        <f aca="false">IF(B686="","",IF(AND(ISNUMBER(D686),ISNUMBER(E686),E686&lt;D686),"⚠ Término anterior al inicio",IF(J686&lt;&gt;"Sí","Pendiente comprobante firmado","OK")))</f>
        <v/>
      </c>
    </row>
    <row r="687" customFormat="false" ht="15" hidden="false" customHeight="false" outlineLevel="0" collapsed="false">
      <c r="B687" s="64"/>
      <c r="C687" s="72" t="str">
        <f aca="false">IF(B687="","",IFERROR(INDEX(T_NOMBRE,MATCH(B687,T_ID,0)),"⚠ ID no existe"))</f>
        <v/>
      </c>
      <c r="D687" s="65"/>
      <c r="E687" s="65"/>
      <c r="F687" s="64"/>
      <c r="G687" s="74" t="str">
        <f aca="false">IF(OR(B687="",NOT(ISNUMBER(D687)),NOT(ISNUMBER(E687))),"",NETWORKDAYS(D687,E687,FERIADOS))</f>
        <v/>
      </c>
      <c r="H687" s="69"/>
      <c r="I687" s="74" t="str">
        <f aca="false">IF(B687="","",IF(ISNUMBER(H687),H687,N(G687)))</f>
        <v/>
      </c>
      <c r="J687" s="64"/>
      <c r="K687" s="64"/>
      <c r="L687" s="93" t="str">
        <f aca="false">IF(NOT(ISNUMBER(D687)),"",DATE(YEAR(D687),MONTH(D687),1))</f>
        <v/>
      </c>
      <c r="M687" s="70" t="str">
        <f aca="false">IF(B687="","",IF(AND(ISNUMBER(D687),ISNUMBER(E687),E687&lt;D687),"⚠ Término anterior al inicio",IF(J687&lt;&gt;"Sí","Pendiente comprobante firmado","OK")))</f>
        <v/>
      </c>
    </row>
    <row r="688" customFormat="false" ht="15" hidden="false" customHeight="false" outlineLevel="0" collapsed="false">
      <c r="B688" s="64"/>
      <c r="C688" s="72" t="str">
        <f aca="false">IF(B688="","",IFERROR(INDEX(T_NOMBRE,MATCH(B688,T_ID,0)),"⚠ ID no existe"))</f>
        <v/>
      </c>
      <c r="D688" s="65"/>
      <c r="E688" s="65"/>
      <c r="F688" s="64"/>
      <c r="G688" s="74" t="str">
        <f aca="false">IF(OR(B688="",NOT(ISNUMBER(D688)),NOT(ISNUMBER(E688))),"",NETWORKDAYS(D688,E688,FERIADOS))</f>
        <v/>
      </c>
      <c r="H688" s="69"/>
      <c r="I688" s="74" t="str">
        <f aca="false">IF(B688="","",IF(ISNUMBER(H688),H688,N(G688)))</f>
        <v/>
      </c>
      <c r="J688" s="64"/>
      <c r="K688" s="64"/>
      <c r="L688" s="93" t="str">
        <f aca="false">IF(NOT(ISNUMBER(D688)),"",DATE(YEAR(D688),MONTH(D688),1))</f>
        <v/>
      </c>
      <c r="M688" s="70" t="str">
        <f aca="false">IF(B688="","",IF(AND(ISNUMBER(D688),ISNUMBER(E688),E688&lt;D688),"⚠ Término anterior al inicio",IF(J688&lt;&gt;"Sí","Pendiente comprobante firmado","OK")))</f>
        <v/>
      </c>
    </row>
    <row r="689" customFormat="false" ht="15" hidden="false" customHeight="false" outlineLevel="0" collapsed="false">
      <c r="B689" s="64"/>
      <c r="C689" s="72" t="str">
        <f aca="false">IF(B689="","",IFERROR(INDEX(T_NOMBRE,MATCH(B689,T_ID,0)),"⚠ ID no existe"))</f>
        <v/>
      </c>
      <c r="D689" s="65"/>
      <c r="E689" s="65"/>
      <c r="F689" s="64"/>
      <c r="G689" s="74" t="str">
        <f aca="false">IF(OR(B689="",NOT(ISNUMBER(D689)),NOT(ISNUMBER(E689))),"",NETWORKDAYS(D689,E689,FERIADOS))</f>
        <v/>
      </c>
      <c r="H689" s="69"/>
      <c r="I689" s="74" t="str">
        <f aca="false">IF(B689="","",IF(ISNUMBER(H689),H689,N(G689)))</f>
        <v/>
      </c>
      <c r="J689" s="64"/>
      <c r="K689" s="64"/>
      <c r="L689" s="93" t="str">
        <f aca="false">IF(NOT(ISNUMBER(D689)),"",DATE(YEAR(D689),MONTH(D689),1))</f>
        <v/>
      </c>
      <c r="M689" s="70" t="str">
        <f aca="false">IF(B689="","",IF(AND(ISNUMBER(D689),ISNUMBER(E689),E689&lt;D689),"⚠ Término anterior al inicio",IF(J689&lt;&gt;"Sí","Pendiente comprobante firmado","OK")))</f>
        <v/>
      </c>
    </row>
    <row r="690" customFormat="false" ht="15" hidden="false" customHeight="false" outlineLevel="0" collapsed="false">
      <c r="B690" s="64"/>
      <c r="C690" s="72" t="str">
        <f aca="false">IF(B690="","",IFERROR(INDEX(T_NOMBRE,MATCH(B690,T_ID,0)),"⚠ ID no existe"))</f>
        <v/>
      </c>
      <c r="D690" s="65"/>
      <c r="E690" s="65"/>
      <c r="F690" s="64"/>
      <c r="G690" s="74" t="str">
        <f aca="false">IF(OR(B690="",NOT(ISNUMBER(D690)),NOT(ISNUMBER(E690))),"",NETWORKDAYS(D690,E690,FERIADOS))</f>
        <v/>
      </c>
      <c r="H690" s="69"/>
      <c r="I690" s="74" t="str">
        <f aca="false">IF(B690="","",IF(ISNUMBER(H690),H690,N(G690)))</f>
        <v/>
      </c>
      <c r="J690" s="64"/>
      <c r="K690" s="64"/>
      <c r="L690" s="93" t="str">
        <f aca="false">IF(NOT(ISNUMBER(D690)),"",DATE(YEAR(D690),MONTH(D690),1))</f>
        <v/>
      </c>
      <c r="M690" s="70" t="str">
        <f aca="false">IF(B690="","",IF(AND(ISNUMBER(D690),ISNUMBER(E690),E690&lt;D690),"⚠ Término anterior al inicio",IF(J690&lt;&gt;"Sí","Pendiente comprobante firmado","OK")))</f>
        <v/>
      </c>
    </row>
    <row r="691" customFormat="false" ht="15" hidden="false" customHeight="false" outlineLevel="0" collapsed="false">
      <c r="B691" s="64"/>
      <c r="C691" s="72" t="str">
        <f aca="false">IF(B691="","",IFERROR(INDEX(T_NOMBRE,MATCH(B691,T_ID,0)),"⚠ ID no existe"))</f>
        <v/>
      </c>
      <c r="D691" s="65"/>
      <c r="E691" s="65"/>
      <c r="F691" s="64"/>
      <c r="G691" s="74" t="str">
        <f aca="false">IF(OR(B691="",NOT(ISNUMBER(D691)),NOT(ISNUMBER(E691))),"",NETWORKDAYS(D691,E691,FERIADOS))</f>
        <v/>
      </c>
      <c r="H691" s="69"/>
      <c r="I691" s="74" t="str">
        <f aca="false">IF(B691="","",IF(ISNUMBER(H691),H691,N(G691)))</f>
        <v/>
      </c>
      <c r="J691" s="64"/>
      <c r="K691" s="64"/>
      <c r="L691" s="93" t="str">
        <f aca="false">IF(NOT(ISNUMBER(D691)),"",DATE(YEAR(D691),MONTH(D691),1))</f>
        <v/>
      </c>
      <c r="M691" s="70" t="str">
        <f aca="false">IF(B691="","",IF(AND(ISNUMBER(D691),ISNUMBER(E691),E691&lt;D691),"⚠ Término anterior al inicio",IF(J691&lt;&gt;"Sí","Pendiente comprobante firmado","OK")))</f>
        <v/>
      </c>
    </row>
    <row r="692" customFormat="false" ht="15" hidden="false" customHeight="false" outlineLevel="0" collapsed="false">
      <c r="B692" s="64"/>
      <c r="C692" s="72" t="str">
        <f aca="false">IF(B692="","",IFERROR(INDEX(T_NOMBRE,MATCH(B692,T_ID,0)),"⚠ ID no existe"))</f>
        <v/>
      </c>
      <c r="D692" s="65"/>
      <c r="E692" s="65"/>
      <c r="F692" s="64"/>
      <c r="G692" s="74" t="str">
        <f aca="false">IF(OR(B692="",NOT(ISNUMBER(D692)),NOT(ISNUMBER(E692))),"",NETWORKDAYS(D692,E692,FERIADOS))</f>
        <v/>
      </c>
      <c r="H692" s="69"/>
      <c r="I692" s="74" t="str">
        <f aca="false">IF(B692="","",IF(ISNUMBER(H692),H692,N(G692)))</f>
        <v/>
      </c>
      <c r="J692" s="64"/>
      <c r="K692" s="64"/>
      <c r="L692" s="93" t="str">
        <f aca="false">IF(NOT(ISNUMBER(D692)),"",DATE(YEAR(D692),MONTH(D692),1))</f>
        <v/>
      </c>
      <c r="M692" s="70" t="str">
        <f aca="false">IF(B692="","",IF(AND(ISNUMBER(D692),ISNUMBER(E692),E692&lt;D692),"⚠ Término anterior al inicio",IF(J692&lt;&gt;"Sí","Pendiente comprobante firmado","OK")))</f>
        <v/>
      </c>
    </row>
    <row r="693" customFormat="false" ht="15" hidden="false" customHeight="false" outlineLevel="0" collapsed="false">
      <c r="B693" s="64"/>
      <c r="C693" s="72" t="str">
        <f aca="false">IF(B693="","",IFERROR(INDEX(T_NOMBRE,MATCH(B693,T_ID,0)),"⚠ ID no existe"))</f>
        <v/>
      </c>
      <c r="D693" s="65"/>
      <c r="E693" s="65"/>
      <c r="F693" s="64"/>
      <c r="G693" s="74" t="str">
        <f aca="false">IF(OR(B693="",NOT(ISNUMBER(D693)),NOT(ISNUMBER(E693))),"",NETWORKDAYS(D693,E693,FERIADOS))</f>
        <v/>
      </c>
      <c r="H693" s="69"/>
      <c r="I693" s="74" t="str">
        <f aca="false">IF(B693="","",IF(ISNUMBER(H693),H693,N(G693)))</f>
        <v/>
      </c>
      <c r="J693" s="64"/>
      <c r="K693" s="64"/>
      <c r="L693" s="93" t="str">
        <f aca="false">IF(NOT(ISNUMBER(D693)),"",DATE(YEAR(D693),MONTH(D693),1))</f>
        <v/>
      </c>
      <c r="M693" s="70" t="str">
        <f aca="false">IF(B693="","",IF(AND(ISNUMBER(D693),ISNUMBER(E693),E693&lt;D693),"⚠ Término anterior al inicio",IF(J693&lt;&gt;"Sí","Pendiente comprobante firmado","OK")))</f>
        <v/>
      </c>
    </row>
    <row r="694" customFormat="false" ht="15" hidden="false" customHeight="false" outlineLevel="0" collapsed="false">
      <c r="B694" s="64"/>
      <c r="C694" s="72" t="str">
        <f aca="false">IF(B694="","",IFERROR(INDEX(T_NOMBRE,MATCH(B694,T_ID,0)),"⚠ ID no existe"))</f>
        <v/>
      </c>
      <c r="D694" s="65"/>
      <c r="E694" s="65"/>
      <c r="F694" s="64"/>
      <c r="G694" s="74" t="str">
        <f aca="false">IF(OR(B694="",NOT(ISNUMBER(D694)),NOT(ISNUMBER(E694))),"",NETWORKDAYS(D694,E694,FERIADOS))</f>
        <v/>
      </c>
      <c r="H694" s="69"/>
      <c r="I694" s="74" t="str">
        <f aca="false">IF(B694="","",IF(ISNUMBER(H694),H694,N(G694)))</f>
        <v/>
      </c>
      <c r="J694" s="64"/>
      <c r="K694" s="64"/>
      <c r="L694" s="93" t="str">
        <f aca="false">IF(NOT(ISNUMBER(D694)),"",DATE(YEAR(D694),MONTH(D694),1))</f>
        <v/>
      </c>
      <c r="M694" s="70" t="str">
        <f aca="false">IF(B694="","",IF(AND(ISNUMBER(D694),ISNUMBER(E694),E694&lt;D694),"⚠ Término anterior al inicio",IF(J694&lt;&gt;"Sí","Pendiente comprobante firmado","OK")))</f>
        <v/>
      </c>
    </row>
    <row r="695" customFormat="false" ht="15" hidden="false" customHeight="false" outlineLevel="0" collapsed="false">
      <c r="B695" s="64"/>
      <c r="C695" s="72" t="str">
        <f aca="false">IF(B695="","",IFERROR(INDEX(T_NOMBRE,MATCH(B695,T_ID,0)),"⚠ ID no existe"))</f>
        <v/>
      </c>
      <c r="D695" s="65"/>
      <c r="E695" s="65"/>
      <c r="F695" s="64"/>
      <c r="G695" s="74" t="str">
        <f aca="false">IF(OR(B695="",NOT(ISNUMBER(D695)),NOT(ISNUMBER(E695))),"",NETWORKDAYS(D695,E695,FERIADOS))</f>
        <v/>
      </c>
      <c r="H695" s="69"/>
      <c r="I695" s="74" t="str">
        <f aca="false">IF(B695="","",IF(ISNUMBER(H695),H695,N(G695)))</f>
        <v/>
      </c>
      <c r="J695" s="64"/>
      <c r="K695" s="64"/>
      <c r="L695" s="93" t="str">
        <f aca="false">IF(NOT(ISNUMBER(D695)),"",DATE(YEAR(D695),MONTH(D695),1))</f>
        <v/>
      </c>
      <c r="M695" s="70" t="str">
        <f aca="false">IF(B695="","",IF(AND(ISNUMBER(D695),ISNUMBER(E695),E695&lt;D695),"⚠ Término anterior al inicio",IF(J695&lt;&gt;"Sí","Pendiente comprobante firmado","OK")))</f>
        <v/>
      </c>
    </row>
    <row r="696" customFormat="false" ht="15" hidden="false" customHeight="false" outlineLevel="0" collapsed="false">
      <c r="B696" s="64"/>
      <c r="C696" s="72" t="str">
        <f aca="false">IF(B696="","",IFERROR(INDEX(T_NOMBRE,MATCH(B696,T_ID,0)),"⚠ ID no existe"))</f>
        <v/>
      </c>
      <c r="D696" s="65"/>
      <c r="E696" s="65"/>
      <c r="F696" s="64"/>
      <c r="G696" s="74" t="str">
        <f aca="false">IF(OR(B696="",NOT(ISNUMBER(D696)),NOT(ISNUMBER(E696))),"",NETWORKDAYS(D696,E696,FERIADOS))</f>
        <v/>
      </c>
      <c r="H696" s="69"/>
      <c r="I696" s="74" t="str">
        <f aca="false">IF(B696="","",IF(ISNUMBER(H696),H696,N(G696)))</f>
        <v/>
      </c>
      <c r="J696" s="64"/>
      <c r="K696" s="64"/>
      <c r="L696" s="93" t="str">
        <f aca="false">IF(NOT(ISNUMBER(D696)),"",DATE(YEAR(D696),MONTH(D696),1))</f>
        <v/>
      </c>
      <c r="M696" s="70" t="str">
        <f aca="false">IF(B696="","",IF(AND(ISNUMBER(D696),ISNUMBER(E696),E696&lt;D696),"⚠ Término anterior al inicio",IF(J696&lt;&gt;"Sí","Pendiente comprobante firmado","OK")))</f>
        <v/>
      </c>
    </row>
    <row r="697" customFormat="false" ht="15" hidden="false" customHeight="false" outlineLevel="0" collapsed="false">
      <c r="B697" s="64"/>
      <c r="C697" s="72" t="str">
        <f aca="false">IF(B697="","",IFERROR(INDEX(T_NOMBRE,MATCH(B697,T_ID,0)),"⚠ ID no existe"))</f>
        <v/>
      </c>
      <c r="D697" s="65"/>
      <c r="E697" s="65"/>
      <c r="F697" s="64"/>
      <c r="G697" s="74" t="str">
        <f aca="false">IF(OR(B697="",NOT(ISNUMBER(D697)),NOT(ISNUMBER(E697))),"",NETWORKDAYS(D697,E697,FERIADOS))</f>
        <v/>
      </c>
      <c r="H697" s="69"/>
      <c r="I697" s="74" t="str">
        <f aca="false">IF(B697="","",IF(ISNUMBER(H697),H697,N(G697)))</f>
        <v/>
      </c>
      <c r="J697" s="64"/>
      <c r="K697" s="64"/>
      <c r="L697" s="93" t="str">
        <f aca="false">IF(NOT(ISNUMBER(D697)),"",DATE(YEAR(D697),MONTH(D697),1))</f>
        <v/>
      </c>
      <c r="M697" s="70" t="str">
        <f aca="false">IF(B697="","",IF(AND(ISNUMBER(D697),ISNUMBER(E697),E697&lt;D697),"⚠ Término anterior al inicio",IF(J697&lt;&gt;"Sí","Pendiente comprobante firmado","OK")))</f>
        <v/>
      </c>
    </row>
    <row r="698" customFormat="false" ht="15" hidden="false" customHeight="false" outlineLevel="0" collapsed="false">
      <c r="B698" s="64"/>
      <c r="C698" s="72" t="str">
        <f aca="false">IF(B698="","",IFERROR(INDEX(T_NOMBRE,MATCH(B698,T_ID,0)),"⚠ ID no existe"))</f>
        <v/>
      </c>
      <c r="D698" s="65"/>
      <c r="E698" s="65"/>
      <c r="F698" s="64"/>
      <c r="G698" s="74" t="str">
        <f aca="false">IF(OR(B698="",NOT(ISNUMBER(D698)),NOT(ISNUMBER(E698))),"",NETWORKDAYS(D698,E698,FERIADOS))</f>
        <v/>
      </c>
      <c r="H698" s="69"/>
      <c r="I698" s="74" t="str">
        <f aca="false">IF(B698="","",IF(ISNUMBER(H698),H698,N(G698)))</f>
        <v/>
      </c>
      <c r="J698" s="64"/>
      <c r="K698" s="64"/>
      <c r="L698" s="93" t="str">
        <f aca="false">IF(NOT(ISNUMBER(D698)),"",DATE(YEAR(D698),MONTH(D698),1))</f>
        <v/>
      </c>
      <c r="M698" s="70" t="str">
        <f aca="false">IF(B698="","",IF(AND(ISNUMBER(D698),ISNUMBER(E698),E698&lt;D698),"⚠ Término anterior al inicio",IF(J698&lt;&gt;"Sí","Pendiente comprobante firmado","OK")))</f>
        <v/>
      </c>
    </row>
    <row r="699" customFormat="false" ht="15" hidden="false" customHeight="false" outlineLevel="0" collapsed="false">
      <c r="B699" s="64"/>
      <c r="C699" s="72" t="str">
        <f aca="false">IF(B699="","",IFERROR(INDEX(T_NOMBRE,MATCH(B699,T_ID,0)),"⚠ ID no existe"))</f>
        <v/>
      </c>
      <c r="D699" s="65"/>
      <c r="E699" s="65"/>
      <c r="F699" s="64"/>
      <c r="G699" s="74" t="str">
        <f aca="false">IF(OR(B699="",NOT(ISNUMBER(D699)),NOT(ISNUMBER(E699))),"",NETWORKDAYS(D699,E699,FERIADOS))</f>
        <v/>
      </c>
      <c r="H699" s="69"/>
      <c r="I699" s="74" t="str">
        <f aca="false">IF(B699="","",IF(ISNUMBER(H699),H699,N(G699)))</f>
        <v/>
      </c>
      <c r="J699" s="64"/>
      <c r="K699" s="64"/>
      <c r="L699" s="93" t="str">
        <f aca="false">IF(NOT(ISNUMBER(D699)),"",DATE(YEAR(D699),MONTH(D699),1))</f>
        <v/>
      </c>
      <c r="M699" s="70" t="str">
        <f aca="false">IF(B699="","",IF(AND(ISNUMBER(D699),ISNUMBER(E699),E699&lt;D699),"⚠ Término anterior al inicio",IF(J699&lt;&gt;"Sí","Pendiente comprobante firmado","OK")))</f>
        <v/>
      </c>
    </row>
    <row r="700" customFormat="false" ht="15" hidden="false" customHeight="false" outlineLevel="0" collapsed="false">
      <c r="B700" s="64"/>
      <c r="C700" s="72" t="str">
        <f aca="false">IF(B700="","",IFERROR(INDEX(T_NOMBRE,MATCH(B700,T_ID,0)),"⚠ ID no existe"))</f>
        <v/>
      </c>
      <c r="D700" s="65"/>
      <c r="E700" s="65"/>
      <c r="F700" s="64"/>
      <c r="G700" s="74" t="str">
        <f aca="false">IF(OR(B700="",NOT(ISNUMBER(D700)),NOT(ISNUMBER(E700))),"",NETWORKDAYS(D700,E700,FERIADOS))</f>
        <v/>
      </c>
      <c r="H700" s="69"/>
      <c r="I700" s="74" t="str">
        <f aca="false">IF(B700="","",IF(ISNUMBER(H700),H700,N(G700)))</f>
        <v/>
      </c>
      <c r="J700" s="64"/>
      <c r="K700" s="64"/>
      <c r="L700" s="93" t="str">
        <f aca="false">IF(NOT(ISNUMBER(D700)),"",DATE(YEAR(D700),MONTH(D700),1))</f>
        <v/>
      </c>
      <c r="M700" s="70" t="str">
        <f aca="false">IF(B700="","",IF(AND(ISNUMBER(D700),ISNUMBER(E700),E700&lt;D700),"⚠ Término anterior al inicio",IF(J700&lt;&gt;"Sí","Pendiente comprobante firmado","OK")))</f>
        <v/>
      </c>
    </row>
    <row r="701" customFormat="false" ht="15" hidden="false" customHeight="false" outlineLevel="0" collapsed="false">
      <c r="B701" s="64"/>
      <c r="C701" s="72" t="str">
        <f aca="false">IF(B701="","",IFERROR(INDEX(T_NOMBRE,MATCH(B701,T_ID,0)),"⚠ ID no existe"))</f>
        <v/>
      </c>
      <c r="D701" s="65"/>
      <c r="E701" s="65"/>
      <c r="F701" s="64"/>
      <c r="G701" s="74" t="str">
        <f aca="false">IF(OR(B701="",NOT(ISNUMBER(D701)),NOT(ISNUMBER(E701))),"",NETWORKDAYS(D701,E701,FERIADOS))</f>
        <v/>
      </c>
      <c r="H701" s="69"/>
      <c r="I701" s="74" t="str">
        <f aca="false">IF(B701="","",IF(ISNUMBER(H701),H701,N(G701)))</f>
        <v/>
      </c>
      <c r="J701" s="64"/>
      <c r="K701" s="64"/>
      <c r="L701" s="93" t="str">
        <f aca="false">IF(NOT(ISNUMBER(D701)),"",DATE(YEAR(D701),MONTH(D701),1))</f>
        <v/>
      </c>
      <c r="M701" s="70" t="str">
        <f aca="false">IF(B701="","",IF(AND(ISNUMBER(D701),ISNUMBER(E701),E701&lt;D701),"⚠ Término anterior al inicio",IF(J701&lt;&gt;"Sí","Pendiente comprobante firmado","OK")))</f>
        <v/>
      </c>
    </row>
    <row r="702" customFormat="false" ht="15" hidden="false" customHeight="false" outlineLevel="0" collapsed="false">
      <c r="B702" s="64"/>
      <c r="C702" s="72" t="str">
        <f aca="false">IF(B702="","",IFERROR(INDEX(T_NOMBRE,MATCH(B702,T_ID,0)),"⚠ ID no existe"))</f>
        <v/>
      </c>
      <c r="D702" s="65"/>
      <c r="E702" s="65"/>
      <c r="F702" s="64"/>
      <c r="G702" s="74" t="str">
        <f aca="false">IF(OR(B702="",NOT(ISNUMBER(D702)),NOT(ISNUMBER(E702))),"",NETWORKDAYS(D702,E702,FERIADOS))</f>
        <v/>
      </c>
      <c r="H702" s="69"/>
      <c r="I702" s="74" t="str">
        <f aca="false">IF(B702="","",IF(ISNUMBER(H702),H702,N(G702)))</f>
        <v/>
      </c>
      <c r="J702" s="64"/>
      <c r="K702" s="64"/>
      <c r="L702" s="93" t="str">
        <f aca="false">IF(NOT(ISNUMBER(D702)),"",DATE(YEAR(D702),MONTH(D702),1))</f>
        <v/>
      </c>
      <c r="M702" s="70" t="str">
        <f aca="false">IF(B702="","",IF(AND(ISNUMBER(D702),ISNUMBER(E702),E702&lt;D702),"⚠ Término anterior al inicio",IF(J702&lt;&gt;"Sí","Pendiente comprobante firmado","OK")))</f>
        <v/>
      </c>
    </row>
    <row r="703" customFormat="false" ht="15" hidden="false" customHeight="false" outlineLevel="0" collapsed="false">
      <c r="B703" s="64"/>
      <c r="C703" s="72" t="str">
        <f aca="false">IF(B703="","",IFERROR(INDEX(T_NOMBRE,MATCH(B703,T_ID,0)),"⚠ ID no existe"))</f>
        <v/>
      </c>
      <c r="D703" s="65"/>
      <c r="E703" s="65"/>
      <c r="F703" s="64"/>
      <c r="G703" s="74" t="str">
        <f aca="false">IF(OR(B703="",NOT(ISNUMBER(D703)),NOT(ISNUMBER(E703))),"",NETWORKDAYS(D703,E703,FERIADOS))</f>
        <v/>
      </c>
      <c r="H703" s="69"/>
      <c r="I703" s="74" t="str">
        <f aca="false">IF(B703="","",IF(ISNUMBER(H703),H703,N(G703)))</f>
        <v/>
      </c>
      <c r="J703" s="64"/>
      <c r="K703" s="64"/>
      <c r="L703" s="93" t="str">
        <f aca="false">IF(NOT(ISNUMBER(D703)),"",DATE(YEAR(D703),MONTH(D703),1))</f>
        <v/>
      </c>
      <c r="M703" s="70" t="str">
        <f aca="false">IF(B703="","",IF(AND(ISNUMBER(D703),ISNUMBER(E703),E703&lt;D703),"⚠ Término anterior al inicio",IF(J703&lt;&gt;"Sí","Pendiente comprobante firmado","OK")))</f>
        <v/>
      </c>
    </row>
    <row r="704" customFormat="false" ht="15" hidden="false" customHeight="false" outlineLevel="0" collapsed="false">
      <c r="B704" s="64"/>
      <c r="C704" s="72" t="str">
        <f aca="false">IF(B704="","",IFERROR(INDEX(T_NOMBRE,MATCH(B704,T_ID,0)),"⚠ ID no existe"))</f>
        <v/>
      </c>
      <c r="D704" s="65"/>
      <c r="E704" s="65"/>
      <c r="F704" s="64"/>
      <c r="G704" s="74" t="str">
        <f aca="false">IF(OR(B704="",NOT(ISNUMBER(D704)),NOT(ISNUMBER(E704))),"",NETWORKDAYS(D704,E704,FERIADOS))</f>
        <v/>
      </c>
      <c r="H704" s="69"/>
      <c r="I704" s="74" t="str">
        <f aca="false">IF(B704="","",IF(ISNUMBER(H704),H704,N(G704)))</f>
        <v/>
      </c>
      <c r="J704" s="64"/>
      <c r="K704" s="64"/>
      <c r="L704" s="93" t="str">
        <f aca="false">IF(NOT(ISNUMBER(D704)),"",DATE(YEAR(D704),MONTH(D704),1))</f>
        <v/>
      </c>
      <c r="M704" s="70" t="str">
        <f aca="false">IF(B704="","",IF(AND(ISNUMBER(D704),ISNUMBER(E704),E704&lt;D704),"⚠ Término anterior al inicio",IF(J704&lt;&gt;"Sí","Pendiente comprobante firmado","OK")))</f>
        <v/>
      </c>
    </row>
    <row r="705" customFormat="false" ht="15" hidden="false" customHeight="false" outlineLevel="0" collapsed="false">
      <c r="B705" s="64"/>
      <c r="C705" s="72" t="str">
        <f aca="false">IF(B705="","",IFERROR(INDEX(T_NOMBRE,MATCH(B705,T_ID,0)),"⚠ ID no existe"))</f>
        <v/>
      </c>
      <c r="D705" s="65"/>
      <c r="E705" s="65"/>
      <c r="F705" s="64"/>
      <c r="G705" s="74" t="str">
        <f aca="false">IF(OR(B705="",NOT(ISNUMBER(D705)),NOT(ISNUMBER(E705))),"",NETWORKDAYS(D705,E705,FERIADOS))</f>
        <v/>
      </c>
      <c r="H705" s="69"/>
      <c r="I705" s="74" t="str">
        <f aca="false">IF(B705="","",IF(ISNUMBER(H705),H705,N(G705)))</f>
        <v/>
      </c>
      <c r="J705" s="64"/>
      <c r="K705" s="64"/>
      <c r="L705" s="93" t="str">
        <f aca="false">IF(NOT(ISNUMBER(D705)),"",DATE(YEAR(D705),MONTH(D705),1))</f>
        <v/>
      </c>
      <c r="M705" s="70" t="str">
        <f aca="false">IF(B705="","",IF(AND(ISNUMBER(D705),ISNUMBER(E705),E705&lt;D705),"⚠ Término anterior al inicio",IF(J705&lt;&gt;"Sí","Pendiente comprobante firmado","OK")))</f>
        <v/>
      </c>
    </row>
    <row r="706" customFormat="false" ht="15" hidden="false" customHeight="false" outlineLevel="0" collapsed="false">
      <c r="B706" s="64"/>
      <c r="C706" s="72" t="str">
        <f aca="false">IF(B706="","",IFERROR(INDEX(T_NOMBRE,MATCH(B706,T_ID,0)),"⚠ ID no existe"))</f>
        <v/>
      </c>
      <c r="D706" s="65"/>
      <c r="E706" s="65"/>
      <c r="F706" s="64"/>
      <c r="G706" s="74" t="str">
        <f aca="false">IF(OR(B706="",NOT(ISNUMBER(D706)),NOT(ISNUMBER(E706))),"",NETWORKDAYS(D706,E706,FERIADOS))</f>
        <v/>
      </c>
      <c r="H706" s="69"/>
      <c r="I706" s="74" t="str">
        <f aca="false">IF(B706="","",IF(ISNUMBER(H706),H706,N(G706)))</f>
        <v/>
      </c>
      <c r="J706" s="64"/>
      <c r="K706" s="64"/>
      <c r="L706" s="93" t="str">
        <f aca="false">IF(NOT(ISNUMBER(D706)),"",DATE(YEAR(D706),MONTH(D706),1))</f>
        <v/>
      </c>
      <c r="M706" s="70" t="str">
        <f aca="false">IF(B706="","",IF(AND(ISNUMBER(D706),ISNUMBER(E706),E706&lt;D706),"⚠ Término anterior al inicio",IF(J706&lt;&gt;"Sí","Pendiente comprobante firmado","OK")))</f>
        <v/>
      </c>
    </row>
    <row r="707" customFormat="false" ht="15" hidden="false" customHeight="false" outlineLevel="0" collapsed="false">
      <c r="B707" s="64"/>
      <c r="C707" s="72" t="str">
        <f aca="false">IF(B707="","",IFERROR(INDEX(T_NOMBRE,MATCH(B707,T_ID,0)),"⚠ ID no existe"))</f>
        <v/>
      </c>
      <c r="D707" s="65"/>
      <c r="E707" s="65"/>
      <c r="F707" s="64"/>
      <c r="G707" s="74" t="str">
        <f aca="false">IF(OR(B707="",NOT(ISNUMBER(D707)),NOT(ISNUMBER(E707))),"",NETWORKDAYS(D707,E707,FERIADOS))</f>
        <v/>
      </c>
      <c r="H707" s="69"/>
      <c r="I707" s="74" t="str">
        <f aca="false">IF(B707="","",IF(ISNUMBER(H707),H707,N(G707)))</f>
        <v/>
      </c>
      <c r="J707" s="64"/>
      <c r="K707" s="64"/>
      <c r="L707" s="93" t="str">
        <f aca="false">IF(NOT(ISNUMBER(D707)),"",DATE(YEAR(D707),MONTH(D707),1))</f>
        <v/>
      </c>
      <c r="M707" s="70" t="str">
        <f aca="false">IF(B707="","",IF(AND(ISNUMBER(D707),ISNUMBER(E707),E707&lt;D707),"⚠ Término anterior al inicio",IF(J707&lt;&gt;"Sí","Pendiente comprobante firmado","OK")))</f>
        <v/>
      </c>
    </row>
    <row r="708" customFormat="false" ht="15" hidden="false" customHeight="false" outlineLevel="0" collapsed="false">
      <c r="B708" s="64"/>
      <c r="C708" s="72" t="str">
        <f aca="false">IF(B708="","",IFERROR(INDEX(T_NOMBRE,MATCH(B708,T_ID,0)),"⚠ ID no existe"))</f>
        <v/>
      </c>
      <c r="D708" s="65"/>
      <c r="E708" s="65"/>
      <c r="F708" s="64"/>
      <c r="G708" s="74" t="str">
        <f aca="false">IF(OR(B708="",NOT(ISNUMBER(D708)),NOT(ISNUMBER(E708))),"",NETWORKDAYS(D708,E708,FERIADOS))</f>
        <v/>
      </c>
      <c r="H708" s="69"/>
      <c r="I708" s="74" t="str">
        <f aca="false">IF(B708="","",IF(ISNUMBER(H708),H708,N(G708)))</f>
        <v/>
      </c>
      <c r="J708" s="64"/>
      <c r="K708" s="64"/>
      <c r="L708" s="93" t="str">
        <f aca="false">IF(NOT(ISNUMBER(D708)),"",DATE(YEAR(D708),MONTH(D708),1))</f>
        <v/>
      </c>
      <c r="M708" s="70" t="str">
        <f aca="false">IF(B708="","",IF(AND(ISNUMBER(D708),ISNUMBER(E708),E708&lt;D708),"⚠ Término anterior al inicio",IF(J708&lt;&gt;"Sí","Pendiente comprobante firmado","OK")))</f>
        <v/>
      </c>
    </row>
    <row r="709" customFormat="false" ht="15" hidden="false" customHeight="false" outlineLevel="0" collapsed="false">
      <c r="B709" s="64"/>
      <c r="C709" s="72" t="str">
        <f aca="false">IF(B709="","",IFERROR(INDEX(T_NOMBRE,MATCH(B709,T_ID,0)),"⚠ ID no existe"))</f>
        <v/>
      </c>
      <c r="D709" s="65"/>
      <c r="E709" s="65"/>
      <c r="F709" s="64"/>
      <c r="G709" s="74" t="str">
        <f aca="false">IF(OR(B709="",NOT(ISNUMBER(D709)),NOT(ISNUMBER(E709))),"",NETWORKDAYS(D709,E709,FERIADOS))</f>
        <v/>
      </c>
      <c r="H709" s="69"/>
      <c r="I709" s="74" t="str">
        <f aca="false">IF(B709="","",IF(ISNUMBER(H709),H709,N(G709)))</f>
        <v/>
      </c>
      <c r="J709" s="64"/>
      <c r="K709" s="64"/>
      <c r="L709" s="93" t="str">
        <f aca="false">IF(NOT(ISNUMBER(D709)),"",DATE(YEAR(D709),MONTH(D709),1))</f>
        <v/>
      </c>
      <c r="M709" s="70" t="str">
        <f aca="false">IF(B709="","",IF(AND(ISNUMBER(D709),ISNUMBER(E709),E709&lt;D709),"⚠ Término anterior al inicio",IF(J709&lt;&gt;"Sí","Pendiente comprobante firmado","OK")))</f>
        <v/>
      </c>
    </row>
    <row r="710" customFormat="false" ht="15" hidden="false" customHeight="false" outlineLevel="0" collapsed="false">
      <c r="B710" s="64"/>
      <c r="C710" s="72" t="str">
        <f aca="false">IF(B710="","",IFERROR(INDEX(T_NOMBRE,MATCH(B710,T_ID,0)),"⚠ ID no existe"))</f>
        <v/>
      </c>
      <c r="D710" s="65"/>
      <c r="E710" s="65"/>
      <c r="F710" s="64"/>
      <c r="G710" s="74" t="str">
        <f aca="false">IF(OR(B710="",NOT(ISNUMBER(D710)),NOT(ISNUMBER(E710))),"",NETWORKDAYS(D710,E710,FERIADOS))</f>
        <v/>
      </c>
      <c r="H710" s="69"/>
      <c r="I710" s="74" t="str">
        <f aca="false">IF(B710="","",IF(ISNUMBER(H710),H710,N(G710)))</f>
        <v/>
      </c>
      <c r="J710" s="64"/>
      <c r="K710" s="64"/>
      <c r="L710" s="93" t="str">
        <f aca="false">IF(NOT(ISNUMBER(D710)),"",DATE(YEAR(D710),MONTH(D710),1))</f>
        <v/>
      </c>
      <c r="M710" s="70" t="str">
        <f aca="false">IF(B710="","",IF(AND(ISNUMBER(D710),ISNUMBER(E710),E710&lt;D710),"⚠ Término anterior al inicio",IF(J710&lt;&gt;"Sí","Pendiente comprobante firmado","OK")))</f>
        <v/>
      </c>
    </row>
    <row r="711" customFormat="false" ht="15" hidden="false" customHeight="false" outlineLevel="0" collapsed="false">
      <c r="B711" s="64"/>
      <c r="C711" s="72" t="str">
        <f aca="false">IF(B711="","",IFERROR(INDEX(T_NOMBRE,MATCH(B711,T_ID,0)),"⚠ ID no existe"))</f>
        <v/>
      </c>
      <c r="D711" s="65"/>
      <c r="E711" s="65"/>
      <c r="F711" s="64"/>
      <c r="G711" s="74" t="str">
        <f aca="false">IF(OR(B711="",NOT(ISNUMBER(D711)),NOT(ISNUMBER(E711))),"",NETWORKDAYS(D711,E711,FERIADOS))</f>
        <v/>
      </c>
      <c r="H711" s="69"/>
      <c r="I711" s="74" t="str">
        <f aca="false">IF(B711="","",IF(ISNUMBER(H711),H711,N(G711)))</f>
        <v/>
      </c>
      <c r="J711" s="64"/>
      <c r="K711" s="64"/>
      <c r="L711" s="93" t="str">
        <f aca="false">IF(NOT(ISNUMBER(D711)),"",DATE(YEAR(D711),MONTH(D711),1))</f>
        <v/>
      </c>
      <c r="M711" s="70" t="str">
        <f aca="false">IF(B711="","",IF(AND(ISNUMBER(D711),ISNUMBER(E711),E711&lt;D711),"⚠ Término anterior al inicio",IF(J711&lt;&gt;"Sí","Pendiente comprobante firmado","OK")))</f>
        <v/>
      </c>
    </row>
    <row r="712" customFormat="false" ht="15" hidden="false" customHeight="false" outlineLevel="0" collapsed="false">
      <c r="B712" s="64"/>
      <c r="C712" s="72" t="str">
        <f aca="false">IF(B712="","",IFERROR(INDEX(T_NOMBRE,MATCH(B712,T_ID,0)),"⚠ ID no existe"))</f>
        <v/>
      </c>
      <c r="D712" s="65"/>
      <c r="E712" s="65"/>
      <c r="F712" s="64"/>
      <c r="G712" s="74" t="str">
        <f aca="false">IF(OR(B712="",NOT(ISNUMBER(D712)),NOT(ISNUMBER(E712))),"",NETWORKDAYS(D712,E712,FERIADOS))</f>
        <v/>
      </c>
      <c r="H712" s="69"/>
      <c r="I712" s="74" t="str">
        <f aca="false">IF(B712="","",IF(ISNUMBER(H712),H712,N(G712)))</f>
        <v/>
      </c>
      <c r="J712" s="64"/>
      <c r="K712" s="64"/>
      <c r="L712" s="93" t="str">
        <f aca="false">IF(NOT(ISNUMBER(D712)),"",DATE(YEAR(D712),MONTH(D712),1))</f>
        <v/>
      </c>
      <c r="M712" s="70" t="str">
        <f aca="false">IF(B712="","",IF(AND(ISNUMBER(D712),ISNUMBER(E712),E712&lt;D712),"⚠ Término anterior al inicio",IF(J712&lt;&gt;"Sí","Pendiente comprobante firmado","OK")))</f>
        <v/>
      </c>
    </row>
    <row r="713" customFormat="false" ht="15" hidden="false" customHeight="false" outlineLevel="0" collapsed="false">
      <c r="B713" s="64"/>
      <c r="C713" s="72" t="str">
        <f aca="false">IF(B713="","",IFERROR(INDEX(T_NOMBRE,MATCH(B713,T_ID,0)),"⚠ ID no existe"))</f>
        <v/>
      </c>
      <c r="D713" s="65"/>
      <c r="E713" s="65"/>
      <c r="F713" s="64"/>
      <c r="G713" s="74" t="str">
        <f aca="false">IF(OR(B713="",NOT(ISNUMBER(D713)),NOT(ISNUMBER(E713))),"",NETWORKDAYS(D713,E713,FERIADOS))</f>
        <v/>
      </c>
      <c r="H713" s="69"/>
      <c r="I713" s="74" t="str">
        <f aca="false">IF(B713="","",IF(ISNUMBER(H713),H713,N(G713)))</f>
        <v/>
      </c>
      <c r="J713" s="64"/>
      <c r="K713" s="64"/>
      <c r="L713" s="93" t="str">
        <f aca="false">IF(NOT(ISNUMBER(D713)),"",DATE(YEAR(D713),MONTH(D713),1))</f>
        <v/>
      </c>
      <c r="M713" s="70" t="str">
        <f aca="false">IF(B713="","",IF(AND(ISNUMBER(D713),ISNUMBER(E713),E713&lt;D713),"⚠ Término anterior al inicio",IF(J713&lt;&gt;"Sí","Pendiente comprobante firmado","OK")))</f>
        <v/>
      </c>
    </row>
    <row r="714" customFormat="false" ht="15" hidden="false" customHeight="false" outlineLevel="0" collapsed="false">
      <c r="B714" s="64"/>
      <c r="C714" s="72" t="str">
        <f aca="false">IF(B714="","",IFERROR(INDEX(T_NOMBRE,MATCH(B714,T_ID,0)),"⚠ ID no existe"))</f>
        <v/>
      </c>
      <c r="D714" s="65"/>
      <c r="E714" s="65"/>
      <c r="F714" s="64"/>
      <c r="G714" s="74" t="str">
        <f aca="false">IF(OR(B714="",NOT(ISNUMBER(D714)),NOT(ISNUMBER(E714))),"",NETWORKDAYS(D714,E714,FERIADOS))</f>
        <v/>
      </c>
      <c r="H714" s="69"/>
      <c r="I714" s="74" t="str">
        <f aca="false">IF(B714="","",IF(ISNUMBER(H714),H714,N(G714)))</f>
        <v/>
      </c>
      <c r="J714" s="64"/>
      <c r="K714" s="64"/>
      <c r="L714" s="93" t="str">
        <f aca="false">IF(NOT(ISNUMBER(D714)),"",DATE(YEAR(D714),MONTH(D714),1))</f>
        <v/>
      </c>
      <c r="M714" s="70" t="str">
        <f aca="false">IF(B714="","",IF(AND(ISNUMBER(D714),ISNUMBER(E714),E714&lt;D714),"⚠ Término anterior al inicio",IF(J714&lt;&gt;"Sí","Pendiente comprobante firmado","OK")))</f>
        <v/>
      </c>
    </row>
    <row r="715" customFormat="false" ht="15" hidden="false" customHeight="false" outlineLevel="0" collapsed="false">
      <c r="B715" s="64"/>
      <c r="C715" s="72" t="str">
        <f aca="false">IF(B715="","",IFERROR(INDEX(T_NOMBRE,MATCH(B715,T_ID,0)),"⚠ ID no existe"))</f>
        <v/>
      </c>
      <c r="D715" s="65"/>
      <c r="E715" s="65"/>
      <c r="F715" s="64"/>
      <c r="G715" s="74" t="str">
        <f aca="false">IF(OR(B715="",NOT(ISNUMBER(D715)),NOT(ISNUMBER(E715))),"",NETWORKDAYS(D715,E715,FERIADOS))</f>
        <v/>
      </c>
      <c r="H715" s="69"/>
      <c r="I715" s="74" t="str">
        <f aca="false">IF(B715="","",IF(ISNUMBER(H715),H715,N(G715)))</f>
        <v/>
      </c>
      <c r="J715" s="64"/>
      <c r="K715" s="64"/>
      <c r="L715" s="93" t="str">
        <f aca="false">IF(NOT(ISNUMBER(D715)),"",DATE(YEAR(D715),MONTH(D715),1))</f>
        <v/>
      </c>
      <c r="M715" s="70" t="str">
        <f aca="false">IF(B715="","",IF(AND(ISNUMBER(D715),ISNUMBER(E715),E715&lt;D715),"⚠ Término anterior al inicio",IF(J715&lt;&gt;"Sí","Pendiente comprobante firmado","OK")))</f>
        <v/>
      </c>
    </row>
    <row r="716" customFormat="false" ht="15" hidden="false" customHeight="false" outlineLevel="0" collapsed="false">
      <c r="B716" s="64"/>
      <c r="C716" s="72" t="str">
        <f aca="false">IF(B716="","",IFERROR(INDEX(T_NOMBRE,MATCH(B716,T_ID,0)),"⚠ ID no existe"))</f>
        <v/>
      </c>
      <c r="D716" s="65"/>
      <c r="E716" s="65"/>
      <c r="F716" s="64"/>
      <c r="G716" s="74" t="str">
        <f aca="false">IF(OR(B716="",NOT(ISNUMBER(D716)),NOT(ISNUMBER(E716))),"",NETWORKDAYS(D716,E716,FERIADOS))</f>
        <v/>
      </c>
      <c r="H716" s="69"/>
      <c r="I716" s="74" t="str">
        <f aca="false">IF(B716="","",IF(ISNUMBER(H716),H716,N(G716)))</f>
        <v/>
      </c>
      <c r="J716" s="64"/>
      <c r="K716" s="64"/>
      <c r="L716" s="93" t="str">
        <f aca="false">IF(NOT(ISNUMBER(D716)),"",DATE(YEAR(D716),MONTH(D716),1))</f>
        <v/>
      </c>
      <c r="M716" s="70" t="str">
        <f aca="false">IF(B716="","",IF(AND(ISNUMBER(D716),ISNUMBER(E716),E716&lt;D716),"⚠ Término anterior al inicio",IF(J716&lt;&gt;"Sí","Pendiente comprobante firmado","OK")))</f>
        <v/>
      </c>
    </row>
    <row r="717" customFormat="false" ht="15" hidden="false" customHeight="false" outlineLevel="0" collapsed="false">
      <c r="B717" s="64"/>
      <c r="C717" s="72" t="str">
        <f aca="false">IF(B717="","",IFERROR(INDEX(T_NOMBRE,MATCH(B717,T_ID,0)),"⚠ ID no existe"))</f>
        <v/>
      </c>
      <c r="D717" s="65"/>
      <c r="E717" s="65"/>
      <c r="F717" s="64"/>
      <c r="G717" s="74" t="str">
        <f aca="false">IF(OR(B717="",NOT(ISNUMBER(D717)),NOT(ISNUMBER(E717))),"",NETWORKDAYS(D717,E717,FERIADOS))</f>
        <v/>
      </c>
      <c r="H717" s="69"/>
      <c r="I717" s="74" t="str">
        <f aca="false">IF(B717="","",IF(ISNUMBER(H717),H717,N(G717)))</f>
        <v/>
      </c>
      <c r="J717" s="64"/>
      <c r="K717" s="64"/>
      <c r="L717" s="93" t="str">
        <f aca="false">IF(NOT(ISNUMBER(D717)),"",DATE(YEAR(D717),MONTH(D717),1))</f>
        <v/>
      </c>
      <c r="M717" s="70" t="str">
        <f aca="false">IF(B717="","",IF(AND(ISNUMBER(D717),ISNUMBER(E717),E717&lt;D717),"⚠ Término anterior al inicio",IF(J717&lt;&gt;"Sí","Pendiente comprobante firmado","OK")))</f>
        <v/>
      </c>
    </row>
    <row r="718" customFormat="false" ht="15" hidden="false" customHeight="false" outlineLevel="0" collapsed="false">
      <c r="B718" s="64"/>
      <c r="C718" s="72" t="str">
        <f aca="false">IF(B718="","",IFERROR(INDEX(T_NOMBRE,MATCH(B718,T_ID,0)),"⚠ ID no existe"))</f>
        <v/>
      </c>
      <c r="D718" s="65"/>
      <c r="E718" s="65"/>
      <c r="F718" s="64"/>
      <c r="G718" s="74" t="str">
        <f aca="false">IF(OR(B718="",NOT(ISNUMBER(D718)),NOT(ISNUMBER(E718))),"",NETWORKDAYS(D718,E718,FERIADOS))</f>
        <v/>
      </c>
      <c r="H718" s="69"/>
      <c r="I718" s="74" t="str">
        <f aca="false">IF(B718="","",IF(ISNUMBER(H718),H718,N(G718)))</f>
        <v/>
      </c>
      <c r="J718" s="64"/>
      <c r="K718" s="64"/>
      <c r="L718" s="93" t="str">
        <f aca="false">IF(NOT(ISNUMBER(D718)),"",DATE(YEAR(D718),MONTH(D718),1))</f>
        <v/>
      </c>
      <c r="M718" s="70" t="str">
        <f aca="false">IF(B718="","",IF(AND(ISNUMBER(D718),ISNUMBER(E718),E718&lt;D718),"⚠ Término anterior al inicio",IF(J718&lt;&gt;"Sí","Pendiente comprobante firmado","OK")))</f>
        <v/>
      </c>
    </row>
    <row r="719" customFormat="false" ht="15" hidden="false" customHeight="false" outlineLevel="0" collapsed="false">
      <c r="B719" s="64"/>
      <c r="C719" s="72" t="str">
        <f aca="false">IF(B719="","",IFERROR(INDEX(T_NOMBRE,MATCH(B719,T_ID,0)),"⚠ ID no existe"))</f>
        <v/>
      </c>
      <c r="D719" s="65"/>
      <c r="E719" s="65"/>
      <c r="F719" s="64"/>
      <c r="G719" s="74" t="str">
        <f aca="false">IF(OR(B719="",NOT(ISNUMBER(D719)),NOT(ISNUMBER(E719))),"",NETWORKDAYS(D719,E719,FERIADOS))</f>
        <v/>
      </c>
      <c r="H719" s="69"/>
      <c r="I719" s="74" t="str">
        <f aca="false">IF(B719="","",IF(ISNUMBER(H719),H719,N(G719)))</f>
        <v/>
      </c>
      <c r="J719" s="64"/>
      <c r="K719" s="64"/>
      <c r="L719" s="93" t="str">
        <f aca="false">IF(NOT(ISNUMBER(D719)),"",DATE(YEAR(D719),MONTH(D719),1))</f>
        <v/>
      </c>
      <c r="M719" s="70" t="str">
        <f aca="false">IF(B719="","",IF(AND(ISNUMBER(D719),ISNUMBER(E719),E719&lt;D719),"⚠ Término anterior al inicio",IF(J719&lt;&gt;"Sí","Pendiente comprobante firmado","OK")))</f>
        <v/>
      </c>
    </row>
    <row r="720" customFormat="false" ht="15" hidden="false" customHeight="false" outlineLevel="0" collapsed="false">
      <c r="B720" s="64"/>
      <c r="C720" s="72" t="str">
        <f aca="false">IF(B720="","",IFERROR(INDEX(T_NOMBRE,MATCH(B720,T_ID,0)),"⚠ ID no existe"))</f>
        <v/>
      </c>
      <c r="D720" s="65"/>
      <c r="E720" s="65"/>
      <c r="F720" s="64"/>
      <c r="G720" s="74" t="str">
        <f aca="false">IF(OR(B720="",NOT(ISNUMBER(D720)),NOT(ISNUMBER(E720))),"",NETWORKDAYS(D720,E720,FERIADOS))</f>
        <v/>
      </c>
      <c r="H720" s="69"/>
      <c r="I720" s="74" t="str">
        <f aca="false">IF(B720="","",IF(ISNUMBER(H720),H720,N(G720)))</f>
        <v/>
      </c>
      <c r="J720" s="64"/>
      <c r="K720" s="64"/>
      <c r="L720" s="93" t="str">
        <f aca="false">IF(NOT(ISNUMBER(D720)),"",DATE(YEAR(D720),MONTH(D720),1))</f>
        <v/>
      </c>
      <c r="M720" s="70" t="str">
        <f aca="false">IF(B720="","",IF(AND(ISNUMBER(D720),ISNUMBER(E720),E720&lt;D720),"⚠ Término anterior al inicio",IF(J720&lt;&gt;"Sí","Pendiente comprobante firmado","OK")))</f>
        <v/>
      </c>
    </row>
    <row r="721" customFormat="false" ht="15" hidden="false" customHeight="false" outlineLevel="0" collapsed="false">
      <c r="B721" s="64"/>
      <c r="C721" s="72" t="str">
        <f aca="false">IF(B721="","",IFERROR(INDEX(T_NOMBRE,MATCH(B721,T_ID,0)),"⚠ ID no existe"))</f>
        <v/>
      </c>
      <c r="D721" s="65"/>
      <c r="E721" s="65"/>
      <c r="F721" s="64"/>
      <c r="G721" s="74" t="str">
        <f aca="false">IF(OR(B721="",NOT(ISNUMBER(D721)),NOT(ISNUMBER(E721))),"",NETWORKDAYS(D721,E721,FERIADOS))</f>
        <v/>
      </c>
      <c r="H721" s="69"/>
      <c r="I721" s="74" t="str">
        <f aca="false">IF(B721="","",IF(ISNUMBER(H721),H721,N(G721)))</f>
        <v/>
      </c>
      <c r="J721" s="64"/>
      <c r="K721" s="64"/>
      <c r="L721" s="93" t="str">
        <f aca="false">IF(NOT(ISNUMBER(D721)),"",DATE(YEAR(D721),MONTH(D721),1))</f>
        <v/>
      </c>
      <c r="M721" s="70" t="str">
        <f aca="false">IF(B721="","",IF(AND(ISNUMBER(D721),ISNUMBER(E721),E721&lt;D721),"⚠ Término anterior al inicio",IF(J721&lt;&gt;"Sí","Pendiente comprobante firmado","OK")))</f>
        <v/>
      </c>
    </row>
    <row r="722" customFormat="false" ht="15" hidden="false" customHeight="false" outlineLevel="0" collapsed="false">
      <c r="B722" s="64"/>
      <c r="C722" s="72" t="str">
        <f aca="false">IF(B722="","",IFERROR(INDEX(T_NOMBRE,MATCH(B722,T_ID,0)),"⚠ ID no existe"))</f>
        <v/>
      </c>
      <c r="D722" s="65"/>
      <c r="E722" s="65"/>
      <c r="F722" s="64"/>
      <c r="G722" s="74" t="str">
        <f aca="false">IF(OR(B722="",NOT(ISNUMBER(D722)),NOT(ISNUMBER(E722))),"",NETWORKDAYS(D722,E722,FERIADOS))</f>
        <v/>
      </c>
      <c r="H722" s="69"/>
      <c r="I722" s="74" t="str">
        <f aca="false">IF(B722="","",IF(ISNUMBER(H722),H722,N(G722)))</f>
        <v/>
      </c>
      <c r="J722" s="64"/>
      <c r="K722" s="64"/>
      <c r="L722" s="93" t="str">
        <f aca="false">IF(NOT(ISNUMBER(D722)),"",DATE(YEAR(D722),MONTH(D722),1))</f>
        <v/>
      </c>
      <c r="M722" s="70" t="str">
        <f aca="false">IF(B722="","",IF(AND(ISNUMBER(D722),ISNUMBER(E722),E722&lt;D722),"⚠ Término anterior al inicio",IF(J722&lt;&gt;"Sí","Pendiente comprobante firmado","OK")))</f>
        <v/>
      </c>
    </row>
    <row r="723" customFormat="false" ht="15" hidden="false" customHeight="false" outlineLevel="0" collapsed="false">
      <c r="B723" s="64"/>
      <c r="C723" s="72" t="str">
        <f aca="false">IF(B723="","",IFERROR(INDEX(T_NOMBRE,MATCH(B723,T_ID,0)),"⚠ ID no existe"))</f>
        <v/>
      </c>
      <c r="D723" s="65"/>
      <c r="E723" s="65"/>
      <c r="F723" s="64"/>
      <c r="G723" s="74" t="str">
        <f aca="false">IF(OR(B723="",NOT(ISNUMBER(D723)),NOT(ISNUMBER(E723))),"",NETWORKDAYS(D723,E723,FERIADOS))</f>
        <v/>
      </c>
      <c r="H723" s="69"/>
      <c r="I723" s="74" t="str">
        <f aca="false">IF(B723="","",IF(ISNUMBER(H723),H723,N(G723)))</f>
        <v/>
      </c>
      <c r="J723" s="64"/>
      <c r="K723" s="64"/>
      <c r="L723" s="93" t="str">
        <f aca="false">IF(NOT(ISNUMBER(D723)),"",DATE(YEAR(D723),MONTH(D723),1))</f>
        <v/>
      </c>
      <c r="M723" s="70" t="str">
        <f aca="false">IF(B723="","",IF(AND(ISNUMBER(D723),ISNUMBER(E723),E723&lt;D723),"⚠ Término anterior al inicio",IF(J723&lt;&gt;"Sí","Pendiente comprobante firmado","OK")))</f>
        <v/>
      </c>
    </row>
    <row r="724" customFormat="false" ht="15" hidden="false" customHeight="false" outlineLevel="0" collapsed="false">
      <c r="B724" s="64"/>
      <c r="C724" s="72" t="str">
        <f aca="false">IF(B724="","",IFERROR(INDEX(T_NOMBRE,MATCH(B724,T_ID,0)),"⚠ ID no existe"))</f>
        <v/>
      </c>
      <c r="D724" s="65"/>
      <c r="E724" s="65"/>
      <c r="F724" s="64"/>
      <c r="G724" s="74" t="str">
        <f aca="false">IF(OR(B724="",NOT(ISNUMBER(D724)),NOT(ISNUMBER(E724))),"",NETWORKDAYS(D724,E724,FERIADOS))</f>
        <v/>
      </c>
      <c r="H724" s="69"/>
      <c r="I724" s="74" t="str">
        <f aca="false">IF(B724="","",IF(ISNUMBER(H724),H724,N(G724)))</f>
        <v/>
      </c>
      <c r="J724" s="64"/>
      <c r="K724" s="64"/>
      <c r="L724" s="93" t="str">
        <f aca="false">IF(NOT(ISNUMBER(D724)),"",DATE(YEAR(D724),MONTH(D724),1))</f>
        <v/>
      </c>
      <c r="M724" s="70" t="str">
        <f aca="false">IF(B724="","",IF(AND(ISNUMBER(D724),ISNUMBER(E724),E724&lt;D724),"⚠ Término anterior al inicio",IF(J724&lt;&gt;"Sí","Pendiente comprobante firmado","OK")))</f>
        <v/>
      </c>
    </row>
    <row r="725" customFormat="false" ht="15" hidden="false" customHeight="false" outlineLevel="0" collapsed="false">
      <c r="B725" s="64"/>
      <c r="C725" s="72" t="str">
        <f aca="false">IF(B725="","",IFERROR(INDEX(T_NOMBRE,MATCH(B725,T_ID,0)),"⚠ ID no existe"))</f>
        <v/>
      </c>
      <c r="D725" s="65"/>
      <c r="E725" s="65"/>
      <c r="F725" s="64"/>
      <c r="G725" s="74" t="str">
        <f aca="false">IF(OR(B725="",NOT(ISNUMBER(D725)),NOT(ISNUMBER(E725))),"",NETWORKDAYS(D725,E725,FERIADOS))</f>
        <v/>
      </c>
      <c r="H725" s="69"/>
      <c r="I725" s="74" t="str">
        <f aca="false">IF(B725="","",IF(ISNUMBER(H725),H725,N(G725)))</f>
        <v/>
      </c>
      <c r="J725" s="64"/>
      <c r="K725" s="64"/>
      <c r="L725" s="93" t="str">
        <f aca="false">IF(NOT(ISNUMBER(D725)),"",DATE(YEAR(D725),MONTH(D725),1))</f>
        <v/>
      </c>
      <c r="M725" s="70" t="str">
        <f aca="false">IF(B725="","",IF(AND(ISNUMBER(D725),ISNUMBER(E725),E725&lt;D725),"⚠ Término anterior al inicio",IF(J725&lt;&gt;"Sí","Pendiente comprobante firmado","OK")))</f>
        <v/>
      </c>
    </row>
    <row r="726" customFormat="false" ht="15" hidden="false" customHeight="false" outlineLevel="0" collapsed="false">
      <c r="B726" s="64"/>
      <c r="C726" s="72" t="str">
        <f aca="false">IF(B726="","",IFERROR(INDEX(T_NOMBRE,MATCH(B726,T_ID,0)),"⚠ ID no existe"))</f>
        <v/>
      </c>
      <c r="D726" s="65"/>
      <c r="E726" s="65"/>
      <c r="F726" s="64"/>
      <c r="G726" s="74" t="str">
        <f aca="false">IF(OR(B726="",NOT(ISNUMBER(D726)),NOT(ISNUMBER(E726))),"",NETWORKDAYS(D726,E726,FERIADOS))</f>
        <v/>
      </c>
      <c r="H726" s="69"/>
      <c r="I726" s="74" t="str">
        <f aca="false">IF(B726="","",IF(ISNUMBER(H726),H726,N(G726)))</f>
        <v/>
      </c>
      <c r="J726" s="64"/>
      <c r="K726" s="64"/>
      <c r="L726" s="93" t="str">
        <f aca="false">IF(NOT(ISNUMBER(D726)),"",DATE(YEAR(D726),MONTH(D726),1))</f>
        <v/>
      </c>
      <c r="M726" s="70" t="str">
        <f aca="false">IF(B726="","",IF(AND(ISNUMBER(D726),ISNUMBER(E726),E726&lt;D726),"⚠ Término anterior al inicio",IF(J726&lt;&gt;"Sí","Pendiente comprobante firmado","OK")))</f>
        <v/>
      </c>
    </row>
    <row r="727" customFormat="false" ht="15" hidden="false" customHeight="false" outlineLevel="0" collapsed="false">
      <c r="B727" s="64"/>
      <c r="C727" s="72" t="str">
        <f aca="false">IF(B727="","",IFERROR(INDEX(T_NOMBRE,MATCH(B727,T_ID,0)),"⚠ ID no existe"))</f>
        <v/>
      </c>
      <c r="D727" s="65"/>
      <c r="E727" s="65"/>
      <c r="F727" s="64"/>
      <c r="G727" s="74" t="str">
        <f aca="false">IF(OR(B727="",NOT(ISNUMBER(D727)),NOT(ISNUMBER(E727))),"",NETWORKDAYS(D727,E727,FERIADOS))</f>
        <v/>
      </c>
      <c r="H727" s="69"/>
      <c r="I727" s="74" t="str">
        <f aca="false">IF(B727="","",IF(ISNUMBER(H727),H727,N(G727)))</f>
        <v/>
      </c>
      <c r="J727" s="64"/>
      <c r="K727" s="64"/>
      <c r="L727" s="93" t="str">
        <f aca="false">IF(NOT(ISNUMBER(D727)),"",DATE(YEAR(D727),MONTH(D727),1))</f>
        <v/>
      </c>
      <c r="M727" s="70" t="str">
        <f aca="false">IF(B727="","",IF(AND(ISNUMBER(D727),ISNUMBER(E727),E727&lt;D727),"⚠ Término anterior al inicio",IF(J727&lt;&gt;"Sí","Pendiente comprobante firmado","OK")))</f>
        <v/>
      </c>
    </row>
    <row r="728" customFormat="false" ht="15" hidden="false" customHeight="false" outlineLevel="0" collapsed="false">
      <c r="B728" s="64"/>
      <c r="C728" s="72" t="str">
        <f aca="false">IF(B728="","",IFERROR(INDEX(T_NOMBRE,MATCH(B728,T_ID,0)),"⚠ ID no existe"))</f>
        <v/>
      </c>
      <c r="D728" s="65"/>
      <c r="E728" s="65"/>
      <c r="F728" s="64"/>
      <c r="G728" s="74" t="str">
        <f aca="false">IF(OR(B728="",NOT(ISNUMBER(D728)),NOT(ISNUMBER(E728))),"",NETWORKDAYS(D728,E728,FERIADOS))</f>
        <v/>
      </c>
      <c r="H728" s="69"/>
      <c r="I728" s="74" t="str">
        <f aca="false">IF(B728="","",IF(ISNUMBER(H728),H728,N(G728)))</f>
        <v/>
      </c>
      <c r="J728" s="64"/>
      <c r="K728" s="64"/>
      <c r="L728" s="93" t="str">
        <f aca="false">IF(NOT(ISNUMBER(D728)),"",DATE(YEAR(D728),MONTH(D728),1))</f>
        <v/>
      </c>
      <c r="M728" s="70" t="str">
        <f aca="false">IF(B728="","",IF(AND(ISNUMBER(D728),ISNUMBER(E728),E728&lt;D728),"⚠ Término anterior al inicio",IF(J728&lt;&gt;"Sí","Pendiente comprobante firmado","OK")))</f>
        <v/>
      </c>
    </row>
    <row r="729" customFormat="false" ht="15" hidden="false" customHeight="false" outlineLevel="0" collapsed="false">
      <c r="B729" s="64"/>
      <c r="C729" s="72" t="str">
        <f aca="false">IF(B729="","",IFERROR(INDEX(T_NOMBRE,MATCH(B729,T_ID,0)),"⚠ ID no existe"))</f>
        <v/>
      </c>
      <c r="D729" s="65"/>
      <c r="E729" s="65"/>
      <c r="F729" s="64"/>
      <c r="G729" s="74" t="str">
        <f aca="false">IF(OR(B729="",NOT(ISNUMBER(D729)),NOT(ISNUMBER(E729))),"",NETWORKDAYS(D729,E729,FERIADOS))</f>
        <v/>
      </c>
      <c r="H729" s="69"/>
      <c r="I729" s="74" t="str">
        <f aca="false">IF(B729="","",IF(ISNUMBER(H729),H729,N(G729)))</f>
        <v/>
      </c>
      <c r="J729" s="64"/>
      <c r="K729" s="64"/>
      <c r="L729" s="93" t="str">
        <f aca="false">IF(NOT(ISNUMBER(D729)),"",DATE(YEAR(D729),MONTH(D729),1))</f>
        <v/>
      </c>
      <c r="M729" s="70" t="str">
        <f aca="false">IF(B729="","",IF(AND(ISNUMBER(D729),ISNUMBER(E729),E729&lt;D729),"⚠ Término anterior al inicio",IF(J729&lt;&gt;"Sí","Pendiente comprobante firmado","OK")))</f>
        <v/>
      </c>
    </row>
    <row r="730" customFormat="false" ht="15" hidden="false" customHeight="false" outlineLevel="0" collapsed="false">
      <c r="B730" s="64"/>
      <c r="C730" s="72" t="str">
        <f aca="false">IF(B730="","",IFERROR(INDEX(T_NOMBRE,MATCH(B730,T_ID,0)),"⚠ ID no existe"))</f>
        <v/>
      </c>
      <c r="D730" s="65"/>
      <c r="E730" s="65"/>
      <c r="F730" s="64"/>
      <c r="G730" s="74" t="str">
        <f aca="false">IF(OR(B730="",NOT(ISNUMBER(D730)),NOT(ISNUMBER(E730))),"",NETWORKDAYS(D730,E730,FERIADOS))</f>
        <v/>
      </c>
      <c r="H730" s="69"/>
      <c r="I730" s="74" t="str">
        <f aca="false">IF(B730="","",IF(ISNUMBER(H730),H730,N(G730)))</f>
        <v/>
      </c>
      <c r="J730" s="64"/>
      <c r="K730" s="64"/>
      <c r="L730" s="93" t="str">
        <f aca="false">IF(NOT(ISNUMBER(D730)),"",DATE(YEAR(D730),MONTH(D730),1))</f>
        <v/>
      </c>
      <c r="M730" s="70" t="str">
        <f aca="false">IF(B730="","",IF(AND(ISNUMBER(D730),ISNUMBER(E730),E730&lt;D730),"⚠ Término anterior al inicio",IF(J730&lt;&gt;"Sí","Pendiente comprobante firmado","OK")))</f>
        <v/>
      </c>
    </row>
    <row r="731" customFormat="false" ht="15" hidden="false" customHeight="false" outlineLevel="0" collapsed="false">
      <c r="B731" s="64"/>
      <c r="C731" s="72" t="str">
        <f aca="false">IF(B731="","",IFERROR(INDEX(T_NOMBRE,MATCH(B731,T_ID,0)),"⚠ ID no existe"))</f>
        <v/>
      </c>
      <c r="D731" s="65"/>
      <c r="E731" s="65"/>
      <c r="F731" s="64"/>
      <c r="G731" s="74" t="str">
        <f aca="false">IF(OR(B731="",NOT(ISNUMBER(D731)),NOT(ISNUMBER(E731))),"",NETWORKDAYS(D731,E731,FERIADOS))</f>
        <v/>
      </c>
      <c r="H731" s="69"/>
      <c r="I731" s="74" t="str">
        <f aca="false">IF(B731="","",IF(ISNUMBER(H731),H731,N(G731)))</f>
        <v/>
      </c>
      <c r="J731" s="64"/>
      <c r="K731" s="64"/>
      <c r="L731" s="93" t="str">
        <f aca="false">IF(NOT(ISNUMBER(D731)),"",DATE(YEAR(D731),MONTH(D731),1))</f>
        <v/>
      </c>
      <c r="M731" s="70" t="str">
        <f aca="false">IF(B731="","",IF(AND(ISNUMBER(D731),ISNUMBER(E731),E731&lt;D731),"⚠ Término anterior al inicio",IF(J731&lt;&gt;"Sí","Pendiente comprobante firmado","OK")))</f>
        <v/>
      </c>
    </row>
    <row r="732" customFormat="false" ht="15" hidden="false" customHeight="false" outlineLevel="0" collapsed="false">
      <c r="B732" s="64"/>
      <c r="C732" s="72" t="str">
        <f aca="false">IF(B732="","",IFERROR(INDEX(T_NOMBRE,MATCH(B732,T_ID,0)),"⚠ ID no existe"))</f>
        <v/>
      </c>
      <c r="D732" s="65"/>
      <c r="E732" s="65"/>
      <c r="F732" s="64"/>
      <c r="G732" s="74" t="str">
        <f aca="false">IF(OR(B732="",NOT(ISNUMBER(D732)),NOT(ISNUMBER(E732))),"",NETWORKDAYS(D732,E732,FERIADOS))</f>
        <v/>
      </c>
      <c r="H732" s="69"/>
      <c r="I732" s="74" t="str">
        <f aca="false">IF(B732="","",IF(ISNUMBER(H732),H732,N(G732)))</f>
        <v/>
      </c>
      <c r="J732" s="64"/>
      <c r="K732" s="64"/>
      <c r="L732" s="93" t="str">
        <f aca="false">IF(NOT(ISNUMBER(D732)),"",DATE(YEAR(D732),MONTH(D732),1))</f>
        <v/>
      </c>
      <c r="M732" s="70" t="str">
        <f aca="false">IF(B732="","",IF(AND(ISNUMBER(D732),ISNUMBER(E732),E732&lt;D732),"⚠ Término anterior al inicio",IF(J732&lt;&gt;"Sí","Pendiente comprobante firmado","OK")))</f>
        <v/>
      </c>
    </row>
    <row r="733" customFormat="false" ht="15" hidden="false" customHeight="false" outlineLevel="0" collapsed="false">
      <c r="B733" s="64"/>
      <c r="C733" s="72" t="str">
        <f aca="false">IF(B733="","",IFERROR(INDEX(T_NOMBRE,MATCH(B733,T_ID,0)),"⚠ ID no existe"))</f>
        <v/>
      </c>
      <c r="D733" s="65"/>
      <c r="E733" s="65"/>
      <c r="F733" s="64"/>
      <c r="G733" s="74" t="str">
        <f aca="false">IF(OR(B733="",NOT(ISNUMBER(D733)),NOT(ISNUMBER(E733))),"",NETWORKDAYS(D733,E733,FERIADOS))</f>
        <v/>
      </c>
      <c r="H733" s="69"/>
      <c r="I733" s="74" t="str">
        <f aca="false">IF(B733="","",IF(ISNUMBER(H733),H733,N(G733)))</f>
        <v/>
      </c>
      <c r="J733" s="64"/>
      <c r="K733" s="64"/>
      <c r="L733" s="93" t="str">
        <f aca="false">IF(NOT(ISNUMBER(D733)),"",DATE(YEAR(D733),MONTH(D733),1))</f>
        <v/>
      </c>
      <c r="M733" s="70" t="str">
        <f aca="false">IF(B733="","",IF(AND(ISNUMBER(D733),ISNUMBER(E733),E733&lt;D733),"⚠ Término anterior al inicio",IF(J733&lt;&gt;"Sí","Pendiente comprobante firmado","OK")))</f>
        <v/>
      </c>
    </row>
    <row r="734" customFormat="false" ht="15" hidden="false" customHeight="false" outlineLevel="0" collapsed="false">
      <c r="B734" s="64"/>
      <c r="C734" s="72" t="str">
        <f aca="false">IF(B734="","",IFERROR(INDEX(T_NOMBRE,MATCH(B734,T_ID,0)),"⚠ ID no existe"))</f>
        <v/>
      </c>
      <c r="D734" s="65"/>
      <c r="E734" s="65"/>
      <c r="F734" s="64"/>
      <c r="G734" s="74" t="str">
        <f aca="false">IF(OR(B734="",NOT(ISNUMBER(D734)),NOT(ISNUMBER(E734))),"",NETWORKDAYS(D734,E734,FERIADOS))</f>
        <v/>
      </c>
      <c r="H734" s="69"/>
      <c r="I734" s="74" t="str">
        <f aca="false">IF(B734="","",IF(ISNUMBER(H734),H734,N(G734)))</f>
        <v/>
      </c>
      <c r="J734" s="64"/>
      <c r="K734" s="64"/>
      <c r="L734" s="93" t="str">
        <f aca="false">IF(NOT(ISNUMBER(D734)),"",DATE(YEAR(D734),MONTH(D734),1))</f>
        <v/>
      </c>
      <c r="M734" s="70" t="str">
        <f aca="false">IF(B734="","",IF(AND(ISNUMBER(D734),ISNUMBER(E734),E734&lt;D734),"⚠ Término anterior al inicio",IF(J734&lt;&gt;"Sí","Pendiente comprobante firmado","OK")))</f>
        <v/>
      </c>
    </row>
    <row r="735" customFormat="false" ht="15" hidden="false" customHeight="false" outlineLevel="0" collapsed="false">
      <c r="B735" s="64"/>
      <c r="C735" s="72" t="str">
        <f aca="false">IF(B735="","",IFERROR(INDEX(T_NOMBRE,MATCH(B735,T_ID,0)),"⚠ ID no existe"))</f>
        <v/>
      </c>
      <c r="D735" s="65"/>
      <c r="E735" s="65"/>
      <c r="F735" s="64"/>
      <c r="G735" s="74" t="str">
        <f aca="false">IF(OR(B735="",NOT(ISNUMBER(D735)),NOT(ISNUMBER(E735))),"",NETWORKDAYS(D735,E735,FERIADOS))</f>
        <v/>
      </c>
      <c r="H735" s="69"/>
      <c r="I735" s="74" t="str">
        <f aca="false">IF(B735="","",IF(ISNUMBER(H735),H735,N(G735)))</f>
        <v/>
      </c>
      <c r="J735" s="64"/>
      <c r="K735" s="64"/>
      <c r="L735" s="93" t="str">
        <f aca="false">IF(NOT(ISNUMBER(D735)),"",DATE(YEAR(D735),MONTH(D735),1))</f>
        <v/>
      </c>
      <c r="M735" s="70" t="str">
        <f aca="false">IF(B735="","",IF(AND(ISNUMBER(D735),ISNUMBER(E735),E735&lt;D735),"⚠ Término anterior al inicio",IF(J735&lt;&gt;"Sí","Pendiente comprobante firmado","OK")))</f>
        <v/>
      </c>
    </row>
    <row r="736" customFormat="false" ht="15" hidden="false" customHeight="false" outlineLevel="0" collapsed="false">
      <c r="B736" s="64"/>
      <c r="C736" s="72" t="str">
        <f aca="false">IF(B736="","",IFERROR(INDEX(T_NOMBRE,MATCH(B736,T_ID,0)),"⚠ ID no existe"))</f>
        <v/>
      </c>
      <c r="D736" s="65"/>
      <c r="E736" s="65"/>
      <c r="F736" s="64"/>
      <c r="G736" s="74" t="str">
        <f aca="false">IF(OR(B736="",NOT(ISNUMBER(D736)),NOT(ISNUMBER(E736))),"",NETWORKDAYS(D736,E736,FERIADOS))</f>
        <v/>
      </c>
      <c r="H736" s="69"/>
      <c r="I736" s="74" t="str">
        <f aca="false">IF(B736="","",IF(ISNUMBER(H736),H736,N(G736)))</f>
        <v/>
      </c>
      <c r="J736" s="64"/>
      <c r="K736" s="64"/>
      <c r="L736" s="93" t="str">
        <f aca="false">IF(NOT(ISNUMBER(D736)),"",DATE(YEAR(D736),MONTH(D736),1))</f>
        <v/>
      </c>
      <c r="M736" s="70" t="str">
        <f aca="false">IF(B736="","",IF(AND(ISNUMBER(D736),ISNUMBER(E736),E736&lt;D736),"⚠ Término anterior al inicio",IF(J736&lt;&gt;"Sí","Pendiente comprobante firmado","OK")))</f>
        <v/>
      </c>
    </row>
    <row r="737" customFormat="false" ht="15" hidden="false" customHeight="false" outlineLevel="0" collapsed="false">
      <c r="B737" s="64"/>
      <c r="C737" s="72" t="str">
        <f aca="false">IF(B737="","",IFERROR(INDEX(T_NOMBRE,MATCH(B737,T_ID,0)),"⚠ ID no existe"))</f>
        <v/>
      </c>
      <c r="D737" s="65"/>
      <c r="E737" s="65"/>
      <c r="F737" s="64"/>
      <c r="G737" s="74" t="str">
        <f aca="false">IF(OR(B737="",NOT(ISNUMBER(D737)),NOT(ISNUMBER(E737))),"",NETWORKDAYS(D737,E737,FERIADOS))</f>
        <v/>
      </c>
      <c r="H737" s="69"/>
      <c r="I737" s="74" t="str">
        <f aca="false">IF(B737="","",IF(ISNUMBER(H737),H737,N(G737)))</f>
        <v/>
      </c>
      <c r="J737" s="64"/>
      <c r="K737" s="64"/>
      <c r="L737" s="93" t="str">
        <f aca="false">IF(NOT(ISNUMBER(D737)),"",DATE(YEAR(D737),MONTH(D737),1))</f>
        <v/>
      </c>
      <c r="M737" s="70" t="str">
        <f aca="false">IF(B737="","",IF(AND(ISNUMBER(D737),ISNUMBER(E737),E737&lt;D737),"⚠ Término anterior al inicio",IF(J737&lt;&gt;"Sí","Pendiente comprobante firmado","OK")))</f>
        <v/>
      </c>
    </row>
    <row r="738" customFormat="false" ht="15" hidden="false" customHeight="false" outlineLevel="0" collapsed="false">
      <c r="B738" s="64"/>
      <c r="C738" s="72" t="str">
        <f aca="false">IF(B738="","",IFERROR(INDEX(T_NOMBRE,MATCH(B738,T_ID,0)),"⚠ ID no existe"))</f>
        <v/>
      </c>
      <c r="D738" s="65"/>
      <c r="E738" s="65"/>
      <c r="F738" s="64"/>
      <c r="G738" s="74" t="str">
        <f aca="false">IF(OR(B738="",NOT(ISNUMBER(D738)),NOT(ISNUMBER(E738))),"",NETWORKDAYS(D738,E738,FERIADOS))</f>
        <v/>
      </c>
      <c r="H738" s="69"/>
      <c r="I738" s="74" t="str">
        <f aca="false">IF(B738="","",IF(ISNUMBER(H738),H738,N(G738)))</f>
        <v/>
      </c>
      <c r="J738" s="64"/>
      <c r="K738" s="64"/>
      <c r="L738" s="93" t="str">
        <f aca="false">IF(NOT(ISNUMBER(D738)),"",DATE(YEAR(D738),MONTH(D738),1))</f>
        <v/>
      </c>
      <c r="M738" s="70" t="str">
        <f aca="false">IF(B738="","",IF(AND(ISNUMBER(D738),ISNUMBER(E738),E738&lt;D738),"⚠ Término anterior al inicio",IF(J738&lt;&gt;"Sí","Pendiente comprobante firmado","OK")))</f>
        <v/>
      </c>
    </row>
    <row r="739" customFormat="false" ht="15" hidden="false" customHeight="false" outlineLevel="0" collapsed="false">
      <c r="B739" s="64"/>
      <c r="C739" s="72" t="str">
        <f aca="false">IF(B739="","",IFERROR(INDEX(T_NOMBRE,MATCH(B739,T_ID,0)),"⚠ ID no existe"))</f>
        <v/>
      </c>
      <c r="D739" s="65"/>
      <c r="E739" s="65"/>
      <c r="F739" s="64"/>
      <c r="G739" s="74" t="str">
        <f aca="false">IF(OR(B739="",NOT(ISNUMBER(D739)),NOT(ISNUMBER(E739))),"",NETWORKDAYS(D739,E739,FERIADOS))</f>
        <v/>
      </c>
      <c r="H739" s="69"/>
      <c r="I739" s="74" t="str">
        <f aca="false">IF(B739="","",IF(ISNUMBER(H739),H739,N(G739)))</f>
        <v/>
      </c>
      <c r="J739" s="64"/>
      <c r="K739" s="64"/>
      <c r="L739" s="93" t="str">
        <f aca="false">IF(NOT(ISNUMBER(D739)),"",DATE(YEAR(D739),MONTH(D739),1))</f>
        <v/>
      </c>
      <c r="M739" s="70" t="str">
        <f aca="false">IF(B739="","",IF(AND(ISNUMBER(D739),ISNUMBER(E739),E739&lt;D739),"⚠ Término anterior al inicio",IF(J739&lt;&gt;"Sí","Pendiente comprobante firmado","OK")))</f>
        <v/>
      </c>
    </row>
    <row r="740" customFormat="false" ht="15" hidden="false" customHeight="false" outlineLevel="0" collapsed="false">
      <c r="B740" s="64"/>
      <c r="C740" s="72" t="str">
        <f aca="false">IF(B740="","",IFERROR(INDEX(T_NOMBRE,MATCH(B740,T_ID,0)),"⚠ ID no existe"))</f>
        <v/>
      </c>
      <c r="D740" s="65"/>
      <c r="E740" s="65"/>
      <c r="F740" s="64"/>
      <c r="G740" s="74" t="str">
        <f aca="false">IF(OR(B740="",NOT(ISNUMBER(D740)),NOT(ISNUMBER(E740))),"",NETWORKDAYS(D740,E740,FERIADOS))</f>
        <v/>
      </c>
      <c r="H740" s="69"/>
      <c r="I740" s="74" t="str">
        <f aca="false">IF(B740="","",IF(ISNUMBER(H740),H740,N(G740)))</f>
        <v/>
      </c>
      <c r="J740" s="64"/>
      <c r="K740" s="64"/>
      <c r="L740" s="93" t="str">
        <f aca="false">IF(NOT(ISNUMBER(D740)),"",DATE(YEAR(D740),MONTH(D740),1))</f>
        <v/>
      </c>
      <c r="M740" s="70" t="str">
        <f aca="false">IF(B740="","",IF(AND(ISNUMBER(D740),ISNUMBER(E740),E740&lt;D740),"⚠ Término anterior al inicio",IF(J740&lt;&gt;"Sí","Pendiente comprobante firmado","OK")))</f>
        <v/>
      </c>
    </row>
    <row r="741" customFormat="false" ht="15" hidden="false" customHeight="false" outlineLevel="0" collapsed="false">
      <c r="B741" s="64"/>
      <c r="C741" s="72" t="str">
        <f aca="false">IF(B741="","",IFERROR(INDEX(T_NOMBRE,MATCH(B741,T_ID,0)),"⚠ ID no existe"))</f>
        <v/>
      </c>
      <c r="D741" s="65"/>
      <c r="E741" s="65"/>
      <c r="F741" s="64"/>
      <c r="G741" s="74" t="str">
        <f aca="false">IF(OR(B741="",NOT(ISNUMBER(D741)),NOT(ISNUMBER(E741))),"",NETWORKDAYS(D741,E741,FERIADOS))</f>
        <v/>
      </c>
      <c r="H741" s="69"/>
      <c r="I741" s="74" t="str">
        <f aca="false">IF(B741="","",IF(ISNUMBER(H741),H741,N(G741)))</f>
        <v/>
      </c>
      <c r="J741" s="64"/>
      <c r="K741" s="64"/>
      <c r="L741" s="93" t="str">
        <f aca="false">IF(NOT(ISNUMBER(D741)),"",DATE(YEAR(D741),MONTH(D741),1))</f>
        <v/>
      </c>
      <c r="M741" s="70" t="str">
        <f aca="false">IF(B741="","",IF(AND(ISNUMBER(D741),ISNUMBER(E741),E741&lt;D741),"⚠ Término anterior al inicio",IF(J741&lt;&gt;"Sí","Pendiente comprobante firmado","OK")))</f>
        <v/>
      </c>
    </row>
    <row r="742" customFormat="false" ht="15" hidden="false" customHeight="false" outlineLevel="0" collapsed="false">
      <c r="B742" s="64"/>
      <c r="C742" s="72" t="str">
        <f aca="false">IF(B742="","",IFERROR(INDEX(T_NOMBRE,MATCH(B742,T_ID,0)),"⚠ ID no existe"))</f>
        <v/>
      </c>
      <c r="D742" s="65"/>
      <c r="E742" s="65"/>
      <c r="F742" s="64"/>
      <c r="G742" s="74" t="str">
        <f aca="false">IF(OR(B742="",NOT(ISNUMBER(D742)),NOT(ISNUMBER(E742))),"",NETWORKDAYS(D742,E742,FERIADOS))</f>
        <v/>
      </c>
      <c r="H742" s="69"/>
      <c r="I742" s="74" t="str">
        <f aca="false">IF(B742="","",IF(ISNUMBER(H742),H742,N(G742)))</f>
        <v/>
      </c>
      <c r="J742" s="64"/>
      <c r="K742" s="64"/>
      <c r="L742" s="93" t="str">
        <f aca="false">IF(NOT(ISNUMBER(D742)),"",DATE(YEAR(D742),MONTH(D742),1))</f>
        <v/>
      </c>
      <c r="M742" s="70" t="str">
        <f aca="false">IF(B742="","",IF(AND(ISNUMBER(D742),ISNUMBER(E742),E742&lt;D742),"⚠ Término anterior al inicio",IF(J742&lt;&gt;"Sí","Pendiente comprobante firmado","OK")))</f>
        <v/>
      </c>
    </row>
    <row r="743" customFormat="false" ht="15" hidden="false" customHeight="false" outlineLevel="0" collapsed="false">
      <c r="B743" s="64"/>
      <c r="C743" s="72" t="str">
        <f aca="false">IF(B743="","",IFERROR(INDEX(T_NOMBRE,MATCH(B743,T_ID,0)),"⚠ ID no existe"))</f>
        <v/>
      </c>
      <c r="D743" s="65"/>
      <c r="E743" s="65"/>
      <c r="F743" s="64"/>
      <c r="G743" s="74" t="str">
        <f aca="false">IF(OR(B743="",NOT(ISNUMBER(D743)),NOT(ISNUMBER(E743))),"",NETWORKDAYS(D743,E743,FERIADOS))</f>
        <v/>
      </c>
      <c r="H743" s="69"/>
      <c r="I743" s="74" t="str">
        <f aca="false">IF(B743="","",IF(ISNUMBER(H743),H743,N(G743)))</f>
        <v/>
      </c>
      <c r="J743" s="64"/>
      <c r="K743" s="64"/>
      <c r="L743" s="93" t="str">
        <f aca="false">IF(NOT(ISNUMBER(D743)),"",DATE(YEAR(D743),MONTH(D743),1))</f>
        <v/>
      </c>
      <c r="M743" s="70" t="str">
        <f aca="false">IF(B743="","",IF(AND(ISNUMBER(D743),ISNUMBER(E743),E743&lt;D743),"⚠ Término anterior al inicio",IF(J743&lt;&gt;"Sí","Pendiente comprobante firmado","OK")))</f>
        <v/>
      </c>
    </row>
    <row r="744" customFormat="false" ht="15" hidden="false" customHeight="false" outlineLevel="0" collapsed="false">
      <c r="B744" s="64"/>
      <c r="C744" s="72" t="str">
        <f aca="false">IF(B744="","",IFERROR(INDEX(T_NOMBRE,MATCH(B744,T_ID,0)),"⚠ ID no existe"))</f>
        <v/>
      </c>
      <c r="D744" s="65"/>
      <c r="E744" s="65"/>
      <c r="F744" s="64"/>
      <c r="G744" s="74" t="str">
        <f aca="false">IF(OR(B744="",NOT(ISNUMBER(D744)),NOT(ISNUMBER(E744))),"",NETWORKDAYS(D744,E744,FERIADOS))</f>
        <v/>
      </c>
      <c r="H744" s="69"/>
      <c r="I744" s="74" t="str">
        <f aca="false">IF(B744="","",IF(ISNUMBER(H744),H744,N(G744)))</f>
        <v/>
      </c>
      <c r="J744" s="64"/>
      <c r="K744" s="64"/>
      <c r="L744" s="93" t="str">
        <f aca="false">IF(NOT(ISNUMBER(D744)),"",DATE(YEAR(D744),MONTH(D744),1))</f>
        <v/>
      </c>
      <c r="M744" s="70" t="str">
        <f aca="false">IF(B744="","",IF(AND(ISNUMBER(D744),ISNUMBER(E744),E744&lt;D744),"⚠ Término anterior al inicio",IF(J744&lt;&gt;"Sí","Pendiente comprobante firmado","OK")))</f>
        <v/>
      </c>
    </row>
    <row r="745" customFormat="false" ht="15" hidden="false" customHeight="false" outlineLevel="0" collapsed="false">
      <c r="B745" s="64"/>
      <c r="C745" s="72" t="str">
        <f aca="false">IF(B745="","",IFERROR(INDEX(T_NOMBRE,MATCH(B745,T_ID,0)),"⚠ ID no existe"))</f>
        <v/>
      </c>
      <c r="D745" s="65"/>
      <c r="E745" s="65"/>
      <c r="F745" s="64"/>
      <c r="G745" s="74" t="str">
        <f aca="false">IF(OR(B745="",NOT(ISNUMBER(D745)),NOT(ISNUMBER(E745))),"",NETWORKDAYS(D745,E745,FERIADOS))</f>
        <v/>
      </c>
      <c r="H745" s="69"/>
      <c r="I745" s="74" t="str">
        <f aca="false">IF(B745="","",IF(ISNUMBER(H745),H745,N(G745)))</f>
        <v/>
      </c>
      <c r="J745" s="64"/>
      <c r="K745" s="64"/>
      <c r="L745" s="93" t="str">
        <f aca="false">IF(NOT(ISNUMBER(D745)),"",DATE(YEAR(D745),MONTH(D745),1))</f>
        <v/>
      </c>
      <c r="M745" s="70" t="str">
        <f aca="false">IF(B745="","",IF(AND(ISNUMBER(D745),ISNUMBER(E745),E745&lt;D745),"⚠ Término anterior al inicio",IF(J745&lt;&gt;"Sí","Pendiente comprobante firmado","OK")))</f>
        <v/>
      </c>
    </row>
    <row r="746" customFormat="false" ht="15" hidden="false" customHeight="false" outlineLevel="0" collapsed="false">
      <c r="B746" s="64"/>
      <c r="C746" s="72" t="str">
        <f aca="false">IF(B746="","",IFERROR(INDEX(T_NOMBRE,MATCH(B746,T_ID,0)),"⚠ ID no existe"))</f>
        <v/>
      </c>
      <c r="D746" s="65"/>
      <c r="E746" s="65"/>
      <c r="F746" s="64"/>
      <c r="G746" s="74" t="str">
        <f aca="false">IF(OR(B746="",NOT(ISNUMBER(D746)),NOT(ISNUMBER(E746))),"",NETWORKDAYS(D746,E746,FERIADOS))</f>
        <v/>
      </c>
      <c r="H746" s="69"/>
      <c r="I746" s="74" t="str">
        <f aca="false">IF(B746="","",IF(ISNUMBER(H746),H746,N(G746)))</f>
        <v/>
      </c>
      <c r="J746" s="64"/>
      <c r="K746" s="64"/>
      <c r="L746" s="93" t="str">
        <f aca="false">IF(NOT(ISNUMBER(D746)),"",DATE(YEAR(D746),MONTH(D746),1))</f>
        <v/>
      </c>
      <c r="M746" s="70" t="str">
        <f aca="false">IF(B746="","",IF(AND(ISNUMBER(D746),ISNUMBER(E746),E746&lt;D746),"⚠ Término anterior al inicio",IF(J746&lt;&gt;"Sí","Pendiente comprobante firmado","OK")))</f>
        <v/>
      </c>
    </row>
    <row r="747" customFormat="false" ht="15" hidden="false" customHeight="false" outlineLevel="0" collapsed="false">
      <c r="B747" s="64"/>
      <c r="C747" s="72" t="str">
        <f aca="false">IF(B747="","",IFERROR(INDEX(T_NOMBRE,MATCH(B747,T_ID,0)),"⚠ ID no existe"))</f>
        <v/>
      </c>
      <c r="D747" s="65"/>
      <c r="E747" s="65"/>
      <c r="F747" s="64"/>
      <c r="G747" s="74" t="str">
        <f aca="false">IF(OR(B747="",NOT(ISNUMBER(D747)),NOT(ISNUMBER(E747))),"",NETWORKDAYS(D747,E747,FERIADOS))</f>
        <v/>
      </c>
      <c r="H747" s="69"/>
      <c r="I747" s="74" t="str">
        <f aca="false">IF(B747="","",IF(ISNUMBER(H747),H747,N(G747)))</f>
        <v/>
      </c>
      <c r="J747" s="64"/>
      <c r="K747" s="64"/>
      <c r="L747" s="93" t="str">
        <f aca="false">IF(NOT(ISNUMBER(D747)),"",DATE(YEAR(D747),MONTH(D747),1))</f>
        <v/>
      </c>
      <c r="M747" s="70" t="str">
        <f aca="false">IF(B747="","",IF(AND(ISNUMBER(D747),ISNUMBER(E747),E747&lt;D747),"⚠ Término anterior al inicio",IF(J747&lt;&gt;"Sí","Pendiente comprobante firmado","OK")))</f>
        <v/>
      </c>
    </row>
    <row r="748" customFormat="false" ht="15" hidden="false" customHeight="false" outlineLevel="0" collapsed="false">
      <c r="B748" s="64"/>
      <c r="C748" s="72" t="str">
        <f aca="false">IF(B748="","",IFERROR(INDEX(T_NOMBRE,MATCH(B748,T_ID,0)),"⚠ ID no existe"))</f>
        <v/>
      </c>
      <c r="D748" s="65"/>
      <c r="E748" s="65"/>
      <c r="F748" s="64"/>
      <c r="G748" s="74" t="str">
        <f aca="false">IF(OR(B748="",NOT(ISNUMBER(D748)),NOT(ISNUMBER(E748))),"",NETWORKDAYS(D748,E748,FERIADOS))</f>
        <v/>
      </c>
      <c r="H748" s="69"/>
      <c r="I748" s="74" t="str">
        <f aca="false">IF(B748="","",IF(ISNUMBER(H748),H748,N(G748)))</f>
        <v/>
      </c>
      <c r="J748" s="64"/>
      <c r="K748" s="64"/>
      <c r="L748" s="93" t="str">
        <f aca="false">IF(NOT(ISNUMBER(D748)),"",DATE(YEAR(D748),MONTH(D748),1))</f>
        <v/>
      </c>
      <c r="M748" s="70" t="str">
        <f aca="false">IF(B748="","",IF(AND(ISNUMBER(D748),ISNUMBER(E748),E748&lt;D748),"⚠ Término anterior al inicio",IF(J748&lt;&gt;"Sí","Pendiente comprobante firmado","OK")))</f>
        <v/>
      </c>
    </row>
    <row r="749" customFormat="false" ht="15" hidden="false" customHeight="false" outlineLevel="0" collapsed="false">
      <c r="B749" s="64"/>
      <c r="C749" s="72" t="str">
        <f aca="false">IF(B749="","",IFERROR(INDEX(T_NOMBRE,MATCH(B749,T_ID,0)),"⚠ ID no existe"))</f>
        <v/>
      </c>
      <c r="D749" s="65"/>
      <c r="E749" s="65"/>
      <c r="F749" s="64"/>
      <c r="G749" s="74" t="str">
        <f aca="false">IF(OR(B749="",NOT(ISNUMBER(D749)),NOT(ISNUMBER(E749))),"",NETWORKDAYS(D749,E749,FERIADOS))</f>
        <v/>
      </c>
      <c r="H749" s="69"/>
      <c r="I749" s="74" t="str">
        <f aca="false">IF(B749="","",IF(ISNUMBER(H749),H749,N(G749)))</f>
        <v/>
      </c>
      <c r="J749" s="64"/>
      <c r="K749" s="64"/>
      <c r="L749" s="93" t="str">
        <f aca="false">IF(NOT(ISNUMBER(D749)),"",DATE(YEAR(D749),MONTH(D749),1))</f>
        <v/>
      </c>
      <c r="M749" s="70" t="str">
        <f aca="false">IF(B749="","",IF(AND(ISNUMBER(D749),ISNUMBER(E749),E749&lt;D749),"⚠ Término anterior al inicio",IF(J749&lt;&gt;"Sí","Pendiente comprobante firmado","OK")))</f>
        <v/>
      </c>
    </row>
    <row r="750" customFormat="false" ht="15" hidden="false" customHeight="false" outlineLevel="0" collapsed="false">
      <c r="B750" s="64"/>
      <c r="C750" s="72" t="str">
        <f aca="false">IF(B750="","",IFERROR(INDEX(T_NOMBRE,MATCH(B750,T_ID,0)),"⚠ ID no existe"))</f>
        <v/>
      </c>
      <c r="D750" s="65"/>
      <c r="E750" s="65"/>
      <c r="F750" s="64"/>
      <c r="G750" s="74" t="str">
        <f aca="false">IF(OR(B750="",NOT(ISNUMBER(D750)),NOT(ISNUMBER(E750))),"",NETWORKDAYS(D750,E750,FERIADOS))</f>
        <v/>
      </c>
      <c r="H750" s="69"/>
      <c r="I750" s="74" t="str">
        <f aca="false">IF(B750="","",IF(ISNUMBER(H750),H750,N(G750)))</f>
        <v/>
      </c>
      <c r="J750" s="64"/>
      <c r="K750" s="64"/>
      <c r="L750" s="93" t="str">
        <f aca="false">IF(NOT(ISNUMBER(D750)),"",DATE(YEAR(D750),MONTH(D750),1))</f>
        <v/>
      </c>
      <c r="M750" s="70" t="str">
        <f aca="false">IF(B750="","",IF(AND(ISNUMBER(D750),ISNUMBER(E750),E750&lt;D750),"⚠ Término anterior al inicio",IF(J750&lt;&gt;"Sí","Pendiente comprobante firmado","OK")))</f>
        <v/>
      </c>
    </row>
    <row r="751" customFormat="false" ht="15" hidden="false" customHeight="false" outlineLevel="0" collapsed="false">
      <c r="B751" s="64"/>
      <c r="C751" s="72" t="str">
        <f aca="false">IF(B751="","",IFERROR(INDEX(T_NOMBRE,MATCH(B751,T_ID,0)),"⚠ ID no existe"))</f>
        <v/>
      </c>
      <c r="D751" s="65"/>
      <c r="E751" s="65"/>
      <c r="F751" s="64"/>
      <c r="G751" s="74" t="str">
        <f aca="false">IF(OR(B751="",NOT(ISNUMBER(D751)),NOT(ISNUMBER(E751))),"",NETWORKDAYS(D751,E751,FERIADOS))</f>
        <v/>
      </c>
      <c r="H751" s="69"/>
      <c r="I751" s="74" t="str">
        <f aca="false">IF(B751="","",IF(ISNUMBER(H751),H751,N(G751)))</f>
        <v/>
      </c>
      <c r="J751" s="64"/>
      <c r="K751" s="64"/>
      <c r="L751" s="93" t="str">
        <f aca="false">IF(NOT(ISNUMBER(D751)),"",DATE(YEAR(D751),MONTH(D751),1))</f>
        <v/>
      </c>
      <c r="M751" s="70" t="str">
        <f aca="false">IF(B751="","",IF(AND(ISNUMBER(D751),ISNUMBER(E751),E751&lt;D751),"⚠ Término anterior al inicio",IF(J751&lt;&gt;"Sí","Pendiente comprobante firmado","OK")))</f>
        <v/>
      </c>
    </row>
    <row r="752" customFormat="false" ht="15" hidden="false" customHeight="false" outlineLevel="0" collapsed="false">
      <c r="B752" s="64"/>
      <c r="C752" s="72" t="str">
        <f aca="false">IF(B752="","",IFERROR(INDEX(T_NOMBRE,MATCH(B752,T_ID,0)),"⚠ ID no existe"))</f>
        <v/>
      </c>
      <c r="D752" s="65"/>
      <c r="E752" s="65"/>
      <c r="F752" s="64"/>
      <c r="G752" s="74" t="str">
        <f aca="false">IF(OR(B752="",NOT(ISNUMBER(D752)),NOT(ISNUMBER(E752))),"",NETWORKDAYS(D752,E752,FERIADOS))</f>
        <v/>
      </c>
      <c r="H752" s="69"/>
      <c r="I752" s="74" t="str">
        <f aca="false">IF(B752="","",IF(ISNUMBER(H752),H752,N(G752)))</f>
        <v/>
      </c>
      <c r="J752" s="64"/>
      <c r="K752" s="64"/>
      <c r="L752" s="93" t="str">
        <f aca="false">IF(NOT(ISNUMBER(D752)),"",DATE(YEAR(D752),MONTH(D752),1))</f>
        <v/>
      </c>
      <c r="M752" s="70" t="str">
        <f aca="false">IF(B752="","",IF(AND(ISNUMBER(D752),ISNUMBER(E752),E752&lt;D752),"⚠ Término anterior al inicio",IF(J752&lt;&gt;"Sí","Pendiente comprobante firmado","OK")))</f>
        <v/>
      </c>
    </row>
    <row r="753" customFormat="false" ht="15" hidden="false" customHeight="false" outlineLevel="0" collapsed="false">
      <c r="B753" s="64"/>
      <c r="C753" s="72" t="str">
        <f aca="false">IF(B753="","",IFERROR(INDEX(T_NOMBRE,MATCH(B753,T_ID,0)),"⚠ ID no existe"))</f>
        <v/>
      </c>
      <c r="D753" s="65"/>
      <c r="E753" s="65"/>
      <c r="F753" s="64"/>
      <c r="G753" s="74" t="str">
        <f aca="false">IF(OR(B753="",NOT(ISNUMBER(D753)),NOT(ISNUMBER(E753))),"",NETWORKDAYS(D753,E753,FERIADOS))</f>
        <v/>
      </c>
      <c r="H753" s="69"/>
      <c r="I753" s="74" t="str">
        <f aca="false">IF(B753="","",IF(ISNUMBER(H753),H753,N(G753)))</f>
        <v/>
      </c>
      <c r="J753" s="64"/>
      <c r="K753" s="64"/>
      <c r="L753" s="93" t="str">
        <f aca="false">IF(NOT(ISNUMBER(D753)),"",DATE(YEAR(D753),MONTH(D753),1))</f>
        <v/>
      </c>
      <c r="M753" s="70" t="str">
        <f aca="false">IF(B753="","",IF(AND(ISNUMBER(D753),ISNUMBER(E753),E753&lt;D753),"⚠ Término anterior al inicio",IF(J753&lt;&gt;"Sí","Pendiente comprobante firmado","OK")))</f>
        <v/>
      </c>
    </row>
    <row r="754" customFormat="false" ht="15" hidden="false" customHeight="false" outlineLevel="0" collapsed="false">
      <c r="B754" s="64"/>
      <c r="C754" s="72" t="str">
        <f aca="false">IF(B754="","",IFERROR(INDEX(T_NOMBRE,MATCH(B754,T_ID,0)),"⚠ ID no existe"))</f>
        <v/>
      </c>
      <c r="D754" s="65"/>
      <c r="E754" s="65"/>
      <c r="F754" s="64"/>
      <c r="G754" s="74" t="str">
        <f aca="false">IF(OR(B754="",NOT(ISNUMBER(D754)),NOT(ISNUMBER(E754))),"",NETWORKDAYS(D754,E754,FERIADOS))</f>
        <v/>
      </c>
      <c r="H754" s="69"/>
      <c r="I754" s="74" t="str">
        <f aca="false">IF(B754="","",IF(ISNUMBER(H754),H754,N(G754)))</f>
        <v/>
      </c>
      <c r="J754" s="64"/>
      <c r="K754" s="64"/>
      <c r="L754" s="93" t="str">
        <f aca="false">IF(NOT(ISNUMBER(D754)),"",DATE(YEAR(D754),MONTH(D754),1))</f>
        <v/>
      </c>
      <c r="M754" s="70" t="str">
        <f aca="false">IF(B754="","",IF(AND(ISNUMBER(D754),ISNUMBER(E754),E754&lt;D754),"⚠ Término anterior al inicio",IF(J754&lt;&gt;"Sí","Pendiente comprobante firmado","OK")))</f>
        <v/>
      </c>
    </row>
    <row r="755" customFormat="false" ht="15" hidden="false" customHeight="false" outlineLevel="0" collapsed="false">
      <c r="B755" s="64"/>
      <c r="C755" s="72" t="str">
        <f aca="false">IF(B755="","",IFERROR(INDEX(T_NOMBRE,MATCH(B755,T_ID,0)),"⚠ ID no existe"))</f>
        <v/>
      </c>
      <c r="D755" s="65"/>
      <c r="E755" s="65"/>
      <c r="F755" s="64"/>
      <c r="G755" s="74" t="str">
        <f aca="false">IF(OR(B755="",NOT(ISNUMBER(D755)),NOT(ISNUMBER(E755))),"",NETWORKDAYS(D755,E755,FERIADOS))</f>
        <v/>
      </c>
      <c r="H755" s="69"/>
      <c r="I755" s="74" t="str">
        <f aca="false">IF(B755="","",IF(ISNUMBER(H755),H755,N(G755)))</f>
        <v/>
      </c>
      <c r="J755" s="64"/>
      <c r="K755" s="64"/>
      <c r="L755" s="93" t="str">
        <f aca="false">IF(NOT(ISNUMBER(D755)),"",DATE(YEAR(D755),MONTH(D755),1))</f>
        <v/>
      </c>
      <c r="M755" s="70" t="str">
        <f aca="false">IF(B755="","",IF(AND(ISNUMBER(D755),ISNUMBER(E755),E755&lt;D755),"⚠ Término anterior al inicio",IF(J755&lt;&gt;"Sí","Pendiente comprobante firmado","OK")))</f>
        <v/>
      </c>
    </row>
    <row r="756" customFormat="false" ht="15" hidden="false" customHeight="false" outlineLevel="0" collapsed="false">
      <c r="B756" s="64"/>
      <c r="C756" s="72" t="str">
        <f aca="false">IF(B756="","",IFERROR(INDEX(T_NOMBRE,MATCH(B756,T_ID,0)),"⚠ ID no existe"))</f>
        <v/>
      </c>
      <c r="D756" s="65"/>
      <c r="E756" s="65"/>
      <c r="F756" s="64"/>
      <c r="G756" s="74" t="str">
        <f aca="false">IF(OR(B756="",NOT(ISNUMBER(D756)),NOT(ISNUMBER(E756))),"",NETWORKDAYS(D756,E756,FERIADOS))</f>
        <v/>
      </c>
      <c r="H756" s="69"/>
      <c r="I756" s="74" t="str">
        <f aca="false">IF(B756="","",IF(ISNUMBER(H756),H756,N(G756)))</f>
        <v/>
      </c>
      <c r="J756" s="64"/>
      <c r="K756" s="64"/>
      <c r="L756" s="93" t="str">
        <f aca="false">IF(NOT(ISNUMBER(D756)),"",DATE(YEAR(D756),MONTH(D756),1))</f>
        <v/>
      </c>
      <c r="M756" s="70" t="str">
        <f aca="false">IF(B756="","",IF(AND(ISNUMBER(D756),ISNUMBER(E756),E756&lt;D756),"⚠ Término anterior al inicio",IF(J756&lt;&gt;"Sí","Pendiente comprobante firmado","OK")))</f>
        <v/>
      </c>
    </row>
    <row r="757" customFormat="false" ht="15" hidden="false" customHeight="false" outlineLevel="0" collapsed="false">
      <c r="B757" s="64"/>
      <c r="C757" s="72" t="str">
        <f aca="false">IF(B757="","",IFERROR(INDEX(T_NOMBRE,MATCH(B757,T_ID,0)),"⚠ ID no existe"))</f>
        <v/>
      </c>
      <c r="D757" s="65"/>
      <c r="E757" s="65"/>
      <c r="F757" s="64"/>
      <c r="G757" s="74" t="str">
        <f aca="false">IF(OR(B757="",NOT(ISNUMBER(D757)),NOT(ISNUMBER(E757))),"",NETWORKDAYS(D757,E757,FERIADOS))</f>
        <v/>
      </c>
      <c r="H757" s="69"/>
      <c r="I757" s="74" t="str">
        <f aca="false">IF(B757="","",IF(ISNUMBER(H757),H757,N(G757)))</f>
        <v/>
      </c>
      <c r="J757" s="64"/>
      <c r="K757" s="64"/>
      <c r="L757" s="93" t="str">
        <f aca="false">IF(NOT(ISNUMBER(D757)),"",DATE(YEAR(D757),MONTH(D757),1))</f>
        <v/>
      </c>
      <c r="M757" s="70" t="str">
        <f aca="false">IF(B757="","",IF(AND(ISNUMBER(D757),ISNUMBER(E757),E757&lt;D757),"⚠ Término anterior al inicio",IF(J757&lt;&gt;"Sí","Pendiente comprobante firmado","OK")))</f>
        <v/>
      </c>
    </row>
    <row r="758" customFormat="false" ht="15" hidden="false" customHeight="false" outlineLevel="0" collapsed="false">
      <c r="B758" s="64"/>
      <c r="C758" s="72" t="str">
        <f aca="false">IF(B758="","",IFERROR(INDEX(T_NOMBRE,MATCH(B758,T_ID,0)),"⚠ ID no existe"))</f>
        <v/>
      </c>
      <c r="D758" s="65"/>
      <c r="E758" s="65"/>
      <c r="F758" s="64"/>
      <c r="G758" s="74" t="str">
        <f aca="false">IF(OR(B758="",NOT(ISNUMBER(D758)),NOT(ISNUMBER(E758))),"",NETWORKDAYS(D758,E758,FERIADOS))</f>
        <v/>
      </c>
      <c r="H758" s="69"/>
      <c r="I758" s="74" t="str">
        <f aca="false">IF(B758="","",IF(ISNUMBER(H758),H758,N(G758)))</f>
        <v/>
      </c>
      <c r="J758" s="64"/>
      <c r="K758" s="64"/>
      <c r="L758" s="93" t="str">
        <f aca="false">IF(NOT(ISNUMBER(D758)),"",DATE(YEAR(D758),MONTH(D758),1))</f>
        <v/>
      </c>
      <c r="M758" s="70" t="str">
        <f aca="false">IF(B758="","",IF(AND(ISNUMBER(D758),ISNUMBER(E758),E758&lt;D758),"⚠ Término anterior al inicio",IF(J758&lt;&gt;"Sí","Pendiente comprobante firmado","OK")))</f>
        <v/>
      </c>
    </row>
    <row r="759" customFormat="false" ht="15" hidden="false" customHeight="false" outlineLevel="0" collapsed="false">
      <c r="B759" s="64"/>
      <c r="C759" s="72" t="str">
        <f aca="false">IF(B759="","",IFERROR(INDEX(T_NOMBRE,MATCH(B759,T_ID,0)),"⚠ ID no existe"))</f>
        <v/>
      </c>
      <c r="D759" s="65"/>
      <c r="E759" s="65"/>
      <c r="F759" s="64"/>
      <c r="G759" s="74" t="str">
        <f aca="false">IF(OR(B759="",NOT(ISNUMBER(D759)),NOT(ISNUMBER(E759))),"",NETWORKDAYS(D759,E759,FERIADOS))</f>
        <v/>
      </c>
      <c r="H759" s="69"/>
      <c r="I759" s="74" t="str">
        <f aca="false">IF(B759="","",IF(ISNUMBER(H759),H759,N(G759)))</f>
        <v/>
      </c>
      <c r="J759" s="64"/>
      <c r="K759" s="64"/>
      <c r="L759" s="93" t="str">
        <f aca="false">IF(NOT(ISNUMBER(D759)),"",DATE(YEAR(D759),MONTH(D759),1))</f>
        <v/>
      </c>
      <c r="M759" s="70" t="str">
        <f aca="false">IF(B759="","",IF(AND(ISNUMBER(D759),ISNUMBER(E759),E759&lt;D759),"⚠ Término anterior al inicio",IF(J759&lt;&gt;"Sí","Pendiente comprobante firmado","OK")))</f>
        <v/>
      </c>
    </row>
    <row r="760" customFormat="false" ht="15" hidden="false" customHeight="false" outlineLevel="0" collapsed="false">
      <c r="B760" s="64"/>
      <c r="C760" s="72" t="str">
        <f aca="false">IF(B760="","",IFERROR(INDEX(T_NOMBRE,MATCH(B760,T_ID,0)),"⚠ ID no existe"))</f>
        <v/>
      </c>
      <c r="D760" s="65"/>
      <c r="E760" s="65"/>
      <c r="F760" s="64"/>
      <c r="G760" s="74" t="str">
        <f aca="false">IF(OR(B760="",NOT(ISNUMBER(D760)),NOT(ISNUMBER(E760))),"",NETWORKDAYS(D760,E760,FERIADOS))</f>
        <v/>
      </c>
      <c r="H760" s="69"/>
      <c r="I760" s="74" t="str">
        <f aca="false">IF(B760="","",IF(ISNUMBER(H760),H760,N(G760)))</f>
        <v/>
      </c>
      <c r="J760" s="64"/>
      <c r="K760" s="64"/>
      <c r="L760" s="93" t="str">
        <f aca="false">IF(NOT(ISNUMBER(D760)),"",DATE(YEAR(D760),MONTH(D760),1))</f>
        <v/>
      </c>
      <c r="M760" s="70" t="str">
        <f aca="false">IF(B760="","",IF(AND(ISNUMBER(D760),ISNUMBER(E760),E760&lt;D760),"⚠ Término anterior al inicio",IF(J760&lt;&gt;"Sí","Pendiente comprobante firmado","OK")))</f>
        <v/>
      </c>
    </row>
    <row r="761" customFormat="false" ht="15" hidden="false" customHeight="false" outlineLevel="0" collapsed="false">
      <c r="B761" s="64"/>
      <c r="C761" s="72" t="str">
        <f aca="false">IF(B761="","",IFERROR(INDEX(T_NOMBRE,MATCH(B761,T_ID,0)),"⚠ ID no existe"))</f>
        <v/>
      </c>
      <c r="D761" s="65"/>
      <c r="E761" s="65"/>
      <c r="F761" s="64"/>
      <c r="G761" s="74" t="str">
        <f aca="false">IF(OR(B761="",NOT(ISNUMBER(D761)),NOT(ISNUMBER(E761))),"",NETWORKDAYS(D761,E761,FERIADOS))</f>
        <v/>
      </c>
      <c r="H761" s="69"/>
      <c r="I761" s="74" t="str">
        <f aca="false">IF(B761="","",IF(ISNUMBER(H761),H761,N(G761)))</f>
        <v/>
      </c>
      <c r="J761" s="64"/>
      <c r="K761" s="64"/>
      <c r="L761" s="93" t="str">
        <f aca="false">IF(NOT(ISNUMBER(D761)),"",DATE(YEAR(D761),MONTH(D761),1))</f>
        <v/>
      </c>
      <c r="M761" s="70" t="str">
        <f aca="false">IF(B761="","",IF(AND(ISNUMBER(D761),ISNUMBER(E761),E761&lt;D761),"⚠ Término anterior al inicio",IF(J761&lt;&gt;"Sí","Pendiente comprobante firmado","OK")))</f>
        <v/>
      </c>
    </row>
    <row r="762" customFormat="false" ht="15" hidden="false" customHeight="false" outlineLevel="0" collapsed="false">
      <c r="B762" s="64"/>
      <c r="C762" s="72" t="str">
        <f aca="false">IF(B762="","",IFERROR(INDEX(T_NOMBRE,MATCH(B762,T_ID,0)),"⚠ ID no existe"))</f>
        <v/>
      </c>
      <c r="D762" s="65"/>
      <c r="E762" s="65"/>
      <c r="F762" s="64"/>
      <c r="G762" s="74" t="str">
        <f aca="false">IF(OR(B762="",NOT(ISNUMBER(D762)),NOT(ISNUMBER(E762))),"",NETWORKDAYS(D762,E762,FERIADOS))</f>
        <v/>
      </c>
      <c r="H762" s="69"/>
      <c r="I762" s="74" t="str">
        <f aca="false">IF(B762="","",IF(ISNUMBER(H762),H762,N(G762)))</f>
        <v/>
      </c>
      <c r="J762" s="64"/>
      <c r="K762" s="64"/>
      <c r="L762" s="93" t="str">
        <f aca="false">IF(NOT(ISNUMBER(D762)),"",DATE(YEAR(D762),MONTH(D762),1))</f>
        <v/>
      </c>
      <c r="M762" s="70" t="str">
        <f aca="false">IF(B762="","",IF(AND(ISNUMBER(D762),ISNUMBER(E762),E762&lt;D762),"⚠ Término anterior al inicio",IF(J762&lt;&gt;"Sí","Pendiente comprobante firmado","OK")))</f>
        <v/>
      </c>
    </row>
    <row r="763" customFormat="false" ht="15" hidden="false" customHeight="false" outlineLevel="0" collapsed="false">
      <c r="B763" s="64"/>
      <c r="C763" s="72" t="str">
        <f aca="false">IF(B763="","",IFERROR(INDEX(T_NOMBRE,MATCH(B763,T_ID,0)),"⚠ ID no existe"))</f>
        <v/>
      </c>
      <c r="D763" s="65"/>
      <c r="E763" s="65"/>
      <c r="F763" s="64"/>
      <c r="G763" s="74" t="str">
        <f aca="false">IF(OR(B763="",NOT(ISNUMBER(D763)),NOT(ISNUMBER(E763))),"",NETWORKDAYS(D763,E763,FERIADOS))</f>
        <v/>
      </c>
      <c r="H763" s="69"/>
      <c r="I763" s="74" t="str">
        <f aca="false">IF(B763="","",IF(ISNUMBER(H763),H763,N(G763)))</f>
        <v/>
      </c>
      <c r="J763" s="64"/>
      <c r="K763" s="64"/>
      <c r="L763" s="93" t="str">
        <f aca="false">IF(NOT(ISNUMBER(D763)),"",DATE(YEAR(D763),MONTH(D763),1))</f>
        <v/>
      </c>
      <c r="M763" s="70" t="str">
        <f aca="false">IF(B763="","",IF(AND(ISNUMBER(D763),ISNUMBER(E763),E763&lt;D763),"⚠ Término anterior al inicio",IF(J763&lt;&gt;"Sí","Pendiente comprobante firmado","OK")))</f>
        <v/>
      </c>
    </row>
    <row r="764" customFormat="false" ht="15" hidden="false" customHeight="false" outlineLevel="0" collapsed="false">
      <c r="B764" s="64"/>
      <c r="C764" s="72" t="str">
        <f aca="false">IF(B764="","",IFERROR(INDEX(T_NOMBRE,MATCH(B764,T_ID,0)),"⚠ ID no existe"))</f>
        <v/>
      </c>
      <c r="D764" s="65"/>
      <c r="E764" s="65"/>
      <c r="F764" s="64"/>
      <c r="G764" s="74" t="str">
        <f aca="false">IF(OR(B764="",NOT(ISNUMBER(D764)),NOT(ISNUMBER(E764))),"",NETWORKDAYS(D764,E764,FERIADOS))</f>
        <v/>
      </c>
      <c r="H764" s="69"/>
      <c r="I764" s="74" t="str">
        <f aca="false">IF(B764="","",IF(ISNUMBER(H764),H764,N(G764)))</f>
        <v/>
      </c>
      <c r="J764" s="64"/>
      <c r="K764" s="64"/>
      <c r="L764" s="93" t="str">
        <f aca="false">IF(NOT(ISNUMBER(D764)),"",DATE(YEAR(D764),MONTH(D764),1))</f>
        <v/>
      </c>
      <c r="M764" s="70" t="str">
        <f aca="false">IF(B764="","",IF(AND(ISNUMBER(D764),ISNUMBER(E764),E764&lt;D764),"⚠ Término anterior al inicio",IF(J764&lt;&gt;"Sí","Pendiente comprobante firmado","OK")))</f>
        <v/>
      </c>
    </row>
    <row r="765" customFormat="false" ht="15" hidden="false" customHeight="false" outlineLevel="0" collapsed="false">
      <c r="B765" s="64"/>
      <c r="C765" s="72" t="str">
        <f aca="false">IF(B765="","",IFERROR(INDEX(T_NOMBRE,MATCH(B765,T_ID,0)),"⚠ ID no existe"))</f>
        <v/>
      </c>
      <c r="D765" s="65"/>
      <c r="E765" s="65"/>
      <c r="F765" s="64"/>
      <c r="G765" s="74" t="str">
        <f aca="false">IF(OR(B765="",NOT(ISNUMBER(D765)),NOT(ISNUMBER(E765))),"",NETWORKDAYS(D765,E765,FERIADOS))</f>
        <v/>
      </c>
      <c r="H765" s="69"/>
      <c r="I765" s="74" t="str">
        <f aca="false">IF(B765="","",IF(ISNUMBER(H765),H765,N(G765)))</f>
        <v/>
      </c>
      <c r="J765" s="64"/>
      <c r="K765" s="64"/>
      <c r="L765" s="93" t="str">
        <f aca="false">IF(NOT(ISNUMBER(D765)),"",DATE(YEAR(D765),MONTH(D765),1))</f>
        <v/>
      </c>
      <c r="M765" s="70" t="str">
        <f aca="false">IF(B765="","",IF(AND(ISNUMBER(D765),ISNUMBER(E765),E765&lt;D765),"⚠ Término anterior al inicio",IF(J765&lt;&gt;"Sí","Pendiente comprobante firmado","OK")))</f>
        <v/>
      </c>
    </row>
    <row r="766" customFormat="false" ht="15" hidden="false" customHeight="false" outlineLevel="0" collapsed="false">
      <c r="B766" s="64"/>
      <c r="C766" s="72" t="str">
        <f aca="false">IF(B766="","",IFERROR(INDEX(T_NOMBRE,MATCH(B766,T_ID,0)),"⚠ ID no existe"))</f>
        <v/>
      </c>
      <c r="D766" s="65"/>
      <c r="E766" s="65"/>
      <c r="F766" s="64"/>
      <c r="G766" s="74" t="str">
        <f aca="false">IF(OR(B766="",NOT(ISNUMBER(D766)),NOT(ISNUMBER(E766))),"",NETWORKDAYS(D766,E766,FERIADOS))</f>
        <v/>
      </c>
      <c r="H766" s="69"/>
      <c r="I766" s="74" t="str">
        <f aca="false">IF(B766="","",IF(ISNUMBER(H766),H766,N(G766)))</f>
        <v/>
      </c>
      <c r="J766" s="64"/>
      <c r="K766" s="64"/>
      <c r="L766" s="93" t="str">
        <f aca="false">IF(NOT(ISNUMBER(D766)),"",DATE(YEAR(D766),MONTH(D766),1))</f>
        <v/>
      </c>
      <c r="M766" s="70" t="str">
        <f aca="false">IF(B766="","",IF(AND(ISNUMBER(D766),ISNUMBER(E766),E766&lt;D766),"⚠ Término anterior al inicio",IF(J766&lt;&gt;"Sí","Pendiente comprobante firmado","OK")))</f>
        <v/>
      </c>
    </row>
    <row r="767" customFormat="false" ht="15" hidden="false" customHeight="false" outlineLevel="0" collapsed="false">
      <c r="B767" s="64"/>
      <c r="C767" s="72" t="str">
        <f aca="false">IF(B767="","",IFERROR(INDEX(T_NOMBRE,MATCH(B767,T_ID,0)),"⚠ ID no existe"))</f>
        <v/>
      </c>
      <c r="D767" s="65"/>
      <c r="E767" s="65"/>
      <c r="F767" s="64"/>
      <c r="G767" s="74" t="str">
        <f aca="false">IF(OR(B767="",NOT(ISNUMBER(D767)),NOT(ISNUMBER(E767))),"",NETWORKDAYS(D767,E767,FERIADOS))</f>
        <v/>
      </c>
      <c r="H767" s="69"/>
      <c r="I767" s="74" t="str">
        <f aca="false">IF(B767="","",IF(ISNUMBER(H767),H767,N(G767)))</f>
        <v/>
      </c>
      <c r="J767" s="64"/>
      <c r="K767" s="64"/>
      <c r="L767" s="93" t="str">
        <f aca="false">IF(NOT(ISNUMBER(D767)),"",DATE(YEAR(D767),MONTH(D767),1))</f>
        <v/>
      </c>
      <c r="M767" s="70" t="str">
        <f aca="false">IF(B767="","",IF(AND(ISNUMBER(D767),ISNUMBER(E767),E767&lt;D767),"⚠ Término anterior al inicio",IF(J767&lt;&gt;"Sí","Pendiente comprobante firmado","OK")))</f>
        <v/>
      </c>
    </row>
    <row r="768" customFormat="false" ht="15" hidden="false" customHeight="false" outlineLevel="0" collapsed="false">
      <c r="B768" s="64"/>
      <c r="C768" s="72" t="str">
        <f aca="false">IF(B768="","",IFERROR(INDEX(T_NOMBRE,MATCH(B768,T_ID,0)),"⚠ ID no existe"))</f>
        <v/>
      </c>
      <c r="D768" s="65"/>
      <c r="E768" s="65"/>
      <c r="F768" s="64"/>
      <c r="G768" s="74" t="str">
        <f aca="false">IF(OR(B768="",NOT(ISNUMBER(D768)),NOT(ISNUMBER(E768))),"",NETWORKDAYS(D768,E768,FERIADOS))</f>
        <v/>
      </c>
      <c r="H768" s="69"/>
      <c r="I768" s="74" t="str">
        <f aca="false">IF(B768="","",IF(ISNUMBER(H768),H768,N(G768)))</f>
        <v/>
      </c>
      <c r="J768" s="64"/>
      <c r="K768" s="64"/>
      <c r="L768" s="93" t="str">
        <f aca="false">IF(NOT(ISNUMBER(D768)),"",DATE(YEAR(D768),MONTH(D768),1))</f>
        <v/>
      </c>
      <c r="M768" s="70" t="str">
        <f aca="false">IF(B768="","",IF(AND(ISNUMBER(D768),ISNUMBER(E768),E768&lt;D768),"⚠ Término anterior al inicio",IF(J768&lt;&gt;"Sí","Pendiente comprobante firmado","OK")))</f>
        <v/>
      </c>
    </row>
    <row r="769" customFormat="false" ht="15" hidden="false" customHeight="false" outlineLevel="0" collapsed="false">
      <c r="B769" s="64"/>
      <c r="C769" s="72" t="str">
        <f aca="false">IF(B769="","",IFERROR(INDEX(T_NOMBRE,MATCH(B769,T_ID,0)),"⚠ ID no existe"))</f>
        <v/>
      </c>
      <c r="D769" s="65"/>
      <c r="E769" s="65"/>
      <c r="F769" s="64"/>
      <c r="G769" s="74" t="str">
        <f aca="false">IF(OR(B769="",NOT(ISNUMBER(D769)),NOT(ISNUMBER(E769))),"",NETWORKDAYS(D769,E769,FERIADOS))</f>
        <v/>
      </c>
      <c r="H769" s="69"/>
      <c r="I769" s="74" t="str">
        <f aca="false">IF(B769="","",IF(ISNUMBER(H769),H769,N(G769)))</f>
        <v/>
      </c>
      <c r="J769" s="64"/>
      <c r="K769" s="64"/>
      <c r="L769" s="93" t="str">
        <f aca="false">IF(NOT(ISNUMBER(D769)),"",DATE(YEAR(D769),MONTH(D769),1))</f>
        <v/>
      </c>
      <c r="M769" s="70" t="str">
        <f aca="false">IF(B769="","",IF(AND(ISNUMBER(D769),ISNUMBER(E769),E769&lt;D769),"⚠ Término anterior al inicio",IF(J769&lt;&gt;"Sí","Pendiente comprobante firmado","OK")))</f>
        <v/>
      </c>
    </row>
    <row r="770" customFormat="false" ht="15" hidden="false" customHeight="false" outlineLevel="0" collapsed="false">
      <c r="B770" s="64"/>
      <c r="C770" s="72" t="str">
        <f aca="false">IF(B770="","",IFERROR(INDEX(T_NOMBRE,MATCH(B770,T_ID,0)),"⚠ ID no existe"))</f>
        <v/>
      </c>
      <c r="D770" s="65"/>
      <c r="E770" s="65"/>
      <c r="F770" s="64"/>
      <c r="G770" s="74" t="str">
        <f aca="false">IF(OR(B770="",NOT(ISNUMBER(D770)),NOT(ISNUMBER(E770))),"",NETWORKDAYS(D770,E770,FERIADOS))</f>
        <v/>
      </c>
      <c r="H770" s="69"/>
      <c r="I770" s="74" t="str">
        <f aca="false">IF(B770="","",IF(ISNUMBER(H770),H770,N(G770)))</f>
        <v/>
      </c>
      <c r="J770" s="64"/>
      <c r="K770" s="64"/>
      <c r="L770" s="93" t="str">
        <f aca="false">IF(NOT(ISNUMBER(D770)),"",DATE(YEAR(D770),MONTH(D770),1))</f>
        <v/>
      </c>
      <c r="M770" s="70" t="str">
        <f aca="false">IF(B770="","",IF(AND(ISNUMBER(D770),ISNUMBER(E770),E770&lt;D770),"⚠ Término anterior al inicio",IF(J770&lt;&gt;"Sí","Pendiente comprobante firmado","OK")))</f>
        <v/>
      </c>
    </row>
    <row r="771" customFormat="false" ht="15" hidden="false" customHeight="false" outlineLevel="0" collapsed="false">
      <c r="B771" s="64"/>
      <c r="C771" s="72" t="str">
        <f aca="false">IF(B771="","",IFERROR(INDEX(T_NOMBRE,MATCH(B771,T_ID,0)),"⚠ ID no existe"))</f>
        <v/>
      </c>
      <c r="D771" s="65"/>
      <c r="E771" s="65"/>
      <c r="F771" s="64"/>
      <c r="G771" s="74" t="str">
        <f aca="false">IF(OR(B771="",NOT(ISNUMBER(D771)),NOT(ISNUMBER(E771))),"",NETWORKDAYS(D771,E771,FERIADOS))</f>
        <v/>
      </c>
      <c r="H771" s="69"/>
      <c r="I771" s="74" t="str">
        <f aca="false">IF(B771="","",IF(ISNUMBER(H771),H771,N(G771)))</f>
        <v/>
      </c>
      <c r="J771" s="64"/>
      <c r="K771" s="64"/>
      <c r="L771" s="93" t="str">
        <f aca="false">IF(NOT(ISNUMBER(D771)),"",DATE(YEAR(D771),MONTH(D771),1))</f>
        <v/>
      </c>
      <c r="M771" s="70" t="str">
        <f aca="false">IF(B771="","",IF(AND(ISNUMBER(D771),ISNUMBER(E771),E771&lt;D771),"⚠ Término anterior al inicio",IF(J771&lt;&gt;"Sí","Pendiente comprobante firmado","OK")))</f>
        <v/>
      </c>
    </row>
    <row r="772" customFormat="false" ht="15" hidden="false" customHeight="false" outlineLevel="0" collapsed="false">
      <c r="B772" s="64"/>
      <c r="C772" s="72" t="str">
        <f aca="false">IF(B772="","",IFERROR(INDEX(T_NOMBRE,MATCH(B772,T_ID,0)),"⚠ ID no existe"))</f>
        <v/>
      </c>
      <c r="D772" s="65"/>
      <c r="E772" s="65"/>
      <c r="F772" s="64"/>
      <c r="G772" s="74" t="str">
        <f aca="false">IF(OR(B772="",NOT(ISNUMBER(D772)),NOT(ISNUMBER(E772))),"",NETWORKDAYS(D772,E772,FERIADOS))</f>
        <v/>
      </c>
      <c r="H772" s="69"/>
      <c r="I772" s="74" t="str">
        <f aca="false">IF(B772="","",IF(ISNUMBER(H772),H772,N(G772)))</f>
        <v/>
      </c>
      <c r="J772" s="64"/>
      <c r="K772" s="64"/>
      <c r="L772" s="93" t="str">
        <f aca="false">IF(NOT(ISNUMBER(D772)),"",DATE(YEAR(D772),MONTH(D772),1))</f>
        <v/>
      </c>
      <c r="M772" s="70" t="str">
        <f aca="false">IF(B772="","",IF(AND(ISNUMBER(D772),ISNUMBER(E772),E772&lt;D772),"⚠ Término anterior al inicio",IF(J772&lt;&gt;"Sí","Pendiente comprobante firmado","OK")))</f>
        <v/>
      </c>
    </row>
    <row r="773" customFormat="false" ht="15" hidden="false" customHeight="false" outlineLevel="0" collapsed="false">
      <c r="B773" s="64"/>
      <c r="C773" s="72" t="str">
        <f aca="false">IF(B773="","",IFERROR(INDEX(T_NOMBRE,MATCH(B773,T_ID,0)),"⚠ ID no existe"))</f>
        <v/>
      </c>
      <c r="D773" s="65"/>
      <c r="E773" s="65"/>
      <c r="F773" s="64"/>
      <c r="G773" s="74" t="str">
        <f aca="false">IF(OR(B773="",NOT(ISNUMBER(D773)),NOT(ISNUMBER(E773))),"",NETWORKDAYS(D773,E773,FERIADOS))</f>
        <v/>
      </c>
      <c r="H773" s="69"/>
      <c r="I773" s="74" t="str">
        <f aca="false">IF(B773="","",IF(ISNUMBER(H773),H773,N(G773)))</f>
        <v/>
      </c>
      <c r="J773" s="64"/>
      <c r="K773" s="64"/>
      <c r="L773" s="93" t="str">
        <f aca="false">IF(NOT(ISNUMBER(D773)),"",DATE(YEAR(D773),MONTH(D773),1))</f>
        <v/>
      </c>
      <c r="M773" s="70" t="str">
        <f aca="false">IF(B773="","",IF(AND(ISNUMBER(D773),ISNUMBER(E773),E773&lt;D773),"⚠ Término anterior al inicio",IF(J773&lt;&gt;"Sí","Pendiente comprobante firmado","OK")))</f>
        <v/>
      </c>
    </row>
    <row r="774" customFormat="false" ht="15" hidden="false" customHeight="false" outlineLevel="0" collapsed="false">
      <c r="B774" s="64"/>
      <c r="C774" s="72" t="str">
        <f aca="false">IF(B774="","",IFERROR(INDEX(T_NOMBRE,MATCH(B774,T_ID,0)),"⚠ ID no existe"))</f>
        <v/>
      </c>
      <c r="D774" s="65"/>
      <c r="E774" s="65"/>
      <c r="F774" s="64"/>
      <c r="G774" s="74" t="str">
        <f aca="false">IF(OR(B774="",NOT(ISNUMBER(D774)),NOT(ISNUMBER(E774))),"",NETWORKDAYS(D774,E774,FERIADOS))</f>
        <v/>
      </c>
      <c r="H774" s="69"/>
      <c r="I774" s="74" t="str">
        <f aca="false">IF(B774="","",IF(ISNUMBER(H774),H774,N(G774)))</f>
        <v/>
      </c>
      <c r="J774" s="64"/>
      <c r="K774" s="64"/>
      <c r="L774" s="93" t="str">
        <f aca="false">IF(NOT(ISNUMBER(D774)),"",DATE(YEAR(D774),MONTH(D774),1))</f>
        <v/>
      </c>
      <c r="M774" s="70" t="str">
        <f aca="false">IF(B774="","",IF(AND(ISNUMBER(D774),ISNUMBER(E774),E774&lt;D774),"⚠ Término anterior al inicio",IF(J774&lt;&gt;"Sí","Pendiente comprobante firmado","OK")))</f>
        <v/>
      </c>
    </row>
    <row r="775" customFormat="false" ht="15" hidden="false" customHeight="false" outlineLevel="0" collapsed="false">
      <c r="B775" s="64"/>
      <c r="C775" s="72" t="str">
        <f aca="false">IF(B775="","",IFERROR(INDEX(T_NOMBRE,MATCH(B775,T_ID,0)),"⚠ ID no existe"))</f>
        <v/>
      </c>
      <c r="D775" s="65"/>
      <c r="E775" s="65"/>
      <c r="F775" s="64"/>
      <c r="G775" s="74" t="str">
        <f aca="false">IF(OR(B775="",NOT(ISNUMBER(D775)),NOT(ISNUMBER(E775))),"",NETWORKDAYS(D775,E775,FERIADOS))</f>
        <v/>
      </c>
      <c r="H775" s="69"/>
      <c r="I775" s="74" t="str">
        <f aca="false">IF(B775="","",IF(ISNUMBER(H775),H775,N(G775)))</f>
        <v/>
      </c>
      <c r="J775" s="64"/>
      <c r="K775" s="64"/>
      <c r="L775" s="93" t="str">
        <f aca="false">IF(NOT(ISNUMBER(D775)),"",DATE(YEAR(D775),MONTH(D775),1))</f>
        <v/>
      </c>
      <c r="M775" s="70" t="str">
        <f aca="false">IF(B775="","",IF(AND(ISNUMBER(D775),ISNUMBER(E775),E775&lt;D775),"⚠ Término anterior al inicio",IF(J775&lt;&gt;"Sí","Pendiente comprobante firmado","OK")))</f>
        <v/>
      </c>
    </row>
    <row r="776" customFormat="false" ht="15" hidden="false" customHeight="false" outlineLevel="0" collapsed="false">
      <c r="B776" s="64"/>
      <c r="C776" s="72" t="str">
        <f aca="false">IF(B776="","",IFERROR(INDEX(T_NOMBRE,MATCH(B776,T_ID,0)),"⚠ ID no existe"))</f>
        <v/>
      </c>
      <c r="D776" s="65"/>
      <c r="E776" s="65"/>
      <c r="F776" s="64"/>
      <c r="G776" s="74" t="str">
        <f aca="false">IF(OR(B776="",NOT(ISNUMBER(D776)),NOT(ISNUMBER(E776))),"",NETWORKDAYS(D776,E776,FERIADOS))</f>
        <v/>
      </c>
      <c r="H776" s="69"/>
      <c r="I776" s="74" t="str">
        <f aca="false">IF(B776="","",IF(ISNUMBER(H776),H776,N(G776)))</f>
        <v/>
      </c>
      <c r="J776" s="64"/>
      <c r="K776" s="64"/>
      <c r="L776" s="93" t="str">
        <f aca="false">IF(NOT(ISNUMBER(D776)),"",DATE(YEAR(D776),MONTH(D776),1))</f>
        <v/>
      </c>
      <c r="M776" s="70" t="str">
        <f aca="false">IF(B776="","",IF(AND(ISNUMBER(D776),ISNUMBER(E776),E776&lt;D776),"⚠ Término anterior al inicio",IF(J776&lt;&gt;"Sí","Pendiente comprobante firmado","OK")))</f>
        <v/>
      </c>
    </row>
    <row r="777" customFormat="false" ht="15" hidden="false" customHeight="false" outlineLevel="0" collapsed="false">
      <c r="B777" s="64"/>
      <c r="C777" s="72" t="str">
        <f aca="false">IF(B777="","",IFERROR(INDEX(T_NOMBRE,MATCH(B777,T_ID,0)),"⚠ ID no existe"))</f>
        <v/>
      </c>
      <c r="D777" s="65"/>
      <c r="E777" s="65"/>
      <c r="F777" s="64"/>
      <c r="G777" s="74" t="str">
        <f aca="false">IF(OR(B777="",NOT(ISNUMBER(D777)),NOT(ISNUMBER(E777))),"",NETWORKDAYS(D777,E777,FERIADOS))</f>
        <v/>
      </c>
      <c r="H777" s="69"/>
      <c r="I777" s="74" t="str">
        <f aca="false">IF(B777="","",IF(ISNUMBER(H777),H777,N(G777)))</f>
        <v/>
      </c>
      <c r="J777" s="64"/>
      <c r="K777" s="64"/>
      <c r="L777" s="93" t="str">
        <f aca="false">IF(NOT(ISNUMBER(D777)),"",DATE(YEAR(D777),MONTH(D777),1))</f>
        <v/>
      </c>
      <c r="M777" s="70" t="str">
        <f aca="false">IF(B777="","",IF(AND(ISNUMBER(D777),ISNUMBER(E777),E777&lt;D777),"⚠ Término anterior al inicio",IF(J777&lt;&gt;"Sí","Pendiente comprobante firmado","OK")))</f>
        <v/>
      </c>
    </row>
    <row r="778" customFormat="false" ht="15" hidden="false" customHeight="false" outlineLevel="0" collapsed="false">
      <c r="B778" s="64"/>
      <c r="C778" s="72" t="str">
        <f aca="false">IF(B778="","",IFERROR(INDEX(T_NOMBRE,MATCH(B778,T_ID,0)),"⚠ ID no existe"))</f>
        <v/>
      </c>
      <c r="D778" s="65"/>
      <c r="E778" s="65"/>
      <c r="F778" s="64"/>
      <c r="G778" s="74" t="str">
        <f aca="false">IF(OR(B778="",NOT(ISNUMBER(D778)),NOT(ISNUMBER(E778))),"",NETWORKDAYS(D778,E778,FERIADOS))</f>
        <v/>
      </c>
      <c r="H778" s="69"/>
      <c r="I778" s="74" t="str">
        <f aca="false">IF(B778="","",IF(ISNUMBER(H778),H778,N(G778)))</f>
        <v/>
      </c>
      <c r="J778" s="64"/>
      <c r="K778" s="64"/>
      <c r="L778" s="93" t="str">
        <f aca="false">IF(NOT(ISNUMBER(D778)),"",DATE(YEAR(D778),MONTH(D778),1))</f>
        <v/>
      </c>
      <c r="M778" s="70" t="str">
        <f aca="false">IF(B778="","",IF(AND(ISNUMBER(D778),ISNUMBER(E778),E778&lt;D778),"⚠ Término anterior al inicio",IF(J778&lt;&gt;"Sí","Pendiente comprobante firmado","OK")))</f>
        <v/>
      </c>
    </row>
    <row r="779" customFormat="false" ht="15" hidden="false" customHeight="false" outlineLevel="0" collapsed="false">
      <c r="B779" s="64"/>
      <c r="C779" s="72" t="str">
        <f aca="false">IF(B779="","",IFERROR(INDEX(T_NOMBRE,MATCH(B779,T_ID,0)),"⚠ ID no existe"))</f>
        <v/>
      </c>
      <c r="D779" s="65"/>
      <c r="E779" s="65"/>
      <c r="F779" s="64"/>
      <c r="G779" s="74" t="str">
        <f aca="false">IF(OR(B779="",NOT(ISNUMBER(D779)),NOT(ISNUMBER(E779))),"",NETWORKDAYS(D779,E779,FERIADOS))</f>
        <v/>
      </c>
      <c r="H779" s="69"/>
      <c r="I779" s="74" t="str">
        <f aca="false">IF(B779="","",IF(ISNUMBER(H779),H779,N(G779)))</f>
        <v/>
      </c>
      <c r="J779" s="64"/>
      <c r="K779" s="64"/>
      <c r="L779" s="93" t="str">
        <f aca="false">IF(NOT(ISNUMBER(D779)),"",DATE(YEAR(D779),MONTH(D779),1))</f>
        <v/>
      </c>
      <c r="M779" s="70" t="str">
        <f aca="false">IF(B779="","",IF(AND(ISNUMBER(D779),ISNUMBER(E779),E779&lt;D779),"⚠ Término anterior al inicio",IF(J779&lt;&gt;"Sí","Pendiente comprobante firmado","OK")))</f>
        <v/>
      </c>
    </row>
    <row r="780" customFormat="false" ht="15" hidden="false" customHeight="false" outlineLevel="0" collapsed="false">
      <c r="B780" s="64"/>
      <c r="C780" s="72" t="str">
        <f aca="false">IF(B780="","",IFERROR(INDEX(T_NOMBRE,MATCH(B780,T_ID,0)),"⚠ ID no existe"))</f>
        <v/>
      </c>
      <c r="D780" s="65"/>
      <c r="E780" s="65"/>
      <c r="F780" s="64"/>
      <c r="G780" s="74" t="str">
        <f aca="false">IF(OR(B780="",NOT(ISNUMBER(D780)),NOT(ISNUMBER(E780))),"",NETWORKDAYS(D780,E780,FERIADOS))</f>
        <v/>
      </c>
      <c r="H780" s="69"/>
      <c r="I780" s="74" t="str">
        <f aca="false">IF(B780="","",IF(ISNUMBER(H780),H780,N(G780)))</f>
        <v/>
      </c>
      <c r="J780" s="64"/>
      <c r="K780" s="64"/>
      <c r="L780" s="93" t="str">
        <f aca="false">IF(NOT(ISNUMBER(D780)),"",DATE(YEAR(D780),MONTH(D780),1))</f>
        <v/>
      </c>
      <c r="M780" s="70" t="str">
        <f aca="false">IF(B780="","",IF(AND(ISNUMBER(D780),ISNUMBER(E780),E780&lt;D780),"⚠ Término anterior al inicio",IF(J780&lt;&gt;"Sí","Pendiente comprobante firmado","OK")))</f>
        <v/>
      </c>
    </row>
    <row r="781" customFormat="false" ht="15" hidden="false" customHeight="false" outlineLevel="0" collapsed="false">
      <c r="B781" s="64"/>
      <c r="C781" s="72" t="str">
        <f aca="false">IF(B781="","",IFERROR(INDEX(T_NOMBRE,MATCH(B781,T_ID,0)),"⚠ ID no existe"))</f>
        <v/>
      </c>
      <c r="D781" s="65"/>
      <c r="E781" s="65"/>
      <c r="F781" s="64"/>
      <c r="G781" s="74" t="str">
        <f aca="false">IF(OR(B781="",NOT(ISNUMBER(D781)),NOT(ISNUMBER(E781))),"",NETWORKDAYS(D781,E781,FERIADOS))</f>
        <v/>
      </c>
      <c r="H781" s="69"/>
      <c r="I781" s="74" t="str">
        <f aca="false">IF(B781="","",IF(ISNUMBER(H781),H781,N(G781)))</f>
        <v/>
      </c>
      <c r="J781" s="64"/>
      <c r="K781" s="64"/>
      <c r="L781" s="93" t="str">
        <f aca="false">IF(NOT(ISNUMBER(D781)),"",DATE(YEAR(D781),MONTH(D781),1))</f>
        <v/>
      </c>
      <c r="M781" s="70" t="str">
        <f aca="false">IF(B781="","",IF(AND(ISNUMBER(D781),ISNUMBER(E781),E781&lt;D781),"⚠ Término anterior al inicio",IF(J781&lt;&gt;"Sí","Pendiente comprobante firmado","OK")))</f>
        <v/>
      </c>
    </row>
    <row r="782" customFormat="false" ht="15" hidden="false" customHeight="false" outlineLevel="0" collapsed="false">
      <c r="B782" s="64"/>
      <c r="C782" s="72" t="str">
        <f aca="false">IF(B782="","",IFERROR(INDEX(T_NOMBRE,MATCH(B782,T_ID,0)),"⚠ ID no existe"))</f>
        <v/>
      </c>
      <c r="D782" s="65"/>
      <c r="E782" s="65"/>
      <c r="F782" s="64"/>
      <c r="G782" s="74" t="str">
        <f aca="false">IF(OR(B782="",NOT(ISNUMBER(D782)),NOT(ISNUMBER(E782))),"",NETWORKDAYS(D782,E782,FERIADOS))</f>
        <v/>
      </c>
      <c r="H782" s="69"/>
      <c r="I782" s="74" t="str">
        <f aca="false">IF(B782="","",IF(ISNUMBER(H782),H782,N(G782)))</f>
        <v/>
      </c>
      <c r="J782" s="64"/>
      <c r="K782" s="64"/>
      <c r="L782" s="93" t="str">
        <f aca="false">IF(NOT(ISNUMBER(D782)),"",DATE(YEAR(D782),MONTH(D782),1))</f>
        <v/>
      </c>
      <c r="M782" s="70" t="str">
        <f aca="false">IF(B782="","",IF(AND(ISNUMBER(D782),ISNUMBER(E782),E782&lt;D782),"⚠ Término anterior al inicio",IF(J782&lt;&gt;"Sí","Pendiente comprobante firmado","OK")))</f>
        <v/>
      </c>
    </row>
    <row r="783" customFormat="false" ht="15" hidden="false" customHeight="false" outlineLevel="0" collapsed="false">
      <c r="B783" s="64"/>
      <c r="C783" s="72" t="str">
        <f aca="false">IF(B783="","",IFERROR(INDEX(T_NOMBRE,MATCH(B783,T_ID,0)),"⚠ ID no existe"))</f>
        <v/>
      </c>
      <c r="D783" s="65"/>
      <c r="E783" s="65"/>
      <c r="F783" s="64"/>
      <c r="G783" s="74" t="str">
        <f aca="false">IF(OR(B783="",NOT(ISNUMBER(D783)),NOT(ISNUMBER(E783))),"",NETWORKDAYS(D783,E783,FERIADOS))</f>
        <v/>
      </c>
      <c r="H783" s="69"/>
      <c r="I783" s="74" t="str">
        <f aca="false">IF(B783="","",IF(ISNUMBER(H783),H783,N(G783)))</f>
        <v/>
      </c>
      <c r="J783" s="64"/>
      <c r="K783" s="64"/>
      <c r="L783" s="93" t="str">
        <f aca="false">IF(NOT(ISNUMBER(D783)),"",DATE(YEAR(D783),MONTH(D783),1))</f>
        <v/>
      </c>
      <c r="M783" s="70" t="str">
        <f aca="false">IF(B783="","",IF(AND(ISNUMBER(D783),ISNUMBER(E783),E783&lt;D783),"⚠ Término anterior al inicio",IF(J783&lt;&gt;"Sí","Pendiente comprobante firmado","OK")))</f>
        <v/>
      </c>
    </row>
    <row r="784" customFormat="false" ht="15" hidden="false" customHeight="false" outlineLevel="0" collapsed="false">
      <c r="B784" s="64"/>
      <c r="C784" s="72" t="str">
        <f aca="false">IF(B784="","",IFERROR(INDEX(T_NOMBRE,MATCH(B784,T_ID,0)),"⚠ ID no existe"))</f>
        <v/>
      </c>
      <c r="D784" s="65"/>
      <c r="E784" s="65"/>
      <c r="F784" s="64"/>
      <c r="G784" s="74" t="str">
        <f aca="false">IF(OR(B784="",NOT(ISNUMBER(D784)),NOT(ISNUMBER(E784))),"",NETWORKDAYS(D784,E784,FERIADOS))</f>
        <v/>
      </c>
      <c r="H784" s="69"/>
      <c r="I784" s="74" t="str">
        <f aca="false">IF(B784="","",IF(ISNUMBER(H784),H784,N(G784)))</f>
        <v/>
      </c>
      <c r="J784" s="64"/>
      <c r="K784" s="64"/>
      <c r="L784" s="93" t="str">
        <f aca="false">IF(NOT(ISNUMBER(D784)),"",DATE(YEAR(D784),MONTH(D784),1))</f>
        <v/>
      </c>
      <c r="M784" s="70" t="str">
        <f aca="false">IF(B784="","",IF(AND(ISNUMBER(D784),ISNUMBER(E784),E784&lt;D784),"⚠ Término anterior al inicio",IF(J784&lt;&gt;"Sí","Pendiente comprobante firmado","OK")))</f>
        <v/>
      </c>
    </row>
    <row r="785" customFormat="false" ht="15" hidden="false" customHeight="false" outlineLevel="0" collapsed="false">
      <c r="B785" s="64"/>
      <c r="C785" s="72" t="str">
        <f aca="false">IF(B785="","",IFERROR(INDEX(T_NOMBRE,MATCH(B785,T_ID,0)),"⚠ ID no existe"))</f>
        <v/>
      </c>
      <c r="D785" s="65"/>
      <c r="E785" s="65"/>
      <c r="F785" s="64"/>
      <c r="G785" s="74" t="str">
        <f aca="false">IF(OR(B785="",NOT(ISNUMBER(D785)),NOT(ISNUMBER(E785))),"",NETWORKDAYS(D785,E785,FERIADOS))</f>
        <v/>
      </c>
      <c r="H785" s="69"/>
      <c r="I785" s="74" t="str">
        <f aca="false">IF(B785="","",IF(ISNUMBER(H785),H785,N(G785)))</f>
        <v/>
      </c>
      <c r="J785" s="64"/>
      <c r="K785" s="64"/>
      <c r="L785" s="93" t="str">
        <f aca="false">IF(NOT(ISNUMBER(D785)),"",DATE(YEAR(D785),MONTH(D785),1))</f>
        <v/>
      </c>
      <c r="M785" s="70" t="str">
        <f aca="false">IF(B785="","",IF(AND(ISNUMBER(D785),ISNUMBER(E785),E785&lt;D785),"⚠ Término anterior al inicio",IF(J785&lt;&gt;"Sí","Pendiente comprobante firmado","OK")))</f>
        <v/>
      </c>
    </row>
    <row r="786" customFormat="false" ht="15" hidden="false" customHeight="false" outlineLevel="0" collapsed="false">
      <c r="B786" s="64"/>
      <c r="C786" s="72" t="str">
        <f aca="false">IF(B786="","",IFERROR(INDEX(T_NOMBRE,MATCH(B786,T_ID,0)),"⚠ ID no existe"))</f>
        <v/>
      </c>
      <c r="D786" s="65"/>
      <c r="E786" s="65"/>
      <c r="F786" s="64"/>
      <c r="G786" s="74" t="str">
        <f aca="false">IF(OR(B786="",NOT(ISNUMBER(D786)),NOT(ISNUMBER(E786))),"",NETWORKDAYS(D786,E786,FERIADOS))</f>
        <v/>
      </c>
      <c r="H786" s="69"/>
      <c r="I786" s="74" t="str">
        <f aca="false">IF(B786="","",IF(ISNUMBER(H786),H786,N(G786)))</f>
        <v/>
      </c>
      <c r="J786" s="64"/>
      <c r="K786" s="64"/>
      <c r="L786" s="93" t="str">
        <f aca="false">IF(NOT(ISNUMBER(D786)),"",DATE(YEAR(D786),MONTH(D786),1))</f>
        <v/>
      </c>
      <c r="M786" s="70" t="str">
        <f aca="false">IF(B786="","",IF(AND(ISNUMBER(D786),ISNUMBER(E786),E786&lt;D786),"⚠ Término anterior al inicio",IF(J786&lt;&gt;"Sí","Pendiente comprobante firmado","OK")))</f>
        <v/>
      </c>
    </row>
    <row r="787" customFormat="false" ht="15" hidden="false" customHeight="false" outlineLevel="0" collapsed="false">
      <c r="B787" s="64"/>
      <c r="C787" s="72" t="str">
        <f aca="false">IF(B787="","",IFERROR(INDEX(T_NOMBRE,MATCH(B787,T_ID,0)),"⚠ ID no existe"))</f>
        <v/>
      </c>
      <c r="D787" s="65"/>
      <c r="E787" s="65"/>
      <c r="F787" s="64"/>
      <c r="G787" s="74" t="str">
        <f aca="false">IF(OR(B787="",NOT(ISNUMBER(D787)),NOT(ISNUMBER(E787))),"",NETWORKDAYS(D787,E787,FERIADOS))</f>
        <v/>
      </c>
      <c r="H787" s="69"/>
      <c r="I787" s="74" t="str">
        <f aca="false">IF(B787="","",IF(ISNUMBER(H787),H787,N(G787)))</f>
        <v/>
      </c>
      <c r="J787" s="64"/>
      <c r="K787" s="64"/>
      <c r="L787" s="93" t="str">
        <f aca="false">IF(NOT(ISNUMBER(D787)),"",DATE(YEAR(D787),MONTH(D787),1))</f>
        <v/>
      </c>
      <c r="M787" s="70" t="str">
        <f aca="false">IF(B787="","",IF(AND(ISNUMBER(D787),ISNUMBER(E787),E787&lt;D787),"⚠ Término anterior al inicio",IF(J787&lt;&gt;"Sí","Pendiente comprobante firmado","OK")))</f>
        <v/>
      </c>
    </row>
    <row r="788" customFormat="false" ht="15" hidden="false" customHeight="false" outlineLevel="0" collapsed="false">
      <c r="B788" s="64"/>
      <c r="C788" s="72" t="str">
        <f aca="false">IF(B788="","",IFERROR(INDEX(T_NOMBRE,MATCH(B788,T_ID,0)),"⚠ ID no existe"))</f>
        <v/>
      </c>
      <c r="D788" s="65"/>
      <c r="E788" s="65"/>
      <c r="F788" s="64"/>
      <c r="G788" s="74" t="str">
        <f aca="false">IF(OR(B788="",NOT(ISNUMBER(D788)),NOT(ISNUMBER(E788))),"",NETWORKDAYS(D788,E788,FERIADOS))</f>
        <v/>
      </c>
      <c r="H788" s="69"/>
      <c r="I788" s="74" t="str">
        <f aca="false">IF(B788="","",IF(ISNUMBER(H788),H788,N(G788)))</f>
        <v/>
      </c>
      <c r="J788" s="64"/>
      <c r="K788" s="64"/>
      <c r="L788" s="93" t="str">
        <f aca="false">IF(NOT(ISNUMBER(D788)),"",DATE(YEAR(D788),MONTH(D788),1))</f>
        <v/>
      </c>
      <c r="M788" s="70" t="str">
        <f aca="false">IF(B788="","",IF(AND(ISNUMBER(D788),ISNUMBER(E788),E788&lt;D788),"⚠ Término anterior al inicio",IF(J788&lt;&gt;"Sí","Pendiente comprobante firmado","OK")))</f>
        <v/>
      </c>
    </row>
    <row r="789" customFormat="false" ht="15" hidden="false" customHeight="false" outlineLevel="0" collapsed="false">
      <c r="B789" s="64"/>
      <c r="C789" s="72" t="str">
        <f aca="false">IF(B789="","",IFERROR(INDEX(T_NOMBRE,MATCH(B789,T_ID,0)),"⚠ ID no existe"))</f>
        <v/>
      </c>
      <c r="D789" s="65"/>
      <c r="E789" s="65"/>
      <c r="F789" s="64"/>
      <c r="G789" s="74" t="str">
        <f aca="false">IF(OR(B789="",NOT(ISNUMBER(D789)),NOT(ISNUMBER(E789))),"",NETWORKDAYS(D789,E789,FERIADOS))</f>
        <v/>
      </c>
      <c r="H789" s="69"/>
      <c r="I789" s="74" t="str">
        <f aca="false">IF(B789="","",IF(ISNUMBER(H789),H789,N(G789)))</f>
        <v/>
      </c>
      <c r="J789" s="64"/>
      <c r="K789" s="64"/>
      <c r="L789" s="93" t="str">
        <f aca="false">IF(NOT(ISNUMBER(D789)),"",DATE(YEAR(D789),MONTH(D789),1))</f>
        <v/>
      </c>
      <c r="M789" s="70" t="str">
        <f aca="false">IF(B789="","",IF(AND(ISNUMBER(D789),ISNUMBER(E789),E789&lt;D789),"⚠ Término anterior al inicio",IF(J789&lt;&gt;"Sí","Pendiente comprobante firmado","OK")))</f>
        <v/>
      </c>
    </row>
    <row r="790" customFormat="false" ht="15" hidden="false" customHeight="false" outlineLevel="0" collapsed="false">
      <c r="B790" s="64"/>
      <c r="C790" s="72" t="str">
        <f aca="false">IF(B790="","",IFERROR(INDEX(T_NOMBRE,MATCH(B790,T_ID,0)),"⚠ ID no existe"))</f>
        <v/>
      </c>
      <c r="D790" s="65"/>
      <c r="E790" s="65"/>
      <c r="F790" s="64"/>
      <c r="G790" s="74" t="str">
        <f aca="false">IF(OR(B790="",NOT(ISNUMBER(D790)),NOT(ISNUMBER(E790))),"",NETWORKDAYS(D790,E790,FERIADOS))</f>
        <v/>
      </c>
      <c r="H790" s="69"/>
      <c r="I790" s="74" t="str">
        <f aca="false">IF(B790="","",IF(ISNUMBER(H790),H790,N(G790)))</f>
        <v/>
      </c>
      <c r="J790" s="64"/>
      <c r="K790" s="64"/>
      <c r="L790" s="93" t="str">
        <f aca="false">IF(NOT(ISNUMBER(D790)),"",DATE(YEAR(D790),MONTH(D790),1))</f>
        <v/>
      </c>
      <c r="M790" s="70" t="str">
        <f aca="false">IF(B790="","",IF(AND(ISNUMBER(D790),ISNUMBER(E790),E790&lt;D790),"⚠ Término anterior al inicio",IF(J790&lt;&gt;"Sí","Pendiente comprobante firmado","OK")))</f>
        <v/>
      </c>
    </row>
    <row r="791" customFormat="false" ht="15" hidden="false" customHeight="false" outlineLevel="0" collapsed="false">
      <c r="B791" s="64"/>
      <c r="C791" s="72" t="str">
        <f aca="false">IF(B791="","",IFERROR(INDEX(T_NOMBRE,MATCH(B791,T_ID,0)),"⚠ ID no existe"))</f>
        <v/>
      </c>
      <c r="D791" s="65"/>
      <c r="E791" s="65"/>
      <c r="F791" s="64"/>
      <c r="G791" s="74" t="str">
        <f aca="false">IF(OR(B791="",NOT(ISNUMBER(D791)),NOT(ISNUMBER(E791))),"",NETWORKDAYS(D791,E791,FERIADOS))</f>
        <v/>
      </c>
      <c r="H791" s="69"/>
      <c r="I791" s="74" t="str">
        <f aca="false">IF(B791="","",IF(ISNUMBER(H791),H791,N(G791)))</f>
        <v/>
      </c>
      <c r="J791" s="64"/>
      <c r="K791" s="64"/>
      <c r="L791" s="93" t="str">
        <f aca="false">IF(NOT(ISNUMBER(D791)),"",DATE(YEAR(D791),MONTH(D791),1))</f>
        <v/>
      </c>
      <c r="M791" s="70" t="str">
        <f aca="false">IF(B791="","",IF(AND(ISNUMBER(D791),ISNUMBER(E791),E791&lt;D791),"⚠ Término anterior al inicio",IF(J791&lt;&gt;"Sí","Pendiente comprobante firmado","OK")))</f>
        <v/>
      </c>
    </row>
    <row r="792" customFormat="false" ht="15" hidden="false" customHeight="false" outlineLevel="0" collapsed="false">
      <c r="B792" s="64"/>
      <c r="C792" s="72" t="str">
        <f aca="false">IF(B792="","",IFERROR(INDEX(T_NOMBRE,MATCH(B792,T_ID,0)),"⚠ ID no existe"))</f>
        <v/>
      </c>
      <c r="D792" s="65"/>
      <c r="E792" s="65"/>
      <c r="F792" s="64"/>
      <c r="G792" s="74" t="str">
        <f aca="false">IF(OR(B792="",NOT(ISNUMBER(D792)),NOT(ISNUMBER(E792))),"",NETWORKDAYS(D792,E792,FERIADOS))</f>
        <v/>
      </c>
      <c r="H792" s="69"/>
      <c r="I792" s="74" t="str">
        <f aca="false">IF(B792="","",IF(ISNUMBER(H792),H792,N(G792)))</f>
        <v/>
      </c>
      <c r="J792" s="64"/>
      <c r="K792" s="64"/>
      <c r="L792" s="93" t="str">
        <f aca="false">IF(NOT(ISNUMBER(D792)),"",DATE(YEAR(D792),MONTH(D792),1))</f>
        <v/>
      </c>
      <c r="M792" s="70" t="str">
        <f aca="false">IF(B792="","",IF(AND(ISNUMBER(D792),ISNUMBER(E792),E792&lt;D792),"⚠ Término anterior al inicio",IF(J792&lt;&gt;"Sí","Pendiente comprobante firmado","OK")))</f>
        <v/>
      </c>
    </row>
    <row r="793" customFormat="false" ht="15" hidden="false" customHeight="false" outlineLevel="0" collapsed="false">
      <c r="B793" s="64"/>
      <c r="C793" s="72" t="str">
        <f aca="false">IF(B793="","",IFERROR(INDEX(T_NOMBRE,MATCH(B793,T_ID,0)),"⚠ ID no existe"))</f>
        <v/>
      </c>
      <c r="D793" s="65"/>
      <c r="E793" s="65"/>
      <c r="F793" s="64"/>
      <c r="G793" s="74" t="str">
        <f aca="false">IF(OR(B793="",NOT(ISNUMBER(D793)),NOT(ISNUMBER(E793))),"",NETWORKDAYS(D793,E793,FERIADOS))</f>
        <v/>
      </c>
      <c r="H793" s="69"/>
      <c r="I793" s="74" t="str">
        <f aca="false">IF(B793="","",IF(ISNUMBER(H793),H793,N(G793)))</f>
        <v/>
      </c>
      <c r="J793" s="64"/>
      <c r="K793" s="64"/>
      <c r="L793" s="93" t="str">
        <f aca="false">IF(NOT(ISNUMBER(D793)),"",DATE(YEAR(D793),MONTH(D793),1))</f>
        <v/>
      </c>
      <c r="M793" s="70" t="str">
        <f aca="false">IF(B793="","",IF(AND(ISNUMBER(D793),ISNUMBER(E793),E793&lt;D793),"⚠ Término anterior al inicio",IF(J793&lt;&gt;"Sí","Pendiente comprobante firmado","OK")))</f>
        <v/>
      </c>
    </row>
    <row r="794" customFormat="false" ht="15" hidden="false" customHeight="false" outlineLevel="0" collapsed="false">
      <c r="B794" s="64"/>
      <c r="C794" s="72" t="str">
        <f aca="false">IF(B794="","",IFERROR(INDEX(T_NOMBRE,MATCH(B794,T_ID,0)),"⚠ ID no existe"))</f>
        <v/>
      </c>
      <c r="D794" s="65"/>
      <c r="E794" s="65"/>
      <c r="F794" s="64"/>
      <c r="G794" s="74" t="str">
        <f aca="false">IF(OR(B794="",NOT(ISNUMBER(D794)),NOT(ISNUMBER(E794))),"",NETWORKDAYS(D794,E794,FERIADOS))</f>
        <v/>
      </c>
      <c r="H794" s="69"/>
      <c r="I794" s="74" t="str">
        <f aca="false">IF(B794="","",IF(ISNUMBER(H794),H794,N(G794)))</f>
        <v/>
      </c>
      <c r="J794" s="64"/>
      <c r="K794" s="64"/>
      <c r="L794" s="93" t="str">
        <f aca="false">IF(NOT(ISNUMBER(D794)),"",DATE(YEAR(D794),MONTH(D794),1))</f>
        <v/>
      </c>
      <c r="M794" s="70" t="str">
        <f aca="false">IF(B794="","",IF(AND(ISNUMBER(D794),ISNUMBER(E794),E794&lt;D794),"⚠ Término anterior al inicio",IF(J794&lt;&gt;"Sí","Pendiente comprobante firmado","OK")))</f>
        <v/>
      </c>
    </row>
    <row r="795" customFormat="false" ht="15" hidden="false" customHeight="false" outlineLevel="0" collapsed="false">
      <c r="B795" s="64"/>
      <c r="C795" s="72" t="str">
        <f aca="false">IF(B795="","",IFERROR(INDEX(T_NOMBRE,MATCH(B795,T_ID,0)),"⚠ ID no existe"))</f>
        <v/>
      </c>
      <c r="D795" s="65"/>
      <c r="E795" s="65"/>
      <c r="F795" s="64"/>
      <c r="G795" s="74" t="str">
        <f aca="false">IF(OR(B795="",NOT(ISNUMBER(D795)),NOT(ISNUMBER(E795))),"",NETWORKDAYS(D795,E795,FERIADOS))</f>
        <v/>
      </c>
      <c r="H795" s="69"/>
      <c r="I795" s="74" t="str">
        <f aca="false">IF(B795="","",IF(ISNUMBER(H795),H795,N(G795)))</f>
        <v/>
      </c>
      <c r="J795" s="64"/>
      <c r="K795" s="64"/>
      <c r="L795" s="93" t="str">
        <f aca="false">IF(NOT(ISNUMBER(D795)),"",DATE(YEAR(D795),MONTH(D795),1))</f>
        <v/>
      </c>
      <c r="M795" s="70" t="str">
        <f aca="false">IF(B795="","",IF(AND(ISNUMBER(D795),ISNUMBER(E795),E795&lt;D795),"⚠ Término anterior al inicio",IF(J795&lt;&gt;"Sí","Pendiente comprobante firmado","OK")))</f>
        <v/>
      </c>
    </row>
    <row r="796" customFormat="false" ht="15" hidden="false" customHeight="false" outlineLevel="0" collapsed="false">
      <c r="B796" s="64"/>
      <c r="C796" s="72" t="str">
        <f aca="false">IF(B796="","",IFERROR(INDEX(T_NOMBRE,MATCH(B796,T_ID,0)),"⚠ ID no existe"))</f>
        <v/>
      </c>
      <c r="D796" s="65"/>
      <c r="E796" s="65"/>
      <c r="F796" s="64"/>
      <c r="G796" s="74" t="str">
        <f aca="false">IF(OR(B796="",NOT(ISNUMBER(D796)),NOT(ISNUMBER(E796))),"",NETWORKDAYS(D796,E796,FERIADOS))</f>
        <v/>
      </c>
      <c r="H796" s="69"/>
      <c r="I796" s="74" t="str">
        <f aca="false">IF(B796="","",IF(ISNUMBER(H796),H796,N(G796)))</f>
        <v/>
      </c>
      <c r="J796" s="64"/>
      <c r="K796" s="64"/>
      <c r="L796" s="93" t="str">
        <f aca="false">IF(NOT(ISNUMBER(D796)),"",DATE(YEAR(D796),MONTH(D796),1))</f>
        <v/>
      </c>
      <c r="M796" s="70" t="str">
        <f aca="false">IF(B796="","",IF(AND(ISNUMBER(D796),ISNUMBER(E796),E796&lt;D796),"⚠ Término anterior al inicio",IF(J796&lt;&gt;"Sí","Pendiente comprobante firmado","OK")))</f>
        <v/>
      </c>
    </row>
    <row r="797" customFormat="false" ht="15" hidden="false" customHeight="false" outlineLevel="0" collapsed="false">
      <c r="B797" s="64"/>
      <c r="C797" s="72" t="str">
        <f aca="false">IF(B797="","",IFERROR(INDEX(T_NOMBRE,MATCH(B797,T_ID,0)),"⚠ ID no existe"))</f>
        <v/>
      </c>
      <c r="D797" s="65"/>
      <c r="E797" s="65"/>
      <c r="F797" s="64"/>
      <c r="G797" s="74" t="str">
        <f aca="false">IF(OR(B797="",NOT(ISNUMBER(D797)),NOT(ISNUMBER(E797))),"",NETWORKDAYS(D797,E797,FERIADOS))</f>
        <v/>
      </c>
      <c r="H797" s="69"/>
      <c r="I797" s="74" t="str">
        <f aca="false">IF(B797="","",IF(ISNUMBER(H797),H797,N(G797)))</f>
        <v/>
      </c>
      <c r="J797" s="64"/>
      <c r="K797" s="64"/>
      <c r="L797" s="93" t="str">
        <f aca="false">IF(NOT(ISNUMBER(D797)),"",DATE(YEAR(D797),MONTH(D797),1))</f>
        <v/>
      </c>
      <c r="M797" s="70" t="str">
        <f aca="false">IF(B797="","",IF(AND(ISNUMBER(D797),ISNUMBER(E797),E797&lt;D797),"⚠ Término anterior al inicio",IF(J797&lt;&gt;"Sí","Pendiente comprobante firmado","OK")))</f>
        <v/>
      </c>
    </row>
    <row r="798" customFormat="false" ht="15" hidden="false" customHeight="false" outlineLevel="0" collapsed="false">
      <c r="B798" s="64"/>
      <c r="C798" s="72" t="str">
        <f aca="false">IF(B798="","",IFERROR(INDEX(T_NOMBRE,MATCH(B798,T_ID,0)),"⚠ ID no existe"))</f>
        <v/>
      </c>
      <c r="D798" s="65"/>
      <c r="E798" s="65"/>
      <c r="F798" s="64"/>
      <c r="G798" s="74" t="str">
        <f aca="false">IF(OR(B798="",NOT(ISNUMBER(D798)),NOT(ISNUMBER(E798))),"",NETWORKDAYS(D798,E798,FERIADOS))</f>
        <v/>
      </c>
      <c r="H798" s="69"/>
      <c r="I798" s="74" t="str">
        <f aca="false">IF(B798="","",IF(ISNUMBER(H798),H798,N(G798)))</f>
        <v/>
      </c>
      <c r="J798" s="64"/>
      <c r="K798" s="64"/>
      <c r="L798" s="93" t="str">
        <f aca="false">IF(NOT(ISNUMBER(D798)),"",DATE(YEAR(D798),MONTH(D798),1))</f>
        <v/>
      </c>
      <c r="M798" s="70" t="str">
        <f aca="false">IF(B798="","",IF(AND(ISNUMBER(D798),ISNUMBER(E798),E798&lt;D798),"⚠ Término anterior al inicio",IF(J798&lt;&gt;"Sí","Pendiente comprobante firmado","OK")))</f>
        <v/>
      </c>
    </row>
    <row r="799" customFormat="false" ht="15" hidden="false" customHeight="false" outlineLevel="0" collapsed="false">
      <c r="B799" s="64"/>
      <c r="C799" s="72" t="str">
        <f aca="false">IF(B799="","",IFERROR(INDEX(T_NOMBRE,MATCH(B799,T_ID,0)),"⚠ ID no existe"))</f>
        <v/>
      </c>
      <c r="D799" s="65"/>
      <c r="E799" s="65"/>
      <c r="F799" s="64"/>
      <c r="G799" s="74" t="str">
        <f aca="false">IF(OR(B799="",NOT(ISNUMBER(D799)),NOT(ISNUMBER(E799))),"",NETWORKDAYS(D799,E799,FERIADOS))</f>
        <v/>
      </c>
      <c r="H799" s="69"/>
      <c r="I799" s="74" t="str">
        <f aca="false">IF(B799="","",IF(ISNUMBER(H799),H799,N(G799)))</f>
        <v/>
      </c>
      <c r="J799" s="64"/>
      <c r="K799" s="64"/>
      <c r="L799" s="93" t="str">
        <f aca="false">IF(NOT(ISNUMBER(D799)),"",DATE(YEAR(D799),MONTH(D799),1))</f>
        <v/>
      </c>
      <c r="M799" s="70" t="str">
        <f aca="false">IF(B799="","",IF(AND(ISNUMBER(D799),ISNUMBER(E799),E799&lt;D799),"⚠ Término anterior al inicio",IF(J799&lt;&gt;"Sí","Pendiente comprobante firmado","OK")))</f>
        <v/>
      </c>
    </row>
    <row r="800" customFormat="false" ht="15" hidden="false" customHeight="false" outlineLevel="0" collapsed="false">
      <c r="B800" s="64"/>
      <c r="C800" s="72" t="str">
        <f aca="false">IF(B800="","",IFERROR(INDEX(T_NOMBRE,MATCH(B800,T_ID,0)),"⚠ ID no existe"))</f>
        <v/>
      </c>
      <c r="D800" s="65"/>
      <c r="E800" s="65"/>
      <c r="F800" s="64"/>
      <c r="G800" s="74" t="str">
        <f aca="false">IF(OR(B800="",NOT(ISNUMBER(D800)),NOT(ISNUMBER(E800))),"",NETWORKDAYS(D800,E800,FERIADOS))</f>
        <v/>
      </c>
      <c r="H800" s="69"/>
      <c r="I800" s="74" t="str">
        <f aca="false">IF(B800="","",IF(ISNUMBER(H800),H800,N(G800)))</f>
        <v/>
      </c>
      <c r="J800" s="64"/>
      <c r="K800" s="64"/>
      <c r="L800" s="93" t="str">
        <f aca="false">IF(NOT(ISNUMBER(D800)),"",DATE(YEAR(D800),MONTH(D800),1))</f>
        <v/>
      </c>
      <c r="M800" s="70" t="str">
        <f aca="false">IF(B800="","",IF(AND(ISNUMBER(D800),ISNUMBER(E800),E800&lt;D800),"⚠ Término anterior al inicio",IF(J800&lt;&gt;"Sí","Pendiente comprobante firmado","OK")))</f>
        <v/>
      </c>
    </row>
    <row r="801" customFormat="false" ht="15" hidden="false" customHeight="false" outlineLevel="0" collapsed="false">
      <c r="B801" s="64"/>
      <c r="C801" s="72" t="str">
        <f aca="false">IF(B801="","",IFERROR(INDEX(T_NOMBRE,MATCH(B801,T_ID,0)),"⚠ ID no existe"))</f>
        <v/>
      </c>
      <c r="D801" s="65"/>
      <c r="E801" s="65"/>
      <c r="F801" s="64"/>
      <c r="G801" s="74" t="str">
        <f aca="false">IF(OR(B801="",NOT(ISNUMBER(D801)),NOT(ISNUMBER(E801))),"",NETWORKDAYS(D801,E801,FERIADOS))</f>
        <v/>
      </c>
      <c r="H801" s="69"/>
      <c r="I801" s="74" t="str">
        <f aca="false">IF(B801="","",IF(ISNUMBER(H801),H801,N(G801)))</f>
        <v/>
      </c>
      <c r="J801" s="64"/>
      <c r="K801" s="64"/>
      <c r="L801" s="93" t="str">
        <f aca="false">IF(NOT(ISNUMBER(D801)),"",DATE(YEAR(D801),MONTH(D801),1))</f>
        <v/>
      </c>
      <c r="M801" s="70" t="str">
        <f aca="false">IF(B801="","",IF(AND(ISNUMBER(D801),ISNUMBER(E801),E801&lt;D801),"⚠ Término anterior al inicio",IF(J801&lt;&gt;"Sí","Pendiente comprobante firmado","OK")))</f>
        <v/>
      </c>
    </row>
    <row r="802" customFormat="false" ht="15" hidden="false" customHeight="false" outlineLevel="0" collapsed="false">
      <c r="B802" s="64"/>
      <c r="C802" s="72" t="str">
        <f aca="false">IF(B802="","",IFERROR(INDEX(T_NOMBRE,MATCH(B802,T_ID,0)),"⚠ ID no existe"))</f>
        <v/>
      </c>
      <c r="D802" s="65"/>
      <c r="E802" s="65"/>
      <c r="F802" s="64"/>
      <c r="G802" s="74" t="str">
        <f aca="false">IF(OR(B802="",NOT(ISNUMBER(D802)),NOT(ISNUMBER(E802))),"",NETWORKDAYS(D802,E802,FERIADOS))</f>
        <v/>
      </c>
      <c r="H802" s="69"/>
      <c r="I802" s="74" t="str">
        <f aca="false">IF(B802="","",IF(ISNUMBER(H802),H802,N(G802)))</f>
        <v/>
      </c>
      <c r="J802" s="64"/>
      <c r="K802" s="64"/>
      <c r="L802" s="93" t="str">
        <f aca="false">IF(NOT(ISNUMBER(D802)),"",DATE(YEAR(D802),MONTH(D802),1))</f>
        <v/>
      </c>
      <c r="M802" s="70" t="str">
        <f aca="false">IF(B802="","",IF(AND(ISNUMBER(D802),ISNUMBER(E802),E802&lt;D802),"⚠ Término anterior al inicio",IF(J802&lt;&gt;"Sí","Pendiente comprobante firmado","OK")))</f>
        <v/>
      </c>
    </row>
    <row r="803" customFormat="false" ht="15" hidden="false" customHeight="false" outlineLevel="0" collapsed="false">
      <c r="B803" s="64"/>
      <c r="C803" s="72" t="str">
        <f aca="false">IF(B803="","",IFERROR(INDEX(T_NOMBRE,MATCH(B803,T_ID,0)),"⚠ ID no existe"))</f>
        <v/>
      </c>
      <c r="D803" s="65"/>
      <c r="E803" s="65"/>
      <c r="F803" s="64"/>
      <c r="G803" s="74" t="str">
        <f aca="false">IF(OR(B803="",NOT(ISNUMBER(D803)),NOT(ISNUMBER(E803))),"",NETWORKDAYS(D803,E803,FERIADOS))</f>
        <v/>
      </c>
      <c r="H803" s="69"/>
      <c r="I803" s="74" t="str">
        <f aca="false">IF(B803="","",IF(ISNUMBER(H803),H803,N(G803)))</f>
        <v/>
      </c>
      <c r="J803" s="64"/>
      <c r="K803" s="64"/>
      <c r="L803" s="93" t="str">
        <f aca="false">IF(NOT(ISNUMBER(D803)),"",DATE(YEAR(D803),MONTH(D803),1))</f>
        <v/>
      </c>
      <c r="M803" s="70" t="str">
        <f aca="false">IF(B803="","",IF(AND(ISNUMBER(D803),ISNUMBER(E803),E803&lt;D803),"⚠ Término anterior al inicio",IF(J803&lt;&gt;"Sí","Pendiente comprobante firmado","OK")))</f>
        <v/>
      </c>
    </row>
    <row r="804" customFormat="false" ht="15" hidden="false" customHeight="false" outlineLevel="0" collapsed="false">
      <c r="B804" s="64"/>
      <c r="C804" s="72" t="str">
        <f aca="false">IF(B804="","",IFERROR(INDEX(T_NOMBRE,MATCH(B804,T_ID,0)),"⚠ ID no existe"))</f>
        <v/>
      </c>
      <c r="D804" s="65"/>
      <c r="E804" s="65"/>
      <c r="F804" s="64"/>
      <c r="G804" s="74" t="str">
        <f aca="false">IF(OR(B804="",NOT(ISNUMBER(D804)),NOT(ISNUMBER(E804))),"",NETWORKDAYS(D804,E804,FERIADOS))</f>
        <v/>
      </c>
      <c r="H804" s="69"/>
      <c r="I804" s="74" t="str">
        <f aca="false">IF(B804="","",IF(ISNUMBER(H804),H804,N(G804)))</f>
        <v/>
      </c>
      <c r="J804" s="64"/>
      <c r="K804" s="64"/>
      <c r="L804" s="93" t="str">
        <f aca="false">IF(NOT(ISNUMBER(D804)),"",DATE(YEAR(D804),MONTH(D804),1))</f>
        <v/>
      </c>
      <c r="M804" s="70" t="str">
        <f aca="false">IF(B804="","",IF(AND(ISNUMBER(D804),ISNUMBER(E804),E804&lt;D804),"⚠ Término anterior al inicio",IF(J804&lt;&gt;"Sí","Pendiente comprobante firmado","OK")))</f>
        <v/>
      </c>
    </row>
    <row r="805" customFormat="false" ht="15" hidden="false" customHeight="false" outlineLevel="0" collapsed="false">
      <c r="B805" s="64"/>
      <c r="C805" s="72" t="str">
        <f aca="false">IF(B805="","",IFERROR(INDEX(T_NOMBRE,MATCH(B805,T_ID,0)),"⚠ ID no existe"))</f>
        <v/>
      </c>
      <c r="D805" s="65"/>
      <c r="E805" s="65"/>
      <c r="F805" s="64"/>
      <c r="G805" s="74" t="str">
        <f aca="false">IF(OR(B805="",NOT(ISNUMBER(D805)),NOT(ISNUMBER(E805))),"",NETWORKDAYS(D805,E805,FERIADOS))</f>
        <v/>
      </c>
      <c r="H805" s="69"/>
      <c r="I805" s="74" t="str">
        <f aca="false">IF(B805="","",IF(ISNUMBER(H805),H805,N(G805)))</f>
        <v/>
      </c>
      <c r="J805" s="64"/>
      <c r="K805" s="64"/>
      <c r="L805" s="93" t="str">
        <f aca="false">IF(NOT(ISNUMBER(D805)),"",DATE(YEAR(D805),MONTH(D805),1))</f>
        <v/>
      </c>
      <c r="M805" s="70" t="str">
        <f aca="false">IF(B805="","",IF(AND(ISNUMBER(D805),ISNUMBER(E805),E805&lt;D805),"⚠ Término anterior al inicio",IF(J805&lt;&gt;"Sí","Pendiente comprobante firmado","OK")))</f>
        <v/>
      </c>
    </row>
    <row r="806" customFormat="false" ht="15" hidden="false" customHeight="false" outlineLevel="0" collapsed="false">
      <c r="B806" s="64"/>
      <c r="C806" s="72" t="str">
        <f aca="false">IF(B806="","",IFERROR(INDEX(T_NOMBRE,MATCH(B806,T_ID,0)),"⚠ ID no existe"))</f>
        <v/>
      </c>
      <c r="D806" s="65"/>
      <c r="E806" s="65"/>
      <c r="F806" s="64"/>
      <c r="G806" s="74" t="str">
        <f aca="false">IF(OR(B806="",NOT(ISNUMBER(D806)),NOT(ISNUMBER(E806))),"",NETWORKDAYS(D806,E806,FERIADOS))</f>
        <v/>
      </c>
      <c r="H806" s="69"/>
      <c r="I806" s="74" t="str">
        <f aca="false">IF(B806="","",IF(ISNUMBER(H806),H806,N(G806)))</f>
        <v/>
      </c>
      <c r="J806" s="64"/>
      <c r="K806" s="64"/>
      <c r="L806" s="93" t="str">
        <f aca="false">IF(NOT(ISNUMBER(D806)),"",DATE(YEAR(D806),MONTH(D806),1))</f>
        <v/>
      </c>
      <c r="M806" s="70" t="str">
        <f aca="false">IF(B806="","",IF(AND(ISNUMBER(D806),ISNUMBER(E806),E806&lt;D806),"⚠ Término anterior al inicio",IF(J806&lt;&gt;"Sí","Pendiente comprobante firmado","OK")))</f>
        <v/>
      </c>
    </row>
    <row r="807" customFormat="false" ht="15" hidden="false" customHeight="false" outlineLevel="0" collapsed="false">
      <c r="B807" s="64"/>
      <c r="C807" s="72" t="str">
        <f aca="false">IF(B807="","",IFERROR(INDEX(T_NOMBRE,MATCH(B807,T_ID,0)),"⚠ ID no existe"))</f>
        <v/>
      </c>
      <c r="D807" s="65"/>
      <c r="E807" s="65"/>
      <c r="F807" s="64"/>
      <c r="G807" s="74" t="str">
        <f aca="false">IF(OR(B807="",NOT(ISNUMBER(D807)),NOT(ISNUMBER(E807))),"",NETWORKDAYS(D807,E807,FERIADOS))</f>
        <v/>
      </c>
      <c r="H807" s="69"/>
      <c r="I807" s="74" t="str">
        <f aca="false">IF(B807="","",IF(ISNUMBER(H807),H807,N(G807)))</f>
        <v/>
      </c>
      <c r="J807" s="64"/>
      <c r="K807" s="64"/>
      <c r="L807" s="93" t="str">
        <f aca="false">IF(NOT(ISNUMBER(D807)),"",DATE(YEAR(D807),MONTH(D807),1))</f>
        <v/>
      </c>
      <c r="M807" s="70" t="str">
        <f aca="false">IF(B807="","",IF(AND(ISNUMBER(D807),ISNUMBER(E807),E807&lt;D807),"⚠ Término anterior al inicio",IF(J807&lt;&gt;"Sí","Pendiente comprobante firmado","OK")))</f>
        <v/>
      </c>
    </row>
    <row r="808" customFormat="false" ht="15" hidden="false" customHeight="false" outlineLevel="0" collapsed="false">
      <c r="B808" s="64"/>
      <c r="C808" s="72" t="str">
        <f aca="false">IF(B808="","",IFERROR(INDEX(T_NOMBRE,MATCH(B808,T_ID,0)),"⚠ ID no existe"))</f>
        <v/>
      </c>
      <c r="D808" s="65"/>
      <c r="E808" s="65"/>
      <c r="F808" s="64"/>
      <c r="G808" s="74" t="str">
        <f aca="false">IF(OR(B808="",NOT(ISNUMBER(D808)),NOT(ISNUMBER(E808))),"",NETWORKDAYS(D808,E808,FERIADOS))</f>
        <v/>
      </c>
      <c r="H808" s="69"/>
      <c r="I808" s="74" t="str">
        <f aca="false">IF(B808="","",IF(ISNUMBER(H808),H808,N(G808)))</f>
        <v/>
      </c>
      <c r="J808" s="64"/>
      <c r="K808" s="64"/>
      <c r="L808" s="93" t="str">
        <f aca="false">IF(NOT(ISNUMBER(D808)),"",DATE(YEAR(D808),MONTH(D808),1))</f>
        <v/>
      </c>
      <c r="M808" s="70" t="str">
        <f aca="false">IF(B808="","",IF(AND(ISNUMBER(D808),ISNUMBER(E808),E808&lt;D808),"⚠ Término anterior al inicio",IF(J808&lt;&gt;"Sí","Pendiente comprobante firmado","OK")))</f>
        <v/>
      </c>
    </row>
    <row r="809" customFormat="false" ht="15" hidden="false" customHeight="false" outlineLevel="0" collapsed="false">
      <c r="B809" s="64"/>
      <c r="C809" s="72" t="str">
        <f aca="false">IF(B809="","",IFERROR(INDEX(T_NOMBRE,MATCH(B809,T_ID,0)),"⚠ ID no existe"))</f>
        <v/>
      </c>
      <c r="D809" s="65"/>
      <c r="E809" s="65"/>
      <c r="F809" s="64"/>
      <c r="G809" s="74" t="str">
        <f aca="false">IF(OR(B809="",NOT(ISNUMBER(D809)),NOT(ISNUMBER(E809))),"",NETWORKDAYS(D809,E809,FERIADOS))</f>
        <v/>
      </c>
      <c r="H809" s="69"/>
      <c r="I809" s="74" t="str">
        <f aca="false">IF(B809="","",IF(ISNUMBER(H809),H809,N(G809)))</f>
        <v/>
      </c>
      <c r="J809" s="64"/>
      <c r="K809" s="64"/>
      <c r="L809" s="93" t="str">
        <f aca="false">IF(NOT(ISNUMBER(D809)),"",DATE(YEAR(D809),MONTH(D809),1))</f>
        <v/>
      </c>
      <c r="M809" s="70" t="str">
        <f aca="false">IF(B809="","",IF(AND(ISNUMBER(D809),ISNUMBER(E809),E809&lt;D809),"⚠ Término anterior al inicio",IF(J809&lt;&gt;"Sí","Pendiente comprobante firmado","OK")))</f>
        <v/>
      </c>
    </row>
    <row r="810" customFormat="false" ht="15" hidden="false" customHeight="false" outlineLevel="0" collapsed="false">
      <c r="B810" s="64"/>
      <c r="C810" s="72" t="str">
        <f aca="false">IF(B810="","",IFERROR(INDEX(T_NOMBRE,MATCH(B810,T_ID,0)),"⚠ ID no existe"))</f>
        <v/>
      </c>
      <c r="D810" s="65"/>
      <c r="E810" s="65"/>
      <c r="F810" s="64"/>
      <c r="G810" s="74" t="str">
        <f aca="false">IF(OR(B810="",NOT(ISNUMBER(D810)),NOT(ISNUMBER(E810))),"",NETWORKDAYS(D810,E810,FERIADOS))</f>
        <v/>
      </c>
      <c r="H810" s="69"/>
      <c r="I810" s="74" t="str">
        <f aca="false">IF(B810="","",IF(ISNUMBER(H810),H810,N(G810)))</f>
        <v/>
      </c>
      <c r="J810" s="64"/>
      <c r="K810" s="64"/>
      <c r="L810" s="93" t="str">
        <f aca="false">IF(NOT(ISNUMBER(D810)),"",DATE(YEAR(D810),MONTH(D810),1))</f>
        <v/>
      </c>
      <c r="M810" s="70" t="str">
        <f aca="false">IF(B810="","",IF(AND(ISNUMBER(D810),ISNUMBER(E810),E810&lt;D810),"⚠ Término anterior al inicio",IF(J810&lt;&gt;"Sí","Pendiente comprobante firmado","OK")))</f>
        <v/>
      </c>
    </row>
    <row r="811" customFormat="false" ht="15" hidden="false" customHeight="false" outlineLevel="0" collapsed="false">
      <c r="B811" s="64"/>
      <c r="C811" s="72" t="str">
        <f aca="false">IF(B811="","",IFERROR(INDEX(T_NOMBRE,MATCH(B811,T_ID,0)),"⚠ ID no existe"))</f>
        <v/>
      </c>
      <c r="D811" s="65"/>
      <c r="E811" s="65"/>
      <c r="F811" s="64"/>
      <c r="G811" s="74" t="str">
        <f aca="false">IF(OR(B811="",NOT(ISNUMBER(D811)),NOT(ISNUMBER(E811))),"",NETWORKDAYS(D811,E811,FERIADOS))</f>
        <v/>
      </c>
      <c r="H811" s="69"/>
      <c r="I811" s="74" t="str">
        <f aca="false">IF(B811="","",IF(ISNUMBER(H811),H811,N(G811)))</f>
        <v/>
      </c>
      <c r="J811" s="64"/>
      <c r="K811" s="64"/>
      <c r="L811" s="93" t="str">
        <f aca="false">IF(NOT(ISNUMBER(D811)),"",DATE(YEAR(D811),MONTH(D811),1))</f>
        <v/>
      </c>
      <c r="M811" s="70" t="str">
        <f aca="false">IF(B811="","",IF(AND(ISNUMBER(D811),ISNUMBER(E811),E811&lt;D811),"⚠ Término anterior al inicio",IF(J811&lt;&gt;"Sí","Pendiente comprobante firmado","OK")))</f>
        <v/>
      </c>
    </row>
    <row r="812" customFormat="false" ht="15" hidden="false" customHeight="false" outlineLevel="0" collapsed="false">
      <c r="B812" s="64"/>
      <c r="C812" s="72" t="str">
        <f aca="false">IF(B812="","",IFERROR(INDEX(T_NOMBRE,MATCH(B812,T_ID,0)),"⚠ ID no existe"))</f>
        <v/>
      </c>
      <c r="D812" s="65"/>
      <c r="E812" s="65"/>
      <c r="F812" s="64"/>
      <c r="G812" s="74" t="str">
        <f aca="false">IF(OR(B812="",NOT(ISNUMBER(D812)),NOT(ISNUMBER(E812))),"",NETWORKDAYS(D812,E812,FERIADOS))</f>
        <v/>
      </c>
      <c r="H812" s="69"/>
      <c r="I812" s="74" t="str">
        <f aca="false">IF(B812="","",IF(ISNUMBER(H812),H812,N(G812)))</f>
        <v/>
      </c>
      <c r="J812" s="64"/>
      <c r="K812" s="64"/>
      <c r="L812" s="93" t="str">
        <f aca="false">IF(NOT(ISNUMBER(D812)),"",DATE(YEAR(D812),MONTH(D812),1))</f>
        <v/>
      </c>
      <c r="M812" s="70" t="str">
        <f aca="false">IF(B812="","",IF(AND(ISNUMBER(D812),ISNUMBER(E812),E812&lt;D812),"⚠ Término anterior al inicio",IF(J812&lt;&gt;"Sí","Pendiente comprobante firmado","OK")))</f>
        <v/>
      </c>
    </row>
    <row r="813" customFormat="false" ht="15" hidden="false" customHeight="false" outlineLevel="0" collapsed="false">
      <c r="B813" s="64"/>
      <c r="C813" s="72" t="str">
        <f aca="false">IF(B813="","",IFERROR(INDEX(T_NOMBRE,MATCH(B813,T_ID,0)),"⚠ ID no existe"))</f>
        <v/>
      </c>
      <c r="D813" s="65"/>
      <c r="E813" s="65"/>
      <c r="F813" s="64"/>
      <c r="G813" s="74" t="str">
        <f aca="false">IF(OR(B813="",NOT(ISNUMBER(D813)),NOT(ISNUMBER(E813))),"",NETWORKDAYS(D813,E813,FERIADOS))</f>
        <v/>
      </c>
      <c r="H813" s="69"/>
      <c r="I813" s="74" t="str">
        <f aca="false">IF(B813="","",IF(ISNUMBER(H813),H813,N(G813)))</f>
        <v/>
      </c>
      <c r="J813" s="64"/>
      <c r="K813" s="64"/>
      <c r="L813" s="93" t="str">
        <f aca="false">IF(NOT(ISNUMBER(D813)),"",DATE(YEAR(D813),MONTH(D813),1))</f>
        <v/>
      </c>
      <c r="M813" s="70" t="str">
        <f aca="false">IF(B813="","",IF(AND(ISNUMBER(D813),ISNUMBER(E813),E813&lt;D813),"⚠ Término anterior al inicio",IF(J813&lt;&gt;"Sí","Pendiente comprobante firmado","OK")))</f>
        <v/>
      </c>
    </row>
    <row r="814" customFormat="false" ht="15" hidden="false" customHeight="false" outlineLevel="0" collapsed="false">
      <c r="B814" s="64"/>
      <c r="C814" s="72" t="str">
        <f aca="false">IF(B814="","",IFERROR(INDEX(T_NOMBRE,MATCH(B814,T_ID,0)),"⚠ ID no existe"))</f>
        <v/>
      </c>
      <c r="D814" s="65"/>
      <c r="E814" s="65"/>
      <c r="F814" s="64"/>
      <c r="G814" s="74" t="str">
        <f aca="false">IF(OR(B814="",NOT(ISNUMBER(D814)),NOT(ISNUMBER(E814))),"",NETWORKDAYS(D814,E814,FERIADOS))</f>
        <v/>
      </c>
      <c r="H814" s="69"/>
      <c r="I814" s="74" t="str">
        <f aca="false">IF(B814="","",IF(ISNUMBER(H814),H814,N(G814)))</f>
        <v/>
      </c>
      <c r="J814" s="64"/>
      <c r="K814" s="64"/>
      <c r="L814" s="93" t="str">
        <f aca="false">IF(NOT(ISNUMBER(D814)),"",DATE(YEAR(D814),MONTH(D814),1))</f>
        <v/>
      </c>
      <c r="M814" s="70" t="str">
        <f aca="false">IF(B814="","",IF(AND(ISNUMBER(D814),ISNUMBER(E814),E814&lt;D814),"⚠ Término anterior al inicio",IF(J814&lt;&gt;"Sí","Pendiente comprobante firmado","OK")))</f>
        <v/>
      </c>
    </row>
    <row r="815" customFormat="false" ht="15" hidden="false" customHeight="false" outlineLevel="0" collapsed="false">
      <c r="B815" s="64"/>
      <c r="C815" s="72" t="str">
        <f aca="false">IF(B815="","",IFERROR(INDEX(T_NOMBRE,MATCH(B815,T_ID,0)),"⚠ ID no existe"))</f>
        <v/>
      </c>
      <c r="D815" s="65"/>
      <c r="E815" s="65"/>
      <c r="F815" s="64"/>
      <c r="G815" s="74" t="str">
        <f aca="false">IF(OR(B815="",NOT(ISNUMBER(D815)),NOT(ISNUMBER(E815))),"",NETWORKDAYS(D815,E815,FERIADOS))</f>
        <v/>
      </c>
      <c r="H815" s="69"/>
      <c r="I815" s="74" t="str">
        <f aca="false">IF(B815="","",IF(ISNUMBER(H815),H815,N(G815)))</f>
        <v/>
      </c>
      <c r="J815" s="64"/>
      <c r="K815" s="64"/>
      <c r="L815" s="93" t="str">
        <f aca="false">IF(NOT(ISNUMBER(D815)),"",DATE(YEAR(D815),MONTH(D815),1))</f>
        <v/>
      </c>
      <c r="M815" s="70" t="str">
        <f aca="false">IF(B815="","",IF(AND(ISNUMBER(D815),ISNUMBER(E815),E815&lt;D815),"⚠ Término anterior al inicio",IF(J815&lt;&gt;"Sí","Pendiente comprobante firmado","OK")))</f>
        <v/>
      </c>
    </row>
    <row r="816" customFormat="false" ht="15" hidden="false" customHeight="false" outlineLevel="0" collapsed="false">
      <c r="B816" s="64"/>
      <c r="C816" s="72" t="str">
        <f aca="false">IF(B816="","",IFERROR(INDEX(T_NOMBRE,MATCH(B816,T_ID,0)),"⚠ ID no existe"))</f>
        <v/>
      </c>
      <c r="D816" s="65"/>
      <c r="E816" s="65"/>
      <c r="F816" s="64"/>
      <c r="G816" s="74" t="str">
        <f aca="false">IF(OR(B816="",NOT(ISNUMBER(D816)),NOT(ISNUMBER(E816))),"",NETWORKDAYS(D816,E816,FERIADOS))</f>
        <v/>
      </c>
      <c r="H816" s="69"/>
      <c r="I816" s="74" t="str">
        <f aca="false">IF(B816="","",IF(ISNUMBER(H816),H816,N(G816)))</f>
        <v/>
      </c>
      <c r="J816" s="64"/>
      <c r="K816" s="64"/>
      <c r="L816" s="93" t="str">
        <f aca="false">IF(NOT(ISNUMBER(D816)),"",DATE(YEAR(D816),MONTH(D816),1))</f>
        <v/>
      </c>
      <c r="M816" s="70" t="str">
        <f aca="false">IF(B816="","",IF(AND(ISNUMBER(D816),ISNUMBER(E816),E816&lt;D816),"⚠ Término anterior al inicio",IF(J816&lt;&gt;"Sí","Pendiente comprobante firmado","OK")))</f>
        <v/>
      </c>
    </row>
    <row r="817" customFormat="false" ht="15" hidden="false" customHeight="false" outlineLevel="0" collapsed="false">
      <c r="B817" s="64"/>
      <c r="C817" s="72" t="str">
        <f aca="false">IF(B817="","",IFERROR(INDEX(T_NOMBRE,MATCH(B817,T_ID,0)),"⚠ ID no existe"))</f>
        <v/>
      </c>
      <c r="D817" s="65"/>
      <c r="E817" s="65"/>
      <c r="F817" s="64"/>
      <c r="G817" s="74" t="str">
        <f aca="false">IF(OR(B817="",NOT(ISNUMBER(D817)),NOT(ISNUMBER(E817))),"",NETWORKDAYS(D817,E817,FERIADOS))</f>
        <v/>
      </c>
      <c r="H817" s="69"/>
      <c r="I817" s="74" t="str">
        <f aca="false">IF(B817="","",IF(ISNUMBER(H817),H817,N(G817)))</f>
        <v/>
      </c>
      <c r="J817" s="64"/>
      <c r="K817" s="64"/>
      <c r="L817" s="93" t="str">
        <f aca="false">IF(NOT(ISNUMBER(D817)),"",DATE(YEAR(D817),MONTH(D817),1))</f>
        <v/>
      </c>
      <c r="M817" s="70" t="str">
        <f aca="false">IF(B817="","",IF(AND(ISNUMBER(D817),ISNUMBER(E817),E817&lt;D817),"⚠ Término anterior al inicio",IF(J817&lt;&gt;"Sí","Pendiente comprobante firmado","OK")))</f>
        <v/>
      </c>
    </row>
    <row r="818" customFormat="false" ht="15" hidden="false" customHeight="false" outlineLevel="0" collapsed="false">
      <c r="B818" s="64"/>
      <c r="C818" s="72" t="str">
        <f aca="false">IF(B818="","",IFERROR(INDEX(T_NOMBRE,MATCH(B818,T_ID,0)),"⚠ ID no existe"))</f>
        <v/>
      </c>
      <c r="D818" s="65"/>
      <c r="E818" s="65"/>
      <c r="F818" s="64"/>
      <c r="G818" s="74" t="str">
        <f aca="false">IF(OR(B818="",NOT(ISNUMBER(D818)),NOT(ISNUMBER(E818))),"",NETWORKDAYS(D818,E818,FERIADOS))</f>
        <v/>
      </c>
      <c r="H818" s="69"/>
      <c r="I818" s="74" t="str">
        <f aca="false">IF(B818="","",IF(ISNUMBER(H818),H818,N(G818)))</f>
        <v/>
      </c>
      <c r="J818" s="64"/>
      <c r="K818" s="64"/>
      <c r="L818" s="93" t="str">
        <f aca="false">IF(NOT(ISNUMBER(D818)),"",DATE(YEAR(D818),MONTH(D818),1))</f>
        <v/>
      </c>
      <c r="M818" s="70" t="str">
        <f aca="false">IF(B818="","",IF(AND(ISNUMBER(D818),ISNUMBER(E818),E818&lt;D818),"⚠ Término anterior al inicio",IF(J818&lt;&gt;"Sí","Pendiente comprobante firmado","OK")))</f>
        <v/>
      </c>
    </row>
    <row r="819" customFormat="false" ht="15" hidden="false" customHeight="false" outlineLevel="0" collapsed="false">
      <c r="B819" s="64"/>
      <c r="C819" s="72" t="str">
        <f aca="false">IF(B819="","",IFERROR(INDEX(T_NOMBRE,MATCH(B819,T_ID,0)),"⚠ ID no existe"))</f>
        <v/>
      </c>
      <c r="D819" s="65"/>
      <c r="E819" s="65"/>
      <c r="F819" s="64"/>
      <c r="G819" s="74" t="str">
        <f aca="false">IF(OR(B819="",NOT(ISNUMBER(D819)),NOT(ISNUMBER(E819))),"",NETWORKDAYS(D819,E819,FERIADOS))</f>
        <v/>
      </c>
      <c r="H819" s="69"/>
      <c r="I819" s="74" t="str">
        <f aca="false">IF(B819="","",IF(ISNUMBER(H819),H819,N(G819)))</f>
        <v/>
      </c>
      <c r="J819" s="64"/>
      <c r="K819" s="64"/>
      <c r="L819" s="93" t="str">
        <f aca="false">IF(NOT(ISNUMBER(D819)),"",DATE(YEAR(D819),MONTH(D819),1))</f>
        <v/>
      </c>
      <c r="M819" s="70" t="str">
        <f aca="false">IF(B819="","",IF(AND(ISNUMBER(D819),ISNUMBER(E819),E819&lt;D819),"⚠ Término anterior al inicio",IF(J819&lt;&gt;"Sí","Pendiente comprobante firmado","OK")))</f>
        <v/>
      </c>
    </row>
    <row r="820" customFormat="false" ht="15" hidden="false" customHeight="false" outlineLevel="0" collapsed="false">
      <c r="B820" s="64"/>
      <c r="C820" s="72" t="str">
        <f aca="false">IF(B820="","",IFERROR(INDEX(T_NOMBRE,MATCH(B820,T_ID,0)),"⚠ ID no existe"))</f>
        <v/>
      </c>
      <c r="D820" s="65"/>
      <c r="E820" s="65"/>
      <c r="F820" s="64"/>
      <c r="G820" s="74" t="str">
        <f aca="false">IF(OR(B820="",NOT(ISNUMBER(D820)),NOT(ISNUMBER(E820))),"",NETWORKDAYS(D820,E820,FERIADOS))</f>
        <v/>
      </c>
      <c r="H820" s="69"/>
      <c r="I820" s="74" t="str">
        <f aca="false">IF(B820="","",IF(ISNUMBER(H820),H820,N(G820)))</f>
        <v/>
      </c>
      <c r="J820" s="64"/>
      <c r="K820" s="64"/>
      <c r="L820" s="93" t="str">
        <f aca="false">IF(NOT(ISNUMBER(D820)),"",DATE(YEAR(D820),MONTH(D820),1))</f>
        <v/>
      </c>
      <c r="M820" s="70" t="str">
        <f aca="false">IF(B820="","",IF(AND(ISNUMBER(D820),ISNUMBER(E820),E820&lt;D820),"⚠ Término anterior al inicio",IF(J820&lt;&gt;"Sí","Pendiente comprobante firmado","OK")))</f>
        <v/>
      </c>
    </row>
    <row r="821" customFormat="false" ht="15" hidden="false" customHeight="false" outlineLevel="0" collapsed="false">
      <c r="B821" s="64"/>
      <c r="C821" s="72" t="str">
        <f aca="false">IF(B821="","",IFERROR(INDEX(T_NOMBRE,MATCH(B821,T_ID,0)),"⚠ ID no existe"))</f>
        <v/>
      </c>
      <c r="D821" s="65"/>
      <c r="E821" s="65"/>
      <c r="F821" s="64"/>
      <c r="G821" s="74" t="str">
        <f aca="false">IF(OR(B821="",NOT(ISNUMBER(D821)),NOT(ISNUMBER(E821))),"",NETWORKDAYS(D821,E821,FERIADOS))</f>
        <v/>
      </c>
      <c r="H821" s="69"/>
      <c r="I821" s="74" t="str">
        <f aca="false">IF(B821="","",IF(ISNUMBER(H821),H821,N(G821)))</f>
        <v/>
      </c>
      <c r="J821" s="64"/>
      <c r="K821" s="64"/>
      <c r="L821" s="93" t="str">
        <f aca="false">IF(NOT(ISNUMBER(D821)),"",DATE(YEAR(D821),MONTH(D821),1))</f>
        <v/>
      </c>
      <c r="M821" s="70" t="str">
        <f aca="false">IF(B821="","",IF(AND(ISNUMBER(D821),ISNUMBER(E821),E821&lt;D821),"⚠ Término anterior al inicio",IF(J821&lt;&gt;"Sí","Pendiente comprobante firmado","OK")))</f>
        <v/>
      </c>
    </row>
    <row r="822" customFormat="false" ht="15" hidden="false" customHeight="false" outlineLevel="0" collapsed="false">
      <c r="B822" s="64"/>
      <c r="C822" s="72" t="str">
        <f aca="false">IF(B822="","",IFERROR(INDEX(T_NOMBRE,MATCH(B822,T_ID,0)),"⚠ ID no existe"))</f>
        <v/>
      </c>
      <c r="D822" s="65"/>
      <c r="E822" s="65"/>
      <c r="F822" s="64"/>
      <c r="G822" s="74" t="str">
        <f aca="false">IF(OR(B822="",NOT(ISNUMBER(D822)),NOT(ISNUMBER(E822))),"",NETWORKDAYS(D822,E822,FERIADOS))</f>
        <v/>
      </c>
      <c r="H822" s="69"/>
      <c r="I822" s="74" t="str">
        <f aca="false">IF(B822="","",IF(ISNUMBER(H822),H822,N(G822)))</f>
        <v/>
      </c>
      <c r="J822" s="64"/>
      <c r="K822" s="64"/>
      <c r="L822" s="93" t="str">
        <f aca="false">IF(NOT(ISNUMBER(D822)),"",DATE(YEAR(D822),MONTH(D822),1))</f>
        <v/>
      </c>
      <c r="M822" s="70" t="str">
        <f aca="false">IF(B822="","",IF(AND(ISNUMBER(D822),ISNUMBER(E822),E822&lt;D822),"⚠ Término anterior al inicio",IF(J822&lt;&gt;"Sí","Pendiente comprobante firmado","OK")))</f>
        <v/>
      </c>
    </row>
    <row r="823" customFormat="false" ht="15" hidden="false" customHeight="false" outlineLevel="0" collapsed="false">
      <c r="B823" s="64"/>
      <c r="C823" s="72" t="str">
        <f aca="false">IF(B823="","",IFERROR(INDEX(T_NOMBRE,MATCH(B823,T_ID,0)),"⚠ ID no existe"))</f>
        <v/>
      </c>
      <c r="D823" s="65"/>
      <c r="E823" s="65"/>
      <c r="F823" s="64"/>
      <c r="G823" s="74" t="str">
        <f aca="false">IF(OR(B823="",NOT(ISNUMBER(D823)),NOT(ISNUMBER(E823))),"",NETWORKDAYS(D823,E823,FERIADOS))</f>
        <v/>
      </c>
      <c r="H823" s="69"/>
      <c r="I823" s="74" t="str">
        <f aca="false">IF(B823="","",IF(ISNUMBER(H823),H823,N(G823)))</f>
        <v/>
      </c>
      <c r="J823" s="64"/>
      <c r="K823" s="64"/>
      <c r="L823" s="93" t="str">
        <f aca="false">IF(NOT(ISNUMBER(D823)),"",DATE(YEAR(D823),MONTH(D823),1))</f>
        <v/>
      </c>
      <c r="M823" s="70" t="str">
        <f aca="false">IF(B823="","",IF(AND(ISNUMBER(D823),ISNUMBER(E823),E823&lt;D823),"⚠ Término anterior al inicio",IF(J823&lt;&gt;"Sí","Pendiente comprobante firmado","OK")))</f>
        <v/>
      </c>
    </row>
    <row r="824" customFormat="false" ht="15" hidden="false" customHeight="false" outlineLevel="0" collapsed="false">
      <c r="B824" s="64"/>
      <c r="C824" s="72" t="str">
        <f aca="false">IF(B824="","",IFERROR(INDEX(T_NOMBRE,MATCH(B824,T_ID,0)),"⚠ ID no existe"))</f>
        <v/>
      </c>
      <c r="D824" s="65"/>
      <c r="E824" s="65"/>
      <c r="F824" s="64"/>
      <c r="G824" s="74" t="str">
        <f aca="false">IF(OR(B824="",NOT(ISNUMBER(D824)),NOT(ISNUMBER(E824))),"",NETWORKDAYS(D824,E824,FERIADOS))</f>
        <v/>
      </c>
      <c r="H824" s="69"/>
      <c r="I824" s="74" t="str">
        <f aca="false">IF(B824="","",IF(ISNUMBER(H824),H824,N(G824)))</f>
        <v/>
      </c>
      <c r="J824" s="64"/>
      <c r="K824" s="64"/>
      <c r="L824" s="93" t="str">
        <f aca="false">IF(NOT(ISNUMBER(D824)),"",DATE(YEAR(D824),MONTH(D824),1))</f>
        <v/>
      </c>
      <c r="M824" s="70" t="str">
        <f aca="false">IF(B824="","",IF(AND(ISNUMBER(D824),ISNUMBER(E824),E824&lt;D824),"⚠ Término anterior al inicio",IF(J824&lt;&gt;"Sí","Pendiente comprobante firmado","OK")))</f>
        <v/>
      </c>
    </row>
    <row r="825" customFormat="false" ht="15" hidden="false" customHeight="false" outlineLevel="0" collapsed="false">
      <c r="B825" s="64"/>
      <c r="C825" s="72" t="str">
        <f aca="false">IF(B825="","",IFERROR(INDEX(T_NOMBRE,MATCH(B825,T_ID,0)),"⚠ ID no existe"))</f>
        <v/>
      </c>
      <c r="D825" s="65"/>
      <c r="E825" s="65"/>
      <c r="F825" s="64"/>
      <c r="G825" s="74" t="str">
        <f aca="false">IF(OR(B825="",NOT(ISNUMBER(D825)),NOT(ISNUMBER(E825))),"",NETWORKDAYS(D825,E825,FERIADOS))</f>
        <v/>
      </c>
      <c r="H825" s="69"/>
      <c r="I825" s="74" t="str">
        <f aca="false">IF(B825="","",IF(ISNUMBER(H825),H825,N(G825)))</f>
        <v/>
      </c>
      <c r="J825" s="64"/>
      <c r="K825" s="64"/>
      <c r="L825" s="93" t="str">
        <f aca="false">IF(NOT(ISNUMBER(D825)),"",DATE(YEAR(D825),MONTH(D825),1))</f>
        <v/>
      </c>
      <c r="M825" s="70" t="str">
        <f aca="false">IF(B825="","",IF(AND(ISNUMBER(D825),ISNUMBER(E825),E825&lt;D825),"⚠ Término anterior al inicio",IF(J825&lt;&gt;"Sí","Pendiente comprobante firmado","OK")))</f>
        <v/>
      </c>
    </row>
    <row r="826" customFormat="false" ht="15" hidden="false" customHeight="false" outlineLevel="0" collapsed="false">
      <c r="B826" s="64"/>
      <c r="C826" s="72" t="str">
        <f aca="false">IF(B826="","",IFERROR(INDEX(T_NOMBRE,MATCH(B826,T_ID,0)),"⚠ ID no existe"))</f>
        <v/>
      </c>
      <c r="D826" s="65"/>
      <c r="E826" s="65"/>
      <c r="F826" s="64"/>
      <c r="G826" s="74" t="str">
        <f aca="false">IF(OR(B826="",NOT(ISNUMBER(D826)),NOT(ISNUMBER(E826))),"",NETWORKDAYS(D826,E826,FERIADOS))</f>
        <v/>
      </c>
      <c r="H826" s="69"/>
      <c r="I826" s="74" t="str">
        <f aca="false">IF(B826="","",IF(ISNUMBER(H826),H826,N(G826)))</f>
        <v/>
      </c>
      <c r="J826" s="64"/>
      <c r="K826" s="64"/>
      <c r="L826" s="93" t="str">
        <f aca="false">IF(NOT(ISNUMBER(D826)),"",DATE(YEAR(D826),MONTH(D826),1))</f>
        <v/>
      </c>
      <c r="M826" s="70" t="str">
        <f aca="false">IF(B826="","",IF(AND(ISNUMBER(D826),ISNUMBER(E826),E826&lt;D826),"⚠ Término anterior al inicio",IF(J826&lt;&gt;"Sí","Pendiente comprobante firmado","OK")))</f>
        <v/>
      </c>
    </row>
    <row r="827" customFormat="false" ht="15" hidden="false" customHeight="false" outlineLevel="0" collapsed="false">
      <c r="B827" s="64"/>
      <c r="C827" s="72" t="str">
        <f aca="false">IF(B827="","",IFERROR(INDEX(T_NOMBRE,MATCH(B827,T_ID,0)),"⚠ ID no existe"))</f>
        <v/>
      </c>
      <c r="D827" s="65"/>
      <c r="E827" s="65"/>
      <c r="F827" s="64"/>
      <c r="G827" s="74" t="str">
        <f aca="false">IF(OR(B827="",NOT(ISNUMBER(D827)),NOT(ISNUMBER(E827))),"",NETWORKDAYS(D827,E827,FERIADOS))</f>
        <v/>
      </c>
      <c r="H827" s="69"/>
      <c r="I827" s="74" t="str">
        <f aca="false">IF(B827="","",IF(ISNUMBER(H827),H827,N(G827)))</f>
        <v/>
      </c>
      <c r="J827" s="64"/>
      <c r="K827" s="64"/>
      <c r="L827" s="93" t="str">
        <f aca="false">IF(NOT(ISNUMBER(D827)),"",DATE(YEAR(D827),MONTH(D827),1))</f>
        <v/>
      </c>
      <c r="M827" s="70" t="str">
        <f aca="false">IF(B827="","",IF(AND(ISNUMBER(D827),ISNUMBER(E827),E827&lt;D827),"⚠ Término anterior al inicio",IF(J827&lt;&gt;"Sí","Pendiente comprobante firmado","OK")))</f>
        <v/>
      </c>
    </row>
    <row r="828" customFormat="false" ht="15" hidden="false" customHeight="false" outlineLevel="0" collapsed="false">
      <c r="B828" s="64"/>
      <c r="C828" s="72" t="str">
        <f aca="false">IF(B828="","",IFERROR(INDEX(T_NOMBRE,MATCH(B828,T_ID,0)),"⚠ ID no existe"))</f>
        <v/>
      </c>
      <c r="D828" s="65"/>
      <c r="E828" s="65"/>
      <c r="F828" s="64"/>
      <c r="G828" s="74" t="str">
        <f aca="false">IF(OR(B828="",NOT(ISNUMBER(D828)),NOT(ISNUMBER(E828))),"",NETWORKDAYS(D828,E828,FERIADOS))</f>
        <v/>
      </c>
      <c r="H828" s="69"/>
      <c r="I828" s="74" t="str">
        <f aca="false">IF(B828="","",IF(ISNUMBER(H828),H828,N(G828)))</f>
        <v/>
      </c>
      <c r="J828" s="64"/>
      <c r="K828" s="64"/>
      <c r="L828" s="93" t="str">
        <f aca="false">IF(NOT(ISNUMBER(D828)),"",DATE(YEAR(D828),MONTH(D828),1))</f>
        <v/>
      </c>
      <c r="M828" s="70" t="str">
        <f aca="false">IF(B828="","",IF(AND(ISNUMBER(D828),ISNUMBER(E828),E828&lt;D828),"⚠ Término anterior al inicio",IF(J828&lt;&gt;"Sí","Pendiente comprobante firmado","OK")))</f>
        <v/>
      </c>
    </row>
    <row r="829" customFormat="false" ht="15" hidden="false" customHeight="false" outlineLevel="0" collapsed="false">
      <c r="B829" s="64"/>
      <c r="C829" s="72" t="str">
        <f aca="false">IF(B829="","",IFERROR(INDEX(T_NOMBRE,MATCH(B829,T_ID,0)),"⚠ ID no existe"))</f>
        <v/>
      </c>
      <c r="D829" s="65"/>
      <c r="E829" s="65"/>
      <c r="F829" s="64"/>
      <c r="G829" s="74" t="str">
        <f aca="false">IF(OR(B829="",NOT(ISNUMBER(D829)),NOT(ISNUMBER(E829))),"",NETWORKDAYS(D829,E829,FERIADOS))</f>
        <v/>
      </c>
      <c r="H829" s="69"/>
      <c r="I829" s="74" t="str">
        <f aca="false">IF(B829="","",IF(ISNUMBER(H829),H829,N(G829)))</f>
        <v/>
      </c>
      <c r="J829" s="64"/>
      <c r="K829" s="64"/>
      <c r="L829" s="93" t="str">
        <f aca="false">IF(NOT(ISNUMBER(D829)),"",DATE(YEAR(D829),MONTH(D829),1))</f>
        <v/>
      </c>
      <c r="M829" s="70" t="str">
        <f aca="false">IF(B829="","",IF(AND(ISNUMBER(D829),ISNUMBER(E829),E829&lt;D829),"⚠ Término anterior al inicio",IF(J829&lt;&gt;"Sí","Pendiente comprobante firmado","OK")))</f>
        <v/>
      </c>
    </row>
    <row r="830" customFormat="false" ht="15" hidden="false" customHeight="false" outlineLevel="0" collapsed="false">
      <c r="B830" s="64"/>
      <c r="C830" s="72" t="str">
        <f aca="false">IF(B830="","",IFERROR(INDEX(T_NOMBRE,MATCH(B830,T_ID,0)),"⚠ ID no existe"))</f>
        <v/>
      </c>
      <c r="D830" s="65"/>
      <c r="E830" s="65"/>
      <c r="F830" s="64"/>
      <c r="G830" s="74" t="str">
        <f aca="false">IF(OR(B830="",NOT(ISNUMBER(D830)),NOT(ISNUMBER(E830))),"",NETWORKDAYS(D830,E830,FERIADOS))</f>
        <v/>
      </c>
      <c r="H830" s="69"/>
      <c r="I830" s="74" t="str">
        <f aca="false">IF(B830="","",IF(ISNUMBER(H830),H830,N(G830)))</f>
        <v/>
      </c>
      <c r="J830" s="64"/>
      <c r="K830" s="64"/>
      <c r="L830" s="93" t="str">
        <f aca="false">IF(NOT(ISNUMBER(D830)),"",DATE(YEAR(D830),MONTH(D830),1))</f>
        <v/>
      </c>
      <c r="M830" s="70" t="str">
        <f aca="false">IF(B830="","",IF(AND(ISNUMBER(D830),ISNUMBER(E830),E830&lt;D830),"⚠ Término anterior al inicio",IF(J830&lt;&gt;"Sí","Pendiente comprobante firmado","OK")))</f>
        <v/>
      </c>
    </row>
    <row r="831" customFormat="false" ht="15" hidden="false" customHeight="false" outlineLevel="0" collapsed="false">
      <c r="B831" s="64"/>
      <c r="C831" s="72" t="str">
        <f aca="false">IF(B831="","",IFERROR(INDEX(T_NOMBRE,MATCH(B831,T_ID,0)),"⚠ ID no existe"))</f>
        <v/>
      </c>
      <c r="D831" s="65"/>
      <c r="E831" s="65"/>
      <c r="F831" s="64"/>
      <c r="G831" s="74" t="str">
        <f aca="false">IF(OR(B831="",NOT(ISNUMBER(D831)),NOT(ISNUMBER(E831))),"",NETWORKDAYS(D831,E831,FERIADOS))</f>
        <v/>
      </c>
      <c r="H831" s="69"/>
      <c r="I831" s="74" t="str">
        <f aca="false">IF(B831="","",IF(ISNUMBER(H831),H831,N(G831)))</f>
        <v/>
      </c>
      <c r="J831" s="64"/>
      <c r="K831" s="64"/>
      <c r="L831" s="93" t="str">
        <f aca="false">IF(NOT(ISNUMBER(D831)),"",DATE(YEAR(D831),MONTH(D831),1))</f>
        <v/>
      </c>
      <c r="M831" s="70" t="str">
        <f aca="false">IF(B831="","",IF(AND(ISNUMBER(D831),ISNUMBER(E831),E831&lt;D831),"⚠ Término anterior al inicio",IF(J831&lt;&gt;"Sí","Pendiente comprobante firmado","OK")))</f>
        <v/>
      </c>
    </row>
    <row r="832" customFormat="false" ht="15" hidden="false" customHeight="false" outlineLevel="0" collapsed="false">
      <c r="B832" s="64"/>
      <c r="C832" s="72" t="str">
        <f aca="false">IF(B832="","",IFERROR(INDEX(T_NOMBRE,MATCH(B832,T_ID,0)),"⚠ ID no existe"))</f>
        <v/>
      </c>
      <c r="D832" s="65"/>
      <c r="E832" s="65"/>
      <c r="F832" s="64"/>
      <c r="G832" s="74" t="str">
        <f aca="false">IF(OR(B832="",NOT(ISNUMBER(D832)),NOT(ISNUMBER(E832))),"",NETWORKDAYS(D832,E832,FERIADOS))</f>
        <v/>
      </c>
      <c r="H832" s="69"/>
      <c r="I832" s="74" t="str">
        <f aca="false">IF(B832="","",IF(ISNUMBER(H832),H832,N(G832)))</f>
        <v/>
      </c>
      <c r="J832" s="64"/>
      <c r="K832" s="64"/>
      <c r="L832" s="93" t="str">
        <f aca="false">IF(NOT(ISNUMBER(D832)),"",DATE(YEAR(D832),MONTH(D832),1))</f>
        <v/>
      </c>
      <c r="M832" s="70" t="str">
        <f aca="false">IF(B832="","",IF(AND(ISNUMBER(D832),ISNUMBER(E832),E832&lt;D832),"⚠ Término anterior al inicio",IF(J832&lt;&gt;"Sí","Pendiente comprobante firmado","OK")))</f>
        <v/>
      </c>
    </row>
    <row r="833" customFormat="false" ht="15" hidden="false" customHeight="false" outlineLevel="0" collapsed="false">
      <c r="B833" s="64"/>
      <c r="C833" s="72" t="str">
        <f aca="false">IF(B833="","",IFERROR(INDEX(T_NOMBRE,MATCH(B833,T_ID,0)),"⚠ ID no existe"))</f>
        <v/>
      </c>
      <c r="D833" s="65"/>
      <c r="E833" s="65"/>
      <c r="F833" s="64"/>
      <c r="G833" s="74" t="str">
        <f aca="false">IF(OR(B833="",NOT(ISNUMBER(D833)),NOT(ISNUMBER(E833))),"",NETWORKDAYS(D833,E833,FERIADOS))</f>
        <v/>
      </c>
      <c r="H833" s="69"/>
      <c r="I833" s="74" t="str">
        <f aca="false">IF(B833="","",IF(ISNUMBER(H833),H833,N(G833)))</f>
        <v/>
      </c>
      <c r="J833" s="64"/>
      <c r="K833" s="64"/>
      <c r="L833" s="93" t="str">
        <f aca="false">IF(NOT(ISNUMBER(D833)),"",DATE(YEAR(D833),MONTH(D833),1))</f>
        <v/>
      </c>
      <c r="M833" s="70" t="str">
        <f aca="false">IF(B833="","",IF(AND(ISNUMBER(D833),ISNUMBER(E833),E833&lt;D833),"⚠ Término anterior al inicio",IF(J833&lt;&gt;"Sí","Pendiente comprobante firmado","OK")))</f>
        <v/>
      </c>
    </row>
    <row r="834" customFormat="false" ht="15" hidden="false" customHeight="false" outlineLevel="0" collapsed="false">
      <c r="B834" s="64"/>
      <c r="C834" s="72" t="str">
        <f aca="false">IF(B834="","",IFERROR(INDEX(T_NOMBRE,MATCH(B834,T_ID,0)),"⚠ ID no existe"))</f>
        <v/>
      </c>
      <c r="D834" s="65"/>
      <c r="E834" s="65"/>
      <c r="F834" s="64"/>
      <c r="G834" s="74" t="str">
        <f aca="false">IF(OR(B834="",NOT(ISNUMBER(D834)),NOT(ISNUMBER(E834))),"",NETWORKDAYS(D834,E834,FERIADOS))</f>
        <v/>
      </c>
      <c r="H834" s="69"/>
      <c r="I834" s="74" t="str">
        <f aca="false">IF(B834="","",IF(ISNUMBER(H834),H834,N(G834)))</f>
        <v/>
      </c>
      <c r="J834" s="64"/>
      <c r="K834" s="64"/>
      <c r="L834" s="93" t="str">
        <f aca="false">IF(NOT(ISNUMBER(D834)),"",DATE(YEAR(D834),MONTH(D834),1))</f>
        <v/>
      </c>
      <c r="M834" s="70" t="str">
        <f aca="false">IF(B834="","",IF(AND(ISNUMBER(D834),ISNUMBER(E834),E834&lt;D834),"⚠ Término anterior al inicio",IF(J834&lt;&gt;"Sí","Pendiente comprobante firmado","OK")))</f>
        <v/>
      </c>
    </row>
    <row r="835" customFormat="false" ht="15" hidden="false" customHeight="false" outlineLevel="0" collapsed="false">
      <c r="B835" s="64"/>
      <c r="C835" s="72" t="str">
        <f aca="false">IF(B835="","",IFERROR(INDEX(T_NOMBRE,MATCH(B835,T_ID,0)),"⚠ ID no existe"))</f>
        <v/>
      </c>
      <c r="D835" s="65"/>
      <c r="E835" s="65"/>
      <c r="F835" s="64"/>
      <c r="G835" s="74" t="str">
        <f aca="false">IF(OR(B835="",NOT(ISNUMBER(D835)),NOT(ISNUMBER(E835))),"",NETWORKDAYS(D835,E835,FERIADOS))</f>
        <v/>
      </c>
      <c r="H835" s="69"/>
      <c r="I835" s="74" t="str">
        <f aca="false">IF(B835="","",IF(ISNUMBER(H835),H835,N(G835)))</f>
        <v/>
      </c>
      <c r="J835" s="64"/>
      <c r="K835" s="64"/>
      <c r="L835" s="93" t="str">
        <f aca="false">IF(NOT(ISNUMBER(D835)),"",DATE(YEAR(D835),MONTH(D835),1))</f>
        <v/>
      </c>
      <c r="M835" s="70" t="str">
        <f aca="false">IF(B835="","",IF(AND(ISNUMBER(D835),ISNUMBER(E835),E835&lt;D835),"⚠ Término anterior al inicio",IF(J835&lt;&gt;"Sí","Pendiente comprobante firmado","OK")))</f>
        <v/>
      </c>
    </row>
    <row r="836" customFormat="false" ht="15" hidden="false" customHeight="false" outlineLevel="0" collapsed="false">
      <c r="B836" s="64"/>
      <c r="C836" s="72" t="str">
        <f aca="false">IF(B836="","",IFERROR(INDEX(T_NOMBRE,MATCH(B836,T_ID,0)),"⚠ ID no existe"))</f>
        <v/>
      </c>
      <c r="D836" s="65"/>
      <c r="E836" s="65"/>
      <c r="F836" s="64"/>
      <c r="G836" s="74" t="str">
        <f aca="false">IF(OR(B836="",NOT(ISNUMBER(D836)),NOT(ISNUMBER(E836))),"",NETWORKDAYS(D836,E836,FERIADOS))</f>
        <v/>
      </c>
      <c r="H836" s="69"/>
      <c r="I836" s="74" t="str">
        <f aca="false">IF(B836="","",IF(ISNUMBER(H836),H836,N(G836)))</f>
        <v/>
      </c>
      <c r="J836" s="64"/>
      <c r="K836" s="64"/>
      <c r="L836" s="93" t="str">
        <f aca="false">IF(NOT(ISNUMBER(D836)),"",DATE(YEAR(D836),MONTH(D836),1))</f>
        <v/>
      </c>
      <c r="M836" s="70" t="str">
        <f aca="false">IF(B836="","",IF(AND(ISNUMBER(D836),ISNUMBER(E836),E836&lt;D836),"⚠ Término anterior al inicio",IF(J836&lt;&gt;"Sí","Pendiente comprobante firmado","OK")))</f>
        <v/>
      </c>
    </row>
    <row r="837" customFormat="false" ht="15" hidden="false" customHeight="false" outlineLevel="0" collapsed="false">
      <c r="B837" s="64"/>
      <c r="C837" s="72" t="str">
        <f aca="false">IF(B837="","",IFERROR(INDEX(T_NOMBRE,MATCH(B837,T_ID,0)),"⚠ ID no existe"))</f>
        <v/>
      </c>
      <c r="D837" s="65"/>
      <c r="E837" s="65"/>
      <c r="F837" s="64"/>
      <c r="G837" s="74" t="str">
        <f aca="false">IF(OR(B837="",NOT(ISNUMBER(D837)),NOT(ISNUMBER(E837))),"",NETWORKDAYS(D837,E837,FERIADOS))</f>
        <v/>
      </c>
      <c r="H837" s="69"/>
      <c r="I837" s="74" t="str">
        <f aca="false">IF(B837="","",IF(ISNUMBER(H837),H837,N(G837)))</f>
        <v/>
      </c>
      <c r="J837" s="64"/>
      <c r="K837" s="64"/>
      <c r="L837" s="93" t="str">
        <f aca="false">IF(NOT(ISNUMBER(D837)),"",DATE(YEAR(D837),MONTH(D837),1))</f>
        <v/>
      </c>
      <c r="M837" s="70" t="str">
        <f aca="false">IF(B837="","",IF(AND(ISNUMBER(D837),ISNUMBER(E837),E837&lt;D837),"⚠ Término anterior al inicio",IF(J837&lt;&gt;"Sí","Pendiente comprobante firmado","OK")))</f>
        <v/>
      </c>
    </row>
    <row r="838" customFormat="false" ht="15" hidden="false" customHeight="false" outlineLevel="0" collapsed="false">
      <c r="B838" s="64"/>
      <c r="C838" s="72" t="str">
        <f aca="false">IF(B838="","",IFERROR(INDEX(T_NOMBRE,MATCH(B838,T_ID,0)),"⚠ ID no existe"))</f>
        <v/>
      </c>
      <c r="D838" s="65"/>
      <c r="E838" s="65"/>
      <c r="F838" s="64"/>
      <c r="G838" s="74" t="str">
        <f aca="false">IF(OR(B838="",NOT(ISNUMBER(D838)),NOT(ISNUMBER(E838))),"",NETWORKDAYS(D838,E838,FERIADOS))</f>
        <v/>
      </c>
      <c r="H838" s="69"/>
      <c r="I838" s="74" t="str">
        <f aca="false">IF(B838="","",IF(ISNUMBER(H838),H838,N(G838)))</f>
        <v/>
      </c>
      <c r="J838" s="64"/>
      <c r="K838" s="64"/>
      <c r="L838" s="93" t="str">
        <f aca="false">IF(NOT(ISNUMBER(D838)),"",DATE(YEAR(D838),MONTH(D838),1))</f>
        <v/>
      </c>
      <c r="M838" s="70" t="str">
        <f aca="false">IF(B838="","",IF(AND(ISNUMBER(D838),ISNUMBER(E838),E838&lt;D838),"⚠ Término anterior al inicio",IF(J838&lt;&gt;"Sí","Pendiente comprobante firmado","OK")))</f>
        <v/>
      </c>
    </row>
    <row r="839" customFormat="false" ht="15" hidden="false" customHeight="false" outlineLevel="0" collapsed="false">
      <c r="B839" s="64"/>
      <c r="C839" s="72" t="str">
        <f aca="false">IF(B839="","",IFERROR(INDEX(T_NOMBRE,MATCH(B839,T_ID,0)),"⚠ ID no existe"))</f>
        <v/>
      </c>
      <c r="D839" s="65"/>
      <c r="E839" s="65"/>
      <c r="F839" s="64"/>
      <c r="G839" s="74" t="str">
        <f aca="false">IF(OR(B839="",NOT(ISNUMBER(D839)),NOT(ISNUMBER(E839))),"",NETWORKDAYS(D839,E839,FERIADOS))</f>
        <v/>
      </c>
      <c r="H839" s="69"/>
      <c r="I839" s="74" t="str">
        <f aca="false">IF(B839="","",IF(ISNUMBER(H839),H839,N(G839)))</f>
        <v/>
      </c>
      <c r="J839" s="64"/>
      <c r="K839" s="64"/>
      <c r="L839" s="93" t="str">
        <f aca="false">IF(NOT(ISNUMBER(D839)),"",DATE(YEAR(D839),MONTH(D839),1))</f>
        <v/>
      </c>
      <c r="M839" s="70" t="str">
        <f aca="false">IF(B839="","",IF(AND(ISNUMBER(D839),ISNUMBER(E839),E839&lt;D839),"⚠ Término anterior al inicio",IF(J839&lt;&gt;"Sí","Pendiente comprobante firmado","OK")))</f>
        <v/>
      </c>
    </row>
    <row r="840" customFormat="false" ht="15" hidden="false" customHeight="false" outlineLevel="0" collapsed="false">
      <c r="B840" s="64"/>
      <c r="C840" s="72" t="str">
        <f aca="false">IF(B840="","",IFERROR(INDEX(T_NOMBRE,MATCH(B840,T_ID,0)),"⚠ ID no existe"))</f>
        <v/>
      </c>
      <c r="D840" s="65"/>
      <c r="E840" s="65"/>
      <c r="F840" s="64"/>
      <c r="G840" s="74" t="str">
        <f aca="false">IF(OR(B840="",NOT(ISNUMBER(D840)),NOT(ISNUMBER(E840))),"",NETWORKDAYS(D840,E840,FERIADOS))</f>
        <v/>
      </c>
      <c r="H840" s="69"/>
      <c r="I840" s="74" t="str">
        <f aca="false">IF(B840="","",IF(ISNUMBER(H840),H840,N(G840)))</f>
        <v/>
      </c>
      <c r="J840" s="64"/>
      <c r="K840" s="64"/>
      <c r="L840" s="93" t="str">
        <f aca="false">IF(NOT(ISNUMBER(D840)),"",DATE(YEAR(D840),MONTH(D840),1))</f>
        <v/>
      </c>
      <c r="M840" s="70" t="str">
        <f aca="false">IF(B840="","",IF(AND(ISNUMBER(D840),ISNUMBER(E840),E840&lt;D840),"⚠ Término anterior al inicio",IF(J840&lt;&gt;"Sí","Pendiente comprobante firmado","OK")))</f>
        <v/>
      </c>
    </row>
    <row r="841" customFormat="false" ht="15" hidden="false" customHeight="false" outlineLevel="0" collapsed="false">
      <c r="B841" s="64"/>
      <c r="C841" s="72" t="str">
        <f aca="false">IF(B841="","",IFERROR(INDEX(T_NOMBRE,MATCH(B841,T_ID,0)),"⚠ ID no existe"))</f>
        <v/>
      </c>
      <c r="D841" s="65"/>
      <c r="E841" s="65"/>
      <c r="F841" s="64"/>
      <c r="G841" s="74" t="str">
        <f aca="false">IF(OR(B841="",NOT(ISNUMBER(D841)),NOT(ISNUMBER(E841))),"",NETWORKDAYS(D841,E841,FERIADOS))</f>
        <v/>
      </c>
      <c r="H841" s="69"/>
      <c r="I841" s="74" t="str">
        <f aca="false">IF(B841="","",IF(ISNUMBER(H841),H841,N(G841)))</f>
        <v/>
      </c>
      <c r="J841" s="64"/>
      <c r="K841" s="64"/>
      <c r="L841" s="93" t="str">
        <f aca="false">IF(NOT(ISNUMBER(D841)),"",DATE(YEAR(D841),MONTH(D841),1))</f>
        <v/>
      </c>
      <c r="M841" s="70" t="str">
        <f aca="false">IF(B841="","",IF(AND(ISNUMBER(D841),ISNUMBER(E841),E841&lt;D841),"⚠ Término anterior al inicio",IF(J841&lt;&gt;"Sí","Pendiente comprobante firmado","OK")))</f>
        <v/>
      </c>
    </row>
    <row r="842" customFormat="false" ht="15" hidden="false" customHeight="false" outlineLevel="0" collapsed="false">
      <c r="B842" s="64"/>
      <c r="C842" s="72" t="str">
        <f aca="false">IF(B842="","",IFERROR(INDEX(T_NOMBRE,MATCH(B842,T_ID,0)),"⚠ ID no existe"))</f>
        <v/>
      </c>
      <c r="D842" s="65"/>
      <c r="E842" s="65"/>
      <c r="F842" s="64"/>
      <c r="G842" s="74" t="str">
        <f aca="false">IF(OR(B842="",NOT(ISNUMBER(D842)),NOT(ISNUMBER(E842))),"",NETWORKDAYS(D842,E842,FERIADOS))</f>
        <v/>
      </c>
      <c r="H842" s="69"/>
      <c r="I842" s="74" t="str">
        <f aca="false">IF(B842="","",IF(ISNUMBER(H842),H842,N(G842)))</f>
        <v/>
      </c>
      <c r="J842" s="64"/>
      <c r="K842" s="64"/>
      <c r="L842" s="93" t="str">
        <f aca="false">IF(NOT(ISNUMBER(D842)),"",DATE(YEAR(D842),MONTH(D842),1))</f>
        <v/>
      </c>
      <c r="M842" s="70" t="str">
        <f aca="false">IF(B842="","",IF(AND(ISNUMBER(D842),ISNUMBER(E842),E842&lt;D842),"⚠ Término anterior al inicio",IF(J842&lt;&gt;"Sí","Pendiente comprobante firmado","OK")))</f>
        <v/>
      </c>
    </row>
    <row r="843" customFormat="false" ht="15" hidden="false" customHeight="false" outlineLevel="0" collapsed="false">
      <c r="B843" s="64"/>
      <c r="C843" s="72" t="str">
        <f aca="false">IF(B843="","",IFERROR(INDEX(T_NOMBRE,MATCH(B843,T_ID,0)),"⚠ ID no existe"))</f>
        <v/>
      </c>
      <c r="D843" s="65"/>
      <c r="E843" s="65"/>
      <c r="F843" s="64"/>
      <c r="G843" s="74" t="str">
        <f aca="false">IF(OR(B843="",NOT(ISNUMBER(D843)),NOT(ISNUMBER(E843))),"",NETWORKDAYS(D843,E843,FERIADOS))</f>
        <v/>
      </c>
      <c r="H843" s="69"/>
      <c r="I843" s="74" t="str">
        <f aca="false">IF(B843="","",IF(ISNUMBER(H843),H843,N(G843)))</f>
        <v/>
      </c>
      <c r="J843" s="64"/>
      <c r="K843" s="64"/>
      <c r="L843" s="93" t="str">
        <f aca="false">IF(NOT(ISNUMBER(D843)),"",DATE(YEAR(D843),MONTH(D843),1))</f>
        <v/>
      </c>
      <c r="M843" s="70" t="str">
        <f aca="false">IF(B843="","",IF(AND(ISNUMBER(D843),ISNUMBER(E843),E843&lt;D843),"⚠ Término anterior al inicio",IF(J843&lt;&gt;"Sí","Pendiente comprobante firmado","OK")))</f>
        <v/>
      </c>
    </row>
    <row r="844" customFormat="false" ht="15" hidden="false" customHeight="false" outlineLevel="0" collapsed="false">
      <c r="B844" s="64"/>
      <c r="C844" s="72" t="str">
        <f aca="false">IF(B844="","",IFERROR(INDEX(T_NOMBRE,MATCH(B844,T_ID,0)),"⚠ ID no existe"))</f>
        <v/>
      </c>
      <c r="D844" s="65"/>
      <c r="E844" s="65"/>
      <c r="F844" s="64"/>
      <c r="G844" s="74" t="str">
        <f aca="false">IF(OR(B844="",NOT(ISNUMBER(D844)),NOT(ISNUMBER(E844))),"",NETWORKDAYS(D844,E844,FERIADOS))</f>
        <v/>
      </c>
      <c r="H844" s="69"/>
      <c r="I844" s="74" t="str">
        <f aca="false">IF(B844="","",IF(ISNUMBER(H844),H844,N(G844)))</f>
        <v/>
      </c>
      <c r="J844" s="64"/>
      <c r="K844" s="64"/>
      <c r="L844" s="93" t="str">
        <f aca="false">IF(NOT(ISNUMBER(D844)),"",DATE(YEAR(D844),MONTH(D844),1))</f>
        <v/>
      </c>
      <c r="M844" s="70" t="str">
        <f aca="false">IF(B844="","",IF(AND(ISNUMBER(D844),ISNUMBER(E844),E844&lt;D844),"⚠ Término anterior al inicio",IF(J844&lt;&gt;"Sí","Pendiente comprobante firmado","OK")))</f>
        <v/>
      </c>
    </row>
    <row r="845" customFormat="false" ht="15" hidden="false" customHeight="false" outlineLevel="0" collapsed="false">
      <c r="B845" s="64"/>
      <c r="C845" s="72" t="str">
        <f aca="false">IF(B845="","",IFERROR(INDEX(T_NOMBRE,MATCH(B845,T_ID,0)),"⚠ ID no existe"))</f>
        <v/>
      </c>
      <c r="D845" s="65"/>
      <c r="E845" s="65"/>
      <c r="F845" s="64"/>
      <c r="G845" s="74" t="str">
        <f aca="false">IF(OR(B845="",NOT(ISNUMBER(D845)),NOT(ISNUMBER(E845))),"",NETWORKDAYS(D845,E845,FERIADOS))</f>
        <v/>
      </c>
      <c r="H845" s="69"/>
      <c r="I845" s="74" t="str">
        <f aca="false">IF(B845="","",IF(ISNUMBER(H845),H845,N(G845)))</f>
        <v/>
      </c>
      <c r="J845" s="64"/>
      <c r="K845" s="64"/>
      <c r="L845" s="93" t="str">
        <f aca="false">IF(NOT(ISNUMBER(D845)),"",DATE(YEAR(D845),MONTH(D845),1))</f>
        <v/>
      </c>
      <c r="M845" s="70" t="str">
        <f aca="false">IF(B845="","",IF(AND(ISNUMBER(D845),ISNUMBER(E845),E845&lt;D845),"⚠ Término anterior al inicio",IF(J845&lt;&gt;"Sí","Pendiente comprobante firmado","OK")))</f>
        <v/>
      </c>
    </row>
    <row r="846" customFormat="false" ht="15" hidden="false" customHeight="false" outlineLevel="0" collapsed="false">
      <c r="B846" s="64"/>
      <c r="C846" s="72" t="str">
        <f aca="false">IF(B846="","",IFERROR(INDEX(T_NOMBRE,MATCH(B846,T_ID,0)),"⚠ ID no existe"))</f>
        <v/>
      </c>
      <c r="D846" s="65"/>
      <c r="E846" s="65"/>
      <c r="F846" s="64"/>
      <c r="G846" s="74" t="str">
        <f aca="false">IF(OR(B846="",NOT(ISNUMBER(D846)),NOT(ISNUMBER(E846))),"",NETWORKDAYS(D846,E846,FERIADOS))</f>
        <v/>
      </c>
      <c r="H846" s="69"/>
      <c r="I846" s="74" t="str">
        <f aca="false">IF(B846="","",IF(ISNUMBER(H846),H846,N(G846)))</f>
        <v/>
      </c>
      <c r="J846" s="64"/>
      <c r="K846" s="64"/>
      <c r="L846" s="93" t="str">
        <f aca="false">IF(NOT(ISNUMBER(D846)),"",DATE(YEAR(D846),MONTH(D846),1))</f>
        <v/>
      </c>
      <c r="M846" s="70" t="str">
        <f aca="false">IF(B846="","",IF(AND(ISNUMBER(D846),ISNUMBER(E846),E846&lt;D846),"⚠ Término anterior al inicio",IF(J846&lt;&gt;"Sí","Pendiente comprobante firmado","OK")))</f>
        <v/>
      </c>
    </row>
    <row r="847" customFormat="false" ht="15" hidden="false" customHeight="false" outlineLevel="0" collapsed="false">
      <c r="B847" s="64"/>
      <c r="C847" s="72" t="str">
        <f aca="false">IF(B847="","",IFERROR(INDEX(T_NOMBRE,MATCH(B847,T_ID,0)),"⚠ ID no existe"))</f>
        <v/>
      </c>
      <c r="D847" s="65"/>
      <c r="E847" s="65"/>
      <c r="F847" s="64"/>
      <c r="G847" s="74" t="str">
        <f aca="false">IF(OR(B847="",NOT(ISNUMBER(D847)),NOT(ISNUMBER(E847))),"",NETWORKDAYS(D847,E847,FERIADOS))</f>
        <v/>
      </c>
      <c r="H847" s="69"/>
      <c r="I847" s="74" t="str">
        <f aca="false">IF(B847="","",IF(ISNUMBER(H847),H847,N(G847)))</f>
        <v/>
      </c>
      <c r="J847" s="64"/>
      <c r="K847" s="64"/>
      <c r="L847" s="93" t="str">
        <f aca="false">IF(NOT(ISNUMBER(D847)),"",DATE(YEAR(D847),MONTH(D847),1))</f>
        <v/>
      </c>
      <c r="M847" s="70" t="str">
        <f aca="false">IF(B847="","",IF(AND(ISNUMBER(D847),ISNUMBER(E847),E847&lt;D847),"⚠ Término anterior al inicio",IF(J847&lt;&gt;"Sí","Pendiente comprobante firmado","OK")))</f>
        <v/>
      </c>
    </row>
    <row r="848" customFormat="false" ht="15" hidden="false" customHeight="false" outlineLevel="0" collapsed="false">
      <c r="B848" s="64"/>
      <c r="C848" s="72" t="str">
        <f aca="false">IF(B848="","",IFERROR(INDEX(T_NOMBRE,MATCH(B848,T_ID,0)),"⚠ ID no existe"))</f>
        <v/>
      </c>
      <c r="D848" s="65"/>
      <c r="E848" s="65"/>
      <c r="F848" s="64"/>
      <c r="G848" s="74" t="str">
        <f aca="false">IF(OR(B848="",NOT(ISNUMBER(D848)),NOT(ISNUMBER(E848))),"",NETWORKDAYS(D848,E848,FERIADOS))</f>
        <v/>
      </c>
      <c r="H848" s="69"/>
      <c r="I848" s="74" t="str">
        <f aca="false">IF(B848="","",IF(ISNUMBER(H848),H848,N(G848)))</f>
        <v/>
      </c>
      <c r="J848" s="64"/>
      <c r="K848" s="64"/>
      <c r="L848" s="93" t="str">
        <f aca="false">IF(NOT(ISNUMBER(D848)),"",DATE(YEAR(D848),MONTH(D848),1))</f>
        <v/>
      </c>
      <c r="M848" s="70" t="str">
        <f aca="false">IF(B848="","",IF(AND(ISNUMBER(D848),ISNUMBER(E848),E848&lt;D848),"⚠ Término anterior al inicio",IF(J848&lt;&gt;"Sí","Pendiente comprobante firmado","OK")))</f>
        <v/>
      </c>
    </row>
    <row r="849" customFormat="false" ht="15" hidden="false" customHeight="false" outlineLevel="0" collapsed="false">
      <c r="B849" s="64"/>
      <c r="C849" s="72" t="str">
        <f aca="false">IF(B849="","",IFERROR(INDEX(T_NOMBRE,MATCH(B849,T_ID,0)),"⚠ ID no existe"))</f>
        <v/>
      </c>
      <c r="D849" s="65"/>
      <c r="E849" s="65"/>
      <c r="F849" s="64"/>
      <c r="G849" s="74" t="str">
        <f aca="false">IF(OR(B849="",NOT(ISNUMBER(D849)),NOT(ISNUMBER(E849))),"",NETWORKDAYS(D849,E849,FERIADOS))</f>
        <v/>
      </c>
      <c r="H849" s="69"/>
      <c r="I849" s="74" t="str">
        <f aca="false">IF(B849="","",IF(ISNUMBER(H849),H849,N(G849)))</f>
        <v/>
      </c>
      <c r="J849" s="64"/>
      <c r="K849" s="64"/>
      <c r="L849" s="93" t="str">
        <f aca="false">IF(NOT(ISNUMBER(D849)),"",DATE(YEAR(D849),MONTH(D849),1))</f>
        <v/>
      </c>
      <c r="M849" s="70" t="str">
        <f aca="false">IF(B849="","",IF(AND(ISNUMBER(D849),ISNUMBER(E849),E849&lt;D849),"⚠ Término anterior al inicio",IF(J849&lt;&gt;"Sí","Pendiente comprobante firmado","OK")))</f>
        <v/>
      </c>
    </row>
    <row r="850" customFormat="false" ht="15" hidden="false" customHeight="false" outlineLevel="0" collapsed="false">
      <c r="B850" s="64"/>
      <c r="C850" s="72" t="str">
        <f aca="false">IF(B850="","",IFERROR(INDEX(T_NOMBRE,MATCH(B850,T_ID,0)),"⚠ ID no existe"))</f>
        <v/>
      </c>
      <c r="D850" s="65"/>
      <c r="E850" s="65"/>
      <c r="F850" s="64"/>
      <c r="G850" s="74" t="str">
        <f aca="false">IF(OR(B850="",NOT(ISNUMBER(D850)),NOT(ISNUMBER(E850))),"",NETWORKDAYS(D850,E850,FERIADOS))</f>
        <v/>
      </c>
      <c r="H850" s="69"/>
      <c r="I850" s="74" t="str">
        <f aca="false">IF(B850="","",IF(ISNUMBER(H850),H850,N(G850)))</f>
        <v/>
      </c>
      <c r="J850" s="64"/>
      <c r="K850" s="64"/>
      <c r="L850" s="93" t="str">
        <f aca="false">IF(NOT(ISNUMBER(D850)),"",DATE(YEAR(D850),MONTH(D850),1))</f>
        <v/>
      </c>
      <c r="M850" s="70" t="str">
        <f aca="false">IF(B850="","",IF(AND(ISNUMBER(D850),ISNUMBER(E850),E850&lt;D850),"⚠ Término anterior al inicio",IF(J850&lt;&gt;"Sí","Pendiente comprobante firmado","OK")))</f>
        <v/>
      </c>
    </row>
    <row r="851" customFormat="false" ht="15" hidden="false" customHeight="false" outlineLevel="0" collapsed="false">
      <c r="B851" s="64"/>
      <c r="C851" s="72" t="str">
        <f aca="false">IF(B851="","",IFERROR(INDEX(T_NOMBRE,MATCH(B851,T_ID,0)),"⚠ ID no existe"))</f>
        <v/>
      </c>
      <c r="D851" s="65"/>
      <c r="E851" s="65"/>
      <c r="F851" s="64"/>
      <c r="G851" s="74" t="str">
        <f aca="false">IF(OR(B851="",NOT(ISNUMBER(D851)),NOT(ISNUMBER(E851))),"",NETWORKDAYS(D851,E851,FERIADOS))</f>
        <v/>
      </c>
      <c r="H851" s="69"/>
      <c r="I851" s="74" t="str">
        <f aca="false">IF(B851="","",IF(ISNUMBER(H851),H851,N(G851)))</f>
        <v/>
      </c>
      <c r="J851" s="64"/>
      <c r="K851" s="64"/>
      <c r="L851" s="93" t="str">
        <f aca="false">IF(NOT(ISNUMBER(D851)),"",DATE(YEAR(D851),MONTH(D851),1))</f>
        <v/>
      </c>
      <c r="M851" s="70" t="str">
        <f aca="false">IF(B851="","",IF(AND(ISNUMBER(D851),ISNUMBER(E851),E851&lt;D851),"⚠ Término anterior al inicio",IF(J851&lt;&gt;"Sí","Pendiente comprobante firmado","OK")))</f>
        <v/>
      </c>
    </row>
    <row r="852" customFormat="false" ht="15" hidden="false" customHeight="false" outlineLevel="0" collapsed="false">
      <c r="B852" s="64"/>
      <c r="C852" s="72" t="str">
        <f aca="false">IF(B852="","",IFERROR(INDEX(T_NOMBRE,MATCH(B852,T_ID,0)),"⚠ ID no existe"))</f>
        <v/>
      </c>
      <c r="D852" s="65"/>
      <c r="E852" s="65"/>
      <c r="F852" s="64"/>
      <c r="G852" s="74" t="str">
        <f aca="false">IF(OR(B852="",NOT(ISNUMBER(D852)),NOT(ISNUMBER(E852))),"",NETWORKDAYS(D852,E852,FERIADOS))</f>
        <v/>
      </c>
      <c r="H852" s="69"/>
      <c r="I852" s="74" t="str">
        <f aca="false">IF(B852="","",IF(ISNUMBER(H852),H852,N(G852)))</f>
        <v/>
      </c>
      <c r="J852" s="64"/>
      <c r="K852" s="64"/>
      <c r="L852" s="93" t="str">
        <f aca="false">IF(NOT(ISNUMBER(D852)),"",DATE(YEAR(D852),MONTH(D852),1))</f>
        <v/>
      </c>
      <c r="M852" s="70" t="str">
        <f aca="false">IF(B852="","",IF(AND(ISNUMBER(D852),ISNUMBER(E852),E852&lt;D852),"⚠ Término anterior al inicio",IF(J852&lt;&gt;"Sí","Pendiente comprobante firmado","OK")))</f>
        <v/>
      </c>
    </row>
    <row r="853" customFormat="false" ht="15" hidden="false" customHeight="false" outlineLevel="0" collapsed="false">
      <c r="B853" s="64"/>
      <c r="C853" s="72" t="str">
        <f aca="false">IF(B853="","",IFERROR(INDEX(T_NOMBRE,MATCH(B853,T_ID,0)),"⚠ ID no existe"))</f>
        <v/>
      </c>
      <c r="D853" s="65"/>
      <c r="E853" s="65"/>
      <c r="F853" s="64"/>
      <c r="G853" s="74" t="str">
        <f aca="false">IF(OR(B853="",NOT(ISNUMBER(D853)),NOT(ISNUMBER(E853))),"",NETWORKDAYS(D853,E853,FERIADOS))</f>
        <v/>
      </c>
      <c r="H853" s="69"/>
      <c r="I853" s="74" t="str">
        <f aca="false">IF(B853="","",IF(ISNUMBER(H853),H853,N(G853)))</f>
        <v/>
      </c>
      <c r="J853" s="64"/>
      <c r="K853" s="64"/>
      <c r="L853" s="93" t="str">
        <f aca="false">IF(NOT(ISNUMBER(D853)),"",DATE(YEAR(D853),MONTH(D853),1))</f>
        <v/>
      </c>
      <c r="M853" s="70" t="str">
        <f aca="false">IF(B853="","",IF(AND(ISNUMBER(D853),ISNUMBER(E853),E853&lt;D853),"⚠ Término anterior al inicio",IF(J853&lt;&gt;"Sí","Pendiente comprobante firmado","OK")))</f>
        <v/>
      </c>
    </row>
    <row r="854" customFormat="false" ht="15" hidden="false" customHeight="false" outlineLevel="0" collapsed="false">
      <c r="B854" s="64"/>
      <c r="C854" s="72" t="str">
        <f aca="false">IF(B854="","",IFERROR(INDEX(T_NOMBRE,MATCH(B854,T_ID,0)),"⚠ ID no existe"))</f>
        <v/>
      </c>
      <c r="D854" s="65"/>
      <c r="E854" s="65"/>
      <c r="F854" s="64"/>
      <c r="G854" s="74" t="str">
        <f aca="false">IF(OR(B854="",NOT(ISNUMBER(D854)),NOT(ISNUMBER(E854))),"",NETWORKDAYS(D854,E854,FERIADOS))</f>
        <v/>
      </c>
      <c r="H854" s="69"/>
      <c r="I854" s="74" t="str">
        <f aca="false">IF(B854="","",IF(ISNUMBER(H854),H854,N(G854)))</f>
        <v/>
      </c>
      <c r="J854" s="64"/>
      <c r="K854" s="64"/>
      <c r="L854" s="93" t="str">
        <f aca="false">IF(NOT(ISNUMBER(D854)),"",DATE(YEAR(D854),MONTH(D854),1))</f>
        <v/>
      </c>
      <c r="M854" s="70" t="str">
        <f aca="false">IF(B854="","",IF(AND(ISNUMBER(D854),ISNUMBER(E854),E854&lt;D854),"⚠ Término anterior al inicio",IF(J854&lt;&gt;"Sí","Pendiente comprobante firmado","OK")))</f>
        <v/>
      </c>
    </row>
    <row r="855" customFormat="false" ht="15" hidden="false" customHeight="false" outlineLevel="0" collapsed="false">
      <c r="B855" s="64"/>
      <c r="C855" s="72" t="str">
        <f aca="false">IF(B855="","",IFERROR(INDEX(T_NOMBRE,MATCH(B855,T_ID,0)),"⚠ ID no existe"))</f>
        <v/>
      </c>
      <c r="D855" s="65"/>
      <c r="E855" s="65"/>
      <c r="F855" s="64"/>
      <c r="G855" s="74" t="str">
        <f aca="false">IF(OR(B855="",NOT(ISNUMBER(D855)),NOT(ISNUMBER(E855))),"",NETWORKDAYS(D855,E855,FERIADOS))</f>
        <v/>
      </c>
      <c r="H855" s="69"/>
      <c r="I855" s="74" t="str">
        <f aca="false">IF(B855="","",IF(ISNUMBER(H855),H855,N(G855)))</f>
        <v/>
      </c>
      <c r="J855" s="64"/>
      <c r="K855" s="64"/>
      <c r="L855" s="93" t="str">
        <f aca="false">IF(NOT(ISNUMBER(D855)),"",DATE(YEAR(D855),MONTH(D855),1))</f>
        <v/>
      </c>
      <c r="M855" s="70" t="str">
        <f aca="false">IF(B855="","",IF(AND(ISNUMBER(D855),ISNUMBER(E855),E855&lt;D855),"⚠ Término anterior al inicio",IF(J855&lt;&gt;"Sí","Pendiente comprobante firmado","OK")))</f>
        <v/>
      </c>
    </row>
    <row r="856" customFormat="false" ht="15" hidden="false" customHeight="false" outlineLevel="0" collapsed="false">
      <c r="B856" s="64"/>
      <c r="C856" s="72" t="str">
        <f aca="false">IF(B856="","",IFERROR(INDEX(T_NOMBRE,MATCH(B856,T_ID,0)),"⚠ ID no existe"))</f>
        <v/>
      </c>
      <c r="D856" s="65"/>
      <c r="E856" s="65"/>
      <c r="F856" s="64"/>
      <c r="G856" s="74" t="str">
        <f aca="false">IF(OR(B856="",NOT(ISNUMBER(D856)),NOT(ISNUMBER(E856))),"",NETWORKDAYS(D856,E856,FERIADOS))</f>
        <v/>
      </c>
      <c r="H856" s="69"/>
      <c r="I856" s="74" t="str">
        <f aca="false">IF(B856="","",IF(ISNUMBER(H856),H856,N(G856)))</f>
        <v/>
      </c>
      <c r="J856" s="64"/>
      <c r="K856" s="64"/>
      <c r="L856" s="93" t="str">
        <f aca="false">IF(NOT(ISNUMBER(D856)),"",DATE(YEAR(D856),MONTH(D856),1))</f>
        <v/>
      </c>
      <c r="M856" s="70" t="str">
        <f aca="false">IF(B856="","",IF(AND(ISNUMBER(D856),ISNUMBER(E856),E856&lt;D856),"⚠ Término anterior al inicio",IF(J856&lt;&gt;"Sí","Pendiente comprobante firmado","OK")))</f>
        <v/>
      </c>
    </row>
    <row r="857" customFormat="false" ht="15" hidden="false" customHeight="false" outlineLevel="0" collapsed="false">
      <c r="B857" s="64"/>
      <c r="C857" s="72" t="str">
        <f aca="false">IF(B857="","",IFERROR(INDEX(T_NOMBRE,MATCH(B857,T_ID,0)),"⚠ ID no existe"))</f>
        <v/>
      </c>
      <c r="D857" s="65"/>
      <c r="E857" s="65"/>
      <c r="F857" s="64"/>
      <c r="G857" s="74" t="str">
        <f aca="false">IF(OR(B857="",NOT(ISNUMBER(D857)),NOT(ISNUMBER(E857))),"",NETWORKDAYS(D857,E857,FERIADOS))</f>
        <v/>
      </c>
      <c r="H857" s="69"/>
      <c r="I857" s="74" t="str">
        <f aca="false">IF(B857="","",IF(ISNUMBER(H857),H857,N(G857)))</f>
        <v/>
      </c>
      <c r="J857" s="64"/>
      <c r="K857" s="64"/>
      <c r="L857" s="93" t="str">
        <f aca="false">IF(NOT(ISNUMBER(D857)),"",DATE(YEAR(D857),MONTH(D857),1))</f>
        <v/>
      </c>
      <c r="M857" s="70" t="str">
        <f aca="false">IF(B857="","",IF(AND(ISNUMBER(D857),ISNUMBER(E857),E857&lt;D857),"⚠ Término anterior al inicio",IF(J857&lt;&gt;"Sí","Pendiente comprobante firmado","OK")))</f>
        <v/>
      </c>
    </row>
    <row r="858" customFormat="false" ht="15" hidden="false" customHeight="false" outlineLevel="0" collapsed="false">
      <c r="B858" s="64"/>
      <c r="C858" s="72" t="str">
        <f aca="false">IF(B858="","",IFERROR(INDEX(T_NOMBRE,MATCH(B858,T_ID,0)),"⚠ ID no existe"))</f>
        <v/>
      </c>
      <c r="D858" s="65"/>
      <c r="E858" s="65"/>
      <c r="F858" s="64"/>
      <c r="G858" s="74" t="str">
        <f aca="false">IF(OR(B858="",NOT(ISNUMBER(D858)),NOT(ISNUMBER(E858))),"",NETWORKDAYS(D858,E858,FERIADOS))</f>
        <v/>
      </c>
      <c r="H858" s="69"/>
      <c r="I858" s="74" t="str">
        <f aca="false">IF(B858="","",IF(ISNUMBER(H858),H858,N(G858)))</f>
        <v/>
      </c>
      <c r="J858" s="64"/>
      <c r="K858" s="64"/>
      <c r="L858" s="93" t="str">
        <f aca="false">IF(NOT(ISNUMBER(D858)),"",DATE(YEAR(D858),MONTH(D858),1))</f>
        <v/>
      </c>
      <c r="M858" s="70" t="str">
        <f aca="false">IF(B858="","",IF(AND(ISNUMBER(D858),ISNUMBER(E858),E858&lt;D858),"⚠ Término anterior al inicio",IF(J858&lt;&gt;"Sí","Pendiente comprobante firmado","OK")))</f>
        <v/>
      </c>
    </row>
    <row r="859" customFormat="false" ht="15" hidden="false" customHeight="false" outlineLevel="0" collapsed="false">
      <c r="B859" s="64"/>
      <c r="C859" s="72" t="str">
        <f aca="false">IF(B859="","",IFERROR(INDEX(T_NOMBRE,MATCH(B859,T_ID,0)),"⚠ ID no existe"))</f>
        <v/>
      </c>
      <c r="D859" s="65"/>
      <c r="E859" s="65"/>
      <c r="F859" s="64"/>
      <c r="G859" s="74" t="str">
        <f aca="false">IF(OR(B859="",NOT(ISNUMBER(D859)),NOT(ISNUMBER(E859))),"",NETWORKDAYS(D859,E859,FERIADOS))</f>
        <v/>
      </c>
      <c r="H859" s="69"/>
      <c r="I859" s="74" t="str">
        <f aca="false">IF(B859="","",IF(ISNUMBER(H859),H859,N(G859)))</f>
        <v/>
      </c>
      <c r="J859" s="64"/>
      <c r="K859" s="64"/>
      <c r="L859" s="93" t="str">
        <f aca="false">IF(NOT(ISNUMBER(D859)),"",DATE(YEAR(D859),MONTH(D859),1))</f>
        <v/>
      </c>
      <c r="M859" s="70" t="str">
        <f aca="false">IF(B859="","",IF(AND(ISNUMBER(D859),ISNUMBER(E859),E859&lt;D859),"⚠ Término anterior al inicio",IF(J859&lt;&gt;"Sí","Pendiente comprobante firmado","OK")))</f>
        <v/>
      </c>
    </row>
    <row r="860" customFormat="false" ht="15" hidden="false" customHeight="false" outlineLevel="0" collapsed="false">
      <c r="B860" s="64"/>
      <c r="C860" s="72" t="str">
        <f aca="false">IF(B860="","",IFERROR(INDEX(T_NOMBRE,MATCH(B860,T_ID,0)),"⚠ ID no existe"))</f>
        <v/>
      </c>
      <c r="D860" s="65"/>
      <c r="E860" s="65"/>
      <c r="F860" s="64"/>
      <c r="G860" s="74" t="str">
        <f aca="false">IF(OR(B860="",NOT(ISNUMBER(D860)),NOT(ISNUMBER(E860))),"",NETWORKDAYS(D860,E860,FERIADOS))</f>
        <v/>
      </c>
      <c r="H860" s="69"/>
      <c r="I860" s="74" t="str">
        <f aca="false">IF(B860="","",IF(ISNUMBER(H860),H860,N(G860)))</f>
        <v/>
      </c>
      <c r="J860" s="64"/>
      <c r="K860" s="64"/>
      <c r="L860" s="93" t="str">
        <f aca="false">IF(NOT(ISNUMBER(D860)),"",DATE(YEAR(D860),MONTH(D860),1))</f>
        <v/>
      </c>
      <c r="M860" s="70" t="str">
        <f aca="false">IF(B860="","",IF(AND(ISNUMBER(D860),ISNUMBER(E860),E860&lt;D860),"⚠ Término anterior al inicio",IF(J860&lt;&gt;"Sí","Pendiente comprobante firmado","OK")))</f>
        <v/>
      </c>
    </row>
    <row r="861" customFormat="false" ht="15" hidden="false" customHeight="false" outlineLevel="0" collapsed="false">
      <c r="B861" s="64"/>
      <c r="C861" s="72" t="str">
        <f aca="false">IF(B861="","",IFERROR(INDEX(T_NOMBRE,MATCH(B861,T_ID,0)),"⚠ ID no existe"))</f>
        <v/>
      </c>
      <c r="D861" s="65"/>
      <c r="E861" s="65"/>
      <c r="F861" s="64"/>
      <c r="G861" s="74" t="str">
        <f aca="false">IF(OR(B861="",NOT(ISNUMBER(D861)),NOT(ISNUMBER(E861))),"",NETWORKDAYS(D861,E861,FERIADOS))</f>
        <v/>
      </c>
      <c r="H861" s="69"/>
      <c r="I861" s="74" t="str">
        <f aca="false">IF(B861="","",IF(ISNUMBER(H861),H861,N(G861)))</f>
        <v/>
      </c>
      <c r="J861" s="64"/>
      <c r="K861" s="64"/>
      <c r="L861" s="93" t="str">
        <f aca="false">IF(NOT(ISNUMBER(D861)),"",DATE(YEAR(D861),MONTH(D861),1))</f>
        <v/>
      </c>
      <c r="M861" s="70" t="str">
        <f aca="false">IF(B861="","",IF(AND(ISNUMBER(D861),ISNUMBER(E861),E861&lt;D861),"⚠ Término anterior al inicio",IF(J861&lt;&gt;"Sí","Pendiente comprobante firmado","OK")))</f>
        <v/>
      </c>
    </row>
    <row r="862" customFormat="false" ht="15" hidden="false" customHeight="false" outlineLevel="0" collapsed="false">
      <c r="B862" s="64"/>
      <c r="C862" s="72" t="str">
        <f aca="false">IF(B862="","",IFERROR(INDEX(T_NOMBRE,MATCH(B862,T_ID,0)),"⚠ ID no existe"))</f>
        <v/>
      </c>
      <c r="D862" s="65"/>
      <c r="E862" s="65"/>
      <c r="F862" s="64"/>
      <c r="G862" s="74" t="str">
        <f aca="false">IF(OR(B862="",NOT(ISNUMBER(D862)),NOT(ISNUMBER(E862))),"",NETWORKDAYS(D862,E862,FERIADOS))</f>
        <v/>
      </c>
      <c r="H862" s="69"/>
      <c r="I862" s="74" t="str">
        <f aca="false">IF(B862="","",IF(ISNUMBER(H862),H862,N(G862)))</f>
        <v/>
      </c>
      <c r="J862" s="64"/>
      <c r="K862" s="64"/>
      <c r="L862" s="93" t="str">
        <f aca="false">IF(NOT(ISNUMBER(D862)),"",DATE(YEAR(D862),MONTH(D862),1))</f>
        <v/>
      </c>
      <c r="M862" s="70" t="str">
        <f aca="false">IF(B862="","",IF(AND(ISNUMBER(D862),ISNUMBER(E862),E862&lt;D862),"⚠ Término anterior al inicio",IF(J862&lt;&gt;"Sí","Pendiente comprobante firmado","OK")))</f>
        <v/>
      </c>
    </row>
    <row r="863" customFormat="false" ht="15" hidden="false" customHeight="false" outlineLevel="0" collapsed="false">
      <c r="B863" s="64"/>
      <c r="C863" s="72" t="str">
        <f aca="false">IF(B863="","",IFERROR(INDEX(T_NOMBRE,MATCH(B863,T_ID,0)),"⚠ ID no existe"))</f>
        <v/>
      </c>
      <c r="D863" s="65"/>
      <c r="E863" s="65"/>
      <c r="F863" s="64"/>
      <c r="G863" s="74" t="str">
        <f aca="false">IF(OR(B863="",NOT(ISNUMBER(D863)),NOT(ISNUMBER(E863))),"",NETWORKDAYS(D863,E863,FERIADOS))</f>
        <v/>
      </c>
      <c r="H863" s="69"/>
      <c r="I863" s="74" t="str">
        <f aca="false">IF(B863="","",IF(ISNUMBER(H863),H863,N(G863)))</f>
        <v/>
      </c>
      <c r="J863" s="64"/>
      <c r="K863" s="64"/>
      <c r="L863" s="93" t="str">
        <f aca="false">IF(NOT(ISNUMBER(D863)),"",DATE(YEAR(D863),MONTH(D863),1))</f>
        <v/>
      </c>
      <c r="M863" s="70" t="str">
        <f aca="false">IF(B863="","",IF(AND(ISNUMBER(D863),ISNUMBER(E863),E863&lt;D863),"⚠ Término anterior al inicio",IF(J863&lt;&gt;"Sí","Pendiente comprobante firmado","OK")))</f>
        <v/>
      </c>
    </row>
    <row r="864" customFormat="false" ht="15" hidden="false" customHeight="false" outlineLevel="0" collapsed="false">
      <c r="B864" s="64"/>
      <c r="C864" s="72" t="str">
        <f aca="false">IF(B864="","",IFERROR(INDEX(T_NOMBRE,MATCH(B864,T_ID,0)),"⚠ ID no existe"))</f>
        <v/>
      </c>
      <c r="D864" s="65"/>
      <c r="E864" s="65"/>
      <c r="F864" s="64"/>
      <c r="G864" s="74" t="str">
        <f aca="false">IF(OR(B864="",NOT(ISNUMBER(D864)),NOT(ISNUMBER(E864))),"",NETWORKDAYS(D864,E864,FERIADOS))</f>
        <v/>
      </c>
      <c r="H864" s="69"/>
      <c r="I864" s="74" t="str">
        <f aca="false">IF(B864="","",IF(ISNUMBER(H864),H864,N(G864)))</f>
        <v/>
      </c>
      <c r="J864" s="64"/>
      <c r="K864" s="64"/>
      <c r="L864" s="93" t="str">
        <f aca="false">IF(NOT(ISNUMBER(D864)),"",DATE(YEAR(D864),MONTH(D864),1))</f>
        <v/>
      </c>
      <c r="M864" s="70" t="str">
        <f aca="false">IF(B864="","",IF(AND(ISNUMBER(D864),ISNUMBER(E864),E864&lt;D864),"⚠ Término anterior al inicio",IF(J864&lt;&gt;"Sí","Pendiente comprobante firmado","OK")))</f>
        <v/>
      </c>
    </row>
    <row r="865" customFormat="false" ht="15" hidden="false" customHeight="false" outlineLevel="0" collapsed="false">
      <c r="B865" s="64"/>
      <c r="C865" s="72" t="str">
        <f aca="false">IF(B865="","",IFERROR(INDEX(T_NOMBRE,MATCH(B865,T_ID,0)),"⚠ ID no existe"))</f>
        <v/>
      </c>
      <c r="D865" s="65"/>
      <c r="E865" s="65"/>
      <c r="F865" s="64"/>
      <c r="G865" s="74" t="str">
        <f aca="false">IF(OR(B865="",NOT(ISNUMBER(D865)),NOT(ISNUMBER(E865))),"",NETWORKDAYS(D865,E865,FERIADOS))</f>
        <v/>
      </c>
      <c r="H865" s="69"/>
      <c r="I865" s="74" t="str">
        <f aca="false">IF(B865="","",IF(ISNUMBER(H865),H865,N(G865)))</f>
        <v/>
      </c>
      <c r="J865" s="64"/>
      <c r="K865" s="64"/>
      <c r="L865" s="93" t="str">
        <f aca="false">IF(NOT(ISNUMBER(D865)),"",DATE(YEAR(D865),MONTH(D865),1))</f>
        <v/>
      </c>
      <c r="M865" s="70" t="str">
        <f aca="false">IF(B865="","",IF(AND(ISNUMBER(D865),ISNUMBER(E865),E865&lt;D865),"⚠ Término anterior al inicio",IF(J865&lt;&gt;"Sí","Pendiente comprobante firmado","OK")))</f>
        <v/>
      </c>
    </row>
    <row r="866" customFormat="false" ht="15" hidden="false" customHeight="false" outlineLevel="0" collapsed="false">
      <c r="B866" s="64"/>
      <c r="C866" s="72" t="str">
        <f aca="false">IF(B866="","",IFERROR(INDEX(T_NOMBRE,MATCH(B866,T_ID,0)),"⚠ ID no existe"))</f>
        <v/>
      </c>
      <c r="D866" s="65"/>
      <c r="E866" s="65"/>
      <c r="F866" s="64"/>
      <c r="G866" s="74" t="str">
        <f aca="false">IF(OR(B866="",NOT(ISNUMBER(D866)),NOT(ISNUMBER(E866))),"",NETWORKDAYS(D866,E866,FERIADOS))</f>
        <v/>
      </c>
      <c r="H866" s="69"/>
      <c r="I866" s="74" t="str">
        <f aca="false">IF(B866="","",IF(ISNUMBER(H866),H866,N(G866)))</f>
        <v/>
      </c>
      <c r="J866" s="64"/>
      <c r="K866" s="64"/>
      <c r="L866" s="93" t="str">
        <f aca="false">IF(NOT(ISNUMBER(D866)),"",DATE(YEAR(D866),MONTH(D866),1))</f>
        <v/>
      </c>
      <c r="M866" s="70" t="str">
        <f aca="false">IF(B866="","",IF(AND(ISNUMBER(D866),ISNUMBER(E866),E866&lt;D866),"⚠ Término anterior al inicio",IF(J866&lt;&gt;"Sí","Pendiente comprobante firmado","OK")))</f>
        <v/>
      </c>
    </row>
    <row r="867" customFormat="false" ht="15" hidden="false" customHeight="false" outlineLevel="0" collapsed="false">
      <c r="B867" s="64"/>
      <c r="C867" s="72" t="str">
        <f aca="false">IF(B867="","",IFERROR(INDEX(T_NOMBRE,MATCH(B867,T_ID,0)),"⚠ ID no existe"))</f>
        <v/>
      </c>
      <c r="D867" s="65"/>
      <c r="E867" s="65"/>
      <c r="F867" s="64"/>
      <c r="G867" s="74" t="str">
        <f aca="false">IF(OR(B867="",NOT(ISNUMBER(D867)),NOT(ISNUMBER(E867))),"",NETWORKDAYS(D867,E867,FERIADOS))</f>
        <v/>
      </c>
      <c r="H867" s="69"/>
      <c r="I867" s="74" t="str">
        <f aca="false">IF(B867="","",IF(ISNUMBER(H867),H867,N(G867)))</f>
        <v/>
      </c>
      <c r="J867" s="64"/>
      <c r="K867" s="64"/>
      <c r="L867" s="93" t="str">
        <f aca="false">IF(NOT(ISNUMBER(D867)),"",DATE(YEAR(D867),MONTH(D867),1))</f>
        <v/>
      </c>
      <c r="M867" s="70" t="str">
        <f aca="false">IF(B867="","",IF(AND(ISNUMBER(D867),ISNUMBER(E867),E867&lt;D867),"⚠ Término anterior al inicio",IF(J867&lt;&gt;"Sí","Pendiente comprobante firmado","OK")))</f>
        <v/>
      </c>
    </row>
    <row r="868" customFormat="false" ht="15" hidden="false" customHeight="false" outlineLevel="0" collapsed="false">
      <c r="B868" s="64"/>
      <c r="C868" s="72" t="str">
        <f aca="false">IF(B868="","",IFERROR(INDEX(T_NOMBRE,MATCH(B868,T_ID,0)),"⚠ ID no existe"))</f>
        <v/>
      </c>
      <c r="D868" s="65"/>
      <c r="E868" s="65"/>
      <c r="F868" s="64"/>
      <c r="G868" s="74" t="str">
        <f aca="false">IF(OR(B868="",NOT(ISNUMBER(D868)),NOT(ISNUMBER(E868))),"",NETWORKDAYS(D868,E868,FERIADOS))</f>
        <v/>
      </c>
      <c r="H868" s="69"/>
      <c r="I868" s="74" t="str">
        <f aca="false">IF(B868="","",IF(ISNUMBER(H868),H868,N(G868)))</f>
        <v/>
      </c>
      <c r="J868" s="64"/>
      <c r="K868" s="64"/>
      <c r="L868" s="93" t="str">
        <f aca="false">IF(NOT(ISNUMBER(D868)),"",DATE(YEAR(D868),MONTH(D868),1))</f>
        <v/>
      </c>
      <c r="M868" s="70" t="str">
        <f aca="false">IF(B868="","",IF(AND(ISNUMBER(D868),ISNUMBER(E868),E868&lt;D868),"⚠ Término anterior al inicio",IF(J868&lt;&gt;"Sí","Pendiente comprobante firmado","OK")))</f>
        <v/>
      </c>
    </row>
    <row r="869" customFormat="false" ht="15" hidden="false" customHeight="false" outlineLevel="0" collapsed="false">
      <c r="B869" s="64"/>
      <c r="C869" s="72" t="str">
        <f aca="false">IF(B869="","",IFERROR(INDEX(T_NOMBRE,MATCH(B869,T_ID,0)),"⚠ ID no existe"))</f>
        <v/>
      </c>
      <c r="D869" s="65"/>
      <c r="E869" s="65"/>
      <c r="F869" s="64"/>
      <c r="G869" s="74" t="str">
        <f aca="false">IF(OR(B869="",NOT(ISNUMBER(D869)),NOT(ISNUMBER(E869))),"",NETWORKDAYS(D869,E869,FERIADOS))</f>
        <v/>
      </c>
      <c r="H869" s="69"/>
      <c r="I869" s="74" t="str">
        <f aca="false">IF(B869="","",IF(ISNUMBER(H869),H869,N(G869)))</f>
        <v/>
      </c>
      <c r="J869" s="64"/>
      <c r="K869" s="64"/>
      <c r="L869" s="93" t="str">
        <f aca="false">IF(NOT(ISNUMBER(D869)),"",DATE(YEAR(D869),MONTH(D869),1))</f>
        <v/>
      </c>
      <c r="M869" s="70" t="str">
        <f aca="false">IF(B869="","",IF(AND(ISNUMBER(D869),ISNUMBER(E869),E869&lt;D869),"⚠ Término anterior al inicio",IF(J869&lt;&gt;"Sí","Pendiente comprobante firmado","OK")))</f>
        <v/>
      </c>
    </row>
    <row r="870" customFormat="false" ht="15" hidden="false" customHeight="false" outlineLevel="0" collapsed="false">
      <c r="B870" s="64"/>
      <c r="C870" s="72" t="str">
        <f aca="false">IF(B870="","",IFERROR(INDEX(T_NOMBRE,MATCH(B870,T_ID,0)),"⚠ ID no existe"))</f>
        <v/>
      </c>
      <c r="D870" s="65"/>
      <c r="E870" s="65"/>
      <c r="F870" s="64"/>
      <c r="G870" s="74" t="str">
        <f aca="false">IF(OR(B870="",NOT(ISNUMBER(D870)),NOT(ISNUMBER(E870))),"",NETWORKDAYS(D870,E870,FERIADOS))</f>
        <v/>
      </c>
      <c r="H870" s="69"/>
      <c r="I870" s="74" t="str">
        <f aca="false">IF(B870="","",IF(ISNUMBER(H870),H870,N(G870)))</f>
        <v/>
      </c>
      <c r="J870" s="64"/>
      <c r="K870" s="64"/>
      <c r="L870" s="93" t="str">
        <f aca="false">IF(NOT(ISNUMBER(D870)),"",DATE(YEAR(D870),MONTH(D870),1))</f>
        <v/>
      </c>
      <c r="M870" s="70" t="str">
        <f aca="false">IF(B870="","",IF(AND(ISNUMBER(D870),ISNUMBER(E870),E870&lt;D870),"⚠ Término anterior al inicio",IF(J870&lt;&gt;"Sí","Pendiente comprobante firmado","OK")))</f>
        <v/>
      </c>
    </row>
    <row r="871" customFormat="false" ht="15" hidden="false" customHeight="false" outlineLevel="0" collapsed="false">
      <c r="B871" s="64"/>
      <c r="C871" s="72" t="str">
        <f aca="false">IF(B871="","",IFERROR(INDEX(T_NOMBRE,MATCH(B871,T_ID,0)),"⚠ ID no existe"))</f>
        <v/>
      </c>
      <c r="D871" s="65"/>
      <c r="E871" s="65"/>
      <c r="F871" s="64"/>
      <c r="G871" s="74" t="str">
        <f aca="false">IF(OR(B871="",NOT(ISNUMBER(D871)),NOT(ISNUMBER(E871))),"",NETWORKDAYS(D871,E871,FERIADOS))</f>
        <v/>
      </c>
      <c r="H871" s="69"/>
      <c r="I871" s="74" t="str">
        <f aca="false">IF(B871="","",IF(ISNUMBER(H871),H871,N(G871)))</f>
        <v/>
      </c>
      <c r="J871" s="64"/>
      <c r="K871" s="64"/>
      <c r="L871" s="93" t="str">
        <f aca="false">IF(NOT(ISNUMBER(D871)),"",DATE(YEAR(D871),MONTH(D871),1))</f>
        <v/>
      </c>
      <c r="M871" s="70" t="str">
        <f aca="false">IF(B871="","",IF(AND(ISNUMBER(D871),ISNUMBER(E871),E871&lt;D871),"⚠ Término anterior al inicio",IF(J871&lt;&gt;"Sí","Pendiente comprobante firmado","OK")))</f>
        <v/>
      </c>
    </row>
    <row r="872" customFormat="false" ht="15" hidden="false" customHeight="false" outlineLevel="0" collapsed="false">
      <c r="B872" s="64"/>
      <c r="C872" s="72" t="str">
        <f aca="false">IF(B872="","",IFERROR(INDEX(T_NOMBRE,MATCH(B872,T_ID,0)),"⚠ ID no existe"))</f>
        <v/>
      </c>
      <c r="D872" s="65"/>
      <c r="E872" s="65"/>
      <c r="F872" s="64"/>
      <c r="G872" s="74" t="str">
        <f aca="false">IF(OR(B872="",NOT(ISNUMBER(D872)),NOT(ISNUMBER(E872))),"",NETWORKDAYS(D872,E872,FERIADOS))</f>
        <v/>
      </c>
      <c r="H872" s="69"/>
      <c r="I872" s="74" t="str">
        <f aca="false">IF(B872="","",IF(ISNUMBER(H872),H872,N(G872)))</f>
        <v/>
      </c>
      <c r="J872" s="64"/>
      <c r="K872" s="64"/>
      <c r="L872" s="93" t="str">
        <f aca="false">IF(NOT(ISNUMBER(D872)),"",DATE(YEAR(D872),MONTH(D872),1))</f>
        <v/>
      </c>
      <c r="M872" s="70" t="str">
        <f aca="false">IF(B872="","",IF(AND(ISNUMBER(D872),ISNUMBER(E872),E872&lt;D872),"⚠ Término anterior al inicio",IF(J872&lt;&gt;"Sí","Pendiente comprobante firmado","OK")))</f>
        <v/>
      </c>
    </row>
    <row r="873" customFormat="false" ht="15" hidden="false" customHeight="false" outlineLevel="0" collapsed="false">
      <c r="B873" s="64"/>
      <c r="C873" s="72" t="str">
        <f aca="false">IF(B873="","",IFERROR(INDEX(T_NOMBRE,MATCH(B873,T_ID,0)),"⚠ ID no existe"))</f>
        <v/>
      </c>
      <c r="D873" s="65"/>
      <c r="E873" s="65"/>
      <c r="F873" s="64"/>
      <c r="G873" s="74" t="str">
        <f aca="false">IF(OR(B873="",NOT(ISNUMBER(D873)),NOT(ISNUMBER(E873))),"",NETWORKDAYS(D873,E873,FERIADOS))</f>
        <v/>
      </c>
      <c r="H873" s="69"/>
      <c r="I873" s="74" t="str">
        <f aca="false">IF(B873="","",IF(ISNUMBER(H873),H873,N(G873)))</f>
        <v/>
      </c>
      <c r="J873" s="64"/>
      <c r="K873" s="64"/>
      <c r="L873" s="93" t="str">
        <f aca="false">IF(NOT(ISNUMBER(D873)),"",DATE(YEAR(D873),MONTH(D873),1))</f>
        <v/>
      </c>
      <c r="M873" s="70" t="str">
        <f aca="false">IF(B873="","",IF(AND(ISNUMBER(D873),ISNUMBER(E873),E873&lt;D873),"⚠ Término anterior al inicio",IF(J873&lt;&gt;"Sí","Pendiente comprobante firmado","OK")))</f>
        <v/>
      </c>
    </row>
    <row r="874" customFormat="false" ht="15" hidden="false" customHeight="false" outlineLevel="0" collapsed="false">
      <c r="B874" s="64"/>
      <c r="C874" s="72" t="str">
        <f aca="false">IF(B874="","",IFERROR(INDEX(T_NOMBRE,MATCH(B874,T_ID,0)),"⚠ ID no existe"))</f>
        <v/>
      </c>
      <c r="D874" s="65"/>
      <c r="E874" s="65"/>
      <c r="F874" s="64"/>
      <c r="G874" s="74" t="str">
        <f aca="false">IF(OR(B874="",NOT(ISNUMBER(D874)),NOT(ISNUMBER(E874))),"",NETWORKDAYS(D874,E874,FERIADOS))</f>
        <v/>
      </c>
      <c r="H874" s="69"/>
      <c r="I874" s="74" t="str">
        <f aca="false">IF(B874="","",IF(ISNUMBER(H874),H874,N(G874)))</f>
        <v/>
      </c>
      <c r="J874" s="64"/>
      <c r="K874" s="64"/>
      <c r="L874" s="93" t="str">
        <f aca="false">IF(NOT(ISNUMBER(D874)),"",DATE(YEAR(D874),MONTH(D874),1))</f>
        <v/>
      </c>
      <c r="M874" s="70" t="str">
        <f aca="false">IF(B874="","",IF(AND(ISNUMBER(D874),ISNUMBER(E874),E874&lt;D874),"⚠ Término anterior al inicio",IF(J874&lt;&gt;"Sí","Pendiente comprobante firmado","OK")))</f>
        <v/>
      </c>
    </row>
    <row r="875" customFormat="false" ht="15" hidden="false" customHeight="false" outlineLevel="0" collapsed="false">
      <c r="B875" s="64"/>
      <c r="C875" s="72" t="str">
        <f aca="false">IF(B875="","",IFERROR(INDEX(T_NOMBRE,MATCH(B875,T_ID,0)),"⚠ ID no existe"))</f>
        <v/>
      </c>
      <c r="D875" s="65"/>
      <c r="E875" s="65"/>
      <c r="F875" s="64"/>
      <c r="G875" s="74" t="str">
        <f aca="false">IF(OR(B875="",NOT(ISNUMBER(D875)),NOT(ISNUMBER(E875))),"",NETWORKDAYS(D875,E875,FERIADOS))</f>
        <v/>
      </c>
      <c r="H875" s="69"/>
      <c r="I875" s="74" t="str">
        <f aca="false">IF(B875="","",IF(ISNUMBER(H875),H875,N(G875)))</f>
        <v/>
      </c>
      <c r="J875" s="64"/>
      <c r="K875" s="64"/>
      <c r="L875" s="93" t="str">
        <f aca="false">IF(NOT(ISNUMBER(D875)),"",DATE(YEAR(D875),MONTH(D875),1))</f>
        <v/>
      </c>
      <c r="M875" s="70" t="str">
        <f aca="false">IF(B875="","",IF(AND(ISNUMBER(D875),ISNUMBER(E875),E875&lt;D875),"⚠ Término anterior al inicio",IF(J875&lt;&gt;"Sí","Pendiente comprobante firmado","OK")))</f>
        <v/>
      </c>
    </row>
    <row r="876" customFormat="false" ht="15" hidden="false" customHeight="false" outlineLevel="0" collapsed="false">
      <c r="B876" s="64"/>
      <c r="C876" s="72" t="str">
        <f aca="false">IF(B876="","",IFERROR(INDEX(T_NOMBRE,MATCH(B876,T_ID,0)),"⚠ ID no existe"))</f>
        <v/>
      </c>
      <c r="D876" s="65"/>
      <c r="E876" s="65"/>
      <c r="F876" s="64"/>
      <c r="G876" s="74" t="str">
        <f aca="false">IF(OR(B876="",NOT(ISNUMBER(D876)),NOT(ISNUMBER(E876))),"",NETWORKDAYS(D876,E876,FERIADOS))</f>
        <v/>
      </c>
      <c r="H876" s="69"/>
      <c r="I876" s="74" t="str">
        <f aca="false">IF(B876="","",IF(ISNUMBER(H876),H876,N(G876)))</f>
        <v/>
      </c>
      <c r="J876" s="64"/>
      <c r="K876" s="64"/>
      <c r="L876" s="93" t="str">
        <f aca="false">IF(NOT(ISNUMBER(D876)),"",DATE(YEAR(D876),MONTH(D876),1))</f>
        <v/>
      </c>
      <c r="M876" s="70" t="str">
        <f aca="false">IF(B876="","",IF(AND(ISNUMBER(D876),ISNUMBER(E876),E876&lt;D876),"⚠ Término anterior al inicio",IF(J876&lt;&gt;"Sí","Pendiente comprobante firmado","OK")))</f>
        <v/>
      </c>
    </row>
    <row r="877" customFormat="false" ht="15" hidden="false" customHeight="false" outlineLevel="0" collapsed="false">
      <c r="B877" s="64"/>
      <c r="C877" s="72" t="str">
        <f aca="false">IF(B877="","",IFERROR(INDEX(T_NOMBRE,MATCH(B877,T_ID,0)),"⚠ ID no existe"))</f>
        <v/>
      </c>
      <c r="D877" s="65"/>
      <c r="E877" s="65"/>
      <c r="F877" s="64"/>
      <c r="G877" s="74" t="str">
        <f aca="false">IF(OR(B877="",NOT(ISNUMBER(D877)),NOT(ISNUMBER(E877))),"",NETWORKDAYS(D877,E877,FERIADOS))</f>
        <v/>
      </c>
      <c r="H877" s="69"/>
      <c r="I877" s="74" t="str">
        <f aca="false">IF(B877="","",IF(ISNUMBER(H877),H877,N(G877)))</f>
        <v/>
      </c>
      <c r="J877" s="64"/>
      <c r="K877" s="64"/>
      <c r="L877" s="93" t="str">
        <f aca="false">IF(NOT(ISNUMBER(D877)),"",DATE(YEAR(D877),MONTH(D877),1))</f>
        <v/>
      </c>
      <c r="M877" s="70" t="str">
        <f aca="false">IF(B877="","",IF(AND(ISNUMBER(D877),ISNUMBER(E877),E877&lt;D877),"⚠ Término anterior al inicio",IF(J877&lt;&gt;"Sí","Pendiente comprobante firmado","OK")))</f>
        <v/>
      </c>
    </row>
    <row r="878" customFormat="false" ht="15" hidden="false" customHeight="false" outlineLevel="0" collapsed="false">
      <c r="B878" s="64"/>
      <c r="C878" s="72" t="str">
        <f aca="false">IF(B878="","",IFERROR(INDEX(T_NOMBRE,MATCH(B878,T_ID,0)),"⚠ ID no existe"))</f>
        <v/>
      </c>
      <c r="D878" s="65"/>
      <c r="E878" s="65"/>
      <c r="F878" s="64"/>
      <c r="G878" s="74" t="str">
        <f aca="false">IF(OR(B878="",NOT(ISNUMBER(D878)),NOT(ISNUMBER(E878))),"",NETWORKDAYS(D878,E878,FERIADOS))</f>
        <v/>
      </c>
      <c r="H878" s="69"/>
      <c r="I878" s="74" t="str">
        <f aca="false">IF(B878="","",IF(ISNUMBER(H878),H878,N(G878)))</f>
        <v/>
      </c>
      <c r="J878" s="64"/>
      <c r="K878" s="64"/>
      <c r="L878" s="93" t="str">
        <f aca="false">IF(NOT(ISNUMBER(D878)),"",DATE(YEAR(D878),MONTH(D878),1))</f>
        <v/>
      </c>
      <c r="M878" s="70" t="str">
        <f aca="false">IF(B878="","",IF(AND(ISNUMBER(D878),ISNUMBER(E878),E878&lt;D878),"⚠ Término anterior al inicio",IF(J878&lt;&gt;"Sí","Pendiente comprobante firmado","OK")))</f>
        <v/>
      </c>
    </row>
    <row r="879" customFormat="false" ht="15" hidden="false" customHeight="false" outlineLevel="0" collapsed="false">
      <c r="B879" s="64"/>
      <c r="C879" s="72" t="str">
        <f aca="false">IF(B879="","",IFERROR(INDEX(T_NOMBRE,MATCH(B879,T_ID,0)),"⚠ ID no existe"))</f>
        <v/>
      </c>
      <c r="D879" s="65"/>
      <c r="E879" s="65"/>
      <c r="F879" s="64"/>
      <c r="G879" s="74" t="str">
        <f aca="false">IF(OR(B879="",NOT(ISNUMBER(D879)),NOT(ISNUMBER(E879))),"",NETWORKDAYS(D879,E879,FERIADOS))</f>
        <v/>
      </c>
      <c r="H879" s="69"/>
      <c r="I879" s="74" t="str">
        <f aca="false">IF(B879="","",IF(ISNUMBER(H879),H879,N(G879)))</f>
        <v/>
      </c>
      <c r="J879" s="64"/>
      <c r="K879" s="64"/>
      <c r="L879" s="93" t="str">
        <f aca="false">IF(NOT(ISNUMBER(D879)),"",DATE(YEAR(D879),MONTH(D879),1))</f>
        <v/>
      </c>
      <c r="M879" s="70" t="str">
        <f aca="false">IF(B879="","",IF(AND(ISNUMBER(D879),ISNUMBER(E879),E879&lt;D879),"⚠ Término anterior al inicio",IF(J879&lt;&gt;"Sí","Pendiente comprobante firmado","OK")))</f>
        <v/>
      </c>
    </row>
    <row r="880" customFormat="false" ht="15" hidden="false" customHeight="false" outlineLevel="0" collapsed="false">
      <c r="B880" s="64"/>
      <c r="C880" s="72" t="str">
        <f aca="false">IF(B880="","",IFERROR(INDEX(T_NOMBRE,MATCH(B880,T_ID,0)),"⚠ ID no existe"))</f>
        <v/>
      </c>
      <c r="D880" s="65"/>
      <c r="E880" s="65"/>
      <c r="F880" s="64"/>
      <c r="G880" s="74" t="str">
        <f aca="false">IF(OR(B880="",NOT(ISNUMBER(D880)),NOT(ISNUMBER(E880))),"",NETWORKDAYS(D880,E880,FERIADOS))</f>
        <v/>
      </c>
      <c r="H880" s="69"/>
      <c r="I880" s="74" t="str">
        <f aca="false">IF(B880="","",IF(ISNUMBER(H880),H880,N(G880)))</f>
        <v/>
      </c>
      <c r="J880" s="64"/>
      <c r="K880" s="64"/>
      <c r="L880" s="93" t="str">
        <f aca="false">IF(NOT(ISNUMBER(D880)),"",DATE(YEAR(D880),MONTH(D880),1))</f>
        <v/>
      </c>
      <c r="M880" s="70" t="str">
        <f aca="false">IF(B880="","",IF(AND(ISNUMBER(D880),ISNUMBER(E880),E880&lt;D880),"⚠ Término anterior al inicio",IF(J880&lt;&gt;"Sí","Pendiente comprobante firmado","OK")))</f>
        <v/>
      </c>
    </row>
    <row r="881" customFormat="false" ht="15" hidden="false" customHeight="false" outlineLevel="0" collapsed="false">
      <c r="B881" s="64"/>
      <c r="C881" s="72" t="str">
        <f aca="false">IF(B881="","",IFERROR(INDEX(T_NOMBRE,MATCH(B881,T_ID,0)),"⚠ ID no existe"))</f>
        <v/>
      </c>
      <c r="D881" s="65"/>
      <c r="E881" s="65"/>
      <c r="F881" s="64"/>
      <c r="G881" s="74" t="str">
        <f aca="false">IF(OR(B881="",NOT(ISNUMBER(D881)),NOT(ISNUMBER(E881))),"",NETWORKDAYS(D881,E881,FERIADOS))</f>
        <v/>
      </c>
      <c r="H881" s="69"/>
      <c r="I881" s="74" t="str">
        <f aca="false">IF(B881="","",IF(ISNUMBER(H881),H881,N(G881)))</f>
        <v/>
      </c>
      <c r="J881" s="64"/>
      <c r="K881" s="64"/>
      <c r="L881" s="93" t="str">
        <f aca="false">IF(NOT(ISNUMBER(D881)),"",DATE(YEAR(D881),MONTH(D881),1))</f>
        <v/>
      </c>
      <c r="M881" s="70" t="str">
        <f aca="false">IF(B881="","",IF(AND(ISNUMBER(D881),ISNUMBER(E881),E881&lt;D881),"⚠ Término anterior al inicio",IF(J881&lt;&gt;"Sí","Pendiente comprobante firmado","OK")))</f>
        <v/>
      </c>
    </row>
    <row r="882" customFormat="false" ht="15" hidden="false" customHeight="false" outlineLevel="0" collapsed="false">
      <c r="B882" s="64"/>
      <c r="C882" s="72" t="str">
        <f aca="false">IF(B882="","",IFERROR(INDEX(T_NOMBRE,MATCH(B882,T_ID,0)),"⚠ ID no existe"))</f>
        <v/>
      </c>
      <c r="D882" s="65"/>
      <c r="E882" s="65"/>
      <c r="F882" s="64"/>
      <c r="G882" s="74" t="str">
        <f aca="false">IF(OR(B882="",NOT(ISNUMBER(D882)),NOT(ISNUMBER(E882))),"",NETWORKDAYS(D882,E882,FERIADOS))</f>
        <v/>
      </c>
      <c r="H882" s="69"/>
      <c r="I882" s="74" t="str">
        <f aca="false">IF(B882="","",IF(ISNUMBER(H882),H882,N(G882)))</f>
        <v/>
      </c>
      <c r="J882" s="64"/>
      <c r="K882" s="64"/>
      <c r="L882" s="93" t="str">
        <f aca="false">IF(NOT(ISNUMBER(D882)),"",DATE(YEAR(D882),MONTH(D882),1))</f>
        <v/>
      </c>
      <c r="M882" s="70" t="str">
        <f aca="false">IF(B882="","",IF(AND(ISNUMBER(D882),ISNUMBER(E882),E882&lt;D882),"⚠ Término anterior al inicio",IF(J882&lt;&gt;"Sí","Pendiente comprobante firmado","OK")))</f>
        <v/>
      </c>
    </row>
    <row r="883" customFormat="false" ht="15" hidden="false" customHeight="false" outlineLevel="0" collapsed="false">
      <c r="B883" s="64"/>
      <c r="C883" s="72" t="str">
        <f aca="false">IF(B883="","",IFERROR(INDEX(T_NOMBRE,MATCH(B883,T_ID,0)),"⚠ ID no existe"))</f>
        <v/>
      </c>
      <c r="D883" s="65"/>
      <c r="E883" s="65"/>
      <c r="F883" s="64"/>
      <c r="G883" s="74" t="str">
        <f aca="false">IF(OR(B883="",NOT(ISNUMBER(D883)),NOT(ISNUMBER(E883))),"",NETWORKDAYS(D883,E883,FERIADOS))</f>
        <v/>
      </c>
      <c r="H883" s="69"/>
      <c r="I883" s="74" t="str">
        <f aca="false">IF(B883="","",IF(ISNUMBER(H883),H883,N(G883)))</f>
        <v/>
      </c>
      <c r="J883" s="64"/>
      <c r="K883" s="64"/>
      <c r="L883" s="93" t="str">
        <f aca="false">IF(NOT(ISNUMBER(D883)),"",DATE(YEAR(D883),MONTH(D883),1))</f>
        <v/>
      </c>
      <c r="M883" s="70" t="str">
        <f aca="false">IF(B883="","",IF(AND(ISNUMBER(D883),ISNUMBER(E883),E883&lt;D883),"⚠ Término anterior al inicio",IF(J883&lt;&gt;"Sí","Pendiente comprobante firmado","OK")))</f>
        <v/>
      </c>
    </row>
    <row r="884" customFormat="false" ht="15" hidden="false" customHeight="false" outlineLevel="0" collapsed="false">
      <c r="B884" s="64"/>
      <c r="C884" s="72" t="str">
        <f aca="false">IF(B884="","",IFERROR(INDEX(T_NOMBRE,MATCH(B884,T_ID,0)),"⚠ ID no existe"))</f>
        <v/>
      </c>
      <c r="D884" s="65"/>
      <c r="E884" s="65"/>
      <c r="F884" s="64"/>
      <c r="G884" s="74" t="str">
        <f aca="false">IF(OR(B884="",NOT(ISNUMBER(D884)),NOT(ISNUMBER(E884))),"",NETWORKDAYS(D884,E884,FERIADOS))</f>
        <v/>
      </c>
      <c r="H884" s="69"/>
      <c r="I884" s="74" t="str">
        <f aca="false">IF(B884="","",IF(ISNUMBER(H884),H884,N(G884)))</f>
        <v/>
      </c>
      <c r="J884" s="64"/>
      <c r="K884" s="64"/>
      <c r="L884" s="93" t="str">
        <f aca="false">IF(NOT(ISNUMBER(D884)),"",DATE(YEAR(D884),MONTH(D884),1))</f>
        <v/>
      </c>
      <c r="M884" s="70" t="str">
        <f aca="false">IF(B884="","",IF(AND(ISNUMBER(D884),ISNUMBER(E884),E884&lt;D884),"⚠ Término anterior al inicio",IF(J884&lt;&gt;"Sí","Pendiente comprobante firmado","OK")))</f>
        <v/>
      </c>
    </row>
    <row r="885" customFormat="false" ht="15" hidden="false" customHeight="false" outlineLevel="0" collapsed="false">
      <c r="B885" s="64"/>
      <c r="C885" s="72" t="str">
        <f aca="false">IF(B885="","",IFERROR(INDEX(T_NOMBRE,MATCH(B885,T_ID,0)),"⚠ ID no existe"))</f>
        <v/>
      </c>
      <c r="D885" s="65"/>
      <c r="E885" s="65"/>
      <c r="F885" s="64"/>
      <c r="G885" s="74" t="str">
        <f aca="false">IF(OR(B885="",NOT(ISNUMBER(D885)),NOT(ISNUMBER(E885))),"",NETWORKDAYS(D885,E885,FERIADOS))</f>
        <v/>
      </c>
      <c r="H885" s="69"/>
      <c r="I885" s="74" t="str">
        <f aca="false">IF(B885="","",IF(ISNUMBER(H885),H885,N(G885)))</f>
        <v/>
      </c>
      <c r="J885" s="64"/>
      <c r="K885" s="64"/>
      <c r="L885" s="93" t="str">
        <f aca="false">IF(NOT(ISNUMBER(D885)),"",DATE(YEAR(D885),MONTH(D885),1))</f>
        <v/>
      </c>
      <c r="M885" s="70" t="str">
        <f aca="false">IF(B885="","",IF(AND(ISNUMBER(D885),ISNUMBER(E885),E885&lt;D885),"⚠ Término anterior al inicio",IF(J885&lt;&gt;"Sí","Pendiente comprobante firmado","OK")))</f>
        <v/>
      </c>
    </row>
    <row r="886" customFormat="false" ht="15" hidden="false" customHeight="false" outlineLevel="0" collapsed="false">
      <c r="B886" s="64"/>
      <c r="C886" s="72" t="str">
        <f aca="false">IF(B886="","",IFERROR(INDEX(T_NOMBRE,MATCH(B886,T_ID,0)),"⚠ ID no existe"))</f>
        <v/>
      </c>
      <c r="D886" s="65"/>
      <c r="E886" s="65"/>
      <c r="F886" s="64"/>
      <c r="G886" s="74" t="str">
        <f aca="false">IF(OR(B886="",NOT(ISNUMBER(D886)),NOT(ISNUMBER(E886))),"",NETWORKDAYS(D886,E886,FERIADOS))</f>
        <v/>
      </c>
      <c r="H886" s="69"/>
      <c r="I886" s="74" t="str">
        <f aca="false">IF(B886="","",IF(ISNUMBER(H886),H886,N(G886)))</f>
        <v/>
      </c>
      <c r="J886" s="64"/>
      <c r="K886" s="64"/>
      <c r="L886" s="93" t="str">
        <f aca="false">IF(NOT(ISNUMBER(D886)),"",DATE(YEAR(D886),MONTH(D886),1))</f>
        <v/>
      </c>
      <c r="M886" s="70" t="str">
        <f aca="false">IF(B886="","",IF(AND(ISNUMBER(D886),ISNUMBER(E886),E886&lt;D886),"⚠ Término anterior al inicio",IF(J886&lt;&gt;"Sí","Pendiente comprobante firmado","OK")))</f>
        <v/>
      </c>
    </row>
    <row r="887" customFormat="false" ht="15" hidden="false" customHeight="false" outlineLevel="0" collapsed="false">
      <c r="B887" s="64"/>
      <c r="C887" s="72" t="str">
        <f aca="false">IF(B887="","",IFERROR(INDEX(T_NOMBRE,MATCH(B887,T_ID,0)),"⚠ ID no existe"))</f>
        <v/>
      </c>
      <c r="D887" s="65"/>
      <c r="E887" s="65"/>
      <c r="F887" s="64"/>
      <c r="G887" s="74" t="str">
        <f aca="false">IF(OR(B887="",NOT(ISNUMBER(D887)),NOT(ISNUMBER(E887))),"",NETWORKDAYS(D887,E887,FERIADOS))</f>
        <v/>
      </c>
      <c r="H887" s="69"/>
      <c r="I887" s="74" t="str">
        <f aca="false">IF(B887="","",IF(ISNUMBER(H887),H887,N(G887)))</f>
        <v/>
      </c>
      <c r="J887" s="64"/>
      <c r="K887" s="64"/>
      <c r="L887" s="93" t="str">
        <f aca="false">IF(NOT(ISNUMBER(D887)),"",DATE(YEAR(D887),MONTH(D887),1))</f>
        <v/>
      </c>
      <c r="M887" s="70" t="str">
        <f aca="false">IF(B887="","",IF(AND(ISNUMBER(D887),ISNUMBER(E887),E887&lt;D887),"⚠ Término anterior al inicio",IF(J887&lt;&gt;"Sí","Pendiente comprobante firmado","OK")))</f>
        <v/>
      </c>
    </row>
    <row r="888" customFormat="false" ht="15" hidden="false" customHeight="false" outlineLevel="0" collapsed="false">
      <c r="B888" s="64"/>
      <c r="C888" s="72" t="str">
        <f aca="false">IF(B888="","",IFERROR(INDEX(T_NOMBRE,MATCH(B888,T_ID,0)),"⚠ ID no existe"))</f>
        <v/>
      </c>
      <c r="D888" s="65"/>
      <c r="E888" s="65"/>
      <c r="F888" s="64"/>
      <c r="G888" s="74" t="str">
        <f aca="false">IF(OR(B888="",NOT(ISNUMBER(D888)),NOT(ISNUMBER(E888))),"",NETWORKDAYS(D888,E888,FERIADOS))</f>
        <v/>
      </c>
      <c r="H888" s="69"/>
      <c r="I888" s="74" t="str">
        <f aca="false">IF(B888="","",IF(ISNUMBER(H888),H888,N(G888)))</f>
        <v/>
      </c>
      <c r="J888" s="64"/>
      <c r="K888" s="64"/>
      <c r="L888" s="93" t="str">
        <f aca="false">IF(NOT(ISNUMBER(D888)),"",DATE(YEAR(D888),MONTH(D888),1))</f>
        <v/>
      </c>
      <c r="M888" s="70" t="str">
        <f aca="false">IF(B888="","",IF(AND(ISNUMBER(D888),ISNUMBER(E888),E888&lt;D888),"⚠ Término anterior al inicio",IF(J888&lt;&gt;"Sí","Pendiente comprobante firmado","OK")))</f>
        <v/>
      </c>
    </row>
    <row r="889" customFormat="false" ht="15" hidden="false" customHeight="false" outlineLevel="0" collapsed="false">
      <c r="B889" s="64"/>
      <c r="C889" s="72" t="str">
        <f aca="false">IF(B889="","",IFERROR(INDEX(T_NOMBRE,MATCH(B889,T_ID,0)),"⚠ ID no existe"))</f>
        <v/>
      </c>
      <c r="D889" s="65"/>
      <c r="E889" s="65"/>
      <c r="F889" s="64"/>
      <c r="G889" s="74" t="str">
        <f aca="false">IF(OR(B889="",NOT(ISNUMBER(D889)),NOT(ISNUMBER(E889))),"",NETWORKDAYS(D889,E889,FERIADOS))</f>
        <v/>
      </c>
      <c r="H889" s="69"/>
      <c r="I889" s="74" t="str">
        <f aca="false">IF(B889="","",IF(ISNUMBER(H889),H889,N(G889)))</f>
        <v/>
      </c>
      <c r="J889" s="64"/>
      <c r="K889" s="64"/>
      <c r="L889" s="93" t="str">
        <f aca="false">IF(NOT(ISNUMBER(D889)),"",DATE(YEAR(D889),MONTH(D889),1))</f>
        <v/>
      </c>
      <c r="M889" s="70" t="str">
        <f aca="false">IF(B889="","",IF(AND(ISNUMBER(D889),ISNUMBER(E889),E889&lt;D889),"⚠ Término anterior al inicio",IF(J889&lt;&gt;"Sí","Pendiente comprobante firmado","OK")))</f>
        <v/>
      </c>
    </row>
    <row r="890" customFormat="false" ht="15" hidden="false" customHeight="false" outlineLevel="0" collapsed="false">
      <c r="B890" s="64"/>
      <c r="C890" s="72" t="str">
        <f aca="false">IF(B890="","",IFERROR(INDEX(T_NOMBRE,MATCH(B890,T_ID,0)),"⚠ ID no existe"))</f>
        <v/>
      </c>
      <c r="D890" s="65"/>
      <c r="E890" s="65"/>
      <c r="F890" s="64"/>
      <c r="G890" s="74" t="str">
        <f aca="false">IF(OR(B890="",NOT(ISNUMBER(D890)),NOT(ISNUMBER(E890))),"",NETWORKDAYS(D890,E890,FERIADOS))</f>
        <v/>
      </c>
      <c r="H890" s="69"/>
      <c r="I890" s="74" t="str">
        <f aca="false">IF(B890="","",IF(ISNUMBER(H890),H890,N(G890)))</f>
        <v/>
      </c>
      <c r="J890" s="64"/>
      <c r="K890" s="64"/>
      <c r="L890" s="93" t="str">
        <f aca="false">IF(NOT(ISNUMBER(D890)),"",DATE(YEAR(D890),MONTH(D890),1))</f>
        <v/>
      </c>
      <c r="M890" s="70" t="str">
        <f aca="false">IF(B890="","",IF(AND(ISNUMBER(D890),ISNUMBER(E890),E890&lt;D890),"⚠ Término anterior al inicio",IF(J890&lt;&gt;"Sí","Pendiente comprobante firmado","OK")))</f>
        <v/>
      </c>
    </row>
    <row r="891" customFormat="false" ht="15" hidden="false" customHeight="false" outlineLevel="0" collapsed="false">
      <c r="B891" s="64"/>
      <c r="C891" s="72" t="str">
        <f aca="false">IF(B891="","",IFERROR(INDEX(T_NOMBRE,MATCH(B891,T_ID,0)),"⚠ ID no existe"))</f>
        <v/>
      </c>
      <c r="D891" s="65"/>
      <c r="E891" s="65"/>
      <c r="F891" s="64"/>
      <c r="G891" s="74" t="str">
        <f aca="false">IF(OR(B891="",NOT(ISNUMBER(D891)),NOT(ISNUMBER(E891))),"",NETWORKDAYS(D891,E891,FERIADOS))</f>
        <v/>
      </c>
      <c r="H891" s="69"/>
      <c r="I891" s="74" t="str">
        <f aca="false">IF(B891="","",IF(ISNUMBER(H891),H891,N(G891)))</f>
        <v/>
      </c>
      <c r="J891" s="64"/>
      <c r="K891" s="64"/>
      <c r="L891" s="93" t="str">
        <f aca="false">IF(NOT(ISNUMBER(D891)),"",DATE(YEAR(D891),MONTH(D891),1))</f>
        <v/>
      </c>
      <c r="M891" s="70" t="str">
        <f aca="false">IF(B891="","",IF(AND(ISNUMBER(D891),ISNUMBER(E891),E891&lt;D891),"⚠ Término anterior al inicio",IF(J891&lt;&gt;"Sí","Pendiente comprobante firmado","OK")))</f>
        <v/>
      </c>
    </row>
    <row r="892" customFormat="false" ht="15" hidden="false" customHeight="false" outlineLevel="0" collapsed="false">
      <c r="B892" s="64"/>
      <c r="C892" s="72" t="str">
        <f aca="false">IF(B892="","",IFERROR(INDEX(T_NOMBRE,MATCH(B892,T_ID,0)),"⚠ ID no existe"))</f>
        <v/>
      </c>
      <c r="D892" s="65"/>
      <c r="E892" s="65"/>
      <c r="F892" s="64"/>
      <c r="G892" s="74" t="str">
        <f aca="false">IF(OR(B892="",NOT(ISNUMBER(D892)),NOT(ISNUMBER(E892))),"",NETWORKDAYS(D892,E892,FERIADOS))</f>
        <v/>
      </c>
      <c r="H892" s="69"/>
      <c r="I892" s="74" t="str">
        <f aca="false">IF(B892="","",IF(ISNUMBER(H892),H892,N(G892)))</f>
        <v/>
      </c>
      <c r="J892" s="64"/>
      <c r="K892" s="64"/>
      <c r="L892" s="93" t="str">
        <f aca="false">IF(NOT(ISNUMBER(D892)),"",DATE(YEAR(D892),MONTH(D892),1))</f>
        <v/>
      </c>
      <c r="M892" s="70" t="str">
        <f aca="false">IF(B892="","",IF(AND(ISNUMBER(D892),ISNUMBER(E892),E892&lt;D892),"⚠ Término anterior al inicio",IF(J892&lt;&gt;"Sí","Pendiente comprobante firmado","OK")))</f>
        <v/>
      </c>
    </row>
    <row r="893" customFormat="false" ht="15" hidden="false" customHeight="false" outlineLevel="0" collapsed="false">
      <c r="B893" s="64"/>
      <c r="C893" s="72" t="str">
        <f aca="false">IF(B893="","",IFERROR(INDEX(T_NOMBRE,MATCH(B893,T_ID,0)),"⚠ ID no existe"))</f>
        <v/>
      </c>
      <c r="D893" s="65"/>
      <c r="E893" s="65"/>
      <c r="F893" s="64"/>
      <c r="G893" s="74" t="str">
        <f aca="false">IF(OR(B893="",NOT(ISNUMBER(D893)),NOT(ISNUMBER(E893))),"",NETWORKDAYS(D893,E893,FERIADOS))</f>
        <v/>
      </c>
      <c r="H893" s="69"/>
      <c r="I893" s="74" t="str">
        <f aca="false">IF(B893="","",IF(ISNUMBER(H893),H893,N(G893)))</f>
        <v/>
      </c>
      <c r="J893" s="64"/>
      <c r="K893" s="64"/>
      <c r="L893" s="93" t="str">
        <f aca="false">IF(NOT(ISNUMBER(D893)),"",DATE(YEAR(D893),MONTH(D893),1))</f>
        <v/>
      </c>
      <c r="M893" s="70" t="str">
        <f aca="false">IF(B893="","",IF(AND(ISNUMBER(D893),ISNUMBER(E893),E893&lt;D893),"⚠ Término anterior al inicio",IF(J893&lt;&gt;"Sí","Pendiente comprobante firmado","OK")))</f>
        <v/>
      </c>
    </row>
    <row r="894" customFormat="false" ht="15" hidden="false" customHeight="false" outlineLevel="0" collapsed="false">
      <c r="B894" s="64"/>
      <c r="C894" s="72" t="str">
        <f aca="false">IF(B894="","",IFERROR(INDEX(T_NOMBRE,MATCH(B894,T_ID,0)),"⚠ ID no existe"))</f>
        <v/>
      </c>
      <c r="D894" s="65"/>
      <c r="E894" s="65"/>
      <c r="F894" s="64"/>
      <c r="G894" s="74" t="str">
        <f aca="false">IF(OR(B894="",NOT(ISNUMBER(D894)),NOT(ISNUMBER(E894))),"",NETWORKDAYS(D894,E894,FERIADOS))</f>
        <v/>
      </c>
      <c r="H894" s="69"/>
      <c r="I894" s="74" t="str">
        <f aca="false">IF(B894="","",IF(ISNUMBER(H894),H894,N(G894)))</f>
        <v/>
      </c>
      <c r="J894" s="64"/>
      <c r="K894" s="64"/>
      <c r="L894" s="93" t="str">
        <f aca="false">IF(NOT(ISNUMBER(D894)),"",DATE(YEAR(D894),MONTH(D894),1))</f>
        <v/>
      </c>
      <c r="M894" s="70" t="str">
        <f aca="false">IF(B894="","",IF(AND(ISNUMBER(D894),ISNUMBER(E894),E894&lt;D894),"⚠ Término anterior al inicio",IF(J894&lt;&gt;"Sí","Pendiente comprobante firmado","OK")))</f>
        <v/>
      </c>
    </row>
    <row r="895" customFormat="false" ht="15" hidden="false" customHeight="false" outlineLevel="0" collapsed="false">
      <c r="B895" s="64"/>
      <c r="C895" s="72" t="str">
        <f aca="false">IF(B895="","",IFERROR(INDEX(T_NOMBRE,MATCH(B895,T_ID,0)),"⚠ ID no existe"))</f>
        <v/>
      </c>
      <c r="D895" s="65"/>
      <c r="E895" s="65"/>
      <c r="F895" s="64"/>
      <c r="G895" s="74" t="str">
        <f aca="false">IF(OR(B895="",NOT(ISNUMBER(D895)),NOT(ISNUMBER(E895))),"",NETWORKDAYS(D895,E895,FERIADOS))</f>
        <v/>
      </c>
      <c r="H895" s="69"/>
      <c r="I895" s="74" t="str">
        <f aca="false">IF(B895="","",IF(ISNUMBER(H895),H895,N(G895)))</f>
        <v/>
      </c>
      <c r="J895" s="64"/>
      <c r="K895" s="64"/>
      <c r="L895" s="93" t="str">
        <f aca="false">IF(NOT(ISNUMBER(D895)),"",DATE(YEAR(D895),MONTH(D895),1))</f>
        <v/>
      </c>
      <c r="M895" s="70" t="str">
        <f aca="false">IF(B895="","",IF(AND(ISNUMBER(D895),ISNUMBER(E895),E895&lt;D895),"⚠ Término anterior al inicio",IF(J895&lt;&gt;"Sí","Pendiente comprobante firmado","OK")))</f>
        <v/>
      </c>
    </row>
    <row r="896" customFormat="false" ht="15" hidden="false" customHeight="false" outlineLevel="0" collapsed="false">
      <c r="B896" s="64"/>
      <c r="C896" s="72" t="str">
        <f aca="false">IF(B896="","",IFERROR(INDEX(T_NOMBRE,MATCH(B896,T_ID,0)),"⚠ ID no existe"))</f>
        <v/>
      </c>
      <c r="D896" s="65"/>
      <c r="E896" s="65"/>
      <c r="F896" s="64"/>
      <c r="G896" s="74" t="str">
        <f aca="false">IF(OR(B896="",NOT(ISNUMBER(D896)),NOT(ISNUMBER(E896))),"",NETWORKDAYS(D896,E896,FERIADOS))</f>
        <v/>
      </c>
      <c r="H896" s="69"/>
      <c r="I896" s="74" t="str">
        <f aca="false">IF(B896="","",IF(ISNUMBER(H896),H896,N(G896)))</f>
        <v/>
      </c>
      <c r="J896" s="64"/>
      <c r="K896" s="64"/>
      <c r="L896" s="93" t="str">
        <f aca="false">IF(NOT(ISNUMBER(D896)),"",DATE(YEAR(D896),MONTH(D896),1))</f>
        <v/>
      </c>
      <c r="M896" s="70" t="str">
        <f aca="false">IF(B896="","",IF(AND(ISNUMBER(D896),ISNUMBER(E896),E896&lt;D896),"⚠ Término anterior al inicio",IF(J896&lt;&gt;"Sí","Pendiente comprobante firmado","OK")))</f>
        <v/>
      </c>
    </row>
    <row r="897" customFormat="false" ht="15" hidden="false" customHeight="false" outlineLevel="0" collapsed="false">
      <c r="B897" s="64"/>
      <c r="C897" s="72" t="str">
        <f aca="false">IF(B897="","",IFERROR(INDEX(T_NOMBRE,MATCH(B897,T_ID,0)),"⚠ ID no existe"))</f>
        <v/>
      </c>
      <c r="D897" s="65"/>
      <c r="E897" s="65"/>
      <c r="F897" s="64"/>
      <c r="G897" s="74" t="str">
        <f aca="false">IF(OR(B897="",NOT(ISNUMBER(D897)),NOT(ISNUMBER(E897))),"",NETWORKDAYS(D897,E897,FERIADOS))</f>
        <v/>
      </c>
      <c r="H897" s="69"/>
      <c r="I897" s="74" t="str">
        <f aca="false">IF(B897="","",IF(ISNUMBER(H897),H897,N(G897)))</f>
        <v/>
      </c>
      <c r="J897" s="64"/>
      <c r="K897" s="64"/>
      <c r="L897" s="93" t="str">
        <f aca="false">IF(NOT(ISNUMBER(D897)),"",DATE(YEAR(D897),MONTH(D897),1))</f>
        <v/>
      </c>
      <c r="M897" s="70" t="str">
        <f aca="false">IF(B897="","",IF(AND(ISNUMBER(D897),ISNUMBER(E897),E897&lt;D897),"⚠ Término anterior al inicio",IF(J897&lt;&gt;"Sí","Pendiente comprobante firmado","OK")))</f>
        <v/>
      </c>
    </row>
    <row r="898" customFormat="false" ht="15" hidden="false" customHeight="false" outlineLevel="0" collapsed="false">
      <c r="B898" s="64"/>
      <c r="C898" s="72" t="str">
        <f aca="false">IF(B898="","",IFERROR(INDEX(T_NOMBRE,MATCH(B898,T_ID,0)),"⚠ ID no existe"))</f>
        <v/>
      </c>
      <c r="D898" s="65"/>
      <c r="E898" s="65"/>
      <c r="F898" s="64"/>
      <c r="G898" s="74" t="str">
        <f aca="false">IF(OR(B898="",NOT(ISNUMBER(D898)),NOT(ISNUMBER(E898))),"",NETWORKDAYS(D898,E898,FERIADOS))</f>
        <v/>
      </c>
      <c r="H898" s="69"/>
      <c r="I898" s="74" t="str">
        <f aca="false">IF(B898="","",IF(ISNUMBER(H898),H898,N(G898)))</f>
        <v/>
      </c>
      <c r="J898" s="64"/>
      <c r="K898" s="64"/>
      <c r="L898" s="93" t="str">
        <f aca="false">IF(NOT(ISNUMBER(D898)),"",DATE(YEAR(D898),MONTH(D898),1))</f>
        <v/>
      </c>
      <c r="M898" s="70" t="str">
        <f aca="false">IF(B898="","",IF(AND(ISNUMBER(D898),ISNUMBER(E898),E898&lt;D898),"⚠ Término anterior al inicio",IF(J898&lt;&gt;"Sí","Pendiente comprobante firmado","OK")))</f>
        <v/>
      </c>
    </row>
    <row r="899" customFormat="false" ht="15" hidden="false" customHeight="false" outlineLevel="0" collapsed="false">
      <c r="B899" s="64"/>
      <c r="C899" s="72" t="str">
        <f aca="false">IF(B899="","",IFERROR(INDEX(T_NOMBRE,MATCH(B899,T_ID,0)),"⚠ ID no existe"))</f>
        <v/>
      </c>
      <c r="D899" s="65"/>
      <c r="E899" s="65"/>
      <c r="F899" s="64"/>
      <c r="G899" s="74" t="str">
        <f aca="false">IF(OR(B899="",NOT(ISNUMBER(D899)),NOT(ISNUMBER(E899))),"",NETWORKDAYS(D899,E899,FERIADOS))</f>
        <v/>
      </c>
      <c r="H899" s="69"/>
      <c r="I899" s="74" t="str">
        <f aca="false">IF(B899="","",IF(ISNUMBER(H899),H899,N(G899)))</f>
        <v/>
      </c>
      <c r="J899" s="64"/>
      <c r="K899" s="64"/>
      <c r="L899" s="93" t="str">
        <f aca="false">IF(NOT(ISNUMBER(D899)),"",DATE(YEAR(D899),MONTH(D899),1))</f>
        <v/>
      </c>
      <c r="M899" s="70" t="str">
        <f aca="false">IF(B899="","",IF(AND(ISNUMBER(D899),ISNUMBER(E899),E899&lt;D899),"⚠ Término anterior al inicio",IF(J899&lt;&gt;"Sí","Pendiente comprobante firmado","OK")))</f>
        <v/>
      </c>
    </row>
    <row r="900" customFormat="false" ht="15" hidden="false" customHeight="false" outlineLevel="0" collapsed="false">
      <c r="B900" s="64"/>
      <c r="C900" s="72" t="str">
        <f aca="false">IF(B900="","",IFERROR(INDEX(T_NOMBRE,MATCH(B900,T_ID,0)),"⚠ ID no existe"))</f>
        <v/>
      </c>
      <c r="D900" s="65"/>
      <c r="E900" s="65"/>
      <c r="F900" s="64"/>
      <c r="G900" s="74" t="str">
        <f aca="false">IF(OR(B900="",NOT(ISNUMBER(D900)),NOT(ISNUMBER(E900))),"",NETWORKDAYS(D900,E900,FERIADOS))</f>
        <v/>
      </c>
      <c r="H900" s="69"/>
      <c r="I900" s="74" t="str">
        <f aca="false">IF(B900="","",IF(ISNUMBER(H900),H900,N(G900)))</f>
        <v/>
      </c>
      <c r="J900" s="64"/>
      <c r="K900" s="64"/>
      <c r="L900" s="93" t="str">
        <f aca="false">IF(NOT(ISNUMBER(D900)),"",DATE(YEAR(D900),MONTH(D900),1))</f>
        <v/>
      </c>
      <c r="M900" s="70" t="str">
        <f aca="false">IF(B900="","",IF(AND(ISNUMBER(D900),ISNUMBER(E900),E900&lt;D900),"⚠ Término anterior al inicio",IF(J900&lt;&gt;"Sí","Pendiente comprobante firmado","OK")))</f>
        <v/>
      </c>
    </row>
    <row r="901" customFormat="false" ht="15" hidden="false" customHeight="false" outlineLevel="0" collapsed="false">
      <c r="B901" s="64"/>
      <c r="C901" s="72" t="str">
        <f aca="false">IF(B901="","",IFERROR(INDEX(T_NOMBRE,MATCH(B901,T_ID,0)),"⚠ ID no existe"))</f>
        <v/>
      </c>
      <c r="D901" s="65"/>
      <c r="E901" s="65"/>
      <c r="F901" s="64"/>
      <c r="G901" s="74" t="str">
        <f aca="false">IF(OR(B901="",NOT(ISNUMBER(D901)),NOT(ISNUMBER(E901))),"",NETWORKDAYS(D901,E901,FERIADOS))</f>
        <v/>
      </c>
      <c r="H901" s="69"/>
      <c r="I901" s="74" t="str">
        <f aca="false">IF(B901="","",IF(ISNUMBER(H901),H901,N(G901)))</f>
        <v/>
      </c>
      <c r="J901" s="64"/>
      <c r="K901" s="64"/>
      <c r="L901" s="93" t="str">
        <f aca="false">IF(NOT(ISNUMBER(D901)),"",DATE(YEAR(D901),MONTH(D901),1))</f>
        <v/>
      </c>
      <c r="M901" s="70" t="str">
        <f aca="false">IF(B901="","",IF(AND(ISNUMBER(D901),ISNUMBER(E901),E901&lt;D901),"⚠ Término anterior al inicio",IF(J901&lt;&gt;"Sí","Pendiente comprobante firmado","OK")))</f>
        <v/>
      </c>
    </row>
    <row r="902" customFormat="false" ht="15" hidden="false" customHeight="false" outlineLevel="0" collapsed="false">
      <c r="B902" s="64"/>
      <c r="C902" s="72" t="str">
        <f aca="false">IF(B902="","",IFERROR(INDEX(T_NOMBRE,MATCH(B902,T_ID,0)),"⚠ ID no existe"))</f>
        <v/>
      </c>
      <c r="D902" s="65"/>
      <c r="E902" s="65"/>
      <c r="F902" s="64"/>
      <c r="G902" s="74" t="str">
        <f aca="false">IF(OR(B902="",NOT(ISNUMBER(D902)),NOT(ISNUMBER(E902))),"",NETWORKDAYS(D902,E902,FERIADOS))</f>
        <v/>
      </c>
      <c r="H902" s="69"/>
      <c r="I902" s="74" t="str">
        <f aca="false">IF(B902="","",IF(ISNUMBER(H902),H902,N(G902)))</f>
        <v/>
      </c>
      <c r="J902" s="64"/>
      <c r="K902" s="64"/>
      <c r="L902" s="93" t="str">
        <f aca="false">IF(NOT(ISNUMBER(D902)),"",DATE(YEAR(D902),MONTH(D902),1))</f>
        <v/>
      </c>
      <c r="M902" s="70" t="str">
        <f aca="false">IF(B902="","",IF(AND(ISNUMBER(D902),ISNUMBER(E902),E902&lt;D902),"⚠ Término anterior al inicio",IF(J902&lt;&gt;"Sí","Pendiente comprobante firmado","OK")))</f>
        <v/>
      </c>
    </row>
    <row r="903" customFormat="false" ht="15" hidden="false" customHeight="false" outlineLevel="0" collapsed="false">
      <c r="B903" s="64"/>
      <c r="C903" s="72" t="str">
        <f aca="false">IF(B903="","",IFERROR(INDEX(T_NOMBRE,MATCH(B903,T_ID,0)),"⚠ ID no existe"))</f>
        <v/>
      </c>
      <c r="D903" s="65"/>
      <c r="E903" s="65"/>
      <c r="F903" s="64"/>
      <c r="G903" s="74" t="str">
        <f aca="false">IF(OR(B903="",NOT(ISNUMBER(D903)),NOT(ISNUMBER(E903))),"",NETWORKDAYS(D903,E903,FERIADOS))</f>
        <v/>
      </c>
      <c r="H903" s="69"/>
      <c r="I903" s="74" t="str">
        <f aca="false">IF(B903="","",IF(ISNUMBER(H903),H903,N(G903)))</f>
        <v/>
      </c>
      <c r="J903" s="64"/>
      <c r="K903" s="64"/>
      <c r="L903" s="93" t="str">
        <f aca="false">IF(NOT(ISNUMBER(D903)),"",DATE(YEAR(D903),MONTH(D903),1))</f>
        <v/>
      </c>
      <c r="M903" s="70" t="str">
        <f aca="false">IF(B903="","",IF(AND(ISNUMBER(D903),ISNUMBER(E903),E903&lt;D903),"⚠ Término anterior al inicio",IF(J903&lt;&gt;"Sí","Pendiente comprobante firmado","OK")))</f>
        <v/>
      </c>
    </row>
    <row r="904" customFormat="false" ht="15" hidden="false" customHeight="false" outlineLevel="0" collapsed="false">
      <c r="B904" s="64"/>
      <c r="C904" s="72" t="str">
        <f aca="false">IF(B904="","",IFERROR(INDEX(T_NOMBRE,MATCH(B904,T_ID,0)),"⚠ ID no existe"))</f>
        <v/>
      </c>
      <c r="D904" s="65"/>
      <c r="E904" s="65"/>
      <c r="F904" s="64"/>
      <c r="G904" s="74" t="str">
        <f aca="false">IF(OR(B904="",NOT(ISNUMBER(D904)),NOT(ISNUMBER(E904))),"",NETWORKDAYS(D904,E904,FERIADOS))</f>
        <v/>
      </c>
      <c r="H904" s="69"/>
      <c r="I904" s="74" t="str">
        <f aca="false">IF(B904="","",IF(ISNUMBER(H904),H904,N(G904)))</f>
        <v/>
      </c>
      <c r="J904" s="64"/>
      <c r="K904" s="64"/>
      <c r="L904" s="93" t="str">
        <f aca="false">IF(NOT(ISNUMBER(D904)),"",DATE(YEAR(D904),MONTH(D904),1))</f>
        <v/>
      </c>
      <c r="M904" s="70" t="str">
        <f aca="false">IF(B904="","",IF(AND(ISNUMBER(D904),ISNUMBER(E904),E904&lt;D904),"⚠ Término anterior al inicio",IF(J904&lt;&gt;"Sí","Pendiente comprobante firmado","OK")))</f>
        <v/>
      </c>
    </row>
    <row r="905" customFormat="false" ht="15" hidden="false" customHeight="false" outlineLevel="0" collapsed="false">
      <c r="B905" s="64"/>
      <c r="C905" s="72" t="str">
        <f aca="false">IF(B905="","",IFERROR(INDEX(T_NOMBRE,MATCH(B905,T_ID,0)),"⚠ ID no existe"))</f>
        <v/>
      </c>
      <c r="D905" s="65"/>
      <c r="E905" s="65"/>
      <c r="F905" s="64"/>
      <c r="G905" s="74" t="str">
        <f aca="false">IF(OR(B905="",NOT(ISNUMBER(D905)),NOT(ISNUMBER(E905))),"",NETWORKDAYS(D905,E905,FERIADOS))</f>
        <v/>
      </c>
      <c r="H905" s="69"/>
      <c r="I905" s="74" t="str">
        <f aca="false">IF(B905="","",IF(ISNUMBER(H905),H905,N(G905)))</f>
        <v/>
      </c>
      <c r="J905" s="64"/>
      <c r="K905" s="64"/>
      <c r="L905" s="93" t="str">
        <f aca="false">IF(NOT(ISNUMBER(D905)),"",DATE(YEAR(D905),MONTH(D905),1))</f>
        <v/>
      </c>
      <c r="M905" s="70" t="str">
        <f aca="false">IF(B905="","",IF(AND(ISNUMBER(D905),ISNUMBER(E905),E905&lt;D905),"⚠ Término anterior al inicio",IF(J905&lt;&gt;"Sí","Pendiente comprobante firmado","OK")))</f>
        <v/>
      </c>
    </row>
    <row r="906" customFormat="false" ht="15" hidden="false" customHeight="false" outlineLevel="0" collapsed="false">
      <c r="B906" s="64"/>
      <c r="C906" s="72" t="str">
        <f aca="false">IF(B906="","",IFERROR(INDEX(T_NOMBRE,MATCH(B906,T_ID,0)),"⚠ ID no existe"))</f>
        <v/>
      </c>
      <c r="D906" s="65"/>
      <c r="E906" s="65"/>
      <c r="F906" s="64"/>
      <c r="G906" s="74" t="str">
        <f aca="false">IF(OR(B906="",NOT(ISNUMBER(D906)),NOT(ISNUMBER(E906))),"",NETWORKDAYS(D906,E906,FERIADOS))</f>
        <v/>
      </c>
      <c r="H906" s="69"/>
      <c r="I906" s="74" t="str">
        <f aca="false">IF(B906="","",IF(ISNUMBER(H906),H906,N(G906)))</f>
        <v/>
      </c>
      <c r="J906" s="64"/>
      <c r="K906" s="64"/>
      <c r="L906" s="93" t="str">
        <f aca="false">IF(NOT(ISNUMBER(D906)),"",DATE(YEAR(D906),MONTH(D906),1))</f>
        <v/>
      </c>
      <c r="M906" s="70" t="str">
        <f aca="false">IF(B906="","",IF(AND(ISNUMBER(D906),ISNUMBER(E906),E906&lt;D906),"⚠ Término anterior al inicio",IF(J906&lt;&gt;"Sí","Pendiente comprobante firmado","OK")))</f>
        <v/>
      </c>
    </row>
    <row r="907" customFormat="false" ht="15" hidden="false" customHeight="false" outlineLevel="0" collapsed="false">
      <c r="B907" s="64"/>
      <c r="C907" s="72" t="str">
        <f aca="false">IF(B907="","",IFERROR(INDEX(T_NOMBRE,MATCH(B907,T_ID,0)),"⚠ ID no existe"))</f>
        <v/>
      </c>
      <c r="D907" s="65"/>
      <c r="E907" s="65"/>
      <c r="F907" s="64"/>
      <c r="G907" s="74" t="str">
        <f aca="false">IF(OR(B907="",NOT(ISNUMBER(D907)),NOT(ISNUMBER(E907))),"",NETWORKDAYS(D907,E907,FERIADOS))</f>
        <v/>
      </c>
      <c r="H907" s="69"/>
      <c r="I907" s="74" t="str">
        <f aca="false">IF(B907="","",IF(ISNUMBER(H907),H907,N(G907)))</f>
        <v/>
      </c>
      <c r="J907" s="64"/>
      <c r="K907" s="64"/>
      <c r="L907" s="93" t="str">
        <f aca="false">IF(NOT(ISNUMBER(D907)),"",DATE(YEAR(D907),MONTH(D907),1))</f>
        <v/>
      </c>
      <c r="M907" s="70" t="str">
        <f aca="false">IF(B907="","",IF(AND(ISNUMBER(D907),ISNUMBER(E907),E907&lt;D907),"⚠ Término anterior al inicio",IF(J907&lt;&gt;"Sí","Pendiente comprobante firmado","OK")))</f>
        <v/>
      </c>
    </row>
    <row r="908" customFormat="false" ht="15" hidden="false" customHeight="false" outlineLevel="0" collapsed="false">
      <c r="B908" s="64"/>
      <c r="C908" s="72" t="str">
        <f aca="false">IF(B908="","",IFERROR(INDEX(T_NOMBRE,MATCH(B908,T_ID,0)),"⚠ ID no existe"))</f>
        <v/>
      </c>
      <c r="D908" s="65"/>
      <c r="E908" s="65"/>
      <c r="F908" s="64"/>
      <c r="G908" s="74" t="str">
        <f aca="false">IF(OR(B908="",NOT(ISNUMBER(D908)),NOT(ISNUMBER(E908))),"",NETWORKDAYS(D908,E908,FERIADOS))</f>
        <v/>
      </c>
      <c r="H908" s="69"/>
      <c r="I908" s="74" t="str">
        <f aca="false">IF(B908="","",IF(ISNUMBER(H908),H908,N(G908)))</f>
        <v/>
      </c>
      <c r="J908" s="64"/>
      <c r="K908" s="64"/>
      <c r="L908" s="93" t="str">
        <f aca="false">IF(NOT(ISNUMBER(D908)),"",DATE(YEAR(D908),MONTH(D908),1))</f>
        <v/>
      </c>
      <c r="M908" s="70" t="str">
        <f aca="false">IF(B908="","",IF(AND(ISNUMBER(D908),ISNUMBER(E908),E908&lt;D908),"⚠ Término anterior al inicio",IF(J908&lt;&gt;"Sí","Pendiente comprobante firmado","OK")))</f>
        <v/>
      </c>
    </row>
    <row r="909" customFormat="false" ht="15" hidden="false" customHeight="false" outlineLevel="0" collapsed="false">
      <c r="B909" s="64"/>
      <c r="C909" s="72" t="str">
        <f aca="false">IF(B909="","",IFERROR(INDEX(T_NOMBRE,MATCH(B909,T_ID,0)),"⚠ ID no existe"))</f>
        <v/>
      </c>
      <c r="D909" s="65"/>
      <c r="E909" s="65"/>
      <c r="F909" s="64"/>
      <c r="G909" s="74" t="str">
        <f aca="false">IF(OR(B909="",NOT(ISNUMBER(D909)),NOT(ISNUMBER(E909))),"",NETWORKDAYS(D909,E909,FERIADOS))</f>
        <v/>
      </c>
      <c r="H909" s="69"/>
      <c r="I909" s="74" t="str">
        <f aca="false">IF(B909="","",IF(ISNUMBER(H909),H909,N(G909)))</f>
        <v/>
      </c>
      <c r="J909" s="64"/>
      <c r="K909" s="64"/>
      <c r="L909" s="93" t="str">
        <f aca="false">IF(NOT(ISNUMBER(D909)),"",DATE(YEAR(D909),MONTH(D909),1))</f>
        <v/>
      </c>
      <c r="M909" s="70" t="str">
        <f aca="false">IF(B909="","",IF(AND(ISNUMBER(D909),ISNUMBER(E909),E909&lt;D909),"⚠ Término anterior al inicio",IF(J909&lt;&gt;"Sí","Pendiente comprobante firmado","OK")))</f>
        <v/>
      </c>
    </row>
    <row r="910" customFormat="false" ht="15" hidden="false" customHeight="false" outlineLevel="0" collapsed="false">
      <c r="B910" s="64"/>
      <c r="C910" s="72" t="str">
        <f aca="false">IF(B910="","",IFERROR(INDEX(T_NOMBRE,MATCH(B910,T_ID,0)),"⚠ ID no existe"))</f>
        <v/>
      </c>
      <c r="D910" s="65"/>
      <c r="E910" s="65"/>
      <c r="F910" s="64"/>
      <c r="G910" s="74" t="str">
        <f aca="false">IF(OR(B910="",NOT(ISNUMBER(D910)),NOT(ISNUMBER(E910))),"",NETWORKDAYS(D910,E910,FERIADOS))</f>
        <v/>
      </c>
      <c r="H910" s="69"/>
      <c r="I910" s="74" t="str">
        <f aca="false">IF(B910="","",IF(ISNUMBER(H910),H910,N(G910)))</f>
        <v/>
      </c>
      <c r="J910" s="64"/>
      <c r="K910" s="64"/>
      <c r="L910" s="93" t="str">
        <f aca="false">IF(NOT(ISNUMBER(D910)),"",DATE(YEAR(D910),MONTH(D910),1))</f>
        <v/>
      </c>
      <c r="M910" s="70" t="str">
        <f aca="false">IF(B910="","",IF(AND(ISNUMBER(D910),ISNUMBER(E910),E910&lt;D910),"⚠ Término anterior al inicio",IF(J910&lt;&gt;"Sí","Pendiente comprobante firmado","OK")))</f>
        <v/>
      </c>
    </row>
    <row r="911" customFormat="false" ht="15" hidden="false" customHeight="false" outlineLevel="0" collapsed="false">
      <c r="B911" s="64"/>
      <c r="C911" s="72" t="str">
        <f aca="false">IF(B911="","",IFERROR(INDEX(T_NOMBRE,MATCH(B911,T_ID,0)),"⚠ ID no existe"))</f>
        <v/>
      </c>
      <c r="D911" s="65"/>
      <c r="E911" s="65"/>
      <c r="F911" s="64"/>
      <c r="G911" s="74" t="str">
        <f aca="false">IF(OR(B911="",NOT(ISNUMBER(D911)),NOT(ISNUMBER(E911))),"",NETWORKDAYS(D911,E911,FERIADOS))</f>
        <v/>
      </c>
      <c r="H911" s="69"/>
      <c r="I911" s="74" t="str">
        <f aca="false">IF(B911="","",IF(ISNUMBER(H911),H911,N(G911)))</f>
        <v/>
      </c>
      <c r="J911" s="64"/>
      <c r="K911" s="64"/>
      <c r="L911" s="93" t="str">
        <f aca="false">IF(NOT(ISNUMBER(D911)),"",DATE(YEAR(D911),MONTH(D911),1))</f>
        <v/>
      </c>
      <c r="M911" s="70" t="str">
        <f aca="false">IF(B911="","",IF(AND(ISNUMBER(D911),ISNUMBER(E911),E911&lt;D911),"⚠ Término anterior al inicio",IF(J911&lt;&gt;"Sí","Pendiente comprobante firmado","OK")))</f>
        <v/>
      </c>
    </row>
    <row r="912" customFormat="false" ht="15" hidden="false" customHeight="false" outlineLevel="0" collapsed="false">
      <c r="B912" s="64"/>
      <c r="C912" s="72" t="str">
        <f aca="false">IF(B912="","",IFERROR(INDEX(T_NOMBRE,MATCH(B912,T_ID,0)),"⚠ ID no existe"))</f>
        <v/>
      </c>
      <c r="D912" s="65"/>
      <c r="E912" s="65"/>
      <c r="F912" s="64"/>
      <c r="G912" s="74" t="str">
        <f aca="false">IF(OR(B912="",NOT(ISNUMBER(D912)),NOT(ISNUMBER(E912))),"",NETWORKDAYS(D912,E912,FERIADOS))</f>
        <v/>
      </c>
      <c r="H912" s="69"/>
      <c r="I912" s="74" t="str">
        <f aca="false">IF(B912="","",IF(ISNUMBER(H912),H912,N(G912)))</f>
        <v/>
      </c>
      <c r="J912" s="64"/>
      <c r="K912" s="64"/>
      <c r="L912" s="93" t="str">
        <f aca="false">IF(NOT(ISNUMBER(D912)),"",DATE(YEAR(D912),MONTH(D912),1))</f>
        <v/>
      </c>
      <c r="M912" s="70" t="str">
        <f aca="false">IF(B912="","",IF(AND(ISNUMBER(D912),ISNUMBER(E912),E912&lt;D912),"⚠ Término anterior al inicio",IF(J912&lt;&gt;"Sí","Pendiente comprobante firmado","OK")))</f>
        <v/>
      </c>
    </row>
    <row r="913" customFormat="false" ht="15" hidden="false" customHeight="false" outlineLevel="0" collapsed="false">
      <c r="B913" s="64"/>
      <c r="C913" s="72" t="str">
        <f aca="false">IF(B913="","",IFERROR(INDEX(T_NOMBRE,MATCH(B913,T_ID,0)),"⚠ ID no existe"))</f>
        <v/>
      </c>
      <c r="D913" s="65"/>
      <c r="E913" s="65"/>
      <c r="F913" s="64"/>
      <c r="G913" s="74" t="str">
        <f aca="false">IF(OR(B913="",NOT(ISNUMBER(D913)),NOT(ISNUMBER(E913))),"",NETWORKDAYS(D913,E913,FERIADOS))</f>
        <v/>
      </c>
      <c r="H913" s="69"/>
      <c r="I913" s="74" t="str">
        <f aca="false">IF(B913="","",IF(ISNUMBER(H913),H913,N(G913)))</f>
        <v/>
      </c>
      <c r="J913" s="64"/>
      <c r="K913" s="64"/>
      <c r="L913" s="93" t="str">
        <f aca="false">IF(NOT(ISNUMBER(D913)),"",DATE(YEAR(D913),MONTH(D913),1))</f>
        <v/>
      </c>
      <c r="M913" s="70" t="str">
        <f aca="false">IF(B913="","",IF(AND(ISNUMBER(D913),ISNUMBER(E913),E913&lt;D913),"⚠ Término anterior al inicio",IF(J913&lt;&gt;"Sí","Pendiente comprobante firmado","OK")))</f>
        <v/>
      </c>
    </row>
    <row r="914" customFormat="false" ht="15" hidden="false" customHeight="false" outlineLevel="0" collapsed="false">
      <c r="B914" s="64"/>
      <c r="C914" s="72" t="str">
        <f aca="false">IF(B914="","",IFERROR(INDEX(T_NOMBRE,MATCH(B914,T_ID,0)),"⚠ ID no existe"))</f>
        <v/>
      </c>
      <c r="D914" s="65"/>
      <c r="E914" s="65"/>
      <c r="F914" s="64"/>
      <c r="G914" s="74" t="str">
        <f aca="false">IF(OR(B914="",NOT(ISNUMBER(D914)),NOT(ISNUMBER(E914))),"",NETWORKDAYS(D914,E914,FERIADOS))</f>
        <v/>
      </c>
      <c r="H914" s="69"/>
      <c r="I914" s="74" t="str">
        <f aca="false">IF(B914="","",IF(ISNUMBER(H914),H914,N(G914)))</f>
        <v/>
      </c>
      <c r="J914" s="64"/>
      <c r="K914" s="64"/>
      <c r="L914" s="93" t="str">
        <f aca="false">IF(NOT(ISNUMBER(D914)),"",DATE(YEAR(D914),MONTH(D914),1))</f>
        <v/>
      </c>
      <c r="M914" s="70" t="str">
        <f aca="false">IF(B914="","",IF(AND(ISNUMBER(D914),ISNUMBER(E914),E914&lt;D914),"⚠ Término anterior al inicio",IF(J914&lt;&gt;"Sí","Pendiente comprobante firmado","OK")))</f>
        <v/>
      </c>
    </row>
    <row r="915" customFormat="false" ht="15" hidden="false" customHeight="false" outlineLevel="0" collapsed="false">
      <c r="B915" s="64"/>
      <c r="C915" s="72" t="str">
        <f aca="false">IF(B915="","",IFERROR(INDEX(T_NOMBRE,MATCH(B915,T_ID,0)),"⚠ ID no existe"))</f>
        <v/>
      </c>
      <c r="D915" s="65"/>
      <c r="E915" s="65"/>
      <c r="F915" s="64"/>
      <c r="G915" s="74" t="str">
        <f aca="false">IF(OR(B915="",NOT(ISNUMBER(D915)),NOT(ISNUMBER(E915))),"",NETWORKDAYS(D915,E915,FERIADOS))</f>
        <v/>
      </c>
      <c r="H915" s="69"/>
      <c r="I915" s="74" t="str">
        <f aca="false">IF(B915="","",IF(ISNUMBER(H915),H915,N(G915)))</f>
        <v/>
      </c>
      <c r="J915" s="64"/>
      <c r="K915" s="64"/>
      <c r="L915" s="93" t="str">
        <f aca="false">IF(NOT(ISNUMBER(D915)),"",DATE(YEAR(D915),MONTH(D915),1))</f>
        <v/>
      </c>
      <c r="M915" s="70" t="str">
        <f aca="false">IF(B915="","",IF(AND(ISNUMBER(D915),ISNUMBER(E915),E915&lt;D915),"⚠ Término anterior al inicio",IF(J915&lt;&gt;"Sí","Pendiente comprobante firmado","OK")))</f>
        <v/>
      </c>
    </row>
    <row r="916" customFormat="false" ht="15" hidden="false" customHeight="false" outlineLevel="0" collapsed="false">
      <c r="B916" s="64"/>
      <c r="C916" s="72" t="str">
        <f aca="false">IF(B916="","",IFERROR(INDEX(T_NOMBRE,MATCH(B916,T_ID,0)),"⚠ ID no existe"))</f>
        <v/>
      </c>
      <c r="D916" s="65"/>
      <c r="E916" s="65"/>
      <c r="F916" s="64"/>
      <c r="G916" s="74" t="str">
        <f aca="false">IF(OR(B916="",NOT(ISNUMBER(D916)),NOT(ISNUMBER(E916))),"",NETWORKDAYS(D916,E916,FERIADOS))</f>
        <v/>
      </c>
      <c r="H916" s="69"/>
      <c r="I916" s="74" t="str">
        <f aca="false">IF(B916="","",IF(ISNUMBER(H916),H916,N(G916)))</f>
        <v/>
      </c>
      <c r="J916" s="64"/>
      <c r="K916" s="64"/>
      <c r="L916" s="93" t="str">
        <f aca="false">IF(NOT(ISNUMBER(D916)),"",DATE(YEAR(D916),MONTH(D916),1))</f>
        <v/>
      </c>
      <c r="M916" s="70" t="str">
        <f aca="false">IF(B916="","",IF(AND(ISNUMBER(D916),ISNUMBER(E916),E916&lt;D916),"⚠ Término anterior al inicio",IF(J916&lt;&gt;"Sí","Pendiente comprobante firmado","OK")))</f>
        <v/>
      </c>
    </row>
    <row r="917" customFormat="false" ht="15" hidden="false" customHeight="false" outlineLevel="0" collapsed="false">
      <c r="B917" s="64"/>
      <c r="C917" s="72" t="str">
        <f aca="false">IF(B917="","",IFERROR(INDEX(T_NOMBRE,MATCH(B917,T_ID,0)),"⚠ ID no existe"))</f>
        <v/>
      </c>
      <c r="D917" s="65"/>
      <c r="E917" s="65"/>
      <c r="F917" s="64"/>
      <c r="G917" s="74" t="str">
        <f aca="false">IF(OR(B917="",NOT(ISNUMBER(D917)),NOT(ISNUMBER(E917))),"",NETWORKDAYS(D917,E917,FERIADOS))</f>
        <v/>
      </c>
      <c r="H917" s="69"/>
      <c r="I917" s="74" t="str">
        <f aca="false">IF(B917="","",IF(ISNUMBER(H917),H917,N(G917)))</f>
        <v/>
      </c>
      <c r="J917" s="64"/>
      <c r="K917" s="64"/>
      <c r="L917" s="93" t="str">
        <f aca="false">IF(NOT(ISNUMBER(D917)),"",DATE(YEAR(D917),MONTH(D917),1))</f>
        <v/>
      </c>
      <c r="M917" s="70" t="str">
        <f aca="false">IF(B917="","",IF(AND(ISNUMBER(D917),ISNUMBER(E917),E917&lt;D917),"⚠ Término anterior al inicio",IF(J917&lt;&gt;"Sí","Pendiente comprobante firmado","OK")))</f>
        <v/>
      </c>
    </row>
    <row r="918" customFormat="false" ht="15" hidden="false" customHeight="false" outlineLevel="0" collapsed="false">
      <c r="B918" s="64"/>
      <c r="C918" s="72" t="str">
        <f aca="false">IF(B918="","",IFERROR(INDEX(T_NOMBRE,MATCH(B918,T_ID,0)),"⚠ ID no existe"))</f>
        <v/>
      </c>
      <c r="D918" s="65"/>
      <c r="E918" s="65"/>
      <c r="F918" s="64"/>
      <c r="G918" s="74" t="str">
        <f aca="false">IF(OR(B918="",NOT(ISNUMBER(D918)),NOT(ISNUMBER(E918))),"",NETWORKDAYS(D918,E918,FERIADOS))</f>
        <v/>
      </c>
      <c r="H918" s="69"/>
      <c r="I918" s="74" t="str">
        <f aca="false">IF(B918="","",IF(ISNUMBER(H918),H918,N(G918)))</f>
        <v/>
      </c>
      <c r="J918" s="64"/>
      <c r="K918" s="64"/>
      <c r="L918" s="93" t="str">
        <f aca="false">IF(NOT(ISNUMBER(D918)),"",DATE(YEAR(D918),MONTH(D918),1))</f>
        <v/>
      </c>
      <c r="M918" s="70" t="str">
        <f aca="false">IF(B918="","",IF(AND(ISNUMBER(D918),ISNUMBER(E918),E918&lt;D918),"⚠ Término anterior al inicio",IF(J918&lt;&gt;"Sí","Pendiente comprobante firmado","OK")))</f>
        <v/>
      </c>
    </row>
    <row r="919" customFormat="false" ht="15" hidden="false" customHeight="false" outlineLevel="0" collapsed="false">
      <c r="B919" s="64"/>
      <c r="C919" s="72" t="str">
        <f aca="false">IF(B919="","",IFERROR(INDEX(T_NOMBRE,MATCH(B919,T_ID,0)),"⚠ ID no existe"))</f>
        <v/>
      </c>
      <c r="D919" s="65"/>
      <c r="E919" s="65"/>
      <c r="F919" s="64"/>
      <c r="G919" s="74" t="str">
        <f aca="false">IF(OR(B919="",NOT(ISNUMBER(D919)),NOT(ISNUMBER(E919))),"",NETWORKDAYS(D919,E919,FERIADOS))</f>
        <v/>
      </c>
      <c r="H919" s="69"/>
      <c r="I919" s="74" t="str">
        <f aca="false">IF(B919="","",IF(ISNUMBER(H919),H919,N(G919)))</f>
        <v/>
      </c>
      <c r="J919" s="64"/>
      <c r="K919" s="64"/>
      <c r="L919" s="93" t="str">
        <f aca="false">IF(NOT(ISNUMBER(D919)),"",DATE(YEAR(D919),MONTH(D919),1))</f>
        <v/>
      </c>
      <c r="M919" s="70" t="str">
        <f aca="false">IF(B919="","",IF(AND(ISNUMBER(D919),ISNUMBER(E919),E919&lt;D919),"⚠ Término anterior al inicio",IF(J919&lt;&gt;"Sí","Pendiente comprobante firmado","OK")))</f>
        <v/>
      </c>
    </row>
    <row r="920" customFormat="false" ht="15" hidden="false" customHeight="false" outlineLevel="0" collapsed="false">
      <c r="B920" s="64"/>
      <c r="C920" s="72" t="str">
        <f aca="false">IF(B920="","",IFERROR(INDEX(T_NOMBRE,MATCH(B920,T_ID,0)),"⚠ ID no existe"))</f>
        <v/>
      </c>
      <c r="D920" s="65"/>
      <c r="E920" s="65"/>
      <c r="F920" s="64"/>
      <c r="G920" s="74" t="str">
        <f aca="false">IF(OR(B920="",NOT(ISNUMBER(D920)),NOT(ISNUMBER(E920))),"",NETWORKDAYS(D920,E920,FERIADOS))</f>
        <v/>
      </c>
      <c r="H920" s="69"/>
      <c r="I920" s="74" t="str">
        <f aca="false">IF(B920="","",IF(ISNUMBER(H920),H920,N(G920)))</f>
        <v/>
      </c>
      <c r="J920" s="64"/>
      <c r="K920" s="64"/>
      <c r="L920" s="93" t="str">
        <f aca="false">IF(NOT(ISNUMBER(D920)),"",DATE(YEAR(D920),MONTH(D920),1))</f>
        <v/>
      </c>
      <c r="M920" s="70" t="str">
        <f aca="false">IF(B920="","",IF(AND(ISNUMBER(D920),ISNUMBER(E920),E920&lt;D920),"⚠ Término anterior al inicio",IF(J920&lt;&gt;"Sí","Pendiente comprobante firmado","OK")))</f>
        <v/>
      </c>
    </row>
    <row r="921" customFormat="false" ht="15" hidden="false" customHeight="false" outlineLevel="0" collapsed="false">
      <c r="B921" s="64"/>
      <c r="C921" s="72" t="str">
        <f aca="false">IF(B921="","",IFERROR(INDEX(T_NOMBRE,MATCH(B921,T_ID,0)),"⚠ ID no existe"))</f>
        <v/>
      </c>
      <c r="D921" s="65"/>
      <c r="E921" s="65"/>
      <c r="F921" s="64"/>
      <c r="G921" s="74" t="str">
        <f aca="false">IF(OR(B921="",NOT(ISNUMBER(D921)),NOT(ISNUMBER(E921))),"",NETWORKDAYS(D921,E921,FERIADOS))</f>
        <v/>
      </c>
      <c r="H921" s="69"/>
      <c r="I921" s="74" t="str">
        <f aca="false">IF(B921="","",IF(ISNUMBER(H921),H921,N(G921)))</f>
        <v/>
      </c>
      <c r="J921" s="64"/>
      <c r="K921" s="64"/>
      <c r="L921" s="93" t="str">
        <f aca="false">IF(NOT(ISNUMBER(D921)),"",DATE(YEAR(D921),MONTH(D921),1))</f>
        <v/>
      </c>
      <c r="M921" s="70" t="str">
        <f aca="false">IF(B921="","",IF(AND(ISNUMBER(D921),ISNUMBER(E921),E921&lt;D921),"⚠ Término anterior al inicio",IF(J921&lt;&gt;"Sí","Pendiente comprobante firmado","OK")))</f>
        <v/>
      </c>
    </row>
    <row r="922" customFormat="false" ht="15" hidden="false" customHeight="false" outlineLevel="0" collapsed="false">
      <c r="B922" s="64"/>
      <c r="C922" s="72" t="str">
        <f aca="false">IF(B922="","",IFERROR(INDEX(T_NOMBRE,MATCH(B922,T_ID,0)),"⚠ ID no existe"))</f>
        <v/>
      </c>
      <c r="D922" s="65"/>
      <c r="E922" s="65"/>
      <c r="F922" s="64"/>
      <c r="G922" s="74" t="str">
        <f aca="false">IF(OR(B922="",NOT(ISNUMBER(D922)),NOT(ISNUMBER(E922))),"",NETWORKDAYS(D922,E922,FERIADOS))</f>
        <v/>
      </c>
      <c r="H922" s="69"/>
      <c r="I922" s="74" t="str">
        <f aca="false">IF(B922="","",IF(ISNUMBER(H922),H922,N(G922)))</f>
        <v/>
      </c>
      <c r="J922" s="64"/>
      <c r="K922" s="64"/>
      <c r="L922" s="93" t="str">
        <f aca="false">IF(NOT(ISNUMBER(D922)),"",DATE(YEAR(D922),MONTH(D922),1))</f>
        <v/>
      </c>
      <c r="M922" s="70" t="str">
        <f aca="false">IF(B922="","",IF(AND(ISNUMBER(D922),ISNUMBER(E922),E922&lt;D922),"⚠ Término anterior al inicio",IF(J922&lt;&gt;"Sí","Pendiente comprobante firmado","OK")))</f>
        <v/>
      </c>
    </row>
    <row r="923" customFormat="false" ht="15" hidden="false" customHeight="false" outlineLevel="0" collapsed="false">
      <c r="B923" s="64"/>
      <c r="C923" s="72" t="str">
        <f aca="false">IF(B923="","",IFERROR(INDEX(T_NOMBRE,MATCH(B923,T_ID,0)),"⚠ ID no existe"))</f>
        <v/>
      </c>
      <c r="D923" s="65"/>
      <c r="E923" s="65"/>
      <c r="F923" s="64"/>
      <c r="G923" s="74" t="str">
        <f aca="false">IF(OR(B923="",NOT(ISNUMBER(D923)),NOT(ISNUMBER(E923))),"",NETWORKDAYS(D923,E923,FERIADOS))</f>
        <v/>
      </c>
      <c r="H923" s="69"/>
      <c r="I923" s="74" t="str">
        <f aca="false">IF(B923="","",IF(ISNUMBER(H923),H923,N(G923)))</f>
        <v/>
      </c>
      <c r="J923" s="64"/>
      <c r="K923" s="64"/>
      <c r="L923" s="93" t="str">
        <f aca="false">IF(NOT(ISNUMBER(D923)),"",DATE(YEAR(D923),MONTH(D923),1))</f>
        <v/>
      </c>
      <c r="M923" s="70" t="str">
        <f aca="false">IF(B923="","",IF(AND(ISNUMBER(D923),ISNUMBER(E923),E923&lt;D923),"⚠ Término anterior al inicio",IF(J923&lt;&gt;"Sí","Pendiente comprobante firmado","OK")))</f>
        <v/>
      </c>
    </row>
    <row r="924" customFormat="false" ht="15" hidden="false" customHeight="false" outlineLevel="0" collapsed="false">
      <c r="B924" s="64"/>
      <c r="C924" s="72" t="str">
        <f aca="false">IF(B924="","",IFERROR(INDEX(T_NOMBRE,MATCH(B924,T_ID,0)),"⚠ ID no existe"))</f>
        <v/>
      </c>
      <c r="D924" s="65"/>
      <c r="E924" s="65"/>
      <c r="F924" s="64"/>
      <c r="G924" s="74" t="str">
        <f aca="false">IF(OR(B924="",NOT(ISNUMBER(D924)),NOT(ISNUMBER(E924))),"",NETWORKDAYS(D924,E924,FERIADOS))</f>
        <v/>
      </c>
      <c r="H924" s="69"/>
      <c r="I924" s="74" t="str">
        <f aca="false">IF(B924="","",IF(ISNUMBER(H924),H924,N(G924)))</f>
        <v/>
      </c>
      <c r="J924" s="64"/>
      <c r="K924" s="64"/>
      <c r="L924" s="93" t="str">
        <f aca="false">IF(NOT(ISNUMBER(D924)),"",DATE(YEAR(D924),MONTH(D924),1))</f>
        <v/>
      </c>
      <c r="M924" s="70" t="str">
        <f aca="false">IF(B924="","",IF(AND(ISNUMBER(D924),ISNUMBER(E924),E924&lt;D924),"⚠ Término anterior al inicio",IF(J924&lt;&gt;"Sí","Pendiente comprobante firmado","OK")))</f>
        <v/>
      </c>
    </row>
    <row r="925" customFormat="false" ht="15" hidden="false" customHeight="false" outlineLevel="0" collapsed="false">
      <c r="B925" s="64"/>
      <c r="C925" s="72" t="str">
        <f aca="false">IF(B925="","",IFERROR(INDEX(T_NOMBRE,MATCH(B925,T_ID,0)),"⚠ ID no existe"))</f>
        <v/>
      </c>
      <c r="D925" s="65"/>
      <c r="E925" s="65"/>
      <c r="F925" s="64"/>
      <c r="G925" s="74" t="str">
        <f aca="false">IF(OR(B925="",NOT(ISNUMBER(D925)),NOT(ISNUMBER(E925))),"",NETWORKDAYS(D925,E925,FERIADOS))</f>
        <v/>
      </c>
      <c r="H925" s="69"/>
      <c r="I925" s="74" t="str">
        <f aca="false">IF(B925="","",IF(ISNUMBER(H925),H925,N(G925)))</f>
        <v/>
      </c>
      <c r="J925" s="64"/>
      <c r="K925" s="64"/>
      <c r="L925" s="93" t="str">
        <f aca="false">IF(NOT(ISNUMBER(D925)),"",DATE(YEAR(D925),MONTH(D925),1))</f>
        <v/>
      </c>
      <c r="M925" s="70" t="str">
        <f aca="false">IF(B925="","",IF(AND(ISNUMBER(D925),ISNUMBER(E925),E925&lt;D925),"⚠ Término anterior al inicio",IF(J925&lt;&gt;"Sí","Pendiente comprobante firmado","OK")))</f>
        <v/>
      </c>
    </row>
    <row r="926" customFormat="false" ht="15" hidden="false" customHeight="false" outlineLevel="0" collapsed="false">
      <c r="B926" s="64"/>
      <c r="C926" s="72" t="str">
        <f aca="false">IF(B926="","",IFERROR(INDEX(T_NOMBRE,MATCH(B926,T_ID,0)),"⚠ ID no existe"))</f>
        <v/>
      </c>
      <c r="D926" s="65"/>
      <c r="E926" s="65"/>
      <c r="F926" s="64"/>
      <c r="G926" s="74" t="str">
        <f aca="false">IF(OR(B926="",NOT(ISNUMBER(D926)),NOT(ISNUMBER(E926))),"",NETWORKDAYS(D926,E926,FERIADOS))</f>
        <v/>
      </c>
      <c r="H926" s="69"/>
      <c r="I926" s="74" t="str">
        <f aca="false">IF(B926="","",IF(ISNUMBER(H926),H926,N(G926)))</f>
        <v/>
      </c>
      <c r="J926" s="64"/>
      <c r="K926" s="64"/>
      <c r="L926" s="93" t="str">
        <f aca="false">IF(NOT(ISNUMBER(D926)),"",DATE(YEAR(D926),MONTH(D926),1))</f>
        <v/>
      </c>
      <c r="M926" s="70" t="str">
        <f aca="false">IF(B926="","",IF(AND(ISNUMBER(D926),ISNUMBER(E926),E926&lt;D926),"⚠ Término anterior al inicio",IF(J926&lt;&gt;"Sí","Pendiente comprobante firmado","OK")))</f>
        <v/>
      </c>
    </row>
    <row r="927" customFormat="false" ht="15" hidden="false" customHeight="false" outlineLevel="0" collapsed="false">
      <c r="B927" s="64"/>
      <c r="C927" s="72" t="str">
        <f aca="false">IF(B927="","",IFERROR(INDEX(T_NOMBRE,MATCH(B927,T_ID,0)),"⚠ ID no existe"))</f>
        <v/>
      </c>
      <c r="D927" s="65"/>
      <c r="E927" s="65"/>
      <c r="F927" s="64"/>
      <c r="G927" s="74" t="str">
        <f aca="false">IF(OR(B927="",NOT(ISNUMBER(D927)),NOT(ISNUMBER(E927))),"",NETWORKDAYS(D927,E927,FERIADOS))</f>
        <v/>
      </c>
      <c r="H927" s="69"/>
      <c r="I927" s="74" t="str">
        <f aca="false">IF(B927="","",IF(ISNUMBER(H927),H927,N(G927)))</f>
        <v/>
      </c>
      <c r="J927" s="64"/>
      <c r="K927" s="64"/>
      <c r="L927" s="93" t="str">
        <f aca="false">IF(NOT(ISNUMBER(D927)),"",DATE(YEAR(D927),MONTH(D927),1))</f>
        <v/>
      </c>
      <c r="M927" s="70" t="str">
        <f aca="false">IF(B927="","",IF(AND(ISNUMBER(D927),ISNUMBER(E927),E927&lt;D927),"⚠ Término anterior al inicio",IF(J927&lt;&gt;"Sí","Pendiente comprobante firmado","OK")))</f>
        <v/>
      </c>
    </row>
    <row r="928" customFormat="false" ht="15" hidden="false" customHeight="false" outlineLevel="0" collapsed="false">
      <c r="B928" s="64"/>
      <c r="C928" s="72" t="str">
        <f aca="false">IF(B928="","",IFERROR(INDEX(T_NOMBRE,MATCH(B928,T_ID,0)),"⚠ ID no existe"))</f>
        <v/>
      </c>
      <c r="D928" s="65"/>
      <c r="E928" s="65"/>
      <c r="F928" s="64"/>
      <c r="G928" s="74" t="str">
        <f aca="false">IF(OR(B928="",NOT(ISNUMBER(D928)),NOT(ISNUMBER(E928))),"",NETWORKDAYS(D928,E928,FERIADOS))</f>
        <v/>
      </c>
      <c r="H928" s="69"/>
      <c r="I928" s="74" t="str">
        <f aca="false">IF(B928="","",IF(ISNUMBER(H928),H928,N(G928)))</f>
        <v/>
      </c>
      <c r="J928" s="64"/>
      <c r="K928" s="64"/>
      <c r="L928" s="93" t="str">
        <f aca="false">IF(NOT(ISNUMBER(D928)),"",DATE(YEAR(D928),MONTH(D928),1))</f>
        <v/>
      </c>
      <c r="M928" s="70" t="str">
        <f aca="false">IF(B928="","",IF(AND(ISNUMBER(D928),ISNUMBER(E928),E928&lt;D928),"⚠ Término anterior al inicio",IF(J928&lt;&gt;"Sí","Pendiente comprobante firmado","OK")))</f>
        <v/>
      </c>
    </row>
    <row r="929" customFormat="false" ht="15" hidden="false" customHeight="false" outlineLevel="0" collapsed="false">
      <c r="B929" s="64"/>
      <c r="C929" s="72" t="str">
        <f aca="false">IF(B929="","",IFERROR(INDEX(T_NOMBRE,MATCH(B929,T_ID,0)),"⚠ ID no existe"))</f>
        <v/>
      </c>
      <c r="D929" s="65"/>
      <c r="E929" s="65"/>
      <c r="F929" s="64"/>
      <c r="G929" s="74" t="str">
        <f aca="false">IF(OR(B929="",NOT(ISNUMBER(D929)),NOT(ISNUMBER(E929))),"",NETWORKDAYS(D929,E929,FERIADOS))</f>
        <v/>
      </c>
      <c r="H929" s="69"/>
      <c r="I929" s="74" t="str">
        <f aca="false">IF(B929="","",IF(ISNUMBER(H929),H929,N(G929)))</f>
        <v/>
      </c>
      <c r="J929" s="64"/>
      <c r="K929" s="64"/>
      <c r="L929" s="93" t="str">
        <f aca="false">IF(NOT(ISNUMBER(D929)),"",DATE(YEAR(D929),MONTH(D929),1))</f>
        <v/>
      </c>
      <c r="M929" s="70" t="str">
        <f aca="false">IF(B929="","",IF(AND(ISNUMBER(D929),ISNUMBER(E929),E929&lt;D929),"⚠ Término anterior al inicio",IF(J929&lt;&gt;"Sí","Pendiente comprobante firmado","OK")))</f>
        <v/>
      </c>
    </row>
    <row r="930" customFormat="false" ht="15" hidden="false" customHeight="false" outlineLevel="0" collapsed="false">
      <c r="B930" s="64"/>
      <c r="C930" s="72" t="str">
        <f aca="false">IF(B930="","",IFERROR(INDEX(T_NOMBRE,MATCH(B930,T_ID,0)),"⚠ ID no existe"))</f>
        <v/>
      </c>
      <c r="D930" s="65"/>
      <c r="E930" s="65"/>
      <c r="F930" s="64"/>
      <c r="G930" s="74" t="str">
        <f aca="false">IF(OR(B930="",NOT(ISNUMBER(D930)),NOT(ISNUMBER(E930))),"",NETWORKDAYS(D930,E930,FERIADOS))</f>
        <v/>
      </c>
      <c r="H930" s="69"/>
      <c r="I930" s="74" t="str">
        <f aca="false">IF(B930="","",IF(ISNUMBER(H930),H930,N(G930)))</f>
        <v/>
      </c>
      <c r="J930" s="64"/>
      <c r="K930" s="64"/>
      <c r="L930" s="93" t="str">
        <f aca="false">IF(NOT(ISNUMBER(D930)),"",DATE(YEAR(D930),MONTH(D930),1))</f>
        <v/>
      </c>
      <c r="M930" s="70" t="str">
        <f aca="false">IF(B930="","",IF(AND(ISNUMBER(D930),ISNUMBER(E930),E930&lt;D930),"⚠ Término anterior al inicio",IF(J930&lt;&gt;"Sí","Pendiente comprobante firmado","OK")))</f>
        <v/>
      </c>
    </row>
    <row r="931" customFormat="false" ht="15" hidden="false" customHeight="false" outlineLevel="0" collapsed="false">
      <c r="B931" s="64"/>
      <c r="C931" s="72" t="str">
        <f aca="false">IF(B931="","",IFERROR(INDEX(T_NOMBRE,MATCH(B931,T_ID,0)),"⚠ ID no existe"))</f>
        <v/>
      </c>
      <c r="D931" s="65"/>
      <c r="E931" s="65"/>
      <c r="F931" s="64"/>
      <c r="G931" s="74" t="str">
        <f aca="false">IF(OR(B931="",NOT(ISNUMBER(D931)),NOT(ISNUMBER(E931))),"",NETWORKDAYS(D931,E931,FERIADOS))</f>
        <v/>
      </c>
      <c r="H931" s="69"/>
      <c r="I931" s="74" t="str">
        <f aca="false">IF(B931="","",IF(ISNUMBER(H931),H931,N(G931)))</f>
        <v/>
      </c>
      <c r="J931" s="64"/>
      <c r="K931" s="64"/>
      <c r="L931" s="93" t="str">
        <f aca="false">IF(NOT(ISNUMBER(D931)),"",DATE(YEAR(D931),MONTH(D931),1))</f>
        <v/>
      </c>
      <c r="M931" s="70" t="str">
        <f aca="false">IF(B931="","",IF(AND(ISNUMBER(D931),ISNUMBER(E931),E931&lt;D931),"⚠ Término anterior al inicio",IF(J931&lt;&gt;"Sí","Pendiente comprobante firmado","OK")))</f>
        <v/>
      </c>
    </row>
    <row r="932" customFormat="false" ht="15" hidden="false" customHeight="false" outlineLevel="0" collapsed="false">
      <c r="B932" s="64"/>
      <c r="C932" s="72" t="str">
        <f aca="false">IF(B932="","",IFERROR(INDEX(T_NOMBRE,MATCH(B932,T_ID,0)),"⚠ ID no existe"))</f>
        <v/>
      </c>
      <c r="D932" s="65"/>
      <c r="E932" s="65"/>
      <c r="F932" s="64"/>
      <c r="G932" s="74" t="str">
        <f aca="false">IF(OR(B932="",NOT(ISNUMBER(D932)),NOT(ISNUMBER(E932))),"",NETWORKDAYS(D932,E932,FERIADOS))</f>
        <v/>
      </c>
      <c r="H932" s="69"/>
      <c r="I932" s="74" t="str">
        <f aca="false">IF(B932="","",IF(ISNUMBER(H932),H932,N(G932)))</f>
        <v/>
      </c>
      <c r="J932" s="64"/>
      <c r="K932" s="64"/>
      <c r="L932" s="93" t="str">
        <f aca="false">IF(NOT(ISNUMBER(D932)),"",DATE(YEAR(D932),MONTH(D932),1))</f>
        <v/>
      </c>
      <c r="M932" s="70" t="str">
        <f aca="false">IF(B932="","",IF(AND(ISNUMBER(D932),ISNUMBER(E932),E932&lt;D932),"⚠ Término anterior al inicio",IF(J932&lt;&gt;"Sí","Pendiente comprobante firmado","OK")))</f>
        <v/>
      </c>
    </row>
    <row r="933" customFormat="false" ht="15" hidden="false" customHeight="false" outlineLevel="0" collapsed="false">
      <c r="B933" s="64"/>
      <c r="C933" s="72" t="str">
        <f aca="false">IF(B933="","",IFERROR(INDEX(T_NOMBRE,MATCH(B933,T_ID,0)),"⚠ ID no existe"))</f>
        <v/>
      </c>
      <c r="D933" s="65"/>
      <c r="E933" s="65"/>
      <c r="F933" s="64"/>
      <c r="G933" s="74" t="str">
        <f aca="false">IF(OR(B933="",NOT(ISNUMBER(D933)),NOT(ISNUMBER(E933))),"",NETWORKDAYS(D933,E933,FERIADOS))</f>
        <v/>
      </c>
      <c r="H933" s="69"/>
      <c r="I933" s="74" t="str">
        <f aca="false">IF(B933="","",IF(ISNUMBER(H933),H933,N(G933)))</f>
        <v/>
      </c>
      <c r="J933" s="64"/>
      <c r="K933" s="64"/>
      <c r="L933" s="93" t="str">
        <f aca="false">IF(NOT(ISNUMBER(D933)),"",DATE(YEAR(D933),MONTH(D933),1))</f>
        <v/>
      </c>
      <c r="M933" s="70" t="str">
        <f aca="false">IF(B933="","",IF(AND(ISNUMBER(D933),ISNUMBER(E933),E933&lt;D933),"⚠ Término anterior al inicio",IF(J933&lt;&gt;"Sí","Pendiente comprobante firmado","OK")))</f>
        <v/>
      </c>
    </row>
    <row r="934" customFormat="false" ht="15" hidden="false" customHeight="false" outlineLevel="0" collapsed="false">
      <c r="B934" s="64"/>
      <c r="C934" s="72" t="str">
        <f aca="false">IF(B934="","",IFERROR(INDEX(T_NOMBRE,MATCH(B934,T_ID,0)),"⚠ ID no existe"))</f>
        <v/>
      </c>
      <c r="D934" s="65"/>
      <c r="E934" s="65"/>
      <c r="F934" s="64"/>
      <c r="G934" s="74" t="str">
        <f aca="false">IF(OR(B934="",NOT(ISNUMBER(D934)),NOT(ISNUMBER(E934))),"",NETWORKDAYS(D934,E934,FERIADOS))</f>
        <v/>
      </c>
      <c r="H934" s="69"/>
      <c r="I934" s="74" t="str">
        <f aca="false">IF(B934="","",IF(ISNUMBER(H934),H934,N(G934)))</f>
        <v/>
      </c>
      <c r="J934" s="64"/>
      <c r="K934" s="64"/>
      <c r="L934" s="93" t="str">
        <f aca="false">IF(NOT(ISNUMBER(D934)),"",DATE(YEAR(D934),MONTH(D934),1))</f>
        <v/>
      </c>
      <c r="M934" s="70" t="str">
        <f aca="false">IF(B934="","",IF(AND(ISNUMBER(D934),ISNUMBER(E934),E934&lt;D934),"⚠ Término anterior al inicio",IF(J934&lt;&gt;"Sí","Pendiente comprobante firmado","OK")))</f>
        <v/>
      </c>
    </row>
    <row r="935" customFormat="false" ht="15" hidden="false" customHeight="false" outlineLevel="0" collapsed="false">
      <c r="B935" s="64"/>
      <c r="C935" s="72" t="str">
        <f aca="false">IF(B935="","",IFERROR(INDEX(T_NOMBRE,MATCH(B935,T_ID,0)),"⚠ ID no existe"))</f>
        <v/>
      </c>
      <c r="D935" s="65"/>
      <c r="E935" s="65"/>
      <c r="F935" s="64"/>
      <c r="G935" s="74" t="str">
        <f aca="false">IF(OR(B935="",NOT(ISNUMBER(D935)),NOT(ISNUMBER(E935))),"",NETWORKDAYS(D935,E935,FERIADOS))</f>
        <v/>
      </c>
      <c r="H935" s="69"/>
      <c r="I935" s="74" t="str">
        <f aca="false">IF(B935="","",IF(ISNUMBER(H935),H935,N(G935)))</f>
        <v/>
      </c>
      <c r="J935" s="64"/>
      <c r="K935" s="64"/>
      <c r="L935" s="93" t="str">
        <f aca="false">IF(NOT(ISNUMBER(D935)),"",DATE(YEAR(D935),MONTH(D935),1))</f>
        <v/>
      </c>
      <c r="M935" s="70" t="str">
        <f aca="false">IF(B935="","",IF(AND(ISNUMBER(D935),ISNUMBER(E935),E935&lt;D935),"⚠ Término anterior al inicio",IF(J935&lt;&gt;"Sí","Pendiente comprobante firmado","OK")))</f>
        <v/>
      </c>
    </row>
    <row r="936" customFormat="false" ht="15" hidden="false" customHeight="false" outlineLevel="0" collapsed="false">
      <c r="B936" s="64"/>
      <c r="C936" s="72" t="str">
        <f aca="false">IF(B936="","",IFERROR(INDEX(T_NOMBRE,MATCH(B936,T_ID,0)),"⚠ ID no existe"))</f>
        <v/>
      </c>
      <c r="D936" s="65"/>
      <c r="E936" s="65"/>
      <c r="F936" s="64"/>
      <c r="G936" s="74" t="str">
        <f aca="false">IF(OR(B936="",NOT(ISNUMBER(D936)),NOT(ISNUMBER(E936))),"",NETWORKDAYS(D936,E936,FERIADOS))</f>
        <v/>
      </c>
      <c r="H936" s="69"/>
      <c r="I936" s="74" t="str">
        <f aca="false">IF(B936="","",IF(ISNUMBER(H936),H936,N(G936)))</f>
        <v/>
      </c>
      <c r="J936" s="64"/>
      <c r="K936" s="64"/>
      <c r="L936" s="93" t="str">
        <f aca="false">IF(NOT(ISNUMBER(D936)),"",DATE(YEAR(D936),MONTH(D936),1))</f>
        <v/>
      </c>
      <c r="M936" s="70" t="str">
        <f aca="false">IF(B936="","",IF(AND(ISNUMBER(D936),ISNUMBER(E936),E936&lt;D936),"⚠ Término anterior al inicio",IF(J936&lt;&gt;"Sí","Pendiente comprobante firmado","OK")))</f>
        <v/>
      </c>
    </row>
    <row r="937" customFormat="false" ht="15" hidden="false" customHeight="false" outlineLevel="0" collapsed="false">
      <c r="B937" s="64"/>
      <c r="C937" s="72" t="str">
        <f aca="false">IF(B937="","",IFERROR(INDEX(T_NOMBRE,MATCH(B937,T_ID,0)),"⚠ ID no existe"))</f>
        <v/>
      </c>
      <c r="D937" s="65"/>
      <c r="E937" s="65"/>
      <c r="F937" s="64"/>
      <c r="G937" s="74" t="str">
        <f aca="false">IF(OR(B937="",NOT(ISNUMBER(D937)),NOT(ISNUMBER(E937))),"",NETWORKDAYS(D937,E937,FERIADOS))</f>
        <v/>
      </c>
      <c r="H937" s="69"/>
      <c r="I937" s="74" t="str">
        <f aca="false">IF(B937="","",IF(ISNUMBER(H937),H937,N(G937)))</f>
        <v/>
      </c>
      <c r="J937" s="64"/>
      <c r="K937" s="64"/>
      <c r="L937" s="93" t="str">
        <f aca="false">IF(NOT(ISNUMBER(D937)),"",DATE(YEAR(D937),MONTH(D937),1))</f>
        <v/>
      </c>
      <c r="M937" s="70" t="str">
        <f aca="false">IF(B937="","",IF(AND(ISNUMBER(D937),ISNUMBER(E937),E937&lt;D937),"⚠ Término anterior al inicio",IF(J937&lt;&gt;"Sí","Pendiente comprobante firmado","OK")))</f>
        <v/>
      </c>
    </row>
    <row r="938" customFormat="false" ht="15" hidden="false" customHeight="false" outlineLevel="0" collapsed="false">
      <c r="B938" s="64"/>
      <c r="C938" s="72" t="str">
        <f aca="false">IF(B938="","",IFERROR(INDEX(T_NOMBRE,MATCH(B938,T_ID,0)),"⚠ ID no existe"))</f>
        <v/>
      </c>
      <c r="D938" s="65"/>
      <c r="E938" s="65"/>
      <c r="F938" s="64"/>
      <c r="G938" s="74" t="str">
        <f aca="false">IF(OR(B938="",NOT(ISNUMBER(D938)),NOT(ISNUMBER(E938))),"",NETWORKDAYS(D938,E938,FERIADOS))</f>
        <v/>
      </c>
      <c r="H938" s="69"/>
      <c r="I938" s="74" t="str">
        <f aca="false">IF(B938="","",IF(ISNUMBER(H938),H938,N(G938)))</f>
        <v/>
      </c>
      <c r="J938" s="64"/>
      <c r="K938" s="64"/>
      <c r="L938" s="93" t="str">
        <f aca="false">IF(NOT(ISNUMBER(D938)),"",DATE(YEAR(D938),MONTH(D938),1))</f>
        <v/>
      </c>
      <c r="M938" s="70" t="str">
        <f aca="false">IF(B938="","",IF(AND(ISNUMBER(D938),ISNUMBER(E938),E938&lt;D938),"⚠ Término anterior al inicio",IF(J938&lt;&gt;"Sí","Pendiente comprobante firmado","OK")))</f>
        <v/>
      </c>
    </row>
    <row r="939" customFormat="false" ht="15" hidden="false" customHeight="false" outlineLevel="0" collapsed="false">
      <c r="B939" s="64"/>
      <c r="C939" s="72" t="str">
        <f aca="false">IF(B939="","",IFERROR(INDEX(T_NOMBRE,MATCH(B939,T_ID,0)),"⚠ ID no existe"))</f>
        <v/>
      </c>
      <c r="D939" s="65"/>
      <c r="E939" s="65"/>
      <c r="F939" s="64"/>
      <c r="G939" s="74" t="str">
        <f aca="false">IF(OR(B939="",NOT(ISNUMBER(D939)),NOT(ISNUMBER(E939))),"",NETWORKDAYS(D939,E939,FERIADOS))</f>
        <v/>
      </c>
      <c r="H939" s="69"/>
      <c r="I939" s="74" t="str">
        <f aca="false">IF(B939="","",IF(ISNUMBER(H939),H939,N(G939)))</f>
        <v/>
      </c>
      <c r="J939" s="64"/>
      <c r="K939" s="64"/>
      <c r="L939" s="93" t="str">
        <f aca="false">IF(NOT(ISNUMBER(D939)),"",DATE(YEAR(D939),MONTH(D939),1))</f>
        <v/>
      </c>
      <c r="M939" s="70" t="str">
        <f aca="false">IF(B939="","",IF(AND(ISNUMBER(D939),ISNUMBER(E939),E939&lt;D939),"⚠ Término anterior al inicio",IF(J939&lt;&gt;"Sí","Pendiente comprobante firmado","OK")))</f>
        <v/>
      </c>
    </row>
    <row r="940" customFormat="false" ht="15" hidden="false" customHeight="false" outlineLevel="0" collapsed="false">
      <c r="B940" s="64"/>
      <c r="C940" s="72" t="str">
        <f aca="false">IF(B940="","",IFERROR(INDEX(T_NOMBRE,MATCH(B940,T_ID,0)),"⚠ ID no existe"))</f>
        <v/>
      </c>
      <c r="D940" s="65"/>
      <c r="E940" s="65"/>
      <c r="F940" s="64"/>
      <c r="G940" s="74" t="str">
        <f aca="false">IF(OR(B940="",NOT(ISNUMBER(D940)),NOT(ISNUMBER(E940))),"",NETWORKDAYS(D940,E940,FERIADOS))</f>
        <v/>
      </c>
      <c r="H940" s="69"/>
      <c r="I940" s="74" t="str">
        <f aca="false">IF(B940="","",IF(ISNUMBER(H940),H940,N(G940)))</f>
        <v/>
      </c>
      <c r="J940" s="64"/>
      <c r="K940" s="64"/>
      <c r="L940" s="93" t="str">
        <f aca="false">IF(NOT(ISNUMBER(D940)),"",DATE(YEAR(D940),MONTH(D940),1))</f>
        <v/>
      </c>
      <c r="M940" s="70" t="str">
        <f aca="false">IF(B940="","",IF(AND(ISNUMBER(D940),ISNUMBER(E940),E940&lt;D940),"⚠ Término anterior al inicio",IF(J940&lt;&gt;"Sí","Pendiente comprobante firmado","OK")))</f>
        <v/>
      </c>
    </row>
    <row r="941" customFormat="false" ht="15" hidden="false" customHeight="false" outlineLevel="0" collapsed="false">
      <c r="B941" s="64"/>
      <c r="C941" s="72" t="str">
        <f aca="false">IF(B941="","",IFERROR(INDEX(T_NOMBRE,MATCH(B941,T_ID,0)),"⚠ ID no existe"))</f>
        <v/>
      </c>
      <c r="D941" s="65"/>
      <c r="E941" s="65"/>
      <c r="F941" s="64"/>
      <c r="G941" s="74" t="str">
        <f aca="false">IF(OR(B941="",NOT(ISNUMBER(D941)),NOT(ISNUMBER(E941))),"",NETWORKDAYS(D941,E941,FERIADOS))</f>
        <v/>
      </c>
      <c r="H941" s="69"/>
      <c r="I941" s="74" t="str">
        <f aca="false">IF(B941="","",IF(ISNUMBER(H941),H941,N(G941)))</f>
        <v/>
      </c>
      <c r="J941" s="64"/>
      <c r="K941" s="64"/>
      <c r="L941" s="93" t="str">
        <f aca="false">IF(NOT(ISNUMBER(D941)),"",DATE(YEAR(D941),MONTH(D941),1))</f>
        <v/>
      </c>
      <c r="M941" s="70" t="str">
        <f aca="false">IF(B941="","",IF(AND(ISNUMBER(D941),ISNUMBER(E941),E941&lt;D941),"⚠ Término anterior al inicio",IF(J941&lt;&gt;"Sí","Pendiente comprobante firmado","OK")))</f>
        <v/>
      </c>
    </row>
    <row r="942" customFormat="false" ht="15" hidden="false" customHeight="false" outlineLevel="0" collapsed="false">
      <c r="B942" s="64"/>
      <c r="C942" s="72" t="str">
        <f aca="false">IF(B942="","",IFERROR(INDEX(T_NOMBRE,MATCH(B942,T_ID,0)),"⚠ ID no existe"))</f>
        <v/>
      </c>
      <c r="D942" s="65"/>
      <c r="E942" s="65"/>
      <c r="F942" s="64"/>
      <c r="G942" s="74" t="str">
        <f aca="false">IF(OR(B942="",NOT(ISNUMBER(D942)),NOT(ISNUMBER(E942))),"",NETWORKDAYS(D942,E942,FERIADOS))</f>
        <v/>
      </c>
      <c r="H942" s="69"/>
      <c r="I942" s="74" t="str">
        <f aca="false">IF(B942="","",IF(ISNUMBER(H942),H942,N(G942)))</f>
        <v/>
      </c>
      <c r="J942" s="64"/>
      <c r="K942" s="64"/>
      <c r="L942" s="93" t="str">
        <f aca="false">IF(NOT(ISNUMBER(D942)),"",DATE(YEAR(D942),MONTH(D942),1))</f>
        <v/>
      </c>
      <c r="M942" s="70" t="str">
        <f aca="false">IF(B942="","",IF(AND(ISNUMBER(D942),ISNUMBER(E942),E942&lt;D942),"⚠ Término anterior al inicio",IF(J942&lt;&gt;"Sí","Pendiente comprobante firmado","OK")))</f>
        <v/>
      </c>
    </row>
    <row r="943" customFormat="false" ht="15" hidden="false" customHeight="false" outlineLevel="0" collapsed="false">
      <c r="B943" s="64"/>
      <c r="C943" s="72" t="str">
        <f aca="false">IF(B943="","",IFERROR(INDEX(T_NOMBRE,MATCH(B943,T_ID,0)),"⚠ ID no existe"))</f>
        <v/>
      </c>
      <c r="D943" s="65"/>
      <c r="E943" s="65"/>
      <c r="F943" s="64"/>
      <c r="G943" s="74" t="str">
        <f aca="false">IF(OR(B943="",NOT(ISNUMBER(D943)),NOT(ISNUMBER(E943))),"",NETWORKDAYS(D943,E943,FERIADOS))</f>
        <v/>
      </c>
      <c r="H943" s="69"/>
      <c r="I943" s="74" t="str">
        <f aca="false">IF(B943="","",IF(ISNUMBER(H943),H943,N(G943)))</f>
        <v/>
      </c>
      <c r="J943" s="64"/>
      <c r="K943" s="64"/>
      <c r="L943" s="93" t="str">
        <f aca="false">IF(NOT(ISNUMBER(D943)),"",DATE(YEAR(D943),MONTH(D943),1))</f>
        <v/>
      </c>
      <c r="M943" s="70" t="str">
        <f aca="false">IF(B943="","",IF(AND(ISNUMBER(D943),ISNUMBER(E943),E943&lt;D943),"⚠ Término anterior al inicio",IF(J943&lt;&gt;"Sí","Pendiente comprobante firmado","OK")))</f>
        <v/>
      </c>
    </row>
    <row r="944" customFormat="false" ht="15" hidden="false" customHeight="false" outlineLevel="0" collapsed="false">
      <c r="B944" s="64"/>
      <c r="C944" s="72" t="str">
        <f aca="false">IF(B944="","",IFERROR(INDEX(T_NOMBRE,MATCH(B944,T_ID,0)),"⚠ ID no existe"))</f>
        <v/>
      </c>
      <c r="D944" s="65"/>
      <c r="E944" s="65"/>
      <c r="F944" s="64"/>
      <c r="G944" s="74" t="str">
        <f aca="false">IF(OR(B944="",NOT(ISNUMBER(D944)),NOT(ISNUMBER(E944))),"",NETWORKDAYS(D944,E944,FERIADOS))</f>
        <v/>
      </c>
      <c r="H944" s="69"/>
      <c r="I944" s="74" t="str">
        <f aca="false">IF(B944="","",IF(ISNUMBER(H944),H944,N(G944)))</f>
        <v/>
      </c>
      <c r="J944" s="64"/>
      <c r="K944" s="64"/>
      <c r="L944" s="93" t="str">
        <f aca="false">IF(NOT(ISNUMBER(D944)),"",DATE(YEAR(D944),MONTH(D944),1))</f>
        <v/>
      </c>
      <c r="M944" s="70" t="str">
        <f aca="false">IF(B944="","",IF(AND(ISNUMBER(D944),ISNUMBER(E944),E944&lt;D944),"⚠ Término anterior al inicio",IF(J944&lt;&gt;"Sí","Pendiente comprobante firmado","OK")))</f>
        <v/>
      </c>
    </row>
    <row r="945" customFormat="false" ht="15" hidden="false" customHeight="false" outlineLevel="0" collapsed="false">
      <c r="B945" s="64"/>
      <c r="C945" s="72" t="str">
        <f aca="false">IF(B945="","",IFERROR(INDEX(T_NOMBRE,MATCH(B945,T_ID,0)),"⚠ ID no existe"))</f>
        <v/>
      </c>
      <c r="D945" s="65"/>
      <c r="E945" s="65"/>
      <c r="F945" s="64"/>
      <c r="G945" s="74" t="str">
        <f aca="false">IF(OR(B945="",NOT(ISNUMBER(D945)),NOT(ISNUMBER(E945))),"",NETWORKDAYS(D945,E945,FERIADOS))</f>
        <v/>
      </c>
      <c r="H945" s="69"/>
      <c r="I945" s="74" t="str">
        <f aca="false">IF(B945="","",IF(ISNUMBER(H945),H945,N(G945)))</f>
        <v/>
      </c>
      <c r="J945" s="64"/>
      <c r="K945" s="64"/>
      <c r="L945" s="93" t="str">
        <f aca="false">IF(NOT(ISNUMBER(D945)),"",DATE(YEAR(D945),MONTH(D945),1))</f>
        <v/>
      </c>
      <c r="M945" s="70" t="str">
        <f aca="false">IF(B945="","",IF(AND(ISNUMBER(D945),ISNUMBER(E945),E945&lt;D945),"⚠ Término anterior al inicio",IF(J945&lt;&gt;"Sí","Pendiente comprobante firmado","OK")))</f>
        <v/>
      </c>
    </row>
    <row r="946" customFormat="false" ht="15" hidden="false" customHeight="false" outlineLevel="0" collapsed="false">
      <c r="B946" s="64"/>
      <c r="C946" s="72" t="str">
        <f aca="false">IF(B946="","",IFERROR(INDEX(T_NOMBRE,MATCH(B946,T_ID,0)),"⚠ ID no existe"))</f>
        <v/>
      </c>
      <c r="D946" s="65"/>
      <c r="E946" s="65"/>
      <c r="F946" s="64"/>
      <c r="G946" s="74" t="str">
        <f aca="false">IF(OR(B946="",NOT(ISNUMBER(D946)),NOT(ISNUMBER(E946))),"",NETWORKDAYS(D946,E946,FERIADOS))</f>
        <v/>
      </c>
      <c r="H946" s="69"/>
      <c r="I946" s="74" t="str">
        <f aca="false">IF(B946="","",IF(ISNUMBER(H946),H946,N(G946)))</f>
        <v/>
      </c>
      <c r="J946" s="64"/>
      <c r="K946" s="64"/>
      <c r="L946" s="93" t="str">
        <f aca="false">IF(NOT(ISNUMBER(D946)),"",DATE(YEAR(D946),MONTH(D946),1))</f>
        <v/>
      </c>
      <c r="M946" s="70" t="str">
        <f aca="false">IF(B946="","",IF(AND(ISNUMBER(D946),ISNUMBER(E946),E946&lt;D946),"⚠ Término anterior al inicio",IF(J946&lt;&gt;"Sí","Pendiente comprobante firmado","OK")))</f>
        <v/>
      </c>
    </row>
    <row r="947" customFormat="false" ht="15" hidden="false" customHeight="false" outlineLevel="0" collapsed="false">
      <c r="B947" s="64"/>
      <c r="C947" s="72" t="str">
        <f aca="false">IF(B947="","",IFERROR(INDEX(T_NOMBRE,MATCH(B947,T_ID,0)),"⚠ ID no existe"))</f>
        <v/>
      </c>
      <c r="D947" s="65"/>
      <c r="E947" s="65"/>
      <c r="F947" s="64"/>
      <c r="G947" s="74" t="str">
        <f aca="false">IF(OR(B947="",NOT(ISNUMBER(D947)),NOT(ISNUMBER(E947))),"",NETWORKDAYS(D947,E947,FERIADOS))</f>
        <v/>
      </c>
      <c r="H947" s="69"/>
      <c r="I947" s="74" t="str">
        <f aca="false">IF(B947="","",IF(ISNUMBER(H947),H947,N(G947)))</f>
        <v/>
      </c>
      <c r="J947" s="64"/>
      <c r="K947" s="64"/>
      <c r="L947" s="93" t="str">
        <f aca="false">IF(NOT(ISNUMBER(D947)),"",DATE(YEAR(D947),MONTH(D947),1))</f>
        <v/>
      </c>
      <c r="M947" s="70" t="str">
        <f aca="false">IF(B947="","",IF(AND(ISNUMBER(D947),ISNUMBER(E947),E947&lt;D947),"⚠ Término anterior al inicio",IF(J947&lt;&gt;"Sí","Pendiente comprobante firmado","OK")))</f>
        <v/>
      </c>
    </row>
    <row r="948" customFormat="false" ht="15" hidden="false" customHeight="false" outlineLevel="0" collapsed="false">
      <c r="B948" s="64"/>
      <c r="C948" s="72" t="str">
        <f aca="false">IF(B948="","",IFERROR(INDEX(T_NOMBRE,MATCH(B948,T_ID,0)),"⚠ ID no existe"))</f>
        <v/>
      </c>
      <c r="D948" s="65"/>
      <c r="E948" s="65"/>
      <c r="F948" s="64"/>
      <c r="G948" s="74" t="str">
        <f aca="false">IF(OR(B948="",NOT(ISNUMBER(D948)),NOT(ISNUMBER(E948))),"",NETWORKDAYS(D948,E948,FERIADOS))</f>
        <v/>
      </c>
      <c r="H948" s="69"/>
      <c r="I948" s="74" t="str">
        <f aca="false">IF(B948="","",IF(ISNUMBER(H948),H948,N(G948)))</f>
        <v/>
      </c>
      <c r="J948" s="64"/>
      <c r="K948" s="64"/>
      <c r="L948" s="93" t="str">
        <f aca="false">IF(NOT(ISNUMBER(D948)),"",DATE(YEAR(D948),MONTH(D948),1))</f>
        <v/>
      </c>
      <c r="M948" s="70" t="str">
        <f aca="false">IF(B948="","",IF(AND(ISNUMBER(D948),ISNUMBER(E948),E948&lt;D948),"⚠ Término anterior al inicio",IF(J948&lt;&gt;"Sí","Pendiente comprobante firmado","OK")))</f>
        <v/>
      </c>
    </row>
    <row r="949" customFormat="false" ht="15" hidden="false" customHeight="false" outlineLevel="0" collapsed="false">
      <c r="B949" s="64"/>
      <c r="C949" s="72" t="str">
        <f aca="false">IF(B949="","",IFERROR(INDEX(T_NOMBRE,MATCH(B949,T_ID,0)),"⚠ ID no existe"))</f>
        <v/>
      </c>
      <c r="D949" s="65"/>
      <c r="E949" s="65"/>
      <c r="F949" s="64"/>
      <c r="G949" s="74" t="str">
        <f aca="false">IF(OR(B949="",NOT(ISNUMBER(D949)),NOT(ISNUMBER(E949))),"",NETWORKDAYS(D949,E949,FERIADOS))</f>
        <v/>
      </c>
      <c r="H949" s="69"/>
      <c r="I949" s="74" t="str">
        <f aca="false">IF(B949="","",IF(ISNUMBER(H949),H949,N(G949)))</f>
        <v/>
      </c>
      <c r="J949" s="64"/>
      <c r="K949" s="64"/>
      <c r="L949" s="93" t="str">
        <f aca="false">IF(NOT(ISNUMBER(D949)),"",DATE(YEAR(D949),MONTH(D949),1))</f>
        <v/>
      </c>
      <c r="M949" s="70" t="str">
        <f aca="false">IF(B949="","",IF(AND(ISNUMBER(D949),ISNUMBER(E949),E949&lt;D949),"⚠ Término anterior al inicio",IF(J949&lt;&gt;"Sí","Pendiente comprobante firmado","OK")))</f>
        <v/>
      </c>
    </row>
    <row r="950" customFormat="false" ht="15" hidden="false" customHeight="false" outlineLevel="0" collapsed="false">
      <c r="B950" s="64"/>
      <c r="C950" s="72" t="str">
        <f aca="false">IF(B950="","",IFERROR(INDEX(T_NOMBRE,MATCH(B950,T_ID,0)),"⚠ ID no existe"))</f>
        <v/>
      </c>
      <c r="D950" s="65"/>
      <c r="E950" s="65"/>
      <c r="F950" s="64"/>
      <c r="G950" s="74" t="str">
        <f aca="false">IF(OR(B950="",NOT(ISNUMBER(D950)),NOT(ISNUMBER(E950))),"",NETWORKDAYS(D950,E950,FERIADOS))</f>
        <v/>
      </c>
      <c r="H950" s="69"/>
      <c r="I950" s="74" t="str">
        <f aca="false">IF(B950="","",IF(ISNUMBER(H950),H950,N(G950)))</f>
        <v/>
      </c>
      <c r="J950" s="64"/>
      <c r="K950" s="64"/>
      <c r="L950" s="93" t="str">
        <f aca="false">IF(NOT(ISNUMBER(D950)),"",DATE(YEAR(D950),MONTH(D950),1))</f>
        <v/>
      </c>
      <c r="M950" s="70" t="str">
        <f aca="false">IF(B950="","",IF(AND(ISNUMBER(D950),ISNUMBER(E950),E950&lt;D950),"⚠ Término anterior al inicio",IF(J950&lt;&gt;"Sí","Pendiente comprobante firmado","OK")))</f>
        <v/>
      </c>
    </row>
    <row r="951" customFormat="false" ht="15" hidden="false" customHeight="false" outlineLevel="0" collapsed="false">
      <c r="B951" s="64"/>
      <c r="C951" s="72" t="str">
        <f aca="false">IF(B951="","",IFERROR(INDEX(T_NOMBRE,MATCH(B951,T_ID,0)),"⚠ ID no existe"))</f>
        <v/>
      </c>
      <c r="D951" s="65"/>
      <c r="E951" s="65"/>
      <c r="F951" s="64"/>
      <c r="G951" s="74" t="str">
        <f aca="false">IF(OR(B951="",NOT(ISNUMBER(D951)),NOT(ISNUMBER(E951))),"",NETWORKDAYS(D951,E951,FERIADOS))</f>
        <v/>
      </c>
      <c r="H951" s="69"/>
      <c r="I951" s="74" t="str">
        <f aca="false">IF(B951="","",IF(ISNUMBER(H951),H951,N(G951)))</f>
        <v/>
      </c>
      <c r="J951" s="64"/>
      <c r="K951" s="64"/>
      <c r="L951" s="93" t="str">
        <f aca="false">IF(NOT(ISNUMBER(D951)),"",DATE(YEAR(D951),MONTH(D951),1))</f>
        <v/>
      </c>
      <c r="M951" s="70" t="str">
        <f aca="false">IF(B951="","",IF(AND(ISNUMBER(D951),ISNUMBER(E951),E951&lt;D951),"⚠ Término anterior al inicio",IF(J951&lt;&gt;"Sí","Pendiente comprobante firmado","OK")))</f>
        <v/>
      </c>
    </row>
    <row r="952" customFormat="false" ht="15" hidden="false" customHeight="false" outlineLevel="0" collapsed="false">
      <c r="B952" s="64"/>
      <c r="C952" s="72" t="str">
        <f aca="false">IF(B952="","",IFERROR(INDEX(T_NOMBRE,MATCH(B952,T_ID,0)),"⚠ ID no existe"))</f>
        <v/>
      </c>
      <c r="D952" s="65"/>
      <c r="E952" s="65"/>
      <c r="F952" s="64"/>
      <c r="G952" s="74" t="str">
        <f aca="false">IF(OR(B952="",NOT(ISNUMBER(D952)),NOT(ISNUMBER(E952))),"",NETWORKDAYS(D952,E952,FERIADOS))</f>
        <v/>
      </c>
      <c r="H952" s="69"/>
      <c r="I952" s="74" t="str">
        <f aca="false">IF(B952="","",IF(ISNUMBER(H952),H952,N(G952)))</f>
        <v/>
      </c>
      <c r="J952" s="64"/>
      <c r="K952" s="64"/>
      <c r="L952" s="93" t="str">
        <f aca="false">IF(NOT(ISNUMBER(D952)),"",DATE(YEAR(D952),MONTH(D952),1))</f>
        <v/>
      </c>
      <c r="M952" s="70" t="str">
        <f aca="false">IF(B952="","",IF(AND(ISNUMBER(D952),ISNUMBER(E952),E952&lt;D952),"⚠ Término anterior al inicio",IF(J952&lt;&gt;"Sí","Pendiente comprobante firmado","OK")))</f>
        <v/>
      </c>
    </row>
    <row r="953" customFormat="false" ht="15" hidden="false" customHeight="false" outlineLevel="0" collapsed="false">
      <c r="B953" s="64"/>
      <c r="C953" s="72" t="str">
        <f aca="false">IF(B953="","",IFERROR(INDEX(T_NOMBRE,MATCH(B953,T_ID,0)),"⚠ ID no existe"))</f>
        <v/>
      </c>
      <c r="D953" s="65"/>
      <c r="E953" s="65"/>
      <c r="F953" s="64"/>
      <c r="G953" s="74" t="str">
        <f aca="false">IF(OR(B953="",NOT(ISNUMBER(D953)),NOT(ISNUMBER(E953))),"",NETWORKDAYS(D953,E953,FERIADOS))</f>
        <v/>
      </c>
      <c r="H953" s="69"/>
      <c r="I953" s="74" t="str">
        <f aca="false">IF(B953="","",IF(ISNUMBER(H953),H953,N(G953)))</f>
        <v/>
      </c>
      <c r="J953" s="64"/>
      <c r="K953" s="64"/>
      <c r="L953" s="93" t="str">
        <f aca="false">IF(NOT(ISNUMBER(D953)),"",DATE(YEAR(D953),MONTH(D953),1))</f>
        <v/>
      </c>
      <c r="M953" s="70" t="str">
        <f aca="false">IF(B953="","",IF(AND(ISNUMBER(D953),ISNUMBER(E953),E953&lt;D953),"⚠ Término anterior al inicio",IF(J953&lt;&gt;"Sí","Pendiente comprobante firmado","OK")))</f>
        <v/>
      </c>
    </row>
    <row r="954" customFormat="false" ht="15" hidden="false" customHeight="false" outlineLevel="0" collapsed="false">
      <c r="B954" s="64"/>
      <c r="C954" s="72" t="str">
        <f aca="false">IF(B954="","",IFERROR(INDEX(T_NOMBRE,MATCH(B954,T_ID,0)),"⚠ ID no existe"))</f>
        <v/>
      </c>
      <c r="D954" s="65"/>
      <c r="E954" s="65"/>
      <c r="F954" s="64"/>
      <c r="G954" s="74" t="str">
        <f aca="false">IF(OR(B954="",NOT(ISNUMBER(D954)),NOT(ISNUMBER(E954))),"",NETWORKDAYS(D954,E954,FERIADOS))</f>
        <v/>
      </c>
      <c r="H954" s="69"/>
      <c r="I954" s="74" t="str">
        <f aca="false">IF(B954="","",IF(ISNUMBER(H954),H954,N(G954)))</f>
        <v/>
      </c>
      <c r="J954" s="64"/>
      <c r="K954" s="64"/>
      <c r="L954" s="93" t="str">
        <f aca="false">IF(NOT(ISNUMBER(D954)),"",DATE(YEAR(D954),MONTH(D954),1))</f>
        <v/>
      </c>
      <c r="M954" s="70" t="str">
        <f aca="false">IF(B954="","",IF(AND(ISNUMBER(D954),ISNUMBER(E954),E954&lt;D954),"⚠ Término anterior al inicio",IF(J954&lt;&gt;"Sí","Pendiente comprobante firmado","OK")))</f>
        <v/>
      </c>
    </row>
    <row r="955" customFormat="false" ht="15" hidden="false" customHeight="false" outlineLevel="0" collapsed="false">
      <c r="B955" s="64"/>
      <c r="C955" s="72" t="str">
        <f aca="false">IF(B955="","",IFERROR(INDEX(T_NOMBRE,MATCH(B955,T_ID,0)),"⚠ ID no existe"))</f>
        <v/>
      </c>
      <c r="D955" s="65"/>
      <c r="E955" s="65"/>
      <c r="F955" s="64"/>
      <c r="G955" s="74" t="str">
        <f aca="false">IF(OR(B955="",NOT(ISNUMBER(D955)),NOT(ISNUMBER(E955))),"",NETWORKDAYS(D955,E955,FERIADOS))</f>
        <v/>
      </c>
      <c r="H955" s="69"/>
      <c r="I955" s="74" t="str">
        <f aca="false">IF(B955="","",IF(ISNUMBER(H955),H955,N(G955)))</f>
        <v/>
      </c>
      <c r="J955" s="64"/>
      <c r="K955" s="64"/>
      <c r="L955" s="93" t="str">
        <f aca="false">IF(NOT(ISNUMBER(D955)),"",DATE(YEAR(D955),MONTH(D955),1))</f>
        <v/>
      </c>
      <c r="M955" s="70" t="str">
        <f aca="false">IF(B955="","",IF(AND(ISNUMBER(D955),ISNUMBER(E955),E955&lt;D955),"⚠ Término anterior al inicio",IF(J955&lt;&gt;"Sí","Pendiente comprobante firmado","OK")))</f>
        <v/>
      </c>
    </row>
    <row r="956" customFormat="false" ht="15" hidden="false" customHeight="false" outlineLevel="0" collapsed="false">
      <c r="B956" s="64"/>
      <c r="C956" s="72" t="str">
        <f aca="false">IF(B956="","",IFERROR(INDEX(T_NOMBRE,MATCH(B956,T_ID,0)),"⚠ ID no existe"))</f>
        <v/>
      </c>
      <c r="D956" s="65"/>
      <c r="E956" s="65"/>
      <c r="F956" s="64"/>
      <c r="G956" s="74" t="str">
        <f aca="false">IF(OR(B956="",NOT(ISNUMBER(D956)),NOT(ISNUMBER(E956))),"",NETWORKDAYS(D956,E956,FERIADOS))</f>
        <v/>
      </c>
      <c r="H956" s="69"/>
      <c r="I956" s="74" t="str">
        <f aca="false">IF(B956="","",IF(ISNUMBER(H956),H956,N(G956)))</f>
        <v/>
      </c>
      <c r="J956" s="64"/>
      <c r="K956" s="64"/>
      <c r="L956" s="93" t="str">
        <f aca="false">IF(NOT(ISNUMBER(D956)),"",DATE(YEAR(D956),MONTH(D956),1))</f>
        <v/>
      </c>
      <c r="M956" s="70" t="str">
        <f aca="false">IF(B956="","",IF(AND(ISNUMBER(D956),ISNUMBER(E956),E956&lt;D956),"⚠ Término anterior al inicio",IF(J956&lt;&gt;"Sí","Pendiente comprobante firmado","OK")))</f>
        <v/>
      </c>
    </row>
    <row r="957" customFormat="false" ht="15" hidden="false" customHeight="false" outlineLevel="0" collapsed="false">
      <c r="B957" s="64"/>
      <c r="C957" s="72" t="str">
        <f aca="false">IF(B957="","",IFERROR(INDEX(T_NOMBRE,MATCH(B957,T_ID,0)),"⚠ ID no existe"))</f>
        <v/>
      </c>
      <c r="D957" s="65"/>
      <c r="E957" s="65"/>
      <c r="F957" s="64"/>
      <c r="G957" s="74" t="str">
        <f aca="false">IF(OR(B957="",NOT(ISNUMBER(D957)),NOT(ISNUMBER(E957))),"",NETWORKDAYS(D957,E957,FERIADOS))</f>
        <v/>
      </c>
      <c r="H957" s="69"/>
      <c r="I957" s="74" t="str">
        <f aca="false">IF(B957="","",IF(ISNUMBER(H957),H957,N(G957)))</f>
        <v/>
      </c>
      <c r="J957" s="64"/>
      <c r="K957" s="64"/>
      <c r="L957" s="93" t="str">
        <f aca="false">IF(NOT(ISNUMBER(D957)),"",DATE(YEAR(D957),MONTH(D957),1))</f>
        <v/>
      </c>
      <c r="M957" s="70" t="str">
        <f aca="false">IF(B957="","",IF(AND(ISNUMBER(D957),ISNUMBER(E957),E957&lt;D957),"⚠ Término anterior al inicio",IF(J957&lt;&gt;"Sí","Pendiente comprobante firmado","OK")))</f>
        <v/>
      </c>
    </row>
    <row r="958" customFormat="false" ht="15" hidden="false" customHeight="false" outlineLevel="0" collapsed="false">
      <c r="B958" s="64"/>
      <c r="C958" s="72" t="str">
        <f aca="false">IF(B958="","",IFERROR(INDEX(T_NOMBRE,MATCH(B958,T_ID,0)),"⚠ ID no existe"))</f>
        <v/>
      </c>
      <c r="D958" s="65"/>
      <c r="E958" s="65"/>
      <c r="F958" s="64"/>
      <c r="G958" s="74" t="str">
        <f aca="false">IF(OR(B958="",NOT(ISNUMBER(D958)),NOT(ISNUMBER(E958))),"",NETWORKDAYS(D958,E958,FERIADOS))</f>
        <v/>
      </c>
      <c r="H958" s="69"/>
      <c r="I958" s="74" t="str">
        <f aca="false">IF(B958="","",IF(ISNUMBER(H958),H958,N(G958)))</f>
        <v/>
      </c>
      <c r="J958" s="64"/>
      <c r="K958" s="64"/>
      <c r="L958" s="93" t="str">
        <f aca="false">IF(NOT(ISNUMBER(D958)),"",DATE(YEAR(D958),MONTH(D958),1))</f>
        <v/>
      </c>
      <c r="M958" s="70" t="str">
        <f aca="false">IF(B958="","",IF(AND(ISNUMBER(D958),ISNUMBER(E958),E958&lt;D958),"⚠ Término anterior al inicio",IF(J958&lt;&gt;"Sí","Pendiente comprobante firmado","OK")))</f>
        <v/>
      </c>
    </row>
    <row r="959" customFormat="false" ht="15" hidden="false" customHeight="false" outlineLevel="0" collapsed="false">
      <c r="B959" s="64"/>
      <c r="C959" s="72" t="str">
        <f aca="false">IF(B959="","",IFERROR(INDEX(T_NOMBRE,MATCH(B959,T_ID,0)),"⚠ ID no existe"))</f>
        <v/>
      </c>
      <c r="D959" s="65"/>
      <c r="E959" s="65"/>
      <c r="F959" s="64"/>
      <c r="G959" s="74" t="str">
        <f aca="false">IF(OR(B959="",NOT(ISNUMBER(D959)),NOT(ISNUMBER(E959))),"",NETWORKDAYS(D959,E959,FERIADOS))</f>
        <v/>
      </c>
      <c r="H959" s="69"/>
      <c r="I959" s="74" t="str">
        <f aca="false">IF(B959="","",IF(ISNUMBER(H959),H959,N(G959)))</f>
        <v/>
      </c>
      <c r="J959" s="64"/>
      <c r="K959" s="64"/>
      <c r="L959" s="93" t="str">
        <f aca="false">IF(NOT(ISNUMBER(D959)),"",DATE(YEAR(D959),MONTH(D959),1))</f>
        <v/>
      </c>
      <c r="M959" s="70" t="str">
        <f aca="false">IF(B959="","",IF(AND(ISNUMBER(D959),ISNUMBER(E959),E959&lt;D959),"⚠ Término anterior al inicio",IF(J959&lt;&gt;"Sí","Pendiente comprobante firmado","OK")))</f>
        <v/>
      </c>
    </row>
    <row r="960" customFormat="false" ht="15" hidden="false" customHeight="false" outlineLevel="0" collapsed="false">
      <c r="B960" s="64"/>
      <c r="C960" s="72" t="str">
        <f aca="false">IF(B960="","",IFERROR(INDEX(T_NOMBRE,MATCH(B960,T_ID,0)),"⚠ ID no existe"))</f>
        <v/>
      </c>
      <c r="D960" s="65"/>
      <c r="E960" s="65"/>
      <c r="F960" s="64"/>
      <c r="G960" s="74" t="str">
        <f aca="false">IF(OR(B960="",NOT(ISNUMBER(D960)),NOT(ISNUMBER(E960))),"",NETWORKDAYS(D960,E960,FERIADOS))</f>
        <v/>
      </c>
      <c r="H960" s="69"/>
      <c r="I960" s="74" t="str">
        <f aca="false">IF(B960="","",IF(ISNUMBER(H960),H960,N(G960)))</f>
        <v/>
      </c>
      <c r="J960" s="64"/>
      <c r="K960" s="64"/>
      <c r="L960" s="93" t="str">
        <f aca="false">IF(NOT(ISNUMBER(D960)),"",DATE(YEAR(D960),MONTH(D960),1))</f>
        <v/>
      </c>
      <c r="M960" s="70" t="str">
        <f aca="false">IF(B960="","",IF(AND(ISNUMBER(D960),ISNUMBER(E960),E960&lt;D960),"⚠ Término anterior al inicio",IF(J960&lt;&gt;"Sí","Pendiente comprobante firmado","OK")))</f>
        <v/>
      </c>
    </row>
    <row r="961" customFormat="false" ht="15" hidden="false" customHeight="false" outlineLevel="0" collapsed="false">
      <c r="B961" s="64"/>
      <c r="C961" s="72" t="str">
        <f aca="false">IF(B961="","",IFERROR(INDEX(T_NOMBRE,MATCH(B961,T_ID,0)),"⚠ ID no existe"))</f>
        <v/>
      </c>
      <c r="D961" s="65"/>
      <c r="E961" s="65"/>
      <c r="F961" s="64"/>
      <c r="G961" s="74" t="str">
        <f aca="false">IF(OR(B961="",NOT(ISNUMBER(D961)),NOT(ISNUMBER(E961))),"",NETWORKDAYS(D961,E961,FERIADOS))</f>
        <v/>
      </c>
      <c r="H961" s="69"/>
      <c r="I961" s="74" t="str">
        <f aca="false">IF(B961="","",IF(ISNUMBER(H961),H961,N(G961)))</f>
        <v/>
      </c>
      <c r="J961" s="64"/>
      <c r="K961" s="64"/>
      <c r="L961" s="93" t="str">
        <f aca="false">IF(NOT(ISNUMBER(D961)),"",DATE(YEAR(D961),MONTH(D961),1))</f>
        <v/>
      </c>
      <c r="M961" s="70" t="str">
        <f aca="false">IF(B961="","",IF(AND(ISNUMBER(D961),ISNUMBER(E961),E961&lt;D961),"⚠ Término anterior al inicio",IF(J961&lt;&gt;"Sí","Pendiente comprobante firmado","OK")))</f>
        <v/>
      </c>
    </row>
    <row r="962" customFormat="false" ht="15" hidden="false" customHeight="false" outlineLevel="0" collapsed="false">
      <c r="B962" s="64"/>
      <c r="C962" s="72" t="str">
        <f aca="false">IF(B962="","",IFERROR(INDEX(T_NOMBRE,MATCH(B962,T_ID,0)),"⚠ ID no existe"))</f>
        <v/>
      </c>
      <c r="D962" s="65"/>
      <c r="E962" s="65"/>
      <c r="F962" s="64"/>
      <c r="G962" s="74" t="str">
        <f aca="false">IF(OR(B962="",NOT(ISNUMBER(D962)),NOT(ISNUMBER(E962))),"",NETWORKDAYS(D962,E962,FERIADOS))</f>
        <v/>
      </c>
      <c r="H962" s="69"/>
      <c r="I962" s="74" t="str">
        <f aca="false">IF(B962="","",IF(ISNUMBER(H962),H962,N(G962)))</f>
        <v/>
      </c>
      <c r="J962" s="64"/>
      <c r="K962" s="64"/>
      <c r="L962" s="93" t="str">
        <f aca="false">IF(NOT(ISNUMBER(D962)),"",DATE(YEAR(D962),MONTH(D962),1))</f>
        <v/>
      </c>
      <c r="M962" s="70" t="str">
        <f aca="false">IF(B962="","",IF(AND(ISNUMBER(D962),ISNUMBER(E962),E962&lt;D962),"⚠ Término anterior al inicio",IF(J962&lt;&gt;"Sí","Pendiente comprobante firmado","OK")))</f>
        <v/>
      </c>
    </row>
    <row r="963" customFormat="false" ht="15" hidden="false" customHeight="false" outlineLevel="0" collapsed="false">
      <c r="B963" s="64"/>
      <c r="C963" s="72" t="str">
        <f aca="false">IF(B963="","",IFERROR(INDEX(T_NOMBRE,MATCH(B963,T_ID,0)),"⚠ ID no existe"))</f>
        <v/>
      </c>
      <c r="D963" s="65"/>
      <c r="E963" s="65"/>
      <c r="F963" s="64"/>
      <c r="G963" s="74" t="str">
        <f aca="false">IF(OR(B963="",NOT(ISNUMBER(D963)),NOT(ISNUMBER(E963))),"",NETWORKDAYS(D963,E963,FERIADOS))</f>
        <v/>
      </c>
      <c r="H963" s="69"/>
      <c r="I963" s="74" t="str">
        <f aca="false">IF(B963="","",IF(ISNUMBER(H963),H963,N(G963)))</f>
        <v/>
      </c>
      <c r="J963" s="64"/>
      <c r="K963" s="64"/>
      <c r="L963" s="93" t="str">
        <f aca="false">IF(NOT(ISNUMBER(D963)),"",DATE(YEAR(D963),MONTH(D963),1))</f>
        <v/>
      </c>
      <c r="M963" s="70" t="str">
        <f aca="false">IF(B963="","",IF(AND(ISNUMBER(D963),ISNUMBER(E963),E963&lt;D963),"⚠ Término anterior al inicio",IF(J963&lt;&gt;"Sí","Pendiente comprobante firmado","OK")))</f>
        <v/>
      </c>
    </row>
    <row r="964" customFormat="false" ht="15" hidden="false" customHeight="false" outlineLevel="0" collapsed="false">
      <c r="B964" s="64"/>
      <c r="C964" s="72" t="str">
        <f aca="false">IF(B964="","",IFERROR(INDEX(T_NOMBRE,MATCH(B964,T_ID,0)),"⚠ ID no existe"))</f>
        <v/>
      </c>
      <c r="D964" s="65"/>
      <c r="E964" s="65"/>
      <c r="F964" s="64"/>
      <c r="G964" s="74" t="str">
        <f aca="false">IF(OR(B964="",NOT(ISNUMBER(D964)),NOT(ISNUMBER(E964))),"",NETWORKDAYS(D964,E964,FERIADOS))</f>
        <v/>
      </c>
      <c r="H964" s="69"/>
      <c r="I964" s="74" t="str">
        <f aca="false">IF(B964="","",IF(ISNUMBER(H964),H964,N(G964)))</f>
        <v/>
      </c>
      <c r="J964" s="64"/>
      <c r="K964" s="64"/>
      <c r="L964" s="93" t="str">
        <f aca="false">IF(NOT(ISNUMBER(D964)),"",DATE(YEAR(D964),MONTH(D964),1))</f>
        <v/>
      </c>
      <c r="M964" s="70" t="str">
        <f aca="false">IF(B964="","",IF(AND(ISNUMBER(D964),ISNUMBER(E964),E964&lt;D964),"⚠ Término anterior al inicio",IF(J964&lt;&gt;"Sí","Pendiente comprobante firmado","OK")))</f>
        <v/>
      </c>
    </row>
    <row r="965" customFormat="false" ht="15" hidden="false" customHeight="false" outlineLevel="0" collapsed="false">
      <c r="B965" s="64"/>
      <c r="C965" s="72" t="str">
        <f aca="false">IF(B965="","",IFERROR(INDEX(T_NOMBRE,MATCH(B965,T_ID,0)),"⚠ ID no existe"))</f>
        <v/>
      </c>
      <c r="D965" s="65"/>
      <c r="E965" s="65"/>
      <c r="F965" s="64"/>
      <c r="G965" s="74" t="str">
        <f aca="false">IF(OR(B965="",NOT(ISNUMBER(D965)),NOT(ISNUMBER(E965))),"",NETWORKDAYS(D965,E965,FERIADOS))</f>
        <v/>
      </c>
      <c r="H965" s="69"/>
      <c r="I965" s="74" t="str">
        <f aca="false">IF(B965="","",IF(ISNUMBER(H965),H965,N(G965)))</f>
        <v/>
      </c>
      <c r="J965" s="64"/>
      <c r="K965" s="64"/>
      <c r="L965" s="93" t="str">
        <f aca="false">IF(NOT(ISNUMBER(D965)),"",DATE(YEAR(D965),MONTH(D965),1))</f>
        <v/>
      </c>
      <c r="M965" s="70" t="str">
        <f aca="false">IF(B965="","",IF(AND(ISNUMBER(D965),ISNUMBER(E965),E965&lt;D965),"⚠ Término anterior al inicio",IF(J965&lt;&gt;"Sí","Pendiente comprobante firmado","OK")))</f>
        <v/>
      </c>
    </row>
    <row r="966" customFormat="false" ht="15" hidden="false" customHeight="false" outlineLevel="0" collapsed="false">
      <c r="B966" s="64"/>
      <c r="C966" s="72" t="str">
        <f aca="false">IF(B966="","",IFERROR(INDEX(T_NOMBRE,MATCH(B966,T_ID,0)),"⚠ ID no existe"))</f>
        <v/>
      </c>
      <c r="D966" s="65"/>
      <c r="E966" s="65"/>
      <c r="F966" s="64"/>
      <c r="G966" s="74" t="str">
        <f aca="false">IF(OR(B966="",NOT(ISNUMBER(D966)),NOT(ISNUMBER(E966))),"",NETWORKDAYS(D966,E966,FERIADOS))</f>
        <v/>
      </c>
      <c r="H966" s="69"/>
      <c r="I966" s="74" t="str">
        <f aca="false">IF(B966="","",IF(ISNUMBER(H966),H966,N(G966)))</f>
        <v/>
      </c>
      <c r="J966" s="64"/>
      <c r="K966" s="64"/>
      <c r="L966" s="93" t="str">
        <f aca="false">IF(NOT(ISNUMBER(D966)),"",DATE(YEAR(D966),MONTH(D966),1))</f>
        <v/>
      </c>
      <c r="M966" s="70" t="str">
        <f aca="false">IF(B966="","",IF(AND(ISNUMBER(D966),ISNUMBER(E966),E966&lt;D966),"⚠ Término anterior al inicio",IF(J966&lt;&gt;"Sí","Pendiente comprobante firmado","OK")))</f>
        <v/>
      </c>
    </row>
    <row r="967" customFormat="false" ht="15" hidden="false" customHeight="false" outlineLevel="0" collapsed="false">
      <c r="B967" s="64"/>
      <c r="C967" s="72" t="str">
        <f aca="false">IF(B967="","",IFERROR(INDEX(T_NOMBRE,MATCH(B967,T_ID,0)),"⚠ ID no existe"))</f>
        <v/>
      </c>
      <c r="D967" s="65"/>
      <c r="E967" s="65"/>
      <c r="F967" s="64"/>
      <c r="G967" s="74" t="str">
        <f aca="false">IF(OR(B967="",NOT(ISNUMBER(D967)),NOT(ISNUMBER(E967))),"",NETWORKDAYS(D967,E967,FERIADOS))</f>
        <v/>
      </c>
      <c r="H967" s="69"/>
      <c r="I967" s="74" t="str">
        <f aca="false">IF(B967="","",IF(ISNUMBER(H967),H967,N(G967)))</f>
        <v/>
      </c>
      <c r="J967" s="64"/>
      <c r="K967" s="64"/>
      <c r="L967" s="93" t="str">
        <f aca="false">IF(NOT(ISNUMBER(D967)),"",DATE(YEAR(D967),MONTH(D967),1))</f>
        <v/>
      </c>
      <c r="M967" s="70" t="str">
        <f aca="false">IF(B967="","",IF(AND(ISNUMBER(D967),ISNUMBER(E967),E967&lt;D967),"⚠ Término anterior al inicio",IF(J967&lt;&gt;"Sí","Pendiente comprobante firmado","OK")))</f>
        <v/>
      </c>
    </row>
    <row r="968" customFormat="false" ht="15" hidden="false" customHeight="false" outlineLevel="0" collapsed="false">
      <c r="B968" s="64"/>
      <c r="C968" s="72" t="str">
        <f aca="false">IF(B968="","",IFERROR(INDEX(T_NOMBRE,MATCH(B968,T_ID,0)),"⚠ ID no existe"))</f>
        <v/>
      </c>
      <c r="D968" s="65"/>
      <c r="E968" s="65"/>
      <c r="F968" s="64"/>
      <c r="G968" s="74" t="str">
        <f aca="false">IF(OR(B968="",NOT(ISNUMBER(D968)),NOT(ISNUMBER(E968))),"",NETWORKDAYS(D968,E968,FERIADOS))</f>
        <v/>
      </c>
      <c r="H968" s="69"/>
      <c r="I968" s="74" t="str">
        <f aca="false">IF(B968="","",IF(ISNUMBER(H968),H968,N(G968)))</f>
        <v/>
      </c>
      <c r="J968" s="64"/>
      <c r="K968" s="64"/>
      <c r="L968" s="93" t="str">
        <f aca="false">IF(NOT(ISNUMBER(D968)),"",DATE(YEAR(D968),MONTH(D968),1))</f>
        <v/>
      </c>
      <c r="M968" s="70" t="str">
        <f aca="false">IF(B968="","",IF(AND(ISNUMBER(D968),ISNUMBER(E968),E968&lt;D968),"⚠ Término anterior al inicio",IF(J968&lt;&gt;"Sí","Pendiente comprobante firmado","OK")))</f>
        <v/>
      </c>
    </row>
    <row r="969" customFormat="false" ht="15" hidden="false" customHeight="false" outlineLevel="0" collapsed="false">
      <c r="B969" s="64"/>
      <c r="C969" s="72" t="str">
        <f aca="false">IF(B969="","",IFERROR(INDEX(T_NOMBRE,MATCH(B969,T_ID,0)),"⚠ ID no existe"))</f>
        <v/>
      </c>
      <c r="D969" s="65"/>
      <c r="E969" s="65"/>
      <c r="F969" s="64"/>
      <c r="G969" s="74" t="str">
        <f aca="false">IF(OR(B969="",NOT(ISNUMBER(D969)),NOT(ISNUMBER(E969))),"",NETWORKDAYS(D969,E969,FERIADOS))</f>
        <v/>
      </c>
      <c r="H969" s="69"/>
      <c r="I969" s="74" t="str">
        <f aca="false">IF(B969="","",IF(ISNUMBER(H969),H969,N(G969)))</f>
        <v/>
      </c>
      <c r="J969" s="64"/>
      <c r="K969" s="64"/>
      <c r="L969" s="93" t="str">
        <f aca="false">IF(NOT(ISNUMBER(D969)),"",DATE(YEAR(D969),MONTH(D969),1))</f>
        <v/>
      </c>
      <c r="M969" s="70" t="str">
        <f aca="false">IF(B969="","",IF(AND(ISNUMBER(D969),ISNUMBER(E969),E969&lt;D969),"⚠ Término anterior al inicio",IF(J969&lt;&gt;"Sí","Pendiente comprobante firmado","OK")))</f>
        <v/>
      </c>
    </row>
    <row r="970" customFormat="false" ht="15" hidden="false" customHeight="false" outlineLevel="0" collapsed="false">
      <c r="B970" s="64"/>
      <c r="C970" s="72" t="str">
        <f aca="false">IF(B970="","",IFERROR(INDEX(T_NOMBRE,MATCH(B970,T_ID,0)),"⚠ ID no existe"))</f>
        <v/>
      </c>
      <c r="D970" s="65"/>
      <c r="E970" s="65"/>
      <c r="F970" s="64"/>
      <c r="G970" s="74" t="str">
        <f aca="false">IF(OR(B970="",NOT(ISNUMBER(D970)),NOT(ISNUMBER(E970))),"",NETWORKDAYS(D970,E970,FERIADOS))</f>
        <v/>
      </c>
      <c r="H970" s="69"/>
      <c r="I970" s="74" t="str">
        <f aca="false">IF(B970="","",IF(ISNUMBER(H970),H970,N(G970)))</f>
        <v/>
      </c>
      <c r="J970" s="64"/>
      <c r="K970" s="64"/>
      <c r="L970" s="93" t="str">
        <f aca="false">IF(NOT(ISNUMBER(D970)),"",DATE(YEAR(D970),MONTH(D970),1))</f>
        <v/>
      </c>
      <c r="M970" s="70" t="str">
        <f aca="false">IF(B970="","",IF(AND(ISNUMBER(D970),ISNUMBER(E970),E970&lt;D970),"⚠ Término anterior al inicio",IF(J970&lt;&gt;"Sí","Pendiente comprobante firmado","OK")))</f>
        <v/>
      </c>
    </row>
    <row r="971" customFormat="false" ht="15" hidden="false" customHeight="false" outlineLevel="0" collapsed="false">
      <c r="B971" s="64"/>
      <c r="C971" s="72" t="str">
        <f aca="false">IF(B971="","",IFERROR(INDEX(T_NOMBRE,MATCH(B971,T_ID,0)),"⚠ ID no existe"))</f>
        <v/>
      </c>
      <c r="D971" s="65"/>
      <c r="E971" s="65"/>
      <c r="F971" s="64"/>
      <c r="G971" s="74" t="str">
        <f aca="false">IF(OR(B971="",NOT(ISNUMBER(D971)),NOT(ISNUMBER(E971))),"",NETWORKDAYS(D971,E971,FERIADOS))</f>
        <v/>
      </c>
      <c r="H971" s="69"/>
      <c r="I971" s="74" t="str">
        <f aca="false">IF(B971="","",IF(ISNUMBER(H971),H971,N(G971)))</f>
        <v/>
      </c>
      <c r="J971" s="64"/>
      <c r="K971" s="64"/>
      <c r="L971" s="93" t="str">
        <f aca="false">IF(NOT(ISNUMBER(D971)),"",DATE(YEAR(D971),MONTH(D971),1))</f>
        <v/>
      </c>
      <c r="M971" s="70" t="str">
        <f aca="false">IF(B971="","",IF(AND(ISNUMBER(D971),ISNUMBER(E971),E971&lt;D971),"⚠ Término anterior al inicio",IF(J971&lt;&gt;"Sí","Pendiente comprobante firmado","OK")))</f>
        <v/>
      </c>
    </row>
    <row r="972" customFormat="false" ht="15" hidden="false" customHeight="false" outlineLevel="0" collapsed="false">
      <c r="B972" s="64"/>
      <c r="C972" s="72" t="str">
        <f aca="false">IF(B972="","",IFERROR(INDEX(T_NOMBRE,MATCH(B972,T_ID,0)),"⚠ ID no existe"))</f>
        <v/>
      </c>
      <c r="D972" s="65"/>
      <c r="E972" s="65"/>
      <c r="F972" s="64"/>
      <c r="G972" s="74" t="str">
        <f aca="false">IF(OR(B972="",NOT(ISNUMBER(D972)),NOT(ISNUMBER(E972))),"",NETWORKDAYS(D972,E972,FERIADOS))</f>
        <v/>
      </c>
      <c r="H972" s="69"/>
      <c r="I972" s="74" t="str">
        <f aca="false">IF(B972="","",IF(ISNUMBER(H972),H972,N(G972)))</f>
        <v/>
      </c>
      <c r="J972" s="64"/>
      <c r="K972" s="64"/>
      <c r="L972" s="93" t="str">
        <f aca="false">IF(NOT(ISNUMBER(D972)),"",DATE(YEAR(D972),MONTH(D972),1))</f>
        <v/>
      </c>
      <c r="M972" s="70" t="str">
        <f aca="false">IF(B972="","",IF(AND(ISNUMBER(D972),ISNUMBER(E972),E972&lt;D972),"⚠ Término anterior al inicio",IF(J972&lt;&gt;"Sí","Pendiente comprobante firmado","OK")))</f>
        <v/>
      </c>
    </row>
    <row r="973" customFormat="false" ht="15" hidden="false" customHeight="false" outlineLevel="0" collapsed="false">
      <c r="B973" s="64"/>
      <c r="C973" s="72" t="str">
        <f aca="false">IF(B973="","",IFERROR(INDEX(T_NOMBRE,MATCH(B973,T_ID,0)),"⚠ ID no existe"))</f>
        <v/>
      </c>
      <c r="D973" s="65"/>
      <c r="E973" s="65"/>
      <c r="F973" s="64"/>
      <c r="G973" s="74" t="str">
        <f aca="false">IF(OR(B973="",NOT(ISNUMBER(D973)),NOT(ISNUMBER(E973))),"",NETWORKDAYS(D973,E973,FERIADOS))</f>
        <v/>
      </c>
      <c r="H973" s="69"/>
      <c r="I973" s="74" t="str">
        <f aca="false">IF(B973="","",IF(ISNUMBER(H973),H973,N(G973)))</f>
        <v/>
      </c>
      <c r="J973" s="64"/>
      <c r="K973" s="64"/>
      <c r="L973" s="93" t="str">
        <f aca="false">IF(NOT(ISNUMBER(D973)),"",DATE(YEAR(D973),MONTH(D973),1))</f>
        <v/>
      </c>
      <c r="M973" s="70" t="str">
        <f aca="false">IF(B973="","",IF(AND(ISNUMBER(D973),ISNUMBER(E973),E973&lt;D973),"⚠ Término anterior al inicio",IF(J973&lt;&gt;"Sí","Pendiente comprobante firmado","OK")))</f>
        <v/>
      </c>
    </row>
    <row r="974" customFormat="false" ht="15" hidden="false" customHeight="false" outlineLevel="0" collapsed="false">
      <c r="B974" s="64"/>
      <c r="C974" s="72" t="str">
        <f aca="false">IF(B974="","",IFERROR(INDEX(T_NOMBRE,MATCH(B974,T_ID,0)),"⚠ ID no existe"))</f>
        <v/>
      </c>
      <c r="D974" s="65"/>
      <c r="E974" s="65"/>
      <c r="F974" s="64"/>
      <c r="G974" s="74" t="str">
        <f aca="false">IF(OR(B974="",NOT(ISNUMBER(D974)),NOT(ISNUMBER(E974))),"",NETWORKDAYS(D974,E974,FERIADOS))</f>
        <v/>
      </c>
      <c r="H974" s="69"/>
      <c r="I974" s="74" t="str">
        <f aca="false">IF(B974="","",IF(ISNUMBER(H974),H974,N(G974)))</f>
        <v/>
      </c>
      <c r="J974" s="64"/>
      <c r="K974" s="64"/>
      <c r="L974" s="93" t="str">
        <f aca="false">IF(NOT(ISNUMBER(D974)),"",DATE(YEAR(D974),MONTH(D974),1))</f>
        <v/>
      </c>
      <c r="M974" s="70" t="str">
        <f aca="false">IF(B974="","",IF(AND(ISNUMBER(D974),ISNUMBER(E974),E974&lt;D974),"⚠ Término anterior al inicio",IF(J974&lt;&gt;"Sí","Pendiente comprobante firmado","OK")))</f>
        <v/>
      </c>
    </row>
    <row r="975" customFormat="false" ht="15" hidden="false" customHeight="false" outlineLevel="0" collapsed="false">
      <c r="B975" s="64"/>
      <c r="C975" s="72" t="str">
        <f aca="false">IF(B975="","",IFERROR(INDEX(T_NOMBRE,MATCH(B975,T_ID,0)),"⚠ ID no existe"))</f>
        <v/>
      </c>
      <c r="D975" s="65"/>
      <c r="E975" s="65"/>
      <c r="F975" s="64"/>
      <c r="G975" s="74" t="str">
        <f aca="false">IF(OR(B975="",NOT(ISNUMBER(D975)),NOT(ISNUMBER(E975))),"",NETWORKDAYS(D975,E975,FERIADOS))</f>
        <v/>
      </c>
      <c r="H975" s="69"/>
      <c r="I975" s="74" t="str">
        <f aca="false">IF(B975="","",IF(ISNUMBER(H975),H975,N(G975)))</f>
        <v/>
      </c>
      <c r="J975" s="64"/>
      <c r="K975" s="64"/>
      <c r="L975" s="93" t="str">
        <f aca="false">IF(NOT(ISNUMBER(D975)),"",DATE(YEAR(D975),MONTH(D975),1))</f>
        <v/>
      </c>
      <c r="M975" s="70" t="str">
        <f aca="false">IF(B975="","",IF(AND(ISNUMBER(D975),ISNUMBER(E975),E975&lt;D975),"⚠ Término anterior al inicio",IF(J975&lt;&gt;"Sí","Pendiente comprobante firmado","OK")))</f>
        <v/>
      </c>
    </row>
    <row r="976" customFormat="false" ht="15" hidden="false" customHeight="false" outlineLevel="0" collapsed="false">
      <c r="B976" s="64"/>
      <c r="C976" s="72" t="str">
        <f aca="false">IF(B976="","",IFERROR(INDEX(T_NOMBRE,MATCH(B976,T_ID,0)),"⚠ ID no existe"))</f>
        <v/>
      </c>
      <c r="D976" s="65"/>
      <c r="E976" s="65"/>
      <c r="F976" s="64"/>
      <c r="G976" s="74" t="str">
        <f aca="false">IF(OR(B976="",NOT(ISNUMBER(D976)),NOT(ISNUMBER(E976))),"",NETWORKDAYS(D976,E976,FERIADOS))</f>
        <v/>
      </c>
      <c r="H976" s="69"/>
      <c r="I976" s="74" t="str">
        <f aca="false">IF(B976="","",IF(ISNUMBER(H976),H976,N(G976)))</f>
        <v/>
      </c>
      <c r="J976" s="64"/>
      <c r="K976" s="64"/>
      <c r="L976" s="93" t="str">
        <f aca="false">IF(NOT(ISNUMBER(D976)),"",DATE(YEAR(D976),MONTH(D976),1))</f>
        <v/>
      </c>
      <c r="M976" s="70" t="str">
        <f aca="false">IF(B976="","",IF(AND(ISNUMBER(D976),ISNUMBER(E976),E976&lt;D976),"⚠ Término anterior al inicio",IF(J976&lt;&gt;"Sí","Pendiente comprobante firmado","OK")))</f>
        <v/>
      </c>
    </row>
    <row r="977" customFormat="false" ht="15" hidden="false" customHeight="false" outlineLevel="0" collapsed="false">
      <c r="B977" s="64"/>
      <c r="C977" s="72" t="str">
        <f aca="false">IF(B977="","",IFERROR(INDEX(T_NOMBRE,MATCH(B977,T_ID,0)),"⚠ ID no existe"))</f>
        <v/>
      </c>
      <c r="D977" s="65"/>
      <c r="E977" s="65"/>
      <c r="F977" s="64"/>
      <c r="G977" s="74" t="str">
        <f aca="false">IF(OR(B977="",NOT(ISNUMBER(D977)),NOT(ISNUMBER(E977))),"",NETWORKDAYS(D977,E977,FERIADOS))</f>
        <v/>
      </c>
      <c r="H977" s="69"/>
      <c r="I977" s="74" t="str">
        <f aca="false">IF(B977="","",IF(ISNUMBER(H977),H977,N(G977)))</f>
        <v/>
      </c>
      <c r="J977" s="64"/>
      <c r="K977" s="64"/>
      <c r="L977" s="93" t="str">
        <f aca="false">IF(NOT(ISNUMBER(D977)),"",DATE(YEAR(D977),MONTH(D977),1))</f>
        <v/>
      </c>
      <c r="M977" s="70" t="str">
        <f aca="false">IF(B977="","",IF(AND(ISNUMBER(D977),ISNUMBER(E977),E977&lt;D977),"⚠ Término anterior al inicio",IF(J977&lt;&gt;"Sí","Pendiente comprobante firmado","OK")))</f>
        <v/>
      </c>
    </row>
    <row r="978" customFormat="false" ht="15" hidden="false" customHeight="false" outlineLevel="0" collapsed="false">
      <c r="B978" s="64"/>
      <c r="C978" s="72" t="str">
        <f aca="false">IF(B978="","",IFERROR(INDEX(T_NOMBRE,MATCH(B978,T_ID,0)),"⚠ ID no existe"))</f>
        <v/>
      </c>
      <c r="D978" s="65"/>
      <c r="E978" s="65"/>
      <c r="F978" s="64"/>
      <c r="G978" s="74" t="str">
        <f aca="false">IF(OR(B978="",NOT(ISNUMBER(D978)),NOT(ISNUMBER(E978))),"",NETWORKDAYS(D978,E978,FERIADOS))</f>
        <v/>
      </c>
      <c r="H978" s="69"/>
      <c r="I978" s="74" t="str">
        <f aca="false">IF(B978="","",IF(ISNUMBER(H978),H978,N(G978)))</f>
        <v/>
      </c>
      <c r="J978" s="64"/>
      <c r="K978" s="64"/>
      <c r="L978" s="93" t="str">
        <f aca="false">IF(NOT(ISNUMBER(D978)),"",DATE(YEAR(D978),MONTH(D978),1))</f>
        <v/>
      </c>
      <c r="M978" s="70" t="str">
        <f aca="false">IF(B978="","",IF(AND(ISNUMBER(D978),ISNUMBER(E978),E978&lt;D978),"⚠ Término anterior al inicio",IF(J978&lt;&gt;"Sí","Pendiente comprobante firmado","OK")))</f>
        <v/>
      </c>
    </row>
    <row r="979" customFormat="false" ht="15" hidden="false" customHeight="false" outlineLevel="0" collapsed="false">
      <c r="B979" s="64"/>
      <c r="C979" s="72" t="str">
        <f aca="false">IF(B979="","",IFERROR(INDEX(T_NOMBRE,MATCH(B979,T_ID,0)),"⚠ ID no existe"))</f>
        <v/>
      </c>
      <c r="D979" s="65"/>
      <c r="E979" s="65"/>
      <c r="F979" s="64"/>
      <c r="G979" s="74" t="str">
        <f aca="false">IF(OR(B979="",NOT(ISNUMBER(D979)),NOT(ISNUMBER(E979))),"",NETWORKDAYS(D979,E979,FERIADOS))</f>
        <v/>
      </c>
      <c r="H979" s="69"/>
      <c r="I979" s="74" t="str">
        <f aca="false">IF(B979="","",IF(ISNUMBER(H979),H979,N(G979)))</f>
        <v/>
      </c>
      <c r="J979" s="64"/>
      <c r="K979" s="64"/>
      <c r="L979" s="93" t="str">
        <f aca="false">IF(NOT(ISNUMBER(D979)),"",DATE(YEAR(D979),MONTH(D979),1))</f>
        <v/>
      </c>
      <c r="M979" s="70" t="str">
        <f aca="false">IF(B979="","",IF(AND(ISNUMBER(D979),ISNUMBER(E979),E979&lt;D979),"⚠ Término anterior al inicio",IF(J979&lt;&gt;"Sí","Pendiente comprobante firmado","OK")))</f>
        <v/>
      </c>
    </row>
    <row r="980" customFormat="false" ht="15" hidden="false" customHeight="false" outlineLevel="0" collapsed="false">
      <c r="B980" s="64"/>
      <c r="C980" s="72" t="str">
        <f aca="false">IF(B980="","",IFERROR(INDEX(T_NOMBRE,MATCH(B980,T_ID,0)),"⚠ ID no existe"))</f>
        <v/>
      </c>
      <c r="D980" s="65"/>
      <c r="E980" s="65"/>
      <c r="F980" s="64"/>
      <c r="G980" s="74" t="str">
        <f aca="false">IF(OR(B980="",NOT(ISNUMBER(D980)),NOT(ISNUMBER(E980))),"",NETWORKDAYS(D980,E980,FERIADOS))</f>
        <v/>
      </c>
      <c r="H980" s="69"/>
      <c r="I980" s="74" t="str">
        <f aca="false">IF(B980="","",IF(ISNUMBER(H980),H980,N(G980)))</f>
        <v/>
      </c>
      <c r="J980" s="64"/>
      <c r="K980" s="64"/>
      <c r="L980" s="93" t="str">
        <f aca="false">IF(NOT(ISNUMBER(D980)),"",DATE(YEAR(D980),MONTH(D980),1))</f>
        <v/>
      </c>
      <c r="M980" s="70" t="str">
        <f aca="false">IF(B980="","",IF(AND(ISNUMBER(D980),ISNUMBER(E980),E980&lt;D980),"⚠ Término anterior al inicio",IF(J980&lt;&gt;"Sí","Pendiente comprobante firmado","OK")))</f>
        <v/>
      </c>
    </row>
    <row r="981" customFormat="false" ht="15" hidden="false" customHeight="false" outlineLevel="0" collapsed="false">
      <c r="B981" s="64"/>
      <c r="C981" s="72" t="str">
        <f aca="false">IF(B981="","",IFERROR(INDEX(T_NOMBRE,MATCH(B981,T_ID,0)),"⚠ ID no existe"))</f>
        <v/>
      </c>
      <c r="D981" s="65"/>
      <c r="E981" s="65"/>
      <c r="F981" s="64"/>
      <c r="G981" s="74" t="str">
        <f aca="false">IF(OR(B981="",NOT(ISNUMBER(D981)),NOT(ISNUMBER(E981))),"",NETWORKDAYS(D981,E981,FERIADOS))</f>
        <v/>
      </c>
      <c r="H981" s="69"/>
      <c r="I981" s="74" t="str">
        <f aca="false">IF(B981="","",IF(ISNUMBER(H981),H981,N(G981)))</f>
        <v/>
      </c>
      <c r="J981" s="64"/>
      <c r="K981" s="64"/>
      <c r="L981" s="93" t="str">
        <f aca="false">IF(NOT(ISNUMBER(D981)),"",DATE(YEAR(D981),MONTH(D981),1))</f>
        <v/>
      </c>
      <c r="M981" s="70" t="str">
        <f aca="false">IF(B981="","",IF(AND(ISNUMBER(D981),ISNUMBER(E981),E981&lt;D981),"⚠ Término anterior al inicio",IF(J981&lt;&gt;"Sí","Pendiente comprobante firmado","OK")))</f>
        <v/>
      </c>
    </row>
    <row r="982" customFormat="false" ht="15" hidden="false" customHeight="false" outlineLevel="0" collapsed="false">
      <c r="B982" s="64"/>
      <c r="C982" s="72" t="str">
        <f aca="false">IF(B982="","",IFERROR(INDEX(T_NOMBRE,MATCH(B982,T_ID,0)),"⚠ ID no existe"))</f>
        <v/>
      </c>
      <c r="D982" s="65"/>
      <c r="E982" s="65"/>
      <c r="F982" s="64"/>
      <c r="G982" s="74" t="str">
        <f aca="false">IF(OR(B982="",NOT(ISNUMBER(D982)),NOT(ISNUMBER(E982))),"",NETWORKDAYS(D982,E982,FERIADOS))</f>
        <v/>
      </c>
      <c r="H982" s="69"/>
      <c r="I982" s="74" t="str">
        <f aca="false">IF(B982="","",IF(ISNUMBER(H982),H982,N(G982)))</f>
        <v/>
      </c>
      <c r="J982" s="64"/>
      <c r="K982" s="64"/>
      <c r="L982" s="93" t="str">
        <f aca="false">IF(NOT(ISNUMBER(D982)),"",DATE(YEAR(D982),MONTH(D982),1))</f>
        <v/>
      </c>
      <c r="M982" s="70" t="str">
        <f aca="false">IF(B982="","",IF(AND(ISNUMBER(D982),ISNUMBER(E982),E982&lt;D982),"⚠ Término anterior al inicio",IF(J982&lt;&gt;"Sí","Pendiente comprobante firmado","OK")))</f>
        <v/>
      </c>
    </row>
    <row r="983" customFormat="false" ht="15" hidden="false" customHeight="false" outlineLevel="0" collapsed="false">
      <c r="B983" s="64"/>
      <c r="C983" s="72" t="str">
        <f aca="false">IF(B983="","",IFERROR(INDEX(T_NOMBRE,MATCH(B983,T_ID,0)),"⚠ ID no existe"))</f>
        <v/>
      </c>
      <c r="D983" s="65"/>
      <c r="E983" s="65"/>
      <c r="F983" s="64"/>
      <c r="G983" s="74" t="str">
        <f aca="false">IF(OR(B983="",NOT(ISNUMBER(D983)),NOT(ISNUMBER(E983))),"",NETWORKDAYS(D983,E983,FERIADOS))</f>
        <v/>
      </c>
      <c r="H983" s="69"/>
      <c r="I983" s="74" t="str">
        <f aca="false">IF(B983="","",IF(ISNUMBER(H983),H983,N(G983)))</f>
        <v/>
      </c>
      <c r="J983" s="64"/>
      <c r="K983" s="64"/>
      <c r="L983" s="93" t="str">
        <f aca="false">IF(NOT(ISNUMBER(D983)),"",DATE(YEAR(D983),MONTH(D983),1))</f>
        <v/>
      </c>
      <c r="M983" s="70" t="str">
        <f aca="false">IF(B983="","",IF(AND(ISNUMBER(D983),ISNUMBER(E983),E983&lt;D983),"⚠ Término anterior al inicio",IF(J983&lt;&gt;"Sí","Pendiente comprobante firmado","OK")))</f>
        <v/>
      </c>
    </row>
    <row r="984" customFormat="false" ht="15" hidden="false" customHeight="false" outlineLevel="0" collapsed="false">
      <c r="B984" s="64"/>
      <c r="C984" s="72" t="str">
        <f aca="false">IF(B984="","",IFERROR(INDEX(T_NOMBRE,MATCH(B984,T_ID,0)),"⚠ ID no existe"))</f>
        <v/>
      </c>
      <c r="D984" s="65"/>
      <c r="E984" s="65"/>
      <c r="F984" s="64"/>
      <c r="G984" s="74" t="str">
        <f aca="false">IF(OR(B984="",NOT(ISNUMBER(D984)),NOT(ISNUMBER(E984))),"",NETWORKDAYS(D984,E984,FERIADOS))</f>
        <v/>
      </c>
      <c r="H984" s="69"/>
      <c r="I984" s="74" t="str">
        <f aca="false">IF(B984="","",IF(ISNUMBER(H984),H984,N(G984)))</f>
        <v/>
      </c>
      <c r="J984" s="64"/>
      <c r="K984" s="64"/>
      <c r="L984" s="93" t="str">
        <f aca="false">IF(NOT(ISNUMBER(D984)),"",DATE(YEAR(D984),MONTH(D984),1))</f>
        <v/>
      </c>
      <c r="M984" s="70" t="str">
        <f aca="false">IF(B984="","",IF(AND(ISNUMBER(D984),ISNUMBER(E984),E984&lt;D984),"⚠ Término anterior al inicio",IF(J984&lt;&gt;"Sí","Pendiente comprobante firmado","OK")))</f>
        <v/>
      </c>
    </row>
    <row r="985" customFormat="false" ht="15" hidden="false" customHeight="false" outlineLevel="0" collapsed="false">
      <c r="B985" s="64"/>
      <c r="C985" s="72" t="str">
        <f aca="false">IF(B985="","",IFERROR(INDEX(T_NOMBRE,MATCH(B985,T_ID,0)),"⚠ ID no existe"))</f>
        <v/>
      </c>
      <c r="D985" s="65"/>
      <c r="E985" s="65"/>
      <c r="F985" s="64"/>
      <c r="G985" s="74" t="str">
        <f aca="false">IF(OR(B985="",NOT(ISNUMBER(D985)),NOT(ISNUMBER(E985))),"",NETWORKDAYS(D985,E985,FERIADOS))</f>
        <v/>
      </c>
      <c r="H985" s="69"/>
      <c r="I985" s="74" t="str">
        <f aca="false">IF(B985="","",IF(ISNUMBER(H985),H985,N(G985)))</f>
        <v/>
      </c>
      <c r="J985" s="64"/>
      <c r="K985" s="64"/>
      <c r="L985" s="93" t="str">
        <f aca="false">IF(NOT(ISNUMBER(D985)),"",DATE(YEAR(D985),MONTH(D985),1))</f>
        <v/>
      </c>
      <c r="M985" s="70" t="str">
        <f aca="false">IF(B985="","",IF(AND(ISNUMBER(D985),ISNUMBER(E985),E985&lt;D985),"⚠ Término anterior al inicio",IF(J985&lt;&gt;"Sí","Pendiente comprobante firmado","OK")))</f>
        <v/>
      </c>
    </row>
    <row r="986" customFormat="false" ht="15" hidden="false" customHeight="false" outlineLevel="0" collapsed="false">
      <c r="B986" s="64"/>
      <c r="C986" s="72" t="str">
        <f aca="false">IF(B986="","",IFERROR(INDEX(T_NOMBRE,MATCH(B986,T_ID,0)),"⚠ ID no existe"))</f>
        <v/>
      </c>
      <c r="D986" s="65"/>
      <c r="E986" s="65"/>
      <c r="F986" s="64"/>
      <c r="G986" s="74" t="str">
        <f aca="false">IF(OR(B986="",NOT(ISNUMBER(D986)),NOT(ISNUMBER(E986))),"",NETWORKDAYS(D986,E986,FERIADOS))</f>
        <v/>
      </c>
      <c r="H986" s="69"/>
      <c r="I986" s="74" t="str">
        <f aca="false">IF(B986="","",IF(ISNUMBER(H986),H986,N(G986)))</f>
        <v/>
      </c>
      <c r="J986" s="64"/>
      <c r="K986" s="64"/>
      <c r="L986" s="93" t="str">
        <f aca="false">IF(NOT(ISNUMBER(D986)),"",DATE(YEAR(D986),MONTH(D986),1))</f>
        <v/>
      </c>
      <c r="M986" s="70" t="str">
        <f aca="false">IF(B986="","",IF(AND(ISNUMBER(D986),ISNUMBER(E986),E986&lt;D986),"⚠ Término anterior al inicio",IF(J986&lt;&gt;"Sí","Pendiente comprobante firmado","OK")))</f>
        <v/>
      </c>
    </row>
    <row r="987" customFormat="false" ht="15" hidden="false" customHeight="false" outlineLevel="0" collapsed="false">
      <c r="B987" s="64"/>
      <c r="C987" s="72" t="str">
        <f aca="false">IF(B987="","",IFERROR(INDEX(T_NOMBRE,MATCH(B987,T_ID,0)),"⚠ ID no existe"))</f>
        <v/>
      </c>
      <c r="D987" s="65"/>
      <c r="E987" s="65"/>
      <c r="F987" s="64"/>
      <c r="G987" s="74" t="str">
        <f aca="false">IF(OR(B987="",NOT(ISNUMBER(D987)),NOT(ISNUMBER(E987))),"",NETWORKDAYS(D987,E987,FERIADOS))</f>
        <v/>
      </c>
      <c r="H987" s="69"/>
      <c r="I987" s="74" t="str">
        <f aca="false">IF(B987="","",IF(ISNUMBER(H987),H987,N(G987)))</f>
        <v/>
      </c>
      <c r="J987" s="64"/>
      <c r="K987" s="64"/>
      <c r="L987" s="93" t="str">
        <f aca="false">IF(NOT(ISNUMBER(D987)),"",DATE(YEAR(D987),MONTH(D987),1))</f>
        <v/>
      </c>
      <c r="M987" s="70" t="str">
        <f aca="false">IF(B987="","",IF(AND(ISNUMBER(D987),ISNUMBER(E987),E987&lt;D987),"⚠ Término anterior al inicio",IF(J987&lt;&gt;"Sí","Pendiente comprobante firmado","OK")))</f>
        <v/>
      </c>
    </row>
    <row r="988" customFormat="false" ht="15" hidden="false" customHeight="false" outlineLevel="0" collapsed="false">
      <c r="B988" s="64"/>
      <c r="C988" s="72" t="str">
        <f aca="false">IF(B988="","",IFERROR(INDEX(T_NOMBRE,MATCH(B988,T_ID,0)),"⚠ ID no existe"))</f>
        <v/>
      </c>
      <c r="D988" s="65"/>
      <c r="E988" s="65"/>
      <c r="F988" s="64"/>
      <c r="G988" s="74" t="str">
        <f aca="false">IF(OR(B988="",NOT(ISNUMBER(D988)),NOT(ISNUMBER(E988))),"",NETWORKDAYS(D988,E988,FERIADOS))</f>
        <v/>
      </c>
      <c r="H988" s="69"/>
      <c r="I988" s="74" t="str">
        <f aca="false">IF(B988="","",IF(ISNUMBER(H988),H988,N(G988)))</f>
        <v/>
      </c>
      <c r="J988" s="64"/>
      <c r="K988" s="64"/>
      <c r="L988" s="93" t="str">
        <f aca="false">IF(NOT(ISNUMBER(D988)),"",DATE(YEAR(D988),MONTH(D988),1))</f>
        <v/>
      </c>
      <c r="M988" s="70" t="str">
        <f aca="false">IF(B988="","",IF(AND(ISNUMBER(D988),ISNUMBER(E988),E988&lt;D988),"⚠ Término anterior al inicio",IF(J988&lt;&gt;"Sí","Pendiente comprobante firmado","OK")))</f>
        <v/>
      </c>
    </row>
    <row r="989" customFormat="false" ht="15" hidden="false" customHeight="false" outlineLevel="0" collapsed="false">
      <c r="B989" s="64"/>
      <c r="C989" s="72" t="str">
        <f aca="false">IF(B989="","",IFERROR(INDEX(T_NOMBRE,MATCH(B989,T_ID,0)),"⚠ ID no existe"))</f>
        <v/>
      </c>
      <c r="D989" s="65"/>
      <c r="E989" s="65"/>
      <c r="F989" s="64"/>
      <c r="G989" s="74" t="str">
        <f aca="false">IF(OR(B989="",NOT(ISNUMBER(D989)),NOT(ISNUMBER(E989))),"",NETWORKDAYS(D989,E989,FERIADOS))</f>
        <v/>
      </c>
      <c r="H989" s="69"/>
      <c r="I989" s="74" t="str">
        <f aca="false">IF(B989="","",IF(ISNUMBER(H989),H989,N(G989)))</f>
        <v/>
      </c>
      <c r="J989" s="64"/>
      <c r="K989" s="64"/>
      <c r="L989" s="93" t="str">
        <f aca="false">IF(NOT(ISNUMBER(D989)),"",DATE(YEAR(D989),MONTH(D989),1))</f>
        <v/>
      </c>
      <c r="M989" s="70" t="str">
        <f aca="false">IF(B989="","",IF(AND(ISNUMBER(D989),ISNUMBER(E989),E989&lt;D989),"⚠ Término anterior al inicio",IF(J989&lt;&gt;"Sí","Pendiente comprobante firmado","OK")))</f>
        <v/>
      </c>
    </row>
    <row r="990" customFormat="false" ht="15" hidden="false" customHeight="false" outlineLevel="0" collapsed="false">
      <c r="B990" s="64"/>
      <c r="C990" s="72" t="str">
        <f aca="false">IF(B990="","",IFERROR(INDEX(T_NOMBRE,MATCH(B990,T_ID,0)),"⚠ ID no existe"))</f>
        <v/>
      </c>
      <c r="D990" s="65"/>
      <c r="E990" s="65"/>
      <c r="F990" s="64"/>
      <c r="G990" s="74" t="str">
        <f aca="false">IF(OR(B990="",NOT(ISNUMBER(D990)),NOT(ISNUMBER(E990))),"",NETWORKDAYS(D990,E990,FERIADOS))</f>
        <v/>
      </c>
      <c r="H990" s="69"/>
      <c r="I990" s="74" t="str">
        <f aca="false">IF(B990="","",IF(ISNUMBER(H990),H990,N(G990)))</f>
        <v/>
      </c>
      <c r="J990" s="64"/>
      <c r="K990" s="64"/>
      <c r="L990" s="93" t="str">
        <f aca="false">IF(NOT(ISNUMBER(D990)),"",DATE(YEAR(D990),MONTH(D990),1))</f>
        <v/>
      </c>
      <c r="M990" s="70" t="str">
        <f aca="false">IF(B990="","",IF(AND(ISNUMBER(D990),ISNUMBER(E990),E990&lt;D990),"⚠ Término anterior al inicio",IF(J990&lt;&gt;"Sí","Pendiente comprobante firmado","OK")))</f>
        <v/>
      </c>
    </row>
    <row r="991" customFormat="false" ht="15" hidden="false" customHeight="false" outlineLevel="0" collapsed="false">
      <c r="B991" s="64"/>
      <c r="C991" s="72" t="str">
        <f aca="false">IF(B991="","",IFERROR(INDEX(T_NOMBRE,MATCH(B991,T_ID,0)),"⚠ ID no existe"))</f>
        <v/>
      </c>
      <c r="D991" s="65"/>
      <c r="E991" s="65"/>
      <c r="F991" s="64"/>
      <c r="G991" s="74" t="str">
        <f aca="false">IF(OR(B991="",NOT(ISNUMBER(D991)),NOT(ISNUMBER(E991))),"",NETWORKDAYS(D991,E991,FERIADOS))</f>
        <v/>
      </c>
      <c r="H991" s="69"/>
      <c r="I991" s="74" t="str">
        <f aca="false">IF(B991="","",IF(ISNUMBER(H991),H991,N(G991)))</f>
        <v/>
      </c>
      <c r="J991" s="64"/>
      <c r="K991" s="64"/>
      <c r="L991" s="93" t="str">
        <f aca="false">IF(NOT(ISNUMBER(D991)),"",DATE(YEAR(D991),MONTH(D991),1))</f>
        <v/>
      </c>
      <c r="M991" s="70" t="str">
        <f aca="false">IF(B991="","",IF(AND(ISNUMBER(D991),ISNUMBER(E991),E991&lt;D991),"⚠ Término anterior al inicio",IF(J991&lt;&gt;"Sí","Pendiente comprobante firmado","OK")))</f>
        <v/>
      </c>
    </row>
    <row r="992" customFormat="false" ht="15" hidden="false" customHeight="false" outlineLevel="0" collapsed="false">
      <c r="B992" s="64"/>
      <c r="C992" s="72" t="str">
        <f aca="false">IF(B992="","",IFERROR(INDEX(T_NOMBRE,MATCH(B992,T_ID,0)),"⚠ ID no existe"))</f>
        <v/>
      </c>
      <c r="D992" s="65"/>
      <c r="E992" s="65"/>
      <c r="F992" s="64"/>
      <c r="G992" s="74" t="str">
        <f aca="false">IF(OR(B992="",NOT(ISNUMBER(D992)),NOT(ISNUMBER(E992))),"",NETWORKDAYS(D992,E992,FERIADOS))</f>
        <v/>
      </c>
      <c r="H992" s="69"/>
      <c r="I992" s="74" t="str">
        <f aca="false">IF(B992="","",IF(ISNUMBER(H992),H992,N(G992)))</f>
        <v/>
      </c>
      <c r="J992" s="64"/>
      <c r="K992" s="64"/>
      <c r="L992" s="93" t="str">
        <f aca="false">IF(NOT(ISNUMBER(D992)),"",DATE(YEAR(D992),MONTH(D992),1))</f>
        <v/>
      </c>
      <c r="M992" s="70" t="str">
        <f aca="false">IF(B992="","",IF(AND(ISNUMBER(D992),ISNUMBER(E992),E992&lt;D992),"⚠ Término anterior al inicio",IF(J992&lt;&gt;"Sí","Pendiente comprobante firmado","OK")))</f>
        <v/>
      </c>
    </row>
    <row r="993" customFormat="false" ht="15" hidden="false" customHeight="false" outlineLevel="0" collapsed="false">
      <c r="B993" s="64"/>
      <c r="C993" s="72" t="str">
        <f aca="false">IF(B993="","",IFERROR(INDEX(T_NOMBRE,MATCH(B993,T_ID,0)),"⚠ ID no existe"))</f>
        <v/>
      </c>
      <c r="D993" s="65"/>
      <c r="E993" s="65"/>
      <c r="F993" s="64"/>
      <c r="G993" s="74" t="str">
        <f aca="false">IF(OR(B993="",NOT(ISNUMBER(D993)),NOT(ISNUMBER(E993))),"",NETWORKDAYS(D993,E993,FERIADOS))</f>
        <v/>
      </c>
      <c r="H993" s="69"/>
      <c r="I993" s="74" t="str">
        <f aca="false">IF(B993="","",IF(ISNUMBER(H993),H993,N(G993)))</f>
        <v/>
      </c>
      <c r="J993" s="64"/>
      <c r="K993" s="64"/>
      <c r="L993" s="93" t="str">
        <f aca="false">IF(NOT(ISNUMBER(D993)),"",DATE(YEAR(D993),MONTH(D993),1))</f>
        <v/>
      </c>
      <c r="M993" s="70" t="str">
        <f aca="false">IF(B993="","",IF(AND(ISNUMBER(D993),ISNUMBER(E993),E993&lt;D993),"⚠ Término anterior al inicio",IF(J993&lt;&gt;"Sí","Pendiente comprobante firmado","OK")))</f>
        <v/>
      </c>
    </row>
    <row r="994" customFormat="false" ht="15" hidden="false" customHeight="false" outlineLevel="0" collapsed="false">
      <c r="B994" s="64"/>
      <c r="C994" s="72" t="str">
        <f aca="false">IF(B994="","",IFERROR(INDEX(T_NOMBRE,MATCH(B994,T_ID,0)),"⚠ ID no existe"))</f>
        <v/>
      </c>
      <c r="D994" s="65"/>
      <c r="E994" s="65"/>
      <c r="F994" s="64"/>
      <c r="G994" s="74" t="str">
        <f aca="false">IF(OR(B994="",NOT(ISNUMBER(D994)),NOT(ISNUMBER(E994))),"",NETWORKDAYS(D994,E994,FERIADOS))</f>
        <v/>
      </c>
      <c r="H994" s="69"/>
      <c r="I994" s="74" t="str">
        <f aca="false">IF(B994="","",IF(ISNUMBER(H994),H994,N(G994)))</f>
        <v/>
      </c>
      <c r="J994" s="64"/>
      <c r="K994" s="64"/>
      <c r="L994" s="93" t="str">
        <f aca="false">IF(NOT(ISNUMBER(D994)),"",DATE(YEAR(D994),MONTH(D994),1))</f>
        <v/>
      </c>
      <c r="M994" s="70" t="str">
        <f aca="false">IF(B994="","",IF(AND(ISNUMBER(D994),ISNUMBER(E994),E994&lt;D994),"⚠ Término anterior al inicio",IF(J994&lt;&gt;"Sí","Pendiente comprobante firmado","OK")))</f>
        <v/>
      </c>
    </row>
    <row r="995" customFormat="false" ht="15" hidden="false" customHeight="false" outlineLevel="0" collapsed="false">
      <c r="B995" s="64"/>
      <c r="C995" s="72" t="str">
        <f aca="false">IF(B995="","",IFERROR(INDEX(T_NOMBRE,MATCH(B995,T_ID,0)),"⚠ ID no existe"))</f>
        <v/>
      </c>
      <c r="D995" s="65"/>
      <c r="E995" s="65"/>
      <c r="F995" s="64"/>
      <c r="G995" s="74" t="str">
        <f aca="false">IF(OR(B995="",NOT(ISNUMBER(D995)),NOT(ISNUMBER(E995))),"",NETWORKDAYS(D995,E995,FERIADOS))</f>
        <v/>
      </c>
      <c r="H995" s="69"/>
      <c r="I995" s="74" t="str">
        <f aca="false">IF(B995="","",IF(ISNUMBER(H995),H995,N(G995)))</f>
        <v/>
      </c>
      <c r="J995" s="64"/>
      <c r="K995" s="64"/>
      <c r="L995" s="93" t="str">
        <f aca="false">IF(NOT(ISNUMBER(D995)),"",DATE(YEAR(D995),MONTH(D995),1))</f>
        <v/>
      </c>
      <c r="M995" s="70" t="str">
        <f aca="false">IF(B995="","",IF(AND(ISNUMBER(D995),ISNUMBER(E995),E995&lt;D995),"⚠ Término anterior al inicio",IF(J995&lt;&gt;"Sí","Pendiente comprobante firmado","OK")))</f>
        <v/>
      </c>
    </row>
    <row r="996" customFormat="false" ht="15" hidden="false" customHeight="false" outlineLevel="0" collapsed="false">
      <c r="B996" s="64"/>
      <c r="C996" s="72" t="str">
        <f aca="false">IF(B996="","",IFERROR(INDEX(T_NOMBRE,MATCH(B996,T_ID,0)),"⚠ ID no existe"))</f>
        <v/>
      </c>
      <c r="D996" s="65"/>
      <c r="E996" s="65"/>
      <c r="F996" s="64"/>
      <c r="G996" s="74" t="str">
        <f aca="false">IF(OR(B996="",NOT(ISNUMBER(D996)),NOT(ISNUMBER(E996))),"",NETWORKDAYS(D996,E996,FERIADOS))</f>
        <v/>
      </c>
      <c r="H996" s="69"/>
      <c r="I996" s="74" t="str">
        <f aca="false">IF(B996="","",IF(ISNUMBER(H996),H996,N(G996)))</f>
        <v/>
      </c>
      <c r="J996" s="64"/>
      <c r="K996" s="64"/>
      <c r="L996" s="93" t="str">
        <f aca="false">IF(NOT(ISNUMBER(D996)),"",DATE(YEAR(D996),MONTH(D996),1))</f>
        <v/>
      </c>
      <c r="M996" s="70" t="str">
        <f aca="false">IF(B996="","",IF(AND(ISNUMBER(D996),ISNUMBER(E996),E996&lt;D996),"⚠ Término anterior al inicio",IF(J996&lt;&gt;"Sí","Pendiente comprobante firmado","OK")))</f>
        <v/>
      </c>
    </row>
    <row r="997" customFormat="false" ht="15" hidden="false" customHeight="false" outlineLevel="0" collapsed="false">
      <c r="B997" s="64"/>
      <c r="C997" s="72" t="str">
        <f aca="false">IF(B997="","",IFERROR(INDEX(T_NOMBRE,MATCH(B997,T_ID,0)),"⚠ ID no existe"))</f>
        <v/>
      </c>
      <c r="D997" s="65"/>
      <c r="E997" s="65"/>
      <c r="F997" s="64"/>
      <c r="G997" s="74" t="str">
        <f aca="false">IF(OR(B997="",NOT(ISNUMBER(D997)),NOT(ISNUMBER(E997))),"",NETWORKDAYS(D997,E997,FERIADOS))</f>
        <v/>
      </c>
      <c r="H997" s="69"/>
      <c r="I997" s="74" t="str">
        <f aca="false">IF(B997="","",IF(ISNUMBER(H997),H997,N(G997)))</f>
        <v/>
      </c>
      <c r="J997" s="64"/>
      <c r="K997" s="64"/>
      <c r="L997" s="93" t="str">
        <f aca="false">IF(NOT(ISNUMBER(D997)),"",DATE(YEAR(D997),MONTH(D997),1))</f>
        <v/>
      </c>
      <c r="M997" s="70" t="str">
        <f aca="false">IF(B997="","",IF(AND(ISNUMBER(D997),ISNUMBER(E997),E997&lt;D997),"⚠ Término anterior al inicio",IF(J997&lt;&gt;"Sí","Pendiente comprobante firmado","OK")))</f>
        <v/>
      </c>
    </row>
    <row r="998" customFormat="false" ht="15" hidden="false" customHeight="false" outlineLevel="0" collapsed="false">
      <c r="B998" s="64"/>
      <c r="C998" s="72" t="str">
        <f aca="false">IF(B998="","",IFERROR(INDEX(T_NOMBRE,MATCH(B998,T_ID,0)),"⚠ ID no existe"))</f>
        <v/>
      </c>
      <c r="D998" s="65"/>
      <c r="E998" s="65"/>
      <c r="F998" s="64"/>
      <c r="G998" s="74" t="str">
        <f aca="false">IF(OR(B998="",NOT(ISNUMBER(D998)),NOT(ISNUMBER(E998))),"",NETWORKDAYS(D998,E998,FERIADOS))</f>
        <v/>
      </c>
      <c r="H998" s="69"/>
      <c r="I998" s="74" t="str">
        <f aca="false">IF(B998="","",IF(ISNUMBER(H998),H998,N(G998)))</f>
        <v/>
      </c>
      <c r="J998" s="64"/>
      <c r="K998" s="64"/>
      <c r="L998" s="93" t="str">
        <f aca="false">IF(NOT(ISNUMBER(D998)),"",DATE(YEAR(D998),MONTH(D998),1))</f>
        <v/>
      </c>
      <c r="M998" s="70" t="str">
        <f aca="false">IF(B998="","",IF(AND(ISNUMBER(D998),ISNUMBER(E998),E998&lt;D998),"⚠ Término anterior al inicio",IF(J998&lt;&gt;"Sí","Pendiente comprobante firmado","OK")))</f>
        <v/>
      </c>
    </row>
    <row r="999" customFormat="false" ht="15" hidden="false" customHeight="false" outlineLevel="0" collapsed="false">
      <c r="B999" s="64"/>
      <c r="C999" s="72" t="str">
        <f aca="false">IF(B999="","",IFERROR(INDEX(T_NOMBRE,MATCH(B999,T_ID,0)),"⚠ ID no existe"))</f>
        <v/>
      </c>
      <c r="D999" s="65"/>
      <c r="E999" s="65"/>
      <c r="F999" s="64"/>
      <c r="G999" s="74" t="str">
        <f aca="false">IF(OR(B999="",NOT(ISNUMBER(D999)),NOT(ISNUMBER(E999))),"",NETWORKDAYS(D999,E999,FERIADOS))</f>
        <v/>
      </c>
      <c r="H999" s="69"/>
      <c r="I999" s="74" t="str">
        <f aca="false">IF(B999="","",IF(ISNUMBER(H999),H999,N(G999)))</f>
        <v/>
      </c>
      <c r="J999" s="64"/>
      <c r="K999" s="64"/>
      <c r="L999" s="93" t="str">
        <f aca="false">IF(NOT(ISNUMBER(D999)),"",DATE(YEAR(D999),MONTH(D999),1))</f>
        <v/>
      </c>
      <c r="M999" s="70" t="str">
        <f aca="false">IF(B999="","",IF(AND(ISNUMBER(D999),ISNUMBER(E999),E999&lt;D999),"⚠ Término anterior al inicio",IF(J999&lt;&gt;"Sí","Pendiente comprobante firmado","OK")))</f>
        <v/>
      </c>
    </row>
    <row r="1000" customFormat="false" ht="15" hidden="false" customHeight="false" outlineLevel="0" collapsed="false">
      <c r="B1000" s="64"/>
      <c r="C1000" s="72" t="str">
        <f aca="false">IF(B1000="","",IFERROR(INDEX(T_NOMBRE,MATCH(B1000,T_ID,0)),"⚠ ID no existe"))</f>
        <v/>
      </c>
      <c r="D1000" s="65"/>
      <c r="E1000" s="65"/>
      <c r="F1000" s="64"/>
      <c r="G1000" s="74" t="str">
        <f aca="false">IF(OR(B1000="",NOT(ISNUMBER(D1000)),NOT(ISNUMBER(E1000))),"",NETWORKDAYS(D1000,E1000,FERIADOS))</f>
        <v/>
      </c>
      <c r="H1000" s="69"/>
      <c r="I1000" s="74" t="str">
        <f aca="false">IF(B1000="","",IF(ISNUMBER(H1000),H1000,N(G1000)))</f>
        <v/>
      </c>
      <c r="J1000" s="64"/>
      <c r="K1000" s="64"/>
      <c r="L1000" s="93" t="str">
        <f aca="false">IF(NOT(ISNUMBER(D1000)),"",DATE(YEAR(D1000),MONTH(D1000),1))</f>
        <v/>
      </c>
      <c r="M1000" s="70" t="str">
        <f aca="false">IF(B1000="","",IF(AND(ISNUMBER(D1000),ISNUMBER(E1000),E1000&lt;D1000),"⚠ Término anterior al inicio",IF(J1000&lt;&gt;"Sí","Pendiente comprobante firmado","OK")))</f>
        <v/>
      </c>
    </row>
    <row r="1001" customFormat="false" ht="15" hidden="false" customHeight="false" outlineLevel="0" collapsed="false">
      <c r="B1001" s="64"/>
      <c r="C1001" s="72" t="str">
        <f aca="false">IF(B1001="","",IFERROR(INDEX(T_NOMBRE,MATCH(B1001,T_ID,0)),"⚠ ID no existe"))</f>
        <v/>
      </c>
      <c r="D1001" s="65"/>
      <c r="E1001" s="65"/>
      <c r="F1001" s="64"/>
      <c r="G1001" s="74" t="str">
        <f aca="false">IF(OR(B1001="",NOT(ISNUMBER(D1001)),NOT(ISNUMBER(E1001))),"",NETWORKDAYS(D1001,E1001,FERIADOS))</f>
        <v/>
      </c>
      <c r="H1001" s="69"/>
      <c r="I1001" s="74" t="str">
        <f aca="false">IF(B1001="","",IF(ISNUMBER(H1001),H1001,N(G1001)))</f>
        <v/>
      </c>
      <c r="J1001" s="64"/>
      <c r="K1001" s="64"/>
      <c r="L1001" s="93" t="str">
        <f aca="false">IF(NOT(ISNUMBER(D1001)),"",DATE(YEAR(D1001),MONTH(D1001),1))</f>
        <v/>
      </c>
      <c r="M1001" s="70" t="str">
        <f aca="false">IF(B1001="","",IF(AND(ISNUMBER(D1001),ISNUMBER(E1001),E1001&lt;D1001),"⚠ Término anterior al inicio",IF(J1001&lt;&gt;"Sí","Pendiente comprobante firmado","OK")))</f>
        <v/>
      </c>
    </row>
    <row r="1002" customFormat="false" ht="15" hidden="false" customHeight="false" outlineLevel="0" collapsed="false">
      <c r="B1002" s="64"/>
      <c r="C1002" s="72" t="str">
        <f aca="false">IF(B1002="","",IFERROR(INDEX(T_NOMBRE,MATCH(B1002,T_ID,0)),"⚠ ID no existe"))</f>
        <v/>
      </c>
      <c r="D1002" s="65"/>
      <c r="E1002" s="65"/>
      <c r="F1002" s="64"/>
      <c r="G1002" s="74" t="str">
        <f aca="false">IF(OR(B1002="",NOT(ISNUMBER(D1002)),NOT(ISNUMBER(E1002))),"",NETWORKDAYS(D1002,E1002,FERIADOS))</f>
        <v/>
      </c>
      <c r="H1002" s="69"/>
      <c r="I1002" s="74" t="str">
        <f aca="false">IF(B1002="","",IF(ISNUMBER(H1002),H1002,N(G1002)))</f>
        <v/>
      </c>
      <c r="J1002" s="64"/>
      <c r="K1002" s="64"/>
      <c r="L1002" s="93" t="str">
        <f aca="false">IF(NOT(ISNUMBER(D1002)),"",DATE(YEAR(D1002),MONTH(D1002),1))</f>
        <v/>
      </c>
      <c r="M1002" s="70" t="str">
        <f aca="false">IF(B1002="","",IF(AND(ISNUMBER(D1002),ISNUMBER(E1002),E1002&lt;D1002),"⚠ Término anterior al inicio",IF(J1002&lt;&gt;"Sí","Pendiente comprobante firmado","OK")))</f>
        <v/>
      </c>
    </row>
    <row r="1003" customFormat="false" ht="15" hidden="false" customHeight="false" outlineLevel="0" collapsed="false">
      <c r="B1003" s="64"/>
      <c r="C1003" s="72" t="str">
        <f aca="false">IF(B1003="","",IFERROR(INDEX(T_NOMBRE,MATCH(B1003,T_ID,0)),"⚠ ID no existe"))</f>
        <v/>
      </c>
      <c r="D1003" s="65"/>
      <c r="E1003" s="65"/>
      <c r="F1003" s="64"/>
      <c r="G1003" s="74" t="str">
        <f aca="false">IF(OR(B1003="",NOT(ISNUMBER(D1003)),NOT(ISNUMBER(E1003))),"",NETWORKDAYS(D1003,E1003,FERIADOS))</f>
        <v/>
      </c>
      <c r="H1003" s="69"/>
      <c r="I1003" s="74" t="str">
        <f aca="false">IF(B1003="","",IF(ISNUMBER(H1003),H1003,N(G1003)))</f>
        <v/>
      </c>
      <c r="J1003" s="64"/>
      <c r="K1003" s="64"/>
      <c r="L1003" s="93" t="str">
        <f aca="false">IF(NOT(ISNUMBER(D1003)),"",DATE(YEAR(D1003),MONTH(D1003),1))</f>
        <v/>
      </c>
      <c r="M1003" s="70" t="str">
        <f aca="false">IF(B1003="","",IF(AND(ISNUMBER(D1003),ISNUMBER(E1003),E1003&lt;D1003),"⚠ Término anterior al inicio",IF(J1003&lt;&gt;"Sí","Pendiente comprobante firmado","OK")))</f>
        <v/>
      </c>
    </row>
    <row r="1004" customFormat="false" ht="15" hidden="false" customHeight="false" outlineLevel="0" collapsed="false">
      <c r="B1004" s="64"/>
      <c r="C1004" s="72" t="str">
        <f aca="false">IF(B1004="","",IFERROR(INDEX(T_NOMBRE,MATCH(B1004,T_ID,0)),"⚠ ID no existe"))</f>
        <v/>
      </c>
      <c r="D1004" s="65"/>
      <c r="E1004" s="65"/>
      <c r="F1004" s="64"/>
      <c r="G1004" s="74" t="str">
        <f aca="false">IF(OR(B1004="",NOT(ISNUMBER(D1004)),NOT(ISNUMBER(E1004))),"",NETWORKDAYS(D1004,E1004,FERIADOS))</f>
        <v/>
      </c>
      <c r="H1004" s="69"/>
      <c r="I1004" s="74" t="str">
        <f aca="false">IF(B1004="","",IF(ISNUMBER(H1004),H1004,N(G1004)))</f>
        <v/>
      </c>
      <c r="J1004" s="64"/>
      <c r="K1004" s="64"/>
      <c r="L1004" s="93" t="str">
        <f aca="false">IF(NOT(ISNUMBER(D1004)),"",DATE(YEAR(D1004),MONTH(D1004),1))</f>
        <v/>
      </c>
      <c r="M1004" s="70" t="str">
        <f aca="false">IF(B1004="","",IF(AND(ISNUMBER(D1004),ISNUMBER(E1004),E1004&lt;D1004),"⚠ Término anterior al inicio",IF(J1004&lt;&gt;"Sí","Pendiente comprobante firmado","OK")))</f>
        <v/>
      </c>
    </row>
    <row r="1005" customFormat="false" ht="15" hidden="false" customHeight="false" outlineLevel="0" collapsed="false">
      <c r="B1005" s="64"/>
      <c r="C1005" s="72" t="str">
        <f aca="false">IF(B1005="","",IFERROR(INDEX(T_NOMBRE,MATCH(B1005,T_ID,0)),"⚠ ID no existe"))</f>
        <v/>
      </c>
      <c r="D1005" s="65"/>
      <c r="E1005" s="65"/>
      <c r="F1005" s="64"/>
      <c r="G1005" s="74" t="str">
        <f aca="false">IF(OR(B1005="",NOT(ISNUMBER(D1005)),NOT(ISNUMBER(E1005))),"",NETWORKDAYS(D1005,E1005,FERIADOS))</f>
        <v/>
      </c>
      <c r="H1005" s="69"/>
      <c r="I1005" s="74" t="str">
        <f aca="false">IF(B1005="","",IF(ISNUMBER(H1005),H1005,N(G1005)))</f>
        <v/>
      </c>
      <c r="J1005" s="64"/>
      <c r="K1005" s="64"/>
      <c r="L1005" s="93" t="str">
        <f aca="false">IF(NOT(ISNUMBER(D1005)),"",DATE(YEAR(D1005),MONTH(D1005),1))</f>
        <v/>
      </c>
      <c r="M1005" s="70" t="str">
        <f aca="false">IF(B1005="","",IF(AND(ISNUMBER(D1005),ISNUMBER(E1005),E1005&lt;D1005),"⚠ Término anterior al inicio",IF(J1005&lt;&gt;"Sí","Pendiente comprobante firmado","OK")))</f>
        <v/>
      </c>
    </row>
    <row r="1006" customFormat="false" ht="15" hidden="false" customHeight="false" outlineLevel="0" collapsed="false">
      <c r="B1006" s="64"/>
      <c r="C1006" s="72" t="str">
        <f aca="false">IF(B1006="","",IFERROR(INDEX(T_NOMBRE,MATCH(B1006,T_ID,0)),"⚠ ID no existe"))</f>
        <v/>
      </c>
      <c r="D1006" s="65"/>
      <c r="E1006" s="65"/>
      <c r="F1006" s="64"/>
      <c r="G1006" s="74" t="str">
        <f aca="false">IF(OR(B1006="",NOT(ISNUMBER(D1006)),NOT(ISNUMBER(E1006))),"",NETWORKDAYS(D1006,E1006,FERIADOS))</f>
        <v/>
      </c>
      <c r="H1006" s="69"/>
      <c r="I1006" s="74" t="str">
        <f aca="false">IF(B1006="","",IF(ISNUMBER(H1006),H1006,N(G1006)))</f>
        <v/>
      </c>
      <c r="J1006" s="64"/>
      <c r="K1006" s="64"/>
      <c r="L1006" s="93" t="str">
        <f aca="false">IF(NOT(ISNUMBER(D1006)),"",DATE(YEAR(D1006),MONTH(D1006),1))</f>
        <v/>
      </c>
      <c r="M1006" s="70" t="str">
        <f aca="false">IF(B1006="","",IF(AND(ISNUMBER(D1006),ISNUMBER(E1006),E1006&lt;D1006),"⚠ Término anterior al inicio",IF(J1006&lt;&gt;"Sí","Pendiente comprobante firmado","OK")))</f>
        <v/>
      </c>
    </row>
    <row r="1007" customFormat="false" ht="15" hidden="false" customHeight="false" outlineLevel="0" collapsed="false">
      <c r="B1007" s="64"/>
      <c r="C1007" s="72" t="str">
        <f aca="false">IF(B1007="","",IFERROR(INDEX(T_NOMBRE,MATCH(B1007,T_ID,0)),"⚠ ID no existe"))</f>
        <v/>
      </c>
      <c r="D1007" s="65"/>
      <c r="E1007" s="65"/>
      <c r="F1007" s="64"/>
      <c r="G1007" s="74" t="str">
        <f aca="false">IF(OR(B1007="",NOT(ISNUMBER(D1007)),NOT(ISNUMBER(E1007))),"",NETWORKDAYS(D1007,E1007,FERIADOS))</f>
        <v/>
      </c>
      <c r="H1007" s="69"/>
      <c r="I1007" s="74" t="str">
        <f aca="false">IF(B1007="","",IF(ISNUMBER(H1007),H1007,N(G1007)))</f>
        <v/>
      </c>
      <c r="J1007" s="64"/>
      <c r="K1007" s="64"/>
      <c r="L1007" s="93" t="str">
        <f aca="false">IF(NOT(ISNUMBER(D1007)),"",DATE(YEAR(D1007),MONTH(D1007),1))</f>
        <v/>
      </c>
      <c r="M1007" s="70" t="str">
        <f aca="false">IF(B1007="","",IF(AND(ISNUMBER(D1007),ISNUMBER(E1007),E1007&lt;D1007),"⚠ Término anterior al inicio",IF(J1007&lt;&gt;"Sí","Pendiente comprobante firmado","OK")))</f>
        <v/>
      </c>
    </row>
    <row r="1008" customFormat="false" ht="15" hidden="false" customHeight="false" outlineLevel="0" collapsed="false">
      <c r="B1008" s="64"/>
      <c r="C1008" s="72" t="str">
        <f aca="false">IF(B1008="","",IFERROR(INDEX(T_NOMBRE,MATCH(B1008,T_ID,0)),"⚠ ID no existe"))</f>
        <v/>
      </c>
      <c r="D1008" s="65"/>
      <c r="E1008" s="65"/>
      <c r="F1008" s="64"/>
      <c r="G1008" s="74" t="str">
        <f aca="false">IF(OR(B1008="",NOT(ISNUMBER(D1008)),NOT(ISNUMBER(E1008))),"",NETWORKDAYS(D1008,E1008,FERIADOS))</f>
        <v/>
      </c>
      <c r="H1008" s="69"/>
      <c r="I1008" s="74" t="str">
        <f aca="false">IF(B1008="","",IF(ISNUMBER(H1008),H1008,N(G1008)))</f>
        <v/>
      </c>
      <c r="J1008" s="64"/>
      <c r="K1008" s="64"/>
      <c r="L1008" s="93" t="str">
        <f aca="false">IF(NOT(ISNUMBER(D1008)),"",DATE(YEAR(D1008),MONTH(D1008),1))</f>
        <v/>
      </c>
      <c r="M1008" s="70" t="str">
        <f aca="false">IF(B1008="","",IF(AND(ISNUMBER(D1008),ISNUMBER(E1008),E1008&lt;D1008),"⚠ Término anterior al inicio",IF(J1008&lt;&gt;"Sí","Pendiente comprobante firmado","OK")))</f>
        <v/>
      </c>
    </row>
    <row r="1009" customFormat="false" ht="15" hidden="false" customHeight="false" outlineLevel="0" collapsed="false">
      <c r="B1009" s="64"/>
      <c r="C1009" s="72" t="str">
        <f aca="false">IF(B1009="","",IFERROR(INDEX(T_NOMBRE,MATCH(B1009,T_ID,0)),"⚠ ID no existe"))</f>
        <v/>
      </c>
      <c r="D1009" s="65"/>
      <c r="E1009" s="65"/>
      <c r="F1009" s="64"/>
      <c r="G1009" s="74" t="str">
        <f aca="false">IF(OR(B1009="",NOT(ISNUMBER(D1009)),NOT(ISNUMBER(E1009))),"",NETWORKDAYS(D1009,E1009,FERIADOS))</f>
        <v/>
      </c>
      <c r="H1009" s="69"/>
      <c r="I1009" s="74" t="str">
        <f aca="false">IF(B1009="","",IF(ISNUMBER(H1009),H1009,N(G1009)))</f>
        <v/>
      </c>
      <c r="J1009" s="64"/>
      <c r="K1009" s="64"/>
      <c r="L1009" s="93" t="str">
        <f aca="false">IF(NOT(ISNUMBER(D1009)),"",DATE(YEAR(D1009),MONTH(D1009),1))</f>
        <v/>
      </c>
      <c r="M1009" s="70" t="str">
        <f aca="false">IF(B1009="","",IF(AND(ISNUMBER(D1009),ISNUMBER(E1009),E1009&lt;D1009),"⚠ Término anterior al inicio",IF(J1009&lt;&gt;"Sí","Pendiente comprobante firmado","OK")))</f>
        <v/>
      </c>
    </row>
    <row r="1010" customFormat="false" ht="15" hidden="false" customHeight="false" outlineLevel="0" collapsed="false">
      <c r="B1010" s="64"/>
      <c r="C1010" s="72" t="str">
        <f aca="false">IF(B1010="","",IFERROR(INDEX(T_NOMBRE,MATCH(B1010,T_ID,0)),"⚠ ID no existe"))</f>
        <v/>
      </c>
      <c r="D1010" s="65"/>
      <c r="E1010" s="65"/>
      <c r="F1010" s="64"/>
      <c r="G1010" s="74" t="str">
        <f aca="false">IF(OR(B1010="",NOT(ISNUMBER(D1010)),NOT(ISNUMBER(E1010))),"",NETWORKDAYS(D1010,E1010,FERIADOS))</f>
        <v/>
      </c>
      <c r="H1010" s="69"/>
      <c r="I1010" s="74" t="str">
        <f aca="false">IF(B1010="","",IF(ISNUMBER(H1010),H1010,N(G1010)))</f>
        <v/>
      </c>
      <c r="J1010" s="64"/>
      <c r="K1010" s="64"/>
      <c r="L1010" s="93" t="str">
        <f aca="false">IF(NOT(ISNUMBER(D1010)),"",DATE(YEAR(D1010),MONTH(D1010),1))</f>
        <v/>
      </c>
      <c r="M1010" s="70" t="str">
        <f aca="false">IF(B1010="","",IF(AND(ISNUMBER(D1010),ISNUMBER(E1010),E1010&lt;D1010),"⚠ Término anterior al inicio",IF(J1010&lt;&gt;"Sí","Pendiente comprobante firmado","OK")))</f>
        <v/>
      </c>
    </row>
    <row r="1011" customFormat="false" ht="15" hidden="false" customHeight="false" outlineLevel="0" collapsed="false">
      <c r="B1011" s="64"/>
      <c r="C1011" s="72" t="str">
        <f aca="false">IF(B1011="","",IFERROR(INDEX(T_NOMBRE,MATCH(B1011,T_ID,0)),"⚠ ID no existe"))</f>
        <v/>
      </c>
      <c r="D1011" s="65"/>
      <c r="E1011" s="65"/>
      <c r="F1011" s="64"/>
      <c r="G1011" s="74" t="str">
        <f aca="false">IF(OR(B1011="",NOT(ISNUMBER(D1011)),NOT(ISNUMBER(E1011))),"",NETWORKDAYS(D1011,E1011,FERIADOS))</f>
        <v/>
      </c>
      <c r="H1011" s="69"/>
      <c r="I1011" s="74" t="str">
        <f aca="false">IF(B1011="","",IF(ISNUMBER(H1011),H1011,N(G1011)))</f>
        <v/>
      </c>
      <c r="J1011" s="64"/>
      <c r="K1011" s="64"/>
      <c r="L1011" s="93" t="str">
        <f aca="false">IF(NOT(ISNUMBER(D1011)),"",DATE(YEAR(D1011),MONTH(D1011),1))</f>
        <v/>
      </c>
      <c r="M1011" s="70" t="str">
        <f aca="false">IF(B1011="","",IF(AND(ISNUMBER(D1011),ISNUMBER(E1011),E1011&lt;D1011),"⚠ Término anterior al inicio",IF(J1011&lt;&gt;"Sí","Pendiente comprobante firmado","OK")))</f>
        <v/>
      </c>
    </row>
    <row r="1012" customFormat="false" ht="15" hidden="false" customHeight="false" outlineLevel="0" collapsed="false">
      <c r="B1012" s="64"/>
      <c r="C1012" s="72" t="str">
        <f aca="false">IF(B1012="","",IFERROR(INDEX(T_NOMBRE,MATCH(B1012,T_ID,0)),"⚠ ID no existe"))</f>
        <v/>
      </c>
      <c r="D1012" s="65"/>
      <c r="E1012" s="65"/>
      <c r="F1012" s="64"/>
      <c r="G1012" s="74" t="str">
        <f aca="false">IF(OR(B1012="",NOT(ISNUMBER(D1012)),NOT(ISNUMBER(E1012))),"",NETWORKDAYS(D1012,E1012,FERIADOS))</f>
        <v/>
      </c>
      <c r="H1012" s="69"/>
      <c r="I1012" s="74" t="str">
        <f aca="false">IF(B1012="","",IF(ISNUMBER(H1012),H1012,N(G1012)))</f>
        <v/>
      </c>
      <c r="J1012" s="64"/>
      <c r="K1012" s="64"/>
      <c r="L1012" s="93" t="str">
        <f aca="false">IF(NOT(ISNUMBER(D1012)),"",DATE(YEAR(D1012),MONTH(D1012),1))</f>
        <v/>
      </c>
      <c r="M1012" s="70" t="str">
        <f aca="false">IF(B1012="","",IF(AND(ISNUMBER(D1012),ISNUMBER(E1012),E1012&lt;D1012),"⚠ Término anterior al inicio",IF(J1012&lt;&gt;"Sí","Pendiente comprobante firmado","OK")))</f>
        <v/>
      </c>
    </row>
    <row r="1013" customFormat="false" ht="15" hidden="false" customHeight="false" outlineLevel="0" collapsed="false">
      <c r="B1013" s="64"/>
      <c r="C1013" s="72" t="str">
        <f aca="false">IF(B1013="","",IFERROR(INDEX(T_NOMBRE,MATCH(B1013,T_ID,0)),"⚠ ID no existe"))</f>
        <v/>
      </c>
      <c r="D1013" s="65"/>
      <c r="E1013" s="65"/>
      <c r="F1013" s="64"/>
      <c r="G1013" s="74" t="str">
        <f aca="false">IF(OR(B1013="",NOT(ISNUMBER(D1013)),NOT(ISNUMBER(E1013))),"",NETWORKDAYS(D1013,E1013,FERIADOS))</f>
        <v/>
      </c>
      <c r="H1013" s="69"/>
      <c r="I1013" s="74" t="str">
        <f aca="false">IF(B1013="","",IF(ISNUMBER(H1013),H1013,N(G1013)))</f>
        <v/>
      </c>
      <c r="J1013" s="64"/>
      <c r="K1013" s="64"/>
      <c r="L1013" s="93" t="str">
        <f aca="false">IF(NOT(ISNUMBER(D1013)),"",DATE(YEAR(D1013),MONTH(D1013),1))</f>
        <v/>
      </c>
      <c r="M1013" s="70" t="str">
        <f aca="false">IF(B1013="","",IF(AND(ISNUMBER(D1013),ISNUMBER(E1013),E1013&lt;D1013),"⚠ Término anterior al inicio",IF(J1013&lt;&gt;"Sí","Pendiente comprobante firmado","OK")))</f>
        <v/>
      </c>
    </row>
    <row r="1014" customFormat="false" ht="15" hidden="false" customHeight="false" outlineLevel="0" collapsed="false">
      <c r="B1014" s="64"/>
      <c r="C1014" s="72" t="str">
        <f aca="false">IF(B1014="","",IFERROR(INDEX(T_NOMBRE,MATCH(B1014,T_ID,0)),"⚠ ID no existe"))</f>
        <v/>
      </c>
      <c r="D1014" s="65"/>
      <c r="E1014" s="65"/>
      <c r="F1014" s="64"/>
      <c r="G1014" s="74" t="str">
        <f aca="false">IF(OR(B1014="",NOT(ISNUMBER(D1014)),NOT(ISNUMBER(E1014))),"",NETWORKDAYS(D1014,E1014,FERIADOS))</f>
        <v/>
      </c>
      <c r="H1014" s="69"/>
      <c r="I1014" s="74" t="str">
        <f aca="false">IF(B1014="","",IF(ISNUMBER(H1014),H1014,N(G1014)))</f>
        <v/>
      </c>
      <c r="J1014" s="64"/>
      <c r="K1014" s="64"/>
      <c r="L1014" s="93" t="str">
        <f aca="false">IF(NOT(ISNUMBER(D1014)),"",DATE(YEAR(D1014),MONTH(D1014),1))</f>
        <v/>
      </c>
      <c r="M1014" s="70" t="str">
        <f aca="false">IF(B1014="","",IF(AND(ISNUMBER(D1014),ISNUMBER(E1014),E1014&lt;D1014),"⚠ Término anterior al inicio",IF(J1014&lt;&gt;"Sí","Pendiente comprobante firmado","OK")))</f>
        <v/>
      </c>
    </row>
    <row r="1015" customFormat="false" ht="15" hidden="false" customHeight="false" outlineLevel="0" collapsed="false">
      <c r="B1015" s="64"/>
      <c r="C1015" s="72" t="str">
        <f aca="false">IF(B1015="","",IFERROR(INDEX(T_NOMBRE,MATCH(B1015,T_ID,0)),"⚠ ID no existe"))</f>
        <v/>
      </c>
      <c r="D1015" s="65"/>
      <c r="E1015" s="65"/>
      <c r="F1015" s="64"/>
      <c r="G1015" s="74" t="str">
        <f aca="false">IF(OR(B1015="",NOT(ISNUMBER(D1015)),NOT(ISNUMBER(E1015))),"",NETWORKDAYS(D1015,E1015,FERIADOS))</f>
        <v/>
      </c>
      <c r="H1015" s="69"/>
      <c r="I1015" s="74" t="str">
        <f aca="false">IF(B1015="","",IF(ISNUMBER(H1015),H1015,N(G1015)))</f>
        <v/>
      </c>
      <c r="J1015" s="64"/>
      <c r="K1015" s="64"/>
      <c r="L1015" s="93" t="str">
        <f aca="false">IF(NOT(ISNUMBER(D1015)),"",DATE(YEAR(D1015),MONTH(D1015),1))</f>
        <v/>
      </c>
      <c r="M1015" s="70" t="str">
        <f aca="false">IF(B1015="","",IF(AND(ISNUMBER(D1015),ISNUMBER(E1015),E1015&lt;D1015),"⚠ Término anterior al inicio",IF(J1015&lt;&gt;"Sí","Pendiente comprobante firmado","OK")))</f>
        <v/>
      </c>
    </row>
    <row r="1016" customFormat="false" ht="15" hidden="false" customHeight="false" outlineLevel="0" collapsed="false">
      <c r="B1016" s="64"/>
      <c r="C1016" s="72" t="str">
        <f aca="false">IF(B1016="","",IFERROR(INDEX(T_NOMBRE,MATCH(B1016,T_ID,0)),"⚠ ID no existe"))</f>
        <v/>
      </c>
      <c r="D1016" s="65"/>
      <c r="E1016" s="65"/>
      <c r="F1016" s="64"/>
      <c r="G1016" s="74" t="str">
        <f aca="false">IF(OR(B1016="",NOT(ISNUMBER(D1016)),NOT(ISNUMBER(E1016))),"",NETWORKDAYS(D1016,E1016,FERIADOS))</f>
        <v/>
      </c>
      <c r="H1016" s="69"/>
      <c r="I1016" s="74" t="str">
        <f aca="false">IF(B1016="","",IF(ISNUMBER(H1016),H1016,N(G1016)))</f>
        <v/>
      </c>
      <c r="J1016" s="64"/>
      <c r="K1016" s="64"/>
      <c r="L1016" s="93" t="str">
        <f aca="false">IF(NOT(ISNUMBER(D1016)),"",DATE(YEAR(D1016),MONTH(D1016),1))</f>
        <v/>
      </c>
      <c r="M1016" s="70" t="str">
        <f aca="false">IF(B1016="","",IF(AND(ISNUMBER(D1016),ISNUMBER(E1016),E1016&lt;D1016),"⚠ Término anterior al inicio",IF(J1016&lt;&gt;"Sí","Pendiente comprobante firmado","OK")))</f>
        <v/>
      </c>
    </row>
    <row r="1017" customFormat="false" ht="15" hidden="false" customHeight="false" outlineLevel="0" collapsed="false">
      <c r="B1017" s="64"/>
      <c r="C1017" s="72" t="str">
        <f aca="false">IF(B1017="","",IFERROR(INDEX(T_NOMBRE,MATCH(B1017,T_ID,0)),"⚠ ID no existe"))</f>
        <v/>
      </c>
      <c r="D1017" s="65"/>
      <c r="E1017" s="65"/>
      <c r="F1017" s="64"/>
      <c r="G1017" s="74" t="str">
        <f aca="false">IF(OR(B1017="",NOT(ISNUMBER(D1017)),NOT(ISNUMBER(E1017))),"",NETWORKDAYS(D1017,E1017,FERIADOS))</f>
        <v/>
      </c>
      <c r="H1017" s="69"/>
      <c r="I1017" s="74" t="str">
        <f aca="false">IF(B1017="","",IF(ISNUMBER(H1017),H1017,N(G1017)))</f>
        <v/>
      </c>
      <c r="J1017" s="64"/>
      <c r="K1017" s="64"/>
      <c r="L1017" s="93" t="str">
        <f aca="false">IF(NOT(ISNUMBER(D1017)),"",DATE(YEAR(D1017),MONTH(D1017),1))</f>
        <v/>
      </c>
      <c r="M1017" s="70" t="str">
        <f aca="false">IF(B1017="","",IF(AND(ISNUMBER(D1017),ISNUMBER(E1017),E1017&lt;D1017),"⚠ Término anterior al inicio",IF(J1017&lt;&gt;"Sí","Pendiente comprobante firmado","OK")))</f>
        <v/>
      </c>
    </row>
    <row r="1018" customFormat="false" ht="15" hidden="false" customHeight="false" outlineLevel="0" collapsed="false">
      <c r="B1018" s="64"/>
      <c r="C1018" s="72" t="str">
        <f aca="false">IF(B1018="","",IFERROR(INDEX(T_NOMBRE,MATCH(B1018,T_ID,0)),"⚠ ID no existe"))</f>
        <v/>
      </c>
      <c r="D1018" s="65"/>
      <c r="E1018" s="65"/>
      <c r="F1018" s="64"/>
      <c r="G1018" s="74" t="str">
        <f aca="false">IF(OR(B1018="",NOT(ISNUMBER(D1018)),NOT(ISNUMBER(E1018))),"",NETWORKDAYS(D1018,E1018,FERIADOS))</f>
        <v/>
      </c>
      <c r="H1018" s="69"/>
      <c r="I1018" s="74" t="str">
        <f aca="false">IF(B1018="","",IF(ISNUMBER(H1018),H1018,N(G1018)))</f>
        <v/>
      </c>
      <c r="J1018" s="64"/>
      <c r="K1018" s="64"/>
      <c r="L1018" s="93" t="str">
        <f aca="false">IF(NOT(ISNUMBER(D1018)),"",DATE(YEAR(D1018),MONTH(D1018),1))</f>
        <v/>
      </c>
      <c r="M1018" s="70" t="str">
        <f aca="false">IF(B1018="","",IF(AND(ISNUMBER(D1018),ISNUMBER(E1018),E1018&lt;D1018),"⚠ Término anterior al inicio",IF(J1018&lt;&gt;"Sí","Pendiente comprobante firmado","OK")))</f>
        <v/>
      </c>
    </row>
    <row r="1019" customFormat="false" ht="15" hidden="false" customHeight="false" outlineLevel="0" collapsed="false">
      <c r="B1019" s="64"/>
      <c r="C1019" s="72" t="str">
        <f aca="false">IF(B1019="","",IFERROR(INDEX(T_NOMBRE,MATCH(B1019,T_ID,0)),"⚠ ID no existe"))</f>
        <v/>
      </c>
      <c r="D1019" s="65"/>
      <c r="E1019" s="65"/>
      <c r="F1019" s="64"/>
      <c r="G1019" s="74" t="str">
        <f aca="false">IF(OR(B1019="",NOT(ISNUMBER(D1019)),NOT(ISNUMBER(E1019))),"",NETWORKDAYS(D1019,E1019,FERIADOS))</f>
        <v/>
      </c>
      <c r="H1019" s="69"/>
      <c r="I1019" s="74" t="str">
        <f aca="false">IF(B1019="","",IF(ISNUMBER(H1019),H1019,N(G1019)))</f>
        <v/>
      </c>
      <c r="J1019" s="64"/>
      <c r="K1019" s="64"/>
      <c r="L1019" s="93" t="str">
        <f aca="false">IF(NOT(ISNUMBER(D1019)),"",DATE(YEAR(D1019),MONTH(D1019),1))</f>
        <v/>
      </c>
      <c r="M1019" s="70" t="str">
        <f aca="false">IF(B1019="","",IF(AND(ISNUMBER(D1019),ISNUMBER(E1019),E1019&lt;D1019),"⚠ Término anterior al inicio",IF(J1019&lt;&gt;"Sí","Pendiente comprobante firmado","OK")))</f>
        <v/>
      </c>
    </row>
    <row r="1020" customFormat="false" ht="15" hidden="false" customHeight="false" outlineLevel="0" collapsed="false">
      <c r="B1020" s="64"/>
      <c r="C1020" s="72" t="str">
        <f aca="false">IF(B1020="","",IFERROR(INDEX(T_NOMBRE,MATCH(B1020,T_ID,0)),"⚠ ID no existe"))</f>
        <v/>
      </c>
      <c r="D1020" s="65"/>
      <c r="E1020" s="65"/>
      <c r="F1020" s="64"/>
      <c r="G1020" s="74" t="str">
        <f aca="false">IF(OR(B1020="",NOT(ISNUMBER(D1020)),NOT(ISNUMBER(E1020))),"",NETWORKDAYS(D1020,E1020,FERIADOS))</f>
        <v/>
      </c>
      <c r="H1020" s="69"/>
      <c r="I1020" s="74" t="str">
        <f aca="false">IF(B1020="","",IF(ISNUMBER(H1020),H1020,N(G1020)))</f>
        <v/>
      </c>
      <c r="J1020" s="64"/>
      <c r="K1020" s="64"/>
      <c r="L1020" s="93" t="str">
        <f aca="false">IF(NOT(ISNUMBER(D1020)),"",DATE(YEAR(D1020),MONTH(D1020),1))</f>
        <v/>
      </c>
      <c r="M1020" s="70" t="str">
        <f aca="false">IF(B1020="","",IF(AND(ISNUMBER(D1020),ISNUMBER(E1020),E1020&lt;D1020),"⚠ Término anterior al inicio",IF(J1020&lt;&gt;"Sí","Pendiente comprobante firmado","OK")))</f>
        <v/>
      </c>
    </row>
    <row r="1021" customFormat="false" ht="15" hidden="false" customHeight="false" outlineLevel="0" collapsed="false">
      <c r="B1021" s="64"/>
      <c r="C1021" s="72" t="str">
        <f aca="false">IF(B1021="","",IFERROR(INDEX(T_NOMBRE,MATCH(B1021,T_ID,0)),"⚠ ID no existe"))</f>
        <v/>
      </c>
      <c r="D1021" s="65"/>
      <c r="E1021" s="65"/>
      <c r="F1021" s="64"/>
      <c r="G1021" s="74" t="str">
        <f aca="false">IF(OR(B1021="",NOT(ISNUMBER(D1021)),NOT(ISNUMBER(E1021))),"",NETWORKDAYS(D1021,E1021,FERIADOS))</f>
        <v/>
      </c>
      <c r="H1021" s="69"/>
      <c r="I1021" s="74" t="str">
        <f aca="false">IF(B1021="","",IF(ISNUMBER(H1021),H1021,N(G1021)))</f>
        <v/>
      </c>
      <c r="J1021" s="64"/>
      <c r="K1021" s="64"/>
      <c r="L1021" s="93" t="str">
        <f aca="false">IF(NOT(ISNUMBER(D1021)),"",DATE(YEAR(D1021),MONTH(D1021),1))</f>
        <v/>
      </c>
      <c r="M1021" s="70" t="str">
        <f aca="false">IF(B1021="","",IF(AND(ISNUMBER(D1021),ISNUMBER(E1021),E1021&lt;D1021),"⚠ Término anterior al inicio",IF(J1021&lt;&gt;"Sí","Pendiente comprobante firmado","OK")))</f>
        <v/>
      </c>
    </row>
    <row r="1022" customFormat="false" ht="15" hidden="false" customHeight="false" outlineLevel="0" collapsed="false">
      <c r="B1022" s="64"/>
      <c r="C1022" s="72" t="str">
        <f aca="false">IF(B1022="","",IFERROR(INDEX(T_NOMBRE,MATCH(B1022,T_ID,0)),"⚠ ID no existe"))</f>
        <v/>
      </c>
      <c r="D1022" s="65"/>
      <c r="E1022" s="65"/>
      <c r="F1022" s="64"/>
      <c r="G1022" s="74" t="str">
        <f aca="false">IF(OR(B1022="",NOT(ISNUMBER(D1022)),NOT(ISNUMBER(E1022))),"",NETWORKDAYS(D1022,E1022,FERIADOS))</f>
        <v/>
      </c>
      <c r="H1022" s="69"/>
      <c r="I1022" s="74" t="str">
        <f aca="false">IF(B1022="","",IF(ISNUMBER(H1022),H1022,N(G1022)))</f>
        <v/>
      </c>
      <c r="J1022" s="64"/>
      <c r="K1022" s="64"/>
      <c r="L1022" s="93" t="str">
        <f aca="false">IF(NOT(ISNUMBER(D1022)),"",DATE(YEAR(D1022),MONTH(D1022),1))</f>
        <v/>
      </c>
      <c r="M1022" s="70" t="str">
        <f aca="false">IF(B1022="","",IF(AND(ISNUMBER(D1022),ISNUMBER(E1022),E1022&lt;D1022),"⚠ Término anterior al inicio",IF(J1022&lt;&gt;"Sí","Pendiente comprobante firmado","OK")))</f>
        <v/>
      </c>
    </row>
    <row r="1023" customFormat="false" ht="15" hidden="false" customHeight="false" outlineLevel="0" collapsed="false">
      <c r="B1023" s="64"/>
      <c r="C1023" s="72" t="str">
        <f aca="false">IF(B1023="","",IFERROR(INDEX(T_NOMBRE,MATCH(B1023,T_ID,0)),"⚠ ID no existe"))</f>
        <v/>
      </c>
      <c r="D1023" s="65"/>
      <c r="E1023" s="65"/>
      <c r="F1023" s="64"/>
      <c r="G1023" s="74" t="str">
        <f aca="false">IF(OR(B1023="",NOT(ISNUMBER(D1023)),NOT(ISNUMBER(E1023))),"",NETWORKDAYS(D1023,E1023,FERIADOS))</f>
        <v/>
      </c>
      <c r="H1023" s="69"/>
      <c r="I1023" s="74" t="str">
        <f aca="false">IF(B1023="","",IF(ISNUMBER(H1023),H1023,N(G1023)))</f>
        <v/>
      </c>
      <c r="J1023" s="64"/>
      <c r="K1023" s="64"/>
      <c r="L1023" s="93" t="str">
        <f aca="false">IF(NOT(ISNUMBER(D1023)),"",DATE(YEAR(D1023),MONTH(D1023),1))</f>
        <v/>
      </c>
      <c r="M1023" s="70" t="str">
        <f aca="false">IF(B1023="","",IF(AND(ISNUMBER(D1023),ISNUMBER(E1023),E1023&lt;D1023),"⚠ Término anterior al inicio",IF(J1023&lt;&gt;"Sí","Pendiente comprobante firmado","OK")))</f>
        <v/>
      </c>
    </row>
    <row r="1024" customFormat="false" ht="15" hidden="false" customHeight="false" outlineLevel="0" collapsed="false">
      <c r="B1024" s="64"/>
      <c r="C1024" s="72" t="str">
        <f aca="false">IF(B1024="","",IFERROR(INDEX(T_NOMBRE,MATCH(B1024,T_ID,0)),"⚠ ID no existe"))</f>
        <v/>
      </c>
      <c r="D1024" s="65"/>
      <c r="E1024" s="65"/>
      <c r="F1024" s="64"/>
      <c r="G1024" s="74" t="str">
        <f aca="false">IF(OR(B1024="",NOT(ISNUMBER(D1024)),NOT(ISNUMBER(E1024))),"",NETWORKDAYS(D1024,E1024,FERIADOS))</f>
        <v/>
      </c>
      <c r="H1024" s="69"/>
      <c r="I1024" s="74" t="str">
        <f aca="false">IF(B1024="","",IF(ISNUMBER(H1024),H1024,N(G1024)))</f>
        <v/>
      </c>
      <c r="J1024" s="64"/>
      <c r="K1024" s="64"/>
      <c r="L1024" s="93" t="str">
        <f aca="false">IF(NOT(ISNUMBER(D1024)),"",DATE(YEAR(D1024),MONTH(D1024),1))</f>
        <v/>
      </c>
      <c r="M1024" s="70" t="str">
        <f aca="false">IF(B1024="","",IF(AND(ISNUMBER(D1024),ISNUMBER(E1024),E1024&lt;D1024),"⚠ Término anterior al inicio",IF(J1024&lt;&gt;"Sí","Pendiente comprobante firmado","OK")))</f>
        <v/>
      </c>
    </row>
    <row r="1025" customFormat="false" ht="15" hidden="false" customHeight="false" outlineLevel="0" collapsed="false">
      <c r="B1025" s="64"/>
      <c r="C1025" s="72" t="str">
        <f aca="false">IF(B1025="","",IFERROR(INDEX(T_NOMBRE,MATCH(B1025,T_ID,0)),"⚠ ID no existe"))</f>
        <v/>
      </c>
      <c r="D1025" s="65"/>
      <c r="E1025" s="65"/>
      <c r="F1025" s="64"/>
      <c r="G1025" s="74" t="str">
        <f aca="false">IF(OR(B1025="",NOT(ISNUMBER(D1025)),NOT(ISNUMBER(E1025))),"",NETWORKDAYS(D1025,E1025,FERIADOS))</f>
        <v/>
      </c>
      <c r="H1025" s="69"/>
      <c r="I1025" s="74" t="str">
        <f aca="false">IF(B1025="","",IF(ISNUMBER(H1025),H1025,N(G1025)))</f>
        <v/>
      </c>
      <c r="J1025" s="64"/>
      <c r="K1025" s="64"/>
      <c r="L1025" s="93" t="str">
        <f aca="false">IF(NOT(ISNUMBER(D1025)),"",DATE(YEAR(D1025),MONTH(D1025),1))</f>
        <v/>
      </c>
      <c r="M1025" s="70" t="str">
        <f aca="false">IF(B1025="","",IF(AND(ISNUMBER(D1025),ISNUMBER(E1025),E1025&lt;D1025),"⚠ Término anterior al inicio",IF(J1025&lt;&gt;"Sí","Pendiente comprobante firmado","OK")))</f>
        <v/>
      </c>
    </row>
    <row r="1026" customFormat="false" ht="15" hidden="false" customHeight="false" outlineLevel="0" collapsed="false">
      <c r="B1026" s="64"/>
      <c r="C1026" s="72" t="str">
        <f aca="false">IF(B1026="","",IFERROR(INDEX(T_NOMBRE,MATCH(B1026,T_ID,0)),"⚠ ID no existe"))</f>
        <v/>
      </c>
      <c r="D1026" s="65"/>
      <c r="E1026" s="65"/>
      <c r="F1026" s="64"/>
      <c r="G1026" s="74" t="str">
        <f aca="false">IF(OR(B1026="",NOT(ISNUMBER(D1026)),NOT(ISNUMBER(E1026))),"",NETWORKDAYS(D1026,E1026,FERIADOS))</f>
        <v/>
      </c>
      <c r="H1026" s="69"/>
      <c r="I1026" s="74" t="str">
        <f aca="false">IF(B1026="","",IF(ISNUMBER(H1026),H1026,N(G1026)))</f>
        <v/>
      </c>
      <c r="J1026" s="64"/>
      <c r="K1026" s="64"/>
      <c r="L1026" s="93" t="str">
        <f aca="false">IF(NOT(ISNUMBER(D1026)),"",DATE(YEAR(D1026),MONTH(D1026),1))</f>
        <v/>
      </c>
      <c r="M1026" s="70" t="str">
        <f aca="false">IF(B1026="","",IF(AND(ISNUMBER(D1026),ISNUMBER(E1026),E1026&lt;D1026),"⚠ Término anterior al inicio",IF(J1026&lt;&gt;"Sí","Pendiente comprobante firmado","OK")))</f>
        <v/>
      </c>
    </row>
    <row r="1027" customFormat="false" ht="15" hidden="false" customHeight="false" outlineLevel="0" collapsed="false">
      <c r="B1027" s="64"/>
      <c r="C1027" s="72" t="str">
        <f aca="false">IF(B1027="","",IFERROR(INDEX(T_NOMBRE,MATCH(B1027,T_ID,0)),"⚠ ID no existe"))</f>
        <v/>
      </c>
      <c r="D1027" s="65"/>
      <c r="E1027" s="65"/>
      <c r="F1027" s="64"/>
      <c r="G1027" s="74" t="str">
        <f aca="false">IF(OR(B1027="",NOT(ISNUMBER(D1027)),NOT(ISNUMBER(E1027))),"",NETWORKDAYS(D1027,E1027,FERIADOS))</f>
        <v/>
      </c>
      <c r="H1027" s="69"/>
      <c r="I1027" s="74" t="str">
        <f aca="false">IF(B1027="","",IF(ISNUMBER(H1027),H1027,N(G1027)))</f>
        <v/>
      </c>
      <c r="J1027" s="64"/>
      <c r="K1027" s="64"/>
      <c r="L1027" s="93" t="str">
        <f aca="false">IF(NOT(ISNUMBER(D1027)),"",DATE(YEAR(D1027),MONTH(D1027),1))</f>
        <v/>
      </c>
      <c r="M1027" s="70" t="str">
        <f aca="false">IF(B1027="","",IF(AND(ISNUMBER(D1027),ISNUMBER(E1027),E1027&lt;D1027),"⚠ Término anterior al inicio",IF(J1027&lt;&gt;"Sí","Pendiente comprobante firmado","OK")))</f>
        <v/>
      </c>
    </row>
    <row r="1028" customFormat="false" ht="15" hidden="false" customHeight="false" outlineLevel="0" collapsed="false">
      <c r="B1028" s="64"/>
      <c r="C1028" s="72" t="str">
        <f aca="false">IF(B1028="","",IFERROR(INDEX(T_NOMBRE,MATCH(B1028,T_ID,0)),"⚠ ID no existe"))</f>
        <v/>
      </c>
      <c r="D1028" s="65"/>
      <c r="E1028" s="65"/>
      <c r="F1028" s="64"/>
      <c r="G1028" s="74" t="str">
        <f aca="false">IF(OR(B1028="",NOT(ISNUMBER(D1028)),NOT(ISNUMBER(E1028))),"",NETWORKDAYS(D1028,E1028,FERIADOS))</f>
        <v/>
      </c>
      <c r="H1028" s="69"/>
      <c r="I1028" s="74" t="str">
        <f aca="false">IF(B1028="","",IF(ISNUMBER(H1028),H1028,N(G1028)))</f>
        <v/>
      </c>
      <c r="J1028" s="64"/>
      <c r="K1028" s="64"/>
      <c r="L1028" s="93" t="str">
        <f aca="false">IF(NOT(ISNUMBER(D1028)),"",DATE(YEAR(D1028),MONTH(D1028),1))</f>
        <v/>
      </c>
      <c r="M1028" s="70" t="str">
        <f aca="false">IF(B1028="","",IF(AND(ISNUMBER(D1028),ISNUMBER(E1028),E1028&lt;D1028),"⚠ Término anterior al inicio",IF(J1028&lt;&gt;"Sí","Pendiente comprobante firmado","OK")))</f>
        <v/>
      </c>
    </row>
    <row r="1029" customFormat="false" ht="15" hidden="false" customHeight="false" outlineLevel="0" collapsed="false">
      <c r="B1029" s="64"/>
      <c r="C1029" s="72" t="str">
        <f aca="false">IF(B1029="","",IFERROR(INDEX(T_NOMBRE,MATCH(B1029,T_ID,0)),"⚠ ID no existe"))</f>
        <v/>
      </c>
      <c r="D1029" s="65"/>
      <c r="E1029" s="65"/>
      <c r="F1029" s="64"/>
      <c r="G1029" s="74" t="str">
        <f aca="false">IF(OR(B1029="",NOT(ISNUMBER(D1029)),NOT(ISNUMBER(E1029))),"",NETWORKDAYS(D1029,E1029,FERIADOS))</f>
        <v/>
      </c>
      <c r="H1029" s="69"/>
      <c r="I1029" s="74" t="str">
        <f aca="false">IF(B1029="","",IF(ISNUMBER(H1029),H1029,N(G1029)))</f>
        <v/>
      </c>
      <c r="J1029" s="64"/>
      <c r="K1029" s="64"/>
      <c r="L1029" s="93" t="str">
        <f aca="false">IF(NOT(ISNUMBER(D1029)),"",DATE(YEAR(D1029),MONTH(D1029),1))</f>
        <v/>
      </c>
      <c r="M1029" s="70" t="str">
        <f aca="false">IF(B1029="","",IF(AND(ISNUMBER(D1029),ISNUMBER(E1029),E1029&lt;D1029),"⚠ Término anterior al inicio",IF(J1029&lt;&gt;"Sí","Pendiente comprobante firmado","OK")))</f>
        <v/>
      </c>
    </row>
    <row r="1030" customFormat="false" ht="15" hidden="false" customHeight="false" outlineLevel="0" collapsed="false">
      <c r="B1030" s="64"/>
      <c r="C1030" s="72" t="str">
        <f aca="false">IF(B1030="","",IFERROR(INDEX(T_NOMBRE,MATCH(B1030,T_ID,0)),"⚠ ID no existe"))</f>
        <v/>
      </c>
      <c r="D1030" s="65"/>
      <c r="E1030" s="65"/>
      <c r="F1030" s="64"/>
      <c r="G1030" s="74" t="str">
        <f aca="false">IF(OR(B1030="",NOT(ISNUMBER(D1030)),NOT(ISNUMBER(E1030))),"",NETWORKDAYS(D1030,E1030,FERIADOS))</f>
        <v/>
      </c>
      <c r="H1030" s="69"/>
      <c r="I1030" s="74" t="str">
        <f aca="false">IF(B1030="","",IF(ISNUMBER(H1030),H1030,N(G1030)))</f>
        <v/>
      </c>
      <c r="J1030" s="64"/>
      <c r="K1030" s="64"/>
      <c r="L1030" s="93" t="str">
        <f aca="false">IF(NOT(ISNUMBER(D1030)),"",DATE(YEAR(D1030),MONTH(D1030),1))</f>
        <v/>
      </c>
      <c r="M1030" s="70" t="str">
        <f aca="false">IF(B1030="","",IF(AND(ISNUMBER(D1030),ISNUMBER(E1030),E1030&lt;D1030),"⚠ Término anterior al inicio",IF(J1030&lt;&gt;"Sí","Pendiente comprobante firmado","OK")))</f>
        <v/>
      </c>
    </row>
    <row r="1031" customFormat="false" ht="15" hidden="false" customHeight="false" outlineLevel="0" collapsed="false">
      <c r="B1031" s="64"/>
      <c r="C1031" s="72" t="str">
        <f aca="false">IF(B1031="","",IFERROR(INDEX(T_NOMBRE,MATCH(B1031,T_ID,0)),"⚠ ID no existe"))</f>
        <v/>
      </c>
      <c r="D1031" s="65"/>
      <c r="E1031" s="65"/>
      <c r="F1031" s="64"/>
      <c r="G1031" s="74" t="str">
        <f aca="false">IF(OR(B1031="",NOT(ISNUMBER(D1031)),NOT(ISNUMBER(E1031))),"",NETWORKDAYS(D1031,E1031,FERIADOS))</f>
        <v/>
      </c>
      <c r="H1031" s="69"/>
      <c r="I1031" s="74" t="str">
        <f aca="false">IF(B1031="","",IF(ISNUMBER(H1031),H1031,N(G1031)))</f>
        <v/>
      </c>
      <c r="J1031" s="64"/>
      <c r="K1031" s="64"/>
      <c r="L1031" s="93" t="str">
        <f aca="false">IF(NOT(ISNUMBER(D1031)),"",DATE(YEAR(D1031),MONTH(D1031),1))</f>
        <v/>
      </c>
      <c r="M1031" s="70" t="str">
        <f aca="false">IF(B1031="","",IF(AND(ISNUMBER(D1031),ISNUMBER(E1031),E1031&lt;D1031),"⚠ Término anterior al inicio",IF(J1031&lt;&gt;"Sí","Pendiente comprobante firmado","OK")))</f>
        <v/>
      </c>
    </row>
    <row r="1032" customFormat="false" ht="15" hidden="false" customHeight="false" outlineLevel="0" collapsed="false">
      <c r="B1032" s="64"/>
      <c r="C1032" s="72" t="str">
        <f aca="false">IF(B1032="","",IFERROR(INDEX(T_NOMBRE,MATCH(B1032,T_ID,0)),"⚠ ID no existe"))</f>
        <v/>
      </c>
      <c r="D1032" s="65"/>
      <c r="E1032" s="65"/>
      <c r="F1032" s="64"/>
      <c r="G1032" s="74" t="str">
        <f aca="false">IF(OR(B1032="",NOT(ISNUMBER(D1032)),NOT(ISNUMBER(E1032))),"",NETWORKDAYS(D1032,E1032,FERIADOS))</f>
        <v/>
      </c>
      <c r="H1032" s="69"/>
      <c r="I1032" s="74" t="str">
        <f aca="false">IF(B1032="","",IF(ISNUMBER(H1032),H1032,N(G1032)))</f>
        <v/>
      </c>
      <c r="J1032" s="64"/>
      <c r="K1032" s="64"/>
      <c r="L1032" s="93" t="str">
        <f aca="false">IF(NOT(ISNUMBER(D1032)),"",DATE(YEAR(D1032),MONTH(D1032),1))</f>
        <v/>
      </c>
      <c r="M1032" s="70" t="str">
        <f aca="false">IF(B1032="","",IF(AND(ISNUMBER(D1032),ISNUMBER(E1032),E1032&lt;D1032),"⚠ Término anterior al inicio",IF(J1032&lt;&gt;"Sí","Pendiente comprobante firmado","OK")))</f>
        <v/>
      </c>
    </row>
    <row r="1033" customFormat="false" ht="15" hidden="false" customHeight="false" outlineLevel="0" collapsed="false">
      <c r="B1033" s="64"/>
      <c r="C1033" s="72" t="str">
        <f aca="false">IF(B1033="","",IFERROR(INDEX(T_NOMBRE,MATCH(B1033,T_ID,0)),"⚠ ID no existe"))</f>
        <v/>
      </c>
      <c r="D1033" s="65"/>
      <c r="E1033" s="65"/>
      <c r="F1033" s="64"/>
      <c r="G1033" s="74" t="str">
        <f aca="false">IF(OR(B1033="",NOT(ISNUMBER(D1033)),NOT(ISNUMBER(E1033))),"",NETWORKDAYS(D1033,E1033,FERIADOS))</f>
        <v/>
      </c>
      <c r="H1033" s="69"/>
      <c r="I1033" s="74" t="str">
        <f aca="false">IF(B1033="","",IF(ISNUMBER(H1033),H1033,N(G1033)))</f>
        <v/>
      </c>
      <c r="J1033" s="64"/>
      <c r="K1033" s="64"/>
      <c r="L1033" s="93" t="str">
        <f aca="false">IF(NOT(ISNUMBER(D1033)),"",DATE(YEAR(D1033),MONTH(D1033),1))</f>
        <v/>
      </c>
      <c r="M1033" s="70" t="str">
        <f aca="false">IF(B1033="","",IF(AND(ISNUMBER(D1033),ISNUMBER(E1033),E1033&lt;D1033),"⚠ Término anterior al inicio",IF(J1033&lt;&gt;"Sí","Pendiente comprobante firmado","OK")))</f>
        <v/>
      </c>
    </row>
    <row r="1034" customFormat="false" ht="15" hidden="false" customHeight="false" outlineLevel="0" collapsed="false">
      <c r="B1034" s="64"/>
      <c r="C1034" s="72" t="str">
        <f aca="false">IF(B1034="","",IFERROR(INDEX(T_NOMBRE,MATCH(B1034,T_ID,0)),"⚠ ID no existe"))</f>
        <v/>
      </c>
      <c r="D1034" s="65"/>
      <c r="E1034" s="65"/>
      <c r="F1034" s="64"/>
      <c r="G1034" s="74" t="str">
        <f aca="false">IF(OR(B1034="",NOT(ISNUMBER(D1034)),NOT(ISNUMBER(E1034))),"",NETWORKDAYS(D1034,E1034,FERIADOS))</f>
        <v/>
      </c>
      <c r="H1034" s="69"/>
      <c r="I1034" s="74" t="str">
        <f aca="false">IF(B1034="","",IF(ISNUMBER(H1034),H1034,N(G1034)))</f>
        <v/>
      </c>
      <c r="J1034" s="64"/>
      <c r="K1034" s="64"/>
      <c r="L1034" s="93" t="str">
        <f aca="false">IF(NOT(ISNUMBER(D1034)),"",DATE(YEAR(D1034),MONTH(D1034),1))</f>
        <v/>
      </c>
      <c r="M1034" s="70" t="str">
        <f aca="false">IF(B1034="","",IF(AND(ISNUMBER(D1034),ISNUMBER(E1034),E1034&lt;D1034),"⚠ Término anterior al inicio",IF(J1034&lt;&gt;"Sí","Pendiente comprobante firmado","OK")))</f>
        <v/>
      </c>
    </row>
    <row r="1035" customFormat="false" ht="15" hidden="false" customHeight="false" outlineLevel="0" collapsed="false">
      <c r="B1035" s="64"/>
      <c r="C1035" s="72" t="str">
        <f aca="false">IF(B1035="","",IFERROR(INDEX(T_NOMBRE,MATCH(B1035,T_ID,0)),"⚠ ID no existe"))</f>
        <v/>
      </c>
      <c r="D1035" s="65"/>
      <c r="E1035" s="65"/>
      <c r="F1035" s="64"/>
      <c r="G1035" s="74" t="str">
        <f aca="false">IF(OR(B1035="",NOT(ISNUMBER(D1035)),NOT(ISNUMBER(E1035))),"",NETWORKDAYS(D1035,E1035,FERIADOS))</f>
        <v/>
      </c>
      <c r="H1035" s="69"/>
      <c r="I1035" s="74" t="str">
        <f aca="false">IF(B1035="","",IF(ISNUMBER(H1035),H1035,N(G1035)))</f>
        <v/>
      </c>
      <c r="J1035" s="64"/>
      <c r="K1035" s="64"/>
      <c r="L1035" s="93" t="str">
        <f aca="false">IF(NOT(ISNUMBER(D1035)),"",DATE(YEAR(D1035),MONTH(D1035),1))</f>
        <v/>
      </c>
      <c r="M1035" s="70" t="str">
        <f aca="false">IF(B1035="","",IF(AND(ISNUMBER(D1035),ISNUMBER(E1035),E1035&lt;D1035),"⚠ Término anterior al inicio",IF(J1035&lt;&gt;"Sí","Pendiente comprobante firmado","OK")))</f>
        <v/>
      </c>
    </row>
    <row r="1036" customFormat="false" ht="15" hidden="false" customHeight="false" outlineLevel="0" collapsed="false">
      <c r="B1036" s="64"/>
      <c r="C1036" s="72" t="str">
        <f aca="false">IF(B1036="","",IFERROR(INDEX(T_NOMBRE,MATCH(B1036,T_ID,0)),"⚠ ID no existe"))</f>
        <v/>
      </c>
      <c r="D1036" s="65"/>
      <c r="E1036" s="65"/>
      <c r="F1036" s="64"/>
      <c r="G1036" s="74" t="str">
        <f aca="false">IF(OR(B1036="",NOT(ISNUMBER(D1036)),NOT(ISNUMBER(E1036))),"",NETWORKDAYS(D1036,E1036,FERIADOS))</f>
        <v/>
      </c>
      <c r="H1036" s="69"/>
      <c r="I1036" s="74" t="str">
        <f aca="false">IF(B1036="","",IF(ISNUMBER(H1036),H1036,N(G1036)))</f>
        <v/>
      </c>
      <c r="J1036" s="64"/>
      <c r="K1036" s="64"/>
      <c r="L1036" s="93" t="str">
        <f aca="false">IF(NOT(ISNUMBER(D1036)),"",DATE(YEAR(D1036),MONTH(D1036),1))</f>
        <v/>
      </c>
      <c r="M1036" s="70" t="str">
        <f aca="false">IF(B1036="","",IF(AND(ISNUMBER(D1036),ISNUMBER(E1036),E1036&lt;D1036),"⚠ Término anterior al inicio",IF(J1036&lt;&gt;"Sí","Pendiente comprobante firmado","OK")))</f>
        <v/>
      </c>
    </row>
    <row r="1037" customFormat="false" ht="15" hidden="false" customHeight="false" outlineLevel="0" collapsed="false">
      <c r="B1037" s="64"/>
      <c r="C1037" s="72" t="str">
        <f aca="false">IF(B1037="","",IFERROR(INDEX(T_NOMBRE,MATCH(B1037,T_ID,0)),"⚠ ID no existe"))</f>
        <v/>
      </c>
      <c r="D1037" s="65"/>
      <c r="E1037" s="65"/>
      <c r="F1037" s="64"/>
      <c r="G1037" s="74" t="str">
        <f aca="false">IF(OR(B1037="",NOT(ISNUMBER(D1037)),NOT(ISNUMBER(E1037))),"",NETWORKDAYS(D1037,E1037,FERIADOS))</f>
        <v/>
      </c>
      <c r="H1037" s="69"/>
      <c r="I1037" s="74" t="str">
        <f aca="false">IF(B1037="","",IF(ISNUMBER(H1037),H1037,N(G1037)))</f>
        <v/>
      </c>
      <c r="J1037" s="64"/>
      <c r="K1037" s="64"/>
      <c r="L1037" s="93" t="str">
        <f aca="false">IF(NOT(ISNUMBER(D1037)),"",DATE(YEAR(D1037),MONTH(D1037),1))</f>
        <v/>
      </c>
      <c r="M1037" s="70" t="str">
        <f aca="false">IF(B1037="","",IF(AND(ISNUMBER(D1037),ISNUMBER(E1037),E1037&lt;D1037),"⚠ Término anterior al inicio",IF(J1037&lt;&gt;"Sí","Pendiente comprobante firmado","OK")))</f>
        <v/>
      </c>
    </row>
    <row r="1038" customFormat="false" ht="15" hidden="false" customHeight="false" outlineLevel="0" collapsed="false">
      <c r="B1038" s="64"/>
      <c r="C1038" s="72" t="str">
        <f aca="false">IF(B1038="","",IFERROR(INDEX(T_NOMBRE,MATCH(B1038,T_ID,0)),"⚠ ID no existe"))</f>
        <v/>
      </c>
      <c r="D1038" s="65"/>
      <c r="E1038" s="65"/>
      <c r="F1038" s="64"/>
      <c r="G1038" s="74" t="str">
        <f aca="false">IF(OR(B1038="",NOT(ISNUMBER(D1038)),NOT(ISNUMBER(E1038))),"",NETWORKDAYS(D1038,E1038,FERIADOS))</f>
        <v/>
      </c>
      <c r="H1038" s="69"/>
      <c r="I1038" s="74" t="str">
        <f aca="false">IF(B1038="","",IF(ISNUMBER(H1038),H1038,N(G1038)))</f>
        <v/>
      </c>
      <c r="J1038" s="64"/>
      <c r="K1038" s="64"/>
      <c r="L1038" s="93" t="str">
        <f aca="false">IF(NOT(ISNUMBER(D1038)),"",DATE(YEAR(D1038),MONTH(D1038),1))</f>
        <v/>
      </c>
      <c r="M1038" s="70" t="str">
        <f aca="false">IF(B1038="","",IF(AND(ISNUMBER(D1038),ISNUMBER(E1038),E1038&lt;D1038),"⚠ Término anterior al inicio",IF(J1038&lt;&gt;"Sí","Pendiente comprobante firmado","OK")))</f>
        <v/>
      </c>
    </row>
    <row r="1039" customFormat="false" ht="15" hidden="false" customHeight="false" outlineLevel="0" collapsed="false">
      <c r="B1039" s="64"/>
      <c r="C1039" s="72" t="str">
        <f aca="false">IF(B1039="","",IFERROR(INDEX(T_NOMBRE,MATCH(B1039,T_ID,0)),"⚠ ID no existe"))</f>
        <v/>
      </c>
      <c r="D1039" s="65"/>
      <c r="E1039" s="65"/>
      <c r="F1039" s="64"/>
      <c r="G1039" s="74" t="str">
        <f aca="false">IF(OR(B1039="",NOT(ISNUMBER(D1039)),NOT(ISNUMBER(E1039))),"",NETWORKDAYS(D1039,E1039,FERIADOS))</f>
        <v/>
      </c>
      <c r="H1039" s="69"/>
      <c r="I1039" s="74" t="str">
        <f aca="false">IF(B1039="","",IF(ISNUMBER(H1039),H1039,N(G1039)))</f>
        <v/>
      </c>
      <c r="J1039" s="64"/>
      <c r="K1039" s="64"/>
      <c r="L1039" s="93" t="str">
        <f aca="false">IF(NOT(ISNUMBER(D1039)),"",DATE(YEAR(D1039),MONTH(D1039),1))</f>
        <v/>
      </c>
      <c r="M1039" s="70" t="str">
        <f aca="false">IF(B1039="","",IF(AND(ISNUMBER(D1039),ISNUMBER(E1039),E1039&lt;D1039),"⚠ Término anterior al inicio",IF(J1039&lt;&gt;"Sí","Pendiente comprobante firmado","OK")))</f>
        <v/>
      </c>
    </row>
    <row r="1040" customFormat="false" ht="15" hidden="false" customHeight="false" outlineLevel="0" collapsed="false">
      <c r="B1040" s="64"/>
      <c r="C1040" s="72" t="str">
        <f aca="false">IF(B1040="","",IFERROR(INDEX(T_NOMBRE,MATCH(B1040,T_ID,0)),"⚠ ID no existe"))</f>
        <v/>
      </c>
      <c r="D1040" s="65"/>
      <c r="E1040" s="65"/>
      <c r="F1040" s="64"/>
      <c r="G1040" s="74" t="str">
        <f aca="false">IF(OR(B1040="",NOT(ISNUMBER(D1040)),NOT(ISNUMBER(E1040))),"",NETWORKDAYS(D1040,E1040,FERIADOS))</f>
        <v/>
      </c>
      <c r="H1040" s="69"/>
      <c r="I1040" s="74" t="str">
        <f aca="false">IF(B1040="","",IF(ISNUMBER(H1040),H1040,N(G1040)))</f>
        <v/>
      </c>
      <c r="J1040" s="64"/>
      <c r="K1040" s="64"/>
      <c r="L1040" s="93" t="str">
        <f aca="false">IF(NOT(ISNUMBER(D1040)),"",DATE(YEAR(D1040),MONTH(D1040),1))</f>
        <v/>
      </c>
      <c r="M1040" s="70" t="str">
        <f aca="false">IF(B1040="","",IF(AND(ISNUMBER(D1040),ISNUMBER(E1040),E1040&lt;D1040),"⚠ Término anterior al inicio",IF(J1040&lt;&gt;"Sí","Pendiente comprobante firmado","OK")))</f>
        <v/>
      </c>
    </row>
    <row r="1041" customFormat="false" ht="15" hidden="false" customHeight="false" outlineLevel="0" collapsed="false">
      <c r="B1041" s="64"/>
      <c r="C1041" s="72" t="str">
        <f aca="false">IF(B1041="","",IFERROR(INDEX(T_NOMBRE,MATCH(B1041,T_ID,0)),"⚠ ID no existe"))</f>
        <v/>
      </c>
      <c r="D1041" s="65"/>
      <c r="E1041" s="65"/>
      <c r="F1041" s="64"/>
      <c r="G1041" s="74" t="str">
        <f aca="false">IF(OR(B1041="",NOT(ISNUMBER(D1041)),NOT(ISNUMBER(E1041))),"",NETWORKDAYS(D1041,E1041,FERIADOS))</f>
        <v/>
      </c>
      <c r="H1041" s="69"/>
      <c r="I1041" s="74" t="str">
        <f aca="false">IF(B1041="","",IF(ISNUMBER(H1041),H1041,N(G1041)))</f>
        <v/>
      </c>
      <c r="J1041" s="64"/>
      <c r="K1041" s="64"/>
      <c r="L1041" s="93" t="str">
        <f aca="false">IF(NOT(ISNUMBER(D1041)),"",DATE(YEAR(D1041),MONTH(D1041),1))</f>
        <v/>
      </c>
      <c r="M1041" s="70" t="str">
        <f aca="false">IF(B1041="","",IF(AND(ISNUMBER(D1041),ISNUMBER(E1041),E1041&lt;D1041),"⚠ Término anterior al inicio",IF(J1041&lt;&gt;"Sí","Pendiente comprobante firmado","OK")))</f>
        <v/>
      </c>
    </row>
    <row r="1042" customFormat="false" ht="15" hidden="false" customHeight="false" outlineLevel="0" collapsed="false">
      <c r="B1042" s="64"/>
      <c r="C1042" s="72" t="str">
        <f aca="false">IF(B1042="","",IFERROR(INDEX(T_NOMBRE,MATCH(B1042,T_ID,0)),"⚠ ID no existe"))</f>
        <v/>
      </c>
      <c r="D1042" s="65"/>
      <c r="E1042" s="65"/>
      <c r="F1042" s="64"/>
      <c r="G1042" s="74" t="str">
        <f aca="false">IF(OR(B1042="",NOT(ISNUMBER(D1042)),NOT(ISNUMBER(E1042))),"",NETWORKDAYS(D1042,E1042,FERIADOS))</f>
        <v/>
      </c>
      <c r="H1042" s="69"/>
      <c r="I1042" s="74" t="str">
        <f aca="false">IF(B1042="","",IF(ISNUMBER(H1042),H1042,N(G1042)))</f>
        <v/>
      </c>
      <c r="J1042" s="64"/>
      <c r="K1042" s="64"/>
      <c r="L1042" s="93" t="str">
        <f aca="false">IF(NOT(ISNUMBER(D1042)),"",DATE(YEAR(D1042),MONTH(D1042),1))</f>
        <v/>
      </c>
      <c r="M1042" s="70" t="str">
        <f aca="false">IF(B1042="","",IF(AND(ISNUMBER(D1042),ISNUMBER(E1042),E1042&lt;D1042),"⚠ Término anterior al inicio",IF(J1042&lt;&gt;"Sí","Pendiente comprobante firmado","OK")))</f>
        <v/>
      </c>
    </row>
    <row r="1043" customFormat="false" ht="15" hidden="false" customHeight="false" outlineLevel="0" collapsed="false">
      <c r="B1043" s="64"/>
      <c r="C1043" s="72" t="str">
        <f aca="false">IF(B1043="","",IFERROR(INDEX(T_NOMBRE,MATCH(B1043,T_ID,0)),"⚠ ID no existe"))</f>
        <v/>
      </c>
      <c r="D1043" s="65"/>
      <c r="E1043" s="65"/>
      <c r="F1043" s="64"/>
      <c r="G1043" s="74" t="str">
        <f aca="false">IF(OR(B1043="",NOT(ISNUMBER(D1043)),NOT(ISNUMBER(E1043))),"",NETWORKDAYS(D1043,E1043,FERIADOS))</f>
        <v/>
      </c>
      <c r="H1043" s="69"/>
      <c r="I1043" s="74" t="str">
        <f aca="false">IF(B1043="","",IF(ISNUMBER(H1043),H1043,N(G1043)))</f>
        <v/>
      </c>
      <c r="J1043" s="64"/>
      <c r="K1043" s="64"/>
      <c r="L1043" s="93" t="str">
        <f aca="false">IF(NOT(ISNUMBER(D1043)),"",DATE(YEAR(D1043),MONTH(D1043),1))</f>
        <v/>
      </c>
      <c r="M1043" s="70" t="str">
        <f aca="false">IF(B1043="","",IF(AND(ISNUMBER(D1043),ISNUMBER(E1043),E1043&lt;D1043),"⚠ Término anterior al inicio",IF(J1043&lt;&gt;"Sí","Pendiente comprobante firmado","OK")))</f>
        <v/>
      </c>
    </row>
    <row r="1044" customFormat="false" ht="15" hidden="false" customHeight="false" outlineLevel="0" collapsed="false">
      <c r="B1044" s="64"/>
      <c r="C1044" s="72" t="str">
        <f aca="false">IF(B1044="","",IFERROR(INDEX(T_NOMBRE,MATCH(B1044,T_ID,0)),"⚠ ID no existe"))</f>
        <v/>
      </c>
      <c r="D1044" s="65"/>
      <c r="E1044" s="65"/>
      <c r="F1044" s="64"/>
      <c r="G1044" s="74" t="str">
        <f aca="false">IF(OR(B1044="",NOT(ISNUMBER(D1044)),NOT(ISNUMBER(E1044))),"",NETWORKDAYS(D1044,E1044,FERIADOS))</f>
        <v/>
      </c>
      <c r="H1044" s="69"/>
      <c r="I1044" s="74" t="str">
        <f aca="false">IF(B1044="","",IF(ISNUMBER(H1044),H1044,N(G1044)))</f>
        <v/>
      </c>
      <c r="J1044" s="64"/>
      <c r="K1044" s="64"/>
      <c r="L1044" s="93" t="str">
        <f aca="false">IF(NOT(ISNUMBER(D1044)),"",DATE(YEAR(D1044),MONTH(D1044),1))</f>
        <v/>
      </c>
      <c r="M1044" s="70" t="str">
        <f aca="false">IF(B1044="","",IF(AND(ISNUMBER(D1044),ISNUMBER(E1044),E1044&lt;D1044),"⚠ Término anterior al inicio",IF(J1044&lt;&gt;"Sí","Pendiente comprobante firmado","OK")))</f>
        <v/>
      </c>
    </row>
    <row r="1045" customFormat="false" ht="15" hidden="false" customHeight="false" outlineLevel="0" collapsed="false">
      <c r="B1045" s="64"/>
      <c r="C1045" s="72" t="str">
        <f aca="false">IF(B1045="","",IFERROR(INDEX(T_NOMBRE,MATCH(B1045,T_ID,0)),"⚠ ID no existe"))</f>
        <v/>
      </c>
      <c r="D1045" s="65"/>
      <c r="E1045" s="65"/>
      <c r="F1045" s="64"/>
      <c r="G1045" s="74" t="str">
        <f aca="false">IF(OR(B1045="",NOT(ISNUMBER(D1045)),NOT(ISNUMBER(E1045))),"",NETWORKDAYS(D1045,E1045,FERIADOS))</f>
        <v/>
      </c>
      <c r="H1045" s="69"/>
      <c r="I1045" s="74" t="str">
        <f aca="false">IF(B1045="","",IF(ISNUMBER(H1045),H1045,N(G1045)))</f>
        <v/>
      </c>
      <c r="J1045" s="64"/>
      <c r="K1045" s="64"/>
      <c r="L1045" s="93" t="str">
        <f aca="false">IF(NOT(ISNUMBER(D1045)),"",DATE(YEAR(D1045),MONTH(D1045),1))</f>
        <v/>
      </c>
      <c r="M1045" s="70" t="str">
        <f aca="false">IF(B1045="","",IF(AND(ISNUMBER(D1045),ISNUMBER(E1045),E1045&lt;D1045),"⚠ Término anterior al inicio",IF(J1045&lt;&gt;"Sí","Pendiente comprobante firmado","OK")))</f>
        <v/>
      </c>
    </row>
    <row r="1046" customFormat="false" ht="15" hidden="false" customHeight="false" outlineLevel="0" collapsed="false">
      <c r="B1046" s="64"/>
      <c r="C1046" s="72" t="str">
        <f aca="false">IF(B1046="","",IFERROR(INDEX(T_NOMBRE,MATCH(B1046,T_ID,0)),"⚠ ID no existe"))</f>
        <v/>
      </c>
      <c r="D1046" s="65"/>
      <c r="E1046" s="65"/>
      <c r="F1046" s="64"/>
      <c r="G1046" s="74" t="str">
        <f aca="false">IF(OR(B1046="",NOT(ISNUMBER(D1046)),NOT(ISNUMBER(E1046))),"",NETWORKDAYS(D1046,E1046,FERIADOS))</f>
        <v/>
      </c>
      <c r="H1046" s="69"/>
      <c r="I1046" s="74" t="str">
        <f aca="false">IF(B1046="","",IF(ISNUMBER(H1046),H1046,N(G1046)))</f>
        <v/>
      </c>
      <c r="J1046" s="64"/>
      <c r="K1046" s="64"/>
      <c r="L1046" s="93" t="str">
        <f aca="false">IF(NOT(ISNUMBER(D1046)),"",DATE(YEAR(D1046),MONTH(D1046),1))</f>
        <v/>
      </c>
      <c r="M1046" s="70" t="str">
        <f aca="false">IF(B1046="","",IF(AND(ISNUMBER(D1046),ISNUMBER(E1046),E1046&lt;D1046),"⚠ Término anterior al inicio",IF(J1046&lt;&gt;"Sí","Pendiente comprobante firmado","OK")))</f>
        <v/>
      </c>
    </row>
    <row r="1047" customFormat="false" ht="15" hidden="false" customHeight="false" outlineLevel="0" collapsed="false">
      <c r="B1047" s="64"/>
      <c r="C1047" s="72" t="str">
        <f aca="false">IF(B1047="","",IFERROR(INDEX(T_NOMBRE,MATCH(B1047,T_ID,0)),"⚠ ID no existe"))</f>
        <v/>
      </c>
      <c r="D1047" s="65"/>
      <c r="E1047" s="65"/>
      <c r="F1047" s="64"/>
      <c r="G1047" s="74" t="str">
        <f aca="false">IF(OR(B1047="",NOT(ISNUMBER(D1047)),NOT(ISNUMBER(E1047))),"",NETWORKDAYS(D1047,E1047,FERIADOS))</f>
        <v/>
      </c>
      <c r="H1047" s="69"/>
      <c r="I1047" s="74" t="str">
        <f aca="false">IF(B1047="","",IF(ISNUMBER(H1047),H1047,N(G1047)))</f>
        <v/>
      </c>
      <c r="J1047" s="64"/>
      <c r="K1047" s="64"/>
      <c r="L1047" s="93" t="str">
        <f aca="false">IF(NOT(ISNUMBER(D1047)),"",DATE(YEAR(D1047),MONTH(D1047),1))</f>
        <v/>
      </c>
      <c r="M1047" s="70" t="str">
        <f aca="false">IF(B1047="","",IF(AND(ISNUMBER(D1047),ISNUMBER(E1047),E1047&lt;D1047),"⚠ Término anterior al inicio",IF(J1047&lt;&gt;"Sí","Pendiente comprobante firmado","OK")))</f>
        <v/>
      </c>
    </row>
    <row r="1048" customFormat="false" ht="15" hidden="false" customHeight="false" outlineLevel="0" collapsed="false">
      <c r="B1048" s="64"/>
      <c r="C1048" s="72" t="str">
        <f aca="false">IF(B1048="","",IFERROR(INDEX(T_NOMBRE,MATCH(B1048,T_ID,0)),"⚠ ID no existe"))</f>
        <v/>
      </c>
      <c r="D1048" s="65"/>
      <c r="E1048" s="65"/>
      <c r="F1048" s="64"/>
      <c r="G1048" s="74" t="str">
        <f aca="false">IF(OR(B1048="",NOT(ISNUMBER(D1048)),NOT(ISNUMBER(E1048))),"",NETWORKDAYS(D1048,E1048,FERIADOS))</f>
        <v/>
      </c>
      <c r="H1048" s="69"/>
      <c r="I1048" s="74" t="str">
        <f aca="false">IF(B1048="","",IF(ISNUMBER(H1048),H1048,N(G1048)))</f>
        <v/>
      </c>
      <c r="J1048" s="64"/>
      <c r="K1048" s="64"/>
      <c r="L1048" s="93" t="str">
        <f aca="false">IF(NOT(ISNUMBER(D1048)),"",DATE(YEAR(D1048),MONTH(D1048),1))</f>
        <v/>
      </c>
      <c r="M1048" s="70" t="str">
        <f aca="false">IF(B1048="","",IF(AND(ISNUMBER(D1048),ISNUMBER(E1048),E1048&lt;D1048),"⚠ Término anterior al inicio",IF(J1048&lt;&gt;"Sí","Pendiente comprobante firmado","OK")))</f>
        <v/>
      </c>
    </row>
    <row r="1049" customFormat="false" ht="15" hidden="false" customHeight="false" outlineLevel="0" collapsed="false">
      <c r="B1049" s="64"/>
      <c r="C1049" s="72" t="str">
        <f aca="false">IF(B1049="","",IFERROR(INDEX(T_NOMBRE,MATCH(B1049,T_ID,0)),"⚠ ID no existe"))</f>
        <v/>
      </c>
      <c r="D1049" s="65"/>
      <c r="E1049" s="65"/>
      <c r="F1049" s="64"/>
      <c r="G1049" s="74" t="str">
        <f aca="false">IF(OR(B1049="",NOT(ISNUMBER(D1049)),NOT(ISNUMBER(E1049))),"",NETWORKDAYS(D1049,E1049,FERIADOS))</f>
        <v/>
      </c>
      <c r="H1049" s="69"/>
      <c r="I1049" s="74" t="str">
        <f aca="false">IF(B1049="","",IF(ISNUMBER(H1049),H1049,N(G1049)))</f>
        <v/>
      </c>
      <c r="J1049" s="64"/>
      <c r="K1049" s="64"/>
      <c r="L1049" s="93" t="str">
        <f aca="false">IF(NOT(ISNUMBER(D1049)),"",DATE(YEAR(D1049),MONTH(D1049),1))</f>
        <v/>
      </c>
      <c r="M1049" s="70" t="str">
        <f aca="false">IF(B1049="","",IF(AND(ISNUMBER(D1049),ISNUMBER(E1049),E1049&lt;D1049),"⚠ Término anterior al inicio",IF(J1049&lt;&gt;"Sí","Pendiente comprobante firmado","OK")))</f>
        <v/>
      </c>
    </row>
    <row r="1050" customFormat="false" ht="15" hidden="false" customHeight="false" outlineLevel="0" collapsed="false">
      <c r="B1050" s="64"/>
      <c r="C1050" s="72" t="str">
        <f aca="false">IF(B1050="","",IFERROR(INDEX(T_NOMBRE,MATCH(B1050,T_ID,0)),"⚠ ID no existe"))</f>
        <v/>
      </c>
      <c r="D1050" s="65"/>
      <c r="E1050" s="65"/>
      <c r="F1050" s="64"/>
      <c r="G1050" s="74" t="str">
        <f aca="false">IF(OR(B1050="",NOT(ISNUMBER(D1050)),NOT(ISNUMBER(E1050))),"",NETWORKDAYS(D1050,E1050,FERIADOS))</f>
        <v/>
      </c>
      <c r="H1050" s="69"/>
      <c r="I1050" s="74" t="str">
        <f aca="false">IF(B1050="","",IF(ISNUMBER(H1050),H1050,N(G1050)))</f>
        <v/>
      </c>
      <c r="J1050" s="64"/>
      <c r="K1050" s="64"/>
      <c r="L1050" s="93" t="str">
        <f aca="false">IF(NOT(ISNUMBER(D1050)),"",DATE(YEAR(D1050),MONTH(D1050),1))</f>
        <v/>
      </c>
      <c r="M1050" s="70" t="str">
        <f aca="false">IF(B1050="","",IF(AND(ISNUMBER(D1050),ISNUMBER(E1050),E1050&lt;D1050),"⚠ Término anterior al inicio",IF(J1050&lt;&gt;"Sí","Pendiente comprobante firmado","OK")))</f>
        <v/>
      </c>
    </row>
    <row r="1051" customFormat="false" ht="15" hidden="false" customHeight="false" outlineLevel="0" collapsed="false">
      <c r="B1051" s="64"/>
      <c r="C1051" s="72" t="str">
        <f aca="false">IF(B1051="","",IFERROR(INDEX(T_NOMBRE,MATCH(B1051,T_ID,0)),"⚠ ID no existe"))</f>
        <v/>
      </c>
      <c r="D1051" s="65"/>
      <c r="E1051" s="65"/>
      <c r="F1051" s="64"/>
      <c r="G1051" s="74" t="str">
        <f aca="false">IF(OR(B1051="",NOT(ISNUMBER(D1051)),NOT(ISNUMBER(E1051))),"",NETWORKDAYS(D1051,E1051,FERIADOS))</f>
        <v/>
      </c>
      <c r="H1051" s="69"/>
      <c r="I1051" s="74" t="str">
        <f aca="false">IF(B1051="","",IF(ISNUMBER(H1051),H1051,N(G1051)))</f>
        <v/>
      </c>
      <c r="J1051" s="64"/>
      <c r="K1051" s="64"/>
      <c r="L1051" s="93" t="str">
        <f aca="false">IF(NOT(ISNUMBER(D1051)),"",DATE(YEAR(D1051),MONTH(D1051),1))</f>
        <v/>
      </c>
      <c r="M1051" s="70" t="str">
        <f aca="false">IF(B1051="","",IF(AND(ISNUMBER(D1051),ISNUMBER(E1051),E1051&lt;D1051),"⚠ Término anterior al inicio",IF(J1051&lt;&gt;"Sí","Pendiente comprobante firmado","OK")))</f>
        <v/>
      </c>
    </row>
    <row r="1052" customFormat="false" ht="15" hidden="false" customHeight="false" outlineLevel="0" collapsed="false">
      <c r="B1052" s="64"/>
      <c r="C1052" s="72" t="str">
        <f aca="false">IF(B1052="","",IFERROR(INDEX(T_NOMBRE,MATCH(B1052,T_ID,0)),"⚠ ID no existe"))</f>
        <v/>
      </c>
      <c r="D1052" s="65"/>
      <c r="E1052" s="65"/>
      <c r="F1052" s="64"/>
      <c r="G1052" s="74" t="str">
        <f aca="false">IF(OR(B1052="",NOT(ISNUMBER(D1052)),NOT(ISNUMBER(E1052))),"",NETWORKDAYS(D1052,E1052,FERIADOS))</f>
        <v/>
      </c>
      <c r="H1052" s="69"/>
      <c r="I1052" s="74" t="str">
        <f aca="false">IF(B1052="","",IF(ISNUMBER(H1052),H1052,N(G1052)))</f>
        <v/>
      </c>
      <c r="J1052" s="64"/>
      <c r="K1052" s="64"/>
      <c r="L1052" s="93" t="str">
        <f aca="false">IF(NOT(ISNUMBER(D1052)),"",DATE(YEAR(D1052),MONTH(D1052),1))</f>
        <v/>
      </c>
      <c r="M1052" s="70" t="str">
        <f aca="false">IF(B1052="","",IF(AND(ISNUMBER(D1052),ISNUMBER(E1052),E1052&lt;D1052),"⚠ Término anterior al inicio",IF(J1052&lt;&gt;"Sí","Pendiente comprobante firmado","OK")))</f>
        <v/>
      </c>
    </row>
    <row r="1053" customFormat="false" ht="15" hidden="false" customHeight="false" outlineLevel="0" collapsed="false">
      <c r="B1053" s="64"/>
      <c r="C1053" s="72" t="str">
        <f aca="false">IF(B1053="","",IFERROR(INDEX(T_NOMBRE,MATCH(B1053,T_ID,0)),"⚠ ID no existe"))</f>
        <v/>
      </c>
      <c r="D1053" s="65"/>
      <c r="E1053" s="65"/>
      <c r="F1053" s="64"/>
      <c r="G1053" s="74" t="str">
        <f aca="false">IF(OR(B1053="",NOT(ISNUMBER(D1053)),NOT(ISNUMBER(E1053))),"",NETWORKDAYS(D1053,E1053,FERIADOS))</f>
        <v/>
      </c>
      <c r="H1053" s="69"/>
      <c r="I1053" s="74" t="str">
        <f aca="false">IF(B1053="","",IF(ISNUMBER(H1053),H1053,N(G1053)))</f>
        <v/>
      </c>
      <c r="J1053" s="64"/>
      <c r="K1053" s="64"/>
      <c r="L1053" s="93" t="str">
        <f aca="false">IF(NOT(ISNUMBER(D1053)),"",DATE(YEAR(D1053),MONTH(D1053),1))</f>
        <v/>
      </c>
      <c r="M1053" s="70" t="str">
        <f aca="false">IF(B1053="","",IF(AND(ISNUMBER(D1053),ISNUMBER(E1053),E1053&lt;D1053),"⚠ Término anterior al inicio",IF(J1053&lt;&gt;"Sí","Pendiente comprobante firmado","OK")))</f>
        <v/>
      </c>
    </row>
    <row r="1054" customFormat="false" ht="15" hidden="false" customHeight="false" outlineLevel="0" collapsed="false">
      <c r="B1054" s="64"/>
      <c r="C1054" s="72" t="str">
        <f aca="false">IF(B1054="","",IFERROR(INDEX(T_NOMBRE,MATCH(B1054,T_ID,0)),"⚠ ID no existe"))</f>
        <v/>
      </c>
      <c r="D1054" s="65"/>
      <c r="E1054" s="65"/>
      <c r="F1054" s="64"/>
      <c r="G1054" s="74" t="str">
        <f aca="false">IF(OR(B1054="",NOT(ISNUMBER(D1054)),NOT(ISNUMBER(E1054))),"",NETWORKDAYS(D1054,E1054,FERIADOS))</f>
        <v/>
      </c>
      <c r="H1054" s="69"/>
      <c r="I1054" s="74" t="str">
        <f aca="false">IF(B1054="","",IF(ISNUMBER(H1054),H1054,N(G1054)))</f>
        <v/>
      </c>
      <c r="J1054" s="64"/>
      <c r="K1054" s="64"/>
      <c r="L1054" s="93" t="str">
        <f aca="false">IF(NOT(ISNUMBER(D1054)),"",DATE(YEAR(D1054),MONTH(D1054),1))</f>
        <v/>
      </c>
      <c r="M1054" s="70" t="str">
        <f aca="false">IF(B1054="","",IF(AND(ISNUMBER(D1054),ISNUMBER(E1054),E1054&lt;D1054),"⚠ Término anterior al inicio",IF(J1054&lt;&gt;"Sí","Pendiente comprobante firmado","OK")))</f>
        <v/>
      </c>
    </row>
    <row r="1055" customFormat="false" ht="15" hidden="false" customHeight="false" outlineLevel="0" collapsed="false">
      <c r="B1055" s="64"/>
      <c r="C1055" s="72" t="str">
        <f aca="false">IF(B1055="","",IFERROR(INDEX(T_NOMBRE,MATCH(B1055,T_ID,0)),"⚠ ID no existe"))</f>
        <v/>
      </c>
      <c r="D1055" s="65"/>
      <c r="E1055" s="65"/>
      <c r="F1055" s="64"/>
      <c r="G1055" s="74" t="str">
        <f aca="false">IF(OR(B1055="",NOT(ISNUMBER(D1055)),NOT(ISNUMBER(E1055))),"",NETWORKDAYS(D1055,E1055,FERIADOS))</f>
        <v/>
      </c>
      <c r="H1055" s="69"/>
      <c r="I1055" s="74" t="str">
        <f aca="false">IF(B1055="","",IF(ISNUMBER(H1055),H1055,N(G1055)))</f>
        <v/>
      </c>
      <c r="J1055" s="64"/>
      <c r="K1055" s="64"/>
      <c r="L1055" s="93" t="str">
        <f aca="false">IF(NOT(ISNUMBER(D1055)),"",DATE(YEAR(D1055),MONTH(D1055),1))</f>
        <v/>
      </c>
      <c r="M1055" s="70" t="str">
        <f aca="false">IF(B1055="","",IF(AND(ISNUMBER(D1055),ISNUMBER(E1055),E1055&lt;D1055),"⚠ Término anterior al inicio",IF(J1055&lt;&gt;"Sí","Pendiente comprobante firmado","OK")))</f>
        <v/>
      </c>
    </row>
    <row r="1056" customFormat="false" ht="15" hidden="false" customHeight="false" outlineLevel="0" collapsed="false">
      <c r="B1056" s="64"/>
      <c r="C1056" s="72" t="str">
        <f aca="false">IF(B1056="","",IFERROR(INDEX(T_NOMBRE,MATCH(B1056,T_ID,0)),"⚠ ID no existe"))</f>
        <v/>
      </c>
      <c r="D1056" s="65"/>
      <c r="E1056" s="65"/>
      <c r="F1056" s="64"/>
      <c r="G1056" s="74" t="str">
        <f aca="false">IF(OR(B1056="",NOT(ISNUMBER(D1056)),NOT(ISNUMBER(E1056))),"",NETWORKDAYS(D1056,E1056,FERIADOS))</f>
        <v/>
      </c>
      <c r="H1056" s="69"/>
      <c r="I1056" s="74" t="str">
        <f aca="false">IF(B1056="","",IF(ISNUMBER(H1056),H1056,N(G1056)))</f>
        <v/>
      </c>
      <c r="J1056" s="64"/>
      <c r="K1056" s="64"/>
      <c r="L1056" s="93" t="str">
        <f aca="false">IF(NOT(ISNUMBER(D1056)),"",DATE(YEAR(D1056),MONTH(D1056),1))</f>
        <v/>
      </c>
      <c r="M1056" s="70" t="str">
        <f aca="false">IF(B1056="","",IF(AND(ISNUMBER(D1056),ISNUMBER(E1056),E1056&lt;D1056),"⚠ Término anterior al inicio",IF(J1056&lt;&gt;"Sí","Pendiente comprobante firmado","OK")))</f>
        <v/>
      </c>
    </row>
    <row r="1057" customFormat="false" ht="15" hidden="false" customHeight="false" outlineLevel="0" collapsed="false">
      <c r="B1057" s="64"/>
      <c r="C1057" s="72" t="str">
        <f aca="false">IF(B1057="","",IFERROR(INDEX(T_NOMBRE,MATCH(B1057,T_ID,0)),"⚠ ID no existe"))</f>
        <v/>
      </c>
      <c r="D1057" s="65"/>
      <c r="E1057" s="65"/>
      <c r="F1057" s="64"/>
      <c r="G1057" s="74" t="str">
        <f aca="false">IF(OR(B1057="",NOT(ISNUMBER(D1057)),NOT(ISNUMBER(E1057))),"",NETWORKDAYS(D1057,E1057,FERIADOS))</f>
        <v/>
      </c>
      <c r="H1057" s="69"/>
      <c r="I1057" s="74" t="str">
        <f aca="false">IF(B1057="","",IF(ISNUMBER(H1057),H1057,N(G1057)))</f>
        <v/>
      </c>
      <c r="J1057" s="64"/>
      <c r="K1057" s="64"/>
      <c r="L1057" s="93" t="str">
        <f aca="false">IF(NOT(ISNUMBER(D1057)),"",DATE(YEAR(D1057),MONTH(D1057),1))</f>
        <v/>
      </c>
      <c r="M1057" s="70" t="str">
        <f aca="false">IF(B1057="","",IF(AND(ISNUMBER(D1057),ISNUMBER(E1057),E1057&lt;D1057),"⚠ Término anterior al inicio",IF(J1057&lt;&gt;"Sí","Pendiente comprobante firmado","OK")))</f>
        <v/>
      </c>
    </row>
    <row r="1058" customFormat="false" ht="15" hidden="false" customHeight="false" outlineLevel="0" collapsed="false">
      <c r="B1058" s="64"/>
      <c r="C1058" s="72" t="str">
        <f aca="false">IF(B1058="","",IFERROR(INDEX(T_NOMBRE,MATCH(B1058,T_ID,0)),"⚠ ID no existe"))</f>
        <v/>
      </c>
      <c r="D1058" s="65"/>
      <c r="E1058" s="65"/>
      <c r="F1058" s="64"/>
      <c r="G1058" s="74" t="str">
        <f aca="false">IF(OR(B1058="",NOT(ISNUMBER(D1058)),NOT(ISNUMBER(E1058))),"",NETWORKDAYS(D1058,E1058,FERIADOS))</f>
        <v/>
      </c>
      <c r="H1058" s="69"/>
      <c r="I1058" s="74" t="str">
        <f aca="false">IF(B1058="","",IF(ISNUMBER(H1058),H1058,N(G1058)))</f>
        <v/>
      </c>
      <c r="J1058" s="64"/>
      <c r="K1058" s="64"/>
      <c r="L1058" s="93" t="str">
        <f aca="false">IF(NOT(ISNUMBER(D1058)),"",DATE(YEAR(D1058),MONTH(D1058),1))</f>
        <v/>
      </c>
      <c r="M1058" s="70" t="str">
        <f aca="false">IF(B1058="","",IF(AND(ISNUMBER(D1058),ISNUMBER(E1058),E1058&lt;D1058),"⚠ Término anterior al inicio",IF(J1058&lt;&gt;"Sí","Pendiente comprobante firmado","OK")))</f>
        <v/>
      </c>
    </row>
    <row r="1059" customFormat="false" ht="15" hidden="false" customHeight="false" outlineLevel="0" collapsed="false">
      <c r="B1059" s="64"/>
      <c r="C1059" s="72" t="str">
        <f aca="false">IF(B1059="","",IFERROR(INDEX(T_NOMBRE,MATCH(B1059,T_ID,0)),"⚠ ID no existe"))</f>
        <v/>
      </c>
      <c r="D1059" s="65"/>
      <c r="E1059" s="65"/>
      <c r="F1059" s="64"/>
      <c r="G1059" s="74" t="str">
        <f aca="false">IF(OR(B1059="",NOT(ISNUMBER(D1059)),NOT(ISNUMBER(E1059))),"",NETWORKDAYS(D1059,E1059,FERIADOS))</f>
        <v/>
      </c>
      <c r="H1059" s="69"/>
      <c r="I1059" s="74" t="str">
        <f aca="false">IF(B1059="","",IF(ISNUMBER(H1059),H1059,N(G1059)))</f>
        <v/>
      </c>
      <c r="J1059" s="64"/>
      <c r="K1059" s="64"/>
      <c r="L1059" s="93" t="str">
        <f aca="false">IF(NOT(ISNUMBER(D1059)),"",DATE(YEAR(D1059),MONTH(D1059),1))</f>
        <v/>
      </c>
      <c r="M1059" s="70" t="str">
        <f aca="false">IF(B1059="","",IF(AND(ISNUMBER(D1059),ISNUMBER(E1059),E1059&lt;D1059),"⚠ Término anterior al inicio",IF(J1059&lt;&gt;"Sí","Pendiente comprobante firmado","OK")))</f>
        <v/>
      </c>
    </row>
    <row r="1060" customFormat="false" ht="15" hidden="false" customHeight="false" outlineLevel="0" collapsed="false">
      <c r="B1060" s="64"/>
      <c r="C1060" s="72" t="str">
        <f aca="false">IF(B1060="","",IFERROR(INDEX(T_NOMBRE,MATCH(B1060,T_ID,0)),"⚠ ID no existe"))</f>
        <v/>
      </c>
      <c r="D1060" s="65"/>
      <c r="E1060" s="65"/>
      <c r="F1060" s="64"/>
      <c r="G1060" s="74" t="str">
        <f aca="false">IF(OR(B1060="",NOT(ISNUMBER(D1060)),NOT(ISNUMBER(E1060))),"",NETWORKDAYS(D1060,E1060,FERIADOS))</f>
        <v/>
      </c>
      <c r="H1060" s="69"/>
      <c r="I1060" s="74" t="str">
        <f aca="false">IF(B1060="","",IF(ISNUMBER(H1060),H1060,N(G1060)))</f>
        <v/>
      </c>
      <c r="J1060" s="64"/>
      <c r="K1060" s="64"/>
      <c r="L1060" s="93" t="str">
        <f aca="false">IF(NOT(ISNUMBER(D1060)),"",DATE(YEAR(D1060),MONTH(D1060),1))</f>
        <v/>
      </c>
      <c r="M1060" s="70" t="str">
        <f aca="false">IF(B1060="","",IF(AND(ISNUMBER(D1060),ISNUMBER(E1060),E1060&lt;D1060),"⚠ Término anterior al inicio",IF(J1060&lt;&gt;"Sí","Pendiente comprobante firmado","OK")))</f>
        <v/>
      </c>
    </row>
    <row r="1061" customFormat="false" ht="15" hidden="false" customHeight="false" outlineLevel="0" collapsed="false">
      <c r="B1061" s="64"/>
      <c r="C1061" s="72" t="str">
        <f aca="false">IF(B1061="","",IFERROR(INDEX(T_NOMBRE,MATCH(B1061,T_ID,0)),"⚠ ID no existe"))</f>
        <v/>
      </c>
      <c r="D1061" s="65"/>
      <c r="E1061" s="65"/>
      <c r="F1061" s="64"/>
      <c r="G1061" s="74" t="str">
        <f aca="false">IF(OR(B1061="",NOT(ISNUMBER(D1061)),NOT(ISNUMBER(E1061))),"",NETWORKDAYS(D1061,E1061,FERIADOS))</f>
        <v/>
      </c>
      <c r="H1061" s="69"/>
      <c r="I1061" s="74" t="str">
        <f aca="false">IF(B1061="","",IF(ISNUMBER(H1061),H1061,N(G1061)))</f>
        <v/>
      </c>
      <c r="J1061" s="64"/>
      <c r="K1061" s="64"/>
      <c r="L1061" s="93" t="str">
        <f aca="false">IF(NOT(ISNUMBER(D1061)),"",DATE(YEAR(D1061),MONTH(D1061),1))</f>
        <v/>
      </c>
      <c r="M1061" s="70" t="str">
        <f aca="false">IF(B1061="","",IF(AND(ISNUMBER(D1061),ISNUMBER(E1061),E1061&lt;D1061),"⚠ Término anterior al inicio",IF(J1061&lt;&gt;"Sí","Pendiente comprobante firmado","OK")))</f>
        <v/>
      </c>
    </row>
    <row r="1062" customFormat="false" ht="15" hidden="false" customHeight="false" outlineLevel="0" collapsed="false">
      <c r="B1062" s="64"/>
      <c r="C1062" s="72" t="str">
        <f aca="false">IF(B1062="","",IFERROR(INDEX(T_NOMBRE,MATCH(B1062,T_ID,0)),"⚠ ID no existe"))</f>
        <v/>
      </c>
      <c r="D1062" s="65"/>
      <c r="E1062" s="65"/>
      <c r="F1062" s="64"/>
      <c r="G1062" s="74" t="str">
        <f aca="false">IF(OR(B1062="",NOT(ISNUMBER(D1062)),NOT(ISNUMBER(E1062))),"",NETWORKDAYS(D1062,E1062,FERIADOS))</f>
        <v/>
      </c>
      <c r="H1062" s="69"/>
      <c r="I1062" s="74" t="str">
        <f aca="false">IF(B1062="","",IF(ISNUMBER(H1062),H1062,N(G1062)))</f>
        <v/>
      </c>
      <c r="J1062" s="64"/>
      <c r="K1062" s="64"/>
      <c r="L1062" s="93" t="str">
        <f aca="false">IF(NOT(ISNUMBER(D1062)),"",DATE(YEAR(D1062),MONTH(D1062),1))</f>
        <v/>
      </c>
      <c r="M1062" s="70" t="str">
        <f aca="false">IF(B1062="","",IF(AND(ISNUMBER(D1062),ISNUMBER(E1062),E1062&lt;D1062),"⚠ Término anterior al inicio",IF(J1062&lt;&gt;"Sí","Pendiente comprobante firmado","OK")))</f>
        <v/>
      </c>
    </row>
    <row r="1063" customFormat="false" ht="15" hidden="false" customHeight="false" outlineLevel="0" collapsed="false">
      <c r="B1063" s="64"/>
      <c r="C1063" s="72" t="str">
        <f aca="false">IF(B1063="","",IFERROR(INDEX(T_NOMBRE,MATCH(B1063,T_ID,0)),"⚠ ID no existe"))</f>
        <v/>
      </c>
      <c r="D1063" s="65"/>
      <c r="E1063" s="65"/>
      <c r="F1063" s="64"/>
      <c r="G1063" s="74" t="str">
        <f aca="false">IF(OR(B1063="",NOT(ISNUMBER(D1063)),NOT(ISNUMBER(E1063))),"",NETWORKDAYS(D1063,E1063,FERIADOS))</f>
        <v/>
      </c>
      <c r="H1063" s="69"/>
      <c r="I1063" s="74" t="str">
        <f aca="false">IF(B1063="","",IF(ISNUMBER(H1063),H1063,N(G1063)))</f>
        <v/>
      </c>
      <c r="J1063" s="64"/>
      <c r="K1063" s="64"/>
      <c r="L1063" s="93" t="str">
        <f aca="false">IF(NOT(ISNUMBER(D1063)),"",DATE(YEAR(D1063),MONTH(D1063),1))</f>
        <v/>
      </c>
      <c r="M1063" s="70" t="str">
        <f aca="false">IF(B1063="","",IF(AND(ISNUMBER(D1063),ISNUMBER(E1063),E1063&lt;D1063),"⚠ Término anterior al inicio",IF(J1063&lt;&gt;"Sí","Pendiente comprobante firmado","OK")))</f>
        <v/>
      </c>
    </row>
    <row r="1064" customFormat="false" ht="15" hidden="false" customHeight="false" outlineLevel="0" collapsed="false">
      <c r="B1064" s="64"/>
      <c r="C1064" s="72" t="str">
        <f aca="false">IF(B1064="","",IFERROR(INDEX(T_NOMBRE,MATCH(B1064,T_ID,0)),"⚠ ID no existe"))</f>
        <v/>
      </c>
      <c r="D1064" s="65"/>
      <c r="E1064" s="65"/>
      <c r="F1064" s="64"/>
      <c r="G1064" s="74" t="str">
        <f aca="false">IF(OR(B1064="",NOT(ISNUMBER(D1064)),NOT(ISNUMBER(E1064))),"",NETWORKDAYS(D1064,E1064,FERIADOS))</f>
        <v/>
      </c>
      <c r="H1064" s="69"/>
      <c r="I1064" s="74" t="str">
        <f aca="false">IF(B1064="","",IF(ISNUMBER(H1064),H1064,N(G1064)))</f>
        <v/>
      </c>
      <c r="J1064" s="64"/>
      <c r="K1064" s="64"/>
      <c r="L1064" s="93" t="str">
        <f aca="false">IF(NOT(ISNUMBER(D1064)),"",DATE(YEAR(D1064),MONTH(D1064),1))</f>
        <v/>
      </c>
      <c r="M1064" s="70" t="str">
        <f aca="false">IF(B1064="","",IF(AND(ISNUMBER(D1064),ISNUMBER(E1064),E1064&lt;D1064),"⚠ Término anterior al inicio",IF(J1064&lt;&gt;"Sí","Pendiente comprobante firmado","OK")))</f>
        <v/>
      </c>
    </row>
    <row r="1065" customFormat="false" ht="15" hidden="false" customHeight="false" outlineLevel="0" collapsed="false">
      <c r="B1065" s="64"/>
      <c r="C1065" s="72" t="str">
        <f aca="false">IF(B1065="","",IFERROR(INDEX(T_NOMBRE,MATCH(B1065,T_ID,0)),"⚠ ID no existe"))</f>
        <v/>
      </c>
      <c r="D1065" s="65"/>
      <c r="E1065" s="65"/>
      <c r="F1065" s="64"/>
      <c r="G1065" s="74" t="str">
        <f aca="false">IF(OR(B1065="",NOT(ISNUMBER(D1065)),NOT(ISNUMBER(E1065))),"",NETWORKDAYS(D1065,E1065,FERIADOS))</f>
        <v/>
      </c>
      <c r="H1065" s="69"/>
      <c r="I1065" s="74" t="str">
        <f aca="false">IF(B1065="","",IF(ISNUMBER(H1065),H1065,N(G1065)))</f>
        <v/>
      </c>
      <c r="J1065" s="64"/>
      <c r="K1065" s="64"/>
      <c r="L1065" s="93" t="str">
        <f aca="false">IF(NOT(ISNUMBER(D1065)),"",DATE(YEAR(D1065),MONTH(D1065),1))</f>
        <v/>
      </c>
      <c r="M1065" s="70" t="str">
        <f aca="false">IF(B1065="","",IF(AND(ISNUMBER(D1065),ISNUMBER(E1065),E1065&lt;D1065),"⚠ Término anterior al inicio",IF(J1065&lt;&gt;"Sí","Pendiente comprobante firmado","OK")))</f>
        <v/>
      </c>
    </row>
    <row r="1066" customFormat="false" ht="15" hidden="false" customHeight="false" outlineLevel="0" collapsed="false">
      <c r="B1066" s="64"/>
      <c r="C1066" s="72" t="str">
        <f aca="false">IF(B1066="","",IFERROR(INDEX(T_NOMBRE,MATCH(B1066,T_ID,0)),"⚠ ID no existe"))</f>
        <v/>
      </c>
      <c r="D1066" s="65"/>
      <c r="E1066" s="65"/>
      <c r="F1066" s="64"/>
      <c r="G1066" s="74" t="str">
        <f aca="false">IF(OR(B1066="",NOT(ISNUMBER(D1066)),NOT(ISNUMBER(E1066))),"",NETWORKDAYS(D1066,E1066,FERIADOS))</f>
        <v/>
      </c>
      <c r="H1066" s="69"/>
      <c r="I1066" s="74" t="str">
        <f aca="false">IF(B1066="","",IF(ISNUMBER(H1066),H1066,N(G1066)))</f>
        <v/>
      </c>
      <c r="J1066" s="64"/>
      <c r="K1066" s="64"/>
      <c r="L1066" s="93" t="str">
        <f aca="false">IF(NOT(ISNUMBER(D1066)),"",DATE(YEAR(D1066),MONTH(D1066),1))</f>
        <v/>
      </c>
      <c r="M1066" s="70" t="str">
        <f aca="false">IF(B1066="","",IF(AND(ISNUMBER(D1066),ISNUMBER(E1066),E1066&lt;D1066),"⚠ Término anterior al inicio",IF(J1066&lt;&gt;"Sí","Pendiente comprobante firmado","OK")))</f>
        <v/>
      </c>
    </row>
    <row r="1067" customFormat="false" ht="15" hidden="false" customHeight="false" outlineLevel="0" collapsed="false">
      <c r="B1067" s="64"/>
      <c r="C1067" s="72" t="str">
        <f aca="false">IF(B1067="","",IFERROR(INDEX(T_NOMBRE,MATCH(B1067,T_ID,0)),"⚠ ID no existe"))</f>
        <v/>
      </c>
      <c r="D1067" s="65"/>
      <c r="E1067" s="65"/>
      <c r="F1067" s="64"/>
      <c r="G1067" s="74" t="str">
        <f aca="false">IF(OR(B1067="",NOT(ISNUMBER(D1067)),NOT(ISNUMBER(E1067))),"",NETWORKDAYS(D1067,E1067,FERIADOS))</f>
        <v/>
      </c>
      <c r="H1067" s="69"/>
      <c r="I1067" s="74" t="str">
        <f aca="false">IF(B1067="","",IF(ISNUMBER(H1067),H1067,N(G1067)))</f>
        <v/>
      </c>
      <c r="J1067" s="64"/>
      <c r="K1067" s="64"/>
      <c r="L1067" s="93" t="str">
        <f aca="false">IF(NOT(ISNUMBER(D1067)),"",DATE(YEAR(D1067),MONTH(D1067),1))</f>
        <v/>
      </c>
      <c r="M1067" s="70" t="str">
        <f aca="false">IF(B1067="","",IF(AND(ISNUMBER(D1067),ISNUMBER(E1067),E1067&lt;D1067),"⚠ Término anterior al inicio",IF(J1067&lt;&gt;"Sí","Pendiente comprobante firmado","OK")))</f>
        <v/>
      </c>
    </row>
    <row r="1068" customFormat="false" ht="15" hidden="false" customHeight="false" outlineLevel="0" collapsed="false">
      <c r="B1068" s="64"/>
      <c r="C1068" s="72" t="str">
        <f aca="false">IF(B1068="","",IFERROR(INDEX(T_NOMBRE,MATCH(B1068,T_ID,0)),"⚠ ID no existe"))</f>
        <v/>
      </c>
      <c r="D1068" s="65"/>
      <c r="E1068" s="65"/>
      <c r="F1068" s="64"/>
      <c r="G1068" s="74" t="str">
        <f aca="false">IF(OR(B1068="",NOT(ISNUMBER(D1068)),NOT(ISNUMBER(E1068))),"",NETWORKDAYS(D1068,E1068,FERIADOS))</f>
        <v/>
      </c>
      <c r="H1068" s="69"/>
      <c r="I1068" s="74" t="str">
        <f aca="false">IF(B1068="","",IF(ISNUMBER(H1068),H1068,N(G1068)))</f>
        <v/>
      </c>
      <c r="J1068" s="64"/>
      <c r="K1068" s="64"/>
      <c r="L1068" s="93" t="str">
        <f aca="false">IF(NOT(ISNUMBER(D1068)),"",DATE(YEAR(D1068),MONTH(D1068),1))</f>
        <v/>
      </c>
      <c r="M1068" s="70" t="str">
        <f aca="false">IF(B1068="","",IF(AND(ISNUMBER(D1068),ISNUMBER(E1068),E1068&lt;D1068),"⚠ Término anterior al inicio",IF(J1068&lt;&gt;"Sí","Pendiente comprobante firmado","OK")))</f>
        <v/>
      </c>
    </row>
    <row r="1069" customFormat="false" ht="15" hidden="false" customHeight="false" outlineLevel="0" collapsed="false">
      <c r="B1069" s="64"/>
      <c r="C1069" s="72" t="str">
        <f aca="false">IF(B1069="","",IFERROR(INDEX(T_NOMBRE,MATCH(B1069,T_ID,0)),"⚠ ID no existe"))</f>
        <v/>
      </c>
      <c r="D1069" s="65"/>
      <c r="E1069" s="65"/>
      <c r="F1069" s="64"/>
      <c r="G1069" s="74" t="str">
        <f aca="false">IF(OR(B1069="",NOT(ISNUMBER(D1069)),NOT(ISNUMBER(E1069))),"",NETWORKDAYS(D1069,E1069,FERIADOS))</f>
        <v/>
      </c>
      <c r="H1069" s="69"/>
      <c r="I1069" s="74" t="str">
        <f aca="false">IF(B1069="","",IF(ISNUMBER(H1069),H1069,N(G1069)))</f>
        <v/>
      </c>
      <c r="J1069" s="64"/>
      <c r="K1069" s="64"/>
      <c r="L1069" s="93" t="str">
        <f aca="false">IF(NOT(ISNUMBER(D1069)),"",DATE(YEAR(D1069),MONTH(D1069),1))</f>
        <v/>
      </c>
      <c r="M1069" s="70" t="str">
        <f aca="false">IF(B1069="","",IF(AND(ISNUMBER(D1069),ISNUMBER(E1069),E1069&lt;D1069),"⚠ Término anterior al inicio",IF(J1069&lt;&gt;"Sí","Pendiente comprobante firmado","OK")))</f>
        <v/>
      </c>
    </row>
    <row r="1070" customFormat="false" ht="15" hidden="false" customHeight="false" outlineLevel="0" collapsed="false">
      <c r="B1070" s="64"/>
      <c r="C1070" s="72" t="str">
        <f aca="false">IF(B1070="","",IFERROR(INDEX(T_NOMBRE,MATCH(B1070,T_ID,0)),"⚠ ID no existe"))</f>
        <v/>
      </c>
      <c r="D1070" s="65"/>
      <c r="E1070" s="65"/>
      <c r="F1070" s="64"/>
      <c r="G1070" s="74" t="str">
        <f aca="false">IF(OR(B1070="",NOT(ISNUMBER(D1070)),NOT(ISNUMBER(E1070))),"",NETWORKDAYS(D1070,E1070,FERIADOS))</f>
        <v/>
      </c>
      <c r="H1070" s="69"/>
      <c r="I1070" s="74" t="str">
        <f aca="false">IF(B1070="","",IF(ISNUMBER(H1070),H1070,N(G1070)))</f>
        <v/>
      </c>
      <c r="J1070" s="64"/>
      <c r="K1070" s="64"/>
      <c r="L1070" s="93" t="str">
        <f aca="false">IF(NOT(ISNUMBER(D1070)),"",DATE(YEAR(D1070),MONTH(D1070),1))</f>
        <v/>
      </c>
      <c r="M1070" s="70" t="str">
        <f aca="false">IF(B1070="","",IF(AND(ISNUMBER(D1070),ISNUMBER(E1070),E1070&lt;D1070),"⚠ Término anterior al inicio",IF(J1070&lt;&gt;"Sí","Pendiente comprobante firmado","OK")))</f>
        <v/>
      </c>
    </row>
    <row r="1071" customFormat="false" ht="15" hidden="false" customHeight="false" outlineLevel="0" collapsed="false">
      <c r="B1071" s="64"/>
      <c r="C1071" s="72" t="str">
        <f aca="false">IF(B1071="","",IFERROR(INDEX(T_NOMBRE,MATCH(B1071,T_ID,0)),"⚠ ID no existe"))</f>
        <v/>
      </c>
      <c r="D1071" s="65"/>
      <c r="E1071" s="65"/>
      <c r="F1071" s="64"/>
      <c r="G1071" s="74" t="str">
        <f aca="false">IF(OR(B1071="",NOT(ISNUMBER(D1071)),NOT(ISNUMBER(E1071))),"",NETWORKDAYS(D1071,E1071,FERIADOS))</f>
        <v/>
      </c>
      <c r="H1071" s="69"/>
      <c r="I1071" s="74" t="str">
        <f aca="false">IF(B1071="","",IF(ISNUMBER(H1071),H1071,N(G1071)))</f>
        <v/>
      </c>
      <c r="J1071" s="64"/>
      <c r="K1071" s="64"/>
      <c r="L1071" s="93" t="str">
        <f aca="false">IF(NOT(ISNUMBER(D1071)),"",DATE(YEAR(D1071),MONTH(D1071),1))</f>
        <v/>
      </c>
      <c r="M1071" s="70" t="str">
        <f aca="false">IF(B1071="","",IF(AND(ISNUMBER(D1071),ISNUMBER(E1071),E1071&lt;D1071),"⚠ Término anterior al inicio",IF(J1071&lt;&gt;"Sí","Pendiente comprobante firmado","OK")))</f>
        <v/>
      </c>
    </row>
    <row r="1072" customFormat="false" ht="15" hidden="false" customHeight="false" outlineLevel="0" collapsed="false">
      <c r="B1072" s="64"/>
      <c r="C1072" s="72" t="str">
        <f aca="false">IF(B1072="","",IFERROR(INDEX(T_NOMBRE,MATCH(B1072,T_ID,0)),"⚠ ID no existe"))</f>
        <v/>
      </c>
      <c r="D1072" s="65"/>
      <c r="E1072" s="65"/>
      <c r="F1072" s="64"/>
      <c r="G1072" s="74" t="str">
        <f aca="false">IF(OR(B1072="",NOT(ISNUMBER(D1072)),NOT(ISNUMBER(E1072))),"",NETWORKDAYS(D1072,E1072,FERIADOS))</f>
        <v/>
      </c>
      <c r="H1072" s="69"/>
      <c r="I1072" s="74" t="str">
        <f aca="false">IF(B1072="","",IF(ISNUMBER(H1072),H1072,N(G1072)))</f>
        <v/>
      </c>
      <c r="J1072" s="64"/>
      <c r="K1072" s="64"/>
      <c r="L1072" s="93" t="str">
        <f aca="false">IF(NOT(ISNUMBER(D1072)),"",DATE(YEAR(D1072),MONTH(D1072),1))</f>
        <v/>
      </c>
      <c r="M1072" s="70" t="str">
        <f aca="false">IF(B1072="","",IF(AND(ISNUMBER(D1072),ISNUMBER(E1072),E1072&lt;D1072),"⚠ Término anterior al inicio",IF(J1072&lt;&gt;"Sí","Pendiente comprobante firmado","OK")))</f>
        <v/>
      </c>
    </row>
    <row r="1073" customFormat="false" ht="15" hidden="false" customHeight="false" outlineLevel="0" collapsed="false">
      <c r="B1073" s="64"/>
      <c r="C1073" s="72" t="str">
        <f aca="false">IF(B1073="","",IFERROR(INDEX(T_NOMBRE,MATCH(B1073,T_ID,0)),"⚠ ID no existe"))</f>
        <v/>
      </c>
      <c r="D1073" s="65"/>
      <c r="E1073" s="65"/>
      <c r="F1073" s="64"/>
      <c r="G1073" s="74" t="str">
        <f aca="false">IF(OR(B1073="",NOT(ISNUMBER(D1073)),NOT(ISNUMBER(E1073))),"",NETWORKDAYS(D1073,E1073,FERIADOS))</f>
        <v/>
      </c>
      <c r="H1073" s="69"/>
      <c r="I1073" s="74" t="str">
        <f aca="false">IF(B1073="","",IF(ISNUMBER(H1073),H1073,N(G1073)))</f>
        <v/>
      </c>
      <c r="J1073" s="64"/>
      <c r="K1073" s="64"/>
      <c r="L1073" s="93" t="str">
        <f aca="false">IF(NOT(ISNUMBER(D1073)),"",DATE(YEAR(D1073),MONTH(D1073),1))</f>
        <v/>
      </c>
      <c r="M1073" s="70" t="str">
        <f aca="false">IF(B1073="","",IF(AND(ISNUMBER(D1073),ISNUMBER(E1073),E1073&lt;D1073),"⚠ Término anterior al inicio",IF(J1073&lt;&gt;"Sí","Pendiente comprobante firmado","OK")))</f>
        <v/>
      </c>
    </row>
    <row r="1074" customFormat="false" ht="15" hidden="false" customHeight="false" outlineLevel="0" collapsed="false">
      <c r="B1074" s="64"/>
      <c r="C1074" s="72" t="str">
        <f aca="false">IF(B1074="","",IFERROR(INDEX(T_NOMBRE,MATCH(B1074,T_ID,0)),"⚠ ID no existe"))</f>
        <v/>
      </c>
      <c r="D1074" s="65"/>
      <c r="E1074" s="65"/>
      <c r="F1074" s="64"/>
      <c r="G1074" s="74" t="str">
        <f aca="false">IF(OR(B1074="",NOT(ISNUMBER(D1074)),NOT(ISNUMBER(E1074))),"",NETWORKDAYS(D1074,E1074,FERIADOS))</f>
        <v/>
      </c>
      <c r="H1074" s="69"/>
      <c r="I1074" s="74" t="str">
        <f aca="false">IF(B1074="","",IF(ISNUMBER(H1074),H1074,N(G1074)))</f>
        <v/>
      </c>
      <c r="J1074" s="64"/>
      <c r="K1074" s="64"/>
      <c r="L1074" s="93" t="str">
        <f aca="false">IF(NOT(ISNUMBER(D1074)),"",DATE(YEAR(D1074),MONTH(D1074),1))</f>
        <v/>
      </c>
      <c r="M1074" s="70" t="str">
        <f aca="false">IF(B1074="","",IF(AND(ISNUMBER(D1074),ISNUMBER(E1074),E1074&lt;D1074),"⚠ Término anterior al inicio",IF(J1074&lt;&gt;"Sí","Pendiente comprobante firmado","OK")))</f>
        <v/>
      </c>
    </row>
    <row r="1075" customFormat="false" ht="15" hidden="false" customHeight="false" outlineLevel="0" collapsed="false">
      <c r="B1075" s="64"/>
      <c r="C1075" s="72" t="str">
        <f aca="false">IF(B1075="","",IFERROR(INDEX(T_NOMBRE,MATCH(B1075,T_ID,0)),"⚠ ID no existe"))</f>
        <v/>
      </c>
      <c r="D1075" s="65"/>
      <c r="E1075" s="65"/>
      <c r="F1075" s="64"/>
      <c r="G1075" s="74" t="str">
        <f aca="false">IF(OR(B1075="",NOT(ISNUMBER(D1075)),NOT(ISNUMBER(E1075))),"",NETWORKDAYS(D1075,E1075,FERIADOS))</f>
        <v/>
      </c>
      <c r="H1075" s="69"/>
      <c r="I1075" s="74" t="str">
        <f aca="false">IF(B1075="","",IF(ISNUMBER(H1075),H1075,N(G1075)))</f>
        <v/>
      </c>
      <c r="J1075" s="64"/>
      <c r="K1075" s="64"/>
      <c r="L1075" s="93" t="str">
        <f aca="false">IF(NOT(ISNUMBER(D1075)),"",DATE(YEAR(D1075),MONTH(D1075),1))</f>
        <v/>
      </c>
      <c r="M1075" s="70" t="str">
        <f aca="false">IF(B1075="","",IF(AND(ISNUMBER(D1075),ISNUMBER(E1075),E1075&lt;D1075),"⚠ Término anterior al inicio",IF(J1075&lt;&gt;"Sí","Pendiente comprobante firmado","OK")))</f>
        <v/>
      </c>
    </row>
    <row r="1076" customFormat="false" ht="15" hidden="false" customHeight="false" outlineLevel="0" collapsed="false">
      <c r="B1076" s="64"/>
      <c r="C1076" s="72" t="str">
        <f aca="false">IF(B1076="","",IFERROR(INDEX(T_NOMBRE,MATCH(B1076,T_ID,0)),"⚠ ID no existe"))</f>
        <v/>
      </c>
      <c r="D1076" s="65"/>
      <c r="E1076" s="65"/>
      <c r="F1076" s="64"/>
      <c r="G1076" s="74" t="str">
        <f aca="false">IF(OR(B1076="",NOT(ISNUMBER(D1076)),NOT(ISNUMBER(E1076))),"",NETWORKDAYS(D1076,E1076,FERIADOS))</f>
        <v/>
      </c>
      <c r="H1076" s="69"/>
      <c r="I1076" s="74" t="str">
        <f aca="false">IF(B1076="","",IF(ISNUMBER(H1076),H1076,N(G1076)))</f>
        <v/>
      </c>
      <c r="J1076" s="64"/>
      <c r="K1076" s="64"/>
      <c r="L1076" s="93" t="str">
        <f aca="false">IF(NOT(ISNUMBER(D1076)),"",DATE(YEAR(D1076),MONTH(D1076),1))</f>
        <v/>
      </c>
      <c r="M1076" s="70" t="str">
        <f aca="false">IF(B1076="","",IF(AND(ISNUMBER(D1076),ISNUMBER(E1076),E1076&lt;D1076),"⚠ Término anterior al inicio",IF(J1076&lt;&gt;"Sí","Pendiente comprobante firmado","OK")))</f>
        <v/>
      </c>
    </row>
    <row r="1077" customFormat="false" ht="15" hidden="false" customHeight="false" outlineLevel="0" collapsed="false">
      <c r="B1077" s="64"/>
      <c r="C1077" s="72" t="str">
        <f aca="false">IF(B1077="","",IFERROR(INDEX(T_NOMBRE,MATCH(B1077,T_ID,0)),"⚠ ID no existe"))</f>
        <v/>
      </c>
      <c r="D1077" s="65"/>
      <c r="E1077" s="65"/>
      <c r="F1077" s="64"/>
      <c r="G1077" s="74" t="str">
        <f aca="false">IF(OR(B1077="",NOT(ISNUMBER(D1077)),NOT(ISNUMBER(E1077))),"",NETWORKDAYS(D1077,E1077,FERIADOS))</f>
        <v/>
      </c>
      <c r="H1077" s="69"/>
      <c r="I1077" s="74" t="str">
        <f aca="false">IF(B1077="","",IF(ISNUMBER(H1077),H1077,N(G1077)))</f>
        <v/>
      </c>
      <c r="J1077" s="64"/>
      <c r="K1077" s="64"/>
      <c r="L1077" s="93" t="str">
        <f aca="false">IF(NOT(ISNUMBER(D1077)),"",DATE(YEAR(D1077),MONTH(D1077),1))</f>
        <v/>
      </c>
      <c r="M1077" s="70" t="str">
        <f aca="false">IF(B1077="","",IF(AND(ISNUMBER(D1077),ISNUMBER(E1077),E1077&lt;D1077),"⚠ Término anterior al inicio",IF(J1077&lt;&gt;"Sí","Pendiente comprobante firmado","OK")))</f>
        <v/>
      </c>
    </row>
    <row r="1078" customFormat="false" ht="15" hidden="false" customHeight="false" outlineLevel="0" collapsed="false">
      <c r="B1078" s="64"/>
      <c r="C1078" s="72" t="str">
        <f aca="false">IF(B1078="","",IFERROR(INDEX(T_NOMBRE,MATCH(B1078,T_ID,0)),"⚠ ID no existe"))</f>
        <v/>
      </c>
      <c r="D1078" s="65"/>
      <c r="E1078" s="65"/>
      <c r="F1078" s="64"/>
      <c r="G1078" s="74" t="str">
        <f aca="false">IF(OR(B1078="",NOT(ISNUMBER(D1078)),NOT(ISNUMBER(E1078))),"",NETWORKDAYS(D1078,E1078,FERIADOS))</f>
        <v/>
      </c>
      <c r="H1078" s="69"/>
      <c r="I1078" s="74" t="str">
        <f aca="false">IF(B1078="","",IF(ISNUMBER(H1078),H1078,N(G1078)))</f>
        <v/>
      </c>
      <c r="J1078" s="64"/>
      <c r="K1078" s="64"/>
      <c r="L1078" s="93" t="str">
        <f aca="false">IF(NOT(ISNUMBER(D1078)),"",DATE(YEAR(D1078),MONTH(D1078),1))</f>
        <v/>
      </c>
      <c r="M1078" s="70" t="str">
        <f aca="false">IF(B1078="","",IF(AND(ISNUMBER(D1078),ISNUMBER(E1078),E1078&lt;D1078),"⚠ Término anterior al inicio",IF(J1078&lt;&gt;"Sí","Pendiente comprobante firmado","OK")))</f>
        <v/>
      </c>
    </row>
    <row r="1079" customFormat="false" ht="15" hidden="false" customHeight="false" outlineLevel="0" collapsed="false">
      <c r="B1079" s="64"/>
      <c r="C1079" s="72" t="str">
        <f aca="false">IF(B1079="","",IFERROR(INDEX(T_NOMBRE,MATCH(B1079,T_ID,0)),"⚠ ID no existe"))</f>
        <v/>
      </c>
      <c r="D1079" s="65"/>
      <c r="E1079" s="65"/>
      <c r="F1079" s="64"/>
      <c r="G1079" s="74" t="str">
        <f aca="false">IF(OR(B1079="",NOT(ISNUMBER(D1079)),NOT(ISNUMBER(E1079))),"",NETWORKDAYS(D1079,E1079,FERIADOS))</f>
        <v/>
      </c>
      <c r="H1079" s="69"/>
      <c r="I1079" s="74" t="str">
        <f aca="false">IF(B1079="","",IF(ISNUMBER(H1079),H1079,N(G1079)))</f>
        <v/>
      </c>
      <c r="J1079" s="64"/>
      <c r="K1079" s="64"/>
      <c r="L1079" s="93" t="str">
        <f aca="false">IF(NOT(ISNUMBER(D1079)),"",DATE(YEAR(D1079),MONTH(D1079),1))</f>
        <v/>
      </c>
      <c r="M1079" s="70" t="str">
        <f aca="false">IF(B1079="","",IF(AND(ISNUMBER(D1079),ISNUMBER(E1079),E1079&lt;D1079),"⚠ Término anterior al inicio",IF(J1079&lt;&gt;"Sí","Pendiente comprobante firmado","OK")))</f>
        <v/>
      </c>
    </row>
    <row r="1080" customFormat="false" ht="15" hidden="false" customHeight="false" outlineLevel="0" collapsed="false">
      <c r="B1080" s="64"/>
      <c r="C1080" s="72" t="str">
        <f aca="false">IF(B1080="","",IFERROR(INDEX(T_NOMBRE,MATCH(B1080,T_ID,0)),"⚠ ID no existe"))</f>
        <v/>
      </c>
      <c r="D1080" s="65"/>
      <c r="E1080" s="65"/>
      <c r="F1080" s="64"/>
      <c r="G1080" s="74" t="str">
        <f aca="false">IF(OR(B1080="",NOT(ISNUMBER(D1080)),NOT(ISNUMBER(E1080))),"",NETWORKDAYS(D1080,E1080,FERIADOS))</f>
        <v/>
      </c>
      <c r="H1080" s="69"/>
      <c r="I1080" s="74" t="str">
        <f aca="false">IF(B1080="","",IF(ISNUMBER(H1080),H1080,N(G1080)))</f>
        <v/>
      </c>
      <c r="J1080" s="64"/>
      <c r="K1080" s="64"/>
      <c r="L1080" s="93" t="str">
        <f aca="false">IF(NOT(ISNUMBER(D1080)),"",DATE(YEAR(D1080),MONTH(D1080),1))</f>
        <v/>
      </c>
      <c r="M1080" s="70" t="str">
        <f aca="false">IF(B1080="","",IF(AND(ISNUMBER(D1080),ISNUMBER(E1080),E1080&lt;D1080),"⚠ Término anterior al inicio",IF(J1080&lt;&gt;"Sí","Pendiente comprobante firmado","OK")))</f>
        <v/>
      </c>
    </row>
    <row r="1081" customFormat="false" ht="15" hidden="false" customHeight="false" outlineLevel="0" collapsed="false">
      <c r="B1081" s="64"/>
      <c r="C1081" s="72" t="str">
        <f aca="false">IF(B1081="","",IFERROR(INDEX(T_NOMBRE,MATCH(B1081,T_ID,0)),"⚠ ID no existe"))</f>
        <v/>
      </c>
      <c r="D1081" s="65"/>
      <c r="E1081" s="65"/>
      <c r="F1081" s="64"/>
      <c r="G1081" s="74" t="str">
        <f aca="false">IF(OR(B1081="",NOT(ISNUMBER(D1081)),NOT(ISNUMBER(E1081))),"",NETWORKDAYS(D1081,E1081,FERIADOS))</f>
        <v/>
      </c>
      <c r="H1081" s="69"/>
      <c r="I1081" s="74" t="str">
        <f aca="false">IF(B1081="","",IF(ISNUMBER(H1081),H1081,N(G1081)))</f>
        <v/>
      </c>
      <c r="J1081" s="64"/>
      <c r="K1081" s="64"/>
      <c r="L1081" s="93" t="str">
        <f aca="false">IF(NOT(ISNUMBER(D1081)),"",DATE(YEAR(D1081),MONTH(D1081),1))</f>
        <v/>
      </c>
      <c r="M1081" s="70" t="str">
        <f aca="false">IF(B1081="","",IF(AND(ISNUMBER(D1081),ISNUMBER(E1081),E1081&lt;D1081),"⚠ Término anterior al inicio",IF(J1081&lt;&gt;"Sí","Pendiente comprobante firmado","OK")))</f>
        <v/>
      </c>
    </row>
    <row r="1082" customFormat="false" ht="15" hidden="false" customHeight="false" outlineLevel="0" collapsed="false">
      <c r="B1082" s="64"/>
      <c r="C1082" s="72" t="str">
        <f aca="false">IF(B1082="","",IFERROR(INDEX(T_NOMBRE,MATCH(B1082,T_ID,0)),"⚠ ID no existe"))</f>
        <v/>
      </c>
      <c r="D1082" s="65"/>
      <c r="E1082" s="65"/>
      <c r="F1082" s="64"/>
      <c r="G1082" s="74" t="str">
        <f aca="false">IF(OR(B1082="",NOT(ISNUMBER(D1082)),NOT(ISNUMBER(E1082))),"",NETWORKDAYS(D1082,E1082,FERIADOS))</f>
        <v/>
      </c>
      <c r="H1082" s="69"/>
      <c r="I1082" s="74" t="str">
        <f aca="false">IF(B1082="","",IF(ISNUMBER(H1082),H1082,N(G1082)))</f>
        <v/>
      </c>
      <c r="J1082" s="64"/>
      <c r="K1082" s="64"/>
      <c r="L1082" s="93" t="str">
        <f aca="false">IF(NOT(ISNUMBER(D1082)),"",DATE(YEAR(D1082),MONTH(D1082),1))</f>
        <v/>
      </c>
      <c r="M1082" s="70" t="str">
        <f aca="false">IF(B1082="","",IF(AND(ISNUMBER(D1082),ISNUMBER(E1082),E1082&lt;D1082),"⚠ Término anterior al inicio",IF(J1082&lt;&gt;"Sí","Pendiente comprobante firmado","OK")))</f>
        <v/>
      </c>
    </row>
    <row r="1083" customFormat="false" ht="15" hidden="false" customHeight="false" outlineLevel="0" collapsed="false">
      <c r="B1083" s="64"/>
      <c r="C1083" s="72" t="str">
        <f aca="false">IF(B1083="","",IFERROR(INDEX(T_NOMBRE,MATCH(B1083,T_ID,0)),"⚠ ID no existe"))</f>
        <v/>
      </c>
      <c r="D1083" s="65"/>
      <c r="E1083" s="65"/>
      <c r="F1083" s="64"/>
      <c r="G1083" s="74" t="str">
        <f aca="false">IF(OR(B1083="",NOT(ISNUMBER(D1083)),NOT(ISNUMBER(E1083))),"",NETWORKDAYS(D1083,E1083,FERIADOS))</f>
        <v/>
      </c>
      <c r="H1083" s="69"/>
      <c r="I1083" s="74" t="str">
        <f aca="false">IF(B1083="","",IF(ISNUMBER(H1083),H1083,N(G1083)))</f>
        <v/>
      </c>
      <c r="J1083" s="64"/>
      <c r="K1083" s="64"/>
      <c r="L1083" s="93" t="str">
        <f aca="false">IF(NOT(ISNUMBER(D1083)),"",DATE(YEAR(D1083),MONTH(D1083),1))</f>
        <v/>
      </c>
      <c r="M1083" s="70" t="str">
        <f aca="false">IF(B1083="","",IF(AND(ISNUMBER(D1083),ISNUMBER(E1083),E1083&lt;D1083),"⚠ Término anterior al inicio",IF(J1083&lt;&gt;"Sí","Pendiente comprobante firmado","OK")))</f>
        <v/>
      </c>
    </row>
    <row r="1084" customFormat="false" ht="15" hidden="false" customHeight="false" outlineLevel="0" collapsed="false">
      <c r="B1084" s="64"/>
      <c r="C1084" s="72" t="str">
        <f aca="false">IF(B1084="","",IFERROR(INDEX(T_NOMBRE,MATCH(B1084,T_ID,0)),"⚠ ID no existe"))</f>
        <v/>
      </c>
      <c r="D1084" s="65"/>
      <c r="E1084" s="65"/>
      <c r="F1084" s="64"/>
      <c r="G1084" s="74" t="str">
        <f aca="false">IF(OR(B1084="",NOT(ISNUMBER(D1084)),NOT(ISNUMBER(E1084))),"",NETWORKDAYS(D1084,E1084,FERIADOS))</f>
        <v/>
      </c>
      <c r="H1084" s="69"/>
      <c r="I1084" s="74" t="str">
        <f aca="false">IF(B1084="","",IF(ISNUMBER(H1084),H1084,N(G1084)))</f>
        <v/>
      </c>
      <c r="J1084" s="64"/>
      <c r="K1084" s="64"/>
      <c r="L1084" s="93" t="str">
        <f aca="false">IF(NOT(ISNUMBER(D1084)),"",DATE(YEAR(D1084),MONTH(D1084),1))</f>
        <v/>
      </c>
      <c r="M1084" s="70" t="str">
        <f aca="false">IF(B1084="","",IF(AND(ISNUMBER(D1084),ISNUMBER(E1084),E1084&lt;D1084),"⚠ Término anterior al inicio",IF(J1084&lt;&gt;"Sí","Pendiente comprobante firmado","OK")))</f>
        <v/>
      </c>
    </row>
    <row r="1085" customFormat="false" ht="15" hidden="false" customHeight="false" outlineLevel="0" collapsed="false">
      <c r="B1085" s="64"/>
      <c r="C1085" s="72" t="str">
        <f aca="false">IF(B1085="","",IFERROR(INDEX(T_NOMBRE,MATCH(B1085,T_ID,0)),"⚠ ID no existe"))</f>
        <v/>
      </c>
      <c r="D1085" s="65"/>
      <c r="E1085" s="65"/>
      <c r="F1085" s="64"/>
      <c r="G1085" s="74" t="str">
        <f aca="false">IF(OR(B1085="",NOT(ISNUMBER(D1085)),NOT(ISNUMBER(E1085))),"",NETWORKDAYS(D1085,E1085,FERIADOS))</f>
        <v/>
      </c>
      <c r="H1085" s="69"/>
      <c r="I1085" s="74" t="str">
        <f aca="false">IF(B1085="","",IF(ISNUMBER(H1085),H1085,N(G1085)))</f>
        <v/>
      </c>
      <c r="J1085" s="64"/>
      <c r="K1085" s="64"/>
      <c r="L1085" s="93" t="str">
        <f aca="false">IF(NOT(ISNUMBER(D1085)),"",DATE(YEAR(D1085),MONTH(D1085),1))</f>
        <v/>
      </c>
      <c r="M1085" s="70" t="str">
        <f aca="false">IF(B1085="","",IF(AND(ISNUMBER(D1085),ISNUMBER(E1085),E1085&lt;D1085),"⚠ Término anterior al inicio",IF(J1085&lt;&gt;"Sí","Pendiente comprobante firmado","OK")))</f>
        <v/>
      </c>
    </row>
    <row r="1086" customFormat="false" ht="15" hidden="false" customHeight="false" outlineLevel="0" collapsed="false">
      <c r="B1086" s="64"/>
      <c r="C1086" s="72" t="str">
        <f aca="false">IF(B1086="","",IFERROR(INDEX(T_NOMBRE,MATCH(B1086,T_ID,0)),"⚠ ID no existe"))</f>
        <v/>
      </c>
      <c r="D1086" s="65"/>
      <c r="E1086" s="65"/>
      <c r="F1086" s="64"/>
      <c r="G1086" s="74" t="str">
        <f aca="false">IF(OR(B1086="",NOT(ISNUMBER(D1086)),NOT(ISNUMBER(E1086))),"",NETWORKDAYS(D1086,E1086,FERIADOS))</f>
        <v/>
      </c>
      <c r="H1086" s="69"/>
      <c r="I1086" s="74" t="str">
        <f aca="false">IF(B1086="","",IF(ISNUMBER(H1086),H1086,N(G1086)))</f>
        <v/>
      </c>
      <c r="J1086" s="64"/>
      <c r="K1086" s="64"/>
      <c r="L1086" s="93" t="str">
        <f aca="false">IF(NOT(ISNUMBER(D1086)),"",DATE(YEAR(D1086),MONTH(D1086),1))</f>
        <v/>
      </c>
      <c r="M1086" s="70" t="str">
        <f aca="false">IF(B1086="","",IF(AND(ISNUMBER(D1086),ISNUMBER(E1086),E1086&lt;D1086),"⚠ Término anterior al inicio",IF(J1086&lt;&gt;"Sí","Pendiente comprobante firmado","OK")))</f>
        <v/>
      </c>
    </row>
    <row r="1087" customFormat="false" ht="15" hidden="false" customHeight="false" outlineLevel="0" collapsed="false">
      <c r="B1087" s="64"/>
      <c r="C1087" s="72" t="str">
        <f aca="false">IF(B1087="","",IFERROR(INDEX(T_NOMBRE,MATCH(B1087,T_ID,0)),"⚠ ID no existe"))</f>
        <v/>
      </c>
      <c r="D1087" s="65"/>
      <c r="E1087" s="65"/>
      <c r="F1087" s="64"/>
      <c r="G1087" s="74" t="str">
        <f aca="false">IF(OR(B1087="",NOT(ISNUMBER(D1087)),NOT(ISNUMBER(E1087))),"",NETWORKDAYS(D1087,E1087,FERIADOS))</f>
        <v/>
      </c>
      <c r="H1087" s="69"/>
      <c r="I1087" s="74" t="str">
        <f aca="false">IF(B1087="","",IF(ISNUMBER(H1087),H1087,N(G1087)))</f>
        <v/>
      </c>
      <c r="J1087" s="64"/>
      <c r="K1087" s="64"/>
      <c r="L1087" s="93" t="str">
        <f aca="false">IF(NOT(ISNUMBER(D1087)),"",DATE(YEAR(D1087),MONTH(D1087),1))</f>
        <v/>
      </c>
      <c r="M1087" s="70" t="str">
        <f aca="false">IF(B1087="","",IF(AND(ISNUMBER(D1087),ISNUMBER(E1087),E1087&lt;D1087),"⚠ Término anterior al inicio",IF(J1087&lt;&gt;"Sí","Pendiente comprobante firmado","OK")))</f>
        <v/>
      </c>
    </row>
    <row r="1088" customFormat="false" ht="15" hidden="false" customHeight="false" outlineLevel="0" collapsed="false">
      <c r="B1088" s="64"/>
      <c r="C1088" s="72" t="str">
        <f aca="false">IF(B1088="","",IFERROR(INDEX(T_NOMBRE,MATCH(B1088,T_ID,0)),"⚠ ID no existe"))</f>
        <v/>
      </c>
      <c r="D1088" s="65"/>
      <c r="E1088" s="65"/>
      <c r="F1088" s="64"/>
      <c r="G1088" s="74" t="str">
        <f aca="false">IF(OR(B1088="",NOT(ISNUMBER(D1088)),NOT(ISNUMBER(E1088))),"",NETWORKDAYS(D1088,E1088,FERIADOS))</f>
        <v/>
      </c>
      <c r="H1088" s="69"/>
      <c r="I1088" s="74" t="str">
        <f aca="false">IF(B1088="","",IF(ISNUMBER(H1088),H1088,N(G1088)))</f>
        <v/>
      </c>
      <c r="J1088" s="64"/>
      <c r="K1088" s="64"/>
      <c r="L1088" s="93" t="str">
        <f aca="false">IF(NOT(ISNUMBER(D1088)),"",DATE(YEAR(D1088),MONTH(D1088),1))</f>
        <v/>
      </c>
      <c r="M1088" s="70" t="str">
        <f aca="false">IF(B1088="","",IF(AND(ISNUMBER(D1088),ISNUMBER(E1088),E1088&lt;D1088),"⚠ Término anterior al inicio",IF(J1088&lt;&gt;"Sí","Pendiente comprobante firmado","OK")))</f>
        <v/>
      </c>
    </row>
    <row r="1089" customFormat="false" ht="15" hidden="false" customHeight="false" outlineLevel="0" collapsed="false">
      <c r="B1089" s="64"/>
      <c r="C1089" s="72" t="str">
        <f aca="false">IF(B1089="","",IFERROR(INDEX(T_NOMBRE,MATCH(B1089,T_ID,0)),"⚠ ID no existe"))</f>
        <v/>
      </c>
      <c r="D1089" s="65"/>
      <c r="E1089" s="65"/>
      <c r="F1089" s="64"/>
      <c r="G1089" s="74" t="str">
        <f aca="false">IF(OR(B1089="",NOT(ISNUMBER(D1089)),NOT(ISNUMBER(E1089))),"",NETWORKDAYS(D1089,E1089,FERIADOS))</f>
        <v/>
      </c>
      <c r="H1089" s="69"/>
      <c r="I1089" s="74" t="str">
        <f aca="false">IF(B1089="","",IF(ISNUMBER(H1089),H1089,N(G1089)))</f>
        <v/>
      </c>
      <c r="J1089" s="64"/>
      <c r="K1089" s="64"/>
      <c r="L1089" s="93" t="str">
        <f aca="false">IF(NOT(ISNUMBER(D1089)),"",DATE(YEAR(D1089),MONTH(D1089),1))</f>
        <v/>
      </c>
      <c r="M1089" s="70" t="str">
        <f aca="false">IF(B1089="","",IF(AND(ISNUMBER(D1089),ISNUMBER(E1089),E1089&lt;D1089),"⚠ Término anterior al inicio",IF(J1089&lt;&gt;"Sí","Pendiente comprobante firmado","OK")))</f>
        <v/>
      </c>
    </row>
    <row r="1090" customFormat="false" ht="15" hidden="false" customHeight="false" outlineLevel="0" collapsed="false">
      <c r="B1090" s="64"/>
      <c r="C1090" s="72" t="str">
        <f aca="false">IF(B1090="","",IFERROR(INDEX(T_NOMBRE,MATCH(B1090,T_ID,0)),"⚠ ID no existe"))</f>
        <v/>
      </c>
      <c r="D1090" s="65"/>
      <c r="E1090" s="65"/>
      <c r="F1090" s="64"/>
      <c r="G1090" s="74" t="str">
        <f aca="false">IF(OR(B1090="",NOT(ISNUMBER(D1090)),NOT(ISNUMBER(E1090))),"",NETWORKDAYS(D1090,E1090,FERIADOS))</f>
        <v/>
      </c>
      <c r="H1090" s="69"/>
      <c r="I1090" s="74" t="str">
        <f aca="false">IF(B1090="","",IF(ISNUMBER(H1090),H1090,N(G1090)))</f>
        <v/>
      </c>
      <c r="J1090" s="64"/>
      <c r="K1090" s="64"/>
      <c r="L1090" s="93" t="str">
        <f aca="false">IF(NOT(ISNUMBER(D1090)),"",DATE(YEAR(D1090),MONTH(D1090),1))</f>
        <v/>
      </c>
      <c r="M1090" s="70" t="str">
        <f aca="false">IF(B1090="","",IF(AND(ISNUMBER(D1090),ISNUMBER(E1090),E1090&lt;D1090),"⚠ Término anterior al inicio",IF(J1090&lt;&gt;"Sí","Pendiente comprobante firmado","OK")))</f>
        <v/>
      </c>
    </row>
    <row r="1091" customFormat="false" ht="15" hidden="false" customHeight="false" outlineLevel="0" collapsed="false">
      <c r="B1091" s="64"/>
      <c r="C1091" s="72" t="str">
        <f aca="false">IF(B1091="","",IFERROR(INDEX(T_NOMBRE,MATCH(B1091,T_ID,0)),"⚠ ID no existe"))</f>
        <v/>
      </c>
      <c r="D1091" s="65"/>
      <c r="E1091" s="65"/>
      <c r="F1091" s="64"/>
      <c r="G1091" s="74" t="str">
        <f aca="false">IF(OR(B1091="",NOT(ISNUMBER(D1091)),NOT(ISNUMBER(E1091))),"",NETWORKDAYS(D1091,E1091,FERIADOS))</f>
        <v/>
      </c>
      <c r="H1091" s="69"/>
      <c r="I1091" s="74" t="str">
        <f aca="false">IF(B1091="","",IF(ISNUMBER(H1091),H1091,N(G1091)))</f>
        <v/>
      </c>
      <c r="J1091" s="64"/>
      <c r="K1091" s="64"/>
      <c r="L1091" s="93" t="str">
        <f aca="false">IF(NOT(ISNUMBER(D1091)),"",DATE(YEAR(D1091),MONTH(D1091),1))</f>
        <v/>
      </c>
      <c r="M1091" s="70" t="str">
        <f aca="false">IF(B1091="","",IF(AND(ISNUMBER(D1091),ISNUMBER(E1091),E1091&lt;D1091),"⚠ Término anterior al inicio",IF(J1091&lt;&gt;"Sí","Pendiente comprobante firmado","OK")))</f>
        <v/>
      </c>
    </row>
    <row r="1092" customFormat="false" ht="15" hidden="false" customHeight="false" outlineLevel="0" collapsed="false">
      <c r="B1092" s="64"/>
      <c r="C1092" s="72" t="str">
        <f aca="false">IF(B1092="","",IFERROR(INDEX(T_NOMBRE,MATCH(B1092,T_ID,0)),"⚠ ID no existe"))</f>
        <v/>
      </c>
      <c r="D1092" s="65"/>
      <c r="E1092" s="65"/>
      <c r="F1092" s="64"/>
      <c r="G1092" s="74" t="str">
        <f aca="false">IF(OR(B1092="",NOT(ISNUMBER(D1092)),NOT(ISNUMBER(E1092))),"",NETWORKDAYS(D1092,E1092,FERIADOS))</f>
        <v/>
      </c>
      <c r="H1092" s="69"/>
      <c r="I1092" s="74" t="str">
        <f aca="false">IF(B1092="","",IF(ISNUMBER(H1092),H1092,N(G1092)))</f>
        <v/>
      </c>
      <c r="J1092" s="64"/>
      <c r="K1092" s="64"/>
      <c r="L1092" s="93" t="str">
        <f aca="false">IF(NOT(ISNUMBER(D1092)),"",DATE(YEAR(D1092),MONTH(D1092),1))</f>
        <v/>
      </c>
      <c r="M1092" s="70" t="str">
        <f aca="false">IF(B1092="","",IF(AND(ISNUMBER(D1092),ISNUMBER(E1092),E1092&lt;D1092),"⚠ Término anterior al inicio",IF(J1092&lt;&gt;"Sí","Pendiente comprobante firmado","OK")))</f>
        <v/>
      </c>
    </row>
    <row r="1093" customFormat="false" ht="15" hidden="false" customHeight="false" outlineLevel="0" collapsed="false">
      <c r="B1093" s="64"/>
      <c r="C1093" s="72" t="str">
        <f aca="false">IF(B1093="","",IFERROR(INDEX(T_NOMBRE,MATCH(B1093,T_ID,0)),"⚠ ID no existe"))</f>
        <v/>
      </c>
      <c r="D1093" s="65"/>
      <c r="E1093" s="65"/>
      <c r="F1093" s="64"/>
      <c r="G1093" s="74" t="str">
        <f aca="false">IF(OR(B1093="",NOT(ISNUMBER(D1093)),NOT(ISNUMBER(E1093))),"",NETWORKDAYS(D1093,E1093,FERIADOS))</f>
        <v/>
      </c>
      <c r="H1093" s="69"/>
      <c r="I1093" s="74" t="str">
        <f aca="false">IF(B1093="","",IF(ISNUMBER(H1093),H1093,N(G1093)))</f>
        <v/>
      </c>
      <c r="J1093" s="64"/>
      <c r="K1093" s="64"/>
      <c r="L1093" s="93" t="str">
        <f aca="false">IF(NOT(ISNUMBER(D1093)),"",DATE(YEAR(D1093),MONTH(D1093),1))</f>
        <v/>
      </c>
      <c r="M1093" s="70" t="str">
        <f aca="false">IF(B1093="","",IF(AND(ISNUMBER(D1093),ISNUMBER(E1093),E1093&lt;D1093),"⚠ Término anterior al inicio",IF(J1093&lt;&gt;"Sí","Pendiente comprobante firmado","OK")))</f>
        <v/>
      </c>
    </row>
    <row r="1094" customFormat="false" ht="15" hidden="false" customHeight="false" outlineLevel="0" collapsed="false">
      <c r="B1094" s="64"/>
      <c r="C1094" s="72" t="str">
        <f aca="false">IF(B1094="","",IFERROR(INDEX(T_NOMBRE,MATCH(B1094,T_ID,0)),"⚠ ID no existe"))</f>
        <v/>
      </c>
      <c r="D1094" s="65"/>
      <c r="E1094" s="65"/>
      <c r="F1094" s="64"/>
      <c r="G1094" s="74" t="str">
        <f aca="false">IF(OR(B1094="",NOT(ISNUMBER(D1094)),NOT(ISNUMBER(E1094))),"",NETWORKDAYS(D1094,E1094,FERIADOS))</f>
        <v/>
      </c>
      <c r="H1094" s="69"/>
      <c r="I1094" s="74" t="str">
        <f aca="false">IF(B1094="","",IF(ISNUMBER(H1094),H1094,N(G1094)))</f>
        <v/>
      </c>
      <c r="J1094" s="64"/>
      <c r="K1094" s="64"/>
      <c r="L1094" s="93" t="str">
        <f aca="false">IF(NOT(ISNUMBER(D1094)),"",DATE(YEAR(D1094),MONTH(D1094),1))</f>
        <v/>
      </c>
      <c r="M1094" s="70" t="str">
        <f aca="false">IF(B1094="","",IF(AND(ISNUMBER(D1094),ISNUMBER(E1094),E1094&lt;D1094),"⚠ Término anterior al inicio",IF(J1094&lt;&gt;"Sí","Pendiente comprobante firmado","OK")))</f>
        <v/>
      </c>
    </row>
    <row r="1095" customFormat="false" ht="15" hidden="false" customHeight="false" outlineLevel="0" collapsed="false">
      <c r="B1095" s="64"/>
      <c r="C1095" s="72" t="str">
        <f aca="false">IF(B1095="","",IFERROR(INDEX(T_NOMBRE,MATCH(B1095,T_ID,0)),"⚠ ID no existe"))</f>
        <v/>
      </c>
      <c r="D1095" s="65"/>
      <c r="E1095" s="65"/>
      <c r="F1095" s="64"/>
      <c r="G1095" s="74" t="str">
        <f aca="false">IF(OR(B1095="",NOT(ISNUMBER(D1095)),NOT(ISNUMBER(E1095))),"",NETWORKDAYS(D1095,E1095,FERIADOS))</f>
        <v/>
      </c>
      <c r="H1095" s="69"/>
      <c r="I1095" s="74" t="str">
        <f aca="false">IF(B1095="","",IF(ISNUMBER(H1095),H1095,N(G1095)))</f>
        <v/>
      </c>
      <c r="J1095" s="64"/>
      <c r="K1095" s="64"/>
      <c r="L1095" s="93" t="str">
        <f aca="false">IF(NOT(ISNUMBER(D1095)),"",DATE(YEAR(D1095),MONTH(D1095),1))</f>
        <v/>
      </c>
      <c r="M1095" s="70" t="str">
        <f aca="false">IF(B1095="","",IF(AND(ISNUMBER(D1095),ISNUMBER(E1095),E1095&lt;D1095),"⚠ Término anterior al inicio",IF(J1095&lt;&gt;"Sí","Pendiente comprobante firmado","OK")))</f>
        <v/>
      </c>
    </row>
    <row r="1096" customFormat="false" ht="15" hidden="false" customHeight="false" outlineLevel="0" collapsed="false">
      <c r="B1096" s="64"/>
      <c r="C1096" s="72" t="str">
        <f aca="false">IF(B1096="","",IFERROR(INDEX(T_NOMBRE,MATCH(B1096,T_ID,0)),"⚠ ID no existe"))</f>
        <v/>
      </c>
      <c r="D1096" s="65"/>
      <c r="E1096" s="65"/>
      <c r="F1096" s="64"/>
      <c r="G1096" s="74" t="str">
        <f aca="false">IF(OR(B1096="",NOT(ISNUMBER(D1096)),NOT(ISNUMBER(E1096))),"",NETWORKDAYS(D1096,E1096,FERIADOS))</f>
        <v/>
      </c>
      <c r="H1096" s="69"/>
      <c r="I1096" s="74" t="str">
        <f aca="false">IF(B1096="","",IF(ISNUMBER(H1096),H1096,N(G1096)))</f>
        <v/>
      </c>
      <c r="J1096" s="64"/>
      <c r="K1096" s="64"/>
      <c r="L1096" s="93" t="str">
        <f aca="false">IF(NOT(ISNUMBER(D1096)),"",DATE(YEAR(D1096),MONTH(D1096),1))</f>
        <v/>
      </c>
      <c r="M1096" s="70" t="str">
        <f aca="false">IF(B1096="","",IF(AND(ISNUMBER(D1096),ISNUMBER(E1096),E1096&lt;D1096),"⚠ Término anterior al inicio",IF(J1096&lt;&gt;"Sí","Pendiente comprobante firmado","OK")))</f>
        <v/>
      </c>
    </row>
    <row r="1097" customFormat="false" ht="15" hidden="false" customHeight="false" outlineLevel="0" collapsed="false">
      <c r="B1097" s="64"/>
      <c r="C1097" s="72" t="str">
        <f aca="false">IF(B1097="","",IFERROR(INDEX(T_NOMBRE,MATCH(B1097,T_ID,0)),"⚠ ID no existe"))</f>
        <v/>
      </c>
      <c r="D1097" s="65"/>
      <c r="E1097" s="65"/>
      <c r="F1097" s="64"/>
      <c r="G1097" s="74" t="str">
        <f aca="false">IF(OR(B1097="",NOT(ISNUMBER(D1097)),NOT(ISNUMBER(E1097))),"",NETWORKDAYS(D1097,E1097,FERIADOS))</f>
        <v/>
      </c>
      <c r="H1097" s="69"/>
      <c r="I1097" s="74" t="str">
        <f aca="false">IF(B1097="","",IF(ISNUMBER(H1097),H1097,N(G1097)))</f>
        <v/>
      </c>
      <c r="J1097" s="64"/>
      <c r="K1097" s="64"/>
      <c r="L1097" s="93" t="str">
        <f aca="false">IF(NOT(ISNUMBER(D1097)),"",DATE(YEAR(D1097),MONTH(D1097),1))</f>
        <v/>
      </c>
      <c r="M1097" s="70" t="str">
        <f aca="false">IF(B1097="","",IF(AND(ISNUMBER(D1097),ISNUMBER(E1097),E1097&lt;D1097),"⚠ Término anterior al inicio",IF(J1097&lt;&gt;"Sí","Pendiente comprobante firmado","OK")))</f>
        <v/>
      </c>
    </row>
    <row r="1098" customFormat="false" ht="15" hidden="false" customHeight="false" outlineLevel="0" collapsed="false">
      <c r="B1098" s="64"/>
      <c r="C1098" s="72" t="str">
        <f aca="false">IF(B1098="","",IFERROR(INDEX(T_NOMBRE,MATCH(B1098,T_ID,0)),"⚠ ID no existe"))</f>
        <v/>
      </c>
      <c r="D1098" s="65"/>
      <c r="E1098" s="65"/>
      <c r="F1098" s="64"/>
      <c r="G1098" s="74" t="str">
        <f aca="false">IF(OR(B1098="",NOT(ISNUMBER(D1098)),NOT(ISNUMBER(E1098))),"",NETWORKDAYS(D1098,E1098,FERIADOS))</f>
        <v/>
      </c>
      <c r="H1098" s="69"/>
      <c r="I1098" s="74" t="str">
        <f aca="false">IF(B1098="","",IF(ISNUMBER(H1098),H1098,N(G1098)))</f>
        <v/>
      </c>
      <c r="J1098" s="64"/>
      <c r="K1098" s="64"/>
      <c r="L1098" s="93" t="str">
        <f aca="false">IF(NOT(ISNUMBER(D1098)),"",DATE(YEAR(D1098),MONTH(D1098),1))</f>
        <v/>
      </c>
      <c r="M1098" s="70" t="str">
        <f aca="false">IF(B1098="","",IF(AND(ISNUMBER(D1098),ISNUMBER(E1098),E1098&lt;D1098),"⚠ Término anterior al inicio",IF(J1098&lt;&gt;"Sí","Pendiente comprobante firmado","OK")))</f>
        <v/>
      </c>
    </row>
    <row r="1099" customFormat="false" ht="15" hidden="false" customHeight="false" outlineLevel="0" collapsed="false">
      <c r="B1099" s="64"/>
      <c r="C1099" s="72" t="str">
        <f aca="false">IF(B1099="","",IFERROR(INDEX(T_NOMBRE,MATCH(B1099,T_ID,0)),"⚠ ID no existe"))</f>
        <v/>
      </c>
      <c r="D1099" s="65"/>
      <c r="E1099" s="65"/>
      <c r="F1099" s="64"/>
      <c r="G1099" s="74" t="str">
        <f aca="false">IF(OR(B1099="",NOT(ISNUMBER(D1099)),NOT(ISNUMBER(E1099))),"",NETWORKDAYS(D1099,E1099,FERIADOS))</f>
        <v/>
      </c>
      <c r="H1099" s="69"/>
      <c r="I1099" s="74" t="str">
        <f aca="false">IF(B1099="","",IF(ISNUMBER(H1099),H1099,N(G1099)))</f>
        <v/>
      </c>
      <c r="J1099" s="64"/>
      <c r="K1099" s="64"/>
      <c r="L1099" s="93" t="str">
        <f aca="false">IF(NOT(ISNUMBER(D1099)),"",DATE(YEAR(D1099),MONTH(D1099),1))</f>
        <v/>
      </c>
      <c r="M1099" s="70" t="str">
        <f aca="false">IF(B1099="","",IF(AND(ISNUMBER(D1099),ISNUMBER(E1099),E1099&lt;D1099),"⚠ Término anterior al inicio",IF(J1099&lt;&gt;"Sí","Pendiente comprobante firmado","OK")))</f>
        <v/>
      </c>
    </row>
    <row r="1100" customFormat="false" ht="15" hidden="false" customHeight="false" outlineLevel="0" collapsed="false">
      <c r="B1100" s="64"/>
      <c r="C1100" s="72" t="str">
        <f aca="false">IF(B1100="","",IFERROR(INDEX(T_NOMBRE,MATCH(B1100,T_ID,0)),"⚠ ID no existe"))</f>
        <v/>
      </c>
      <c r="D1100" s="65"/>
      <c r="E1100" s="65"/>
      <c r="F1100" s="64"/>
      <c r="G1100" s="74" t="str">
        <f aca="false">IF(OR(B1100="",NOT(ISNUMBER(D1100)),NOT(ISNUMBER(E1100))),"",NETWORKDAYS(D1100,E1100,FERIADOS))</f>
        <v/>
      </c>
      <c r="H1100" s="69"/>
      <c r="I1100" s="74" t="str">
        <f aca="false">IF(B1100="","",IF(ISNUMBER(H1100),H1100,N(G1100)))</f>
        <v/>
      </c>
      <c r="J1100" s="64"/>
      <c r="K1100" s="64"/>
      <c r="L1100" s="93" t="str">
        <f aca="false">IF(NOT(ISNUMBER(D1100)),"",DATE(YEAR(D1100),MONTH(D1100),1))</f>
        <v/>
      </c>
      <c r="M1100" s="70" t="str">
        <f aca="false">IF(B1100="","",IF(AND(ISNUMBER(D1100),ISNUMBER(E1100),E1100&lt;D1100),"⚠ Término anterior al inicio",IF(J1100&lt;&gt;"Sí","Pendiente comprobante firmado","OK")))</f>
        <v/>
      </c>
    </row>
    <row r="1101" customFormat="false" ht="15" hidden="false" customHeight="false" outlineLevel="0" collapsed="false">
      <c r="B1101" s="64"/>
      <c r="C1101" s="72" t="str">
        <f aca="false">IF(B1101="","",IFERROR(INDEX(T_NOMBRE,MATCH(B1101,T_ID,0)),"⚠ ID no existe"))</f>
        <v/>
      </c>
      <c r="D1101" s="65"/>
      <c r="E1101" s="65"/>
      <c r="F1101" s="64"/>
      <c r="G1101" s="74" t="str">
        <f aca="false">IF(OR(B1101="",NOT(ISNUMBER(D1101)),NOT(ISNUMBER(E1101))),"",NETWORKDAYS(D1101,E1101,FERIADOS))</f>
        <v/>
      </c>
      <c r="H1101" s="69"/>
      <c r="I1101" s="74" t="str">
        <f aca="false">IF(B1101="","",IF(ISNUMBER(H1101),H1101,N(G1101)))</f>
        <v/>
      </c>
      <c r="J1101" s="64"/>
      <c r="K1101" s="64"/>
      <c r="L1101" s="93" t="str">
        <f aca="false">IF(NOT(ISNUMBER(D1101)),"",DATE(YEAR(D1101),MONTH(D1101),1))</f>
        <v/>
      </c>
      <c r="M1101" s="70" t="str">
        <f aca="false">IF(B1101="","",IF(AND(ISNUMBER(D1101),ISNUMBER(E1101),E1101&lt;D1101),"⚠ Término anterior al inicio",IF(J1101&lt;&gt;"Sí","Pendiente comprobante firmado","OK")))</f>
        <v/>
      </c>
    </row>
    <row r="1102" customFormat="false" ht="15" hidden="false" customHeight="false" outlineLevel="0" collapsed="false">
      <c r="B1102" s="64"/>
      <c r="C1102" s="72" t="str">
        <f aca="false">IF(B1102="","",IFERROR(INDEX(T_NOMBRE,MATCH(B1102,T_ID,0)),"⚠ ID no existe"))</f>
        <v/>
      </c>
      <c r="D1102" s="65"/>
      <c r="E1102" s="65"/>
      <c r="F1102" s="64"/>
      <c r="G1102" s="74" t="str">
        <f aca="false">IF(OR(B1102="",NOT(ISNUMBER(D1102)),NOT(ISNUMBER(E1102))),"",NETWORKDAYS(D1102,E1102,FERIADOS))</f>
        <v/>
      </c>
      <c r="H1102" s="69"/>
      <c r="I1102" s="74" t="str">
        <f aca="false">IF(B1102="","",IF(ISNUMBER(H1102),H1102,N(G1102)))</f>
        <v/>
      </c>
      <c r="J1102" s="64"/>
      <c r="K1102" s="64"/>
      <c r="L1102" s="93" t="str">
        <f aca="false">IF(NOT(ISNUMBER(D1102)),"",DATE(YEAR(D1102),MONTH(D1102),1))</f>
        <v/>
      </c>
      <c r="M1102" s="70" t="str">
        <f aca="false">IF(B1102="","",IF(AND(ISNUMBER(D1102),ISNUMBER(E1102),E1102&lt;D1102),"⚠ Término anterior al inicio",IF(J1102&lt;&gt;"Sí","Pendiente comprobante firmado","OK")))</f>
        <v/>
      </c>
    </row>
    <row r="1103" customFormat="false" ht="15" hidden="false" customHeight="false" outlineLevel="0" collapsed="false">
      <c r="B1103" s="64"/>
      <c r="C1103" s="72" t="str">
        <f aca="false">IF(B1103="","",IFERROR(INDEX(T_NOMBRE,MATCH(B1103,T_ID,0)),"⚠ ID no existe"))</f>
        <v/>
      </c>
      <c r="D1103" s="65"/>
      <c r="E1103" s="65"/>
      <c r="F1103" s="64"/>
      <c r="G1103" s="74" t="str">
        <f aca="false">IF(OR(B1103="",NOT(ISNUMBER(D1103)),NOT(ISNUMBER(E1103))),"",NETWORKDAYS(D1103,E1103,FERIADOS))</f>
        <v/>
      </c>
      <c r="H1103" s="69"/>
      <c r="I1103" s="74" t="str">
        <f aca="false">IF(B1103="","",IF(ISNUMBER(H1103),H1103,N(G1103)))</f>
        <v/>
      </c>
      <c r="J1103" s="64"/>
      <c r="K1103" s="64"/>
      <c r="L1103" s="93" t="str">
        <f aca="false">IF(NOT(ISNUMBER(D1103)),"",DATE(YEAR(D1103),MONTH(D1103),1))</f>
        <v/>
      </c>
      <c r="M1103" s="70" t="str">
        <f aca="false">IF(B1103="","",IF(AND(ISNUMBER(D1103),ISNUMBER(E1103),E1103&lt;D1103),"⚠ Término anterior al inicio",IF(J1103&lt;&gt;"Sí","Pendiente comprobante firmado","OK")))</f>
        <v/>
      </c>
    </row>
    <row r="1104" customFormat="false" ht="15" hidden="false" customHeight="false" outlineLevel="0" collapsed="false">
      <c r="B1104" s="64"/>
      <c r="C1104" s="72" t="str">
        <f aca="false">IF(B1104="","",IFERROR(INDEX(T_NOMBRE,MATCH(B1104,T_ID,0)),"⚠ ID no existe"))</f>
        <v/>
      </c>
      <c r="D1104" s="65"/>
      <c r="E1104" s="65"/>
      <c r="F1104" s="64"/>
      <c r="G1104" s="74" t="str">
        <f aca="false">IF(OR(B1104="",NOT(ISNUMBER(D1104)),NOT(ISNUMBER(E1104))),"",NETWORKDAYS(D1104,E1104,FERIADOS))</f>
        <v/>
      </c>
      <c r="H1104" s="69"/>
      <c r="I1104" s="74" t="str">
        <f aca="false">IF(B1104="","",IF(ISNUMBER(H1104),H1104,N(G1104)))</f>
        <v/>
      </c>
      <c r="J1104" s="64"/>
      <c r="K1104" s="64"/>
      <c r="L1104" s="93" t="str">
        <f aca="false">IF(NOT(ISNUMBER(D1104)),"",DATE(YEAR(D1104),MONTH(D1104),1))</f>
        <v/>
      </c>
      <c r="M1104" s="70" t="str">
        <f aca="false">IF(B1104="","",IF(AND(ISNUMBER(D1104),ISNUMBER(E1104),E1104&lt;D1104),"⚠ Término anterior al inicio",IF(J1104&lt;&gt;"Sí","Pendiente comprobante firmado","OK")))</f>
        <v/>
      </c>
    </row>
    <row r="1105" customFormat="false" ht="15" hidden="false" customHeight="false" outlineLevel="0" collapsed="false">
      <c r="B1105" s="64"/>
      <c r="C1105" s="72" t="str">
        <f aca="false">IF(B1105="","",IFERROR(INDEX(T_NOMBRE,MATCH(B1105,T_ID,0)),"⚠ ID no existe"))</f>
        <v/>
      </c>
      <c r="D1105" s="65"/>
      <c r="E1105" s="65"/>
      <c r="F1105" s="64"/>
      <c r="G1105" s="74" t="str">
        <f aca="false">IF(OR(B1105="",NOT(ISNUMBER(D1105)),NOT(ISNUMBER(E1105))),"",NETWORKDAYS(D1105,E1105,FERIADOS))</f>
        <v/>
      </c>
      <c r="H1105" s="69"/>
      <c r="I1105" s="74" t="str">
        <f aca="false">IF(B1105="","",IF(ISNUMBER(H1105),H1105,N(G1105)))</f>
        <v/>
      </c>
      <c r="J1105" s="64"/>
      <c r="K1105" s="64"/>
      <c r="L1105" s="93" t="str">
        <f aca="false">IF(NOT(ISNUMBER(D1105)),"",DATE(YEAR(D1105),MONTH(D1105),1))</f>
        <v/>
      </c>
      <c r="M1105" s="70" t="str">
        <f aca="false">IF(B1105="","",IF(AND(ISNUMBER(D1105),ISNUMBER(E1105),E1105&lt;D1105),"⚠ Término anterior al inicio",IF(J1105&lt;&gt;"Sí","Pendiente comprobante firmado","OK")))</f>
        <v/>
      </c>
    </row>
    <row r="1106" customFormat="false" ht="15" hidden="false" customHeight="false" outlineLevel="0" collapsed="false">
      <c r="B1106" s="64"/>
      <c r="C1106" s="72" t="str">
        <f aca="false">IF(B1106="","",IFERROR(INDEX(T_NOMBRE,MATCH(B1106,T_ID,0)),"⚠ ID no existe"))</f>
        <v/>
      </c>
      <c r="D1106" s="65"/>
      <c r="E1106" s="65"/>
      <c r="F1106" s="64"/>
      <c r="G1106" s="74" t="str">
        <f aca="false">IF(OR(B1106="",NOT(ISNUMBER(D1106)),NOT(ISNUMBER(E1106))),"",NETWORKDAYS(D1106,E1106,FERIADOS))</f>
        <v/>
      </c>
      <c r="H1106" s="69"/>
      <c r="I1106" s="74" t="str">
        <f aca="false">IF(B1106="","",IF(ISNUMBER(H1106),H1106,N(G1106)))</f>
        <v/>
      </c>
      <c r="J1106" s="64"/>
      <c r="K1106" s="64"/>
      <c r="L1106" s="93" t="str">
        <f aca="false">IF(NOT(ISNUMBER(D1106)),"",DATE(YEAR(D1106),MONTH(D1106),1))</f>
        <v/>
      </c>
      <c r="M1106" s="70" t="str">
        <f aca="false">IF(B1106="","",IF(AND(ISNUMBER(D1106),ISNUMBER(E1106),E1106&lt;D1106),"⚠ Término anterior al inicio",IF(J1106&lt;&gt;"Sí","Pendiente comprobante firmado","OK")))</f>
        <v/>
      </c>
    </row>
    <row r="1107" customFormat="false" ht="15" hidden="false" customHeight="false" outlineLevel="0" collapsed="false">
      <c r="B1107" s="64"/>
      <c r="C1107" s="72" t="str">
        <f aca="false">IF(B1107="","",IFERROR(INDEX(T_NOMBRE,MATCH(B1107,T_ID,0)),"⚠ ID no existe"))</f>
        <v/>
      </c>
      <c r="D1107" s="65"/>
      <c r="E1107" s="65"/>
      <c r="F1107" s="64"/>
      <c r="G1107" s="74" t="str">
        <f aca="false">IF(OR(B1107="",NOT(ISNUMBER(D1107)),NOT(ISNUMBER(E1107))),"",NETWORKDAYS(D1107,E1107,FERIADOS))</f>
        <v/>
      </c>
      <c r="H1107" s="69"/>
      <c r="I1107" s="74" t="str">
        <f aca="false">IF(B1107="","",IF(ISNUMBER(H1107),H1107,N(G1107)))</f>
        <v/>
      </c>
      <c r="J1107" s="64"/>
      <c r="K1107" s="64"/>
      <c r="L1107" s="93" t="str">
        <f aca="false">IF(NOT(ISNUMBER(D1107)),"",DATE(YEAR(D1107),MONTH(D1107),1))</f>
        <v/>
      </c>
      <c r="M1107" s="70" t="str">
        <f aca="false">IF(B1107="","",IF(AND(ISNUMBER(D1107),ISNUMBER(E1107),E1107&lt;D1107),"⚠ Término anterior al inicio",IF(J1107&lt;&gt;"Sí","Pendiente comprobante firmado","OK")))</f>
        <v/>
      </c>
    </row>
    <row r="1108" customFormat="false" ht="15" hidden="false" customHeight="false" outlineLevel="0" collapsed="false">
      <c r="B1108" s="64"/>
      <c r="C1108" s="72" t="str">
        <f aca="false">IF(B1108="","",IFERROR(INDEX(T_NOMBRE,MATCH(B1108,T_ID,0)),"⚠ ID no existe"))</f>
        <v/>
      </c>
      <c r="D1108" s="65"/>
      <c r="E1108" s="65"/>
      <c r="F1108" s="64"/>
      <c r="G1108" s="74" t="str">
        <f aca="false">IF(OR(B1108="",NOT(ISNUMBER(D1108)),NOT(ISNUMBER(E1108))),"",NETWORKDAYS(D1108,E1108,FERIADOS))</f>
        <v/>
      </c>
      <c r="H1108" s="69"/>
      <c r="I1108" s="74" t="str">
        <f aca="false">IF(B1108="","",IF(ISNUMBER(H1108),H1108,N(G1108)))</f>
        <v/>
      </c>
      <c r="J1108" s="64"/>
      <c r="K1108" s="64"/>
      <c r="L1108" s="93" t="str">
        <f aca="false">IF(NOT(ISNUMBER(D1108)),"",DATE(YEAR(D1108),MONTH(D1108),1))</f>
        <v/>
      </c>
      <c r="M1108" s="70" t="str">
        <f aca="false">IF(B1108="","",IF(AND(ISNUMBER(D1108),ISNUMBER(E1108),E1108&lt;D1108),"⚠ Término anterior al inicio",IF(J1108&lt;&gt;"Sí","Pendiente comprobante firmado","OK")))</f>
        <v/>
      </c>
    </row>
    <row r="1109" customFormat="false" ht="15" hidden="false" customHeight="false" outlineLevel="0" collapsed="false">
      <c r="B1109" s="64"/>
      <c r="C1109" s="72" t="str">
        <f aca="false">IF(B1109="","",IFERROR(INDEX(T_NOMBRE,MATCH(B1109,T_ID,0)),"⚠ ID no existe"))</f>
        <v/>
      </c>
      <c r="D1109" s="65"/>
      <c r="E1109" s="65"/>
      <c r="F1109" s="64"/>
      <c r="G1109" s="74" t="str">
        <f aca="false">IF(OR(B1109="",NOT(ISNUMBER(D1109)),NOT(ISNUMBER(E1109))),"",NETWORKDAYS(D1109,E1109,FERIADOS))</f>
        <v/>
      </c>
      <c r="H1109" s="69"/>
      <c r="I1109" s="74" t="str">
        <f aca="false">IF(B1109="","",IF(ISNUMBER(H1109),H1109,N(G1109)))</f>
        <v/>
      </c>
      <c r="J1109" s="64"/>
      <c r="K1109" s="64"/>
      <c r="L1109" s="93" t="str">
        <f aca="false">IF(NOT(ISNUMBER(D1109)),"",DATE(YEAR(D1109),MONTH(D1109),1))</f>
        <v/>
      </c>
      <c r="M1109" s="70" t="str">
        <f aca="false">IF(B1109="","",IF(AND(ISNUMBER(D1109),ISNUMBER(E1109),E1109&lt;D1109),"⚠ Término anterior al inicio",IF(J1109&lt;&gt;"Sí","Pendiente comprobante firmado","OK")))</f>
        <v/>
      </c>
    </row>
    <row r="1110" customFormat="false" ht="15" hidden="false" customHeight="false" outlineLevel="0" collapsed="false">
      <c r="B1110" s="64"/>
      <c r="C1110" s="72" t="str">
        <f aca="false">IF(B1110="","",IFERROR(INDEX(T_NOMBRE,MATCH(B1110,T_ID,0)),"⚠ ID no existe"))</f>
        <v/>
      </c>
      <c r="D1110" s="65"/>
      <c r="E1110" s="65"/>
      <c r="F1110" s="64"/>
      <c r="G1110" s="74" t="str">
        <f aca="false">IF(OR(B1110="",NOT(ISNUMBER(D1110)),NOT(ISNUMBER(E1110))),"",NETWORKDAYS(D1110,E1110,FERIADOS))</f>
        <v/>
      </c>
      <c r="H1110" s="69"/>
      <c r="I1110" s="74" t="str">
        <f aca="false">IF(B1110="","",IF(ISNUMBER(H1110),H1110,N(G1110)))</f>
        <v/>
      </c>
      <c r="J1110" s="64"/>
      <c r="K1110" s="64"/>
      <c r="L1110" s="93" t="str">
        <f aca="false">IF(NOT(ISNUMBER(D1110)),"",DATE(YEAR(D1110),MONTH(D1110),1))</f>
        <v/>
      </c>
      <c r="M1110" s="70" t="str">
        <f aca="false">IF(B1110="","",IF(AND(ISNUMBER(D1110),ISNUMBER(E1110),E1110&lt;D1110),"⚠ Término anterior al inicio",IF(J1110&lt;&gt;"Sí","Pendiente comprobante firmado","OK")))</f>
        <v/>
      </c>
    </row>
    <row r="1111" customFormat="false" ht="15" hidden="false" customHeight="false" outlineLevel="0" collapsed="false">
      <c r="B1111" s="64"/>
      <c r="C1111" s="72" t="str">
        <f aca="false">IF(B1111="","",IFERROR(INDEX(T_NOMBRE,MATCH(B1111,T_ID,0)),"⚠ ID no existe"))</f>
        <v/>
      </c>
      <c r="D1111" s="65"/>
      <c r="E1111" s="65"/>
      <c r="F1111" s="64"/>
      <c r="G1111" s="74" t="str">
        <f aca="false">IF(OR(B1111="",NOT(ISNUMBER(D1111)),NOT(ISNUMBER(E1111))),"",NETWORKDAYS(D1111,E1111,FERIADOS))</f>
        <v/>
      </c>
      <c r="H1111" s="69"/>
      <c r="I1111" s="74" t="str">
        <f aca="false">IF(B1111="","",IF(ISNUMBER(H1111),H1111,N(G1111)))</f>
        <v/>
      </c>
      <c r="J1111" s="64"/>
      <c r="K1111" s="64"/>
      <c r="L1111" s="93" t="str">
        <f aca="false">IF(NOT(ISNUMBER(D1111)),"",DATE(YEAR(D1111),MONTH(D1111),1))</f>
        <v/>
      </c>
      <c r="M1111" s="70" t="str">
        <f aca="false">IF(B1111="","",IF(AND(ISNUMBER(D1111),ISNUMBER(E1111),E1111&lt;D1111),"⚠ Término anterior al inicio",IF(J1111&lt;&gt;"Sí","Pendiente comprobante firmado","OK")))</f>
        <v/>
      </c>
    </row>
    <row r="1112" customFormat="false" ht="15" hidden="false" customHeight="false" outlineLevel="0" collapsed="false">
      <c r="B1112" s="64"/>
      <c r="C1112" s="72" t="str">
        <f aca="false">IF(B1112="","",IFERROR(INDEX(T_NOMBRE,MATCH(B1112,T_ID,0)),"⚠ ID no existe"))</f>
        <v/>
      </c>
      <c r="D1112" s="65"/>
      <c r="E1112" s="65"/>
      <c r="F1112" s="64"/>
      <c r="G1112" s="74" t="str">
        <f aca="false">IF(OR(B1112="",NOT(ISNUMBER(D1112)),NOT(ISNUMBER(E1112))),"",NETWORKDAYS(D1112,E1112,FERIADOS))</f>
        <v/>
      </c>
      <c r="H1112" s="69"/>
      <c r="I1112" s="74" t="str">
        <f aca="false">IF(B1112="","",IF(ISNUMBER(H1112),H1112,N(G1112)))</f>
        <v/>
      </c>
      <c r="J1112" s="64"/>
      <c r="K1112" s="64"/>
      <c r="L1112" s="93" t="str">
        <f aca="false">IF(NOT(ISNUMBER(D1112)),"",DATE(YEAR(D1112),MONTH(D1112),1))</f>
        <v/>
      </c>
      <c r="M1112" s="70" t="str">
        <f aca="false">IF(B1112="","",IF(AND(ISNUMBER(D1112),ISNUMBER(E1112),E1112&lt;D1112),"⚠ Término anterior al inicio",IF(J1112&lt;&gt;"Sí","Pendiente comprobante firmado","OK")))</f>
        <v/>
      </c>
    </row>
    <row r="1113" customFormat="false" ht="15" hidden="false" customHeight="false" outlineLevel="0" collapsed="false">
      <c r="B1113" s="64"/>
      <c r="C1113" s="72" t="str">
        <f aca="false">IF(B1113="","",IFERROR(INDEX(T_NOMBRE,MATCH(B1113,T_ID,0)),"⚠ ID no existe"))</f>
        <v/>
      </c>
      <c r="D1113" s="65"/>
      <c r="E1113" s="65"/>
      <c r="F1113" s="64"/>
      <c r="G1113" s="74" t="str">
        <f aca="false">IF(OR(B1113="",NOT(ISNUMBER(D1113)),NOT(ISNUMBER(E1113))),"",NETWORKDAYS(D1113,E1113,FERIADOS))</f>
        <v/>
      </c>
      <c r="H1113" s="69"/>
      <c r="I1113" s="74" t="str">
        <f aca="false">IF(B1113="","",IF(ISNUMBER(H1113),H1113,N(G1113)))</f>
        <v/>
      </c>
      <c r="J1113" s="64"/>
      <c r="K1113" s="64"/>
      <c r="L1113" s="93" t="str">
        <f aca="false">IF(NOT(ISNUMBER(D1113)),"",DATE(YEAR(D1113),MONTH(D1113),1))</f>
        <v/>
      </c>
      <c r="M1113" s="70" t="str">
        <f aca="false">IF(B1113="","",IF(AND(ISNUMBER(D1113),ISNUMBER(E1113),E1113&lt;D1113),"⚠ Término anterior al inicio",IF(J1113&lt;&gt;"Sí","Pendiente comprobante firmado","OK")))</f>
        <v/>
      </c>
    </row>
    <row r="1114" customFormat="false" ht="15" hidden="false" customHeight="false" outlineLevel="0" collapsed="false">
      <c r="B1114" s="64"/>
      <c r="C1114" s="72" t="str">
        <f aca="false">IF(B1114="","",IFERROR(INDEX(T_NOMBRE,MATCH(B1114,T_ID,0)),"⚠ ID no existe"))</f>
        <v/>
      </c>
      <c r="D1114" s="65"/>
      <c r="E1114" s="65"/>
      <c r="F1114" s="64"/>
      <c r="G1114" s="74" t="str">
        <f aca="false">IF(OR(B1114="",NOT(ISNUMBER(D1114)),NOT(ISNUMBER(E1114))),"",NETWORKDAYS(D1114,E1114,FERIADOS))</f>
        <v/>
      </c>
      <c r="H1114" s="69"/>
      <c r="I1114" s="74" t="str">
        <f aca="false">IF(B1114="","",IF(ISNUMBER(H1114),H1114,N(G1114)))</f>
        <v/>
      </c>
      <c r="J1114" s="64"/>
      <c r="K1114" s="64"/>
      <c r="L1114" s="93" t="str">
        <f aca="false">IF(NOT(ISNUMBER(D1114)),"",DATE(YEAR(D1114),MONTH(D1114),1))</f>
        <v/>
      </c>
      <c r="M1114" s="70" t="str">
        <f aca="false">IF(B1114="","",IF(AND(ISNUMBER(D1114),ISNUMBER(E1114),E1114&lt;D1114),"⚠ Término anterior al inicio",IF(J1114&lt;&gt;"Sí","Pendiente comprobante firmado","OK")))</f>
        <v/>
      </c>
    </row>
    <row r="1115" customFormat="false" ht="15" hidden="false" customHeight="false" outlineLevel="0" collapsed="false">
      <c r="B1115" s="64"/>
      <c r="C1115" s="72" t="str">
        <f aca="false">IF(B1115="","",IFERROR(INDEX(T_NOMBRE,MATCH(B1115,T_ID,0)),"⚠ ID no existe"))</f>
        <v/>
      </c>
      <c r="D1115" s="65"/>
      <c r="E1115" s="65"/>
      <c r="F1115" s="64"/>
      <c r="G1115" s="74" t="str">
        <f aca="false">IF(OR(B1115="",NOT(ISNUMBER(D1115)),NOT(ISNUMBER(E1115))),"",NETWORKDAYS(D1115,E1115,FERIADOS))</f>
        <v/>
      </c>
      <c r="H1115" s="69"/>
      <c r="I1115" s="74" t="str">
        <f aca="false">IF(B1115="","",IF(ISNUMBER(H1115),H1115,N(G1115)))</f>
        <v/>
      </c>
      <c r="J1115" s="64"/>
      <c r="K1115" s="64"/>
      <c r="L1115" s="93" t="str">
        <f aca="false">IF(NOT(ISNUMBER(D1115)),"",DATE(YEAR(D1115),MONTH(D1115),1))</f>
        <v/>
      </c>
      <c r="M1115" s="70" t="str">
        <f aca="false">IF(B1115="","",IF(AND(ISNUMBER(D1115),ISNUMBER(E1115),E1115&lt;D1115),"⚠ Término anterior al inicio",IF(J1115&lt;&gt;"Sí","Pendiente comprobante firmado","OK")))</f>
        <v/>
      </c>
    </row>
    <row r="1116" customFormat="false" ht="15" hidden="false" customHeight="false" outlineLevel="0" collapsed="false">
      <c r="B1116" s="64"/>
      <c r="C1116" s="72" t="str">
        <f aca="false">IF(B1116="","",IFERROR(INDEX(T_NOMBRE,MATCH(B1116,T_ID,0)),"⚠ ID no existe"))</f>
        <v/>
      </c>
      <c r="D1116" s="65"/>
      <c r="E1116" s="65"/>
      <c r="F1116" s="64"/>
      <c r="G1116" s="74" t="str">
        <f aca="false">IF(OR(B1116="",NOT(ISNUMBER(D1116)),NOT(ISNUMBER(E1116))),"",NETWORKDAYS(D1116,E1116,FERIADOS))</f>
        <v/>
      </c>
      <c r="H1116" s="69"/>
      <c r="I1116" s="74" t="str">
        <f aca="false">IF(B1116="","",IF(ISNUMBER(H1116),H1116,N(G1116)))</f>
        <v/>
      </c>
      <c r="J1116" s="64"/>
      <c r="K1116" s="64"/>
      <c r="L1116" s="93" t="str">
        <f aca="false">IF(NOT(ISNUMBER(D1116)),"",DATE(YEAR(D1116),MONTH(D1116),1))</f>
        <v/>
      </c>
      <c r="M1116" s="70" t="str">
        <f aca="false">IF(B1116="","",IF(AND(ISNUMBER(D1116),ISNUMBER(E1116),E1116&lt;D1116),"⚠ Término anterior al inicio",IF(J1116&lt;&gt;"Sí","Pendiente comprobante firmado","OK")))</f>
        <v/>
      </c>
    </row>
    <row r="1117" customFormat="false" ht="15" hidden="false" customHeight="false" outlineLevel="0" collapsed="false">
      <c r="B1117" s="64"/>
      <c r="C1117" s="72" t="str">
        <f aca="false">IF(B1117="","",IFERROR(INDEX(T_NOMBRE,MATCH(B1117,T_ID,0)),"⚠ ID no existe"))</f>
        <v/>
      </c>
      <c r="D1117" s="65"/>
      <c r="E1117" s="65"/>
      <c r="F1117" s="64"/>
      <c r="G1117" s="74" t="str">
        <f aca="false">IF(OR(B1117="",NOT(ISNUMBER(D1117)),NOT(ISNUMBER(E1117))),"",NETWORKDAYS(D1117,E1117,FERIADOS))</f>
        <v/>
      </c>
      <c r="H1117" s="69"/>
      <c r="I1117" s="74" t="str">
        <f aca="false">IF(B1117="","",IF(ISNUMBER(H1117),H1117,N(G1117)))</f>
        <v/>
      </c>
      <c r="J1117" s="64"/>
      <c r="K1117" s="64"/>
      <c r="L1117" s="93" t="str">
        <f aca="false">IF(NOT(ISNUMBER(D1117)),"",DATE(YEAR(D1117),MONTH(D1117),1))</f>
        <v/>
      </c>
      <c r="M1117" s="70" t="str">
        <f aca="false">IF(B1117="","",IF(AND(ISNUMBER(D1117),ISNUMBER(E1117),E1117&lt;D1117),"⚠ Término anterior al inicio",IF(J1117&lt;&gt;"Sí","Pendiente comprobante firmado","OK")))</f>
        <v/>
      </c>
    </row>
    <row r="1118" customFormat="false" ht="15" hidden="false" customHeight="false" outlineLevel="0" collapsed="false">
      <c r="B1118" s="64"/>
      <c r="C1118" s="72" t="str">
        <f aca="false">IF(B1118="","",IFERROR(INDEX(T_NOMBRE,MATCH(B1118,T_ID,0)),"⚠ ID no existe"))</f>
        <v/>
      </c>
      <c r="D1118" s="65"/>
      <c r="E1118" s="65"/>
      <c r="F1118" s="64"/>
      <c r="G1118" s="74" t="str">
        <f aca="false">IF(OR(B1118="",NOT(ISNUMBER(D1118)),NOT(ISNUMBER(E1118))),"",NETWORKDAYS(D1118,E1118,FERIADOS))</f>
        <v/>
      </c>
      <c r="H1118" s="69"/>
      <c r="I1118" s="74" t="str">
        <f aca="false">IF(B1118="","",IF(ISNUMBER(H1118),H1118,N(G1118)))</f>
        <v/>
      </c>
      <c r="J1118" s="64"/>
      <c r="K1118" s="64"/>
      <c r="L1118" s="93" t="str">
        <f aca="false">IF(NOT(ISNUMBER(D1118)),"",DATE(YEAR(D1118),MONTH(D1118),1))</f>
        <v/>
      </c>
      <c r="M1118" s="70" t="str">
        <f aca="false">IF(B1118="","",IF(AND(ISNUMBER(D1118),ISNUMBER(E1118),E1118&lt;D1118),"⚠ Término anterior al inicio",IF(J1118&lt;&gt;"Sí","Pendiente comprobante firmado","OK")))</f>
        <v/>
      </c>
    </row>
    <row r="1119" customFormat="false" ht="15" hidden="false" customHeight="false" outlineLevel="0" collapsed="false">
      <c r="B1119" s="64"/>
      <c r="C1119" s="72" t="str">
        <f aca="false">IF(B1119="","",IFERROR(INDEX(T_NOMBRE,MATCH(B1119,T_ID,0)),"⚠ ID no existe"))</f>
        <v/>
      </c>
      <c r="D1119" s="65"/>
      <c r="E1119" s="65"/>
      <c r="F1119" s="64"/>
      <c r="G1119" s="74" t="str">
        <f aca="false">IF(OR(B1119="",NOT(ISNUMBER(D1119)),NOT(ISNUMBER(E1119))),"",NETWORKDAYS(D1119,E1119,FERIADOS))</f>
        <v/>
      </c>
      <c r="H1119" s="69"/>
      <c r="I1119" s="74" t="str">
        <f aca="false">IF(B1119="","",IF(ISNUMBER(H1119),H1119,N(G1119)))</f>
        <v/>
      </c>
      <c r="J1119" s="64"/>
      <c r="K1119" s="64"/>
      <c r="L1119" s="93" t="str">
        <f aca="false">IF(NOT(ISNUMBER(D1119)),"",DATE(YEAR(D1119),MONTH(D1119),1))</f>
        <v/>
      </c>
      <c r="M1119" s="70" t="str">
        <f aca="false">IF(B1119="","",IF(AND(ISNUMBER(D1119),ISNUMBER(E1119),E1119&lt;D1119),"⚠ Término anterior al inicio",IF(J1119&lt;&gt;"Sí","Pendiente comprobante firmado","OK")))</f>
        <v/>
      </c>
    </row>
    <row r="1120" customFormat="false" ht="15" hidden="false" customHeight="false" outlineLevel="0" collapsed="false">
      <c r="B1120" s="64"/>
      <c r="C1120" s="72" t="str">
        <f aca="false">IF(B1120="","",IFERROR(INDEX(T_NOMBRE,MATCH(B1120,T_ID,0)),"⚠ ID no existe"))</f>
        <v/>
      </c>
      <c r="D1120" s="65"/>
      <c r="E1120" s="65"/>
      <c r="F1120" s="64"/>
      <c r="G1120" s="74" t="str">
        <f aca="false">IF(OR(B1120="",NOT(ISNUMBER(D1120)),NOT(ISNUMBER(E1120))),"",NETWORKDAYS(D1120,E1120,FERIADOS))</f>
        <v/>
      </c>
      <c r="H1120" s="69"/>
      <c r="I1120" s="74" t="str">
        <f aca="false">IF(B1120="","",IF(ISNUMBER(H1120),H1120,N(G1120)))</f>
        <v/>
      </c>
      <c r="J1120" s="64"/>
      <c r="K1120" s="64"/>
      <c r="L1120" s="93" t="str">
        <f aca="false">IF(NOT(ISNUMBER(D1120)),"",DATE(YEAR(D1120),MONTH(D1120),1))</f>
        <v/>
      </c>
      <c r="M1120" s="70" t="str">
        <f aca="false">IF(B1120="","",IF(AND(ISNUMBER(D1120),ISNUMBER(E1120),E1120&lt;D1120),"⚠ Término anterior al inicio",IF(J1120&lt;&gt;"Sí","Pendiente comprobante firmado","OK")))</f>
        <v/>
      </c>
    </row>
    <row r="1121" customFormat="false" ht="15" hidden="false" customHeight="false" outlineLevel="0" collapsed="false">
      <c r="B1121" s="64"/>
      <c r="C1121" s="72" t="str">
        <f aca="false">IF(B1121="","",IFERROR(INDEX(T_NOMBRE,MATCH(B1121,T_ID,0)),"⚠ ID no existe"))</f>
        <v/>
      </c>
      <c r="D1121" s="65"/>
      <c r="E1121" s="65"/>
      <c r="F1121" s="64"/>
      <c r="G1121" s="74" t="str">
        <f aca="false">IF(OR(B1121="",NOT(ISNUMBER(D1121)),NOT(ISNUMBER(E1121))),"",NETWORKDAYS(D1121,E1121,FERIADOS))</f>
        <v/>
      </c>
      <c r="H1121" s="69"/>
      <c r="I1121" s="74" t="str">
        <f aca="false">IF(B1121="","",IF(ISNUMBER(H1121),H1121,N(G1121)))</f>
        <v/>
      </c>
      <c r="J1121" s="64"/>
      <c r="K1121" s="64"/>
      <c r="L1121" s="93" t="str">
        <f aca="false">IF(NOT(ISNUMBER(D1121)),"",DATE(YEAR(D1121),MONTH(D1121),1))</f>
        <v/>
      </c>
      <c r="M1121" s="70" t="str">
        <f aca="false">IF(B1121="","",IF(AND(ISNUMBER(D1121),ISNUMBER(E1121),E1121&lt;D1121),"⚠ Término anterior al inicio",IF(J1121&lt;&gt;"Sí","Pendiente comprobante firmado","OK")))</f>
        <v/>
      </c>
    </row>
    <row r="1122" customFormat="false" ht="15" hidden="false" customHeight="false" outlineLevel="0" collapsed="false">
      <c r="B1122" s="64"/>
      <c r="C1122" s="72" t="str">
        <f aca="false">IF(B1122="","",IFERROR(INDEX(T_NOMBRE,MATCH(B1122,T_ID,0)),"⚠ ID no existe"))</f>
        <v/>
      </c>
      <c r="D1122" s="65"/>
      <c r="E1122" s="65"/>
      <c r="F1122" s="64"/>
      <c r="G1122" s="74" t="str">
        <f aca="false">IF(OR(B1122="",NOT(ISNUMBER(D1122)),NOT(ISNUMBER(E1122))),"",NETWORKDAYS(D1122,E1122,FERIADOS))</f>
        <v/>
      </c>
      <c r="H1122" s="69"/>
      <c r="I1122" s="74" t="str">
        <f aca="false">IF(B1122="","",IF(ISNUMBER(H1122),H1122,N(G1122)))</f>
        <v/>
      </c>
      <c r="J1122" s="64"/>
      <c r="K1122" s="64"/>
      <c r="L1122" s="93" t="str">
        <f aca="false">IF(NOT(ISNUMBER(D1122)),"",DATE(YEAR(D1122),MONTH(D1122),1))</f>
        <v/>
      </c>
      <c r="M1122" s="70" t="str">
        <f aca="false">IF(B1122="","",IF(AND(ISNUMBER(D1122),ISNUMBER(E1122),E1122&lt;D1122),"⚠ Término anterior al inicio",IF(J1122&lt;&gt;"Sí","Pendiente comprobante firmado","OK")))</f>
        <v/>
      </c>
    </row>
    <row r="1123" customFormat="false" ht="15" hidden="false" customHeight="false" outlineLevel="0" collapsed="false">
      <c r="B1123" s="64"/>
      <c r="C1123" s="72" t="str">
        <f aca="false">IF(B1123="","",IFERROR(INDEX(T_NOMBRE,MATCH(B1123,T_ID,0)),"⚠ ID no existe"))</f>
        <v/>
      </c>
      <c r="D1123" s="65"/>
      <c r="E1123" s="65"/>
      <c r="F1123" s="64"/>
      <c r="G1123" s="74" t="str">
        <f aca="false">IF(OR(B1123="",NOT(ISNUMBER(D1123)),NOT(ISNUMBER(E1123))),"",NETWORKDAYS(D1123,E1123,FERIADOS))</f>
        <v/>
      </c>
      <c r="H1123" s="69"/>
      <c r="I1123" s="74" t="str">
        <f aca="false">IF(B1123="","",IF(ISNUMBER(H1123),H1123,N(G1123)))</f>
        <v/>
      </c>
      <c r="J1123" s="64"/>
      <c r="K1123" s="64"/>
      <c r="L1123" s="93" t="str">
        <f aca="false">IF(NOT(ISNUMBER(D1123)),"",DATE(YEAR(D1123),MONTH(D1123),1))</f>
        <v/>
      </c>
      <c r="M1123" s="70" t="str">
        <f aca="false">IF(B1123="","",IF(AND(ISNUMBER(D1123),ISNUMBER(E1123),E1123&lt;D1123),"⚠ Término anterior al inicio",IF(J1123&lt;&gt;"Sí","Pendiente comprobante firmado","OK")))</f>
        <v/>
      </c>
    </row>
    <row r="1124" customFormat="false" ht="15" hidden="false" customHeight="false" outlineLevel="0" collapsed="false">
      <c r="B1124" s="64"/>
      <c r="C1124" s="72" t="str">
        <f aca="false">IF(B1124="","",IFERROR(INDEX(T_NOMBRE,MATCH(B1124,T_ID,0)),"⚠ ID no existe"))</f>
        <v/>
      </c>
      <c r="D1124" s="65"/>
      <c r="E1124" s="65"/>
      <c r="F1124" s="64"/>
      <c r="G1124" s="74" t="str">
        <f aca="false">IF(OR(B1124="",NOT(ISNUMBER(D1124)),NOT(ISNUMBER(E1124))),"",NETWORKDAYS(D1124,E1124,FERIADOS))</f>
        <v/>
      </c>
      <c r="H1124" s="69"/>
      <c r="I1124" s="74" t="str">
        <f aca="false">IF(B1124="","",IF(ISNUMBER(H1124),H1124,N(G1124)))</f>
        <v/>
      </c>
      <c r="J1124" s="64"/>
      <c r="K1124" s="64"/>
      <c r="L1124" s="93" t="str">
        <f aca="false">IF(NOT(ISNUMBER(D1124)),"",DATE(YEAR(D1124),MONTH(D1124),1))</f>
        <v/>
      </c>
      <c r="M1124" s="70" t="str">
        <f aca="false">IF(B1124="","",IF(AND(ISNUMBER(D1124),ISNUMBER(E1124),E1124&lt;D1124),"⚠ Término anterior al inicio",IF(J1124&lt;&gt;"Sí","Pendiente comprobante firmado","OK")))</f>
        <v/>
      </c>
    </row>
    <row r="1125" customFormat="false" ht="15" hidden="false" customHeight="false" outlineLevel="0" collapsed="false">
      <c r="B1125" s="64"/>
      <c r="C1125" s="72" t="str">
        <f aca="false">IF(B1125="","",IFERROR(INDEX(T_NOMBRE,MATCH(B1125,T_ID,0)),"⚠ ID no existe"))</f>
        <v/>
      </c>
      <c r="D1125" s="65"/>
      <c r="E1125" s="65"/>
      <c r="F1125" s="64"/>
      <c r="G1125" s="74" t="str">
        <f aca="false">IF(OR(B1125="",NOT(ISNUMBER(D1125)),NOT(ISNUMBER(E1125))),"",NETWORKDAYS(D1125,E1125,FERIADOS))</f>
        <v/>
      </c>
      <c r="H1125" s="69"/>
      <c r="I1125" s="74" t="str">
        <f aca="false">IF(B1125="","",IF(ISNUMBER(H1125),H1125,N(G1125)))</f>
        <v/>
      </c>
      <c r="J1125" s="64"/>
      <c r="K1125" s="64"/>
      <c r="L1125" s="93" t="str">
        <f aca="false">IF(NOT(ISNUMBER(D1125)),"",DATE(YEAR(D1125),MONTH(D1125),1))</f>
        <v/>
      </c>
      <c r="M1125" s="70" t="str">
        <f aca="false">IF(B1125="","",IF(AND(ISNUMBER(D1125),ISNUMBER(E1125),E1125&lt;D1125),"⚠ Término anterior al inicio",IF(J1125&lt;&gt;"Sí","Pendiente comprobante firmado","OK")))</f>
        <v/>
      </c>
    </row>
    <row r="1126" customFormat="false" ht="15" hidden="false" customHeight="false" outlineLevel="0" collapsed="false">
      <c r="B1126" s="64"/>
      <c r="C1126" s="72" t="str">
        <f aca="false">IF(B1126="","",IFERROR(INDEX(T_NOMBRE,MATCH(B1126,T_ID,0)),"⚠ ID no existe"))</f>
        <v/>
      </c>
      <c r="D1126" s="65"/>
      <c r="E1126" s="65"/>
      <c r="F1126" s="64"/>
      <c r="G1126" s="74" t="str">
        <f aca="false">IF(OR(B1126="",NOT(ISNUMBER(D1126)),NOT(ISNUMBER(E1126))),"",NETWORKDAYS(D1126,E1126,FERIADOS))</f>
        <v/>
      </c>
      <c r="H1126" s="69"/>
      <c r="I1126" s="74" t="str">
        <f aca="false">IF(B1126="","",IF(ISNUMBER(H1126),H1126,N(G1126)))</f>
        <v/>
      </c>
      <c r="J1126" s="64"/>
      <c r="K1126" s="64"/>
      <c r="L1126" s="93" t="str">
        <f aca="false">IF(NOT(ISNUMBER(D1126)),"",DATE(YEAR(D1126),MONTH(D1126),1))</f>
        <v/>
      </c>
      <c r="M1126" s="70" t="str">
        <f aca="false">IF(B1126="","",IF(AND(ISNUMBER(D1126),ISNUMBER(E1126),E1126&lt;D1126),"⚠ Término anterior al inicio",IF(J1126&lt;&gt;"Sí","Pendiente comprobante firmado","OK")))</f>
        <v/>
      </c>
    </row>
    <row r="1127" customFormat="false" ht="15" hidden="false" customHeight="false" outlineLevel="0" collapsed="false">
      <c r="B1127" s="64"/>
      <c r="C1127" s="72" t="str">
        <f aca="false">IF(B1127="","",IFERROR(INDEX(T_NOMBRE,MATCH(B1127,T_ID,0)),"⚠ ID no existe"))</f>
        <v/>
      </c>
      <c r="D1127" s="65"/>
      <c r="E1127" s="65"/>
      <c r="F1127" s="64"/>
      <c r="G1127" s="74" t="str">
        <f aca="false">IF(OR(B1127="",NOT(ISNUMBER(D1127)),NOT(ISNUMBER(E1127))),"",NETWORKDAYS(D1127,E1127,FERIADOS))</f>
        <v/>
      </c>
      <c r="H1127" s="69"/>
      <c r="I1127" s="74" t="str">
        <f aca="false">IF(B1127="","",IF(ISNUMBER(H1127),H1127,N(G1127)))</f>
        <v/>
      </c>
      <c r="J1127" s="64"/>
      <c r="K1127" s="64"/>
      <c r="L1127" s="93" t="str">
        <f aca="false">IF(NOT(ISNUMBER(D1127)),"",DATE(YEAR(D1127),MONTH(D1127),1))</f>
        <v/>
      </c>
      <c r="M1127" s="70" t="str">
        <f aca="false">IF(B1127="","",IF(AND(ISNUMBER(D1127),ISNUMBER(E1127),E1127&lt;D1127),"⚠ Término anterior al inicio",IF(J1127&lt;&gt;"Sí","Pendiente comprobante firmado","OK")))</f>
        <v/>
      </c>
    </row>
    <row r="1128" customFormat="false" ht="15" hidden="false" customHeight="false" outlineLevel="0" collapsed="false">
      <c r="B1128" s="64"/>
      <c r="C1128" s="72" t="str">
        <f aca="false">IF(B1128="","",IFERROR(INDEX(T_NOMBRE,MATCH(B1128,T_ID,0)),"⚠ ID no existe"))</f>
        <v/>
      </c>
      <c r="D1128" s="65"/>
      <c r="E1128" s="65"/>
      <c r="F1128" s="64"/>
      <c r="G1128" s="74" t="str">
        <f aca="false">IF(OR(B1128="",NOT(ISNUMBER(D1128)),NOT(ISNUMBER(E1128))),"",NETWORKDAYS(D1128,E1128,FERIADOS))</f>
        <v/>
      </c>
      <c r="H1128" s="69"/>
      <c r="I1128" s="74" t="str">
        <f aca="false">IF(B1128="","",IF(ISNUMBER(H1128),H1128,N(G1128)))</f>
        <v/>
      </c>
      <c r="J1128" s="64"/>
      <c r="K1128" s="64"/>
      <c r="L1128" s="93" t="str">
        <f aca="false">IF(NOT(ISNUMBER(D1128)),"",DATE(YEAR(D1128),MONTH(D1128),1))</f>
        <v/>
      </c>
      <c r="M1128" s="70" t="str">
        <f aca="false">IF(B1128="","",IF(AND(ISNUMBER(D1128),ISNUMBER(E1128),E1128&lt;D1128),"⚠ Término anterior al inicio",IF(J1128&lt;&gt;"Sí","Pendiente comprobante firmado","OK")))</f>
        <v/>
      </c>
    </row>
    <row r="1129" customFormat="false" ht="15" hidden="false" customHeight="false" outlineLevel="0" collapsed="false">
      <c r="B1129" s="64"/>
      <c r="C1129" s="72" t="str">
        <f aca="false">IF(B1129="","",IFERROR(INDEX(T_NOMBRE,MATCH(B1129,T_ID,0)),"⚠ ID no existe"))</f>
        <v/>
      </c>
      <c r="D1129" s="65"/>
      <c r="E1129" s="65"/>
      <c r="F1129" s="64"/>
      <c r="G1129" s="74" t="str">
        <f aca="false">IF(OR(B1129="",NOT(ISNUMBER(D1129)),NOT(ISNUMBER(E1129))),"",NETWORKDAYS(D1129,E1129,FERIADOS))</f>
        <v/>
      </c>
      <c r="H1129" s="69"/>
      <c r="I1129" s="74" t="str">
        <f aca="false">IF(B1129="","",IF(ISNUMBER(H1129),H1129,N(G1129)))</f>
        <v/>
      </c>
      <c r="J1129" s="64"/>
      <c r="K1129" s="64"/>
      <c r="L1129" s="93" t="str">
        <f aca="false">IF(NOT(ISNUMBER(D1129)),"",DATE(YEAR(D1129),MONTH(D1129),1))</f>
        <v/>
      </c>
      <c r="M1129" s="70" t="str">
        <f aca="false">IF(B1129="","",IF(AND(ISNUMBER(D1129),ISNUMBER(E1129),E1129&lt;D1129),"⚠ Término anterior al inicio",IF(J1129&lt;&gt;"Sí","Pendiente comprobante firmado","OK")))</f>
        <v/>
      </c>
    </row>
    <row r="1130" customFormat="false" ht="15" hidden="false" customHeight="false" outlineLevel="0" collapsed="false">
      <c r="B1130" s="64"/>
      <c r="C1130" s="72" t="str">
        <f aca="false">IF(B1130="","",IFERROR(INDEX(T_NOMBRE,MATCH(B1130,T_ID,0)),"⚠ ID no existe"))</f>
        <v/>
      </c>
      <c r="D1130" s="65"/>
      <c r="E1130" s="65"/>
      <c r="F1130" s="64"/>
      <c r="G1130" s="74" t="str">
        <f aca="false">IF(OR(B1130="",NOT(ISNUMBER(D1130)),NOT(ISNUMBER(E1130))),"",NETWORKDAYS(D1130,E1130,FERIADOS))</f>
        <v/>
      </c>
      <c r="H1130" s="69"/>
      <c r="I1130" s="74" t="str">
        <f aca="false">IF(B1130="","",IF(ISNUMBER(H1130),H1130,N(G1130)))</f>
        <v/>
      </c>
      <c r="J1130" s="64"/>
      <c r="K1130" s="64"/>
      <c r="L1130" s="93" t="str">
        <f aca="false">IF(NOT(ISNUMBER(D1130)),"",DATE(YEAR(D1130),MONTH(D1130),1))</f>
        <v/>
      </c>
      <c r="M1130" s="70" t="str">
        <f aca="false">IF(B1130="","",IF(AND(ISNUMBER(D1130),ISNUMBER(E1130),E1130&lt;D1130),"⚠ Término anterior al inicio",IF(J1130&lt;&gt;"Sí","Pendiente comprobante firmado","OK")))</f>
        <v/>
      </c>
    </row>
    <row r="1131" customFormat="false" ht="15" hidden="false" customHeight="false" outlineLevel="0" collapsed="false">
      <c r="B1131" s="64"/>
      <c r="C1131" s="72" t="str">
        <f aca="false">IF(B1131="","",IFERROR(INDEX(T_NOMBRE,MATCH(B1131,T_ID,0)),"⚠ ID no existe"))</f>
        <v/>
      </c>
      <c r="D1131" s="65"/>
      <c r="E1131" s="65"/>
      <c r="F1131" s="64"/>
      <c r="G1131" s="74" t="str">
        <f aca="false">IF(OR(B1131="",NOT(ISNUMBER(D1131)),NOT(ISNUMBER(E1131))),"",NETWORKDAYS(D1131,E1131,FERIADOS))</f>
        <v/>
      </c>
      <c r="H1131" s="69"/>
      <c r="I1131" s="74" t="str">
        <f aca="false">IF(B1131="","",IF(ISNUMBER(H1131),H1131,N(G1131)))</f>
        <v/>
      </c>
      <c r="J1131" s="64"/>
      <c r="K1131" s="64"/>
      <c r="L1131" s="93" t="str">
        <f aca="false">IF(NOT(ISNUMBER(D1131)),"",DATE(YEAR(D1131),MONTH(D1131),1))</f>
        <v/>
      </c>
      <c r="M1131" s="70" t="str">
        <f aca="false">IF(B1131="","",IF(AND(ISNUMBER(D1131),ISNUMBER(E1131),E1131&lt;D1131),"⚠ Término anterior al inicio",IF(J1131&lt;&gt;"Sí","Pendiente comprobante firmado","OK")))</f>
        <v/>
      </c>
    </row>
    <row r="1132" customFormat="false" ht="15" hidden="false" customHeight="false" outlineLevel="0" collapsed="false">
      <c r="B1132" s="64"/>
      <c r="C1132" s="72" t="str">
        <f aca="false">IF(B1132="","",IFERROR(INDEX(T_NOMBRE,MATCH(B1132,T_ID,0)),"⚠ ID no existe"))</f>
        <v/>
      </c>
      <c r="D1132" s="65"/>
      <c r="E1132" s="65"/>
      <c r="F1132" s="64"/>
      <c r="G1132" s="74" t="str">
        <f aca="false">IF(OR(B1132="",NOT(ISNUMBER(D1132)),NOT(ISNUMBER(E1132))),"",NETWORKDAYS(D1132,E1132,FERIADOS))</f>
        <v/>
      </c>
      <c r="H1132" s="69"/>
      <c r="I1132" s="74" t="str">
        <f aca="false">IF(B1132="","",IF(ISNUMBER(H1132),H1132,N(G1132)))</f>
        <v/>
      </c>
      <c r="J1132" s="64"/>
      <c r="K1132" s="64"/>
      <c r="L1132" s="93" t="str">
        <f aca="false">IF(NOT(ISNUMBER(D1132)),"",DATE(YEAR(D1132),MONTH(D1132),1))</f>
        <v/>
      </c>
      <c r="M1132" s="70" t="str">
        <f aca="false">IF(B1132="","",IF(AND(ISNUMBER(D1132),ISNUMBER(E1132),E1132&lt;D1132),"⚠ Término anterior al inicio",IF(J1132&lt;&gt;"Sí","Pendiente comprobante firmado","OK")))</f>
        <v/>
      </c>
    </row>
    <row r="1133" customFormat="false" ht="15" hidden="false" customHeight="false" outlineLevel="0" collapsed="false">
      <c r="B1133" s="64"/>
      <c r="C1133" s="72" t="str">
        <f aca="false">IF(B1133="","",IFERROR(INDEX(T_NOMBRE,MATCH(B1133,T_ID,0)),"⚠ ID no existe"))</f>
        <v/>
      </c>
      <c r="D1133" s="65"/>
      <c r="E1133" s="65"/>
      <c r="F1133" s="64"/>
      <c r="G1133" s="74" t="str">
        <f aca="false">IF(OR(B1133="",NOT(ISNUMBER(D1133)),NOT(ISNUMBER(E1133))),"",NETWORKDAYS(D1133,E1133,FERIADOS))</f>
        <v/>
      </c>
      <c r="H1133" s="69"/>
      <c r="I1133" s="74" t="str">
        <f aca="false">IF(B1133="","",IF(ISNUMBER(H1133),H1133,N(G1133)))</f>
        <v/>
      </c>
      <c r="J1133" s="64"/>
      <c r="K1133" s="64"/>
      <c r="L1133" s="93" t="str">
        <f aca="false">IF(NOT(ISNUMBER(D1133)),"",DATE(YEAR(D1133),MONTH(D1133),1))</f>
        <v/>
      </c>
      <c r="M1133" s="70" t="str">
        <f aca="false">IF(B1133="","",IF(AND(ISNUMBER(D1133),ISNUMBER(E1133),E1133&lt;D1133),"⚠ Término anterior al inicio",IF(J1133&lt;&gt;"Sí","Pendiente comprobante firmado","OK")))</f>
        <v/>
      </c>
    </row>
    <row r="1134" customFormat="false" ht="15" hidden="false" customHeight="false" outlineLevel="0" collapsed="false">
      <c r="B1134" s="64"/>
      <c r="C1134" s="72" t="str">
        <f aca="false">IF(B1134="","",IFERROR(INDEX(T_NOMBRE,MATCH(B1134,T_ID,0)),"⚠ ID no existe"))</f>
        <v/>
      </c>
      <c r="D1134" s="65"/>
      <c r="E1134" s="65"/>
      <c r="F1134" s="64"/>
      <c r="G1134" s="74" t="str">
        <f aca="false">IF(OR(B1134="",NOT(ISNUMBER(D1134)),NOT(ISNUMBER(E1134))),"",NETWORKDAYS(D1134,E1134,FERIADOS))</f>
        <v/>
      </c>
      <c r="H1134" s="69"/>
      <c r="I1134" s="74" t="str">
        <f aca="false">IF(B1134="","",IF(ISNUMBER(H1134),H1134,N(G1134)))</f>
        <v/>
      </c>
      <c r="J1134" s="64"/>
      <c r="K1134" s="64"/>
      <c r="L1134" s="93" t="str">
        <f aca="false">IF(NOT(ISNUMBER(D1134)),"",DATE(YEAR(D1134),MONTH(D1134),1))</f>
        <v/>
      </c>
      <c r="M1134" s="70" t="str">
        <f aca="false">IF(B1134="","",IF(AND(ISNUMBER(D1134),ISNUMBER(E1134),E1134&lt;D1134),"⚠ Término anterior al inicio",IF(J1134&lt;&gt;"Sí","Pendiente comprobante firmado","OK")))</f>
        <v/>
      </c>
    </row>
    <row r="1135" customFormat="false" ht="15" hidden="false" customHeight="false" outlineLevel="0" collapsed="false">
      <c r="B1135" s="64"/>
      <c r="C1135" s="72" t="str">
        <f aca="false">IF(B1135="","",IFERROR(INDEX(T_NOMBRE,MATCH(B1135,T_ID,0)),"⚠ ID no existe"))</f>
        <v/>
      </c>
      <c r="D1135" s="65"/>
      <c r="E1135" s="65"/>
      <c r="F1135" s="64"/>
      <c r="G1135" s="74" t="str">
        <f aca="false">IF(OR(B1135="",NOT(ISNUMBER(D1135)),NOT(ISNUMBER(E1135))),"",NETWORKDAYS(D1135,E1135,FERIADOS))</f>
        <v/>
      </c>
      <c r="H1135" s="69"/>
      <c r="I1135" s="74" t="str">
        <f aca="false">IF(B1135="","",IF(ISNUMBER(H1135),H1135,N(G1135)))</f>
        <v/>
      </c>
      <c r="J1135" s="64"/>
      <c r="K1135" s="64"/>
      <c r="L1135" s="93" t="str">
        <f aca="false">IF(NOT(ISNUMBER(D1135)),"",DATE(YEAR(D1135),MONTH(D1135),1))</f>
        <v/>
      </c>
      <c r="M1135" s="70" t="str">
        <f aca="false">IF(B1135="","",IF(AND(ISNUMBER(D1135),ISNUMBER(E1135),E1135&lt;D1135),"⚠ Término anterior al inicio",IF(J1135&lt;&gt;"Sí","Pendiente comprobante firmado","OK")))</f>
        <v/>
      </c>
    </row>
    <row r="1136" customFormat="false" ht="15" hidden="false" customHeight="false" outlineLevel="0" collapsed="false">
      <c r="B1136" s="64"/>
      <c r="C1136" s="72" t="str">
        <f aca="false">IF(B1136="","",IFERROR(INDEX(T_NOMBRE,MATCH(B1136,T_ID,0)),"⚠ ID no existe"))</f>
        <v/>
      </c>
      <c r="D1136" s="65"/>
      <c r="E1136" s="65"/>
      <c r="F1136" s="64"/>
      <c r="G1136" s="74" t="str">
        <f aca="false">IF(OR(B1136="",NOT(ISNUMBER(D1136)),NOT(ISNUMBER(E1136))),"",NETWORKDAYS(D1136,E1136,FERIADOS))</f>
        <v/>
      </c>
      <c r="H1136" s="69"/>
      <c r="I1136" s="74" t="str">
        <f aca="false">IF(B1136="","",IF(ISNUMBER(H1136),H1136,N(G1136)))</f>
        <v/>
      </c>
      <c r="J1136" s="64"/>
      <c r="K1136" s="64"/>
      <c r="L1136" s="93" t="str">
        <f aca="false">IF(NOT(ISNUMBER(D1136)),"",DATE(YEAR(D1136),MONTH(D1136),1))</f>
        <v/>
      </c>
      <c r="M1136" s="70" t="str">
        <f aca="false">IF(B1136="","",IF(AND(ISNUMBER(D1136),ISNUMBER(E1136),E1136&lt;D1136),"⚠ Término anterior al inicio",IF(J1136&lt;&gt;"Sí","Pendiente comprobante firmado","OK")))</f>
        <v/>
      </c>
    </row>
    <row r="1137" customFormat="false" ht="15" hidden="false" customHeight="false" outlineLevel="0" collapsed="false">
      <c r="B1137" s="64"/>
      <c r="C1137" s="72" t="str">
        <f aca="false">IF(B1137="","",IFERROR(INDEX(T_NOMBRE,MATCH(B1137,T_ID,0)),"⚠ ID no existe"))</f>
        <v/>
      </c>
      <c r="D1137" s="65"/>
      <c r="E1137" s="65"/>
      <c r="F1137" s="64"/>
      <c r="G1137" s="74" t="str">
        <f aca="false">IF(OR(B1137="",NOT(ISNUMBER(D1137)),NOT(ISNUMBER(E1137))),"",NETWORKDAYS(D1137,E1137,FERIADOS))</f>
        <v/>
      </c>
      <c r="H1137" s="69"/>
      <c r="I1137" s="74" t="str">
        <f aca="false">IF(B1137="","",IF(ISNUMBER(H1137),H1137,N(G1137)))</f>
        <v/>
      </c>
      <c r="J1137" s="64"/>
      <c r="K1137" s="64"/>
      <c r="L1137" s="93" t="str">
        <f aca="false">IF(NOT(ISNUMBER(D1137)),"",DATE(YEAR(D1137),MONTH(D1137),1))</f>
        <v/>
      </c>
      <c r="M1137" s="70" t="str">
        <f aca="false">IF(B1137="","",IF(AND(ISNUMBER(D1137),ISNUMBER(E1137),E1137&lt;D1137),"⚠ Término anterior al inicio",IF(J1137&lt;&gt;"Sí","Pendiente comprobante firmado","OK")))</f>
        <v/>
      </c>
    </row>
    <row r="1138" customFormat="false" ht="15" hidden="false" customHeight="false" outlineLevel="0" collapsed="false">
      <c r="B1138" s="64"/>
      <c r="C1138" s="72" t="str">
        <f aca="false">IF(B1138="","",IFERROR(INDEX(T_NOMBRE,MATCH(B1138,T_ID,0)),"⚠ ID no existe"))</f>
        <v/>
      </c>
      <c r="D1138" s="65"/>
      <c r="E1138" s="65"/>
      <c r="F1138" s="64"/>
      <c r="G1138" s="74" t="str">
        <f aca="false">IF(OR(B1138="",NOT(ISNUMBER(D1138)),NOT(ISNUMBER(E1138))),"",NETWORKDAYS(D1138,E1138,FERIADOS))</f>
        <v/>
      </c>
      <c r="H1138" s="69"/>
      <c r="I1138" s="74" t="str">
        <f aca="false">IF(B1138="","",IF(ISNUMBER(H1138),H1138,N(G1138)))</f>
        <v/>
      </c>
      <c r="J1138" s="64"/>
      <c r="K1138" s="64"/>
      <c r="L1138" s="93" t="str">
        <f aca="false">IF(NOT(ISNUMBER(D1138)),"",DATE(YEAR(D1138),MONTH(D1138),1))</f>
        <v/>
      </c>
      <c r="M1138" s="70" t="str">
        <f aca="false">IF(B1138="","",IF(AND(ISNUMBER(D1138),ISNUMBER(E1138),E1138&lt;D1138),"⚠ Término anterior al inicio",IF(J1138&lt;&gt;"Sí","Pendiente comprobante firmado","OK")))</f>
        <v/>
      </c>
    </row>
    <row r="1139" customFormat="false" ht="15" hidden="false" customHeight="false" outlineLevel="0" collapsed="false">
      <c r="B1139" s="64"/>
      <c r="C1139" s="72" t="str">
        <f aca="false">IF(B1139="","",IFERROR(INDEX(T_NOMBRE,MATCH(B1139,T_ID,0)),"⚠ ID no existe"))</f>
        <v/>
      </c>
      <c r="D1139" s="65"/>
      <c r="E1139" s="65"/>
      <c r="F1139" s="64"/>
      <c r="G1139" s="74" t="str">
        <f aca="false">IF(OR(B1139="",NOT(ISNUMBER(D1139)),NOT(ISNUMBER(E1139))),"",NETWORKDAYS(D1139,E1139,FERIADOS))</f>
        <v/>
      </c>
      <c r="H1139" s="69"/>
      <c r="I1139" s="74" t="str">
        <f aca="false">IF(B1139="","",IF(ISNUMBER(H1139),H1139,N(G1139)))</f>
        <v/>
      </c>
      <c r="J1139" s="64"/>
      <c r="K1139" s="64"/>
      <c r="L1139" s="93" t="str">
        <f aca="false">IF(NOT(ISNUMBER(D1139)),"",DATE(YEAR(D1139),MONTH(D1139),1))</f>
        <v/>
      </c>
      <c r="M1139" s="70" t="str">
        <f aca="false">IF(B1139="","",IF(AND(ISNUMBER(D1139),ISNUMBER(E1139),E1139&lt;D1139),"⚠ Término anterior al inicio",IF(J1139&lt;&gt;"Sí","Pendiente comprobante firmado","OK")))</f>
        <v/>
      </c>
    </row>
    <row r="1140" customFormat="false" ht="15" hidden="false" customHeight="false" outlineLevel="0" collapsed="false">
      <c r="B1140" s="64"/>
      <c r="C1140" s="72" t="str">
        <f aca="false">IF(B1140="","",IFERROR(INDEX(T_NOMBRE,MATCH(B1140,T_ID,0)),"⚠ ID no existe"))</f>
        <v/>
      </c>
      <c r="D1140" s="65"/>
      <c r="E1140" s="65"/>
      <c r="F1140" s="64"/>
      <c r="G1140" s="74" t="str">
        <f aca="false">IF(OR(B1140="",NOT(ISNUMBER(D1140)),NOT(ISNUMBER(E1140))),"",NETWORKDAYS(D1140,E1140,FERIADOS))</f>
        <v/>
      </c>
      <c r="H1140" s="69"/>
      <c r="I1140" s="74" t="str">
        <f aca="false">IF(B1140="","",IF(ISNUMBER(H1140),H1140,N(G1140)))</f>
        <v/>
      </c>
      <c r="J1140" s="64"/>
      <c r="K1140" s="64"/>
      <c r="L1140" s="93" t="str">
        <f aca="false">IF(NOT(ISNUMBER(D1140)),"",DATE(YEAR(D1140),MONTH(D1140),1))</f>
        <v/>
      </c>
      <c r="M1140" s="70" t="str">
        <f aca="false">IF(B1140="","",IF(AND(ISNUMBER(D1140),ISNUMBER(E1140),E1140&lt;D1140),"⚠ Término anterior al inicio",IF(J1140&lt;&gt;"Sí","Pendiente comprobante firmado","OK")))</f>
        <v/>
      </c>
    </row>
    <row r="1141" customFormat="false" ht="15" hidden="false" customHeight="false" outlineLevel="0" collapsed="false">
      <c r="B1141" s="64"/>
      <c r="C1141" s="72" t="str">
        <f aca="false">IF(B1141="","",IFERROR(INDEX(T_NOMBRE,MATCH(B1141,T_ID,0)),"⚠ ID no existe"))</f>
        <v/>
      </c>
      <c r="D1141" s="65"/>
      <c r="E1141" s="65"/>
      <c r="F1141" s="64"/>
      <c r="G1141" s="74" t="str">
        <f aca="false">IF(OR(B1141="",NOT(ISNUMBER(D1141)),NOT(ISNUMBER(E1141))),"",NETWORKDAYS(D1141,E1141,FERIADOS))</f>
        <v/>
      </c>
      <c r="H1141" s="69"/>
      <c r="I1141" s="74" t="str">
        <f aca="false">IF(B1141="","",IF(ISNUMBER(H1141),H1141,N(G1141)))</f>
        <v/>
      </c>
      <c r="J1141" s="64"/>
      <c r="K1141" s="64"/>
      <c r="L1141" s="93" t="str">
        <f aca="false">IF(NOT(ISNUMBER(D1141)),"",DATE(YEAR(D1141),MONTH(D1141),1))</f>
        <v/>
      </c>
      <c r="M1141" s="70" t="str">
        <f aca="false">IF(B1141="","",IF(AND(ISNUMBER(D1141),ISNUMBER(E1141),E1141&lt;D1141),"⚠ Término anterior al inicio",IF(J1141&lt;&gt;"Sí","Pendiente comprobante firmado","OK")))</f>
        <v/>
      </c>
    </row>
    <row r="1142" customFormat="false" ht="15" hidden="false" customHeight="false" outlineLevel="0" collapsed="false">
      <c r="B1142" s="64"/>
      <c r="C1142" s="72" t="str">
        <f aca="false">IF(B1142="","",IFERROR(INDEX(T_NOMBRE,MATCH(B1142,T_ID,0)),"⚠ ID no existe"))</f>
        <v/>
      </c>
      <c r="D1142" s="65"/>
      <c r="E1142" s="65"/>
      <c r="F1142" s="64"/>
      <c r="G1142" s="74" t="str">
        <f aca="false">IF(OR(B1142="",NOT(ISNUMBER(D1142)),NOT(ISNUMBER(E1142))),"",NETWORKDAYS(D1142,E1142,FERIADOS))</f>
        <v/>
      </c>
      <c r="H1142" s="69"/>
      <c r="I1142" s="74" t="str">
        <f aca="false">IF(B1142="","",IF(ISNUMBER(H1142),H1142,N(G1142)))</f>
        <v/>
      </c>
      <c r="J1142" s="64"/>
      <c r="K1142" s="64"/>
      <c r="L1142" s="93" t="str">
        <f aca="false">IF(NOT(ISNUMBER(D1142)),"",DATE(YEAR(D1142),MONTH(D1142),1))</f>
        <v/>
      </c>
      <c r="M1142" s="70" t="str">
        <f aca="false">IF(B1142="","",IF(AND(ISNUMBER(D1142),ISNUMBER(E1142),E1142&lt;D1142),"⚠ Término anterior al inicio",IF(J1142&lt;&gt;"Sí","Pendiente comprobante firmado","OK")))</f>
        <v/>
      </c>
    </row>
    <row r="1143" customFormat="false" ht="15" hidden="false" customHeight="false" outlineLevel="0" collapsed="false">
      <c r="B1143" s="64"/>
      <c r="C1143" s="72" t="str">
        <f aca="false">IF(B1143="","",IFERROR(INDEX(T_NOMBRE,MATCH(B1143,T_ID,0)),"⚠ ID no existe"))</f>
        <v/>
      </c>
      <c r="D1143" s="65"/>
      <c r="E1143" s="65"/>
      <c r="F1143" s="64"/>
      <c r="G1143" s="74" t="str">
        <f aca="false">IF(OR(B1143="",NOT(ISNUMBER(D1143)),NOT(ISNUMBER(E1143))),"",NETWORKDAYS(D1143,E1143,FERIADOS))</f>
        <v/>
      </c>
      <c r="H1143" s="69"/>
      <c r="I1143" s="74" t="str">
        <f aca="false">IF(B1143="","",IF(ISNUMBER(H1143),H1143,N(G1143)))</f>
        <v/>
      </c>
      <c r="J1143" s="64"/>
      <c r="K1143" s="64"/>
      <c r="L1143" s="93" t="str">
        <f aca="false">IF(NOT(ISNUMBER(D1143)),"",DATE(YEAR(D1143),MONTH(D1143),1))</f>
        <v/>
      </c>
      <c r="M1143" s="70" t="str">
        <f aca="false">IF(B1143="","",IF(AND(ISNUMBER(D1143),ISNUMBER(E1143),E1143&lt;D1143),"⚠ Término anterior al inicio",IF(J1143&lt;&gt;"Sí","Pendiente comprobante firmado","OK")))</f>
        <v/>
      </c>
    </row>
    <row r="1144" customFormat="false" ht="15" hidden="false" customHeight="false" outlineLevel="0" collapsed="false">
      <c r="B1144" s="64"/>
      <c r="C1144" s="72" t="str">
        <f aca="false">IF(B1144="","",IFERROR(INDEX(T_NOMBRE,MATCH(B1144,T_ID,0)),"⚠ ID no existe"))</f>
        <v/>
      </c>
      <c r="D1144" s="65"/>
      <c r="E1144" s="65"/>
      <c r="F1144" s="64"/>
      <c r="G1144" s="74" t="str">
        <f aca="false">IF(OR(B1144="",NOT(ISNUMBER(D1144)),NOT(ISNUMBER(E1144))),"",NETWORKDAYS(D1144,E1144,FERIADOS))</f>
        <v/>
      </c>
      <c r="H1144" s="69"/>
      <c r="I1144" s="74" t="str">
        <f aca="false">IF(B1144="","",IF(ISNUMBER(H1144),H1144,N(G1144)))</f>
        <v/>
      </c>
      <c r="J1144" s="64"/>
      <c r="K1144" s="64"/>
      <c r="L1144" s="93" t="str">
        <f aca="false">IF(NOT(ISNUMBER(D1144)),"",DATE(YEAR(D1144),MONTH(D1144),1))</f>
        <v/>
      </c>
      <c r="M1144" s="70" t="str">
        <f aca="false">IF(B1144="","",IF(AND(ISNUMBER(D1144),ISNUMBER(E1144),E1144&lt;D1144),"⚠ Término anterior al inicio",IF(J1144&lt;&gt;"Sí","Pendiente comprobante firmado","OK")))</f>
        <v/>
      </c>
    </row>
    <row r="1145" customFormat="false" ht="15" hidden="false" customHeight="false" outlineLevel="0" collapsed="false">
      <c r="B1145" s="64"/>
      <c r="C1145" s="72" t="str">
        <f aca="false">IF(B1145="","",IFERROR(INDEX(T_NOMBRE,MATCH(B1145,T_ID,0)),"⚠ ID no existe"))</f>
        <v/>
      </c>
      <c r="D1145" s="65"/>
      <c r="E1145" s="65"/>
      <c r="F1145" s="64"/>
      <c r="G1145" s="74" t="str">
        <f aca="false">IF(OR(B1145="",NOT(ISNUMBER(D1145)),NOT(ISNUMBER(E1145))),"",NETWORKDAYS(D1145,E1145,FERIADOS))</f>
        <v/>
      </c>
      <c r="H1145" s="69"/>
      <c r="I1145" s="74" t="str">
        <f aca="false">IF(B1145="","",IF(ISNUMBER(H1145),H1145,N(G1145)))</f>
        <v/>
      </c>
      <c r="J1145" s="64"/>
      <c r="K1145" s="64"/>
      <c r="L1145" s="93" t="str">
        <f aca="false">IF(NOT(ISNUMBER(D1145)),"",DATE(YEAR(D1145),MONTH(D1145),1))</f>
        <v/>
      </c>
      <c r="M1145" s="70" t="str">
        <f aca="false">IF(B1145="","",IF(AND(ISNUMBER(D1145),ISNUMBER(E1145),E1145&lt;D1145),"⚠ Término anterior al inicio",IF(J1145&lt;&gt;"Sí","Pendiente comprobante firmado","OK")))</f>
        <v/>
      </c>
    </row>
    <row r="1146" customFormat="false" ht="15" hidden="false" customHeight="false" outlineLevel="0" collapsed="false">
      <c r="B1146" s="64"/>
      <c r="C1146" s="72" t="str">
        <f aca="false">IF(B1146="","",IFERROR(INDEX(T_NOMBRE,MATCH(B1146,T_ID,0)),"⚠ ID no existe"))</f>
        <v/>
      </c>
      <c r="D1146" s="65"/>
      <c r="E1146" s="65"/>
      <c r="F1146" s="64"/>
      <c r="G1146" s="74" t="str">
        <f aca="false">IF(OR(B1146="",NOT(ISNUMBER(D1146)),NOT(ISNUMBER(E1146))),"",NETWORKDAYS(D1146,E1146,FERIADOS))</f>
        <v/>
      </c>
      <c r="H1146" s="69"/>
      <c r="I1146" s="74" t="str">
        <f aca="false">IF(B1146="","",IF(ISNUMBER(H1146),H1146,N(G1146)))</f>
        <v/>
      </c>
      <c r="J1146" s="64"/>
      <c r="K1146" s="64"/>
      <c r="L1146" s="93" t="str">
        <f aca="false">IF(NOT(ISNUMBER(D1146)),"",DATE(YEAR(D1146),MONTH(D1146),1))</f>
        <v/>
      </c>
      <c r="M1146" s="70" t="str">
        <f aca="false">IF(B1146="","",IF(AND(ISNUMBER(D1146),ISNUMBER(E1146),E1146&lt;D1146),"⚠ Término anterior al inicio",IF(J1146&lt;&gt;"Sí","Pendiente comprobante firmado","OK")))</f>
        <v/>
      </c>
    </row>
    <row r="1147" customFormat="false" ht="15" hidden="false" customHeight="false" outlineLevel="0" collapsed="false">
      <c r="B1147" s="64"/>
      <c r="C1147" s="72" t="str">
        <f aca="false">IF(B1147="","",IFERROR(INDEX(T_NOMBRE,MATCH(B1147,T_ID,0)),"⚠ ID no existe"))</f>
        <v/>
      </c>
      <c r="D1147" s="65"/>
      <c r="E1147" s="65"/>
      <c r="F1147" s="64"/>
      <c r="G1147" s="74" t="str">
        <f aca="false">IF(OR(B1147="",NOT(ISNUMBER(D1147)),NOT(ISNUMBER(E1147))),"",NETWORKDAYS(D1147,E1147,FERIADOS))</f>
        <v/>
      </c>
      <c r="H1147" s="69"/>
      <c r="I1147" s="74" t="str">
        <f aca="false">IF(B1147="","",IF(ISNUMBER(H1147),H1147,N(G1147)))</f>
        <v/>
      </c>
      <c r="J1147" s="64"/>
      <c r="K1147" s="64"/>
      <c r="L1147" s="93" t="str">
        <f aca="false">IF(NOT(ISNUMBER(D1147)),"",DATE(YEAR(D1147),MONTH(D1147),1))</f>
        <v/>
      </c>
      <c r="M1147" s="70" t="str">
        <f aca="false">IF(B1147="","",IF(AND(ISNUMBER(D1147),ISNUMBER(E1147),E1147&lt;D1147),"⚠ Término anterior al inicio",IF(J1147&lt;&gt;"Sí","Pendiente comprobante firmado","OK")))</f>
        <v/>
      </c>
    </row>
    <row r="1148" customFormat="false" ht="15" hidden="false" customHeight="false" outlineLevel="0" collapsed="false">
      <c r="B1148" s="64"/>
      <c r="C1148" s="72" t="str">
        <f aca="false">IF(B1148="","",IFERROR(INDEX(T_NOMBRE,MATCH(B1148,T_ID,0)),"⚠ ID no existe"))</f>
        <v/>
      </c>
      <c r="D1148" s="65"/>
      <c r="E1148" s="65"/>
      <c r="F1148" s="64"/>
      <c r="G1148" s="74" t="str">
        <f aca="false">IF(OR(B1148="",NOT(ISNUMBER(D1148)),NOT(ISNUMBER(E1148))),"",NETWORKDAYS(D1148,E1148,FERIADOS))</f>
        <v/>
      </c>
      <c r="H1148" s="69"/>
      <c r="I1148" s="74" t="str">
        <f aca="false">IF(B1148="","",IF(ISNUMBER(H1148),H1148,N(G1148)))</f>
        <v/>
      </c>
      <c r="J1148" s="64"/>
      <c r="K1148" s="64"/>
      <c r="L1148" s="93" t="str">
        <f aca="false">IF(NOT(ISNUMBER(D1148)),"",DATE(YEAR(D1148),MONTH(D1148),1))</f>
        <v/>
      </c>
      <c r="M1148" s="70" t="str">
        <f aca="false">IF(B1148="","",IF(AND(ISNUMBER(D1148),ISNUMBER(E1148),E1148&lt;D1148),"⚠ Término anterior al inicio",IF(J1148&lt;&gt;"Sí","Pendiente comprobante firmado","OK")))</f>
        <v/>
      </c>
    </row>
    <row r="1149" customFormat="false" ht="15" hidden="false" customHeight="false" outlineLevel="0" collapsed="false">
      <c r="B1149" s="64"/>
      <c r="C1149" s="72" t="str">
        <f aca="false">IF(B1149="","",IFERROR(INDEX(T_NOMBRE,MATCH(B1149,T_ID,0)),"⚠ ID no existe"))</f>
        <v/>
      </c>
      <c r="D1149" s="65"/>
      <c r="E1149" s="65"/>
      <c r="F1149" s="64"/>
      <c r="G1149" s="74" t="str">
        <f aca="false">IF(OR(B1149="",NOT(ISNUMBER(D1149)),NOT(ISNUMBER(E1149))),"",NETWORKDAYS(D1149,E1149,FERIADOS))</f>
        <v/>
      </c>
      <c r="H1149" s="69"/>
      <c r="I1149" s="74" t="str">
        <f aca="false">IF(B1149="","",IF(ISNUMBER(H1149),H1149,N(G1149)))</f>
        <v/>
      </c>
      <c r="J1149" s="64"/>
      <c r="K1149" s="64"/>
      <c r="L1149" s="93" t="str">
        <f aca="false">IF(NOT(ISNUMBER(D1149)),"",DATE(YEAR(D1149),MONTH(D1149),1))</f>
        <v/>
      </c>
      <c r="M1149" s="70" t="str">
        <f aca="false">IF(B1149="","",IF(AND(ISNUMBER(D1149),ISNUMBER(E1149),E1149&lt;D1149),"⚠ Término anterior al inicio",IF(J1149&lt;&gt;"Sí","Pendiente comprobante firmado","OK")))</f>
        <v/>
      </c>
    </row>
    <row r="1150" customFormat="false" ht="15" hidden="false" customHeight="false" outlineLevel="0" collapsed="false">
      <c r="B1150" s="64"/>
      <c r="C1150" s="72" t="str">
        <f aca="false">IF(B1150="","",IFERROR(INDEX(T_NOMBRE,MATCH(B1150,T_ID,0)),"⚠ ID no existe"))</f>
        <v/>
      </c>
      <c r="D1150" s="65"/>
      <c r="E1150" s="65"/>
      <c r="F1150" s="64"/>
      <c r="G1150" s="74" t="str">
        <f aca="false">IF(OR(B1150="",NOT(ISNUMBER(D1150)),NOT(ISNUMBER(E1150))),"",NETWORKDAYS(D1150,E1150,FERIADOS))</f>
        <v/>
      </c>
      <c r="H1150" s="69"/>
      <c r="I1150" s="74" t="str">
        <f aca="false">IF(B1150="","",IF(ISNUMBER(H1150),H1150,N(G1150)))</f>
        <v/>
      </c>
      <c r="J1150" s="64"/>
      <c r="K1150" s="64"/>
      <c r="L1150" s="93" t="str">
        <f aca="false">IF(NOT(ISNUMBER(D1150)),"",DATE(YEAR(D1150),MONTH(D1150),1))</f>
        <v/>
      </c>
      <c r="M1150" s="70" t="str">
        <f aca="false">IF(B1150="","",IF(AND(ISNUMBER(D1150),ISNUMBER(E1150),E1150&lt;D1150),"⚠ Término anterior al inicio",IF(J1150&lt;&gt;"Sí","Pendiente comprobante firmado","OK")))</f>
        <v/>
      </c>
    </row>
    <row r="1151" customFormat="false" ht="15" hidden="false" customHeight="false" outlineLevel="0" collapsed="false">
      <c r="B1151" s="64"/>
      <c r="C1151" s="72" t="str">
        <f aca="false">IF(B1151="","",IFERROR(INDEX(T_NOMBRE,MATCH(B1151,T_ID,0)),"⚠ ID no existe"))</f>
        <v/>
      </c>
      <c r="D1151" s="65"/>
      <c r="E1151" s="65"/>
      <c r="F1151" s="64"/>
      <c r="G1151" s="74" t="str">
        <f aca="false">IF(OR(B1151="",NOT(ISNUMBER(D1151)),NOT(ISNUMBER(E1151))),"",NETWORKDAYS(D1151,E1151,FERIADOS))</f>
        <v/>
      </c>
      <c r="H1151" s="69"/>
      <c r="I1151" s="74" t="str">
        <f aca="false">IF(B1151="","",IF(ISNUMBER(H1151),H1151,N(G1151)))</f>
        <v/>
      </c>
      <c r="J1151" s="64"/>
      <c r="K1151" s="64"/>
      <c r="L1151" s="93" t="str">
        <f aca="false">IF(NOT(ISNUMBER(D1151)),"",DATE(YEAR(D1151),MONTH(D1151),1))</f>
        <v/>
      </c>
      <c r="M1151" s="70" t="str">
        <f aca="false">IF(B1151="","",IF(AND(ISNUMBER(D1151),ISNUMBER(E1151),E1151&lt;D1151),"⚠ Término anterior al inicio",IF(J1151&lt;&gt;"Sí","Pendiente comprobante firmado","OK")))</f>
        <v/>
      </c>
    </row>
    <row r="1152" customFormat="false" ht="15" hidden="false" customHeight="false" outlineLevel="0" collapsed="false">
      <c r="B1152" s="64"/>
      <c r="C1152" s="72" t="str">
        <f aca="false">IF(B1152="","",IFERROR(INDEX(T_NOMBRE,MATCH(B1152,T_ID,0)),"⚠ ID no existe"))</f>
        <v/>
      </c>
      <c r="D1152" s="65"/>
      <c r="E1152" s="65"/>
      <c r="F1152" s="64"/>
      <c r="G1152" s="74" t="str">
        <f aca="false">IF(OR(B1152="",NOT(ISNUMBER(D1152)),NOT(ISNUMBER(E1152))),"",NETWORKDAYS(D1152,E1152,FERIADOS))</f>
        <v/>
      </c>
      <c r="H1152" s="69"/>
      <c r="I1152" s="74" t="str">
        <f aca="false">IF(B1152="","",IF(ISNUMBER(H1152),H1152,N(G1152)))</f>
        <v/>
      </c>
      <c r="J1152" s="64"/>
      <c r="K1152" s="64"/>
      <c r="L1152" s="93" t="str">
        <f aca="false">IF(NOT(ISNUMBER(D1152)),"",DATE(YEAR(D1152),MONTH(D1152),1))</f>
        <v/>
      </c>
      <c r="M1152" s="70" t="str">
        <f aca="false">IF(B1152="","",IF(AND(ISNUMBER(D1152),ISNUMBER(E1152),E1152&lt;D1152),"⚠ Término anterior al inicio",IF(J1152&lt;&gt;"Sí","Pendiente comprobante firmado","OK")))</f>
        <v/>
      </c>
    </row>
    <row r="1153" customFormat="false" ht="15" hidden="false" customHeight="false" outlineLevel="0" collapsed="false">
      <c r="B1153" s="64"/>
      <c r="C1153" s="72" t="str">
        <f aca="false">IF(B1153="","",IFERROR(INDEX(T_NOMBRE,MATCH(B1153,T_ID,0)),"⚠ ID no existe"))</f>
        <v/>
      </c>
      <c r="D1153" s="65"/>
      <c r="E1153" s="65"/>
      <c r="F1153" s="64"/>
      <c r="G1153" s="74" t="str">
        <f aca="false">IF(OR(B1153="",NOT(ISNUMBER(D1153)),NOT(ISNUMBER(E1153))),"",NETWORKDAYS(D1153,E1153,FERIADOS))</f>
        <v/>
      </c>
      <c r="H1153" s="69"/>
      <c r="I1153" s="74" t="str">
        <f aca="false">IF(B1153="","",IF(ISNUMBER(H1153),H1153,N(G1153)))</f>
        <v/>
      </c>
      <c r="J1153" s="64"/>
      <c r="K1153" s="64"/>
      <c r="L1153" s="93" t="str">
        <f aca="false">IF(NOT(ISNUMBER(D1153)),"",DATE(YEAR(D1153),MONTH(D1153),1))</f>
        <v/>
      </c>
      <c r="M1153" s="70" t="str">
        <f aca="false">IF(B1153="","",IF(AND(ISNUMBER(D1153),ISNUMBER(E1153),E1153&lt;D1153),"⚠ Término anterior al inicio",IF(J1153&lt;&gt;"Sí","Pendiente comprobante firmado","OK")))</f>
        <v/>
      </c>
    </row>
    <row r="1154" customFormat="false" ht="15" hidden="false" customHeight="false" outlineLevel="0" collapsed="false">
      <c r="B1154" s="64"/>
      <c r="C1154" s="72" t="str">
        <f aca="false">IF(B1154="","",IFERROR(INDEX(T_NOMBRE,MATCH(B1154,T_ID,0)),"⚠ ID no existe"))</f>
        <v/>
      </c>
      <c r="D1154" s="65"/>
      <c r="E1154" s="65"/>
      <c r="F1154" s="64"/>
      <c r="G1154" s="74" t="str">
        <f aca="false">IF(OR(B1154="",NOT(ISNUMBER(D1154)),NOT(ISNUMBER(E1154))),"",NETWORKDAYS(D1154,E1154,FERIADOS))</f>
        <v/>
      </c>
      <c r="H1154" s="69"/>
      <c r="I1154" s="74" t="str">
        <f aca="false">IF(B1154="","",IF(ISNUMBER(H1154),H1154,N(G1154)))</f>
        <v/>
      </c>
      <c r="J1154" s="64"/>
      <c r="K1154" s="64"/>
      <c r="L1154" s="93" t="str">
        <f aca="false">IF(NOT(ISNUMBER(D1154)),"",DATE(YEAR(D1154),MONTH(D1154),1))</f>
        <v/>
      </c>
      <c r="M1154" s="70" t="str">
        <f aca="false">IF(B1154="","",IF(AND(ISNUMBER(D1154),ISNUMBER(E1154),E1154&lt;D1154),"⚠ Término anterior al inicio",IF(J1154&lt;&gt;"Sí","Pendiente comprobante firmado","OK")))</f>
        <v/>
      </c>
    </row>
    <row r="1155" customFormat="false" ht="15" hidden="false" customHeight="false" outlineLevel="0" collapsed="false">
      <c r="B1155" s="64"/>
      <c r="C1155" s="72" t="str">
        <f aca="false">IF(B1155="","",IFERROR(INDEX(T_NOMBRE,MATCH(B1155,T_ID,0)),"⚠ ID no existe"))</f>
        <v/>
      </c>
      <c r="D1155" s="65"/>
      <c r="E1155" s="65"/>
      <c r="F1155" s="64"/>
      <c r="G1155" s="74" t="str">
        <f aca="false">IF(OR(B1155="",NOT(ISNUMBER(D1155)),NOT(ISNUMBER(E1155))),"",NETWORKDAYS(D1155,E1155,FERIADOS))</f>
        <v/>
      </c>
      <c r="H1155" s="69"/>
      <c r="I1155" s="74" t="str">
        <f aca="false">IF(B1155="","",IF(ISNUMBER(H1155),H1155,N(G1155)))</f>
        <v/>
      </c>
      <c r="J1155" s="64"/>
      <c r="K1155" s="64"/>
      <c r="L1155" s="93" t="str">
        <f aca="false">IF(NOT(ISNUMBER(D1155)),"",DATE(YEAR(D1155),MONTH(D1155),1))</f>
        <v/>
      </c>
      <c r="M1155" s="70" t="str">
        <f aca="false">IF(B1155="","",IF(AND(ISNUMBER(D1155),ISNUMBER(E1155),E1155&lt;D1155),"⚠ Término anterior al inicio",IF(J1155&lt;&gt;"Sí","Pendiente comprobante firmado","OK")))</f>
        <v/>
      </c>
    </row>
    <row r="1156" customFormat="false" ht="15" hidden="false" customHeight="false" outlineLevel="0" collapsed="false">
      <c r="B1156" s="64"/>
      <c r="C1156" s="72" t="str">
        <f aca="false">IF(B1156="","",IFERROR(INDEX(T_NOMBRE,MATCH(B1156,T_ID,0)),"⚠ ID no existe"))</f>
        <v/>
      </c>
      <c r="D1156" s="65"/>
      <c r="E1156" s="65"/>
      <c r="F1156" s="64"/>
      <c r="G1156" s="74" t="str">
        <f aca="false">IF(OR(B1156="",NOT(ISNUMBER(D1156)),NOT(ISNUMBER(E1156))),"",NETWORKDAYS(D1156,E1156,FERIADOS))</f>
        <v/>
      </c>
      <c r="H1156" s="69"/>
      <c r="I1156" s="74" t="str">
        <f aca="false">IF(B1156="","",IF(ISNUMBER(H1156),H1156,N(G1156)))</f>
        <v/>
      </c>
      <c r="J1156" s="64"/>
      <c r="K1156" s="64"/>
      <c r="L1156" s="93" t="str">
        <f aca="false">IF(NOT(ISNUMBER(D1156)),"",DATE(YEAR(D1156),MONTH(D1156),1))</f>
        <v/>
      </c>
      <c r="M1156" s="70" t="str">
        <f aca="false">IF(B1156="","",IF(AND(ISNUMBER(D1156),ISNUMBER(E1156),E1156&lt;D1156),"⚠ Término anterior al inicio",IF(J1156&lt;&gt;"Sí","Pendiente comprobante firmado","OK")))</f>
        <v/>
      </c>
    </row>
    <row r="1157" customFormat="false" ht="15" hidden="false" customHeight="false" outlineLevel="0" collapsed="false">
      <c r="B1157" s="64"/>
      <c r="C1157" s="72" t="str">
        <f aca="false">IF(B1157="","",IFERROR(INDEX(T_NOMBRE,MATCH(B1157,T_ID,0)),"⚠ ID no existe"))</f>
        <v/>
      </c>
      <c r="D1157" s="65"/>
      <c r="E1157" s="65"/>
      <c r="F1157" s="64"/>
      <c r="G1157" s="74" t="str">
        <f aca="false">IF(OR(B1157="",NOT(ISNUMBER(D1157)),NOT(ISNUMBER(E1157))),"",NETWORKDAYS(D1157,E1157,FERIADOS))</f>
        <v/>
      </c>
      <c r="H1157" s="69"/>
      <c r="I1157" s="74" t="str">
        <f aca="false">IF(B1157="","",IF(ISNUMBER(H1157),H1157,N(G1157)))</f>
        <v/>
      </c>
      <c r="J1157" s="64"/>
      <c r="K1157" s="64"/>
      <c r="L1157" s="93" t="str">
        <f aca="false">IF(NOT(ISNUMBER(D1157)),"",DATE(YEAR(D1157),MONTH(D1157),1))</f>
        <v/>
      </c>
      <c r="M1157" s="70" t="str">
        <f aca="false">IF(B1157="","",IF(AND(ISNUMBER(D1157),ISNUMBER(E1157),E1157&lt;D1157),"⚠ Término anterior al inicio",IF(J1157&lt;&gt;"Sí","Pendiente comprobante firmado","OK")))</f>
        <v/>
      </c>
    </row>
    <row r="1158" customFormat="false" ht="15" hidden="false" customHeight="false" outlineLevel="0" collapsed="false">
      <c r="B1158" s="64"/>
      <c r="C1158" s="72" t="str">
        <f aca="false">IF(B1158="","",IFERROR(INDEX(T_NOMBRE,MATCH(B1158,T_ID,0)),"⚠ ID no existe"))</f>
        <v/>
      </c>
      <c r="D1158" s="65"/>
      <c r="E1158" s="65"/>
      <c r="F1158" s="64"/>
      <c r="G1158" s="74" t="str">
        <f aca="false">IF(OR(B1158="",NOT(ISNUMBER(D1158)),NOT(ISNUMBER(E1158))),"",NETWORKDAYS(D1158,E1158,FERIADOS))</f>
        <v/>
      </c>
      <c r="H1158" s="69"/>
      <c r="I1158" s="74" t="str">
        <f aca="false">IF(B1158="","",IF(ISNUMBER(H1158),H1158,N(G1158)))</f>
        <v/>
      </c>
      <c r="J1158" s="64"/>
      <c r="K1158" s="64"/>
      <c r="L1158" s="93" t="str">
        <f aca="false">IF(NOT(ISNUMBER(D1158)),"",DATE(YEAR(D1158),MONTH(D1158),1))</f>
        <v/>
      </c>
      <c r="M1158" s="70" t="str">
        <f aca="false">IF(B1158="","",IF(AND(ISNUMBER(D1158),ISNUMBER(E1158),E1158&lt;D1158),"⚠ Término anterior al inicio",IF(J1158&lt;&gt;"Sí","Pendiente comprobante firmado","OK")))</f>
        <v/>
      </c>
    </row>
    <row r="1159" customFormat="false" ht="15" hidden="false" customHeight="false" outlineLevel="0" collapsed="false">
      <c r="B1159" s="64"/>
      <c r="C1159" s="72" t="str">
        <f aca="false">IF(B1159="","",IFERROR(INDEX(T_NOMBRE,MATCH(B1159,T_ID,0)),"⚠ ID no existe"))</f>
        <v/>
      </c>
      <c r="D1159" s="65"/>
      <c r="E1159" s="65"/>
      <c r="F1159" s="64"/>
      <c r="G1159" s="74" t="str">
        <f aca="false">IF(OR(B1159="",NOT(ISNUMBER(D1159)),NOT(ISNUMBER(E1159))),"",NETWORKDAYS(D1159,E1159,FERIADOS))</f>
        <v/>
      </c>
      <c r="H1159" s="69"/>
      <c r="I1159" s="74" t="str">
        <f aca="false">IF(B1159="","",IF(ISNUMBER(H1159),H1159,N(G1159)))</f>
        <v/>
      </c>
      <c r="J1159" s="64"/>
      <c r="K1159" s="64"/>
      <c r="L1159" s="93" t="str">
        <f aca="false">IF(NOT(ISNUMBER(D1159)),"",DATE(YEAR(D1159),MONTH(D1159),1))</f>
        <v/>
      </c>
      <c r="M1159" s="70" t="str">
        <f aca="false">IF(B1159="","",IF(AND(ISNUMBER(D1159),ISNUMBER(E1159),E1159&lt;D1159),"⚠ Término anterior al inicio",IF(J1159&lt;&gt;"Sí","Pendiente comprobante firmado","OK")))</f>
        <v/>
      </c>
    </row>
    <row r="1160" customFormat="false" ht="15" hidden="false" customHeight="false" outlineLevel="0" collapsed="false">
      <c r="B1160" s="64"/>
      <c r="C1160" s="72" t="str">
        <f aca="false">IF(B1160="","",IFERROR(INDEX(T_NOMBRE,MATCH(B1160,T_ID,0)),"⚠ ID no existe"))</f>
        <v/>
      </c>
      <c r="D1160" s="65"/>
      <c r="E1160" s="65"/>
      <c r="F1160" s="64"/>
      <c r="G1160" s="74" t="str">
        <f aca="false">IF(OR(B1160="",NOT(ISNUMBER(D1160)),NOT(ISNUMBER(E1160))),"",NETWORKDAYS(D1160,E1160,FERIADOS))</f>
        <v/>
      </c>
      <c r="H1160" s="69"/>
      <c r="I1160" s="74" t="str">
        <f aca="false">IF(B1160="","",IF(ISNUMBER(H1160),H1160,N(G1160)))</f>
        <v/>
      </c>
      <c r="J1160" s="64"/>
      <c r="K1160" s="64"/>
      <c r="L1160" s="93" t="str">
        <f aca="false">IF(NOT(ISNUMBER(D1160)),"",DATE(YEAR(D1160),MONTH(D1160),1))</f>
        <v/>
      </c>
      <c r="M1160" s="70" t="str">
        <f aca="false">IF(B1160="","",IF(AND(ISNUMBER(D1160),ISNUMBER(E1160),E1160&lt;D1160),"⚠ Término anterior al inicio",IF(J1160&lt;&gt;"Sí","Pendiente comprobante firmado","OK")))</f>
        <v/>
      </c>
    </row>
    <row r="1161" customFormat="false" ht="15" hidden="false" customHeight="false" outlineLevel="0" collapsed="false">
      <c r="B1161" s="64"/>
      <c r="C1161" s="72" t="str">
        <f aca="false">IF(B1161="","",IFERROR(INDEX(T_NOMBRE,MATCH(B1161,T_ID,0)),"⚠ ID no existe"))</f>
        <v/>
      </c>
      <c r="D1161" s="65"/>
      <c r="E1161" s="65"/>
      <c r="F1161" s="64"/>
      <c r="G1161" s="74" t="str">
        <f aca="false">IF(OR(B1161="",NOT(ISNUMBER(D1161)),NOT(ISNUMBER(E1161))),"",NETWORKDAYS(D1161,E1161,FERIADOS))</f>
        <v/>
      </c>
      <c r="H1161" s="69"/>
      <c r="I1161" s="74" t="str">
        <f aca="false">IF(B1161="","",IF(ISNUMBER(H1161),H1161,N(G1161)))</f>
        <v/>
      </c>
      <c r="J1161" s="64"/>
      <c r="K1161" s="64"/>
      <c r="L1161" s="93" t="str">
        <f aca="false">IF(NOT(ISNUMBER(D1161)),"",DATE(YEAR(D1161),MONTH(D1161),1))</f>
        <v/>
      </c>
      <c r="M1161" s="70" t="str">
        <f aca="false">IF(B1161="","",IF(AND(ISNUMBER(D1161),ISNUMBER(E1161),E1161&lt;D1161),"⚠ Término anterior al inicio",IF(J1161&lt;&gt;"Sí","Pendiente comprobante firmado","OK")))</f>
        <v/>
      </c>
    </row>
    <row r="1162" customFormat="false" ht="15" hidden="false" customHeight="false" outlineLevel="0" collapsed="false">
      <c r="B1162" s="64"/>
      <c r="C1162" s="72" t="str">
        <f aca="false">IF(B1162="","",IFERROR(INDEX(T_NOMBRE,MATCH(B1162,T_ID,0)),"⚠ ID no existe"))</f>
        <v/>
      </c>
      <c r="D1162" s="65"/>
      <c r="E1162" s="65"/>
      <c r="F1162" s="64"/>
      <c r="G1162" s="74" t="str">
        <f aca="false">IF(OR(B1162="",NOT(ISNUMBER(D1162)),NOT(ISNUMBER(E1162))),"",NETWORKDAYS(D1162,E1162,FERIADOS))</f>
        <v/>
      </c>
      <c r="H1162" s="69"/>
      <c r="I1162" s="74" t="str">
        <f aca="false">IF(B1162="","",IF(ISNUMBER(H1162),H1162,N(G1162)))</f>
        <v/>
      </c>
      <c r="J1162" s="64"/>
      <c r="K1162" s="64"/>
      <c r="L1162" s="93" t="str">
        <f aca="false">IF(NOT(ISNUMBER(D1162)),"",DATE(YEAR(D1162),MONTH(D1162),1))</f>
        <v/>
      </c>
      <c r="M1162" s="70" t="str">
        <f aca="false">IF(B1162="","",IF(AND(ISNUMBER(D1162),ISNUMBER(E1162),E1162&lt;D1162),"⚠ Término anterior al inicio",IF(J1162&lt;&gt;"Sí","Pendiente comprobante firmado","OK")))</f>
        <v/>
      </c>
    </row>
    <row r="1163" customFormat="false" ht="15" hidden="false" customHeight="false" outlineLevel="0" collapsed="false">
      <c r="B1163" s="64"/>
      <c r="C1163" s="72" t="str">
        <f aca="false">IF(B1163="","",IFERROR(INDEX(T_NOMBRE,MATCH(B1163,T_ID,0)),"⚠ ID no existe"))</f>
        <v/>
      </c>
      <c r="D1163" s="65"/>
      <c r="E1163" s="65"/>
      <c r="F1163" s="64"/>
      <c r="G1163" s="74" t="str">
        <f aca="false">IF(OR(B1163="",NOT(ISNUMBER(D1163)),NOT(ISNUMBER(E1163))),"",NETWORKDAYS(D1163,E1163,FERIADOS))</f>
        <v/>
      </c>
      <c r="H1163" s="69"/>
      <c r="I1163" s="74" t="str">
        <f aca="false">IF(B1163="","",IF(ISNUMBER(H1163),H1163,N(G1163)))</f>
        <v/>
      </c>
      <c r="J1163" s="64"/>
      <c r="K1163" s="64"/>
      <c r="L1163" s="93" t="str">
        <f aca="false">IF(NOT(ISNUMBER(D1163)),"",DATE(YEAR(D1163),MONTH(D1163),1))</f>
        <v/>
      </c>
      <c r="M1163" s="70" t="str">
        <f aca="false">IF(B1163="","",IF(AND(ISNUMBER(D1163),ISNUMBER(E1163),E1163&lt;D1163),"⚠ Término anterior al inicio",IF(J1163&lt;&gt;"Sí","Pendiente comprobante firmado","OK")))</f>
        <v/>
      </c>
    </row>
    <row r="1164" customFormat="false" ht="15" hidden="false" customHeight="false" outlineLevel="0" collapsed="false">
      <c r="B1164" s="64"/>
      <c r="C1164" s="72" t="str">
        <f aca="false">IF(B1164="","",IFERROR(INDEX(T_NOMBRE,MATCH(B1164,T_ID,0)),"⚠ ID no existe"))</f>
        <v/>
      </c>
      <c r="D1164" s="65"/>
      <c r="E1164" s="65"/>
      <c r="F1164" s="64"/>
      <c r="G1164" s="74" t="str">
        <f aca="false">IF(OR(B1164="",NOT(ISNUMBER(D1164)),NOT(ISNUMBER(E1164))),"",NETWORKDAYS(D1164,E1164,FERIADOS))</f>
        <v/>
      </c>
      <c r="H1164" s="69"/>
      <c r="I1164" s="74" t="str">
        <f aca="false">IF(B1164="","",IF(ISNUMBER(H1164),H1164,N(G1164)))</f>
        <v/>
      </c>
      <c r="J1164" s="64"/>
      <c r="K1164" s="64"/>
      <c r="L1164" s="93" t="str">
        <f aca="false">IF(NOT(ISNUMBER(D1164)),"",DATE(YEAR(D1164),MONTH(D1164),1))</f>
        <v/>
      </c>
      <c r="M1164" s="70" t="str">
        <f aca="false">IF(B1164="","",IF(AND(ISNUMBER(D1164),ISNUMBER(E1164),E1164&lt;D1164),"⚠ Término anterior al inicio",IF(J1164&lt;&gt;"Sí","Pendiente comprobante firmado","OK")))</f>
        <v/>
      </c>
    </row>
    <row r="1165" customFormat="false" ht="15" hidden="false" customHeight="false" outlineLevel="0" collapsed="false">
      <c r="B1165" s="64"/>
      <c r="C1165" s="72" t="str">
        <f aca="false">IF(B1165="","",IFERROR(INDEX(T_NOMBRE,MATCH(B1165,T_ID,0)),"⚠ ID no existe"))</f>
        <v/>
      </c>
      <c r="D1165" s="65"/>
      <c r="E1165" s="65"/>
      <c r="F1165" s="64"/>
      <c r="G1165" s="74" t="str">
        <f aca="false">IF(OR(B1165="",NOT(ISNUMBER(D1165)),NOT(ISNUMBER(E1165))),"",NETWORKDAYS(D1165,E1165,FERIADOS))</f>
        <v/>
      </c>
      <c r="H1165" s="69"/>
      <c r="I1165" s="74" t="str">
        <f aca="false">IF(B1165="","",IF(ISNUMBER(H1165),H1165,N(G1165)))</f>
        <v/>
      </c>
      <c r="J1165" s="64"/>
      <c r="K1165" s="64"/>
      <c r="L1165" s="93" t="str">
        <f aca="false">IF(NOT(ISNUMBER(D1165)),"",DATE(YEAR(D1165),MONTH(D1165),1))</f>
        <v/>
      </c>
      <c r="M1165" s="70" t="str">
        <f aca="false">IF(B1165="","",IF(AND(ISNUMBER(D1165),ISNUMBER(E1165),E1165&lt;D1165),"⚠ Término anterior al inicio",IF(J1165&lt;&gt;"Sí","Pendiente comprobante firmado","OK")))</f>
        <v/>
      </c>
    </row>
    <row r="1166" customFormat="false" ht="15" hidden="false" customHeight="false" outlineLevel="0" collapsed="false">
      <c r="B1166" s="64"/>
      <c r="C1166" s="72" t="str">
        <f aca="false">IF(B1166="","",IFERROR(INDEX(T_NOMBRE,MATCH(B1166,T_ID,0)),"⚠ ID no existe"))</f>
        <v/>
      </c>
      <c r="D1166" s="65"/>
      <c r="E1166" s="65"/>
      <c r="F1166" s="64"/>
      <c r="G1166" s="74" t="str">
        <f aca="false">IF(OR(B1166="",NOT(ISNUMBER(D1166)),NOT(ISNUMBER(E1166))),"",NETWORKDAYS(D1166,E1166,FERIADOS))</f>
        <v/>
      </c>
      <c r="H1166" s="69"/>
      <c r="I1166" s="74" t="str">
        <f aca="false">IF(B1166="","",IF(ISNUMBER(H1166),H1166,N(G1166)))</f>
        <v/>
      </c>
      <c r="J1166" s="64"/>
      <c r="K1166" s="64"/>
      <c r="L1166" s="93" t="str">
        <f aca="false">IF(NOT(ISNUMBER(D1166)),"",DATE(YEAR(D1166),MONTH(D1166),1))</f>
        <v/>
      </c>
      <c r="M1166" s="70" t="str">
        <f aca="false">IF(B1166="","",IF(AND(ISNUMBER(D1166),ISNUMBER(E1166),E1166&lt;D1166),"⚠ Término anterior al inicio",IF(J1166&lt;&gt;"Sí","Pendiente comprobante firmado","OK")))</f>
        <v/>
      </c>
    </row>
    <row r="1167" customFormat="false" ht="15" hidden="false" customHeight="false" outlineLevel="0" collapsed="false">
      <c r="B1167" s="64"/>
      <c r="C1167" s="72" t="str">
        <f aca="false">IF(B1167="","",IFERROR(INDEX(T_NOMBRE,MATCH(B1167,T_ID,0)),"⚠ ID no existe"))</f>
        <v/>
      </c>
      <c r="D1167" s="65"/>
      <c r="E1167" s="65"/>
      <c r="F1167" s="64"/>
      <c r="G1167" s="74" t="str">
        <f aca="false">IF(OR(B1167="",NOT(ISNUMBER(D1167)),NOT(ISNUMBER(E1167))),"",NETWORKDAYS(D1167,E1167,FERIADOS))</f>
        <v/>
      </c>
      <c r="H1167" s="69"/>
      <c r="I1167" s="74" t="str">
        <f aca="false">IF(B1167="","",IF(ISNUMBER(H1167),H1167,N(G1167)))</f>
        <v/>
      </c>
      <c r="J1167" s="64"/>
      <c r="K1167" s="64"/>
      <c r="L1167" s="93" t="str">
        <f aca="false">IF(NOT(ISNUMBER(D1167)),"",DATE(YEAR(D1167),MONTH(D1167),1))</f>
        <v/>
      </c>
      <c r="M1167" s="70" t="str">
        <f aca="false">IF(B1167="","",IF(AND(ISNUMBER(D1167),ISNUMBER(E1167),E1167&lt;D1167),"⚠ Término anterior al inicio",IF(J1167&lt;&gt;"Sí","Pendiente comprobante firmado","OK")))</f>
        <v/>
      </c>
    </row>
    <row r="1168" customFormat="false" ht="15" hidden="false" customHeight="false" outlineLevel="0" collapsed="false">
      <c r="B1168" s="64"/>
      <c r="C1168" s="72" t="str">
        <f aca="false">IF(B1168="","",IFERROR(INDEX(T_NOMBRE,MATCH(B1168,T_ID,0)),"⚠ ID no existe"))</f>
        <v/>
      </c>
      <c r="D1168" s="65"/>
      <c r="E1168" s="65"/>
      <c r="F1168" s="64"/>
      <c r="G1168" s="74" t="str">
        <f aca="false">IF(OR(B1168="",NOT(ISNUMBER(D1168)),NOT(ISNUMBER(E1168))),"",NETWORKDAYS(D1168,E1168,FERIADOS))</f>
        <v/>
      </c>
      <c r="H1168" s="69"/>
      <c r="I1168" s="74" t="str">
        <f aca="false">IF(B1168="","",IF(ISNUMBER(H1168),H1168,N(G1168)))</f>
        <v/>
      </c>
      <c r="J1168" s="64"/>
      <c r="K1168" s="64"/>
      <c r="L1168" s="93" t="str">
        <f aca="false">IF(NOT(ISNUMBER(D1168)),"",DATE(YEAR(D1168),MONTH(D1168),1))</f>
        <v/>
      </c>
      <c r="M1168" s="70" t="str">
        <f aca="false">IF(B1168="","",IF(AND(ISNUMBER(D1168),ISNUMBER(E1168),E1168&lt;D1168),"⚠ Término anterior al inicio",IF(J1168&lt;&gt;"Sí","Pendiente comprobante firmado","OK")))</f>
        <v/>
      </c>
    </row>
    <row r="1169" customFormat="false" ht="15" hidden="false" customHeight="false" outlineLevel="0" collapsed="false">
      <c r="B1169" s="64"/>
      <c r="C1169" s="72" t="str">
        <f aca="false">IF(B1169="","",IFERROR(INDEX(T_NOMBRE,MATCH(B1169,T_ID,0)),"⚠ ID no existe"))</f>
        <v/>
      </c>
      <c r="D1169" s="65"/>
      <c r="E1169" s="65"/>
      <c r="F1169" s="64"/>
      <c r="G1169" s="74" t="str">
        <f aca="false">IF(OR(B1169="",NOT(ISNUMBER(D1169)),NOT(ISNUMBER(E1169))),"",NETWORKDAYS(D1169,E1169,FERIADOS))</f>
        <v/>
      </c>
      <c r="H1169" s="69"/>
      <c r="I1169" s="74" t="str">
        <f aca="false">IF(B1169="","",IF(ISNUMBER(H1169),H1169,N(G1169)))</f>
        <v/>
      </c>
      <c r="J1169" s="64"/>
      <c r="K1169" s="64"/>
      <c r="L1169" s="93" t="str">
        <f aca="false">IF(NOT(ISNUMBER(D1169)),"",DATE(YEAR(D1169),MONTH(D1169),1))</f>
        <v/>
      </c>
      <c r="M1169" s="70" t="str">
        <f aca="false">IF(B1169="","",IF(AND(ISNUMBER(D1169),ISNUMBER(E1169),E1169&lt;D1169),"⚠ Término anterior al inicio",IF(J1169&lt;&gt;"Sí","Pendiente comprobante firmado","OK")))</f>
        <v/>
      </c>
    </row>
    <row r="1170" customFormat="false" ht="15" hidden="false" customHeight="false" outlineLevel="0" collapsed="false">
      <c r="B1170" s="64"/>
      <c r="C1170" s="72" t="str">
        <f aca="false">IF(B1170="","",IFERROR(INDEX(T_NOMBRE,MATCH(B1170,T_ID,0)),"⚠ ID no existe"))</f>
        <v/>
      </c>
      <c r="D1170" s="65"/>
      <c r="E1170" s="65"/>
      <c r="F1170" s="64"/>
      <c r="G1170" s="74" t="str">
        <f aca="false">IF(OR(B1170="",NOT(ISNUMBER(D1170)),NOT(ISNUMBER(E1170))),"",NETWORKDAYS(D1170,E1170,FERIADOS))</f>
        <v/>
      </c>
      <c r="H1170" s="69"/>
      <c r="I1170" s="74" t="str">
        <f aca="false">IF(B1170="","",IF(ISNUMBER(H1170),H1170,N(G1170)))</f>
        <v/>
      </c>
      <c r="J1170" s="64"/>
      <c r="K1170" s="64"/>
      <c r="L1170" s="93" t="str">
        <f aca="false">IF(NOT(ISNUMBER(D1170)),"",DATE(YEAR(D1170),MONTH(D1170),1))</f>
        <v/>
      </c>
      <c r="M1170" s="70" t="str">
        <f aca="false">IF(B1170="","",IF(AND(ISNUMBER(D1170),ISNUMBER(E1170),E1170&lt;D1170),"⚠ Término anterior al inicio",IF(J1170&lt;&gt;"Sí","Pendiente comprobante firmado","OK")))</f>
        <v/>
      </c>
    </row>
    <row r="1171" customFormat="false" ht="15" hidden="false" customHeight="false" outlineLevel="0" collapsed="false">
      <c r="B1171" s="64"/>
      <c r="C1171" s="72" t="str">
        <f aca="false">IF(B1171="","",IFERROR(INDEX(T_NOMBRE,MATCH(B1171,T_ID,0)),"⚠ ID no existe"))</f>
        <v/>
      </c>
      <c r="D1171" s="65"/>
      <c r="E1171" s="65"/>
      <c r="F1171" s="64"/>
      <c r="G1171" s="74" t="str">
        <f aca="false">IF(OR(B1171="",NOT(ISNUMBER(D1171)),NOT(ISNUMBER(E1171))),"",NETWORKDAYS(D1171,E1171,FERIADOS))</f>
        <v/>
      </c>
      <c r="H1171" s="69"/>
      <c r="I1171" s="74" t="str">
        <f aca="false">IF(B1171="","",IF(ISNUMBER(H1171),H1171,N(G1171)))</f>
        <v/>
      </c>
      <c r="J1171" s="64"/>
      <c r="K1171" s="64"/>
      <c r="L1171" s="93" t="str">
        <f aca="false">IF(NOT(ISNUMBER(D1171)),"",DATE(YEAR(D1171),MONTH(D1171),1))</f>
        <v/>
      </c>
      <c r="M1171" s="70" t="str">
        <f aca="false">IF(B1171="","",IF(AND(ISNUMBER(D1171),ISNUMBER(E1171),E1171&lt;D1171),"⚠ Término anterior al inicio",IF(J1171&lt;&gt;"Sí","Pendiente comprobante firmado","OK")))</f>
        <v/>
      </c>
    </row>
    <row r="1172" customFormat="false" ht="15" hidden="false" customHeight="false" outlineLevel="0" collapsed="false">
      <c r="B1172" s="64"/>
      <c r="C1172" s="72" t="str">
        <f aca="false">IF(B1172="","",IFERROR(INDEX(T_NOMBRE,MATCH(B1172,T_ID,0)),"⚠ ID no existe"))</f>
        <v/>
      </c>
      <c r="D1172" s="65"/>
      <c r="E1172" s="65"/>
      <c r="F1172" s="64"/>
      <c r="G1172" s="74" t="str">
        <f aca="false">IF(OR(B1172="",NOT(ISNUMBER(D1172)),NOT(ISNUMBER(E1172))),"",NETWORKDAYS(D1172,E1172,FERIADOS))</f>
        <v/>
      </c>
      <c r="H1172" s="69"/>
      <c r="I1172" s="74" t="str">
        <f aca="false">IF(B1172="","",IF(ISNUMBER(H1172),H1172,N(G1172)))</f>
        <v/>
      </c>
      <c r="J1172" s="64"/>
      <c r="K1172" s="64"/>
      <c r="L1172" s="93" t="str">
        <f aca="false">IF(NOT(ISNUMBER(D1172)),"",DATE(YEAR(D1172),MONTH(D1172),1))</f>
        <v/>
      </c>
      <c r="M1172" s="70" t="str">
        <f aca="false">IF(B1172="","",IF(AND(ISNUMBER(D1172),ISNUMBER(E1172),E1172&lt;D1172),"⚠ Término anterior al inicio",IF(J1172&lt;&gt;"Sí","Pendiente comprobante firmado","OK")))</f>
        <v/>
      </c>
    </row>
    <row r="1173" customFormat="false" ht="15" hidden="false" customHeight="false" outlineLevel="0" collapsed="false">
      <c r="B1173" s="64"/>
      <c r="C1173" s="72" t="str">
        <f aca="false">IF(B1173="","",IFERROR(INDEX(T_NOMBRE,MATCH(B1173,T_ID,0)),"⚠ ID no existe"))</f>
        <v/>
      </c>
      <c r="D1173" s="65"/>
      <c r="E1173" s="65"/>
      <c r="F1173" s="64"/>
      <c r="G1173" s="74" t="str">
        <f aca="false">IF(OR(B1173="",NOT(ISNUMBER(D1173)),NOT(ISNUMBER(E1173))),"",NETWORKDAYS(D1173,E1173,FERIADOS))</f>
        <v/>
      </c>
      <c r="H1173" s="69"/>
      <c r="I1173" s="74" t="str">
        <f aca="false">IF(B1173="","",IF(ISNUMBER(H1173),H1173,N(G1173)))</f>
        <v/>
      </c>
      <c r="J1173" s="64"/>
      <c r="K1173" s="64"/>
      <c r="L1173" s="93" t="str">
        <f aca="false">IF(NOT(ISNUMBER(D1173)),"",DATE(YEAR(D1173),MONTH(D1173),1))</f>
        <v/>
      </c>
      <c r="M1173" s="70" t="str">
        <f aca="false">IF(B1173="","",IF(AND(ISNUMBER(D1173),ISNUMBER(E1173),E1173&lt;D1173),"⚠ Término anterior al inicio",IF(J1173&lt;&gt;"Sí","Pendiente comprobante firmado","OK")))</f>
        <v/>
      </c>
    </row>
    <row r="1174" customFormat="false" ht="15" hidden="false" customHeight="false" outlineLevel="0" collapsed="false">
      <c r="B1174" s="64"/>
      <c r="C1174" s="72" t="str">
        <f aca="false">IF(B1174="","",IFERROR(INDEX(T_NOMBRE,MATCH(B1174,T_ID,0)),"⚠ ID no existe"))</f>
        <v/>
      </c>
      <c r="D1174" s="65"/>
      <c r="E1174" s="65"/>
      <c r="F1174" s="64"/>
      <c r="G1174" s="74" t="str">
        <f aca="false">IF(OR(B1174="",NOT(ISNUMBER(D1174)),NOT(ISNUMBER(E1174))),"",NETWORKDAYS(D1174,E1174,FERIADOS))</f>
        <v/>
      </c>
      <c r="H1174" s="69"/>
      <c r="I1174" s="74" t="str">
        <f aca="false">IF(B1174="","",IF(ISNUMBER(H1174),H1174,N(G1174)))</f>
        <v/>
      </c>
      <c r="J1174" s="64"/>
      <c r="K1174" s="64"/>
      <c r="L1174" s="93" t="str">
        <f aca="false">IF(NOT(ISNUMBER(D1174)),"",DATE(YEAR(D1174),MONTH(D1174),1))</f>
        <v/>
      </c>
      <c r="M1174" s="70" t="str">
        <f aca="false">IF(B1174="","",IF(AND(ISNUMBER(D1174),ISNUMBER(E1174),E1174&lt;D1174),"⚠ Término anterior al inicio",IF(J1174&lt;&gt;"Sí","Pendiente comprobante firmado","OK")))</f>
        <v/>
      </c>
    </row>
    <row r="1175" customFormat="false" ht="15" hidden="false" customHeight="false" outlineLevel="0" collapsed="false">
      <c r="B1175" s="64"/>
      <c r="C1175" s="72" t="str">
        <f aca="false">IF(B1175="","",IFERROR(INDEX(T_NOMBRE,MATCH(B1175,T_ID,0)),"⚠ ID no existe"))</f>
        <v/>
      </c>
      <c r="D1175" s="65"/>
      <c r="E1175" s="65"/>
      <c r="F1175" s="64"/>
      <c r="G1175" s="74" t="str">
        <f aca="false">IF(OR(B1175="",NOT(ISNUMBER(D1175)),NOT(ISNUMBER(E1175))),"",NETWORKDAYS(D1175,E1175,FERIADOS))</f>
        <v/>
      </c>
      <c r="H1175" s="69"/>
      <c r="I1175" s="74" t="str">
        <f aca="false">IF(B1175="","",IF(ISNUMBER(H1175),H1175,N(G1175)))</f>
        <v/>
      </c>
      <c r="J1175" s="64"/>
      <c r="K1175" s="64"/>
      <c r="L1175" s="93" t="str">
        <f aca="false">IF(NOT(ISNUMBER(D1175)),"",DATE(YEAR(D1175),MONTH(D1175),1))</f>
        <v/>
      </c>
      <c r="M1175" s="70" t="str">
        <f aca="false">IF(B1175="","",IF(AND(ISNUMBER(D1175),ISNUMBER(E1175),E1175&lt;D1175),"⚠ Término anterior al inicio",IF(J1175&lt;&gt;"Sí","Pendiente comprobante firmado","OK")))</f>
        <v/>
      </c>
    </row>
    <row r="1176" customFormat="false" ht="15" hidden="false" customHeight="false" outlineLevel="0" collapsed="false">
      <c r="B1176" s="64"/>
      <c r="C1176" s="72" t="str">
        <f aca="false">IF(B1176="","",IFERROR(INDEX(T_NOMBRE,MATCH(B1176,T_ID,0)),"⚠ ID no existe"))</f>
        <v/>
      </c>
      <c r="D1176" s="65"/>
      <c r="E1176" s="65"/>
      <c r="F1176" s="64"/>
      <c r="G1176" s="74" t="str">
        <f aca="false">IF(OR(B1176="",NOT(ISNUMBER(D1176)),NOT(ISNUMBER(E1176))),"",NETWORKDAYS(D1176,E1176,FERIADOS))</f>
        <v/>
      </c>
      <c r="H1176" s="69"/>
      <c r="I1176" s="74" t="str">
        <f aca="false">IF(B1176="","",IF(ISNUMBER(H1176),H1176,N(G1176)))</f>
        <v/>
      </c>
      <c r="J1176" s="64"/>
      <c r="K1176" s="64"/>
      <c r="L1176" s="93" t="str">
        <f aca="false">IF(NOT(ISNUMBER(D1176)),"",DATE(YEAR(D1176),MONTH(D1176),1))</f>
        <v/>
      </c>
      <c r="M1176" s="70" t="str">
        <f aca="false">IF(B1176="","",IF(AND(ISNUMBER(D1176),ISNUMBER(E1176),E1176&lt;D1176),"⚠ Término anterior al inicio",IF(J1176&lt;&gt;"Sí","Pendiente comprobante firmado","OK")))</f>
        <v/>
      </c>
    </row>
    <row r="1177" customFormat="false" ht="15" hidden="false" customHeight="false" outlineLevel="0" collapsed="false">
      <c r="B1177" s="64"/>
      <c r="C1177" s="72" t="str">
        <f aca="false">IF(B1177="","",IFERROR(INDEX(T_NOMBRE,MATCH(B1177,T_ID,0)),"⚠ ID no existe"))</f>
        <v/>
      </c>
      <c r="D1177" s="65"/>
      <c r="E1177" s="65"/>
      <c r="F1177" s="64"/>
      <c r="G1177" s="74" t="str">
        <f aca="false">IF(OR(B1177="",NOT(ISNUMBER(D1177)),NOT(ISNUMBER(E1177))),"",NETWORKDAYS(D1177,E1177,FERIADOS))</f>
        <v/>
      </c>
      <c r="H1177" s="69"/>
      <c r="I1177" s="74" t="str">
        <f aca="false">IF(B1177="","",IF(ISNUMBER(H1177),H1177,N(G1177)))</f>
        <v/>
      </c>
      <c r="J1177" s="64"/>
      <c r="K1177" s="64"/>
      <c r="L1177" s="93" t="str">
        <f aca="false">IF(NOT(ISNUMBER(D1177)),"",DATE(YEAR(D1177),MONTH(D1177),1))</f>
        <v/>
      </c>
      <c r="M1177" s="70" t="str">
        <f aca="false">IF(B1177="","",IF(AND(ISNUMBER(D1177),ISNUMBER(E1177),E1177&lt;D1177),"⚠ Término anterior al inicio",IF(J1177&lt;&gt;"Sí","Pendiente comprobante firmado","OK")))</f>
        <v/>
      </c>
    </row>
    <row r="1178" customFormat="false" ht="15" hidden="false" customHeight="false" outlineLevel="0" collapsed="false">
      <c r="B1178" s="64"/>
      <c r="C1178" s="72" t="str">
        <f aca="false">IF(B1178="","",IFERROR(INDEX(T_NOMBRE,MATCH(B1178,T_ID,0)),"⚠ ID no existe"))</f>
        <v/>
      </c>
      <c r="D1178" s="65"/>
      <c r="E1178" s="65"/>
      <c r="F1178" s="64"/>
      <c r="G1178" s="74" t="str">
        <f aca="false">IF(OR(B1178="",NOT(ISNUMBER(D1178)),NOT(ISNUMBER(E1178))),"",NETWORKDAYS(D1178,E1178,FERIADOS))</f>
        <v/>
      </c>
      <c r="H1178" s="69"/>
      <c r="I1178" s="74" t="str">
        <f aca="false">IF(B1178="","",IF(ISNUMBER(H1178),H1178,N(G1178)))</f>
        <v/>
      </c>
      <c r="J1178" s="64"/>
      <c r="K1178" s="64"/>
      <c r="L1178" s="93" t="str">
        <f aca="false">IF(NOT(ISNUMBER(D1178)),"",DATE(YEAR(D1178),MONTH(D1178),1))</f>
        <v/>
      </c>
      <c r="M1178" s="70" t="str">
        <f aca="false">IF(B1178="","",IF(AND(ISNUMBER(D1178),ISNUMBER(E1178),E1178&lt;D1178),"⚠ Término anterior al inicio",IF(J1178&lt;&gt;"Sí","Pendiente comprobante firmado","OK")))</f>
        <v/>
      </c>
    </row>
    <row r="1179" customFormat="false" ht="15" hidden="false" customHeight="false" outlineLevel="0" collapsed="false">
      <c r="B1179" s="64"/>
      <c r="C1179" s="72" t="str">
        <f aca="false">IF(B1179="","",IFERROR(INDEX(T_NOMBRE,MATCH(B1179,T_ID,0)),"⚠ ID no existe"))</f>
        <v/>
      </c>
      <c r="D1179" s="65"/>
      <c r="E1179" s="65"/>
      <c r="F1179" s="64"/>
      <c r="G1179" s="74" t="str">
        <f aca="false">IF(OR(B1179="",NOT(ISNUMBER(D1179)),NOT(ISNUMBER(E1179))),"",NETWORKDAYS(D1179,E1179,FERIADOS))</f>
        <v/>
      </c>
      <c r="H1179" s="69"/>
      <c r="I1179" s="74" t="str">
        <f aca="false">IF(B1179="","",IF(ISNUMBER(H1179),H1179,N(G1179)))</f>
        <v/>
      </c>
      <c r="J1179" s="64"/>
      <c r="K1179" s="64"/>
      <c r="L1179" s="93" t="str">
        <f aca="false">IF(NOT(ISNUMBER(D1179)),"",DATE(YEAR(D1179),MONTH(D1179),1))</f>
        <v/>
      </c>
      <c r="M1179" s="70" t="str">
        <f aca="false">IF(B1179="","",IF(AND(ISNUMBER(D1179),ISNUMBER(E1179),E1179&lt;D1179),"⚠ Término anterior al inicio",IF(J1179&lt;&gt;"Sí","Pendiente comprobante firmado","OK")))</f>
        <v/>
      </c>
    </row>
    <row r="1180" customFormat="false" ht="15" hidden="false" customHeight="false" outlineLevel="0" collapsed="false">
      <c r="B1180" s="64"/>
      <c r="C1180" s="72" t="str">
        <f aca="false">IF(B1180="","",IFERROR(INDEX(T_NOMBRE,MATCH(B1180,T_ID,0)),"⚠ ID no existe"))</f>
        <v/>
      </c>
      <c r="D1180" s="65"/>
      <c r="E1180" s="65"/>
      <c r="F1180" s="64"/>
      <c r="G1180" s="74" t="str">
        <f aca="false">IF(OR(B1180="",NOT(ISNUMBER(D1180)),NOT(ISNUMBER(E1180))),"",NETWORKDAYS(D1180,E1180,FERIADOS))</f>
        <v/>
      </c>
      <c r="H1180" s="69"/>
      <c r="I1180" s="74" t="str">
        <f aca="false">IF(B1180="","",IF(ISNUMBER(H1180),H1180,N(G1180)))</f>
        <v/>
      </c>
      <c r="J1180" s="64"/>
      <c r="K1180" s="64"/>
      <c r="L1180" s="93" t="str">
        <f aca="false">IF(NOT(ISNUMBER(D1180)),"",DATE(YEAR(D1180),MONTH(D1180),1))</f>
        <v/>
      </c>
      <c r="M1180" s="70" t="str">
        <f aca="false">IF(B1180="","",IF(AND(ISNUMBER(D1180),ISNUMBER(E1180),E1180&lt;D1180),"⚠ Término anterior al inicio",IF(J1180&lt;&gt;"Sí","Pendiente comprobante firmado","OK")))</f>
        <v/>
      </c>
    </row>
    <row r="1181" customFormat="false" ht="15" hidden="false" customHeight="false" outlineLevel="0" collapsed="false">
      <c r="B1181" s="64"/>
      <c r="C1181" s="72" t="str">
        <f aca="false">IF(B1181="","",IFERROR(INDEX(T_NOMBRE,MATCH(B1181,T_ID,0)),"⚠ ID no existe"))</f>
        <v/>
      </c>
      <c r="D1181" s="65"/>
      <c r="E1181" s="65"/>
      <c r="F1181" s="64"/>
      <c r="G1181" s="74" t="str">
        <f aca="false">IF(OR(B1181="",NOT(ISNUMBER(D1181)),NOT(ISNUMBER(E1181))),"",NETWORKDAYS(D1181,E1181,FERIADOS))</f>
        <v/>
      </c>
      <c r="H1181" s="69"/>
      <c r="I1181" s="74" t="str">
        <f aca="false">IF(B1181="","",IF(ISNUMBER(H1181),H1181,N(G1181)))</f>
        <v/>
      </c>
      <c r="J1181" s="64"/>
      <c r="K1181" s="64"/>
      <c r="L1181" s="93" t="str">
        <f aca="false">IF(NOT(ISNUMBER(D1181)),"",DATE(YEAR(D1181),MONTH(D1181),1))</f>
        <v/>
      </c>
      <c r="M1181" s="70" t="str">
        <f aca="false">IF(B1181="","",IF(AND(ISNUMBER(D1181),ISNUMBER(E1181),E1181&lt;D1181),"⚠ Término anterior al inicio",IF(J1181&lt;&gt;"Sí","Pendiente comprobante firmado","OK")))</f>
        <v/>
      </c>
    </row>
    <row r="1182" customFormat="false" ht="15" hidden="false" customHeight="false" outlineLevel="0" collapsed="false">
      <c r="B1182" s="64"/>
      <c r="C1182" s="72" t="str">
        <f aca="false">IF(B1182="","",IFERROR(INDEX(T_NOMBRE,MATCH(B1182,T_ID,0)),"⚠ ID no existe"))</f>
        <v/>
      </c>
      <c r="D1182" s="65"/>
      <c r="E1182" s="65"/>
      <c r="F1182" s="64"/>
      <c r="G1182" s="74" t="str">
        <f aca="false">IF(OR(B1182="",NOT(ISNUMBER(D1182)),NOT(ISNUMBER(E1182))),"",NETWORKDAYS(D1182,E1182,FERIADOS))</f>
        <v/>
      </c>
      <c r="H1182" s="69"/>
      <c r="I1182" s="74" t="str">
        <f aca="false">IF(B1182="","",IF(ISNUMBER(H1182),H1182,N(G1182)))</f>
        <v/>
      </c>
      <c r="J1182" s="64"/>
      <c r="K1182" s="64"/>
      <c r="L1182" s="93" t="str">
        <f aca="false">IF(NOT(ISNUMBER(D1182)),"",DATE(YEAR(D1182),MONTH(D1182),1))</f>
        <v/>
      </c>
      <c r="M1182" s="70" t="str">
        <f aca="false">IF(B1182="","",IF(AND(ISNUMBER(D1182),ISNUMBER(E1182),E1182&lt;D1182),"⚠ Término anterior al inicio",IF(J1182&lt;&gt;"Sí","Pendiente comprobante firmado","OK")))</f>
        <v/>
      </c>
    </row>
    <row r="1183" customFormat="false" ht="15" hidden="false" customHeight="false" outlineLevel="0" collapsed="false">
      <c r="B1183" s="64"/>
      <c r="C1183" s="72" t="str">
        <f aca="false">IF(B1183="","",IFERROR(INDEX(T_NOMBRE,MATCH(B1183,T_ID,0)),"⚠ ID no existe"))</f>
        <v/>
      </c>
      <c r="D1183" s="65"/>
      <c r="E1183" s="65"/>
      <c r="F1183" s="64"/>
      <c r="G1183" s="74" t="str">
        <f aca="false">IF(OR(B1183="",NOT(ISNUMBER(D1183)),NOT(ISNUMBER(E1183))),"",NETWORKDAYS(D1183,E1183,FERIADOS))</f>
        <v/>
      </c>
      <c r="H1183" s="69"/>
      <c r="I1183" s="74" t="str">
        <f aca="false">IF(B1183="","",IF(ISNUMBER(H1183),H1183,N(G1183)))</f>
        <v/>
      </c>
      <c r="J1183" s="64"/>
      <c r="K1183" s="64"/>
      <c r="L1183" s="93" t="str">
        <f aca="false">IF(NOT(ISNUMBER(D1183)),"",DATE(YEAR(D1183),MONTH(D1183),1))</f>
        <v/>
      </c>
      <c r="M1183" s="70" t="str">
        <f aca="false">IF(B1183="","",IF(AND(ISNUMBER(D1183),ISNUMBER(E1183),E1183&lt;D1183),"⚠ Término anterior al inicio",IF(J1183&lt;&gt;"Sí","Pendiente comprobante firmado","OK")))</f>
        <v/>
      </c>
    </row>
    <row r="1184" customFormat="false" ht="15" hidden="false" customHeight="false" outlineLevel="0" collapsed="false">
      <c r="B1184" s="64"/>
      <c r="C1184" s="72" t="str">
        <f aca="false">IF(B1184="","",IFERROR(INDEX(T_NOMBRE,MATCH(B1184,T_ID,0)),"⚠ ID no existe"))</f>
        <v/>
      </c>
      <c r="D1184" s="65"/>
      <c r="E1184" s="65"/>
      <c r="F1184" s="64"/>
      <c r="G1184" s="74" t="str">
        <f aca="false">IF(OR(B1184="",NOT(ISNUMBER(D1184)),NOT(ISNUMBER(E1184))),"",NETWORKDAYS(D1184,E1184,FERIADOS))</f>
        <v/>
      </c>
      <c r="H1184" s="69"/>
      <c r="I1184" s="74" t="str">
        <f aca="false">IF(B1184="","",IF(ISNUMBER(H1184),H1184,N(G1184)))</f>
        <v/>
      </c>
      <c r="J1184" s="64"/>
      <c r="K1184" s="64"/>
      <c r="L1184" s="93" t="str">
        <f aca="false">IF(NOT(ISNUMBER(D1184)),"",DATE(YEAR(D1184),MONTH(D1184),1))</f>
        <v/>
      </c>
      <c r="M1184" s="70" t="str">
        <f aca="false">IF(B1184="","",IF(AND(ISNUMBER(D1184),ISNUMBER(E1184),E1184&lt;D1184),"⚠ Término anterior al inicio",IF(J1184&lt;&gt;"Sí","Pendiente comprobante firmado","OK")))</f>
        <v/>
      </c>
    </row>
    <row r="1185" customFormat="false" ht="15" hidden="false" customHeight="false" outlineLevel="0" collapsed="false">
      <c r="B1185" s="64"/>
      <c r="C1185" s="72" t="str">
        <f aca="false">IF(B1185="","",IFERROR(INDEX(T_NOMBRE,MATCH(B1185,T_ID,0)),"⚠ ID no existe"))</f>
        <v/>
      </c>
      <c r="D1185" s="65"/>
      <c r="E1185" s="65"/>
      <c r="F1185" s="64"/>
      <c r="G1185" s="74" t="str">
        <f aca="false">IF(OR(B1185="",NOT(ISNUMBER(D1185)),NOT(ISNUMBER(E1185))),"",NETWORKDAYS(D1185,E1185,FERIADOS))</f>
        <v/>
      </c>
      <c r="H1185" s="69"/>
      <c r="I1185" s="74" t="str">
        <f aca="false">IF(B1185="","",IF(ISNUMBER(H1185),H1185,N(G1185)))</f>
        <v/>
      </c>
      <c r="J1185" s="64"/>
      <c r="K1185" s="64"/>
      <c r="L1185" s="93" t="str">
        <f aca="false">IF(NOT(ISNUMBER(D1185)),"",DATE(YEAR(D1185),MONTH(D1185),1))</f>
        <v/>
      </c>
      <c r="M1185" s="70" t="str">
        <f aca="false">IF(B1185="","",IF(AND(ISNUMBER(D1185),ISNUMBER(E1185),E1185&lt;D1185),"⚠ Término anterior al inicio",IF(J1185&lt;&gt;"Sí","Pendiente comprobante firmado","OK")))</f>
        <v/>
      </c>
    </row>
    <row r="1186" customFormat="false" ht="15" hidden="false" customHeight="false" outlineLevel="0" collapsed="false">
      <c r="B1186" s="64"/>
      <c r="C1186" s="72" t="str">
        <f aca="false">IF(B1186="","",IFERROR(INDEX(T_NOMBRE,MATCH(B1186,T_ID,0)),"⚠ ID no existe"))</f>
        <v/>
      </c>
      <c r="D1186" s="65"/>
      <c r="E1186" s="65"/>
      <c r="F1186" s="64"/>
      <c r="G1186" s="74" t="str">
        <f aca="false">IF(OR(B1186="",NOT(ISNUMBER(D1186)),NOT(ISNUMBER(E1186))),"",NETWORKDAYS(D1186,E1186,FERIADOS))</f>
        <v/>
      </c>
      <c r="H1186" s="69"/>
      <c r="I1186" s="74" t="str">
        <f aca="false">IF(B1186="","",IF(ISNUMBER(H1186),H1186,N(G1186)))</f>
        <v/>
      </c>
      <c r="J1186" s="64"/>
      <c r="K1186" s="64"/>
      <c r="L1186" s="93" t="str">
        <f aca="false">IF(NOT(ISNUMBER(D1186)),"",DATE(YEAR(D1186),MONTH(D1186),1))</f>
        <v/>
      </c>
      <c r="M1186" s="70" t="str">
        <f aca="false">IF(B1186="","",IF(AND(ISNUMBER(D1186),ISNUMBER(E1186),E1186&lt;D1186),"⚠ Término anterior al inicio",IF(J1186&lt;&gt;"Sí","Pendiente comprobante firmado","OK")))</f>
        <v/>
      </c>
    </row>
    <row r="1187" customFormat="false" ht="15" hidden="false" customHeight="false" outlineLevel="0" collapsed="false">
      <c r="B1187" s="64"/>
      <c r="C1187" s="72" t="str">
        <f aca="false">IF(B1187="","",IFERROR(INDEX(T_NOMBRE,MATCH(B1187,T_ID,0)),"⚠ ID no existe"))</f>
        <v/>
      </c>
      <c r="D1187" s="65"/>
      <c r="E1187" s="65"/>
      <c r="F1187" s="64"/>
      <c r="G1187" s="74" t="str">
        <f aca="false">IF(OR(B1187="",NOT(ISNUMBER(D1187)),NOT(ISNUMBER(E1187))),"",NETWORKDAYS(D1187,E1187,FERIADOS))</f>
        <v/>
      </c>
      <c r="H1187" s="69"/>
      <c r="I1187" s="74" t="str">
        <f aca="false">IF(B1187="","",IF(ISNUMBER(H1187),H1187,N(G1187)))</f>
        <v/>
      </c>
      <c r="J1187" s="64"/>
      <c r="K1187" s="64"/>
      <c r="L1187" s="93" t="str">
        <f aca="false">IF(NOT(ISNUMBER(D1187)),"",DATE(YEAR(D1187),MONTH(D1187),1))</f>
        <v/>
      </c>
      <c r="M1187" s="70" t="str">
        <f aca="false">IF(B1187="","",IF(AND(ISNUMBER(D1187),ISNUMBER(E1187),E1187&lt;D1187),"⚠ Término anterior al inicio",IF(J1187&lt;&gt;"Sí","Pendiente comprobante firmado","OK")))</f>
        <v/>
      </c>
    </row>
    <row r="1188" customFormat="false" ht="15" hidden="false" customHeight="false" outlineLevel="0" collapsed="false">
      <c r="B1188" s="64"/>
      <c r="C1188" s="72" t="str">
        <f aca="false">IF(B1188="","",IFERROR(INDEX(T_NOMBRE,MATCH(B1188,T_ID,0)),"⚠ ID no existe"))</f>
        <v/>
      </c>
      <c r="D1188" s="65"/>
      <c r="E1188" s="65"/>
      <c r="F1188" s="64"/>
      <c r="G1188" s="74" t="str">
        <f aca="false">IF(OR(B1188="",NOT(ISNUMBER(D1188)),NOT(ISNUMBER(E1188))),"",NETWORKDAYS(D1188,E1188,FERIADOS))</f>
        <v/>
      </c>
      <c r="H1188" s="69"/>
      <c r="I1188" s="74" t="str">
        <f aca="false">IF(B1188="","",IF(ISNUMBER(H1188),H1188,N(G1188)))</f>
        <v/>
      </c>
      <c r="J1188" s="64"/>
      <c r="K1188" s="64"/>
      <c r="L1188" s="93" t="str">
        <f aca="false">IF(NOT(ISNUMBER(D1188)),"",DATE(YEAR(D1188),MONTH(D1188),1))</f>
        <v/>
      </c>
      <c r="M1188" s="70" t="str">
        <f aca="false">IF(B1188="","",IF(AND(ISNUMBER(D1188),ISNUMBER(E1188),E1188&lt;D1188),"⚠ Término anterior al inicio",IF(J1188&lt;&gt;"Sí","Pendiente comprobante firmado","OK")))</f>
        <v/>
      </c>
    </row>
    <row r="1189" customFormat="false" ht="15" hidden="false" customHeight="false" outlineLevel="0" collapsed="false">
      <c r="B1189" s="64"/>
      <c r="C1189" s="72" t="str">
        <f aca="false">IF(B1189="","",IFERROR(INDEX(T_NOMBRE,MATCH(B1189,T_ID,0)),"⚠ ID no existe"))</f>
        <v/>
      </c>
      <c r="D1189" s="65"/>
      <c r="E1189" s="65"/>
      <c r="F1189" s="64"/>
      <c r="G1189" s="74" t="str">
        <f aca="false">IF(OR(B1189="",NOT(ISNUMBER(D1189)),NOT(ISNUMBER(E1189))),"",NETWORKDAYS(D1189,E1189,FERIADOS))</f>
        <v/>
      </c>
      <c r="H1189" s="69"/>
      <c r="I1189" s="74" t="str">
        <f aca="false">IF(B1189="","",IF(ISNUMBER(H1189),H1189,N(G1189)))</f>
        <v/>
      </c>
      <c r="J1189" s="64"/>
      <c r="K1189" s="64"/>
      <c r="L1189" s="93" t="str">
        <f aca="false">IF(NOT(ISNUMBER(D1189)),"",DATE(YEAR(D1189),MONTH(D1189),1))</f>
        <v/>
      </c>
      <c r="M1189" s="70" t="str">
        <f aca="false">IF(B1189="","",IF(AND(ISNUMBER(D1189),ISNUMBER(E1189),E1189&lt;D1189),"⚠ Término anterior al inicio",IF(J1189&lt;&gt;"Sí","Pendiente comprobante firmado","OK")))</f>
        <v/>
      </c>
    </row>
    <row r="1190" customFormat="false" ht="15" hidden="false" customHeight="false" outlineLevel="0" collapsed="false">
      <c r="B1190" s="64"/>
      <c r="C1190" s="72" t="str">
        <f aca="false">IF(B1190="","",IFERROR(INDEX(T_NOMBRE,MATCH(B1190,T_ID,0)),"⚠ ID no existe"))</f>
        <v/>
      </c>
      <c r="D1190" s="65"/>
      <c r="E1190" s="65"/>
      <c r="F1190" s="64"/>
      <c r="G1190" s="74" t="str">
        <f aca="false">IF(OR(B1190="",NOT(ISNUMBER(D1190)),NOT(ISNUMBER(E1190))),"",NETWORKDAYS(D1190,E1190,FERIADOS))</f>
        <v/>
      </c>
      <c r="H1190" s="69"/>
      <c r="I1190" s="74" t="str">
        <f aca="false">IF(B1190="","",IF(ISNUMBER(H1190),H1190,N(G1190)))</f>
        <v/>
      </c>
      <c r="J1190" s="64"/>
      <c r="K1190" s="64"/>
      <c r="L1190" s="93" t="str">
        <f aca="false">IF(NOT(ISNUMBER(D1190)),"",DATE(YEAR(D1190),MONTH(D1190),1))</f>
        <v/>
      </c>
      <c r="M1190" s="70" t="str">
        <f aca="false">IF(B1190="","",IF(AND(ISNUMBER(D1190),ISNUMBER(E1190),E1190&lt;D1190),"⚠ Término anterior al inicio",IF(J1190&lt;&gt;"Sí","Pendiente comprobante firmado","OK")))</f>
        <v/>
      </c>
    </row>
    <row r="1191" customFormat="false" ht="15" hidden="false" customHeight="false" outlineLevel="0" collapsed="false">
      <c r="B1191" s="64"/>
      <c r="C1191" s="72" t="str">
        <f aca="false">IF(B1191="","",IFERROR(INDEX(T_NOMBRE,MATCH(B1191,T_ID,0)),"⚠ ID no existe"))</f>
        <v/>
      </c>
      <c r="D1191" s="65"/>
      <c r="E1191" s="65"/>
      <c r="F1191" s="64"/>
      <c r="G1191" s="74" t="str">
        <f aca="false">IF(OR(B1191="",NOT(ISNUMBER(D1191)),NOT(ISNUMBER(E1191))),"",NETWORKDAYS(D1191,E1191,FERIADOS))</f>
        <v/>
      </c>
      <c r="H1191" s="69"/>
      <c r="I1191" s="74" t="str">
        <f aca="false">IF(B1191="","",IF(ISNUMBER(H1191),H1191,N(G1191)))</f>
        <v/>
      </c>
      <c r="J1191" s="64"/>
      <c r="K1191" s="64"/>
      <c r="L1191" s="93" t="str">
        <f aca="false">IF(NOT(ISNUMBER(D1191)),"",DATE(YEAR(D1191),MONTH(D1191),1))</f>
        <v/>
      </c>
      <c r="M1191" s="70" t="str">
        <f aca="false">IF(B1191="","",IF(AND(ISNUMBER(D1191),ISNUMBER(E1191),E1191&lt;D1191),"⚠ Término anterior al inicio",IF(J1191&lt;&gt;"Sí","Pendiente comprobante firmado","OK")))</f>
        <v/>
      </c>
    </row>
    <row r="1192" customFormat="false" ht="15" hidden="false" customHeight="false" outlineLevel="0" collapsed="false">
      <c r="B1192" s="64"/>
      <c r="C1192" s="72" t="str">
        <f aca="false">IF(B1192="","",IFERROR(INDEX(T_NOMBRE,MATCH(B1192,T_ID,0)),"⚠ ID no existe"))</f>
        <v/>
      </c>
      <c r="D1192" s="65"/>
      <c r="E1192" s="65"/>
      <c r="F1192" s="64"/>
      <c r="G1192" s="74" t="str">
        <f aca="false">IF(OR(B1192="",NOT(ISNUMBER(D1192)),NOT(ISNUMBER(E1192))),"",NETWORKDAYS(D1192,E1192,FERIADOS))</f>
        <v/>
      </c>
      <c r="H1192" s="69"/>
      <c r="I1192" s="74" t="str">
        <f aca="false">IF(B1192="","",IF(ISNUMBER(H1192),H1192,N(G1192)))</f>
        <v/>
      </c>
      <c r="J1192" s="64"/>
      <c r="K1192" s="64"/>
      <c r="L1192" s="93" t="str">
        <f aca="false">IF(NOT(ISNUMBER(D1192)),"",DATE(YEAR(D1192),MONTH(D1192),1))</f>
        <v/>
      </c>
      <c r="M1192" s="70" t="str">
        <f aca="false">IF(B1192="","",IF(AND(ISNUMBER(D1192),ISNUMBER(E1192),E1192&lt;D1192),"⚠ Término anterior al inicio",IF(J1192&lt;&gt;"Sí","Pendiente comprobante firmado","OK")))</f>
        <v/>
      </c>
    </row>
    <row r="1193" customFormat="false" ht="15" hidden="false" customHeight="false" outlineLevel="0" collapsed="false">
      <c r="B1193" s="64"/>
      <c r="C1193" s="72" t="str">
        <f aca="false">IF(B1193="","",IFERROR(INDEX(T_NOMBRE,MATCH(B1193,T_ID,0)),"⚠ ID no existe"))</f>
        <v/>
      </c>
      <c r="D1193" s="65"/>
      <c r="E1193" s="65"/>
      <c r="F1193" s="64"/>
      <c r="G1193" s="74" t="str">
        <f aca="false">IF(OR(B1193="",NOT(ISNUMBER(D1193)),NOT(ISNUMBER(E1193))),"",NETWORKDAYS(D1193,E1193,FERIADOS))</f>
        <v/>
      </c>
      <c r="H1193" s="69"/>
      <c r="I1193" s="74" t="str">
        <f aca="false">IF(B1193="","",IF(ISNUMBER(H1193),H1193,N(G1193)))</f>
        <v/>
      </c>
      <c r="J1193" s="64"/>
      <c r="K1193" s="64"/>
      <c r="L1193" s="93" t="str">
        <f aca="false">IF(NOT(ISNUMBER(D1193)),"",DATE(YEAR(D1193),MONTH(D1193),1))</f>
        <v/>
      </c>
      <c r="M1193" s="70" t="str">
        <f aca="false">IF(B1193="","",IF(AND(ISNUMBER(D1193),ISNUMBER(E1193),E1193&lt;D1193),"⚠ Término anterior al inicio",IF(J1193&lt;&gt;"Sí","Pendiente comprobante firmado","OK")))</f>
        <v/>
      </c>
    </row>
    <row r="1194" customFormat="false" ht="15" hidden="false" customHeight="false" outlineLevel="0" collapsed="false">
      <c r="B1194" s="64"/>
      <c r="C1194" s="72" t="str">
        <f aca="false">IF(B1194="","",IFERROR(INDEX(T_NOMBRE,MATCH(B1194,T_ID,0)),"⚠ ID no existe"))</f>
        <v/>
      </c>
      <c r="D1194" s="65"/>
      <c r="E1194" s="65"/>
      <c r="F1194" s="64"/>
      <c r="G1194" s="74" t="str">
        <f aca="false">IF(OR(B1194="",NOT(ISNUMBER(D1194)),NOT(ISNUMBER(E1194))),"",NETWORKDAYS(D1194,E1194,FERIADOS))</f>
        <v/>
      </c>
      <c r="H1194" s="69"/>
      <c r="I1194" s="74" t="str">
        <f aca="false">IF(B1194="","",IF(ISNUMBER(H1194),H1194,N(G1194)))</f>
        <v/>
      </c>
      <c r="J1194" s="64"/>
      <c r="K1194" s="64"/>
      <c r="L1194" s="93" t="str">
        <f aca="false">IF(NOT(ISNUMBER(D1194)),"",DATE(YEAR(D1194),MONTH(D1194),1))</f>
        <v/>
      </c>
      <c r="M1194" s="70" t="str">
        <f aca="false">IF(B1194="","",IF(AND(ISNUMBER(D1194),ISNUMBER(E1194),E1194&lt;D1194),"⚠ Término anterior al inicio",IF(J1194&lt;&gt;"Sí","Pendiente comprobante firmado","OK")))</f>
        <v/>
      </c>
    </row>
    <row r="1195" customFormat="false" ht="15" hidden="false" customHeight="false" outlineLevel="0" collapsed="false">
      <c r="B1195" s="64"/>
      <c r="C1195" s="72" t="str">
        <f aca="false">IF(B1195="","",IFERROR(INDEX(T_NOMBRE,MATCH(B1195,T_ID,0)),"⚠ ID no existe"))</f>
        <v/>
      </c>
      <c r="D1195" s="65"/>
      <c r="E1195" s="65"/>
      <c r="F1195" s="64"/>
      <c r="G1195" s="74" t="str">
        <f aca="false">IF(OR(B1195="",NOT(ISNUMBER(D1195)),NOT(ISNUMBER(E1195))),"",NETWORKDAYS(D1195,E1195,FERIADOS))</f>
        <v/>
      </c>
      <c r="H1195" s="69"/>
      <c r="I1195" s="74" t="str">
        <f aca="false">IF(B1195="","",IF(ISNUMBER(H1195),H1195,N(G1195)))</f>
        <v/>
      </c>
      <c r="J1195" s="64"/>
      <c r="K1195" s="64"/>
      <c r="L1195" s="93" t="str">
        <f aca="false">IF(NOT(ISNUMBER(D1195)),"",DATE(YEAR(D1195),MONTH(D1195),1))</f>
        <v/>
      </c>
      <c r="M1195" s="70" t="str">
        <f aca="false">IF(B1195="","",IF(AND(ISNUMBER(D1195),ISNUMBER(E1195),E1195&lt;D1195),"⚠ Término anterior al inicio",IF(J1195&lt;&gt;"Sí","Pendiente comprobante firmado","OK")))</f>
        <v/>
      </c>
    </row>
    <row r="1196" customFormat="false" ht="15" hidden="false" customHeight="false" outlineLevel="0" collapsed="false">
      <c r="B1196" s="64"/>
      <c r="C1196" s="72" t="str">
        <f aca="false">IF(B1196="","",IFERROR(INDEX(T_NOMBRE,MATCH(B1196,T_ID,0)),"⚠ ID no existe"))</f>
        <v/>
      </c>
      <c r="D1196" s="65"/>
      <c r="E1196" s="65"/>
      <c r="F1196" s="64"/>
      <c r="G1196" s="74" t="str">
        <f aca="false">IF(OR(B1196="",NOT(ISNUMBER(D1196)),NOT(ISNUMBER(E1196))),"",NETWORKDAYS(D1196,E1196,FERIADOS))</f>
        <v/>
      </c>
      <c r="H1196" s="69"/>
      <c r="I1196" s="74" t="str">
        <f aca="false">IF(B1196="","",IF(ISNUMBER(H1196),H1196,N(G1196)))</f>
        <v/>
      </c>
      <c r="J1196" s="64"/>
      <c r="K1196" s="64"/>
      <c r="L1196" s="93" t="str">
        <f aca="false">IF(NOT(ISNUMBER(D1196)),"",DATE(YEAR(D1196),MONTH(D1196),1))</f>
        <v/>
      </c>
      <c r="M1196" s="70" t="str">
        <f aca="false">IF(B1196="","",IF(AND(ISNUMBER(D1196),ISNUMBER(E1196),E1196&lt;D1196),"⚠ Término anterior al inicio",IF(J1196&lt;&gt;"Sí","Pendiente comprobante firmado","OK")))</f>
        <v/>
      </c>
    </row>
    <row r="1197" customFormat="false" ht="15" hidden="false" customHeight="false" outlineLevel="0" collapsed="false">
      <c r="B1197" s="64"/>
      <c r="C1197" s="72" t="str">
        <f aca="false">IF(B1197="","",IFERROR(INDEX(T_NOMBRE,MATCH(B1197,T_ID,0)),"⚠ ID no existe"))</f>
        <v/>
      </c>
      <c r="D1197" s="65"/>
      <c r="E1197" s="65"/>
      <c r="F1197" s="64"/>
      <c r="G1197" s="74" t="str">
        <f aca="false">IF(OR(B1197="",NOT(ISNUMBER(D1197)),NOT(ISNUMBER(E1197))),"",NETWORKDAYS(D1197,E1197,FERIADOS))</f>
        <v/>
      </c>
      <c r="H1197" s="69"/>
      <c r="I1197" s="74" t="str">
        <f aca="false">IF(B1197="","",IF(ISNUMBER(H1197),H1197,N(G1197)))</f>
        <v/>
      </c>
      <c r="J1197" s="64"/>
      <c r="K1197" s="64"/>
      <c r="L1197" s="93" t="str">
        <f aca="false">IF(NOT(ISNUMBER(D1197)),"",DATE(YEAR(D1197),MONTH(D1197),1))</f>
        <v/>
      </c>
      <c r="M1197" s="70" t="str">
        <f aca="false">IF(B1197="","",IF(AND(ISNUMBER(D1197),ISNUMBER(E1197),E1197&lt;D1197),"⚠ Término anterior al inicio",IF(J1197&lt;&gt;"Sí","Pendiente comprobante firmado","OK")))</f>
        <v/>
      </c>
    </row>
    <row r="1198" customFormat="false" ht="15" hidden="false" customHeight="false" outlineLevel="0" collapsed="false">
      <c r="B1198" s="64"/>
      <c r="C1198" s="72" t="str">
        <f aca="false">IF(B1198="","",IFERROR(INDEX(T_NOMBRE,MATCH(B1198,T_ID,0)),"⚠ ID no existe"))</f>
        <v/>
      </c>
      <c r="D1198" s="65"/>
      <c r="E1198" s="65"/>
      <c r="F1198" s="64"/>
      <c r="G1198" s="74" t="str">
        <f aca="false">IF(OR(B1198="",NOT(ISNUMBER(D1198)),NOT(ISNUMBER(E1198))),"",NETWORKDAYS(D1198,E1198,FERIADOS))</f>
        <v/>
      </c>
      <c r="H1198" s="69"/>
      <c r="I1198" s="74" t="str">
        <f aca="false">IF(B1198="","",IF(ISNUMBER(H1198),H1198,N(G1198)))</f>
        <v/>
      </c>
      <c r="J1198" s="64"/>
      <c r="K1198" s="64"/>
      <c r="L1198" s="93" t="str">
        <f aca="false">IF(NOT(ISNUMBER(D1198)),"",DATE(YEAR(D1198),MONTH(D1198),1))</f>
        <v/>
      </c>
      <c r="M1198" s="70" t="str">
        <f aca="false">IF(B1198="","",IF(AND(ISNUMBER(D1198),ISNUMBER(E1198),E1198&lt;D1198),"⚠ Término anterior al inicio",IF(J1198&lt;&gt;"Sí","Pendiente comprobante firmado","OK")))</f>
        <v/>
      </c>
    </row>
    <row r="1199" customFormat="false" ht="15" hidden="false" customHeight="false" outlineLevel="0" collapsed="false">
      <c r="B1199" s="64"/>
      <c r="C1199" s="72" t="str">
        <f aca="false">IF(B1199="","",IFERROR(INDEX(T_NOMBRE,MATCH(B1199,T_ID,0)),"⚠ ID no existe"))</f>
        <v/>
      </c>
      <c r="D1199" s="65"/>
      <c r="E1199" s="65"/>
      <c r="F1199" s="64"/>
      <c r="G1199" s="74" t="str">
        <f aca="false">IF(OR(B1199="",NOT(ISNUMBER(D1199)),NOT(ISNUMBER(E1199))),"",NETWORKDAYS(D1199,E1199,FERIADOS))</f>
        <v/>
      </c>
      <c r="H1199" s="69"/>
      <c r="I1199" s="74" t="str">
        <f aca="false">IF(B1199="","",IF(ISNUMBER(H1199),H1199,N(G1199)))</f>
        <v/>
      </c>
      <c r="J1199" s="64"/>
      <c r="K1199" s="64"/>
      <c r="L1199" s="93" t="str">
        <f aca="false">IF(NOT(ISNUMBER(D1199)),"",DATE(YEAR(D1199),MONTH(D1199),1))</f>
        <v/>
      </c>
      <c r="M1199" s="70" t="str">
        <f aca="false">IF(B1199="","",IF(AND(ISNUMBER(D1199),ISNUMBER(E1199),E1199&lt;D1199),"⚠ Término anterior al inicio",IF(J1199&lt;&gt;"Sí","Pendiente comprobante firmado","OK")))</f>
        <v/>
      </c>
    </row>
    <row r="1200" customFormat="false" ht="15" hidden="false" customHeight="false" outlineLevel="0" collapsed="false">
      <c r="B1200" s="64"/>
      <c r="C1200" s="72" t="str">
        <f aca="false">IF(B1200="","",IFERROR(INDEX(T_NOMBRE,MATCH(B1200,T_ID,0)),"⚠ ID no existe"))</f>
        <v/>
      </c>
      <c r="D1200" s="65"/>
      <c r="E1200" s="65"/>
      <c r="F1200" s="64"/>
      <c r="G1200" s="74" t="str">
        <f aca="false">IF(OR(B1200="",NOT(ISNUMBER(D1200)),NOT(ISNUMBER(E1200))),"",NETWORKDAYS(D1200,E1200,FERIADOS))</f>
        <v/>
      </c>
      <c r="H1200" s="69"/>
      <c r="I1200" s="74" t="str">
        <f aca="false">IF(B1200="","",IF(ISNUMBER(H1200),H1200,N(G1200)))</f>
        <v/>
      </c>
      <c r="J1200" s="64"/>
      <c r="K1200" s="64"/>
      <c r="L1200" s="93" t="str">
        <f aca="false">IF(NOT(ISNUMBER(D1200)),"",DATE(YEAR(D1200),MONTH(D1200),1))</f>
        <v/>
      </c>
      <c r="M1200" s="70" t="str">
        <f aca="false">IF(B1200="","",IF(AND(ISNUMBER(D1200),ISNUMBER(E1200),E1200&lt;D1200),"⚠ Término anterior al inicio",IF(J1200&lt;&gt;"Sí","Pendiente comprobante firmado","OK")))</f>
        <v/>
      </c>
    </row>
    <row r="1201" customFormat="false" ht="15" hidden="false" customHeight="false" outlineLevel="0" collapsed="false">
      <c r="B1201" s="64"/>
      <c r="C1201" s="72" t="str">
        <f aca="false">IF(B1201="","",IFERROR(INDEX(T_NOMBRE,MATCH(B1201,T_ID,0)),"⚠ ID no existe"))</f>
        <v/>
      </c>
      <c r="D1201" s="65"/>
      <c r="E1201" s="65"/>
      <c r="F1201" s="64"/>
      <c r="G1201" s="74" t="str">
        <f aca="false">IF(OR(B1201="",NOT(ISNUMBER(D1201)),NOT(ISNUMBER(E1201))),"",NETWORKDAYS(D1201,E1201,FERIADOS))</f>
        <v/>
      </c>
      <c r="H1201" s="69"/>
      <c r="I1201" s="74" t="str">
        <f aca="false">IF(B1201="","",IF(ISNUMBER(H1201),H1201,N(G1201)))</f>
        <v/>
      </c>
      <c r="J1201" s="64"/>
      <c r="K1201" s="64"/>
      <c r="L1201" s="93" t="str">
        <f aca="false">IF(NOT(ISNUMBER(D1201)),"",DATE(YEAR(D1201),MONTH(D1201),1))</f>
        <v/>
      </c>
      <c r="M1201" s="70" t="str">
        <f aca="false">IF(B1201="","",IF(AND(ISNUMBER(D1201),ISNUMBER(E1201),E1201&lt;D1201),"⚠ Término anterior al inicio",IF(J1201&lt;&gt;"Sí","Pendiente comprobante firmado","OK")))</f>
        <v/>
      </c>
    </row>
    <row r="1202" customFormat="false" ht="15" hidden="false" customHeight="false" outlineLevel="0" collapsed="false">
      <c r="B1202" s="64"/>
      <c r="C1202" s="72" t="str">
        <f aca="false">IF(B1202="","",IFERROR(INDEX(T_NOMBRE,MATCH(B1202,T_ID,0)),"⚠ ID no existe"))</f>
        <v/>
      </c>
      <c r="D1202" s="65"/>
      <c r="E1202" s="65"/>
      <c r="F1202" s="64"/>
      <c r="G1202" s="74" t="str">
        <f aca="false">IF(OR(B1202="",NOT(ISNUMBER(D1202)),NOT(ISNUMBER(E1202))),"",NETWORKDAYS(D1202,E1202,FERIADOS))</f>
        <v/>
      </c>
      <c r="H1202" s="69"/>
      <c r="I1202" s="74" t="str">
        <f aca="false">IF(B1202="","",IF(ISNUMBER(H1202),H1202,N(G1202)))</f>
        <v/>
      </c>
      <c r="J1202" s="64"/>
      <c r="K1202" s="64"/>
      <c r="L1202" s="93" t="str">
        <f aca="false">IF(NOT(ISNUMBER(D1202)),"",DATE(YEAR(D1202),MONTH(D1202),1))</f>
        <v/>
      </c>
      <c r="M1202" s="70" t="str">
        <f aca="false">IF(B1202="","",IF(AND(ISNUMBER(D1202),ISNUMBER(E1202),E1202&lt;D1202),"⚠ Término anterior al inicio",IF(J1202&lt;&gt;"Sí","Pendiente comprobante firmado","OK")))</f>
        <v/>
      </c>
    </row>
    <row r="1203" customFormat="false" ht="15" hidden="false" customHeight="false" outlineLevel="0" collapsed="false">
      <c r="B1203" s="64"/>
      <c r="C1203" s="72" t="str">
        <f aca="false">IF(B1203="","",IFERROR(INDEX(T_NOMBRE,MATCH(B1203,T_ID,0)),"⚠ ID no existe"))</f>
        <v/>
      </c>
      <c r="D1203" s="65"/>
      <c r="E1203" s="65"/>
      <c r="F1203" s="64"/>
      <c r="G1203" s="74" t="str">
        <f aca="false">IF(OR(B1203="",NOT(ISNUMBER(D1203)),NOT(ISNUMBER(E1203))),"",NETWORKDAYS(D1203,E1203,FERIADOS))</f>
        <v/>
      </c>
      <c r="H1203" s="69"/>
      <c r="I1203" s="74" t="str">
        <f aca="false">IF(B1203="","",IF(ISNUMBER(H1203),H1203,N(G1203)))</f>
        <v/>
      </c>
      <c r="J1203" s="64"/>
      <c r="K1203" s="64"/>
      <c r="L1203" s="93" t="str">
        <f aca="false">IF(NOT(ISNUMBER(D1203)),"",DATE(YEAR(D1203),MONTH(D1203),1))</f>
        <v/>
      </c>
      <c r="M1203" s="70" t="str">
        <f aca="false">IF(B1203="","",IF(AND(ISNUMBER(D1203),ISNUMBER(E1203),E1203&lt;D1203),"⚠ Término anterior al inicio",IF(J1203&lt;&gt;"Sí","Pendiente comprobante firmado","OK")))</f>
        <v/>
      </c>
    </row>
    <row r="1204" customFormat="false" ht="15" hidden="false" customHeight="false" outlineLevel="0" collapsed="false">
      <c r="B1204" s="64"/>
      <c r="C1204" s="72" t="str">
        <f aca="false">IF(B1204="","",IFERROR(INDEX(T_NOMBRE,MATCH(B1204,T_ID,0)),"⚠ ID no existe"))</f>
        <v/>
      </c>
      <c r="D1204" s="65"/>
      <c r="E1204" s="65"/>
      <c r="F1204" s="64"/>
      <c r="G1204" s="74" t="str">
        <f aca="false">IF(OR(B1204="",NOT(ISNUMBER(D1204)),NOT(ISNUMBER(E1204))),"",NETWORKDAYS(D1204,E1204,FERIADOS))</f>
        <v/>
      </c>
      <c r="H1204" s="69"/>
      <c r="I1204" s="74" t="str">
        <f aca="false">IF(B1204="","",IF(ISNUMBER(H1204),H1204,N(G1204)))</f>
        <v/>
      </c>
      <c r="J1204" s="64"/>
      <c r="K1204" s="64"/>
      <c r="L1204" s="93" t="str">
        <f aca="false">IF(NOT(ISNUMBER(D1204)),"",DATE(YEAR(D1204),MONTH(D1204),1))</f>
        <v/>
      </c>
      <c r="M1204" s="70" t="str">
        <f aca="false">IF(B1204="","",IF(AND(ISNUMBER(D1204),ISNUMBER(E1204),E1204&lt;D1204),"⚠ Término anterior al inicio",IF(J1204&lt;&gt;"Sí","Pendiente comprobante firmado","OK")))</f>
        <v/>
      </c>
    </row>
    <row r="1205" customFormat="false" ht="15" hidden="false" customHeight="false" outlineLevel="0" collapsed="false">
      <c r="B1205" s="64"/>
      <c r="C1205" s="72" t="str">
        <f aca="false">IF(B1205="","",IFERROR(INDEX(T_NOMBRE,MATCH(B1205,T_ID,0)),"⚠ ID no existe"))</f>
        <v/>
      </c>
      <c r="D1205" s="65"/>
      <c r="E1205" s="65"/>
      <c r="F1205" s="64"/>
      <c r="G1205" s="74" t="str">
        <f aca="false">IF(OR(B1205="",NOT(ISNUMBER(D1205)),NOT(ISNUMBER(E1205))),"",NETWORKDAYS(D1205,E1205,FERIADOS))</f>
        <v/>
      </c>
      <c r="H1205" s="69"/>
      <c r="I1205" s="74" t="str">
        <f aca="false">IF(B1205="","",IF(ISNUMBER(H1205),H1205,N(G1205)))</f>
        <v/>
      </c>
      <c r="J1205" s="64"/>
      <c r="K1205" s="64"/>
      <c r="L1205" s="93" t="str">
        <f aca="false">IF(NOT(ISNUMBER(D1205)),"",DATE(YEAR(D1205),MONTH(D1205),1))</f>
        <v/>
      </c>
      <c r="M1205" s="70" t="str">
        <f aca="false">IF(B1205="","",IF(AND(ISNUMBER(D1205),ISNUMBER(E1205),E1205&lt;D1205),"⚠ Término anterior al inicio",IF(J1205&lt;&gt;"Sí","Pendiente comprobante firmado","OK")))</f>
        <v/>
      </c>
    </row>
    <row r="1206" customFormat="false" ht="15" hidden="false" customHeight="false" outlineLevel="0" collapsed="false">
      <c r="B1206" s="64"/>
      <c r="C1206" s="72" t="str">
        <f aca="false">IF(B1206="","",IFERROR(INDEX(T_NOMBRE,MATCH(B1206,T_ID,0)),"⚠ ID no existe"))</f>
        <v/>
      </c>
      <c r="D1206" s="65"/>
      <c r="E1206" s="65"/>
      <c r="F1206" s="64"/>
      <c r="G1206" s="74" t="str">
        <f aca="false">IF(OR(B1206="",NOT(ISNUMBER(D1206)),NOT(ISNUMBER(E1206))),"",NETWORKDAYS(D1206,E1206,FERIADOS))</f>
        <v/>
      </c>
      <c r="H1206" s="69"/>
      <c r="I1206" s="74" t="str">
        <f aca="false">IF(B1206="","",IF(ISNUMBER(H1206),H1206,N(G1206)))</f>
        <v/>
      </c>
      <c r="J1206" s="64"/>
      <c r="K1206" s="64"/>
      <c r="L1206" s="93" t="str">
        <f aca="false">IF(NOT(ISNUMBER(D1206)),"",DATE(YEAR(D1206),MONTH(D1206),1))</f>
        <v/>
      </c>
      <c r="M1206" s="70" t="str">
        <f aca="false">IF(B1206="","",IF(AND(ISNUMBER(D1206),ISNUMBER(E1206),E1206&lt;D1206),"⚠ Término anterior al inicio",IF(J1206&lt;&gt;"Sí","Pendiente comprobante firmado","OK")))</f>
        <v/>
      </c>
    </row>
    <row r="1207" customFormat="false" ht="15" hidden="false" customHeight="false" outlineLevel="0" collapsed="false">
      <c r="B1207" s="64"/>
      <c r="C1207" s="72" t="str">
        <f aca="false">IF(B1207="","",IFERROR(INDEX(T_NOMBRE,MATCH(B1207,T_ID,0)),"⚠ ID no existe"))</f>
        <v/>
      </c>
      <c r="D1207" s="65"/>
      <c r="E1207" s="65"/>
      <c r="F1207" s="64"/>
      <c r="G1207" s="74" t="str">
        <f aca="false">IF(OR(B1207="",NOT(ISNUMBER(D1207)),NOT(ISNUMBER(E1207))),"",NETWORKDAYS(D1207,E1207,FERIADOS))</f>
        <v/>
      </c>
      <c r="H1207" s="69"/>
      <c r="I1207" s="74" t="str">
        <f aca="false">IF(B1207="","",IF(ISNUMBER(H1207),H1207,N(G1207)))</f>
        <v/>
      </c>
      <c r="J1207" s="64"/>
      <c r="K1207" s="64"/>
      <c r="L1207" s="93" t="str">
        <f aca="false">IF(NOT(ISNUMBER(D1207)),"",DATE(YEAR(D1207),MONTH(D1207),1))</f>
        <v/>
      </c>
      <c r="M1207" s="70" t="str">
        <f aca="false">IF(B1207="","",IF(AND(ISNUMBER(D1207),ISNUMBER(E1207),E1207&lt;D1207),"⚠ Término anterior al inicio",IF(J1207&lt;&gt;"Sí","Pendiente comprobante firmado","OK")))</f>
        <v/>
      </c>
    </row>
    <row r="1208" customFormat="false" ht="15" hidden="false" customHeight="false" outlineLevel="0" collapsed="false">
      <c r="B1208" s="64"/>
      <c r="C1208" s="72" t="str">
        <f aca="false">IF(B1208="","",IFERROR(INDEX(T_NOMBRE,MATCH(B1208,T_ID,0)),"⚠ ID no existe"))</f>
        <v/>
      </c>
      <c r="D1208" s="65"/>
      <c r="E1208" s="65"/>
      <c r="F1208" s="64"/>
      <c r="G1208" s="74" t="str">
        <f aca="false">IF(OR(B1208="",NOT(ISNUMBER(D1208)),NOT(ISNUMBER(E1208))),"",NETWORKDAYS(D1208,E1208,FERIADOS))</f>
        <v/>
      </c>
      <c r="H1208" s="69"/>
      <c r="I1208" s="74" t="str">
        <f aca="false">IF(B1208="","",IF(ISNUMBER(H1208),H1208,N(G1208)))</f>
        <v/>
      </c>
      <c r="J1208" s="64"/>
      <c r="K1208" s="64"/>
      <c r="L1208" s="93" t="str">
        <f aca="false">IF(NOT(ISNUMBER(D1208)),"",DATE(YEAR(D1208),MONTH(D1208),1))</f>
        <v/>
      </c>
      <c r="M1208" s="70" t="str">
        <f aca="false">IF(B1208="","",IF(AND(ISNUMBER(D1208),ISNUMBER(E1208),E1208&lt;D1208),"⚠ Término anterior al inicio",IF(J1208&lt;&gt;"Sí","Pendiente comprobante firmado","OK")))</f>
        <v/>
      </c>
    </row>
    <row r="1209" customFormat="false" ht="15" hidden="false" customHeight="false" outlineLevel="0" collapsed="false">
      <c r="B1209" s="64"/>
      <c r="C1209" s="72" t="str">
        <f aca="false">IF(B1209="","",IFERROR(INDEX(T_NOMBRE,MATCH(B1209,T_ID,0)),"⚠ ID no existe"))</f>
        <v/>
      </c>
      <c r="D1209" s="65"/>
      <c r="E1209" s="65"/>
      <c r="F1209" s="64"/>
      <c r="G1209" s="74" t="str">
        <f aca="false">IF(OR(B1209="",NOT(ISNUMBER(D1209)),NOT(ISNUMBER(E1209))),"",NETWORKDAYS(D1209,E1209,FERIADOS))</f>
        <v/>
      </c>
      <c r="H1209" s="69"/>
      <c r="I1209" s="74" t="str">
        <f aca="false">IF(B1209="","",IF(ISNUMBER(H1209),H1209,N(G1209)))</f>
        <v/>
      </c>
      <c r="J1209" s="64"/>
      <c r="K1209" s="64"/>
      <c r="L1209" s="93" t="str">
        <f aca="false">IF(NOT(ISNUMBER(D1209)),"",DATE(YEAR(D1209),MONTH(D1209),1))</f>
        <v/>
      </c>
      <c r="M1209" s="70" t="str">
        <f aca="false">IF(B1209="","",IF(AND(ISNUMBER(D1209),ISNUMBER(E1209),E1209&lt;D1209),"⚠ Término anterior al inicio",IF(J1209&lt;&gt;"Sí","Pendiente comprobante firmado","OK")))</f>
        <v/>
      </c>
    </row>
    <row r="1210" customFormat="false" ht="15" hidden="false" customHeight="false" outlineLevel="0" collapsed="false">
      <c r="B1210" s="64"/>
      <c r="C1210" s="72" t="str">
        <f aca="false">IF(B1210="","",IFERROR(INDEX(T_NOMBRE,MATCH(B1210,T_ID,0)),"⚠ ID no existe"))</f>
        <v/>
      </c>
      <c r="D1210" s="65"/>
      <c r="E1210" s="65"/>
      <c r="F1210" s="64"/>
      <c r="G1210" s="74" t="str">
        <f aca="false">IF(OR(B1210="",NOT(ISNUMBER(D1210)),NOT(ISNUMBER(E1210))),"",NETWORKDAYS(D1210,E1210,FERIADOS))</f>
        <v/>
      </c>
      <c r="H1210" s="69"/>
      <c r="I1210" s="74" t="str">
        <f aca="false">IF(B1210="","",IF(ISNUMBER(H1210),H1210,N(G1210)))</f>
        <v/>
      </c>
      <c r="J1210" s="64"/>
      <c r="K1210" s="64"/>
      <c r="L1210" s="93" t="str">
        <f aca="false">IF(NOT(ISNUMBER(D1210)),"",DATE(YEAR(D1210),MONTH(D1210),1))</f>
        <v/>
      </c>
      <c r="M1210" s="70" t="str">
        <f aca="false">IF(B1210="","",IF(AND(ISNUMBER(D1210),ISNUMBER(E1210),E1210&lt;D1210),"⚠ Término anterior al inicio",IF(J1210&lt;&gt;"Sí","Pendiente comprobante firmado","OK")))</f>
        <v/>
      </c>
    </row>
    <row r="1211" customFormat="false" ht="15" hidden="false" customHeight="false" outlineLevel="0" collapsed="false">
      <c r="B1211" s="64"/>
      <c r="C1211" s="72" t="str">
        <f aca="false">IF(B1211="","",IFERROR(INDEX(T_NOMBRE,MATCH(B1211,T_ID,0)),"⚠ ID no existe"))</f>
        <v/>
      </c>
      <c r="D1211" s="65"/>
      <c r="E1211" s="65"/>
      <c r="F1211" s="64"/>
      <c r="G1211" s="74" t="str">
        <f aca="false">IF(OR(B1211="",NOT(ISNUMBER(D1211)),NOT(ISNUMBER(E1211))),"",NETWORKDAYS(D1211,E1211,FERIADOS))</f>
        <v/>
      </c>
      <c r="H1211" s="69"/>
      <c r="I1211" s="74" t="str">
        <f aca="false">IF(B1211="","",IF(ISNUMBER(H1211),H1211,N(G1211)))</f>
        <v/>
      </c>
      <c r="J1211" s="64"/>
      <c r="K1211" s="64"/>
      <c r="L1211" s="93" t="str">
        <f aca="false">IF(NOT(ISNUMBER(D1211)),"",DATE(YEAR(D1211),MONTH(D1211),1))</f>
        <v/>
      </c>
      <c r="M1211" s="70" t="str">
        <f aca="false">IF(B1211="","",IF(AND(ISNUMBER(D1211),ISNUMBER(E1211),E1211&lt;D1211),"⚠ Término anterior al inicio",IF(J1211&lt;&gt;"Sí","Pendiente comprobante firmado","OK")))</f>
        <v/>
      </c>
    </row>
    <row r="1212" customFormat="false" ht="15" hidden="false" customHeight="false" outlineLevel="0" collapsed="false">
      <c r="B1212" s="64"/>
      <c r="C1212" s="72" t="str">
        <f aca="false">IF(B1212="","",IFERROR(INDEX(T_NOMBRE,MATCH(B1212,T_ID,0)),"⚠ ID no existe"))</f>
        <v/>
      </c>
      <c r="D1212" s="65"/>
      <c r="E1212" s="65"/>
      <c r="F1212" s="64"/>
      <c r="G1212" s="74" t="str">
        <f aca="false">IF(OR(B1212="",NOT(ISNUMBER(D1212)),NOT(ISNUMBER(E1212))),"",NETWORKDAYS(D1212,E1212,FERIADOS))</f>
        <v/>
      </c>
      <c r="H1212" s="69"/>
      <c r="I1212" s="74" t="str">
        <f aca="false">IF(B1212="","",IF(ISNUMBER(H1212),H1212,N(G1212)))</f>
        <v/>
      </c>
      <c r="J1212" s="64"/>
      <c r="K1212" s="64"/>
      <c r="L1212" s="93" t="str">
        <f aca="false">IF(NOT(ISNUMBER(D1212)),"",DATE(YEAR(D1212),MONTH(D1212),1))</f>
        <v/>
      </c>
      <c r="M1212" s="70" t="str">
        <f aca="false">IF(B1212="","",IF(AND(ISNUMBER(D1212),ISNUMBER(E1212),E1212&lt;D1212),"⚠ Término anterior al inicio",IF(J1212&lt;&gt;"Sí","Pendiente comprobante firmado","OK")))</f>
        <v/>
      </c>
    </row>
    <row r="1213" customFormat="false" ht="15" hidden="false" customHeight="false" outlineLevel="0" collapsed="false">
      <c r="B1213" s="64"/>
      <c r="C1213" s="72" t="str">
        <f aca="false">IF(B1213="","",IFERROR(INDEX(T_NOMBRE,MATCH(B1213,T_ID,0)),"⚠ ID no existe"))</f>
        <v/>
      </c>
      <c r="D1213" s="65"/>
      <c r="E1213" s="65"/>
      <c r="F1213" s="64"/>
      <c r="G1213" s="74" t="str">
        <f aca="false">IF(OR(B1213="",NOT(ISNUMBER(D1213)),NOT(ISNUMBER(E1213))),"",NETWORKDAYS(D1213,E1213,FERIADOS))</f>
        <v/>
      </c>
      <c r="H1213" s="69"/>
      <c r="I1213" s="74" t="str">
        <f aca="false">IF(B1213="","",IF(ISNUMBER(H1213),H1213,N(G1213)))</f>
        <v/>
      </c>
      <c r="J1213" s="64"/>
      <c r="K1213" s="64"/>
      <c r="L1213" s="93" t="str">
        <f aca="false">IF(NOT(ISNUMBER(D1213)),"",DATE(YEAR(D1213),MONTH(D1213),1))</f>
        <v/>
      </c>
      <c r="M1213" s="70" t="str">
        <f aca="false">IF(B1213="","",IF(AND(ISNUMBER(D1213),ISNUMBER(E1213),E1213&lt;D1213),"⚠ Término anterior al inicio",IF(J1213&lt;&gt;"Sí","Pendiente comprobante firmado","OK")))</f>
        <v/>
      </c>
    </row>
    <row r="1214" customFormat="false" ht="15" hidden="false" customHeight="false" outlineLevel="0" collapsed="false">
      <c r="B1214" s="64"/>
      <c r="C1214" s="72" t="str">
        <f aca="false">IF(B1214="","",IFERROR(INDEX(T_NOMBRE,MATCH(B1214,T_ID,0)),"⚠ ID no existe"))</f>
        <v/>
      </c>
      <c r="D1214" s="65"/>
      <c r="E1214" s="65"/>
      <c r="F1214" s="64"/>
      <c r="G1214" s="74" t="str">
        <f aca="false">IF(OR(B1214="",NOT(ISNUMBER(D1214)),NOT(ISNUMBER(E1214))),"",NETWORKDAYS(D1214,E1214,FERIADOS))</f>
        <v/>
      </c>
      <c r="H1214" s="69"/>
      <c r="I1214" s="74" t="str">
        <f aca="false">IF(B1214="","",IF(ISNUMBER(H1214),H1214,N(G1214)))</f>
        <v/>
      </c>
      <c r="J1214" s="64"/>
      <c r="K1214" s="64"/>
      <c r="L1214" s="93" t="str">
        <f aca="false">IF(NOT(ISNUMBER(D1214)),"",DATE(YEAR(D1214),MONTH(D1214),1))</f>
        <v/>
      </c>
      <c r="M1214" s="70" t="str">
        <f aca="false">IF(B1214="","",IF(AND(ISNUMBER(D1214),ISNUMBER(E1214),E1214&lt;D1214),"⚠ Término anterior al inicio",IF(J1214&lt;&gt;"Sí","Pendiente comprobante firmado","OK")))</f>
        <v/>
      </c>
    </row>
    <row r="1215" customFormat="false" ht="15" hidden="false" customHeight="false" outlineLevel="0" collapsed="false">
      <c r="B1215" s="64"/>
      <c r="C1215" s="72" t="str">
        <f aca="false">IF(B1215="","",IFERROR(INDEX(T_NOMBRE,MATCH(B1215,T_ID,0)),"⚠ ID no existe"))</f>
        <v/>
      </c>
      <c r="D1215" s="65"/>
      <c r="E1215" s="65"/>
      <c r="F1215" s="64"/>
      <c r="G1215" s="74" t="str">
        <f aca="false">IF(OR(B1215="",NOT(ISNUMBER(D1215)),NOT(ISNUMBER(E1215))),"",NETWORKDAYS(D1215,E1215,FERIADOS))</f>
        <v/>
      </c>
      <c r="H1215" s="69"/>
      <c r="I1215" s="74" t="str">
        <f aca="false">IF(B1215="","",IF(ISNUMBER(H1215),H1215,N(G1215)))</f>
        <v/>
      </c>
      <c r="J1215" s="64"/>
      <c r="K1215" s="64"/>
      <c r="L1215" s="93" t="str">
        <f aca="false">IF(NOT(ISNUMBER(D1215)),"",DATE(YEAR(D1215),MONTH(D1215),1))</f>
        <v/>
      </c>
      <c r="M1215" s="70" t="str">
        <f aca="false">IF(B1215="","",IF(AND(ISNUMBER(D1215),ISNUMBER(E1215),E1215&lt;D1215),"⚠ Término anterior al inicio",IF(J1215&lt;&gt;"Sí","Pendiente comprobante firmado","OK")))</f>
        <v/>
      </c>
    </row>
    <row r="1216" customFormat="false" ht="15" hidden="false" customHeight="false" outlineLevel="0" collapsed="false">
      <c r="B1216" s="64"/>
      <c r="C1216" s="72" t="str">
        <f aca="false">IF(B1216="","",IFERROR(INDEX(T_NOMBRE,MATCH(B1216,T_ID,0)),"⚠ ID no existe"))</f>
        <v/>
      </c>
      <c r="D1216" s="65"/>
      <c r="E1216" s="65"/>
      <c r="F1216" s="64"/>
      <c r="G1216" s="74" t="str">
        <f aca="false">IF(OR(B1216="",NOT(ISNUMBER(D1216)),NOT(ISNUMBER(E1216))),"",NETWORKDAYS(D1216,E1216,FERIADOS))</f>
        <v/>
      </c>
      <c r="H1216" s="69"/>
      <c r="I1216" s="74" t="str">
        <f aca="false">IF(B1216="","",IF(ISNUMBER(H1216),H1216,N(G1216)))</f>
        <v/>
      </c>
      <c r="J1216" s="64"/>
      <c r="K1216" s="64"/>
      <c r="L1216" s="93" t="str">
        <f aca="false">IF(NOT(ISNUMBER(D1216)),"",DATE(YEAR(D1216),MONTH(D1216),1))</f>
        <v/>
      </c>
      <c r="M1216" s="70" t="str">
        <f aca="false">IF(B1216="","",IF(AND(ISNUMBER(D1216),ISNUMBER(E1216),E1216&lt;D1216),"⚠ Término anterior al inicio",IF(J1216&lt;&gt;"Sí","Pendiente comprobante firmado","OK")))</f>
        <v/>
      </c>
    </row>
    <row r="1217" customFormat="false" ht="15" hidden="false" customHeight="false" outlineLevel="0" collapsed="false">
      <c r="B1217" s="64"/>
      <c r="C1217" s="72" t="str">
        <f aca="false">IF(B1217="","",IFERROR(INDEX(T_NOMBRE,MATCH(B1217,T_ID,0)),"⚠ ID no existe"))</f>
        <v/>
      </c>
      <c r="D1217" s="65"/>
      <c r="E1217" s="65"/>
      <c r="F1217" s="64"/>
      <c r="G1217" s="74" t="str">
        <f aca="false">IF(OR(B1217="",NOT(ISNUMBER(D1217)),NOT(ISNUMBER(E1217))),"",NETWORKDAYS(D1217,E1217,FERIADOS))</f>
        <v/>
      </c>
      <c r="H1217" s="69"/>
      <c r="I1217" s="74" t="str">
        <f aca="false">IF(B1217="","",IF(ISNUMBER(H1217),H1217,N(G1217)))</f>
        <v/>
      </c>
      <c r="J1217" s="64"/>
      <c r="K1217" s="64"/>
      <c r="L1217" s="93" t="str">
        <f aca="false">IF(NOT(ISNUMBER(D1217)),"",DATE(YEAR(D1217),MONTH(D1217),1))</f>
        <v/>
      </c>
      <c r="M1217" s="70" t="str">
        <f aca="false">IF(B1217="","",IF(AND(ISNUMBER(D1217),ISNUMBER(E1217),E1217&lt;D1217),"⚠ Término anterior al inicio",IF(J1217&lt;&gt;"Sí","Pendiente comprobante firmado","OK")))</f>
        <v/>
      </c>
    </row>
    <row r="1218" customFormat="false" ht="15" hidden="false" customHeight="false" outlineLevel="0" collapsed="false">
      <c r="B1218" s="64"/>
      <c r="C1218" s="72" t="str">
        <f aca="false">IF(B1218="","",IFERROR(INDEX(T_NOMBRE,MATCH(B1218,T_ID,0)),"⚠ ID no existe"))</f>
        <v/>
      </c>
      <c r="D1218" s="65"/>
      <c r="E1218" s="65"/>
      <c r="F1218" s="64"/>
      <c r="G1218" s="74" t="str">
        <f aca="false">IF(OR(B1218="",NOT(ISNUMBER(D1218)),NOT(ISNUMBER(E1218))),"",NETWORKDAYS(D1218,E1218,FERIADOS))</f>
        <v/>
      </c>
      <c r="H1218" s="69"/>
      <c r="I1218" s="74" t="str">
        <f aca="false">IF(B1218="","",IF(ISNUMBER(H1218),H1218,N(G1218)))</f>
        <v/>
      </c>
      <c r="J1218" s="64"/>
      <c r="K1218" s="64"/>
      <c r="L1218" s="93" t="str">
        <f aca="false">IF(NOT(ISNUMBER(D1218)),"",DATE(YEAR(D1218),MONTH(D1218),1))</f>
        <v/>
      </c>
      <c r="M1218" s="70" t="str">
        <f aca="false">IF(B1218="","",IF(AND(ISNUMBER(D1218),ISNUMBER(E1218),E1218&lt;D1218),"⚠ Término anterior al inicio",IF(J1218&lt;&gt;"Sí","Pendiente comprobante firmado","OK")))</f>
        <v/>
      </c>
    </row>
    <row r="1219" customFormat="false" ht="15" hidden="false" customHeight="false" outlineLevel="0" collapsed="false">
      <c r="B1219" s="64"/>
      <c r="C1219" s="72" t="str">
        <f aca="false">IF(B1219="","",IFERROR(INDEX(T_NOMBRE,MATCH(B1219,T_ID,0)),"⚠ ID no existe"))</f>
        <v/>
      </c>
      <c r="D1219" s="65"/>
      <c r="E1219" s="65"/>
      <c r="F1219" s="64"/>
      <c r="G1219" s="74" t="str">
        <f aca="false">IF(OR(B1219="",NOT(ISNUMBER(D1219)),NOT(ISNUMBER(E1219))),"",NETWORKDAYS(D1219,E1219,FERIADOS))</f>
        <v/>
      </c>
      <c r="H1219" s="69"/>
      <c r="I1219" s="74" t="str">
        <f aca="false">IF(B1219="","",IF(ISNUMBER(H1219),H1219,N(G1219)))</f>
        <v/>
      </c>
      <c r="J1219" s="64"/>
      <c r="K1219" s="64"/>
      <c r="L1219" s="93" t="str">
        <f aca="false">IF(NOT(ISNUMBER(D1219)),"",DATE(YEAR(D1219),MONTH(D1219),1))</f>
        <v/>
      </c>
      <c r="M1219" s="70" t="str">
        <f aca="false">IF(B1219="","",IF(AND(ISNUMBER(D1219),ISNUMBER(E1219),E1219&lt;D1219),"⚠ Término anterior al inicio",IF(J1219&lt;&gt;"Sí","Pendiente comprobante firmado","OK")))</f>
        <v/>
      </c>
    </row>
    <row r="1220" customFormat="false" ht="15" hidden="false" customHeight="false" outlineLevel="0" collapsed="false">
      <c r="B1220" s="64"/>
      <c r="C1220" s="72" t="str">
        <f aca="false">IF(B1220="","",IFERROR(INDEX(T_NOMBRE,MATCH(B1220,T_ID,0)),"⚠ ID no existe"))</f>
        <v/>
      </c>
      <c r="D1220" s="65"/>
      <c r="E1220" s="65"/>
      <c r="F1220" s="64"/>
      <c r="G1220" s="74" t="str">
        <f aca="false">IF(OR(B1220="",NOT(ISNUMBER(D1220)),NOT(ISNUMBER(E1220))),"",NETWORKDAYS(D1220,E1220,FERIADOS))</f>
        <v/>
      </c>
      <c r="H1220" s="69"/>
      <c r="I1220" s="74" t="str">
        <f aca="false">IF(B1220="","",IF(ISNUMBER(H1220),H1220,N(G1220)))</f>
        <v/>
      </c>
      <c r="J1220" s="64"/>
      <c r="K1220" s="64"/>
      <c r="L1220" s="93" t="str">
        <f aca="false">IF(NOT(ISNUMBER(D1220)),"",DATE(YEAR(D1220),MONTH(D1220),1))</f>
        <v/>
      </c>
      <c r="M1220" s="70" t="str">
        <f aca="false">IF(B1220="","",IF(AND(ISNUMBER(D1220),ISNUMBER(E1220),E1220&lt;D1220),"⚠ Término anterior al inicio",IF(J1220&lt;&gt;"Sí","Pendiente comprobante firmado","OK")))</f>
        <v/>
      </c>
    </row>
    <row r="1221" customFormat="false" ht="15" hidden="false" customHeight="false" outlineLevel="0" collapsed="false">
      <c r="B1221" s="64"/>
      <c r="C1221" s="72" t="str">
        <f aca="false">IF(B1221="","",IFERROR(INDEX(T_NOMBRE,MATCH(B1221,T_ID,0)),"⚠ ID no existe"))</f>
        <v/>
      </c>
      <c r="D1221" s="65"/>
      <c r="E1221" s="65"/>
      <c r="F1221" s="64"/>
      <c r="G1221" s="74" t="str">
        <f aca="false">IF(OR(B1221="",NOT(ISNUMBER(D1221)),NOT(ISNUMBER(E1221))),"",NETWORKDAYS(D1221,E1221,FERIADOS))</f>
        <v/>
      </c>
      <c r="H1221" s="69"/>
      <c r="I1221" s="74" t="str">
        <f aca="false">IF(B1221="","",IF(ISNUMBER(H1221),H1221,N(G1221)))</f>
        <v/>
      </c>
      <c r="J1221" s="64"/>
      <c r="K1221" s="64"/>
      <c r="L1221" s="93" t="str">
        <f aca="false">IF(NOT(ISNUMBER(D1221)),"",DATE(YEAR(D1221),MONTH(D1221),1))</f>
        <v/>
      </c>
      <c r="M1221" s="70" t="str">
        <f aca="false">IF(B1221="","",IF(AND(ISNUMBER(D1221),ISNUMBER(E1221),E1221&lt;D1221),"⚠ Término anterior al inicio",IF(J1221&lt;&gt;"Sí","Pendiente comprobante firmado","OK")))</f>
        <v/>
      </c>
    </row>
    <row r="1222" customFormat="false" ht="15" hidden="false" customHeight="false" outlineLevel="0" collapsed="false">
      <c r="B1222" s="64"/>
      <c r="C1222" s="72" t="str">
        <f aca="false">IF(B1222="","",IFERROR(INDEX(T_NOMBRE,MATCH(B1222,T_ID,0)),"⚠ ID no existe"))</f>
        <v/>
      </c>
      <c r="D1222" s="65"/>
      <c r="E1222" s="65"/>
      <c r="F1222" s="64"/>
      <c r="G1222" s="74" t="str">
        <f aca="false">IF(OR(B1222="",NOT(ISNUMBER(D1222)),NOT(ISNUMBER(E1222))),"",NETWORKDAYS(D1222,E1222,FERIADOS))</f>
        <v/>
      </c>
      <c r="H1222" s="69"/>
      <c r="I1222" s="74" t="str">
        <f aca="false">IF(B1222="","",IF(ISNUMBER(H1222),H1222,N(G1222)))</f>
        <v/>
      </c>
      <c r="J1222" s="64"/>
      <c r="K1222" s="64"/>
      <c r="L1222" s="93" t="str">
        <f aca="false">IF(NOT(ISNUMBER(D1222)),"",DATE(YEAR(D1222),MONTH(D1222),1))</f>
        <v/>
      </c>
      <c r="M1222" s="70" t="str">
        <f aca="false">IF(B1222="","",IF(AND(ISNUMBER(D1222),ISNUMBER(E1222),E1222&lt;D1222),"⚠ Término anterior al inicio",IF(J1222&lt;&gt;"Sí","Pendiente comprobante firmado","OK")))</f>
        <v/>
      </c>
    </row>
    <row r="1223" customFormat="false" ht="15" hidden="false" customHeight="false" outlineLevel="0" collapsed="false">
      <c r="B1223" s="64"/>
      <c r="C1223" s="72" t="str">
        <f aca="false">IF(B1223="","",IFERROR(INDEX(T_NOMBRE,MATCH(B1223,T_ID,0)),"⚠ ID no existe"))</f>
        <v/>
      </c>
      <c r="D1223" s="65"/>
      <c r="E1223" s="65"/>
      <c r="F1223" s="64"/>
      <c r="G1223" s="74" t="str">
        <f aca="false">IF(OR(B1223="",NOT(ISNUMBER(D1223)),NOT(ISNUMBER(E1223))),"",NETWORKDAYS(D1223,E1223,FERIADOS))</f>
        <v/>
      </c>
      <c r="H1223" s="69"/>
      <c r="I1223" s="74" t="str">
        <f aca="false">IF(B1223="","",IF(ISNUMBER(H1223),H1223,N(G1223)))</f>
        <v/>
      </c>
      <c r="J1223" s="64"/>
      <c r="K1223" s="64"/>
      <c r="L1223" s="93" t="str">
        <f aca="false">IF(NOT(ISNUMBER(D1223)),"",DATE(YEAR(D1223),MONTH(D1223),1))</f>
        <v/>
      </c>
      <c r="M1223" s="70" t="str">
        <f aca="false">IF(B1223="","",IF(AND(ISNUMBER(D1223),ISNUMBER(E1223),E1223&lt;D1223),"⚠ Término anterior al inicio",IF(J1223&lt;&gt;"Sí","Pendiente comprobante firmado","OK")))</f>
        <v/>
      </c>
    </row>
    <row r="1224" customFormat="false" ht="15" hidden="false" customHeight="false" outlineLevel="0" collapsed="false">
      <c r="B1224" s="64"/>
      <c r="C1224" s="72" t="str">
        <f aca="false">IF(B1224="","",IFERROR(INDEX(T_NOMBRE,MATCH(B1224,T_ID,0)),"⚠ ID no existe"))</f>
        <v/>
      </c>
      <c r="D1224" s="65"/>
      <c r="E1224" s="65"/>
      <c r="F1224" s="64"/>
      <c r="G1224" s="74" t="str">
        <f aca="false">IF(OR(B1224="",NOT(ISNUMBER(D1224)),NOT(ISNUMBER(E1224))),"",NETWORKDAYS(D1224,E1224,FERIADOS))</f>
        <v/>
      </c>
      <c r="H1224" s="69"/>
      <c r="I1224" s="74" t="str">
        <f aca="false">IF(B1224="","",IF(ISNUMBER(H1224),H1224,N(G1224)))</f>
        <v/>
      </c>
      <c r="J1224" s="64"/>
      <c r="K1224" s="64"/>
      <c r="L1224" s="93" t="str">
        <f aca="false">IF(NOT(ISNUMBER(D1224)),"",DATE(YEAR(D1224),MONTH(D1224),1))</f>
        <v/>
      </c>
      <c r="M1224" s="70" t="str">
        <f aca="false">IF(B1224="","",IF(AND(ISNUMBER(D1224),ISNUMBER(E1224),E1224&lt;D1224),"⚠ Término anterior al inicio",IF(J1224&lt;&gt;"Sí","Pendiente comprobante firmado","OK")))</f>
        <v/>
      </c>
    </row>
    <row r="1225" customFormat="false" ht="15" hidden="false" customHeight="false" outlineLevel="0" collapsed="false">
      <c r="B1225" s="64"/>
      <c r="C1225" s="72" t="str">
        <f aca="false">IF(B1225="","",IFERROR(INDEX(T_NOMBRE,MATCH(B1225,T_ID,0)),"⚠ ID no existe"))</f>
        <v/>
      </c>
      <c r="D1225" s="65"/>
      <c r="E1225" s="65"/>
      <c r="F1225" s="64"/>
      <c r="G1225" s="74" t="str">
        <f aca="false">IF(OR(B1225="",NOT(ISNUMBER(D1225)),NOT(ISNUMBER(E1225))),"",NETWORKDAYS(D1225,E1225,FERIADOS))</f>
        <v/>
      </c>
      <c r="H1225" s="69"/>
      <c r="I1225" s="74" t="str">
        <f aca="false">IF(B1225="","",IF(ISNUMBER(H1225),H1225,N(G1225)))</f>
        <v/>
      </c>
      <c r="J1225" s="64"/>
      <c r="K1225" s="64"/>
      <c r="L1225" s="93" t="str">
        <f aca="false">IF(NOT(ISNUMBER(D1225)),"",DATE(YEAR(D1225),MONTH(D1225),1))</f>
        <v/>
      </c>
      <c r="M1225" s="70" t="str">
        <f aca="false">IF(B1225="","",IF(AND(ISNUMBER(D1225),ISNUMBER(E1225),E1225&lt;D1225),"⚠ Término anterior al inicio",IF(J1225&lt;&gt;"Sí","Pendiente comprobante firmado","OK")))</f>
        <v/>
      </c>
    </row>
    <row r="1226" customFormat="false" ht="15" hidden="false" customHeight="false" outlineLevel="0" collapsed="false">
      <c r="B1226" s="64"/>
      <c r="C1226" s="72" t="str">
        <f aca="false">IF(B1226="","",IFERROR(INDEX(T_NOMBRE,MATCH(B1226,T_ID,0)),"⚠ ID no existe"))</f>
        <v/>
      </c>
      <c r="D1226" s="65"/>
      <c r="E1226" s="65"/>
      <c r="F1226" s="64"/>
      <c r="G1226" s="74" t="str">
        <f aca="false">IF(OR(B1226="",NOT(ISNUMBER(D1226)),NOT(ISNUMBER(E1226))),"",NETWORKDAYS(D1226,E1226,FERIADOS))</f>
        <v/>
      </c>
      <c r="H1226" s="69"/>
      <c r="I1226" s="74" t="str">
        <f aca="false">IF(B1226="","",IF(ISNUMBER(H1226),H1226,N(G1226)))</f>
        <v/>
      </c>
      <c r="J1226" s="64"/>
      <c r="K1226" s="64"/>
      <c r="L1226" s="93" t="str">
        <f aca="false">IF(NOT(ISNUMBER(D1226)),"",DATE(YEAR(D1226),MONTH(D1226),1))</f>
        <v/>
      </c>
      <c r="M1226" s="70" t="str">
        <f aca="false">IF(B1226="","",IF(AND(ISNUMBER(D1226),ISNUMBER(E1226),E1226&lt;D1226),"⚠ Término anterior al inicio",IF(J1226&lt;&gt;"Sí","Pendiente comprobante firmado","OK")))</f>
        <v/>
      </c>
    </row>
    <row r="1227" customFormat="false" ht="15" hidden="false" customHeight="false" outlineLevel="0" collapsed="false">
      <c r="B1227" s="64"/>
      <c r="C1227" s="72" t="str">
        <f aca="false">IF(B1227="","",IFERROR(INDEX(T_NOMBRE,MATCH(B1227,T_ID,0)),"⚠ ID no existe"))</f>
        <v/>
      </c>
      <c r="D1227" s="65"/>
      <c r="E1227" s="65"/>
      <c r="F1227" s="64"/>
      <c r="G1227" s="74" t="str">
        <f aca="false">IF(OR(B1227="",NOT(ISNUMBER(D1227)),NOT(ISNUMBER(E1227))),"",NETWORKDAYS(D1227,E1227,FERIADOS))</f>
        <v/>
      </c>
      <c r="H1227" s="69"/>
      <c r="I1227" s="74" t="str">
        <f aca="false">IF(B1227="","",IF(ISNUMBER(H1227),H1227,N(G1227)))</f>
        <v/>
      </c>
      <c r="J1227" s="64"/>
      <c r="K1227" s="64"/>
      <c r="L1227" s="93" t="str">
        <f aca="false">IF(NOT(ISNUMBER(D1227)),"",DATE(YEAR(D1227),MONTH(D1227),1))</f>
        <v/>
      </c>
      <c r="M1227" s="70" t="str">
        <f aca="false">IF(B1227="","",IF(AND(ISNUMBER(D1227),ISNUMBER(E1227),E1227&lt;D1227),"⚠ Término anterior al inicio",IF(J1227&lt;&gt;"Sí","Pendiente comprobante firmado","OK")))</f>
        <v/>
      </c>
    </row>
    <row r="1228" customFormat="false" ht="15" hidden="false" customHeight="false" outlineLevel="0" collapsed="false">
      <c r="B1228" s="64"/>
      <c r="C1228" s="72" t="str">
        <f aca="false">IF(B1228="","",IFERROR(INDEX(T_NOMBRE,MATCH(B1228,T_ID,0)),"⚠ ID no existe"))</f>
        <v/>
      </c>
      <c r="D1228" s="65"/>
      <c r="E1228" s="65"/>
      <c r="F1228" s="64"/>
      <c r="G1228" s="74" t="str">
        <f aca="false">IF(OR(B1228="",NOT(ISNUMBER(D1228)),NOT(ISNUMBER(E1228))),"",NETWORKDAYS(D1228,E1228,FERIADOS))</f>
        <v/>
      </c>
      <c r="H1228" s="69"/>
      <c r="I1228" s="74" t="str">
        <f aca="false">IF(B1228="","",IF(ISNUMBER(H1228),H1228,N(G1228)))</f>
        <v/>
      </c>
      <c r="J1228" s="64"/>
      <c r="K1228" s="64"/>
      <c r="L1228" s="93" t="str">
        <f aca="false">IF(NOT(ISNUMBER(D1228)),"",DATE(YEAR(D1228),MONTH(D1228),1))</f>
        <v/>
      </c>
      <c r="M1228" s="70" t="str">
        <f aca="false">IF(B1228="","",IF(AND(ISNUMBER(D1228),ISNUMBER(E1228),E1228&lt;D1228),"⚠ Término anterior al inicio",IF(J1228&lt;&gt;"Sí","Pendiente comprobante firmado","OK")))</f>
        <v/>
      </c>
    </row>
    <row r="1229" customFormat="false" ht="15" hidden="false" customHeight="false" outlineLevel="0" collapsed="false">
      <c r="B1229" s="64"/>
      <c r="C1229" s="72" t="str">
        <f aca="false">IF(B1229="","",IFERROR(INDEX(T_NOMBRE,MATCH(B1229,T_ID,0)),"⚠ ID no existe"))</f>
        <v/>
      </c>
      <c r="D1229" s="65"/>
      <c r="E1229" s="65"/>
      <c r="F1229" s="64"/>
      <c r="G1229" s="74" t="str">
        <f aca="false">IF(OR(B1229="",NOT(ISNUMBER(D1229)),NOT(ISNUMBER(E1229))),"",NETWORKDAYS(D1229,E1229,FERIADOS))</f>
        <v/>
      </c>
      <c r="H1229" s="69"/>
      <c r="I1229" s="74" t="str">
        <f aca="false">IF(B1229="","",IF(ISNUMBER(H1229),H1229,N(G1229)))</f>
        <v/>
      </c>
      <c r="J1229" s="64"/>
      <c r="K1229" s="64"/>
      <c r="L1229" s="93" t="str">
        <f aca="false">IF(NOT(ISNUMBER(D1229)),"",DATE(YEAR(D1229),MONTH(D1229),1))</f>
        <v/>
      </c>
      <c r="M1229" s="70" t="str">
        <f aca="false">IF(B1229="","",IF(AND(ISNUMBER(D1229),ISNUMBER(E1229),E1229&lt;D1229),"⚠ Término anterior al inicio",IF(J1229&lt;&gt;"Sí","Pendiente comprobante firmado","OK")))</f>
        <v/>
      </c>
    </row>
    <row r="1230" customFormat="false" ht="15" hidden="false" customHeight="false" outlineLevel="0" collapsed="false">
      <c r="B1230" s="64"/>
      <c r="C1230" s="72" t="str">
        <f aca="false">IF(B1230="","",IFERROR(INDEX(T_NOMBRE,MATCH(B1230,T_ID,0)),"⚠ ID no existe"))</f>
        <v/>
      </c>
      <c r="D1230" s="65"/>
      <c r="E1230" s="65"/>
      <c r="F1230" s="64"/>
      <c r="G1230" s="74" t="str">
        <f aca="false">IF(OR(B1230="",NOT(ISNUMBER(D1230)),NOT(ISNUMBER(E1230))),"",NETWORKDAYS(D1230,E1230,FERIADOS))</f>
        <v/>
      </c>
      <c r="H1230" s="69"/>
      <c r="I1230" s="74" t="str">
        <f aca="false">IF(B1230="","",IF(ISNUMBER(H1230),H1230,N(G1230)))</f>
        <v/>
      </c>
      <c r="J1230" s="64"/>
      <c r="K1230" s="64"/>
      <c r="L1230" s="93" t="str">
        <f aca="false">IF(NOT(ISNUMBER(D1230)),"",DATE(YEAR(D1230),MONTH(D1230),1))</f>
        <v/>
      </c>
      <c r="M1230" s="70" t="str">
        <f aca="false">IF(B1230="","",IF(AND(ISNUMBER(D1230),ISNUMBER(E1230),E1230&lt;D1230),"⚠ Término anterior al inicio",IF(J1230&lt;&gt;"Sí","Pendiente comprobante firmado","OK")))</f>
        <v/>
      </c>
    </row>
    <row r="1231" customFormat="false" ht="15" hidden="false" customHeight="false" outlineLevel="0" collapsed="false">
      <c r="B1231" s="64"/>
      <c r="C1231" s="72" t="str">
        <f aca="false">IF(B1231="","",IFERROR(INDEX(T_NOMBRE,MATCH(B1231,T_ID,0)),"⚠ ID no existe"))</f>
        <v/>
      </c>
      <c r="D1231" s="65"/>
      <c r="E1231" s="65"/>
      <c r="F1231" s="64"/>
      <c r="G1231" s="74" t="str">
        <f aca="false">IF(OR(B1231="",NOT(ISNUMBER(D1231)),NOT(ISNUMBER(E1231))),"",NETWORKDAYS(D1231,E1231,FERIADOS))</f>
        <v/>
      </c>
      <c r="H1231" s="69"/>
      <c r="I1231" s="74" t="str">
        <f aca="false">IF(B1231="","",IF(ISNUMBER(H1231),H1231,N(G1231)))</f>
        <v/>
      </c>
      <c r="J1231" s="64"/>
      <c r="K1231" s="64"/>
      <c r="L1231" s="93" t="str">
        <f aca="false">IF(NOT(ISNUMBER(D1231)),"",DATE(YEAR(D1231),MONTH(D1231),1))</f>
        <v/>
      </c>
      <c r="M1231" s="70" t="str">
        <f aca="false">IF(B1231="","",IF(AND(ISNUMBER(D1231),ISNUMBER(E1231),E1231&lt;D1231),"⚠ Término anterior al inicio",IF(J1231&lt;&gt;"Sí","Pendiente comprobante firmado","OK")))</f>
        <v/>
      </c>
    </row>
    <row r="1232" customFormat="false" ht="15" hidden="false" customHeight="false" outlineLevel="0" collapsed="false">
      <c r="B1232" s="64"/>
      <c r="C1232" s="72" t="str">
        <f aca="false">IF(B1232="","",IFERROR(INDEX(T_NOMBRE,MATCH(B1232,T_ID,0)),"⚠ ID no existe"))</f>
        <v/>
      </c>
      <c r="D1232" s="65"/>
      <c r="E1232" s="65"/>
      <c r="F1232" s="64"/>
      <c r="G1232" s="74" t="str">
        <f aca="false">IF(OR(B1232="",NOT(ISNUMBER(D1232)),NOT(ISNUMBER(E1232))),"",NETWORKDAYS(D1232,E1232,FERIADOS))</f>
        <v/>
      </c>
      <c r="H1232" s="69"/>
      <c r="I1232" s="74" t="str">
        <f aca="false">IF(B1232="","",IF(ISNUMBER(H1232),H1232,N(G1232)))</f>
        <v/>
      </c>
      <c r="J1232" s="64"/>
      <c r="K1232" s="64"/>
      <c r="L1232" s="93" t="str">
        <f aca="false">IF(NOT(ISNUMBER(D1232)),"",DATE(YEAR(D1232),MONTH(D1232),1))</f>
        <v/>
      </c>
      <c r="M1232" s="70" t="str">
        <f aca="false">IF(B1232="","",IF(AND(ISNUMBER(D1232),ISNUMBER(E1232),E1232&lt;D1232),"⚠ Término anterior al inicio",IF(J1232&lt;&gt;"Sí","Pendiente comprobante firmado","OK")))</f>
        <v/>
      </c>
    </row>
    <row r="1233" customFormat="false" ht="15" hidden="false" customHeight="false" outlineLevel="0" collapsed="false">
      <c r="B1233" s="64"/>
      <c r="C1233" s="72" t="str">
        <f aca="false">IF(B1233="","",IFERROR(INDEX(T_NOMBRE,MATCH(B1233,T_ID,0)),"⚠ ID no existe"))</f>
        <v/>
      </c>
      <c r="D1233" s="65"/>
      <c r="E1233" s="65"/>
      <c r="F1233" s="64"/>
      <c r="G1233" s="74" t="str">
        <f aca="false">IF(OR(B1233="",NOT(ISNUMBER(D1233)),NOT(ISNUMBER(E1233))),"",NETWORKDAYS(D1233,E1233,FERIADOS))</f>
        <v/>
      </c>
      <c r="H1233" s="69"/>
      <c r="I1233" s="74" t="str">
        <f aca="false">IF(B1233="","",IF(ISNUMBER(H1233),H1233,N(G1233)))</f>
        <v/>
      </c>
      <c r="J1233" s="64"/>
      <c r="K1233" s="64"/>
      <c r="L1233" s="93" t="str">
        <f aca="false">IF(NOT(ISNUMBER(D1233)),"",DATE(YEAR(D1233),MONTH(D1233),1))</f>
        <v/>
      </c>
      <c r="M1233" s="70" t="str">
        <f aca="false">IF(B1233="","",IF(AND(ISNUMBER(D1233),ISNUMBER(E1233),E1233&lt;D1233),"⚠ Término anterior al inicio",IF(J1233&lt;&gt;"Sí","Pendiente comprobante firmado","OK")))</f>
        <v/>
      </c>
    </row>
    <row r="1234" customFormat="false" ht="15" hidden="false" customHeight="false" outlineLevel="0" collapsed="false">
      <c r="B1234" s="64"/>
      <c r="C1234" s="72" t="str">
        <f aca="false">IF(B1234="","",IFERROR(INDEX(T_NOMBRE,MATCH(B1234,T_ID,0)),"⚠ ID no existe"))</f>
        <v/>
      </c>
      <c r="D1234" s="65"/>
      <c r="E1234" s="65"/>
      <c r="F1234" s="64"/>
      <c r="G1234" s="74" t="str">
        <f aca="false">IF(OR(B1234="",NOT(ISNUMBER(D1234)),NOT(ISNUMBER(E1234))),"",NETWORKDAYS(D1234,E1234,FERIADOS))</f>
        <v/>
      </c>
      <c r="H1234" s="69"/>
      <c r="I1234" s="74" t="str">
        <f aca="false">IF(B1234="","",IF(ISNUMBER(H1234),H1234,N(G1234)))</f>
        <v/>
      </c>
      <c r="J1234" s="64"/>
      <c r="K1234" s="64"/>
      <c r="L1234" s="93" t="str">
        <f aca="false">IF(NOT(ISNUMBER(D1234)),"",DATE(YEAR(D1234),MONTH(D1234),1))</f>
        <v/>
      </c>
      <c r="M1234" s="70" t="str">
        <f aca="false">IF(B1234="","",IF(AND(ISNUMBER(D1234),ISNUMBER(E1234),E1234&lt;D1234),"⚠ Término anterior al inicio",IF(J1234&lt;&gt;"Sí","Pendiente comprobante firmado","OK")))</f>
        <v/>
      </c>
    </row>
    <row r="1235" customFormat="false" ht="15" hidden="false" customHeight="false" outlineLevel="0" collapsed="false">
      <c r="B1235" s="64"/>
      <c r="C1235" s="72" t="str">
        <f aca="false">IF(B1235="","",IFERROR(INDEX(T_NOMBRE,MATCH(B1235,T_ID,0)),"⚠ ID no existe"))</f>
        <v/>
      </c>
      <c r="D1235" s="65"/>
      <c r="E1235" s="65"/>
      <c r="F1235" s="64"/>
      <c r="G1235" s="74" t="str">
        <f aca="false">IF(OR(B1235="",NOT(ISNUMBER(D1235)),NOT(ISNUMBER(E1235))),"",NETWORKDAYS(D1235,E1235,FERIADOS))</f>
        <v/>
      </c>
      <c r="H1235" s="69"/>
      <c r="I1235" s="74" t="str">
        <f aca="false">IF(B1235="","",IF(ISNUMBER(H1235),H1235,N(G1235)))</f>
        <v/>
      </c>
      <c r="J1235" s="64"/>
      <c r="K1235" s="64"/>
      <c r="L1235" s="93" t="str">
        <f aca="false">IF(NOT(ISNUMBER(D1235)),"",DATE(YEAR(D1235),MONTH(D1235),1))</f>
        <v/>
      </c>
      <c r="M1235" s="70" t="str">
        <f aca="false">IF(B1235="","",IF(AND(ISNUMBER(D1235),ISNUMBER(E1235),E1235&lt;D1235),"⚠ Término anterior al inicio",IF(J1235&lt;&gt;"Sí","Pendiente comprobante firmado","OK")))</f>
        <v/>
      </c>
    </row>
    <row r="1236" customFormat="false" ht="15" hidden="false" customHeight="false" outlineLevel="0" collapsed="false">
      <c r="B1236" s="64"/>
      <c r="C1236" s="72" t="str">
        <f aca="false">IF(B1236="","",IFERROR(INDEX(T_NOMBRE,MATCH(B1236,T_ID,0)),"⚠ ID no existe"))</f>
        <v/>
      </c>
      <c r="D1236" s="65"/>
      <c r="E1236" s="65"/>
      <c r="F1236" s="64"/>
      <c r="G1236" s="74" t="str">
        <f aca="false">IF(OR(B1236="",NOT(ISNUMBER(D1236)),NOT(ISNUMBER(E1236))),"",NETWORKDAYS(D1236,E1236,FERIADOS))</f>
        <v/>
      </c>
      <c r="H1236" s="69"/>
      <c r="I1236" s="74" t="str">
        <f aca="false">IF(B1236="","",IF(ISNUMBER(H1236),H1236,N(G1236)))</f>
        <v/>
      </c>
      <c r="J1236" s="64"/>
      <c r="K1236" s="64"/>
      <c r="L1236" s="93" t="str">
        <f aca="false">IF(NOT(ISNUMBER(D1236)),"",DATE(YEAR(D1236),MONTH(D1236),1))</f>
        <v/>
      </c>
      <c r="M1236" s="70" t="str">
        <f aca="false">IF(B1236="","",IF(AND(ISNUMBER(D1236),ISNUMBER(E1236),E1236&lt;D1236),"⚠ Término anterior al inicio",IF(J1236&lt;&gt;"Sí","Pendiente comprobante firmado","OK")))</f>
        <v/>
      </c>
    </row>
    <row r="1237" customFormat="false" ht="15" hidden="false" customHeight="false" outlineLevel="0" collapsed="false">
      <c r="B1237" s="64"/>
      <c r="C1237" s="72" t="str">
        <f aca="false">IF(B1237="","",IFERROR(INDEX(T_NOMBRE,MATCH(B1237,T_ID,0)),"⚠ ID no existe"))</f>
        <v/>
      </c>
      <c r="D1237" s="65"/>
      <c r="E1237" s="65"/>
      <c r="F1237" s="64"/>
      <c r="G1237" s="74" t="str">
        <f aca="false">IF(OR(B1237="",NOT(ISNUMBER(D1237)),NOT(ISNUMBER(E1237))),"",NETWORKDAYS(D1237,E1237,FERIADOS))</f>
        <v/>
      </c>
      <c r="H1237" s="69"/>
      <c r="I1237" s="74" t="str">
        <f aca="false">IF(B1237="","",IF(ISNUMBER(H1237),H1237,N(G1237)))</f>
        <v/>
      </c>
      <c r="J1237" s="64"/>
      <c r="K1237" s="64"/>
      <c r="L1237" s="93" t="str">
        <f aca="false">IF(NOT(ISNUMBER(D1237)),"",DATE(YEAR(D1237),MONTH(D1237),1))</f>
        <v/>
      </c>
      <c r="M1237" s="70" t="str">
        <f aca="false">IF(B1237="","",IF(AND(ISNUMBER(D1237),ISNUMBER(E1237),E1237&lt;D1237),"⚠ Término anterior al inicio",IF(J1237&lt;&gt;"Sí","Pendiente comprobante firmado","OK")))</f>
        <v/>
      </c>
    </row>
    <row r="1238" customFormat="false" ht="15" hidden="false" customHeight="false" outlineLevel="0" collapsed="false">
      <c r="B1238" s="64"/>
      <c r="C1238" s="72" t="str">
        <f aca="false">IF(B1238="","",IFERROR(INDEX(T_NOMBRE,MATCH(B1238,T_ID,0)),"⚠ ID no existe"))</f>
        <v/>
      </c>
      <c r="D1238" s="65"/>
      <c r="E1238" s="65"/>
      <c r="F1238" s="64"/>
      <c r="G1238" s="74" t="str">
        <f aca="false">IF(OR(B1238="",NOT(ISNUMBER(D1238)),NOT(ISNUMBER(E1238))),"",NETWORKDAYS(D1238,E1238,FERIADOS))</f>
        <v/>
      </c>
      <c r="H1238" s="69"/>
      <c r="I1238" s="74" t="str">
        <f aca="false">IF(B1238="","",IF(ISNUMBER(H1238),H1238,N(G1238)))</f>
        <v/>
      </c>
      <c r="J1238" s="64"/>
      <c r="K1238" s="64"/>
      <c r="L1238" s="93" t="str">
        <f aca="false">IF(NOT(ISNUMBER(D1238)),"",DATE(YEAR(D1238),MONTH(D1238),1))</f>
        <v/>
      </c>
      <c r="M1238" s="70" t="str">
        <f aca="false">IF(B1238="","",IF(AND(ISNUMBER(D1238),ISNUMBER(E1238),E1238&lt;D1238),"⚠ Término anterior al inicio",IF(J1238&lt;&gt;"Sí","Pendiente comprobante firmado","OK")))</f>
        <v/>
      </c>
    </row>
    <row r="1239" customFormat="false" ht="15" hidden="false" customHeight="false" outlineLevel="0" collapsed="false">
      <c r="B1239" s="64"/>
      <c r="C1239" s="72" t="str">
        <f aca="false">IF(B1239="","",IFERROR(INDEX(T_NOMBRE,MATCH(B1239,T_ID,0)),"⚠ ID no existe"))</f>
        <v/>
      </c>
      <c r="D1239" s="65"/>
      <c r="E1239" s="65"/>
      <c r="F1239" s="64"/>
      <c r="G1239" s="74" t="str">
        <f aca="false">IF(OR(B1239="",NOT(ISNUMBER(D1239)),NOT(ISNUMBER(E1239))),"",NETWORKDAYS(D1239,E1239,FERIADOS))</f>
        <v/>
      </c>
      <c r="H1239" s="69"/>
      <c r="I1239" s="74" t="str">
        <f aca="false">IF(B1239="","",IF(ISNUMBER(H1239),H1239,N(G1239)))</f>
        <v/>
      </c>
      <c r="J1239" s="64"/>
      <c r="K1239" s="64"/>
      <c r="L1239" s="93" t="str">
        <f aca="false">IF(NOT(ISNUMBER(D1239)),"",DATE(YEAR(D1239),MONTH(D1239),1))</f>
        <v/>
      </c>
      <c r="M1239" s="70" t="str">
        <f aca="false">IF(B1239="","",IF(AND(ISNUMBER(D1239),ISNUMBER(E1239),E1239&lt;D1239),"⚠ Término anterior al inicio",IF(J1239&lt;&gt;"Sí","Pendiente comprobante firmado","OK")))</f>
        <v/>
      </c>
    </row>
    <row r="1240" customFormat="false" ht="15" hidden="false" customHeight="false" outlineLevel="0" collapsed="false">
      <c r="B1240" s="64"/>
      <c r="C1240" s="72" t="str">
        <f aca="false">IF(B1240="","",IFERROR(INDEX(T_NOMBRE,MATCH(B1240,T_ID,0)),"⚠ ID no existe"))</f>
        <v/>
      </c>
      <c r="D1240" s="65"/>
      <c r="E1240" s="65"/>
      <c r="F1240" s="64"/>
      <c r="G1240" s="74" t="str">
        <f aca="false">IF(OR(B1240="",NOT(ISNUMBER(D1240)),NOT(ISNUMBER(E1240))),"",NETWORKDAYS(D1240,E1240,FERIADOS))</f>
        <v/>
      </c>
      <c r="H1240" s="69"/>
      <c r="I1240" s="74" t="str">
        <f aca="false">IF(B1240="","",IF(ISNUMBER(H1240),H1240,N(G1240)))</f>
        <v/>
      </c>
      <c r="J1240" s="64"/>
      <c r="K1240" s="64"/>
      <c r="L1240" s="93" t="str">
        <f aca="false">IF(NOT(ISNUMBER(D1240)),"",DATE(YEAR(D1240),MONTH(D1240),1))</f>
        <v/>
      </c>
      <c r="M1240" s="70" t="str">
        <f aca="false">IF(B1240="","",IF(AND(ISNUMBER(D1240),ISNUMBER(E1240),E1240&lt;D1240),"⚠ Término anterior al inicio",IF(J1240&lt;&gt;"Sí","Pendiente comprobante firmado","OK")))</f>
        <v/>
      </c>
    </row>
    <row r="1241" customFormat="false" ht="15" hidden="false" customHeight="false" outlineLevel="0" collapsed="false">
      <c r="B1241" s="64"/>
      <c r="C1241" s="72" t="str">
        <f aca="false">IF(B1241="","",IFERROR(INDEX(T_NOMBRE,MATCH(B1241,T_ID,0)),"⚠ ID no existe"))</f>
        <v/>
      </c>
      <c r="D1241" s="65"/>
      <c r="E1241" s="65"/>
      <c r="F1241" s="64"/>
      <c r="G1241" s="74" t="str">
        <f aca="false">IF(OR(B1241="",NOT(ISNUMBER(D1241)),NOT(ISNUMBER(E1241))),"",NETWORKDAYS(D1241,E1241,FERIADOS))</f>
        <v/>
      </c>
      <c r="H1241" s="69"/>
      <c r="I1241" s="74" t="str">
        <f aca="false">IF(B1241="","",IF(ISNUMBER(H1241),H1241,N(G1241)))</f>
        <v/>
      </c>
      <c r="J1241" s="64"/>
      <c r="K1241" s="64"/>
      <c r="L1241" s="93" t="str">
        <f aca="false">IF(NOT(ISNUMBER(D1241)),"",DATE(YEAR(D1241),MONTH(D1241),1))</f>
        <v/>
      </c>
      <c r="M1241" s="70" t="str">
        <f aca="false">IF(B1241="","",IF(AND(ISNUMBER(D1241),ISNUMBER(E1241),E1241&lt;D1241),"⚠ Término anterior al inicio",IF(J1241&lt;&gt;"Sí","Pendiente comprobante firmado","OK")))</f>
        <v/>
      </c>
    </row>
    <row r="1242" customFormat="false" ht="15" hidden="false" customHeight="false" outlineLevel="0" collapsed="false">
      <c r="B1242" s="64"/>
      <c r="C1242" s="72" t="str">
        <f aca="false">IF(B1242="","",IFERROR(INDEX(T_NOMBRE,MATCH(B1242,T_ID,0)),"⚠ ID no existe"))</f>
        <v/>
      </c>
      <c r="D1242" s="65"/>
      <c r="E1242" s="65"/>
      <c r="F1242" s="64"/>
      <c r="G1242" s="74" t="str">
        <f aca="false">IF(OR(B1242="",NOT(ISNUMBER(D1242)),NOT(ISNUMBER(E1242))),"",NETWORKDAYS(D1242,E1242,FERIADOS))</f>
        <v/>
      </c>
      <c r="H1242" s="69"/>
      <c r="I1242" s="74" t="str">
        <f aca="false">IF(B1242="","",IF(ISNUMBER(H1242),H1242,N(G1242)))</f>
        <v/>
      </c>
      <c r="J1242" s="64"/>
      <c r="K1242" s="64"/>
      <c r="L1242" s="93" t="str">
        <f aca="false">IF(NOT(ISNUMBER(D1242)),"",DATE(YEAR(D1242),MONTH(D1242),1))</f>
        <v/>
      </c>
      <c r="M1242" s="70" t="str">
        <f aca="false">IF(B1242="","",IF(AND(ISNUMBER(D1242),ISNUMBER(E1242),E1242&lt;D1242),"⚠ Término anterior al inicio",IF(J1242&lt;&gt;"Sí","Pendiente comprobante firmado","OK")))</f>
        <v/>
      </c>
    </row>
    <row r="1243" customFormat="false" ht="15" hidden="false" customHeight="false" outlineLevel="0" collapsed="false">
      <c r="B1243" s="64"/>
      <c r="C1243" s="72" t="str">
        <f aca="false">IF(B1243="","",IFERROR(INDEX(T_NOMBRE,MATCH(B1243,T_ID,0)),"⚠ ID no existe"))</f>
        <v/>
      </c>
      <c r="D1243" s="65"/>
      <c r="E1243" s="65"/>
      <c r="F1243" s="64"/>
      <c r="G1243" s="74" t="str">
        <f aca="false">IF(OR(B1243="",NOT(ISNUMBER(D1243)),NOT(ISNUMBER(E1243))),"",NETWORKDAYS(D1243,E1243,FERIADOS))</f>
        <v/>
      </c>
      <c r="H1243" s="69"/>
      <c r="I1243" s="74" t="str">
        <f aca="false">IF(B1243="","",IF(ISNUMBER(H1243),H1243,N(G1243)))</f>
        <v/>
      </c>
      <c r="J1243" s="64"/>
      <c r="K1243" s="64"/>
      <c r="L1243" s="93" t="str">
        <f aca="false">IF(NOT(ISNUMBER(D1243)),"",DATE(YEAR(D1243),MONTH(D1243),1))</f>
        <v/>
      </c>
      <c r="M1243" s="70" t="str">
        <f aca="false">IF(B1243="","",IF(AND(ISNUMBER(D1243),ISNUMBER(E1243),E1243&lt;D1243),"⚠ Término anterior al inicio",IF(J1243&lt;&gt;"Sí","Pendiente comprobante firmado","OK")))</f>
        <v/>
      </c>
    </row>
    <row r="1244" customFormat="false" ht="15" hidden="false" customHeight="false" outlineLevel="0" collapsed="false">
      <c r="B1244" s="64"/>
      <c r="C1244" s="72" t="str">
        <f aca="false">IF(B1244="","",IFERROR(INDEX(T_NOMBRE,MATCH(B1244,T_ID,0)),"⚠ ID no existe"))</f>
        <v/>
      </c>
      <c r="D1244" s="65"/>
      <c r="E1244" s="65"/>
      <c r="F1244" s="64"/>
      <c r="G1244" s="74" t="str">
        <f aca="false">IF(OR(B1244="",NOT(ISNUMBER(D1244)),NOT(ISNUMBER(E1244))),"",NETWORKDAYS(D1244,E1244,FERIADOS))</f>
        <v/>
      </c>
      <c r="H1244" s="69"/>
      <c r="I1244" s="74" t="str">
        <f aca="false">IF(B1244="","",IF(ISNUMBER(H1244),H1244,N(G1244)))</f>
        <v/>
      </c>
      <c r="J1244" s="64"/>
      <c r="K1244" s="64"/>
      <c r="L1244" s="93" t="str">
        <f aca="false">IF(NOT(ISNUMBER(D1244)),"",DATE(YEAR(D1244),MONTH(D1244),1))</f>
        <v/>
      </c>
      <c r="M1244" s="70" t="str">
        <f aca="false">IF(B1244="","",IF(AND(ISNUMBER(D1244),ISNUMBER(E1244),E1244&lt;D1244),"⚠ Término anterior al inicio",IF(J1244&lt;&gt;"Sí","Pendiente comprobante firmado","OK")))</f>
        <v/>
      </c>
    </row>
    <row r="1245" customFormat="false" ht="15" hidden="false" customHeight="false" outlineLevel="0" collapsed="false">
      <c r="B1245" s="64"/>
      <c r="C1245" s="72" t="str">
        <f aca="false">IF(B1245="","",IFERROR(INDEX(T_NOMBRE,MATCH(B1245,T_ID,0)),"⚠ ID no existe"))</f>
        <v/>
      </c>
      <c r="D1245" s="65"/>
      <c r="E1245" s="65"/>
      <c r="F1245" s="64"/>
      <c r="G1245" s="74" t="str">
        <f aca="false">IF(OR(B1245="",NOT(ISNUMBER(D1245)),NOT(ISNUMBER(E1245))),"",NETWORKDAYS(D1245,E1245,FERIADOS))</f>
        <v/>
      </c>
      <c r="H1245" s="69"/>
      <c r="I1245" s="74" t="str">
        <f aca="false">IF(B1245="","",IF(ISNUMBER(H1245),H1245,N(G1245)))</f>
        <v/>
      </c>
      <c r="J1245" s="64"/>
      <c r="K1245" s="64"/>
      <c r="L1245" s="93" t="str">
        <f aca="false">IF(NOT(ISNUMBER(D1245)),"",DATE(YEAR(D1245),MONTH(D1245),1))</f>
        <v/>
      </c>
      <c r="M1245" s="70" t="str">
        <f aca="false">IF(B1245="","",IF(AND(ISNUMBER(D1245),ISNUMBER(E1245),E1245&lt;D1245),"⚠ Término anterior al inicio",IF(J1245&lt;&gt;"Sí","Pendiente comprobante firmado","OK")))</f>
        <v/>
      </c>
    </row>
    <row r="1246" customFormat="false" ht="15" hidden="false" customHeight="false" outlineLevel="0" collapsed="false">
      <c r="B1246" s="64"/>
      <c r="C1246" s="72" t="str">
        <f aca="false">IF(B1246="","",IFERROR(INDEX(T_NOMBRE,MATCH(B1246,T_ID,0)),"⚠ ID no existe"))</f>
        <v/>
      </c>
      <c r="D1246" s="65"/>
      <c r="E1246" s="65"/>
      <c r="F1246" s="64"/>
      <c r="G1246" s="74" t="str">
        <f aca="false">IF(OR(B1246="",NOT(ISNUMBER(D1246)),NOT(ISNUMBER(E1246))),"",NETWORKDAYS(D1246,E1246,FERIADOS))</f>
        <v/>
      </c>
      <c r="H1246" s="69"/>
      <c r="I1246" s="74" t="str">
        <f aca="false">IF(B1246="","",IF(ISNUMBER(H1246),H1246,N(G1246)))</f>
        <v/>
      </c>
      <c r="J1246" s="64"/>
      <c r="K1246" s="64"/>
      <c r="L1246" s="93" t="str">
        <f aca="false">IF(NOT(ISNUMBER(D1246)),"",DATE(YEAR(D1246),MONTH(D1246),1))</f>
        <v/>
      </c>
      <c r="M1246" s="70" t="str">
        <f aca="false">IF(B1246="","",IF(AND(ISNUMBER(D1246),ISNUMBER(E1246),E1246&lt;D1246),"⚠ Término anterior al inicio",IF(J1246&lt;&gt;"Sí","Pendiente comprobante firmado","OK")))</f>
        <v/>
      </c>
    </row>
    <row r="1247" customFormat="false" ht="15" hidden="false" customHeight="false" outlineLevel="0" collapsed="false">
      <c r="B1247" s="64"/>
      <c r="C1247" s="72" t="str">
        <f aca="false">IF(B1247="","",IFERROR(INDEX(T_NOMBRE,MATCH(B1247,T_ID,0)),"⚠ ID no existe"))</f>
        <v/>
      </c>
      <c r="D1247" s="65"/>
      <c r="E1247" s="65"/>
      <c r="F1247" s="64"/>
      <c r="G1247" s="74" t="str">
        <f aca="false">IF(OR(B1247="",NOT(ISNUMBER(D1247)),NOT(ISNUMBER(E1247))),"",NETWORKDAYS(D1247,E1247,FERIADOS))</f>
        <v/>
      </c>
      <c r="H1247" s="69"/>
      <c r="I1247" s="74" t="str">
        <f aca="false">IF(B1247="","",IF(ISNUMBER(H1247),H1247,N(G1247)))</f>
        <v/>
      </c>
      <c r="J1247" s="64"/>
      <c r="K1247" s="64"/>
      <c r="L1247" s="93" t="str">
        <f aca="false">IF(NOT(ISNUMBER(D1247)),"",DATE(YEAR(D1247),MONTH(D1247),1))</f>
        <v/>
      </c>
      <c r="M1247" s="70" t="str">
        <f aca="false">IF(B1247="","",IF(AND(ISNUMBER(D1247),ISNUMBER(E1247),E1247&lt;D1247),"⚠ Término anterior al inicio",IF(J1247&lt;&gt;"Sí","Pendiente comprobante firmado","OK")))</f>
        <v/>
      </c>
    </row>
    <row r="1248" customFormat="false" ht="15" hidden="false" customHeight="false" outlineLevel="0" collapsed="false">
      <c r="B1248" s="64"/>
      <c r="C1248" s="72" t="str">
        <f aca="false">IF(B1248="","",IFERROR(INDEX(T_NOMBRE,MATCH(B1248,T_ID,0)),"⚠ ID no existe"))</f>
        <v/>
      </c>
      <c r="D1248" s="65"/>
      <c r="E1248" s="65"/>
      <c r="F1248" s="64"/>
      <c r="G1248" s="74" t="str">
        <f aca="false">IF(OR(B1248="",NOT(ISNUMBER(D1248)),NOT(ISNUMBER(E1248))),"",NETWORKDAYS(D1248,E1248,FERIADOS))</f>
        <v/>
      </c>
      <c r="H1248" s="69"/>
      <c r="I1248" s="74" t="str">
        <f aca="false">IF(B1248="","",IF(ISNUMBER(H1248),H1248,N(G1248)))</f>
        <v/>
      </c>
      <c r="J1248" s="64"/>
      <c r="K1248" s="64"/>
      <c r="L1248" s="93" t="str">
        <f aca="false">IF(NOT(ISNUMBER(D1248)),"",DATE(YEAR(D1248),MONTH(D1248),1))</f>
        <v/>
      </c>
      <c r="M1248" s="70" t="str">
        <f aca="false">IF(B1248="","",IF(AND(ISNUMBER(D1248),ISNUMBER(E1248),E1248&lt;D1248),"⚠ Término anterior al inicio",IF(J1248&lt;&gt;"Sí","Pendiente comprobante firmado","OK")))</f>
        <v/>
      </c>
    </row>
    <row r="1249" customFormat="false" ht="15" hidden="false" customHeight="false" outlineLevel="0" collapsed="false">
      <c r="B1249" s="64"/>
      <c r="C1249" s="72" t="str">
        <f aca="false">IF(B1249="","",IFERROR(INDEX(T_NOMBRE,MATCH(B1249,T_ID,0)),"⚠ ID no existe"))</f>
        <v/>
      </c>
      <c r="D1249" s="65"/>
      <c r="E1249" s="65"/>
      <c r="F1249" s="64"/>
      <c r="G1249" s="74" t="str">
        <f aca="false">IF(OR(B1249="",NOT(ISNUMBER(D1249)),NOT(ISNUMBER(E1249))),"",NETWORKDAYS(D1249,E1249,FERIADOS))</f>
        <v/>
      </c>
      <c r="H1249" s="69"/>
      <c r="I1249" s="74" t="str">
        <f aca="false">IF(B1249="","",IF(ISNUMBER(H1249),H1249,N(G1249)))</f>
        <v/>
      </c>
      <c r="J1249" s="64"/>
      <c r="K1249" s="64"/>
      <c r="L1249" s="93" t="str">
        <f aca="false">IF(NOT(ISNUMBER(D1249)),"",DATE(YEAR(D1249),MONTH(D1249),1))</f>
        <v/>
      </c>
      <c r="M1249" s="70" t="str">
        <f aca="false">IF(B1249="","",IF(AND(ISNUMBER(D1249),ISNUMBER(E1249),E1249&lt;D1249),"⚠ Término anterior al inicio",IF(J1249&lt;&gt;"Sí","Pendiente comprobante firmado","OK")))</f>
        <v/>
      </c>
    </row>
    <row r="1250" customFormat="false" ht="15" hidden="false" customHeight="false" outlineLevel="0" collapsed="false">
      <c r="B1250" s="64"/>
      <c r="C1250" s="72" t="str">
        <f aca="false">IF(B1250="","",IFERROR(INDEX(T_NOMBRE,MATCH(B1250,T_ID,0)),"⚠ ID no existe"))</f>
        <v/>
      </c>
      <c r="D1250" s="65"/>
      <c r="E1250" s="65"/>
      <c r="F1250" s="64"/>
      <c r="G1250" s="74" t="str">
        <f aca="false">IF(OR(B1250="",NOT(ISNUMBER(D1250)),NOT(ISNUMBER(E1250))),"",NETWORKDAYS(D1250,E1250,FERIADOS))</f>
        <v/>
      </c>
      <c r="H1250" s="69"/>
      <c r="I1250" s="74" t="str">
        <f aca="false">IF(B1250="","",IF(ISNUMBER(H1250),H1250,N(G1250)))</f>
        <v/>
      </c>
      <c r="J1250" s="64"/>
      <c r="K1250" s="64"/>
      <c r="L1250" s="93" t="str">
        <f aca="false">IF(NOT(ISNUMBER(D1250)),"",DATE(YEAR(D1250),MONTH(D1250),1))</f>
        <v/>
      </c>
      <c r="M1250" s="70" t="str">
        <f aca="false">IF(B1250="","",IF(AND(ISNUMBER(D1250),ISNUMBER(E1250),E1250&lt;D1250),"⚠ Término anterior al inicio",IF(J1250&lt;&gt;"Sí","Pendiente comprobante firmado","OK")))</f>
        <v/>
      </c>
    </row>
    <row r="1251" customFormat="false" ht="15" hidden="false" customHeight="false" outlineLevel="0" collapsed="false">
      <c r="B1251" s="64"/>
      <c r="C1251" s="72" t="str">
        <f aca="false">IF(B1251="","",IFERROR(INDEX(T_NOMBRE,MATCH(B1251,T_ID,0)),"⚠ ID no existe"))</f>
        <v/>
      </c>
      <c r="D1251" s="65"/>
      <c r="E1251" s="65"/>
      <c r="F1251" s="64"/>
      <c r="G1251" s="74" t="str">
        <f aca="false">IF(OR(B1251="",NOT(ISNUMBER(D1251)),NOT(ISNUMBER(E1251))),"",NETWORKDAYS(D1251,E1251,FERIADOS))</f>
        <v/>
      </c>
      <c r="H1251" s="69"/>
      <c r="I1251" s="74" t="str">
        <f aca="false">IF(B1251="","",IF(ISNUMBER(H1251),H1251,N(G1251)))</f>
        <v/>
      </c>
      <c r="J1251" s="64"/>
      <c r="K1251" s="64"/>
      <c r="L1251" s="93" t="str">
        <f aca="false">IF(NOT(ISNUMBER(D1251)),"",DATE(YEAR(D1251),MONTH(D1251),1))</f>
        <v/>
      </c>
      <c r="M1251" s="70" t="str">
        <f aca="false">IF(B1251="","",IF(AND(ISNUMBER(D1251),ISNUMBER(E1251),E1251&lt;D1251),"⚠ Término anterior al inicio",IF(J1251&lt;&gt;"Sí","Pendiente comprobante firmado","OK")))</f>
        <v/>
      </c>
    </row>
    <row r="1252" customFormat="false" ht="15" hidden="false" customHeight="false" outlineLevel="0" collapsed="false">
      <c r="B1252" s="64"/>
      <c r="C1252" s="72" t="str">
        <f aca="false">IF(B1252="","",IFERROR(INDEX(T_NOMBRE,MATCH(B1252,T_ID,0)),"⚠ ID no existe"))</f>
        <v/>
      </c>
      <c r="D1252" s="65"/>
      <c r="E1252" s="65"/>
      <c r="F1252" s="64"/>
      <c r="G1252" s="74" t="str">
        <f aca="false">IF(OR(B1252="",NOT(ISNUMBER(D1252)),NOT(ISNUMBER(E1252))),"",NETWORKDAYS(D1252,E1252,FERIADOS))</f>
        <v/>
      </c>
      <c r="H1252" s="69"/>
      <c r="I1252" s="74" t="str">
        <f aca="false">IF(B1252="","",IF(ISNUMBER(H1252),H1252,N(G1252)))</f>
        <v/>
      </c>
      <c r="J1252" s="64"/>
      <c r="K1252" s="64"/>
      <c r="L1252" s="93" t="str">
        <f aca="false">IF(NOT(ISNUMBER(D1252)),"",DATE(YEAR(D1252),MONTH(D1252),1))</f>
        <v/>
      </c>
      <c r="M1252" s="70" t="str">
        <f aca="false">IF(B1252="","",IF(AND(ISNUMBER(D1252),ISNUMBER(E1252),E1252&lt;D1252),"⚠ Término anterior al inicio",IF(J1252&lt;&gt;"Sí","Pendiente comprobante firmado","OK")))</f>
        <v/>
      </c>
    </row>
    <row r="1253" customFormat="false" ht="15" hidden="false" customHeight="false" outlineLevel="0" collapsed="false">
      <c r="B1253" s="64"/>
      <c r="C1253" s="72" t="str">
        <f aca="false">IF(B1253="","",IFERROR(INDEX(T_NOMBRE,MATCH(B1253,T_ID,0)),"⚠ ID no existe"))</f>
        <v/>
      </c>
      <c r="D1253" s="65"/>
      <c r="E1253" s="65"/>
      <c r="F1253" s="64"/>
      <c r="G1253" s="74" t="str">
        <f aca="false">IF(OR(B1253="",NOT(ISNUMBER(D1253)),NOT(ISNUMBER(E1253))),"",NETWORKDAYS(D1253,E1253,FERIADOS))</f>
        <v/>
      </c>
      <c r="H1253" s="69"/>
      <c r="I1253" s="74" t="str">
        <f aca="false">IF(B1253="","",IF(ISNUMBER(H1253),H1253,N(G1253)))</f>
        <v/>
      </c>
      <c r="J1253" s="64"/>
      <c r="K1253" s="64"/>
      <c r="L1253" s="93" t="str">
        <f aca="false">IF(NOT(ISNUMBER(D1253)),"",DATE(YEAR(D1253),MONTH(D1253),1))</f>
        <v/>
      </c>
      <c r="M1253" s="70" t="str">
        <f aca="false">IF(B1253="","",IF(AND(ISNUMBER(D1253),ISNUMBER(E1253),E1253&lt;D1253),"⚠ Término anterior al inicio",IF(J1253&lt;&gt;"Sí","Pendiente comprobante firmado","OK")))</f>
        <v/>
      </c>
    </row>
    <row r="1254" customFormat="false" ht="15" hidden="false" customHeight="false" outlineLevel="0" collapsed="false">
      <c r="B1254" s="64"/>
      <c r="C1254" s="72" t="str">
        <f aca="false">IF(B1254="","",IFERROR(INDEX(T_NOMBRE,MATCH(B1254,T_ID,0)),"⚠ ID no existe"))</f>
        <v/>
      </c>
      <c r="D1254" s="65"/>
      <c r="E1254" s="65"/>
      <c r="F1254" s="64"/>
      <c r="G1254" s="74" t="str">
        <f aca="false">IF(OR(B1254="",NOT(ISNUMBER(D1254)),NOT(ISNUMBER(E1254))),"",NETWORKDAYS(D1254,E1254,FERIADOS))</f>
        <v/>
      </c>
      <c r="H1254" s="69"/>
      <c r="I1254" s="74" t="str">
        <f aca="false">IF(B1254="","",IF(ISNUMBER(H1254),H1254,N(G1254)))</f>
        <v/>
      </c>
      <c r="J1254" s="64"/>
      <c r="K1254" s="64"/>
      <c r="L1254" s="93" t="str">
        <f aca="false">IF(NOT(ISNUMBER(D1254)),"",DATE(YEAR(D1254),MONTH(D1254),1))</f>
        <v/>
      </c>
      <c r="M1254" s="70" t="str">
        <f aca="false">IF(B1254="","",IF(AND(ISNUMBER(D1254),ISNUMBER(E1254),E1254&lt;D1254),"⚠ Término anterior al inicio",IF(J1254&lt;&gt;"Sí","Pendiente comprobante firmado","OK")))</f>
        <v/>
      </c>
    </row>
    <row r="1255" customFormat="false" ht="15" hidden="false" customHeight="false" outlineLevel="0" collapsed="false">
      <c r="B1255" s="64"/>
      <c r="C1255" s="72" t="str">
        <f aca="false">IF(B1255="","",IFERROR(INDEX(T_NOMBRE,MATCH(B1255,T_ID,0)),"⚠ ID no existe"))</f>
        <v/>
      </c>
      <c r="D1255" s="65"/>
      <c r="E1255" s="65"/>
      <c r="F1255" s="64"/>
      <c r="G1255" s="74" t="str">
        <f aca="false">IF(OR(B1255="",NOT(ISNUMBER(D1255)),NOT(ISNUMBER(E1255))),"",NETWORKDAYS(D1255,E1255,FERIADOS))</f>
        <v/>
      </c>
      <c r="H1255" s="69"/>
      <c r="I1255" s="74" t="str">
        <f aca="false">IF(B1255="","",IF(ISNUMBER(H1255),H1255,N(G1255)))</f>
        <v/>
      </c>
      <c r="J1255" s="64"/>
      <c r="K1255" s="64"/>
      <c r="L1255" s="93" t="str">
        <f aca="false">IF(NOT(ISNUMBER(D1255)),"",DATE(YEAR(D1255),MONTH(D1255),1))</f>
        <v/>
      </c>
      <c r="M1255" s="70" t="str">
        <f aca="false">IF(B1255="","",IF(AND(ISNUMBER(D1255),ISNUMBER(E1255),E1255&lt;D1255),"⚠ Término anterior al inicio",IF(J1255&lt;&gt;"Sí","Pendiente comprobante firmado","OK")))</f>
        <v/>
      </c>
    </row>
    <row r="1256" customFormat="false" ht="15" hidden="false" customHeight="false" outlineLevel="0" collapsed="false">
      <c r="B1256" s="64"/>
      <c r="C1256" s="72" t="str">
        <f aca="false">IF(B1256="","",IFERROR(INDEX(T_NOMBRE,MATCH(B1256,T_ID,0)),"⚠ ID no existe"))</f>
        <v/>
      </c>
      <c r="D1256" s="65"/>
      <c r="E1256" s="65"/>
      <c r="F1256" s="64"/>
      <c r="G1256" s="74" t="str">
        <f aca="false">IF(OR(B1256="",NOT(ISNUMBER(D1256)),NOT(ISNUMBER(E1256))),"",NETWORKDAYS(D1256,E1256,FERIADOS))</f>
        <v/>
      </c>
      <c r="H1256" s="69"/>
      <c r="I1256" s="74" t="str">
        <f aca="false">IF(B1256="","",IF(ISNUMBER(H1256),H1256,N(G1256)))</f>
        <v/>
      </c>
      <c r="J1256" s="64"/>
      <c r="K1256" s="64"/>
      <c r="L1256" s="93" t="str">
        <f aca="false">IF(NOT(ISNUMBER(D1256)),"",DATE(YEAR(D1256),MONTH(D1256),1))</f>
        <v/>
      </c>
      <c r="M1256" s="70" t="str">
        <f aca="false">IF(B1256="","",IF(AND(ISNUMBER(D1256),ISNUMBER(E1256),E1256&lt;D1256),"⚠ Término anterior al inicio",IF(J1256&lt;&gt;"Sí","Pendiente comprobante firmado","OK")))</f>
        <v/>
      </c>
    </row>
    <row r="1257" customFormat="false" ht="15" hidden="false" customHeight="false" outlineLevel="0" collapsed="false">
      <c r="B1257" s="64"/>
      <c r="C1257" s="72" t="str">
        <f aca="false">IF(B1257="","",IFERROR(INDEX(T_NOMBRE,MATCH(B1257,T_ID,0)),"⚠ ID no existe"))</f>
        <v/>
      </c>
      <c r="D1257" s="65"/>
      <c r="E1257" s="65"/>
      <c r="F1257" s="64"/>
      <c r="G1257" s="74" t="str">
        <f aca="false">IF(OR(B1257="",NOT(ISNUMBER(D1257)),NOT(ISNUMBER(E1257))),"",NETWORKDAYS(D1257,E1257,FERIADOS))</f>
        <v/>
      </c>
      <c r="H1257" s="69"/>
      <c r="I1257" s="74" t="str">
        <f aca="false">IF(B1257="","",IF(ISNUMBER(H1257),H1257,N(G1257)))</f>
        <v/>
      </c>
      <c r="J1257" s="64"/>
      <c r="K1257" s="64"/>
      <c r="L1257" s="93" t="str">
        <f aca="false">IF(NOT(ISNUMBER(D1257)),"",DATE(YEAR(D1257),MONTH(D1257),1))</f>
        <v/>
      </c>
      <c r="M1257" s="70" t="str">
        <f aca="false">IF(B1257="","",IF(AND(ISNUMBER(D1257),ISNUMBER(E1257),E1257&lt;D1257),"⚠ Término anterior al inicio",IF(J1257&lt;&gt;"Sí","Pendiente comprobante firmado","OK")))</f>
        <v/>
      </c>
    </row>
    <row r="1258" customFormat="false" ht="15" hidden="false" customHeight="false" outlineLevel="0" collapsed="false">
      <c r="B1258" s="64"/>
      <c r="C1258" s="72" t="str">
        <f aca="false">IF(B1258="","",IFERROR(INDEX(T_NOMBRE,MATCH(B1258,T_ID,0)),"⚠ ID no existe"))</f>
        <v/>
      </c>
      <c r="D1258" s="65"/>
      <c r="E1258" s="65"/>
      <c r="F1258" s="64"/>
      <c r="G1258" s="74" t="str">
        <f aca="false">IF(OR(B1258="",NOT(ISNUMBER(D1258)),NOT(ISNUMBER(E1258))),"",NETWORKDAYS(D1258,E1258,FERIADOS))</f>
        <v/>
      </c>
      <c r="H1258" s="69"/>
      <c r="I1258" s="74" t="str">
        <f aca="false">IF(B1258="","",IF(ISNUMBER(H1258),H1258,N(G1258)))</f>
        <v/>
      </c>
      <c r="J1258" s="64"/>
      <c r="K1258" s="64"/>
      <c r="L1258" s="93" t="str">
        <f aca="false">IF(NOT(ISNUMBER(D1258)),"",DATE(YEAR(D1258),MONTH(D1258),1))</f>
        <v/>
      </c>
      <c r="M1258" s="70" t="str">
        <f aca="false">IF(B1258="","",IF(AND(ISNUMBER(D1258),ISNUMBER(E1258),E1258&lt;D1258),"⚠ Término anterior al inicio",IF(J1258&lt;&gt;"Sí","Pendiente comprobante firmado","OK")))</f>
        <v/>
      </c>
    </row>
    <row r="1259" customFormat="false" ht="15" hidden="false" customHeight="false" outlineLevel="0" collapsed="false">
      <c r="B1259" s="64"/>
      <c r="C1259" s="72" t="str">
        <f aca="false">IF(B1259="","",IFERROR(INDEX(T_NOMBRE,MATCH(B1259,T_ID,0)),"⚠ ID no existe"))</f>
        <v/>
      </c>
      <c r="D1259" s="65"/>
      <c r="E1259" s="65"/>
      <c r="F1259" s="64"/>
      <c r="G1259" s="74" t="str">
        <f aca="false">IF(OR(B1259="",NOT(ISNUMBER(D1259)),NOT(ISNUMBER(E1259))),"",NETWORKDAYS(D1259,E1259,FERIADOS))</f>
        <v/>
      </c>
      <c r="H1259" s="69"/>
      <c r="I1259" s="74" t="str">
        <f aca="false">IF(B1259="","",IF(ISNUMBER(H1259),H1259,N(G1259)))</f>
        <v/>
      </c>
      <c r="J1259" s="64"/>
      <c r="K1259" s="64"/>
      <c r="L1259" s="93" t="str">
        <f aca="false">IF(NOT(ISNUMBER(D1259)),"",DATE(YEAR(D1259),MONTH(D1259),1))</f>
        <v/>
      </c>
      <c r="M1259" s="70" t="str">
        <f aca="false">IF(B1259="","",IF(AND(ISNUMBER(D1259),ISNUMBER(E1259),E1259&lt;D1259),"⚠ Término anterior al inicio",IF(J1259&lt;&gt;"Sí","Pendiente comprobante firmado","OK")))</f>
        <v/>
      </c>
    </row>
    <row r="1260" customFormat="false" ht="15" hidden="false" customHeight="false" outlineLevel="0" collapsed="false">
      <c r="B1260" s="64"/>
      <c r="C1260" s="72" t="str">
        <f aca="false">IF(B1260="","",IFERROR(INDEX(T_NOMBRE,MATCH(B1260,T_ID,0)),"⚠ ID no existe"))</f>
        <v/>
      </c>
      <c r="D1260" s="65"/>
      <c r="E1260" s="65"/>
      <c r="F1260" s="64"/>
      <c r="G1260" s="74" t="str">
        <f aca="false">IF(OR(B1260="",NOT(ISNUMBER(D1260)),NOT(ISNUMBER(E1260))),"",NETWORKDAYS(D1260,E1260,FERIADOS))</f>
        <v/>
      </c>
      <c r="H1260" s="69"/>
      <c r="I1260" s="74" t="str">
        <f aca="false">IF(B1260="","",IF(ISNUMBER(H1260),H1260,N(G1260)))</f>
        <v/>
      </c>
      <c r="J1260" s="64"/>
      <c r="K1260" s="64"/>
      <c r="L1260" s="93" t="str">
        <f aca="false">IF(NOT(ISNUMBER(D1260)),"",DATE(YEAR(D1260),MONTH(D1260),1))</f>
        <v/>
      </c>
      <c r="M1260" s="70" t="str">
        <f aca="false">IF(B1260="","",IF(AND(ISNUMBER(D1260),ISNUMBER(E1260),E1260&lt;D1260),"⚠ Término anterior al inicio",IF(J1260&lt;&gt;"Sí","Pendiente comprobante firmado","OK")))</f>
        <v/>
      </c>
    </row>
    <row r="1261" customFormat="false" ht="15" hidden="false" customHeight="false" outlineLevel="0" collapsed="false">
      <c r="B1261" s="64"/>
      <c r="C1261" s="72" t="str">
        <f aca="false">IF(B1261="","",IFERROR(INDEX(T_NOMBRE,MATCH(B1261,T_ID,0)),"⚠ ID no existe"))</f>
        <v/>
      </c>
      <c r="D1261" s="65"/>
      <c r="E1261" s="65"/>
      <c r="F1261" s="64"/>
      <c r="G1261" s="74" t="str">
        <f aca="false">IF(OR(B1261="",NOT(ISNUMBER(D1261)),NOT(ISNUMBER(E1261))),"",NETWORKDAYS(D1261,E1261,FERIADOS))</f>
        <v/>
      </c>
      <c r="H1261" s="69"/>
      <c r="I1261" s="74" t="str">
        <f aca="false">IF(B1261="","",IF(ISNUMBER(H1261),H1261,N(G1261)))</f>
        <v/>
      </c>
      <c r="J1261" s="64"/>
      <c r="K1261" s="64"/>
      <c r="L1261" s="93" t="str">
        <f aca="false">IF(NOT(ISNUMBER(D1261)),"",DATE(YEAR(D1261),MONTH(D1261),1))</f>
        <v/>
      </c>
      <c r="M1261" s="70" t="str">
        <f aca="false">IF(B1261="","",IF(AND(ISNUMBER(D1261),ISNUMBER(E1261),E1261&lt;D1261),"⚠ Término anterior al inicio",IF(J1261&lt;&gt;"Sí","Pendiente comprobante firmado","OK")))</f>
        <v/>
      </c>
    </row>
    <row r="1262" customFormat="false" ht="15" hidden="false" customHeight="false" outlineLevel="0" collapsed="false">
      <c r="B1262" s="64"/>
      <c r="C1262" s="72" t="str">
        <f aca="false">IF(B1262="","",IFERROR(INDEX(T_NOMBRE,MATCH(B1262,T_ID,0)),"⚠ ID no existe"))</f>
        <v/>
      </c>
      <c r="D1262" s="65"/>
      <c r="E1262" s="65"/>
      <c r="F1262" s="64"/>
      <c r="G1262" s="74" t="str">
        <f aca="false">IF(OR(B1262="",NOT(ISNUMBER(D1262)),NOT(ISNUMBER(E1262))),"",NETWORKDAYS(D1262,E1262,FERIADOS))</f>
        <v/>
      </c>
      <c r="H1262" s="69"/>
      <c r="I1262" s="74" t="str">
        <f aca="false">IF(B1262="","",IF(ISNUMBER(H1262),H1262,N(G1262)))</f>
        <v/>
      </c>
      <c r="J1262" s="64"/>
      <c r="K1262" s="64"/>
      <c r="L1262" s="93" t="str">
        <f aca="false">IF(NOT(ISNUMBER(D1262)),"",DATE(YEAR(D1262),MONTH(D1262),1))</f>
        <v/>
      </c>
      <c r="M1262" s="70" t="str">
        <f aca="false">IF(B1262="","",IF(AND(ISNUMBER(D1262),ISNUMBER(E1262),E1262&lt;D1262),"⚠ Término anterior al inicio",IF(J1262&lt;&gt;"Sí","Pendiente comprobante firmado","OK")))</f>
        <v/>
      </c>
    </row>
    <row r="1263" customFormat="false" ht="15" hidden="false" customHeight="false" outlineLevel="0" collapsed="false">
      <c r="B1263" s="64"/>
      <c r="C1263" s="72" t="str">
        <f aca="false">IF(B1263="","",IFERROR(INDEX(T_NOMBRE,MATCH(B1263,T_ID,0)),"⚠ ID no existe"))</f>
        <v/>
      </c>
      <c r="D1263" s="65"/>
      <c r="E1263" s="65"/>
      <c r="F1263" s="64"/>
      <c r="G1263" s="74" t="str">
        <f aca="false">IF(OR(B1263="",NOT(ISNUMBER(D1263)),NOT(ISNUMBER(E1263))),"",NETWORKDAYS(D1263,E1263,FERIADOS))</f>
        <v/>
      </c>
      <c r="H1263" s="69"/>
      <c r="I1263" s="74" t="str">
        <f aca="false">IF(B1263="","",IF(ISNUMBER(H1263),H1263,N(G1263)))</f>
        <v/>
      </c>
      <c r="J1263" s="64"/>
      <c r="K1263" s="64"/>
      <c r="L1263" s="93" t="str">
        <f aca="false">IF(NOT(ISNUMBER(D1263)),"",DATE(YEAR(D1263),MONTH(D1263),1))</f>
        <v/>
      </c>
      <c r="M1263" s="70" t="str">
        <f aca="false">IF(B1263="","",IF(AND(ISNUMBER(D1263),ISNUMBER(E1263),E1263&lt;D1263),"⚠ Término anterior al inicio",IF(J1263&lt;&gt;"Sí","Pendiente comprobante firmado","OK")))</f>
        <v/>
      </c>
    </row>
    <row r="1264" customFormat="false" ht="15" hidden="false" customHeight="false" outlineLevel="0" collapsed="false">
      <c r="B1264" s="64"/>
      <c r="C1264" s="72" t="str">
        <f aca="false">IF(B1264="","",IFERROR(INDEX(T_NOMBRE,MATCH(B1264,T_ID,0)),"⚠ ID no existe"))</f>
        <v/>
      </c>
      <c r="D1264" s="65"/>
      <c r="E1264" s="65"/>
      <c r="F1264" s="64"/>
      <c r="G1264" s="74" t="str">
        <f aca="false">IF(OR(B1264="",NOT(ISNUMBER(D1264)),NOT(ISNUMBER(E1264))),"",NETWORKDAYS(D1264,E1264,FERIADOS))</f>
        <v/>
      </c>
      <c r="H1264" s="69"/>
      <c r="I1264" s="74" t="str">
        <f aca="false">IF(B1264="","",IF(ISNUMBER(H1264),H1264,N(G1264)))</f>
        <v/>
      </c>
      <c r="J1264" s="64"/>
      <c r="K1264" s="64"/>
      <c r="L1264" s="93" t="str">
        <f aca="false">IF(NOT(ISNUMBER(D1264)),"",DATE(YEAR(D1264),MONTH(D1264),1))</f>
        <v/>
      </c>
      <c r="M1264" s="70" t="str">
        <f aca="false">IF(B1264="","",IF(AND(ISNUMBER(D1264),ISNUMBER(E1264),E1264&lt;D1264),"⚠ Término anterior al inicio",IF(J1264&lt;&gt;"Sí","Pendiente comprobante firmado","OK")))</f>
        <v/>
      </c>
    </row>
    <row r="1265" customFormat="false" ht="15" hidden="false" customHeight="false" outlineLevel="0" collapsed="false">
      <c r="B1265" s="64"/>
      <c r="C1265" s="72" t="str">
        <f aca="false">IF(B1265="","",IFERROR(INDEX(T_NOMBRE,MATCH(B1265,T_ID,0)),"⚠ ID no existe"))</f>
        <v/>
      </c>
      <c r="D1265" s="65"/>
      <c r="E1265" s="65"/>
      <c r="F1265" s="64"/>
      <c r="G1265" s="74" t="str">
        <f aca="false">IF(OR(B1265="",NOT(ISNUMBER(D1265)),NOT(ISNUMBER(E1265))),"",NETWORKDAYS(D1265,E1265,FERIADOS))</f>
        <v/>
      </c>
      <c r="H1265" s="69"/>
      <c r="I1265" s="74" t="str">
        <f aca="false">IF(B1265="","",IF(ISNUMBER(H1265),H1265,N(G1265)))</f>
        <v/>
      </c>
      <c r="J1265" s="64"/>
      <c r="K1265" s="64"/>
      <c r="L1265" s="93" t="str">
        <f aca="false">IF(NOT(ISNUMBER(D1265)),"",DATE(YEAR(D1265),MONTH(D1265),1))</f>
        <v/>
      </c>
      <c r="M1265" s="70" t="str">
        <f aca="false">IF(B1265="","",IF(AND(ISNUMBER(D1265),ISNUMBER(E1265),E1265&lt;D1265),"⚠ Término anterior al inicio",IF(J1265&lt;&gt;"Sí","Pendiente comprobante firmado","OK")))</f>
        <v/>
      </c>
    </row>
    <row r="1266" customFormat="false" ht="15" hidden="false" customHeight="false" outlineLevel="0" collapsed="false">
      <c r="B1266" s="64"/>
      <c r="C1266" s="72" t="str">
        <f aca="false">IF(B1266="","",IFERROR(INDEX(T_NOMBRE,MATCH(B1266,T_ID,0)),"⚠ ID no existe"))</f>
        <v/>
      </c>
      <c r="D1266" s="65"/>
      <c r="E1266" s="65"/>
      <c r="F1266" s="64"/>
      <c r="G1266" s="74" t="str">
        <f aca="false">IF(OR(B1266="",NOT(ISNUMBER(D1266)),NOT(ISNUMBER(E1266))),"",NETWORKDAYS(D1266,E1266,FERIADOS))</f>
        <v/>
      </c>
      <c r="H1266" s="69"/>
      <c r="I1266" s="74" t="str">
        <f aca="false">IF(B1266="","",IF(ISNUMBER(H1266),H1266,N(G1266)))</f>
        <v/>
      </c>
      <c r="J1266" s="64"/>
      <c r="K1266" s="64"/>
      <c r="L1266" s="93" t="str">
        <f aca="false">IF(NOT(ISNUMBER(D1266)),"",DATE(YEAR(D1266),MONTH(D1266),1))</f>
        <v/>
      </c>
      <c r="M1266" s="70" t="str">
        <f aca="false">IF(B1266="","",IF(AND(ISNUMBER(D1266),ISNUMBER(E1266),E1266&lt;D1266),"⚠ Término anterior al inicio",IF(J1266&lt;&gt;"Sí","Pendiente comprobante firmado","OK")))</f>
        <v/>
      </c>
    </row>
    <row r="1267" customFormat="false" ht="15" hidden="false" customHeight="false" outlineLevel="0" collapsed="false">
      <c r="B1267" s="64"/>
      <c r="C1267" s="72" t="str">
        <f aca="false">IF(B1267="","",IFERROR(INDEX(T_NOMBRE,MATCH(B1267,T_ID,0)),"⚠ ID no existe"))</f>
        <v/>
      </c>
      <c r="D1267" s="65"/>
      <c r="E1267" s="65"/>
      <c r="F1267" s="64"/>
      <c r="G1267" s="74" t="str">
        <f aca="false">IF(OR(B1267="",NOT(ISNUMBER(D1267)),NOT(ISNUMBER(E1267))),"",NETWORKDAYS(D1267,E1267,FERIADOS))</f>
        <v/>
      </c>
      <c r="H1267" s="69"/>
      <c r="I1267" s="74" t="str">
        <f aca="false">IF(B1267="","",IF(ISNUMBER(H1267),H1267,N(G1267)))</f>
        <v/>
      </c>
      <c r="J1267" s="64"/>
      <c r="K1267" s="64"/>
      <c r="L1267" s="93" t="str">
        <f aca="false">IF(NOT(ISNUMBER(D1267)),"",DATE(YEAR(D1267),MONTH(D1267),1))</f>
        <v/>
      </c>
      <c r="M1267" s="70" t="str">
        <f aca="false">IF(B1267="","",IF(AND(ISNUMBER(D1267),ISNUMBER(E1267),E1267&lt;D1267),"⚠ Término anterior al inicio",IF(J1267&lt;&gt;"Sí","Pendiente comprobante firmado","OK")))</f>
        <v/>
      </c>
    </row>
    <row r="1268" customFormat="false" ht="15" hidden="false" customHeight="false" outlineLevel="0" collapsed="false">
      <c r="B1268" s="64"/>
      <c r="C1268" s="72" t="str">
        <f aca="false">IF(B1268="","",IFERROR(INDEX(T_NOMBRE,MATCH(B1268,T_ID,0)),"⚠ ID no existe"))</f>
        <v/>
      </c>
      <c r="D1268" s="65"/>
      <c r="E1268" s="65"/>
      <c r="F1268" s="64"/>
      <c r="G1268" s="74" t="str">
        <f aca="false">IF(OR(B1268="",NOT(ISNUMBER(D1268)),NOT(ISNUMBER(E1268))),"",NETWORKDAYS(D1268,E1268,FERIADOS))</f>
        <v/>
      </c>
      <c r="H1268" s="69"/>
      <c r="I1268" s="74" t="str">
        <f aca="false">IF(B1268="","",IF(ISNUMBER(H1268),H1268,N(G1268)))</f>
        <v/>
      </c>
      <c r="J1268" s="64"/>
      <c r="K1268" s="64"/>
      <c r="L1268" s="93" t="str">
        <f aca="false">IF(NOT(ISNUMBER(D1268)),"",DATE(YEAR(D1268),MONTH(D1268),1))</f>
        <v/>
      </c>
      <c r="M1268" s="70" t="str">
        <f aca="false">IF(B1268="","",IF(AND(ISNUMBER(D1268),ISNUMBER(E1268),E1268&lt;D1268),"⚠ Término anterior al inicio",IF(J1268&lt;&gt;"Sí","Pendiente comprobante firmado","OK")))</f>
        <v/>
      </c>
    </row>
    <row r="1269" customFormat="false" ht="15" hidden="false" customHeight="false" outlineLevel="0" collapsed="false">
      <c r="B1269" s="64"/>
      <c r="C1269" s="72" t="str">
        <f aca="false">IF(B1269="","",IFERROR(INDEX(T_NOMBRE,MATCH(B1269,T_ID,0)),"⚠ ID no existe"))</f>
        <v/>
      </c>
      <c r="D1269" s="65"/>
      <c r="E1269" s="65"/>
      <c r="F1269" s="64"/>
      <c r="G1269" s="74" t="str">
        <f aca="false">IF(OR(B1269="",NOT(ISNUMBER(D1269)),NOT(ISNUMBER(E1269))),"",NETWORKDAYS(D1269,E1269,FERIADOS))</f>
        <v/>
      </c>
      <c r="H1269" s="69"/>
      <c r="I1269" s="74" t="str">
        <f aca="false">IF(B1269="","",IF(ISNUMBER(H1269),H1269,N(G1269)))</f>
        <v/>
      </c>
      <c r="J1269" s="64"/>
      <c r="K1269" s="64"/>
      <c r="L1269" s="93" t="str">
        <f aca="false">IF(NOT(ISNUMBER(D1269)),"",DATE(YEAR(D1269),MONTH(D1269),1))</f>
        <v/>
      </c>
      <c r="M1269" s="70" t="str">
        <f aca="false">IF(B1269="","",IF(AND(ISNUMBER(D1269),ISNUMBER(E1269),E1269&lt;D1269),"⚠ Término anterior al inicio",IF(J1269&lt;&gt;"Sí","Pendiente comprobante firmado","OK")))</f>
        <v/>
      </c>
    </row>
    <row r="1270" customFormat="false" ht="15" hidden="false" customHeight="false" outlineLevel="0" collapsed="false">
      <c r="B1270" s="64"/>
      <c r="C1270" s="72" t="str">
        <f aca="false">IF(B1270="","",IFERROR(INDEX(T_NOMBRE,MATCH(B1270,T_ID,0)),"⚠ ID no existe"))</f>
        <v/>
      </c>
      <c r="D1270" s="65"/>
      <c r="E1270" s="65"/>
      <c r="F1270" s="64"/>
      <c r="G1270" s="74" t="str">
        <f aca="false">IF(OR(B1270="",NOT(ISNUMBER(D1270)),NOT(ISNUMBER(E1270))),"",NETWORKDAYS(D1270,E1270,FERIADOS))</f>
        <v/>
      </c>
      <c r="H1270" s="69"/>
      <c r="I1270" s="74" t="str">
        <f aca="false">IF(B1270="","",IF(ISNUMBER(H1270),H1270,N(G1270)))</f>
        <v/>
      </c>
      <c r="J1270" s="64"/>
      <c r="K1270" s="64"/>
      <c r="L1270" s="93" t="str">
        <f aca="false">IF(NOT(ISNUMBER(D1270)),"",DATE(YEAR(D1270),MONTH(D1270),1))</f>
        <v/>
      </c>
      <c r="M1270" s="70" t="str">
        <f aca="false">IF(B1270="","",IF(AND(ISNUMBER(D1270),ISNUMBER(E1270),E1270&lt;D1270),"⚠ Término anterior al inicio",IF(J1270&lt;&gt;"Sí","Pendiente comprobante firmado","OK")))</f>
        <v/>
      </c>
    </row>
    <row r="1271" customFormat="false" ht="15" hidden="false" customHeight="false" outlineLevel="0" collapsed="false">
      <c r="B1271" s="64"/>
      <c r="C1271" s="72" t="str">
        <f aca="false">IF(B1271="","",IFERROR(INDEX(T_NOMBRE,MATCH(B1271,T_ID,0)),"⚠ ID no existe"))</f>
        <v/>
      </c>
      <c r="D1271" s="65"/>
      <c r="E1271" s="65"/>
      <c r="F1271" s="64"/>
      <c r="G1271" s="74" t="str">
        <f aca="false">IF(OR(B1271="",NOT(ISNUMBER(D1271)),NOT(ISNUMBER(E1271))),"",NETWORKDAYS(D1271,E1271,FERIADOS))</f>
        <v/>
      </c>
      <c r="H1271" s="69"/>
      <c r="I1271" s="74" t="str">
        <f aca="false">IF(B1271="","",IF(ISNUMBER(H1271),H1271,N(G1271)))</f>
        <v/>
      </c>
      <c r="J1271" s="64"/>
      <c r="K1271" s="64"/>
      <c r="L1271" s="93" t="str">
        <f aca="false">IF(NOT(ISNUMBER(D1271)),"",DATE(YEAR(D1271),MONTH(D1271),1))</f>
        <v/>
      </c>
      <c r="M1271" s="70" t="str">
        <f aca="false">IF(B1271="","",IF(AND(ISNUMBER(D1271),ISNUMBER(E1271),E1271&lt;D1271),"⚠ Término anterior al inicio",IF(J1271&lt;&gt;"Sí","Pendiente comprobante firmado","OK")))</f>
        <v/>
      </c>
    </row>
    <row r="1272" customFormat="false" ht="15" hidden="false" customHeight="false" outlineLevel="0" collapsed="false">
      <c r="B1272" s="64"/>
      <c r="C1272" s="72" t="str">
        <f aca="false">IF(B1272="","",IFERROR(INDEX(T_NOMBRE,MATCH(B1272,T_ID,0)),"⚠ ID no existe"))</f>
        <v/>
      </c>
      <c r="D1272" s="65"/>
      <c r="E1272" s="65"/>
      <c r="F1272" s="64"/>
      <c r="G1272" s="74" t="str">
        <f aca="false">IF(OR(B1272="",NOT(ISNUMBER(D1272)),NOT(ISNUMBER(E1272))),"",NETWORKDAYS(D1272,E1272,FERIADOS))</f>
        <v/>
      </c>
      <c r="H1272" s="69"/>
      <c r="I1272" s="74" t="str">
        <f aca="false">IF(B1272="","",IF(ISNUMBER(H1272),H1272,N(G1272)))</f>
        <v/>
      </c>
      <c r="J1272" s="64"/>
      <c r="K1272" s="64"/>
      <c r="L1272" s="93" t="str">
        <f aca="false">IF(NOT(ISNUMBER(D1272)),"",DATE(YEAR(D1272),MONTH(D1272),1))</f>
        <v/>
      </c>
      <c r="M1272" s="70" t="str">
        <f aca="false">IF(B1272="","",IF(AND(ISNUMBER(D1272),ISNUMBER(E1272),E1272&lt;D1272),"⚠ Término anterior al inicio",IF(J1272&lt;&gt;"Sí","Pendiente comprobante firmado","OK")))</f>
        <v/>
      </c>
    </row>
    <row r="1273" customFormat="false" ht="15" hidden="false" customHeight="false" outlineLevel="0" collapsed="false">
      <c r="B1273" s="64"/>
      <c r="C1273" s="72" t="str">
        <f aca="false">IF(B1273="","",IFERROR(INDEX(T_NOMBRE,MATCH(B1273,T_ID,0)),"⚠ ID no existe"))</f>
        <v/>
      </c>
      <c r="D1273" s="65"/>
      <c r="E1273" s="65"/>
      <c r="F1273" s="64"/>
      <c r="G1273" s="74" t="str">
        <f aca="false">IF(OR(B1273="",NOT(ISNUMBER(D1273)),NOT(ISNUMBER(E1273))),"",NETWORKDAYS(D1273,E1273,FERIADOS))</f>
        <v/>
      </c>
      <c r="H1273" s="69"/>
      <c r="I1273" s="74" t="str">
        <f aca="false">IF(B1273="","",IF(ISNUMBER(H1273),H1273,N(G1273)))</f>
        <v/>
      </c>
      <c r="J1273" s="64"/>
      <c r="K1273" s="64"/>
      <c r="L1273" s="93" t="str">
        <f aca="false">IF(NOT(ISNUMBER(D1273)),"",DATE(YEAR(D1273),MONTH(D1273),1))</f>
        <v/>
      </c>
      <c r="M1273" s="70" t="str">
        <f aca="false">IF(B1273="","",IF(AND(ISNUMBER(D1273),ISNUMBER(E1273),E1273&lt;D1273),"⚠ Término anterior al inicio",IF(J1273&lt;&gt;"Sí","Pendiente comprobante firmado","OK")))</f>
        <v/>
      </c>
    </row>
    <row r="1274" customFormat="false" ht="15" hidden="false" customHeight="false" outlineLevel="0" collapsed="false">
      <c r="B1274" s="64"/>
      <c r="C1274" s="72" t="str">
        <f aca="false">IF(B1274="","",IFERROR(INDEX(T_NOMBRE,MATCH(B1274,T_ID,0)),"⚠ ID no existe"))</f>
        <v/>
      </c>
      <c r="D1274" s="65"/>
      <c r="E1274" s="65"/>
      <c r="F1274" s="64"/>
      <c r="G1274" s="74" t="str">
        <f aca="false">IF(OR(B1274="",NOT(ISNUMBER(D1274)),NOT(ISNUMBER(E1274))),"",NETWORKDAYS(D1274,E1274,FERIADOS))</f>
        <v/>
      </c>
      <c r="H1274" s="69"/>
      <c r="I1274" s="74" t="str">
        <f aca="false">IF(B1274="","",IF(ISNUMBER(H1274),H1274,N(G1274)))</f>
        <v/>
      </c>
      <c r="J1274" s="64"/>
      <c r="K1274" s="64"/>
      <c r="L1274" s="93" t="str">
        <f aca="false">IF(NOT(ISNUMBER(D1274)),"",DATE(YEAR(D1274),MONTH(D1274),1))</f>
        <v/>
      </c>
      <c r="M1274" s="70" t="str">
        <f aca="false">IF(B1274="","",IF(AND(ISNUMBER(D1274),ISNUMBER(E1274),E1274&lt;D1274),"⚠ Término anterior al inicio",IF(J1274&lt;&gt;"Sí","Pendiente comprobante firmado","OK")))</f>
        <v/>
      </c>
    </row>
    <row r="1275" customFormat="false" ht="15" hidden="false" customHeight="false" outlineLevel="0" collapsed="false">
      <c r="B1275" s="64"/>
      <c r="C1275" s="72" t="str">
        <f aca="false">IF(B1275="","",IFERROR(INDEX(T_NOMBRE,MATCH(B1275,T_ID,0)),"⚠ ID no existe"))</f>
        <v/>
      </c>
      <c r="D1275" s="65"/>
      <c r="E1275" s="65"/>
      <c r="F1275" s="64"/>
      <c r="G1275" s="74" t="str">
        <f aca="false">IF(OR(B1275="",NOT(ISNUMBER(D1275)),NOT(ISNUMBER(E1275))),"",NETWORKDAYS(D1275,E1275,FERIADOS))</f>
        <v/>
      </c>
      <c r="H1275" s="69"/>
      <c r="I1275" s="74" t="str">
        <f aca="false">IF(B1275="","",IF(ISNUMBER(H1275),H1275,N(G1275)))</f>
        <v/>
      </c>
      <c r="J1275" s="64"/>
      <c r="K1275" s="64"/>
      <c r="L1275" s="93" t="str">
        <f aca="false">IF(NOT(ISNUMBER(D1275)),"",DATE(YEAR(D1275),MONTH(D1275),1))</f>
        <v/>
      </c>
      <c r="M1275" s="70" t="str">
        <f aca="false">IF(B1275="","",IF(AND(ISNUMBER(D1275),ISNUMBER(E1275),E1275&lt;D1275),"⚠ Término anterior al inicio",IF(J1275&lt;&gt;"Sí","Pendiente comprobante firmado","OK")))</f>
        <v/>
      </c>
    </row>
    <row r="1276" customFormat="false" ht="15" hidden="false" customHeight="false" outlineLevel="0" collapsed="false">
      <c r="B1276" s="64"/>
      <c r="C1276" s="72" t="str">
        <f aca="false">IF(B1276="","",IFERROR(INDEX(T_NOMBRE,MATCH(B1276,T_ID,0)),"⚠ ID no existe"))</f>
        <v/>
      </c>
      <c r="D1276" s="65"/>
      <c r="E1276" s="65"/>
      <c r="F1276" s="64"/>
      <c r="G1276" s="74" t="str">
        <f aca="false">IF(OR(B1276="",NOT(ISNUMBER(D1276)),NOT(ISNUMBER(E1276))),"",NETWORKDAYS(D1276,E1276,FERIADOS))</f>
        <v/>
      </c>
      <c r="H1276" s="69"/>
      <c r="I1276" s="74" t="str">
        <f aca="false">IF(B1276="","",IF(ISNUMBER(H1276),H1276,N(G1276)))</f>
        <v/>
      </c>
      <c r="J1276" s="64"/>
      <c r="K1276" s="64"/>
      <c r="L1276" s="93" t="str">
        <f aca="false">IF(NOT(ISNUMBER(D1276)),"",DATE(YEAR(D1276),MONTH(D1276),1))</f>
        <v/>
      </c>
      <c r="M1276" s="70" t="str">
        <f aca="false">IF(B1276="","",IF(AND(ISNUMBER(D1276),ISNUMBER(E1276),E1276&lt;D1276),"⚠ Término anterior al inicio",IF(J1276&lt;&gt;"Sí","Pendiente comprobante firmado","OK")))</f>
        <v/>
      </c>
    </row>
    <row r="1277" customFormat="false" ht="15" hidden="false" customHeight="false" outlineLevel="0" collapsed="false">
      <c r="B1277" s="64"/>
      <c r="C1277" s="72" t="str">
        <f aca="false">IF(B1277="","",IFERROR(INDEX(T_NOMBRE,MATCH(B1277,T_ID,0)),"⚠ ID no existe"))</f>
        <v/>
      </c>
      <c r="D1277" s="65"/>
      <c r="E1277" s="65"/>
      <c r="F1277" s="64"/>
      <c r="G1277" s="74" t="str">
        <f aca="false">IF(OR(B1277="",NOT(ISNUMBER(D1277)),NOT(ISNUMBER(E1277))),"",NETWORKDAYS(D1277,E1277,FERIADOS))</f>
        <v/>
      </c>
      <c r="H1277" s="69"/>
      <c r="I1277" s="74" t="str">
        <f aca="false">IF(B1277="","",IF(ISNUMBER(H1277),H1277,N(G1277)))</f>
        <v/>
      </c>
      <c r="J1277" s="64"/>
      <c r="K1277" s="64"/>
      <c r="L1277" s="93" t="str">
        <f aca="false">IF(NOT(ISNUMBER(D1277)),"",DATE(YEAR(D1277),MONTH(D1277),1))</f>
        <v/>
      </c>
      <c r="M1277" s="70" t="str">
        <f aca="false">IF(B1277="","",IF(AND(ISNUMBER(D1277),ISNUMBER(E1277),E1277&lt;D1277),"⚠ Término anterior al inicio",IF(J1277&lt;&gt;"Sí","Pendiente comprobante firmado","OK")))</f>
        <v/>
      </c>
    </row>
    <row r="1278" customFormat="false" ht="15" hidden="false" customHeight="false" outlineLevel="0" collapsed="false">
      <c r="B1278" s="64"/>
      <c r="C1278" s="72" t="str">
        <f aca="false">IF(B1278="","",IFERROR(INDEX(T_NOMBRE,MATCH(B1278,T_ID,0)),"⚠ ID no existe"))</f>
        <v/>
      </c>
      <c r="D1278" s="65"/>
      <c r="E1278" s="65"/>
      <c r="F1278" s="64"/>
      <c r="G1278" s="74" t="str">
        <f aca="false">IF(OR(B1278="",NOT(ISNUMBER(D1278)),NOT(ISNUMBER(E1278))),"",NETWORKDAYS(D1278,E1278,FERIADOS))</f>
        <v/>
      </c>
      <c r="H1278" s="69"/>
      <c r="I1278" s="74" t="str">
        <f aca="false">IF(B1278="","",IF(ISNUMBER(H1278),H1278,N(G1278)))</f>
        <v/>
      </c>
      <c r="J1278" s="64"/>
      <c r="K1278" s="64"/>
      <c r="L1278" s="93" t="str">
        <f aca="false">IF(NOT(ISNUMBER(D1278)),"",DATE(YEAR(D1278),MONTH(D1278),1))</f>
        <v/>
      </c>
      <c r="M1278" s="70" t="str">
        <f aca="false">IF(B1278="","",IF(AND(ISNUMBER(D1278),ISNUMBER(E1278),E1278&lt;D1278),"⚠ Término anterior al inicio",IF(J1278&lt;&gt;"Sí","Pendiente comprobante firmado","OK")))</f>
        <v/>
      </c>
    </row>
    <row r="1279" customFormat="false" ht="15" hidden="false" customHeight="false" outlineLevel="0" collapsed="false">
      <c r="B1279" s="64"/>
      <c r="C1279" s="72" t="str">
        <f aca="false">IF(B1279="","",IFERROR(INDEX(T_NOMBRE,MATCH(B1279,T_ID,0)),"⚠ ID no existe"))</f>
        <v/>
      </c>
      <c r="D1279" s="65"/>
      <c r="E1279" s="65"/>
      <c r="F1279" s="64"/>
      <c r="G1279" s="74" t="str">
        <f aca="false">IF(OR(B1279="",NOT(ISNUMBER(D1279)),NOT(ISNUMBER(E1279))),"",NETWORKDAYS(D1279,E1279,FERIADOS))</f>
        <v/>
      </c>
      <c r="H1279" s="69"/>
      <c r="I1279" s="74" t="str">
        <f aca="false">IF(B1279="","",IF(ISNUMBER(H1279),H1279,N(G1279)))</f>
        <v/>
      </c>
      <c r="J1279" s="64"/>
      <c r="K1279" s="64"/>
      <c r="L1279" s="93" t="str">
        <f aca="false">IF(NOT(ISNUMBER(D1279)),"",DATE(YEAR(D1279),MONTH(D1279),1))</f>
        <v/>
      </c>
      <c r="M1279" s="70" t="str">
        <f aca="false">IF(B1279="","",IF(AND(ISNUMBER(D1279),ISNUMBER(E1279),E1279&lt;D1279),"⚠ Término anterior al inicio",IF(J1279&lt;&gt;"Sí","Pendiente comprobante firmado","OK")))</f>
        <v/>
      </c>
    </row>
    <row r="1280" customFormat="false" ht="15" hidden="false" customHeight="false" outlineLevel="0" collapsed="false">
      <c r="B1280" s="64"/>
      <c r="C1280" s="72" t="str">
        <f aca="false">IF(B1280="","",IFERROR(INDEX(T_NOMBRE,MATCH(B1280,T_ID,0)),"⚠ ID no existe"))</f>
        <v/>
      </c>
      <c r="D1280" s="65"/>
      <c r="E1280" s="65"/>
      <c r="F1280" s="64"/>
      <c r="G1280" s="74" t="str">
        <f aca="false">IF(OR(B1280="",NOT(ISNUMBER(D1280)),NOT(ISNUMBER(E1280))),"",NETWORKDAYS(D1280,E1280,FERIADOS))</f>
        <v/>
      </c>
      <c r="H1280" s="69"/>
      <c r="I1280" s="74" t="str">
        <f aca="false">IF(B1280="","",IF(ISNUMBER(H1280),H1280,N(G1280)))</f>
        <v/>
      </c>
      <c r="J1280" s="64"/>
      <c r="K1280" s="64"/>
      <c r="L1280" s="93" t="str">
        <f aca="false">IF(NOT(ISNUMBER(D1280)),"",DATE(YEAR(D1280),MONTH(D1280),1))</f>
        <v/>
      </c>
      <c r="M1280" s="70" t="str">
        <f aca="false">IF(B1280="","",IF(AND(ISNUMBER(D1280),ISNUMBER(E1280),E1280&lt;D1280),"⚠ Término anterior al inicio",IF(J1280&lt;&gt;"Sí","Pendiente comprobante firmado","OK")))</f>
        <v/>
      </c>
    </row>
    <row r="1281" customFormat="false" ht="15" hidden="false" customHeight="false" outlineLevel="0" collapsed="false">
      <c r="B1281" s="64"/>
      <c r="C1281" s="72" t="str">
        <f aca="false">IF(B1281="","",IFERROR(INDEX(T_NOMBRE,MATCH(B1281,T_ID,0)),"⚠ ID no existe"))</f>
        <v/>
      </c>
      <c r="D1281" s="65"/>
      <c r="E1281" s="65"/>
      <c r="F1281" s="64"/>
      <c r="G1281" s="74" t="str">
        <f aca="false">IF(OR(B1281="",NOT(ISNUMBER(D1281)),NOT(ISNUMBER(E1281))),"",NETWORKDAYS(D1281,E1281,FERIADOS))</f>
        <v/>
      </c>
      <c r="H1281" s="69"/>
      <c r="I1281" s="74" t="str">
        <f aca="false">IF(B1281="","",IF(ISNUMBER(H1281),H1281,N(G1281)))</f>
        <v/>
      </c>
      <c r="J1281" s="64"/>
      <c r="K1281" s="64"/>
      <c r="L1281" s="93" t="str">
        <f aca="false">IF(NOT(ISNUMBER(D1281)),"",DATE(YEAR(D1281),MONTH(D1281),1))</f>
        <v/>
      </c>
      <c r="M1281" s="70" t="str">
        <f aca="false">IF(B1281="","",IF(AND(ISNUMBER(D1281),ISNUMBER(E1281),E1281&lt;D1281),"⚠ Término anterior al inicio",IF(J1281&lt;&gt;"Sí","Pendiente comprobante firmado","OK")))</f>
        <v/>
      </c>
    </row>
    <row r="1282" customFormat="false" ht="15" hidden="false" customHeight="false" outlineLevel="0" collapsed="false">
      <c r="B1282" s="64"/>
      <c r="C1282" s="72" t="str">
        <f aca="false">IF(B1282="","",IFERROR(INDEX(T_NOMBRE,MATCH(B1282,T_ID,0)),"⚠ ID no existe"))</f>
        <v/>
      </c>
      <c r="D1282" s="65"/>
      <c r="E1282" s="65"/>
      <c r="F1282" s="64"/>
      <c r="G1282" s="74" t="str">
        <f aca="false">IF(OR(B1282="",NOT(ISNUMBER(D1282)),NOT(ISNUMBER(E1282))),"",NETWORKDAYS(D1282,E1282,FERIADOS))</f>
        <v/>
      </c>
      <c r="H1282" s="69"/>
      <c r="I1282" s="74" t="str">
        <f aca="false">IF(B1282="","",IF(ISNUMBER(H1282),H1282,N(G1282)))</f>
        <v/>
      </c>
      <c r="J1282" s="64"/>
      <c r="K1282" s="64"/>
      <c r="L1282" s="93" t="str">
        <f aca="false">IF(NOT(ISNUMBER(D1282)),"",DATE(YEAR(D1282),MONTH(D1282),1))</f>
        <v/>
      </c>
      <c r="M1282" s="70" t="str">
        <f aca="false">IF(B1282="","",IF(AND(ISNUMBER(D1282),ISNUMBER(E1282),E1282&lt;D1282),"⚠ Término anterior al inicio",IF(J1282&lt;&gt;"Sí","Pendiente comprobante firmado","OK")))</f>
        <v/>
      </c>
    </row>
    <row r="1283" customFormat="false" ht="15" hidden="false" customHeight="false" outlineLevel="0" collapsed="false">
      <c r="B1283" s="64"/>
      <c r="C1283" s="72" t="str">
        <f aca="false">IF(B1283="","",IFERROR(INDEX(T_NOMBRE,MATCH(B1283,T_ID,0)),"⚠ ID no existe"))</f>
        <v/>
      </c>
      <c r="D1283" s="65"/>
      <c r="E1283" s="65"/>
      <c r="F1283" s="64"/>
      <c r="G1283" s="74" t="str">
        <f aca="false">IF(OR(B1283="",NOT(ISNUMBER(D1283)),NOT(ISNUMBER(E1283))),"",NETWORKDAYS(D1283,E1283,FERIADOS))</f>
        <v/>
      </c>
      <c r="H1283" s="69"/>
      <c r="I1283" s="74" t="str">
        <f aca="false">IF(B1283="","",IF(ISNUMBER(H1283),H1283,N(G1283)))</f>
        <v/>
      </c>
      <c r="J1283" s="64"/>
      <c r="K1283" s="64"/>
      <c r="L1283" s="93" t="str">
        <f aca="false">IF(NOT(ISNUMBER(D1283)),"",DATE(YEAR(D1283),MONTH(D1283),1))</f>
        <v/>
      </c>
      <c r="M1283" s="70" t="str">
        <f aca="false">IF(B1283="","",IF(AND(ISNUMBER(D1283),ISNUMBER(E1283),E1283&lt;D1283),"⚠ Término anterior al inicio",IF(J1283&lt;&gt;"Sí","Pendiente comprobante firmado","OK")))</f>
        <v/>
      </c>
    </row>
    <row r="1284" customFormat="false" ht="15" hidden="false" customHeight="false" outlineLevel="0" collapsed="false">
      <c r="B1284" s="64"/>
      <c r="C1284" s="72" t="str">
        <f aca="false">IF(B1284="","",IFERROR(INDEX(T_NOMBRE,MATCH(B1284,T_ID,0)),"⚠ ID no existe"))</f>
        <v/>
      </c>
      <c r="D1284" s="65"/>
      <c r="E1284" s="65"/>
      <c r="F1284" s="64"/>
      <c r="G1284" s="74" t="str">
        <f aca="false">IF(OR(B1284="",NOT(ISNUMBER(D1284)),NOT(ISNUMBER(E1284))),"",NETWORKDAYS(D1284,E1284,FERIADOS))</f>
        <v/>
      </c>
      <c r="H1284" s="69"/>
      <c r="I1284" s="74" t="str">
        <f aca="false">IF(B1284="","",IF(ISNUMBER(H1284),H1284,N(G1284)))</f>
        <v/>
      </c>
      <c r="J1284" s="64"/>
      <c r="K1284" s="64"/>
      <c r="L1284" s="93" t="str">
        <f aca="false">IF(NOT(ISNUMBER(D1284)),"",DATE(YEAR(D1284),MONTH(D1284),1))</f>
        <v/>
      </c>
      <c r="M1284" s="70" t="str">
        <f aca="false">IF(B1284="","",IF(AND(ISNUMBER(D1284),ISNUMBER(E1284),E1284&lt;D1284),"⚠ Término anterior al inicio",IF(J1284&lt;&gt;"Sí","Pendiente comprobante firmado","OK")))</f>
        <v/>
      </c>
    </row>
    <row r="1285" customFormat="false" ht="15" hidden="false" customHeight="false" outlineLevel="0" collapsed="false">
      <c r="B1285" s="64"/>
      <c r="C1285" s="72" t="str">
        <f aca="false">IF(B1285="","",IFERROR(INDEX(T_NOMBRE,MATCH(B1285,T_ID,0)),"⚠ ID no existe"))</f>
        <v/>
      </c>
      <c r="D1285" s="65"/>
      <c r="E1285" s="65"/>
      <c r="F1285" s="64"/>
      <c r="G1285" s="74" t="str">
        <f aca="false">IF(OR(B1285="",NOT(ISNUMBER(D1285)),NOT(ISNUMBER(E1285))),"",NETWORKDAYS(D1285,E1285,FERIADOS))</f>
        <v/>
      </c>
      <c r="H1285" s="69"/>
      <c r="I1285" s="74" t="str">
        <f aca="false">IF(B1285="","",IF(ISNUMBER(H1285),H1285,N(G1285)))</f>
        <v/>
      </c>
      <c r="J1285" s="64"/>
      <c r="K1285" s="64"/>
      <c r="L1285" s="93" t="str">
        <f aca="false">IF(NOT(ISNUMBER(D1285)),"",DATE(YEAR(D1285),MONTH(D1285),1))</f>
        <v/>
      </c>
      <c r="M1285" s="70" t="str">
        <f aca="false">IF(B1285="","",IF(AND(ISNUMBER(D1285),ISNUMBER(E1285),E1285&lt;D1285),"⚠ Término anterior al inicio",IF(J1285&lt;&gt;"Sí","Pendiente comprobante firmado","OK")))</f>
        <v/>
      </c>
    </row>
    <row r="1286" customFormat="false" ht="15" hidden="false" customHeight="false" outlineLevel="0" collapsed="false">
      <c r="B1286" s="64"/>
      <c r="C1286" s="72" t="str">
        <f aca="false">IF(B1286="","",IFERROR(INDEX(T_NOMBRE,MATCH(B1286,T_ID,0)),"⚠ ID no existe"))</f>
        <v/>
      </c>
      <c r="D1286" s="65"/>
      <c r="E1286" s="65"/>
      <c r="F1286" s="64"/>
      <c r="G1286" s="74" t="str">
        <f aca="false">IF(OR(B1286="",NOT(ISNUMBER(D1286)),NOT(ISNUMBER(E1286))),"",NETWORKDAYS(D1286,E1286,FERIADOS))</f>
        <v/>
      </c>
      <c r="H1286" s="69"/>
      <c r="I1286" s="74" t="str">
        <f aca="false">IF(B1286="","",IF(ISNUMBER(H1286),H1286,N(G1286)))</f>
        <v/>
      </c>
      <c r="J1286" s="64"/>
      <c r="K1286" s="64"/>
      <c r="L1286" s="93" t="str">
        <f aca="false">IF(NOT(ISNUMBER(D1286)),"",DATE(YEAR(D1286),MONTH(D1286),1))</f>
        <v/>
      </c>
      <c r="M1286" s="70" t="str">
        <f aca="false">IF(B1286="","",IF(AND(ISNUMBER(D1286),ISNUMBER(E1286),E1286&lt;D1286),"⚠ Término anterior al inicio",IF(J1286&lt;&gt;"Sí","Pendiente comprobante firmado","OK")))</f>
        <v/>
      </c>
    </row>
    <row r="1287" customFormat="false" ht="15" hidden="false" customHeight="false" outlineLevel="0" collapsed="false">
      <c r="B1287" s="64"/>
      <c r="C1287" s="72" t="str">
        <f aca="false">IF(B1287="","",IFERROR(INDEX(T_NOMBRE,MATCH(B1287,T_ID,0)),"⚠ ID no existe"))</f>
        <v/>
      </c>
      <c r="D1287" s="65"/>
      <c r="E1287" s="65"/>
      <c r="F1287" s="64"/>
      <c r="G1287" s="74" t="str">
        <f aca="false">IF(OR(B1287="",NOT(ISNUMBER(D1287)),NOT(ISNUMBER(E1287))),"",NETWORKDAYS(D1287,E1287,FERIADOS))</f>
        <v/>
      </c>
      <c r="H1287" s="69"/>
      <c r="I1287" s="74" t="str">
        <f aca="false">IF(B1287="","",IF(ISNUMBER(H1287),H1287,N(G1287)))</f>
        <v/>
      </c>
      <c r="J1287" s="64"/>
      <c r="K1287" s="64"/>
      <c r="L1287" s="93" t="str">
        <f aca="false">IF(NOT(ISNUMBER(D1287)),"",DATE(YEAR(D1287),MONTH(D1287),1))</f>
        <v/>
      </c>
      <c r="M1287" s="70" t="str">
        <f aca="false">IF(B1287="","",IF(AND(ISNUMBER(D1287),ISNUMBER(E1287),E1287&lt;D1287),"⚠ Término anterior al inicio",IF(J1287&lt;&gt;"Sí","Pendiente comprobante firmado","OK")))</f>
        <v/>
      </c>
    </row>
    <row r="1288" customFormat="false" ht="15" hidden="false" customHeight="false" outlineLevel="0" collapsed="false">
      <c r="B1288" s="64"/>
      <c r="C1288" s="72" t="str">
        <f aca="false">IF(B1288="","",IFERROR(INDEX(T_NOMBRE,MATCH(B1288,T_ID,0)),"⚠ ID no existe"))</f>
        <v/>
      </c>
      <c r="D1288" s="65"/>
      <c r="E1288" s="65"/>
      <c r="F1288" s="64"/>
      <c r="G1288" s="74" t="str">
        <f aca="false">IF(OR(B1288="",NOT(ISNUMBER(D1288)),NOT(ISNUMBER(E1288))),"",NETWORKDAYS(D1288,E1288,FERIADOS))</f>
        <v/>
      </c>
      <c r="H1288" s="69"/>
      <c r="I1288" s="74" t="str">
        <f aca="false">IF(B1288="","",IF(ISNUMBER(H1288),H1288,N(G1288)))</f>
        <v/>
      </c>
      <c r="J1288" s="64"/>
      <c r="K1288" s="64"/>
      <c r="L1288" s="93" t="str">
        <f aca="false">IF(NOT(ISNUMBER(D1288)),"",DATE(YEAR(D1288),MONTH(D1288),1))</f>
        <v/>
      </c>
      <c r="M1288" s="70" t="str">
        <f aca="false">IF(B1288="","",IF(AND(ISNUMBER(D1288),ISNUMBER(E1288),E1288&lt;D1288),"⚠ Término anterior al inicio",IF(J1288&lt;&gt;"Sí","Pendiente comprobante firmado","OK")))</f>
        <v/>
      </c>
    </row>
    <row r="1289" customFormat="false" ht="15" hidden="false" customHeight="false" outlineLevel="0" collapsed="false">
      <c r="B1289" s="64"/>
      <c r="C1289" s="72" t="str">
        <f aca="false">IF(B1289="","",IFERROR(INDEX(T_NOMBRE,MATCH(B1289,T_ID,0)),"⚠ ID no existe"))</f>
        <v/>
      </c>
      <c r="D1289" s="65"/>
      <c r="E1289" s="65"/>
      <c r="F1289" s="64"/>
      <c r="G1289" s="74" t="str">
        <f aca="false">IF(OR(B1289="",NOT(ISNUMBER(D1289)),NOT(ISNUMBER(E1289))),"",NETWORKDAYS(D1289,E1289,FERIADOS))</f>
        <v/>
      </c>
      <c r="H1289" s="69"/>
      <c r="I1289" s="74" t="str">
        <f aca="false">IF(B1289="","",IF(ISNUMBER(H1289),H1289,N(G1289)))</f>
        <v/>
      </c>
      <c r="J1289" s="64"/>
      <c r="K1289" s="64"/>
      <c r="L1289" s="93" t="str">
        <f aca="false">IF(NOT(ISNUMBER(D1289)),"",DATE(YEAR(D1289),MONTH(D1289),1))</f>
        <v/>
      </c>
      <c r="M1289" s="70" t="str">
        <f aca="false">IF(B1289="","",IF(AND(ISNUMBER(D1289),ISNUMBER(E1289),E1289&lt;D1289),"⚠ Término anterior al inicio",IF(J1289&lt;&gt;"Sí","Pendiente comprobante firmado","OK")))</f>
        <v/>
      </c>
    </row>
    <row r="1290" customFormat="false" ht="15" hidden="false" customHeight="false" outlineLevel="0" collapsed="false">
      <c r="B1290" s="64"/>
      <c r="C1290" s="72" t="str">
        <f aca="false">IF(B1290="","",IFERROR(INDEX(T_NOMBRE,MATCH(B1290,T_ID,0)),"⚠ ID no existe"))</f>
        <v/>
      </c>
      <c r="D1290" s="65"/>
      <c r="E1290" s="65"/>
      <c r="F1290" s="64"/>
      <c r="G1290" s="74" t="str">
        <f aca="false">IF(OR(B1290="",NOT(ISNUMBER(D1290)),NOT(ISNUMBER(E1290))),"",NETWORKDAYS(D1290,E1290,FERIADOS))</f>
        <v/>
      </c>
      <c r="H1290" s="69"/>
      <c r="I1290" s="74" t="str">
        <f aca="false">IF(B1290="","",IF(ISNUMBER(H1290),H1290,N(G1290)))</f>
        <v/>
      </c>
      <c r="J1290" s="64"/>
      <c r="K1290" s="64"/>
      <c r="L1290" s="93" t="str">
        <f aca="false">IF(NOT(ISNUMBER(D1290)),"",DATE(YEAR(D1290),MONTH(D1290),1))</f>
        <v/>
      </c>
      <c r="M1290" s="70" t="str">
        <f aca="false">IF(B1290="","",IF(AND(ISNUMBER(D1290),ISNUMBER(E1290),E1290&lt;D1290),"⚠ Término anterior al inicio",IF(J1290&lt;&gt;"Sí","Pendiente comprobante firmado","OK")))</f>
        <v/>
      </c>
    </row>
    <row r="1291" customFormat="false" ht="15" hidden="false" customHeight="false" outlineLevel="0" collapsed="false">
      <c r="B1291" s="64"/>
      <c r="C1291" s="72" t="str">
        <f aca="false">IF(B1291="","",IFERROR(INDEX(T_NOMBRE,MATCH(B1291,T_ID,0)),"⚠ ID no existe"))</f>
        <v/>
      </c>
      <c r="D1291" s="65"/>
      <c r="E1291" s="65"/>
      <c r="F1291" s="64"/>
      <c r="G1291" s="74" t="str">
        <f aca="false">IF(OR(B1291="",NOT(ISNUMBER(D1291)),NOT(ISNUMBER(E1291))),"",NETWORKDAYS(D1291,E1291,FERIADOS))</f>
        <v/>
      </c>
      <c r="H1291" s="69"/>
      <c r="I1291" s="74" t="str">
        <f aca="false">IF(B1291="","",IF(ISNUMBER(H1291),H1291,N(G1291)))</f>
        <v/>
      </c>
      <c r="J1291" s="64"/>
      <c r="K1291" s="64"/>
      <c r="L1291" s="93" t="str">
        <f aca="false">IF(NOT(ISNUMBER(D1291)),"",DATE(YEAR(D1291),MONTH(D1291),1))</f>
        <v/>
      </c>
      <c r="M1291" s="70" t="str">
        <f aca="false">IF(B1291="","",IF(AND(ISNUMBER(D1291),ISNUMBER(E1291),E1291&lt;D1291),"⚠ Término anterior al inicio",IF(J1291&lt;&gt;"Sí","Pendiente comprobante firmado","OK")))</f>
        <v/>
      </c>
    </row>
    <row r="1292" customFormat="false" ht="15" hidden="false" customHeight="false" outlineLevel="0" collapsed="false">
      <c r="B1292" s="64"/>
      <c r="C1292" s="72" t="str">
        <f aca="false">IF(B1292="","",IFERROR(INDEX(T_NOMBRE,MATCH(B1292,T_ID,0)),"⚠ ID no existe"))</f>
        <v/>
      </c>
      <c r="D1292" s="65"/>
      <c r="E1292" s="65"/>
      <c r="F1292" s="64"/>
      <c r="G1292" s="74" t="str">
        <f aca="false">IF(OR(B1292="",NOT(ISNUMBER(D1292)),NOT(ISNUMBER(E1292))),"",NETWORKDAYS(D1292,E1292,FERIADOS))</f>
        <v/>
      </c>
      <c r="H1292" s="69"/>
      <c r="I1292" s="74" t="str">
        <f aca="false">IF(B1292="","",IF(ISNUMBER(H1292),H1292,N(G1292)))</f>
        <v/>
      </c>
      <c r="J1292" s="64"/>
      <c r="K1292" s="64"/>
      <c r="L1292" s="93" t="str">
        <f aca="false">IF(NOT(ISNUMBER(D1292)),"",DATE(YEAR(D1292),MONTH(D1292),1))</f>
        <v/>
      </c>
      <c r="M1292" s="70" t="str">
        <f aca="false">IF(B1292="","",IF(AND(ISNUMBER(D1292),ISNUMBER(E1292),E1292&lt;D1292),"⚠ Término anterior al inicio",IF(J1292&lt;&gt;"Sí","Pendiente comprobante firmado","OK")))</f>
        <v/>
      </c>
    </row>
    <row r="1293" customFormat="false" ht="15" hidden="false" customHeight="false" outlineLevel="0" collapsed="false">
      <c r="B1293" s="64"/>
      <c r="C1293" s="72" t="str">
        <f aca="false">IF(B1293="","",IFERROR(INDEX(T_NOMBRE,MATCH(B1293,T_ID,0)),"⚠ ID no existe"))</f>
        <v/>
      </c>
      <c r="D1293" s="65"/>
      <c r="E1293" s="65"/>
      <c r="F1293" s="64"/>
      <c r="G1293" s="74" t="str">
        <f aca="false">IF(OR(B1293="",NOT(ISNUMBER(D1293)),NOT(ISNUMBER(E1293))),"",NETWORKDAYS(D1293,E1293,FERIADOS))</f>
        <v/>
      </c>
      <c r="H1293" s="69"/>
      <c r="I1293" s="74" t="str">
        <f aca="false">IF(B1293="","",IF(ISNUMBER(H1293),H1293,N(G1293)))</f>
        <v/>
      </c>
      <c r="J1293" s="64"/>
      <c r="K1293" s="64"/>
      <c r="L1293" s="93" t="str">
        <f aca="false">IF(NOT(ISNUMBER(D1293)),"",DATE(YEAR(D1293),MONTH(D1293),1))</f>
        <v/>
      </c>
      <c r="M1293" s="70" t="str">
        <f aca="false">IF(B1293="","",IF(AND(ISNUMBER(D1293),ISNUMBER(E1293),E1293&lt;D1293),"⚠ Término anterior al inicio",IF(J1293&lt;&gt;"Sí","Pendiente comprobante firmado","OK")))</f>
        <v/>
      </c>
    </row>
    <row r="1294" customFormat="false" ht="15" hidden="false" customHeight="false" outlineLevel="0" collapsed="false">
      <c r="B1294" s="64"/>
      <c r="C1294" s="72" t="str">
        <f aca="false">IF(B1294="","",IFERROR(INDEX(T_NOMBRE,MATCH(B1294,T_ID,0)),"⚠ ID no existe"))</f>
        <v/>
      </c>
      <c r="D1294" s="65"/>
      <c r="E1294" s="65"/>
      <c r="F1294" s="64"/>
      <c r="G1294" s="74" t="str">
        <f aca="false">IF(OR(B1294="",NOT(ISNUMBER(D1294)),NOT(ISNUMBER(E1294))),"",NETWORKDAYS(D1294,E1294,FERIADOS))</f>
        <v/>
      </c>
      <c r="H1294" s="69"/>
      <c r="I1294" s="74" t="str">
        <f aca="false">IF(B1294="","",IF(ISNUMBER(H1294),H1294,N(G1294)))</f>
        <v/>
      </c>
      <c r="J1294" s="64"/>
      <c r="K1294" s="64"/>
      <c r="L1294" s="93" t="str">
        <f aca="false">IF(NOT(ISNUMBER(D1294)),"",DATE(YEAR(D1294),MONTH(D1294),1))</f>
        <v/>
      </c>
      <c r="M1294" s="70" t="str">
        <f aca="false">IF(B1294="","",IF(AND(ISNUMBER(D1294),ISNUMBER(E1294),E1294&lt;D1294),"⚠ Término anterior al inicio",IF(J1294&lt;&gt;"Sí","Pendiente comprobante firmado","OK")))</f>
        <v/>
      </c>
    </row>
    <row r="1295" customFormat="false" ht="15" hidden="false" customHeight="false" outlineLevel="0" collapsed="false">
      <c r="B1295" s="64"/>
      <c r="C1295" s="72" t="str">
        <f aca="false">IF(B1295="","",IFERROR(INDEX(T_NOMBRE,MATCH(B1295,T_ID,0)),"⚠ ID no existe"))</f>
        <v/>
      </c>
      <c r="D1295" s="65"/>
      <c r="E1295" s="65"/>
      <c r="F1295" s="64"/>
      <c r="G1295" s="74" t="str">
        <f aca="false">IF(OR(B1295="",NOT(ISNUMBER(D1295)),NOT(ISNUMBER(E1295))),"",NETWORKDAYS(D1295,E1295,FERIADOS))</f>
        <v/>
      </c>
      <c r="H1295" s="69"/>
      <c r="I1295" s="74" t="str">
        <f aca="false">IF(B1295="","",IF(ISNUMBER(H1295),H1295,N(G1295)))</f>
        <v/>
      </c>
      <c r="J1295" s="64"/>
      <c r="K1295" s="64"/>
      <c r="L1295" s="93" t="str">
        <f aca="false">IF(NOT(ISNUMBER(D1295)),"",DATE(YEAR(D1295),MONTH(D1295),1))</f>
        <v/>
      </c>
      <c r="M1295" s="70" t="str">
        <f aca="false">IF(B1295="","",IF(AND(ISNUMBER(D1295),ISNUMBER(E1295),E1295&lt;D1295),"⚠ Término anterior al inicio",IF(J1295&lt;&gt;"Sí","Pendiente comprobante firmado","OK")))</f>
        <v/>
      </c>
    </row>
    <row r="1296" customFormat="false" ht="15" hidden="false" customHeight="false" outlineLevel="0" collapsed="false">
      <c r="B1296" s="64"/>
      <c r="C1296" s="72" t="str">
        <f aca="false">IF(B1296="","",IFERROR(INDEX(T_NOMBRE,MATCH(B1296,T_ID,0)),"⚠ ID no existe"))</f>
        <v/>
      </c>
      <c r="D1296" s="65"/>
      <c r="E1296" s="65"/>
      <c r="F1296" s="64"/>
      <c r="G1296" s="74" t="str">
        <f aca="false">IF(OR(B1296="",NOT(ISNUMBER(D1296)),NOT(ISNUMBER(E1296))),"",NETWORKDAYS(D1296,E1296,FERIADOS))</f>
        <v/>
      </c>
      <c r="H1296" s="69"/>
      <c r="I1296" s="74" t="str">
        <f aca="false">IF(B1296="","",IF(ISNUMBER(H1296),H1296,N(G1296)))</f>
        <v/>
      </c>
      <c r="J1296" s="64"/>
      <c r="K1296" s="64"/>
      <c r="L1296" s="93" t="str">
        <f aca="false">IF(NOT(ISNUMBER(D1296)),"",DATE(YEAR(D1296),MONTH(D1296),1))</f>
        <v/>
      </c>
      <c r="M1296" s="70" t="str">
        <f aca="false">IF(B1296="","",IF(AND(ISNUMBER(D1296),ISNUMBER(E1296),E1296&lt;D1296),"⚠ Término anterior al inicio",IF(J1296&lt;&gt;"Sí","Pendiente comprobante firmado","OK")))</f>
        <v/>
      </c>
    </row>
    <row r="1297" customFormat="false" ht="15" hidden="false" customHeight="false" outlineLevel="0" collapsed="false">
      <c r="B1297" s="64"/>
      <c r="C1297" s="72" t="str">
        <f aca="false">IF(B1297="","",IFERROR(INDEX(T_NOMBRE,MATCH(B1297,T_ID,0)),"⚠ ID no existe"))</f>
        <v/>
      </c>
      <c r="D1297" s="65"/>
      <c r="E1297" s="65"/>
      <c r="F1297" s="64"/>
      <c r="G1297" s="74" t="str">
        <f aca="false">IF(OR(B1297="",NOT(ISNUMBER(D1297)),NOT(ISNUMBER(E1297))),"",NETWORKDAYS(D1297,E1297,FERIADOS))</f>
        <v/>
      </c>
      <c r="H1297" s="69"/>
      <c r="I1297" s="74" t="str">
        <f aca="false">IF(B1297="","",IF(ISNUMBER(H1297),H1297,N(G1297)))</f>
        <v/>
      </c>
      <c r="J1297" s="64"/>
      <c r="K1297" s="64"/>
      <c r="L1297" s="93" t="str">
        <f aca="false">IF(NOT(ISNUMBER(D1297)),"",DATE(YEAR(D1297),MONTH(D1297),1))</f>
        <v/>
      </c>
      <c r="M1297" s="70" t="str">
        <f aca="false">IF(B1297="","",IF(AND(ISNUMBER(D1297),ISNUMBER(E1297),E1297&lt;D1297),"⚠ Término anterior al inicio",IF(J1297&lt;&gt;"Sí","Pendiente comprobante firmado","OK")))</f>
        <v/>
      </c>
    </row>
    <row r="1298" customFormat="false" ht="15" hidden="false" customHeight="false" outlineLevel="0" collapsed="false">
      <c r="B1298" s="64"/>
      <c r="C1298" s="72" t="str">
        <f aca="false">IF(B1298="","",IFERROR(INDEX(T_NOMBRE,MATCH(B1298,T_ID,0)),"⚠ ID no existe"))</f>
        <v/>
      </c>
      <c r="D1298" s="65"/>
      <c r="E1298" s="65"/>
      <c r="F1298" s="64"/>
      <c r="G1298" s="74" t="str">
        <f aca="false">IF(OR(B1298="",NOT(ISNUMBER(D1298)),NOT(ISNUMBER(E1298))),"",NETWORKDAYS(D1298,E1298,FERIADOS))</f>
        <v/>
      </c>
      <c r="H1298" s="69"/>
      <c r="I1298" s="74" t="str">
        <f aca="false">IF(B1298="","",IF(ISNUMBER(H1298),H1298,N(G1298)))</f>
        <v/>
      </c>
      <c r="J1298" s="64"/>
      <c r="K1298" s="64"/>
      <c r="L1298" s="93" t="str">
        <f aca="false">IF(NOT(ISNUMBER(D1298)),"",DATE(YEAR(D1298),MONTH(D1298),1))</f>
        <v/>
      </c>
      <c r="M1298" s="70" t="str">
        <f aca="false">IF(B1298="","",IF(AND(ISNUMBER(D1298),ISNUMBER(E1298),E1298&lt;D1298),"⚠ Término anterior al inicio",IF(J1298&lt;&gt;"Sí","Pendiente comprobante firmado","OK")))</f>
        <v/>
      </c>
    </row>
    <row r="1299" customFormat="false" ht="15" hidden="false" customHeight="false" outlineLevel="0" collapsed="false">
      <c r="B1299" s="64"/>
      <c r="C1299" s="72" t="str">
        <f aca="false">IF(B1299="","",IFERROR(INDEX(T_NOMBRE,MATCH(B1299,T_ID,0)),"⚠ ID no existe"))</f>
        <v/>
      </c>
      <c r="D1299" s="65"/>
      <c r="E1299" s="65"/>
      <c r="F1299" s="64"/>
      <c r="G1299" s="74" t="str">
        <f aca="false">IF(OR(B1299="",NOT(ISNUMBER(D1299)),NOT(ISNUMBER(E1299))),"",NETWORKDAYS(D1299,E1299,FERIADOS))</f>
        <v/>
      </c>
      <c r="H1299" s="69"/>
      <c r="I1299" s="74" t="str">
        <f aca="false">IF(B1299="","",IF(ISNUMBER(H1299),H1299,N(G1299)))</f>
        <v/>
      </c>
      <c r="J1299" s="64"/>
      <c r="K1299" s="64"/>
      <c r="L1299" s="93" t="str">
        <f aca="false">IF(NOT(ISNUMBER(D1299)),"",DATE(YEAR(D1299),MONTH(D1299),1))</f>
        <v/>
      </c>
      <c r="M1299" s="70" t="str">
        <f aca="false">IF(B1299="","",IF(AND(ISNUMBER(D1299),ISNUMBER(E1299),E1299&lt;D1299),"⚠ Término anterior al inicio",IF(J1299&lt;&gt;"Sí","Pendiente comprobante firmado","OK")))</f>
        <v/>
      </c>
    </row>
    <row r="1300" customFormat="false" ht="15" hidden="false" customHeight="false" outlineLevel="0" collapsed="false">
      <c r="B1300" s="64"/>
      <c r="C1300" s="72" t="str">
        <f aca="false">IF(B1300="","",IFERROR(INDEX(T_NOMBRE,MATCH(B1300,T_ID,0)),"⚠ ID no existe"))</f>
        <v/>
      </c>
      <c r="D1300" s="65"/>
      <c r="E1300" s="65"/>
      <c r="F1300" s="64"/>
      <c r="G1300" s="74" t="str">
        <f aca="false">IF(OR(B1300="",NOT(ISNUMBER(D1300)),NOT(ISNUMBER(E1300))),"",NETWORKDAYS(D1300,E1300,FERIADOS))</f>
        <v/>
      </c>
      <c r="H1300" s="69"/>
      <c r="I1300" s="74" t="str">
        <f aca="false">IF(B1300="","",IF(ISNUMBER(H1300),H1300,N(G1300)))</f>
        <v/>
      </c>
      <c r="J1300" s="64"/>
      <c r="K1300" s="64"/>
      <c r="L1300" s="93" t="str">
        <f aca="false">IF(NOT(ISNUMBER(D1300)),"",DATE(YEAR(D1300),MONTH(D1300),1))</f>
        <v/>
      </c>
      <c r="M1300" s="70" t="str">
        <f aca="false">IF(B1300="","",IF(AND(ISNUMBER(D1300),ISNUMBER(E1300),E1300&lt;D1300),"⚠ Término anterior al inicio",IF(J1300&lt;&gt;"Sí","Pendiente comprobante firmado","OK")))</f>
        <v/>
      </c>
    </row>
    <row r="1301" customFormat="false" ht="15" hidden="false" customHeight="false" outlineLevel="0" collapsed="false">
      <c r="B1301" s="64"/>
      <c r="C1301" s="72" t="str">
        <f aca="false">IF(B1301="","",IFERROR(INDEX(T_NOMBRE,MATCH(B1301,T_ID,0)),"⚠ ID no existe"))</f>
        <v/>
      </c>
      <c r="D1301" s="65"/>
      <c r="E1301" s="65"/>
      <c r="F1301" s="64"/>
      <c r="G1301" s="74" t="str">
        <f aca="false">IF(OR(B1301="",NOT(ISNUMBER(D1301)),NOT(ISNUMBER(E1301))),"",NETWORKDAYS(D1301,E1301,FERIADOS))</f>
        <v/>
      </c>
      <c r="H1301" s="69"/>
      <c r="I1301" s="74" t="str">
        <f aca="false">IF(B1301="","",IF(ISNUMBER(H1301),H1301,N(G1301)))</f>
        <v/>
      </c>
      <c r="J1301" s="64"/>
      <c r="K1301" s="64"/>
      <c r="L1301" s="93" t="str">
        <f aca="false">IF(NOT(ISNUMBER(D1301)),"",DATE(YEAR(D1301),MONTH(D1301),1))</f>
        <v/>
      </c>
      <c r="M1301" s="70" t="str">
        <f aca="false">IF(B1301="","",IF(AND(ISNUMBER(D1301),ISNUMBER(E1301),E1301&lt;D1301),"⚠ Término anterior al inicio",IF(J1301&lt;&gt;"Sí","Pendiente comprobante firmado","OK")))</f>
        <v/>
      </c>
    </row>
    <row r="1302" customFormat="false" ht="15" hidden="false" customHeight="false" outlineLevel="0" collapsed="false">
      <c r="B1302" s="64"/>
      <c r="C1302" s="72" t="str">
        <f aca="false">IF(B1302="","",IFERROR(INDEX(T_NOMBRE,MATCH(B1302,T_ID,0)),"⚠ ID no existe"))</f>
        <v/>
      </c>
      <c r="D1302" s="65"/>
      <c r="E1302" s="65"/>
      <c r="F1302" s="64"/>
      <c r="G1302" s="74" t="str">
        <f aca="false">IF(OR(B1302="",NOT(ISNUMBER(D1302)),NOT(ISNUMBER(E1302))),"",NETWORKDAYS(D1302,E1302,FERIADOS))</f>
        <v/>
      </c>
      <c r="H1302" s="69"/>
      <c r="I1302" s="74" t="str">
        <f aca="false">IF(B1302="","",IF(ISNUMBER(H1302),H1302,N(G1302)))</f>
        <v/>
      </c>
      <c r="J1302" s="64"/>
      <c r="K1302" s="64"/>
      <c r="L1302" s="93" t="str">
        <f aca="false">IF(NOT(ISNUMBER(D1302)),"",DATE(YEAR(D1302),MONTH(D1302),1))</f>
        <v/>
      </c>
      <c r="M1302" s="70" t="str">
        <f aca="false">IF(B1302="","",IF(AND(ISNUMBER(D1302),ISNUMBER(E1302),E1302&lt;D1302),"⚠ Término anterior al inicio",IF(J1302&lt;&gt;"Sí","Pendiente comprobante firmado","OK")))</f>
        <v/>
      </c>
    </row>
    <row r="1303" customFormat="false" ht="15" hidden="false" customHeight="false" outlineLevel="0" collapsed="false">
      <c r="B1303" s="64"/>
      <c r="C1303" s="72" t="str">
        <f aca="false">IF(B1303="","",IFERROR(INDEX(T_NOMBRE,MATCH(B1303,T_ID,0)),"⚠ ID no existe"))</f>
        <v/>
      </c>
      <c r="D1303" s="65"/>
      <c r="E1303" s="65"/>
      <c r="F1303" s="64"/>
      <c r="G1303" s="74" t="str">
        <f aca="false">IF(OR(B1303="",NOT(ISNUMBER(D1303)),NOT(ISNUMBER(E1303))),"",NETWORKDAYS(D1303,E1303,FERIADOS))</f>
        <v/>
      </c>
      <c r="H1303" s="69"/>
      <c r="I1303" s="74" t="str">
        <f aca="false">IF(B1303="","",IF(ISNUMBER(H1303),H1303,N(G1303)))</f>
        <v/>
      </c>
      <c r="J1303" s="64"/>
      <c r="K1303" s="64"/>
      <c r="L1303" s="93" t="str">
        <f aca="false">IF(NOT(ISNUMBER(D1303)),"",DATE(YEAR(D1303),MONTH(D1303),1))</f>
        <v/>
      </c>
      <c r="M1303" s="70" t="str">
        <f aca="false">IF(B1303="","",IF(AND(ISNUMBER(D1303),ISNUMBER(E1303),E1303&lt;D1303),"⚠ Término anterior al inicio",IF(J1303&lt;&gt;"Sí","Pendiente comprobante firmado","OK")))</f>
        <v/>
      </c>
    </row>
    <row r="1304" customFormat="false" ht="15" hidden="false" customHeight="false" outlineLevel="0" collapsed="false">
      <c r="B1304" s="64"/>
      <c r="C1304" s="72" t="str">
        <f aca="false">IF(B1304="","",IFERROR(INDEX(T_NOMBRE,MATCH(B1304,T_ID,0)),"⚠ ID no existe"))</f>
        <v/>
      </c>
      <c r="D1304" s="65"/>
      <c r="E1304" s="65"/>
      <c r="F1304" s="64"/>
      <c r="G1304" s="74" t="str">
        <f aca="false">IF(OR(B1304="",NOT(ISNUMBER(D1304)),NOT(ISNUMBER(E1304))),"",NETWORKDAYS(D1304,E1304,FERIADOS))</f>
        <v/>
      </c>
      <c r="H1304" s="69"/>
      <c r="I1304" s="74" t="str">
        <f aca="false">IF(B1304="","",IF(ISNUMBER(H1304),H1304,N(G1304)))</f>
        <v/>
      </c>
      <c r="J1304" s="64"/>
      <c r="K1304" s="64"/>
      <c r="L1304" s="93" t="str">
        <f aca="false">IF(NOT(ISNUMBER(D1304)),"",DATE(YEAR(D1304),MONTH(D1304),1))</f>
        <v/>
      </c>
      <c r="M1304" s="70" t="str">
        <f aca="false">IF(B1304="","",IF(AND(ISNUMBER(D1304),ISNUMBER(E1304),E1304&lt;D1304),"⚠ Término anterior al inicio",IF(J1304&lt;&gt;"Sí","Pendiente comprobante firmado","OK")))</f>
        <v/>
      </c>
    </row>
    <row r="1305" customFormat="false" ht="15" hidden="false" customHeight="false" outlineLevel="0" collapsed="false">
      <c r="B1305" s="64"/>
      <c r="C1305" s="72" t="str">
        <f aca="false">IF(B1305="","",IFERROR(INDEX(T_NOMBRE,MATCH(B1305,T_ID,0)),"⚠ ID no existe"))</f>
        <v/>
      </c>
      <c r="D1305" s="65"/>
      <c r="E1305" s="65"/>
      <c r="F1305" s="64"/>
      <c r="G1305" s="74" t="str">
        <f aca="false">IF(OR(B1305="",NOT(ISNUMBER(D1305)),NOT(ISNUMBER(E1305))),"",NETWORKDAYS(D1305,E1305,FERIADOS))</f>
        <v/>
      </c>
      <c r="H1305" s="69"/>
      <c r="I1305" s="74" t="str">
        <f aca="false">IF(B1305="","",IF(ISNUMBER(H1305),H1305,N(G1305)))</f>
        <v/>
      </c>
      <c r="J1305" s="64"/>
      <c r="K1305" s="64"/>
      <c r="L1305" s="93" t="str">
        <f aca="false">IF(NOT(ISNUMBER(D1305)),"",DATE(YEAR(D1305),MONTH(D1305),1))</f>
        <v/>
      </c>
      <c r="M1305" s="70" t="str">
        <f aca="false">IF(B1305="","",IF(AND(ISNUMBER(D1305),ISNUMBER(E1305),E1305&lt;D1305),"⚠ Término anterior al inicio",IF(J1305&lt;&gt;"Sí","Pendiente comprobante firmado","OK")))</f>
        <v/>
      </c>
    </row>
    <row r="1306" customFormat="false" ht="15" hidden="false" customHeight="false" outlineLevel="0" collapsed="false">
      <c r="B1306" s="64"/>
      <c r="C1306" s="72" t="str">
        <f aca="false">IF(B1306="","",IFERROR(INDEX(T_NOMBRE,MATCH(B1306,T_ID,0)),"⚠ ID no existe"))</f>
        <v/>
      </c>
      <c r="D1306" s="65"/>
      <c r="E1306" s="65"/>
      <c r="F1306" s="64"/>
      <c r="G1306" s="74" t="str">
        <f aca="false">IF(OR(B1306="",NOT(ISNUMBER(D1306)),NOT(ISNUMBER(E1306))),"",NETWORKDAYS(D1306,E1306,FERIADOS))</f>
        <v/>
      </c>
      <c r="H1306" s="69"/>
      <c r="I1306" s="74" t="str">
        <f aca="false">IF(B1306="","",IF(ISNUMBER(H1306),H1306,N(G1306)))</f>
        <v/>
      </c>
      <c r="J1306" s="64"/>
      <c r="K1306" s="64"/>
      <c r="L1306" s="93" t="str">
        <f aca="false">IF(NOT(ISNUMBER(D1306)),"",DATE(YEAR(D1306),MONTH(D1306),1))</f>
        <v/>
      </c>
      <c r="M1306" s="70" t="str">
        <f aca="false">IF(B1306="","",IF(AND(ISNUMBER(D1306),ISNUMBER(E1306),E1306&lt;D1306),"⚠ Término anterior al inicio",IF(J1306&lt;&gt;"Sí","Pendiente comprobante firmado","OK")))</f>
        <v/>
      </c>
    </row>
    <row r="1307" customFormat="false" ht="15" hidden="false" customHeight="false" outlineLevel="0" collapsed="false">
      <c r="B1307" s="64"/>
      <c r="C1307" s="72" t="str">
        <f aca="false">IF(B1307="","",IFERROR(INDEX(T_NOMBRE,MATCH(B1307,T_ID,0)),"⚠ ID no existe"))</f>
        <v/>
      </c>
      <c r="D1307" s="65"/>
      <c r="E1307" s="65"/>
      <c r="F1307" s="64"/>
      <c r="G1307" s="74" t="str">
        <f aca="false">IF(OR(B1307="",NOT(ISNUMBER(D1307)),NOT(ISNUMBER(E1307))),"",NETWORKDAYS(D1307,E1307,FERIADOS))</f>
        <v/>
      </c>
      <c r="H1307" s="69"/>
      <c r="I1307" s="74" t="str">
        <f aca="false">IF(B1307="","",IF(ISNUMBER(H1307),H1307,N(G1307)))</f>
        <v/>
      </c>
      <c r="J1307" s="64"/>
      <c r="K1307" s="64"/>
      <c r="L1307" s="93" t="str">
        <f aca="false">IF(NOT(ISNUMBER(D1307)),"",DATE(YEAR(D1307),MONTH(D1307),1))</f>
        <v/>
      </c>
      <c r="M1307" s="70" t="str">
        <f aca="false">IF(B1307="","",IF(AND(ISNUMBER(D1307),ISNUMBER(E1307),E1307&lt;D1307),"⚠ Término anterior al inicio",IF(J1307&lt;&gt;"Sí","Pendiente comprobante firmado","OK")))</f>
        <v/>
      </c>
    </row>
    <row r="1308" customFormat="false" ht="15" hidden="false" customHeight="false" outlineLevel="0" collapsed="false">
      <c r="B1308" s="64"/>
      <c r="C1308" s="72" t="str">
        <f aca="false">IF(B1308="","",IFERROR(INDEX(T_NOMBRE,MATCH(B1308,T_ID,0)),"⚠ ID no existe"))</f>
        <v/>
      </c>
      <c r="D1308" s="65"/>
      <c r="E1308" s="65"/>
      <c r="F1308" s="64"/>
      <c r="G1308" s="74" t="str">
        <f aca="false">IF(OR(B1308="",NOT(ISNUMBER(D1308)),NOT(ISNUMBER(E1308))),"",NETWORKDAYS(D1308,E1308,FERIADOS))</f>
        <v/>
      </c>
      <c r="H1308" s="69"/>
      <c r="I1308" s="74" t="str">
        <f aca="false">IF(B1308="","",IF(ISNUMBER(H1308),H1308,N(G1308)))</f>
        <v/>
      </c>
      <c r="J1308" s="64"/>
      <c r="K1308" s="64"/>
      <c r="L1308" s="93" t="str">
        <f aca="false">IF(NOT(ISNUMBER(D1308)),"",DATE(YEAR(D1308),MONTH(D1308),1))</f>
        <v/>
      </c>
      <c r="M1308" s="70" t="str">
        <f aca="false">IF(B1308="","",IF(AND(ISNUMBER(D1308),ISNUMBER(E1308),E1308&lt;D1308),"⚠ Término anterior al inicio",IF(J1308&lt;&gt;"Sí","Pendiente comprobante firmado","OK")))</f>
        <v/>
      </c>
    </row>
    <row r="1309" customFormat="false" ht="15" hidden="false" customHeight="false" outlineLevel="0" collapsed="false">
      <c r="B1309" s="64"/>
      <c r="C1309" s="72" t="str">
        <f aca="false">IF(B1309="","",IFERROR(INDEX(T_NOMBRE,MATCH(B1309,T_ID,0)),"⚠ ID no existe"))</f>
        <v/>
      </c>
      <c r="D1309" s="65"/>
      <c r="E1309" s="65"/>
      <c r="F1309" s="64"/>
      <c r="G1309" s="74" t="str">
        <f aca="false">IF(OR(B1309="",NOT(ISNUMBER(D1309)),NOT(ISNUMBER(E1309))),"",NETWORKDAYS(D1309,E1309,FERIADOS))</f>
        <v/>
      </c>
      <c r="H1309" s="69"/>
      <c r="I1309" s="74" t="str">
        <f aca="false">IF(B1309="","",IF(ISNUMBER(H1309),H1309,N(G1309)))</f>
        <v/>
      </c>
      <c r="J1309" s="64"/>
      <c r="K1309" s="64"/>
      <c r="L1309" s="93" t="str">
        <f aca="false">IF(NOT(ISNUMBER(D1309)),"",DATE(YEAR(D1309),MONTH(D1309),1))</f>
        <v/>
      </c>
      <c r="M1309" s="70" t="str">
        <f aca="false">IF(B1309="","",IF(AND(ISNUMBER(D1309),ISNUMBER(E1309),E1309&lt;D1309),"⚠ Término anterior al inicio",IF(J1309&lt;&gt;"Sí","Pendiente comprobante firmado","OK")))</f>
        <v/>
      </c>
    </row>
    <row r="1310" customFormat="false" ht="15" hidden="false" customHeight="false" outlineLevel="0" collapsed="false">
      <c r="B1310" s="64"/>
      <c r="C1310" s="72" t="str">
        <f aca="false">IF(B1310="","",IFERROR(INDEX(T_NOMBRE,MATCH(B1310,T_ID,0)),"⚠ ID no existe"))</f>
        <v/>
      </c>
      <c r="D1310" s="65"/>
      <c r="E1310" s="65"/>
      <c r="F1310" s="64"/>
      <c r="G1310" s="74" t="str">
        <f aca="false">IF(OR(B1310="",NOT(ISNUMBER(D1310)),NOT(ISNUMBER(E1310))),"",NETWORKDAYS(D1310,E1310,FERIADOS))</f>
        <v/>
      </c>
      <c r="H1310" s="69"/>
      <c r="I1310" s="74" t="str">
        <f aca="false">IF(B1310="","",IF(ISNUMBER(H1310),H1310,N(G1310)))</f>
        <v/>
      </c>
      <c r="J1310" s="64"/>
      <c r="K1310" s="64"/>
      <c r="L1310" s="93" t="str">
        <f aca="false">IF(NOT(ISNUMBER(D1310)),"",DATE(YEAR(D1310),MONTH(D1310),1))</f>
        <v/>
      </c>
      <c r="M1310" s="70" t="str">
        <f aca="false">IF(B1310="","",IF(AND(ISNUMBER(D1310),ISNUMBER(E1310),E1310&lt;D1310),"⚠ Término anterior al inicio",IF(J1310&lt;&gt;"Sí","Pendiente comprobante firmado","OK")))</f>
        <v/>
      </c>
    </row>
    <row r="1311" customFormat="false" ht="15" hidden="false" customHeight="false" outlineLevel="0" collapsed="false">
      <c r="B1311" s="64"/>
      <c r="C1311" s="72" t="str">
        <f aca="false">IF(B1311="","",IFERROR(INDEX(T_NOMBRE,MATCH(B1311,T_ID,0)),"⚠ ID no existe"))</f>
        <v/>
      </c>
      <c r="D1311" s="65"/>
      <c r="E1311" s="65"/>
      <c r="F1311" s="64"/>
      <c r="G1311" s="74" t="str">
        <f aca="false">IF(OR(B1311="",NOT(ISNUMBER(D1311)),NOT(ISNUMBER(E1311))),"",NETWORKDAYS(D1311,E1311,FERIADOS))</f>
        <v/>
      </c>
      <c r="H1311" s="69"/>
      <c r="I1311" s="74" t="str">
        <f aca="false">IF(B1311="","",IF(ISNUMBER(H1311),H1311,N(G1311)))</f>
        <v/>
      </c>
      <c r="J1311" s="64"/>
      <c r="K1311" s="64"/>
      <c r="L1311" s="93" t="str">
        <f aca="false">IF(NOT(ISNUMBER(D1311)),"",DATE(YEAR(D1311),MONTH(D1311),1))</f>
        <v/>
      </c>
      <c r="M1311" s="70" t="str">
        <f aca="false">IF(B1311="","",IF(AND(ISNUMBER(D1311),ISNUMBER(E1311),E1311&lt;D1311),"⚠ Término anterior al inicio",IF(J1311&lt;&gt;"Sí","Pendiente comprobante firmado","OK")))</f>
        <v/>
      </c>
    </row>
    <row r="1312" customFormat="false" ht="15" hidden="false" customHeight="false" outlineLevel="0" collapsed="false">
      <c r="B1312" s="64"/>
      <c r="C1312" s="72" t="str">
        <f aca="false">IF(B1312="","",IFERROR(INDEX(T_NOMBRE,MATCH(B1312,T_ID,0)),"⚠ ID no existe"))</f>
        <v/>
      </c>
      <c r="D1312" s="65"/>
      <c r="E1312" s="65"/>
      <c r="F1312" s="64"/>
      <c r="G1312" s="74" t="str">
        <f aca="false">IF(OR(B1312="",NOT(ISNUMBER(D1312)),NOT(ISNUMBER(E1312))),"",NETWORKDAYS(D1312,E1312,FERIADOS))</f>
        <v/>
      </c>
      <c r="H1312" s="69"/>
      <c r="I1312" s="74" t="str">
        <f aca="false">IF(B1312="","",IF(ISNUMBER(H1312),H1312,N(G1312)))</f>
        <v/>
      </c>
      <c r="J1312" s="64"/>
      <c r="K1312" s="64"/>
      <c r="L1312" s="93" t="str">
        <f aca="false">IF(NOT(ISNUMBER(D1312)),"",DATE(YEAR(D1312),MONTH(D1312),1))</f>
        <v/>
      </c>
      <c r="M1312" s="70" t="str">
        <f aca="false">IF(B1312="","",IF(AND(ISNUMBER(D1312),ISNUMBER(E1312),E1312&lt;D1312),"⚠ Término anterior al inicio",IF(J1312&lt;&gt;"Sí","Pendiente comprobante firmado","OK")))</f>
        <v/>
      </c>
    </row>
    <row r="1313" customFormat="false" ht="15" hidden="false" customHeight="false" outlineLevel="0" collapsed="false">
      <c r="B1313" s="64"/>
      <c r="C1313" s="72" t="str">
        <f aca="false">IF(B1313="","",IFERROR(INDEX(T_NOMBRE,MATCH(B1313,T_ID,0)),"⚠ ID no existe"))</f>
        <v/>
      </c>
      <c r="D1313" s="65"/>
      <c r="E1313" s="65"/>
      <c r="F1313" s="64"/>
      <c r="G1313" s="74" t="str">
        <f aca="false">IF(OR(B1313="",NOT(ISNUMBER(D1313)),NOT(ISNUMBER(E1313))),"",NETWORKDAYS(D1313,E1313,FERIADOS))</f>
        <v/>
      </c>
      <c r="H1313" s="69"/>
      <c r="I1313" s="74" t="str">
        <f aca="false">IF(B1313="","",IF(ISNUMBER(H1313),H1313,N(G1313)))</f>
        <v/>
      </c>
      <c r="J1313" s="64"/>
      <c r="K1313" s="64"/>
      <c r="L1313" s="93" t="str">
        <f aca="false">IF(NOT(ISNUMBER(D1313)),"",DATE(YEAR(D1313),MONTH(D1313),1))</f>
        <v/>
      </c>
      <c r="M1313" s="70" t="str">
        <f aca="false">IF(B1313="","",IF(AND(ISNUMBER(D1313),ISNUMBER(E1313),E1313&lt;D1313),"⚠ Término anterior al inicio",IF(J1313&lt;&gt;"Sí","Pendiente comprobante firmado","OK")))</f>
        <v/>
      </c>
    </row>
    <row r="1314" customFormat="false" ht="15" hidden="false" customHeight="false" outlineLevel="0" collapsed="false">
      <c r="B1314" s="64"/>
      <c r="C1314" s="72" t="str">
        <f aca="false">IF(B1314="","",IFERROR(INDEX(T_NOMBRE,MATCH(B1314,T_ID,0)),"⚠ ID no existe"))</f>
        <v/>
      </c>
      <c r="D1314" s="65"/>
      <c r="E1314" s="65"/>
      <c r="F1314" s="64"/>
      <c r="G1314" s="74" t="str">
        <f aca="false">IF(OR(B1314="",NOT(ISNUMBER(D1314)),NOT(ISNUMBER(E1314))),"",NETWORKDAYS(D1314,E1314,FERIADOS))</f>
        <v/>
      </c>
      <c r="H1314" s="69"/>
      <c r="I1314" s="74" t="str">
        <f aca="false">IF(B1314="","",IF(ISNUMBER(H1314),H1314,N(G1314)))</f>
        <v/>
      </c>
      <c r="J1314" s="64"/>
      <c r="K1314" s="64"/>
      <c r="L1314" s="93" t="str">
        <f aca="false">IF(NOT(ISNUMBER(D1314)),"",DATE(YEAR(D1314),MONTH(D1314),1))</f>
        <v/>
      </c>
      <c r="M1314" s="70" t="str">
        <f aca="false">IF(B1314="","",IF(AND(ISNUMBER(D1314),ISNUMBER(E1314),E1314&lt;D1314),"⚠ Término anterior al inicio",IF(J1314&lt;&gt;"Sí","Pendiente comprobante firmado","OK")))</f>
        <v/>
      </c>
    </row>
    <row r="1315" customFormat="false" ht="15" hidden="false" customHeight="false" outlineLevel="0" collapsed="false">
      <c r="B1315" s="64"/>
      <c r="C1315" s="72" t="str">
        <f aca="false">IF(B1315="","",IFERROR(INDEX(T_NOMBRE,MATCH(B1315,T_ID,0)),"⚠ ID no existe"))</f>
        <v/>
      </c>
      <c r="D1315" s="65"/>
      <c r="E1315" s="65"/>
      <c r="F1315" s="64"/>
      <c r="G1315" s="74" t="str">
        <f aca="false">IF(OR(B1315="",NOT(ISNUMBER(D1315)),NOT(ISNUMBER(E1315))),"",NETWORKDAYS(D1315,E1315,FERIADOS))</f>
        <v/>
      </c>
      <c r="H1315" s="69"/>
      <c r="I1315" s="74" t="str">
        <f aca="false">IF(B1315="","",IF(ISNUMBER(H1315),H1315,N(G1315)))</f>
        <v/>
      </c>
      <c r="J1315" s="64"/>
      <c r="K1315" s="64"/>
      <c r="L1315" s="93" t="str">
        <f aca="false">IF(NOT(ISNUMBER(D1315)),"",DATE(YEAR(D1315),MONTH(D1315),1))</f>
        <v/>
      </c>
      <c r="M1315" s="70" t="str">
        <f aca="false">IF(B1315="","",IF(AND(ISNUMBER(D1315),ISNUMBER(E1315),E1315&lt;D1315),"⚠ Término anterior al inicio",IF(J1315&lt;&gt;"Sí","Pendiente comprobante firmado","OK")))</f>
        <v/>
      </c>
    </row>
    <row r="1316" customFormat="false" ht="15" hidden="false" customHeight="false" outlineLevel="0" collapsed="false">
      <c r="B1316" s="64"/>
      <c r="C1316" s="72" t="str">
        <f aca="false">IF(B1316="","",IFERROR(INDEX(T_NOMBRE,MATCH(B1316,T_ID,0)),"⚠ ID no existe"))</f>
        <v/>
      </c>
      <c r="D1316" s="65"/>
      <c r="E1316" s="65"/>
      <c r="F1316" s="64"/>
      <c r="G1316" s="74" t="str">
        <f aca="false">IF(OR(B1316="",NOT(ISNUMBER(D1316)),NOT(ISNUMBER(E1316))),"",NETWORKDAYS(D1316,E1316,FERIADOS))</f>
        <v/>
      </c>
      <c r="H1316" s="69"/>
      <c r="I1316" s="74" t="str">
        <f aca="false">IF(B1316="","",IF(ISNUMBER(H1316),H1316,N(G1316)))</f>
        <v/>
      </c>
      <c r="J1316" s="64"/>
      <c r="K1316" s="64"/>
      <c r="L1316" s="93" t="str">
        <f aca="false">IF(NOT(ISNUMBER(D1316)),"",DATE(YEAR(D1316),MONTH(D1316),1))</f>
        <v/>
      </c>
      <c r="M1316" s="70" t="str">
        <f aca="false">IF(B1316="","",IF(AND(ISNUMBER(D1316),ISNUMBER(E1316),E1316&lt;D1316),"⚠ Término anterior al inicio",IF(J1316&lt;&gt;"Sí","Pendiente comprobante firmado","OK")))</f>
        <v/>
      </c>
    </row>
    <row r="1317" customFormat="false" ht="15" hidden="false" customHeight="false" outlineLevel="0" collapsed="false">
      <c r="B1317" s="64"/>
      <c r="C1317" s="72" t="str">
        <f aca="false">IF(B1317="","",IFERROR(INDEX(T_NOMBRE,MATCH(B1317,T_ID,0)),"⚠ ID no existe"))</f>
        <v/>
      </c>
      <c r="D1317" s="65"/>
      <c r="E1317" s="65"/>
      <c r="F1317" s="64"/>
      <c r="G1317" s="74" t="str">
        <f aca="false">IF(OR(B1317="",NOT(ISNUMBER(D1317)),NOT(ISNUMBER(E1317))),"",NETWORKDAYS(D1317,E1317,FERIADOS))</f>
        <v/>
      </c>
      <c r="H1317" s="69"/>
      <c r="I1317" s="74" t="str">
        <f aca="false">IF(B1317="","",IF(ISNUMBER(H1317),H1317,N(G1317)))</f>
        <v/>
      </c>
      <c r="J1317" s="64"/>
      <c r="K1317" s="64"/>
      <c r="L1317" s="93" t="str">
        <f aca="false">IF(NOT(ISNUMBER(D1317)),"",DATE(YEAR(D1317),MONTH(D1317),1))</f>
        <v/>
      </c>
      <c r="M1317" s="70" t="str">
        <f aca="false">IF(B1317="","",IF(AND(ISNUMBER(D1317),ISNUMBER(E1317),E1317&lt;D1317),"⚠ Término anterior al inicio",IF(J1317&lt;&gt;"Sí","Pendiente comprobante firmado","OK")))</f>
        <v/>
      </c>
    </row>
    <row r="1318" customFormat="false" ht="15" hidden="false" customHeight="false" outlineLevel="0" collapsed="false">
      <c r="B1318" s="64"/>
      <c r="C1318" s="72" t="str">
        <f aca="false">IF(B1318="","",IFERROR(INDEX(T_NOMBRE,MATCH(B1318,T_ID,0)),"⚠ ID no existe"))</f>
        <v/>
      </c>
      <c r="D1318" s="65"/>
      <c r="E1318" s="65"/>
      <c r="F1318" s="64"/>
      <c r="G1318" s="74" t="str">
        <f aca="false">IF(OR(B1318="",NOT(ISNUMBER(D1318)),NOT(ISNUMBER(E1318))),"",NETWORKDAYS(D1318,E1318,FERIADOS))</f>
        <v/>
      </c>
      <c r="H1318" s="69"/>
      <c r="I1318" s="74" t="str">
        <f aca="false">IF(B1318="","",IF(ISNUMBER(H1318),H1318,N(G1318)))</f>
        <v/>
      </c>
      <c r="J1318" s="64"/>
      <c r="K1318" s="64"/>
      <c r="L1318" s="93" t="str">
        <f aca="false">IF(NOT(ISNUMBER(D1318)),"",DATE(YEAR(D1318),MONTH(D1318),1))</f>
        <v/>
      </c>
      <c r="M1318" s="70" t="str">
        <f aca="false">IF(B1318="","",IF(AND(ISNUMBER(D1318),ISNUMBER(E1318),E1318&lt;D1318),"⚠ Término anterior al inicio",IF(J1318&lt;&gt;"Sí","Pendiente comprobante firmado","OK")))</f>
        <v/>
      </c>
    </row>
    <row r="1319" customFormat="false" ht="15" hidden="false" customHeight="false" outlineLevel="0" collapsed="false">
      <c r="B1319" s="64"/>
      <c r="C1319" s="72" t="str">
        <f aca="false">IF(B1319="","",IFERROR(INDEX(T_NOMBRE,MATCH(B1319,T_ID,0)),"⚠ ID no existe"))</f>
        <v/>
      </c>
      <c r="D1319" s="65"/>
      <c r="E1319" s="65"/>
      <c r="F1319" s="64"/>
      <c r="G1319" s="74" t="str">
        <f aca="false">IF(OR(B1319="",NOT(ISNUMBER(D1319)),NOT(ISNUMBER(E1319))),"",NETWORKDAYS(D1319,E1319,FERIADOS))</f>
        <v/>
      </c>
      <c r="H1319" s="69"/>
      <c r="I1319" s="74" t="str">
        <f aca="false">IF(B1319="","",IF(ISNUMBER(H1319),H1319,N(G1319)))</f>
        <v/>
      </c>
      <c r="J1319" s="64"/>
      <c r="K1319" s="64"/>
      <c r="L1319" s="93" t="str">
        <f aca="false">IF(NOT(ISNUMBER(D1319)),"",DATE(YEAR(D1319),MONTH(D1319),1))</f>
        <v/>
      </c>
      <c r="M1319" s="70" t="str">
        <f aca="false">IF(B1319="","",IF(AND(ISNUMBER(D1319),ISNUMBER(E1319),E1319&lt;D1319),"⚠ Término anterior al inicio",IF(J1319&lt;&gt;"Sí","Pendiente comprobante firmado","OK")))</f>
        <v/>
      </c>
    </row>
    <row r="1320" customFormat="false" ht="15" hidden="false" customHeight="false" outlineLevel="0" collapsed="false">
      <c r="B1320" s="64"/>
      <c r="C1320" s="72" t="str">
        <f aca="false">IF(B1320="","",IFERROR(INDEX(T_NOMBRE,MATCH(B1320,T_ID,0)),"⚠ ID no existe"))</f>
        <v/>
      </c>
      <c r="D1320" s="65"/>
      <c r="E1320" s="65"/>
      <c r="F1320" s="64"/>
      <c r="G1320" s="74" t="str">
        <f aca="false">IF(OR(B1320="",NOT(ISNUMBER(D1320)),NOT(ISNUMBER(E1320))),"",NETWORKDAYS(D1320,E1320,FERIADOS))</f>
        <v/>
      </c>
      <c r="H1320" s="69"/>
      <c r="I1320" s="74" t="str">
        <f aca="false">IF(B1320="","",IF(ISNUMBER(H1320),H1320,N(G1320)))</f>
        <v/>
      </c>
      <c r="J1320" s="64"/>
      <c r="K1320" s="64"/>
      <c r="L1320" s="93" t="str">
        <f aca="false">IF(NOT(ISNUMBER(D1320)),"",DATE(YEAR(D1320),MONTH(D1320),1))</f>
        <v/>
      </c>
      <c r="M1320" s="70" t="str">
        <f aca="false">IF(B1320="","",IF(AND(ISNUMBER(D1320),ISNUMBER(E1320),E1320&lt;D1320),"⚠ Término anterior al inicio",IF(J1320&lt;&gt;"Sí","Pendiente comprobante firmado","OK")))</f>
        <v/>
      </c>
    </row>
    <row r="1321" customFormat="false" ht="15" hidden="false" customHeight="false" outlineLevel="0" collapsed="false">
      <c r="B1321" s="64"/>
      <c r="C1321" s="72" t="str">
        <f aca="false">IF(B1321="","",IFERROR(INDEX(T_NOMBRE,MATCH(B1321,T_ID,0)),"⚠ ID no existe"))</f>
        <v/>
      </c>
      <c r="D1321" s="65"/>
      <c r="E1321" s="65"/>
      <c r="F1321" s="64"/>
      <c r="G1321" s="74" t="str">
        <f aca="false">IF(OR(B1321="",NOT(ISNUMBER(D1321)),NOT(ISNUMBER(E1321))),"",NETWORKDAYS(D1321,E1321,FERIADOS))</f>
        <v/>
      </c>
      <c r="H1321" s="69"/>
      <c r="I1321" s="74" t="str">
        <f aca="false">IF(B1321="","",IF(ISNUMBER(H1321),H1321,N(G1321)))</f>
        <v/>
      </c>
      <c r="J1321" s="64"/>
      <c r="K1321" s="64"/>
      <c r="L1321" s="93" t="str">
        <f aca="false">IF(NOT(ISNUMBER(D1321)),"",DATE(YEAR(D1321),MONTH(D1321),1))</f>
        <v/>
      </c>
      <c r="M1321" s="70" t="str">
        <f aca="false">IF(B1321="","",IF(AND(ISNUMBER(D1321),ISNUMBER(E1321),E1321&lt;D1321),"⚠ Término anterior al inicio",IF(J1321&lt;&gt;"Sí","Pendiente comprobante firmado","OK")))</f>
        <v/>
      </c>
    </row>
    <row r="1322" customFormat="false" ht="15" hidden="false" customHeight="false" outlineLevel="0" collapsed="false">
      <c r="B1322" s="64"/>
      <c r="C1322" s="72" t="str">
        <f aca="false">IF(B1322="","",IFERROR(INDEX(T_NOMBRE,MATCH(B1322,T_ID,0)),"⚠ ID no existe"))</f>
        <v/>
      </c>
      <c r="D1322" s="65"/>
      <c r="E1322" s="65"/>
      <c r="F1322" s="64"/>
      <c r="G1322" s="74" t="str">
        <f aca="false">IF(OR(B1322="",NOT(ISNUMBER(D1322)),NOT(ISNUMBER(E1322))),"",NETWORKDAYS(D1322,E1322,FERIADOS))</f>
        <v/>
      </c>
      <c r="H1322" s="69"/>
      <c r="I1322" s="74" t="str">
        <f aca="false">IF(B1322="","",IF(ISNUMBER(H1322),H1322,N(G1322)))</f>
        <v/>
      </c>
      <c r="J1322" s="64"/>
      <c r="K1322" s="64"/>
      <c r="L1322" s="93" t="str">
        <f aca="false">IF(NOT(ISNUMBER(D1322)),"",DATE(YEAR(D1322),MONTH(D1322),1))</f>
        <v/>
      </c>
      <c r="M1322" s="70" t="str">
        <f aca="false">IF(B1322="","",IF(AND(ISNUMBER(D1322),ISNUMBER(E1322),E1322&lt;D1322),"⚠ Término anterior al inicio",IF(J1322&lt;&gt;"Sí","Pendiente comprobante firmado","OK")))</f>
        <v/>
      </c>
    </row>
    <row r="1323" customFormat="false" ht="15" hidden="false" customHeight="false" outlineLevel="0" collapsed="false">
      <c r="B1323" s="64"/>
      <c r="C1323" s="72" t="str">
        <f aca="false">IF(B1323="","",IFERROR(INDEX(T_NOMBRE,MATCH(B1323,T_ID,0)),"⚠ ID no existe"))</f>
        <v/>
      </c>
      <c r="D1323" s="65"/>
      <c r="E1323" s="65"/>
      <c r="F1323" s="64"/>
      <c r="G1323" s="74" t="str">
        <f aca="false">IF(OR(B1323="",NOT(ISNUMBER(D1323)),NOT(ISNUMBER(E1323))),"",NETWORKDAYS(D1323,E1323,FERIADOS))</f>
        <v/>
      </c>
      <c r="H1323" s="69"/>
      <c r="I1323" s="74" t="str">
        <f aca="false">IF(B1323="","",IF(ISNUMBER(H1323),H1323,N(G1323)))</f>
        <v/>
      </c>
      <c r="J1323" s="64"/>
      <c r="K1323" s="64"/>
      <c r="L1323" s="93" t="str">
        <f aca="false">IF(NOT(ISNUMBER(D1323)),"",DATE(YEAR(D1323),MONTH(D1323),1))</f>
        <v/>
      </c>
      <c r="M1323" s="70" t="str">
        <f aca="false">IF(B1323="","",IF(AND(ISNUMBER(D1323),ISNUMBER(E1323),E1323&lt;D1323),"⚠ Término anterior al inicio",IF(J1323&lt;&gt;"Sí","Pendiente comprobante firmado","OK")))</f>
        <v/>
      </c>
    </row>
    <row r="1324" customFormat="false" ht="15" hidden="false" customHeight="false" outlineLevel="0" collapsed="false">
      <c r="B1324" s="64"/>
      <c r="C1324" s="72" t="str">
        <f aca="false">IF(B1324="","",IFERROR(INDEX(T_NOMBRE,MATCH(B1324,T_ID,0)),"⚠ ID no existe"))</f>
        <v/>
      </c>
      <c r="D1324" s="65"/>
      <c r="E1324" s="65"/>
      <c r="F1324" s="64"/>
      <c r="G1324" s="74" t="str">
        <f aca="false">IF(OR(B1324="",NOT(ISNUMBER(D1324)),NOT(ISNUMBER(E1324))),"",NETWORKDAYS(D1324,E1324,FERIADOS))</f>
        <v/>
      </c>
      <c r="H1324" s="69"/>
      <c r="I1324" s="74" t="str">
        <f aca="false">IF(B1324="","",IF(ISNUMBER(H1324),H1324,N(G1324)))</f>
        <v/>
      </c>
      <c r="J1324" s="64"/>
      <c r="K1324" s="64"/>
      <c r="L1324" s="93" t="str">
        <f aca="false">IF(NOT(ISNUMBER(D1324)),"",DATE(YEAR(D1324),MONTH(D1324),1))</f>
        <v/>
      </c>
      <c r="M1324" s="70" t="str">
        <f aca="false">IF(B1324="","",IF(AND(ISNUMBER(D1324),ISNUMBER(E1324),E1324&lt;D1324),"⚠ Término anterior al inicio",IF(J1324&lt;&gt;"Sí","Pendiente comprobante firmado","OK")))</f>
        <v/>
      </c>
    </row>
    <row r="1325" customFormat="false" ht="15" hidden="false" customHeight="false" outlineLevel="0" collapsed="false">
      <c r="B1325" s="64"/>
      <c r="C1325" s="72" t="str">
        <f aca="false">IF(B1325="","",IFERROR(INDEX(T_NOMBRE,MATCH(B1325,T_ID,0)),"⚠ ID no existe"))</f>
        <v/>
      </c>
      <c r="D1325" s="65"/>
      <c r="E1325" s="65"/>
      <c r="F1325" s="64"/>
      <c r="G1325" s="74" t="str">
        <f aca="false">IF(OR(B1325="",NOT(ISNUMBER(D1325)),NOT(ISNUMBER(E1325))),"",NETWORKDAYS(D1325,E1325,FERIADOS))</f>
        <v/>
      </c>
      <c r="H1325" s="69"/>
      <c r="I1325" s="74" t="str">
        <f aca="false">IF(B1325="","",IF(ISNUMBER(H1325),H1325,N(G1325)))</f>
        <v/>
      </c>
      <c r="J1325" s="64"/>
      <c r="K1325" s="64"/>
      <c r="L1325" s="93" t="str">
        <f aca="false">IF(NOT(ISNUMBER(D1325)),"",DATE(YEAR(D1325),MONTH(D1325),1))</f>
        <v/>
      </c>
      <c r="M1325" s="70" t="str">
        <f aca="false">IF(B1325="","",IF(AND(ISNUMBER(D1325),ISNUMBER(E1325),E1325&lt;D1325),"⚠ Término anterior al inicio",IF(J1325&lt;&gt;"Sí","Pendiente comprobante firmado","OK")))</f>
        <v/>
      </c>
    </row>
    <row r="1326" customFormat="false" ht="15" hidden="false" customHeight="false" outlineLevel="0" collapsed="false">
      <c r="B1326" s="64"/>
      <c r="C1326" s="72" t="str">
        <f aca="false">IF(B1326="","",IFERROR(INDEX(T_NOMBRE,MATCH(B1326,T_ID,0)),"⚠ ID no existe"))</f>
        <v/>
      </c>
      <c r="D1326" s="65"/>
      <c r="E1326" s="65"/>
      <c r="F1326" s="64"/>
      <c r="G1326" s="74" t="str">
        <f aca="false">IF(OR(B1326="",NOT(ISNUMBER(D1326)),NOT(ISNUMBER(E1326))),"",NETWORKDAYS(D1326,E1326,FERIADOS))</f>
        <v/>
      </c>
      <c r="H1326" s="69"/>
      <c r="I1326" s="74" t="str">
        <f aca="false">IF(B1326="","",IF(ISNUMBER(H1326),H1326,N(G1326)))</f>
        <v/>
      </c>
      <c r="J1326" s="64"/>
      <c r="K1326" s="64"/>
      <c r="L1326" s="93" t="str">
        <f aca="false">IF(NOT(ISNUMBER(D1326)),"",DATE(YEAR(D1326),MONTH(D1326),1))</f>
        <v/>
      </c>
      <c r="M1326" s="70" t="str">
        <f aca="false">IF(B1326="","",IF(AND(ISNUMBER(D1326),ISNUMBER(E1326),E1326&lt;D1326),"⚠ Término anterior al inicio",IF(J1326&lt;&gt;"Sí","Pendiente comprobante firmado","OK")))</f>
        <v/>
      </c>
    </row>
    <row r="1327" customFormat="false" ht="15" hidden="false" customHeight="false" outlineLevel="0" collapsed="false">
      <c r="B1327" s="64"/>
      <c r="C1327" s="72" t="str">
        <f aca="false">IF(B1327="","",IFERROR(INDEX(T_NOMBRE,MATCH(B1327,T_ID,0)),"⚠ ID no existe"))</f>
        <v/>
      </c>
      <c r="D1327" s="65"/>
      <c r="E1327" s="65"/>
      <c r="F1327" s="64"/>
      <c r="G1327" s="74" t="str">
        <f aca="false">IF(OR(B1327="",NOT(ISNUMBER(D1327)),NOT(ISNUMBER(E1327))),"",NETWORKDAYS(D1327,E1327,FERIADOS))</f>
        <v/>
      </c>
      <c r="H1327" s="69"/>
      <c r="I1327" s="74" t="str">
        <f aca="false">IF(B1327="","",IF(ISNUMBER(H1327),H1327,N(G1327)))</f>
        <v/>
      </c>
      <c r="J1327" s="64"/>
      <c r="K1327" s="64"/>
      <c r="L1327" s="93" t="str">
        <f aca="false">IF(NOT(ISNUMBER(D1327)),"",DATE(YEAR(D1327),MONTH(D1327),1))</f>
        <v/>
      </c>
      <c r="M1327" s="70" t="str">
        <f aca="false">IF(B1327="","",IF(AND(ISNUMBER(D1327),ISNUMBER(E1327),E1327&lt;D1327),"⚠ Término anterior al inicio",IF(J1327&lt;&gt;"Sí","Pendiente comprobante firmado","OK")))</f>
        <v/>
      </c>
    </row>
    <row r="1328" customFormat="false" ht="15" hidden="false" customHeight="false" outlineLevel="0" collapsed="false">
      <c r="B1328" s="64"/>
      <c r="C1328" s="72" t="str">
        <f aca="false">IF(B1328="","",IFERROR(INDEX(T_NOMBRE,MATCH(B1328,T_ID,0)),"⚠ ID no existe"))</f>
        <v/>
      </c>
      <c r="D1328" s="65"/>
      <c r="E1328" s="65"/>
      <c r="F1328" s="64"/>
      <c r="G1328" s="74" t="str">
        <f aca="false">IF(OR(B1328="",NOT(ISNUMBER(D1328)),NOT(ISNUMBER(E1328))),"",NETWORKDAYS(D1328,E1328,FERIADOS))</f>
        <v/>
      </c>
      <c r="H1328" s="69"/>
      <c r="I1328" s="74" t="str">
        <f aca="false">IF(B1328="","",IF(ISNUMBER(H1328),H1328,N(G1328)))</f>
        <v/>
      </c>
      <c r="J1328" s="64"/>
      <c r="K1328" s="64"/>
      <c r="L1328" s="93" t="str">
        <f aca="false">IF(NOT(ISNUMBER(D1328)),"",DATE(YEAR(D1328),MONTH(D1328),1))</f>
        <v/>
      </c>
      <c r="M1328" s="70" t="str">
        <f aca="false">IF(B1328="","",IF(AND(ISNUMBER(D1328),ISNUMBER(E1328),E1328&lt;D1328),"⚠ Término anterior al inicio",IF(J1328&lt;&gt;"Sí","Pendiente comprobante firmado","OK")))</f>
        <v/>
      </c>
    </row>
    <row r="1329" customFormat="false" ht="15" hidden="false" customHeight="false" outlineLevel="0" collapsed="false">
      <c r="B1329" s="64"/>
      <c r="C1329" s="72" t="str">
        <f aca="false">IF(B1329="","",IFERROR(INDEX(T_NOMBRE,MATCH(B1329,T_ID,0)),"⚠ ID no existe"))</f>
        <v/>
      </c>
      <c r="D1329" s="65"/>
      <c r="E1329" s="65"/>
      <c r="F1329" s="64"/>
      <c r="G1329" s="74" t="str">
        <f aca="false">IF(OR(B1329="",NOT(ISNUMBER(D1329)),NOT(ISNUMBER(E1329))),"",NETWORKDAYS(D1329,E1329,FERIADOS))</f>
        <v/>
      </c>
      <c r="H1329" s="69"/>
      <c r="I1329" s="74" t="str">
        <f aca="false">IF(B1329="","",IF(ISNUMBER(H1329),H1329,N(G1329)))</f>
        <v/>
      </c>
      <c r="J1329" s="64"/>
      <c r="K1329" s="64"/>
      <c r="L1329" s="93" t="str">
        <f aca="false">IF(NOT(ISNUMBER(D1329)),"",DATE(YEAR(D1329),MONTH(D1329),1))</f>
        <v/>
      </c>
      <c r="M1329" s="70" t="str">
        <f aca="false">IF(B1329="","",IF(AND(ISNUMBER(D1329),ISNUMBER(E1329),E1329&lt;D1329),"⚠ Término anterior al inicio",IF(J1329&lt;&gt;"Sí","Pendiente comprobante firmado","OK")))</f>
        <v/>
      </c>
    </row>
    <row r="1330" customFormat="false" ht="15" hidden="false" customHeight="false" outlineLevel="0" collapsed="false">
      <c r="B1330" s="64"/>
      <c r="C1330" s="72" t="str">
        <f aca="false">IF(B1330="","",IFERROR(INDEX(T_NOMBRE,MATCH(B1330,T_ID,0)),"⚠ ID no existe"))</f>
        <v/>
      </c>
      <c r="D1330" s="65"/>
      <c r="E1330" s="65"/>
      <c r="F1330" s="64"/>
      <c r="G1330" s="74" t="str">
        <f aca="false">IF(OR(B1330="",NOT(ISNUMBER(D1330)),NOT(ISNUMBER(E1330))),"",NETWORKDAYS(D1330,E1330,FERIADOS))</f>
        <v/>
      </c>
      <c r="H1330" s="69"/>
      <c r="I1330" s="74" t="str">
        <f aca="false">IF(B1330="","",IF(ISNUMBER(H1330),H1330,N(G1330)))</f>
        <v/>
      </c>
      <c r="J1330" s="64"/>
      <c r="K1330" s="64"/>
      <c r="L1330" s="93" t="str">
        <f aca="false">IF(NOT(ISNUMBER(D1330)),"",DATE(YEAR(D1330),MONTH(D1330),1))</f>
        <v/>
      </c>
      <c r="M1330" s="70" t="str">
        <f aca="false">IF(B1330="","",IF(AND(ISNUMBER(D1330),ISNUMBER(E1330),E1330&lt;D1330),"⚠ Término anterior al inicio",IF(J1330&lt;&gt;"Sí","Pendiente comprobante firmado","OK")))</f>
        <v/>
      </c>
    </row>
    <row r="1331" customFormat="false" ht="15" hidden="false" customHeight="false" outlineLevel="0" collapsed="false">
      <c r="B1331" s="64"/>
      <c r="C1331" s="72" t="str">
        <f aca="false">IF(B1331="","",IFERROR(INDEX(T_NOMBRE,MATCH(B1331,T_ID,0)),"⚠ ID no existe"))</f>
        <v/>
      </c>
      <c r="D1331" s="65"/>
      <c r="E1331" s="65"/>
      <c r="F1331" s="64"/>
      <c r="G1331" s="74" t="str">
        <f aca="false">IF(OR(B1331="",NOT(ISNUMBER(D1331)),NOT(ISNUMBER(E1331))),"",NETWORKDAYS(D1331,E1331,FERIADOS))</f>
        <v/>
      </c>
      <c r="H1331" s="69"/>
      <c r="I1331" s="74" t="str">
        <f aca="false">IF(B1331="","",IF(ISNUMBER(H1331),H1331,N(G1331)))</f>
        <v/>
      </c>
      <c r="J1331" s="64"/>
      <c r="K1331" s="64"/>
      <c r="L1331" s="93" t="str">
        <f aca="false">IF(NOT(ISNUMBER(D1331)),"",DATE(YEAR(D1331),MONTH(D1331),1))</f>
        <v/>
      </c>
      <c r="M1331" s="70" t="str">
        <f aca="false">IF(B1331="","",IF(AND(ISNUMBER(D1331),ISNUMBER(E1331),E1331&lt;D1331),"⚠ Término anterior al inicio",IF(J1331&lt;&gt;"Sí","Pendiente comprobante firmado","OK")))</f>
        <v/>
      </c>
    </row>
    <row r="1332" customFormat="false" ht="15" hidden="false" customHeight="false" outlineLevel="0" collapsed="false">
      <c r="B1332" s="64"/>
      <c r="C1332" s="72" t="str">
        <f aca="false">IF(B1332="","",IFERROR(INDEX(T_NOMBRE,MATCH(B1332,T_ID,0)),"⚠ ID no existe"))</f>
        <v/>
      </c>
      <c r="D1332" s="65"/>
      <c r="E1332" s="65"/>
      <c r="F1332" s="64"/>
      <c r="G1332" s="74" t="str">
        <f aca="false">IF(OR(B1332="",NOT(ISNUMBER(D1332)),NOT(ISNUMBER(E1332))),"",NETWORKDAYS(D1332,E1332,FERIADOS))</f>
        <v/>
      </c>
      <c r="H1332" s="69"/>
      <c r="I1332" s="74" t="str">
        <f aca="false">IF(B1332="","",IF(ISNUMBER(H1332),H1332,N(G1332)))</f>
        <v/>
      </c>
      <c r="J1332" s="64"/>
      <c r="K1332" s="64"/>
      <c r="L1332" s="93" t="str">
        <f aca="false">IF(NOT(ISNUMBER(D1332)),"",DATE(YEAR(D1332),MONTH(D1332),1))</f>
        <v/>
      </c>
      <c r="M1332" s="70" t="str">
        <f aca="false">IF(B1332="","",IF(AND(ISNUMBER(D1332),ISNUMBER(E1332),E1332&lt;D1332),"⚠ Término anterior al inicio",IF(J1332&lt;&gt;"Sí","Pendiente comprobante firmado","OK")))</f>
        <v/>
      </c>
    </row>
    <row r="1333" customFormat="false" ht="15" hidden="false" customHeight="false" outlineLevel="0" collapsed="false">
      <c r="B1333" s="64"/>
      <c r="C1333" s="72" t="str">
        <f aca="false">IF(B1333="","",IFERROR(INDEX(T_NOMBRE,MATCH(B1333,T_ID,0)),"⚠ ID no existe"))</f>
        <v/>
      </c>
      <c r="D1333" s="65"/>
      <c r="E1333" s="65"/>
      <c r="F1333" s="64"/>
      <c r="G1333" s="74" t="str">
        <f aca="false">IF(OR(B1333="",NOT(ISNUMBER(D1333)),NOT(ISNUMBER(E1333))),"",NETWORKDAYS(D1333,E1333,FERIADOS))</f>
        <v/>
      </c>
      <c r="H1333" s="69"/>
      <c r="I1333" s="74" t="str">
        <f aca="false">IF(B1333="","",IF(ISNUMBER(H1333),H1333,N(G1333)))</f>
        <v/>
      </c>
      <c r="J1333" s="64"/>
      <c r="K1333" s="64"/>
      <c r="L1333" s="93" t="str">
        <f aca="false">IF(NOT(ISNUMBER(D1333)),"",DATE(YEAR(D1333),MONTH(D1333),1))</f>
        <v/>
      </c>
      <c r="M1333" s="70" t="str">
        <f aca="false">IF(B1333="","",IF(AND(ISNUMBER(D1333),ISNUMBER(E1333),E1333&lt;D1333),"⚠ Término anterior al inicio",IF(J1333&lt;&gt;"Sí","Pendiente comprobante firmado","OK")))</f>
        <v/>
      </c>
    </row>
    <row r="1334" customFormat="false" ht="15" hidden="false" customHeight="false" outlineLevel="0" collapsed="false">
      <c r="B1334" s="64"/>
      <c r="C1334" s="72" t="str">
        <f aca="false">IF(B1334="","",IFERROR(INDEX(T_NOMBRE,MATCH(B1334,T_ID,0)),"⚠ ID no existe"))</f>
        <v/>
      </c>
      <c r="D1334" s="65"/>
      <c r="E1334" s="65"/>
      <c r="F1334" s="64"/>
      <c r="G1334" s="74" t="str">
        <f aca="false">IF(OR(B1334="",NOT(ISNUMBER(D1334)),NOT(ISNUMBER(E1334))),"",NETWORKDAYS(D1334,E1334,FERIADOS))</f>
        <v/>
      </c>
      <c r="H1334" s="69"/>
      <c r="I1334" s="74" t="str">
        <f aca="false">IF(B1334="","",IF(ISNUMBER(H1334),H1334,N(G1334)))</f>
        <v/>
      </c>
      <c r="J1334" s="64"/>
      <c r="K1334" s="64"/>
      <c r="L1334" s="93" t="str">
        <f aca="false">IF(NOT(ISNUMBER(D1334)),"",DATE(YEAR(D1334),MONTH(D1334),1))</f>
        <v/>
      </c>
      <c r="M1334" s="70" t="str">
        <f aca="false">IF(B1334="","",IF(AND(ISNUMBER(D1334),ISNUMBER(E1334),E1334&lt;D1334),"⚠ Término anterior al inicio",IF(J1334&lt;&gt;"Sí","Pendiente comprobante firmado","OK")))</f>
        <v/>
      </c>
    </row>
    <row r="1335" customFormat="false" ht="15" hidden="false" customHeight="false" outlineLevel="0" collapsed="false">
      <c r="B1335" s="64"/>
      <c r="C1335" s="72" t="str">
        <f aca="false">IF(B1335="","",IFERROR(INDEX(T_NOMBRE,MATCH(B1335,T_ID,0)),"⚠ ID no existe"))</f>
        <v/>
      </c>
      <c r="D1335" s="65"/>
      <c r="E1335" s="65"/>
      <c r="F1335" s="64"/>
      <c r="G1335" s="74" t="str">
        <f aca="false">IF(OR(B1335="",NOT(ISNUMBER(D1335)),NOT(ISNUMBER(E1335))),"",NETWORKDAYS(D1335,E1335,FERIADOS))</f>
        <v/>
      </c>
      <c r="H1335" s="69"/>
      <c r="I1335" s="74" t="str">
        <f aca="false">IF(B1335="","",IF(ISNUMBER(H1335),H1335,N(G1335)))</f>
        <v/>
      </c>
      <c r="J1335" s="64"/>
      <c r="K1335" s="64"/>
      <c r="L1335" s="93" t="str">
        <f aca="false">IF(NOT(ISNUMBER(D1335)),"",DATE(YEAR(D1335),MONTH(D1335),1))</f>
        <v/>
      </c>
      <c r="M1335" s="70" t="str">
        <f aca="false">IF(B1335="","",IF(AND(ISNUMBER(D1335),ISNUMBER(E1335),E1335&lt;D1335),"⚠ Término anterior al inicio",IF(J1335&lt;&gt;"Sí","Pendiente comprobante firmado","OK")))</f>
        <v/>
      </c>
    </row>
    <row r="1336" customFormat="false" ht="15" hidden="false" customHeight="false" outlineLevel="0" collapsed="false">
      <c r="B1336" s="64"/>
      <c r="C1336" s="72" t="str">
        <f aca="false">IF(B1336="","",IFERROR(INDEX(T_NOMBRE,MATCH(B1336,T_ID,0)),"⚠ ID no existe"))</f>
        <v/>
      </c>
      <c r="D1336" s="65"/>
      <c r="E1336" s="65"/>
      <c r="F1336" s="64"/>
      <c r="G1336" s="74" t="str">
        <f aca="false">IF(OR(B1336="",NOT(ISNUMBER(D1336)),NOT(ISNUMBER(E1336))),"",NETWORKDAYS(D1336,E1336,FERIADOS))</f>
        <v/>
      </c>
      <c r="H1336" s="69"/>
      <c r="I1336" s="74" t="str">
        <f aca="false">IF(B1336="","",IF(ISNUMBER(H1336),H1336,N(G1336)))</f>
        <v/>
      </c>
      <c r="J1336" s="64"/>
      <c r="K1336" s="64"/>
      <c r="L1336" s="93" t="str">
        <f aca="false">IF(NOT(ISNUMBER(D1336)),"",DATE(YEAR(D1336),MONTH(D1336),1))</f>
        <v/>
      </c>
      <c r="M1336" s="70" t="str">
        <f aca="false">IF(B1336="","",IF(AND(ISNUMBER(D1336),ISNUMBER(E1336),E1336&lt;D1336),"⚠ Término anterior al inicio",IF(J1336&lt;&gt;"Sí","Pendiente comprobante firmado","OK")))</f>
        <v/>
      </c>
    </row>
    <row r="1337" customFormat="false" ht="15" hidden="false" customHeight="false" outlineLevel="0" collapsed="false">
      <c r="B1337" s="64"/>
      <c r="C1337" s="72" t="str">
        <f aca="false">IF(B1337="","",IFERROR(INDEX(T_NOMBRE,MATCH(B1337,T_ID,0)),"⚠ ID no existe"))</f>
        <v/>
      </c>
      <c r="D1337" s="65"/>
      <c r="E1337" s="65"/>
      <c r="F1337" s="64"/>
      <c r="G1337" s="74" t="str">
        <f aca="false">IF(OR(B1337="",NOT(ISNUMBER(D1337)),NOT(ISNUMBER(E1337))),"",NETWORKDAYS(D1337,E1337,FERIADOS))</f>
        <v/>
      </c>
      <c r="H1337" s="69"/>
      <c r="I1337" s="74" t="str">
        <f aca="false">IF(B1337="","",IF(ISNUMBER(H1337),H1337,N(G1337)))</f>
        <v/>
      </c>
      <c r="J1337" s="64"/>
      <c r="K1337" s="64"/>
      <c r="L1337" s="93" t="str">
        <f aca="false">IF(NOT(ISNUMBER(D1337)),"",DATE(YEAR(D1337),MONTH(D1337),1))</f>
        <v/>
      </c>
      <c r="M1337" s="70" t="str">
        <f aca="false">IF(B1337="","",IF(AND(ISNUMBER(D1337),ISNUMBER(E1337),E1337&lt;D1337),"⚠ Término anterior al inicio",IF(J1337&lt;&gt;"Sí","Pendiente comprobante firmado","OK")))</f>
        <v/>
      </c>
    </row>
    <row r="1338" customFormat="false" ht="15" hidden="false" customHeight="false" outlineLevel="0" collapsed="false">
      <c r="B1338" s="64"/>
      <c r="C1338" s="72" t="str">
        <f aca="false">IF(B1338="","",IFERROR(INDEX(T_NOMBRE,MATCH(B1338,T_ID,0)),"⚠ ID no existe"))</f>
        <v/>
      </c>
      <c r="D1338" s="65"/>
      <c r="E1338" s="65"/>
      <c r="F1338" s="64"/>
      <c r="G1338" s="74" t="str">
        <f aca="false">IF(OR(B1338="",NOT(ISNUMBER(D1338)),NOT(ISNUMBER(E1338))),"",NETWORKDAYS(D1338,E1338,FERIADOS))</f>
        <v/>
      </c>
      <c r="H1338" s="69"/>
      <c r="I1338" s="74" t="str">
        <f aca="false">IF(B1338="","",IF(ISNUMBER(H1338),H1338,N(G1338)))</f>
        <v/>
      </c>
      <c r="J1338" s="64"/>
      <c r="K1338" s="64"/>
      <c r="L1338" s="93" t="str">
        <f aca="false">IF(NOT(ISNUMBER(D1338)),"",DATE(YEAR(D1338),MONTH(D1338),1))</f>
        <v/>
      </c>
      <c r="M1338" s="70" t="str">
        <f aca="false">IF(B1338="","",IF(AND(ISNUMBER(D1338),ISNUMBER(E1338),E1338&lt;D1338),"⚠ Término anterior al inicio",IF(J1338&lt;&gt;"Sí","Pendiente comprobante firmado","OK")))</f>
        <v/>
      </c>
    </row>
    <row r="1339" customFormat="false" ht="15" hidden="false" customHeight="false" outlineLevel="0" collapsed="false">
      <c r="B1339" s="64"/>
      <c r="C1339" s="72" t="str">
        <f aca="false">IF(B1339="","",IFERROR(INDEX(T_NOMBRE,MATCH(B1339,T_ID,0)),"⚠ ID no existe"))</f>
        <v/>
      </c>
      <c r="D1339" s="65"/>
      <c r="E1339" s="65"/>
      <c r="F1339" s="64"/>
      <c r="G1339" s="74" t="str">
        <f aca="false">IF(OR(B1339="",NOT(ISNUMBER(D1339)),NOT(ISNUMBER(E1339))),"",NETWORKDAYS(D1339,E1339,FERIADOS))</f>
        <v/>
      </c>
      <c r="H1339" s="69"/>
      <c r="I1339" s="74" t="str">
        <f aca="false">IF(B1339="","",IF(ISNUMBER(H1339),H1339,N(G1339)))</f>
        <v/>
      </c>
      <c r="J1339" s="64"/>
      <c r="K1339" s="64"/>
      <c r="L1339" s="93" t="str">
        <f aca="false">IF(NOT(ISNUMBER(D1339)),"",DATE(YEAR(D1339),MONTH(D1339),1))</f>
        <v/>
      </c>
      <c r="M1339" s="70" t="str">
        <f aca="false">IF(B1339="","",IF(AND(ISNUMBER(D1339),ISNUMBER(E1339),E1339&lt;D1339),"⚠ Término anterior al inicio",IF(J1339&lt;&gt;"Sí","Pendiente comprobante firmado","OK")))</f>
        <v/>
      </c>
    </row>
    <row r="1340" customFormat="false" ht="15" hidden="false" customHeight="false" outlineLevel="0" collapsed="false">
      <c r="B1340" s="64"/>
      <c r="C1340" s="72" t="str">
        <f aca="false">IF(B1340="","",IFERROR(INDEX(T_NOMBRE,MATCH(B1340,T_ID,0)),"⚠ ID no existe"))</f>
        <v/>
      </c>
      <c r="D1340" s="65"/>
      <c r="E1340" s="65"/>
      <c r="F1340" s="64"/>
      <c r="G1340" s="74" t="str">
        <f aca="false">IF(OR(B1340="",NOT(ISNUMBER(D1340)),NOT(ISNUMBER(E1340))),"",NETWORKDAYS(D1340,E1340,FERIADOS))</f>
        <v/>
      </c>
      <c r="H1340" s="69"/>
      <c r="I1340" s="74" t="str">
        <f aca="false">IF(B1340="","",IF(ISNUMBER(H1340),H1340,N(G1340)))</f>
        <v/>
      </c>
      <c r="J1340" s="64"/>
      <c r="K1340" s="64"/>
      <c r="L1340" s="93" t="str">
        <f aca="false">IF(NOT(ISNUMBER(D1340)),"",DATE(YEAR(D1340),MONTH(D1340),1))</f>
        <v/>
      </c>
      <c r="M1340" s="70" t="str">
        <f aca="false">IF(B1340="","",IF(AND(ISNUMBER(D1340),ISNUMBER(E1340),E1340&lt;D1340),"⚠ Término anterior al inicio",IF(J1340&lt;&gt;"Sí","Pendiente comprobante firmado","OK")))</f>
        <v/>
      </c>
    </row>
    <row r="1341" customFormat="false" ht="15" hidden="false" customHeight="false" outlineLevel="0" collapsed="false">
      <c r="B1341" s="64"/>
      <c r="C1341" s="72" t="str">
        <f aca="false">IF(B1341="","",IFERROR(INDEX(T_NOMBRE,MATCH(B1341,T_ID,0)),"⚠ ID no existe"))</f>
        <v/>
      </c>
      <c r="D1341" s="65"/>
      <c r="E1341" s="65"/>
      <c r="F1341" s="64"/>
      <c r="G1341" s="74" t="str">
        <f aca="false">IF(OR(B1341="",NOT(ISNUMBER(D1341)),NOT(ISNUMBER(E1341))),"",NETWORKDAYS(D1341,E1341,FERIADOS))</f>
        <v/>
      </c>
      <c r="H1341" s="69"/>
      <c r="I1341" s="74" t="str">
        <f aca="false">IF(B1341="","",IF(ISNUMBER(H1341),H1341,N(G1341)))</f>
        <v/>
      </c>
      <c r="J1341" s="64"/>
      <c r="K1341" s="64"/>
      <c r="L1341" s="93" t="str">
        <f aca="false">IF(NOT(ISNUMBER(D1341)),"",DATE(YEAR(D1341),MONTH(D1341),1))</f>
        <v/>
      </c>
      <c r="M1341" s="70" t="str">
        <f aca="false">IF(B1341="","",IF(AND(ISNUMBER(D1341),ISNUMBER(E1341),E1341&lt;D1341),"⚠ Término anterior al inicio",IF(J1341&lt;&gt;"Sí","Pendiente comprobante firmado","OK")))</f>
        <v/>
      </c>
    </row>
    <row r="1342" customFormat="false" ht="15" hidden="false" customHeight="false" outlineLevel="0" collapsed="false">
      <c r="B1342" s="64"/>
      <c r="C1342" s="72" t="str">
        <f aca="false">IF(B1342="","",IFERROR(INDEX(T_NOMBRE,MATCH(B1342,T_ID,0)),"⚠ ID no existe"))</f>
        <v/>
      </c>
      <c r="D1342" s="65"/>
      <c r="E1342" s="65"/>
      <c r="F1342" s="64"/>
      <c r="G1342" s="74" t="str">
        <f aca="false">IF(OR(B1342="",NOT(ISNUMBER(D1342)),NOT(ISNUMBER(E1342))),"",NETWORKDAYS(D1342,E1342,FERIADOS))</f>
        <v/>
      </c>
      <c r="H1342" s="69"/>
      <c r="I1342" s="74" t="str">
        <f aca="false">IF(B1342="","",IF(ISNUMBER(H1342),H1342,N(G1342)))</f>
        <v/>
      </c>
      <c r="J1342" s="64"/>
      <c r="K1342" s="64"/>
      <c r="L1342" s="93" t="str">
        <f aca="false">IF(NOT(ISNUMBER(D1342)),"",DATE(YEAR(D1342),MONTH(D1342),1))</f>
        <v/>
      </c>
      <c r="M1342" s="70" t="str">
        <f aca="false">IF(B1342="","",IF(AND(ISNUMBER(D1342),ISNUMBER(E1342),E1342&lt;D1342),"⚠ Término anterior al inicio",IF(J1342&lt;&gt;"Sí","Pendiente comprobante firmado","OK")))</f>
        <v/>
      </c>
    </row>
    <row r="1343" customFormat="false" ht="15" hidden="false" customHeight="false" outlineLevel="0" collapsed="false">
      <c r="B1343" s="64"/>
      <c r="C1343" s="72" t="str">
        <f aca="false">IF(B1343="","",IFERROR(INDEX(T_NOMBRE,MATCH(B1343,T_ID,0)),"⚠ ID no existe"))</f>
        <v/>
      </c>
      <c r="D1343" s="65"/>
      <c r="E1343" s="65"/>
      <c r="F1343" s="64"/>
      <c r="G1343" s="74" t="str">
        <f aca="false">IF(OR(B1343="",NOT(ISNUMBER(D1343)),NOT(ISNUMBER(E1343))),"",NETWORKDAYS(D1343,E1343,FERIADOS))</f>
        <v/>
      </c>
      <c r="H1343" s="69"/>
      <c r="I1343" s="74" t="str">
        <f aca="false">IF(B1343="","",IF(ISNUMBER(H1343),H1343,N(G1343)))</f>
        <v/>
      </c>
      <c r="J1343" s="64"/>
      <c r="K1343" s="64"/>
      <c r="L1343" s="93" t="str">
        <f aca="false">IF(NOT(ISNUMBER(D1343)),"",DATE(YEAR(D1343),MONTH(D1343),1))</f>
        <v/>
      </c>
      <c r="M1343" s="70" t="str">
        <f aca="false">IF(B1343="","",IF(AND(ISNUMBER(D1343),ISNUMBER(E1343),E1343&lt;D1343),"⚠ Término anterior al inicio",IF(J1343&lt;&gt;"Sí","Pendiente comprobante firmado","OK")))</f>
        <v/>
      </c>
    </row>
    <row r="1344" customFormat="false" ht="15" hidden="false" customHeight="false" outlineLevel="0" collapsed="false">
      <c r="B1344" s="64"/>
      <c r="C1344" s="72" t="str">
        <f aca="false">IF(B1344="","",IFERROR(INDEX(T_NOMBRE,MATCH(B1344,T_ID,0)),"⚠ ID no existe"))</f>
        <v/>
      </c>
      <c r="D1344" s="65"/>
      <c r="E1344" s="65"/>
      <c r="F1344" s="64"/>
      <c r="G1344" s="74" t="str">
        <f aca="false">IF(OR(B1344="",NOT(ISNUMBER(D1344)),NOT(ISNUMBER(E1344))),"",NETWORKDAYS(D1344,E1344,FERIADOS))</f>
        <v/>
      </c>
      <c r="H1344" s="69"/>
      <c r="I1344" s="74" t="str">
        <f aca="false">IF(B1344="","",IF(ISNUMBER(H1344),H1344,N(G1344)))</f>
        <v/>
      </c>
      <c r="J1344" s="64"/>
      <c r="K1344" s="64"/>
      <c r="L1344" s="93" t="str">
        <f aca="false">IF(NOT(ISNUMBER(D1344)),"",DATE(YEAR(D1344),MONTH(D1344),1))</f>
        <v/>
      </c>
      <c r="M1344" s="70" t="str">
        <f aca="false">IF(B1344="","",IF(AND(ISNUMBER(D1344),ISNUMBER(E1344),E1344&lt;D1344),"⚠ Término anterior al inicio",IF(J1344&lt;&gt;"Sí","Pendiente comprobante firmado","OK")))</f>
        <v/>
      </c>
    </row>
    <row r="1345" customFormat="false" ht="15" hidden="false" customHeight="false" outlineLevel="0" collapsed="false">
      <c r="B1345" s="64"/>
      <c r="C1345" s="72" t="str">
        <f aca="false">IF(B1345="","",IFERROR(INDEX(T_NOMBRE,MATCH(B1345,T_ID,0)),"⚠ ID no existe"))</f>
        <v/>
      </c>
      <c r="D1345" s="65"/>
      <c r="E1345" s="65"/>
      <c r="F1345" s="64"/>
      <c r="G1345" s="74" t="str">
        <f aca="false">IF(OR(B1345="",NOT(ISNUMBER(D1345)),NOT(ISNUMBER(E1345))),"",NETWORKDAYS(D1345,E1345,FERIADOS))</f>
        <v/>
      </c>
      <c r="H1345" s="69"/>
      <c r="I1345" s="74" t="str">
        <f aca="false">IF(B1345="","",IF(ISNUMBER(H1345),H1345,N(G1345)))</f>
        <v/>
      </c>
      <c r="J1345" s="64"/>
      <c r="K1345" s="64"/>
      <c r="L1345" s="93" t="str">
        <f aca="false">IF(NOT(ISNUMBER(D1345)),"",DATE(YEAR(D1345),MONTH(D1345),1))</f>
        <v/>
      </c>
      <c r="M1345" s="70" t="str">
        <f aca="false">IF(B1345="","",IF(AND(ISNUMBER(D1345),ISNUMBER(E1345),E1345&lt;D1345),"⚠ Término anterior al inicio",IF(J1345&lt;&gt;"Sí","Pendiente comprobante firmado","OK")))</f>
        <v/>
      </c>
    </row>
    <row r="1346" customFormat="false" ht="15" hidden="false" customHeight="false" outlineLevel="0" collapsed="false">
      <c r="B1346" s="64"/>
      <c r="C1346" s="72" t="str">
        <f aca="false">IF(B1346="","",IFERROR(INDEX(T_NOMBRE,MATCH(B1346,T_ID,0)),"⚠ ID no existe"))</f>
        <v/>
      </c>
      <c r="D1346" s="65"/>
      <c r="E1346" s="65"/>
      <c r="F1346" s="64"/>
      <c r="G1346" s="74" t="str">
        <f aca="false">IF(OR(B1346="",NOT(ISNUMBER(D1346)),NOT(ISNUMBER(E1346))),"",NETWORKDAYS(D1346,E1346,FERIADOS))</f>
        <v/>
      </c>
      <c r="H1346" s="69"/>
      <c r="I1346" s="74" t="str">
        <f aca="false">IF(B1346="","",IF(ISNUMBER(H1346),H1346,N(G1346)))</f>
        <v/>
      </c>
      <c r="J1346" s="64"/>
      <c r="K1346" s="64"/>
      <c r="L1346" s="93" t="str">
        <f aca="false">IF(NOT(ISNUMBER(D1346)),"",DATE(YEAR(D1346),MONTH(D1346),1))</f>
        <v/>
      </c>
      <c r="M1346" s="70" t="str">
        <f aca="false">IF(B1346="","",IF(AND(ISNUMBER(D1346),ISNUMBER(E1346),E1346&lt;D1346),"⚠ Término anterior al inicio",IF(J1346&lt;&gt;"Sí","Pendiente comprobante firmado","OK")))</f>
        <v/>
      </c>
    </row>
    <row r="1347" customFormat="false" ht="15" hidden="false" customHeight="false" outlineLevel="0" collapsed="false">
      <c r="B1347" s="64"/>
      <c r="C1347" s="72" t="str">
        <f aca="false">IF(B1347="","",IFERROR(INDEX(T_NOMBRE,MATCH(B1347,T_ID,0)),"⚠ ID no existe"))</f>
        <v/>
      </c>
      <c r="D1347" s="65"/>
      <c r="E1347" s="65"/>
      <c r="F1347" s="64"/>
      <c r="G1347" s="74" t="str">
        <f aca="false">IF(OR(B1347="",NOT(ISNUMBER(D1347)),NOT(ISNUMBER(E1347))),"",NETWORKDAYS(D1347,E1347,FERIADOS))</f>
        <v/>
      </c>
      <c r="H1347" s="69"/>
      <c r="I1347" s="74" t="str">
        <f aca="false">IF(B1347="","",IF(ISNUMBER(H1347),H1347,N(G1347)))</f>
        <v/>
      </c>
      <c r="J1347" s="64"/>
      <c r="K1347" s="64"/>
      <c r="L1347" s="93" t="str">
        <f aca="false">IF(NOT(ISNUMBER(D1347)),"",DATE(YEAR(D1347),MONTH(D1347),1))</f>
        <v/>
      </c>
      <c r="M1347" s="70" t="str">
        <f aca="false">IF(B1347="","",IF(AND(ISNUMBER(D1347),ISNUMBER(E1347),E1347&lt;D1347),"⚠ Término anterior al inicio",IF(J1347&lt;&gt;"Sí","Pendiente comprobante firmado","OK")))</f>
        <v/>
      </c>
    </row>
    <row r="1348" customFormat="false" ht="15" hidden="false" customHeight="false" outlineLevel="0" collapsed="false">
      <c r="B1348" s="64"/>
      <c r="C1348" s="72" t="str">
        <f aca="false">IF(B1348="","",IFERROR(INDEX(T_NOMBRE,MATCH(B1348,T_ID,0)),"⚠ ID no existe"))</f>
        <v/>
      </c>
      <c r="D1348" s="65"/>
      <c r="E1348" s="65"/>
      <c r="F1348" s="64"/>
      <c r="G1348" s="74" t="str">
        <f aca="false">IF(OR(B1348="",NOT(ISNUMBER(D1348)),NOT(ISNUMBER(E1348))),"",NETWORKDAYS(D1348,E1348,FERIADOS))</f>
        <v/>
      </c>
      <c r="H1348" s="69"/>
      <c r="I1348" s="74" t="str">
        <f aca="false">IF(B1348="","",IF(ISNUMBER(H1348),H1348,N(G1348)))</f>
        <v/>
      </c>
      <c r="J1348" s="64"/>
      <c r="K1348" s="64"/>
      <c r="L1348" s="93" t="str">
        <f aca="false">IF(NOT(ISNUMBER(D1348)),"",DATE(YEAR(D1348),MONTH(D1348),1))</f>
        <v/>
      </c>
      <c r="M1348" s="70" t="str">
        <f aca="false">IF(B1348="","",IF(AND(ISNUMBER(D1348),ISNUMBER(E1348),E1348&lt;D1348),"⚠ Término anterior al inicio",IF(J1348&lt;&gt;"Sí","Pendiente comprobante firmado","OK")))</f>
        <v/>
      </c>
    </row>
    <row r="1349" customFormat="false" ht="15" hidden="false" customHeight="false" outlineLevel="0" collapsed="false">
      <c r="B1349" s="64"/>
      <c r="C1349" s="72" t="str">
        <f aca="false">IF(B1349="","",IFERROR(INDEX(T_NOMBRE,MATCH(B1349,T_ID,0)),"⚠ ID no existe"))</f>
        <v/>
      </c>
      <c r="D1349" s="65"/>
      <c r="E1349" s="65"/>
      <c r="F1349" s="64"/>
      <c r="G1349" s="74" t="str">
        <f aca="false">IF(OR(B1349="",NOT(ISNUMBER(D1349)),NOT(ISNUMBER(E1349))),"",NETWORKDAYS(D1349,E1349,FERIADOS))</f>
        <v/>
      </c>
      <c r="H1349" s="69"/>
      <c r="I1349" s="74" t="str">
        <f aca="false">IF(B1349="","",IF(ISNUMBER(H1349),H1349,N(G1349)))</f>
        <v/>
      </c>
      <c r="J1349" s="64"/>
      <c r="K1349" s="64"/>
      <c r="L1349" s="93" t="str">
        <f aca="false">IF(NOT(ISNUMBER(D1349)),"",DATE(YEAR(D1349),MONTH(D1349),1))</f>
        <v/>
      </c>
      <c r="M1349" s="70" t="str">
        <f aca="false">IF(B1349="","",IF(AND(ISNUMBER(D1349),ISNUMBER(E1349),E1349&lt;D1349),"⚠ Término anterior al inicio",IF(J1349&lt;&gt;"Sí","Pendiente comprobante firmado","OK")))</f>
        <v/>
      </c>
    </row>
    <row r="1350" customFormat="false" ht="15" hidden="false" customHeight="false" outlineLevel="0" collapsed="false">
      <c r="B1350" s="64"/>
      <c r="C1350" s="72" t="str">
        <f aca="false">IF(B1350="","",IFERROR(INDEX(T_NOMBRE,MATCH(B1350,T_ID,0)),"⚠ ID no existe"))</f>
        <v/>
      </c>
      <c r="D1350" s="65"/>
      <c r="E1350" s="65"/>
      <c r="F1350" s="64"/>
      <c r="G1350" s="74" t="str">
        <f aca="false">IF(OR(B1350="",NOT(ISNUMBER(D1350)),NOT(ISNUMBER(E1350))),"",NETWORKDAYS(D1350,E1350,FERIADOS))</f>
        <v/>
      </c>
      <c r="H1350" s="69"/>
      <c r="I1350" s="74" t="str">
        <f aca="false">IF(B1350="","",IF(ISNUMBER(H1350),H1350,N(G1350)))</f>
        <v/>
      </c>
      <c r="J1350" s="64"/>
      <c r="K1350" s="64"/>
      <c r="L1350" s="93" t="str">
        <f aca="false">IF(NOT(ISNUMBER(D1350)),"",DATE(YEAR(D1350),MONTH(D1350),1))</f>
        <v/>
      </c>
      <c r="M1350" s="70" t="str">
        <f aca="false">IF(B1350="","",IF(AND(ISNUMBER(D1350),ISNUMBER(E1350),E1350&lt;D1350),"⚠ Término anterior al inicio",IF(J1350&lt;&gt;"Sí","Pendiente comprobante firmado","OK")))</f>
        <v/>
      </c>
    </row>
    <row r="1351" customFormat="false" ht="15" hidden="false" customHeight="false" outlineLevel="0" collapsed="false">
      <c r="B1351" s="64"/>
      <c r="C1351" s="72" t="str">
        <f aca="false">IF(B1351="","",IFERROR(INDEX(T_NOMBRE,MATCH(B1351,T_ID,0)),"⚠ ID no existe"))</f>
        <v/>
      </c>
      <c r="D1351" s="65"/>
      <c r="E1351" s="65"/>
      <c r="F1351" s="64"/>
      <c r="G1351" s="74" t="str">
        <f aca="false">IF(OR(B1351="",NOT(ISNUMBER(D1351)),NOT(ISNUMBER(E1351))),"",NETWORKDAYS(D1351,E1351,FERIADOS))</f>
        <v/>
      </c>
      <c r="H1351" s="69"/>
      <c r="I1351" s="74" t="str">
        <f aca="false">IF(B1351="","",IF(ISNUMBER(H1351),H1351,N(G1351)))</f>
        <v/>
      </c>
      <c r="J1351" s="64"/>
      <c r="K1351" s="64"/>
      <c r="L1351" s="93" t="str">
        <f aca="false">IF(NOT(ISNUMBER(D1351)),"",DATE(YEAR(D1351),MONTH(D1351),1))</f>
        <v/>
      </c>
      <c r="M1351" s="70" t="str">
        <f aca="false">IF(B1351="","",IF(AND(ISNUMBER(D1351),ISNUMBER(E1351),E1351&lt;D1351),"⚠ Término anterior al inicio",IF(J1351&lt;&gt;"Sí","Pendiente comprobante firmado","OK")))</f>
        <v/>
      </c>
    </row>
    <row r="1352" customFormat="false" ht="15" hidden="false" customHeight="false" outlineLevel="0" collapsed="false">
      <c r="B1352" s="64"/>
      <c r="C1352" s="72" t="str">
        <f aca="false">IF(B1352="","",IFERROR(INDEX(T_NOMBRE,MATCH(B1352,T_ID,0)),"⚠ ID no existe"))</f>
        <v/>
      </c>
      <c r="D1352" s="65"/>
      <c r="E1352" s="65"/>
      <c r="F1352" s="64"/>
      <c r="G1352" s="74" t="str">
        <f aca="false">IF(OR(B1352="",NOT(ISNUMBER(D1352)),NOT(ISNUMBER(E1352))),"",NETWORKDAYS(D1352,E1352,FERIADOS))</f>
        <v/>
      </c>
      <c r="H1352" s="69"/>
      <c r="I1352" s="74" t="str">
        <f aca="false">IF(B1352="","",IF(ISNUMBER(H1352),H1352,N(G1352)))</f>
        <v/>
      </c>
      <c r="J1352" s="64"/>
      <c r="K1352" s="64"/>
      <c r="L1352" s="93" t="str">
        <f aca="false">IF(NOT(ISNUMBER(D1352)),"",DATE(YEAR(D1352),MONTH(D1352),1))</f>
        <v/>
      </c>
      <c r="M1352" s="70" t="str">
        <f aca="false">IF(B1352="","",IF(AND(ISNUMBER(D1352),ISNUMBER(E1352),E1352&lt;D1352),"⚠ Término anterior al inicio",IF(J1352&lt;&gt;"Sí","Pendiente comprobante firmado","OK")))</f>
        <v/>
      </c>
    </row>
    <row r="1353" customFormat="false" ht="15" hidden="false" customHeight="false" outlineLevel="0" collapsed="false">
      <c r="B1353" s="64"/>
      <c r="C1353" s="72" t="str">
        <f aca="false">IF(B1353="","",IFERROR(INDEX(T_NOMBRE,MATCH(B1353,T_ID,0)),"⚠ ID no existe"))</f>
        <v/>
      </c>
      <c r="D1353" s="65"/>
      <c r="E1353" s="65"/>
      <c r="F1353" s="64"/>
      <c r="G1353" s="74" t="str">
        <f aca="false">IF(OR(B1353="",NOT(ISNUMBER(D1353)),NOT(ISNUMBER(E1353))),"",NETWORKDAYS(D1353,E1353,FERIADOS))</f>
        <v/>
      </c>
      <c r="H1353" s="69"/>
      <c r="I1353" s="74" t="str">
        <f aca="false">IF(B1353="","",IF(ISNUMBER(H1353),H1353,N(G1353)))</f>
        <v/>
      </c>
      <c r="J1353" s="64"/>
      <c r="K1353" s="64"/>
      <c r="L1353" s="93" t="str">
        <f aca="false">IF(NOT(ISNUMBER(D1353)),"",DATE(YEAR(D1353),MONTH(D1353),1))</f>
        <v/>
      </c>
      <c r="M1353" s="70" t="str">
        <f aca="false">IF(B1353="","",IF(AND(ISNUMBER(D1353),ISNUMBER(E1353),E1353&lt;D1353),"⚠ Término anterior al inicio",IF(J1353&lt;&gt;"Sí","Pendiente comprobante firmado","OK")))</f>
        <v/>
      </c>
    </row>
    <row r="1354" customFormat="false" ht="15" hidden="false" customHeight="false" outlineLevel="0" collapsed="false">
      <c r="B1354" s="64"/>
      <c r="C1354" s="72" t="str">
        <f aca="false">IF(B1354="","",IFERROR(INDEX(T_NOMBRE,MATCH(B1354,T_ID,0)),"⚠ ID no existe"))</f>
        <v/>
      </c>
      <c r="D1354" s="65"/>
      <c r="E1354" s="65"/>
      <c r="F1354" s="64"/>
      <c r="G1354" s="74" t="str">
        <f aca="false">IF(OR(B1354="",NOT(ISNUMBER(D1354)),NOT(ISNUMBER(E1354))),"",NETWORKDAYS(D1354,E1354,FERIADOS))</f>
        <v/>
      </c>
      <c r="H1354" s="69"/>
      <c r="I1354" s="74" t="str">
        <f aca="false">IF(B1354="","",IF(ISNUMBER(H1354),H1354,N(G1354)))</f>
        <v/>
      </c>
      <c r="J1354" s="64"/>
      <c r="K1354" s="64"/>
      <c r="L1354" s="93" t="str">
        <f aca="false">IF(NOT(ISNUMBER(D1354)),"",DATE(YEAR(D1354),MONTH(D1354),1))</f>
        <v/>
      </c>
      <c r="M1354" s="70" t="str">
        <f aca="false">IF(B1354="","",IF(AND(ISNUMBER(D1354),ISNUMBER(E1354),E1354&lt;D1354),"⚠ Término anterior al inicio",IF(J1354&lt;&gt;"Sí","Pendiente comprobante firmado","OK")))</f>
        <v/>
      </c>
    </row>
    <row r="1355" customFormat="false" ht="15" hidden="false" customHeight="false" outlineLevel="0" collapsed="false">
      <c r="B1355" s="64"/>
      <c r="C1355" s="72" t="str">
        <f aca="false">IF(B1355="","",IFERROR(INDEX(T_NOMBRE,MATCH(B1355,T_ID,0)),"⚠ ID no existe"))</f>
        <v/>
      </c>
      <c r="D1355" s="65"/>
      <c r="E1355" s="65"/>
      <c r="F1355" s="64"/>
      <c r="G1355" s="74" t="str">
        <f aca="false">IF(OR(B1355="",NOT(ISNUMBER(D1355)),NOT(ISNUMBER(E1355))),"",NETWORKDAYS(D1355,E1355,FERIADOS))</f>
        <v/>
      </c>
      <c r="H1355" s="69"/>
      <c r="I1355" s="74" t="str">
        <f aca="false">IF(B1355="","",IF(ISNUMBER(H1355),H1355,N(G1355)))</f>
        <v/>
      </c>
      <c r="J1355" s="64"/>
      <c r="K1355" s="64"/>
      <c r="L1355" s="93" t="str">
        <f aca="false">IF(NOT(ISNUMBER(D1355)),"",DATE(YEAR(D1355),MONTH(D1355),1))</f>
        <v/>
      </c>
      <c r="M1355" s="70" t="str">
        <f aca="false">IF(B1355="","",IF(AND(ISNUMBER(D1355),ISNUMBER(E1355),E1355&lt;D1355),"⚠ Término anterior al inicio",IF(J1355&lt;&gt;"Sí","Pendiente comprobante firmado","OK")))</f>
        <v/>
      </c>
    </row>
    <row r="1356" customFormat="false" ht="15" hidden="false" customHeight="false" outlineLevel="0" collapsed="false">
      <c r="B1356" s="64"/>
      <c r="C1356" s="72" t="str">
        <f aca="false">IF(B1356="","",IFERROR(INDEX(T_NOMBRE,MATCH(B1356,T_ID,0)),"⚠ ID no existe"))</f>
        <v/>
      </c>
      <c r="D1356" s="65"/>
      <c r="E1356" s="65"/>
      <c r="F1356" s="64"/>
      <c r="G1356" s="74" t="str">
        <f aca="false">IF(OR(B1356="",NOT(ISNUMBER(D1356)),NOT(ISNUMBER(E1356))),"",NETWORKDAYS(D1356,E1356,FERIADOS))</f>
        <v/>
      </c>
      <c r="H1356" s="69"/>
      <c r="I1356" s="74" t="str">
        <f aca="false">IF(B1356="","",IF(ISNUMBER(H1356),H1356,N(G1356)))</f>
        <v/>
      </c>
      <c r="J1356" s="64"/>
      <c r="K1356" s="64"/>
      <c r="L1356" s="93" t="str">
        <f aca="false">IF(NOT(ISNUMBER(D1356)),"",DATE(YEAR(D1356),MONTH(D1356),1))</f>
        <v/>
      </c>
      <c r="M1356" s="70" t="str">
        <f aca="false">IF(B1356="","",IF(AND(ISNUMBER(D1356),ISNUMBER(E1356),E1356&lt;D1356),"⚠ Término anterior al inicio",IF(J1356&lt;&gt;"Sí","Pendiente comprobante firmado","OK")))</f>
        <v/>
      </c>
    </row>
    <row r="1357" customFormat="false" ht="15" hidden="false" customHeight="false" outlineLevel="0" collapsed="false">
      <c r="B1357" s="64"/>
      <c r="C1357" s="72" t="str">
        <f aca="false">IF(B1357="","",IFERROR(INDEX(T_NOMBRE,MATCH(B1357,T_ID,0)),"⚠ ID no existe"))</f>
        <v/>
      </c>
      <c r="D1357" s="65"/>
      <c r="E1357" s="65"/>
      <c r="F1357" s="64"/>
      <c r="G1357" s="74" t="str">
        <f aca="false">IF(OR(B1357="",NOT(ISNUMBER(D1357)),NOT(ISNUMBER(E1357))),"",NETWORKDAYS(D1357,E1357,FERIADOS))</f>
        <v/>
      </c>
      <c r="H1357" s="69"/>
      <c r="I1357" s="74" t="str">
        <f aca="false">IF(B1357="","",IF(ISNUMBER(H1357),H1357,N(G1357)))</f>
        <v/>
      </c>
      <c r="J1357" s="64"/>
      <c r="K1357" s="64"/>
      <c r="L1357" s="93" t="str">
        <f aca="false">IF(NOT(ISNUMBER(D1357)),"",DATE(YEAR(D1357),MONTH(D1357),1))</f>
        <v/>
      </c>
      <c r="M1357" s="70" t="str">
        <f aca="false">IF(B1357="","",IF(AND(ISNUMBER(D1357),ISNUMBER(E1357),E1357&lt;D1357),"⚠ Término anterior al inicio",IF(J1357&lt;&gt;"Sí","Pendiente comprobante firmado","OK")))</f>
        <v/>
      </c>
    </row>
    <row r="1358" customFormat="false" ht="15" hidden="false" customHeight="false" outlineLevel="0" collapsed="false">
      <c r="B1358" s="64"/>
      <c r="C1358" s="72" t="str">
        <f aca="false">IF(B1358="","",IFERROR(INDEX(T_NOMBRE,MATCH(B1358,T_ID,0)),"⚠ ID no existe"))</f>
        <v/>
      </c>
      <c r="D1358" s="65"/>
      <c r="E1358" s="65"/>
      <c r="F1358" s="64"/>
      <c r="G1358" s="74" t="str">
        <f aca="false">IF(OR(B1358="",NOT(ISNUMBER(D1358)),NOT(ISNUMBER(E1358))),"",NETWORKDAYS(D1358,E1358,FERIADOS))</f>
        <v/>
      </c>
      <c r="H1358" s="69"/>
      <c r="I1358" s="74" t="str">
        <f aca="false">IF(B1358="","",IF(ISNUMBER(H1358),H1358,N(G1358)))</f>
        <v/>
      </c>
      <c r="J1358" s="64"/>
      <c r="K1358" s="64"/>
      <c r="L1358" s="93" t="str">
        <f aca="false">IF(NOT(ISNUMBER(D1358)),"",DATE(YEAR(D1358),MONTH(D1358),1))</f>
        <v/>
      </c>
      <c r="M1358" s="70" t="str">
        <f aca="false">IF(B1358="","",IF(AND(ISNUMBER(D1358),ISNUMBER(E1358),E1358&lt;D1358),"⚠ Término anterior al inicio",IF(J1358&lt;&gt;"Sí","Pendiente comprobante firmado","OK")))</f>
        <v/>
      </c>
    </row>
    <row r="1359" customFormat="false" ht="15" hidden="false" customHeight="false" outlineLevel="0" collapsed="false">
      <c r="B1359" s="64"/>
      <c r="C1359" s="72" t="str">
        <f aca="false">IF(B1359="","",IFERROR(INDEX(T_NOMBRE,MATCH(B1359,T_ID,0)),"⚠ ID no existe"))</f>
        <v/>
      </c>
      <c r="D1359" s="65"/>
      <c r="E1359" s="65"/>
      <c r="F1359" s="64"/>
      <c r="G1359" s="74" t="str">
        <f aca="false">IF(OR(B1359="",NOT(ISNUMBER(D1359)),NOT(ISNUMBER(E1359))),"",NETWORKDAYS(D1359,E1359,FERIADOS))</f>
        <v/>
      </c>
      <c r="H1359" s="69"/>
      <c r="I1359" s="74" t="str">
        <f aca="false">IF(B1359="","",IF(ISNUMBER(H1359),H1359,N(G1359)))</f>
        <v/>
      </c>
      <c r="J1359" s="64"/>
      <c r="K1359" s="64"/>
      <c r="L1359" s="93" t="str">
        <f aca="false">IF(NOT(ISNUMBER(D1359)),"",DATE(YEAR(D1359),MONTH(D1359),1))</f>
        <v/>
      </c>
      <c r="M1359" s="70" t="str">
        <f aca="false">IF(B1359="","",IF(AND(ISNUMBER(D1359),ISNUMBER(E1359),E1359&lt;D1359),"⚠ Término anterior al inicio",IF(J1359&lt;&gt;"Sí","Pendiente comprobante firmado","OK")))</f>
        <v/>
      </c>
    </row>
    <row r="1360" customFormat="false" ht="15" hidden="false" customHeight="false" outlineLevel="0" collapsed="false">
      <c r="B1360" s="64"/>
      <c r="C1360" s="72" t="str">
        <f aca="false">IF(B1360="","",IFERROR(INDEX(T_NOMBRE,MATCH(B1360,T_ID,0)),"⚠ ID no existe"))</f>
        <v/>
      </c>
      <c r="D1360" s="65"/>
      <c r="E1360" s="65"/>
      <c r="F1360" s="64"/>
      <c r="G1360" s="74" t="str">
        <f aca="false">IF(OR(B1360="",NOT(ISNUMBER(D1360)),NOT(ISNUMBER(E1360))),"",NETWORKDAYS(D1360,E1360,FERIADOS))</f>
        <v/>
      </c>
      <c r="H1360" s="69"/>
      <c r="I1360" s="74" t="str">
        <f aca="false">IF(B1360="","",IF(ISNUMBER(H1360),H1360,N(G1360)))</f>
        <v/>
      </c>
      <c r="J1360" s="64"/>
      <c r="K1360" s="64"/>
      <c r="L1360" s="93" t="str">
        <f aca="false">IF(NOT(ISNUMBER(D1360)),"",DATE(YEAR(D1360),MONTH(D1360),1))</f>
        <v/>
      </c>
      <c r="M1360" s="70" t="str">
        <f aca="false">IF(B1360="","",IF(AND(ISNUMBER(D1360),ISNUMBER(E1360),E1360&lt;D1360),"⚠ Término anterior al inicio",IF(J1360&lt;&gt;"Sí","Pendiente comprobante firmado","OK")))</f>
        <v/>
      </c>
    </row>
    <row r="1361" customFormat="false" ht="15" hidden="false" customHeight="false" outlineLevel="0" collapsed="false">
      <c r="B1361" s="64"/>
      <c r="C1361" s="72" t="str">
        <f aca="false">IF(B1361="","",IFERROR(INDEX(T_NOMBRE,MATCH(B1361,T_ID,0)),"⚠ ID no existe"))</f>
        <v/>
      </c>
      <c r="D1361" s="65"/>
      <c r="E1361" s="65"/>
      <c r="F1361" s="64"/>
      <c r="G1361" s="74" t="str">
        <f aca="false">IF(OR(B1361="",NOT(ISNUMBER(D1361)),NOT(ISNUMBER(E1361))),"",NETWORKDAYS(D1361,E1361,FERIADOS))</f>
        <v/>
      </c>
      <c r="H1361" s="69"/>
      <c r="I1361" s="74" t="str">
        <f aca="false">IF(B1361="","",IF(ISNUMBER(H1361),H1361,N(G1361)))</f>
        <v/>
      </c>
      <c r="J1361" s="64"/>
      <c r="K1361" s="64"/>
      <c r="L1361" s="93" t="str">
        <f aca="false">IF(NOT(ISNUMBER(D1361)),"",DATE(YEAR(D1361),MONTH(D1361),1))</f>
        <v/>
      </c>
      <c r="M1361" s="70" t="str">
        <f aca="false">IF(B1361="","",IF(AND(ISNUMBER(D1361),ISNUMBER(E1361),E1361&lt;D1361),"⚠ Término anterior al inicio",IF(J1361&lt;&gt;"Sí","Pendiente comprobante firmado","OK")))</f>
        <v/>
      </c>
    </row>
    <row r="1362" customFormat="false" ht="15" hidden="false" customHeight="false" outlineLevel="0" collapsed="false">
      <c r="B1362" s="64"/>
      <c r="C1362" s="72" t="str">
        <f aca="false">IF(B1362="","",IFERROR(INDEX(T_NOMBRE,MATCH(B1362,T_ID,0)),"⚠ ID no existe"))</f>
        <v/>
      </c>
      <c r="D1362" s="65"/>
      <c r="E1362" s="65"/>
      <c r="F1362" s="64"/>
      <c r="G1362" s="74" t="str">
        <f aca="false">IF(OR(B1362="",NOT(ISNUMBER(D1362)),NOT(ISNUMBER(E1362))),"",NETWORKDAYS(D1362,E1362,FERIADOS))</f>
        <v/>
      </c>
      <c r="H1362" s="69"/>
      <c r="I1362" s="74" t="str">
        <f aca="false">IF(B1362="","",IF(ISNUMBER(H1362),H1362,N(G1362)))</f>
        <v/>
      </c>
      <c r="J1362" s="64"/>
      <c r="K1362" s="64"/>
      <c r="L1362" s="93" t="str">
        <f aca="false">IF(NOT(ISNUMBER(D1362)),"",DATE(YEAR(D1362),MONTH(D1362),1))</f>
        <v/>
      </c>
      <c r="M1362" s="70" t="str">
        <f aca="false">IF(B1362="","",IF(AND(ISNUMBER(D1362),ISNUMBER(E1362),E1362&lt;D1362),"⚠ Término anterior al inicio",IF(J1362&lt;&gt;"Sí","Pendiente comprobante firmado","OK")))</f>
        <v/>
      </c>
    </row>
    <row r="1363" customFormat="false" ht="15" hidden="false" customHeight="false" outlineLevel="0" collapsed="false">
      <c r="B1363" s="64"/>
      <c r="C1363" s="72" t="str">
        <f aca="false">IF(B1363="","",IFERROR(INDEX(T_NOMBRE,MATCH(B1363,T_ID,0)),"⚠ ID no existe"))</f>
        <v/>
      </c>
      <c r="D1363" s="65"/>
      <c r="E1363" s="65"/>
      <c r="F1363" s="64"/>
      <c r="G1363" s="74" t="str">
        <f aca="false">IF(OR(B1363="",NOT(ISNUMBER(D1363)),NOT(ISNUMBER(E1363))),"",NETWORKDAYS(D1363,E1363,FERIADOS))</f>
        <v/>
      </c>
      <c r="H1363" s="69"/>
      <c r="I1363" s="74" t="str">
        <f aca="false">IF(B1363="","",IF(ISNUMBER(H1363),H1363,N(G1363)))</f>
        <v/>
      </c>
      <c r="J1363" s="64"/>
      <c r="K1363" s="64"/>
      <c r="L1363" s="93" t="str">
        <f aca="false">IF(NOT(ISNUMBER(D1363)),"",DATE(YEAR(D1363),MONTH(D1363),1))</f>
        <v/>
      </c>
      <c r="M1363" s="70" t="str">
        <f aca="false">IF(B1363="","",IF(AND(ISNUMBER(D1363),ISNUMBER(E1363),E1363&lt;D1363),"⚠ Término anterior al inicio",IF(J1363&lt;&gt;"Sí","Pendiente comprobante firmado","OK")))</f>
        <v/>
      </c>
    </row>
    <row r="1364" customFormat="false" ht="15" hidden="false" customHeight="false" outlineLevel="0" collapsed="false">
      <c r="B1364" s="64"/>
      <c r="C1364" s="72" t="str">
        <f aca="false">IF(B1364="","",IFERROR(INDEX(T_NOMBRE,MATCH(B1364,T_ID,0)),"⚠ ID no existe"))</f>
        <v/>
      </c>
      <c r="D1364" s="65"/>
      <c r="E1364" s="65"/>
      <c r="F1364" s="64"/>
      <c r="G1364" s="74" t="str">
        <f aca="false">IF(OR(B1364="",NOT(ISNUMBER(D1364)),NOT(ISNUMBER(E1364))),"",NETWORKDAYS(D1364,E1364,FERIADOS))</f>
        <v/>
      </c>
      <c r="H1364" s="69"/>
      <c r="I1364" s="74" t="str">
        <f aca="false">IF(B1364="","",IF(ISNUMBER(H1364),H1364,N(G1364)))</f>
        <v/>
      </c>
      <c r="J1364" s="64"/>
      <c r="K1364" s="64"/>
      <c r="L1364" s="93" t="str">
        <f aca="false">IF(NOT(ISNUMBER(D1364)),"",DATE(YEAR(D1364),MONTH(D1364),1))</f>
        <v/>
      </c>
      <c r="M1364" s="70" t="str">
        <f aca="false">IF(B1364="","",IF(AND(ISNUMBER(D1364),ISNUMBER(E1364),E1364&lt;D1364),"⚠ Término anterior al inicio",IF(J1364&lt;&gt;"Sí","Pendiente comprobante firmado","OK")))</f>
        <v/>
      </c>
    </row>
    <row r="1365" customFormat="false" ht="15" hidden="false" customHeight="false" outlineLevel="0" collapsed="false">
      <c r="B1365" s="64"/>
      <c r="C1365" s="72" t="str">
        <f aca="false">IF(B1365="","",IFERROR(INDEX(T_NOMBRE,MATCH(B1365,T_ID,0)),"⚠ ID no existe"))</f>
        <v/>
      </c>
      <c r="D1365" s="65"/>
      <c r="E1365" s="65"/>
      <c r="F1365" s="64"/>
      <c r="G1365" s="74" t="str">
        <f aca="false">IF(OR(B1365="",NOT(ISNUMBER(D1365)),NOT(ISNUMBER(E1365))),"",NETWORKDAYS(D1365,E1365,FERIADOS))</f>
        <v/>
      </c>
      <c r="H1365" s="69"/>
      <c r="I1365" s="74" t="str">
        <f aca="false">IF(B1365="","",IF(ISNUMBER(H1365),H1365,N(G1365)))</f>
        <v/>
      </c>
      <c r="J1365" s="64"/>
      <c r="K1365" s="64"/>
      <c r="L1365" s="93" t="str">
        <f aca="false">IF(NOT(ISNUMBER(D1365)),"",DATE(YEAR(D1365),MONTH(D1365),1))</f>
        <v/>
      </c>
      <c r="M1365" s="70" t="str">
        <f aca="false">IF(B1365="","",IF(AND(ISNUMBER(D1365),ISNUMBER(E1365),E1365&lt;D1365),"⚠ Término anterior al inicio",IF(J1365&lt;&gt;"Sí","Pendiente comprobante firmado","OK")))</f>
        <v/>
      </c>
    </row>
    <row r="1366" customFormat="false" ht="15" hidden="false" customHeight="false" outlineLevel="0" collapsed="false">
      <c r="B1366" s="64"/>
      <c r="C1366" s="72" t="str">
        <f aca="false">IF(B1366="","",IFERROR(INDEX(T_NOMBRE,MATCH(B1366,T_ID,0)),"⚠ ID no existe"))</f>
        <v/>
      </c>
      <c r="D1366" s="65"/>
      <c r="E1366" s="65"/>
      <c r="F1366" s="64"/>
      <c r="G1366" s="74" t="str">
        <f aca="false">IF(OR(B1366="",NOT(ISNUMBER(D1366)),NOT(ISNUMBER(E1366))),"",NETWORKDAYS(D1366,E1366,FERIADOS))</f>
        <v/>
      </c>
      <c r="H1366" s="69"/>
      <c r="I1366" s="74" t="str">
        <f aca="false">IF(B1366="","",IF(ISNUMBER(H1366),H1366,N(G1366)))</f>
        <v/>
      </c>
      <c r="J1366" s="64"/>
      <c r="K1366" s="64"/>
      <c r="L1366" s="93" t="str">
        <f aca="false">IF(NOT(ISNUMBER(D1366)),"",DATE(YEAR(D1366),MONTH(D1366),1))</f>
        <v/>
      </c>
      <c r="M1366" s="70" t="str">
        <f aca="false">IF(B1366="","",IF(AND(ISNUMBER(D1366),ISNUMBER(E1366),E1366&lt;D1366),"⚠ Término anterior al inicio",IF(J1366&lt;&gt;"Sí","Pendiente comprobante firmado","OK")))</f>
        <v/>
      </c>
    </row>
    <row r="1367" customFormat="false" ht="15" hidden="false" customHeight="false" outlineLevel="0" collapsed="false">
      <c r="B1367" s="64"/>
      <c r="C1367" s="72" t="str">
        <f aca="false">IF(B1367="","",IFERROR(INDEX(T_NOMBRE,MATCH(B1367,T_ID,0)),"⚠ ID no existe"))</f>
        <v/>
      </c>
      <c r="D1367" s="65"/>
      <c r="E1367" s="65"/>
      <c r="F1367" s="64"/>
      <c r="G1367" s="74" t="str">
        <f aca="false">IF(OR(B1367="",NOT(ISNUMBER(D1367)),NOT(ISNUMBER(E1367))),"",NETWORKDAYS(D1367,E1367,FERIADOS))</f>
        <v/>
      </c>
      <c r="H1367" s="69"/>
      <c r="I1367" s="74" t="str">
        <f aca="false">IF(B1367="","",IF(ISNUMBER(H1367),H1367,N(G1367)))</f>
        <v/>
      </c>
      <c r="J1367" s="64"/>
      <c r="K1367" s="64"/>
      <c r="L1367" s="93" t="str">
        <f aca="false">IF(NOT(ISNUMBER(D1367)),"",DATE(YEAR(D1367),MONTH(D1367),1))</f>
        <v/>
      </c>
      <c r="M1367" s="70" t="str">
        <f aca="false">IF(B1367="","",IF(AND(ISNUMBER(D1367),ISNUMBER(E1367),E1367&lt;D1367),"⚠ Término anterior al inicio",IF(J1367&lt;&gt;"Sí","Pendiente comprobante firmado","OK")))</f>
        <v/>
      </c>
    </row>
    <row r="1368" customFormat="false" ht="15" hidden="false" customHeight="false" outlineLevel="0" collapsed="false">
      <c r="B1368" s="64"/>
      <c r="C1368" s="72" t="str">
        <f aca="false">IF(B1368="","",IFERROR(INDEX(T_NOMBRE,MATCH(B1368,T_ID,0)),"⚠ ID no existe"))</f>
        <v/>
      </c>
      <c r="D1368" s="65"/>
      <c r="E1368" s="65"/>
      <c r="F1368" s="64"/>
      <c r="G1368" s="74" t="str">
        <f aca="false">IF(OR(B1368="",NOT(ISNUMBER(D1368)),NOT(ISNUMBER(E1368))),"",NETWORKDAYS(D1368,E1368,FERIADOS))</f>
        <v/>
      </c>
      <c r="H1368" s="69"/>
      <c r="I1368" s="74" t="str">
        <f aca="false">IF(B1368="","",IF(ISNUMBER(H1368),H1368,N(G1368)))</f>
        <v/>
      </c>
      <c r="J1368" s="64"/>
      <c r="K1368" s="64"/>
      <c r="L1368" s="93" t="str">
        <f aca="false">IF(NOT(ISNUMBER(D1368)),"",DATE(YEAR(D1368),MONTH(D1368),1))</f>
        <v/>
      </c>
      <c r="M1368" s="70" t="str">
        <f aca="false">IF(B1368="","",IF(AND(ISNUMBER(D1368),ISNUMBER(E1368),E1368&lt;D1368),"⚠ Término anterior al inicio",IF(J1368&lt;&gt;"Sí","Pendiente comprobante firmado","OK")))</f>
        <v/>
      </c>
    </row>
    <row r="1369" customFormat="false" ht="15" hidden="false" customHeight="false" outlineLevel="0" collapsed="false">
      <c r="B1369" s="64"/>
      <c r="C1369" s="72" t="str">
        <f aca="false">IF(B1369="","",IFERROR(INDEX(T_NOMBRE,MATCH(B1369,T_ID,0)),"⚠ ID no existe"))</f>
        <v/>
      </c>
      <c r="D1369" s="65"/>
      <c r="E1369" s="65"/>
      <c r="F1369" s="64"/>
      <c r="G1369" s="74" t="str">
        <f aca="false">IF(OR(B1369="",NOT(ISNUMBER(D1369)),NOT(ISNUMBER(E1369))),"",NETWORKDAYS(D1369,E1369,FERIADOS))</f>
        <v/>
      </c>
      <c r="H1369" s="69"/>
      <c r="I1369" s="74" t="str">
        <f aca="false">IF(B1369="","",IF(ISNUMBER(H1369),H1369,N(G1369)))</f>
        <v/>
      </c>
      <c r="J1369" s="64"/>
      <c r="K1369" s="64"/>
      <c r="L1369" s="93" t="str">
        <f aca="false">IF(NOT(ISNUMBER(D1369)),"",DATE(YEAR(D1369),MONTH(D1369),1))</f>
        <v/>
      </c>
      <c r="M1369" s="70" t="str">
        <f aca="false">IF(B1369="","",IF(AND(ISNUMBER(D1369),ISNUMBER(E1369),E1369&lt;D1369),"⚠ Término anterior al inicio",IF(J1369&lt;&gt;"Sí","Pendiente comprobante firmado","OK")))</f>
        <v/>
      </c>
    </row>
    <row r="1370" customFormat="false" ht="15" hidden="false" customHeight="false" outlineLevel="0" collapsed="false">
      <c r="B1370" s="64"/>
      <c r="C1370" s="72" t="str">
        <f aca="false">IF(B1370="","",IFERROR(INDEX(T_NOMBRE,MATCH(B1370,T_ID,0)),"⚠ ID no existe"))</f>
        <v/>
      </c>
      <c r="D1370" s="65"/>
      <c r="E1370" s="65"/>
      <c r="F1370" s="64"/>
      <c r="G1370" s="74" t="str">
        <f aca="false">IF(OR(B1370="",NOT(ISNUMBER(D1370)),NOT(ISNUMBER(E1370))),"",NETWORKDAYS(D1370,E1370,FERIADOS))</f>
        <v/>
      </c>
      <c r="H1370" s="69"/>
      <c r="I1370" s="74" t="str">
        <f aca="false">IF(B1370="","",IF(ISNUMBER(H1370),H1370,N(G1370)))</f>
        <v/>
      </c>
      <c r="J1370" s="64"/>
      <c r="K1370" s="64"/>
      <c r="L1370" s="93" t="str">
        <f aca="false">IF(NOT(ISNUMBER(D1370)),"",DATE(YEAR(D1370),MONTH(D1370),1))</f>
        <v/>
      </c>
      <c r="M1370" s="70" t="str">
        <f aca="false">IF(B1370="","",IF(AND(ISNUMBER(D1370),ISNUMBER(E1370),E1370&lt;D1370),"⚠ Término anterior al inicio",IF(J1370&lt;&gt;"Sí","Pendiente comprobante firmado","OK")))</f>
        <v/>
      </c>
    </row>
    <row r="1371" customFormat="false" ht="15" hidden="false" customHeight="false" outlineLevel="0" collapsed="false">
      <c r="B1371" s="64"/>
      <c r="C1371" s="72" t="str">
        <f aca="false">IF(B1371="","",IFERROR(INDEX(T_NOMBRE,MATCH(B1371,T_ID,0)),"⚠ ID no existe"))</f>
        <v/>
      </c>
      <c r="D1371" s="65"/>
      <c r="E1371" s="65"/>
      <c r="F1371" s="64"/>
      <c r="G1371" s="74" t="str">
        <f aca="false">IF(OR(B1371="",NOT(ISNUMBER(D1371)),NOT(ISNUMBER(E1371))),"",NETWORKDAYS(D1371,E1371,FERIADOS))</f>
        <v/>
      </c>
      <c r="H1371" s="69"/>
      <c r="I1371" s="74" t="str">
        <f aca="false">IF(B1371="","",IF(ISNUMBER(H1371),H1371,N(G1371)))</f>
        <v/>
      </c>
      <c r="J1371" s="64"/>
      <c r="K1371" s="64"/>
      <c r="L1371" s="93" t="str">
        <f aca="false">IF(NOT(ISNUMBER(D1371)),"",DATE(YEAR(D1371),MONTH(D1371),1))</f>
        <v/>
      </c>
      <c r="M1371" s="70" t="str">
        <f aca="false">IF(B1371="","",IF(AND(ISNUMBER(D1371),ISNUMBER(E1371),E1371&lt;D1371),"⚠ Término anterior al inicio",IF(J1371&lt;&gt;"Sí","Pendiente comprobante firmado","OK")))</f>
        <v/>
      </c>
    </row>
    <row r="1372" customFormat="false" ht="15" hidden="false" customHeight="false" outlineLevel="0" collapsed="false">
      <c r="B1372" s="64"/>
      <c r="C1372" s="72" t="str">
        <f aca="false">IF(B1372="","",IFERROR(INDEX(T_NOMBRE,MATCH(B1372,T_ID,0)),"⚠ ID no existe"))</f>
        <v/>
      </c>
      <c r="D1372" s="65"/>
      <c r="E1372" s="65"/>
      <c r="F1372" s="64"/>
      <c r="G1372" s="74" t="str">
        <f aca="false">IF(OR(B1372="",NOT(ISNUMBER(D1372)),NOT(ISNUMBER(E1372))),"",NETWORKDAYS(D1372,E1372,FERIADOS))</f>
        <v/>
      </c>
      <c r="H1372" s="69"/>
      <c r="I1372" s="74" t="str">
        <f aca="false">IF(B1372="","",IF(ISNUMBER(H1372),H1372,N(G1372)))</f>
        <v/>
      </c>
      <c r="J1372" s="64"/>
      <c r="K1372" s="64"/>
      <c r="L1372" s="93" t="str">
        <f aca="false">IF(NOT(ISNUMBER(D1372)),"",DATE(YEAR(D1372),MONTH(D1372),1))</f>
        <v/>
      </c>
      <c r="M1372" s="70" t="str">
        <f aca="false">IF(B1372="","",IF(AND(ISNUMBER(D1372),ISNUMBER(E1372),E1372&lt;D1372),"⚠ Término anterior al inicio",IF(J1372&lt;&gt;"Sí","Pendiente comprobante firmado","OK")))</f>
        <v/>
      </c>
    </row>
    <row r="1373" customFormat="false" ht="15" hidden="false" customHeight="false" outlineLevel="0" collapsed="false">
      <c r="B1373" s="64"/>
      <c r="C1373" s="72" t="str">
        <f aca="false">IF(B1373="","",IFERROR(INDEX(T_NOMBRE,MATCH(B1373,T_ID,0)),"⚠ ID no existe"))</f>
        <v/>
      </c>
      <c r="D1373" s="65"/>
      <c r="E1373" s="65"/>
      <c r="F1373" s="64"/>
      <c r="G1373" s="74" t="str">
        <f aca="false">IF(OR(B1373="",NOT(ISNUMBER(D1373)),NOT(ISNUMBER(E1373))),"",NETWORKDAYS(D1373,E1373,FERIADOS))</f>
        <v/>
      </c>
      <c r="H1373" s="69"/>
      <c r="I1373" s="74" t="str">
        <f aca="false">IF(B1373="","",IF(ISNUMBER(H1373),H1373,N(G1373)))</f>
        <v/>
      </c>
      <c r="J1373" s="64"/>
      <c r="K1373" s="64"/>
      <c r="L1373" s="93" t="str">
        <f aca="false">IF(NOT(ISNUMBER(D1373)),"",DATE(YEAR(D1373),MONTH(D1373),1))</f>
        <v/>
      </c>
      <c r="M1373" s="70" t="str">
        <f aca="false">IF(B1373="","",IF(AND(ISNUMBER(D1373),ISNUMBER(E1373),E1373&lt;D1373),"⚠ Término anterior al inicio",IF(J1373&lt;&gt;"Sí","Pendiente comprobante firmado","OK")))</f>
        <v/>
      </c>
    </row>
    <row r="1374" customFormat="false" ht="15" hidden="false" customHeight="false" outlineLevel="0" collapsed="false">
      <c r="B1374" s="64"/>
      <c r="C1374" s="72" t="str">
        <f aca="false">IF(B1374="","",IFERROR(INDEX(T_NOMBRE,MATCH(B1374,T_ID,0)),"⚠ ID no existe"))</f>
        <v/>
      </c>
      <c r="D1374" s="65"/>
      <c r="E1374" s="65"/>
      <c r="F1374" s="64"/>
      <c r="G1374" s="74" t="str">
        <f aca="false">IF(OR(B1374="",NOT(ISNUMBER(D1374)),NOT(ISNUMBER(E1374))),"",NETWORKDAYS(D1374,E1374,FERIADOS))</f>
        <v/>
      </c>
      <c r="H1374" s="69"/>
      <c r="I1374" s="74" t="str">
        <f aca="false">IF(B1374="","",IF(ISNUMBER(H1374),H1374,N(G1374)))</f>
        <v/>
      </c>
      <c r="J1374" s="64"/>
      <c r="K1374" s="64"/>
      <c r="L1374" s="93" t="str">
        <f aca="false">IF(NOT(ISNUMBER(D1374)),"",DATE(YEAR(D1374),MONTH(D1374),1))</f>
        <v/>
      </c>
      <c r="M1374" s="70" t="str">
        <f aca="false">IF(B1374="","",IF(AND(ISNUMBER(D1374),ISNUMBER(E1374),E1374&lt;D1374),"⚠ Término anterior al inicio",IF(J1374&lt;&gt;"Sí","Pendiente comprobante firmado","OK")))</f>
        <v/>
      </c>
    </row>
    <row r="1375" customFormat="false" ht="15" hidden="false" customHeight="false" outlineLevel="0" collapsed="false">
      <c r="B1375" s="64"/>
      <c r="C1375" s="72" t="str">
        <f aca="false">IF(B1375="","",IFERROR(INDEX(T_NOMBRE,MATCH(B1375,T_ID,0)),"⚠ ID no existe"))</f>
        <v/>
      </c>
      <c r="D1375" s="65"/>
      <c r="E1375" s="65"/>
      <c r="F1375" s="64"/>
      <c r="G1375" s="74" t="str">
        <f aca="false">IF(OR(B1375="",NOT(ISNUMBER(D1375)),NOT(ISNUMBER(E1375))),"",NETWORKDAYS(D1375,E1375,FERIADOS))</f>
        <v/>
      </c>
      <c r="H1375" s="69"/>
      <c r="I1375" s="74" t="str">
        <f aca="false">IF(B1375="","",IF(ISNUMBER(H1375),H1375,N(G1375)))</f>
        <v/>
      </c>
      <c r="J1375" s="64"/>
      <c r="K1375" s="64"/>
      <c r="L1375" s="93" t="str">
        <f aca="false">IF(NOT(ISNUMBER(D1375)),"",DATE(YEAR(D1375),MONTH(D1375),1))</f>
        <v/>
      </c>
      <c r="M1375" s="70" t="str">
        <f aca="false">IF(B1375="","",IF(AND(ISNUMBER(D1375),ISNUMBER(E1375),E1375&lt;D1375),"⚠ Término anterior al inicio",IF(J1375&lt;&gt;"Sí","Pendiente comprobante firmado","OK")))</f>
        <v/>
      </c>
    </row>
    <row r="1376" customFormat="false" ht="15" hidden="false" customHeight="false" outlineLevel="0" collapsed="false">
      <c r="B1376" s="64"/>
      <c r="C1376" s="72" t="str">
        <f aca="false">IF(B1376="","",IFERROR(INDEX(T_NOMBRE,MATCH(B1376,T_ID,0)),"⚠ ID no existe"))</f>
        <v/>
      </c>
      <c r="D1376" s="65"/>
      <c r="E1376" s="65"/>
      <c r="F1376" s="64"/>
      <c r="G1376" s="74" t="str">
        <f aca="false">IF(OR(B1376="",NOT(ISNUMBER(D1376)),NOT(ISNUMBER(E1376))),"",NETWORKDAYS(D1376,E1376,FERIADOS))</f>
        <v/>
      </c>
      <c r="H1376" s="69"/>
      <c r="I1376" s="74" t="str">
        <f aca="false">IF(B1376="","",IF(ISNUMBER(H1376),H1376,N(G1376)))</f>
        <v/>
      </c>
      <c r="J1376" s="64"/>
      <c r="K1376" s="64"/>
      <c r="L1376" s="93" t="str">
        <f aca="false">IF(NOT(ISNUMBER(D1376)),"",DATE(YEAR(D1376),MONTH(D1376),1))</f>
        <v/>
      </c>
      <c r="M1376" s="70" t="str">
        <f aca="false">IF(B1376="","",IF(AND(ISNUMBER(D1376),ISNUMBER(E1376),E1376&lt;D1376),"⚠ Término anterior al inicio",IF(J1376&lt;&gt;"Sí","Pendiente comprobante firmado","OK")))</f>
        <v/>
      </c>
    </row>
    <row r="1377" customFormat="false" ht="15" hidden="false" customHeight="false" outlineLevel="0" collapsed="false">
      <c r="B1377" s="64"/>
      <c r="C1377" s="72" t="str">
        <f aca="false">IF(B1377="","",IFERROR(INDEX(T_NOMBRE,MATCH(B1377,T_ID,0)),"⚠ ID no existe"))</f>
        <v/>
      </c>
      <c r="D1377" s="65"/>
      <c r="E1377" s="65"/>
      <c r="F1377" s="64"/>
      <c r="G1377" s="74" t="str">
        <f aca="false">IF(OR(B1377="",NOT(ISNUMBER(D1377)),NOT(ISNUMBER(E1377))),"",NETWORKDAYS(D1377,E1377,FERIADOS))</f>
        <v/>
      </c>
      <c r="H1377" s="69"/>
      <c r="I1377" s="74" t="str">
        <f aca="false">IF(B1377="","",IF(ISNUMBER(H1377),H1377,N(G1377)))</f>
        <v/>
      </c>
      <c r="J1377" s="64"/>
      <c r="K1377" s="64"/>
      <c r="L1377" s="93" t="str">
        <f aca="false">IF(NOT(ISNUMBER(D1377)),"",DATE(YEAR(D1377),MONTH(D1377),1))</f>
        <v/>
      </c>
      <c r="M1377" s="70" t="str">
        <f aca="false">IF(B1377="","",IF(AND(ISNUMBER(D1377),ISNUMBER(E1377),E1377&lt;D1377),"⚠ Término anterior al inicio",IF(J1377&lt;&gt;"Sí","Pendiente comprobante firmado","OK")))</f>
        <v/>
      </c>
    </row>
    <row r="1378" customFormat="false" ht="15" hidden="false" customHeight="false" outlineLevel="0" collapsed="false">
      <c r="B1378" s="64"/>
      <c r="C1378" s="72" t="str">
        <f aca="false">IF(B1378="","",IFERROR(INDEX(T_NOMBRE,MATCH(B1378,T_ID,0)),"⚠ ID no existe"))</f>
        <v/>
      </c>
      <c r="D1378" s="65"/>
      <c r="E1378" s="65"/>
      <c r="F1378" s="64"/>
      <c r="G1378" s="74" t="str">
        <f aca="false">IF(OR(B1378="",NOT(ISNUMBER(D1378)),NOT(ISNUMBER(E1378))),"",NETWORKDAYS(D1378,E1378,FERIADOS))</f>
        <v/>
      </c>
      <c r="H1378" s="69"/>
      <c r="I1378" s="74" t="str">
        <f aca="false">IF(B1378="","",IF(ISNUMBER(H1378),H1378,N(G1378)))</f>
        <v/>
      </c>
      <c r="J1378" s="64"/>
      <c r="K1378" s="64"/>
      <c r="L1378" s="93" t="str">
        <f aca="false">IF(NOT(ISNUMBER(D1378)),"",DATE(YEAR(D1378),MONTH(D1378),1))</f>
        <v/>
      </c>
      <c r="M1378" s="70" t="str">
        <f aca="false">IF(B1378="","",IF(AND(ISNUMBER(D1378),ISNUMBER(E1378),E1378&lt;D1378),"⚠ Término anterior al inicio",IF(J1378&lt;&gt;"Sí","Pendiente comprobante firmado","OK")))</f>
        <v/>
      </c>
    </row>
    <row r="1379" customFormat="false" ht="15" hidden="false" customHeight="false" outlineLevel="0" collapsed="false">
      <c r="B1379" s="64"/>
      <c r="C1379" s="72" t="str">
        <f aca="false">IF(B1379="","",IFERROR(INDEX(T_NOMBRE,MATCH(B1379,T_ID,0)),"⚠ ID no existe"))</f>
        <v/>
      </c>
      <c r="D1379" s="65"/>
      <c r="E1379" s="65"/>
      <c r="F1379" s="64"/>
      <c r="G1379" s="74" t="str">
        <f aca="false">IF(OR(B1379="",NOT(ISNUMBER(D1379)),NOT(ISNUMBER(E1379))),"",NETWORKDAYS(D1379,E1379,FERIADOS))</f>
        <v/>
      </c>
      <c r="H1379" s="69"/>
      <c r="I1379" s="74" t="str">
        <f aca="false">IF(B1379="","",IF(ISNUMBER(H1379),H1379,N(G1379)))</f>
        <v/>
      </c>
      <c r="J1379" s="64"/>
      <c r="K1379" s="64"/>
      <c r="L1379" s="93" t="str">
        <f aca="false">IF(NOT(ISNUMBER(D1379)),"",DATE(YEAR(D1379),MONTH(D1379),1))</f>
        <v/>
      </c>
      <c r="M1379" s="70" t="str">
        <f aca="false">IF(B1379="","",IF(AND(ISNUMBER(D1379),ISNUMBER(E1379),E1379&lt;D1379),"⚠ Término anterior al inicio",IF(J1379&lt;&gt;"Sí","Pendiente comprobante firmado","OK")))</f>
        <v/>
      </c>
    </row>
    <row r="1380" customFormat="false" ht="15" hidden="false" customHeight="false" outlineLevel="0" collapsed="false">
      <c r="B1380" s="64"/>
      <c r="C1380" s="72" t="str">
        <f aca="false">IF(B1380="","",IFERROR(INDEX(T_NOMBRE,MATCH(B1380,T_ID,0)),"⚠ ID no existe"))</f>
        <v/>
      </c>
      <c r="D1380" s="65"/>
      <c r="E1380" s="65"/>
      <c r="F1380" s="64"/>
      <c r="G1380" s="74" t="str">
        <f aca="false">IF(OR(B1380="",NOT(ISNUMBER(D1380)),NOT(ISNUMBER(E1380))),"",NETWORKDAYS(D1380,E1380,FERIADOS))</f>
        <v/>
      </c>
      <c r="H1380" s="69"/>
      <c r="I1380" s="74" t="str">
        <f aca="false">IF(B1380="","",IF(ISNUMBER(H1380),H1380,N(G1380)))</f>
        <v/>
      </c>
      <c r="J1380" s="64"/>
      <c r="K1380" s="64"/>
      <c r="L1380" s="93" t="str">
        <f aca="false">IF(NOT(ISNUMBER(D1380)),"",DATE(YEAR(D1380),MONTH(D1380),1))</f>
        <v/>
      </c>
      <c r="M1380" s="70" t="str">
        <f aca="false">IF(B1380="","",IF(AND(ISNUMBER(D1380),ISNUMBER(E1380),E1380&lt;D1380),"⚠ Término anterior al inicio",IF(J1380&lt;&gt;"Sí","Pendiente comprobante firmado","OK")))</f>
        <v/>
      </c>
    </row>
    <row r="1381" customFormat="false" ht="15" hidden="false" customHeight="false" outlineLevel="0" collapsed="false">
      <c r="B1381" s="64"/>
      <c r="C1381" s="72" t="str">
        <f aca="false">IF(B1381="","",IFERROR(INDEX(T_NOMBRE,MATCH(B1381,T_ID,0)),"⚠ ID no existe"))</f>
        <v/>
      </c>
      <c r="D1381" s="65"/>
      <c r="E1381" s="65"/>
      <c r="F1381" s="64"/>
      <c r="G1381" s="74" t="str">
        <f aca="false">IF(OR(B1381="",NOT(ISNUMBER(D1381)),NOT(ISNUMBER(E1381))),"",NETWORKDAYS(D1381,E1381,FERIADOS))</f>
        <v/>
      </c>
      <c r="H1381" s="69"/>
      <c r="I1381" s="74" t="str">
        <f aca="false">IF(B1381="","",IF(ISNUMBER(H1381),H1381,N(G1381)))</f>
        <v/>
      </c>
      <c r="J1381" s="64"/>
      <c r="K1381" s="64"/>
      <c r="L1381" s="93" t="str">
        <f aca="false">IF(NOT(ISNUMBER(D1381)),"",DATE(YEAR(D1381),MONTH(D1381),1))</f>
        <v/>
      </c>
      <c r="M1381" s="70" t="str">
        <f aca="false">IF(B1381="","",IF(AND(ISNUMBER(D1381),ISNUMBER(E1381),E1381&lt;D1381),"⚠ Término anterior al inicio",IF(J1381&lt;&gt;"Sí","Pendiente comprobante firmado","OK")))</f>
        <v/>
      </c>
    </row>
    <row r="1382" customFormat="false" ht="15" hidden="false" customHeight="false" outlineLevel="0" collapsed="false">
      <c r="B1382" s="64"/>
      <c r="C1382" s="72" t="str">
        <f aca="false">IF(B1382="","",IFERROR(INDEX(T_NOMBRE,MATCH(B1382,T_ID,0)),"⚠ ID no existe"))</f>
        <v/>
      </c>
      <c r="D1382" s="65"/>
      <c r="E1382" s="65"/>
      <c r="F1382" s="64"/>
      <c r="G1382" s="74" t="str">
        <f aca="false">IF(OR(B1382="",NOT(ISNUMBER(D1382)),NOT(ISNUMBER(E1382))),"",NETWORKDAYS(D1382,E1382,FERIADOS))</f>
        <v/>
      </c>
      <c r="H1382" s="69"/>
      <c r="I1382" s="74" t="str">
        <f aca="false">IF(B1382="","",IF(ISNUMBER(H1382),H1382,N(G1382)))</f>
        <v/>
      </c>
      <c r="J1382" s="64"/>
      <c r="K1382" s="64"/>
      <c r="L1382" s="93" t="str">
        <f aca="false">IF(NOT(ISNUMBER(D1382)),"",DATE(YEAR(D1382),MONTH(D1382),1))</f>
        <v/>
      </c>
      <c r="M1382" s="70" t="str">
        <f aca="false">IF(B1382="","",IF(AND(ISNUMBER(D1382),ISNUMBER(E1382),E1382&lt;D1382),"⚠ Término anterior al inicio",IF(J1382&lt;&gt;"Sí","Pendiente comprobante firmado","OK")))</f>
        <v/>
      </c>
    </row>
    <row r="1383" customFormat="false" ht="15" hidden="false" customHeight="false" outlineLevel="0" collapsed="false">
      <c r="B1383" s="64"/>
      <c r="C1383" s="72" t="str">
        <f aca="false">IF(B1383="","",IFERROR(INDEX(T_NOMBRE,MATCH(B1383,T_ID,0)),"⚠ ID no existe"))</f>
        <v/>
      </c>
      <c r="D1383" s="65"/>
      <c r="E1383" s="65"/>
      <c r="F1383" s="64"/>
      <c r="G1383" s="74" t="str">
        <f aca="false">IF(OR(B1383="",NOT(ISNUMBER(D1383)),NOT(ISNUMBER(E1383))),"",NETWORKDAYS(D1383,E1383,FERIADOS))</f>
        <v/>
      </c>
      <c r="H1383" s="69"/>
      <c r="I1383" s="74" t="str">
        <f aca="false">IF(B1383="","",IF(ISNUMBER(H1383),H1383,N(G1383)))</f>
        <v/>
      </c>
      <c r="J1383" s="64"/>
      <c r="K1383" s="64"/>
      <c r="L1383" s="93" t="str">
        <f aca="false">IF(NOT(ISNUMBER(D1383)),"",DATE(YEAR(D1383),MONTH(D1383),1))</f>
        <v/>
      </c>
      <c r="M1383" s="70" t="str">
        <f aca="false">IF(B1383="","",IF(AND(ISNUMBER(D1383),ISNUMBER(E1383),E1383&lt;D1383),"⚠ Término anterior al inicio",IF(J1383&lt;&gt;"Sí","Pendiente comprobante firmado","OK")))</f>
        <v/>
      </c>
    </row>
    <row r="1384" customFormat="false" ht="15" hidden="false" customHeight="false" outlineLevel="0" collapsed="false">
      <c r="B1384" s="64"/>
      <c r="C1384" s="72" t="str">
        <f aca="false">IF(B1384="","",IFERROR(INDEX(T_NOMBRE,MATCH(B1384,T_ID,0)),"⚠ ID no existe"))</f>
        <v/>
      </c>
      <c r="D1384" s="65"/>
      <c r="E1384" s="65"/>
      <c r="F1384" s="64"/>
      <c r="G1384" s="74" t="str">
        <f aca="false">IF(OR(B1384="",NOT(ISNUMBER(D1384)),NOT(ISNUMBER(E1384))),"",NETWORKDAYS(D1384,E1384,FERIADOS))</f>
        <v/>
      </c>
      <c r="H1384" s="69"/>
      <c r="I1384" s="74" t="str">
        <f aca="false">IF(B1384="","",IF(ISNUMBER(H1384),H1384,N(G1384)))</f>
        <v/>
      </c>
      <c r="J1384" s="64"/>
      <c r="K1384" s="64"/>
      <c r="L1384" s="93" t="str">
        <f aca="false">IF(NOT(ISNUMBER(D1384)),"",DATE(YEAR(D1384),MONTH(D1384),1))</f>
        <v/>
      </c>
      <c r="M1384" s="70" t="str">
        <f aca="false">IF(B1384="","",IF(AND(ISNUMBER(D1384),ISNUMBER(E1384),E1384&lt;D1384),"⚠ Término anterior al inicio",IF(J1384&lt;&gt;"Sí","Pendiente comprobante firmado","OK")))</f>
        <v/>
      </c>
    </row>
    <row r="1385" customFormat="false" ht="15" hidden="false" customHeight="false" outlineLevel="0" collapsed="false">
      <c r="B1385" s="64"/>
      <c r="C1385" s="72" t="str">
        <f aca="false">IF(B1385="","",IFERROR(INDEX(T_NOMBRE,MATCH(B1385,T_ID,0)),"⚠ ID no existe"))</f>
        <v/>
      </c>
      <c r="D1385" s="65"/>
      <c r="E1385" s="65"/>
      <c r="F1385" s="64"/>
      <c r="G1385" s="74" t="str">
        <f aca="false">IF(OR(B1385="",NOT(ISNUMBER(D1385)),NOT(ISNUMBER(E1385))),"",NETWORKDAYS(D1385,E1385,FERIADOS))</f>
        <v/>
      </c>
      <c r="H1385" s="69"/>
      <c r="I1385" s="74" t="str">
        <f aca="false">IF(B1385="","",IF(ISNUMBER(H1385),H1385,N(G1385)))</f>
        <v/>
      </c>
      <c r="J1385" s="64"/>
      <c r="K1385" s="64"/>
      <c r="L1385" s="93" t="str">
        <f aca="false">IF(NOT(ISNUMBER(D1385)),"",DATE(YEAR(D1385),MONTH(D1385),1))</f>
        <v/>
      </c>
      <c r="M1385" s="70" t="str">
        <f aca="false">IF(B1385="","",IF(AND(ISNUMBER(D1385),ISNUMBER(E1385),E1385&lt;D1385),"⚠ Término anterior al inicio",IF(J1385&lt;&gt;"Sí","Pendiente comprobante firmado","OK")))</f>
        <v/>
      </c>
    </row>
    <row r="1386" customFormat="false" ht="15" hidden="false" customHeight="false" outlineLevel="0" collapsed="false">
      <c r="B1386" s="64"/>
      <c r="C1386" s="72" t="str">
        <f aca="false">IF(B1386="","",IFERROR(INDEX(T_NOMBRE,MATCH(B1386,T_ID,0)),"⚠ ID no existe"))</f>
        <v/>
      </c>
      <c r="D1386" s="65"/>
      <c r="E1386" s="65"/>
      <c r="F1386" s="64"/>
      <c r="G1386" s="74" t="str">
        <f aca="false">IF(OR(B1386="",NOT(ISNUMBER(D1386)),NOT(ISNUMBER(E1386))),"",NETWORKDAYS(D1386,E1386,FERIADOS))</f>
        <v/>
      </c>
      <c r="H1386" s="69"/>
      <c r="I1386" s="74" t="str">
        <f aca="false">IF(B1386="","",IF(ISNUMBER(H1386),H1386,N(G1386)))</f>
        <v/>
      </c>
      <c r="J1386" s="64"/>
      <c r="K1386" s="64"/>
      <c r="L1386" s="93" t="str">
        <f aca="false">IF(NOT(ISNUMBER(D1386)),"",DATE(YEAR(D1386),MONTH(D1386),1))</f>
        <v/>
      </c>
      <c r="M1386" s="70" t="str">
        <f aca="false">IF(B1386="","",IF(AND(ISNUMBER(D1386),ISNUMBER(E1386),E1386&lt;D1386),"⚠ Término anterior al inicio",IF(J1386&lt;&gt;"Sí","Pendiente comprobante firmado","OK")))</f>
        <v/>
      </c>
    </row>
    <row r="1387" customFormat="false" ht="15" hidden="false" customHeight="false" outlineLevel="0" collapsed="false">
      <c r="B1387" s="64"/>
      <c r="C1387" s="72" t="str">
        <f aca="false">IF(B1387="","",IFERROR(INDEX(T_NOMBRE,MATCH(B1387,T_ID,0)),"⚠ ID no existe"))</f>
        <v/>
      </c>
      <c r="D1387" s="65"/>
      <c r="E1387" s="65"/>
      <c r="F1387" s="64"/>
      <c r="G1387" s="74" t="str">
        <f aca="false">IF(OR(B1387="",NOT(ISNUMBER(D1387)),NOT(ISNUMBER(E1387))),"",NETWORKDAYS(D1387,E1387,FERIADOS))</f>
        <v/>
      </c>
      <c r="H1387" s="69"/>
      <c r="I1387" s="74" t="str">
        <f aca="false">IF(B1387="","",IF(ISNUMBER(H1387),H1387,N(G1387)))</f>
        <v/>
      </c>
      <c r="J1387" s="64"/>
      <c r="K1387" s="64"/>
      <c r="L1387" s="93" t="str">
        <f aca="false">IF(NOT(ISNUMBER(D1387)),"",DATE(YEAR(D1387),MONTH(D1387),1))</f>
        <v/>
      </c>
      <c r="M1387" s="70" t="str">
        <f aca="false">IF(B1387="","",IF(AND(ISNUMBER(D1387),ISNUMBER(E1387),E1387&lt;D1387),"⚠ Término anterior al inicio",IF(J1387&lt;&gt;"Sí","Pendiente comprobante firmado","OK")))</f>
        <v/>
      </c>
    </row>
    <row r="1388" customFormat="false" ht="15" hidden="false" customHeight="false" outlineLevel="0" collapsed="false">
      <c r="B1388" s="64"/>
      <c r="C1388" s="72" t="str">
        <f aca="false">IF(B1388="","",IFERROR(INDEX(T_NOMBRE,MATCH(B1388,T_ID,0)),"⚠ ID no existe"))</f>
        <v/>
      </c>
      <c r="D1388" s="65"/>
      <c r="E1388" s="65"/>
      <c r="F1388" s="64"/>
      <c r="G1388" s="74" t="str">
        <f aca="false">IF(OR(B1388="",NOT(ISNUMBER(D1388)),NOT(ISNUMBER(E1388))),"",NETWORKDAYS(D1388,E1388,FERIADOS))</f>
        <v/>
      </c>
      <c r="H1388" s="69"/>
      <c r="I1388" s="74" t="str">
        <f aca="false">IF(B1388="","",IF(ISNUMBER(H1388),H1388,N(G1388)))</f>
        <v/>
      </c>
      <c r="J1388" s="64"/>
      <c r="K1388" s="64"/>
      <c r="L1388" s="93" t="str">
        <f aca="false">IF(NOT(ISNUMBER(D1388)),"",DATE(YEAR(D1388),MONTH(D1388),1))</f>
        <v/>
      </c>
      <c r="M1388" s="70" t="str">
        <f aca="false">IF(B1388="","",IF(AND(ISNUMBER(D1388),ISNUMBER(E1388),E1388&lt;D1388),"⚠ Término anterior al inicio",IF(J1388&lt;&gt;"Sí","Pendiente comprobante firmado","OK")))</f>
        <v/>
      </c>
    </row>
    <row r="1389" customFormat="false" ht="15" hidden="false" customHeight="false" outlineLevel="0" collapsed="false">
      <c r="B1389" s="64"/>
      <c r="C1389" s="72" t="str">
        <f aca="false">IF(B1389="","",IFERROR(INDEX(T_NOMBRE,MATCH(B1389,T_ID,0)),"⚠ ID no existe"))</f>
        <v/>
      </c>
      <c r="D1389" s="65"/>
      <c r="E1389" s="65"/>
      <c r="F1389" s="64"/>
      <c r="G1389" s="74" t="str">
        <f aca="false">IF(OR(B1389="",NOT(ISNUMBER(D1389)),NOT(ISNUMBER(E1389))),"",NETWORKDAYS(D1389,E1389,FERIADOS))</f>
        <v/>
      </c>
      <c r="H1389" s="69"/>
      <c r="I1389" s="74" t="str">
        <f aca="false">IF(B1389="","",IF(ISNUMBER(H1389),H1389,N(G1389)))</f>
        <v/>
      </c>
      <c r="J1389" s="64"/>
      <c r="K1389" s="64"/>
      <c r="L1389" s="93" t="str">
        <f aca="false">IF(NOT(ISNUMBER(D1389)),"",DATE(YEAR(D1389),MONTH(D1389),1))</f>
        <v/>
      </c>
      <c r="M1389" s="70" t="str">
        <f aca="false">IF(B1389="","",IF(AND(ISNUMBER(D1389),ISNUMBER(E1389),E1389&lt;D1389),"⚠ Término anterior al inicio",IF(J1389&lt;&gt;"Sí","Pendiente comprobante firmado","OK")))</f>
        <v/>
      </c>
    </row>
    <row r="1390" customFormat="false" ht="15" hidden="false" customHeight="false" outlineLevel="0" collapsed="false">
      <c r="B1390" s="64"/>
      <c r="C1390" s="72" t="str">
        <f aca="false">IF(B1390="","",IFERROR(INDEX(T_NOMBRE,MATCH(B1390,T_ID,0)),"⚠ ID no existe"))</f>
        <v/>
      </c>
      <c r="D1390" s="65"/>
      <c r="E1390" s="65"/>
      <c r="F1390" s="64"/>
      <c r="G1390" s="74" t="str">
        <f aca="false">IF(OR(B1390="",NOT(ISNUMBER(D1390)),NOT(ISNUMBER(E1390))),"",NETWORKDAYS(D1390,E1390,FERIADOS))</f>
        <v/>
      </c>
      <c r="H1390" s="69"/>
      <c r="I1390" s="74" t="str">
        <f aca="false">IF(B1390="","",IF(ISNUMBER(H1390),H1390,N(G1390)))</f>
        <v/>
      </c>
      <c r="J1390" s="64"/>
      <c r="K1390" s="64"/>
      <c r="L1390" s="93" t="str">
        <f aca="false">IF(NOT(ISNUMBER(D1390)),"",DATE(YEAR(D1390),MONTH(D1390),1))</f>
        <v/>
      </c>
      <c r="M1390" s="70" t="str">
        <f aca="false">IF(B1390="","",IF(AND(ISNUMBER(D1390),ISNUMBER(E1390),E1390&lt;D1390),"⚠ Término anterior al inicio",IF(J1390&lt;&gt;"Sí","Pendiente comprobante firmado","OK")))</f>
        <v/>
      </c>
    </row>
    <row r="1391" customFormat="false" ht="15" hidden="false" customHeight="false" outlineLevel="0" collapsed="false">
      <c r="B1391" s="64"/>
      <c r="C1391" s="72" t="str">
        <f aca="false">IF(B1391="","",IFERROR(INDEX(T_NOMBRE,MATCH(B1391,T_ID,0)),"⚠ ID no existe"))</f>
        <v/>
      </c>
      <c r="D1391" s="65"/>
      <c r="E1391" s="65"/>
      <c r="F1391" s="64"/>
      <c r="G1391" s="74" t="str">
        <f aca="false">IF(OR(B1391="",NOT(ISNUMBER(D1391)),NOT(ISNUMBER(E1391))),"",NETWORKDAYS(D1391,E1391,FERIADOS))</f>
        <v/>
      </c>
      <c r="H1391" s="69"/>
      <c r="I1391" s="74" t="str">
        <f aca="false">IF(B1391="","",IF(ISNUMBER(H1391),H1391,N(G1391)))</f>
        <v/>
      </c>
      <c r="J1391" s="64"/>
      <c r="K1391" s="64"/>
      <c r="L1391" s="93" t="str">
        <f aca="false">IF(NOT(ISNUMBER(D1391)),"",DATE(YEAR(D1391),MONTH(D1391),1))</f>
        <v/>
      </c>
      <c r="M1391" s="70" t="str">
        <f aca="false">IF(B1391="","",IF(AND(ISNUMBER(D1391),ISNUMBER(E1391),E1391&lt;D1391),"⚠ Término anterior al inicio",IF(J1391&lt;&gt;"Sí","Pendiente comprobante firmado","OK")))</f>
        <v/>
      </c>
    </row>
    <row r="1392" customFormat="false" ht="15" hidden="false" customHeight="false" outlineLevel="0" collapsed="false">
      <c r="B1392" s="64"/>
      <c r="C1392" s="72" t="str">
        <f aca="false">IF(B1392="","",IFERROR(INDEX(T_NOMBRE,MATCH(B1392,T_ID,0)),"⚠ ID no existe"))</f>
        <v/>
      </c>
      <c r="D1392" s="65"/>
      <c r="E1392" s="65"/>
      <c r="F1392" s="64"/>
      <c r="G1392" s="74" t="str">
        <f aca="false">IF(OR(B1392="",NOT(ISNUMBER(D1392)),NOT(ISNUMBER(E1392))),"",NETWORKDAYS(D1392,E1392,FERIADOS))</f>
        <v/>
      </c>
      <c r="H1392" s="69"/>
      <c r="I1392" s="74" t="str">
        <f aca="false">IF(B1392="","",IF(ISNUMBER(H1392),H1392,N(G1392)))</f>
        <v/>
      </c>
      <c r="J1392" s="64"/>
      <c r="K1392" s="64"/>
      <c r="L1392" s="93" t="str">
        <f aca="false">IF(NOT(ISNUMBER(D1392)),"",DATE(YEAR(D1392),MONTH(D1392),1))</f>
        <v/>
      </c>
      <c r="M1392" s="70" t="str">
        <f aca="false">IF(B1392="","",IF(AND(ISNUMBER(D1392),ISNUMBER(E1392),E1392&lt;D1392),"⚠ Término anterior al inicio",IF(J1392&lt;&gt;"Sí","Pendiente comprobante firmado","OK")))</f>
        <v/>
      </c>
    </row>
    <row r="1393" customFormat="false" ht="15" hidden="false" customHeight="false" outlineLevel="0" collapsed="false">
      <c r="B1393" s="64"/>
      <c r="C1393" s="72" t="str">
        <f aca="false">IF(B1393="","",IFERROR(INDEX(T_NOMBRE,MATCH(B1393,T_ID,0)),"⚠ ID no existe"))</f>
        <v/>
      </c>
      <c r="D1393" s="65"/>
      <c r="E1393" s="65"/>
      <c r="F1393" s="64"/>
      <c r="G1393" s="74" t="str">
        <f aca="false">IF(OR(B1393="",NOT(ISNUMBER(D1393)),NOT(ISNUMBER(E1393))),"",NETWORKDAYS(D1393,E1393,FERIADOS))</f>
        <v/>
      </c>
      <c r="H1393" s="69"/>
      <c r="I1393" s="74" t="str">
        <f aca="false">IF(B1393="","",IF(ISNUMBER(H1393),H1393,N(G1393)))</f>
        <v/>
      </c>
      <c r="J1393" s="64"/>
      <c r="K1393" s="64"/>
      <c r="L1393" s="93" t="str">
        <f aca="false">IF(NOT(ISNUMBER(D1393)),"",DATE(YEAR(D1393),MONTH(D1393),1))</f>
        <v/>
      </c>
      <c r="M1393" s="70" t="str">
        <f aca="false">IF(B1393="","",IF(AND(ISNUMBER(D1393),ISNUMBER(E1393),E1393&lt;D1393),"⚠ Término anterior al inicio",IF(J1393&lt;&gt;"Sí","Pendiente comprobante firmado","OK")))</f>
        <v/>
      </c>
    </row>
    <row r="1394" customFormat="false" ht="15" hidden="false" customHeight="false" outlineLevel="0" collapsed="false">
      <c r="B1394" s="64"/>
      <c r="C1394" s="72" t="str">
        <f aca="false">IF(B1394="","",IFERROR(INDEX(T_NOMBRE,MATCH(B1394,T_ID,0)),"⚠ ID no existe"))</f>
        <v/>
      </c>
      <c r="D1394" s="65"/>
      <c r="E1394" s="65"/>
      <c r="F1394" s="64"/>
      <c r="G1394" s="74" t="str">
        <f aca="false">IF(OR(B1394="",NOT(ISNUMBER(D1394)),NOT(ISNUMBER(E1394))),"",NETWORKDAYS(D1394,E1394,FERIADOS))</f>
        <v/>
      </c>
      <c r="H1394" s="69"/>
      <c r="I1394" s="74" t="str">
        <f aca="false">IF(B1394="","",IF(ISNUMBER(H1394),H1394,N(G1394)))</f>
        <v/>
      </c>
      <c r="J1394" s="64"/>
      <c r="K1394" s="64"/>
      <c r="L1394" s="93" t="str">
        <f aca="false">IF(NOT(ISNUMBER(D1394)),"",DATE(YEAR(D1394),MONTH(D1394),1))</f>
        <v/>
      </c>
      <c r="M1394" s="70" t="str">
        <f aca="false">IF(B1394="","",IF(AND(ISNUMBER(D1394),ISNUMBER(E1394),E1394&lt;D1394),"⚠ Término anterior al inicio",IF(J1394&lt;&gt;"Sí","Pendiente comprobante firmado","OK")))</f>
        <v/>
      </c>
    </row>
    <row r="1395" customFormat="false" ht="15" hidden="false" customHeight="false" outlineLevel="0" collapsed="false">
      <c r="B1395" s="64"/>
      <c r="C1395" s="72" t="str">
        <f aca="false">IF(B1395="","",IFERROR(INDEX(T_NOMBRE,MATCH(B1395,T_ID,0)),"⚠ ID no existe"))</f>
        <v/>
      </c>
      <c r="D1395" s="65"/>
      <c r="E1395" s="65"/>
      <c r="F1395" s="64"/>
      <c r="G1395" s="74" t="str">
        <f aca="false">IF(OR(B1395="",NOT(ISNUMBER(D1395)),NOT(ISNUMBER(E1395))),"",NETWORKDAYS(D1395,E1395,FERIADOS))</f>
        <v/>
      </c>
      <c r="H1395" s="69"/>
      <c r="I1395" s="74" t="str">
        <f aca="false">IF(B1395="","",IF(ISNUMBER(H1395),H1395,N(G1395)))</f>
        <v/>
      </c>
      <c r="J1395" s="64"/>
      <c r="K1395" s="64"/>
      <c r="L1395" s="93" t="str">
        <f aca="false">IF(NOT(ISNUMBER(D1395)),"",DATE(YEAR(D1395),MONTH(D1395),1))</f>
        <v/>
      </c>
      <c r="M1395" s="70" t="str">
        <f aca="false">IF(B1395="","",IF(AND(ISNUMBER(D1395),ISNUMBER(E1395),E1395&lt;D1395),"⚠ Término anterior al inicio",IF(J1395&lt;&gt;"Sí","Pendiente comprobante firmado","OK")))</f>
        <v/>
      </c>
    </row>
    <row r="1396" customFormat="false" ht="15" hidden="false" customHeight="false" outlineLevel="0" collapsed="false">
      <c r="B1396" s="64"/>
      <c r="C1396" s="72" t="str">
        <f aca="false">IF(B1396="","",IFERROR(INDEX(T_NOMBRE,MATCH(B1396,T_ID,0)),"⚠ ID no existe"))</f>
        <v/>
      </c>
      <c r="D1396" s="65"/>
      <c r="E1396" s="65"/>
      <c r="F1396" s="64"/>
      <c r="G1396" s="74" t="str">
        <f aca="false">IF(OR(B1396="",NOT(ISNUMBER(D1396)),NOT(ISNUMBER(E1396))),"",NETWORKDAYS(D1396,E1396,FERIADOS))</f>
        <v/>
      </c>
      <c r="H1396" s="69"/>
      <c r="I1396" s="74" t="str">
        <f aca="false">IF(B1396="","",IF(ISNUMBER(H1396),H1396,N(G1396)))</f>
        <v/>
      </c>
      <c r="J1396" s="64"/>
      <c r="K1396" s="64"/>
      <c r="L1396" s="93" t="str">
        <f aca="false">IF(NOT(ISNUMBER(D1396)),"",DATE(YEAR(D1396),MONTH(D1396),1))</f>
        <v/>
      </c>
      <c r="M1396" s="70" t="str">
        <f aca="false">IF(B1396="","",IF(AND(ISNUMBER(D1396),ISNUMBER(E1396),E1396&lt;D1396),"⚠ Término anterior al inicio",IF(J1396&lt;&gt;"Sí","Pendiente comprobante firmado","OK")))</f>
        <v/>
      </c>
    </row>
    <row r="1397" customFormat="false" ht="15" hidden="false" customHeight="false" outlineLevel="0" collapsed="false">
      <c r="B1397" s="64"/>
      <c r="C1397" s="72" t="str">
        <f aca="false">IF(B1397="","",IFERROR(INDEX(T_NOMBRE,MATCH(B1397,T_ID,0)),"⚠ ID no existe"))</f>
        <v/>
      </c>
      <c r="D1397" s="65"/>
      <c r="E1397" s="65"/>
      <c r="F1397" s="64"/>
      <c r="G1397" s="74" t="str">
        <f aca="false">IF(OR(B1397="",NOT(ISNUMBER(D1397)),NOT(ISNUMBER(E1397))),"",NETWORKDAYS(D1397,E1397,FERIADOS))</f>
        <v/>
      </c>
      <c r="H1397" s="69"/>
      <c r="I1397" s="74" t="str">
        <f aca="false">IF(B1397="","",IF(ISNUMBER(H1397),H1397,N(G1397)))</f>
        <v/>
      </c>
      <c r="J1397" s="64"/>
      <c r="K1397" s="64"/>
      <c r="L1397" s="93" t="str">
        <f aca="false">IF(NOT(ISNUMBER(D1397)),"",DATE(YEAR(D1397),MONTH(D1397),1))</f>
        <v/>
      </c>
      <c r="M1397" s="70" t="str">
        <f aca="false">IF(B1397="","",IF(AND(ISNUMBER(D1397),ISNUMBER(E1397),E1397&lt;D1397),"⚠ Término anterior al inicio",IF(J1397&lt;&gt;"Sí","Pendiente comprobante firmado","OK")))</f>
        <v/>
      </c>
    </row>
    <row r="1398" customFormat="false" ht="15" hidden="false" customHeight="false" outlineLevel="0" collapsed="false">
      <c r="B1398" s="64"/>
      <c r="C1398" s="72" t="str">
        <f aca="false">IF(B1398="","",IFERROR(INDEX(T_NOMBRE,MATCH(B1398,T_ID,0)),"⚠ ID no existe"))</f>
        <v/>
      </c>
      <c r="D1398" s="65"/>
      <c r="E1398" s="65"/>
      <c r="F1398" s="64"/>
      <c r="G1398" s="74" t="str">
        <f aca="false">IF(OR(B1398="",NOT(ISNUMBER(D1398)),NOT(ISNUMBER(E1398))),"",NETWORKDAYS(D1398,E1398,FERIADOS))</f>
        <v/>
      </c>
      <c r="H1398" s="69"/>
      <c r="I1398" s="74" t="str">
        <f aca="false">IF(B1398="","",IF(ISNUMBER(H1398),H1398,N(G1398)))</f>
        <v/>
      </c>
      <c r="J1398" s="64"/>
      <c r="K1398" s="64"/>
      <c r="L1398" s="93" t="str">
        <f aca="false">IF(NOT(ISNUMBER(D1398)),"",DATE(YEAR(D1398),MONTH(D1398),1))</f>
        <v/>
      </c>
      <c r="M1398" s="70" t="str">
        <f aca="false">IF(B1398="","",IF(AND(ISNUMBER(D1398),ISNUMBER(E1398),E1398&lt;D1398),"⚠ Término anterior al inicio",IF(J1398&lt;&gt;"Sí","Pendiente comprobante firmado","OK")))</f>
        <v/>
      </c>
    </row>
    <row r="1399" customFormat="false" ht="15" hidden="false" customHeight="false" outlineLevel="0" collapsed="false">
      <c r="B1399" s="64"/>
      <c r="C1399" s="72" t="str">
        <f aca="false">IF(B1399="","",IFERROR(INDEX(T_NOMBRE,MATCH(B1399,T_ID,0)),"⚠ ID no existe"))</f>
        <v/>
      </c>
      <c r="D1399" s="65"/>
      <c r="E1399" s="65"/>
      <c r="F1399" s="64"/>
      <c r="G1399" s="74" t="str">
        <f aca="false">IF(OR(B1399="",NOT(ISNUMBER(D1399)),NOT(ISNUMBER(E1399))),"",NETWORKDAYS(D1399,E1399,FERIADOS))</f>
        <v/>
      </c>
      <c r="H1399" s="69"/>
      <c r="I1399" s="74" t="str">
        <f aca="false">IF(B1399="","",IF(ISNUMBER(H1399),H1399,N(G1399)))</f>
        <v/>
      </c>
      <c r="J1399" s="64"/>
      <c r="K1399" s="64"/>
      <c r="L1399" s="93" t="str">
        <f aca="false">IF(NOT(ISNUMBER(D1399)),"",DATE(YEAR(D1399),MONTH(D1399),1))</f>
        <v/>
      </c>
      <c r="M1399" s="70" t="str">
        <f aca="false">IF(B1399="","",IF(AND(ISNUMBER(D1399),ISNUMBER(E1399),E1399&lt;D1399),"⚠ Término anterior al inicio",IF(J1399&lt;&gt;"Sí","Pendiente comprobante firmado","OK")))</f>
        <v/>
      </c>
    </row>
    <row r="1400" customFormat="false" ht="15" hidden="false" customHeight="false" outlineLevel="0" collapsed="false">
      <c r="B1400" s="64"/>
      <c r="C1400" s="72" t="str">
        <f aca="false">IF(B1400="","",IFERROR(INDEX(T_NOMBRE,MATCH(B1400,T_ID,0)),"⚠ ID no existe"))</f>
        <v/>
      </c>
      <c r="D1400" s="65"/>
      <c r="E1400" s="65"/>
      <c r="F1400" s="64"/>
      <c r="G1400" s="74" t="str">
        <f aca="false">IF(OR(B1400="",NOT(ISNUMBER(D1400)),NOT(ISNUMBER(E1400))),"",NETWORKDAYS(D1400,E1400,FERIADOS))</f>
        <v/>
      </c>
      <c r="H1400" s="69"/>
      <c r="I1400" s="74" t="str">
        <f aca="false">IF(B1400="","",IF(ISNUMBER(H1400),H1400,N(G1400)))</f>
        <v/>
      </c>
      <c r="J1400" s="64"/>
      <c r="K1400" s="64"/>
      <c r="L1400" s="93" t="str">
        <f aca="false">IF(NOT(ISNUMBER(D1400)),"",DATE(YEAR(D1400),MONTH(D1400),1))</f>
        <v/>
      </c>
      <c r="M1400" s="70" t="str">
        <f aca="false">IF(B1400="","",IF(AND(ISNUMBER(D1400),ISNUMBER(E1400),E1400&lt;D1400),"⚠ Término anterior al inicio",IF(J1400&lt;&gt;"Sí","Pendiente comprobante firmado","OK")))</f>
        <v/>
      </c>
    </row>
    <row r="1401" customFormat="false" ht="15" hidden="false" customHeight="false" outlineLevel="0" collapsed="false">
      <c r="B1401" s="64"/>
      <c r="C1401" s="72" t="str">
        <f aca="false">IF(B1401="","",IFERROR(INDEX(T_NOMBRE,MATCH(B1401,T_ID,0)),"⚠ ID no existe"))</f>
        <v/>
      </c>
      <c r="D1401" s="65"/>
      <c r="E1401" s="65"/>
      <c r="F1401" s="64"/>
      <c r="G1401" s="74" t="str">
        <f aca="false">IF(OR(B1401="",NOT(ISNUMBER(D1401)),NOT(ISNUMBER(E1401))),"",NETWORKDAYS(D1401,E1401,FERIADOS))</f>
        <v/>
      </c>
      <c r="H1401" s="69"/>
      <c r="I1401" s="74" t="str">
        <f aca="false">IF(B1401="","",IF(ISNUMBER(H1401),H1401,N(G1401)))</f>
        <v/>
      </c>
      <c r="J1401" s="64"/>
      <c r="K1401" s="64"/>
      <c r="L1401" s="93" t="str">
        <f aca="false">IF(NOT(ISNUMBER(D1401)),"",DATE(YEAR(D1401),MONTH(D1401),1))</f>
        <v/>
      </c>
      <c r="M1401" s="70" t="str">
        <f aca="false">IF(B1401="","",IF(AND(ISNUMBER(D1401),ISNUMBER(E1401),E1401&lt;D1401),"⚠ Término anterior al inicio",IF(J1401&lt;&gt;"Sí","Pendiente comprobante firmado","OK")))</f>
        <v/>
      </c>
    </row>
    <row r="1402" customFormat="false" ht="15" hidden="false" customHeight="false" outlineLevel="0" collapsed="false">
      <c r="B1402" s="64"/>
      <c r="C1402" s="72" t="str">
        <f aca="false">IF(B1402="","",IFERROR(INDEX(T_NOMBRE,MATCH(B1402,T_ID,0)),"⚠ ID no existe"))</f>
        <v/>
      </c>
      <c r="D1402" s="65"/>
      <c r="E1402" s="65"/>
      <c r="F1402" s="64"/>
      <c r="G1402" s="74" t="str">
        <f aca="false">IF(OR(B1402="",NOT(ISNUMBER(D1402)),NOT(ISNUMBER(E1402))),"",NETWORKDAYS(D1402,E1402,FERIADOS))</f>
        <v/>
      </c>
      <c r="H1402" s="69"/>
      <c r="I1402" s="74" t="str">
        <f aca="false">IF(B1402="","",IF(ISNUMBER(H1402),H1402,N(G1402)))</f>
        <v/>
      </c>
      <c r="J1402" s="64"/>
      <c r="K1402" s="64"/>
      <c r="L1402" s="93" t="str">
        <f aca="false">IF(NOT(ISNUMBER(D1402)),"",DATE(YEAR(D1402),MONTH(D1402),1))</f>
        <v/>
      </c>
      <c r="M1402" s="70" t="str">
        <f aca="false">IF(B1402="","",IF(AND(ISNUMBER(D1402),ISNUMBER(E1402),E1402&lt;D1402),"⚠ Término anterior al inicio",IF(J1402&lt;&gt;"Sí","Pendiente comprobante firmado","OK")))</f>
        <v/>
      </c>
    </row>
    <row r="1403" customFormat="false" ht="15" hidden="false" customHeight="false" outlineLevel="0" collapsed="false">
      <c r="B1403" s="64"/>
      <c r="C1403" s="72" t="str">
        <f aca="false">IF(B1403="","",IFERROR(INDEX(T_NOMBRE,MATCH(B1403,T_ID,0)),"⚠ ID no existe"))</f>
        <v/>
      </c>
      <c r="D1403" s="65"/>
      <c r="E1403" s="65"/>
      <c r="F1403" s="64"/>
      <c r="G1403" s="74" t="str">
        <f aca="false">IF(OR(B1403="",NOT(ISNUMBER(D1403)),NOT(ISNUMBER(E1403))),"",NETWORKDAYS(D1403,E1403,FERIADOS))</f>
        <v/>
      </c>
      <c r="H1403" s="69"/>
      <c r="I1403" s="74" t="str">
        <f aca="false">IF(B1403="","",IF(ISNUMBER(H1403),H1403,N(G1403)))</f>
        <v/>
      </c>
      <c r="J1403" s="64"/>
      <c r="K1403" s="64"/>
      <c r="L1403" s="93" t="str">
        <f aca="false">IF(NOT(ISNUMBER(D1403)),"",DATE(YEAR(D1403),MONTH(D1403),1))</f>
        <v/>
      </c>
      <c r="M1403" s="70" t="str">
        <f aca="false">IF(B1403="","",IF(AND(ISNUMBER(D1403),ISNUMBER(E1403),E1403&lt;D1403),"⚠ Término anterior al inicio",IF(J1403&lt;&gt;"Sí","Pendiente comprobante firmado","OK")))</f>
        <v/>
      </c>
    </row>
    <row r="1404" customFormat="false" ht="15" hidden="false" customHeight="false" outlineLevel="0" collapsed="false">
      <c r="B1404" s="64"/>
      <c r="C1404" s="72" t="str">
        <f aca="false">IF(B1404="","",IFERROR(INDEX(T_NOMBRE,MATCH(B1404,T_ID,0)),"⚠ ID no existe"))</f>
        <v/>
      </c>
      <c r="D1404" s="65"/>
      <c r="E1404" s="65"/>
      <c r="F1404" s="64"/>
      <c r="G1404" s="74" t="str">
        <f aca="false">IF(OR(B1404="",NOT(ISNUMBER(D1404)),NOT(ISNUMBER(E1404))),"",NETWORKDAYS(D1404,E1404,FERIADOS))</f>
        <v/>
      </c>
      <c r="H1404" s="69"/>
      <c r="I1404" s="74" t="str">
        <f aca="false">IF(B1404="","",IF(ISNUMBER(H1404),H1404,N(G1404)))</f>
        <v/>
      </c>
      <c r="J1404" s="64"/>
      <c r="K1404" s="64"/>
      <c r="L1404" s="93" t="str">
        <f aca="false">IF(NOT(ISNUMBER(D1404)),"",DATE(YEAR(D1404),MONTH(D1404),1))</f>
        <v/>
      </c>
      <c r="M1404" s="70" t="str">
        <f aca="false">IF(B1404="","",IF(AND(ISNUMBER(D1404),ISNUMBER(E1404),E1404&lt;D1404),"⚠ Término anterior al inicio",IF(J1404&lt;&gt;"Sí","Pendiente comprobante firmado","OK")))</f>
        <v/>
      </c>
    </row>
    <row r="1405" customFormat="false" ht="15" hidden="false" customHeight="false" outlineLevel="0" collapsed="false">
      <c r="B1405" s="64"/>
      <c r="C1405" s="72" t="str">
        <f aca="false">IF(B1405="","",IFERROR(INDEX(T_NOMBRE,MATCH(B1405,T_ID,0)),"⚠ ID no existe"))</f>
        <v/>
      </c>
      <c r="D1405" s="65"/>
      <c r="E1405" s="65"/>
      <c r="F1405" s="64"/>
      <c r="G1405" s="74" t="str">
        <f aca="false">IF(OR(B1405="",NOT(ISNUMBER(D1405)),NOT(ISNUMBER(E1405))),"",NETWORKDAYS(D1405,E1405,FERIADOS))</f>
        <v/>
      </c>
      <c r="H1405" s="69"/>
      <c r="I1405" s="74" t="str">
        <f aca="false">IF(B1405="","",IF(ISNUMBER(H1405),H1405,N(G1405)))</f>
        <v/>
      </c>
      <c r="J1405" s="64"/>
      <c r="K1405" s="64"/>
      <c r="L1405" s="93" t="str">
        <f aca="false">IF(NOT(ISNUMBER(D1405)),"",DATE(YEAR(D1405),MONTH(D1405),1))</f>
        <v/>
      </c>
      <c r="M1405" s="70" t="str">
        <f aca="false">IF(B1405="","",IF(AND(ISNUMBER(D1405),ISNUMBER(E1405),E1405&lt;D1405),"⚠ Término anterior al inicio",IF(J1405&lt;&gt;"Sí","Pendiente comprobante firmado","OK")))</f>
        <v/>
      </c>
    </row>
    <row r="1406" customFormat="false" ht="15" hidden="false" customHeight="false" outlineLevel="0" collapsed="false">
      <c r="B1406" s="64"/>
      <c r="C1406" s="72" t="str">
        <f aca="false">IF(B1406="","",IFERROR(INDEX(T_NOMBRE,MATCH(B1406,T_ID,0)),"⚠ ID no existe"))</f>
        <v/>
      </c>
      <c r="D1406" s="65"/>
      <c r="E1406" s="65"/>
      <c r="F1406" s="64"/>
      <c r="G1406" s="74" t="str">
        <f aca="false">IF(OR(B1406="",NOT(ISNUMBER(D1406)),NOT(ISNUMBER(E1406))),"",NETWORKDAYS(D1406,E1406,FERIADOS))</f>
        <v/>
      </c>
      <c r="H1406" s="69"/>
      <c r="I1406" s="74" t="str">
        <f aca="false">IF(B1406="","",IF(ISNUMBER(H1406),H1406,N(G1406)))</f>
        <v/>
      </c>
      <c r="J1406" s="64"/>
      <c r="K1406" s="64"/>
      <c r="L1406" s="93" t="str">
        <f aca="false">IF(NOT(ISNUMBER(D1406)),"",DATE(YEAR(D1406),MONTH(D1406),1))</f>
        <v/>
      </c>
      <c r="M1406" s="70" t="str">
        <f aca="false">IF(B1406="","",IF(AND(ISNUMBER(D1406),ISNUMBER(E1406),E1406&lt;D1406),"⚠ Término anterior al inicio",IF(J1406&lt;&gt;"Sí","Pendiente comprobante firmado","OK")))</f>
        <v/>
      </c>
    </row>
    <row r="1407" customFormat="false" ht="15" hidden="false" customHeight="false" outlineLevel="0" collapsed="false">
      <c r="B1407" s="64"/>
      <c r="C1407" s="72" t="str">
        <f aca="false">IF(B1407="","",IFERROR(INDEX(T_NOMBRE,MATCH(B1407,T_ID,0)),"⚠ ID no existe"))</f>
        <v/>
      </c>
      <c r="D1407" s="65"/>
      <c r="E1407" s="65"/>
      <c r="F1407" s="64"/>
      <c r="G1407" s="74" t="str">
        <f aca="false">IF(OR(B1407="",NOT(ISNUMBER(D1407)),NOT(ISNUMBER(E1407))),"",NETWORKDAYS(D1407,E1407,FERIADOS))</f>
        <v/>
      </c>
      <c r="H1407" s="69"/>
      <c r="I1407" s="74" t="str">
        <f aca="false">IF(B1407="","",IF(ISNUMBER(H1407),H1407,N(G1407)))</f>
        <v/>
      </c>
      <c r="J1407" s="64"/>
      <c r="K1407" s="64"/>
      <c r="L1407" s="93" t="str">
        <f aca="false">IF(NOT(ISNUMBER(D1407)),"",DATE(YEAR(D1407),MONTH(D1407),1))</f>
        <v/>
      </c>
      <c r="M1407" s="70" t="str">
        <f aca="false">IF(B1407="","",IF(AND(ISNUMBER(D1407),ISNUMBER(E1407),E1407&lt;D1407),"⚠ Término anterior al inicio",IF(J1407&lt;&gt;"Sí","Pendiente comprobante firmado","OK")))</f>
        <v/>
      </c>
    </row>
    <row r="1408" customFormat="false" ht="15" hidden="false" customHeight="false" outlineLevel="0" collapsed="false">
      <c r="B1408" s="64"/>
      <c r="C1408" s="72" t="str">
        <f aca="false">IF(B1408="","",IFERROR(INDEX(T_NOMBRE,MATCH(B1408,T_ID,0)),"⚠ ID no existe"))</f>
        <v/>
      </c>
      <c r="D1408" s="65"/>
      <c r="E1408" s="65"/>
      <c r="F1408" s="64"/>
      <c r="G1408" s="74" t="str">
        <f aca="false">IF(OR(B1408="",NOT(ISNUMBER(D1408)),NOT(ISNUMBER(E1408))),"",NETWORKDAYS(D1408,E1408,FERIADOS))</f>
        <v/>
      </c>
      <c r="H1408" s="69"/>
      <c r="I1408" s="74" t="str">
        <f aca="false">IF(B1408="","",IF(ISNUMBER(H1408),H1408,N(G1408)))</f>
        <v/>
      </c>
      <c r="J1408" s="64"/>
      <c r="K1408" s="64"/>
      <c r="L1408" s="93" t="str">
        <f aca="false">IF(NOT(ISNUMBER(D1408)),"",DATE(YEAR(D1408),MONTH(D1408),1))</f>
        <v/>
      </c>
      <c r="M1408" s="70" t="str">
        <f aca="false">IF(B1408="","",IF(AND(ISNUMBER(D1408),ISNUMBER(E1408),E1408&lt;D1408),"⚠ Término anterior al inicio",IF(J1408&lt;&gt;"Sí","Pendiente comprobante firmado","OK")))</f>
        <v/>
      </c>
    </row>
    <row r="1409" customFormat="false" ht="15" hidden="false" customHeight="false" outlineLevel="0" collapsed="false">
      <c r="B1409" s="64"/>
      <c r="C1409" s="72" t="str">
        <f aca="false">IF(B1409="","",IFERROR(INDEX(T_NOMBRE,MATCH(B1409,T_ID,0)),"⚠ ID no existe"))</f>
        <v/>
      </c>
      <c r="D1409" s="65"/>
      <c r="E1409" s="65"/>
      <c r="F1409" s="64"/>
      <c r="G1409" s="74" t="str">
        <f aca="false">IF(OR(B1409="",NOT(ISNUMBER(D1409)),NOT(ISNUMBER(E1409))),"",NETWORKDAYS(D1409,E1409,FERIADOS))</f>
        <v/>
      </c>
      <c r="H1409" s="69"/>
      <c r="I1409" s="74" t="str">
        <f aca="false">IF(B1409="","",IF(ISNUMBER(H1409),H1409,N(G1409)))</f>
        <v/>
      </c>
      <c r="J1409" s="64"/>
      <c r="K1409" s="64"/>
      <c r="L1409" s="93" t="str">
        <f aca="false">IF(NOT(ISNUMBER(D1409)),"",DATE(YEAR(D1409),MONTH(D1409),1))</f>
        <v/>
      </c>
      <c r="M1409" s="70" t="str">
        <f aca="false">IF(B1409="","",IF(AND(ISNUMBER(D1409),ISNUMBER(E1409),E1409&lt;D1409),"⚠ Término anterior al inicio",IF(J1409&lt;&gt;"Sí","Pendiente comprobante firmado","OK")))</f>
        <v/>
      </c>
    </row>
    <row r="1410" customFormat="false" ht="15" hidden="false" customHeight="false" outlineLevel="0" collapsed="false">
      <c r="B1410" s="64"/>
      <c r="C1410" s="72" t="str">
        <f aca="false">IF(B1410="","",IFERROR(INDEX(T_NOMBRE,MATCH(B1410,T_ID,0)),"⚠ ID no existe"))</f>
        <v/>
      </c>
      <c r="D1410" s="65"/>
      <c r="E1410" s="65"/>
      <c r="F1410" s="64"/>
      <c r="G1410" s="74" t="str">
        <f aca="false">IF(OR(B1410="",NOT(ISNUMBER(D1410)),NOT(ISNUMBER(E1410))),"",NETWORKDAYS(D1410,E1410,FERIADOS))</f>
        <v/>
      </c>
      <c r="H1410" s="69"/>
      <c r="I1410" s="74" t="str">
        <f aca="false">IF(B1410="","",IF(ISNUMBER(H1410),H1410,N(G1410)))</f>
        <v/>
      </c>
      <c r="J1410" s="64"/>
      <c r="K1410" s="64"/>
      <c r="L1410" s="93" t="str">
        <f aca="false">IF(NOT(ISNUMBER(D1410)),"",DATE(YEAR(D1410),MONTH(D1410),1))</f>
        <v/>
      </c>
      <c r="M1410" s="70" t="str">
        <f aca="false">IF(B1410="","",IF(AND(ISNUMBER(D1410),ISNUMBER(E1410),E1410&lt;D1410),"⚠ Término anterior al inicio",IF(J1410&lt;&gt;"Sí","Pendiente comprobante firmado","OK")))</f>
        <v/>
      </c>
    </row>
    <row r="1411" customFormat="false" ht="15" hidden="false" customHeight="false" outlineLevel="0" collapsed="false">
      <c r="B1411" s="64"/>
      <c r="C1411" s="72" t="str">
        <f aca="false">IF(B1411="","",IFERROR(INDEX(T_NOMBRE,MATCH(B1411,T_ID,0)),"⚠ ID no existe"))</f>
        <v/>
      </c>
      <c r="D1411" s="65"/>
      <c r="E1411" s="65"/>
      <c r="F1411" s="64"/>
      <c r="G1411" s="74" t="str">
        <f aca="false">IF(OR(B1411="",NOT(ISNUMBER(D1411)),NOT(ISNUMBER(E1411))),"",NETWORKDAYS(D1411,E1411,FERIADOS))</f>
        <v/>
      </c>
      <c r="H1411" s="69"/>
      <c r="I1411" s="74" t="str">
        <f aca="false">IF(B1411="","",IF(ISNUMBER(H1411),H1411,N(G1411)))</f>
        <v/>
      </c>
      <c r="J1411" s="64"/>
      <c r="K1411" s="64"/>
      <c r="L1411" s="93" t="str">
        <f aca="false">IF(NOT(ISNUMBER(D1411)),"",DATE(YEAR(D1411),MONTH(D1411),1))</f>
        <v/>
      </c>
      <c r="M1411" s="70" t="str">
        <f aca="false">IF(B1411="","",IF(AND(ISNUMBER(D1411),ISNUMBER(E1411),E1411&lt;D1411),"⚠ Término anterior al inicio",IF(J1411&lt;&gt;"Sí","Pendiente comprobante firmado","OK")))</f>
        <v/>
      </c>
    </row>
    <row r="1412" customFormat="false" ht="15" hidden="false" customHeight="false" outlineLevel="0" collapsed="false">
      <c r="B1412" s="64"/>
      <c r="C1412" s="72" t="str">
        <f aca="false">IF(B1412="","",IFERROR(INDEX(T_NOMBRE,MATCH(B1412,T_ID,0)),"⚠ ID no existe"))</f>
        <v/>
      </c>
      <c r="D1412" s="65"/>
      <c r="E1412" s="65"/>
      <c r="F1412" s="64"/>
      <c r="G1412" s="74" t="str">
        <f aca="false">IF(OR(B1412="",NOT(ISNUMBER(D1412)),NOT(ISNUMBER(E1412))),"",NETWORKDAYS(D1412,E1412,FERIADOS))</f>
        <v/>
      </c>
      <c r="H1412" s="69"/>
      <c r="I1412" s="74" t="str">
        <f aca="false">IF(B1412="","",IF(ISNUMBER(H1412),H1412,N(G1412)))</f>
        <v/>
      </c>
      <c r="J1412" s="64"/>
      <c r="K1412" s="64"/>
      <c r="L1412" s="93" t="str">
        <f aca="false">IF(NOT(ISNUMBER(D1412)),"",DATE(YEAR(D1412),MONTH(D1412),1))</f>
        <v/>
      </c>
      <c r="M1412" s="70" t="str">
        <f aca="false">IF(B1412="","",IF(AND(ISNUMBER(D1412),ISNUMBER(E1412),E1412&lt;D1412),"⚠ Término anterior al inicio",IF(J1412&lt;&gt;"Sí","Pendiente comprobante firmado","OK")))</f>
        <v/>
      </c>
    </row>
    <row r="1413" customFormat="false" ht="15" hidden="false" customHeight="false" outlineLevel="0" collapsed="false">
      <c r="B1413" s="64"/>
      <c r="C1413" s="72" t="str">
        <f aca="false">IF(B1413="","",IFERROR(INDEX(T_NOMBRE,MATCH(B1413,T_ID,0)),"⚠ ID no existe"))</f>
        <v/>
      </c>
      <c r="D1413" s="65"/>
      <c r="E1413" s="65"/>
      <c r="F1413" s="64"/>
      <c r="G1413" s="74" t="str">
        <f aca="false">IF(OR(B1413="",NOT(ISNUMBER(D1413)),NOT(ISNUMBER(E1413))),"",NETWORKDAYS(D1413,E1413,FERIADOS))</f>
        <v/>
      </c>
      <c r="H1413" s="69"/>
      <c r="I1413" s="74" t="str">
        <f aca="false">IF(B1413="","",IF(ISNUMBER(H1413),H1413,N(G1413)))</f>
        <v/>
      </c>
      <c r="J1413" s="64"/>
      <c r="K1413" s="64"/>
      <c r="L1413" s="93" t="str">
        <f aca="false">IF(NOT(ISNUMBER(D1413)),"",DATE(YEAR(D1413),MONTH(D1413),1))</f>
        <v/>
      </c>
      <c r="M1413" s="70" t="str">
        <f aca="false">IF(B1413="","",IF(AND(ISNUMBER(D1413),ISNUMBER(E1413),E1413&lt;D1413),"⚠ Término anterior al inicio",IF(J1413&lt;&gt;"Sí","Pendiente comprobante firmado","OK")))</f>
        <v/>
      </c>
    </row>
    <row r="1414" customFormat="false" ht="15" hidden="false" customHeight="false" outlineLevel="0" collapsed="false">
      <c r="B1414" s="64"/>
      <c r="C1414" s="72" t="str">
        <f aca="false">IF(B1414="","",IFERROR(INDEX(T_NOMBRE,MATCH(B1414,T_ID,0)),"⚠ ID no existe"))</f>
        <v/>
      </c>
      <c r="D1414" s="65"/>
      <c r="E1414" s="65"/>
      <c r="F1414" s="64"/>
      <c r="G1414" s="74" t="str">
        <f aca="false">IF(OR(B1414="",NOT(ISNUMBER(D1414)),NOT(ISNUMBER(E1414))),"",NETWORKDAYS(D1414,E1414,FERIADOS))</f>
        <v/>
      </c>
      <c r="H1414" s="69"/>
      <c r="I1414" s="74" t="str">
        <f aca="false">IF(B1414="","",IF(ISNUMBER(H1414),H1414,N(G1414)))</f>
        <v/>
      </c>
      <c r="J1414" s="64"/>
      <c r="K1414" s="64"/>
      <c r="L1414" s="93" t="str">
        <f aca="false">IF(NOT(ISNUMBER(D1414)),"",DATE(YEAR(D1414),MONTH(D1414),1))</f>
        <v/>
      </c>
      <c r="M1414" s="70" t="str">
        <f aca="false">IF(B1414="","",IF(AND(ISNUMBER(D1414),ISNUMBER(E1414),E1414&lt;D1414),"⚠ Término anterior al inicio",IF(J1414&lt;&gt;"Sí","Pendiente comprobante firmado","OK")))</f>
        <v/>
      </c>
    </row>
    <row r="1415" customFormat="false" ht="15" hidden="false" customHeight="false" outlineLevel="0" collapsed="false">
      <c r="B1415" s="64"/>
      <c r="C1415" s="72" t="str">
        <f aca="false">IF(B1415="","",IFERROR(INDEX(T_NOMBRE,MATCH(B1415,T_ID,0)),"⚠ ID no existe"))</f>
        <v/>
      </c>
      <c r="D1415" s="65"/>
      <c r="E1415" s="65"/>
      <c r="F1415" s="64"/>
      <c r="G1415" s="74" t="str">
        <f aca="false">IF(OR(B1415="",NOT(ISNUMBER(D1415)),NOT(ISNUMBER(E1415))),"",NETWORKDAYS(D1415,E1415,FERIADOS))</f>
        <v/>
      </c>
      <c r="H1415" s="69"/>
      <c r="I1415" s="74" t="str">
        <f aca="false">IF(B1415="","",IF(ISNUMBER(H1415),H1415,N(G1415)))</f>
        <v/>
      </c>
      <c r="J1415" s="64"/>
      <c r="K1415" s="64"/>
      <c r="L1415" s="93" t="str">
        <f aca="false">IF(NOT(ISNUMBER(D1415)),"",DATE(YEAR(D1415),MONTH(D1415),1))</f>
        <v/>
      </c>
      <c r="M1415" s="70" t="str">
        <f aca="false">IF(B1415="","",IF(AND(ISNUMBER(D1415),ISNUMBER(E1415),E1415&lt;D1415),"⚠ Término anterior al inicio",IF(J1415&lt;&gt;"Sí","Pendiente comprobante firmado","OK")))</f>
        <v/>
      </c>
    </row>
    <row r="1416" customFormat="false" ht="15" hidden="false" customHeight="false" outlineLevel="0" collapsed="false">
      <c r="B1416" s="64"/>
      <c r="C1416" s="72" t="str">
        <f aca="false">IF(B1416="","",IFERROR(INDEX(T_NOMBRE,MATCH(B1416,T_ID,0)),"⚠ ID no existe"))</f>
        <v/>
      </c>
      <c r="D1416" s="65"/>
      <c r="E1416" s="65"/>
      <c r="F1416" s="64"/>
      <c r="G1416" s="74" t="str">
        <f aca="false">IF(OR(B1416="",NOT(ISNUMBER(D1416)),NOT(ISNUMBER(E1416))),"",NETWORKDAYS(D1416,E1416,FERIADOS))</f>
        <v/>
      </c>
      <c r="H1416" s="69"/>
      <c r="I1416" s="74" t="str">
        <f aca="false">IF(B1416="","",IF(ISNUMBER(H1416),H1416,N(G1416)))</f>
        <v/>
      </c>
      <c r="J1416" s="64"/>
      <c r="K1416" s="64"/>
      <c r="L1416" s="93" t="str">
        <f aca="false">IF(NOT(ISNUMBER(D1416)),"",DATE(YEAR(D1416),MONTH(D1416),1))</f>
        <v/>
      </c>
      <c r="M1416" s="70" t="str">
        <f aca="false">IF(B1416="","",IF(AND(ISNUMBER(D1416),ISNUMBER(E1416),E1416&lt;D1416),"⚠ Término anterior al inicio",IF(J1416&lt;&gt;"Sí","Pendiente comprobante firmado","OK")))</f>
        <v/>
      </c>
    </row>
    <row r="1417" customFormat="false" ht="15" hidden="false" customHeight="false" outlineLevel="0" collapsed="false">
      <c r="B1417" s="64"/>
      <c r="C1417" s="72" t="str">
        <f aca="false">IF(B1417="","",IFERROR(INDEX(T_NOMBRE,MATCH(B1417,T_ID,0)),"⚠ ID no existe"))</f>
        <v/>
      </c>
      <c r="D1417" s="65"/>
      <c r="E1417" s="65"/>
      <c r="F1417" s="64"/>
      <c r="G1417" s="74" t="str">
        <f aca="false">IF(OR(B1417="",NOT(ISNUMBER(D1417)),NOT(ISNUMBER(E1417))),"",NETWORKDAYS(D1417,E1417,FERIADOS))</f>
        <v/>
      </c>
      <c r="H1417" s="69"/>
      <c r="I1417" s="74" t="str">
        <f aca="false">IF(B1417="","",IF(ISNUMBER(H1417),H1417,N(G1417)))</f>
        <v/>
      </c>
      <c r="J1417" s="64"/>
      <c r="K1417" s="64"/>
      <c r="L1417" s="93" t="str">
        <f aca="false">IF(NOT(ISNUMBER(D1417)),"",DATE(YEAR(D1417),MONTH(D1417),1))</f>
        <v/>
      </c>
      <c r="M1417" s="70" t="str">
        <f aca="false">IF(B1417="","",IF(AND(ISNUMBER(D1417),ISNUMBER(E1417),E1417&lt;D1417),"⚠ Término anterior al inicio",IF(J1417&lt;&gt;"Sí","Pendiente comprobante firmado","OK")))</f>
        <v/>
      </c>
    </row>
    <row r="1418" customFormat="false" ht="15" hidden="false" customHeight="false" outlineLevel="0" collapsed="false">
      <c r="B1418" s="64"/>
      <c r="C1418" s="72" t="str">
        <f aca="false">IF(B1418="","",IFERROR(INDEX(T_NOMBRE,MATCH(B1418,T_ID,0)),"⚠ ID no existe"))</f>
        <v/>
      </c>
      <c r="D1418" s="65"/>
      <c r="E1418" s="65"/>
      <c r="F1418" s="64"/>
      <c r="G1418" s="74" t="str">
        <f aca="false">IF(OR(B1418="",NOT(ISNUMBER(D1418)),NOT(ISNUMBER(E1418))),"",NETWORKDAYS(D1418,E1418,FERIADOS))</f>
        <v/>
      </c>
      <c r="H1418" s="69"/>
      <c r="I1418" s="74" t="str">
        <f aca="false">IF(B1418="","",IF(ISNUMBER(H1418),H1418,N(G1418)))</f>
        <v/>
      </c>
      <c r="J1418" s="64"/>
      <c r="K1418" s="64"/>
      <c r="L1418" s="93" t="str">
        <f aca="false">IF(NOT(ISNUMBER(D1418)),"",DATE(YEAR(D1418),MONTH(D1418),1))</f>
        <v/>
      </c>
      <c r="M1418" s="70" t="str">
        <f aca="false">IF(B1418="","",IF(AND(ISNUMBER(D1418),ISNUMBER(E1418),E1418&lt;D1418),"⚠ Término anterior al inicio",IF(J1418&lt;&gt;"Sí","Pendiente comprobante firmado","OK")))</f>
        <v/>
      </c>
    </row>
    <row r="1419" customFormat="false" ht="15" hidden="false" customHeight="false" outlineLevel="0" collapsed="false">
      <c r="B1419" s="64"/>
      <c r="C1419" s="72" t="str">
        <f aca="false">IF(B1419="","",IFERROR(INDEX(T_NOMBRE,MATCH(B1419,T_ID,0)),"⚠ ID no existe"))</f>
        <v/>
      </c>
      <c r="D1419" s="65"/>
      <c r="E1419" s="65"/>
      <c r="F1419" s="64"/>
      <c r="G1419" s="74" t="str">
        <f aca="false">IF(OR(B1419="",NOT(ISNUMBER(D1419)),NOT(ISNUMBER(E1419))),"",NETWORKDAYS(D1419,E1419,FERIADOS))</f>
        <v/>
      </c>
      <c r="H1419" s="69"/>
      <c r="I1419" s="74" t="str">
        <f aca="false">IF(B1419="","",IF(ISNUMBER(H1419),H1419,N(G1419)))</f>
        <v/>
      </c>
      <c r="J1419" s="64"/>
      <c r="K1419" s="64"/>
      <c r="L1419" s="93" t="str">
        <f aca="false">IF(NOT(ISNUMBER(D1419)),"",DATE(YEAR(D1419),MONTH(D1419),1))</f>
        <v/>
      </c>
      <c r="M1419" s="70" t="str">
        <f aca="false">IF(B1419="","",IF(AND(ISNUMBER(D1419),ISNUMBER(E1419),E1419&lt;D1419),"⚠ Término anterior al inicio",IF(J1419&lt;&gt;"Sí","Pendiente comprobante firmado","OK")))</f>
        <v/>
      </c>
    </row>
    <row r="1420" customFormat="false" ht="15" hidden="false" customHeight="false" outlineLevel="0" collapsed="false">
      <c r="B1420" s="64"/>
      <c r="C1420" s="72" t="str">
        <f aca="false">IF(B1420="","",IFERROR(INDEX(T_NOMBRE,MATCH(B1420,T_ID,0)),"⚠ ID no existe"))</f>
        <v/>
      </c>
      <c r="D1420" s="65"/>
      <c r="E1420" s="65"/>
      <c r="F1420" s="64"/>
      <c r="G1420" s="74" t="str">
        <f aca="false">IF(OR(B1420="",NOT(ISNUMBER(D1420)),NOT(ISNUMBER(E1420))),"",NETWORKDAYS(D1420,E1420,FERIADOS))</f>
        <v/>
      </c>
      <c r="H1420" s="69"/>
      <c r="I1420" s="74" t="str">
        <f aca="false">IF(B1420="","",IF(ISNUMBER(H1420),H1420,N(G1420)))</f>
        <v/>
      </c>
      <c r="J1420" s="64"/>
      <c r="K1420" s="64"/>
      <c r="L1420" s="93" t="str">
        <f aca="false">IF(NOT(ISNUMBER(D1420)),"",DATE(YEAR(D1420),MONTH(D1420),1))</f>
        <v/>
      </c>
      <c r="M1420" s="70" t="str">
        <f aca="false">IF(B1420="","",IF(AND(ISNUMBER(D1420),ISNUMBER(E1420),E1420&lt;D1420),"⚠ Término anterior al inicio",IF(J1420&lt;&gt;"Sí","Pendiente comprobante firmado","OK")))</f>
        <v/>
      </c>
    </row>
    <row r="1421" customFormat="false" ht="15" hidden="false" customHeight="false" outlineLevel="0" collapsed="false">
      <c r="B1421" s="64"/>
      <c r="C1421" s="72" t="str">
        <f aca="false">IF(B1421="","",IFERROR(INDEX(T_NOMBRE,MATCH(B1421,T_ID,0)),"⚠ ID no existe"))</f>
        <v/>
      </c>
      <c r="D1421" s="65"/>
      <c r="E1421" s="65"/>
      <c r="F1421" s="64"/>
      <c r="G1421" s="74" t="str">
        <f aca="false">IF(OR(B1421="",NOT(ISNUMBER(D1421)),NOT(ISNUMBER(E1421))),"",NETWORKDAYS(D1421,E1421,FERIADOS))</f>
        <v/>
      </c>
      <c r="H1421" s="69"/>
      <c r="I1421" s="74" t="str">
        <f aca="false">IF(B1421="","",IF(ISNUMBER(H1421),H1421,N(G1421)))</f>
        <v/>
      </c>
      <c r="J1421" s="64"/>
      <c r="K1421" s="64"/>
      <c r="L1421" s="93" t="str">
        <f aca="false">IF(NOT(ISNUMBER(D1421)),"",DATE(YEAR(D1421),MONTH(D1421),1))</f>
        <v/>
      </c>
      <c r="M1421" s="70" t="str">
        <f aca="false">IF(B1421="","",IF(AND(ISNUMBER(D1421),ISNUMBER(E1421),E1421&lt;D1421),"⚠ Término anterior al inicio",IF(J1421&lt;&gt;"Sí","Pendiente comprobante firmado","OK")))</f>
        <v/>
      </c>
    </row>
    <row r="1422" customFormat="false" ht="15" hidden="false" customHeight="false" outlineLevel="0" collapsed="false">
      <c r="B1422" s="64"/>
      <c r="C1422" s="72" t="str">
        <f aca="false">IF(B1422="","",IFERROR(INDEX(T_NOMBRE,MATCH(B1422,T_ID,0)),"⚠ ID no existe"))</f>
        <v/>
      </c>
      <c r="D1422" s="65"/>
      <c r="E1422" s="65"/>
      <c r="F1422" s="64"/>
      <c r="G1422" s="74" t="str">
        <f aca="false">IF(OR(B1422="",NOT(ISNUMBER(D1422)),NOT(ISNUMBER(E1422))),"",NETWORKDAYS(D1422,E1422,FERIADOS))</f>
        <v/>
      </c>
      <c r="H1422" s="69"/>
      <c r="I1422" s="74" t="str">
        <f aca="false">IF(B1422="","",IF(ISNUMBER(H1422),H1422,N(G1422)))</f>
        <v/>
      </c>
      <c r="J1422" s="64"/>
      <c r="K1422" s="64"/>
      <c r="L1422" s="93" t="str">
        <f aca="false">IF(NOT(ISNUMBER(D1422)),"",DATE(YEAR(D1422),MONTH(D1422),1))</f>
        <v/>
      </c>
      <c r="M1422" s="70" t="str">
        <f aca="false">IF(B1422="","",IF(AND(ISNUMBER(D1422),ISNUMBER(E1422),E1422&lt;D1422),"⚠ Término anterior al inicio",IF(J1422&lt;&gt;"Sí","Pendiente comprobante firmado","OK")))</f>
        <v/>
      </c>
    </row>
    <row r="1423" customFormat="false" ht="15" hidden="false" customHeight="false" outlineLevel="0" collapsed="false">
      <c r="B1423" s="64"/>
      <c r="C1423" s="72" t="str">
        <f aca="false">IF(B1423="","",IFERROR(INDEX(T_NOMBRE,MATCH(B1423,T_ID,0)),"⚠ ID no existe"))</f>
        <v/>
      </c>
      <c r="D1423" s="65"/>
      <c r="E1423" s="65"/>
      <c r="F1423" s="64"/>
      <c r="G1423" s="74" t="str">
        <f aca="false">IF(OR(B1423="",NOT(ISNUMBER(D1423)),NOT(ISNUMBER(E1423))),"",NETWORKDAYS(D1423,E1423,FERIADOS))</f>
        <v/>
      </c>
      <c r="H1423" s="69"/>
      <c r="I1423" s="74" t="str">
        <f aca="false">IF(B1423="","",IF(ISNUMBER(H1423),H1423,N(G1423)))</f>
        <v/>
      </c>
      <c r="J1423" s="64"/>
      <c r="K1423" s="64"/>
      <c r="L1423" s="93" t="str">
        <f aca="false">IF(NOT(ISNUMBER(D1423)),"",DATE(YEAR(D1423),MONTH(D1423),1))</f>
        <v/>
      </c>
      <c r="M1423" s="70" t="str">
        <f aca="false">IF(B1423="","",IF(AND(ISNUMBER(D1423),ISNUMBER(E1423),E1423&lt;D1423),"⚠ Término anterior al inicio",IF(J1423&lt;&gt;"Sí","Pendiente comprobante firmado","OK")))</f>
        <v/>
      </c>
    </row>
    <row r="1424" customFormat="false" ht="15" hidden="false" customHeight="false" outlineLevel="0" collapsed="false">
      <c r="B1424" s="64"/>
      <c r="C1424" s="72" t="str">
        <f aca="false">IF(B1424="","",IFERROR(INDEX(T_NOMBRE,MATCH(B1424,T_ID,0)),"⚠ ID no existe"))</f>
        <v/>
      </c>
      <c r="D1424" s="65"/>
      <c r="E1424" s="65"/>
      <c r="F1424" s="64"/>
      <c r="G1424" s="74" t="str">
        <f aca="false">IF(OR(B1424="",NOT(ISNUMBER(D1424)),NOT(ISNUMBER(E1424))),"",NETWORKDAYS(D1424,E1424,FERIADOS))</f>
        <v/>
      </c>
      <c r="H1424" s="69"/>
      <c r="I1424" s="74" t="str">
        <f aca="false">IF(B1424="","",IF(ISNUMBER(H1424),H1424,N(G1424)))</f>
        <v/>
      </c>
      <c r="J1424" s="64"/>
      <c r="K1424" s="64"/>
      <c r="L1424" s="93" t="str">
        <f aca="false">IF(NOT(ISNUMBER(D1424)),"",DATE(YEAR(D1424),MONTH(D1424),1))</f>
        <v/>
      </c>
      <c r="M1424" s="70" t="str">
        <f aca="false">IF(B1424="","",IF(AND(ISNUMBER(D1424),ISNUMBER(E1424),E1424&lt;D1424),"⚠ Término anterior al inicio",IF(J1424&lt;&gt;"Sí","Pendiente comprobante firmado","OK")))</f>
        <v/>
      </c>
    </row>
    <row r="1425" customFormat="false" ht="15" hidden="false" customHeight="false" outlineLevel="0" collapsed="false">
      <c r="B1425" s="64"/>
      <c r="C1425" s="72" t="str">
        <f aca="false">IF(B1425="","",IFERROR(INDEX(T_NOMBRE,MATCH(B1425,T_ID,0)),"⚠ ID no existe"))</f>
        <v/>
      </c>
      <c r="D1425" s="65"/>
      <c r="E1425" s="65"/>
      <c r="F1425" s="64"/>
      <c r="G1425" s="74" t="str">
        <f aca="false">IF(OR(B1425="",NOT(ISNUMBER(D1425)),NOT(ISNUMBER(E1425))),"",NETWORKDAYS(D1425,E1425,FERIADOS))</f>
        <v/>
      </c>
      <c r="H1425" s="69"/>
      <c r="I1425" s="74" t="str">
        <f aca="false">IF(B1425="","",IF(ISNUMBER(H1425),H1425,N(G1425)))</f>
        <v/>
      </c>
      <c r="J1425" s="64"/>
      <c r="K1425" s="64"/>
      <c r="L1425" s="93" t="str">
        <f aca="false">IF(NOT(ISNUMBER(D1425)),"",DATE(YEAR(D1425),MONTH(D1425),1))</f>
        <v/>
      </c>
      <c r="M1425" s="70" t="str">
        <f aca="false">IF(B1425="","",IF(AND(ISNUMBER(D1425),ISNUMBER(E1425),E1425&lt;D1425),"⚠ Término anterior al inicio",IF(J1425&lt;&gt;"Sí","Pendiente comprobante firmado","OK")))</f>
        <v/>
      </c>
    </row>
    <row r="1426" customFormat="false" ht="15" hidden="false" customHeight="false" outlineLevel="0" collapsed="false">
      <c r="B1426" s="64"/>
      <c r="C1426" s="72" t="str">
        <f aca="false">IF(B1426="","",IFERROR(INDEX(T_NOMBRE,MATCH(B1426,T_ID,0)),"⚠ ID no existe"))</f>
        <v/>
      </c>
      <c r="D1426" s="65"/>
      <c r="E1426" s="65"/>
      <c r="F1426" s="64"/>
      <c r="G1426" s="74" t="str">
        <f aca="false">IF(OR(B1426="",NOT(ISNUMBER(D1426)),NOT(ISNUMBER(E1426))),"",NETWORKDAYS(D1426,E1426,FERIADOS))</f>
        <v/>
      </c>
      <c r="H1426" s="69"/>
      <c r="I1426" s="74" t="str">
        <f aca="false">IF(B1426="","",IF(ISNUMBER(H1426),H1426,N(G1426)))</f>
        <v/>
      </c>
      <c r="J1426" s="64"/>
      <c r="K1426" s="64"/>
      <c r="L1426" s="93" t="str">
        <f aca="false">IF(NOT(ISNUMBER(D1426)),"",DATE(YEAR(D1426),MONTH(D1426),1))</f>
        <v/>
      </c>
      <c r="M1426" s="70" t="str">
        <f aca="false">IF(B1426="","",IF(AND(ISNUMBER(D1426),ISNUMBER(E1426),E1426&lt;D1426),"⚠ Término anterior al inicio",IF(J1426&lt;&gt;"Sí","Pendiente comprobante firmado","OK")))</f>
        <v/>
      </c>
    </row>
    <row r="1427" customFormat="false" ht="15" hidden="false" customHeight="false" outlineLevel="0" collapsed="false">
      <c r="B1427" s="64"/>
      <c r="C1427" s="72" t="str">
        <f aca="false">IF(B1427="","",IFERROR(INDEX(T_NOMBRE,MATCH(B1427,T_ID,0)),"⚠ ID no existe"))</f>
        <v/>
      </c>
      <c r="D1427" s="65"/>
      <c r="E1427" s="65"/>
      <c r="F1427" s="64"/>
      <c r="G1427" s="74" t="str">
        <f aca="false">IF(OR(B1427="",NOT(ISNUMBER(D1427)),NOT(ISNUMBER(E1427))),"",NETWORKDAYS(D1427,E1427,FERIADOS))</f>
        <v/>
      </c>
      <c r="H1427" s="69"/>
      <c r="I1427" s="74" t="str">
        <f aca="false">IF(B1427="","",IF(ISNUMBER(H1427),H1427,N(G1427)))</f>
        <v/>
      </c>
      <c r="J1427" s="64"/>
      <c r="K1427" s="64"/>
      <c r="L1427" s="93" t="str">
        <f aca="false">IF(NOT(ISNUMBER(D1427)),"",DATE(YEAR(D1427),MONTH(D1427),1))</f>
        <v/>
      </c>
      <c r="M1427" s="70" t="str">
        <f aca="false">IF(B1427="","",IF(AND(ISNUMBER(D1427),ISNUMBER(E1427),E1427&lt;D1427),"⚠ Término anterior al inicio",IF(J1427&lt;&gt;"Sí","Pendiente comprobante firmado","OK")))</f>
        <v/>
      </c>
    </row>
    <row r="1428" customFormat="false" ht="15" hidden="false" customHeight="false" outlineLevel="0" collapsed="false">
      <c r="B1428" s="64"/>
      <c r="C1428" s="72" t="str">
        <f aca="false">IF(B1428="","",IFERROR(INDEX(T_NOMBRE,MATCH(B1428,T_ID,0)),"⚠ ID no existe"))</f>
        <v/>
      </c>
      <c r="D1428" s="65"/>
      <c r="E1428" s="65"/>
      <c r="F1428" s="64"/>
      <c r="G1428" s="74" t="str">
        <f aca="false">IF(OR(B1428="",NOT(ISNUMBER(D1428)),NOT(ISNUMBER(E1428))),"",NETWORKDAYS(D1428,E1428,FERIADOS))</f>
        <v/>
      </c>
      <c r="H1428" s="69"/>
      <c r="I1428" s="74" t="str">
        <f aca="false">IF(B1428="","",IF(ISNUMBER(H1428),H1428,N(G1428)))</f>
        <v/>
      </c>
      <c r="J1428" s="64"/>
      <c r="K1428" s="64"/>
      <c r="L1428" s="93" t="str">
        <f aca="false">IF(NOT(ISNUMBER(D1428)),"",DATE(YEAR(D1428),MONTH(D1428),1))</f>
        <v/>
      </c>
      <c r="M1428" s="70" t="str">
        <f aca="false">IF(B1428="","",IF(AND(ISNUMBER(D1428),ISNUMBER(E1428),E1428&lt;D1428),"⚠ Término anterior al inicio",IF(J1428&lt;&gt;"Sí","Pendiente comprobante firmado","OK")))</f>
        <v/>
      </c>
    </row>
    <row r="1429" customFormat="false" ht="15" hidden="false" customHeight="false" outlineLevel="0" collapsed="false">
      <c r="B1429" s="64"/>
      <c r="C1429" s="72" t="str">
        <f aca="false">IF(B1429="","",IFERROR(INDEX(T_NOMBRE,MATCH(B1429,T_ID,0)),"⚠ ID no existe"))</f>
        <v/>
      </c>
      <c r="D1429" s="65"/>
      <c r="E1429" s="65"/>
      <c r="F1429" s="64"/>
      <c r="G1429" s="74" t="str">
        <f aca="false">IF(OR(B1429="",NOT(ISNUMBER(D1429)),NOT(ISNUMBER(E1429))),"",NETWORKDAYS(D1429,E1429,FERIADOS))</f>
        <v/>
      </c>
      <c r="H1429" s="69"/>
      <c r="I1429" s="74" t="str">
        <f aca="false">IF(B1429="","",IF(ISNUMBER(H1429),H1429,N(G1429)))</f>
        <v/>
      </c>
      <c r="J1429" s="64"/>
      <c r="K1429" s="64"/>
      <c r="L1429" s="93" t="str">
        <f aca="false">IF(NOT(ISNUMBER(D1429)),"",DATE(YEAR(D1429),MONTH(D1429),1))</f>
        <v/>
      </c>
      <c r="M1429" s="70" t="str">
        <f aca="false">IF(B1429="","",IF(AND(ISNUMBER(D1429),ISNUMBER(E1429),E1429&lt;D1429),"⚠ Término anterior al inicio",IF(J1429&lt;&gt;"Sí","Pendiente comprobante firmado","OK")))</f>
        <v/>
      </c>
    </row>
    <row r="1430" customFormat="false" ht="15" hidden="false" customHeight="false" outlineLevel="0" collapsed="false">
      <c r="B1430" s="64"/>
      <c r="C1430" s="72" t="str">
        <f aca="false">IF(B1430="","",IFERROR(INDEX(T_NOMBRE,MATCH(B1430,T_ID,0)),"⚠ ID no existe"))</f>
        <v/>
      </c>
      <c r="D1430" s="65"/>
      <c r="E1430" s="65"/>
      <c r="F1430" s="64"/>
      <c r="G1430" s="74" t="str">
        <f aca="false">IF(OR(B1430="",NOT(ISNUMBER(D1430)),NOT(ISNUMBER(E1430))),"",NETWORKDAYS(D1430,E1430,FERIADOS))</f>
        <v/>
      </c>
      <c r="H1430" s="69"/>
      <c r="I1430" s="74" t="str">
        <f aca="false">IF(B1430="","",IF(ISNUMBER(H1430),H1430,N(G1430)))</f>
        <v/>
      </c>
      <c r="J1430" s="64"/>
      <c r="K1430" s="64"/>
      <c r="L1430" s="93" t="str">
        <f aca="false">IF(NOT(ISNUMBER(D1430)),"",DATE(YEAR(D1430),MONTH(D1430),1))</f>
        <v/>
      </c>
      <c r="M1430" s="70" t="str">
        <f aca="false">IF(B1430="","",IF(AND(ISNUMBER(D1430),ISNUMBER(E1430),E1430&lt;D1430),"⚠ Término anterior al inicio",IF(J1430&lt;&gt;"Sí","Pendiente comprobante firmado","OK")))</f>
        <v/>
      </c>
    </row>
    <row r="1431" customFormat="false" ht="15" hidden="false" customHeight="false" outlineLevel="0" collapsed="false">
      <c r="B1431" s="64"/>
      <c r="C1431" s="72" t="str">
        <f aca="false">IF(B1431="","",IFERROR(INDEX(T_NOMBRE,MATCH(B1431,T_ID,0)),"⚠ ID no existe"))</f>
        <v/>
      </c>
      <c r="D1431" s="65"/>
      <c r="E1431" s="65"/>
      <c r="F1431" s="64"/>
      <c r="G1431" s="74" t="str">
        <f aca="false">IF(OR(B1431="",NOT(ISNUMBER(D1431)),NOT(ISNUMBER(E1431))),"",NETWORKDAYS(D1431,E1431,FERIADOS))</f>
        <v/>
      </c>
      <c r="H1431" s="69"/>
      <c r="I1431" s="74" t="str">
        <f aca="false">IF(B1431="","",IF(ISNUMBER(H1431),H1431,N(G1431)))</f>
        <v/>
      </c>
      <c r="J1431" s="64"/>
      <c r="K1431" s="64"/>
      <c r="L1431" s="93" t="str">
        <f aca="false">IF(NOT(ISNUMBER(D1431)),"",DATE(YEAR(D1431),MONTH(D1431),1))</f>
        <v/>
      </c>
      <c r="M1431" s="70" t="str">
        <f aca="false">IF(B1431="","",IF(AND(ISNUMBER(D1431),ISNUMBER(E1431),E1431&lt;D1431),"⚠ Término anterior al inicio",IF(J1431&lt;&gt;"Sí","Pendiente comprobante firmado","OK")))</f>
        <v/>
      </c>
    </row>
    <row r="1432" customFormat="false" ht="15" hidden="false" customHeight="false" outlineLevel="0" collapsed="false">
      <c r="B1432" s="64"/>
      <c r="C1432" s="72" t="str">
        <f aca="false">IF(B1432="","",IFERROR(INDEX(T_NOMBRE,MATCH(B1432,T_ID,0)),"⚠ ID no existe"))</f>
        <v/>
      </c>
      <c r="D1432" s="65"/>
      <c r="E1432" s="65"/>
      <c r="F1432" s="64"/>
      <c r="G1432" s="74" t="str">
        <f aca="false">IF(OR(B1432="",NOT(ISNUMBER(D1432)),NOT(ISNUMBER(E1432))),"",NETWORKDAYS(D1432,E1432,FERIADOS))</f>
        <v/>
      </c>
      <c r="H1432" s="69"/>
      <c r="I1432" s="74" t="str">
        <f aca="false">IF(B1432="","",IF(ISNUMBER(H1432),H1432,N(G1432)))</f>
        <v/>
      </c>
      <c r="J1432" s="64"/>
      <c r="K1432" s="64"/>
      <c r="L1432" s="93" t="str">
        <f aca="false">IF(NOT(ISNUMBER(D1432)),"",DATE(YEAR(D1432),MONTH(D1432),1))</f>
        <v/>
      </c>
      <c r="M1432" s="70" t="str">
        <f aca="false">IF(B1432="","",IF(AND(ISNUMBER(D1432),ISNUMBER(E1432),E1432&lt;D1432),"⚠ Término anterior al inicio",IF(J1432&lt;&gt;"Sí","Pendiente comprobante firmado","OK")))</f>
        <v/>
      </c>
    </row>
    <row r="1433" customFormat="false" ht="15" hidden="false" customHeight="false" outlineLevel="0" collapsed="false">
      <c r="B1433" s="64"/>
      <c r="C1433" s="72" t="str">
        <f aca="false">IF(B1433="","",IFERROR(INDEX(T_NOMBRE,MATCH(B1433,T_ID,0)),"⚠ ID no existe"))</f>
        <v/>
      </c>
      <c r="D1433" s="65"/>
      <c r="E1433" s="65"/>
      <c r="F1433" s="64"/>
      <c r="G1433" s="74" t="str">
        <f aca="false">IF(OR(B1433="",NOT(ISNUMBER(D1433)),NOT(ISNUMBER(E1433))),"",NETWORKDAYS(D1433,E1433,FERIADOS))</f>
        <v/>
      </c>
      <c r="H1433" s="69"/>
      <c r="I1433" s="74" t="str">
        <f aca="false">IF(B1433="","",IF(ISNUMBER(H1433),H1433,N(G1433)))</f>
        <v/>
      </c>
      <c r="J1433" s="64"/>
      <c r="K1433" s="64"/>
      <c r="L1433" s="93" t="str">
        <f aca="false">IF(NOT(ISNUMBER(D1433)),"",DATE(YEAR(D1433),MONTH(D1433),1))</f>
        <v/>
      </c>
      <c r="M1433" s="70" t="str">
        <f aca="false">IF(B1433="","",IF(AND(ISNUMBER(D1433),ISNUMBER(E1433),E1433&lt;D1433),"⚠ Término anterior al inicio",IF(J1433&lt;&gt;"Sí","Pendiente comprobante firmado","OK")))</f>
        <v/>
      </c>
    </row>
    <row r="1434" customFormat="false" ht="15" hidden="false" customHeight="false" outlineLevel="0" collapsed="false">
      <c r="B1434" s="64"/>
      <c r="C1434" s="72" t="str">
        <f aca="false">IF(B1434="","",IFERROR(INDEX(T_NOMBRE,MATCH(B1434,T_ID,0)),"⚠ ID no existe"))</f>
        <v/>
      </c>
      <c r="D1434" s="65"/>
      <c r="E1434" s="65"/>
      <c r="F1434" s="64"/>
      <c r="G1434" s="74" t="str">
        <f aca="false">IF(OR(B1434="",NOT(ISNUMBER(D1434)),NOT(ISNUMBER(E1434))),"",NETWORKDAYS(D1434,E1434,FERIADOS))</f>
        <v/>
      </c>
      <c r="H1434" s="69"/>
      <c r="I1434" s="74" t="str">
        <f aca="false">IF(B1434="","",IF(ISNUMBER(H1434),H1434,N(G1434)))</f>
        <v/>
      </c>
      <c r="J1434" s="64"/>
      <c r="K1434" s="64"/>
      <c r="L1434" s="93" t="str">
        <f aca="false">IF(NOT(ISNUMBER(D1434)),"",DATE(YEAR(D1434),MONTH(D1434),1))</f>
        <v/>
      </c>
      <c r="M1434" s="70" t="str">
        <f aca="false">IF(B1434="","",IF(AND(ISNUMBER(D1434),ISNUMBER(E1434),E1434&lt;D1434),"⚠ Término anterior al inicio",IF(J1434&lt;&gt;"Sí","Pendiente comprobante firmado","OK")))</f>
        <v/>
      </c>
    </row>
    <row r="1435" customFormat="false" ht="15" hidden="false" customHeight="false" outlineLevel="0" collapsed="false">
      <c r="B1435" s="64"/>
      <c r="C1435" s="72" t="str">
        <f aca="false">IF(B1435="","",IFERROR(INDEX(T_NOMBRE,MATCH(B1435,T_ID,0)),"⚠ ID no existe"))</f>
        <v/>
      </c>
      <c r="D1435" s="65"/>
      <c r="E1435" s="65"/>
      <c r="F1435" s="64"/>
      <c r="G1435" s="74" t="str">
        <f aca="false">IF(OR(B1435="",NOT(ISNUMBER(D1435)),NOT(ISNUMBER(E1435))),"",NETWORKDAYS(D1435,E1435,FERIADOS))</f>
        <v/>
      </c>
      <c r="H1435" s="69"/>
      <c r="I1435" s="74" t="str">
        <f aca="false">IF(B1435="","",IF(ISNUMBER(H1435),H1435,N(G1435)))</f>
        <v/>
      </c>
      <c r="J1435" s="64"/>
      <c r="K1435" s="64"/>
      <c r="L1435" s="93" t="str">
        <f aca="false">IF(NOT(ISNUMBER(D1435)),"",DATE(YEAR(D1435),MONTH(D1435),1))</f>
        <v/>
      </c>
      <c r="M1435" s="70" t="str">
        <f aca="false">IF(B1435="","",IF(AND(ISNUMBER(D1435),ISNUMBER(E1435),E1435&lt;D1435),"⚠ Término anterior al inicio",IF(J1435&lt;&gt;"Sí","Pendiente comprobante firmado","OK")))</f>
        <v/>
      </c>
    </row>
    <row r="1436" customFormat="false" ht="15" hidden="false" customHeight="false" outlineLevel="0" collapsed="false">
      <c r="B1436" s="64"/>
      <c r="C1436" s="72" t="str">
        <f aca="false">IF(B1436="","",IFERROR(INDEX(T_NOMBRE,MATCH(B1436,T_ID,0)),"⚠ ID no existe"))</f>
        <v/>
      </c>
      <c r="D1436" s="65"/>
      <c r="E1436" s="65"/>
      <c r="F1436" s="64"/>
      <c r="G1436" s="74" t="str">
        <f aca="false">IF(OR(B1436="",NOT(ISNUMBER(D1436)),NOT(ISNUMBER(E1436))),"",NETWORKDAYS(D1436,E1436,FERIADOS))</f>
        <v/>
      </c>
      <c r="H1436" s="69"/>
      <c r="I1436" s="74" t="str">
        <f aca="false">IF(B1436="","",IF(ISNUMBER(H1436),H1436,N(G1436)))</f>
        <v/>
      </c>
      <c r="J1436" s="64"/>
      <c r="K1436" s="64"/>
      <c r="L1436" s="93" t="str">
        <f aca="false">IF(NOT(ISNUMBER(D1436)),"",DATE(YEAR(D1436),MONTH(D1436),1))</f>
        <v/>
      </c>
      <c r="M1436" s="70" t="str">
        <f aca="false">IF(B1436="","",IF(AND(ISNUMBER(D1436),ISNUMBER(E1436),E1436&lt;D1436),"⚠ Término anterior al inicio",IF(J1436&lt;&gt;"Sí","Pendiente comprobante firmado","OK")))</f>
        <v/>
      </c>
    </row>
    <row r="1437" customFormat="false" ht="15" hidden="false" customHeight="false" outlineLevel="0" collapsed="false">
      <c r="B1437" s="64"/>
      <c r="C1437" s="72" t="str">
        <f aca="false">IF(B1437="","",IFERROR(INDEX(T_NOMBRE,MATCH(B1437,T_ID,0)),"⚠ ID no existe"))</f>
        <v/>
      </c>
      <c r="D1437" s="65"/>
      <c r="E1437" s="65"/>
      <c r="F1437" s="64"/>
      <c r="G1437" s="74" t="str">
        <f aca="false">IF(OR(B1437="",NOT(ISNUMBER(D1437)),NOT(ISNUMBER(E1437))),"",NETWORKDAYS(D1437,E1437,FERIADOS))</f>
        <v/>
      </c>
      <c r="H1437" s="69"/>
      <c r="I1437" s="74" t="str">
        <f aca="false">IF(B1437="","",IF(ISNUMBER(H1437),H1437,N(G1437)))</f>
        <v/>
      </c>
      <c r="J1437" s="64"/>
      <c r="K1437" s="64"/>
      <c r="L1437" s="93" t="str">
        <f aca="false">IF(NOT(ISNUMBER(D1437)),"",DATE(YEAR(D1437),MONTH(D1437),1))</f>
        <v/>
      </c>
      <c r="M1437" s="70" t="str">
        <f aca="false">IF(B1437="","",IF(AND(ISNUMBER(D1437),ISNUMBER(E1437),E1437&lt;D1437),"⚠ Término anterior al inicio",IF(J1437&lt;&gt;"Sí","Pendiente comprobante firmado","OK")))</f>
        <v/>
      </c>
    </row>
    <row r="1438" customFormat="false" ht="15" hidden="false" customHeight="false" outlineLevel="0" collapsed="false">
      <c r="B1438" s="64"/>
      <c r="C1438" s="72" t="str">
        <f aca="false">IF(B1438="","",IFERROR(INDEX(T_NOMBRE,MATCH(B1438,T_ID,0)),"⚠ ID no existe"))</f>
        <v/>
      </c>
      <c r="D1438" s="65"/>
      <c r="E1438" s="65"/>
      <c r="F1438" s="64"/>
      <c r="G1438" s="74" t="str">
        <f aca="false">IF(OR(B1438="",NOT(ISNUMBER(D1438)),NOT(ISNUMBER(E1438))),"",NETWORKDAYS(D1438,E1438,FERIADOS))</f>
        <v/>
      </c>
      <c r="H1438" s="69"/>
      <c r="I1438" s="74" t="str">
        <f aca="false">IF(B1438="","",IF(ISNUMBER(H1438),H1438,N(G1438)))</f>
        <v/>
      </c>
      <c r="J1438" s="64"/>
      <c r="K1438" s="64"/>
      <c r="L1438" s="93" t="str">
        <f aca="false">IF(NOT(ISNUMBER(D1438)),"",DATE(YEAR(D1438),MONTH(D1438),1))</f>
        <v/>
      </c>
      <c r="M1438" s="70" t="str">
        <f aca="false">IF(B1438="","",IF(AND(ISNUMBER(D1438),ISNUMBER(E1438),E1438&lt;D1438),"⚠ Término anterior al inicio",IF(J1438&lt;&gt;"Sí","Pendiente comprobante firmado","OK")))</f>
        <v/>
      </c>
    </row>
    <row r="1439" customFormat="false" ht="15" hidden="false" customHeight="false" outlineLevel="0" collapsed="false">
      <c r="B1439" s="64"/>
      <c r="C1439" s="72" t="str">
        <f aca="false">IF(B1439="","",IFERROR(INDEX(T_NOMBRE,MATCH(B1439,T_ID,0)),"⚠ ID no existe"))</f>
        <v/>
      </c>
      <c r="D1439" s="65"/>
      <c r="E1439" s="65"/>
      <c r="F1439" s="64"/>
      <c r="G1439" s="74" t="str">
        <f aca="false">IF(OR(B1439="",NOT(ISNUMBER(D1439)),NOT(ISNUMBER(E1439))),"",NETWORKDAYS(D1439,E1439,FERIADOS))</f>
        <v/>
      </c>
      <c r="H1439" s="69"/>
      <c r="I1439" s="74" t="str">
        <f aca="false">IF(B1439="","",IF(ISNUMBER(H1439),H1439,N(G1439)))</f>
        <v/>
      </c>
      <c r="J1439" s="64"/>
      <c r="K1439" s="64"/>
      <c r="L1439" s="93" t="str">
        <f aca="false">IF(NOT(ISNUMBER(D1439)),"",DATE(YEAR(D1439),MONTH(D1439),1))</f>
        <v/>
      </c>
      <c r="M1439" s="70" t="str">
        <f aca="false">IF(B1439="","",IF(AND(ISNUMBER(D1439),ISNUMBER(E1439),E1439&lt;D1439),"⚠ Término anterior al inicio",IF(J1439&lt;&gt;"Sí","Pendiente comprobante firmado","OK")))</f>
        <v/>
      </c>
    </row>
    <row r="1440" customFormat="false" ht="15" hidden="false" customHeight="false" outlineLevel="0" collapsed="false">
      <c r="B1440" s="64"/>
      <c r="C1440" s="72" t="str">
        <f aca="false">IF(B1440="","",IFERROR(INDEX(T_NOMBRE,MATCH(B1440,T_ID,0)),"⚠ ID no existe"))</f>
        <v/>
      </c>
      <c r="D1440" s="65"/>
      <c r="E1440" s="65"/>
      <c r="F1440" s="64"/>
      <c r="G1440" s="74" t="str">
        <f aca="false">IF(OR(B1440="",NOT(ISNUMBER(D1440)),NOT(ISNUMBER(E1440))),"",NETWORKDAYS(D1440,E1440,FERIADOS))</f>
        <v/>
      </c>
      <c r="H1440" s="69"/>
      <c r="I1440" s="74" t="str">
        <f aca="false">IF(B1440="","",IF(ISNUMBER(H1440),H1440,N(G1440)))</f>
        <v/>
      </c>
      <c r="J1440" s="64"/>
      <c r="K1440" s="64"/>
      <c r="L1440" s="93" t="str">
        <f aca="false">IF(NOT(ISNUMBER(D1440)),"",DATE(YEAR(D1440),MONTH(D1440),1))</f>
        <v/>
      </c>
      <c r="M1440" s="70" t="str">
        <f aca="false">IF(B1440="","",IF(AND(ISNUMBER(D1440),ISNUMBER(E1440),E1440&lt;D1440),"⚠ Término anterior al inicio",IF(J1440&lt;&gt;"Sí","Pendiente comprobante firmado","OK")))</f>
        <v/>
      </c>
    </row>
    <row r="1441" customFormat="false" ht="15" hidden="false" customHeight="false" outlineLevel="0" collapsed="false">
      <c r="B1441" s="64"/>
      <c r="C1441" s="72" t="str">
        <f aca="false">IF(B1441="","",IFERROR(INDEX(T_NOMBRE,MATCH(B1441,T_ID,0)),"⚠ ID no existe"))</f>
        <v/>
      </c>
      <c r="D1441" s="65"/>
      <c r="E1441" s="65"/>
      <c r="F1441" s="64"/>
      <c r="G1441" s="74" t="str">
        <f aca="false">IF(OR(B1441="",NOT(ISNUMBER(D1441)),NOT(ISNUMBER(E1441))),"",NETWORKDAYS(D1441,E1441,FERIADOS))</f>
        <v/>
      </c>
      <c r="H1441" s="69"/>
      <c r="I1441" s="74" t="str">
        <f aca="false">IF(B1441="","",IF(ISNUMBER(H1441),H1441,N(G1441)))</f>
        <v/>
      </c>
      <c r="J1441" s="64"/>
      <c r="K1441" s="64"/>
      <c r="L1441" s="93" t="str">
        <f aca="false">IF(NOT(ISNUMBER(D1441)),"",DATE(YEAR(D1441),MONTH(D1441),1))</f>
        <v/>
      </c>
      <c r="M1441" s="70" t="str">
        <f aca="false">IF(B1441="","",IF(AND(ISNUMBER(D1441),ISNUMBER(E1441),E1441&lt;D1441),"⚠ Término anterior al inicio",IF(J1441&lt;&gt;"Sí","Pendiente comprobante firmado","OK")))</f>
        <v/>
      </c>
    </row>
    <row r="1442" customFormat="false" ht="15" hidden="false" customHeight="false" outlineLevel="0" collapsed="false">
      <c r="B1442" s="64"/>
      <c r="C1442" s="72" t="str">
        <f aca="false">IF(B1442="","",IFERROR(INDEX(T_NOMBRE,MATCH(B1442,T_ID,0)),"⚠ ID no existe"))</f>
        <v/>
      </c>
      <c r="D1442" s="65"/>
      <c r="E1442" s="65"/>
      <c r="F1442" s="64"/>
      <c r="G1442" s="74" t="str">
        <f aca="false">IF(OR(B1442="",NOT(ISNUMBER(D1442)),NOT(ISNUMBER(E1442))),"",NETWORKDAYS(D1442,E1442,FERIADOS))</f>
        <v/>
      </c>
      <c r="H1442" s="69"/>
      <c r="I1442" s="74" t="str">
        <f aca="false">IF(B1442="","",IF(ISNUMBER(H1442),H1442,N(G1442)))</f>
        <v/>
      </c>
      <c r="J1442" s="64"/>
      <c r="K1442" s="64"/>
      <c r="L1442" s="93" t="str">
        <f aca="false">IF(NOT(ISNUMBER(D1442)),"",DATE(YEAR(D1442),MONTH(D1442),1))</f>
        <v/>
      </c>
      <c r="M1442" s="70" t="str">
        <f aca="false">IF(B1442="","",IF(AND(ISNUMBER(D1442),ISNUMBER(E1442),E1442&lt;D1442),"⚠ Término anterior al inicio",IF(J1442&lt;&gt;"Sí","Pendiente comprobante firmado","OK")))</f>
        <v/>
      </c>
    </row>
    <row r="1443" customFormat="false" ht="15" hidden="false" customHeight="false" outlineLevel="0" collapsed="false">
      <c r="B1443" s="64"/>
      <c r="C1443" s="72" t="str">
        <f aca="false">IF(B1443="","",IFERROR(INDEX(T_NOMBRE,MATCH(B1443,T_ID,0)),"⚠ ID no existe"))</f>
        <v/>
      </c>
      <c r="D1443" s="65"/>
      <c r="E1443" s="65"/>
      <c r="F1443" s="64"/>
      <c r="G1443" s="74" t="str">
        <f aca="false">IF(OR(B1443="",NOT(ISNUMBER(D1443)),NOT(ISNUMBER(E1443))),"",NETWORKDAYS(D1443,E1443,FERIADOS))</f>
        <v/>
      </c>
      <c r="H1443" s="69"/>
      <c r="I1443" s="74" t="str">
        <f aca="false">IF(B1443="","",IF(ISNUMBER(H1443),H1443,N(G1443)))</f>
        <v/>
      </c>
      <c r="J1443" s="64"/>
      <c r="K1443" s="64"/>
      <c r="L1443" s="93" t="str">
        <f aca="false">IF(NOT(ISNUMBER(D1443)),"",DATE(YEAR(D1443),MONTH(D1443),1))</f>
        <v/>
      </c>
      <c r="M1443" s="70" t="str">
        <f aca="false">IF(B1443="","",IF(AND(ISNUMBER(D1443),ISNUMBER(E1443),E1443&lt;D1443),"⚠ Término anterior al inicio",IF(J1443&lt;&gt;"Sí","Pendiente comprobante firmado","OK")))</f>
        <v/>
      </c>
    </row>
    <row r="1444" customFormat="false" ht="15" hidden="false" customHeight="false" outlineLevel="0" collapsed="false">
      <c r="B1444" s="64"/>
      <c r="C1444" s="72" t="str">
        <f aca="false">IF(B1444="","",IFERROR(INDEX(T_NOMBRE,MATCH(B1444,T_ID,0)),"⚠ ID no existe"))</f>
        <v/>
      </c>
      <c r="D1444" s="65"/>
      <c r="E1444" s="65"/>
      <c r="F1444" s="64"/>
      <c r="G1444" s="74" t="str">
        <f aca="false">IF(OR(B1444="",NOT(ISNUMBER(D1444)),NOT(ISNUMBER(E1444))),"",NETWORKDAYS(D1444,E1444,FERIADOS))</f>
        <v/>
      </c>
      <c r="H1444" s="69"/>
      <c r="I1444" s="74" t="str">
        <f aca="false">IF(B1444="","",IF(ISNUMBER(H1444),H1444,N(G1444)))</f>
        <v/>
      </c>
      <c r="J1444" s="64"/>
      <c r="K1444" s="64"/>
      <c r="L1444" s="93" t="str">
        <f aca="false">IF(NOT(ISNUMBER(D1444)),"",DATE(YEAR(D1444),MONTH(D1444),1))</f>
        <v/>
      </c>
      <c r="M1444" s="70" t="str">
        <f aca="false">IF(B1444="","",IF(AND(ISNUMBER(D1444),ISNUMBER(E1444),E1444&lt;D1444),"⚠ Término anterior al inicio",IF(J1444&lt;&gt;"Sí","Pendiente comprobante firmado","OK")))</f>
        <v/>
      </c>
    </row>
    <row r="1445" customFormat="false" ht="15" hidden="false" customHeight="false" outlineLevel="0" collapsed="false">
      <c r="B1445" s="64"/>
      <c r="C1445" s="72" t="str">
        <f aca="false">IF(B1445="","",IFERROR(INDEX(T_NOMBRE,MATCH(B1445,T_ID,0)),"⚠ ID no existe"))</f>
        <v/>
      </c>
      <c r="D1445" s="65"/>
      <c r="E1445" s="65"/>
      <c r="F1445" s="64"/>
      <c r="G1445" s="74" t="str">
        <f aca="false">IF(OR(B1445="",NOT(ISNUMBER(D1445)),NOT(ISNUMBER(E1445))),"",NETWORKDAYS(D1445,E1445,FERIADOS))</f>
        <v/>
      </c>
      <c r="H1445" s="69"/>
      <c r="I1445" s="74" t="str">
        <f aca="false">IF(B1445="","",IF(ISNUMBER(H1445),H1445,N(G1445)))</f>
        <v/>
      </c>
      <c r="J1445" s="64"/>
      <c r="K1445" s="64"/>
      <c r="L1445" s="93" t="str">
        <f aca="false">IF(NOT(ISNUMBER(D1445)),"",DATE(YEAR(D1445),MONTH(D1445),1))</f>
        <v/>
      </c>
      <c r="M1445" s="70" t="str">
        <f aca="false">IF(B1445="","",IF(AND(ISNUMBER(D1445),ISNUMBER(E1445),E1445&lt;D1445),"⚠ Término anterior al inicio",IF(J1445&lt;&gt;"Sí","Pendiente comprobante firmado","OK")))</f>
        <v/>
      </c>
    </row>
    <row r="1446" customFormat="false" ht="15" hidden="false" customHeight="false" outlineLevel="0" collapsed="false">
      <c r="B1446" s="64"/>
      <c r="C1446" s="72" t="str">
        <f aca="false">IF(B1446="","",IFERROR(INDEX(T_NOMBRE,MATCH(B1446,T_ID,0)),"⚠ ID no existe"))</f>
        <v/>
      </c>
      <c r="D1446" s="65"/>
      <c r="E1446" s="65"/>
      <c r="F1446" s="64"/>
      <c r="G1446" s="74" t="str">
        <f aca="false">IF(OR(B1446="",NOT(ISNUMBER(D1446)),NOT(ISNUMBER(E1446))),"",NETWORKDAYS(D1446,E1446,FERIADOS))</f>
        <v/>
      </c>
      <c r="H1446" s="69"/>
      <c r="I1446" s="74" t="str">
        <f aca="false">IF(B1446="","",IF(ISNUMBER(H1446),H1446,N(G1446)))</f>
        <v/>
      </c>
      <c r="J1446" s="64"/>
      <c r="K1446" s="64"/>
      <c r="L1446" s="93" t="str">
        <f aca="false">IF(NOT(ISNUMBER(D1446)),"",DATE(YEAR(D1446),MONTH(D1446),1))</f>
        <v/>
      </c>
      <c r="M1446" s="70" t="str">
        <f aca="false">IF(B1446="","",IF(AND(ISNUMBER(D1446),ISNUMBER(E1446),E1446&lt;D1446),"⚠ Término anterior al inicio",IF(J1446&lt;&gt;"Sí","Pendiente comprobante firmado","OK")))</f>
        <v/>
      </c>
    </row>
    <row r="1447" customFormat="false" ht="15" hidden="false" customHeight="false" outlineLevel="0" collapsed="false">
      <c r="B1447" s="64"/>
      <c r="C1447" s="72" t="str">
        <f aca="false">IF(B1447="","",IFERROR(INDEX(T_NOMBRE,MATCH(B1447,T_ID,0)),"⚠ ID no existe"))</f>
        <v/>
      </c>
      <c r="D1447" s="65"/>
      <c r="E1447" s="65"/>
      <c r="F1447" s="64"/>
      <c r="G1447" s="74" t="str">
        <f aca="false">IF(OR(B1447="",NOT(ISNUMBER(D1447)),NOT(ISNUMBER(E1447))),"",NETWORKDAYS(D1447,E1447,FERIADOS))</f>
        <v/>
      </c>
      <c r="H1447" s="69"/>
      <c r="I1447" s="74" t="str">
        <f aca="false">IF(B1447="","",IF(ISNUMBER(H1447),H1447,N(G1447)))</f>
        <v/>
      </c>
      <c r="J1447" s="64"/>
      <c r="K1447" s="64"/>
      <c r="L1447" s="93" t="str">
        <f aca="false">IF(NOT(ISNUMBER(D1447)),"",DATE(YEAR(D1447),MONTH(D1447),1))</f>
        <v/>
      </c>
      <c r="M1447" s="70" t="str">
        <f aca="false">IF(B1447="","",IF(AND(ISNUMBER(D1447),ISNUMBER(E1447),E1447&lt;D1447),"⚠ Término anterior al inicio",IF(J1447&lt;&gt;"Sí","Pendiente comprobante firmado","OK")))</f>
        <v/>
      </c>
    </row>
    <row r="1448" customFormat="false" ht="15" hidden="false" customHeight="false" outlineLevel="0" collapsed="false">
      <c r="B1448" s="64"/>
      <c r="C1448" s="72" t="str">
        <f aca="false">IF(B1448="","",IFERROR(INDEX(T_NOMBRE,MATCH(B1448,T_ID,0)),"⚠ ID no existe"))</f>
        <v/>
      </c>
      <c r="D1448" s="65"/>
      <c r="E1448" s="65"/>
      <c r="F1448" s="64"/>
      <c r="G1448" s="74" t="str">
        <f aca="false">IF(OR(B1448="",NOT(ISNUMBER(D1448)),NOT(ISNUMBER(E1448))),"",NETWORKDAYS(D1448,E1448,FERIADOS))</f>
        <v/>
      </c>
      <c r="H1448" s="69"/>
      <c r="I1448" s="74" t="str">
        <f aca="false">IF(B1448="","",IF(ISNUMBER(H1448),H1448,N(G1448)))</f>
        <v/>
      </c>
      <c r="J1448" s="64"/>
      <c r="K1448" s="64"/>
      <c r="L1448" s="93" t="str">
        <f aca="false">IF(NOT(ISNUMBER(D1448)),"",DATE(YEAR(D1448),MONTH(D1448),1))</f>
        <v/>
      </c>
      <c r="M1448" s="70" t="str">
        <f aca="false">IF(B1448="","",IF(AND(ISNUMBER(D1448),ISNUMBER(E1448),E1448&lt;D1448),"⚠ Término anterior al inicio",IF(J1448&lt;&gt;"Sí","Pendiente comprobante firmado","OK")))</f>
        <v/>
      </c>
    </row>
    <row r="1449" customFormat="false" ht="15" hidden="false" customHeight="false" outlineLevel="0" collapsed="false">
      <c r="B1449" s="64"/>
      <c r="C1449" s="72" t="str">
        <f aca="false">IF(B1449="","",IFERROR(INDEX(T_NOMBRE,MATCH(B1449,T_ID,0)),"⚠ ID no existe"))</f>
        <v/>
      </c>
      <c r="D1449" s="65"/>
      <c r="E1449" s="65"/>
      <c r="F1449" s="64"/>
      <c r="G1449" s="74" t="str">
        <f aca="false">IF(OR(B1449="",NOT(ISNUMBER(D1449)),NOT(ISNUMBER(E1449))),"",NETWORKDAYS(D1449,E1449,FERIADOS))</f>
        <v/>
      </c>
      <c r="H1449" s="69"/>
      <c r="I1449" s="74" t="str">
        <f aca="false">IF(B1449="","",IF(ISNUMBER(H1449),H1449,N(G1449)))</f>
        <v/>
      </c>
      <c r="J1449" s="64"/>
      <c r="K1449" s="64"/>
      <c r="L1449" s="93" t="str">
        <f aca="false">IF(NOT(ISNUMBER(D1449)),"",DATE(YEAR(D1449),MONTH(D1449),1))</f>
        <v/>
      </c>
      <c r="M1449" s="70" t="str">
        <f aca="false">IF(B1449="","",IF(AND(ISNUMBER(D1449),ISNUMBER(E1449),E1449&lt;D1449),"⚠ Término anterior al inicio",IF(J1449&lt;&gt;"Sí","Pendiente comprobante firmado","OK")))</f>
        <v/>
      </c>
    </row>
    <row r="1450" customFormat="false" ht="15" hidden="false" customHeight="false" outlineLevel="0" collapsed="false">
      <c r="B1450" s="64"/>
      <c r="C1450" s="72" t="str">
        <f aca="false">IF(B1450="","",IFERROR(INDEX(T_NOMBRE,MATCH(B1450,T_ID,0)),"⚠ ID no existe"))</f>
        <v/>
      </c>
      <c r="D1450" s="65"/>
      <c r="E1450" s="65"/>
      <c r="F1450" s="64"/>
      <c r="G1450" s="74" t="str">
        <f aca="false">IF(OR(B1450="",NOT(ISNUMBER(D1450)),NOT(ISNUMBER(E1450))),"",NETWORKDAYS(D1450,E1450,FERIADOS))</f>
        <v/>
      </c>
      <c r="H1450" s="69"/>
      <c r="I1450" s="74" t="str">
        <f aca="false">IF(B1450="","",IF(ISNUMBER(H1450),H1450,N(G1450)))</f>
        <v/>
      </c>
      <c r="J1450" s="64"/>
      <c r="K1450" s="64"/>
      <c r="L1450" s="93" t="str">
        <f aca="false">IF(NOT(ISNUMBER(D1450)),"",DATE(YEAR(D1450),MONTH(D1450),1))</f>
        <v/>
      </c>
      <c r="M1450" s="70" t="str">
        <f aca="false">IF(B1450="","",IF(AND(ISNUMBER(D1450),ISNUMBER(E1450),E1450&lt;D1450),"⚠ Término anterior al inicio",IF(J1450&lt;&gt;"Sí","Pendiente comprobante firmado","OK")))</f>
        <v/>
      </c>
    </row>
    <row r="1451" customFormat="false" ht="15" hidden="false" customHeight="false" outlineLevel="0" collapsed="false">
      <c r="B1451" s="64"/>
      <c r="C1451" s="72" t="str">
        <f aca="false">IF(B1451="","",IFERROR(INDEX(T_NOMBRE,MATCH(B1451,T_ID,0)),"⚠ ID no existe"))</f>
        <v/>
      </c>
      <c r="D1451" s="65"/>
      <c r="E1451" s="65"/>
      <c r="F1451" s="64"/>
      <c r="G1451" s="74" t="str">
        <f aca="false">IF(OR(B1451="",NOT(ISNUMBER(D1451)),NOT(ISNUMBER(E1451))),"",NETWORKDAYS(D1451,E1451,FERIADOS))</f>
        <v/>
      </c>
      <c r="H1451" s="69"/>
      <c r="I1451" s="74" t="str">
        <f aca="false">IF(B1451="","",IF(ISNUMBER(H1451),H1451,N(G1451)))</f>
        <v/>
      </c>
      <c r="J1451" s="64"/>
      <c r="K1451" s="64"/>
      <c r="L1451" s="93" t="str">
        <f aca="false">IF(NOT(ISNUMBER(D1451)),"",DATE(YEAR(D1451),MONTH(D1451),1))</f>
        <v/>
      </c>
      <c r="M1451" s="70" t="str">
        <f aca="false">IF(B1451="","",IF(AND(ISNUMBER(D1451),ISNUMBER(E1451),E1451&lt;D1451),"⚠ Término anterior al inicio",IF(J1451&lt;&gt;"Sí","Pendiente comprobante firmado","OK")))</f>
        <v/>
      </c>
    </row>
    <row r="1452" customFormat="false" ht="15" hidden="false" customHeight="false" outlineLevel="0" collapsed="false">
      <c r="B1452" s="64"/>
      <c r="C1452" s="72" t="str">
        <f aca="false">IF(B1452="","",IFERROR(INDEX(T_NOMBRE,MATCH(B1452,T_ID,0)),"⚠ ID no existe"))</f>
        <v/>
      </c>
      <c r="D1452" s="65"/>
      <c r="E1452" s="65"/>
      <c r="F1452" s="64"/>
      <c r="G1452" s="74" t="str">
        <f aca="false">IF(OR(B1452="",NOT(ISNUMBER(D1452)),NOT(ISNUMBER(E1452))),"",NETWORKDAYS(D1452,E1452,FERIADOS))</f>
        <v/>
      </c>
      <c r="H1452" s="69"/>
      <c r="I1452" s="74" t="str">
        <f aca="false">IF(B1452="","",IF(ISNUMBER(H1452),H1452,N(G1452)))</f>
        <v/>
      </c>
      <c r="J1452" s="64"/>
      <c r="K1452" s="64"/>
      <c r="L1452" s="93" t="str">
        <f aca="false">IF(NOT(ISNUMBER(D1452)),"",DATE(YEAR(D1452),MONTH(D1452),1))</f>
        <v/>
      </c>
      <c r="M1452" s="70" t="str">
        <f aca="false">IF(B1452="","",IF(AND(ISNUMBER(D1452),ISNUMBER(E1452),E1452&lt;D1452),"⚠ Término anterior al inicio",IF(J1452&lt;&gt;"Sí","Pendiente comprobante firmado","OK")))</f>
        <v/>
      </c>
    </row>
    <row r="1453" customFormat="false" ht="15" hidden="false" customHeight="false" outlineLevel="0" collapsed="false">
      <c r="B1453" s="64"/>
      <c r="C1453" s="72" t="str">
        <f aca="false">IF(B1453="","",IFERROR(INDEX(T_NOMBRE,MATCH(B1453,T_ID,0)),"⚠ ID no existe"))</f>
        <v/>
      </c>
      <c r="D1453" s="65"/>
      <c r="E1453" s="65"/>
      <c r="F1453" s="64"/>
      <c r="G1453" s="74" t="str">
        <f aca="false">IF(OR(B1453="",NOT(ISNUMBER(D1453)),NOT(ISNUMBER(E1453))),"",NETWORKDAYS(D1453,E1453,FERIADOS))</f>
        <v/>
      </c>
      <c r="H1453" s="69"/>
      <c r="I1453" s="74" t="str">
        <f aca="false">IF(B1453="","",IF(ISNUMBER(H1453),H1453,N(G1453)))</f>
        <v/>
      </c>
      <c r="J1453" s="64"/>
      <c r="K1453" s="64"/>
      <c r="L1453" s="93" t="str">
        <f aca="false">IF(NOT(ISNUMBER(D1453)),"",DATE(YEAR(D1453),MONTH(D1453),1))</f>
        <v/>
      </c>
      <c r="M1453" s="70" t="str">
        <f aca="false">IF(B1453="","",IF(AND(ISNUMBER(D1453),ISNUMBER(E1453),E1453&lt;D1453),"⚠ Término anterior al inicio",IF(J1453&lt;&gt;"Sí","Pendiente comprobante firmado","OK")))</f>
        <v/>
      </c>
    </row>
    <row r="1454" customFormat="false" ht="15" hidden="false" customHeight="false" outlineLevel="0" collapsed="false">
      <c r="B1454" s="64"/>
      <c r="C1454" s="72" t="str">
        <f aca="false">IF(B1454="","",IFERROR(INDEX(T_NOMBRE,MATCH(B1454,T_ID,0)),"⚠ ID no existe"))</f>
        <v/>
      </c>
      <c r="D1454" s="65"/>
      <c r="E1454" s="65"/>
      <c r="F1454" s="64"/>
      <c r="G1454" s="74" t="str">
        <f aca="false">IF(OR(B1454="",NOT(ISNUMBER(D1454)),NOT(ISNUMBER(E1454))),"",NETWORKDAYS(D1454,E1454,FERIADOS))</f>
        <v/>
      </c>
      <c r="H1454" s="69"/>
      <c r="I1454" s="74" t="str">
        <f aca="false">IF(B1454="","",IF(ISNUMBER(H1454),H1454,N(G1454)))</f>
        <v/>
      </c>
      <c r="J1454" s="64"/>
      <c r="K1454" s="64"/>
      <c r="L1454" s="93" t="str">
        <f aca="false">IF(NOT(ISNUMBER(D1454)),"",DATE(YEAR(D1454),MONTH(D1454),1))</f>
        <v/>
      </c>
      <c r="M1454" s="70" t="str">
        <f aca="false">IF(B1454="","",IF(AND(ISNUMBER(D1454),ISNUMBER(E1454),E1454&lt;D1454),"⚠ Término anterior al inicio",IF(J1454&lt;&gt;"Sí","Pendiente comprobante firmado","OK")))</f>
        <v/>
      </c>
    </row>
    <row r="1455" customFormat="false" ht="15" hidden="false" customHeight="false" outlineLevel="0" collapsed="false">
      <c r="B1455" s="64"/>
      <c r="C1455" s="72" t="str">
        <f aca="false">IF(B1455="","",IFERROR(INDEX(T_NOMBRE,MATCH(B1455,T_ID,0)),"⚠ ID no existe"))</f>
        <v/>
      </c>
      <c r="D1455" s="65"/>
      <c r="E1455" s="65"/>
      <c r="F1455" s="64"/>
      <c r="G1455" s="74" t="str">
        <f aca="false">IF(OR(B1455="",NOT(ISNUMBER(D1455)),NOT(ISNUMBER(E1455))),"",NETWORKDAYS(D1455,E1455,FERIADOS))</f>
        <v/>
      </c>
      <c r="H1455" s="69"/>
      <c r="I1455" s="74" t="str">
        <f aca="false">IF(B1455="","",IF(ISNUMBER(H1455),H1455,N(G1455)))</f>
        <v/>
      </c>
      <c r="J1455" s="64"/>
      <c r="K1455" s="64"/>
      <c r="L1455" s="93" t="str">
        <f aca="false">IF(NOT(ISNUMBER(D1455)),"",DATE(YEAR(D1455),MONTH(D1455),1))</f>
        <v/>
      </c>
      <c r="M1455" s="70" t="str">
        <f aca="false">IF(B1455="","",IF(AND(ISNUMBER(D1455),ISNUMBER(E1455),E1455&lt;D1455),"⚠ Término anterior al inicio",IF(J1455&lt;&gt;"Sí","Pendiente comprobante firmado","OK")))</f>
        <v/>
      </c>
    </row>
    <row r="1456" customFormat="false" ht="15" hidden="false" customHeight="false" outlineLevel="0" collapsed="false">
      <c r="B1456" s="64"/>
      <c r="C1456" s="72" t="str">
        <f aca="false">IF(B1456="","",IFERROR(INDEX(T_NOMBRE,MATCH(B1456,T_ID,0)),"⚠ ID no existe"))</f>
        <v/>
      </c>
      <c r="D1456" s="65"/>
      <c r="E1456" s="65"/>
      <c r="F1456" s="64"/>
      <c r="G1456" s="74" t="str">
        <f aca="false">IF(OR(B1456="",NOT(ISNUMBER(D1456)),NOT(ISNUMBER(E1456))),"",NETWORKDAYS(D1456,E1456,FERIADOS))</f>
        <v/>
      </c>
      <c r="H1456" s="69"/>
      <c r="I1456" s="74" t="str">
        <f aca="false">IF(B1456="","",IF(ISNUMBER(H1456),H1456,N(G1456)))</f>
        <v/>
      </c>
      <c r="J1456" s="64"/>
      <c r="K1456" s="64"/>
      <c r="L1456" s="93" t="str">
        <f aca="false">IF(NOT(ISNUMBER(D1456)),"",DATE(YEAR(D1456),MONTH(D1456),1))</f>
        <v/>
      </c>
      <c r="M1456" s="70" t="str">
        <f aca="false">IF(B1456="","",IF(AND(ISNUMBER(D1456),ISNUMBER(E1456),E1456&lt;D1456),"⚠ Término anterior al inicio",IF(J1456&lt;&gt;"Sí","Pendiente comprobante firmado","OK")))</f>
        <v/>
      </c>
    </row>
    <row r="1457" customFormat="false" ht="15" hidden="false" customHeight="false" outlineLevel="0" collapsed="false">
      <c r="B1457" s="64"/>
      <c r="C1457" s="72" t="str">
        <f aca="false">IF(B1457="","",IFERROR(INDEX(T_NOMBRE,MATCH(B1457,T_ID,0)),"⚠ ID no existe"))</f>
        <v/>
      </c>
      <c r="D1457" s="65"/>
      <c r="E1457" s="65"/>
      <c r="F1457" s="64"/>
      <c r="G1457" s="74" t="str">
        <f aca="false">IF(OR(B1457="",NOT(ISNUMBER(D1457)),NOT(ISNUMBER(E1457))),"",NETWORKDAYS(D1457,E1457,FERIADOS))</f>
        <v/>
      </c>
      <c r="H1457" s="69"/>
      <c r="I1457" s="74" t="str">
        <f aca="false">IF(B1457="","",IF(ISNUMBER(H1457),H1457,N(G1457)))</f>
        <v/>
      </c>
      <c r="J1457" s="64"/>
      <c r="K1457" s="64"/>
      <c r="L1457" s="93" t="str">
        <f aca="false">IF(NOT(ISNUMBER(D1457)),"",DATE(YEAR(D1457),MONTH(D1457),1))</f>
        <v/>
      </c>
      <c r="M1457" s="70" t="str">
        <f aca="false">IF(B1457="","",IF(AND(ISNUMBER(D1457),ISNUMBER(E1457),E1457&lt;D1457),"⚠ Término anterior al inicio",IF(J1457&lt;&gt;"Sí","Pendiente comprobante firmado","OK")))</f>
        <v/>
      </c>
    </row>
    <row r="1458" customFormat="false" ht="15" hidden="false" customHeight="false" outlineLevel="0" collapsed="false">
      <c r="B1458" s="64"/>
      <c r="C1458" s="72" t="str">
        <f aca="false">IF(B1458="","",IFERROR(INDEX(T_NOMBRE,MATCH(B1458,T_ID,0)),"⚠ ID no existe"))</f>
        <v/>
      </c>
      <c r="D1458" s="65"/>
      <c r="E1458" s="65"/>
      <c r="F1458" s="64"/>
      <c r="G1458" s="74" t="str">
        <f aca="false">IF(OR(B1458="",NOT(ISNUMBER(D1458)),NOT(ISNUMBER(E1458))),"",NETWORKDAYS(D1458,E1458,FERIADOS))</f>
        <v/>
      </c>
      <c r="H1458" s="69"/>
      <c r="I1458" s="74" t="str">
        <f aca="false">IF(B1458="","",IF(ISNUMBER(H1458),H1458,N(G1458)))</f>
        <v/>
      </c>
      <c r="J1458" s="64"/>
      <c r="K1458" s="64"/>
      <c r="L1458" s="93" t="str">
        <f aca="false">IF(NOT(ISNUMBER(D1458)),"",DATE(YEAR(D1458),MONTH(D1458),1))</f>
        <v/>
      </c>
      <c r="M1458" s="70" t="str">
        <f aca="false">IF(B1458="","",IF(AND(ISNUMBER(D1458),ISNUMBER(E1458),E1458&lt;D1458),"⚠ Término anterior al inicio",IF(J1458&lt;&gt;"Sí","Pendiente comprobante firmado","OK")))</f>
        <v/>
      </c>
    </row>
    <row r="1459" customFormat="false" ht="15" hidden="false" customHeight="false" outlineLevel="0" collapsed="false">
      <c r="B1459" s="64"/>
      <c r="C1459" s="72" t="str">
        <f aca="false">IF(B1459="","",IFERROR(INDEX(T_NOMBRE,MATCH(B1459,T_ID,0)),"⚠ ID no existe"))</f>
        <v/>
      </c>
      <c r="D1459" s="65"/>
      <c r="E1459" s="65"/>
      <c r="F1459" s="64"/>
      <c r="G1459" s="74" t="str">
        <f aca="false">IF(OR(B1459="",NOT(ISNUMBER(D1459)),NOT(ISNUMBER(E1459))),"",NETWORKDAYS(D1459,E1459,FERIADOS))</f>
        <v/>
      </c>
      <c r="H1459" s="69"/>
      <c r="I1459" s="74" t="str">
        <f aca="false">IF(B1459="","",IF(ISNUMBER(H1459),H1459,N(G1459)))</f>
        <v/>
      </c>
      <c r="J1459" s="64"/>
      <c r="K1459" s="64"/>
      <c r="L1459" s="93" t="str">
        <f aca="false">IF(NOT(ISNUMBER(D1459)),"",DATE(YEAR(D1459),MONTH(D1459),1))</f>
        <v/>
      </c>
      <c r="M1459" s="70" t="str">
        <f aca="false">IF(B1459="","",IF(AND(ISNUMBER(D1459),ISNUMBER(E1459),E1459&lt;D1459),"⚠ Término anterior al inicio",IF(J1459&lt;&gt;"Sí","Pendiente comprobante firmado","OK")))</f>
        <v/>
      </c>
    </row>
    <row r="1460" customFormat="false" ht="15" hidden="false" customHeight="false" outlineLevel="0" collapsed="false">
      <c r="B1460" s="64"/>
      <c r="C1460" s="72" t="str">
        <f aca="false">IF(B1460="","",IFERROR(INDEX(T_NOMBRE,MATCH(B1460,T_ID,0)),"⚠ ID no existe"))</f>
        <v/>
      </c>
      <c r="D1460" s="65"/>
      <c r="E1460" s="65"/>
      <c r="F1460" s="64"/>
      <c r="G1460" s="74" t="str">
        <f aca="false">IF(OR(B1460="",NOT(ISNUMBER(D1460)),NOT(ISNUMBER(E1460))),"",NETWORKDAYS(D1460,E1460,FERIADOS))</f>
        <v/>
      </c>
      <c r="H1460" s="69"/>
      <c r="I1460" s="74" t="str">
        <f aca="false">IF(B1460="","",IF(ISNUMBER(H1460),H1460,N(G1460)))</f>
        <v/>
      </c>
      <c r="J1460" s="64"/>
      <c r="K1460" s="64"/>
      <c r="L1460" s="93" t="str">
        <f aca="false">IF(NOT(ISNUMBER(D1460)),"",DATE(YEAR(D1460),MONTH(D1460),1))</f>
        <v/>
      </c>
      <c r="M1460" s="70" t="str">
        <f aca="false">IF(B1460="","",IF(AND(ISNUMBER(D1460),ISNUMBER(E1460),E1460&lt;D1460),"⚠ Término anterior al inicio",IF(J1460&lt;&gt;"Sí","Pendiente comprobante firmado","OK")))</f>
        <v/>
      </c>
    </row>
    <row r="1461" customFormat="false" ht="15" hidden="false" customHeight="false" outlineLevel="0" collapsed="false">
      <c r="B1461" s="64"/>
      <c r="C1461" s="72" t="str">
        <f aca="false">IF(B1461="","",IFERROR(INDEX(T_NOMBRE,MATCH(B1461,T_ID,0)),"⚠ ID no existe"))</f>
        <v/>
      </c>
      <c r="D1461" s="65"/>
      <c r="E1461" s="65"/>
      <c r="F1461" s="64"/>
      <c r="G1461" s="74" t="str">
        <f aca="false">IF(OR(B1461="",NOT(ISNUMBER(D1461)),NOT(ISNUMBER(E1461))),"",NETWORKDAYS(D1461,E1461,FERIADOS))</f>
        <v/>
      </c>
      <c r="H1461" s="69"/>
      <c r="I1461" s="74" t="str">
        <f aca="false">IF(B1461="","",IF(ISNUMBER(H1461),H1461,N(G1461)))</f>
        <v/>
      </c>
      <c r="J1461" s="64"/>
      <c r="K1461" s="64"/>
      <c r="L1461" s="93" t="str">
        <f aca="false">IF(NOT(ISNUMBER(D1461)),"",DATE(YEAR(D1461),MONTH(D1461),1))</f>
        <v/>
      </c>
      <c r="M1461" s="70" t="str">
        <f aca="false">IF(B1461="","",IF(AND(ISNUMBER(D1461),ISNUMBER(E1461),E1461&lt;D1461),"⚠ Término anterior al inicio",IF(J1461&lt;&gt;"Sí","Pendiente comprobante firmado","OK")))</f>
        <v/>
      </c>
    </row>
    <row r="1462" customFormat="false" ht="15" hidden="false" customHeight="false" outlineLevel="0" collapsed="false">
      <c r="B1462" s="64"/>
      <c r="C1462" s="72" t="str">
        <f aca="false">IF(B1462="","",IFERROR(INDEX(T_NOMBRE,MATCH(B1462,T_ID,0)),"⚠ ID no existe"))</f>
        <v/>
      </c>
      <c r="D1462" s="65"/>
      <c r="E1462" s="65"/>
      <c r="F1462" s="64"/>
      <c r="G1462" s="74" t="str">
        <f aca="false">IF(OR(B1462="",NOT(ISNUMBER(D1462)),NOT(ISNUMBER(E1462))),"",NETWORKDAYS(D1462,E1462,FERIADOS))</f>
        <v/>
      </c>
      <c r="H1462" s="69"/>
      <c r="I1462" s="74" t="str">
        <f aca="false">IF(B1462="","",IF(ISNUMBER(H1462),H1462,N(G1462)))</f>
        <v/>
      </c>
      <c r="J1462" s="64"/>
      <c r="K1462" s="64"/>
      <c r="L1462" s="93" t="str">
        <f aca="false">IF(NOT(ISNUMBER(D1462)),"",DATE(YEAR(D1462),MONTH(D1462),1))</f>
        <v/>
      </c>
      <c r="M1462" s="70" t="str">
        <f aca="false">IF(B1462="","",IF(AND(ISNUMBER(D1462),ISNUMBER(E1462),E1462&lt;D1462),"⚠ Término anterior al inicio",IF(J1462&lt;&gt;"Sí","Pendiente comprobante firmado","OK")))</f>
        <v/>
      </c>
    </row>
    <row r="1463" customFormat="false" ht="15" hidden="false" customHeight="false" outlineLevel="0" collapsed="false">
      <c r="B1463" s="64"/>
      <c r="C1463" s="72" t="str">
        <f aca="false">IF(B1463="","",IFERROR(INDEX(T_NOMBRE,MATCH(B1463,T_ID,0)),"⚠ ID no existe"))</f>
        <v/>
      </c>
      <c r="D1463" s="65"/>
      <c r="E1463" s="65"/>
      <c r="F1463" s="64"/>
      <c r="G1463" s="74" t="str">
        <f aca="false">IF(OR(B1463="",NOT(ISNUMBER(D1463)),NOT(ISNUMBER(E1463))),"",NETWORKDAYS(D1463,E1463,FERIADOS))</f>
        <v/>
      </c>
      <c r="H1463" s="69"/>
      <c r="I1463" s="74" t="str">
        <f aca="false">IF(B1463="","",IF(ISNUMBER(H1463),H1463,N(G1463)))</f>
        <v/>
      </c>
      <c r="J1463" s="64"/>
      <c r="K1463" s="64"/>
      <c r="L1463" s="93" t="str">
        <f aca="false">IF(NOT(ISNUMBER(D1463)),"",DATE(YEAR(D1463),MONTH(D1463),1))</f>
        <v/>
      </c>
      <c r="M1463" s="70" t="str">
        <f aca="false">IF(B1463="","",IF(AND(ISNUMBER(D1463),ISNUMBER(E1463),E1463&lt;D1463),"⚠ Término anterior al inicio",IF(J1463&lt;&gt;"Sí","Pendiente comprobante firmado","OK")))</f>
        <v/>
      </c>
    </row>
    <row r="1464" customFormat="false" ht="15" hidden="false" customHeight="false" outlineLevel="0" collapsed="false">
      <c r="B1464" s="64"/>
      <c r="C1464" s="72" t="str">
        <f aca="false">IF(B1464="","",IFERROR(INDEX(T_NOMBRE,MATCH(B1464,T_ID,0)),"⚠ ID no existe"))</f>
        <v/>
      </c>
      <c r="D1464" s="65"/>
      <c r="E1464" s="65"/>
      <c r="F1464" s="64"/>
      <c r="G1464" s="74" t="str">
        <f aca="false">IF(OR(B1464="",NOT(ISNUMBER(D1464)),NOT(ISNUMBER(E1464))),"",NETWORKDAYS(D1464,E1464,FERIADOS))</f>
        <v/>
      </c>
      <c r="H1464" s="69"/>
      <c r="I1464" s="74" t="str">
        <f aca="false">IF(B1464="","",IF(ISNUMBER(H1464),H1464,N(G1464)))</f>
        <v/>
      </c>
      <c r="J1464" s="64"/>
      <c r="K1464" s="64"/>
      <c r="L1464" s="93" t="str">
        <f aca="false">IF(NOT(ISNUMBER(D1464)),"",DATE(YEAR(D1464),MONTH(D1464),1))</f>
        <v/>
      </c>
      <c r="M1464" s="70" t="str">
        <f aca="false">IF(B1464="","",IF(AND(ISNUMBER(D1464),ISNUMBER(E1464),E1464&lt;D1464),"⚠ Término anterior al inicio",IF(J1464&lt;&gt;"Sí","Pendiente comprobante firmado","OK")))</f>
        <v/>
      </c>
    </row>
    <row r="1465" customFormat="false" ht="15" hidden="false" customHeight="false" outlineLevel="0" collapsed="false">
      <c r="B1465" s="64"/>
      <c r="C1465" s="72" t="str">
        <f aca="false">IF(B1465="","",IFERROR(INDEX(T_NOMBRE,MATCH(B1465,T_ID,0)),"⚠ ID no existe"))</f>
        <v/>
      </c>
      <c r="D1465" s="65"/>
      <c r="E1465" s="65"/>
      <c r="F1465" s="64"/>
      <c r="G1465" s="74" t="str">
        <f aca="false">IF(OR(B1465="",NOT(ISNUMBER(D1465)),NOT(ISNUMBER(E1465))),"",NETWORKDAYS(D1465,E1465,FERIADOS))</f>
        <v/>
      </c>
      <c r="H1465" s="69"/>
      <c r="I1465" s="74" t="str">
        <f aca="false">IF(B1465="","",IF(ISNUMBER(H1465),H1465,N(G1465)))</f>
        <v/>
      </c>
      <c r="J1465" s="64"/>
      <c r="K1465" s="64"/>
      <c r="L1465" s="93" t="str">
        <f aca="false">IF(NOT(ISNUMBER(D1465)),"",DATE(YEAR(D1465),MONTH(D1465),1))</f>
        <v/>
      </c>
      <c r="M1465" s="70" t="str">
        <f aca="false">IF(B1465="","",IF(AND(ISNUMBER(D1465),ISNUMBER(E1465),E1465&lt;D1465),"⚠ Término anterior al inicio",IF(J1465&lt;&gt;"Sí","Pendiente comprobante firmado","OK")))</f>
        <v/>
      </c>
    </row>
    <row r="1466" customFormat="false" ht="15" hidden="false" customHeight="false" outlineLevel="0" collapsed="false">
      <c r="B1466" s="64"/>
      <c r="C1466" s="72" t="str">
        <f aca="false">IF(B1466="","",IFERROR(INDEX(T_NOMBRE,MATCH(B1466,T_ID,0)),"⚠ ID no existe"))</f>
        <v/>
      </c>
      <c r="D1466" s="65"/>
      <c r="E1466" s="65"/>
      <c r="F1466" s="64"/>
      <c r="G1466" s="74" t="str">
        <f aca="false">IF(OR(B1466="",NOT(ISNUMBER(D1466)),NOT(ISNUMBER(E1466))),"",NETWORKDAYS(D1466,E1466,FERIADOS))</f>
        <v/>
      </c>
      <c r="H1466" s="69"/>
      <c r="I1466" s="74" t="str">
        <f aca="false">IF(B1466="","",IF(ISNUMBER(H1466),H1466,N(G1466)))</f>
        <v/>
      </c>
      <c r="J1466" s="64"/>
      <c r="K1466" s="64"/>
      <c r="L1466" s="93" t="str">
        <f aca="false">IF(NOT(ISNUMBER(D1466)),"",DATE(YEAR(D1466),MONTH(D1466),1))</f>
        <v/>
      </c>
      <c r="M1466" s="70" t="str">
        <f aca="false">IF(B1466="","",IF(AND(ISNUMBER(D1466),ISNUMBER(E1466),E1466&lt;D1466),"⚠ Término anterior al inicio",IF(J1466&lt;&gt;"Sí","Pendiente comprobante firmado","OK")))</f>
        <v/>
      </c>
    </row>
    <row r="1467" customFormat="false" ht="15" hidden="false" customHeight="false" outlineLevel="0" collapsed="false">
      <c r="B1467" s="64"/>
      <c r="C1467" s="72" t="str">
        <f aca="false">IF(B1467="","",IFERROR(INDEX(T_NOMBRE,MATCH(B1467,T_ID,0)),"⚠ ID no existe"))</f>
        <v/>
      </c>
      <c r="D1467" s="65"/>
      <c r="E1467" s="65"/>
      <c r="F1467" s="64"/>
      <c r="G1467" s="74" t="str">
        <f aca="false">IF(OR(B1467="",NOT(ISNUMBER(D1467)),NOT(ISNUMBER(E1467))),"",NETWORKDAYS(D1467,E1467,FERIADOS))</f>
        <v/>
      </c>
      <c r="H1467" s="69"/>
      <c r="I1467" s="74" t="str">
        <f aca="false">IF(B1467="","",IF(ISNUMBER(H1467),H1467,N(G1467)))</f>
        <v/>
      </c>
      <c r="J1467" s="64"/>
      <c r="K1467" s="64"/>
      <c r="L1467" s="93" t="str">
        <f aca="false">IF(NOT(ISNUMBER(D1467)),"",DATE(YEAR(D1467),MONTH(D1467),1))</f>
        <v/>
      </c>
      <c r="M1467" s="70" t="str">
        <f aca="false">IF(B1467="","",IF(AND(ISNUMBER(D1467),ISNUMBER(E1467),E1467&lt;D1467),"⚠ Término anterior al inicio",IF(J1467&lt;&gt;"Sí","Pendiente comprobante firmado","OK")))</f>
        <v/>
      </c>
    </row>
    <row r="1468" customFormat="false" ht="15" hidden="false" customHeight="false" outlineLevel="0" collapsed="false">
      <c r="B1468" s="64"/>
      <c r="C1468" s="72" t="str">
        <f aca="false">IF(B1468="","",IFERROR(INDEX(T_NOMBRE,MATCH(B1468,T_ID,0)),"⚠ ID no existe"))</f>
        <v/>
      </c>
      <c r="D1468" s="65"/>
      <c r="E1468" s="65"/>
      <c r="F1468" s="64"/>
      <c r="G1468" s="74" t="str">
        <f aca="false">IF(OR(B1468="",NOT(ISNUMBER(D1468)),NOT(ISNUMBER(E1468))),"",NETWORKDAYS(D1468,E1468,FERIADOS))</f>
        <v/>
      </c>
      <c r="H1468" s="69"/>
      <c r="I1468" s="74" t="str">
        <f aca="false">IF(B1468="","",IF(ISNUMBER(H1468),H1468,N(G1468)))</f>
        <v/>
      </c>
      <c r="J1468" s="64"/>
      <c r="K1468" s="64"/>
      <c r="L1468" s="93" t="str">
        <f aca="false">IF(NOT(ISNUMBER(D1468)),"",DATE(YEAR(D1468),MONTH(D1468),1))</f>
        <v/>
      </c>
      <c r="M1468" s="70" t="str">
        <f aca="false">IF(B1468="","",IF(AND(ISNUMBER(D1468),ISNUMBER(E1468),E1468&lt;D1468),"⚠ Término anterior al inicio",IF(J1468&lt;&gt;"Sí","Pendiente comprobante firmado","OK")))</f>
        <v/>
      </c>
    </row>
    <row r="1469" customFormat="false" ht="15" hidden="false" customHeight="false" outlineLevel="0" collapsed="false">
      <c r="B1469" s="64"/>
      <c r="C1469" s="72" t="str">
        <f aca="false">IF(B1469="","",IFERROR(INDEX(T_NOMBRE,MATCH(B1469,T_ID,0)),"⚠ ID no existe"))</f>
        <v/>
      </c>
      <c r="D1469" s="65"/>
      <c r="E1469" s="65"/>
      <c r="F1469" s="64"/>
      <c r="G1469" s="74" t="str">
        <f aca="false">IF(OR(B1469="",NOT(ISNUMBER(D1469)),NOT(ISNUMBER(E1469))),"",NETWORKDAYS(D1469,E1469,FERIADOS))</f>
        <v/>
      </c>
      <c r="H1469" s="69"/>
      <c r="I1469" s="74" t="str">
        <f aca="false">IF(B1469="","",IF(ISNUMBER(H1469),H1469,N(G1469)))</f>
        <v/>
      </c>
      <c r="J1469" s="64"/>
      <c r="K1469" s="64"/>
      <c r="L1469" s="93" t="str">
        <f aca="false">IF(NOT(ISNUMBER(D1469)),"",DATE(YEAR(D1469),MONTH(D1469),1))</f>
        <v/>
      </c>
      <c r="M1469" s="70" t="str">
        <f aca="false">IF(B1469="","",IF(AND(ISNUMBER(D1469),ISNUMBER(E1469),E1469&lt;D1469),"⚠ Término anterior al inicio",IF(J1469&lt;&gt;"Sí","Pendiente comprobante firmado","OK")))</f>
        <v/>
      </c>
    </row>
    <row r="1470" customFormat="false" ht="15" hidden="false" customHeight="false" outlineLevel="0" collapsed="false">
      <c r="B1470" s="64"/>
      <c r="C1470" s="72" t="str">
        <f aca="false">IF(B1470="","",IFERROR(INDEX(T_NOMBRE,MATCH(B1470,T_ID,0)),"⚠ ID no existe"))</f>
        <v/>
      </c>
      <c r="D1470" s="65"/>
      <c r="E1470" s="65"/>
      <c r="F1470" s="64"/>
      <c r="G1470" s="74" t="str">
        <f aca="false">IF(OR(B1470="",NOT(ISNUMBER(D1470)),NOT(ISNUMBER(E1470))),"",NETWORKDAYS(D1470,E1470,FERIADOS))</f>
        <v/>
      </c>
      <c r="H1470" s="69"/>
      <c r="I1470" s="74" t="str">
        <f aca="false">IF(B1470="","",IF(ISNUMBER(H1470),H1470,N(G1470)))</f>
        <v/>
      </c>
      <c r="J1470" s="64"/>
      <c r="K1470" s="64"/>
      <c r="L1470" s="93" t="str">
        <f aca="false">IF(NOT(ISNUMBER(D1470)),"",DATE(YEAR(D1470),MONTH(D1470),1))</f>
        <v/>
      </c>
      <c r="M1470" s="70" t="str">
        <f aca="false">IF(B1470="","",IF(AND(ISNUMBER(D1470),ISNUMBER(E1470),E1470&lt;D1470),"⚠ Término anterior al inicio",IF(J1470&lt;&gt;"Sí","Pendiente comprobante firmado","OK")))</f>
        <v/>
      </c>
    </row>
    <row r="1471" customFormat="false" ht="15" hidden="false" customHeight="false" outlineLevel="0" collapsed="false">
      <c r="B1471" s="64"/>
      <c r="C1471" s="72" t="str">
        <f aca="false">IF(B1471="","",IFERROR(INDEX(T_NOMBRE,MATCH(B1471,T_ID,0)),"⚠ ID no existe"))</f>
        <v/>
      </c>
      <c r="D1471" s="65"/>
      <c r="E1471" s="65"/>
      <c r="F1471" s="64"/>
      <c r="G1471" s="74" t="str">
        <f aca="false">IF(OR(B1471="",NOT(ISNUMBER(D1471)),NOT(ISNUMBER(E1471))),"",NETWORKDAYS(D1471,E1471,FERIADOS))</f>
        <v/>
      </c>
      <c r="H1471" s="69"/>
      <c r="I1471" s="74" t="str">
        <f aca="false">IF(B1471="","",IF(ISNUMBER(H1471),H1471,N(G1471)))</f>
        <v/>
      </c>
      <c r="J1471" s="64"/>
      <c r="K1471" s="64"/>
      <c r="L1471" s="93" t="str">
        <f aca="false">IF(NOT(ISNUMBER(D1471)),"",DATE(YEAR(D1471),MONTH(D1471),1))</f>
        <v/>
      </c>
      <c r="M1471" s="70" t="str">
        <f aca="false">IF(B1471="","",IF(AND(ISNUMBER(D1471),ISNUMBER(E1471),E1471&lt;D1471),"⚠ Término anterior al inicio",IF(J1471&lt;&gt;"Sí","Pendiente comprobante firmado","OK")))</f>
        <v/>
      </c>
    </row>
    <row r="1472" customFormat="false" ht="15" hidden="false" customHeight="false" outlineLevel="0" collapsed="false">
      <c r="B1472" s="64"/>
      <c r="C1472" s="72" t="str">
        <f aca="false">IF(B1472="","",IFERROR(INDEX(T_NOMBRE,MATCH(B1472,T_ID,0)),"⚠ ID no existe"))</f>
        <v/>
      </c>
      <c r="D1472" s="65"/>
      <c r="E1472" s="65"/>
      <c r="F1472" s="64"/>
      <c r="G1472" s="74" t="str">
        <f aca="false">IF(OR(B1472="",NOT(ISNUMBER(D1472)),NOT(ISNUMBER(E1472))),"",NETWORKDAYS(D1472,E1472,FERIADOS))</f>
        <v/>
      </c>
      <c r="H1472" s="69"/>
      <c r="I1472" s="74" t="str">
        <f aca="false">IF(B1472="","",IF(ISNUMBER(H1472),H1472,N(G1472)))</f>
        <v/>
      </c>
      <c r="J1472" s="64"/>
      <c r="K1472" s="64"/>
      <c r="L1472" s="93" t="str">
        <f aca="false">IF(NOT(ISNUMBER(D1472)),"",DATE(YEAR(D1472),MONTH(D1472),1))</f>
        <v/>
      </c>
      <c r="M1472" s="70" t="str">
        <f aca="false">IF(B1472="","",IF(AND(ISNUMBER(D1472),ISNUMBER(E1472),E1472&lt;D1472),"⚠ Término anterior al inicio",IF(J1472&lt;&gt;"Sí","Pendiente comprobante firmado","OK")))</f>
        <v/>
      </c>
    </row>
    <row r="1473" customFormat="false" ht="15" hidden="false" customHeight="false" outlineLevel="0" collapsed="false">
      <c r="B1473" s="64"/>
      <c r="C1473" s="72" t="str">
        <f aca="false">IF(B1473="","",IFERROR(INDEX(T_NOMBRE,MATCH(B1473,T_ID,0)),"⚠ ID no existe"))</f>
        <v/>
      </c>
      <c r="D1473" s="65"/>
      <c r="E1473" s="65"/>
      <c r="F1473" s="64"/>
      <c r="G1473" s="74" t="str">
        <f aca="false">IF(OR(B1473="",NOT(ISNUMBER(D1473)),NOT(ISNUMBER(E1473))),"",NETWORKDAYS(D1473,E1473,FERIADOS))</f>
        <v/>
      </c>
      <c r="H1473" s="69"/>
      <c r="I1473" s="74" t="str">
        <f aca="false">IF(B1473="","",IF(ISNUMBER(H1473),H1473,N(G1473)))</f>
        <v/>
      </c>
      <c r="J1473" s="64"/>
      <c r="K1473" s="64"/>
      <c r="L1473" s="93" t="str">
        <f aca="false">IF(NOT(ISNUMBER(D1473)),"",DATE(YEAR(D1473),MONTH(D1473),1))</f>
        <v/>
      </c>
      <c r="M1473" s="70" t="str">
        <f aca="false">IF(B1473="","",IF(AND(ISNUMBER(D1473),ISNUMBER(E1473),E1473&lt;D1473),"⚠ Término anterior al inicio",IF(J1473&lt;&gt;"Sí","Pendiente comprobante firmado","OK")))</f>
        <v/>
      </c>
    </row>
    <row r="1474" customFormat="false" ht="15" hidden="false" customHeight="false" outlineLevel="0" collapsed="false">
      <c r="B1474" s="64"/>
      <c r="C1474" s="72" t="str">
        <f aca="false">IF(B1474="","",IFERROR(INDEX(T_NOMBRE,MATCH(B1474,T_ID,0)),"⚠ ID no existe"))</f>
        <v/>
      </c>
      <c r="D1474" s="65"/>
      <c r="E1474" s="65"/>
      <c r="F1474" s="64"/>
      <c r="G1474" s="74" t="str">
        <f aca="false">IF(OR(B1474="",NOT(ISNUMBER(D1474)),NOT(ISNUMBER(E1474))),"",NETWORKDAYS(D1474,E1474,FERIADOS))</f>
        <v/>
      </c>
      <c r="H1474" s="69"/>
      <c r="I1474" s="74" t="str">
        <f aca="false">IF(B1474="","",IF(ISNUMBER(H1474),H1474,N(G1474)))</f>
        <v/>
      </c>
      <c r="J1474" s="64"/>
      <c r="K1474" s="64"/>
      <c r="L1474" s="93" t="str">
        <f aca="false">IF(NOT(ISNUMBER(D1474)),"",DATE(YEAR(D1474),MONTH(D1474),1))</f>
        <v/>
      </c>
      <c r="M1474" s="70" t="str">
        <f aca="false">IF(B1474="","",IF(AND(ISNUMBER(D1474),ISNUMBER(E1474),E1474&lt;D1474),"⚠ Término anterior al inicio",IF(J1474&lt;&gt;"Sí","Pendiente comprobante firmado","OK")))</f>
        <v/>
      </c>
    </row>
    <row r="1475" customFormat="false" ht="15" hidden="false" customHeight="false" outlineLevel="0" collapsed="false">
      <c r="B1475" s="64"/>
      <c r="C1475" s="72" t="str">
        <f aca="false">IF(B1475="","",IFERROR(INDEX(T_NOMBRE,MATCH(B1475,T_ID,0)),"⚠ ID no existe"))</f>
        <v/>
      </c>
      <c r="D1475" s="65"/>
      <c r="E1475" s="65"/>
      <c r="F1475" s="64"/>
      <c r="G1475" s="74" t="str">
        <f aca="false">IF(OR(B1475="",NOT(ISNUMBER(D1475)),NOT(ISNUMBER(E1475))),"",NETWORKDAYS(D1475,E1475,FERIADOS))</f>
        <v/>
      </c>
      <c r="H1475" s="69"/>
      <c r="I1475" s="74" t="str">
        <f aca="false">IF(B1475="","",IF(ISNUMBER(H1475),H1475,N(G1475)))</f>
        <v/>
      </c>
      <c r="J1475" s="64"/>
      <c r="K1475" s="64"/>
      <c r="L1475" s="93" t="str">
        <f aca="false">IF(NOT(ISNUMBER(D1475)),"",DATE(YEAR(D1475),MONTH(D1475),1))</f>
        <v/>
      </c>
      <c r="M1475" s="70" t="str">
        <f aca="false">IF(B1475="","",IF(AND(ISNUMBER(D1475),ISNUMBER(E1475),E1475&lt;D1475),"⚠ Término anterior al inicio",IF(J1475&lt;&gt;"Sí","Pendiente comprobante firmado","OK")))</f>
        <v/>
      </c>
    </row>
    <row r="1476" customFormat="false" ht="15" hidden="false" customHeight="false" outlineLevel="0" collapsed="false">
      <c r="B1476" s="64"/>
      <c r="C1476" s="72" t="str">
        <f aca="false">IF(B1476="","",IFERROR(INDEX(T_NOMBRE,MATCH(B1476,T_ID,0)),"⚠ ID no existe"))</f>
        <v/>
      </c>
      <c r="D1476" s="65"/>
      <c r="E1476" s="65"/>
      <c r="F1476" s="64"/>
      <c r="G1476" s="74" t="str">
        <f aca="false">IF(OR(B1476="",NOT(ISNUMBER(D1476)),NOT(ISNUMBER(E1476))),"",NETWORKDAYS(D1476,E1476,FERIADOS))</f>
        <v/>
      </c>
      <c r="H1476" s="69"/>
      <c r="I1476" s="74" t="str">
        <f aca="false">IF(B1476="","",IF(ISNUMBER(H1476),H1476,N(G1476)))</f>
        <v/>
      </c>
      <c r="J1476" s="64"/>
      <c r="K1476" s="64"/>
      <c r="L1476" s="93" t="str">
        <f aca="false">IF(NOT(ISNUMBER(D1476)),"",DATE(YEAR(D1476),MONTH(D1476),1))</f>
        <v/>
      </c>
      <c r="M1476" s="70" t="str">
        <f aca="false">IF(B1476="","",IF(AND(ISNUMBER(D1476),ISNUMBER(E1476),E1476&lt;D1476),"⚠ Término anterior al inicio",IF(J1476&lt;&gt;"Sí","Pendiente comprobante firmado","OK")))</f>
        <v/>
      </c>
    </row>
    <row r="1477" customFormat="false" ht="15" hidden="false" customHeight="false" outlineLevel="0" collapsed="false">
      <c r="B1477" s="64"/>
      <c r="C1477" s="72" t="str">
        <f aca="false">IF(B1477="","",IFERROR(INDEX(T_NOMBRE,MATCH(B1477,T_ID,0)),"⚠ ID no existe"))</f>
        <v/>
      </c>
      <c r="D1477" s="65"/>
      <c r="E1477" s="65"/>
      <c r="F1477" s="64"/>
      <c r="G1477" s="74" t="str">
        <f aca="false">IF(OR(B1477="",NOT(ISNUMBER(D1477)),NOT(ISNUMBER(E1477))),"",NETWORKDAYS(D1477,E1477,FERIADOS))</f>
        <v/>
      </c>
      <c r="H1477" s="69"/>
      <c r="I1477" s="74" t="str">
        <f aca="false">IF(B1477="","",IF(ISNUMBER(H1477),H1477,N(G1477)))</f>
        <v/>
      </c>
      <c r="J1477" s="64"/>
      <c r="K1477" s="64"/>
      <c r="L1477" s="93" t="str">
        <f aca="false">IF(NOT(ISNUMBER(D1477)),"",DATE(YEAR(D1477),MONTH(D1477),1))</f>
        <v/>
      </c>
      <c r="M1477" s="70" t="str">
        <f aca="false">IF(B1477="","",IF(AND(ISNUMBER(D1477),ISNUMBER(E1477),E1477&lt;D1477),"⚠ Término anterior al inicio",IF(J1477&lt;&gt;"Sí","Pendiente comprobante firmado","OK")))</f>
        <v/>
      </c>
    </row>
    <row r="1478" customFormat="false" ht="15" hidden="false" customHeight="false" outlineLevel="0" collapsed="false">
      <c r="B1478" s="64"/>
      <c r="C1478" s="72" t="str">
        <f aca="false">IF(B1478="","",IFERROR(INDEX(T_NOMBRE,MATCH(B1478,T_ID,0)),"⚠ ID no existe"))</f>
        <v/>
      </c>
      <c r="D1478" s="65"/>
      <c r="E1478" s="65"/>
      <c r="F1478" s="64"/>
      <c r="G1478" s="74" t="str">
        <f aca="false">IF(OR(B1478="",NOT(ISNUMBER(D1478)),NOT(ISNUMBER(E1478))),"",NETWORKDAYS(D1478,E1478,FERIADOS))</f>
        <v/>
      </c>
      <c r="H1478" s="69"/>
      <c r="I1478" s="74" t="str">
        <f aca="false">IF(B1478="","",IF(ISNUMBER(H1478),H1478,N(G1478)))</f>
        <v/>
      </c>
      <c r="J1478" s="64"/>
      <c r="K1478" s="64"/>
      <c r="L1478" s="93" t="str">
        <f aca="false">IF(NOT(ISNUMBER(D1478)),"",DATE(YEAR(D1478),MONTH(D1478),1))</f>
        <v/>
      </c>
      <c r="M1478" s="70" t="str">
        <f aca="false">IF(B1478="","",IF(AND(ISNUMBER(D1478),ISNUMBER(E1478),E1478&lt;D1478),"⚠ Término anterior al inicio",IF(J1478&lt;&gt;"Sí","Pendiente comprobante firmado","OK")))</f>
        <v/>
      </c>
    </row>
    <row r="1479" customFormat="false" ht="15" hidden="false" customHeight="false" outlineLevel="0" collapsed="false">
      <c r="B1479" s="64"/>
      <c r="C1479" s="72" t="str">
        <f aca="false">IF(B1479="","",IFERROR(INDEX(T_NOMBRE,MATCH(B1479,T_ID,0)),"⚠ ID no existe"))</f>
        <v/>
      </c>
      <c r="D1479" s="65"/>
      <c r="E1479" s="65"/>
      <c r="F1479" s="64"/>
      <c r="G1479" s="74" t="str">
        <f aca="false">IF(OR(B1479="",NOT(ISNUMBER(D1479)),NOT(ISNUMBER(E1479))),"",NETWORKDAYS(D1479,E1479,FERIADOS))</f>
        <v/>
      </c>
      <c r="H1479" s="69"/>
      <c r="I1479" s="74" t="str">
        <f aca="false">IF(B1479="","",IF(ISNUMBER(H1479),H1479,N(G1479)))</f>
        <v/>
      </c>
      <c r="J1479" s="64"/>
      <c r="K1479" s="64"/>
      <c r="L1479" s="93" t="str">
        <f aca="false">IF(NOT(ISNUMBER(D1479)),"",DATE(YEAR(D1479),MONTH(D1479),1))</f>
        <v/>
      </c>
      <c r="M1479" s="70" t="str">
        <f aca="false">IF(B1479="","",IF(AND(ISNUMBER(D1479),ISNUMBER(E1479),E1479&lt;D1479),"⚠ Término anterior al inicio",IF(J1479&lt;&gt;"Sí","Pendiente comprobante firmado","OK")))</f>
        <v/>
      </c>
    </row>
    <row r="1480" customFormat="false" ht="15" hidden="false" customHeight="false" outlineLevel="0" collapsed="false">
      <c r="B1480" s="64"/>
      <c r="C1480" s="72" t="str">
        <f aca="false">IF(B1480="","",IFERROR(INDEX(T_NOMBRE,MATCH(B1480,T_ID,0)),"⚠ ID no existe"))</f>
        <v/>
      </c>
      <c r="D1480" s="65"/>
      <c r="E1480" s="65"/>
      <c r="F1480" s="64"/>
      <c r="G1480" s="74" t="str">
        <f aca="false">IF(OR(B1480="",NOT(ISNUMBER(D1480)),NOT(ISNUMBER(E1480))),"",NETWORKDAYS(D1480,E1480,FERIADOS))</f>
        <v/>
      </c>
      <c r="H1480" s="69"/>
      <c r="I1480" s="74" t="str">
        <f aca="false">IF(B1480="","",IF(ISNUMBER(H1480),H1480,N(G1480)))</f>
        <v/>
      </c>
      <c r="J1480" s="64"/>
      <c r="K1480" s="64"/>
      <c r="L1480" s="93" t="str">
        <f aca="false">IF(NOT(ISNUMBER(D1480)),"",DATE(YEAR(D1480),MONTH(D1480),1))</f>
        <v/>
      </c>
      <c r="M1480" s="70" t="str">
        <f aca="false">IF(B1480="","",IF(AND(ISNUMBER(D1480),ISNUMBER(E1480),E1480&lt;D1480),"⚠ Término anterior al inicio",IF(J1480&lt;&gt;"Sí","Pendiente comprobante firmado","OK")))</f>
        <v/>
      </c>
    </row>
    <row r="1481" customFormat="false" ht="15" hidden="false" customHeight="false" outlineLevel="0" collapsed="false">
      <c r="B1481" s="64"/>
      <c r="C1481" s="72" t="str">
        <f aca="false">IF(B1481="","",IFERROR(INDEX(T_NOMBRE,MATCH(B1481,T_ID,0)),"⚠ ID no existe"))</f>
        <v/>
      </c>
      <c r="D1481" s="65"/>
      <c r="E1481" s="65"/>
      <c r="F1481" s="64"/>
      <c r="G1481" s="74" t="str">
        <f aca="false">IF(OR(B1481="",NOT(ISNUMBER(D1481)),NOT(ISNUMBER(E1481))),"",NETWORKDAYS(D1481,E1481,FERIADOS))</f>
        <v/>
      </c>
      <c r="H1481" s="69"/>
      <c r="I1481" s="74" t="str">
        <f aca="false">IF(B1481="","",IF(ISNUMBER(H1481),H1481,N(G1481)))</f>
        <v/>
      </c>
      <c r="J1481" s="64"/>
      <c r="K1481" s="64"/>
      <c r="L1481" s="93" t="str">
        <f aca="false">IF(NOT(ISNUMBER(D1481)),"",DATE(YEAR(D1481),MONTH(D1481),1))</f>
        <v/>
      </c>
      <c r="M1481" s="70" t="str">
        <f aca="false">IF(B1481="","",IF(AND(ISNUMBER(D1481),ISNUMBER(E1481),E1481&lt;D1481),"⚠ Término anterior al inicio",IF(J1481&lt;&gt;"Sí","Pendiente comprobante firmado","OK")))</f>
        <v/>
      </c>
    </row>
    <row r="1482" customFormat="false" ht="15" hidden="false" customHeight="false" outlineLevel="0" collapsed="false">
      <c r="B1482" s="64"/>
      <c r="C1482" s="72" t="str">
        <f aca="false">IF(B1482="","",IFERROR(INDEX(T_NOMBRE,MATCH(B1482,T_ID,0)),"⚠ ID no existe"))</f>
        <v/>
      </c>
      <c r="D1482" s="65"/>
      <c r="E1482" s="65"/>
      <c r="F1482" s="64"/>
      <c r="G1482" s="74" t="str">
        <f aca="false">IF(OR(B1482="",NOT(ISNUMBER(D1482)),NOT(ISNUMBER(E1482))),"",NETWORKDAYS(D1482,E1482,FERIADOS))</f>
        <v/>
      </c>
      <c r="H1482" s="69"/>
      <c r="I1482" s="74" t="str">
        <f aca="false">IF(B1482="","",IF(ISNUMBER(H1482),H1482,N(G1482)))</f>
        <v/>
      </c>
      <c r="J1482" s="64"/>
      <c r="K1482" s="64"/>
      <c r="L1482" s="93" t="str">
        <f aca="false">IF(NOT(ISNUMBER(D1482)),"",DATE(YEAR(D1482),MONTH(D1482),1))</f>
        <v/>
      </c>
      <c r="M1482" s="70" t="str">
        <f aca="false">IF(B1482="","",IF(AND(ISNUMBER(D1482),ISNUMBER(E1482),E1482&lt;D1482),"⚠ Término anterior al inicio",IF(J1482&lt;&gt;"Sí","Pendiente comprobante firmado","OK")))</f>
        <v/>
      </c>
    </row>
    <row r="1483" customFormat="false" ht="15" hidden="false" customHeight="false" outlineLevel="0" collapsed="false">
      <c r="B1483" s="64"/>
      <c r="C1483" s="72" t="str">
        <f aca="false">IF(B1483="","",IFERROR(INDEX(T_NOMBRE,MATCH(B1483,T_ID,0)),"⚠ ID no existe"))</f>
        <v/>
      </c>
      <c r="D1483" s="65"/>
      <c r="E1483" s="65"/>
      <c r="F1483" s="64"/>
      <c r="G1483" s="74" t="str">
        <f aca="false">IF(OR(B1483="",NOT(ISNUMBER(D1483)),NOT(ISNUMBER(E1483))),"",NETWORKDAYS(D1483,E1483,FERIADOS))</f>
        <v/>
      </c>
      <c r="H1483" s="69"/>
      <c r="I1483" s="74" t="str">
        <f aca="false">IF(B1483="","",IF(ISNUMBER(H1483),H1483,N(G1483)))</f>
        <v/>
      </c>
      <c r="J1483" s="64"/>
      <c r="K1483" s="64"/>
      <c r="L1483" s="93" t="str">
        <f aca="false">IF(NOT(ISNUMBER(D1483)),"",DATE(YEAR(D1483),MONTH(D1483),1))</f>
        <v/>
      </c>
      <c r="M1483" s="70" t="str">
        <f aca="false">IF(B1483="","",IF(AND(ISNUMBER(D1483),ISNUMBER(E1483),E1483&lt;D1483),"⚠ Término anterior al inicio",IF(J1483&lt;&gt;"Sí","Pendiente comprobante firmado","OK")))</f>
        <v/>
      </c>
    </row>
    <row r="1484" customFormat="false" ht="15" hidden="false" customHeight="false" outlineLevel="0" collapsed="false">
      <c r="B1484" s="64"/>
      <c r="C1484" s="72" t="str">
        <f aca="false">IF(B1484="","",IFERROR(INDEX(T_NOMBRE,MATCH(B1484,T_ID,0)),"⚠ ID no existe"))</f>
        <v/>
      </c>
      <c r="D1484" s="65"/>
      <c r="E1484" s="65"/>
      <c r="F1484" s="64"/>
      <c r="G1484" s="74" t="str">
        <f aca="false">IF(OR(B1484="",NOT(ISNUMBER(D1484)),NOT(ISNUMBER(E1484))),"",NETWORKDAYS(D1484,E1484,FERIADOS))</f>
        <v/>
      </c>
      <c r="H1484" s="69"/>
      <c r="I1484" s="74" t="str">
        <f aca="false">IF(B1484="","",IF(ISNUMBER(H1484),H1484,N(G1484)))</f>
        <v/>
      </c>
      <c r="J1484" s="64"/>
      <c r="K1484" s="64"/>
      <c r="L1484" s="93" t="str">
        <f aca="false">IF(NOT(ISNUMBER(D1484)),"",DATE(YEAR(D1484),MONTH(D1484),1))</f>
        <v/>
      </c>
      <c r="M1484" s="70" t="str">
        <f aca="false">IF(B1484="","",IF(AND(ISNUMBER(D1484),ISNUMBER(E1484),E1484&lt;D1484),"⚠ Término anterior al inicio",IF(J1484&lt;&gt;"Sí","Pendiente comprobante firmado","OK")))</f>
        <v/>
      </c>
    </row>
    <row r="1485" customFormat="false" ht="15" hidden="false" customHeight="false" outlineLevel="0" collapsed="false">
      <c r="B1485" s="64"/>
      <c r="C1485" s="72" t="str">
        <f aca="false">IF(B1485="","",IFERROR(INDEX(T_NOMBRE,MATCH(B1485,T_ID,0)),"⚠ ID no existe"))</f>
        <v/>
      </c>
      <c r="D1485" s="65"/>
      <c r="E1485" s="65"/>
      <c r="F1485" s="64"/>
      <c r="G1485" s="74" t="str">
        <f aca="false">IF(OR(B1485="",NOT(ISNUMBER(D1485)),NOT(ISNUMBER(E1485))),"",NETWORKDAYS(D1485,E1485,FERIADOS))</f>
        <v/>
      </c>
      <c r="H1485" s="69"/>
      <c r="I1485" s="74" t="str">
        <f aca="false">IF(B1485="","",IF(ISNUMBER(H1485),H1485,N(G1485)))</f>
        <v/>
      </c>
      <c r="J1485" s="64"/>
      <c r="K1485" s="64"/>
      <c r="L1485" s="93" t="str">
        <f aca="false">IF(NOT(ISNUMBER(D1485)),"",DATE(YEAR(D1485),MONTH(D1485),1))</f>
        <v/>
      </c>
      <c r="M1485" s="70" t="str">
        <f aca="false">IF(B1485="","",IF(AND(ISNUMBER(D1485),ISNUMBER(E1485),E1485&lt;D1485),"⚠ Término anterior al inicio",IF(J1485&lt;&gt;"Sí","Pendiente comprobante firmado","OK")))</f>
        <v/>
      </c>
    </row>
    <row r="1486" customFormat="false" ht="15" hidden="false" customHeight="false" outlineLevel="0" collapsed="false">
      <c r="B1486" s="64"/>
      <c r="C1486" s="72" t="str">
        <f aca="false">IF(B1486="","",IFERROR(INDEX(T_NOMBRE,MATCH(B1486,T_ID,0)),"⚠ ID no existe"))</f>
        <v/>
      </c>
      <c r="D1486" s="65"/>
      <c r="E1486" s="65"/>
      <c r="F1486" s="64"/>
      <c r="G1486" s="74" t="str">
        <f aca="false">IF(OR(B1486="",NOT(ISNUMBER(D1486)),NOT(ISNUMBER(E1486))),"",NETWORKDAYS(D1486,E1486,FERIADOS))</f>
        <v/>
      </c>
      <c r="H1486" s="69"/>
      <c r="I1486" s="74" t="str">
        <f aca="false">IF(B1486="","",IF(ISNUMBER(H1486),H1486,N(G1486)))</f>
        <v/>
      </c>
      <c r="J1486" s="64"/>
      <c r="K1486" s="64"/>
      <c r="L1486" s="93" t="str">
        <f aca="false">IF(NOT(ISNUMBER(D1486)),"",DATE(YEAR(D1486),MONTH(D1486),1))</f>
        <v/>
      </c>
      <c r="M1486" s="70" t="str">
        <f aca="false">IF(B1486="","",IF(AND(ISNUMBER(D1486),ISNUMBER(E1486),E1486&lt;D1486),"⚠ Término anterior al inicio",IF(J1486&lt;&gt;"Sí","Pendiente comprobante firmado","OK")))</f>
        <v/>
      </c>
    </row>
    <row r="1487" customFormat="false" ht="15" hidden="false" customHeight="false" outlineLevel="0" collapsed="false">
      <c r="B1487" s="64"/>
      <c r="C1487" s="72" t="str">
        <f aca="false">IF(B1487="","",IFERROR(INDEX(T_NOMBRE,MATCH(B1487,T_ID,0)),"⚠ ID no existe"))</f>
        <v/>
      </c>
      <c r="D1487" s="65"/>
      <c r="E1487" s="65"/>
      <c r="F1487" s="64"/>
      <c r="G1487" s="74" t="str">
        <f aca="false">IF(OR(B1487="",NOT(ISNUMBER(D1487)),NOT(ISNUMBER(E1487))),"",NETWORKDAYS(D1487,E1487,FERIADOS))</f>
        <v/>
      </c>
      <c r="H1487" s="69"/>
      <c r="I1487" s="74" t="str">
        <f aca="false">IF(B1487="","",IF(ISNUMBER(H1487),H1487,N(G1487)))</f>
        <v/>
      </c>
      <c r="J1487" s="64"/>
      <c r="K1487" s="64"/>
      <c r="L1487" s="93" t="str">
        <f aca="false">IF(NOT(ISNUMBER(D1487)),"",DATE(YEAR(D1487),MONTH(D1487),1))</f>
        <v/>
      </c>
      <c r="M1487" s="70" t="str">
        <f aca="false">IF(B1487="","",IF(AND(ISNUMBER(D1487),ISNUMBER(E1487),E1487&lt;D1487),"⚠ Término anterior al inicio",IF(J1487&lt;&gt;"Sí","Pendiente comprobante firmado","OK")))</f>
        <v/>
      </c>
    </row>
    <row r="1488" customFormat="false" ht="15" hidden="false" customHeight="false" outlineLevel="0" collapsed="false">
      <c r="B1488" s="64"/>
      <c r="C1488" s="72" t="str">
        <f aca="false">IF(B1488="","",IFERROR(INDEX(T_NOMBRE,MATCH(B1488,T_ID,0)),"⚠ ID no existe"))</f>
        <v/>
      </c>
      <c r="D1488" s="65"/>
      <c r="E1488" s="65"/>
      <c r="F1488" s="64"/>
      <c r="G1488" s="74" t="str">
        <f aca="false">IF(OR(B1488="",NOT(ISNUMBER(D1488)),NOT(ISNUMBER(E1488))),"",NETWORKDAYS(D1488,E1488,FERIADOS))</f>
        <v/>
      </c>
      <c r="H1488" s="69"/>
      <c r="I1488" s="74" t="str">
        <f aca="false">IF(B1488="","",IF(ISNUMBER(H1488),H1488,N(G1488)))</f>
        <v/>
      </c>
      <c r="J1488" s="64"/>
      <c r="K1488" s="64"/>
      <c r="L1488" s="93" t="str">
        <f aca="false">IF(NOT(ISNUMBER(D1488)),"",DATE(YEAR(D1488),MONTH(D1488),1))</f>
        <v/>
      </c>
      <c r="M1488" s="70" t="str">
        <f aca="false">IF(B1488="","",IF(AND(ISNUMBER(D1488),ISNUMBER(E1488),E1488&lt;D1488),"⚠ Término anterior al inicio",IF(J1488&lt;&gt;"Sí","Pendiente comprobante firmado","OK")))</f>
        <v/>
      </c>
    </row>
    <row r="1489" customFormat="false" ht="15" hidden="false" customHeight="false" outlineLevel="0" collapsed="false">
      <c r="B1489" s="64"/>
      <c r="C1489" s="72" t="str">
        <f aca="false">IF(B1489="","",IFERROR(INDEX(T_NOMBRE,MATCH(B1489,T_ID,0)),"⚠ ID no existe"))</f>
        <v/>
      </c>
      <c r="D1489" s="65"/>
      <c r="E1489" s="65"/>
      <c r="F1489" s="64"/>
      <c r="G1489" s="74" t="str">
        <f aca="false">IF(OR(B1489="",NOT(ISNUMBER(D1489)),NOT(ISNUMBER(E1489))),"",NETWORKDAYS(D1489,E1489,FERIADOS))</f>
        <v/>
      </c>
      <c r="H1489" s="69"/>
      <c r="I1489" s="74" t="str">
        <f aca="false">IF(B1489="","",IF(ISNUMBER(H1489),H1489,N(G1489)))</f>
        <v/>
      </c>
      <c r="J1489" s="64"/>
      <c r="K1489" s="64"/>
      <c r="L1489" s="93" t="str">
        <f aca="false">IF(NOT(ISNUMBER(D1489)),"",DATE(YEAR(D1489),MONTH(D1489),1))</f>
        <v/>
      </c>
      <c r="M1489" s="70" t="str">
        <f aca="false">IF(B1489="","",IF(AND(ISNUMBER(D1489),ISNUMBER(E1489),E1489&lt;D1489),"⚠ Término anterior al inicio",IF(J1489&lt;&gt;"Sí","Pendiente comprobante firmado","OK")))</f>
        <v/>
      </c>
    </row>
    <row r="1490" customFormat="false" ht="15" hidden="false" customHeight="false" outlineLevel="0" collapsed="false">
      <c r="B1490" s="64"/>
      <c r="C1490" s="72" t="str">
        <f aca="false">IF(B1490="","",IFERROR(INDEX(T_NOMBRE,MATCH(B1490,T_ID,0)),"⚠ ID no existe"))</f>
        <v/>
      </c>
      <c r="D1490" s="65"/>
      <c r="E1490" s="65"/>
      <c r="F1490" s="64"/>
      <c r="G1490" s="74" t="str">
        <f aca="false">IF(OR(B1490="",NOT(ISNUMBER(D1490)),NOT(ISNUMBER(E1490))),"",NETWORKDAYS(D1490,E1490,FERIADOS))</f>
        <v/>
      </c>
      <c r="H1490" s="69"/>
      <c r="I1490" s="74" t="str">
        <f aca="false">IF(B1490="","",IF(ISNUMBER(H1490),H1490,N(G1490)))</f>
        <v/>
      </c>
      <c r="J1490" s="64"/>
      <c r="K1490" s="64"/>
      <c r="L1490" s="93" t="str">
        <f aca="false">IF(NOT(ISNUMBER(D1490)),"",DATE(YEAR(D1490),MONTH(D1490),1))</f>
        <v/>
      </c>
      <c r="M1490" s="70" t="str">
        <f aca="false">IF(B1490="","",IF(AND(ISNUMBER(D1490),ISNUMBER(E1490),E1490&lt;D1490),"⚠ Término anterior al inicio",IF(J1490&lt;&gt;"Sí","Pendiente comprobante firmado","OK")))</f>
        <v/>
      </c>
    </row>
    <row r="1491" customFormat="false" ht="15" hidden="false" customHeight="false" outlineLevel="0" collapsed="false">
      <c r="B1491" s="64"/>
      <c r="C1491" s="72" t="str">
        <f aca="false">IF(B1491="","",IFERROR(INDEX(T_NOMBRE,MATCH(B1491,T_ID,0)),"⚠ ID no existe"))</f>
        <v/>
      </c>
      <c r="D1491" s="65"/>
      <c r="E1491" s="65"/>
      <c r="F1491" s="64"/>
      <c r="G1491" s="74" t="str">
        <f aca="false">IF(OR(B1491="",NOT(ISNUMBER(D1491)),NOT(ISNUMBER(E1491))),"",NETWORKDAYS(D1491,E1491,FERIADOS))</f>
        <v/>
      </c>
      <c r="H1491" s="69"/>
      <c r="I1491" s="74" t="str">
        <f aca="false">IF(B1491="","",IF(ISNUMBER(H1491),H1491,N(G1491)))</f>
        <v/>
      </c>
      <c r="J1491" s="64"/>
      <c r="K1491" s="64"/>
      <c r="L1491" s="93" t="str">
        <f aca="false">IF(NOT(ISNUMBER(D1491)),"",DATE(YEAR(D1491),MONTH(D1491),1))</f>
        <v/>
      </c>
      <c r="M1491" s="70" t="str">
        <f aca="false">IF(B1491="","",IF(AND(ISNUMBER(D1491),ISNUMBER(E1491),E1491&lt;D1491),"⚠ Término anterior al inicio",IF(J1491&lt;&gt;"Sí","Pendiente comprobante firmado","OK")))</f>
        <v/>
      </c>
    </row>
    <row r="1492" customFormat="false" ht="15" hidden="false" customHeight="false" outlineLevel="0" collapsed="false">
      <c r="B1492" s="64"/>
      <c r="C1492" s="72" t="str">
        <f aca="false">IF(B1492="","",IFERROR(INDEX(T_NOMBRE,MATCH(B1492,T_ID,0)),"⚠ ID no existe"))</f>
        <v/>
      </c>
      <c r="D1492" s="65"/>
      <c r="E1492" s="65"/>
      <c r="F1492" s="64"/>
      <c r="G1492" s="74" t="str">
        <f aca="false">IF(OR(B1492="",NOT(ISNUMBER(D1492)),NOT(ISNUMBER(E1492))),"",NETWORKDAYS(D1492,E1492,FERIADOS))</f>
        <v/>
      </c>
      <c r="H1492" s="69"/>
      <c r="I1492" s="74" t="str">
        <f aca="false">IF(B1492="","",IF(ISNUMBER(H1492),H1492,N(G1492)))</f>
        <v/>
      </c>
      <c r="J1492" s="64"/>
      <c r="K1492" s="64"/>
      <c r="L1492" s="93" t="str">
        <f aca="false">IF(NOT(ISNUMBER(D1492)),"",DATE(YEAR(D1492),MONTH(D1492),1))</f>
        <v/>
      </c>
      <c r="M1492" s="70" t="str">
        <f aca="false">IF(B1492="","",IF(AND(ISNUMBER(D1492),ISNUMBER(E1492),E1492&lt;D1492),"⚠ Término anterior al inicio",IF(J1492&lt;&gt;"Sí","Pendiente comprobante firmado","OK")))</f>
        <v/>
      </c>
    </row>
    <row r="1493" customFormat="false" ht="15" hidden="false" customHeight="false" outlineLevel="0" collapsed="false">
      <c r="B1493" s="64"/>
      <c r="C1493" s="72" t="str">
        <f aca="false">IF(B1493="","",IFERROR(INDEX(T_NOMBRE,MATCH(B1493,T_ID,0)),"⚠ ID no existe"))</f>
        <v/>
      </c>
      <c r="D1493" s="65"/>
      <c r="E1493" s="65"/>
      <c r="F1493" s="64"/>
      <c r="G1493" s="74" t="str">
        <f aca="false">IF(OR(B1493="",NOT(ISNUMBER(D1493)),NOT(ISNUMBER(E1493))),"",NETWORKDAYS(D1493,E1493,FERIADOS))</f>
        <v/>
      </c>
      <c r="H1493" s="69"/>
      <c r="I1493" s="74" t="str">
        <f aca="false">IF(B1493="","",IF(ISNUMBER(H1493),H1493,N(G1493)))</f>
        <v/>
      </c>
      <c r="J1493" s="64"/>
      <c r="K1493" s="64"/>
      <c r="L1493" s="93" t="str">
        <f aca="false">IF(NOT(ISNUMBER(D1493)),"",DATE(YEAR(D1493),MONTH(D1493),1))</f>
        <v/>
      </c>
      <c r="M1493" s="70" t="str">
        <f aca="false">IF(B1493="","",IF(AND(ISNUMBER(D1493),ISNUMBER(E1493),E1493&lt;D1493),"⚠ Término anterior al inicio",IF(J1493&lt;&gt;"Sí","Pendiente comprobante firmado","OK")))</f>
        <v/>
      </c>
    </row>
    <row r="1494" customFormat="false" ht="15" hidden="false" customHeight="false" outlineLevel="0" collapsed="false">
      <c r="B1494" s="64"/>
      <c r="C1494" s="72" t="str">
        <f aca="false">IF(B1494="","",IFERROR(INDEX(T_NOMBRE,MATCH(B1494,T_ID,0)),"⚠ ID no existe"))</f>
        <v/>
      </c>
      <c r="D1494" s="65"/>
      <c r="E1494" s="65"/>
      <c r="F1494" s="64"/>
      <c r="G1494" s="74" t="str">
        <f aca="false">IF(OR(B1494="",NOT(ISNUMBER(D1494)),NOT(ISNUMBER(E1494))),"",NETWORKDAYS(D1494,E1494,FERIADOS))</f>
        <v/>
      </c>
      <c r="H1494" s="69"/>
      <c r="I1494" s="74" t="str">
        <f aca="false">IF(B1494="","",IF(ISNUMBER(H1494),H1494,N(G1494)))</f>
        <v/>
      </c>
      <c r="J1494" s="64"/>
      <c r="K1494" s="64"/>
      <c r="L1494" s="93" t="str">
        <f aca="false">IF(NOT(ISNUMBER(D1494)),"",DATE(YEAR(D1494),MONTH(D1494),1))</f>
        <v/>
      </c>
      <c r="M1494" s="70" t="str">
        <f aca="false">IF(B1494="","",IF(AND(ISNUMBER(D1494),ISNUMBER(E1494),E1494&lt;D1494),"⚠ Término anterior al inicio",IF(J1494&lt;&gt;"Sí","Pendiente comprobante firmado","OK")))</f>
        <v/>
      </c>
    </row>
    <row r="1495" customFormat="false" ht="15" hidden="false" customHeight="false" outlineLevel="0" collapsed="false">
      <c r="B1495" s="64"/>
      <c r="C1495" s="72" t="str">
        <f aca="false">IF(B1495="","",IFERROR(INDEX(T_NOMBRE,MATCH(B1495,T_ID,0)),"⚠ ID no existe"))</f>
        <v/>
      </c>
      <c r="D1495" s="65"/>
      <c r="E1495" s="65"/>
      <c r="F1495" s="64"/>
      <c r="G1495" s="74" t="str">
        <f aca="false">IF(OR(B1495="",NOT(ISNUMBER(D1495)),NOT(ISNUMBER(E1495))),"",NETWORKDAYS(D1495,E1495,FERIADOS))</f>
        <v/>
      </c>
      <c r="H1495" s="69"/>
      <c r="I1495" s="74" t="str">
        <f aca="false">IF(B1495="","",IF(ISNUMBER(H1495),H1495,N(G1495)))</f>
        <v/>
      </c>
      <c r="J1495" s="64"/>
      <c r="K1495" s="64"/>
      <c r="L1495" s="93" t="str">
        <f aca="false">IF(NOT(ISNUMBER(D1495)),"",DATE(YEAR(D1495),MONTH(D1495),1))</f>
        <v/>
      </c>
      <c r="M1495" s="70" t="str">
        <f aca="false">IF(B1495="","",IF(AND(ISNUMBER(D1495),ISNUMBER(E1495),E1495&lt;D1495),"⚠ Término anterior al inicio",IF(J1495&lt;&gt;"Sí","Pendiente comprobante firmado","OK")))</f>
        <v/>
      </c>
    </row>
    <row r="1496" customFormat="false" ht="15" hidden="false" customHeight="false" outlineLevel="0" collapsed="false">
      <c r="B1496" s="64"/>
      <c r="C1496" s="72" t="str">
        <f aca="false">IF(B1496="","",IFERROR(INDEX(T_NOMBRE,MATCH(B1496,T_ID,0)),"⚠ ID no existe"))</f>
        <v/>
      </c>
      <c r="D1496" s="65"/>
      <c r="E1496" s="65"/>
      <c r="F1496" s="64"/>
      <c r="G1496" s="74" t="str">
        <f aca="false">IF(OR(B1496="",NOT(ISNUMBER(D1496)),NOT(ISNUMBER(E1496))),"",NETWORKDAYS(D1496,E1496,FERIADOS))</f>
        <v/>
      </c>
      <c r="H1496" s="69"/>
      <c r="I1496" s="74" t="str">
        <f aca="false">IF(B1496="","",IF(ISNUMBER(H1496),H1496,N(G1496)))</f>
        <v/>
      </c>
      <c r="J1496" s="64"/>
      <c r="K1496" s="64"/>
      <c r="L1496" s="93" t="str">
        <f aca="false">IF(NOT(ISNUMBER(D1496)),"",DATE(YEAR(D1496),MONTH(D1496),1))</f>
        <v/>
      </c>
      <c r="M1496" s="70" t="str">
        <f aca="false">IF(B1496="","",IF(AND(ISNUMBER(D1496),ISNUMBER(E1496),E1496&lt;D1496),"⚠ Término anterior al inicio",IF(J1496&lt;&gt;"Sí","Pendiente comprobante firmado","OK")))</f>
        <v/>
      </c>
    </row>
    <row r="1497" customFormat="false" ht="15" hidden="false" customHeight="false" outlineLevel="0" collapsed="false">
      <c r="B1497" s="64"/>
      <c r="C1497" s="72" t="str">
        <f aca="false">IF(B1497="","",IFERROR(INDEX(T_NOMBRE,MATCH(B1497,T_ID,0)),"⚠ ID no existe"))</f>
        <v/>
      </c>
      <c r="D1497" s="65"/>
      <c r="E1497" s="65"/>
      <c r="F1497" s="64"/>
      <c r="G1497" s="74" t="str">
        <f aca="false">IF(OR(B1497="",NOT(ISNUMBER(D1497)),NOT(ISNUMBER(E1497))),"",NETWORKDAYS(D1497,E1497,FERIADOS))</f>
        <v/>
      </c>
      <c r="H1497" s="69"/>
      <c r="I1497" s="74" t="str">
        <f aca="false">IF(B1497="","",IF(ISNUMBER(H1497),H1497,N(G1497)))</f>
        <v/>
      </c>
      <c r="J1497" s="64"/>
      <c r="K1497" s="64"/>
      <c r="L1497" s="93" t="str">
        <f aca="false">IF(NOT(ISNUMBER(D1497)),"",DATE(YEAR(D1497),MONTH(D1497),1))</f>
        <v/>
      </c>
      <c r="M1497" s="70" t="str">
        <f aca="false">IF(B1497="","",IF(AND(ISNUMBER(D1497),ISNUMBER(E1497),E1497&lt;D1497),"⚠ Término anterior al inicio",IF(J1497&lt;&gt;"Sí","Pendiente comprobante firmado","OK")))</f>
        <v/>
      </c>
    </row>
    <row r="1498" customFormat="false" ht="15" hidden="false" customHeight="false" outlineLevel="0" collapsed="false">
      <c r="B1498" s="64"/>
      <c r="C1498" s="72" t="str">
        <f aca="false">IF(B1498="","",IFERROR(INDEX(T_NOMBRE,MATCH(B1498,T_ID,0)),"⚠ ID no existe"))</f>
        <v/>
      </c>
      <c r="D1498" s="65"/>
      <c r="E1498" s="65"/>
      <c r="F1498" s="64"/>
      <c r="G1498" s="74" t="str">
        <f aca="false">IF(OR(B1498="",NOT(ISNUMBER(D1498)),NOT(ISNUMBER(E1498))),"",NETWORKDAYS(D1498,E1498,FERIADOS))</f>
        <v/>
      </c>
      <c r="H1498" s="69"/>
      <c r="I1498" s="74" t="str">
        <f aca="false">IF(B1498="","",IF(ISNUMBER(H1498),H1498,N(G1498)))</f>
        <v/>
      </c>
      <c r="J1498" s="64"/>
      <c r="K1498" s="64"/>
      <c r="L1498" s="93" t="str">
        <f aca="false">IF(NOT(ISNUMBER(D1498)),"",DATE(YEAR(D1498),MONTH(D1498),1))</f>
        <v/>
      </c>
      <c r="M1498" s="70" t="str">
        <f aca="false">IF(B1498="","",IF(AND(ISNUMBER(D1498),ISNUMBER(E1498),E1498&lt;D1498),"⚠ Término anterior al inicio",IF(J1498&lt;&gt;"Sí","Pendiente comprobante firmado","OK")))</f>
        <v/>
      </c>
    </row>
    <row r="1499" customFormat="false" ht="15" hidden="false" customHeight="false" outlineLevel="0" collapsed="false">
      <c r="B1499" s="64"/>
      <c r="C1499" s="72" t="str">
        <f aca="false">IF(B1499="","",IFERROR(INDEX(T_NOMBRE,MATCH(B1499,T_ID,0)),"⚠ ID no existe"))</f>
        <v/>
      </c>
      <c r="D1499" s="65"/>
      <c r="E1499" s="65"/>
      <c r="F1499" s="64"/>
      <c r="G1499" s="74" t="str">
        <f aca="false">IF(OR(B1499="",NOT(ISNUMBER(D1499)),NOT(ISNUMBER(E1499))),"",NETWORKDAYS(D1499,E1499,FERIADOS))</f>
        <v/>
      </c>
      <c r="H1499" s="69"/>
      <c r="I1499" s="74" t="str">
        <f aca="false">IF(B1499="","",IF(ISNUMBER(H1499),H1499,N(G1499)))</f>
        <v/>
      </c>
      <c r="J1499" s="64"/>
      <c r="K1499" s="64"/>
      <c r="L1499" s="93" t="str">
        <f aca="false">IF(NOT(ISNUMBER(D1499)),"",DATE(YEAR(D1499),MONTH(D1499),1))</f>
        <v/>
      </c>
      <c r="M1499" s="70" t="str">
        <f aca="false">IF(B1499="","",IF(AND(ISNUMBER(D1499),ISNUMBER(E1499),E1499&lt;D1499),"⚠ Término anterior al inicio",IF(J1499&lt;&gt;"Sí","Pendiente comprobante firmado","OK")))</f>
        <v/>
      </c>
    </row>
    <row r="1500" customFormat="false" ht="15" hidden="false" customHeight="false" outlineLevel="0" collapsed="false">
      <c r="B1500" s="64"/>
      <c r="C1500" s="72" t="str">
        <f aca="false">IF(B1500="","",IFERROR(INDEX(T_NOMBRE,MATCH(B1500,T_ID,0)),"⚠ ID no existe"))</f>
        <v/>
      </c>
      <c r="D1500" s="65"/>
      <c r="E1500" s="65"/>
      <c r="F1500" s="64"/>
      <c r="G1500" s="74" t="str">
        <f aca="false">IF(OR(B1500="",NOT(ISNUMBER(D1500)),NOT(ISNUMBER(E1500))),"",NETWORKDAYS(D1500,E1500,FERIADOS))</f>
        <v/>
      </c>
      <c r="H1500" s="69"/>
      <c r="I1500" s="74" t="str">
        <f aca="false">IF(B1500="","",IF(ISNUMBER(H1500),H1500,N(G1500)))</f>
        <v/>
      </c>
      <c r="J1500" s="64"/>
      <c r="K1500" s="64"/>
      <c r="L1500" s="93" t="str">
        <f aca="false">IF(NOT(ISNUMBER(D1500)),"",DATE(YEAR(D1500),MONTH(D1500),1))</f>
        <v/>
      </c>
      <c r="M1500" s="70" t="str">
        <f aca="false">IF(B1500="","",IF(AND(ISNUMBER(D1500),ISNUMBER(E1500),E1500&lt;D1500),"⚠ Término anterior al inicio",IF(J1500&lt;&gt;"Sí","Pendiente comprobante firmado","OK")))</f>
        <v/>
      </c>
    </row>
    <row r="1501" customFormat="false" ht="15" hidden="false" customHeight="false" outlineLevel="0" collapsed="false">
      <c r="B1501" s="64"/>
      <c r="C1501" s="72" t="str">
        <f aca="false">IF(B1501="","",IFERROR(INDEX(T_NOMBRE,MATCH(B1501,T_ID,0)),"⚠ ID no existe"))</f>
        <v/>
      </c>
      <c r="D1501" s="65"/>
      <c r="E1501" s="65"/>
      <c r="F1501" s="64"/>
      <c r="G1501" s="74" t="str">
        <f aca="false">IF(OR(B1501="",NOT(ISNUMBER(D1501)),NOT(ISNUMBER(E1501))),"",NETWORKDAYS(D1501,E1501,FERIADOS))</f>
        <v/>
      </c>
      <c r="H1501" s="69"/>
      <c r="I1501" s="74" t="str">
        <f aca="false">IF(B1501="","",IF(ISNUMBER(H1501),H1501,N(G1501)))</f>
        <v/>
      </c>
      <c r="J1501" s="64"/>
      <c r="K1501" s="64"/>
      <c r="L1501" s="93" t="str">
        <f aca="false">IF(NOT(ISNUMBER(D1501)),"",DATE(YEAR(D1501),MONTH(D1501),1))</f>
        <v/>
      </c>
      <c r="M1501" s="70" t="str">
        <f aca="false">IF(B1501="","",IF(AND(ISNUMBER(D1501),ISNUMBER(E1501),E1501&lt;D1501),"⚠ Término anterior al inicio",IF(J1501&lt;&gt;"Sí","Pendiente comprobante firmado","OK")))</f>
        <v/>
      </c>
    </row>
    <row r="1502" customFormat="false" ht="15" hidden="false" customHeight="false" outlineLevel="0" collapsed="false">
      <c r="B1502" s="64"/>
      <c r="C1502" s="72" t="str">
        <f aca="false">IF(B1502="","",IFERROR(INDEX(T_NOMBRE,MATCH(B1502,T_ID,0)),"⚠ ID no existe"))</f>
        <v/>
      </c>
      <c r="D1502" s="65"/>
      <c r="E1502" s="65"/>
      <c r="F1502" s="64"/>
      <c r="G1502" s="74" t="str">
        <f aca="false">IF(OR(B1502="",NOT(ISNUMBER(D1502)),NOT(ISNUMBER(E1502))),"",NETWORKDAYS(D1502,E1502,FERIADOS))</f>
        <v/>
      </c>
      <c r="H1502" s="69"/>
      <c r="I1502" s="74" t="str">
        <f aca="false">IF(B1502="","",IF(ISNUMBER(H1502),H1502,N(G1502)))</f>
        <v/>
      </c>
      <c r="J1502" s="64"/>
      <c r="K1502" s="64"/>
      <c r="L1502" s="93" t="str">
        <f aca="false">IF(NOT(ISNUMBER(D1502)),"",DATE(YEAR(D1502),MONTH(D1502),1))</f>
        <v/>
      </c>
      <c r="M1502" s="70" t="str">
        <f aca="false">IF(B1502="","",IF(AND(ISNUMBER(D1502),ISNUMBER(E1502),E1502&lt;D1502),"⚠ Término anterior al inicio",IF(J1502&lt;&gt;"Sí","Pendiente comprobante firmado","OK")))</f>
        <v/>
      </c>
    </row>
    <row r="1503" customFormat="false" ht="15" hidden="false" customHeight="false" outlineLevel="0" collapsed="false">
      <c r="B1503" s="64"/>
      <c r="C1503" s="72" t="str">
        <f aca="false">IF(B1503="","",IFERROR(INDEX(T_NOMBRE,MATCH(B1503,T_ID,0)),"⚠ ID no existe"))</f>
        <v/>
      </c>
      <c r="D1503" s="65"/>
      <c r="E1503" s="65"/>
      <c r="F1503" s="64"/>
      <c r="G1503" s="74" t="str">
        <f aca="false">IF(OR(B1503="",NOT(ISNUMBER(D1503)),NOT(ISNUMBER(E1503))),"",NETWORKDAYS(D1503,E1503,FERIADOS))</f>
        <v/>
      </c>
      <c r="H1503" s="69"/>
      <c r="I1503" s="74" t="str">
        <f aca="false">IF(B1503="","",IF(ISNUMBER(H1503),H1503,N(G1503)))</f>
        <v/>
      </c>
      <c r="J1503" s="64"/>
      <c r="K1503" s="64"/>
      <c r="L1503" s="93" t="str">
        <f aca="false">IF(NOT(ISNUMBER(D1503)),"",DATE(YEAR(D1503),MONTH(D1503),1))</f>
        <v/>
      </c>
      <c r="M1503" s="70" t="str">
        <f aca="false">IF(B1503="","",IF(AND(ISNUMBER(D1503),ISNUMBER(E1503),E1503&lt;D1503),"⚠ Término anterior al inicio",IF(J1503&lt;&gt;"Sí","Pendiente comprobante firmado","OK")))</f>
        <v/>
      </c>
    </row>
    <row r="1504" customFormat="false" ht="15" hidden="false" customHeight="false" outlineLevel="0" collapsed="false">
      <c r="B1504" s="64"/>
      <c r="C1504" s="72" t="str">
        <f aca="false">IF(B1504="","",IFERROR(INDEX(T_NOMBRE,MATCH(B1504,T_ID,0)),"⚠ ID no existe"))</f>
        <v/>
      </c>
      <c r="D1504" s="65"/>
      <c r="E1504" s="65"/>
      <c r="F1504" s="64"/>
      <c r="G1504" s="74" t="str">
        <f aca="false">IF(OR(B1504="",NOT(ISNUMBER(D1504)),NOT(ISNUMBER(E1504))),"",NETWORKDAYS(D1504,E1504,FERIADOS))</f>
        <v/>
      </c>
      <c r="H1504" s="69"/>
      <c r="I1504" s="74" t="str">
        <f aca="false">IF(B1504="","",IF(ISNUMBER(H1504),H1504,N(G1504)))</f>
        <v/>
      </c>
      <c r="J1504" s="64"/>
      <c r="K1504" s="64"/>
      <c r="L1504" s="93" t="str">
        <f aca="false">IF(NOT(ISNUMBER(D1504)),"",DATE(YEAR(D1504),MONTH(D1504),1))</f>
        <v/>
      </c>
      <c r="M1504" s="70" t="str">
        <f aca="false">IF(B1504="","",IF(AND(ISNUMBER(D1504),ISNUMBER(E1504),E1504&lt;D1504),"⚠ Término anterior al inicio",IF(J1504&lt;&gt;"Sí","Pendiente comprobante firmado","OK")))</f>
        <v/>
      </c>
    </row>
    <row r="1505" customFormat="false" ht="15" hidden="false" customHeight="false" outlineLevel="0" collapsed="false">
      <c r="B1505" s="64"/>
      <c r="C1505" s="72" t="str">
        <f aca="false">IF(B1505="","",IFERROR(INDEX(T_NOMBRE,MATCH(B1505,T_ID,0)),"⚠ ID no existe"))</f>
        <v/>
      </c>
      <c r="D1505" s="65"/>
      <c r="E1505" s="65"/>
      <c r="F1505" s="64"/>
      <c r="G1505" s="74" t="str">
        <f aca="false">IF(OR(B1505="",NOT(ISNUMBER(D1505)),NOT(ISNUMBER(E1505))),"",NETWORKDAYS(D1505,E1505,FERIADOS))</f>
        <v/>
      </c>
      <c r="H1505" s="69"/>
      <c r="I1505" s="74" t="str">
        <f aca="false">IF(B1505="","",IF(ISNUMBER(H1505),H1505,N(G1505)))</f>
        <v/>
      </c>
      <c r="J1505" s="64"/>
      <c r="K1505" s="64"/>
      <c r="L1505" s="93" t="str">
        <f aca="false">IF(NOT(ISNUMBER(D1505)),"",DATE(YEAR(D1505),MONTH(D1505),1))</f>
        <v/>
      </c>
      <c r="M1505" s="70" t="str">
        <f aca="false">IF(B1505="","",IF(AND(ISNUMBER(D1505),ISNUMBER(E1505),E1505&lt;D1505),"⚠ Término anterior al inicio",IF(J1505&lt;&gt;"Sí","Pendiente comprobante firmado","OK")))</f>
        <v/>
      </c>
    </row>
    <row r="1506" customFormat="false" ht="15" hidden="false" customHeight="false" outlineLevel="0" collapsed="false">
      <c r="B1506" s="64"/>
      <c r="C1506" s="72" t="str">
        <f aca="false">IF(B1506="","",IFERROR(INDEX(T_NOMBRE,MATCH(B1506,T_ID,0)),"⚠ ID no existe"))</f>
        <v/>
      </c>
      <c r="D1506" s="65"/>
      <c r="E1506" s="65"/>
      <c r="F1506" s="64"/>
      <c r="G1506" s="74" t="str">
        <f aca="false">IF(OR(B1506="",NOT(ISNUMBER(D1506)),NOT(ISNUMBER(E1506))),"",NETWORKDAYS(D1506,E1506,FERIADOS))</f>
        <v/>
      </c>
      <c r="H1506" s="69"/>
      <c r="I1506" s="74" t="str">
        <f aca="false">IF(B1506="","",IF(ISNUMBER(H1506),H1506,N(G1506)))</f>
        <v/>
      </c>
      <c r="J1506" s="64"/>
      <c r="K1506" s="64"/>
      <c r="L1506" s="93" t="str">
        <f aca="false">IF(NOT(ISNUMBER(D1506)),"",DATE(YEAR(D1506),MONTH(D1506),1))</f>
        <v/>
      </c>
      <c r="M1506" s="70" t="str">
        <f aca="false">IF(B1506="","",IF(AND(ISNUMBER(D1506),ISNUMBER(E1506),E1506&lt;D1506),"⚠ Término anterior al inicio",IF(J1506&lt;&gt;"Sí","Pendiente comprobante firmado","OK")))</f>
        <v/>
      </c>
    </row>
  </sheetData>
  <autoFilter ref="B6:M1506"/>
  <conditionalFormatting sqref="M7:M1506">
    <cfRule type="expression" priority="2" aboveAverage="0" equalAverage="0" bottom="0" percent="0" rank="0" text="" dxfId="15">
      <formula>LEFT($M7,1)="⚠"</formula>
    </cfRule>
    <cfRule type="expression" priority="3" aboveAverage="0" equalAverage="0" bottom="0" percent="0" rank="0" text="" dxfId="19">
      <formula>$M7="Pendiente comprobante firmado"</formula>
    </cfRule>
  </conditionalFormatting>
  <dataValidations count="4">
    <dataValidation allowBlank="true" error="Ingrese una fecha (dd-mm-aaaa)." errorStyle="stop" errorTitle="Fecha no válida" operator="between" showDropDown="false" showErrorMessage="true" showInputMessage="false" sqref="D7:E1506" type="date">
      <formula1>32874</formula1>
      <formula2>73051</formula2>
    </dataValidation>
    <dataValidation allowBlank="true" error="Seleccione un valor de la lista desplegable." errorStyle="stop" errorTitle="Valor no válido" operator="between" showDropDown="false" showErrorMessage="true" showInputMessage="false" sqref="B7:B1506" type="list">
      <formula1>T_ID</formula1>
      <formula2>0</formula2>
    </dataValidation>
    <dataValidation allowBlank="true" error="Seleccione un valor de la lista desplegable." errorStyle="stop" errorTitle="Valor no válido" operator="between" showDropDown="false" showErrorMessage="true" showInputMessage="false" sqref="F7:F1506" type="list">
      <formula1>LS_TIPOVAC</formula1>
      <formula2>0</formula2>
    </dataValidation>
    <dataValidation allowBlank="true" error="Seleccione un valor de la lista desplegable." errorStyle="stop" errorTitle="Valor no válido" operator="between" showDropDown="false" showErrorMessage="true" showInputMessage="false" sqref="J7:J1506" type="list">
      <formula1>LS_SINO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4A"/>
    <pageSetUpPr fitToPage="false"/>
  </sheetPr>
  <dimension ref="B2:Q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24"/>
    <col collapsed="false" customWidth="true" hidden="false" outlineLevel="0" max="4" min="4" style="0" width="14"/>
    <col collapsed="false" customWidth="true" hidden="false" outlineLevel="0" max="6" min="5" style="0" width="11"/>
    <col collapsed="false" customWidth="true" hidden="false" outlineLevel="0" max="7" min="7" style="0" width="9"/>
    <col collapsed="false" customWidth="true" hidden="false" outlineLevel="0" max="8" min="8" style="0" width="11"/>
    <col collapsed="false" customWidth="true" hidden="false" outlineLevel="0" max="12" min="9" style="0" width="10"/>
    <col collapsed="false" customWidth="true" hidden="false" outlineLevel="0" max="13" min="13" style="0" width="11"/>
    <col collapsed="false" customWidth="true" hidden="false" outlineLevel="0" max="14" min="14" style="0" width="13"/>
    <col collapsed="false" customWidth="true" hidden="false" outlineLevel="0" max="15" min="15" style="0" width="11"/>
    <col collapsed="false" customWidth="true" hidden="false" outlineLevel="0" max="16" min="16" style="0" width="44"/>
    <col collapsed="false" customWidth="true" hidden="false" outlineLevel="0" max="17" min="17" style="0" width="12"/>
  </cols>
  <sheetData>
    <row r="2" customFormat="false" ht="24" hidden="false" customHeight="true" outlineLevel="0" collapsed="false">
      <c r="B2" s="1" t="s">
        <v>480</v>
      </c>
      <c r="C2" s="2"/>
      <c r="D2" s="2"/>
      <c r="E2" s="2"/>
      <c r="F2" s="2"/>
      <c r="G2" s="2"/>
      <c r="H2" s="2"/>
      <c r="I2" s="2"/>
      <c r="J2" s="2"/>
      <c r="K2" s="2"/>
      <c r="L2" s="2"/>
      <c r="M2" s="2"/>
      <c r="N2" s="2"/>
      <c r="O2" s="2"/>
      <c r="P2" s="2"/>
      <c r="Q2" s="2"/>
    </row>
    <row r="3" customFormat="false" ht="15.75" hidden="false" customHeight="true" outlineLevel="0" collapsed="false">
      <c r="B3" s="3" t="s">
        <v>481</v>
      </c>
      <c r="C3" s="2"/>
      <c r="D3" s="2"/>
      <c r="E3" s="2"/>
      <c r="F3" s="2"/>
      <c r="G3" s="2"/>
      <c r="H3" s="2"/>
      <c r="I3" s="2"/>
      <c r="J3" s="2"/>
      <c r="K3" s="2"/>
      <c r="L3" s="2"/>
      <c r="M3" s="2"/>
      <c r="N3" s="2"/>
      <c r="O3" s="2"/>
      <c r="P3" s="2"/>
      <c r="Q3" s="2"/>
    </row>
    <row r="4" customFormat="false" ht="15" hidden="false" customHeight="false" outlineLevel="0" collapsed="false">
      <c r="B4" s="63" t="s">
        <v>482</v>
      </c>
    </row>
    <row r="6" customFormat="false" ht="43.5" hidden="false" customHeight="true" outlineLevel="0" collapsed="false">
      <c r="B6" s="53" t="s">
        <v>152</v>
      </c>
      <c r="C6" s="53" t="s">
        <v>277</v>
      </c>
      <c r="D6" s="53" t="s">
        <v>171</v>
      </c>
      <c r="E6" s="53" t="s">
        <v>279</v>
      </c>
      <c r="F6" s="53" t="s">
        <v>483</v>
      </c>
      <c r="G6" s="53" t="s">
        <v>484</v>
      </c>
      <c r="H6" s="53" t="s">
        <v>485</v>
      </c>
      <c r="I6" s="53" t="s">
        <v>486</v>
      </c>
      <c r="J6" s="53" t="s">
        <v>487</v>
      </c>
      <c r="K6" s="53" t="s">
        <v>488</v>
      </c>
      <c r="L6" s="53" t="s">
        <v>489</v>
      </c>
      <c r="M6" s="53" t="s">
        <v>490</v>
      </c>
      <c r="N6" s="53" t="s">
        <v>491</v>
      </c>
      <c r="O6" s="53" t="s">
        <v>492</v>
      </c>
      <c r="P6" s="53" t="s">
        <v>121</v>
      </c>
      <c r="Q6" s="53" t="s">
        <v>493</v>
      </c>
    </row>
    <row r="7" customFormat="false" ht="15" hidden="false" customHeight="false" outlineLevel="0" collapsed="false">
      <c r="B7" s="70" t="str">
        <f aca="false">IFERROR(IF(INDEX(T_ID,1)="","",INDEX(T_ID,1)),"")</f>
        <v>T001</v>
      </c>
      <c r="C7" s="70" t="str">
        <f aca="false">IF(B7="","",INDEX(T_NOMBRE,1)&amp;"")</f>
        <v>María Soto (EJEMPLO)</v>
      </c>
      <c r="D7" s="70" t="str">
        <f aca="false">IF(B7="","",INDEX(T_ESTADO,1))</f>
        <v>Activo</v>
      </c>
      <c r="E7" s="75" t="n">
        <f aca="false">IF(B7="","",INDEX(T_INGRESO,1))</f>
        <v>44256</v>
      </c>
      <c r="F7" s="75" t="n">
        <f aca="false">IF(OR(B7="",NOT(ISNUMBER(E7))),"",IF(E7&gt;FECHA_CORTE,"",IF(N(INDEX(T_EGRESO,1))&gt;0,MIN(INDEX(T_EGRESO,1),FECHA_CORTE),FECHA_CORTE)))</f>
        <v>46322</v>
      </c>
      <c r="G7" s="94" t="n">
        <f aca="false">IF(F7="","",DATEDIF(E7,F7+1,"m")+(F7+1-EDATE(E7,DATEDIF(E7,F7+1,"m")))/30)</f>
        <v>67.9</v>
      </c>
      <c r="H7" s="95" t="n">
        <f aca="false">IF(F7="","",1.25*G7)</f>
        <v>84.875</v>
      </c>
      <c r="I7" s="73" t="n">
        <f aca="false">IF(F7="","",SUMPRODUCT((ANIOS&lt;=DATEDIF(E7,F7+1,"y"))*(MIN(10,N(INDEX(T_PREV,1)))+ANIOS-10&gt;0)*INT((MIN(10,N(INDEX(T_PREV,1)))+ANIOS-10)/3)))</f>
        <v>1</v>
      </c>
      <c r="J7" s="94" t="n">
        <f aca="false">IF(F7="","",SUMIFS(V_DIAS,V_ID,B7,V_INICIO,"&lt;="&amp;F7)+N(INDEX(T_VACPREV,1)))</f>
        <v>70</v>
      </c>
      <c r="K7" s="95" t="n">
        <f aca="false">IF(F7="","",H7+I7-J7)</f>
        <v>15.875</v>
      </c>
      <c r="L7" s="95" t="n">
        <f aca="false">IF(F7="","",IF(K7&lt;=0,K7,WORKDAY(F7,INT(K7),FERIADOS)-F7+(K7-INT(K7))))</f>
        <v>21.875</v>
      </c>
      <c r="M7" s="71" t="n">
        <f aca="false">IF(F7="","",(N(INDEX(T_SUELDO,1))+N(INDEX(T_BONO,1)))/30)</f>
        <v>45000</v>
      </c>
      <c r="N7" s="71" t="n">
        <f aca="false">IF(F7="","",IF(D7="Desvinculado",0,ROUND(MAX(0,L7)*M7,0)))</f>
        <v>984375</v>
      </c>
      <c r="O7" s="73" t="n">
        <f aca="false">IF(F7="","",15+INT(MAX(0,MIN(10,N(INDEX(T_PREV,1)))+DATEDIF(E7,F7+1,"y")-10)/3))</f>
        <v>16</v>
      </c>
      <c r="P7" s="70" t="str">
        <f aca="false">IF(F7="","",IF(D7="Desvinculado","— (se paga en el finiquito)",IF(Q7&gt;=2*O7,"⚠ Tiene 2 períodos acumulados: otorgar vacaciones antes de que se acumule un 3° (Art. 70)",IF(K7&lt;0,"⚠ Saldo negativo (vacaciones anticipadas)",IF(Q7&gt;=O7,"Programar vacaciones (tiene un período anual completo pendiente)","OK")))))</f>
        <v>OK</v>
      </c>
      <c r="Q7" s="94" t="n">
        <f aca="false">IF(F7="","",15*DATEDIF(E7,F7+1,"y")+I7-J7)</f>
        <v>6</v>
      </c>
    </row>
    <row r="8" customFormat="false" ht="15" hidden="false" customHeight="false" outlineLevel="0" collapsed="false">
      <c r="B8" s="70" t="str">
        <f aca="false">IFERROR(IF(INDEX(T_ID,2)="","",INDEX(T_ID,2)),"")</f>
        <v>T002</v>
      </c>
      <c r="C8" s="70" t="str">
        <f aca="false">IF(B8="","",INDEX(T_NOMBRE,2)&amp;"")</f>
        <v>Juan Pérez (EJEMPLO)</v>
      </c>
      <c r="D8" s="70" t="str">
        <f aca="false">IF(B8="","",INDEX(T_ESTADO,2))</f>
        <v>Activo</v>
      </c>
      <c r="E8" s="75" t="n">
        <f aca="false">IF(B8="","",INDEX(T_INGRESO,2))</f>
        <v>46237</v>
      </c>
      <c r="F8" s="75" t="n">
        <f aca="false">IF(OR(B8="",NOT(ISNUMBER(E8))),"",IF(E8&gt;FECHA_CORTE,"",IF(N(INDEX(T_EGRESO,2))&gt;0,MIN(INDEX(T_EGRESO,2),FECHA_CORTE),FECHA_CORTE)))</f>
        <v>46322</v>
      </c>
      <c r="G8" s="94" t="n">
        <f aca="false">IF(F8="","",DATEDIF(E8,F8+1,"m")+(F8+1-EDATE(E8,DATEDIF(E8,F8+1,"m")))/30)</f>
        <v>2.83333333333333</v>
      </c>
      <c r="H8" s="95" t="n">
        <f aca="false">IF(F8="","",1.25*G8)</f>
        <v>3.54166666666667</v>
      </c>
      <c r="I8" s="73" t="n">
        <f aca="false">IF(F8="","",SUMPRODUCT((ANIOS&lt;=DATEDIF(E8,F8+1,"y"))*(MIN(10,N(INDEX(T_PREV,2)))+ANIOS-10&gt;0)*INT((MIN(10,N(INDEX(T_PREV,2)))+ANIOS-10)/3)))</f>
        <v>0</v>
      </c>
      <c r="J8" s="94" t="n">
        <f aca="false">IF(F8="","",SUMIFS(V_DIAS,V_ID,B8,V_INICIO,"&lt;="&amp;F8)+N(INDEX(T_VACPREV,2)))</f>
        <v>0</v>
      </c>
      <c r="K8" s="95" t="n">
        <f aca="false">IF(F8="","",H8+I8-J8)</f>
        <v>3.54166666666667</v>
      </c>
      <c r="L8" s="95" t="n">
        <f aca="false">IF(F8="","",IF(K8&lt;=0,K8,WORKDAY(F8,INT(K8),FERIADOS)-F8+(K8-INT(K8))))</f>
        <v>3.54166666666667</v>
      </c>
      <c r="M8" s="71" t="n">
        <f aca="false">IF(F8="","",(N(INDEX(T_SUELDO,2))+N(INDEX(T_BONO,2)))/30)</f>
        <v>19333.3333333333</v>
      </c>
      <c r="N8" s="71" t="n">
        <f aca="false">IF(F8="","",IF(D8="Desvinculado",0,ROUND(MAX(0,L8)*M8,0)))</f>
        <v>68472</v>
      </c>
      <c r="O8" s="73" t="n">
        <f aca="false">IF(F8="","",15+INT(MAX(0,MIN(10,N(INDEX(T_PREV,2)))+DATEDIF(E8,F8+1,"y")-10)/3))</f>
        <v>15</v>
      </c>
      <c r="P8" s="70" t="str">
        <f aca="false">IF(F8="","",IF(D8="Desvinculado","— (se paga en el finiquito)",IF(Q8&gt;=2*O8,"⚠ Tiene 2 períodos acumulados: otorgar vacaciones antes de que se acumule un 3° (Art. 70)",IF(K8&lt;0,"⚠ Saldo negativo (vacaciones anticipadas)",IF(Q8&gt;=O8,"Programar vacaciones (tiene un período anual completo pendiente)","OK")))))</f>
        <v>OK</v>
      </c>
      <c r="Q8" s="94" t="n">
        <f aca="false">IF(F8="","",15*DATEDIF(E8,F8+1,"y")+I8-J8)</f>
        <v>0</v>
      </c>
    </row>
    <row r="9" customFormat="false" ht="15" hidden="false" customHeight="false" outlineLevel="0" collapsed="false">
      <c r="B9" s="70" t="str">
        <f aca="false">IFERROR(IF(INDEX(T_ID,3)="","",INDEX(T_ID,3)),"")</f>
        <v>T003</v>
      </c>
      <c r="C9" s="70" t="str">
        <f aca="false">IF(B9="","",INDEX(T_NOMBRE,3)&amp;"")</f>
        <v>Camila Rojas (EJEMPLO)</v>
      </c>
      <c r="D9" s="70" t="str">
        <f aca="false">IF(B9="","",INDEX(T_ESTADO,3))</f>
        <v>Activo</v>
      </c>
      <c r="E9" s="75" t="n">
        <f aca="false">IF(B9="","",INDEX(T_INGRESO,3))</f>
        <v>46097</v>
      </c>
      <c r="F9" s="75" t="n">
        <f aca="false">IF(OR(B9="",NOT(ISNUMBER(E9))),"",IF(E9&gt;FECHA_CORTE,"",IF(N(INDEX(T_EGRESO,3))&gt;0,MIN(INDEX(T_EGRESO,3),FECHA_CORTE),FECHA_CORTE)))</f>
        <v>46322</v>
      </c>
      <c r="G9" s="94" t="n">
        <f aca="false">IF(F9="","",DATEDIF(E9,F9+1,"m")+(F9+1-EDATE(E9,DATEDIF(E9,F9+1,"m")))/30)</f>
        <v>7.4</v>
      </c>
      <c r="H9" s="95" t="n">
        <f aca="false">IF(F9="","",1.25*G9)</f>
        <v>9.25</v>
      </c>
      <c r="I9" s="73" t="n">
        <f aca="false">IF(F9="","",SUMPRODUCT((ANIOS&lt;=DATEDIF(E9,F9+1,"y"))*(MIN(10,N(INDEX(T_PREV,3)))+ANIOS-10&gt;0)*INT((MIN(10,N(INDEX(T_PREV,3)))+ANIOS-10)/3)))</f>
        <v>0</v>
      </c>
      <c r="J9" s="94" t="n">
        <f aca="false">IF(F9="","",SUMIFS(V_DIAS,V_ID,B9,V_INICIO,"&lt;="&amp;F9)+N(INDEX(T_VACPREV,3)))</f>
        <v>0</v>
      </c>
      <c r="K9" s="95" t="n">
        <f aca="false">IF(F9="","",H9+I9-J9)</f>
        <v>9.25</v>
      </c>
      <c r="L9" s="95" t="n">
        <f aca="false">IF(F9="","",IF(K9&lt;=0,K9,WORKDAY(F9,INT(K9),FERIADOS)-F9+(K9-INT(K9))))</f>
        <v>13.25</v>
      </c>
      <c r="M9" s="71" t="n">
        <f aca="false">IF(F9="","",(N(INDEX(T_SUELDO,3))+N(INDEX(T_BONO,3)))/30)</f>
        <v>28333.3333333333</v>
      </c>
      <c r="N9" s="71" t="n">
        <f aca="false">IF(F9="","",IF(D9="Desvinculado",0,ROUND(MAX(0,L9)*M9,0)))</f>
        <v>375417</v>
      </c>
      <c r="O9" s="73" t="n">
        <f aca="false">IF(F9="","",15+INT(MAX(0,MIN(10,N(INDEX(T_PREV,3)))+DATEDIF(E9,F9+1,"y")-10)/3))</f>
        <v>15</v>
      </c>
      <c r="P9" s="70" t="str">
        <f aca="false">IF(F9="","",IF(D9="Desvinculado","— (se paga en el finiquito)",IF(Q9&gt;=2*O9,"⚠ Tiene 2 períodos acumulados: otorgar vacaciones antes de que se acumule un 3° (Art. 70)",IF(K9&lt;0,"⚠ Saldo negativo (vacaciones anticipadas)",IF(Q9&gt;=O9,"Programar vacaciones (tiene un período anual completo pendiente)","OK")))))</f>
        <v>OK</v>
      </c>
      <c r="Q9" s="94" t="n">
        <f aca="false">IF(F9="","",15*DATEDIF(E9,F9+1,"y")+I9-J9)</f>
        <v>0</v>
      </c>
    </row>
    <row r="10" customFormat="false" ht="15" hidden="false" customHeight="false" outlineLevel="0" collapsed="false">
      <c r="B10" s="70" t="str">
        <f aca="false">IFERROR(IF(INDEX(T_ID,4)="","",INDEX(T_ID,4)),"")</f>
        <v>T004</v>
      </c>
      <c r="C10" s="70" t="str">
        <f aca="false">IF(B10="","",INDEX(T_NOMBRE,4)&amp;"")</f>
        <v>Pedro Muñoz (EJEMPLO)</v>
      </c>
      <c r="D10" s="70" t="str">
        <f aca="false">IF(B10="","",INDEX(T_ESTADO,4))</f>
        <v>Activo</v>
      </c>
      <c r="E10" s="75" t="n">
        <f aca="false">IF(B10="","",INDEX(T_INGRESO,4))</f>
        <v>45110</v>
      </c>
      <c r="F10" s="75" t="n">
        <f aca="false">IF(OR(B10="",NOT(ISNUMBER(E10))),"",IF(E10&gt;FECHA_CORTE,"",IF(N(INDEX(T_EGRESO,4))&gt;0,MIN(INDEX(T_EGRESO,4),FECHA_CORTE),FECHA_CORTE)))</f>
        <v>46322</v>
      </c>
      <c r="G10" s="94" t="n">
        <f aca="false">IF(F10="","",DATEDIF(E10,F10+1,"m")+(F10+1-EDATE(E10,DATEDIF(E10,F10+1,"m")))/30)</f>
        <v>39.8333333333333</v>
      </c>
      <c r="H10" s="95" t="n">
        <f aca="false">IF(F10="","",1.25*G10)</f>
        <v>49.7916666666667</v>
      </c>
      <c r="I10" s="73" t="n">
        <f aca="false">IF(F10="","",SUMPRODUCT((ANIOS&lt;=DATEDIF(E10,F10+1,"y"))*(MIN(10,N(INDEX(T_PREV,4)))+ANIOS-10&gt;0)*INT((MIN(10,N(INDEX(T_PREV,4)))+ANIOS-10)/3)))</f>
        <v>1</v>
      </c>
      <c r="J10" s="94" t="n">
        <f aca="false">IF(F10="","",SUMIFS(V_DIAS,V_ID,B10,V_INICIO,"&lt;="&amp;F10)+N(INDEX(T_VACPREV,4)))</f>
        <v>20</v>
      </c>
      <c r="K10" s="95" t="n">
        <f aca="false">IF(F10="","",H10+I10-J10)</f>
        <v>30.7916666666667</v>
      </c>
      <c r="L10" s="95" t="n">
        <f aca="false">IF(F10="","",IF(K10&lt;=0,K10,WORKDAY(F10,INT(K10),FERIADOS)-F10+(K10-INT(K10))))</f>
        <v>43.7916666666667</v>
      </c>
      <c r="M10" s="71" t="n">
        <f aca="false">IF(F10="","",(N(INDEX(T_SUELDO,4))+N(INDEX(T_BONO,4)))/30)</f>
        <v>24000</v>
      </c>
      <c r="N10" s="71" t="n">
        <f aca="false">IF(F10="","",IF(D10="Desvinculado",0,ROUND(MAX(0,L10)*M10,0)))</f>
        <v>1051000</v>
      </c>
      <c r="O10" s="73" t="n">
        <f aca="false">IF(F10="","",15+INT(MAX(0,MIN(10,N(INDEX(T_PREV,4)))+DATEDIF(E10,F10+1,"y")-10)/3))</f>
        <v>16</v>
      </c>
      <c r="P10" s="70" t="str">
        <f aca="false">IF(F10="","",IF(D10="Desvinculado","— (se paga en el finiquito)",IF(Q10&gt;=2*O10,"⚠ Tiene 2 períodos acumulados: otorgar vacaciones antes de que se acumule un 3° (Art. 70)",IF(K10&lt;0,"⚠ Saldo negativo (vacaciones anticipadas)",IF(Q10&gt;=O10,"Programar vacaciones (tiene un período anual completo pendiente)","OK")))))</f>
        <v>Programar vacaciones (tiene un período anual completo pendiente)</v>
      </c>
      <c r="Q10" s="94" t="n">
        <f aca="false">IF(F10="","",15*DATEDIF(E10,F10+1,"y")+I10-J10)</f>
        <v>26</v>
      </c>
    </row>
    <row r="11" customFormat="false" ht="15" hidden="false" customHeight="false" outlineLevel="0" collapsed="false">
      <c r="B11" s="70" t="str">
        <f aca="false">IFERROR(IF(INDEX(T_ID,5)="","",INDEX(T_ID,5)),"")</f>
        <v>T005</v>
      </c>
      <c r="C11" s="70" t="str">
        <f aca="false">IF(B11="","",INDEX(T_NOMBRE,5)&amp;"")</f>
        <v>Ana Díaz (EJEMPLO)</v>
      </c>
      <c r="D11" s="70" t="str">
        <f aca="false">IF(B11="","",INDEX(T_ESTADO,5))</f>
        <v>Activo</v>
      </c>
      <c r="E11" s="75" t="n">
        <f aca="false">IF(B11="","",INDEX(T_INGRESO,5))</f>
        <v>46266</v>
      </c>
      <c r="F11" s="75" t="n">
        <f aca="false">IF(OR(B11="",NOT(ISNUMBER(E11))),"",IF(E11&gt;FECHA_CORTE,"",IF(N(INDEX(T_EGRESO,5))&gt;0,MIN(INDEX(T_EGRESO,5),FECHA_CORTE),FECHA_CORTE)))</f>
        <v>46322</v>
      </c>
      <c r="G11" s="94" t="n">
        <f aca="false">IF(F11="","",DATEDIF(E11,F11+1,"m")+(F11+1-EDATE(E11,DATEDIF(E11,F11+1,"m")))/30)</f>
        <v>1.9</v>
      </c>
      <c r="H11" s="95" t="n">
        <f aca="false">IF(F11="","",1.25*G11)</f>
        <v>2.375</v>
      </c>
      <c r="I11" s="73" t="n">
        <f aca="false">IF(F11="","",SUMPRODUCT((ANIOS&lt;=DATEDIF(E11,F11+1,"y"))*(MIN(10,N(INDEX(T_PREV,5)))+ANIOS-10&gt;0)*INT((MIN(10,N(INDEX(T_PREV,5)))+ANIOS-10)/3)))</f>
        <v>0</v>
      </c>
      <c r="J11" s="94" t="n">
        <f aca="false">IF(F11="","",SUMIFS(V_DIAS,V_ID,B11,V_INICIO,"&lt;="&amp;F11)+N(INDEX(T_VACPREV,5)))</f>
        <v>0</v>
      </c>
      <c r="K11" s="95" t="n">
        <f aca="false">IF(F11="","",H11+I11-J11)</f>
        <v>2.375</v>
      </c>
      <c r="L11" s="95" t="n">
        <f aca="false">IF(F11="","",IF(K11&lt;=0,K11,WORKDAY(F11,INT(K11),FERIADOS)-F11+(K11-INT(K11))))</f>
        <v>2.375</v>
      </c>
      <c r="M11" s="71" t="n">
        <f aca="false">IF(F11="","",(N(INDEX(T_SUELDO,5))+N(INDEX(T_BONO,5)))/30)</f>
        <v>18666.6666666667</v>
      </c>
      <c r="N11" s="71" t="n">
        <f aca="false">IF(F11="","",IF(D11="Desvinculado",0,ROUND(MAX(0,L11)*M11,0)))</f>
        <v>44333</v>
      </c>
      <c r="O11" s="73" t="n">
        <f aca="false">IF(F11="","",15+INT(MAX(0,MIN(10,N(INDEX(T_PREV,5)))+DATEDIF(E11,F11+1,"y")-10)/3))</f>
        <v>15</v>
      </c>
      <c r="P11" s="70" t="str">
        <f aca="false">IF(F11="","",IF(D11="Desvinculado","— (se paga en el finiquito)",IF(Q11&gt;=2*O11,"⚠ Tiene 2 períodos acumulados: otorgar vacaciones antes de que se acumule un 3° (Art. 70)",IF(K11&lt;0,"⚠ Saldo negativo (vacaciones anticipadas)",IF(Q11&gt;=O11,"Programar vacaciones (tiene un período anual completo pendiente)","OK")))))</f>
        <v>OK</v>
      </c>
      <c r="Q11" s="94" t="n">
        <f aca="false">IF(F11="","",15*DATEDIF(E11,F11+1,"y")+I11-J11)</f>
        <v>0</v>
      </c>
    </row>
    <row r="12" customFormat="false" ht="15" hidden="false" customHeight="false" outlineLevel="0" collapsed="false">
      <c r="B12" s="70" t="str">
        <f aca="false">IFERROR(IF(INDEX(T_ID,6)="","",INDEX(T_ID,6)),"")</f>
        <v>T006</v>
      </c>
      <c r="C12" s="70" t="str">
        <f aca="false">IF(B12="","",INDEX(T_NOMBRE,6)&amp;"")</f>
        <v>Luis Vega (EJEMPLO)</v>
      </c>
      <c r="D12" s="70" t="str">
        <f aca="false">IF(B12="","",INDEX(T_ESTADO,6))</f>
        <v>Desvinculado</v>
      </c>
      <c r="E12" s="75" t="n">
        <f aca="false">IF(B12="","",INDEX(T_INGRESO,6))</f>
        <v>45964</v>
      </c>
      <c r="F12" s="75" t="n">
        <f aca="false">IF(OR(B12="",NOT(ISNUMBER(E12))),"",IF(E12&gt;FECHA_CORTE,"",IF(N(INDEX(T_EGRESO,6))&gt;0,MIN(INDEX(T_EGRESO,6),FECHA_CORTE),FECHA_CORTE)))</f>
        <v>46055</v>
      </c>
      <c r="G12" s="94" t="n">
        <f aca="false">IF(F12="","",DATEDIF(E12,F12+1,"m")+(F12+1-EDATE(E12,DATEDIF(E12,F12+1,"m")))/30)</f>
        <v>3</v>
      </c>
      <c r="H12" s="95" t="n">
        <f aca="false">IF(F12="","",1.25*G12)</f>
        <v>3.75</v>
      </c>
      <c r="I12" s="73" t="n">
        <f aca="false">IF(F12="","",SUMPRODUCT((ANIOS&lt;=DATEDIF(E12,F12+1,"y"))*(MIN(10,N(INDEX(T_PREV,6)))+ANIOS-10&gt;0)*INT((MIN(10,N(INDEX(T_PREV,6)))+ANIOS-10)/3)))</f>
        <v>0</v>
      </c>
      <c r="J12" s="94" t="n">
        <f aca="false">IF(F12="","",SUMIFS(V_DIAS,V_ID,B12,V_INICIO,"&lt;="&amp;F12)+N(INDEX(T_VACPREV,6)))</f>
        <v>0</v>
      </c>
      <c r="K12" s="95" t="n">
        <f aca="false">IF(F12="","",H12+I12-J12)</f>
        <v>3.75</v>
      </c>
      <c r="L12" s="95" t="n">
        <f aca="false">IF(F12="","",IF(K12&lt;=0,K12,WORKDAY(F12,INT(K12),FERIADOS)-F12+(K12-INT(K12))))</f>
        <v>3.75</v>
      </c>
      <c r="M12" s="71" t="n">
        <f aca="false">IF(F12="","",(N(INDEX(T_SUELDO,6))+N(INDEX(T_BONO,6)))/30)</f>
        <v>18000</v>
      </c>
      <c r="N12" s="71" t="n">
        <f aca="false">IF(F12="","",IF(D12="Desvinculado",0,ROUND(MAX(0,L12)*M12,0)))</f>
        <v>0</v>
      </c>
      <c r="O12" s="73" t="n">
        <f aca="false">IF(F12="","",15+INT(MAX(0,MIN(10,N(INDEX(T_PREV,6)))+DATEDIF(E12,F12+1,"y")-10)/3))</f>
        <v>15</v>
      </c>
      <c r="P12" s="70" t="str">
        <f aca="false">IF(F12="","",IF(D12="Desvinculado","— (se paga en el finiquito)",IF(Q12&gt;=2*O12,"⚠ Tiene 2 períodos acumulados: otorgar vacaciones antes de que se acumule un 3° (Art. 70)",IF(K12&lt;0,"⚠ Saldo negativo (vacaciones anticipadas)",IF(Q12&gt;=O12,"Programar vacaciones (tiene un período anual completo pendiente)","OK")))))</f>
        <v>— (se paga en el finiquito)</v>
      </c>
      <c r="Q12" s="94" t="n">
        <f aca="false">IF(F12="","",15*DATEDIF(E12,F12+1,"y")+I12-J12)</f>
        <v>0</v>
      </c>
    </row>
    <row r="13" customFormat="false" ht="15" hidden="false" customHeight="false" outlineLevel="0" collapsed="false">
      <c r="B13" s="70" t="str">
        <f aca="false">IFERROR(IF(INDEX(T_ID,7)="","",INDEX(T_ID,7)),"")</f>
        <v/>
      </c>
      <c r="C13" s="70" t="str">
        <f aca="false">IF(B13="","",INDEX(T_NOMBRE,7)&amp;"")</f>
        <v/>
      </c>
      <c r="D13" s="70" t="str">
        <f aca="false">IF(B13="","",INDEX(T_ESTADO,7))</f>
        <v/>
      </c>
      <c r="E13" s="75" t="str">
        <f aca="false">IF(B13="","",INDEX(T_INGRESO,7))</f>
        <v/>
      </c>
      <c r="F13" s="75" t="str">
        <f aca="false">IF(OR(B13="",NOT(ISNUMBER(E13))),"",IF(E13&gt;FECHA_CORTE,"",IF(N(INDEX(T_EGRESO,7))&gt;0,MIN(INDEX(T_EGRESO,7),FECHA_CORTE),FECHA_CORTE)))</f>
        <v/>
      </c>
      <c r="G13" s="94" t="str">
        <f aca="false">IF(F13="","",DATEDIF(E13,F13+1,"m")+(F13+1-EDATE(E13,DATEDIF(E13,F13+1,"m")))/30)</f>
        <v/>
      </c>
      <c r="H13" s="95" t="str">
        <f aca="false">IF(F13="","",1.25*G13)</f>
        <v/>
      </c>
      <c r="I13" s="73" t="str">
        <f aca="false">IF(F13="","",SUMPRODUCT((ANIOS&lt;=DATEDIF(E13,F13+1,"y"))*(MIN(10,N(INDEX(T_PREV,7)))+ANIOS-10&gt;0)*INT((MIN(10,N(INDEX(T_PREV,7)))+ANIOS-10)/3)))</f>
        <v/>
      </c>
      <c r="J13" s="94" t="str">
        <f aca="false">IF(F13="","",SUMIFS(V_DIAS,V_ID,B13,V_INICIO,"&lt;="&amp;F13)+N(INDEX(T_VACPREV,7)))</f>
        <v/>
      </c>
      <c r="K13" s="95" t="str">
        <f aca="false">IF(F13="","",H13+I13-J13)</f>
        <v/>
      </c>
      <c r="L13" s="95" t="str">
        <f aca="false">IF(F13="","",IF(K13&lt;=0,K13,WORKDAY(F13,INT(K13),FERIADOS)-F13+(K13-INT(K13))))</f>
        <v/>
      </c>
      <c r="M13" s="71" t="str">
        <f aca="false">IF(F13="","",(N(INDEX(T_SUELDO,7))+N(INDEX(T_BONO,7)))/30)</f>
        <v/>
      </c>
      <c r="N13" s="71" t="str">
        <f aca="false">IF(F13="","",IF(D13="Desvinculado",0,ROUND(MAX(0,L13)*M13,0)))</f>
        <v/>
      </c>
      <c r="O13" s="73" t="str">
        <f aca="false">IF(F13="","",15+INT(MAX(0,MIN(10,N(INDEX(T_PREV,7)))+DATEDIF(E13,F13+1,"y")-10)/3))</f>
        <v/>
      </c>
      <c r="P13" s="70" t="str">
        <f aca="false">IF(F13="","",IF(D13="Desvinculado","— (se paga en el finiquito)",IF(Q13&gt;=2*O13,"⚠ Tiene 2 períodos acumulados: otorgar vacaciones antes de que se acumule un 3° (Art. 70)",IF(K13&lt;0,"⚠ Saldo negativo (vacaciones anticipadas)",IF(Q13&gt;=O13,"Programar vacaciones (tiene un período anual completo pendiente)","OK")))))</f>
        <v/>
      </c>
      <c r="Q13" s="94" t="str">
        <f aca="false">IF(F13="","",15*DATEDIF(E13,F13+1,"y")+I13-J13)</f>
        <v/>
      </c>
    </row>
    <row r="14" customFormat="false" ht="15" hidden="false" customHeight="false" outlineLevel="0" collapsed="false">
      <c r="B14" s="70" t="str">
        <f aca="false">IFERROR(IF(INDEX(T_ID,8)="","",INDEX(T_ID,8)),"")</f>
        <v/>
      </c>
      <c r="C14" s="70" t="str">
        <f aca="false">IF(B14="","",INDEX(T_NOMBRE,8)&amp;"")</f>
        <v/>
      </c>
      <c r="D14" s="70" t="str">
        <f aca="false">IF(B14="","",INDEX(T_ESTADO,8))</f>
        <v/>
      </c>
      <c r="E14" s="75" t="str">
        <f aca="false">IF(B14="","",INDEX(T_INGRESO,8))</f>
        <v/>
      </c>
      <c r="F14" s="75" t="str">
        <f aca="false">IF(OR(B14="",NOT(ISNUMBER(E14))),"",IF(E14&gt;FECHA_CORTE,"",IF(N(INDEX(T_EGRESO,8))&gt;0,MIN(INDEX(T_EGRESO,8),FECHA_CORTE),FECHA_CORTE)))</f>
        <v/>
      </c>
      <c r="G14" s="94" t="str">
        <f aca="false">IF(F14="","",DATEDIF(E14,F14+1,"m")+(F14+1-EDATE(E14,DATEDIF(E14,F14+1,"m")))/30)</f>
        <v/>
      </c>
      <c r="H14" s="95" t="str">
        <f aca="false">IF(F14="","",1.25*G14)</f>
        <v/>
      </c>
      <c r="I14" s="73" t="str">
        <f aca="false">IF(F14="","",SUMPRODUCT((ANIOS&lt;=DATEDIF(E14,F14+1,"y"))*(MIN(10,N(INDEX(T_PREV,8)))+ANIOS-10&gt;0)*INT((MIN(10,N(INDEX(T_PREV,8)))+ANIOS-10)/3)))</f>
        <v/>
      </c>
      <c r="J14" s="94" t="str">
        <f aca="false">IF(F14="","",SUMIFS(V_DIAS,V_ID,B14,V_INICIO,"&lt;="&amp;F14)+N(INDEX(T_VACPREV,8)))</f>
        <v/>
      </c>
      <c r="K14" s="95" t="str">
        <f aca="false">IF(F14="","",H14+I14-J14)</f>
        <v/>
      </c>
      <c r="L14" s="95" t="str">
        <f aca="false">IF(F14="","",IF(K14&lt;=0,K14,WORKDAY(F14,INT(K14),FERIADOS)-F14+(K14-INT(K14))))</f>
        <v/>
      </c>
      <c r="M14" s="71" t="str">
        <f aca="false">IF(F14="","",(N(INDEX(T_SUELDO,8))+N(INDEX(T_BONO,8)))/30)</f>
        <v/>
      </c>
      <c r="N14" s="71" t="str">
        <f aca="false">IF(F14="","",IF(D14="Desvinculado",0,ROUND(MAX(0,L14)*M14,0)))</f>
        <v/>
      </c>
      <c r="O14" s="73" t="str">
        <f aca="false">IF(F14="","",15+INT(MAX(0,MIN(10,N(INDEX(T_PREV,8)))+DATEDIF(E14,F14+1,"y")-10)/3))</f>
        <v/>
      </c>
      <c r="P14" s="70" t="str">
        <f aca="false">IF(F14="","",IF(D14="Desvinculado","— (se paga en el finiquito)",IF(Q14&gt;=2*O14,"⚠ Tiene 2 períodos acumulados: otorgar vacaciones antes de que se acumule un 3° (Art. 70)",IF(K14&lt;0,"⚠ Saldo negativo (vacaciones anticipadas)",IF(Q14&gt;=O14,"Programar vacaciones (tiene un período anual completo pendiente)","OK")))))</f>
        <v/>
      </c>
      <c r="Q14" s="94" t="str">
        <f aca="false">IF(F14="","",15*DATEDIF(E14,F14+1,"y")+I14-J14)</f>
        <v/>
      </c>
    </row>
    <row r="15" customFormat="false" ht="15" hidden="false" customHeight="false" outlineLevel="0" collapsed="false">
      <c r="B15" s="70" t="str">
        <f aca="false">IFERROR(IF(INDEX(T_ID,9)="","",INDEX(T_ID,9)),"")</f>
        <v/>
      </c>
      <c r="C15" s="70" t="str">
        <f aca="false">IF(B15="","",INDEX(T_NOMBRE,9)&amp;"")</f>
        <v/>
      </c>
      <c r="D15" s="70" t="str">
        <f aca="false">IF(B15="","",INDEX(T_ESTADO,9))</f>
        <v/>
      </c>
      <c r="E15" s="75" t="str">
        <f aca="false">IF(B15="","",INDEX(T_INGRESO,9))</f>
        <v/>
      </c>
      <c r="F15" s="75" t="str">
        <f aca="false">IF(OR(B15="",NOT(ISNUMBER(E15))),"",IF(E15&gt;FECHA_CORTE,"",IF(N(INDEX(T_EGRESO,9))&gt;0,MIN(INDEX(T_EGRESO,9),FECHA_CORTE),FECHA_CORTE)))</f>
        <v/>
      </c>
      <c r="G15" s="94" t="str">
        <f aca="false">IF(F15="","",DATEDIF(E15,F15+1,"m")+(F15+1-EDATE(E15,DATEDIF(E15,F15+1,"m")))/30)</f>
        <v/>
      </c>
      <c r="H15" s="95" t="str">
        <f aca="false">IF(F15="","",1.25*G15)</f>
        <v/>
      </c>
      <c r="I15" s="73" t="str">
        <f aca="false">IF(F15="","",SUMPRODUCT((ANIOS&lt;=DATEDIF(E15,F15+1,"y"))*(MIN(10,N(INDEX(T_PREV,9)))+ANIOS-10&gt;0)*INT((MIN(10,N(INDEX(T_PREV,9)))+ANIOS-10)/3)))</f>
        <v/>
      </c>
      <c r="J15" s="94" t="str">
        <f aca="false">IF(F15="","",SUMIFS(V_DIAS,V_ID,B15,V_INICIO,"&lt;="&amp;F15)+N(INDEX(T_VACPREV,9)))</f>
        <v/>
      </c>
      <c r="K15" s="95" t="str">
        <f aca="false">IF(F15="","",H15+I15-J15)</f>
        <v/>
      </c>
      <c r="L15" s="95" t="str">
        <f aca="false">IF(F15="","",IF(K15&lt;=0,K15,WORKDAY(F15,INT(K15),FERIADOS)-F15+(K15-INT(K15))))</f>
        <v/>
      </c>
      <c r="M15" s="71" t="str">
        <f aca="false">IF(F15="","",(N(INDEX(T_SUELDO,9))+N(INDEX(T_BONO,9)))/30)</f>
        <v/>
      </c>
      <c r="N15" s="71" t="str">
        <f aca="false">IF(F15="","",IF(D15="Desvinculado",0,ROUND(MAX(0,L15)*M15,0)))</f>
        <v/>
      </c>
      <c r="O15" s="73" t="str">
        <f aca="false">IF(F15="","",15+INT(MAX(0,MIN(10,N(INDEX(T_PREV,9)))+DATEDIF(E15,F15+1,"y")-10)/3))</f>
        <v/>
      </c>
      <c r="P15" s="70" t="str">
        <f aca="false">IF(F15="","",IF(D15="Desvinculado","— (se paga en el finiquito)",IF(Q15&gt;=2*O15,"⚠ Tiene 2 períodos acumulados: otorgar vacaciones antes de que se acumule un 3° (Art. 70)",IF(K15&lt;0,"⚠ Saldo negativo (vacaciones anticipadas)",IF(Q15&gt;=O15,"Programar vacaciones (tiene un período anual completo pendiente)","OK")))))</f>
        <v/>
      </c>
      <c r="Q15" s="94" t="str">
        <f aca="false">IF(F15="","",15*DATEDIF(E15,F15+1,"y")+I15-J15)</f>
        <v/>
      </c>
    </row>
    <row r="16" customFormat="false" ht="15" hidden="false" customHeight="false" outlineLevel="0" collapsed="false">
      <c r="B16" s="70" t="str">
        <f aca="false">IFERROR(IF(INDEX(T_ID,10)="","",INDEX(T_ID,10)),"")</f>
        <v/>
      </c>
      <c r="C16" s="70" t="str">
        <f aca="false">IF(B16="","",INDEX(T_NOMBRE,10)&amp;"")</f>
        <v/>
      </c>
      <c r="D16" s="70" t="str">
        <f aca="false">IF(B16="","",INDEX(T_ESTADO,10))</f>
        <v/>
      </c>
      <c r="E16" s="75" t="str">
        <f aca="false">IF(B16="","",INDEX(T_INGRESO,10))</f>
        <v/>
      </c>
      <c r="F16" s="75" t="str">
        <f aca="false">IF(OR(B16="",NOT(ISNUMBER(E16))),"",IF(E16&gt;FECHA_CORTE,"",IF(N(INDEX(T_EGRESO,10))&gt;0,MIN(INDEX(T_EGRESO,10),FECHA_CORTE),FECHA_CORTE)))</f>
        <v/>
      </c>
      <c r="G16" s="94" t="str">
        <f aca="false">IF(F16="","",DATEDIF(E16,F16+1,"m")+(F16+1-EDATE(E16,DATEDIF(E16,F16+1,"m")))/30)</f>
        <v/>
      </c>
      <c r="H16" s="95" t="str">
        <f aca="false">IF(F16="","",1.25*G16)</f>
        <v/>
      </c>
      <c r="I16" s="73" t="str">
        <f aca="false">IF(F16="","",SUMPRODUCT((ANIOS&lt;=DATEDIF(E16,F16+1,"y"))*(MIN(10,N(INDEX(T_PREV,10)))+ANIOS-10&gt;0)*INT((MIN(10,N(INDEX(T_PREV,10)))+ANIOS-10)/3)))</f>
        <v/>
      </c>
      <c r="J16" s="94" t="str">
        <f aca="false">IF(F16="","",SUMIFS(V_DIAS,V_ID,B16,V_INICIO,"&lt;="&amp;F16)+N(INDEX(T_VACPREV,10)))</f>
        <v/>
      </c>
      <c r="K16" s="95" t="str">
        <f aca="false">IF(F16="","",H16+I16-J16)</f>
        <v/>
      </c>
      <c r="L16" s="95" t="str">
        <f aca="false">IF(F16="","",IF(K16&lt;=0,K16,WORKDAY(F16,INT(K16),FERIADOS)-F16+(K16-INT(K16))))</f>
        <v/>
      </c>
      <c r="M16" s="71" t="str">
        <f aca="false">IF(F16="","",(N(INDEX(T_SUELDO,10))+N(INDEX(T_BONO,10)))/30)</f>
        <v/>
      </c>
      <c r="N16" s="71" t="str">
        <f aca="false">IF(F16="","",IF(D16="Desvinculado",0,ROUND(MAX(0,L16)*M16,0)))</f>
        <v/>
      </c>
      <c r="O16" s="73" t="str">
        <f aca="false">IF(F16="","",15+INT(MAX(0,MIN(10,N(INDEX(T_PREV,10)))+DATEDIF(E16,F16+1,"y")-10)/3))</f>
        <v/>
      </c>
      <c r="P16" s="70" t="str">
        <f aca="false">IF(F16="","",IF(D16="Desvinculado","— (se paga en el finiquito)",IF(Q16&gt;=2*O16,"⚠ Tiene 2 períodos acumulados: otorgar vacaciones antes de que se acumule un 3° (Art. 70)",IF(K16&lt;0,"⚠ Saldo negativo (vacaciones anticipadas)",IF(Q16&gt;=O16,"Programar vacaciones (tiene un período anual completo pendiente)","OK")))))</f>
        <v/>
      </c>
      <c r="Q16" s="94" t="str">
        <f aca="false">IF(F16="","",15*DATEDIF(E16,F16+1,"y")+I16-J16)</f>
        <v/>
      </c>
    </row>
    <row r="17" customFormat="false" ht="15" hidden="false" customHeight="false" outlineLevel="0" collapsed="false">
      <c r="B17" s="70" t="str">
        <f aca="false">IFERROR(IF(INDEX(T_ID,11)="","",INDEX(T_ID,11)),"")</f>
        <v/>
      </c>
      <c r="C17" s="70" t="str">
        <f aca="false">IF(B17="","",INDEX(T_NOMBRE,11)&amp;"")</f>
        <v/>
      </c>
      <c r="D17" s="70" t="str">
        <f aca="false">IF(B17="","",INDEX(T_ESTADO,11))</f>
        <v/>
      </c>
      <c r="E17" s="75" t="str">
        <f aca="false">IF(B17="","",INDEX(T_INGRESO,11))</f>
        <v/>
      </c>
      <c r="F17" s="75" t="str">
        <f aca="false">IF(OR(B17="",NOT(ISNUMBER(E17))),"",IF(E17&gt;FECHA_CORTE,"",IF(N(INDEX(T_EGRESO,11))&gt;0,MIN(INDEX(T_EGRESO,11),FECHA_CORTE),FECHA_CORTE)))</f>
        <v/>
      </c>
      <c r="G17" s="94" t="str">
        <f aca="false">IF(F17="","",DATEDIF(E17,F17+1,"m")+(F17+1-EDATE(E17,DATEDIF(E17,F17+1,"m")))/30)</f>
        <v/>
      </c>
      <c r="H17" s="95" t="str">
        <f aca="false">IF(F17="","",1.25*G17)</f>
        <v/>
      </c>
      <c r="I17" s="73" t="str">
        <f aca="false">IF(F17="","",SUMPRODUCT((ANIOS&lt;=DATEDIF(E17,F17+1,"y"))*(MIN(10,N(INDEX(T_PREV,11)))+ANIOS-10&gt;0)*INT((MIN(10,N(INDEX(T_PREV,11)))+ANIOS-10)/3)))</f>
        <v/>
      </c>
      <c r="J17" s="94" t="str">
        <f aca="false">IF(F17="","",SUMIFS(V_DIAS,V_ID,B17,V_INICIO,"&lt;="&amp;F17)+N(INDEX(T_VACPREV,11)))</f>
        <v/>
      </c>
      <c r="K17" s="95" t="str">
        <f aca="false">IF(F17="","",H17+I17-J17)</f>
        <v/>
      </c>
      <c r="L17" s="95" t="str">
        <f aca="false">IF(F17="","",IF(K17&lt;=0,K17,WORKDAY(F17,INT(K17),FERIADOS)-F17+(K17-INT(K17))))</f>
        <v/>
      </c>
      <c r="M17" s="71" t="str">
        <f aca="false">IF(F17="","",(N(INDEX(T_SUELDO,11))+N(INDEX(T_BONO,11)))/30)</f>
        <v/>
      </c>
      <c r="N17" s="71" t="str">
        <f aca="false">IF(F17="","",IF(D17="Desvinculado",0,ROUND(MAX(0,L17)*M17,0)))</f>
        <v/>
      </c>
      <c r="O17" s="73" t="str">
        <f aca="false">IF(F17="","",15+INT(MAX(0,MIN(10,N(INDEX(T_PREV,11)))+DATEDIF(E17,F17+1,"y")-10)/3))</f>
        <v/>
      </c>
      <c r="P17" s="70" t="str">
        <f aca="false">IF(F17="","",IF(D17="Desvinculado","— (se paga en el finiquito)",IF(Q17&gt;=2*O17,"⚠ Tiene 2 períodos acumulados: otorgar vacaciones antes de que se acumule un 3° (Art. 70)",IF(K17&lt;0,"⚠ Saldo negativo (vacaciones anticipadas)",IF(Q17&gt;=O17,"Programar vacaciones (tiene un período anual completo pendiente)","OK")))))</f>
        <v/>
      </c>
      <c r="Q17" s="94" t="str">
        <f aca="false">IF(F17="","",15*DATEDIF(E17,F17+1,"y")+I17-J17)</f>
        <v/>
      </c>
    </row>
    <row r="18" customFormat="false" ht="15" hidden="false" customHeight="false" outlineLevel="0" collapsed="false">
      <c r="B18" s="70" t="str">
        <f aca="false">IFERROR(IF(INDEX(T_ID,12)="","",INDEX(T_ID,12)),"")</f>
        <v/>
      </c>
      <c r="C18" s="70" t="str">
        <f aca="false">IF(B18="","",INDEX(T_NOMBRE,12)&amp;"")</f>
        <v/>
      </c>
      <c r="D18" s="70" t="str">
        <f aca="false">IF(B18="","",INDEX(T_ESTADO,12))</f>
        <v/>
      </c>
      <c r="E18" s="75" t="str">
        <f aca="false">IF(B18="","",INDEX(T_INGRESO,12))</f>
        <v/>
      </c>
      <c r="F18" s="75" t="str">
        <f aca="false">IF(OR(B18="",NOT(ISNUMBER(E18))),"",IF(E18&gt;FECHA_CORTE,"",IF(N(INDEX(T_EGRESO,12))&gt;0,MIN(INDEX(T_EGRESO,12),FECHA_CORTE),FECHA_CORTE)))</f>
        <v/>
      </c>
      <c r="G18" s="94" t="str">
        <f aca="false">IF(F18="","",DATEDIF(E18,F18+1,"m")+(F18+1-EDATE(E18,DATEDIF(E18,F18+1,"m")))/30)</f>
        <v/>
      </c>
      <c r="H18" s="95" t="str">
        <f aca="false">IF(F18="","",1.25*G18)</f>
        <v/>
      </c>
      <c r="I18" s="73" t="str">
        <f aca="false">IF(F18="","",SUMPRODUCT((ANIOS&lt;=DATEDIF(E18,F18+1,"y"))*(MIN(10,N(INDEX(T_PREV,12)))+ANIOS-10&gt;0)*INT((MIN(10,N(INDEX(T_PREV,12)))+ANIOS-10)/3)))</f>
        <v/>
      </c>
      <c r="J18" s="94" t="str">
        <f aca="false">IF(F18="","",SUMIFS(V_DIAS,V_ID,B18,V_INICIO,"&lt;="&amp;F18)+N(INDEX(T_VACPREV,12)))</f>
        <v/>
      </c>
      <c r="K18" s="95" t="str">
        <f aca="false">IF(F18="","",H18+I18-J18)</f>
        <v/>
      </c>
      <c r="L18" s="95" t="str">
        <f aca="false">IF(F18="","",IF(K18&lt;=0,K18,WORKDAY(F18,INT(K18),FERIADOS)-F18+(K18-INT(K18))))</f>
        <v/>
      </c>
      <c r="M18" s="71" t="str">
        <f aca="false">IF(F18="","",(N(INDEX(T_SUELDO,12))+N(INDEX(T_BONO,12)))/30)</f>
        <v/>
      </c>
      <c r="N18" s="71" t="str">
        <f aca="false">IF(F18="","",IF(D18="Desvinculado",0,ROUND(MAX(0,L18)*M18,0)))</f>
        <v/>
      </c>
      <c r="O18" s="73" t="str">
        <f aca="false">IF(F18="","",15+INT(MAX(0,MIN(10,N(INDEX(T_PREV,12)))+DATEDIF(E18,F18+1,"y")-10)/3))</f>
        <v/>
      </c>
      <c r="P18" s="70" t="str">
        <f aca="false">IF(F18="","",IF(D18="Desvinculado","— (se paga en el finiquito)",IF(Q18&gt;=2*O18,"⚠ Tiene 2 períodos acumulados: otorgar vacaciones antes de que se acumule un 3° (Art. 70)",IF(K18&lt;0,"⚠ Saldo negativo (vacaciones anticipadas)",IF(Q18&gt;=O18,"Programar vacaciones (tiene un período anual completo pendiente)","OK")))))</f>
        <v/>
      </c>
      <c r="Q18" s="94" t="str">
        <f aca="false">IF(F18="","",15*DATEDIF(E18,F18+1,"y")+I18-J18)</f>
        <v/>
      </c>
    </row>
    <row r="19" customFormat="false" ht="15" hidden="false" customHeight="false" outlineLevel="0" collapsed="false">
      <c r="B19" s="70" t="str">
        <f aca="false">IFERROR(IF(INDEX(T_ID,13)="","",INDEX(T_ID,13)),"")</f>
        <v/>
      </c>
      <c r="C19" s="70" t="str">
        <f aca="false">IF(B19="","",INDEX(T_NOMBRE,13)&amp;"")</f>
        <v/>
      </c>
      <c r="D19" s="70" t="str">
        <f aca="false">IF(B19="","",INDEX(T_ESTADO,13))</f>
        <v/>
      </c>
      <c r="E19" s="75" t="str">
        <f aca="false">IF(B19="","",INDEX(T_INGRESO,13))</f>
        <v/>
      </c>
      <c r="F19" s="75" t="str">
        <f aca="false">IF(OR(B19="",NOT(ISNUMBER(E19))),"",IF(E19&gt;FECHA_CORTE,"",IF(N(INDEX(T_EGRESO,13))&gt;0,MIN(INDEX(T_EGRESO,13),FECHA_CORTE),FECHA_CORTE)))</f>
        <v/>
      </c>
      <c r="G19" s="94" t="str">
        <f aca="false">IF(F19="","",DATEDIF(E19,F19+1,"m")+(F19+1-EDATE(E19,DATEDIF(E19,F19+1,"m")))/30)</f>
        <v/>
      </c>
      <c r="H19" s="95" t="str">
        <f aca="false">IF(F19="","",1.25*G19)</f>
        <v/>
      </c>
      <c r="I19" s="73" t="str">
        <f aca="false">IF(F19="","",SUMPRODUCT((ANIOS&lt;=DATEDIF(E19,F19+1,"y"))*(MIN(10,N(INDEX(T_PREV,13)))+ANIOS-10&gt;0)*INT((MIN(10,N(INDEX(T_PREV,13)))+ANIOS-10)/3)))</f>
        <v/>
      </c>
      <c r="J19" s="94" t="str">
        <f aca="false">IF(F19="","",SUMIFS(V_DIAS,V_ID,B19,V_INICIO,"&lt;="&amp;F19)+N(INDEX(T_VACPREV,13)))</f>
        <v/>
      </c>
      <c r="K19" s="95" t="str">
        <f aca="false">IF(F19="","",H19+I19-J19)</f>
        <v/>
      </c>
      <c r="L19" s="95" t="str">
        <f aca="false">IF(F19="","",IF(K19&lt;=0,K19,WORKDAY(F19,INT(K19),FERIADOS)-F19+(K19-INT(K19))))</f>
        <v/>
      </c>
      <c r="M19" s="71" t="str">
        <f aca="false">IF(F19="","",(N(INDEX(T_SUELDO,13))+N(INDEX(T_BONO,13)))/30)</f>
        <v/>
      </c>
      <c r="N19" s="71" t="str">
        <f aca="false">IF(F19="","",IF(D19="Desvinculado",0,ROUND(MAX(0,L19)*M19,0)))</f>
        <v/>
      </c>
      <c r="O19" s="73" t="str">
        <f aca="false">IF(F19="","",15+INT(MAX(0,MIN(10,N(INDEX(T_PREV,13)))+DATEDIF(E19,F19+1,"y")-10)/3))</f>
        <v/>
      </c>
      <c r="P19" s="70" t="str">
        <f aca="false">IF(F19="","",IF(D19="Desvinculado","— (se paga en el finiquito)",IF(Q19&gt;=2*O19,"⚠ Tiene 2 períodos acumulados: otorgar vacaciones antes de que se acumule un 3° (Art. 70)",IF(K19&lt;0,"⚠ Saldo negativo (vacaciones anticipadas)",IF(Q19&gt;=O19,"Programar vacaciones (tiene un período anual completo pendiente)","OK")))))</f>
        <v/>
      </c>
      <c r="Q19" s="94" t="str">
        <f aca="false">IF(F19="","",15*DATEDIF(E19,F19+1,"y")+I19-J19)</f>
        <v/>
      </c>
    </row>
    <row r="20" customFormat="false" ht="15" hidden="false" customHeight="false" outlineLevel="0" collapsed="false">
      <c r="B20" s="70" t="str">
        <f aca="false">IFERROR(IF(INDEX(T_ID,14)="","",INDEX(T_ID,14)),"")</f>
        <v/>
      </c>
      <c r="C20" s="70" t="str">
        <f aca="false">IF(B20="","",INDEX(T_NOMBRE,14)&amp;"")</f>
        <v/>
      </c>
      <c r="D20" s="70" t="str">
        <f aca="false">IF(B20="","",INDEX(T_ESTADO,14))</f>
        <v/>
      </c>
      <c r="E20" s="75" t="str">
        <f aca="false">IF(B20="","",INDEX(T_INGRESO,14))</f>
        <v/>
      </c>
      <c r="F20" s="75" t="str">
        <f aca="false">IF(OR(B20="",NOT(ISNUMBER(E20))),"",IF(E20&gt;FECHA_CORTE,"",IF(N(INDEX(T_EGRESO,14))&gt;0,MIN(INDEX(T_EGRESO,14),FECHA_CORTE),FECHA_CORTE)))</f>
        <v/>
      </c>
      <c r="G20" s="94" t="str">
        <f aca="false">IF(F20="","",DATEDIF(E20,F20+1,"m")+(F20+1-EDATE(E20,DATEDIF(E20,F20+1,"m")))/30)</f>
        <v/>
      </c>
      <c r="H20" s="95" t="str">
        <f aca="false">IF(F20="","",1.25*G20)</f>
        <v/>
      </c>
      <c r="I20" s="73" t="str">
        <f aca="false">IF(F20="","",SUMPRODUCT((ANIOS&lt;=DATEDIF(E20,F20+1,"y"))*(MIN(10,N(INDEX(T_PREV,14)))+ANIOS-10&gt;0)*INT((MIN(10,N(INDEX(T_PREV,14)))+ANIOS-10)/3)))</f>
        <v/>
      </c>
      <c r="J20" s="94" t="str">
        <f aca="false">IF(F20="","",SUMIFS(V_DIAS,V_ID,B20,V_INICIO,"&lt;="&amp;F20)+N(INDEX(T_VACPREV,14)))</f>
        <v/>
      </c>
      <c r="K20" s="95" t="str">
        <f aca="false">IF(F20="","",H20+I20-J20)</f>
        <v/>
      </c>
      <c r="L20" s="95" t="str">
        <f aca="false">IF(F20="","",IF(K20&lt;=0,K20,WORKDAY(F20,INT(K20),FERIADOS)-F20+(K20-INT(K20))))</f>
        <v/>
      </c>
      <c r="M20" s="71" t="str">
        <f aca="false">IF(F20="","",(N(INDEX(T_SUELDO,14))+N(INDEX(T_BONO,14)))/30)</f>
        <v/>
      </c>
      <c r="N20" s="71" t="str">
        <f aca="false">IF(F20="","",IF(D20="Desvinculado",0,ROUND(MAX(0,L20)*M20,0)))</f>
        <v/>
      </c>
      <c r="O20" s="73" t="str">
        <f aca="false">IF(F20="","",15+INT(MAX(0,MIN(10,N(INDEX(T_PREV,14)))+DATEDIF(E20,F20+1,"y")-10)/3))</f>
        <v/>
      </c>
      <c r="P20" s="70" t="str">
        <f aca="false">IF(F20="","",IF(D20="Desvinculado","— (se paga en el finiquito)",IF(Q20&gt;=2*O20,"⚠ Tiene 2 períodos acumulados: otorgar vacaciones antes de que se acumule un 3° (Art. 70)",IF(K20&lt;0,"⚠ Saldo negativo (vacaciones anticipadas)",IF(Q20&gt;=O20,"Programar vacaciones (tiene un período anual completo pendiente)","OK")))))</f>
        <v/>
      </c>
      <c r="Q20" s="94" t="str">
        <f aca="false">IF(F20="","",15*DATEDIF(E20,F20+1,"y")+I20-J20)</f>
        <v/>
      </c>
    </row>
    <row r="21" customFormat="false" ht="15" hidden="false" customHeight="false" outlineLevel="0" collapsed="false">
      <c r="B21" s="70" t="str">
        <f aca="false">IFERROR(IF(INDEX(T_ID,15)="","",INDEX(T_ID,15)),"")</f>
        <v/>
      </c>
      <c r="C21" s="70" t="str">
        <f aca="false">IF(B21="","",INDEX(T_NOMBRE,15)&amp;"")</f>
        <v/>
      </c>
      <c r="D21" s="70" t="str">
        <f aca="false">IF(B21="","",INDEX(T_ESTADO,15))</f>
        <v/>
      </c>
      <c r="E21" s="75" t="str">
        <f aca="false">IF(B21="","",INDEX(T_INGRESO,15))</f>
        <v/>
      </c>
      <c r="F21" s="75" t="str">
        <f aca="false">IF(OR(B21="",NOT(ISNUMBER(E21))),"",IF(E21&gt;FECHA_CORTE,"",IF(N(INDEX(T_EGRESO,15))&gt;0,MIN(INDEX(T_EGRESO,15),FECHA_CORTE),FECHA_CORTE)))</f>
        <v/>
      </c>
      <c r="G21" s="94" t="str">
        <f aca="false">IF(F21="","",DATEDIF(E21,F21+1,"m")+(F21+1-EDATE(E21,DATEDIF(E21,F21+1,"m")))/30)</f>
        <v/>
      </c>
      <c r="H21" s="95" t="str">
        <f aca="false">IF(F21="","",1.25*G21)</f>
        <v/>
      </c>
      <c r="I21" s="73" t="str">
        <f aca="false">IF(F21="","",SUMPRODUCT((ANIOS&lt;=DATEDIF(E21,F21+1,"y"))*(MIN(10,N(INDEX(T_PREV,15)))+ANIOS-10&gt;0)*INT((MIN(10,N(INDEX(T_PREV,15)))+ANIOS-10)/3)))</f>
        <v/>
      </c>
      <c r="J21" s="94" t="str">
        <f aca="false">IF(F21="","",SUMIFS(V_DIAS,V_ID,B21,V_INICIO,"&lt;="&amp;F21)+N(INDEX(T_VACPREV,15)))</f>
        <v/>
      </c>
      <c r="K21" s="95" t="str">
        <f aca="false">IF(F21="","",H21+I21-J21)</f>
        <v/>
      </c>
      <c r="L21" s="95" t="str">
        <f aca="false">IF(F21="","",IF(K21&lt;=0,K21,WORKDAY(F21,INT(K21),FERIADOS)-F21+(K21-INT(K21))))</f>
        <v/>
      </c>
      <c r="M21" s="71" t="str">
        <f aca="false">IF(F21="","",(N(INDEX(T_SUELDO,15))+N(INDEX(T_BONO,15)))/30)</f>
        <v/>
      </c>
      <c r="N21" s="71" t="str">
        <f aca="false">IF(F21="","",IF(D21="Desvinculado",0,ROUND(MAX(0,L21)*M21,0)))</f>
        <v/>
      </c>
      <c r="O21" s="73" t="str">
        <f aca="false">IF(F21="","",15+INT(MAX(0,MIN(10,N(INDEX(T_PREV,15)))+DATEDIF(E21,F21+1,"y")-10)/3))</f>
        <v/>
      </c>
      <c r="P21" s="70" t="str">
        <f aca="false">IF(F21="","",IF(D21="Desvinculado","— (se paga en el finiquito)",IF(Q21&gt;=2*O21,"⚠ Tiene 2 períodos acumulados: otorgar vacaciones antes de que se acumule un 3° (Art. 70)",IF(K21&lt;0,"⚠ Saldo negativo (vacaciones anticipadas)",IF(Q21&gt;=O21,"Programar vacaciones (tiene un período anual completo pendiente)","OK")))))</f>
        <v/>
      </c>
      <c r="Q21" s="94" t="str">
        <f aca="false">IF(F21="","",15*DATEDIF(E21,F21+1,"y")+I21-J21)</f>
        <v/>
      </c>
    </row>
    <row r="22" customFormat="false" ht="15" hidden="false" customHeight="false" outlineLevel="0" collapsed="false">
      <c r="B22" s="70" t="str">
        <f aca="false">IFERROR(IF(INDEX(T_ID,16)="","",INDEX(T_ID,16)),"")</f>
        <v/>
      </c>
      <c r="C22" s="70" t="str">
        <f aca="false">IF(B22="","",INDEX(T_NOMBRE,16)&amp;"")</f>
        <v/>
      </c>
      <c r="D22" s="70" t="str">
        <f aca="false">IF(B22="","",INDEX(T_ESTADO,16))</f>
        <v/>
      </c>
      <c r="E22" s="75" t="str">
        <f aca="false">IF(B22="","",INDEX(T_INGRESO,16))</f>
        <v/>
      </c>
      <c r="F22" s="75" t="str">
        <f aca="false">IF(OR(B22="",NOT(ISNUMBER(E22))),"",IF(E22&gt;FECHA_CORTE,"",IF(N(INDEX(T_EGRESO,16))&gt;0,MIN(INDEX(T_EGRESO,16),FECHA_CORTE),FECHA_CORTE)))</f>
        <v/>
      </c>
      <c r="G22" s="94" t="str">
        <f aca="false">IF(F22="","",DATEDIF(E22,F22+1,"m")+(F22+1-EDATE(E22,DATEDIF(E22,F22+1,"m")))/30)</f>
        <v/>
      </c>
      <c r="H22" s="95" t="str">
        <f aca="false">IF(F22="","",1.25*G22)</f>
        <v/>
      </c>
      <c r="I22" s="73" t="str">
        <f aca="false">IF(F22="","",SUMPRODUCT((ANIOS&lt;=DATEDIF(E22,F22+1,"y"))*(MIN(10,N(INDEX(T_PREV,16)))+ANIOS-10&gt;0)*INT((MIN(10,N(INDEX(T_PREV,16)))+ANIOS-10)/3)))</f>
        <v/>
      </c>
      <c r="J22" s="94" t="str">
        <f aca="false">IF(F22="","",SUMIFS(V_DIAS,V_ID,B22,V_INICIO,"&lt;="&amp;F22)+N(INDEX(T_VACPREV,16)))</f>
        <v/>
      </c>
      <c r="K22" s="95" t="str">
        <f aca="false">IF(F22="","",H22+I22-J22)</f>
        <v/>
      </c>
      <c r="L22" s="95" t="str">
        <f aca="false">IF(F22="","",IF(K22&lt;=0,K22,WORKDAY(F22,INT(K22),FERIADOS)-F22+(K22-INT(K22))))</f>
        <v/>
      </c>
      <c r="M22" s="71" t="str">
        <f aca="false">IF(F22="","",(N(INDEX(T_SUELDO,16))+N(INDEX(T_BONO,16)))/30)</f>
        <v/>
      </c>
      <c r="N22" s="71" t="str">
        <f aca="false">IF(F22="","",IF(D22="Desvinculado",0,ROUND(MAX(0,L22)*M22,0)))</f>
        <v/>
      </c>
      <c r="O22" s="73" t="str">
        <f aca="false">IF(F22="","",15+INT(MAX(0,MIN(10,N(INDEX(T_PREV,16)))+DATEDIF(E22,F22+1,"y")-10)/3))</f>
        <v/>
      </c>
      <c r="P22" s="70" t="str">
        <f aca="false">IF(F22="","",IF(D22="Desvinculado","— (se paga en el finiquito)",IF(Q22&gt;=2*O22,"⚠ Tiene 2 períodos acumulados: otorgar vacaciones antes de que se acumule un 3° (Art. 70)",IF(K22&lt;0,"⚠ Saldo negativo (vacaciones anticipadas)",IF(Q22&gt;=O22,"Programar vacaciones (tiene un período anual completo pendiente)","OK")))))</f>
        <v/>
      </c>
      <c r="Q22" s="94" t="str">
        <f aca="false">IF(F22="","",15*DATEDIF(E22,F22+1,"y")+I22-J22)</f>
        <v/>
      </c>
    </row>
    <row r="23" customFormat="false" ht="15" hidden="false" customHeight="false" outlineLevel="0" collapsed="false">
      <c r="B23" s="70" t="str">
        <f aca="false">IFERROR(IF(INDEX(T_ID,17)="","",INDEX(T_ID,17)),"")</f>
        <v/>
      </c>
      <c r="C23" s="70" t="str">
        <f aca="false">IF(B23="","",INDEX(T_NOMBRE,17)&amp;"")</f>
        <v/>
      </c>
      <c r="D23" s="70" t="str">
        <f aca="false">IF(B23="","",INDEX(T_ESTADO,17))</f>
        <v/>
      </c>
      <c r="E23" s="75" t="str">
        <f aca="false">IF(B23="","",INDEX(T_INGRESO,17))</f>
        <v/>
      </c>
      <c r="F23" s="75" t="str">
        <f aca="false">IF(OR(B23="",NOT(ISNUMBER(E23))),"",IF(E23&gt;FECHA_CORTE,"",IF(N(INDEX(T_EGRESO,17))&gt;0,MIN(INDEX(T_EGRESO,17),FECHA_CORTE),FECHA_CORTE)))</f>
        <v/>
      </c>
      <c r="G23" s="94" t="str">
        <f aca="false">IF(F23="","",DATEDIF(E23,F23+1,"m")+(F23+1-EDATE(E23,DATEDIF(E23,F23+1,"m")))/30)</f>
        <v/>
      </c>
      <c r="H23" s="95" t="str">
        <f aca="false">IF(F23="","",1.25*G23)</f>
        <v/>
      </c>
      <c r="I23" s="73" t="str">
        <f aca="false">IF(F23="","",SUMPRODUCT((ANIOS&lt;=DATEDIF(E23,F23+1,"y"))*(MIN(10,N(INDEX(T_PREV,17)))+ANIOS-10&gt;0)*INT((MIN(10,N(INDEX(T_PREV,17)))+ANIOS-10)/3)))</f>
        <v/>
      </c>
      <c r="J23" s="94" t="str">
        <f aca="false">IF(F23="","",SUMIFS(V_DIAS,V_ID,B23,V_INICIO,"&lt;="&amp;F23)+N(INDEX(T_VACPREV,17)))</f>
        <v/>
      </c>
      <c r="K23" s="95" t="str">
        <f aca="false">IF(F23="","",H23+I23-J23)</f>
        <v/>
      </c>
      <c r="L23" s="95" t="str">
        <f aca="false">IF(F23="","",IF(K23&lt;=0,K23,WORKDAY(F23,INT(K23),FERIADOS)-F23+(K23-INT(K23))))</f>
        <v/>
      </c>
      <c r="M23" s="71" t="str">
        <f aca="false">IF(F23="","",(N(INDEX(T_SUELDO,17))+N(INDEX(T_BONO,17)))/30)</f>
        <v/>
      </c>
      <c r="N23" s="71" t="str">
        <f aca="false">IF(F23="","",IF(D23="Desvinculado",0,ROUND(MAX(0,L23)*M23,0)))</f>
        <v/>
      </c>
      <c r="O23" s="73" t="str">
        <f aca="false">IF(F23="","",15+INT(MAX(0,MIN(10,N(INDEX(T_PREV,17)))+DATEDIF(E23,F23+1,"y")-10)/3))</f>
        <v/>
      </c>
      <c r="P23" s="70" t="str">
        <f aca="false">IF(F23="","",IF(D23="Desvinculado","— (se paga en el finiquito)",IF(Q23&gt;=2*O23,"⚠ Tiene 2 períodos acumulados: otorgar vacaciones antes de que se acumule un 3° (Art. 70)",IF(K23&lt;0,"⚠ Saldo negativo (vacaciones anticipadas)",IF(Q23&gt;=O23,"Programar vacaciones (tiene un período anual completo pendiente)","OK")))))</f>
        <v/>
      </c>
      <c r="Q23" s="94" t="str">
        <f aca="false">IF(F23="","",15*DATEDIF(E23,F23+1,"y")+I23-J23)</f>
        <v/>
      </c>
    </row>
    <row r="24" customFormat="false" ht="15" hidden="false" customHeight="false" outlineLevel="0" collapsed="false">
      <c r="B24" s="70" t="str">
        <f aca="false">IFERROR(IF(INDEX(T_ID,18)="","",INDEX(T_ID,18)),"")</f>
        <v/>
      </c>
      <c r="C24" s="70" t="str">
        <f aca="false">IF(B24="","",INDEX(T_NOMBRE,18)&amp;"")</f>
        <v/>
      </c>
      <c r="D24" s="70" t="str">
        <f aca="false">IF(B24="","",INDEX(T_ESTADO,18))</f>
        <v/>
      </c>
      <c r="E24" s="75" t="str">
        <f aca="false">IF(B24="","",INDEX(T_INGRESO,18))</f>
        <v/>
      </c>
      <c r="F24" s="75" t="str">
        <f aca="false">IF(OR(B24="",NOT(ISNUMBER(E24))),"",IF(E24&gt;FECHA_CORTE,"",IF(N(INDEX(T_EGRESO,18))&gt;0,MIN(INDEX(T_EGRESO,18),FECHA_CORTE),FECHA_CORTE)))</f>
        <v/>
      </c>
      <c r="G24" s="94" t="str">
        <f aca="false">IF(F24="","",DATEDIF(E24,F24+1,"m")+(F24+1-EDATE(E24,DATEDIF(E24,F24+1,"m")))/30)</f>
        <v/>
      </c>
      <c r="H24" s="95" t="str">
        <f aca="false">IF(F24="","",1.25*G24)</f>
        <v/>
      </c>
      <c r="I24" s="73" t="str">
        <f aca="false">IF(F24="","",SUMPRODUCT((ANIOS&lt;=DATEDIF(E24,F24+1,"y"))*(MIN(10,N(INDEX(T_PREV,18)))+ANIOS-10&gt;0)*INT((MIN(10,N(INDEX(T_PREV,18)))+ANIOS-10)/3)))</f>
        <v/>
      </c>
      <c r="J24" s="94" t="str">
        <f aca="false">IF(F24="","",SUMIFS(V_DIAS,V_ID,B24,V_INICIO,"&lt;="&amp;F24)+N(INDEX(T_VACPREV,18)))</f>
        <v/>
      </c>
      <c r="K24" s="95" t="str">
        <f aca="false">IF(F24="","",H24+I24-J24)</f>
        <v/>
      </c>
      <c r="L24" s="95" t="str">
        <f aca="false">IF(F24="","",IF(K24&lt;=0,K24,WORKDAY(F24,INT(K24),FERIADOS)-F24+(K24-INT(K24))))</f>
        <v/>
      </c>
      <c r="M24" s="71" t="str">
        <f aca="false">IF(F24="","",(N(INDEX(T_SUELDO,18))+N(INDEX(T_BONO,18)))/30)</f>
        <v/>
      </c>
      <c r="N24" s="71" t="str">
        <f aca="false">IF(F24="","",IF(D24="Desvinculado",0,ROUND(MAX(0,L24)*M24,0)))</f>
        <v/>
      </c>
      <c r="O24" s="73" t="str">
        <f aca="false">IF(F24="","",15+INT(MAX(0,MIN(10,N(INDEX(T_PREV,18)))+DATEDIF(E24,F24+1,"y")-10)/3))</f>
        <v/>
      </c>
      <c r="P24" s="70" t="str">
        <f aca="false">IF(F24="","",IF(D24="Desvinculado","— (se paga en el finiquito)",IF(Q24&gt;=2*O24,"⚠ Tiene 2 períodos acumulados: otorgar vacaciones antes de que se acumule un 3° (Art. 70)",IF(K24&lt;0,"⚠ Saldo negativo (vacaciones anticipadas)",IF(Q24&gt;=O24,"Programar vacaciones (tiene un período anual completo pendiente)","OK")))))</f>
        <v/>
      </c>
      <c r="Q24" s="94" t="str">
        <f aca="false">IF(F24="","",15*DATEDIF(E24,F24+1,"y")+I24-J24)</f>
        <v/>
      </c>
    </row>
    <row r="25" customFormat="false" ht="15" hidden="false" customHeight="false" outlineLevel="0" collapsed="false">
      <c r="B25" s="70" t="str">
        <f aca="false">IFERROR(IF(INDEX(T_ID,19)="","",INDEX(T_ID,19)),"")</f>
        <v/>
      </c>
      <c r="C25" s="70" t="str">
        <f aca="false">IF(B25="","",INDEX(T_NOMBRE,19)&amp;"")</f>
        <v/>
      </c>
      <c r="D25" s="70" t="str">
        <f aca="false">IF(B25="","",INDEX(T_ESTADO,19))</f>
        <v/>
      </c>
      <c r="E25" s="75" t="str">
        <f aca="false">IF(B25="","",INDEX(T_INGRESO,19))</f>
        <v/>
      </c>
      <c r="F25" s="75" t="str">
        <f aca="false">IF(OR(B25="",NOT(ISNUMBER(E25))),"",IF(E25&gt;FECHA_CORTE,"",IF(N(INDEX(T_EGRESO,19))&gt;0,MIN(INDEX(T_EGRESO,19),FECHA_CORTE),FECHA_CORTE)))</f>
        <v/>
      </c>
      <c r="G25" s="94" t="str">
        <f aca="false">IF(F25="","",DATEDIF(E25,F25+1,"m")+(F25+1-EDATE(E25,DATEDIF(E25,F25+1,"m")))/30)</f>
        <v/>
      </c>
      <c r="H25" s="95" t="str">
        <f aca="false">IF(F25="","",1.25*G25)</f>
        <v/>
      </c>
      <c r="I25" s="73" t="str">
        <f aca="false">IF(F25="","",SUMPRODUCT((ANIOS&lt;=DATEDIF(E25,F25+1,"y"))*(MIN(10,N(INDEX(T_PREV,19)))+ANIOS-10&gt;0)*INT((MIN(10,N(INDEX(T_PREV,19)))+ANIOS-10)/3)))</f>
        <v/>
      </c>
      <c r="J25" s="94" t="str">
        <f aca="false">IF(F25="","",SUMIFS(V_DIAS,V_ID,B25,V_INICIO,"&lt;="&amp;F25)+N(INDEX(T_VACPREV,19)))</f>
        <v/>
      </c>
      <c r="K25" s="95" t="str">
        <f aca="false">IF(F25="","",H25+I25-J25)</f>
        <v/>
      </c>
      <c r="L25" s="95" t="str">
        <f aca="false">IF(F25="","",IF(K25&lt;=0,K25,WORKDAY(F25,INT(K25),FERIADOS)-F25+(K25-INT(K25))))</f>
        <v/>
      </c>
      <c r="M25" s="71" t="str">
        <f aca="false">IF(F25="","",(N(INDEX(T_SUELDO,19))+N(INDEX(T_BONO,19)))/30)</f>
        <v/>
      </c>
      <c r="N25" s="71" t="str">
        <f aca="false">IF(F25="","",IF(D25="Desvinculado",0,ROUND(MAX(0,L25)*M25,0)))</f>
        <v/>
      </c>
      <c r="O25" s="73" t="str">
        <f aca="false">IF(F25="","",15+INT(MAX(0,MIN(10,N(INDEX(T_PREV,19)))+DATEDIF(E25,F25+1,"y")-10)/3))</f>
        <v/>
      </c>
      <c r="P25" s="70" t="str">
        <f aca="false">IF(F25="","",IF(D25="Desvinculado","— (se paga en el finiquito)",IF(Q25&gt;=2*O25,"⚠ Tiene 2 períodos acumulados: otorgar vacaciones antes de que se acumule un 3° (Art. 70)",IF(K25&lt;0,"⚠ Saldo negativo (vacaciones anticipadas)",IF(Q25&gt;=O25,"Programar vacaciones (tiene un período anual completo pendiente)","OK")))))</f>
        <v/>
      </c>
      <c r="Q25" s="94" t="str">
        <f aca="false">IF(F25="","",15*DATEDIF(E25,F25+1,"y")+I25-J25)</f>
        <v/>
      </c>
    </row>
    <row r="26" customFormat="false" ht="15" hidden="false" customHeight="false" outlineLevel="0" collapsed="false">
      <c r="B26" s="70" t="str">
        <f aca="false">IFERROR(IF(INDEX(T_ID,20)="","",INDEX(T_ID,20)),"")</f>
        <v/>
      </c>
      <c r="C26" s="70" t="str">
        <f aca="false">IF(B26="","",INDEX(T_NOMBRE,20)&amp;"")</f>
        <v/>
      </c>
      <c r="D26" s="70" t="str">
        <f aca="false">IF(B26="","",INDEX(T_ESTADO,20))</f>
        <v/>
      </c>
      <c r="E26" s="75" t="str">
        <f aca="false">IF(B26="","",INDEX(T_INGRESO,20))</f>
        <v/>
      </c>
      <c r="F26" s="75" t="str">
        <f aca="false">IF(OR(B26="",NOT(ISNUMBER(E26))),"",IF(E26&gt;FECHA_CORTE,"",IF(N(INDEX(T_EGRESO,20))&gt;0,MIN(INDEX(T_EGRESO,20),FECHA_CORTE),FECHA_CORTE)))</f>
        <v/>
      </c>
      <c r="G26" s="94" t="str">
        <f aca="false">IF(F26="","",DATEDIF(E26,F26+1,"m")+(F26+1-EDATE(E26,DATEDIF(E26,F26+1,"m")))/30)</f>
        <v/>
      </c>
      <c r="H26" s="95" t="str">
        <f aca="false">IF(F26="","",1.25*G26)</f>
        <v/>
      </c>
      <c r="I26" s="73" t="str">
        <f aca="false">IF(F26="","",SUMPRODUCT((ANIOS&lt;=DATEDIF(E26,F26+1,"y"))*(MIN(10,N(INDEX(T_PREV,20)))+ANIOS-10&gt;0)*INT((MIN(10,N(INDEX(T_PREV,20)))+ANIOS-10)/3)))</f>
        <v/>
      </c>
      <c r="J26" s="94" t="str">
        <f aca="false">IF(F26="","",SUMIFS(V_DIAS,V_ID,B26,V_INICIO,"&lt;="&amp;F26)+N(INDEX(T_VACPREV,20)))</f>
        <v/>
      </c>
      <c r="K26" s="95" t="str">
        <f aca="false">IF(F26="","",H26+I26-J26)</f>
        <v/>
      </c>
      <c r="L26" s="95" t="str">
        <f aca="false">IF(F26="","",IF(K26&lt;=0,K26,WORKDAY(F26,INT(K26),FERIADOS)-F26+(K26-INT(K26))))</f>
        <v/>
      </c>
      <c r="M26" s="71" t="str">
        <f aca="false">IF(F26="","",(N(INDEX(T_SUELDO,20))+N(INDEX(T_BONO,20)))/30)</f>
        <v/>
      </c>
      <c r="N26" s="71" t="str">
        <f aca="false">IF(F26="","",IF(D26="Desvinculado",0,ROUND(MAX(0,L26)*M26,0)))</f>
        <v/>
      </c>
      <c r="O26" s="73" t="str">
        <f aca="false">IF(F26="","",15+INT(MAX(0,MIN(10,N(INDEX(T_PREV,20)))+DATEDIF(E26,F26+1,"y")-10)/3))</f>
        <v/>
      </c>
      <c r="P26" s="70" t="str">
        <f aca="false">IF(F26="","",IF(D26="Desvinculado","— (se paga en el finiquito)",IF(Q26&gt;=2*O26,"⚠ Tiene 2 períodos acumulados: otorgar vacaciones antes de que se acumule un 3° (Art. 70)",IF(K26&lt;0,"⚠ Saldo negativo (vacaciones anticipadas)",IF(Q26&gt;=O26,"Programar vacaciones (tiene un período anual completo pendiente)","OK")))))</f>
        <v/>
      </c>
      <c r="Q26" s="94" t="str">
        <f aca="false">IF(F26="","",15*DATEDIF(E26,F26+1,"y")+I26-J26)</f>
        <v/>
      </c>
    </row>
    <row r="27" customFormat="false" ht="15" hidden="false" customHeight="false" outlineLevel="0" collapsed="false">
      <c r="B27" s="70" t="str">
        <f aca="false">IFERROR(IF(INDEX(T_ID,21)="","",INDEX(T_ID,21)),"")</f>
        <v/>
      </c>
      <c r="C27" s="70" t="str">
        <f aca="false">IF(B27="","",INDEX(T_NOMBRE,21)&amp;"")</f>
        <v/>
      </c>
      <c r="D27" s="70" t="str">
        <f aca="false">IF(B27="","",INDEX(T_ESTADO,21))</f>
        <v/>
      </c>
      <c r="E27" s="75" t="str">
        <f aca="false">IF(B27="","",INDEX(T_INGRESO,21))</f>
        <v/>
      </c>
      <c r="F27" s="75" t="str">
        <f aca="false">IF(OR(B27="",NOT(ISNUMBER(E27))),"",IF(E27&gt;FECHA_CORTE,"",IF(N(INDEX(T_EGRESO,21))&gt;0,MIN(INDEX(T_EGRESO,21),FECHA_CORTE),FECHA_CORTE)))</f>
        <v/>
      </c>
      <c r="G27" s="94" t="str">
        <f aca="false">IF(F27="","",DATEDIF(E27,F27+1,"m")+(F27+1-EDATE(E27,DATEDIF(E27,F27+1,"m")))/30)</f>
        <v/>
      </c>
      <c r="H27" s="95" t="str">
        <f aca="false">IF(F27="","",1.25*G27)</f>
        <v/>
      </c>
      <c r="I27" s="73" t="str">
        <f aca="false">IF(F27="","",SUMPRODUCT((ANIOS&lt;=DATEDIF(E27,F27+1,"y"))*(MIN(10,N(INDEX(T_PREV,21)))+ANIOS-10&gt;0)*INT((MIN(10,N(INDEX(T_PREV,21)))+ANIOS-10)/3)))</f>
        <v/>
      </c>
      <c r="J27" s="94" t="str">
        <f aca="false">IF(F27="","",SUMIFS(V_DIAS,V_ID,B27,V_INICIO,"&lt;="&amp;F27)+N(INDEX(T_VACPREV,21)))</f>
        <v/>
      </c>
      <c r="K27" s="95" t="str">
        <f aca="false">IF(F27="","",H27+I27-J27)</f>
        <v/>
      </c>
      <c r="L27" s="95" t="str">
        <f aca="false">IF(F27="","",IF(K27&lt;=0,K27,WORKDAY(F27,INT(K27),FERIADOS)-F27+(K27-INT(K27))))</f>
        <v/>
      </c>
      <c r="M27" s="71" t="str">
        <f aca="false">IF(F27="","",(N(INDEX(T_SUELDO,21))+N(INDEX(T_BONO,21)))/30)</f>
        <v/>
      </c>
      <c r="N27" s="71" t="str">
        <f aca="false">IF(F27="","",IF(D27="Desvinculado",0,ROUND(MAX(0,L27)*M27,0)))</f>
        <v/>
      </c>
      <c r="O27" s="73" t="str">
        <f aca="false">IF(F27="","",15+INT(MAX(0,MIN(10,N(INDEX(T_PREV,21)))+DATEDIF(E27,F27+1,"y")-10)/3))</f>
        <v/>
      </c>
      <c r="P27" s="70" t="str">
        <f aca="false">IF(F27="","",IF(D27="Desvinculado","— (se paga en el finiquito)",IF(Q27&gt;=2*O27,"⚠ Tiene 2 períodos acumulados: otorgar vacaciones antes de que se acumule un 3° (Art. 70)",IF(K27&lt;0,"⚠ Saldo negativo (vacaciones anticipadas)",IF(Q27&gt;=O27,"Programar vacaciones (tiene un período anual completo pendiente)","OK")))))</f>
        <v/>
      </c>
      <c r="Q27" s="94" t="str">
        <f aca="false">IF(F27="","",15*DATEDIF(E27,F27+1,"y")+I27-J27)</f>
        <v/>
      </c>
    </row>
    <row r="28" customFormat="false" ht="15" hidden="false" customHeight="false" outlineLevel="0" collapsed="false">
      <c r="B28" s="70" t="str">
        <f aca="false">IFERROR(IF(INDEX(T_ID,22)="","",INDEX(T_ID,22)),"")</f>
        <v/>
      </c>
      <c r="C28" s="70" t="str">
        <f aca="false">IF(B28="","",INDEX(T_NOMBRE,22)&amp;"")</f>
        <v/>
      </c>
      <c r="D28" s="70" t="str">
        <f aca="false">IF(B28="","",INDEX(T_ESTADO,22))</f>
        <v/>
      </c>
      <c r="E28" s="75" t="str">
        <f aca="false">IF(B28="","",INDEX(T_INGRESO,22))</f>
        <v/>
      </c>
      <c r="F28" s="75" t="str">
        <f aca="false">IF(OR(B28="",NOT(ISNUMBER(E28))),"",IF(E28&gt;FECHA_CORTE,"",IF(N(INDEX(T_EGRESO,22))&gt;0,MIN(INDEX(T_EGRESO,22),FECHA_CORTE),FECHA_CORTE)))</f>
        <v/>
      </c>
      <c r="G28" s="94" t="str">
        <f aca="false">IF(F28="","",DATEDIF(E28,F28+1,"m")+(F28+1-EDATE(E28,DATEDIF(E28,F28+1,"m")))/30)</f>
        <v/>
      </c>
      <c r="H28" s="95" t="str">
        <f aca="false">IF(F28="","",1.25*G28)</f>
        <v/>
      </c>
      <c r="I28" s="73" t="str">
        <f aca="false">IF(F28="","",SUMPRODUCT((ANIOS&lt;=DATEDIF(E28,F28+1,"y"))*(MIN(10,N(INDEX(T_PREV,22)))+ANIOS-10&gt;0)*INT((MIN(10,N(INDEX(T_PREV,22)))+ANIOS-10)/3)))</f>
        <v/>
      </c>
      <c r="J28" s="94" t="str">
        <f aca="false">IF(F28="","",SUMIFS(V_DIAS,V_ID,B28,V_INICIO,"&lt;="&amp;F28)+N(INDEX(T_VACPREV,22)))</f>
        <v/>
      </c>
      <c r="K28" s="95" t="str">
        <f aca="false">IF(F28="","",H28+I28-J28)</f>
        <v/>
      </c>
      <c r="L28" s="95" t="str">
        <f aca="false">IF(F28="","",IF(K28&lt;=0,K28,WORKDAY(F28,INT(K28),FERIADOS)-F28+(K28-INT(K28))))</f>
        <v/>
      </c>
      <c r="M28" s="71" t="str">
        <f aca="false">IF(F28="","",(N(INDEX(T_SUELDO,22))+N(INDEX(T_BONO,22)))/30)</f>
        <v/>
      </c>
      <c r="N28" s="71" t="str">
        <f aca="false">IF(F28="","",IF(D28="Desvinculado",0,ROUND(MAX(0,L28)*M28,0)))</f>
        <v/>
      </c>
      <c r="O28" s="73" t="str">
        <f aca="false">IF(F28="","",15+INT(MAX(0,MIN(10,N(INDEX(T_PREV,22)))+DATEDIF(E28,F28+1,"y")-10)/3))</f>
        <v/>
      </c>
      <c r="P28" s="70" t="str">
        <f aca="false">IF(F28="","",IF(D28="Desvinculado","— (se paga en el finiquito)",IF(Q28&gt;=2*O28,"⚠ Tiene 2 períodos acumulados: otorgar vacaciones antes de que se acumule un 3° (Art. 70)",IF(K28&lt;0,"⚠ Saldo negativo (vacaciones anticipadas)",IF(Q28&gt;=O28,"Programar vacaciones (tiene un período anual completo pendiente)","OK")))))</f>
        <v/>
      </c>
      <c r="Q28" s="94" t="str">
        <f aca="false">IF(F28="","",15*DATEDIF(E28,F28+1,"y")+I28-J28)</f>
        <v/>
      </c>
    </row>
    <row r="29" customFormat="false" ht="15" hidden="false" customHeight="false" outlineLevel="0" collapsed="false">
      <c r="B29" s="70" t="str">
        <f aca="false">IFERROR(IF(INDEX(T_ID,23)="","",INDEX(T_ID,23)),"")</f>
        <v/>
      </c>
      <c r="C29" s="70" t="str">
        <f aca="false">IF(B29="","",INDEX(T_NOMBRE,23)&amp;"")</f>
        <v/>
      </c>
      <c r="D29" s="70" t="str">
        <f aca="false">IF(B29="","",INDEX(T_ESTADO,23))</f>
        <v/>
      </c>
      <c r="E29" s="75" t="str">
        <f aca="false">IF(B29="","",INDEX(T_INGRESO,23))</f>
        <v/>
      </c>
      <c r="F29" s="75" t="str">
        <f aca="false">IF(OR(B29="",NOT(ISNUMBER(E29))),"",IF(E29&gt;FECHA_CORTE,"",IF(N(INDEX(T_EGRESO,23))&gt;0,MIN(INDEX(T_EGRESO,23),FECHA_CORTE),FECHA_CORTE)))</f>
        <v/>
      </c>
      <c r="G29" s="94" t="str">
        <f aca="false">IF(F29="","",DATEDIF(E29,F29+1,"m")+(F29+1-EDATE(E29,DATEDIF(E29,F29+1,"m")))/30)</f>
        <v/>
      </c>
      <c r="H29" s="95" t="str">
        <f aca="false">IF(F29="","",1.25*G29)</f>
        <v/>
      </c>
      <c r="I29" s="73" t="str">
        <f aca="false">IF(F29="","",SUMPRODUCT((ANIOS&lt;=DATEDIF(E29,F29+1,"y"))*(MIN(10,N(INDEX(T_PREV,23)))+ANIOS-10&gt;0)*INT((MIN(10,N(INDEX(T_PREV,23)))+ANIOS-10)/3)))</f>
        <v/>
      </c>
      <c r="J29" s="94" t="str">
        <f aca="false">IF(F29="","",SUMIFS(V_DIAS,V_ID,B29,V_INICIO,"&lt;="&amp;F29)+N(INDEX(T_VACPREV,23)))</f>
        <v/>
      </c>
      <c r="K29" s="95" t="str">
        <f aca="false">IF(F29="","",H29+I29-J29)</f>
        <v/>
      </c>
      <c r="L29" s="95" t="str">
        <f aca="false">IF(F29="","",IF(K29&lt;=0,K29,WORKDAY(F29,INT(K29),FERIADOS)-F29+(K29-INT(K29))))</f>
        <v/>
      </c>
      <c r="M29" s="71" t="str">
        <f aca="false">IF(F29="","",(N(INDEX(T_SUELDO,23))+N(INDEX(T_BONO,23)))/30)</f>
        <v/>
      </c>
      <c r="N29" s="71" t="str">
        <f aca="false">IF(F29="","",IF(D29="Desvinculado",0,ROUND(MAX(0,L29)*M29,0)))</f>
        <v/>
      </c>
      <c r="O29" s="73" t="str">
        <f aca="false">IF(F29="","",15+INT(MAX(0,MIN(10,N(INDEX(T_PREV,23)))+DATEDIF(E29,F29+1,"y")-10)/3))</f>
        <v/>
      </c>
      <c r="P29" s="70" t="str">
        <f aca="false">IF(F29="","",IF(D29="Desvinculado","— (se paga en el finiquito)",IF(Q29&gt;=2*O29,"⚠ Tiene 2 períodos acumulados: otorgar vacaciones antes de que se acumule un 3° (Art. 70)",IF(K29&lt;0,"⚠ Saldo negativo (vacaciones anticipadas)",IF(Q29&gt;=O29,"Programar vacaciones (tiene un período anual completo pendiente)","OK")))))</f>
        <v/>
      </c>
      <c r="Q29" s="94" t="str">
        <f aca="false">IF(F29="","",15*DATEDIF(E29,F29+1,"y")+I29-J29)</f>
        <v/>
      </c>
    </row>
    <row r="30" customFormat="false" ht="15" hidden="false" customHeight="false" outlineLevel="0" collapsed="false">
      <c r="B30" s="70" t="str">
        <f aca="false">IFERROR(IF(INDEX(T_ID,24)="","",INDEX(T_ID,24)),"")</f>
        <v/>
      </c>
      <c r="C30" s="70" t="str">
        <f aca="false">IF(B30="","",INDEX(T_NOMBRE,24)&amp;"")</f>
        <v/>
      </c>
      <c r="D30" s="70" t="str">
        <f aca="false">IF(B30="","",INDEX(T_ESTADO,24))</f>
        <v/>
      </c>
      <c r="E30" s="75" t="str">
        <f aca="false">IF(B30="","",INDEX(T_INGRESO,24))</f>
        <v/>
      </c>
      <c r="F30" s="75" t="str">
        <f aca="false">IF(OR(B30="",NOT(ISNUMBER(E30))),"",IF(E30&gt;FECHA_CORTE,"",IF(N(INDEX(T_EGRESO,24))&gt;0,MIN(INDEX(T_EGRESO,24),FECHA_CORTE),FECHA_CORTE)))</f>
        <v/>
      </c>
      <c r="G30" s="94" t="str">
        <f aca="false">IF(F30="","",DATEDIF(E30,F30+1,"m")+(F30+1-EDATE(E30,DATEDIF(E30,F30+1,"m")))/30)</f>
        <v/>
      </c>
      <c r="H30" s="95" t="str">
        <f aca="false">IF(F30="","",1.25*G30)</f>
        <v/>
      </c>
      <c r="I30" s="73" t="str">
        <f aca="false">IF(F30="","",SUMPRODUCT((ANIOS&lt;=DATEDIF(E30,F30+1,"y"))*(MIN(10,N(INDEX(T_PREV,24)))+ANIOS-10&gt;0)*INT((MIN(10,N(INDEX(T_PREV,24)))+ANIOS-10)/3)))</f>
        <v/>
      </c>
      <c r="J30" s="94" t="str">
        <f aca="false">IF(F30="","",SUMIFS(V_DIAS,V_ID,B30,V_INICIO,"&lt;="&amp;F30)+N(INDEX(T_VACPREV,24)))</f>
        <v/>
      </c>
      <c r="K30" s="95" t="str">
        <f aca="false">IF(F30="","",H30+I30-J30)</f>
        <v/>
      </c>
      <c r="L30" s="95" t="str">
        <f aca="false">IF(F30="","",IF(K30&lt;=0,K30,WORKDAY(F30,INT(K30),FERIADOS)-F30+(K30-INT(K30))))</f>
        <v/>
      </c>
      <c r="M30" s="71" t="str">
        <f aca="false">IF(F30="","",(N(INDEX(T_SUELDO,24))+N(INDEX(T_BONO,24)))/30)</f>
        <v/>
      </c>
      <c r="N30" s="71" t="str">
        <f aca="false">IF(F30="","",IF(D30="Desvinculado",0,ROUND(MAX(0,L30)*M30,0)))</f>
        <v/>
      </c>
      <c r="O30" s="73" t="str">
        <f aca="false">IF(F30="","",15+INT(MAX(0,MIN(10,N(INDEX(T_PREV,24)))+DATEDIF(E30,F30+1,"y")-10)/3))</f>
        <v/>
      </c>
      <c r="P30" s="70" t="str">
        <f aca="false">IF(F30="","",IF(D30="Desvinculado","— (se paga en el finiquito)",IF(Q30&gt;=2*O30,"⚠ Tiene 2 períodos acumulados: otorgar vacaciones antes de que se acumule un 3° (Art. 70)",IF(K30&lt;0,"⚠ Saldo negativo (vacaciones anticipadas)",IF(Q30&gt;=O30,"Programar vacaciones (tiene un período anual completo pendiente)","OK")))))</f>
        <v/>
      </c>
      <c r="Q30" s="94" t="str">
        <f aca="false">IF(F30="","",15*DATEDIF(E30,F30+1,"y")+I30-J30)</f>
        <v/>
      </c>
    </row>
    <row r="31" customFormat="false" ht="15" hidden="false" customHeight="false" outlineLevel="0" collapsed="false">
      <c r="B31" s="70" t="str">
        <f aca="false">IFERROR(IF(INDEX(T_ID,25)="","",INDEX(T_ID,25)),"")</f>
        <v/>
      </c>
      <c r="C31" s="70" t="str">
        <f aca="false">IF(B31="","",INDEX(T_NOMBRE,25)&amp;"")</f>
        <v/>
      </c>
      <c r="D31" s="70" t="str">
        <f aca="false">IF(B31="","",INDEX(T_ESTADO,25))</f>
        <v/>
      </c>
      <c r="E31" s="75" t="str">
        <f aca="false">IF(B31="","",INDEX(T_INGRESO,25))</f>
        <v/>
      </c>
      <c r="F31" s="75" t="str">
        <f aca="false">IF(OR(B31="",NOT(ISNUMBER(E31))),"",IF(E31&gt;FECHA_CORTE,"",IF(N(INDEX(T_EGRESO,25))&gt;0,MIN(INDEX(T_EGRESO,25),FECHA_CORTE),FECHA_CORTE)))</f>
        <v/>
      </c>
      <c r="G31" s="94" t="str">
        <f aca="false">IF(F31="","",DATEDIF(E31,F31+1,"m")+(F31+1-EDATE(E31,DATEDIF(E31,F31+1,"m")))/30)</f>
        <v/>
      </c>
      <c r="H31" s="95" t="str">
        <f aca="false">IF(F31="","",1.25*G31)</f>
        <v/>
      </c>
      <c r="I31" s="73" t="str">
        <f aca="false">IF(F31="","",SUMPRODUCT((ANIOS&lt;=DATEDIF(E31,F31+1,"y"))*(MIN(10,N(INDEX(T_PREV,25)))+ANIOS-10&gt;0)*INT((MIN(10,N(INDEX(T_PREV,25)))+ANIOS-10)/3)))</f>
        <v/>
      </c>
      <c r="J31" s="94" t="str">
        <f aca="false">IF(F31="","",SUMIFS(V_DIAS,V_ID,B31,V_INICIO,"&lt;="&amp;F31)+N(INDEX(T_VACPREV,25)))</f>
        <v/>
      </c>
      <c r="K31" s="95" t="str">
        <f aca="false">IF(F31="","",H31+I31-J31)</f>
        <v/>
      </c>
      <c r="L31" s="95" t="str">
        <f aca="false">IF(F31="","",IF(K31&lt;=0,K31,WORKDAY(F31,INT(K31),FERIADOS)-F31+(K31-INT(K31))))</f>
        <v/>
      </c>
      <c r="M31" s="71" t="str">
        <f aca="false">IF(F31="","",(N(INDEX(T_SUELDO,25))+N(INDEX(T_BONO,25)))/30)</f>
        <v/>
      </c>
      <c r="N31" s="71" t="str">
        <f aca="false">IF(F31="","",IF(D31="Desvinculado",0,ROUND(MAX(0,L31)*M31,0)))</f>
        <v/>
      </c>
      <c r="O31" s="73" t="str">
        <f aca="false">IF(F31="","",15+INT(MAX(0,MIN(10,N(INDEX(T_PREV,25)))+DATEDIF(E31,F31+1,"y")-10)/3))</f>
        <v/>
      </c>
      <c r="P31" s="70" t="str">
        <f aca="false">IF(F31="","",IF(D31="Desvinculado","— (se paga en el finiquito)",IF(Q31&gt;=2*O31,"⚠ Tiene 2 períodos acumulados: otorgar vacaciones antes de que se acumule un 3° (Art. 70)",IF(K31&lt;0,"⚠ Saldo negativo (vacaciones anticipadas)",IF(Q31&gt;=O31,"Programar vacaciones (tiene un período anual completo pendiente)","OK")))))</f>
        <v/>
      </c>
      <c r="Q31" s="94" t="str">
        <f aca="false">IF(F31="","",15*DATEDIF(E31,F31+1,"y")+I31-J31)</f>
        <v/>
      </c>
    </row>
    <row r="32" customFormat="false" ht="15" hidden="false" customHeight="false" outlineLevel="0" collapsed="false">
      <c r="B32" s="70" t="str">
        <f aca="false">IFERROR(IF(INDEX(T_ID,26)="","",INDEX(T_ID,26)),"")</f>
        <v/>
      </c>
      <c r="C32" s="70" t="str">
        <f aca="false">IF(B32="","",INDEX(T_NOMBRE,26)&amp;"")</f>
        <v/>
      </c>
      <c r="D32" s="70" t="str">
        <f aca="false">IF(B32="","",INDEX(T_ESTADO,26))</f>
        <v/>
      </c>
      <c r="E32" s="75" t="str">
        <f aca="false">IF(B32="","",INDEX(T_INGRESO,26))</f>
        <v/>
      </c>
      <c r="F32" s="75" t="str">
        <f aca="false">IF(OR(B32="",NOT(ISNUMBER(E32))),"",IF(E32&gt;FECHA_CORTE,"",IF(N(INDEX(T_EGRESO,26))&gt;0,MIN(INDEX(T_EGRESO,26),FECHA_CORTE),FECHA_CORTE)))</f>
        <v/>
      </c>
      <c r="G32" s="94" t="str">
        <f aca="false">IF(F32="","",DATEDIF(E32,F32+1,"m")+(F32+1-EDATE(E32,DATEDIF(E32,F32+1,"m")))/30)</f>
        <v/>
      </c>
      <c r="H32" s="95" t="str">
        <f aca="false">IF(F32="","",1.25*G32)</f>
        <v/>
      </c>
      <c r="I32" s="73" t="str">
        <f aca="false">IF(F32="","",SUMPRODUCT((ANIOS&lt;=DATEDIF(E32,F32+1,"y"))*(MIN(10,N(INDEX(T_PREV,26)))+ANIOS-10&gt;0)*INT((MIN(10,N(INDEX(T_PREV,26)))+ANIOS-10)/3)))</f>
        <v/>
      </c>
      <c r="J32" s="94" t="str">
        <f aca="false">IF(F32="","",SUMIFS(V_DIAS,V_ID,B32,V_INICIO,"&lt;="&amp;F32)+N(INDEX(T_VACPREV,26)))</f>
        <v/>
      </c>
      <c r="K32" s="95" t="str">
        <f aca="false">IF(F32="","",H32+I32-J32)</f>
        <v/>
      </c>
      <c r="L32" s="95" t="str">
        <f aca="false">IF(F32="","",IF(K32&lt;=0,K32,WORKDAY(F32,INT(K32),FERIADOS)-F32+(K32-INT(K32))))</f>
        <v/>
      </c>
      <c r="M32" s="71" t="str">
        <f aca="false">IF(F32="","",(N(INDEX(T_SUELDO,26))+N(INDEX(T_BONO,26)))/30)</f>
        <v/>
      </c>
      <c r="N32" s="71" t="str">
        <f aca="false">IF(F32="","",IF(D32="Desvinculado",0,ROUND(MAX(0,L32)*M32,0)))</f>
        <v/>
      </c>
      <c r="O32" s="73" t="str">
        <f aca="false">IF(F32="","",15+INT(MAX(0,MIN(10,N(INDEX(T_PREV,26)))+DATEDIF(E32,F32+1,"y")-10)/3))</f>
        <v/>
      </c>
      <c r="P32" s="70" t="str">
        <f aca="false">IF(F32="","",IF(D32="Desvinculado","— (se paga en el finiquito)",IF(Q32&gt;=2*O32,"⚠ Tiene 2 períodos acumulados: otorgar vacaciones antes de que se acumule un 3° (Art. 70)",IF(K32&lt;0,"⚠ Saldo negativo (vacaciones anticipadas)",IF(Q32&gt;=O32,"Programar vacaciones (tiene un período anual completo pendiente)","OK")))))</f>
        <v/>
      </c>
      <c r="Q32" s="94" t="str">
        <f aca="false">IF(F32="","",15*DATEDIF(E32,F32+1,"y")+I32-J32)</f>
        <v/>
      </c>
    </row>
    <row r="33" customFormat="false" ht="15" hidden="false" customHeight="false" outlineLevel="0" collapsed="false">
      <c r="B33" s="70" t="str">
        <f aca="false">IFERROR(IF(INDEX(T_ID,27)="","",INDEX(T_ID,27)),"")</f>
        <v/>
      </c>
      <c r="C33" s="70" t="str">
        <f aca="false">IF(B33="","",INDEX(T_NOMBRE,27)&amp;"")</f>
        <v/>
      </c>
      <c r="D33" s="70" t="str">
        <f aca="false">IF(B33="","",INDEX(T_ESTADO,27))</f>
        <v/>
      </c>
      <c r="E33" s="75" t="str">
        <f aca="false">IF(B33="","",INDEX(T_INGRESO,27))</f>
        <v/>
      </c>
      <c r="F33" s="75" t="str">
        <f aca="false">IF(OR(B33="",NOT(ISNUMBER(E33))),"",IF(E33&gt;FECHA_CORTE,"",IF(N(INDEX(T_EGRESO,27))&gt;0,MIN(INDEX(T_EGRESO,27),FECHA_CORTE),FECHA_CORTE)))</f>
        <v/>
      </c>
      <c r="G33" s="94" t="str">
        <f aca="false">IF(F33="","",DATEDIF(E33,F33+1,"m")+(F33+1-EDATE(E33,DATEDIF(E33,F33+1,"m")))/30)</f>
        <v/>
      </c>
      <c r="H33" s="95" t="str">
        <f aca="false">IF(F33="","",1.25*G33)</f>
        <v/>
      </c>
      <c r="I33" s="73" t="str">
        <f aca="false">IF(F33="","",SUMPRODUCT((ANIOS&lt;=DATEDIF(E33,F33+1,"y"))*(MIN(10,N(INDEX(T_PREV,27)))+ANIOS-10&gt;0)*INT((MIN(10,N(INDEX(T_PREV,27)))+ANIOS-10)/3)))</f>
        <v/>
      </c>
      <c r="J33" s="94" t="str">
        <f aca="false">IF(F33="","",SUMIFS(V_DIAS,V_ID,B33,V_INICIO,"&lt;="&amp;F33)+N(INDEX(T_VACPREV,27)))</f>
        <v/>
      </c>
      <c r="K33" s="95" t="str">
        <f aca="false">IF(F33="","",H33+I33-J33)</f>
        <v/>
      </c>
      <c r="L33" s="95" t="str">
        <f aca="false">IF(F33="","",IF(K33&lt;=0,K33,WORKDAY(F33,INT(K33),FERIADOS)-F33+(K33-INT(K33))))</f>
        <v/>
      </c>
      <c r="M33" s="71" t="str">
        <f aca="false">IF(F33="","",(N(INDEX(T_SUELDO,27))+N(INDEX(T_BONO,27)))/30)</f>
        <v/>
      </c>
      <c r="N33" s="71" t="str">
        <f aca="false">IF(F33="","",IF(D33="Desvinculado",0,ROUND(MAX(0,L33)*M33,0)))</f>
        <v/>
      </c>
      <c r="O33" s="73" t="str">
        <f aca="false">IF(F33="","",15+INT(MAX(0,MIN(10,N(INDEX(T_PREV,27)))+DATEDIF(E33,F33+1,"y")-10)/3))</f>
        <v/>
      </c>
      <c r="P33" s="70" t="str">
        <f aca="false">IF(F33="","",IF(D33="Desvinculado","— (se paga en el finiquito)",IF(Q33&gt;=2*O33,"⚠ Tiene 2 períodos acumulados: otorgar vacaciones antes de que se acumule un 3° (Art. 70)",IF(K33&lt;0,"⚠ Saldo negativo (vacaciones anticipadas)",IF(Q33&gt;=O33,"Programar vacaciones (tiene un período anual completo pendiente)","OK")))))</f>
        <v/>
      </c>
      <c r="Q33" s="94" t="str">
        <f aca="false">IF(F33="","",15*DATEDIF(E33,F33+1,"y")+I33-J33)</f>
        <v/>
      </c>
    </row>
    <row r="34" customFormat="false" ht="15" hidden="false" customHeight="false" outlineLevel="0" collapsed="false">
      <c r="B34" s="70" t="str">
        <f aca="false">IFERROR(IF(INDEX(T_ID,28)="","",INDEX(T_ID,28)),"")</f>
        <v/>
      </c>
      <c r="C34" s="70" t="str">
        <f aca="false">IF(B34="","",INDEX(T_NOMBRE,28)&amp;"")</f>
        <v/>
      </c>
      <c r="D34" s="70" t="str">
        <f aca="false">IF(B34="","",INDEX(T_ESTADO,28))</f>
        <v/>
      </c>
      <c r="E34" s="75" t="str">
        <f aca="false">IF(B34="","",INDEX(T_INGRESO,28))</f>
        <v/>
      </c>
      <c r="F34" s="75" t="str">
        <f aca="false">IF(OR(B34="",NOT(ISNUMBER(E34))),"",IF(E34&gt;FECHA_CORTE,"",IF(N(INDEX(T_EGRESO,28))&gt;0,MIN(INDEX(T_EGRESO,28),FECHA_CORTE),FECHA_CORTE)))</f>
        <v/>
      </c>
      <c r="G34" s="94" t="str">
        <f aca="false">IF(F34="","",DATEDIF(E34,F34+1,"m")+(F34+1-EDATE(E34,DATEDIF(E34,F34+1,"m")))/30)</f>
        <v/>
      </c>
      <c r="H34" s="95" t="str">
        <f aca="false">IF(F34="","",1.25*G34)</f>
        <v/>
      </c>
      <c r="I34" s="73" t="str">
        <f aca="false">IF(F34="","",SUMPRODUCT((ANIOS&lt;=DATEDIF(E34,F34+1,"y"))*(MIN(10,N(INDEX(T_PREV,28)))+ANIOS-10&gt;0)*INT((MIN(10,N(INDEX(T_PREV,28)))+ANIOS-10)/3)))</f>
        <v/>
      </c>
      <c r="J34" s="94" t="str">
        <f aca="false">IF(F34="","",SUMIFS(V_DIAS,V_ID,B34,V_INICIO,"&lt;="&amp;F34)+N(INDEX(T_VACPREV,28)))</f>
        <v/>
      </c>
      <c r="K34" s="95" t="str">
        <f aca="false">IF(F34="","",H34+I34-J34)</f>
        <v/>
      </c>
      <c r="L34" s="95" t="str">
        <f aca="false">IF(F34="","",IF(K34&lt;=0,K34,WORKDAY(F34,INT(K34),FERIADOS)-F34+(K34-INT(K34))))</f>
        <v/>
      </c>
      <c r="M34" s="71" t="str">
        <f aca="false">IF(F34="","",(N(INDEX(T_SUELDO,28))+N(INDEX(T_BONO,28)))/30)</f>
        <v/>
      </c>
      <c r="N34" s="71" t="str">
        <f aca="false">IF(F34="","",IF(D34="Desvinculado",0,ROUND(MAX(0,L34)*M34,0)))</f>
        <v/>
      </c>
      <c r="O34" s="73" t="str">
        <f aca="false">IF(F34="","",15+INT(MAX(0,MIN(10,N(INDEX(T_PREV,28)))+DATEDIF(E34,F34+1,"y")-10)/3))</f>
        <v/>
      </c>
      <c r="P34" s="70" t="str">
        <f aca="false">IF(F34="","",IF(D34="Desvinculado","— (se paga en el finiquito)",IF(Q34&gt;=2*O34,"⚠ Tiene 2 períodos acumulados: otorgar vacaciones antes de que se acumule un 3° (Art. 70)",IF(K34&lt;0,"⚠ Saldo negativo (vacaciones anticipadas)",IF(Q34&gt;=O34,"Programar vacaciones (tiene un período anual completo pendiente)","OK")))))</f>
        <v/>
      </c>
      <c r="Q34" s="94" t="str">
        <f aca="false">IF(F34="","",15*DATEDIF(E34,F34+1,"y")+I34-J34)</f>
        <v/>
      </c>
    </row>
    <row r="35" customFormat="false" ht="15" hidden="false" customHeight="false" outlineLevel="0" collapsed="false">
      <c r="B35" s="70" t="str">
        <f aca="false">IFERROR(IF(INDEX(T_ID,29)="","",INDEX(T_ID,29)),"")</f>
        <v/>
      </c>
      <c r="C35" s="70" t="str">
        <f aca="false">IF(B35="","",INDEX(T_NOMBRE,29)&amp;"")</f>
        <v/>
      </c>
      <c r="D35" s="70" t="str">
        <f aca="false">IF(B35="","",INDEX(T_ESTADO,29))</f>
        <v/>
      </c>
      <c r="E35" s="75" t="str">
        <f aca="false">IF(B35="","",INDEX(T_INGRESO,29))</f>
        <v/>
      </c>
      <c r="F35" s="75" t="str">
        <f aca="false">IF(OR(B35="",NOT(ISNUMBER(E35))),"",IF(E35&gt;FECHA_CORTE,"",IF(N(INDEX(T_EGRESO,29))&gt;0,MIN(INDEX(T_EGRESO,29),FECHA_CORTE),FECHA_CORTE)))</f>
        <v/>
      </c>
      <c r="G35" s="94" t="str">
        <f aca="false">IF(F35="","",DATEDIF(E35,F35+1,"m")+(F35+1-EDATE(E35,DATEDIF(E35,F35+1,"m")))/30)</f>
        <v/>
      </c>
      <c r="H35" s="95" t="str">
        <f aca="false">IF(F35="","",1.25*G35)</f>
        <v/>
      </c>
      <c r="I35" s="73" t="str">
        <f aca="false">IF(F35="","",SUMPRODUCT((ANIOS&lt;=DATEDIF(E35,F35+1,"y"))*(MIN(10,N(INDEX(T_PREV,29)))+ANIOS-10&gt;0)*INT((MIN(10,N(INDEX(T_PREV,29)))+ANIOS-10)/3)))</f>
        <v/>
      </c>
      <c r="J35" s="94" t="str">
        <f aca="false">IF(F35="","",SUMIFS(V_DIAS,V_ID,B35,V_INICIO,"&lt;="&amp;F35)+N(INDEX(T_VACPREV,29)))</f>
        <v/>
      </c>
      <c r="K35" s="95" t="str">
        <f aca="false">IF(F35="","",H35+I35-J35)</f>
        <v/>
      </c>
      <c r="L35" s="95" t="str">
        <f aca="false">IF(F35="","",IF(K35&lt;=0,K35,WORKDAY(F35,INT(K35),FERIADOS)-F35+(K35-INT(K35))))</f>
        <v/>
      </c>
      <c r="M35" s="71" t="str">
        <f aca="false">IF(F35="","",(N(INDEX(T_SUELDO,29))+N(INDEX(T_BONO,29)))/30)</f>
        <v/>
      </c>
      <c r="N35" s="71" t="str">
        <f aca="false">IF(F35="","",IF(D35="Desvinculado",0,ROUND(MAX(0,L35)*M35,0)))</f>
        <v/>
      </c>
      <c r="O35" s="73" t="str">
        <f aca="false">IF(F35="","",15+INT(MAX(0,MIN(10,N(INDEX(T_PREV,29)))+DATEDIF(E35,F35+1,"y")-10)/3))</f>
        <v/>
      </c>
      <c r="P35" s="70" t="str">
        <f aca="false">IF(F35="","",IF(D35="Desvinculado","— (se paga en el finiquito)",IF(Q35&gt;=2*O35,"⚠ Tiene 2 períodos acumulados: otorgar vacaciones antes de que se acumule un 3° (Art. 70)",IF(K35&lt;0,"⚠ Saldo negativo (vacaciones anticipadas)",IF(Q35&gt;=O35,"Programar vacaciones (tiene un período anual completo pendiente)","OK")))))</f>
        <v/>
      </c>
      <c r="Q35" s="94" t="str">
        <f aca="false">IF(F35="","",15*DATEDIF(E35,F35+1,"y")+I35-J35)</f>
        <v/>
      </c>
    </row>
    <row r="36" customFormat="false" ht="15" hidden="false" customHeight="false" outlineLevel="0" collapsed="false">
      <c r="B36" s="70" t="str">
        <f aca="false">IFERROR(IF(INDEX(T_ID,30)="","",INDEX(T_ID,30)),"")</f>
        <v/>
      </c>
      <c r="C36" s="70" t="str">
        <f aca="false">IF(B36="","",INDEX(T_NOMBRE,30)&amp;"")</f>
        <v/>
      </c>
      <c r="D36" s="70" t="str">
        <f aca="false">IF(B36="","",INDEX(T_ESTADO,30))</f>
        <v/>
      </c>
      <c r="E36" s="75" t="str">
        <f aca="false">IF(B36="","",INDEX(T_INGRESO,30))</f>
        <v/>
      </c>
      <c r="F36" s="75" t="str">
        <f aca="false">IF(OR(B36="",NOT(ISNUMBER(E36))),"",IF(E36&gt;FECHA_CORTE,"",IF(N(INDEX(T_EGRESO,30))&gt;0,MIN(INDEX(T_EGRESO,30),FECHA_CORTE),FECHA_CORTE)))</f>
        <v/>
      </c>
      <c r="G36" s="94" t="str">
        <f aca="false">IF(F36="","",DATEDIF(E36,F36+1,"m")+(F36+1-EDATE(E36,DATEDIF(E36,F36+1,"m")))/30)</f>
        <v/>
      </c>
      <c r="H36" s="95" t="str">
        <f aca="false">IF(F36="","",1.25*G36)</f>
        <v/>
      </c>
      <c r="I36" s="73" t="str">
        <f aca="false">IF(F36="","",SUMPRODUCT((ANIOS&lt;=DATEDIF(E36,F36+1,"y"))*(MIN(10,N(INDEX(T_PREV,30)))+ANIOS-10&gt;0)*INT((MIN(10,N(INDEX(T_PREV,30)))+ANIOS-10)/3)))</f>
        <v/>
      </c>
      <c r="J36" s="94" t="str">
        <f aca="false">IF(F36="","",SUMIFS(V_DIAS,V_ID,B36,V_INICIO,"&lt;="&amp;F36)+N(INDEX(T_VACPREV,30)))</f>
        <v/>
      </c>
      <c r="K36" s="95" t="str">
        <f aca="false">IF(F36="","",H36+I36-J36)</f>
        <v/>
      </c>
      <c r="L36" s="95" t="str">
        <f aca="false">IF(F36="","",IF(K36&lt;=0,K36,WORKDAY(F36,INT(K36),FERIADOS)-F36+(K36-INT(K36))))</f>
        <v/>
      </c>
      <c r="M36" s="71" t="str">
        <f aca="false">IF(F36="","",(N(INDEX(T_SUELDO,30))+N(INDEX(T_BONO,30)))/30)</f>
        <v/>
      </c>
      <c r="N36" s="71" t="str">
        <f aca="false">IF(F36="","",IF(D36="Desvinculado",0,ROUND(MAX(0,L36)*M36,0)))</f>
        <v/>
      </c>
      <c r="O36" s="73" t="str">
        <f aca="false">IF(F36="","",15+INT(MAX(0,MIN(10,N(INDEX(T_PREV,30)))+DATEDIF(E36,F36+1,"y")-10)/3))</f>
        <v/>
      </c>
      <c r="P36" s="70" t="str">
        <f aca="false">IF(F36="","",IF(D36="Desvinculado","— (se paga en el finiquito)",IF(Q36&gt;=2*O36,"⚠ Tiene 2 períodos acumulados: otorgar vacaciones antes de que se acumule un 3° (Art. 70)",IF(K36&lt;0,"⚠ Saldo negativo (vacaciones anticipadas)",IF(Q36&gt;=O36,"Programar vacaciones (tiene un período anual completo pendiente)","OK")))))</f>
        <v/>
      </c>
      <c r="Q36" s="94" t="str">
        <f aca="false">IF(F36="","",15*DATEDIF(E36,F36+1,"y")+I36-J36)</f>
        <v/>
      </c>
    </row>
    <row r="37" customFormat="false" ht="15" hidden="false" customHeight="false" outlineLevel="0" collapsed="false">
      <c r="B37" s="70" t="str">
        <f aca="false">IFERROR(IF(INDEX(T_ID,31)="","",INDEX(T_ID,31)),"")</f>
        <v/>
      </c>
      <c r="C37" s="70" t="str">
        <f aca="false">IF(B37="","",INDEX(T_NOMBRE,31)&amp;"")</f>
        <v/>
      </c>
      <c r="D37" s="70" t="str">
        <f aca="false">IF(B37="","",INDEX(T_ESTADO,31))</f>
        <v/>
      </c>
      <c r="E37" s="75" t="str">
        <f aca="false">IF(B37="","",INDEX(T_INGRESO,31))</f>
        <v/>
      </c>
      <c r="F37" s="75" t="str">
        <f aca="false">IF(OR(B37="",NOT(ISNUMBER(E37))),"",IF(E37&gt;FECHA_CORTE,"",IF(N(INDEX(T_EGRESO,31))&gt;0,MIN(INDEX(T_EGRESO,31),FECHA_CORTE),FECHA_CORTE)))</f>
        <v/>
      </c>
      <c r="G37" s="94" t="str">
        <f aca="false">IF(F37="","",DATEDIF(E37,F37+1,"m")+(F37+1-EDATE(E37,DATEDIF(E37,F37+1,"m")))/30)</f>
        <v/>
      </c>
      <c r="H37" s="95" t="str">
        <f aca="false">IF(F37="","",1.25*G37)</f>
        <v/>
      </c>
      <c r="I37" s="73" t="str">
        <f aca="false">IF(F37="","",SUMPRODUCT((ANIOS&lt;=DATEDIF(E37,F37+1,"y"))*(MIN(10,N(INDEX(T_PREV,31)))+ANIOS-10&gt;0)*INT((MIN(10,N(INDEX(T_PREV,31)))+ANIOS-10)/3)))</f>
        <v/>
      </c>
      <c r="J37" s="94" t="str">
        <f aca="false">IF(F37="","",SUMIFS(V_DIAS,V_ID,B37,V_INICIO,"&lt;="&amp;F37)+N(INDEX(T_VACPREV,31)))</f>
        <v/>
      </c>
      <c r="K37" s="95" t="str">
        <f aca="false">IF(F37="","",H37+I37-J37)</f>
        <v/>
      </c>
      <c r="L37" s="95" t="str">
        <f aca="false">IF(F37="","",IF(K37&lt;=0,K37,WORKDAY(F37,INT(K37),FERIADOS)-F37+(K37-INT(K37))))</f>
        <v/>
      </c>
      <c r="M37" s="71" t="str">
        <f aca="false">IF(F37="","",(N(INDEX(T_SUELDO,31))+N(INDEX(T_BONO,31)))/30)</f>
        <v/>
      </c>
      <c r="N37" s="71" t="str">
        <f aca="false">IF(F37="","",IF(D37="Desvinculado",0,ROUND(MAX(0,L37)*M37,0)))</f>
        <v/>
      </c>
      <c r="O37" s="73" t="str">
        <f aca="false">IF(F37="","",15+INT(MAX(0,MIN(10,N(INDEX(T_PREV,31)))+DATEDIF(E37,F37+1,"y")-10)/3))</f>
        <v/>
      </c>
      <c r="P37" s="70" t="str">
        <f aca="false">IF(F37="","",IF(D37="Desvinculado","— (se paga en el finiquito)",IF(Q37&gt;=2*O37,"⚠ Tiene 2 períodos acumulados: otorgar vacaciones antes de que se acumule un 3° (Art. 70)",IF(K37&lt;0,"⚠ Saldo negativo (vacaciones anticipadas)",IF(Q37&gt;=O37,"Programar vacaciones (tiene un período anual completo pendiente)","OK")))))</f>
        <v/>
      </c>
      <c r="Q37" s="94" t="str">
        <f aca="false">IF(F37="","",15*DATEDIF(E37,F37+1,"y")+I37-J37)</f>
        <v/>
      </c>
    </row>
    <row r="38" customFormat="false" ht="15" hidden="false" customHeight="false" outlineLevel="0" collapsed="false">
      <c r="B38" s="70" t="str">
        <f aca="false">IFERROR(IF(INDEX(T_ID,32)="","",INDEX(T_ID,32)),"")</f>
        <v/>
      </c>
      <c r="C38" s="70" t="str">
        <f aca="false">IF(B38="","",INDEX(T_NOMBRE,32)&amp;"")</f>
        <v/>
      </c>
      <c r="D38" s="70" t="str">
        <f aca="false">IF(B38="","",INDEX(T_ESTADO,32))</f>
        <v/>
      </c>
      <c r="E38" s="75" t="str">
        <f aca="false">IF(B38="","",INDEX(T_INGRESO,32))</f>
        <v/>
      </c>
      <c r="F38" s="75" t="str">
        <f aca="false">IF(OR(B38="",NOT(ISNUMBER(E38))),"",IF(E38&gt;FECHA_CORTE,"",IF(N(INDEX(T_EGRESO,32))&gt;0,MIN(INDEX(T_EGRESO,32),FECHA_CORTE),FECHA_CORTE)))</f>
        <v/>
      </c>
      <c r="G38" s="94" t="str">
        <f aca="false">IF(F38="","",DATEDIF(E38,F38+1,"m")+(F38+1-EDATE(E38,DATEDIF(E38,F38+1,"m")))/30)</f>
        <v/>
      </c>
      <c r="H38" s="95" t="str">
        <f aca="false">IF(F38="","",1.25*G38)</f>
        <v/>
      </c>
      <c r="I38" s="73" t="str">
        <f aca="false">IF(F38="","",SUMPRODUCT((ANIOS&lt;=DATEDIF(E38,F38+1,"y"))*(MIN(10,N(INDEX(T_PREV,32)))+ANIOS-10&gt;0)*INT((MIN(10,N(INDEX(T_PREV,32)))+ANIOS-10)/3)))</f>
        <v/>
      </c>
      <c r="J38" s="94" t="str">
        <f aca="false">IF(F38="","",SUMIFS(V_DIAS,V_ID,B38,V_INICIO,"&lt;="&amp;F38)+N(INDEX(T_VACPREV,32)))</f>
        <v/>
      </c>
      <c r="K38" s="95" t="str">
        <f aca="false">IF(F38="","",H38+I38-J38)</f>
        <v/>
      </c>
      <c r="L38" s="95" t="str">
        <f aca="false">IF(F38="","",IF(K38&lt;=0,K38,WORKDAY(F38,INT(K38),FERIADOS)-F38+(K38-INT(K38))))</f>
        <v/>
      </c>
      <c r="M38" s="71" t="str">
        <f aca="false">IF(F38="","",(N(INDEX(T_SUELDO,32))+N(INDEX(T_BONO,32)))/30)</f>
        <v/>
      </c>
      <c r="N38" s="71" t="str">
        <f aca="false">IF(F38="","",IF(D38="Desvinculado",0,ROUND(MAX(0,L38)*M38,0)))</f>
        <v/>
      </c>
      <c r="O38" s="73" t="str">
        <f aca="false">IF(F38="","",15+INT(MAX(0,MIN(10,N(INDEX(T_PREV,32)))+DATEDIF(E38,F38+1,"y")-10)/3))</f>
        <v/>
      </c>
      <c r="P38" s="70" t="str">
        <f aca="false">IF(F38="","",IF(D38="Desvinculado","— (se paga en el finiquito)",IF(Q38&gt;=2*O38,"⚠ Tiene 2 períodos acumulados: otorgar vacaciones antes de que se acumule un 3° (Art. 70)",IF(K38&lt;0,"⚠ Saldo negativo (vacaciones anticipadas)",IF(Q38&gt;=O38,"Programar vacaciones (tiene un período anual completo pendiente)","OK")))))</f>
        <v/>
      </c>
      <c r="Q38" s="94" t="str">
        <f aca="false">IF(F38="","",15*DATEDIF(E38,F38+1,"y")+I38-J38)</f>
        <v/>
      </c>
    </row>
    <row r="39" customFormat="false" ht="15" hidden="false" customHeight="false" outlineLevel="0" collapsed="false">
      <c r="B39" s="70" t="str">
        <f aca="false">IFERROR(IF(INDEX(T_ID,33)="","",INDEX(T_ID,33)),"")</f>
        <v/>
      </c>
      <c r="C39" s="70" t="str">
        <f aca="false">IF(B39="","",INDEX(T_NOMBRE,33)&amp;"")</f>
        <v/>
      </c>
      <c r="D39" s="70" t="str">
        <f aca="false">IF(B39="","",INDEX(T_ESTADO,33))</f>
        <v/>
      </c>
      <c r="E39" s="75" t="str">
        <f aca="false">IF(B39="","",INDEX(T_INGRESO,33))</f>
        <v/>
      </c>
      <c r="F39" s="75" t="str">
        <f aca="false">IF(OR(B39="",NOT(ISNUMBER(E39))),"",IF(E39&gt;FECHA_CORTE,"",IF(N(INDEX(T_EGRESO,33))&gt;0,MIN(INDEX(T_EGRESO,33),FECHA_CORTE),FECHA_CORTE)))</f>
        <v/>
      </c>
      <c r="G39" s="94" t="str">
        <f aca="false">IF(F39="","",DATEDIF(E39,F39+1,"m")+(F39+1-EDATE(E39,DATEDIF(E39,F39+1,"m")))/30)</f>
        <v/>
      </c>
      <c r="H39" s="95" t="str">
        <f aca="false">IF(F39="","",1.25*G39)</f>
        <v/>
      </c>
      <c r="I39" s="73" t="str">
        <f aca="false">IF(F39="","",SUMPRODUCT((ANIOS&lt;=DATEDIF(E39,F39+1,"y"))*(MIN(10,N(INDEX(T_PREV,33)))+ANIOS-10&gt;0)*INT((MIN(10,N(INDEX(T_PREV,33)))+ANIOS-10)/3)))</f>
        <v/>
      </c>
      <c r="J39" s="94" t="str">
        <f aca="false">IF(F39="","",SUMIFS(V_DIAS,V_ID,B39,V_INICIO,"&lt;="&amp;F39)+N(INDEX(T_VACPREV,33)))</f>
        <v/>
      </c>
      <c r="K39" s="95" t="str">
        <f aca="false">IF(F39="","",H39+I39-J39)</f>
        <v/>
      </c>
      <c r="L39" s="95" t="str">
        <f aca="false">IF(F39="","",IF(K39&lt;=0,K39,WORKDAY(F39,INT(K39),FERIADOS)-F39+(K39-INT(K39))))</f>
        <v/>
      </c>
      <c r="M39" s="71" t="str">
        <f aca="false">IF(F39="","",(N(INDEX(T_SUELDO,33))+N(INDEX(T_BONO,33)))/30)</f>
        <v/>
      </c>
      <c r="N39" s="71" t="str">
        <f aca="false">IF(F39="","",IF(D39="Desvinculado",0,ROUND(MAX(0,L39)*M39,0)))</f>
        <v/>
      </c>
      <c r="O39" s="73" t="str">
        <f aca="false">IF(F39="","",15+INT(MAX(0,MIN(10,N(INDEX(T_PREV,33)))+DATEDIF(E39,F39+1,"y")-10)/3))</f>
        <v/>
      </c>
      <c r="P39" s="70" t="str">
        <f aca="false">IF(F39="","",IF(D39="Desvinculado","— (se paga en el finiquito)",IF(Q39&gt;=2*O39,"⚠ Tiene 2 períodos acumulados: otorgar vacaciones antes de que se acumule un 3° (Art. 70)",IF(K39&lt;0,"⚠ Saldo negativo (vacaciones anticipadas)",IF(Q39&gt;=O39,"Programar vacaciones (tiene un período anual completo pendiente)","OK")))))</f>
        <v/>
      </c>
      <c r="Q39" s="94" t="str">
        <f aca="false">IF(F39="","",15*DATEDIF(E39,F39+1,"y")+I39-J39)</f>
        <v/>
      </c>
    </row>
    <row r="40" customFormat="false" ht="15" hidden="false" customHeight="false" outlineLevel="0" collapsed="false">
      <c r="B40" s="70" t="str">
        <f aca="false">IFERROR(IF(INDEX(T_ID,34)="","",INDEX(T_ID,34)),"")</f>
        <v/>
      </c>
      <c r="C40" s="70" t="str">
        <f aca="false">IF(B40="","",INDEX(T_NOMBRE,34)&amp;"")</f>
        <v/>
      </c>
      <c r="D40" s="70" t="str">
        <f aca="false">IF(B40="","",INDEX(T_ESTADO,34))</f>
        <v/>
      </c>
      <c r="E40" s="75" t="str">
        <f aca="false">IF(B40="","",INDEX(T_INGRESO,34))</f>
        <v/>
      </c>
      <c r="F40" s="75" t="str">
        <f aca="false">IF(OR(B40="",NOT(ISNUMBER(E40))),"",IF(E40&gt;FECHA_CORTE,"",IF(N(INDEX(T_EGRESO,34))&gt;0,MIN(INDEX(T_EGRESO,34),FECHA_CORTE),FECHA_CORTE)))</f>
        <v/>
      </c>
      <c r="G40" s="94" t="str">
        <f aca="false">IF(F40="","",DATEDIF(E40,F40+1,"m")+(F40+1-EDATE(E40,DATEDIF(E40,F40+1,"m")))/30)</f>
        <v/>
      </c>
      <c r="H40" s="95" t="str">
        <f aca="false">IF(F40="","",1.25*G40)</f>
        <v/>
      </c>
      <c r="I40" s="73" t="str">
        <f aca="false">IF(F40="","",SUMPRODUCT((ANIOS&lt;=DATEDIF(E40,F40+1,"y"))*(MIN(10,N(INDEX(T_PREV,34)))+ANIOS-10&gt;0)*INT((MIN(10,N(INDEX(T_PREV,34)))+ANIOS-10)/3)))</f>
        <v/>
      </c>
      <c r="J40" s="94" t="str">
        <f aca="false">IF(F40="","",SUMIFS(V_DIAS,V_ID,B40,V_INICIO,"&lt;="&amp;F40)+N(INDEX(T_VACPREV,34)))</f>
        <v/>
      </c>
      <c r="K40" s="95" t="str">
        <f aca="false">IF(F40="","",H40+I40-J40)</f>
        <v/>
      </c>
      <c r="L40" s="95" t="str">
        <f aca="false">IF(F40="","",IF(K40&lt;=0,K40,WORKDAY(F40,INT(K40),FERIADOS)-F40+(K40-INT(K40))))</f>
        <v/>
      </c>
      <c r="M40" s="71" t="str">
        <f aca="false">IF(F40="","",(N(INDEX(T_SUELDO,34))+N(INDEX(T_BONO,34)))/30)</f>
        <v/>
      </c>
      <c r="N40" s="71" t="str">
        <f aca="false">IF(F40="","",IF(D40="Desvinculado",0,ROUND(MAX(0,L40)*M40,0)))</f>
        <v/>
      </c>
      <c r="O40" s="73" t="str">
        <f aca="false">IF(F40="","",15+INT(MAX(0,MIN(10,N(INDEX(T_PREV,34)))+DATEDIF(E40,F40+1,"y")-10)/3))</f>
        <v/>
      </c>
      <c r="P40" s="70" t="str">
        <f aca="false">IF(F40="","",IF(D40="Desvinculado","— (se paga en el finiquito)",IF(Q40&gt;=2*O40,"⚠ Tiene 2 períodos acumulados: otorgar vacaciones antes de que se acumule un 3° (Art. 70)",IF(K40&lt;0,"⚠ Saldo negativo (vacaciones anticipadas)",IF(Q40&gt;=O40,"Programar vacaciones (tiene un período anual completo pendiente)","OK")))))</f>
        <v/>
      </c>
      <c r="Q40" s="94" t="str">
        <f aca="false">IF(F40="","",15*DATEDIF(E40,F40+1,"y")+I40-J40)</f>
        <v/>
      </c>
    </row>
    <row r="41" customFormat="false" ht="15" hidden="false" customHeight="false" outlineLevel="0" collapsed="false">
      <c r="B41" s="70" t="str">
        <f aca="false">IFERROR(IF(INDEX(T_ID,35)="","",INDEX(T_ID,35)),"")</f>
        <v/>
      </c>
      <c r="C41" s="70" t="str">
        <f aca="false">IF(B41="","",INDEX(T_NOMBRE,35)&amp;"")</f>
        <v/>
      </c>
      <c r="D41" s="70" t="str">
        <f aca="false">IF(B41="","",INDEX(T_ESTADO,35))</f>
        <v/>
      </c>
      <c r="E41" s="75" t="str">
        <f aca="false">IF(B41="","",INDEX(T_INGRESO,35))</f>
        <v/>
      </c>
      <c r="F41" s="75" t="str">
        <f aca="false">IF(OR(B41="",NOT(ISNUMBER(E41))),"",IF(E41&gt;FECHA_CORTE,"",IF(N(INDEX(T_EGRESO,35))&gt;0,MIN(INDEX(T_EGRESO,35),FECHA_CORTE),FECHA_CORTE)))</f>
        <v/>
      </c>
      <c r="G41" s="94" t="str">
        <f aca="false">IF(F41="","",DATEDIF(E41,F41+1,"m")+(F41+1-EDATE(E41,DATEDIF(E41,F41+1,"m")))/30)</f>
        <v/>
      </c>
      <c r="H41" s="95" t="str">
        <f aca="false">IF(F41="","",1.25*G41)</f>
        <v/>
      </c>
      <c r="I41" s="73" t="str">
        <f aca="false">IF(F41="","",SUMPRODUCT((ANIOS&lt;=DATEDIF(E41,F41+1,"y"))*(MIN(10,N(INDEX(T_PREV,35)))+ANIOS-10&gt;0)*INT((MIN(10,N(INDEX(T_PREV,35)))+ANIOS-10)/3)))</f>
        <v/>
      </c>
      <c r="J41" s="94" t="str">
        <f aca="false">IF(F41="","",SUMIFS(V_DIAS,V_ID,B41,V_INICIO,"&lt;="&amp;F41)+N(INDEX(T_VACPREV,35)))</f>
        <v/>
      </c>
      <c r="K41" s="95" t="str">
        <f aca="false">IF(F41="","",H41+I41-J41)</f>
        <v/>
      </c>
      <c r="L41" s="95" t="str">
        <f aca="false">IF(F41="","",IF(K41&lt;=0,K41,WORKDAY(F41,INT(K41),FERIADOS)-F41+(K41-INT(K41))))</f>
        <v/>
      </c>
      <c r="M41" s="71" t="str">
        <f aca="false">IF(F41="","",(N(INDEX(T_SUELDO,35))+N(INDEX(T_BONO,35)))/30)</f>
        <v/>
      </c>
      <c r="N41" s="71" t="str">
        <f aca="false">IF(F41="","",IF(D41="Desvinculado",0,ROUND(MAX(0,L41)*M41,0)))</f>
        <v/>
      </c>
      <c r="O41" s="73" t="str">
        <f aca="false">IF(F41="","",15+INT(MAX(0,MIN(10,N(INDEX(T_PREV,35)))+DATEDIF(E41,F41+1,"y")-10)/3))</f>
        <v/>
      </c>
      <c r="P41" s="70" t="str">
        <f aca="false">IF(F41="","",IF(D41="Desvinculado","— (se paga en el finiquito)",IF(Q41&gt;=2*O41,"⚠ Tiene 2 períodos acumulados: otorgar vacaciones antes de que se acumule un 3° (Art. 70)",IF(K41&lt;0,"⚠ Saldo negativo (vacaciones anticipadas)",IF(Q41&gt;=O41,"Programar vacaciones (tiene un período anual completo pendiente)","OK")))))</f>
        <v/>
      </c>
      <c r="Q41" s="94" t="str">
        <f aca="false">IF(F41="","",15*DATEDIF(E41,F41+1,"y")+I41-J41)</f>
        <v/>
      </c>
    </row>
    <row r="42" customFormat="false" ht="15" hidden="false" customHeight="false" outlineLevel="0" collapsed="false">
      <c r="B42" s="70" t="str">
        <f aca="false">IFERROR(IF(INDEX(T_ID,36)="","",INDEX(T_ID,36)),"")</f>
        <v/>
      </c>
      <c r="C42" s="70" t="str">
        <f aca="false">IF(B42="","",INDEX(T_NOMBRE,36)&amp;"")</f>
        <v/>
      </c>
      <c r="D42" s="70" t="str">
        <f aca="false">IF(B42="","",INDEX(T_ESTADO,36))</f>
        <v/>
      </c>
      <c r="E42" s="75" t="str">
        <f aca="false">IF(B42="","",INDEX(T_INGRESO,36))</f>
        <v/>
      </c>
      <c r="F42" s="75" t="str">
        <f aca="false">IF(OR(B42="",NOT(ISNUMBER(E42))),"",IF(E42&gt;FECHA_CORTE,"",IF(N(INDEX(T_EGRESO,36))&gt;0,MIN(INDEX(T_EGRESO,36),FECHA_CORTE),FECHA_CORTE)))</f>
        <v/>
      </c>
      <c r="G42" s="94" t="str">
        <f aca="false">IF(F42="","",DATEDIF(E42,F42+1,"m")+(F42+1-EDATE(E42,DATEDIF(E42,F42+1,"m")))/30)</f>
        <v/>
      </c>
      <c r="H42" s="95" t="str">
        <f aca="false">IF(F42="","",1.25*G42)</f>
        <v/>
      </c>
      <c r="I42" s="73" t="str">
        <f aca="false">IF(F42="","",SUMPRODUCT((ANIOS&lt;=DATEDIF(E42,F42+1,"y"))*(MIN(10,N(INDEX(T_PREV,36)))+ANIOS-10&gt;0)*INT((MIN(10,N(INDEX(T_PREV,36)))+ANIOS-10)/3)))</f>
        <v/>
      </c>
      <c r="J42" s="94" t="str">
        <f aca="false">IF(F42="","",SUMIFS(V_DIAS,V_ID,B42,V_INICIO,"&lt;="&amp;F42)+N(INDEX(T_VACPREV,36)))</f>
        <v/>
      </c>
      <c r="K42" s="95" t="str">
        <f aca="false">IF(F42="","",H42+I42-J42)</f>
        <v/>
      </c>
      <c r="L42" s="95" t="str">
        <f aca="false">IF(F42="","",IF(K42&lt;=0,K42,WORKDAY(F42,INT(K42),FERIADOS)-F42+(K42-INT(K42))))</f>
        <v/>
      </c>
      <c r="M42" s="71" t="str">
        <f aca="false">IF(F42="","",(N(INDEX(T_SUELDO,36))+N(INDEX(T_BONO,36)))/30)</f>
        <v/>
      </c>
      <c r="N42" s="71" t="str">
        <f aca="false">IF(F42="","",IF(D42="Desvinculado",0,ROUND(MAX(0,L42)*M42,0)))</f>
        <v/>
      </c>
      <c r="O42" s="73" t="str">
        <f aca="false">IF(F42="","",15+INT(MAX(0,MIN(10,N(INDEX(T_PREV,36)))+DATEDIF(E42,F42+1,"y")-10)/3))</f>
        <v/>
      </c>
      <c r="P42" s="70" t="str">
        <f aca="false">IF(F42="","",IF(D42="Desvinculado","— (se paga en el finiquito)",IF(Q42&gt;=2*O42,"⚠ Tiene 2 períodos acumulados: otorgar vacaciones antes de que se acumule un 3° (Art. 70)",IF(K42&lt;0,"⚠ Saldo negativo (vacaciones anticipadas)",IF(Q42&gt;=O42,"Programar vacaciones (tiene un período anual completo pendiente)","OK")))))</f>
        <v/>
      </c>
      <c r="Q42" s="94" t="str">
        <f aca="false">IF(F42="","",15*DATEDIF(E42,F42+1,"y")+I42-J42)</f>
        <v/>
      </c>
    </row>
    <row r="43" customFormat="false" ht="15" hidden="false" customHeight="false" outlineLevel="0" collapsed="false">
      <c r="B43" s="70" t="str">
        <f aca="false">IFERROR(IF(INDEX(T_ID,37)="","",INDEX(T_ID,37)),"")</f>
        <v/>
      </c>
      <c r="C43" s="70" t="str">
        <f aca="false">IF(B43="","",INDEX(T_NOMBRE,37)&amp;"")</f>
        <v/>
      </c>
      <c r="D43" s="70" t="str">
        <f aca="false">IF(B43="","",INDEX(T_ESTADO,37))</f>
        <v/>
      </c>
      <c r="E43" s="75" t="str">
        <f aca="false">IF(B43="","",INDEX(T_INGRESO,37))</f>
        <v/>
      </c>
      <c r="F43" s="75" t="str">
        <f aca="false">IF(OR(B43="",NOT(ISNUMBER(E43))),"",IF(E43&gt;FECHA_CORTE,"",IF(N(INDEX(T_EGRESO,37))&gt;0,MIN(INDEX(T_EGRESO,37),FECHA_CORTE),FECHA_CORTE)))</f>
        <v/>
      </c>
      <c r="G43" s="94" t="str">
        <f aca="false">IF(F43="","",DATEDIF(E43,F43+1,"m")+(F43+1-EDATE(E43,DATEDIF(E43,F43+1,"m")))/30)</f>
        <v/>
      </c>
      <c r="H43" s="95" t="str">
        <f aca="false">IF(F43="","",1.25*G43)</f>
        <v/>
      </c>
      <c r="I43" s="73" t="str">
        <f aca="false">IF(F43="","",SUMPRODUCT((ANIOS&lt;=DATEDIF(E43,F43+1,"y"))*(MIN(10,N(INDEX(T_PREV,37)))+ANIOS-10&gt;0)*INT((MIN(10,N(INDEX(T_PREV,37)))+ANIOS-10)/3)))</f>
        <v/>
      </c>
      <c r="J43" s="94" t="str">
        <f aca="false">IF(F43="","",SUMIFS(V_DIAS,V_ID,B43,V_INICIO,"&lt;="&amp;F43)+N(INDEX(T_VACPREV,37)))</f>
        <v/>
      </c>
      <c r="K43" s="95" t="str">
        <f aca="false">IF(F43="","",H43+I43-J43)</f>
        <v/>
      </c>
      <c r="L43" s="95" t="str">
        <f aca="false">IF(F43="","",IF(K43&lt;=0,K43,WORKDAY(F43,INT(K43),FERIADOS)-F43+(K43-INT(K43))))</f>
        <v/>
      </c>
      <c r="M43" s="71" t="str">
        <f aca="false">IF(F43="","",(N(INDEX(T_SUELDO,37))+N(INDEX(T_BONO,37)))/30)</f>
        <v/>
      </c>
      <c r="N43" s="71" t="str">
        <f aca="false">IF(F43="","",IF(D43="Desvinculado",0,ROUND(MAX(0,L43)*M43,0)))</f>
        <v/>
      </c>
      <c r="O43" s="73" t="str">
        <f aca="false">IF(F43="","",15+INT(MAX(0,MIN(10,N(INDEX(T_PREV,37)))+DATEDIF(E43,F43+1,"y")-10)/3))</f>
        <v/>
      </c>
      <c r="P43" s="70" t="str">
        <f aca="false">IF(F43="","",IF(D43="Desvinculado","— (se paga en el finiquito)",IF(Q43&gt;=2*O43,"⚠ Tiene 2 períodos acumulados: otorgar vacaciones antes de que se acumule un 3° (Art. 70)",IF(K43&lt;0,"⚠ Saldo negativo (vacaciones anticipadas)",IF(Q43&gt;=O43,"Programar vacaciones (tiene un período anual completo pendiente)","OK")))))</f>
        <v/>
      </c>
      <c r="Q43" s="94" t="str">
        <f aca="false">IF(F43="","",15*DATEDIF(E43,F43+1,"y")+I43-J43)</f>
        <v/>
      </c>
    </row>
    <row r="44" customFormat="false" ht="15" hidden="false" customHeight="false" outlineLevel="0" collapsed="false">
      <c r="B44" s="70" t="str">
        <f aca="false">IFERROR(IF(INDEX(T_ID,38)="","",INDEX(T_ID,38)),"")</f>
        <v/>
      </c>
      <c r="C44" s="70" t="str">
        <f aca="false">IF(B44="","",INDEX(T_NOMBRE,38)&amp;"")</f>
        <v/>
      </c>
      <c r="D44" s="70" t="str">
        <f aca="false">IF(B44="","",INDEX(T_ESTADO,38))</f>
        <v/>
      </c>
      <c r="E44" s="75" t="str">
        <f aca="false">IF(B44="","",INDEX(T_INGRESO,38))</f>
        <v/>
      </c>
      <c r="F44" s="75" t="str">
        <f aca="false">IF(OR(B44="",NOT(ISNUMBER(E44))),"",IF(E44&gt;FECHA_CORTE,"",IF(N(INDEX(T_EGRESO,38))&gt;0,MIN(INDEX(T_EGRESO,38),FECHA_CORTE),FECHA_CORTE)))</f>
        <v/>
      </c>
      <c r="G44" s="94" t="str">
        <f aca="false">IF(F44="","",DATEDIF(E44,F44+1,"m")+(F44+1-EDATE(E44,DATEDIF(E44,F44+1,"m")))/30)</f>
        <v/>
      </c>
      <c r="H44" s="95" t="str">
        <f aca="false">IF(F44="","",1.25*G44)</f>
        <v/>
      </c>
      <c r="I44" s="73" t="str">
        <f aca="false">IF(F44="","",SUMPRODUCT((ANIOS&lt;=DATEDIF(E44,F44+1,"y"))*(MIN(10,N(INDEX(T_PREV,38)))+ANIOS-10&gt;0)*INT((MIN(10,N(INDEX(T_PREV,38)))+ANIOS-10)/3)))</f>
        <v/>
      </c>
      <c r="J44" s="94" t="str">
        <f aca="false">IF(F44="","",SUMIFS(V_DIAS,V_ID,B44,V_INICIO,"&lt;="&amp;F44)+N(INDEX(T_VACPREV,38)))</f>
        <v/>
      </c>
      <c r="K44" s="95" t="str">
        <f aca="false">IF(F44="","",H44+I44-J44)</f>
        <v/>
      </c>
      <c r="L44" s="95" t="str">
        <f aca="false">IF(F44="","",IF(K44&lt;=0,K44,WORKDAY(F44,INT(K44),FERIADOS)-F44+(K44-INT(K44))))</f>
        <v/>
      </c>
      <c r="M44" s="71" t="str">
        <f aca="false">IF(F44="","",(N(INDEX(T_SUELDO,38))+N(INDEX(T_BONO,38)))/30)</f>
        <v/>
      </c>
      <c r="N44" s="71" t="str">
        <f aca="false">IF(F44="","",IF(D44="Desvinculado",0,ROUND(MAX(0,L44)*M44,0)))</f>
        <v/>
      </c>
      <c r="O44" s="73" t="str">
        <f aca="false">IF(F44="","",15+INT(MAX(0,MIN(10,N(INDEX(T_PREV,38)))+DATEDIF(E44,F44+1,"y")-10)/3))</f>
        <v/>
      </c>
      <c r="P44" s="70" t="str">
        <f aca="false">IF(F44="","",IF(D44="Desvinculado","— (se paga en el finiquito)",IF(Q44&gt;=2*O44,"⚠ Tiene 2 períodos acumulados: otorgar vacaciones antes de que se acumule un 3° (Art. 70)",IF(K44&lt;0,"⚠ Saldo negativo (vacaciones anticipadas)",IF(Q44&gt;=O44,"Programar vacaciones (tiene un período anual completo pendiente)","OK")))))</f>
        <v/>
      </c>
      <c r="Q44" s="94" t="str">
        <f aca="false">IF(F44="","",15*DATEDIF(E44,F44+1,"y")+I44-J44)</f>
        <v/>
      </c>
    </row>
    <row r="45" customFormat="false" ht="15" hidden="false" customHeight="false" outlineLevel="0" collapsed="false">
      <c r="B45" s="70" t="str">
        <f aca="false">IFERROR(IF(INDEX(T_ID,39)="","",INDEX(T_ID,39)),"")</f>
        <v/>
      </c>
      <c r="C45" s="70" t="str">
        <f aca="false">IF(B45="","",INDEX(T_NOMBRE,39)&amp;"")</f>
        <v/>
      </c>
      <c r="D45" s="70" t="str">
        <f aca="false">IF(B45="","",INDEX(T_ESTADO,39))</f>
        <v/>
      </c>
      <c r="E45" s="75" t="str">
        <f aca="false">IF(B45="","",INDEX(T_INGRESO,39))</f>
        <v/>
      </c>
      <c r="F45" s="75" t="str">
        <f aca="false">IF(OR(B45="",NOT(ISNUMBER(E45))),"",IF(E45&gt;FECHA_CORTE,"",IF(N(INDEX(T_EGRESO,39))&gt;0,MIN(INDEX(T_EGRESO,39),FECHA_CORTE),FECHA_CORTE)))</f>
        <v/>
      </c>
      <c r="G45" s="94" t="str">
        <f aca="false">IF(F45="","",DATEDIF(E45,F45+1,"m")+(F45+1-EDATE(E45,DATEDIF(E45,F45+1,"m")))/30)</f>
        <v/>
      </c>
      <c r="H45" s="95" t="str">
        <f aca="false">IF(F45="","",1.25*G45)</f>
        <v/>
      </c>
      <c r="I45" s="73" t="str">
        <f aca="false">IF(F45="","",SUMPRODUCT((ANIOS&lt;=DATEDIF(E45,F45+1,"y"))*(MIN(10,N(INDEX(T_PREV,39)))+ANIOS-10&gt;0)*INT((MIN(10,N(INDEX(T_PREV,39)))+ANIOS-10)/3)))</f>
        <v/>
      </c>
      <c r="J45" s="94" t="str">
        <f aca="false">IF(F45="","",SUMIFS(V_DIAS,V_ID,B45,V_INICIO,"&lt;="&amp;F45)+N(INDEX(T_VACPREV,39)))</f>
        <v/>
      </c>
      <c r="K45" s="95" t="str">
        <f aca="false">IF(F45="","",H45+I45-J45)</f>
        <v/>
      </c>
      <c r="L45" s="95" t="str">
        <f aca="false">IF(F45="","",IF(K45&lt;=0,K45,WORKDAY(F45,INT(K45),FERIADOS)-F45+(K45-INT(K45))))</f>
        <v/>
      </c>
      <c r="M45" s="71" t="str">
        <f aca="false">IF(F45="","",(N(INDEX(T_SUELDO,39))+N(INDEX(T_BONO,39)))/30)</f>
        <v/>
      </c>
      <c r="N45" s="71" t="str">
        <f aca="false">IF(F45="","",IF(D45="Desvinculado",0,ROUND(MAX(0,L45)*M45,0)))</f>
        <v/>
      </c>
      <c r="O45" s="73" t="str">
        <f aca="false">IF(F45="","",15+INT(MAX(0,MIN(10,N(INDEX(T_PREV,39)))+DATEDIF(E45,F45+1,"y")-10)/3))</f>
        <v/>
      </c>
      <c r="P45" s="70" t="str">
        <f aca="false">IF(F45="","",IF(D45="Desvinculado","— (se paga en el finiquito)",IF(Q45&gt;=2*O45,"⚠ Tiene 2 períodos acumulados: otorgar vacaciones antes de que se acumule un 3° (Art. 70)",IF(K45&lt;0,"⚠ Saldo negativo (vacaciones anticipadas)",IF(Q45&gt;=O45,"Programar vacaciones (tiene un período anual completo pendiente)","OK")))))</f>
        <v/>
      </c>
      <c r="Q45" s="94" t="str">
        <f aca="false">IF(F45="","",15*DATEDIF(E45,F45+1,"y")+I45-J45)</f>
        <v/>
      </c>
    </row>
    <row r="46" customFormat="false" ht="15" hidden="false" customHeight="false" outlineLevel="0" collapsed="false">
      <c r="B46" s="70" t="str">
        <f aca="false">IFERROR(IF(INDEX(T_ID,40)="","",INDEX(T_ID,40)),"")</f>
        <v/>
      </c>
      <c r="C46" s="70" t="str">
        <f aca="false">IF(B46="","",INDEX(T_NOMBRE,40)&amp;"")</f>
        <v/>
      </c>
      <c r="D46" s="70" t="str">
        <f aca="false">IF(B46="","",INDEX(T_ESTADO,40))</f>
        <v/>
      </c>
      <c r="E46" s="75" t="str">
        <f aca="false">IF(B46="","",INDEX(T_INGRESO,40))</f>
        <v/>
      </c>
      <c r="F46" s="75" t="str">
        <f aca="false">IF(OR(B46="",NOT(ISNUMBER(E46))),"",IF(E46&gt;FECHA_CORTE,"",IF(N(INDEX(T_EGRESO,40))&gt;0,MIN(INDEX(T_EGRESO,40),FECHA_CORTE),FECHA_CORTE)))</f>
        <v/>
      </c>
      <c r="G46" s="94" t="str">
        <f aca="false">IF(F46="","",DATEDIF(E46,F46+1,"m")+(F46+1-EDATE(E46,DATEDIF(E46,F46+1,"m")))/30)</f>
        <v/>
      </c>
      <c r="H46" s="95" t="str">
        <f aca="false">IF(F46="","",1.25*G46)</f>
        <v/>
      </c>
      <c r="I46" s="73" t="str">
        <f aca="false">IF(F46="","",SUMPRODUCT((ANIOS&lt;=DATEDIF(E46,F46+1,"y"))*(MIN(10,N(INDEX(T_PREV,40)))+ANIOS-10&gt;0)*INT((MIN(10,N(INDEX(T_PREV,40)))+ANIOS-10)/3)))</f>
        <v/>
      </c>
      <c r="J46" s="94" t="str">
        <f aca="false">IF(F46="","",SUMIFS(V_DIAS,V_ID,B46,V_INICIO,"&lt;="&amp;F46)+N(INDEX(T_VACPREV,40)))</f>
        <v/>
      </c>
      <c r="K46" s="95" t="str">
        <f aca="false">IF(F46="","",H46+I46-J46)</f>
        <v/>
      </c>
      <c r="L46" s="95" t="str">
        <f aca="false">IF(F46="","",IF(K46&lt;=0,K46,WORKDAY(F46,INT(K46),FERIADOS)-F46+(K46-INT(K46))))</f>
        <v/>
      </c>
      <c r="M46" s="71" t="str">
        <f aca="false">IF(F46="","",(N(INDEX(T_SUELDO,40))+N(INDEX(T_BONO,40)))/30)</f>
        <v/>
      </c>
      <c r="N46" s="71" t="str">
        <f aca="false">IF(F46="","",IF(D46="Desvinculado",0,ROUND(MAX(0,L46)*M46,0)))</f>
        <v/>
      </c>
      <c r="O46" s="73" t="str">
        <f aca="false">IF(F46="","",15+INT(MAX(0,MIN(10,N(INDEX(T_PREV,40)))+DATEDIF(E46,F46+1,"y")-10)/3))</f>
        <v/>
      </c>
      <c r="P46" s="70" t="str">
        <f aca="false">IF(F46="","",IF(D46="Desvinculado","— (se paga en el finiquito)",IF(Q46&gt;=2*O46,"⚠ Tiene 2 períodos acumulados: otorgar vacaciones antes de que se acumule un 3° (Art. 70)",IF(K46&lt;0,"⚠ Saldo negativo (vacaciones anticipadas)",IF(Q46&gt;=O46,"Programar vacaciones (tiene un período anual completo pendiente)","OK")))))</f>
        <v/>
      </c>
      <c r="Q46" s="94" t="str">
        <f aca="false">IF(F46="","",15*DATEDIF(E46,F46+1,"y")+I46-J46)</f>
        <v/>
      </c>
    </row>
    <row r="47" customFormat="false" ht="15" hidden="false" customHeight="false" outlineLevel="0" collapsed="false">
      <c r="B47" s="70" t="str">
        <f aca="false">IFERROR(IF(INDEX(T_ID,41)="","",INDEX(T_ID,41)),"")</f>
        <v/>
      </c>
      <c r="C47" s="70" t="str">
        <f aca="false">IF(B47="","",INDEX(T_NOMBRE,41)&amp;"")</f>
        <v/>
      </c>
      <c r="D47" s="70" t="str">
        <f aca="false">IF(B47="","",INDEX(T_ESTADO,41))</f>
        <v/>
      </c>
      <c r="E47" s="75" t="str">
        <f aca="false">IF(B47="","",INDEX(T_INGRESO,41))</f>
        <v/>
      </c>
      <c r="F47" s="75" t="str">
        <f aca="false">IF(OR(B47="",NOT(ISNUMBER(E47))),"",IF(E47&gt;FECHA_CORTE,"",IF(N(INDEX(T_EGRESO,41))&gt;0,MIN(INDEX(T_EGRESO,41),FECHA_CORTE),FECHA_CORTE)))</f>
        <v/>
      </c>
      <c r="G47" s="94" t="str">
        <f aca="false">IF(F47="","",DATEDIF(E47,F47+1,"m")+(F47+1-EDATE(E47,DATEDIF(E47,F47+1,"m")))/30)</f>
        <v/>
      </c>
      <c r="H47" s="95" t="str">
        <f aca="false">IF(F47="","",1.25*G47)</f>
        <v/>
      </c>
      <c r="I47" s="73" t="str">
        <f aca="false">IF(F47="","",SUMPRODUCT((ANIOS&lt;=DATEDIF(E47,F47+1,"y"))*(MIN(10,N(INDEX(T_PREV,41)))+ANIOS-10&gt;0)*INT((MIN(10,N(INDEX(T_PREV,41)))+ANIOS-10)/3)))</f>
        <v/>
      </c>
      <c r="J47" s="94" t="str">
        <f aca="false">IF(F47="","",SUMIFS(V_DIAS,V_ID,B47,V_INICIO,"&lt;="&amp;F47)+N(INDEX(T_VACPREV,41)))</f>
        <v/>
      </c>
      <c r="K47" s="95" t="str">
        <f aca="false">IF(F47="","",H47+I47-J47)</f>
        <v/>
      </c>
      <c r="L47" s="95" t="str">
        <f aca="false">IF(F47="","",IF(K47&lt;=0,K47,WORKDAY(F47,INT(K47),FERIADOS)-F47+(K47-INT(K47))))</f>
        <v/>
      </c>
      <c r="M47" s="71" t="str">
        <f aca="false">IF(F47="","",(N(INDEX(T_SUELDO,41))+N(INDEX(T_BONO,41)))/30)</f>
        <v/>
      </c>
      <c r="N47" s="71" t="str">
        <f aca="false">IF(F47="","",IF(D47="Desvinculado",0,ROUND(MAX(0,L47)*M47,0)))</f>
        <v/>
      </c>
      <c r="O47" s="73" t="str">
        <f aca="false">IF(F47="","",15+INT(MAX(0,MIN(10,N(INDEX(T_PREV,41)))+DATEDIF(E47,F47+1,"y")-10)/3))</f>
        <v/>
      </c>
      <c r="P47" s="70" t="str">
        <f aca="false">IF(F47="","",IF(D47="Desvinculado","— (se paga en el finiquito)",IF(Q47&gt;=2*O47,"⚠ Tiene 2 períodos acumulados: otorgar vacaciones antes de que se acumule un 3° (Art. 70)",IF(K47&lt;0,"⚠ Saldo negativo (vacaciones anticipadas)",IF(Q47&gt;=O47,"Programar vacaciones (tiene un período anual completo pendiente)","OK")))))</f>
        <v/>
      </c>
      <c r="Q47" s="94" t="str">
        <f aca="false">IF(F47="","",15*DATEDIF(E47,F47+1,"y")+I47-J47)</f>
        <v/>
      </c>
    </row>
    <row r="48" customFormat="false" ht="15" hidden="false" customHeight="false" outlineLevel="0" collapsed="false">
      <c r="B48" s="70" t="str">
        <f aca="false">IFERROR(IF(INDEX(T_ID,42)="","",INDEX(T_ID,42)),"")</f>
        <v/>
      </c>
      <c r="C48" s="70" t="str">
        <f aca="false">IF(B48="","",INDEX(T_NOMBRE,42)&amp;"")</f>
        <v/>
      </c>
      <c r="D48" s="70" t="str">
        <f aca="false">IF(B48="","",INDEX(T_ESTADO,42))</f>
        <v/>
      </c>
      <c r="E48" s="75" t="str">
        <f aca="false">IF(B48="","",INDEX(T_INGRESO,42))</f>
        <v/>
      </c>
      <c r="F48" s="75" t="str">
        <f aca="false">IF(OR(B48="",NOT(ISNUMBER(E48))),"",IF(E48&gt;FECHA_CORTE,"",IF(N(INDEX(T_EGRESO,42))&gt;0,MIN(INDEX(T_EGRESO,42),FECHA_CORTE),FECHA_CORTE)))</f>
        <v/>
      </c>
      <c r="G48" s="94" t="str">
        <f aca="false">IF(F48="","",DATEDIF(E48,F48+1,"m")+(F48+1-EDATE(E48,DATEDIF(E48,F48+1,"m")))/30)</f>
        <v/>
      </c>
      <c r="H48" s="95" t="str">
        <f aca="false">IF(F48="","",1.25*G48)</f>
        <v/>
      </c>
      <c r="I48" s="73" t="str">
        <f aca="false">IF(F48="","",SUMPRODUCT((ANIOS&lt;=DATEDIF(E48,F48+1,"y"))*(MIN(10,N(INDEX(T_PREV,42)))+ANIOS-10&gt;0)*INT((MIN(10,N(INDEX(T_PREV,42)))+ANIOS-10)/3)))</f>
        <v/>
      </c>
      <c r="J48" s="94" t="str">
        <f aca="false">IF(F48="","",SUMIFS(V_DIAS,V_ID,B48,V_INICIO,"&lt;="&amp;F48)+N(INDEX(T_VACPREV,42)))</f>
        <v/>
      </c>
      <c r="K48" s="95" t="str">
        <f aca="false">IF(F48="","",H48+I48-J48)</f>
        <v/>
      </c>
      <c r="L48" s="95" t="str">
        <f aca="false">IF(F48="","",IF(K48&lt;=0,K48,WORKDAY(F48,INT(K48),FERIADOS)-F48+(K48-INT(K48))))</f>
        <v/>
      </c>
      <c r="M48" s="71" t="str">
        <f aca="false">IF(F48="","",(N(INDEX(T_SUELDO,42))+N(INDEX(T_BONO,42)))/30)</f>
        <v/>
      </c>
      <c r="N48" s="71" t="str">
        <f aca="false">IF(F48="","",IF(D48="Desvinculado",0,ROUND(MAX(0,L48)*M48,0)))</f>
        <v/>
      </c>
      <c r="O48" s="73" t="str">
        <f aca="false">IF(F48="","",15+INT(MAX(0,MIN(10,N(INDEX(T_PREV,42)))+DATEDIF(E48,F48+1,"y")-10)/3))</f>
        <v/>
      </c>
      <c r="P48" s="70" t="str">
        <f aca="false">IF(F48="","",IF(D48="Desvinculado","— (se paga en el finiquito)",IF(Q48&gt;=2*O48,"⚠ Tiene 2 períodos acumulados: otorgar vacaciones antes de que se acumule un 3° (Art. 70)",IF(K48&lt;0,"⚠ Saldo negativo (vacaciones anticipadas)",IF(Q48&gt;=O48,"Programar vacaciones (tiene un período anual completo pendiente)","OK")))))</f>
        <v/>
      </c>
      <c r="Q48" s="94" t="str">
        <f aca="false">IF(F48="","",15*DATEDIF(E48,F48+1,"y")+I48-J48)</f>
        <v/>
      </c>
    </row>
    <row r="49" customFormat="false" ht="15" hidden="false" customHeight="false" outlineLevel="0" collapsed="false">
      <c r="B49" s="70" t="str">
        <f aca="false">IFERROR(IF(INDEX(T_ID,43)="","",INDEX(T_ID,43)),"")</f>
        <v/>
      </c>
      <c r="C49" s="70" t="str">
        <f aca="false">IF(B49="","",INDEX(T_NOMBRE,43)&amp;"")</f>
        <v/>
      </c>
      <c r="D49" s="70" t="str">
        <f aca="false">IF(B49="","",INDEX(T_ESTADO,43))</f>
        <v/>
      </c>
      <c r="E49" s="75" t="str">
        <f aca="false">IF(B49="","",INDEX(T_INGRESO,43))</f>
        <v/>
      </c>
      <c r="F49" s="75" t="str">
        <f aca="false">IF(OR(B49="",NOT(ISNUMBER(E49))),"",IF(E49&gt;FECHA_CORTE,"",IF(N(INDEX(T_EGRESO,43))&gt;0,MIN(INDEX(T_EGRESO,43),FECHA_CORTE),FECHA_CORTE)))</f>
        <v/>
      </c>
      <c r="G49" s="94" t="str">
        <f aca="false">IF(F49="","",DATEDIF(E49,F49+1,"m")+(F49+1-EDATE(E49,DATEDIF(E49,F49+1,"m")))/30)</f>
        <v/>
      </c>
      <c r="H49" s="95" t="str">
        <f aca="false">IF(F49="","",1.25*G49)</f>
        <v/>
      </c>
      <c r="I49" s="73" t="str">
        <f aca="false">IF(F49="","",SUMPRODUCT((ANIOS&lt;=DATEDIF(E49,F49+1,"y"))*(MIN(10,N(INDEX(T_PREV,43)))+ANIOS-10&gt;0)*INT((MIN(10,N(INDEX(T_PREV,43)))+ANIOS-10)/3)))</f>
        <v/>
      </c>
      <c r="J49" s="94" t="str">
        <f aca="false">IF(F49="","",SUMIFS(V_DIAS,V_ID,B49,V_INICIO,"&lt;="&amp;F49)+N(INDEX(T_VACPREV,43)))</f>
        <v/>
      </c>
      <c r="K49" s="95" t="str">
        <f aca="false">IF(F49="","",H49+I49-J49)</f>
        <v/>
      </c>
      <c r="L49" s="95" t="str">
        <f aca="false">IF(F49="","",IF(K49&lt;=0,K49,WORKDAY(F49,INT(K49),FERIADOS)-F49+(K49-INT(K49))))</f>
        <v/>
      </c>
      <c r="M49" s="71" t="str">
        <f aca="false">IF(F49="","",(N(INDEX(T_SUELDO,43))+N(INDEX(T_BONO,43)))/30)</f>
        <v/>
      </c>
      <c r="N49" s="71" t="str">
        <f aca="false">IF(F49="","",IF(D49="Desvinculado",0,ROUND(MAX(0,L49)*M49,0)))</f>
        <v/>
      </c>
      <c r="O49" s="73" t="str">
        <f aca="false">IF(F49="","",15+INT(MAX(0,MIN(10,N(INDEX(T_PREV,43)))+DATEDIF(E49,F49+1,"y")-10)/3))</f>
        <v/>
      </c>
      <c r="P49" s="70" t="str">
        <f aca="false">IF(F49="","",IF(D49="Desvinculado","— (se paga en el finiquito)",IF(Q49&gt;=2*O49,"⚠ Tiene 2 períodos acumulados: otorgar vacaciones antes de que se acumule un 3° (Art. 70)",IF(K49&lt;0,"⚠ Saldo negativo (vacaciones anticipadas)",IF(Q49&gt;=O49,"Programar vacaciones (tiene un período anual completo pendiente)","OK")))))</f>
        <v/>
      </c>
      <c r="Q49" s="94" t="str">
        <f aca="false">IF(F49="","",15*DATEDIF(E49,F49+1,"y")+I49-J49)</f>
        <v/>
      </c>
    </row>
    <row r="50" customFormat="false" ht="15" hidden="false" customHeight="false" outlineLevel="0" collapsed="false">
      <c r="B50" s="70" t="str">
        <f aca="false">IFERROR(IF(INDEX(T_ID,44)="","",INDEX(T_ID,44)),"")</f>
        <v/>
      </c>
      <c r="C50" s="70" t="str">
        <f aca="false">IF(B50="","",INDEX(T_NOMBRE,44)&amp;"")</f>
        <v/>
      </c>
      <c r="D50" s="70" t="str">
        <f aca="false">IF(B50="","",INDEX(T_ESTADO,44))</f>
        <v/>
      </c>
      <c r="E50" s="75" t="str">
        <f aca="false">IF(B50="","",INDEX(T_INGRESO,44))</f>
        <v/>
      </c>
      <c r="F50" s="75" t="str">
        <f aca="false">IF(OR(B50="",NOT(ISNUMBER(E50))),"",IF(E50&gt;FECHA_CORTE,"",IF(N(INDEX(T_EGRESO,44))&gt;0,MIN(INDEX(T_EGRESO,44),FECHA_CORTE),FECHA_CORTE)))</f>
        <v/>
      </c>
      <c r="G50" s="94" t="str">
        <f aca="false">IF(F50="","",DATEDIF(E50,F50+1,"m")+(F50+1-EDATE(E50,DATEDIF(E50,F50+1,"m")))/30)</f>
        <v/>
      </c>
      <c r="H50" s="95" t="str">
        <f aca="false">IF(F50="","",1.25*G50)</f>
        <v/>
      </c>
      <c r="I50" s="73" t="str">
        <f aca="false">IF(F50="","",SUMPRODUCT((ANIOS&lt;=DATEDIF(E50,F50+1,"y"))*(MIN(10,N(INDEX(T_PREV,44)))+ANIOS-10&gt;0)*INT((MIN(10,N(INDEX(T_PREV,44)))+ANIOS-10)/3)))</f>
        <v/>
      </c>
      <c r="J50" s="94" t="str">
        <f aca="false">IF(F50="","",SUMIFS(V_DIAS,V_ID,B50,V_INICIO,"&lt;="&amp;F50)+N(INDEX(T_VACPREV,44)))</f>
        <v/>
      </c>
      <c r="K50" s="95" t="str">
        <f aca="false">IF(F50="","",H50+I50-J50)</f>
        <v/>
      </c>
      <c r="L50" s="95" t="str">
        <f aca="false">IF(F50="","",IF(K50&lt;=0,K50,WORKDAY(F50,INT(K50),FERIADOS)-F50+(K50-INT(K50))))</f>
        <v/>
      </c>
      <c r="M50" s="71" t="str">
        <f aca="false">IF(F50="","",(N(INDEX(T_SUELDO,44))+N(INDEX(T_BONO,44)))/30)</f>
        <v/>
      </c>
      <c r="N50" s="71" t="str">
        <f aca="false">IF(F50="","",IF(D50="Desvinculado",0,ROUND(MAX(0,L50)*M50,0)))</f>
        <v/>
      </c>
      <c r="O50" s="73" t="str">
        <f aca="false">IF(F50="","",15+INT(MAX(0,MIN(10,N(INDEX(T_PREV,44)))+DATEDIF(E50,F50+1,"y")-10)/3))</f>
        <v/>
      </c>
      <c r="P50" s="70" t="str">
        <f aca="false">IF(F50="","",IF(D50="Desvinculado","— (se paga en el finiquito)",IF(Q50&gt;=2*O50,"⚠ Tiene 2 períodos acumulados: otorgar vacaciones antes de que se acumule un 3° (Art. 70)",IF(K50&lt;0,"⚠ Saldo negativo (vacaciones anticipadas)",IF(Q50&gt;=O50,"Programar vacaciones (tiene un período anual completo pendiente)","OK")))))</f>
        <v/>
      </c>
      <c r="Q50" s="94" t="str">
        <f aca="false">IF(F50="","",15*DATEDIF(E50,F50+1,"y")+I50-J50)</f>
        <v/>
      </c>
    </row>
    <row r="51" customFormat="false" ht="15" hidden="false" customHeight="false" outlineLevel="0" collapsed="false">
      <c r="B51" s="70" t="str">
        <f aca="false">IFERROR(IF(INDEX(T_ID,45)="","",INDEX(T_ID,45)),"")</f>
        <v/>
      </c>
      <c r="C51" s="70" t="str">
        <f aca="false">IF(B51="","",INDEX(T_NOMBRE,45)&amp;"")</f>
        <v/>
      </c>
      <c r="D51" s="70" t="str">
        <f aca="false">IF(B51="","",INDEX(T_ESTADO,45))</f>
        <v/>
      </c>
      <c r="E51" s="75" t="str">
        <f aca="false">IF(B51="","",INDEX(T_INGRESO,45))</f>
        <v/>
      </c>
      <c r="F51" s="75" t="str">
        <f aca="false">IF(OR(B51="",NOT(ISNUMBER(E51))),"",IF(E51&gt;FECHA_CORTE,"",IF(N(INDEX(T_EGRESO,45))&gt;0,MIN(INDEX(T_EGRESO,45),FECHA_CORTE),FECHA_CORTE)))</f>
        <v/>
      </c>
      <c r="G51" s="94" t="str">
        <f aca="false">IF(F51="","",DATEDIF(E51,F51+1,"m")+(F51+1-EDATE(E51,DATEDIF(E51,F51+1,"m")))/30)</f>
        <v/>
      </c>
      <c r="H51" s="95" t="str">
        <f aca="false">IF(F51="","",1.25*G51)</f>
        <v/>
      </c>
      <c r="I51" s="73" t="str">
        <f aca="false">IF(F51="","",SUMPRODUCT((ANIOS&lt;=DATEDIF(E51,F51+1,"y"))*(MIN(10,N(INDEX(T_PREV,45)))+ANIOS-10&gt;0)*INT((MIN(10,N(INDEX(T_PREV,45)))+ANIOS-10)/3)))</f>
        <v/>
      </c>
      <c r="J51" s="94" t="str">
        <f aca="false">IF(F51="","",SUMIFS(V_DIAS,V_ID,B51,V_INICIO,"&lt;="&amp;F51)+N(INDEX(T_VACPREV,45)))</f>
        <v/>
      </c>
      <c r="K51" s="95" t="str">
        <f aca="false">IF(F51="","",H51+I51-J51)</f>
        <v/>
      </c>
      <c r="L51" s="95" t="str">
        <f aca="false">IF(F51="","",IF(K51&lt;=0,K51,WORKDAY(F51,INT(K51),FERIADOS)-F51+(K51-INT(K51))))</f>
        <v/>
      </c>
      <c r="M51" s="71" t="str">
        <f aca="false">IF(F51="","",(N(INDEX(T_SUELDO,45))+N(INDEX(T_BONO,45)))/30)</f>
        <v/>
      </c>
      <c r="N51" s="71" t="str">
        <f aca="false">IF(F51="","",IF(D51="Desvinculado",0,ROUND(MAX(0,L51)*M51,0)))</f>
        <v/>
      </c>
      <c r="O51" s="73" t="str">
        <f aca="false">IF(F51="","",15+INT(MAX(0,MIN(10,N(INDEX(T_PREV,45)))+DATEDIF(E51,F51+1,"y")-10)/3))</f>
        <v/>
      </c>
      <c r="P51" s="70" t="str">
        <f aca="false">IF(F51="","",IF(D51="Desvinculado","— (se paga en el finiquito)",IF(Q51&gt;=2*O51,"⚠ Tiene 2 períodos acumulados: otorgar vacaciones antes de que se acumule un 3° (Art. 70)",IF(K51&lt;0,"⚠ Saldo negativo (vacaciones anticipadas)",IF(Q51&gt;=O51,"Programar vacaciones (tiene un período anual completo pendiente)","OK")))))</f>
        <v/>
      </c>
      <c r="Q51" s="94" t="str">
        <f aca="false">IF(F51="","",15*DATEDIF(E51,F51+1,"y")+I51-J51)</f>
        <v/>
      </c>
    </row>
    <row r="52" customFormat="false" ht="15" hidden="false" customHeight="false" outlineLevel="0" collapsed="false">
      <c r="B52" s="70" t="str">
        <f aca="false">IFERROR(IF(INDEX(T_ID,46)="","",INDEX(T_ID,46)),"")</f>
        <v/>
      </c>
      <c r="C52" s="70" t="str">
        <f aca="false">IF(B52="","",INDEX(T_NOMBRE,46)&amp;"")</f>
        <v/>
      </c>
      <c r="D52" s="70" t="str">
        <f aca="false">IF(B52="","",INDEX(T_ESTADO,46))</f>
        <v/>
      </c>
      <c r="E52" s="75" t="str">
        <f aca="false">IF(B52="","",INDEX(T_INGRESO,46))</f>
        <v/>
      </c>
      <c r="F52" s="75" t="str">
        <f aca="false">IF(OR(B52="",NOT(ISNUMBER(E52))),"",IF(E52&gt;FECHA_CORTE,"",IF(N(INDEX(T_EGRESO,46))&gt;0,MIN(INDEX(T_EGRESO,46),FECHA_CORTE),FECHA_CORTE)))</f>
        <v/>
      </c>
      <c r="G52" s="94" t="str">
        <f aca="false">IF(F52="","",DATEDIF(E52,F52+1,"m")+(F52+1-EDATE(E52,DATEDIF(E52,F52+1,"m")))/30)</f>
        <v/>
      </c>
      <c r="H52" s="95" t="str">
        <f aca="false">IF(F52="","",1.25*G52)</f>
        <v/>
      </c>
      <c r="I52" s="73" t="str">
        <f aca="false">IF(F52="","",SUMPRODUCT((ANIOS&lt;=DATEDIF(E52,F52+1,"y"))*(MIN(10,N(INDEX(T_PREV,46)))+ANIOS-10&gt;0)*INT((MIN(10,N(INDEX(T_PREV,46)))+ANIOS-10)/3)))</f>
        <v/>
      </c>
      <c r="J52" s="94" t="str">
        <f aca="false">IF(F52="","",SUMIFS(V_DIAS,V_ID,B52,V_INICIO,"&lt;="&amp;F52)+N(INDEX(T_VACPREV,46)))</f>
        <v/>
      </c>
      <c r="K52" s="95" t="str">
        <f aca="false">IF(F52="","",H52+I52-J52)</f>
        <v/>
      </c>
      <c r="L52" s="95" t="str">
        <f aca="false">IF(F52="","",IF(K52&lt;=0,K52,WORKDAY(F52,INT(K52),FERIADOS)-F52+(K52-INT(K52))))</f>
        <v/>
      </c>
      <c r="M52" s="71" t="str">
        <f aca="false">IF(F52="","",(N(INDEX(T_SUELDO,46))+N(INDEX(T_BONO,46)))/30)</f>
        <v/>
      </c>
      <c r="N52" s="71" t="str">
        <f aca="false">IF(F52="","",IF(D52="Desvinculado",0,ROUND(MAX(0,L52)*M52,0)))</f>
        <v/>
      </c>
      <c r="O52" s="73" t="str">
        <f aca="false">IF(F52="","",15+INT(MAX(0,MIN(10,N(INDEX(T_PREV,46)))+DATEDIF(E52,F52+1,"y")-10)/3))</f>
        <v/>
      </c>
      <c r="P52" s="70" t="str">
        <f aca="false">IF(F52="","",IF(D52="Desvinculado","— (se paga en el finiquito)",IF(Q52&gt;=2*O52,"⚠ Tiene 2 períodos acumulados: otorgar vacaciones antes de que se acumule un 3° (Art. 70)",IF(K52&lt;0,"⚠ Saldo negativo (vacaciones anticipadas)",IF(Q52&gt;=O52,"Programar vacaciones (tiene un período anual completo pendiente)","OK")))))</f>
        <v/>
      </c>
      <c r="Q52" s="94" t="str">
        <f aca="false">IF(F52="","",15*DATEDIF(E52,F52+1,"y")+I52-J52)</f>
        <v/>
      </c>
    </row>
    <row r="53" customFormat="false" ht="15" hidden="false" customHeight="false" outlineLevel="0" collapsed="false">
      <c r="B53" s="70" t="str">
        <f aca="false">IFERROR(IF(INDEX(T_ID,47)="","",INDEX(T_ID,47)),"")</f>
        <v/>
      </c>
      <c r="C53" s="70" t="str">
        <f aca="false">IF(B53="","",INDEX(T_NOMBRE,47)&amp;"")</f>
        <v/>
      </c>
      <c r="D53" s="70" t="str">
        <f aca="false">IF(B53="","",INDEX(T_ESTADO,47))</f>
        <v/>
      </c>
      <c r="E53" s="75" t="str">
        <f aca="false">IF(B53="","",INDEX(T_INGRESO,47))</f>
        <v/>
      </c>
      <c r="F53" s="75" t="str">
        <f aca="false">IF(OR(B53="",NOT(ISNUMBER(E53))),"",IF(E53&gt;FECHA_CORTE,"",IF(N(INDEX(T_EGRESO,47))&gt;0,MIN(INDEX(T_EGRESO,47),FECHA_CORTE),FECHA_CORTE)))</f>
        <v/>
      </c>
      <c r="G53" s="94" t="str">
        <f aca="false">IF(F53="","",DATEDIF(E53,F53+1,"m")+(F53+1-EDATE(E53,DATEDIF(E53,F53+1,"m")))/30)</f>
        <v/>
      </c>
      <c r="H53" s="95" t="str">
        <f aca="false">IF(F53="","",1.25*G53)</f>
        <v/>
      </c>
      <c r="I53" s="73" t="str">
        <f aca="false">IF(F53="","",SUMPRODUCT((ANIOS&lt;=DATEDIF(E53,F53+1,"y"))*(MIN(10,N(INDEX(T_PREV,47)))+ANIOS-10&gt;0)*INT((MIN(10,N(INDEX(T_PREV,47)))+ANIOS-10)/3)))</f>
        <v/>
      </c>
      <c r="J53" s="94" t="str">
        <f aca="false">IF(F53="","",SUMIFS(V_DIAS,V_ID,B53,V_INICIO,"&lt;="&amp;F53)+N(INDEX(T_VACPREV,47)))</f>
        <v/>
      </c>
      <c r="K53" s="95" t="str">
        <f aca="false">IF(F53="","",H53+I53-J53)</f>
        <v/>
      </c>
      <c r="L53" s="95" t="str">
        <f aca="false">IF(F53="","",IF(K53&lt;=0,K53,WORKDAY(F53,INT(K53),FERIADOS)-F53+(K53-INT(K53))))</f>
        <v/>
      </c>
      <c r="M53" s="71" t="str">
        <f aca="false">IF(F53="","",(N(INDEX(T_SUELDO,47))+N(INDEX(T_BONO,47)))/30)</f>
        <v/>
      </c>
      <c r="N53" s="71" t="str">
        <f aca="false">IF(F53="","",IF(D53="Desvinculado",0,ROUND(MAX(0,L53)*M53,0)))</f>
        <v/>
      </c>
      <c r="O53" s="73" t="str">
        <f aca="false">IF(F53="","",15+INT(MAX(0,MIN(10,N(INDEX(T_PREV,47)))+DATEDIF(E53,F53+1,"y")-10)/3))</f>
        <v/>
      </c>
      <c r="P53" s="70" t="str">
        <f aca="false">IF(F53="","",IF(D53="Desvinculado","— (se paga en el finiquito)",IF(Q53&gt;=2*O53,"⚠ Tiene 2 períodos acumulados: otorgar vacaciones antes de que se acumule un 3° (Art. 70)",IF(K53&lt;0,"⚠ Saldo negativo (vacaciones anticipadas)",IF(Q53&gt;=O53,"Programar vacaciones (tiene un período anual completo pendiente)","OK")))))</f>
        <v/>
      </c>
      <c r="Q53" s="94" t="str">
        <f aca="false">IF(F53="","",15*DATEDIF(E53,F53+1,"y")+I53-J53)</f>
        <v/>
      </c>
    </row>
    <row r="54" customFormat="false" ht="15" hidden="false" customHeight="false" outlineLevel="0" collapsed="false">
      <c r="B54" s="70" t="str">
        <f aca="false">IFERROR(IF(INDEX(T_ID,48)="","",INDEX(T_ID,48)),"")</f>
        <v/>
      </c>
      <c r="C54" s="70" t="str">
        <f aca="false">IF(B54="","",INDEX(T_NOMBRE,48)&amp;"")</f>
        <v/>
      </c>
      <c r="D54" s="70" t="str">
        <f aca="false">IF(B54="","",INDEX(T_ESTADO,48))</f>
        <v/>
      </c>
      <c r="E54" s="75" t="str">
        <f aca="false">IF(B54="","",INDEX(T_INGRESO,48))</f>
        <v/>
      </c>
      <c r="F54" s="75" t="str">
        <f aca="false">IF(OR(B54="",NOT(ISNUMBER(E54))),"",IF(E54&gt;FECHA_CORTE,"",IF(N(INDEX(T_EGRESO,48))&gt;0,MIN(INDEX(T_EGRESO,48),FECHA_CORTE),FECHA_CORTE)))</f>
        <v/>
      </c>
      <c r="G54" s="94" t="str">
        <f aca="false">IF(F54="","",DATEDIF(E54,F54+1,"m")+(F54+1-EDATE(E54,DATEDIF(E54,F54+1,"m")))/30)</f>
        <v/>
      </c>
      <c r="H54" s="95" t="str">
        <f aca="false">IF(F54="","",1.25*G54)</f>
        <v/>
      </c>
      <c r="I54" s="73" t="str">
        <f aca="false">IF(F54="","",SUMPRODUCT((ANIOS&lt;=DATEDIF(E54,F54+1,"y"))*(MIN(10,N(INDEX(T_PREV,48)))+ANIOS-10&gt;0)*INT((MIN(10,N(INDEX(T_PREV,48)))+ANIOS-10)/3)))</f>
        <v/>
      </c>
      <c r="J54" s="94" t="str">
        <f aca="false">IF(F54="","",SUMIFS(V_DIAS,V_ID,B54,V_INICIO,"&lt;="&amp;F54)+N(INDEX(T_VACPREV,48)))</f>
        <v/>
      </c>
      <c r="K54" s="95" t="str">
        <f aca="false">IF(F54="","",H54+I54-J54)</f>
        <v/>
      </c>
      <c r="L54" s="95" t="str">
        <f aca="false">IF(F54="","",IF(K54&lt;=0,K54,WORKDAY(F54,INT(K54),FERIADOS)-F54+(K54-INT(K54))))</f>
        <v/>
      </c>
      <c r="M54" s="71" t="str">
        <f aca="false">IF(F54="","",(N(INDEX(T_SUELDO,48))+N(INDEX(T_BONO,48)))/30)</f>
        <v/>
      </c>
      <c r="N54" s="71" t="str">
        <f aca="false">IF(F54="","",IF(D54="Desvinculado",0,ROUND(MAX(0,L54)*M54,0)))</f>
        <v/>
      </c>
      <c r="O54" s="73" t="str">
        <f aca="false">IF(F54="","",15+INT(MAX(0,MIN(10,N(INDEX(T_PREV,48)))+DATEDIF(E54,F54+1,"y")-10)/3))</f>
        <v/>
      </c>
      <c r="P54" s="70" t="str">
        <f aca="false">IF(F54="","",IF(D54="Desvinculado","— (se paga en el finiquito)",IF(Q54&gt;=2*O54,"⚠ Tiene 2 períodos acumulados: otorgar vacaciones antes de que se acumule un 3° (Art. 70)",IF(K54&lt;0,"⚠ Saldo negativo (vacaciones anticipadas)",IF(Q54&gt;=O54,"Programar vacaciones (tiene un período anual completo pendiente)","OK")))))</f>
        <v/>
      </c>
      <c r="Q54" s="94" t="str">
        <f aca="false">IF(F54="","",15*DATEDIF(E54,F54+1,"y")+I54-J54)</f>
        <v/>
      </c>
    </row>
    <row r="55" customFormat="false" ht="15" hidden="false" customHeight="false" outlineLevel="0" collapsed="false">
      <c r="B55" s="70" t="str">
        <f aca="false">IFERROR(IF(INDEX(T_ID,49)="","",INDEX(T_ID,49)),"")</f>
        <v/>
      </c>
      <c r="C55" s="70" t="str">
        <f aca="false">IF(B55="","",INDEX(T_NOMBRE,49)&amp;"")</f>
        <v/>
      </c>
      <c r="D55" s="70" t="str">
        <f aca="false">IF(B55="","",INDEX(T_ESTADO,49))</f>
        <v/>
      </c>
      <c r="E55" s="75" t="str">
        <f aca="false">IF(B55="","",INDEX(T_INGRESO,49))</f>
        <v/>
      </c>
      <c r="F55" s="75" t="str">
        <f aca="false">IF(OR(B55="",NOT(ISNUMBER(E55))),"",IF(E55&gt;FECHA_CORTE,"",IF(N(INDEX(T_EGRESO,49))&gt;0,MIN(INDEX(T_EGRESO,49),FECHA_CORTE),FECHA_CORTE)))</f>
        <v/>
      </c>
      <c r="G55" s="94" t="str">
        <f aca="false">IF(F55="","",DATEDIF(E55,F55+1,"m")+(F55+1-EDATE(E55,DATEDIF(E55,F55+1,"m")))/30)</f>
        <v/>
      </c>
      <c r="H55" s="95" t="str">
        <f aca="false">IF(F55="","",1.25*G55)</f>
        <v/>
      </c>
      <c r="I55" s="73" t="str">
        <f aca="false">IF(F55="","",SUMPRODUCT((ANIOS&lt;=DATEDIF(E55,F55+1,"y"))*(MIN(10,N(INDEX(T_PREV,49)))+ANIOS-10&gt;0)*INT((MIN(10,N(INDEX(T_PREV,49)))+ANIOS-10)/3)))</f>
        <v/>
      </c>
      <c r="J55" s="94" t="str">
        <f aca="false">IF(F55="","",SUMIFS(V_DIAS,V_ID,B55,V_INICIO,"&lt;="&amp;F55)+N(INDEX(T_VACPREV,49)))</f>
        <v/>
      </c>
      <c r="K55" s="95" t="str">
        <f aca="false">IF(F55="","",H55+I55-J55)</f>
        <v/>
      </c>
      <c r="L55" s="95" t="str">
        <f aca="false">IF(F55="","",IF(K55&lt;=0,K55,WORKDAY(F55,INT(K55),FERIADOS)-F55+(K55-INT(K55))))</f>
        <v/>
      </c>
      <c r="M55" s="71" t="str">
        <f aca="false">IF(F55="","",(N(INDEX(T_SUELDO,49))+N(INDEX(T_BONO,49)))/30)</f>
        <v/>
      </c>
      <c r="N55" s="71" t="str">
        <f aca="false">IF(F55="","",IF(D55="Desvinculado",0,ROUND(MAX(0,L55)*M55,0)))</f>
        <v/>
      </c>
      <c r="O55" s="73" t="str">
        <f aca="false">IF(F55="","",15+INT(MAX(0,MIN(10,N(INDEX(T_PREV,49)))+DATEDIF(E55,F55+1,"y")-10)/3))</f>
        <v/>
      </c>
      <c r="P55" s="70" t="str">
        <f aca="false">IF(F55="","",IF(D55="Desvinculado","— (se paga en el finiquito)",IF(Q55&gt;=2*O55,"⚠ Tiene 2 períodos acumulados: otorgar vacaciones antes de que se acumule un 3° (Art. 70)",IF(K55&lt;0,"⚠ Saldo negativo (vacaciones anticipadas)",IF(Q55&gt;=O55,"Programar vacaciones (tiene un período anual completo pendiente)","OK")))))</f>
        <v/>
      </c>
      <c r="Q55" s="94" t="str">
        <f aca="false">IF(F55="","",15*DATEDIF(E55,F55+1,"y")+I55-J55)</f>
        <v/>
      </c>
    </row>
    <row r="56" customFormat="false" ht="15" hidden="false" customHeight="false" outlineLevel="0" collapsed="false">
      <c r="B56" s="70" t="str">
        <f aca="false">IFERROR(IF(INDEX(T_ID,50)="","",INDEX(T_ID,50)),"")</f>
        <v/>
      </c>
      <c r="C56" s="70" t="str">
        <f aca="false">IF(B56="","",INDEX(T_NOMBRE,50)&amp;"")</f>
        <v/>
      </c>
      <c r="D56" s="70" t="str">
        <f aca="false">IF(B56="","",INDEX(T_ESTADO,50))</f>
        <v/>
      </c>
      <c r="E56" s="75" t="str">
        <f aca="false">IF(B56="","",INDEX(T_INGRESO,50))</f>
        <v/>
      </c>
      <c r="F56" s="75" t="str">
        <f aca="false">IF(OR(B56="",NOT(ISNUMBER(E56))),"",IF(E56&gt;FECHA_CORTE,"",IF(N(INDEX(T_EGRESO,50))&gt;0,MIN(INDEX(T_EGRESO,50),FECHA_CORTE),FECHA_CORTE)))</f>
        <v/>
      </c>
      <c r="G56" s="94" t="str">
        <f aca="false">IF(F56="","",DATEDIF(E56,F56+1,"m")+(F56+1-EDATE(E56,DATEDIF(E56,F56+1,"m")))/30)</f>
        <v/>
      </c>
      <c r="H56" s="95" t="str">
        <f aca="false">IF(F56="","",1.25*G56)</f>
        <v/>
      </c>
      <c r="I56" s="73" t="str">
        <f aca="false">IF(F56="","",SUMPRODUCT((ANIOS&lt;=DATEDIF(E56,F56+1,"y"))*(MIN(10,N(INDEX(T_PREV,50)))+ANIOS-10&gt;0)*INT((MIN(10,N(INDEX(T_PREV,50)))+ANIOS-10)/3)))</f>
        <v/>
      </c>
      <c r="J56" s="94" t="str">
        <f aca="false">IF(F56="","",SUMIFS(V_DIAS,V_ID,B56,V_INICIO,"&lt;="&amp;F56)+N(INDEX(T_VACPREV,50)))</f>
        <v/>
      </c>
      <c r="K56" s="95" t="str">
        <f aca="false">IF(F56="","",H56+I56-J56)</f>
        <v/>
      </c>
      <c r="L56" s="95" t="str">
        <f aca="false">IF(F56="","",IF(K56&lt;=0,K56,WORKDAY(F56,INT(K56),FERIADOS)-F56+(K56-INT(K56))))</f>
        <v/>
      </c>
      <c r="M56" s="71" t="str">
        <f aca="false">IF(F56="","",(N(INDEX(T_SUELDO,50))+N(INDEX(T_BONO,50)))/30)</f>
        <v/>
      </c>
      <c r="N56" s="71" t="str">
        <f aca="false">IF(F56="","",IF(D56="Desvinculado",0,ROUND(MAX(0,L56)*M56,0)))</f>
        <v/>
      </c>
      <c r="O56" s="73" t="str">
        <f aca="false">IF(F56="","",15+INT(MAX(0,MIN(10,N(INDEX(T_PREV,50)))+DATEDIF(E56,F56+1,"y")-10)/3))</f>
        <v/>
      </c>
      <c r="P56" s="70" t="str">
        <f aca="false">IF(F56="","",IF(D56="Desvinculado","— (se paga en el finiquito)",IF(Q56&gt;=2*O56,"⚠ Tiene 2 períodos acumulados: otorgar vacaciones antes de que se acumule un 3° (Art. 70)",IF(K56&lt;0,"⚠ Saldo negativo (vacaciones anticipadas)",IF(Q56&gt;=O56,"Programar vacaciones (tiene un período anual completo pendiente)","OK")))))</f>
        <v/>
      </c>
      <c r="Q56" s="94" t="str">
        <f aca="false">IF(F56="","",15*DATEDIF(E56,F56+1,"y")+I56-J56)</f>
        <v/>
      </c>
    </row>
    <row r="57" customFormat="false" ht="15" hidden="false" customHeight="false" outlineLevel="0" collapsed="false">
      <c r="B57" s="70" t="str">
        <f aca="false">IFERROR(IF(INDEX(T_ID,51)="","",INDEX(T_ID,51)),"")</f>
        <v/>
      </c>
      <c r="C57" s="70" t="str">
        <f aca="false">IF(B57="","",INDEX(T_NOMBRE,51)&amp;"")</f>
        <v/>
      </c>
      <c r="D57" s="70" t="str">
        <f aca="false">IF(B57="","",INDEX(T_ESTADO,51))</f>
        <v/>
      </c>
      <c r="E57" s="75" t="str">
        <f aca="false">IF(B57="","",INDEX(T_INGRESO,51))</f>
        <v/>
      </c>
      <c r="F57" s="75" t="str">
        <f aca="false">IF(OR(B57="",NOT(ISNUMBER(E57))),"",IF(E57&gt;FECHA_CORTE,"",IF(N(INDEX(T_EGRESO,51))&gt;0,MIN(INDEX(T_EGRESO,51),FECHA_CORTE),FECHA_CORTE)))</f>
        <v/>
      </c>
      <c r="G57" s="94" t="str">
        <f aca="false">IF(F57="","",DATEDIF(E57,F57+1,"m")+(F57+1-EDATE(E57,DATEDIF(E57,F57+1,"m")))/30)</f>
        <v/>
      </c>
      <c r="H57" s="95" t="str">
        <f aca="false">IF(F57="","",1.25*G57)</f>
        <v/>
      </c>
      <c r="I57" s="73" t="str">
        <f aca="false">IF(F57="","",SUMPRODUCT((ANIOS&lt;=DATEDIF(E57,F57+1,"y"))*(MIN(10,N(INDEX(T_PREV,51)))+ANIOS-10&gt;0)*INT((MIN(10,N(INDEX(T_PREV,51)))+ANIOS-10)/3)))</f>
        <v/>
      </c>
      <c r="J57" s="94" t="str">
        <f aca="false">IF(F57="","",SUMIFS(V_DIAS,V_ID,B57,V_INICIO,"&lt;="&amp;F57)+N(INDEX(T_VACPREV,51)))</f>
        <v/>
      </c>
      <c r="K57" s="95" t="str">
        <f aca="false">IF(F57="","",H57+I57-J57)</f>
        <v/>
      </c>
      <c r="L57" s="95" t="str">
        <f aca="false">IF(F57="","",IF(K57&lt;=0,K57,WORKDAY(F57,INT(K57),FERIADOS)-F57+(K57-INT(K57))))</f>
        <v/>
      </c>
      <c r="M57" s="71" t="str">
        <f aca="false">IF(F57="","",(N(INDEX(T_SUELDO,51))+N(INDEX(T_BONO,51)))/30)</f>
        <v/>
      </c>
      <c r="N57" s="71" t="str">
        <f aca="false">IF(F57="","",IF(D57="Desvinculado",0,ROUND(MAX(0,L57)*M57,0)))</f>
        <v/>
      </c>
      <c r="O57" s="73" t="str">
        <f aca="false">IF(F57="","",15+INT(MAX(0,MIN(10,N(INDEX(T_PREV,51)))+DATEDIF(E57,F57+1,"y")-10)/3))</f>
        <v/>
      </c>
      <c r="P57" s="70" t="str">
        <f aca="false">IF(F57="","",IF(D57="Desvinculado","— (se paga en el finiquito)",IF(Q57&gt;=2*O57,"⚠ Tiene 2 períodos acumulados: otorgar vacaciones antes de que se acumule un 3° (Art. 70)",IF(K57&lt;0,"⚠ Saldo negativo (vacaciones anticipadas)",IF(Q57&gt;=O57,"Programar vacaciones (tiene un período anual completo pendiente)","OK")))))</f>
        <v/>
      </c>
      <c r="Q57" s="94" t="str">
        <f aca="false">IF(F57="","",15*DATEDIF(E57,F57+1,"y")+I57-J57)</f>
        <v/>
      </c>
    </row>
    <row r="58" customFormat="false" ht="15" hidden="false" customHeight="false" outlineLevel="0" collapsed="false">
      <c r="B58" s="70" t="str">
        <f aca="false">IFERROR(IF(INDEX(T_ID,52)="","",INDEX(T_ID,52)),"")</f>
        <v/>
      </c>
      <c r="C58" s="70" t="str">
        <f aca="false">IF(B58="","",INDEX(T_NOMBRE,52)&amp;"")</f>
        <v/>
      </c>
      <c r="D58" s="70" t="str">
        <f aca="false">IF(B58="","",INDEX(T_ESTADO,52))</f>
        <v/>
      </c>
      <c r="E58" s="75" t="str">
        <f aca="false">IF(B58="","",INDEX(T_INGRESO,52))</f>
        <v/>
      </c>
      <c r="F58" s="75" t="str">
        <f aca="false">IF(OR(B58="",NOT(ISNUMBER(E58))),"",IF(E58&gt;FECHA_CORTE,"",IF(N(INDEX(T_EGRESO,52))&gt;0,MIN(INDEX(T_EGRESO,52),FECHA_CORTE),FECHA_CORTE)))</f>
        <v/>
      </c>
      <c r="G58" s="94" t="str">
        <f aca="false">IF(F58="","",DATEDIF(E58,F58+1,"m")+(F58+1-EDATE(E58,DATEDIF(E58,F58+1,"m")))/30)</f>
        <v/>
      </c>
      <c r="H58" s="95" t="str">
        <f aca="false">IF(F58="","",1.25*G58)</f>
        <v/>
      </c>
      <c r="I58" s="73" t="str">
        <f aca="false">IF(F58="","",SUMPRODUCT((ANIOS&lt;=DATEDIF(E58,F58+1,"y"))*(MIN(10,N(INDEX(T_PREV,52)))+ANIOS-10&gt;0)*INT((MIN(10,N(INDEX(T_PREV,52)))+ANIOS-10)/3)))</f>
        <v/>
      </c>
      <c r="J58" s="94" t="str">
        <f aca="false">IF(F58="","",SUMIFS(V_DIAS,V_ID,B58,V_INICIO,"&lt;="&amp;F58)+N(INDEX(T_VACPREV,52)))</f>
        <v/>
      </c>
      <c r="K58" s="95" t="str">
        <f aca="false">IF(F58="","",H58+I58-J58)</f>
        <v/>
      </c>
      <c r="L58" s="95" t="str">
        <f aca="false">IF(F58="","",IF(K58&lt;=0,K58,WORKDAY(F58,INT(K58),FERIADOS)-F58+(K58-INT(K58))))</f>
        <v/>
      </c>
      <c r="M58" s="71" t="str">
        <f aca="false">IF(F58="","",(N(INDEX(T_SUELDO,52))+N(INDEX(T_BONO,52)))/30)</f>
        <v/>
      </c>
      <c r="N58" s="71" t="str">
        <f aca="false">IF(F58="","",IF(D58="Desvinculado",0,ROUND(MAX(0,L58)*M58,0)))</f>
        <v/>
      </c>
      <c r="O58" s="73" t="str">
        <f aca="false">IF(F58="","",15+INT(MAX(0,MIN(10,N(INDEX(T_PREV,52)))+DATEDIF(E58,F58+1,"y")-10)/3))</f>
        <v/>
      </c>
      <c r="P58" s="70" t="str">
        <f aca="false">IF(F58="","",IF(D58="Desvinculado","— (se paga en el finiquito)",IF(Q58&gt;=2*O58,"⚠ Tiene 2 períodos acumulados: otorgar vacaciones antes de que se acumule un 3° (Art. 70)",IF(K58&lt;0,"⚠ Saldo negativo (vacaciones anticipadas)",IF(Q58&gt;=O58,"Programar vacaciones (tiene un período anual completo pendiente)","OK")))))</f>
        <v/>
      </c>
      <c r="Q58" s="94" t="str">
        <f aca="false">IF(F58="","",15*DATEDIF(E58,F58+1,"y")+I58-J58)</f>
        <v/>
      </c>
    </row>
    <row r="59" customFormat="false" ht="15" hidden="false" customHeight="false" outlineLevel="0" collapsed="false">
      <c r="B59" s="70" t="str">
        <f aca="false">IFERROR(IF(INDEX(T_ID,53)="","",INDEX(T_ID,53)),"")</f>
        <v/>
      </c>
      <c r="C59" s="70" t="str">
        <f aca="false">IF(B59="","",INDEX(T_NOMBRE,53)&amp;"")</f>
        <v/>
      </c>
      <c r="D59" s="70" t="str">
        <f aca="false">IF(B59="","",INDEX(T_ESTADO,53))</f>
        <v/>
      </c>
      <c r="E59" s="75" t="str">
        <f aca="false">IF(B59="","",INDEX(T_INGRESO,53))</f>
        <v/>
      </c>
      <c r="F59" s="75" t="str">
        <f aca="false">IF(OR(B59="",NOT(ISNUMBER(E59))),"",IF(E59&gt;FECHA_CORTE,"",IF(N(INDEX(T_EGRESO,53))&gt;0,MIN(INDEX(T_EGRESO,53),FECHA_CORTE),FECHA_CORTE)))</f>
        <v/>
      </c>
      <c r="G59" s="94" t="str">
        <f aca="false">IF(F59="","",DATEDIF(E59,F59+1,"m")+(F59+1-EDATE(E59,DATEDIF(E59,F59+1,"m")))/30)</f>
        <v/>
      </c>
      <c r="H59" s="95" t="str">
        <f aca="false">IF(F59="","",1.25*G59)</f>
        <v/>
      </c>
      <c r="I59" s="73" t="str">
        <f aca="false">IF(F59="","",SUMPRODUCT((ANIOS&lt;=DATEDIF(E59,F59+1,"y"))*(MIN(10,N(INDEX(T_PREV,53)))+ANIOS-10&gt;0)*INT((MIN(10,N(INDEX(T_PREV,53)))+ANIOS-10)/3)))</f>
        <v/>
      </c>
      <c r="J59" s="94" t="str">
        <f aca="false">IF(F59="","",SUMIFS(V_DIAS,V_ID,B59,V_INICIO,"&lt;="&amp;F59)+N(INDEX(T_VACPREV,53)))</f>
        <v/>
      </c>
      <c r="K59" s="95" t="str">
        <f aca="false">IF(F59="","",H59+I59-J59)</f>
        <v/>
      </c>
      <c r="L59" s="95" t="str">
        <f aca="false">IF(F59="","",IF(K59&lt;=0,K59,WORKDAY(F59,INT(K59),FERIADOS)-F59+(K59-INT(K59))))</f>
        <v/>
      </c>
      <c r="M59" s="71" t="str">
        <f aca="false">IF(F59="","",(N(INDEX(T_SUELDO,53))+N(INDEX(T_BONO,53)))/30)</f>
        <v/>
      </c>
      <c r="N59" s="71" t="str">
        <f aca="false">IF(F59="","",IF(D59="Desvinculado",0,ROUND(MAX(0,L59)*M59,0)))</f>
        <v/>
      </c>
      <c r="O59" s="73" t="str">
        <f aca="false">IF(F59="","",15+INT(MAX(0,MIN(10,N(INDEX(T_PREV,53)))+DATEDIF(E59,F59+1,"y")-10)/3))</f>
        <v/>
      </c>
      <c r="P59" s="70" t="str">
        <f aca="false">IF(F59="","",IF(D59="Desvinculado","— (se paga en el finiquito)",IF(Q59&gt;=2*O59,"⚠ Tiene 2 períodos acumulados: otorgar vacaciones antes de que se acumule un 3° (Art. 70)",IF(K59&lt;0,"⚠ Saldo negativo (vacaciones anticipadas)",IF(Q59&gt;=O59,"Programar vacaciones (tiene un período anual completo pendiente)","OK")))))</f>
        <v/>
      </c>
      <c r="Q59" s="94" t="str">
        <f aca="false">IF(F59="","",15*DATEDIF(E59,F59+1,"y")+I59-J59)</f>
        <v/>
      </c>
    </row>
    <row r="60" customFormat="false" ht="15" hidden="false" customHeight="false" outlineLevel="0" collapsed="false">
      <c r="B60" s="70" t="str">
        <f aca="false">IFERROR(IF(INDEX(T_ID,54)="","",INDEX(T_ID,54)),"")</f>
        <v/>
      </c>
      <c r="C60" s="70" t="str">
        <f aca="false">IF(B60="","",INDEX(T_NOMBRE,54)&amp;"")</f>
        <v/>
      </c>
      <c r="D60" s="70" t="str">
        <f aca="false">IF(B60="","",INDEX(T_ESTADO,54))</f>
        <v/>
      </c>
      <c r="E60" s="75" t="str">
        <f aca="false">IF(B60="","",INDEX(T_INGRESO,54))</f>
        <v/>
      </c>
      <c r="F60" s="75" t="str">
        <f aca="false">IF(OR(B60="",NOT(ISNUMBER(E60))),"",IF(E60&gt;FECHA_CORTE,"",IF(N(INDEX(T_EGRESO,54))&gt;0,MIN(INDEX(T_EGRESO,54),FECHA_CORTE),FECHA_CORTE)))</f>
        <v/>
      </c>
      <c r="G60" s="94" t="str">
        <f aca="false">IF(F60="","",DATEDIF(E60,F60+1,"m")+(F60+1-EDATE(E60,DATEDIF(E60,F60+1,"m")))/30)</f>
        <v/>
      </c>
      <c r="H60" s="95" t="str">
        <f aca="false">IF(F60="","",1.25*G60)</f>
        <v/>
      </c>
      <c r="I60" s="73" t="str">
        <f aca="false">IF(F60="","",SUMPRODUCT((ANIOS&lt;=DATEDIF(E60,F60+1,"y"))*(MIN(10,N(INDEX(T_PREV,54)))+ANIOS-10&gt;0)*INT((MIN(10,N(INDEX(T_PREV,54)))+ANIOS-10)/3)))</f>
        <v/>
      </c>
      <c r="J60" s="94" t="str">
        <f aca="false">IF(F60="","",SUMIFS(V_DIAS,V_ID,B60,V_INICIO,"&lt;="&amp;F60)+N(INDEX(T_VACPREV,54)))</f>
        <v/>
      </c>
      <c r="K60" s="95" t="str">
        <f aca="false">IF(F60="","",H60+I60-J60)</f>
        <v/>
      </c>
      <c r="L60" s="95" t="str">
        <f aca="false">IF(F60="","",IF(K60&lt;=0,K60,WORKDAY(F60,INT(K60),FERIADOS)-F60+(K60-INT(K60))))</f>
        <v/>
      </c>
      <c r="M60" s="71" t="str">
        <f aca="false">IF(F60="","",(N(INDEX(T_SUELDO,54))+N(INDEX(T_BONO,54)))/30)</f>
        <v/>
      </c>
      <c r="N60" s="71" t="str">
        <f aca="false">IF(F60="","",IF(D60="Desvinculado",0,ROUND(MAX(0,L60)*M60,0)))</f>
        <v/>
      </c>
      <c r="O60" s="73" t="str">
        <f aca="false">IF(F60="","",15+INT(MAX(0,MIN(10,N(INDEX(T_PREV,54)))+DATEDIF(E60,F60+1,"y")-10)/3))</f>
        <v/>
      </c>
      <c r="P60" s="70" t="str">
        <f aca="false">IF(F60="","",IF(D60="Desvinculado","— (se paga en el finiquito)",IF(Q60&gt;=2*O60,"⚠ Tiene 2 períodos acumulados: otorgar vacaciones antes de que se acumule un 3° (Art. 70)",IF(K60&lt;0,"⚠ Saldo negativo (vacaciones anticipadas)",IF(Q60&gt;=O60,"Programar vacaciones (tiene un período anual completo pendiente)","OK")))))</f>
        <v/>
      </c>
      <c r="Q60" s="94" t="str">
        <f aca="false">IF(F60="","",15*DATEDIF(E60,F60+1,"y")+I60-J60)</f>
        <v/>
      </c>
    </row>
    <row r="61" customFormat="false" ht="15" hidden="false" customHeight="false" outlineLevel="0" collapsed="false">
      <c r="B61" s="70" t="str">
        <f aca="false">IFERROR(IF(INDEX(T_ID,55)="","",INDEX(T_ID,55)),"")</f>
        <v/>
      </c>
      <c r="C61" s="70" t="str">
        <f aca="false">IF(B61="","",INDEX(T_NOMBRE,55)&amp;"")</f>
        <v/>
      </c>
      <c r="D61" s="70" t="str">
        <f aca="false">IF(B61="","",INDEX(T_ESTADO,55))</f>
        <v/>
      </c>
      <c r="E61" s="75" t="str">
        <f aca="false">IF(B61="","",INDEX(T_INGRESO,55))</f>
        <v/>
      </c>
      <c r="F61" s="75" t="str">
        <f aca="false">IF(OR(B61="",NOT(ISNUMBER(E61))),"",IF(E61&gt;FECHA_CORTE,"",IF(N(INDEX(T_EGRESO,55))&gt;0,MIN(INDEX(T_EGRESO,55),FECHA_CORTE),FECHA_CORTE)))</f>
        <v/>
      </c>
      <c r="G61" s="94" t="str">
        <f aca="false">IF(F61="","",DATEDIF(E61,F61+1,"m")+(F61+1-EDATE(E61,DATEDIF(E61,F61+1,"m")))/30)</f>
        <v/>
      </c>
      <c r="H61" s="95" t="str">
        <f aca="false">IF(F61="","",1.25*G61)</f>
        <v/>
      </c>
      <c r="I61" s="73" t="str">
        <f aca="false">IF(F61="","",SUMPRODUCT((ANIOS&lt;=DATEDIF(E61,F61+1,"y"))*(MIN(10,N(INDEX(T_PREV,55)))+ANIOS-10&gt;0)*INT((MIN(10,N(INDEX(T_PREV,55)))+ANIOS-10)/3)))</f>
        <v/>
      </c>
      <c r="J61" s="94" t="str">
        <f aca="false">IF(F61="","",SUMIFS(V_DIAS,V_ID,B61,V_INICIO,"&lt;="&amp;F61)+N(INDEX(T_VACPREV,55)))</f>
        <v/>
      </c>
      <c r="K61" s="95" t="str">
        <f aca="false">IF(F61="","",H61+I61-J61)</f>
        <v/>
      </c>
      <c r="L61" s="95" t="str">
        <f aca="false">IF(F61="","",IF(K61&lt;=0,K61,WORKDAY(F61,INT(K61),FERIADOS)-F61+(K61-INT(K61))))</f>
        <v/>
      </c>
      <c r="M61" s="71" t="str">
        <f aca="false">IF(F61="","",(N(INDEX(T_SUELDO,55))+N(INDEX(T_BONO,55)))/30)</f>
        <v/>
      </c>
      <c r="N61" s="71" t="str">
        <f aca="false">IF(F61="","",IF(D61="Desvinculado",0,ROUND(MAX(0,L61)*M61,0)))</f>
        <v/>
      </c>
      <c r="O61" s="73" t="str">
        <f aca="false">IF(F61="","",15+INT(MAX(0,MIN(10,N(INDEX(T_PREV,55)))+DATEDIF(E61,F61+1,"y")-10)/3))</f>
        <v/>
      </c>
      <c r="P61" s="70" t="str">
        <f aca="false">IF(F61="","",IF(D61="Desvinculado","— (se paga en el finiquito)",IF(Q61&gt;=2*O61,"⚠ Tiene 2 períodos acumulados: otorgar vacaciones antes de que se acumule un 3° (Art. 70)",IF(K61&lt;0,"⚠ Saldo negativo (vacaciones anticipadas)",IF(Q61&gt;=O61,"Programar vacaciones (tiene un período anual completo pendiente)","OK")))))</f>
        <v/>
      </c>
      <c r="Q61" s="94" t="str">
        <f aca="false">IF(F61="","",15*DATEDIF(E61,F61+1,"y")+I61-J61)</f>
        <v/>
      </c>
    </row>
    <row r="62" customFormat="false" ht="15" hidden="false" customHeight="false" outlineLevel="0" collapsed="false">
      <c r="B62" s="70" t="str">
        <f aca="false">IFERROR(IF(INDEX(T_ID,56)="","",INDEX(T_ID,56)),"")</f>
        <v/>
      </c>
      <c r="C62" s="70" t="str">
        <f aca="false">IF(B62="","",INDEX(T_NOMBRE,56)&amp;"")</f>
        <v/>
      </c>
      <c r="D62" s="70" t="str">
        <f aca="false">IF(B62="","",INDEX(T_ESTADO,56))</f>
        <v/>
      </c>
      <c r="E62" s="75" t="str">
        <f aca="false">IF(B62="","",INDEX(T_INGRESO,56))</f>
        <v/>
      </c>
      <c r="F62" s="75" t="str">
        <f aca="false">IF(OR(B62="",NOT(ISNUMBER(E62))),"",IF(E62&gt;FECHA_CORTE,"",IF(N(INDEX(T_EGRESO,56))&gt;0,MIN(INDEX(T_EGRESO,56),FECHA_CORTE),FECHA_CORTE)))</f>
        <v/>
      </c>
      <c r="G62" s="94" t="str">
        <f aca="false">IF(F62="","",DATEDIF(E62,F62+1,"m")+(F62+1-EDATE(E62,DATEDIF(E62,F62+1,"m")))/30)</f>
        <v/>
      </c>
      <c r="H62" s="95" t="str">
        <f aca="false">IF(F62="","",1.25*G62)</f>
        <v/>
      </c>
      <c r="I62" s="73" t="str">
        <f aca="false">IF(F62="","",SUMPRODUCT((ANIOS&lt;=DATEDIF(E62,F62+1,"y"))*(MIN(10,N(INDEX(T_PREV,56)))+ANIOS-10&gt;0)*INT((MIN(10,N(INDEX(T_PREV,56)))+ANIOS-10)/3)))</f>
        <v/>
      </c>
      <c r="J62" s="94" t="str">
        <f aca="false">IF(F62="","",SUMIFS(V_DIAS,V_ID,B62,V_INICIO,"&lt;="&amp;F62)+N(INDEX(T_VACPREV,56)))</f>
        <v/>
      </c>
      <c r="K62" s="95" t="str">
        <f aca="false">IF(F62="","",H62+I62-J62)</f>
        <v/>
      </c>
      <c r="L62" s="95" t="str">
        <f aca="false">IF(F62="","",IF(K62&lt;=0,K62,WORKDAY(F62,INT(K62),FERIADOS)-F62+(K62-INT(K62))))</f>
        <v/>
      </c>
      <c r="M62" s="71" t="str">
        <f aca="false">IF(F62="","",(N(INDEX(T_SUELDO,56))+N(INDEX(T_BONO,56)))/30)</f>
        <v/>
      </c>
      <c r="N62" s="71" t="str">
        <f aca="false">IF(F62="","",IF(D62="Desvinculado",0,ROUND(MAX(0,L62)*M62,0)))</f>
        <v/>
      </c>
      <c r="O62" s="73" t="str">
        <f aca="false">IF(F62="","",15+INT(MAX(0,MIN(10,N(INDEX(T_PREV,56)))+DATEDIF(E62,F62+1,"y")-10)/3))</f>
        <v/>
      </c>
      <c r="P62" s="70" t="str">
        <f aca="false">IF(F62="","",IF(D62="Desvinculado","— (se paga en el finiquito)",IF(Q62&gt;=2*O62,"⚠ Tiene 2 períodos acumulados: otorgar vacaciones antes de que se acumule un 3° (Art. 70)",IF(K62&lt;0,"⚠ Saldo negativo (vacaciones anticipadas)",IF(Q62&gt;=O62,"Programar vacaciones (tiene un período anual completo pendiente)","OK")))))</f>
        <v/>
      </c>
      <c r="Q62" s="94" t="str">
        <f aca="false">IF(F62="","",15*DATEDIF(E62,F62+1,"y")+I62-J62)</f>
        <v/>
      </c>
    </row>
    <row r="63" customFormat="false" ht="15" hidden="false" customHeight="false" outlineLevel="0" collapsed="false">
      <c r="B63" s="70" t="str">
        <f aca="false">IFERROR(IF(INDEX(T_ID,57)="","",INDEX(T_ID,57)),"")</f>
        <v/>
      </c>
      <c r="C63" s="70" t="str">
        <f aca="false">IF(B63="","",INDEX(T_NOMBRE,57)&amp;"")</f>
        <v/>
      </c>
      <c r="D63" s="70" t="str">
        <f aca="false">IF(B63="","",INDEX(T_ESTADO,57))</f>
        <v/>
      </c>
      <c r="E63" s="75" t="str">
        <f aca="false">IF(B63="","",INDEX(T_INGRESO,57))</f>
        <v/>
      </c>
      <c r="F63" s="75" t="str">
        <f aca="false">IF(OR(B63="",NOT(ISNUMBER(E63))),"",IF(E63&gt;FECHA_CORTE,"",IF(N(INDEX(T_EGRESO,57))&gt;0,MIN(INDEX(T_EGRESO,57),FECHA_CORTE),FECHA_CORTE)))</f>
        <v/>
      </c>
      <c r="G63" s="94" t="str">
        <f aca="false">IF(F63="","",DATEDIF(E63,F63+1,"m")+(F63+1-EDATE(E63,DATEDIF(E63,F63+1,"m")))/30)</f>
        <v/>
      </c>
      <c r="H63" s="95" t="str">
        <f aca="false">IF(F63="","",1.25*G63)</f>
        <v/>
      </c>
      <c r="I63" s="73" t="str">
        <f aca="false">IF(F63="","",SUMPRODUCT((ANIOS&lt;=DATEDIF(E63,F63+1,"y"))*(MIN(10,N(INDEX(T_PREV,57)))+ANIOS-10&gt;0)*INT((MIN(10,N(INDEX(T_PREV,57)))+ANIOS-10)/3)))</f>
        <v/>
      </c>
      <c r="J63" s="94" t="str">
        <f aca="false">IF(F63="","",SUMIFS(V_DIAS,V_ID,B63,V_INICIO,"&lt;="&amp;F63)+N(INDEX(T_VACPREV,57)))</f>
        <v/>
      </c>
      <c r="K63" s="95" t="str">
        <f aca="false">IF(F63="","",H63+I63-J63)</f>
        <v/>
      </c>
      <c r="L63" s="95" t="str">
        <f aca="false">IF(F63="","",IF(K63&lt;=0,K63,WORKDAY(F63,INT(K63),FERIADOS)-F63+(K63-INT(K63))))</f>
        <v/>
      </c>
      <c r="M63" s="71" t="str">
        <f aca="false">IF(F63="","",(N(INDEX(T_SUELDO,57))+N(INDEX(T_BONO,57)))/30)</f>
        <v/>
      </c>
      <c r="N63" s="71" t="str">
        <f aca="false">IF(F63="","",IF(D63="Desvinculado",0,ROUND(MAX(0,L63)*M63,0)))</f>
        <v/>
      </c>
      <c r="O63" s="73" t="str">
        <f aca="false">IF(F63="","",15+INT(MAX(0,MIN(10,N(INDEX(T_PREV,57)))+DATEDIF(E63,F63+1,"y")-10)/3))</f>
        <v/>
      </c>
      <c r="P63" s="70" t="str">
        <f aca="false">IF(F63="","",IF(D63="Desvinculado","— (se paga en el finiquito)",IF(Q63&gt;=2*O63,"⚠ Tiene 2 períodos acumulados: otorgar vacaciones antes de que se acumule un 3° (Art. 70)",IF(K63&lt;0,"⚠ Saldo negativo (vacaciones anticipadas)",IF(Q63&gt;=O63,"Programar vacaciones (tiene un período anual completo pendiente)","OK")))))</f>
        <v/>
      </c>
      <c r="Q63" s="94" t="str">
        <f aca="false">IF(F63="","",15*DATEDIF(E63,F63+1,"y")+I63-J63)</f>
        <v/>
      </c>
    </row>
    <row r="64" customFormat="false" ht="15" hidden="false" customHeight="false" outlineLevel="0" collapsed="false">
      <c r="B64" s="70" t="str">
        <f aca="false">IFERROR(IF(INDEX(T_ID,58)="","",INDEX(T_ID,58)),"")</f>
        <v/>
      </c>
      <c r="C64" s="70" t="str">
        <f aca="false">IF(B64="","",INDEX(T_NOMBRE,58)&amp;"")</f>
        <v/>
      </c>
      <c r="D64" s="70" t="str">
        <f aca="false">IF(B64="","",INDEX(T_ESTADO,58))</f>
        <v/>
      </c>
      <c r="E64" s="75" t="str">
        <f aca="false">IF(B64="","",INDEX(T_INGRESO,58))</f>
        <v/>
      </c>
      <c r="F64" s="75" t="str">
        <f aca="false">IF(OR(B64="",NOT(ISNUMBER(E64))),"",IF(E64&gt;FECHA_CORTE,"",IF(N(INDEX(T_EGRESO,58))&gt;0,MIN(INDEX(T_EGRESO,58),FECHA_CORTE),FECHA_CORTE)))</f>
        <v/>
      </c>
      <c r="G64" s="94" t="str">
        <f aca="false">IF(F64="","",DATEDIF(E64,F64+1,"m")+(F64+1-EDATE(E64,DATEDIF(E64,F64+1,"m")))/30)</f>
        <v/>
      </c>
      <c r="H64" s="95" t="str">
        <f aca="false">IF(F64="","",1.25*G64)</f>
        <v/>
      </c>
      <c r="I64" s="73" t="str">
        <f aca="false">IF(F64="","",SUMPRODUCT((ANIOS&lt;=DATEDIF(E64,F64+1,"y"))*(MIN(10,N(INDEX(T_PREV,58)))+ANIOS-10&gt;0)*INT((MIN(10,N(INDEX(T_PREV,58)))+ANIOS-10)/3)))</f>
        <v/>
      </c>
      <c r="J64" s="94" t="str">
        <f aca="false">IF(F64="","",SUMIFS(V_DIAS,V_ID,B64,V_INICIO,"&lt;="&amp;F64)+N(INDEX(T_VACPREV,58)))</f>
        <v/>
      </c>
      <c r="K64" s="95" t="str">
        <f aca="false">IF(F64="","",H64+I64-J64)</f>
        <v/>
      </c>
      <c r="L64" s="95" t="str">
        <f aca="false">IF(F64="","",IF(K64&lt;=0,K64,WORKDAY(F64,INT(K64),FERIADOS)-F64+(K64-INT(K64))))</f>
        <v/>
      </c>
      <c r="M64" s="71" t="str">
        <f aca="false">IF(F64="","",(N(INDEX(T_SUELDO,58))+N(INDEX(T_BONO,58)))/30)</f>
        <v/>
      </c>
      <c r="N64" s="71" t="str">
        <f aca="false">IF(F64="","",IF(D64="Desvinculado",0,ROUND(MAX(0,L64)*M64,0)))</f>
        <v/>
      </c>
      <c r="O64" s="73" t="str">
        <f aca="false">IF(F64="","",15+INT(MAX(0,MIN(10,N(INDEX(T_PREV,58)))+DATEDIF(E64,F64+1,"y")-10)/3))</f>
        <v/>
      </c>
      <c r="P64" s="70" t="str">
        <f aca="false">IF(F64="","",IF(D64="Desvinculado","— (se paga en el finiquito)",IF(Q64&gt;=2*O64,"⚠ Tiene 2 períodos acumulados: otorgar vacaciones antes de que se acumule un 3° (Art. 70)",IF(K64&lt;0,"⚠ Saldo negativo (vacaciones anticipadas)",IF(Q64&gt;=O64,"Programar vacaciones (tiene un período anual completo pendiente)","OK")))))</f>
        <v/>
      </c>
      <c r="Q64" s="94" t="str">
        <f aca="false">IF(F64="","",15*DATEDIF(E64,F64+1,"y")+I64-J64)</f>
        <v/>
      </c>
    </row>
    <row r="65" customFormat="false" ht="15" hidden="false" customHeight="false" outlineLevel="0" collapsed="false">
      <c r="B65" s="70" t="str">
        <f aca="false">IFERROR(IF(INDEX(T_ID,59)="","",INDEX(T_ID,59)),"")</f>
        <v/>
      </c>
      <c r="C65" s="70" t="str">
        <f aca="false">IF(B65="","",INDEX(T_NOMBRE,59)&amp;"")</f>
        <v/>
      </c>
      <c r="D65" s="70" t="str">
        <f aca="false">IF(B65="","",INDEX(T_ESTADO,59))</f>
        <v/>
      </c>
      <c r="E65" s="75" t="str">
        <f aca="false">IF(B65="","",INDEX(T_INGRESO,59))</f>
        <v/>
      </c>
      <c r="F65" s="75" t="str">
        <f aca="false">IF(OR(B65="",NOT(ISNUMBER(E65))),"",IF(E65&gt;FECHA_CORTE,"",IF(N(INDEX(T_EGRESO,59))&gt;0,MIN(INDEX(T_EGRESO,59),FECHA_CORTE),FECHA_CORTE)))</f>
        <v/>
      </c>
      <c r="G65" s="94" t="str">
        <f aca="false">IF(F65="","",DATEDIF(E65,F65+1,"m")+(F65+1-EDATE(E65,DATEDIF(E65,F65+1,"m")))/30)</f>
        <v/>
      </c>
      <c r="H65" s="95" t="str">
        <f aca="false">IF(F65="","",1.25*G65)</f>
        <v/>
      </c>
      <c r="I65" s="73" t="str">
        <f aca="false">IF(F65="","",SUMPRODUCT((ANIOS&lt;=DATEDIF(E65,F65+1,"y"))*(MIN(10,N(INDEX(T_PREV,59)))+ANIOS-10&gt;0)*INT((MIN(10,N(INDEX(T_PREV,59)))+ANIOS-10)/3)))</f>
        <v/>
      </c>
      <c r="J65" s="94" t="str">
        <f aca="false">IF(F65="","",SUMIFS(V_DIAS,V_ID,B65,V_INICIO,"&lt;="&amp;F65)+N(INDEX(T_VACPREV,59)))</f>
        <v/>
      </c>
      <c r="K65" s="95" t="str">
        <f aca="false">IF(F65="","",H65+I65-J65)</f>
        <v/>
      </c>
      <c r="L65" s="95" t="str">
        <f aca="false">IF(F65="","",IF(K65&lt;=0,K65,WORKDAY(F65,INT(K65),FERIADOS)-F65+(K65-INT(K65))))</f>
        <v/>
      </c>
      <c r="M65" s="71" t="str">
        <f aca="false">IF(F65="","",(N(INDEX(T_SUELDO,59))+N(INDEX(T_BONO,59)))/30)</f>
        <v/>
      </c>
      <c r="N65" s="71" t="str">
        <f aca="false">IF(F65="","",IF(D65="Desvinculado",0,ROUND(MAX(0,L65)*M65,0)))</f>
        <v/>
      </c>
      <c r="O65" s="73" t="str">
        <f aca="false">IF(F65="","",15+INT(MAX(0,MIN(10,N(INDEX(T_PREV,59)))+DATEDIF(E65,F65+1,"y")-10)/3))</f>
        <v/>
      </c>
      <c r="P65" s="70" t="str">
        <f aca="false">IF(F65="","",IF(D65="Desvinculado","— (se paga en el finiquito)",IF(Q65&gt;=2*O65,"⚠ Tiene 2 períodos acumulados: otorgar vacaciones antes de que se acumule un 3° (Art. 70)",IF(K65&lt;0,"⚠ Saldo negativo (vacaciones anticipadas)",IF(Q65&gt;=O65,"Programar vacaciones (tiene un período anual completo pendiente)","OK")))))</f>
        <v/>
      </c>
      <c r="Q65" s="94" t="str">
        <f aca="false">IF(F65="","",15*DATEDIF(E65,F65+1,"y")+I65-J65)</f>
        <v/>
      </c>
    </row>
    <row r="66" customFormat="false" ht="15" hidden="false" customHeight="false" outlineLevel="0" collapsed="false">
      <c r="B66" s="70" t="str">
        <f aca="false">IFERROR(IF(INDEX(T_ID,60)="","",INDEX(T_ID,60)),"")</f>
        <v/>
      </c>
      <c r="C66" s="70" t="str">
        <f aca="false">IF(B66="","",INDEX(T_NOMBRE,60)&amp;"")</f>
        <v/>
      </c>
      <c r="D66" s="70" t="str">
        <f aca="false">IF(B66="","",INDEX(T_ESTADO,60))</f>
        <v/>
      </c>
      <c r="E66" s="75" t="str">
        <f aca="false">IF(B66="","",INDEX(T_INGRESO,60))</f>
        <v/>
      </c>
      <c r="F66" s="75" t="str">
        <f aca="false">IF(OR(B66="",NOT(ISNUMBER(E66))),"",IF(E66&gt;FECHA_CORTE,"",IF(N(INDEX(T_EGRESO,60))&gt;0,MIN(INDEX(T_EGRESO,60),FECHA_CORTE),FECHA_CORTE)))</f>
        <v/>
      </c>
      <c r="G66" s="94" t="str">
        <f aca="false">IF(F66="","",DATEDIF(E66,F66+1,"m")+(F66+1-EDATE(E66,DATEDIF(E66,F66+1,"m")))/30)</f>
        <v/>
      </c>
      <c r="H66" s="95" t="str">
        <f aca="false">IF(F66="","",1.25*G66)</f>
        <v/>
      </c>
      <c r="I66" s="73" t="str">
        <f aca="false">IF(F66="","",SUMPRODUCT((ANIOS&lt;=DATEDIF(E66,F66+1,"y"))*(MIN(10,N(INDEX(T_PREV,60)))+ANIOS-10&gt;0)*INT((MIN(10,N(INDEX(T_PREV,60)))+ANIOS-10)/3)))</f>
        <v/>
      </c>
      <c r="J66" s="94" t="str">
        <f aca="false">IF(F66="","",SUMIFS(V_DIAS,V_ID,B66,V_INICIO,"&lt;="&amp;F66)+N(INDEX(T_VACPREV,60)))</f>
        <v/>
      </c>
      <c r="K66" s="95" t="str">
        <f aca="false">IF(F66="","",H66+I66-J66)</f>
        <v/>
      </c>
      <c r="L66" s="95" t="str">
        <f aca="false">IF(F66="","",IF(K66&lt;=0,K66,WORKDAY(F66,INT(K66),FERIADOS)-F66+(K66-INT(K66))))</f>
        <v/>
      </c>
      <c r="M66" s="71" t="str">
        <f aca="false">IF(F66="","",(N(INDEX(T_SUELDO,60))+N(INDEX(T_BONO,60)))/30)</f>
        <v/>
      </c>
      <c r="N66" s="71" t="str">
        <f aca="false">IF(F66="","",IF(D66="Desvinculado",0,ROUND(MAX(0,L66)*M66,0)))</f>
        <v/>
      </c>
      <c r="O66" s="73" t="str">
        <f aca="false">IF(F66="","",15+INT(MAX(0,MIN(10,N(INDEX(T_PREV,60)))+DATEDIF(E66,F66+1,"y")-10)/3))</f>
        <v/>
      </c>
      <c r="P66" s="70" t="str">
        <f aca="false">IF(F66="","",IF(D66="Desvinculado","— (se paga en el finiquito)",IF(Q66&gt;=2*O66,"⚠ Tiene 2 períodos acumulados: otorgar vacaciones antes de que se acumule un 3° (Art. 70)",IF(K66&lt;0,"⚠ Saldo negativo (vacaciones anticipadas)",IF(Q66&gt;=O66,"Programar vacaciones (tiene un período anual completo pendiente)","OK")))))</f>
        <v/>
      </c>
      <c r="Q66" s="94" t="str">
        <f aca="false">IF(F66="","",15*DATEDIF(E66,F66+1,"y")+I66-J66)</f>
        <v/>
      </c>
    </row>
    <row r="67" customFormat="false" ht="15" hidden="false" customHeight="false" outlineLevel="0" collapsed="false">
      <c r="B67" s="70" t="str">
        <f aca="false">IFERROR(IF(INDEX(T_ID,61)="","",INDEX(T_ID,61)),"")</f>
        <v/>
      </c>
      <c r="C67" s="70" t="str">
        <f aca="false">IF(B67="","",INDEX(T_NOMBRE,61)&amp;"")</f>
        <v/>
      </c>
      <c r="D67" s="70" t="str">
        <f aca="false">IF(B67="","",INDEX(T_ESTADO,61))</f>
        <v/>
      </c>
      <c r="E67" s="75" t="str">
        <f aca="false">IF(B67="","",INDEX(T_INGRESO,61))</f>
        <v/>
      </c>
      <c r="F67" s="75" t="str">
        <f aca="false">IF(OR(B67="",NOT(ISNUMBER(E67))),"",IF(E67&gt;FECHA_CORTE,"",IF(N(INDEX(T_EGRESO,61))&gt;0,MIN(INDEX(T_EGRESO,61),FECHA_CORTE),FECHA_CORTE)))</f>
        <v/>
      </c>
      <c r="G67" s="94" t="str">
        <f aca="false">IF(F67="","",DATEDIF(E67,F67+1,"m")+(F67+1-EDATE(E67,DATEDIF(E67,F67+1,"m")))/30)</f>
        <v/>
      </c>
      <c r="H67" s="95" t="str">
        <f aca="false">IF(F67="","",1.25*G67)</f>
        <v/>
      </c>
      <c r="I67" s="73" t="str">
        <f aca="false">IF(F67="","",SUMPRODUCT((ANIOS&lt;=DATEDIF(E67,F67+1,"y"))*(MIN(10,N(INDEX(T_PREV,61)))+ANIOS-10&gt;0)*INT((MIN(10,N(INDEX(T_PREV,61)))+ANIOS-10)/3)))</f>
        <v/>
      </c>
      <c r="J67" s="94" t="str">
        <f aca="false">IF(F67="","",SUMIFS(V_DIAS,V_ID,B67,V_INICIO,"&lt;="&amp;F67)+N(INDEX(T_VACPREV,61)))</f>
        <v/>
      </c>
      <c r="K67" s="95" t="str">
        <f aca="false">IF(F67="","",H67+I67-J67)</f>
        <v/>
      </c>
      <c r="L67" s="95" t="str">
        <f aca="false">IF(F67="","",IF(K67&lt;=0,K67,WORKDAY(F67,INT(K67),FERIADOS)-F67+(K67-INT(K67))))</f>
        <v/>
      </c>
      <c r="M67" s="71" t="str">
        <f aca="false">IF(F67="","",(N(INDEX(T_SUELDO,61))+N(INDEX(T_BONO,61)))/30)</f>
        <v/>
      </c>
      <c r="N67" s="71" t="str">
        <f aca="false">IF(F67="","",IF(D67="Desvinculado",0,ROUND(MAX(0,L67)*M67,0)))</f>
        <v/>
      </c>
      <c r="O67" s="73" t="str">
        <f aca="false">IF(F67="","",15+INT(MAX(0,MIN(10,N(INDEX(T_PREV,61)))+DATEDIF(E67,F67+1,"y")-10)/3))</f>
        <v/>
      </c>
      <c r="P67" s="70" t="str">
        <f aca="false">IF(F67="","",IF(D67="Desvinculado","— (se paga en el finiquito)",IF(Q67&gt;=2*O67,"⚠ Tiene 2 períodos acumulados: otorgar vacaciones antes de que se acumule un 3° (Art. 70)",IF(K67&lt;0,"⚠ Saldo negativo (vacaciones anticipadas)",IF(Q67&gt;=O67,"Programar vacaciones (tiene un período anual completo pendiente)","OK")))))</f>
        <v/>
      </c>
      <c r="Q67" s="94" t="str">
        <f aca="false">IF(F67="","",15*DATEDIF(E67,F67+1,"y")+I67-J67)</f>
        <v/>
      </c>
    </row>
    <row r="68" customFormat="false" ht="15" hidden="false" customHeight="false" outlineLevel="0" collapsed="false">
      <c r="B68" s="70" t="str">
        <f aca="false">IFERROR(IF(INDEX(T_ID,62)="","",INDEX(T_ID,62)),"")</f>
        <v/>
      </c>
      <c r="C68" s="70" t="str">
        <f aca="false">IF(B68="","",INDEX(T_NOMBRE,62)&amp;"")</f>
        <v/>
      </c>
      <c r="D68" s="70" t="str">
        <f aca="false">IF(B68="","",INDEX(T_ESTADO,62))</f>
        <v/>
      </c>
      <c r="E68" s="75" t="str">
        <f aca="false">IF(B68="","",INDEX(T_INGRESO,62))</f>
        <v/>
      </c>
      <c r="F68" s="75" t="str">
        <f aca="false">IF(OR(B68="",NOT(ISNUMBER(E68))),"",IF(E68&gt;FECHA_CORTE,"",IF(N(INDEX(T_EGRESO,62))&gt;0,MIN(INDEX(T_EGRESO,62),FECHA_CORTE),FECHA_CORTE)))</f>
        <v/>
      </c>
      <c r="G68" s="94" t="str">
        <f aca="false">IF(F68="","",DATEDIF(E68,F68+1,"m")+(F68+1-EDATE(E68,DATEDIF(E68,F68+1,"m")))/30)</f>
        <v/>
      </c>
      <c r="H68" s="95" t="str">
        <f aca="false">IF(F68="","",1.25*G68)</f>
        <v/>
      </c>
      <c r="I68" s="73" t="str">
        <f aca="false">IF(F68="","",SUMPRODUCT((ANIOS&lt;=DATEDIF(E68,F68+1,"y"))*(MIN(10,N(INDEX(T_PREV,62)))+ANIOS-10&gt;0)*INT((MIN(10,N(INDEX(T_PREV,62)))+ANIOS-10)/3)))</f>
        <v/>
      </c>
      <c r="J68" s="94" t="str">
        <f aca="false">IF(F68="","",SUMIFS(V_DIAS,V_ID,B68,V_INICIO,"&lt;="&amp;F68)+N(INDEX(T_VACPREV,62)))</f>
        <v/>
      </c>
      <c r="K68" s="95" t="str">
        <f aca="false">IF(F68="","",H68+I68-J68)</f>
        <v/>
      </c>
      <c r="L68" s="95" t="str">
        <f aca="false">IF(F68="","",IF(K68&lt;=0,K68,WORKDAY(F68,INT(K68),FERIADOS)-F68+(K68-INT(K68))))</f>
        <v/>
      </c>
      <c r="M68" s="71" t="str">
        <f aca="false">IF(F68="","",(N(INDEX(T_SUELDO,62))+N(INDEX(T_BONO,62)))/30)</f>
        <v/>
      </c>
      <c r="N68" s="71" t="str">
        <f aca="false">IF(F68="","",IF(D68="Desvinculado",0,ROUND(MAX(0,L68)*M68,0)))</f>
        <v/>
      </c>
      <c r="O68" s="73" t="str">
        <f aca="false">IF(F68="","",15+INT(MAX(0,MIN(10,N(INDEX(T_PREV,62)))+DATEDIF(E68,F68+1,"y")-10)/3))</f>
        <v/>
      </c>
      <c r="P68" s="70" t="str">
        <f aca="false">IF(F68="","",IF(D68="Desvinculado","— (se paga en el finiquito)",IF(Q68&gt;=2*O68,"⚠ Tiene 2 períodos acumulados: otorgar vacaciones antes de que se acumule un 3° (Art. 70)",IF(K68&lt;0,"⚠ Saldo negativo (vacaciones anticipadas)",IF(Q68&gt;=O68,"Programar vacaciones (tiene un período anual completo pendiente)","OK")))))</f>
        <v/>
      </c>
      <c r="Q68" s="94" t="str">
        <f aca="false">IF(F68="","",15*DATEDIF(E68,F68+1,"y")+I68-J68)</f>
        <v/>
      </c>
    </row>
    <row r="69" customFormat="false" ht="15" hidden="false" customHeight="false" outlineLevel="0" collapsed="false">
      <c r="B69" s="70" t="str">
        <f aca="false">IFERROR(IF(INDEX(T_ID,63)="","",INDEX(T_ID,63)),"")</f>
        <v/>
      </c>
      <c r="C69" s="70" t="str">
        <f aca="false">IF(B69="","",INDEX(T_NOMBRE,63)&amp;"")</f>
        <v/>
      </c>
      <c r="D69" s="70" t="str">
        <f aca="false">IF(B69="","",INDEX(T_ESTADO,63))</f>
        <v/>
      </c>
      <c r="E69" s="75" t="str">
        <f aca="false">IF(B69="","",INDEX(T_INGRESO,63))</f>
        <v/>
      </c>
      <c r="F69" s="75" t="str">
        <f aca="false">IF(OR(B69="",NOT(ISNUMBER(E69))),"",IF(E69&gt;FECHA_CORTE,"",IF(N(INDEX(T_EGRESO,63))&gt;0,MIN(INDEX(T_EGRESO,63),FECHA_CORTE),FECHA_CORTE)))</f>
        <v/>
      </c>
      <c r="G69" s="94" t="str">
        <f aca="false">IF(F69="","",DATEDIF(E69,F69+1,"m")+(F69+1-EDATE(E69,DATEDIF(E69,F69+1,"m")))/30)</f>
        <v/>
      </c>
      <c r="H69" s="95" t="str">
        <f aca="false">IF(F69="","",1.25*G69)</f>
        <v/>
      </c>
      <c r="I69" s="73" t="str">
        <f aca="false">IF(F69="","",SUMPRODUCT((ANIOS&lt;=DATEDIF(E69,F69+1,"y"))*(MIN(10,N(INDEX(T_PREV,63)))+ANIOS-10&gt;0)*INT((MIN(10,N(INDEX(T_PREV,63)))+ANIOS-10)/3)))</f>
        <v/>
      </c>
      <c r="J69" s="94" t="str">
        <f aca="false">IF(F69="","",SUMIFS(V_DIAS,V_ID,B69,V_INICIO,"&lt;="&amp;F69)+N(INDEX(T_VACPREV,63)))</f>
        <v/>
      </c>
      <c r="K69" s="95" t="str">
        <f aca="false">IF(F69="","",H69+I69-J69)</f>
        <v/>
      </c>
      <c r="L69" s="95" t="str">
        <f aca="false">IF(F69="","",IF(K69&lt;=0,K69,WORKDAY(F69,INT(K69),FERIADOS)-F69+(K69-INT(K69))))</f>
        <v/>
      </c>
      <c r="M69" s="71" t="str">
        <f aca="false">IF(F69="","",(N(INDEX(T_SUELDO,63))+N(INDEX(T_BONO,63)))/30)</f>
        <v/>
      </c>
      <c r="N69" s="71" t="str">
        <f aca="false">IF(F69="","",IF(D69="Desvinculado",0,ROUND(MAX(0,L69)*M69,0)))</f>
        <v/>
      </c>
      <c r="O69" s="73" t="str">
        <f aca="false">IF(F69="","",15+INT(MAX(0,MIN(10,N(INDEX(T_PREV,63)))+DATEDIF(E69,F69+1,"y")-10)/3))</f>
        <v/>
      </c>
      <c r="P69" s="70" t="str">
        <f aca="false">IF(F69="","",IF(D69="Desvinculado","— (se paga en el finiquito)",IF(Q69&gt;=2*O69,"⚠ Tiene 2 períodos acumulados: otorgar vacaciones antes de que se acumule un 3° (Art. 70)",IF(K69&lt;0,"⚠ Saldo negativo (vacaciones anticipadas)",IF(Q69&gt;=O69,"Programar vacaciones (tiene un período anual completo pendiente)","OK")))))</f>
        <v/>
      </c>
      <c r="Q69" s="94" t="str">
        <f aca="false">IF(F69="","",15*DATEDIF(E69,F69+1,"y")+I69-J69)</f>
        <v/>
      </c>
    </row>
    <row r="70" customFormat="false" ht="15" hidden="false" customHeight="false" outlineLevel="0" collapsed="false">
      <c r="B70" s="70" t="str">
        <f aca="false">IFERROR(IF(INDEX(T_ID,64)="","",INDEX(T_ID,64)),"")</f>
        <v/>
      </c>
      <c r="C70" s="70" t="str">
        <f aca="false">IF(B70="","",INDEX(T_NOMBRE,64)&amp;"")</f>
        <v/>
      </c>
      <c r="D70" s="70" t="str">
        <f aca="false">IF(B70="","",INDEX(T_ESTADO,64))</f>
        <v/>
      </c>
      <c r="E70" s="75" t="str">
        <f aca="false">IF(B70="","",INDEX(T_INGRESO,64))</f>
        <v/>
      </c>
      <c r="F70" s="75" t="str">
        <f aca="false">IF(OR(B70="",NOT(ISNUMBER(E70))),"",IF(E70&gt;FECHA_CORTE,"",IF(N(INDEX(T_EGRESO,64))&gt;0,MIN(INDEX(T_EGRESO,64),FECHA_CORTE),FECHA_CORTE)))</f>
        <v/>
      </c>
      <c r="G70" s="94" t="str">
        <f aca="false">IF(F70="","",DATEDIF(E70,F70+1,"m")+(F70+1-EDATE(E70,DATEDIF(E70,F70+1,"m")))/30)</f>
        <v/>
      </c>
      <c r="H70" s="95" t="str">
        <f aca="false">IF(F70="","",1.25*G70)</f>
        <v/>
      </c>
      <c r="I70" s="73" t="str">
        <f aca="false">IF(F70="","",SUMPRODUCT((ANIOS&lt;=DATEDIF(E70,F70+1,"y"))*(MIN(10,N(INDEX(T_PREV,64)))+ANIOS-10&gt;0)*INT((MIN(10,N(INDEX(T_PREV,64)))+ANIOS-10)/3)))</f>
        <v/>
      </c>
      <c r="J70" s="94" t="str">
        <f aca="false">IF(F70="","",SUMIFS(V_DIAS,V_ID,B70,V_INICIO,"&lt;="&amp;F70)+N(INDEX(T_VACPREV,64)))</f>
        <v/>
      </c>
      <c r="K70" s="95" t="str">
        <f aca="false">IF(F70="","",H70+I70-J70)</f>
        <v/>
      </c>
      <c r="L70" s="95" t="str">
        <f aca="false">IF(F70="","",IF(K70&lt;=0,K70,WORKDAY(F70,INT(K70),FERIADOS)-F70+(K70-INT(K70))))</f>
        <v/>
      </c>
      <c r="M70" s="71" t="str">
        <f aca="false">IF(F70="","",(N(INDEX(T_SUELDO,64))+N(INDEX(T_BONO,64)))/30)</f>
        <v/>
      </c>
      <c r="N70" s="71" t="str">
        <f aca="false">IF(F70="","",IF(D70="Desvinculado",0,ROUND(MAX(0,L70)*M70,0)))</f>
        <v/>
      </c>
      <c r="O70" s="73" t="str">
        <f aca="false">IF(F70="","",15+INT(MAX(0,MIN(10,N(INDEX(T_PREV,64)))+DATEDIF(E70,F70+1,"y")-10)/3))</f>
        <v/>
      </c>
      <c r="P70" s="70" t="str">
        <f aca="false">IF(F70="","",IF(D70="Desvinculado","— (se paga en el finiquito)",IF(Q70&gt;=2*O70,"⚠ Tiene 2 períodos acumulados: otorgar vacaciones antes de que se acumule un 3° (Art. 70)",IF(K70&lt;0,"⚠ Saldo negativo (vacaciones anticipadas)",IF(Q70&gt;=O70,"Programar vacaciones (tiene un período anual completo pendiente)","OK")))))</f>
        <v/>
      </c>
      <c r="Q70" s="94" t="str">
        <f aca="false">IF(F70="","",15*DATEDIF(E70,F70+1,"y")+I70-J70)</f>
        <v/>
      </c>
    </row>
    <row r="71" customFormat="false" ht="15" hidden="false" customHeight="false" outlineLevel="0" collapsed="false">
      <c r="B71" s="70" t="str">
        <f aca="false">IFERROR(IF(INDEX(T_ID,65)="","",INDEX(T_ID,65)),"")</f>
        <v/>
      </c>
      <c r="C71" s="70" t="str">
        <f aca="false">IF(B71="","",INDEX(T_NOMBRE,65)&amp;"")</f>
        <v/>
      </c>
      <c r="D71" s="70" t="str">
        <f aca="false">IF(B71="","",INDEX(T_ESTADO,65))</f>
        <v/>
      </c>
      <c r="E71" s="75" t="str">
        <f aca="false">IF(B71="","",INDEX(T_INGRESO,65))</f>
        <v/>
      </c>
      <c r="F71" s="75" t="str">
        <f aca="false">IF(OR(B71="",NOT(ISNUMBER(E71))),"",IF(E71&gt;FECHA_CORTE,"",IF(N(INDEX(T_EGRESO,65))&gt;0,MIN(INDEX(T_EGRESO,65),FECHA_CORTE),FECHA_CORTE)))</f>
        <v/>
      </c>
      <c r="G71" s="94" t="str">
        <f aca="false">IF(F71="","",DATEDIF(E71,F71+1,"m")+(F71+1-EDATE(E71,DATEDIF(E71,F71+1,"m")))/30)</f>
        <v/>
      </c>
      <c r="H71" s="95" t="str">
        <f aca="false">IF(F71="","",1.25*G71)</f>
        <v/>
      </c>
      <c r="I71" s="73" t="str">
        <f aca="false">IF(F71="","",SUMPRODUCT((ANIOS&lt;=DATEDIF(E71,F71+1,"y"))*(MIN(10,N(INDEX(T_PREV,65)))+ANIOS-10&gt;0)*INT((MIN(10,N(INDEX(T_PREV,65)))+ANIOS-10)/3)))</f>
        <v/>
      </c>
      <c r="J71" s="94" t="str">
        <f aca="false">IF(F71="","",SUMIFS(V_DIAS,V_ID,B71,V_INICIO,"&lt;="&amp;F71)+N(INDEX(T_VACPREV,65)))</f>
        <v/>
      </c>
      <c r="K71" s="95" t="str">
        <f aca="false">IF(F71="","",H71+I71-J71)</f>
        <v/>
      </c>
      <c r="L71" s="95" t="str">
        <f aca="false">IF(F71="","",IF(K71&lt;=0,K71,WORKDAY(F71,INT(K71),FERIADOS)-F71+(K71-INT(K71))))</f>
        <v/>
      </c>
      <c r="M71" s="71" t="str">
        <f aca="false">IF(F71="","",(N(INDEX(T_SUELDO,65))+N(INDEX(T_BONO,65)))/30)</f>
        <v/>
      </c>
      <c r="N71" s="71" t="str">
        <f aca="false">IF(F71="","",IF(D71="Desvinculado",0,ROUND(MAX(0,L71)*M71,0)))</f>
        <v/>
      </c>
      <c r="O71" s="73" t="str">
        <f aca="false">IF(F71="","",15+INT(MAX(0,MIN(10,N(INDEX(T_PREV,65)))+DATEDIF(E71,F71+1,"y")-10)/3))</f>
        <v/>
      </c>
      <c r="P71" s="70" t="str">
        <f aca="false">IF(F71="","",IF(D71="Desvinculado","— (se paga en el finiquito)",IF(Q71&gt;=2*O71,"⚠ Tiene 2 períodos acumulados: otorgar vacaciones antes de que se acumule un 3° (Art. 70)",IF(K71&lt;0,"⚠ Saldo negativo (vacaciones anticipadas)",IF(Q71&gt;=O71,"Programar vacaciones (tiene un período anual completo pendiente)","OK")))))</f>
        <v/>
      </c>
      <c r="Q71" s="94" t="str">
        <f aca="false">IF(F71="","",15*DATEDIF(E71,F71+1,"y")+I71-J71)</f>
        <v/>
      </c>
    </row>
    <row r="72" customFormat="false" ht="15" hidden="false" customHeight="false" outlineLevel="0" collapsed="false">
      <c r="B72" s="70" t="str">
        <f aca="false">IFERROR(IF(INDEX(T_ID,66)="","",INDEX(T_ID,66)),"")</f>
        <v/>
      </c>
      <c r="C72" s="70" t="str">
        <f aca="false">IF(B72="","",INDEX(T_NOMBRE,66)&amp;"")</f>
        <v/>
      </c>
      <c r="D72" s="70" t="str">
        <f aca="false">IF(B72="","",INDEX(T_ESTADO,66))</f>
        <v/>
      </c>
      <c r="E72" s="75" t="str">
        <f aca="false">IF(B72="","",INDEX(T_INGRESO,66))</f>
        <v/>
      </c>
      <c r="F72" s="75" t="str">
        <f aca="false">IF(OR(B72="",NOT(ISNUMBER(E72))),"",IF(E72&gt;FECHA_CORTE,"",IF(N(INDEX(T_EGRESO,66))&gt;0,MIN(INDEX(T_EGRESO,66),FECHA_CORTE),FECHA_CORTE)))</f>
        <v/>
      </c>
      <c r="G72" s="94" t="str">
        <f aca="false">IF(F72="","",DATEDIF(E72,F72+1,"m")+(F72+1-EDATE(E72,DATEDIF(E72,F72+1,"m")))/30)</f>
        <v/>
      </c>
      <c r="H72" s="95" t="str">
        <f aca="false">IF(F72="","",1.25*G72)</f>
        <v/>
      </c>
      <c r="I72" s="73" t="str">
        <f aca="false">IF(F72="","",SUMPRODUCT((ANIOS&lt;=DATEDIF(E72,F72+1,"y"))*(MIN(10,N(INDEX(T_PREV,66)))+ANIOS-10&gt;0)*INT((MIN(10,N(INDEX(T_PREV,66)))+ANIOS-10)/3)))</f>
        <v/>
      </c>
      <c r="J72" s="94" t="str">
        <f aca="false">IF(F72="","",SUMIFS(V_DIAS,V_ID,B72,V_INICIO,"&lt;="&amp;F72)+N(INDEX(T_VACPREV,66)))</f>
        <v/>
      </c>
      <c r="K72" s="95" t="str">
        <f aca="false">IF(F72="","",H72+I72-J72)</f>
        <v/>
      </c>
      <c r="L72" s="95" t="str">
        <f aca="false">IF(F72="","",IF(K72&lt;=0,K72,WORKDAY(F72,INT(K72),FERIADOS)-F72+(K72-INT(K72))))</f>
        <v/>
      </c>
      <c r="M72" s="71" t="str">
        <f aca="false">IF(F72="","",(N(INDEX(T_SUELDO,66))+N(INDEX(T_BONO,66)))/30)</f>
        <v/>
      </c>
      <c r="N72" s="71" t="str">
        <f aca="false">IF(F72="","",IF(D72="Desvinculado",0,ROUND(MAX(0,L72)*M72,0)))</f>
        <v/>
      </c>
      <c r="O72" s="73" t="str">
        <f aca="false">IF(F72="","",15+INT(MAX(0,MIN(10,N(INDEX(T_PREV,66)))+DATEDIF(E72,F72+1,"y")-10)/3))</f>
        <v/>
      </c>
      <c r="P72" s="70" t="str">
        <f aca="false">IF(F72="","",IF(D72="Desvinculado","— (se paga en el finiquito)",IF(Q72&gt;=2*O72,"⚠ Tiene 2 períodos acumulados: otorgar vacaciones antes de que se acumule un 3° (Art. 70)",IF(K72&lt;0,"⚠ Saldo negativo (vacaciones anticipadas)",IF(Q72&gt;=O72,"Programar vacaciones (tiene un período anual completo pendiente)","OK")))))</f>
        <v/>
      </c>
      <c r="Q72" s="94" t="str">
        <f aca="false">IF(F72="","",15*DATEDIF(E72,F72+1,"y")+I72-J72)</f>
        <v/>
      </c>
    </row>
    <row r="73" customFormat="false" ht="15" hidden="false" customHeight="false" outlineLevel="0" collapsed="false">
      <c r="B73" s="70" t="str">
        <f aca="false">IFERROR(IF(INDEX(T_ID,67)="","",INDEX(T_ID,67)),"")</f>
        <v/>
      </c>
      <c r="C73" s="70" t="str">
        <f aca="false">IF(B73="","",INDEX(T_NOMBRE,67)&amp;"")</f>
        <v/>
      </c>
      <c r="D73" s="70" t="str">
        <f aca="false">IF(B73="","",INDEX(T_ESTADO,67))</f>
        <v/>
      </c>
      <c r="E73" s="75" t="str">
        <f aca="false">IF(B73="","",INDEX(T_INGRESO,67))</f>
        <v/>
      </c>
      <c r="F73" s="75" t="str">
        <f aca="false">IF(OR(B73="",NOT(ISNUMBER(E73))),"",IF(E73&gt;FECHA_CORTE,"",IF(N(INDEX(T_EGRESO,67))&gt;0,MIN(INDEX(T_EGRESO,67),FECHA_CORTE),FECHA_CORTE)))</f>
        <v/>
      </c>
      <c r="G73" s="94" t="str">
        <f aca="false">IF(F73="","",DATEDIF(E73,F73+1,"m")+(F73+1-EDATE(E73,DATEDIF(E73,F73+1,"m")))/30)</f>
        <v/>
      </c>
      <c r="H73" s="95" t="str">
        <f aca="false">IF(F73="","",1.25*G73)</f>
        <v/>
      </c>
      <c r="I73" s="73" t="str">
        <f aca="false">IF(F73="","",SUMPRODUCT((ANIOS&lt;=DATEDIF(E73,F73+1,"y"))*(MIN(10,N(INDEX(T_PREV,67)))+ANIOS-10&gt;0)*INT((MIN(10,N(INDEX(T_PREV,67)))+ANIOS-10)/3)))</f>
        <v/>
      </c>
      <c r="J73" s="94" t="str">
        <f aca="false">IF(F73="","",SUMIFS(V_DIAS,V_ID,B73,V_INICIO,"&lt;="&amp;F73)+N(INDEX(T_VACPREV,67)))</f>
        <v/>
      </c>
      <c r="K73" s="95" t="str">
        <f aca="false">IF(F73="","",H73+I73-J73)</f>
        <v/>
      </c>
      <c r="L73" s="95" t="str">
        <f aca="false">IF(F73="","",IF(K73&lt;=0,K73,WORKDAY(F73,INT(K73),FERIADOS)-F73+(K73-INT(K73))))</f>
        <v/>
      </c>
      <c r="M73" s="71" t="str">
        <f aca="false">IF(F73="","",(N(INDEX(T_SUELDO,67))+N(INDEX(T_BONO,67)))/30)</f>
        <v/>
      </c>
      <c r="N73" s="71" t="str">
        <f aca="false">IF(F73="","",IF(D73="Desvinculado",0,ROUND(MAX(0,L73)*M73,0)))</f>
        <v/>
      </c>
      <c r="O73" s="73" t="str">
        <f aca="false">IF(F73="","",15+INT(MAX(0,MIN(10,N(INDEX(T_PREV,67)))+DATEDIF(E73,F73+1,"y")-10)/3))</f>
        <v/>
      </c>
      <c r="P73" s="70" t="str">
        <f aca="false">IF(F73="","",IF(D73="Desvinculado","— (se paga en el finiquito)",IF(Q73&gt;=2*O73,"⚠ Tiene 2 períodos acumulados: otorgar vacaciones antes de que se acumule un 3° (Art. 70)",IF(K73&lt;0,"⚠ Saldo negativo (vacaciones anticipadas)",IF(Q73&gt;=O73,"Programar vacaciones (tiene un período anual completo pendiente)","OK")))))</f>
        <v/>
      </c>
      <c r="Q73" s="94" t="str">
        <f aca="false">IF(F73="","",15*DATEDIF(E73,F73+1,"y")+I73-J73)</f>
        <v/>
      </c>
    </row>
    <row r="74" customFormat="false" ht="15" hidden="false" customHeight="false" outlineLevel="0" collapsed="false">
      <c r="B74" s="70" t="str">
        <f aca="false">IFERROR(IF(INDEX(T_ID,68)="","",INDEX(T_ID,68)),"")</f>
        <v/>
      </c>
      <c r="C74" s="70" t="str">
        <f aca="false">IF(B74="","",INDEX(T_NOMBRE,68)&amp;"")</f>
        <v/>
      </c>
      <c r="D74" s="70" t="str">
        <f aca="false">IF(B74="","",INDEX(T_ESTADO,68))</f>
        <v/>
      </c>
      <c r="E74" s="75" t="str">
        <f aca="false">IF(B74="","",INDEX(T_INGRESO,68))</f>
        <v/>
      </c>
      <c r="F74" s="75" t="str">
        <f aca="false">IF(OR(B74="",NOT(ISNUMBER(E74))),"",IF(E74&gt;FECHA_CORTE,"",IF(N(INDEX(T_EGRESO,68))&gt;0,MIN(INDEX(T_EGRESO,68),FECHA_CORTE),FECHA_CORTE)))</f>
        <v/>
      </c>
      <c r="G74" s="94" t="str">
        <f aca="false">IF(F74="","",DATEDIF(E74,F74+1,"m")+(F74+1-EDATE(E74,DATEDIF(E74,F74+1,"m")))/30)</f>
        <v/>
      </c>
      <c r="H74" s="95" t="str">
        <f aca="false">IF(F74="","",1.25*G74)</f>
        <v/>
      </c>
      <c r="I74" s="73" t="str">
        <f aca="false">IF(F74="","",SUMPRODUCT((ANIOS&lt;=DATEDIF(E74,F74+1,"y"))*(MIN(10,N(INDEX(T_PREV,68)))+ANIOS-10&gt;0)*INT((MIN(10,N(INDEX(T_PREV,68)))+ANIOS-10)/3)))</f>
        <v/>
      </c>
      <c r="J74" s="94" t="str">
        <f aca="false">IF(F74="","",SUMIFS(V_DIAS,V_ID,B74,V_INICIO,"&lt;="&amp;F74)+N(INDEX(T_VACPREV,68)))</f>
        <v/>
      </c>
      <c r="K74" s="95" t="str">
        <f aca="false">IF(F74="","",H74+I74-J74)</f>
        <v/>
      </c>
      <c r="L74" s="95" t="str">
        <f aca="false">IF(F74="","",IF(K74&lt;=0,K74,WORKDAY(F74,INT(K74),FERIADOS)-F74+(K74-INT(K74))))</f>
        <v/>
      </c>
      <c r="M74" s="71" t="str">
        <f aca="false">IF(F74="","",(N(INDEX(T_SUELDO,68))+N(INDEX(T_BONO,68)))/30)</f>
        <v/>
      </c>
      <c r="N74" s="71" t="str">
        <f aca="false">IF(F74="","",IF(D74="Desvinculado",0,ROUND(MAX(0,L74)*M74,0)))</f>
        <v/>
      </c>
      <c r="O74" s="73" t="str">
        <f aca="false">IF(F74="","",15+INT(MAX(0,MIN(10,N(INDEX(T_PREV,68)))+DATEDIF(E74,F74+1,"y")-10)/3))</f>
        <v/>
      </c>
      <c r="P74" s="70" t="str">
        <f aca="false">IF(F74="","",IF(D74="Desvinculado","— (se paga en el finiquito)",IF(Q74&gt;=2*O74,"⚠ Tiene 2 períodos acumulados: otorgar vacaciones antes de que se acumule un 3° (Art. 70)",IF(K74&lt;0,"⚠ Saldo negativo (vacaciones anticipadas)",IF(Q74&gt;=O74,"Programar vacaciones (tiene un período anual completo pendiente)","OK")))))</f>
        <v/>
      </c>
      <c r="Q74" s="94" t="str">
        <f aca="false">IF(F74="","",15*DATEDIF(E74,F74+1,"y")+I74-J74)</f>
        <v/>
      </c>
    </row>
    <row r="75" customFormat="false" ht="15" hidden="false" customHeight="false" outlineLevel="0" collapsed="false">
      <c r="B75" s="70" t="str">
        <f aca="false">IFERROR(IF(INDEX(T_ID,69)="","",INDEX(T_ID,69)),"")</f>
        <v/>
      </c>
      <c r="C75" s="70" t="str">
        <f aca="false">IF(B75="","",INDEX(T_NOMBRE,69)&amp;"")</f>
        <v/>
      </c>
      <c r="D75" s="70" t="str">
        <f aca="false">IF(B75="","",INDEX(T_ESTADO,69))</f>
        <v/>
      </c>
      <c r="E75" s="75" t="str">
        <f aca="false">IF(B75="","",INDEX(T_INGRESO,69))</f>
        <v/>
      </c>
      <c r="F75" s="75" t="str">
        <f aca="false">IF(OR(B75="",NOT(ISNUMBER(E75))),"",IF(E75&gt;FECHA_CORTE,"",IF(N(INDEX(T_EGRESO,69))&gt;0,MIN(INDEX(T_EGRESO,69),FECHA_CORTE),FECHA_CORTE)))</f>
        <v/>
      </c>
      <c r="G75" s="94" t="str">
        <f aca="false">IF(F75="","",DATEDIF(E75,F75+1,"m")+(F75+1-EDATE(E75,DATEDIF(E75,F75+1,"m")))/30)</f>
        <v/>
      </c>
      <c r="H75" s="95" t="str">
        <f aca="false">IF(F75="","",1.25*G75)</f>
        <v/>
      </c>
      <c r="I75" s="73" t="str">
        <f aca="false">IF(F75="","",SUMPRODUCT((ANIOS&lt;=DATEDIF(E75,F75+1,"y"))*(MIN(10,N(INDEX(T_PREV,69)))+ANIOS-10&gt;0)*INT((MIN(10,N(INDEX(T_PREV,69)))+ANIOS-10)/3)))</f>
        <v/>
      </c>
      <c r="J75" s="94" t="str">
        <f aca="false">IF(F75="","",SUMIFS(V_DIAS,V_ID,B75,V_INICIO,"&lt;="&amp;F75)+N(INDEX(T_VACPREV,69)))</f>
        <v/>
      </c>
      <c r="K75" s="95" t="str">
        <f aca="false">IF(F75="","",H75+I75-J75)</f>
        <v/>
      </c>
      <c r="L75" s="95" t="str">
        <f aca="false">IF(F75="","",IF(K75&lt;=0,K75,WORKDAY(F75,INT(K75),FERIADOS)-F75+(K75-INT(K75))))</f>
        <v/>
      </c>
      <c r="M75" s="71" t="str">
        <f aca="false">IF(F75="","",(N(INDEX(T_SUELDO,69))+N(INDEX(T_BONO,69)))/30)</f>
        <v/>
      </c>
      <c r="N75" s="71" t="str">
        <f aca="false">IF(F75="","",IF(D75="Desvinculado",0,ROUND(MAX(0,L75)*M75,0)))</f>
        <v/>
      </c>
      <c r="O75" s="73" t="str">
        <f aca="false">IF(F75="","",15+INT(MAX(0,MIN(10,N(INDEX(T_PREV,69)))+DATEDIF(E75,F75+1,"y")-10)/3))</f>
        <v/>
      </c>
      <c r="P75" s="70" t="str">
        <f aca="false">IF(F75="","",IF(D75="Desvinculado","— (se paga en el finiquito)",IF(Q75&gt;=2*O75,"⚠ Tiene 2 períodos acumulados: otorgar vacaciones antes de que se acumule un 3° (Art. 70)",IF(K75&lt;0,"⚠ Saldo negativo (vacaciones anticipadas)",IF(Q75&gt;=O75,"Programar vacaciones (tiene un período anual completo pendiente)","OK")))))</f>
        <v/>
      </c>
      <c r="Q75" s="94" t="str">
        <f aca="false">IF(F75="","",15*DATEDIF(E75,F75+1,"y")+I75-J75)</f>
        <v/>
      </c>
    </row>
    <row r="76" customFormat="false" ht="15" hidden="false" customHeight="false" outlineLevel="0" collapsed="false">
      <c r="B76" s="70" t="str">
        <f aca="false">IFERROR(IF(INDEX(T_ID,70)="","",INDEX(T_ID,70)),"")</f>
        <v/>
      </c>
      <c r="C76" s="70" t="str">
        <f aca="false">IF(B76="","",INDEX(T_NOMBRE,70)&amp;"")</f>
        <v/>
      </c>
      <c r="D76" s="70" t="str">
        <f aca="false">IF(B76="","",INDEX(T_ESTADO,70))</f>
        <v/>
      </c>
      <c r="E76" s="75" t="str">
        <f aca="false">IF(B76="","",INDEX(T_INGRESO,70))</f>
        <v/>
      </c>
      <c r="F76" s="75" t="str">
        <f aca="false">IF(OR(B76="",NOT(ISNUMBER(E76))),"",IF(E76&gt;FECHA_CORTE,"",IF(N(INDEX(T_EGRESO,70))&gt;0,MIN(INDEX(T_EGRESO,70),FECHA_CORTE),FECHA_CORTE)))</f>
        <v/>
      </c>
      <c r="G76" s="94" t="str">
        <f aca="false">IF(F76="","",DATEDIF(E76,F76+1,"m")+(F76+1-EDATE(E76,DATEDIF(E76,F76+1,"m")))/30)</f>
        <v/>
      </c>
      <c r="H76" s="95" t="str">
        <f aca="false">IF(F76="","",1.25*G76)</f>
        <v/>
      </c>
      <c r="I76" s="73" t="str">
        <f aca="false">IF(F76="","",SUMPRODUCT((ANIOS&lt;=DATEDIF(E76,F76+1,"y"))*(MIN(10,N(INDEX(T_PREV,70)))+ANIOS-10&gt;0)*INT((MIN(10,N(INDEX(T_PREV,70)))+ANIOS-10)/3)))</f>
        <v/>
      </c>
      <c r="J76" s="94" t="str">
        <f aca="false">IF(F76="","",SUMIFS(V_DIAS,V_ID,B76,V_INICIO,"&lt;="&amp;F76)+N(INDEX(T_VACPREV,70)))</f>
        <v/>
      </c>
      <c r="K76" s="95" t="str">
        <f aca="false">IF(F76="","",H76+I76-J76)</f>
        <v/>
      </c>
      <c r="L76" s="95" t="str">
        <f aca="false">IF(F76="","",IF(K76&lt;=0,K76,WORKDAY(F76,INT(K76),FERIADOS)-F76+(K76-INT(K76))))</f>
        <v/>
      </c>
      <c r="M76" s="71" t="str">
        <f aca="false">IF(F76="","",(N(INDEX(T_SUELDO,70))+N(INDEX(T_BONO,70)))/30)</f>
        <v/>
      </c>
      <c r="N76" s="71" t="str">
        <f aca="false">IF(F76="","",IF(D76="Desvinculado",0,ROUND(MAX(0,L76)*M76,0)))</f>
        <v/>
      </c>
      <c r="O76" s="73" t="str">
        <f aca="false">IF(F76="","",15+INT(MAX(0,MIN(10,N(INDEX(T_PREV,70)))+DATEDIF(E76,F76+1,"y")-10)/3))</f>
        <v/>
      </c>
      <c r="P76" s="70" t="str">
        <f aca="false">IF(F76="","",IF(D76="Desvinculado","— (se paga en el finiquito)",IF(Q76&gt;=2*O76,"⚠ Tiene 2 períodos acumulados: otorgar vacaciones antes de que se acumule un 3° (Art. 70)",IF(K76&lt;0,"⚠ Saldo negativo (vacaciones anticipadas)",IF(Q76&gt;=O76,"Programar vacaciones (tiene un período anual completo pendiente)","OK")))))</f>
        <v/>
      </c>
      <c r="Q76" s="94" t="str">
        <f aca="false">IF(F76="","",15*DATEDIF(E76,F76+1,"y")+I76-J76)</f>
        <v/>
      </c>
    </row>
    <row r="77" customFormat="false" ht="15" hidden="false" customHeight="false" outlineLevel="0" collapsed="false">
      <c r="B77" s="70" t="str">
        <f aca="false">IFERROR(IF(INDEX(T_ID,71)="","",INDEX(T_ID,71)),"")</f>
        <v/>
      </c>
      <c r="C77" s="70" t="str">
        <f aca="false">IF(B77="","",INDEX(T_NOMBRE,71)&amp;"")</f>
        <v/>
      </c>
      <c r="D77" s="70" t="str">
        <f aca="false">IF(B77="","",INDEX(T_ESTADO,71))</f>
        <v/>
      </c>
      <c r="E77" s="75" t="str">
        <f aca="false">IF(B77="","",INDEX(T_INGRESO,71))</f>
        <v/>
      </c>
      <c r="F77" s="75" t="str">
        <f aca="false">IF(OR(B77="",NOT(ISNUMBER(E77))),"",IF(E77&gt;FECHA_CORTE,"",IF(N(INDEX(T_EGRESO,71))&gt;0,MIN(INDEX(T_EGRESO,71),FECHA_CORTE),FECHA_CORTE)))</f>
        <v/>
      </c>
      <c r="G77" s="94" t="str">
        <f aca="false">IF(F77="","",DATEDIF(E77,F77+1,"m")+(F77+1-EDATE(E77,DATEDIF(E77,F77+1,"m")))/30)</f>
        <v/>
      </c>
      <c r="H77" s="95" t="str">
        <f aca="false">IF(F77="","",1.25*G77)</f>
        <v/>
      </c>
      <c r="I77" s="73" t="str">
        <f aca="false">IF(F77="","",SUMPRODUCT((ANIOS&lt;=DATEDIF(E77,F77+1,"y"))*(MIN(10,N(INDEX(T_PREV,71)))+ANIOS-10&gt;0)*INT((MIN(10,N(INDEX(T_PREV,71)))+ANIOS-10)/3)))</f>
        <v/>
      </c>
      <c r="J77" s="94" t="str">
        <f aca="false">IF(F77="","",SUMIFS(V_DIAS,V_ID,B77,V_INICIO,"&lt;="&amp;F77)+N(INDEX(T_VACPREV,71)))</f>
        <v/>
      </c>
      <c r="K77" s="95" t="str">
        <f aca="false">IF(F77="","",H77+I77-J77)</f>
        <v/>
      </c>
      <c r="L77" s="95" t="str">
        <f aca="false">IF(F77="","",IF(K77&lt;=0,K77,WORKDAY(F77,INT(K77),FERIADOS)-F77+(K77-INT(K77))))</f>
        <v/>
      </c>
      <c r="M77" s="71" t="str">
        <f aca="false">IF(F77="","",(N(INDEX(T_SUELDO,71))+N(INDEX(T_BONO,71)))/30)</f>
        <v/>
      </c>
      <c r="N77" s="71" t="str">
        <f aca="false">IF(F77="","",IF(D77="Desvinculado",0,ROUND(MAX(0,L77)*M77,0)))</f>
        <v/>
      </c>
      <c r="O77" s="73" t="str">
        <f aca="false">IF(F77="","",15+INT(MAX(0,MIN(10,N(INDEX(T_PREV,71)))+DATEDIF(E77,F77+1,"y")-10)/3))</f>
        <v/>
      </c>
      <c r="P77" s="70" t="str">
        <f aca="false">IF(F77="","",IF(D77="Desvinculado","— (se paga en el finiquito)",IF(Q77&gt;=2*O77,"⚠ Tiene 2 períodos acumulados: otorgar vacaciones antes de que se acumule un 3° (Art. 70)",IF(K77&lt;0,"⚠ Saldo negativo (vacaciones anticipadas)",IF(Q77&gt;=O77,"Programar vacaciones (tiene un período anual completo pendiente)","OK")))))</f>
        <v/>
      </c>
      <c r="Q77" s="94" t="str">
        <f aca="false">IF(F77="","",15*DATEDIF(E77,F77+1,"y")+I77-J77)</f>
        <v/>
      </c>
    </row>
    <row r="78" customFormat="false" ht="15" hidden="false" customHeight="false" outlineLevel="0" collapsed="false">
      <c r="B78" s="70" t="str">
        <f aca="false">IFERROR(IF(INDEX(T_ID,72)="","",INDEX(T_ID,72)),"")</f>
        <v/>
      </c>
      <c r="C78" s="70" t="str">
        <f aca="false">IF(B78="","",INDEX(T_NOMBRE,72)&amp;"")</f>
        <v/>
      </c>
      <c r="D78" s="70" t="str">
        <f aca="false">IF(B78="","",INDEX(T_ESTADO,72))</f>
        <v/>
      </c>
      <c r="E78" s="75" t="str">
        <f aca="false">IF(B78="","",INDEX(T_INGRESO,72))</f>
        <v/>
      </c>
      <c r="F78" s="75" t="str">
        <f aca="false">IF(OR(B78="",NOT(ISNUMBER(E78))),"",IF(E78&gt;FECHA_CORTE,"",IF(N(INDEX(T_EGRESO,72))&gt;0,MIN(INDEX(T_EGRESO,72),FECHA_CORTE),FECHA_CORTE)))</f>
        <v/>
      </c>
      <c r="G78" s="94" t="str">
        <f aca="false">IF(F78="","",DATEDIF(E78,F78+1,"m")+(F78+1-EDATE(E78,DATEDIF(E78,F78+1,"m")))/30)</f>
        <v/>
      </c>
      <c r="H78" s="95" t="str">
        <f aca="false">IF(F78="","",1.25*G78)</f>
        <v/>
      </c>
      <c r="I78" s="73" t="str">
        <f aca="false">IF(F78="","",SUMPRODUCT((ANIOS&lt;=DATEDIF(E78,F78+1,"y"))*(MIN(10,N(INDEX(T_PREV,72)))+ANIOS-10&gt;0)*INT((MIN(10,N(INDEX(T_PREV,72)))+ANIOS-10)/3)))</f>
        <v/>
      </c>
      <c r="J78" s="94" t="str">
        <f aca="false">IF(F78="","",SUMIFS(V_DIAS,V_ID,B78,V_INICIO,"&lt;="&amp;F78)+N(INDEX(T_VACPREV,72)))</f>
        <v/>
      </c>
      <c r="K78" s="95" t="str">
        <f aca="false">IF(F78="","",H78+I78-J78)</f>
        <v/>
      </c>
      <c r="L78" s="95" t="str">
        <f aca="false">IF(F78="","",IF(K78&lt;=0,K78,WORKDAY(F78,INT(K78),FERIADOS)-F78+(K78-INT(K78))))</f>
        <v/>
      </c>
      <c r="M78" s="71" t="str">
        <f aca="false">IF(F78="","",(N(INDEX(T_SUELDO,72))+N(INDEX(T_BONO,72)))/30)</f>
        <v/>
      </c>
      <c r="N78" s="71" t="str">
        <f aca="false">IF(F78="","",IF(D78="Desvinculado",0,ROUND(MAX(0,L78)*M78,0)))</f>
        <v/>
      </c>
      <c r="O78" s="73" t="str">
        <f aca="false">IF(F78="","",15+INT(MAX(0,MIN(10,N(INDEX(T_PREV,72)))+DATEDIF(E78,F78+1,"y")-10)/3))</f>
        <v/>
      </c>
      <c r="P78" s="70" t="str">
        <f aca="false">IF(F78="","",IF(D78="Desvinculado","— (se paga en el finiquito)",IF(Q78&gt;=2*O78,"⚠ Tiene 2 períodos acumulados: otorgar vacaciones antes de que se acumule un 3° (Art. 70)",IF(K78&lt;0,"⚠ Saldo negativo (vacaciones anticipadas)",IF(Q78&gt;=O78,"Programar vacaciones (tiene un período anual completo pendiente)","OK")))))</f>
        <v/>
      </c>
      <c r="Q78" s="94" t="str">
        <f aca="false">IF(F78="","",15*DATEDIF(E78,F78+1,"y")+I78-J78)</f>
        <v/>
      </c>
    </row>
    <row r="79" customFormat="false" ht="15" hidden="false" customHeight="false" outlineLevel="0" collapsed="false">
      <c r="B79" s="70" t="str">
        <f aca="false">IFERROR(IF(INDEX(T_ID,73)="","",INDEX(T_ID,73)),"")</f>
        <v/>
      </c>
      <c r="C79" s="70" t="str">
        <f aca="false">IF(B79="","",INDEX(T_NOMBRE,73)&amp;"")</f>
        <v/>
      </c>
      <c r="D79" s="70" t="str">
        <f aca="false">IF(B79="","",INDEX(T_ESTADO,73))</f>
        <v/>
      </c>
      <c r="E79" s="75" t="str">
        <f aca="false">IF(B79="","",INDEX(T_INGRESO,73))</f>
        <v/>
      </c>
      <c r="F79" s="75" t="str">
        <f aca="false">IF(OR(B79="",NOT(ISNUMBER(E79))),"",IF(E79&gt;FECHA_CORTE,"",IF(N(INDEX(T_EGRESO,73))&gt;0,MIN(INDEX(T_EGRESO,73),FECHA_CORTE),FECHA_CORTE)))</f>
        <v/>
      </c>
      <c r="G79" s="94" t="str">
        <f aca="false">IF(F79="","",DATEDIF(E79,F79+1,"m")+(F79+1-EDATE(E79,DATEDIF(E79,F79+1,"m")))/30)</f>
        <v/>
      </c>
      <c r="H79" s="95" t="str">
        <f aca="false">IF(F79="","",1.25*G79)</f>
        <v/>
      </c>
      <c r="I79" s="73" t="str">
        <f aca="false">IF(F79="","",SUMPRODUCT((ANIOS&lt;=DATEDIF(E79,F79+1,"y"))*(MIN(10,N(INDEX(T_PREV,73)))+ANIOS-10&gt;0)*INT((MIN(10,N(INDEX(T_PREV,73)))+ANIOS-10)/3)))</f>
        <v/>
      </c>
      <c r="J79" s="94" t="str">
        <f aca="false">IF(F79="","",SUMIFS(V_DIAS,V_ID,B79,V_INICIO,"&lt;="&amp;F79)+N(INDEX(T_VACPREV,73)))</f>
        <v/>
      </c>
      <c r="K79" s="95" t="str">
        <f aca="false">IF(F79="","",H79+I79-J79)</f>
        <v/>
      </c>
      <c r="L79" s="95" t="str">
        <f aca="false">IF(F79="","",IF(K79&lt;=0,K79,WORKDAY(F79,INT(K79),FERIADOS)-F79+(K79-INT(K79))))</f>
        <v/>
      </c>
      <c r="M79" s="71" t="str">
        <f aca="false">IF(F79="","",(N(INDEX(T_SUELDO,73))+N(INDEX(T_BONO,73)))/30)</f>
        <v/>
      </c>
      <c r="N79" s="71" t="str">
        <f aca="false">IF(F79="","",IF(D79="Desvinculado",0,ROUND(MAX(0,L79)*M79,0)))</f>
        <v/>
      </c>
      <c r="O79" s="73" t="str">
        <f aca="false">IF(F79="","",15+INT(MAX(0,MIN(10,N(INDEX(T_PREV,73)))+DATEDIF(E79,F79+1,"y")-10)/3))</f>
        <v/>
      </c>
      <c r="P79" s="70" t="str">
        <f aca="false">IF(F79="","",IF(D79="Desvinculado","— (se paga en el finiquito)",IF(Q79&gt;=2*O79,"⚠ Tiene 2 períodos acumulados: otorgar vacaciones antes de que se acumule un 3° (Art. 70)",IF(K79&lt;0,"⚠ Saldo negativo (vacaciones anticipadas)",IF(Q79&gt;=O79,"Programar vacaciones (tiene un período anual completo pendiente)","OK")))))</f>
        <v/>
      </c>
      <c r="Q79" s="94" t="str">
        <f aca="false">IF(F79="","",15*DATEDIF(E79,F79+1,"y")+I79-J79)</f>
        <v/>
      </c>
    </row>
    <row r="80" customFormat="false" ht="15" hidden="false" customHeight="false" outlineLevel="0" collapsed="false">
      <c r="B80" s="70" t="str">
        <f aca="false">IFERROR(IF(INDEX(T_ID,74)="","",INDEX(T_ID,74)),"")</f>
        <v/>
      </c>
      <c r="C80" s="70" t="str">
        <f aca="false">IF(B80="","",INDEX(T_NOMBRE,74)&amp;"")</f>
        <v/>
      </c>
      <c r="D80" s="70" t="str">
        <f aca="false">IF(B80="","",INDEX(T_ESTADO,74))</f>
        <v/>
      </c>
      <c r="E80" s="75" t="str">
        <f aca="false">IF(B80="","",INDEX(T_INGRESO,74))</f>
        <v/>
      </c>
      <c r="F80" s="75" t="str">
        <f aca="false">IF(OR(B80="",NOT(ISNUMBER(E80))),"",IF(E80&gt;FECHA_CORTE,"",IF(N(INDEX(T_EGRESO,74))&gt;0,MIN(INDEX(T_EGRESO,74),FECHA_CORTE),FECHA_CORTE)))</f>
        <v/>
      </c>
      <c r="G80" s="94" t="str">
        <f aca="false">IF(F80="","",DATEDIF(E80,F80+1,"m")+(F80+1-EDATE(E80,DATEDIF(E80,F80+1,"m")))/30)</f>
        <v/>
      </c>
      <c r="H80" s="95" t="str">
        <f aca="false">IF(F80="","",1.25*G80)</f>
        <v/>
      </c>
      <c r="I80" s="73" t="str">
        <f aca="false">IF(F80="","",SUMPRODUCT((ANIOS&lt;=DATEDIF(E80,F80+1,"y"))*(MIN(10,N(INDEX(T_PREV,74)))+ANIOS-10&gt;0)*INT((MIN(10,N(INDEX(T_PREV,74)))+ANIOS-10)/3)))</f>
        <v/>
      </c>
      <c r="J80" s="94" t="str">
        <f aca="false">IF(F80="","",SUMIFS(V_DIAS,V_ID,B80,V_INICIO,"&lt;="&amp;F80)+N(INDEX(T_VACPREV,74)))</f>
        <v/>
      </c>
      <c r="K80" s="95" t="str">
        <f aca="false">IF(F80="","",H80+I80-J80)</f>
        <v/>
      </c>
      <c r="L80" s="95" t="str">
        <f aca="false">IF(F80="","",IF(K80&lt;=0,K80,WORKDAY(F80,INT(K80),FERIADOS)-F80+(K80-INT(K80))))</f>
        <v/>
      </c>
      <c r="M80" s="71" t="str">
        <f aca="false">IF(F80="","",(N(INDEX(T_SUELDO,74))+N(INDEX(T_BONO,74)))/30)</f>
        <v/>
      </c>
      <c r="N80" s="71" t="str">
        <f aca="false">IF(F80="","",IF(D80="Desvinculado",0,ROUND(MAX(0,L80)*M80,0)))</f>
        <v/>
      </c>
      <c r="O80" s="73" t="str">
        <f aca="false">IF(F80="","",15+INT(MAX(0,MIN(10,N(INDEX(T_PREV,74)))+DATEDIF(E80,F80+1,"y")-10)/3))</f>
        <v/>
      </c>
      <c r="P80" s="70" t="str">
        <f aca="false">IF(F80="","",IF(D80="Desvinculado","— (se paga en el finiquito)",IF(Q80&gt;=2*O80,"⚠ Tiene 2 períodos acumulados: otorgar vacaciones antes de que se acumule un 3° (Art. 70)",IF(K80&lt;0,"⚠ Saldo negativo (vacaciones anticipadas)",IF(Q80&gt;=O80,"Programar vacaciones (tiene un período anual completo pendiente)","OK")))))</f>
        <v/>
      </c>
      <c r="Q80" s="94" t="str">
        <f aca="false">IF(F80="","",15*DATEDIF(E80,F80+1,"y")+I80-J80)</f>
        <v/>
      </c>
    </row>
    <row r="81" customFormat="false" ht="15" hidden="false" customHeight="false" outlineLevel="0" collapsed="false">
      <c r="B81" s="70" t="str">
        <f aca="false">IFERROR(IF(INDEX(T_ID,75)="","",INDEX(T_ID,75)),"")</f>
        <v/>
      </c>
      <c r="C81" s="70" t="str">
        <f aca="false">IF(B81="","",INDEX(T_NOMBRE,75)&amp;"")</f>
        <v/>
      </c>
      <c r="D81" s="70" t="str">
        <f aca="false">IF(B81="","",INDEX(T_ESTADO,75))</f>
        <v/>
      </c>
      <c r="E81" s="75" t="str">
        <f aca="false">IF(B81="","",INDEX(T_INGRESO,75))</f>
        <v/>
      </c>
      <c r="F81" s="75" t="str">
        <f aca="false">IF(OR(B81="",NOT(ISNUMBER(E81))),"",IF(E81&gt;FECHA_CORTE,"",IF(N(INDEX(T_EGRESO,75))&gt;0,MIN(INDEX(T_EGRESO,75),FECHA_CORTE),FECHA_CORTE)))</f>
        <v/>
      </c>
      <c r="G81" s="94" t="str">
        <f aca="false">IF(F81="","",DATEDIF(E81,F81+1,"m")+(F81+1-EDATE(E81,DATEDIF(E81,F81+1,"m")))/30)</f>
        <v/>
      </c>
      <c r="H81" s="95" t="str">
        <f aca="false">IF(F81="","",1.25*G81)</f>
        <v/>
      </c>
      <c r="I81" s="73" t="str">
        <f aca="false">IF(F81="","",SUMPRODUCT((ANIOS&lt;=DATEDIF(E81,F81+1,"y"))*(MIN(10,N(INDEX(T_PREV,75)))+ANIOS-10&gt;0)*INT((MIN(10,N(INDEX(T_PREV,75)))+ANIOS-10)/3)))</f>
        <v/>
      </c>
      <c r="J81" s="94" t="str">
        <f aca="false">IF(F81="","",SUMIFS(V_DIAS,V_ID,B81,V_INICIO,"&lt;="&amp;F81)+N(INDEX(T_VACPREV,75)))</f>
        <v/>
      </c>
      <c r="K81" s="95" t="str">
        <f aca="false">IF(F81="","",H81+I81-J81)</f>
        <v/>
      </c>
      <c r="L81" s="95" t="str">
        <f aca="false">IF(F81="","",IF(K81&lt;=0,K81,WORKDAY(F81,INT(K81),FERIADOS)-F81+(K81-INT(K81))))</f>
        <v/>
      </c>
      <c r="M81" s="71" t="str">
        <f aca="false">IF(F81="","",(N(INDEX(T_SUELDO,75))+N(INDEX(T_BONO,75)))/30)</f>
        <v/>
      </c>
      <c r="N81" s="71" t="str">
        <f aca="false">IF(F81="","",IF(D81="Desvinculado",0,ROUND(MAX(0,L81)*M81,0)))</f>
        <v/>
      </c>
      <c r="O81" s="73" t="str">
        <f aca="false">IF(F81="","",15+INT(MAX(0,MIN(10,N(INDEX(T_PREV,75)))+DATEDIF(E81,F81+1,"y")-10)/3))</f>
        <v/>
      </c>
      <c r="P81" s="70" t="str">
        <f aca="false">IF(F81="","",IF(D81="Desvinculado","— (se paga en el finiquito)",IF(Q81&gt;=2*O81,"⚠ Tiene 2 períodos acumulados: otorgar vacaciones antes de que se acumule un 3° (Art. 70)",IF(K81&lt;0,"⚠ Saldo negativo (vacaciones anticipadas)",IF(Q81&gt;=O81,"Programar vacaciones (tiene un período anual completo pendiente)","OK")))))</f>
        <v/>
      </c>
      <c r="Q81" s="94" t="str">
        <f aca="false">IF(F81="","",15*DATEDIF(E81,F81+1,"y")+I81-J81)</f>
        <v/>
      </c>
    </row>
    <row r="82" customFormat="false" ht="15" hidden="false" customHeight="false" outlineLevel="0" collapsed="false">
      <c r="B82" s="70" t="str">
        <f aca="false">IFERROR(IF(INDEX(T_ID,76)="","",INDEX(T_ID,76)),"")</f>
        <v/>
      </c>
      <c r="C82" s="70" t="str">
        <f aca="false">IF(B82="","",INDEX(T_NOMBRE,76)&amp;"")</f>
        <v/>
      </c>
      <c r="D82" s="70" t="str">
        <f aca="false">IF(B82="","",INDEX(T_ESTADO,76))</f>
        <v/>
      </c>
      <c r="E82" s="75" t="str">
        <f aca="false">IF(B82="","",INDEX(T_INGRESO,76))</f>
        <v/>
      </c>
      <c r="F82" s="75" t="str">
        <f aca="false">IF(OR(B82="",NOT(ISNUMBER(E82))),"",IF(E82&gt;FECHA_CORTE,"",IF(N(INDEX(T_EGRESO,76))&gt;0,MIN(INDEX(T_EGRESO,76),FECHA_CORTE),FECHA_CORTE)))</f>
        <v/>
      </c>
      <c r="G82" s="94" t="str">
        <f aca="false">IF(F82="","",DATEDIF(E82,F82+1,"m")+(F82+1-EDATE(E82,DATEDIF(E82,F82+1,"m")))/30)</f>
        <v/>
      </c>
      <c r="H82" s="95" t="str">
        <f aca="false">IF(F82="","",1.25*G82)</f>
        <v/>
      </c>
      <c r="I82" s="73" t="str">
        <f aca="false">IF(F82="","",SUMPRODUCT((ANIOS&lt;=DATEDIF(E82,F82+1,"y"))*(MIN(10,N(INDEX(T_PREV,76)))+ANIOS-10&gt;0)*INT((MIN(10,N(INDEX(T_PREV,76)))+ANIOS-10)/3)))</f>
        <v/>
      </c>
      <c r="J82" s="94" t="str">
        <f aca="false">IF(F82="","",SUMIFS(V_DIAS,V_ID,B82,V_INICIO,"&lt;="&amp;F82)+N(INDEX(T_VACPREV,76)))</f>
        <v/>
      </c>
      <c r="K82" s="95" t="str">
        <f aca="false">IF(F82="","",H82+I82-J82)</f>
        <v/>
      </c>
      <c r="L82" s="95" t="str">
        <f aca="false">IF(F82="","",IF(K82&lt;=0,K82,WORKDAY(F82,INT(K82),FERIADOS)-F82+(K82-INT(K82))))</f>
        <v/>
      </c>
      <c r="M82" s="71" t="str">
        <f aca="false">IF(F82="","",(N(INDEX(T_SUELDO,76))+N(INDEX(T_BONO,76)))/30)</f>
        <v/>
      </c>
      <c r="N82" s="71" t="str">
        <f aca="false">IF(F82="","",IF(D82="Desvinculado",0,ROUND(MAX(0,L82)*M82,0)))</f>
        <v/>
      </c>
      <c r="O82" s="73" t="str">
        <f aca="false">IF(F82="","",15+INT(MAX(0,MIN(10,N(INDEX(T_PREV,76)))+DATEDIF(E82,F82+1,"y")-10)/3))</f>
        <v/>
      </c>
      <c r="P82" s="70" t="str">
        <f aca="false">IF(F82="","",IF(D82="Desvinculado","— (se paga en el finiquito)",IF(Q82&gt;=2*O82,"⚠ Tiene 2 períodos acumulados: otorgar vacaciones antes de que se acumule un 3° (Art. 70)",IF(K82&lt;0,"⚠ Saldo negativo (vacaciones anticipadas)",IF(Q82&gt;=O82,"Programar vacaciones (tiene un período anual completo pendiente)","OK")))))</f>
        <v/>
      </c>
      <c r="Q82" s="94" t="str">
        <f aca="false">IF(F82="","",15*DATEDIF(E82,F82+1,"y")+I82-J82)</f>
        <v/>
      </c>
    </row>
    <row r="83" customFormat="false" ht="15" hidden="false" customHeight="false" outlineLevel="0" collapsed="false">
      <c r="B83" s="70" t="str">
        <f aca="false">IFERROR(IF(INDEX(T_ID,77)="","",INDEX(T_ID,77)),"")</f>
        <v/>
      </c>
      <c r="C83" s="70" t="str">
        <f aca="false">IF(B83="","",INDEX(T_NOMBRE,77)&amp;"")</f>
        <v/>
      </c>
      <c r="D83" s="70" t="str">
        <f aca="false">IF(B83="","",INDEX(T_ESTADO,77))</f>
        <v/>
      </c>
      <c r="E83" s="75" t="str">
        <f aca="false">IF(B83="","",INDEX(T_INGRESO,77))</f>
        <v/>
      </c>
      <c r="F83" s="75" t="str">
        <f aca="false">IF(OR(B83="",NOT(ISNUMBER(E83))),"",IF(E83&gt;FECHA_CORTE,"",IF(N(INDEX(T_EGRESO,77))&gt;0,MIN(INDEX(T_EGRESO,77),FECHA_CORTE),FECHA_CORTE)))</f>
        <v/>
      </c>
      <c r="G83" s="94" t="str">
        <f aca="false">IF(F83="","",DATEDIF(E83,F83+1,"m")+(F83+1-EDATE(E83,DATEDIF(E83,F83+1,"m")))/30)</f>
        <v/>
      </c>
      <c r="H83" s="95" t="str">
        <f aca="false">IF(F83="","",1.25*G83)</f>
        <v/>
      </c>
      <c r="I83" s="73" t="str">
        <f aca="false">IF(F83="","",SUMPRODUCT((ANIOS&lt;=DATEDIF(E83,F83+1,"y"))*(MIN(10,N(INDEX(T_PREV,77)))+ANIOS-10&gt;0)*INT((MIN(10,N(INDEX(T_PREV,77)))+ANIOS-10)/3)))</f>
        <v/>
      </c>
      <c r="J83" s="94" t="str">
        <f aca="false">IF(F83="","",SUMIFS(V_DIAS,V_ID,B83,V_INICIO,"&lt;="&amp;F83)+N(INDEX(T_VACPREV,77)))</f>
        <v/>
      </c>
      <c r="K83" s="95" t="str">
        <f aca="false">IF(F83="","",H83+I83-J83)</f>
        <v/>
      </c>
      <c r="L83" s="95" t="str">
        <f aca="false">IF(F83="","",IF(K83&lt;=0,K83,WORKDAY(F83,INT(K83),FERIADOS)-F83+(K83-INT(K83))))</f>
        <v/>
      </c>
      <c r="M83" s="71" t="str">
        <f aca="false">IF(F83="","",(N(INDEX(T_SUELDO,77))+N(INDEX(T_BONO,77)))/30)</f>
        <v/>
      </c>
      <c r="N83" s="71" t="str">
        <f aca="false">IF(F83="","",IF(D83="Desvinculado",0,ROUND(MAX(0,L83)*M83,0)))</f>
        <v/>
      </c>
      <c r="O83" s="73" t="str">
        <f aca="false">IF(F83="","",15+INT(MAX(0,MIN(10,N(INDEX(T_PREV,77)))+DATEDIF(E83,F83+1,"y")-10)/3))</f>
        <v/>
      </c>
      <c r="P83" s="70" t="str">
        <f aca="false">IF(F83="","",IF(D83="Desvinculado","— (se paga en el finiquito)",IF(Q83&gt;=2*O83,"⚠ Tiene 2 períodos acumulados: otorgar vacaciones antes de que se acumule un 3° (Art. 70)",IF(K83&lt;0,"⚠ Saldo negativo (vacaciones anticipadas)",IF(Q83&gt;=O83,"Programar vacaciones (tiene un período anual completo pendiente)","OK")))))</f>
        <v/>
      </c>
      <c r="Q83" s="94" t="str">
        <f aca="false">IF(F83="","",15*DATEDIF(E83,F83+1,"y")+I83-J83)</f>
        <v/>
      </c>
    </row>
    <row r="84" customFormat="false" ht="15" hidden="false" customHeight="false" outlineLevel="0" collapsed="false">
      <c r="B84" s="70" t="str">
        <f aca="false">IFERROR(IF(INDEX(T_ID,78)="","",INDEX(T_ID,78)),"")</f>
        <v/>
      </c>
      <c r="C84" s="70" t="str">
        <f aca="false">IF(B84="","",INDEX(T_NOMBRE,78)&amp;"")</f>
        <v/>
      </c>
      <c r="D84" s="70" t="str">
        <f aca="false">IF(B84="","",INDEX(T_ESTADO,78))</f>
        <v/>
      </c>
      <c r="E84" s="75" t="str">
        <f aca="false">IF(B84="","",INDEX(T_INGRESO,78))</f>
        <v/>
      </c>
      <c r="F84" s="75" t="str">
        <f aca="false">IF(OR(B84="",NOT(ISNUMBER(E84))),"",IF(E84&gt;FECHA_CORTE,"",IF(N(INDEX(T_EGRESO,78))&gt;0,MIN(INDEX(T_EGRESO,78),FECHA_CORTE),FECHA_CORTE)))</f>
        <v/>
      </c>
      <c r="G84" s="94" t="str">
        <f aca="false">IF(F84="","",DATEDIF(E84,F84+1,"m")+(F84+1-EDATE(E84,DATEDIF(E84,F84+1,"m")))/30)</f>
        <v/>
      </c>
      <c r="H84" s="95" t="str">
        <f aca="false">IF(F84="","",1.25*G84)</f>
        <v/>
      </c>
      <c r="I84" s="73" t="str">
        <f aca="false">IF(F84="","",SUMPRODUCT((ANIOS&lt;=DATEDIF(E84,F84+1,"y"))*(MIN(10,N(INDEX(T_PREV,78)))+ANIOS-10&gt;0)*INT((MIN(10,N(INDEX(T_PREV,78)))+ANIOS-10)/3)))</f>
        <v/>
      </c>
      <c r="J84" s="94" t="str">
        <f aca="false">IF(F84="","",SUMIFS(V_DIAS,V_ID,B84,V_INICIO,"&lt;="&amp;F84)+N(INDEX(T_VACPREV,78)))</f>
        <v/>
      </c>
      <c r="K84" s="95" t="str">
        <f aca="false">IF(F84="","",H84+I84-J84)</f>
        <v/>
      </c>
      <c r="L84" s="95" t="str">
        <f aca="false">IF(F84="","",IF(K84&lt;=0,K84,WORKDAY(F84,INT(K84),FERIADOS)-F84+(K84-INT(K84))))</f>
        <v/>
      </c>
      <c r="M84" s="71" t="str">
        <f aca="false">IF(F84="","",(N(INDEX(T_SUELDO,78))+N(INDEX(T_BONO,78)))/30)</f>
        <v/>
      </c>
      <c r="N84" s="71" t="str">
        <f aca="false">IF(F84="","",IF(D84="Desvinculado",0,ROUND(MAX(0,L84)*M84,0)))</f>
        <v/>
      </c>
      <c r="O84" s="73" t="str">
        <f aca="false">IF(F84="","",15+INT(MAX(0,MIN(10,N(INDEX(T_PREV,78)))+DATEDIF(E84,F84+1,"y")-10)/3))</f>
        <v/>
      </c>
      <c r="P84" s="70" t="str">
        <f aca="false">IF(F84="","",IF(D84="Desvinculado","— (se paga en el finiquito)",IF(Q84&gt;=2*O84,"⚠ Tiene 2 períodos acumulados: otorgar vacaciones antes de que se acumule un 3° (Art. 70)",IF(K84&lt;0,"⚠ Saldo negativo (vacaciones anticipadas)",IF(Q84&gt;=O84,"Programar vacaciones (tiene un período anual completo pendiente)","OK")))))</f>
        <v/>
      </c>
      <c r="Q84" s="94" t="str">
        <f aca="false">IF(F84="","",15*DATEDIF(E84,F84+1,"y")+I84-J84)</f>
        <v/>
      </c>
    </row>
    <row r="85" customFormat="false" ht="15" hidden="false" customHeight="false" outlineLevel="0" collapsed="false">
      <c r="B85" s="70" t="str">
        <f aca="false">IFERROR(IF(INDEX(T_ID,79)="","",INDEX(T_ID,79)),"")</f>
        <v/>
      </c>
      <c r="C85" s="70" t="str">
        <f aca="false">IF(B85="","",INDEX(T_NOMBRE,79)&amp;"")</f>
        <v/>
      </c>
      <c r="D85" s="70" t="str">
        <f aca="false">IF(B85="","",INDEX(T_ESTADO,79))</f>
        <v/>
      </c>
      <c r="E85" s="75" t="str">
        <f aca="false">IF(B85="","",INDEX(T_INGRESO,79))</f>
        <v/>
      </c>
      <c r="F85" s="75" t="str">
        <f aca="false">IF(OR(B85="",NOT(ISNUMBER(E85))),"",IF(E85&gt;FECHA_CORTE,"",IF(N(INDEX(T_EGRESO,79))&gt;0,MIN(INDEX(T_EGRESO,79),FECHA_CORTE),FECHA_CORTE)))</f>
        <v/>
      </c>
      <c r="G85" s="94" t="str">
        <f aca="false">IF(F85="","",DATEDIF(E85,F85+1,"m")+(F85+1-EDATE(E85,DATEDIF(E85,F85+1,"m")))/30)</f>
        <v/>
      </c>
      <c r="H85" s="95" t="str">
        <f aca="false">IF(F85="","",1.25*G85)</f>
        <v/>
      </c>
      <c r="I85" s="73" t="str">
        <f aca="false">IF(F85="","",SUMPRODUCT((ANIOS&lt;=DATEDIF(E85,F85+1,"y"))*(MIN(10,N(INDEX(T_PREV,79)))+ANIOS-10&gt;0)*INT((MIN(10,N(INDEX(T_PREV,79)))+ANIOS-10)/3)))</f>
        <v/>
      </c>
      <c r="J85" s="94" t="str">
        <f aca="false">IF(F85="","",SUMIFS(V_DIAS,V_ID,B85,V_INICIO,"&lt;="&amp;F85)+N(INDEX(T_VACPREV,79)))</f>
        <v/>
      </c>
      <c r="K85" s="95" t="str">
        <f aca="false">IF(F85="","",H85+I85-J85)</f>
        <v/>
      </c>
      <c r="L85" s="95" t="str">
        <f aca="false">IF(F85="","",IF(K85&lt;=0,K85,WORKDAY(F85,INT(K85),FERIADOS)-F85+(K85-INT(K85))))</f>
        <v/>
      </c>
      <c r="M85" s="71" t="str">
        <f aca="false">IF(F85="","",(N(INDEX(T_SUELDO,79))+N(INDEX(T_BONO,79)))/30)</f>
        <v/>
      </c>
      <c r="N85" s="71" t="str">
        <f aca="false">IF(F85="","",IF(D85="Desvinculado",0,ROUND(MAX(0,L85)*M85,0)))</f>
        <v/>
      </c>
      <c r="O85" s="73" t="str">
        <f aca="false">IF(F85="","",15+INT(MAX(0,MIN(10,N(INDEX(T_PREV,79)))+DATEDIF(E85,F85+1,"y")-10)/3))</f>
        <v/>
      </c>
      <c r="P85" s="70" t="str">
        <f aca="false">IF(F85="","",IF(D85="Desvinculado","— (se paga en el finiquito)",IF(Q85&gt;=2*O85,"⚠ Tiene 2 períodos acumulados: otorgar vacaciones antes de que se acumule un 3° (Art. 70)",IF(K85&lt;0,"⚠ Saldo negativo (vacaciones anticipadas)",IF(Q85&gt;=O85,"Programar vacaciones (tiene un período anual completo pendiente)","OK")))))</f>
        <v/>
      </c>
      <c r="Q85" s="94" t="str">
        <f aca="false">IF(F85="","",15*DATEDIF(E85,F85+1,"y")+I85-J85)</f>
        <v/>
      </c>
    </row>
    <row r="86" customFormat="false" ht="15" hidden="false" customHeight="false" outlineLevel="0" collapsed="false">
      <c r="B86" s="70" t="str">
        <f aca="false">IFERROR(IF(INDEX(T_ID,80)="","",INDEX(T_ID,80)),"")</f>
        <v/>
      </c>
      <c r="C86" s="70" t="str">
        <f aca="false">IF(B86="","",INDEX(T_NOMBRE,80)&amp;"")</f>
        <v/>
      </c>
      <c r="D86" s="70" t="str">
        <f aca="false">IF(B86="","",INDEX(T_ESTADO,80))</f>
        <v/>
      </c>
      <c r="E86" s="75" t="str">
        <f aca="false">IF(B86="","",INDEX(T_INGRESO,80))</f>
        <v/>
      </c>
      <c r="F86" s="75" t="str">
        <f aca="false">IF(OR(B86="",NOT(ISNUMBER(E86))),"",IF(E86&gt;FECHA_CORTE,"",IF(N(INDEX(T_EGRESO,80))&gt;0,MIN(INDEX(T_EGRESO,80),FECHA_CORTE),FECHA_CORTE)))</f>
        <v/>
      </c>
      <c r="G86" s="94" t="str">
        <f aca="false">IF(F86="","",DATEDIF(E86,F86+1,"m")+(F86+1-EDATE(E86,DATEDIF(E86,F86+1,"m")))/30)</f>
        <v/>
      </c>
      <c r="H86" s="95" t="str">
        <f aca="false">IF(F86="","",1.25*G86)</f>
        <v/>
      </c>
      <c r="I86" s="73" t="str">
        <f aca="false">IF(F86="","",SUMPRODUCT((ANIOS&lt;=DATEDIF(E86,F86+1,"y"))*(MIN(10,N(INDEX(T_PREV,80)))+ANIOS-10&gt;0)*INT((MIN(10,N(INDEX(T_PREV,80)))+ANIOS-10)/3)))</f>
        <v/>
      </c>
      <c r="J86" s="94" t="str">
        <f aca="false">IF(F86="","",SUMIFS(V_DIAS,V_ID,B86,V_INICIO,"&lt;="&amp;F86)+N(INDEX(T_VACPREV,80)))</f>
        <v/>
      </c>
      <c r="K86" s="95" t="str">
        <f aca="false">IF(F86="","",H86+I86-J86)</f>
        <v/>
      </c>
      <c r="L86" s="95" t="str">
        <f aca="false">IF(F86="","",IF(K86&lt;=0,K86,WORKDAY(F86,INT(K86),FERIADOS)-F86+(K86-INT(K86))))</f>
        <v/>
      </c>
      <c r="M86" s="71" t="str">
        <f aca="false">IF(F86="","",(N(INDEX(T_SUELDO,80))+N(INDEX(T_BONO,80)))/30)</f>
        <v/>
      </c>
      <c r="N86" s="71" t="str">
        <f aca="false">IF(F86="","",IF(D86="Desvinculado",0,ROUND(MAX(0,L86)*M86,0)))</f>
        <v/>
      </c>
      <c r="O86" s="73" t="str">
        <f aca="false">IF(F86="","",15+INT(MAX(0,MIN(10,N(INDEX(T_PREV,80)))+DATEDIF(E86,F86+1,"y")-10)/3))</f>
        <v/>
      </c>
      <c r="P86" s="70" t="str">
        <f aca="false">IF(F86="","",IF(D86="Desvinculado","— (se paga en el finiquito)",IF(Q86&gt;=2*O86,"⚠ Tiene 2 períodos acumulados: otorgar vacaciones antes de que se acumule un 3° (Art. 70)",IF(K86&lt;0,"⚠ Saldo negativo (vacaciones anticipadas)",IF(Q86&gt;=O86,"Programar vacaciones (tiene un período anual completo pendiente)","OK")))))</f>
        <v/>
      </c>
      <c r="Q86" s="94" t="str">
        <f aca="false">IF(F86="","",15*DATEDIF(E86,F86+1,"y")+I86-J86)</f>
        <v/>
      </c>
    </row>
    <row r="87" customFormat="false" ht="15" hidden="false" customHeight="false" outlineLevel="0" collapsed="false">
      <c r="B87" s="70" t="str">
        <f aca="false">IFERROR(IF(INDEX(T_ID,81)="","",INDEX(T_ID,81)),"")</f>
        <v/>
      </c>
      <c r="C87" s="70" t="str">
        <f aca="false">IF(B87="","",INDEX(T_NOMBRE,81)&amp;"")</f>
        <v/>
      </c>
      <c r="D87" s="70" t="str">
        <f aca="false">IF(B87="","",INDEX(T_ESTADO,81))</f>
        <v/>
      </c>
      <c r="E87" s="75" t="str">
        <f aca="false">IF(B87="","",INDEX(T_INGRESO,81))</f>
        <v/>
      </c>
      <c r="F87" s="75" t="str">
        <f aca="false">IF(OR(B87="",NOT(ISNUMBER(E87))),"",IF(E87&gt;FECHA_CORTE,"",IF(N(INDEX(T_EGRESO,81))&gt;0,MIN(INDEX(T_EGRESO,81),FECHA_CORTE),FECHA_CORTE)))</f>
        <v/>
      </c>
      <c r="G87" s="94" t="str">
        <f aca="false">IF(F87="","",DATEDIF(E87,F87+1,"m")+(F87+1-EDATE(E87,DATEDIF(E87,F87+1,"m")))/30)</f>
        <v/>
      </c>
      <c r="H87" s="95" t="str">
        <f aca="false">IF(F87="","",1.25*G87)</f>
        <v/>
      </c>
      <c r="I87" s="73" t="str">
        <f aca="false">IF(F87="","",SUMPRODUCT((ANIOS&lt;=DATEDIF(E87,F87+1,"y"))*(MIN(10,N(INDEX(T_PREV,81)))+ANIOS-10&gt;0)*INT((MIN(10,N(INDEX(T_PREV,81)))+ANIOS-10)/3)))</f>
        <v/>
      </c>
      <c r="J87" s="94" t="str">
        <f aca="false">IF(F87="","",SUMIFS(V_DIAS,V_ID,B87,V_INICIO,"&lt;="&amp;F87)+N(INDEX(T_VACPREV,81)))</f>
        <v/>
      </c>
      <c r="K87" s="95" t="str">
        <f aca="false">IF(F87="","",H87+I87-J87)</f>
        <v/>
      </c>
      <c r="L87" s="95" t="str">
        <f aca="false">IF(F87="","",IF(K87&lt;=0,K87,WORKDAY(F87,INT(K87),FERIADOS)-F87+(K87-INT(K87))))</f>
        <v/>
      </c>
      <c r="M87" s="71" t="str">
        <f aca="false">IF(F87="","",(N(INDEX(T_SUELDO,81))+N(INDEX(T_BONO,81)))/30)</f>
        <v/>
      </c>
      <c r="N87" s="71" t="str">
        <f aca="false">IF(F87="","",IF(D87="Desvinculado",0,ROUND(MAX(0,L87)*M87,0)))</f>
        <v/>
      </c>
      <c r="O87" s="73" t="str">
        <f aca="false">IF(F87="","",15+INT(MAX(0,MIN(10,N(INDEX(T_PREV,81)))+DATEDIF(E87,F87+1,"y")-10)/3))</f>
        <v/>
      </c>
      <c r="P87" s="70" t="str">
        <f aca="false">IF(F87="","",IF(D87="Desvinculado","— (se paga en el finiquito)",IF(Q87&gt;=2*O87,"⚠ Tiene 2 períodos acumulados: otorgar vacaciones antes de que se acumule un 3° (Art. 70)",IF(K87&lt;0,"⚠ Saldo negativo (vacaciones anticipadas)",IF(Q87&gt;=O87,"Programar vacaciones (tiene un período anual completo pendiente)","OK")))))</f>
        <v/>
      </c>
      <c r="Q87" s="94" t="str">
        <f aca="false">IF(F87="","",15*DATEDIF(E87,F87+1,"y")+I87-J87)</f>
        <v/>
      </c>
    </row>
    <row r="88" customFormat="false" ht="15" hidden="false" customHeight="false" outlineLevel="0" collapsed="false">
      <c r="B88" s="70" t="str">
        <f aca="false">IFERROR(IF(INDEX(T_ID,82)="","",INDEX(T_ID,82)),"")</f>
        <v/>
      </c>
      <c r="C88" s="70" t="str">
        <f aca="false">IF(B88="","",INDEX(T_NOMBRE,82)&amp;"")</f>
        <v/>
      </c>
      <c r="D88" s="70" t="str">
        <f aca="false">IF(B88="","",INDEX(T_ESTADO,82))</f>
        <v/>
      </c>
      <c r="E88" s="75" t="str">
        <f aca="false">IF(B88="","",INDEX(T_INGRESO,82))</f>
        <v/>
      </c>
      <c r="F88" s="75" t="str">
        <f aca="false">IF(OR(B88="",NOT(ISNUMBER(E88))),"",IF(E88&gt;FECHA_CORTE,"",IF(N(INDEX(T_EGRESO,82))&gt;0,MIN(INDEX(T_EGRESO,82),FECHA_CORTE),FECHA_CORTE)))</f>
        <v/>
      </c>
      <c r="G88" s="94" t="str">
        <f aca="false">IF(F88="","",DATEDIF(E88,F88+1,"m")+(F88+1-EDATE(E88,DATEDIF(E88,F88+1,"m")))/30)</f>
        <v/>
      </c>
      <c r="H88" s="95" t="str">
        <f aca="false">IF(F88="","",1.25*G88)</f>
        <v/>
      </c>
      <c r="I88" s="73" t="str">
        <f aca="false">IF(F88="","",SUMPRODUCT((ANIOS&lt;=DATEDIF(E88,F88+1,"y"))*(MIN(10,N(INDEX(T_PREV,82)))+ANIOS-10&gt;0)*INT((MIN(10,N(INDEX(T_PREV,82)))+ANIOS-10)/3)))</f>
        <v/>
      </c>
      <c r="J88" s="94" t="str">
        <f aca="false">IF(F88="","",SUMIFS(V_DIAS,V_ID,B88,V_INICIO,"&lt;="&amp;F88)+N(INDEX(T_VACPREV,82)))</f>
        <v/>
      </c>
      <c r="K88" s="95" t="str">
        <f aca="false">IF(F88="","",H88+I88-J88)</f>
        <v/>
      </c>
      <c r="L88" s="95" t="str">
        <f aca="false">IF(F88="","",IF(K88&lt;=0,K88,WORKDAY(F88,INT(K88),FERIADOS)-F88+(K88-INT(K88))))</f>
        <v/>
      </c>
      <c r="M88" s="71" t="str">
        <f aca="false">IF(F88="","",(N(INDEX(T_SUELDO,82))+N(INDEX(T_BONO,82)))/30)</f>
        <v/>
      </c>
      <c r="N88" s="71" t="str">
        <f aca="false">IF(F88="","",IF(D88="Desvinculado",0,ROUND(MAX(0,L88)*M88,0)))</f>
        <v/>
      </c>
      <c r="O88" s="73" t="str">
        <f aca="false">IF(F88="","",15+INT(MAX(0,MIN(10,N(INDEX(T_PREV,82)))+DATEDIF(E88,F88+1,"y")-10)/3))</f>
        <v/>
      </c>
      <c r="P88" s="70" t="str">
        <f aca="false">IF(F88="","",IF(D88="Desvinculado","— (se paga en el finiquito)",IF(Q88&gt;=2*O88,"⚠ Tiene 2 períodos acumulados: otorgar vacaciones antes de que se acumule un 3° (Art. 70)",IF(K88&lt;0,"⚠ Saldo negativo (vacaciones anticipadas)",IF(Q88&gt;=O88,"Programar vacaciones (tiene un período anual completo pendiente)","OK")))))</f>
        <v/>
      </c>
      <c r="Q88" s="94" t="str">
        <f aca="false">IF(F88="","",15*DATEDIF(E88,F88+1,"y")+I88-J88)</f>
        <v/>
      </c>
    </row>
    <row r="89" customFormat="false" ht="15" hidden="false" customHeight="false" outlineLevel="0" collapsed="false">
      <c r="B89" s="70" t="str">
        <f aca="false">IFERROR(IF(INDEX(T_ID,83)="","",INDEX(T_ID,83)),"")</f>
        <v/>
      </c>
      <c r="C89" s="70" t="str">
        <f aca="false">IF(B89="","",INDEX(T_NOMBRE,83)&amp;"")</f>
        <v/>
      </c>
      <c r="D89" s="70" t="str">
        <f aca="false">IF(B89="","",INDEX(T_ESTADO,83))</f>
        <v/>
      </c>
      <c r="E89" s="75" t="str">
        <f aca="false">IF(B89="","",INDEX(T_INGRESO,83))</f>
        <v/>
      </c>
      <c r="F89" s="75" t="str">
        <f aca="false">IF(OR(B89="",NOT(ISNUMBER(E89))),"",IF(E89&gt;FECHA_CORTE,"",IF(N(INDEX(T_EGRESO,83))&gt;0,MIN(INDEX(T_EGRESO,83),FECHA_CORTE),FECHA_CORTE)))</f>
        <v/>
      </c>
      <c r="G89" s="94" t="str">
        <f aca="false">IF(F89="","",DATEDIF(E89,F89+1,"m")+(F89+1-EDATE(E89,DATEDIF(E89,F89+1,"m")))/30)</f>
        <v/>
      </c>
      <c r="H89" s="95" t="str">
        <f aca="false">IF(F89="","",1.25*G89)</f>
        <v/>
      </c>
      <c r="I89" s="73" t="str">
        <f aca="false">IF(F89="","",SUMPRODUCT((ANIOS&lt;=DATEDIF(E89,F89+1,"y"))*(MIN(10,N(INDEX(T_PREV,83)))+ANIOS-10&gt;0)*INT((MIN(10,N(INDEX(T_PREV,83)))+ANIOS-10)/3)))</f>
        <v/>
      </c>
      <c r="J89" s="94" t="str">
        <f aca="false">IF(F89="","",SUMIFS(V_DIAS,V_ID,B89,V_INICIO,"&lt;="&amp;F89)+N(INDEX(T_VACPREV,83)))</f>
        <v/>
      </c>
      <c r="K89" s="95" t="str">
        <f aca="false">IF(F89="","",H89+I89-J89)</f>
        <v/>
      </c>
      <c r="L89" s="95" t="str">
        <f aca="false">IF(F89="","",IF(K89&lt;=0,K89,WORKDAY(F89,INT(K89),FERIADOS)-F89+(K89-INT(K89))))</f>
        <v/>
      </c>
      <c r="M89" s="71" t="str">
        <f aca="false">IF(F89="","",(N(INDEX(T_SUELDO,83))+N(INDEX(T_BONO,83)))/30)</f>
        <v/>
      </c>
      <c r="N89" s="71" t="str">
        <f aca="false">IF(F89="","",IF(D89="Desvinculado",0,ROUND(MAX(0,L89)*M89,0)))</f>
        <v/>
      </c>
      <c r="O89" s="73" t="str">
        <f aca="false">IF(F89="","",15+INT(MAX(0,MIN(10,N(INDEX(T_PREV,83)))+DATEDIF(E89,F89+1,"y")-10)/3))</f>
        <v/>
      </c>
      <c r="P89" s="70" t="str">
        <f aca="false">IF(F89="","",IF(D89="Desvinculado","— (se paga en el finiquito)",IF(Q89&gt;=2*O89,"⚠ Tiene 2 períodos acumulados: otorgar vacaciones antes de que se acumule un 3° (Art. 70)",IF(K89&lt;0,"⚠ Saldo negativo (vacaciones anticipadas)",IF(Q89&gt;=O89,"Programar vacaciones (tiene un período anual completo pendiente)","OK")))))</f>
        <v/>
      </c>
      <c r="Q89" s="94" t="str">
        <f aca="false">IF(F89="","",15*DATEDIF(E89,F89+1,"y")+I89-J89)</f>
        <v/>
      </c>
    </row>
    <row r="90" customFormat="false" ht="15" hidden="false" customHeight="false" outlineLevel="0" collapsed="false">
      <c r="B90" s="70" t="str">
        <f aca="false">IFERROR(IF(INDEX(T_ID,84)="","",INDEX(T_ID,84)),"")</f>
        <v/>
      </c>
      <c r="C90" s="70" t="str">
        <f aca="false">IF(B90="","",INDEX(T_NOMBRE,84)&amp;"")</f>
        <v/>
      </c>
      <c r="D90" s="70" t="str">
        <f aca="false">IF(B90="","",INDEX(T_ESTADO,84))</f>
        <v/>
      </c>
      <c r="E90" s="75" t="str">
        <f aca="false">IF(B90="","",INDEX(T_INGRESO,84))</f>
        <v/>
      </c>
      <c r="F90" s="75" t="str">
        <f aca="false">IF(OR(B90="",NOT(ISNUMBER(E90))),"",IF(E90&gt;FECHA_CORTE,"",IF(N(INDEX(T_EGRESO,84))&gt;0,MIN(INDEX(T_EGRESO,84),FECHA_CORTE),FECHA_CORTE)))</f>
        <v/>
      </c>
      <c r="G90" s="94" t="str">
        <f aca="false">IF(F90="","",DATEDIF(E90,F90+1,"m")+(F90+1-EDATE(E90,DATEDIF(E90,F90+1,"m")))/30)</f>
        <v/>
      </c>
      <c r="H90" s="95" t="str">
        <f aca="false">IF(F90="","",1.25*G90)</f>
        <v/>
      </c>
      <c r="I90" s="73" t="str">
        <f aca="false">IF(F90="","",SUMPRODUCT((ANIOS&lt;=DATEDIF(E90,F90+1,"y"))*(MIN(10,N(INDEX(T_PREV,84)))+ANIOS-10&gt;0)*INT((MIN(10,N(INDEX(T_PREV,84)))+ANIOS-10)/3)))</f>
        <v/>
      </c>
      <c r="J90" s="94" t="str">
        <f aca="false">IF(F90="","",SUMIFS(V_DIAS,V_ID,B90,V_INICIO,"&lt;="&amp;F90)+N(INDEX(T_VACPREV,84)))</f>
        <v/>
      </c>
      <c r="K90" s="95" t="str">
        <f aca="false">IF(F90="","",H90+I90-J90)</f>
        <v/>
      </c>
      <c r="L90" s="95" t="str">
        <f aca="false">IF(F90="","",IF(K90&lt;=0,K90,WORKDAY(F90,INT(K90),FERIADOS)-F90+(K90-INT(K90))))</f>
        <v/>
      </c>
      <c r="M90" s="71" t="str">
        <f aca="false">IF(F90="","",(N(INDEX(T_SUELDO,84))+N(INDEX(T_BONO,84)))/30)</f>
        <v/>
      </c>
      <c r="N90" s="71" t="str">
        <f aca="false">IF(F90="","",IF(D90="Desvinculado",0,ROUND(MAX(0,L90)*M90,0)))</f>
        <v/>
      </c>
      <c r="O90" s="73" t="str">
        <f aca="false">IF(F90="","",15+INT(MAX(0,MIN(10,N(INDEX(T_PREV,84)))+DATEDIF(E90,F90+1,"y")-10)/3))</f>
        <v/>
      </c>
      <c r="P90" s="70" t="str">
        <f aca="false">IF(F90="","",IF(D90="Desvinculado","— (se paga en el finiquito)",IF(Q90&gt;=2*O90,"⚠ Tiene 2 períodos acumulados: otorgar vacaciones antes de que se acumule un 3° (Art. 70)",IF(K90&lt;0,"⚠ Saldo negativo (vacaciones anticipadas)",IF(Q90&gt;=O90,"Programar vacaciones (tiene un período anual completo pendiente)","OK")))))</f>
        <v/>
      </c>
      <c r="Q90" s="94" t="str">
        <f aca="false">IF(F90="","",15*DATEDIF(E90,F90+1,"y")+I90-J90)</f>
        <v/>
      </c>
    </row>
    <row r="91" customFormat="false" ht="15" hidden="false" customHeight="false" outlineLevel="0" collapsed="false">
      <c r="B91" s="70" t="str">
        <f aca="false">IFERROR(IF(INDEX(T_ID,85)="","",INDEX(T_ID,85)),"")</f>
        <v/>
      </c>
      <c r="C91" s="70" t="str">
        <f aca="false">IF(B91="","",INDEX(T_NOMBRE,85)&amp;"")</f>
        <v/>
      </c>
      <c r="D91" s="70" t="str">
        <f aca="false">IF(B91="","",INDEX(T_ESTADO,85))</f>
        <v/>
      </c>
      <c r="E91" s="75" t="str">
        <f aca="false">IF(B91="","",INDEX(T_INGRESO,85))</f>
        <v/>
      </c>
      <c r="F91" s="75" t="str">
        <f aca="false">IF(OR(B91="",NOT(ISNUMBER(E91))),"",IF(E91&gt;FECHA_CORTE,"",IF(N(INDEX(T_EGRESO,85))&gt;0,MIN(INDEX(T_EGRESO,85),FECHA_CORTE),FECHA_CORTE)))</f>
        <v/>
      </c>
      <c r="G91" s="94" t="str">
        <f aca="false">IF(F91="","",DATEDIF(E91,F91+1,"m")+(F91+1-EDATE(E91,DATEDIF(E91,F91+1,"m")))/30)</f>
        <v/>
      </c>
      <c r="H91" s="95" t="str">
        <f aca="false">IF(F91="","",1.25*G91)</f>
        <v/>
      </c>
      <c r="I91" s="73" t="str">
        <f aca="false">IF(F91="","",SUMPRODUCT((ANIOS&lt;=DATEDIF(E91,F91+1,"y"))*(MIN(10,N(INDEX(T_PREV,85)))+ANIOS-10&gt;0)*INT((MIN(10,N(INDEX(T_PREV,85)))+ANIOS-10)/3)))</f>
        <v/>
      </c>
      <c r="J91" s="94" t="str">
        <f aca="false">IF(F91="","",SUMIFS(V_DIAS,V_ID,B91,V_INICIO,"&lt;="&amp;F91)+N(INDEX(T_VACPREV,85)))</f>
        <v/>
      </c>
      <c r="K91" s="95" t="str">
        <f aca="false">IF(F91="","",H91+I91-J91)</f>
        <v/>
      </c>
      <c r="L91" s="95" t="str">
        <f aca="false">IF(F91="","",IF(K91&lt;=0,K91,WORKDAY(F91,INT(K91),FERIADOS)-F91+(K91-INT(K91))))</f>
        <v/>
      </c>
      <c r="M91" s="71" t="str">
        <f aca="false">IF(F91="","",(N(INDEX(T_SUELDO,85))+N(INDEX(T_BONO,85)))/30)</f>
        <v/>
      </c>
      <c r="N91" s="71" t="str">
        <f aca="false">IF(F91="","",IF(D91="Desvinculado",0,ROUND(MAX(0,L91)*M91,0)))</f>
        <v/>
      </c>
      <c r="O91" s="73" t="str">
        <f aca="false">IF(F91="","",15+INT(MAX(0,MIN(10,N(INDEX(T_PREV,85)))+DATEDIF(E91,F91+1,"y")-10)/3))</f>
        <v/>
      </c>
      <c r="P91" s="70" t="str">
        <f aca="false">IF(F91="","",IF(D91="Desvinculado","— (se paga en el finiquito)",IF(Q91&gt;=2*O91,"⚠ Tiene 2 períodos acumulados: otorgar vacaciones antes de que se acumule un 3° (Art. 70)",IF(K91&lt;0,"⚠ Saldo negativo (vacaciones anticipadas)",IF(Q91&gt;=O91,"Programar vacaciones (tiene un período anual completo pendiente)","OK")))))</f>
        <v/>
      </c>
      <c r="Q91" s="94" t="str">
        <f aca="false">IF(F91="","",15*DATEDIF(E91,F91+1,"y")+I91-J91)</f>
        <v/>
      </c>
    </row>
    <row r="92" customFormat="false" ht="15" hidden="false" customHeight="false" outlineLevel="0" collapsed="false">
      <c r="B92" s="70" t="str">
        <f aca="false">IFERROR(IF(INDEX(T_ID,86)="","",INDEX(T_ID,86)),"")</f>
        <v/>
      </c>
      <c r="C92" s="70" t="str">
        <f aca="false">IF(B92="","",INDEX(T_NOMBRE,86)&amp;"")</f>
        <v/>
      </c>
      <c r="D92" s="70" t="str">
        <f aca="false">IF(B92="","",INDEX(T_ESTADO,86))</f>
        <v/>
      </c>
      <c r="E92" s="75" t="str">
        <f aca="false">IF(B92="","",INDEX(T_INGRESO,86))</f>
        <v/>
      </c>
      <c r="F92" s="75" t="str">
        <f aca="false">IF(OR(B92="",NOT(ISNUMBER(E92))),"",IF(E92&gt;FECHA_CORTE,"",IF(N(INDEX(T_EGRESO,86))&gt;0,MIN(INDEX(T_EGRESO,86),FECHA_CORTE),FECHA_CORTE)))</f>
        <v/>
      </c>
      <c r="G92" s="94" t="str">
        <f aca="false">IF(F92="","",DATEDIF(E92,F92+1,"m")+(F92+1-EDATE(E92,DATEDIF(E92,F92+1,"m")))/30)</f>
        <v/>
      </c>
      <c r="H92" s="95" t="str">
        <f aca="false">IF(F92="","",1.25*G92)</f>
        <v/>
      </c>
      <c r="I92" s="73" t="str">
        <f aca="false">IF(F92="","",SUMPRODUCT((ANIOS&lt;=DATEDIF(E92,F92+1,"y"))*(MIN(10,N(INDEX(T_PREV,86)))+ANIOS-10&gt;0)*INT((MIN(10,N(INDEX(T_PREV,86)))+ANIOS-10)/3)))</f>
        <v/>
      </c>
      <c r="J92" s="94" t="str">
        <f aca="false">IF(F92="","",SUMIFS(V_DIAS,V_ID,B92,V_INICIO,"&lt;="&amp;F92)+N(INDEX(T_VACPREV,86)))</f>
        <v/>
      </c>
      <c r="K92" s="95" t="str">
        <f aca="false">IF(F92="","",H92+I92-J92)</f>
        <v/>
      </c>
      <c r="L92" s="95" t="str">
        <f aca="false">IF(F92="","",IF(K92&lt;=0,K92,WORKDAY(F92,INT(K92),FERIADOS)-F92+(K92-INT(K92))))</f>
        <v/>
      </c>
      <c r="M92" s="71" t="str">
        <f aca="false">IF(F92="","",(N(INDEX(T_SUELDO,86))+N(INDEX(T_BONO,86)))/30)</f>
        <v/>
      </c>
      <c r="N92" s="71" t="str">
        <f aca="false">IF(F92="","",IF(D92="Desvinculado",0,ROUND(MAX(0,L92)*M92,0)))</f>
        <v/>
      </c>
      <c r="O92" s="73" t="str">
        <f aca="false">IF(F92="","",15+INT(MAX(0,MIN(10,N(INDEX(T_PREV,86)))+DATEDIF(E92,F92+1,"y")-10)/3))</f>
        <v/>
      </c>
      <c r="P92" s="70" t="str">
        <f aca="false">IF(F92="","",IF(D92="Desvinculado","— (se paga en el finiquito)",IF(Q92&gt;=2*O92,"⚠ Tiene 2 períodos acumulados: otorgar vacaciones antes de que se acumule un 3° (Art. 70)",IF(K92&lt;0,"⚠ Saldo negativo (vacaciones anticipadas)",IF(Q92&gt;=O92,"Programar vacaciones (tiene un período anual completo pendiente)","OK")))))</f>
        <v/>
      </c>
      <c r="Q92" s="94" t="str">
        <f aca="false">IF(F92="","",15*DATEDIF(E92,F92+1,"y")+I92-J92)</f>
        <v/>
      </c>
    </row>
    <row r="93" customFormat="false" ht="15" hidden="false" customHeight="false" outlineLevel="0" collapsed="false">
      <c r="B93" s="70" t="str">
        <f aca="false">IFERROR(IF(INDEX(T_ID,87)="","",INDEX(T_ID,87)),"")</f>
        <v/>
      </c>
      <c r="C93" s="70" t="str">
        <f aca="false">IF(B93="","",INDEX(T_NOMBRE,87)&amp;"")</f>
        <v/>
      </c>
      <c r="D93" s="70" t="str">
        <f aca="false">IF(B93="","",INDEX(T_ESTADO,87))</f>
        <v/>
      </c>
      <c r="E93" s="75" t="str">
        <f aca="false">IF(B93="","",INDEX(T_INGRESO,87))</f>
        <v/>
      </c>
      <c r="F93" s="75" t="str">
        <f aca="false">IF(OR(B93="",NOT(ISNUMBER(E93))),"",IF(E93&gt;FECHA_CORTE,"",IF(N(INDEX(T_EGRESO,87))&gt;0,MIN(INDEX(T_EGRESO,87),FECHA_CORTE),FECHA_CORTE)))</f>
        <v/>
      </c>
      <c r="G93" s="94" t="str">
        <f aca="false">IF(F93="","",DATEDIF(E93,F93+1,"m")+(F93+1-EDATE(E93,DATEDIF(E93,F93+1,"m")))/30)</f>
        <v/>
      </c>
      <c r="H93" s="95" t="str">
        <f aca="false">IF(F93="","",1.25*G93)</f>
        <v/>
      </c>
      <c r="I93" s="73" t="str">
        <f aca="false">IF(F93="","",SUMPRODUCT((ANIOS&lt;=DATEDIF(E93,F93+1,"y"))*(MIN(10,N(INDEX(T_PREV,87)))+ANIOS-10&gt;0)*INT((MIN(10,N(INDEX(T_PREV,87)))+ANIOS-10)/3)))</f>
        <v/>
      </c>
      <c r="J93" s="94" t="str">
        <f aca="false">IF(F93="","",SUMIFS(V_DIAS,V_ID,B93,V_INICIO,"&lt;="&amp;F93)+N(INDEX(T_VACPREV,87)))</f>
        <v/>
      </c>
      <c r="K93" s="95" t="str">
        <f aca="false">IF(F93="","",H93+I93-J93)</f>
        <v/>
      </c>
      <c r="L93" s="95" t="str">
        <f aca="false">IF(F93="","",IF(K93&lt;=0,K93,WORKDAY(F93,INT(K93),FERIADOS)-F93+(K93-INT(K93))))</f>
        <v/>
      </c>
      <c r="M93" s="71" t="str">
        <f aca="false">IF(F93="","",(N(INDEX(T_SUELDO,87))+N(INDEX(T_BONO,87)))/30)</f>
        <v/>
      </c>
      <c r="N93" s="71" t="str">
        <f aca="false">IF(F93="","",IF(D93="Desvinculado",0,ROUND(MAX(0,L93)*M93,0)))</f>
        <v/>
      </c>
      <c r="O93" s="73" t="str">
        <f aca="false">IF(F93="","",15+INT(MAX(0,MIN(10,N(INDEX(T_PREV,87)))+DATEDIF(E93,F93+1,"y")-10)/3))</f>
        <v/>
      </c>
      <c r="P93" s="70" t="str">
        <f aca="false">IF(F93="","",IF(D93="Desvinculado","— (se paga en el finiquito)",IF(Q93&gt;=2*O93,"⚠ Tiene 2 períodos acumulados: otorgar vacaciones antes de que se acumule un 3° (Art. 70)",IF(K93&lt;0,"⚠ Saldo negativo (vacaciones anticipadas)",IF(Q93&gt;=O93,"Programar vacaciones (tiene un período anual completo pendiente)","OK")))))</f>
        <v/>
      </c>
      <c r="Q93" s="94" t="str">
        <f aca="false">IF(F93="","",15*DATEDIF(E93,F93+1,"y")+I93-J93)</f>
        <v/>
      </c>
    </row>
    <row r="94" customFormat="false" ht="15" hidden="false" customHeight="false" outlineLevel="0" collapsed="false">
      <c r="B94" s="70" t="str">
        <f aca="false">IFERROR(IF(INDEX(T_ID,88)="","",INDEX(T_ID,88)),"")</f>
        <v/>
      </c>
      <c r="C94" s="70" t="str">
        <f aca="false">IF(B94="","",INDEX(T_NOMBRE,88)&amp;"")</f>
        <v/>
      </c>
      <c r="D94" s="70" t="str">
        <f aca="false">IF(B94="","",INDEX(T_ESTADO,88))</f>
        <v/>
      </c>
      <c r="E94" s="75" t="str">
        <f aca="false">IF(B94="","",INDEX(T_INGRESO,88))</f>
        <v/>
      </c>
      <c r="F94" s="75" t="str">
        <f aca="false">IF(OR(B94="",NOT(ISNUMBER(E94))),"",IF(E94&gt;FECHA_CORTE,"",IF(N(INDEX(T_EGRESO,88))&gt;0,MIN(INDEX(T_EGRESO,88),FECHA_CORTE),FECHA_CORTE)))</f>
        <v/>
      </c>
      <c r="G94" s="94" t="str">
        <f aca="false">IF(F94="","",DATEDIF(E94,F94+1,"m")+(F94+1-EDATE(E94,DATEDIF(E94,F94+1,"m")))/30)</f>
        <v/>
      </c>
      <c r="H94" s="95" t="str">
        <f aca="false">IF(F94="","",1.25*G94)</f>
        <v/>
      </c>
      <c r="I94" s="73" t="str">
        <f aca="false">IF(F94="","",SUMPRODUCT((ANIOS&lt;=DATEDIF(E94,F94+1,"y"))*(MIN(10,N(INDEX(T_PREV,88)))+ANIOS-10&gt;0)*INT((MIN(10,N(INDEX(T_PREV,88)))+ANIOS-10)/3)))</f>
        <v/>
      </c>
      <c r="J94" s="94" t="str">
        <f aca="false">IF(F94="","",SUMIFS(V_DIAS,V_ID,B94,V_INICIO,"&lt;="&amp;F94)+N(INDEX(T_VACPREV,88)))</f>
        <v/>
      </c>
      <c r="K94" s="95" t="str">
        <f aca="false">IF(F94="","",H94+I94-J94)</f>
        <v/>
      </c>
      <c r="L94" s="95" t="str">
        <f aca="false">IF(F94="","",IF(K94&lt;=0,K94,WORKDAY(F94,INT(K94),FERIADOS)-F94+(K94-INT(K94))))</f>
        <v/>
      </c>
      <c r="M94" s="71" t="str">
        <f aca="false">IF(F94="","",(N(INDEX(T_SUELDO,88))+N(INDEX(T_BONO,88)))/30)</f>
        <v/>
      </c>
      <c r="N94" s="71" t="str">
        <f aca="false">IF(F94="","",IF(D94="Desvinculado",0,ROUND(MAX(0,L94)*M94,0)))</f>
        <v/>
      </c>
      <c r="O94" s="73" t="str">
        <f aca="false">IF(F94="","",15+INT(MAX(0,MIN(10,N(INDEX(T_PREV,88)))+DATEDIF(E94,F94+1,"y")-10)/3))</f>
        <v/>
      </c>
      <c r="P94" s="70" t="str">
        <f aca="false">IF(F94="","",IF(D94="Desvinculado","— (se paga en el finiquito)",IF(Q94&gt;=2*O94,"⚠ Tiene 2 períodos acumulados: otorgar vacaciones antes de que se acumule un 3° (Art. 70)",IF(K94&lt;0,"⚠ Saldo negativo (vacaciones anticipadas)",IF(Q94&gt;=O94,"Programar vacaciones (tiene un período anual completo pendiente)","OK")))))</f>
        <v/>
      </c>
      <c r="Q94" s="94" t="str">
        <f aca="false">IF(F94="","",15*DATEDIF(E94,F94+1,"y")+I94-J94)</f>
        <v/>
      </c>
    </row>
    <row r="95" customFormat="false" ht="15" hidden="false" customHeight="false" outlineLevel="0" collapsed="false">
      <c r="B95" s="70" t="str">
        <f aca="false">IFERROR(IF(INDEX(T_ID,89)="","",INDEX(T_ID,89)),"")</f>
        <v/>
      </c>
      <c r="C95" s="70" t="str">
        <f aca="false">IF(B95="","",INDEX(T_NOMBRE,89)&amp;"")</f>
        <v/>
      </c>
      <c r="D95" s="70" t="str">
        <f aca="false">IF(B95="","",INDEX(T_ESTADO,89))</f>
        <v/>
      </c>
      <c r="E95" s="75" t="str">
        <f aca="false">IF(B95="","",INDEX(T_INGRESO,89))</f>
        <v/>
      </c>
      <c r="F95" s="75" t="str">
        <f aca="false">IF(OR(B95="",NOT(ISNUMBER(E95))),"",IF(E95&gt;FECHA_CORTE,"",IF(N(INDEX(T_EGRESO,89))&gt;0,MIN(INDEX(T_EGRESO,89),FECHA_CORTE),FECHA_CORTE)))</f>
        <v/>
      </c>
      <c r="G95" s="94" t="str">
        <f aca="false">IF(F95="","",DATEDIF(E95,F95+1,"m")+(F95+1-EDATE(E95,DATEDIF(E95,F95+1,"m")))/30)</f>
        <v/>
      </c>
      <c r="H95" s="95" t="str">
        <f aca="false">IF(F95="","",1.25*G95)</f>
        <v/>
      </c>
      <c r="I95" s="73" t="str">
        <f aca="false">IF(F95="","",SUMPRODUCT((ANIOS&lt;=DATEDIF(E95,F95+1,"y"))*(MIN(10,N(INDEX(T_PREV,89)))+ANIOS-10&gt;0)*INT((MIN(10,N(INDEX(T_PREV,89)))+ANIOS-10)/3)))</f>
        <v/>
      </c>
      <c r="J95" s="94" t="str">
        <f aca="false">IF(F95="","",SUMIFS(V_DIAS,V_ID,B95,V_INICIO,"&lt;="&amp;F95)+N(INDEX(T_VACPREV,89)))</f>
        <v/>
      </c>
      <c r="K95" s="95" t="str">
        <f aca="false">IF(F95="","",H95+I95-J95)</f>
        <v/>
      </c>
      <c r="L95" s="95" t="str">
        <f aca="false">IF(F95="","",IF(K95&lt;=0,K95,WORKDAY(F95,INT(K95),FERIADOS)-F95+(K95-INT(K95))))</f>
        <v/>
      </c>
      <c r="M95" s="71" t="str">
        <f aca="false">IF(F95="","",(N(INDEX(T_SUELDO,89))+N(INDEX(T_BONO,89)))/30)</f>
        <v/>
      </c>
      <c r="N95" s="71" t="str">
        <f aca="false">IF(F95="","",IF(D95="Desvinculado",0,ROUND(MAX(0,L95)*M95,0)))</f>
        <v/>
      </c>
      <c r="O95" s="73" t="str">
        <f aca="false">IF(F95="","",15+INT(MAX(0,MIN(10,N(INDEX(T_PREV,89)))+DATEDIF(E95,F95+1,"y")-10)/3))</f>
        <v/>
      </c>
      <c r="P95" s="70" t="str">
        <f aca="false">IF(F95="","",IF(D95="Desvinculado","— (se paga en el finiquito)",IF(Q95&gt;=2*O95,"⚠ Tiene 2 períodos acumulados: otorgar vacaciones antes de que se acumule un 3° (Art. 70)",IF(K95&lt;0,"⚠ Saldo negativo (vacaciones anticipadas)",IF(Q95&gt;=O95,"Programar vacaciones (tiene un período anual completo pendiente)","OK")))))</f>
        <v/>
      </c>
      <c r="Q95" s="94" t="str">
        <f aca="false">IF(F95="","",15*DATEDIF(E95,F95+1,"y")+I95-J95)</f>
        <v/>
      </c>
    </row>
    <row r="96" customFormat="false" ht="15" hidden="false" customHeight="false" outlineLevel="0" collapsed="false">
      <c r="B96" s="70" t="str">
        <f aca="false">IFERROR(IF(INDEX(T_ID,90)="","",INDEX(T_ID,90)),"")</f>
        <v/>
      </c>
      <c r="C96" s="70" t="str">
        <f aca="false">IF(B96="","",INDEX(T_NOMBRE,90)&amp;"")</f>
        <v/>
      </c>
      <c r="D96" s="70" t="str">
        <f aca="false">IF(B96="","",INDEX(T_ESTADO,90))</f>
        <v/>
      </c>
      <c r="E96" s="75" t="str">
        <f aca="false">IF(B96="","",INDEX(T_INGRESO,90))</f>
        <v/>
      </c>
      <c r="F96" s="75" t="str">
        <f aca="false">IF(OR(B96="",NOT(ISNUMBER(E96))),"",IF(E96&gt;FECHA_CORTE,"",IF(N(INDEX(T_EGRESO,90))&gt;0,MIN(INDEX(T_EGRESO,90),FECHA_CORTE),FECHA_CORTE)))</f>
        <v/>
      </c>
      <c r="G96" s="94" t="str">
        <f aca="false">IF(F96="","",DATEDIF(E96,F96+1,"m")+(F96+1-EDATE(E96,DATEDIF(E96,F96+1,"m")))/30)</f>
        <v/>
      </c>
      <c r="H96" s="95" t="str">
        <f aca="false">IF(F96="","",1.25*G96)</f>
        <v/>
      </c>
      <c r="I96" s="73" t="str">
        <f aca="false">IF(F96="","",SUMPRODUCT((ANIOS&lt;=DATEDIF(E96,F96+1,"y"))*(MIN(10,N(INDEX(T_PREV,90)))+ANIOS-10&gt;0)*INT((MIN(10,N(INDEX(T_PREV,90)))+ANIOS-10)/3)))</f>
        <v/>
      </c>
      <c r="J96" s="94" t="str">
        <f aca="false">IF(F96="","",SUMIFS(V_DIAS,V_ID,B96,V_INICIO,"&lt;="&amp;F96)+N(INDEX(T_VACPREV,90)))</f>
        <v/>
      </c>
      <c r="K96" s="95" t="str">
        <f aca="false">IF(F96="","",H96+I96-J96)</f>
        <v/>
      </c>
      <c r="L96" s="95" t="str">
        <f aca="false">IF(F96="","",IF(K96&lt;=0,K96,WORKDAY(F96,INT(K96),FERIADOS)-F96+(K96-INT(K96))))</f>
        <v/>
      </c>
      <c r="M96" s="71" t="str">
        <f aca="false">IF(F96="","",(N(INDEX(T_SUELDO,90))+N(INDEX(T_BONO,90)))/30)</f>
        <v/>
      </c>
      <c r="N96" s="71" t="str">
        <f aca="false">IF(F96="","",IF(D96="Desvinculado",0,ROUND(MAX(0,L96)*M96,0)))</f>
        <v/>
      </c>
      <c r="O96" s="73" t="str">
        <f aca="false">IF(F96="","",15+INT(MAX(0,MIN(10,N(INDEX(T_PREV,90)))+DATEDIF(E96,F96+1,"y")-10)/3))</f>
        <v/>
      </c>
      <c r="P96" s="70" t="str">
        <f aca="false">IF(F96="","",IF(D96="Desvinculado","— (se paga en el finiquito)",IF(Q96&gt;=2*O96,"⚠ Tiene 2 períodos acumulados: otorgar vacaciones antes de que se acumule un 3° (Art. 70)",IF(K96&lt;0,"⚠ Saldo negativo (vacaciones anticipadas)",IF(Q96&gt;=O96,"Programar vacaciones (tiene un período anual completo pendiente)","OK")))))</f>
        <v/>
      </c>
      <c r="Q96" s="94" t="str">
        <f aca="false">IF(F96="","",15*DATEDIF(E96,F96+1,"y")+I96-J96)</f>
        <v/>
      </c>
    </row>
    <row r="97" customFormat="false" ht="15" hidden="false" customHeight="false" outlineLevel="0" collapsed="false">
      <c r="B97" s="70" t="str">
        <f aca="false">IFERROR(IF(INDEX(T_ID,91)="","",INDEX(T_ID,91)),"")</f>
        <v/>
      </c>
      <c r="C97" s="70" t="str">
        <f aca="false">IF(B97="","",INDEX(T_NOMBRE,91)&amp;"")</f>
        <v/>
      </c>
      <c r="D97" s="70" t="str">
        <f aca="false">IF(B97="","",INDEX(T_ESTADO,91))</f>
        <v/>
      </c>
      <c r="E97" s="75" t="str">
        <f aca="false">IF(B97="","",INDEX(T_INGRESO,91))</f>
        <v/>
      </c>
      <c r="F97" s="75" t="str">
        <f aca="false">IF(OR(B97="",NOT(ISNUMBER(E97))),"",IF(E97&gt;FECHA_CORTE,"",IF(N(INDEX(T_EGRESO,91))&gt;0,MIN(INDEX(T_EGRESO,91),FECHA_CORTE),FECHA_CORTE)))</f>
        <v/>
      </c>
      <c r="G97" s="94" t="str">
        <f aca="false">IF(F97="","",DATEDIF(E97,F97+1,"m")+(F97+1-EDATE(E97,DATEDIF(E97,F97+1,"m")))/30)</f>
        <v/>
      </c>
      <c r="H97" s="95" t="str">
        <f aca="false">IF(F97="","",1.25*G97)</f>
        <v/>
      </c>
      <c r="I97" s="73" t="str">
        <f aca="false">IF(F97="","",SUMPRODUCT((ANIOS&lt;=DATEDIF(E97,F97+1,"y"))*(MIN(10,N(INDEX(T_PREV,91)))+ANIOS-10&gt;0)*INT((MIN(10,N(INDEX(T_PREV,91)))+ANIOS-10)/3)))</f>
        <v/>
      </c>
      <c r="J97" s="94" t="str">
        <f aca="false">IF(F97="","",SUMIFS(V_DIAS,V_ID,B97,V_INICIO,"&lt;="&amp;F97)+N(INDEX(T_VACPREV,91)))</f>
        <v/>
      </c>
      <c r="K97" s="95" t="str">
        <f aca="false">IF(F97="","",H97+I97-J97)</f>
        <v/>
      </c>
      <c r="L97" s="95" t="str">
        <f aca="false">IF(F97="","",IF(K97&lt;=0,K97,WORKDAY(F97,INT(K97),FERIADOS)-F97+(K97-INT(K97))))</f>
        <v/>
      </c>
      <c r="M97" s="71" t="str">
        <f aca="false">IF(F97="","",(N(INDEX(T_SUELDO,91))+N(INDEX(T_BONO,91)))/30)</f>
        <v/>
      </c>
      <c r="N97" s="71" t="str">
        <f aca="false">IF(F97="","",IF(D97="Desvinculado",0,ROUND(MAX(0,L97)*M97,0)))</f>
        <v/>
      </c>
      <c r="O97" s="73" t="str">
        <f aca="false">IF(F97="","",15+INT(MAX(0,MIN(10,N(INDEX(T_PREV,91)))+DATEDIF(E97,F97+1,"y")-10)/3))</f>
        <v/>
      </c>
      <c r="P97" s="70" t="str">
        <f aca="false">IF(F97="","",IF(D97="Desvinculado","— (se paga en el finiquito)",IF(Q97&gt;=2*O97,"⚠ Tiene 2 períodos acumulados: otorgar vacaciones antes de que se acumule un 3° (Art. 70)",IF(K97&lt;0,"⚠ Saldo negativo (vacaciones anticipadas)",IF(Q97&gt;=O97,"Programar vacaciones (tiene un período anual completo pendiente)","OK")))))</f>
        <v/>
      </c>
      <c r="Q97" s="94" t="str">
        <f aca="false">IF(F97="","",15*DATEDIF(E97,F97+1,"y")+I97-J97)</f>
        <v/>
      </c>
    </row>
    <row r="98" customFormat="false" ht="15" hidden="false" customHeight="false" outlineLevel="0" collapsed="false">
      <c r="B98" s="70" t="str">
        <f aca="false">IFERROR(IF(INDEX(T_ID,92)="","",INDEX(T_ID,92)),"")</f>
        <v/>
      </c>
      <c r="C98" s="70" t="str">
        <f aca="false">IF(B98="","",INDEX(T_NOMBRE,92)&amp;"")</f>
        <v/>
      </c>
      <c r="D98" s="70" t="str">
        <f aca="false">IF(B98="","",INDEX(T_ESTADO,92))</f>
        <v/>
      </c>
      <c r="E98" s="75" t="str">
        <f aca="false">IF(B98="","",INDEX(T_INGRESO,92))</f>
        <v/>
      </c>
      <c r="F98" s="75" t="str">
        <f aca="false">IF(OR(B98="",NOT(ISNUMBER(E98))),"",IF(E98&gt;FECHA_CORTE,"",IF(N(INDEX(T_EGRESO,92))&gt;0,MIN(INDEX(T_EGRESO,92),FECHA_CORTE),FECHA_CORTE)))</f>
        <v/>
      </c>
      <c r="G98" s="94" t="str">
        <f aca="false">IF(F98="","",DATEDIF(E98,F98+1,"m")+(F98+1-EDATE(E98,DATEDIF(E98,F98+1,"m")))/30)</f>
        <v/>
      </c>
      <c r="H98" s="95" t="str">
        <f aca="false">IF(F98="","",1.25*G98)</f>
        <v/>
      </c>
      <c r="I98" s="73" t="str">
        <f aca="false">IF(F98="","",SUMPRODUCT((ANIOS&lt;=DATEDIF(E98,F98+1,"y"))*(MIN(10,N(INDEX(T_PREV,92)))+ANIOS-10&gt;0)*INT((MIN(10,N(INDEX(T_PREV,92)))+ANIOS-10)/3)))</f>
        <v/>
      </c>
      <c r="J98" s="94" t="str">
        <f aca="false">IF(F98="","",SUMIFS(V_DIAS,V_ID,B98,V_INICIO,"&lt;="&amp;F98)+N(INDEX(T_VACPREV,92)))</f>
        <v/>
      </c>
      <c r="K98" s="95" t="str">
        <f aca="false">IF(F98="","",H98+I98-J98)</f>
        <v/>
      </c>
      <c r="L98" s="95" t="str">
        <f aca="false">IF(F98="","",IF(K98&lt;=0,K98,WORKDAY(F98,INT(K98),FERIADOS)-F98+(K98-INT(K98))))</f>
        <v/>
      </c>
      <c r="M98" s="71" t="str">
        <f aca="false">IF(F98="","",(N(INDEX(T_SUELDO,92))+N(INDEX(T_BONO,92)))/30)</f>
        <v/>
      </c>
      <c r="N98" s="71" t="str">
        <f aca="false">IF(F98="","",IF(D98="Desvinculado",0,ROUND(MAX(0,L98)*M98,0)))</f>
        <v/>
      </c>
      <c r="O98" s="73" t="str">
        <f aca="false">IF(F98="","",15+INT(MAX(0,MIN(10,N(INDEX(T_PREV,92)))+DATEDIF(E98,F98+1,"y")-10)/3))</f>
        <v/>
      </c>
      <c r="P98" s="70" t="str">
        <f aca="false">IF(F98="","",IF(D98="Desvinculado","— (se paga en el finiquito)",IF(Q98&gt;=2*O98,"⚠ Tiene 2 períodos acumulados: otorgar vacaciones antes de que se acumule un 3° (Art. 70)",IF(K98&lt;0,"⚠ Saldo negativo (vacaciones anticipadas)",IF(Q98&gt;=O98,"Programar vacaciones (tiene un período anual completo pendiente)","OK")))))</f>
        <v/>
      </c>
      <c r="Q98" s="94" t="str">
        <f aca="false">IF(F98="","",15*DATEDIF(E98,F98+1,"y")+I98-J98)</f>
        <v/>
      </c>
    </row>
    <row r="99" customFormat="false" ht="15" hidden="false" customHeight="false" outlineLevel="0" collapsed="false">
      <c r="B99" s="70" t="str">
        <f aca="false">IFERROR(IF(INDEX(T_ID,93)="","",INDEX(T_ID,93)),"")</f>
        <v/>
      </c>
      <c r="C99" s="70" t="str">
        <f aca="false">IF(B99="","",INDEX(T_NOMBRE,93)&amp;"")</f>
        <v/>
      </c>
      <c r="D99" s="70" t="str">
        <f aca="false">IF(B99="","",INDEX(T_ESTADO,93))</f>
        <v/>
      </c>
      <c r="E99" s="75" t="str">
        <f aca="false">IF(B99="","",INDEX(T_INGRESO,93))</f>
        <v/>
      </c>
      <c r="F99" s="75" t="str">
        <f aca="false">IF(OR(B99="",NOT(ISNUMBER(E99))),"",IF(E99&gt;FECHA_CORTE,"",IF(N(INDEX(T_EGRESO,93))&gt;0,MIN(INDEX(T_EGRESO,93),FECHA_CORTE),FECHA_CORTE)))</f>
        <v/>
      </c>
      <c r="G99" s="94" t="str">
        <f aca="false">IF(F99="","",DATEDIF(E99,F99+1,"m")+(F99+1-EDATE(E99,DATEDIF(E99,F99+1,"m")))/30)</f>
        <v/>
      </c>
      <c r="H99" s="95" t="str">
        <f aca="false">IF(F99="","",1.25*G99)</f>
        <v/>
      </c>
      <c r="I99" s="73" t="str">
        <f aca="false">IF(F99="","",SUMPRODUCT((ANIOS&lt;=DATEDIF(E99,F99+1,"y"))*(MIN(10,N(INDEX(T_PREV,93)))+ANIOS-10&gt;0)*INT((MIN(10,N(INDEX(T_PREV,93)))+ANIOS-10)/3)))</f>
        <v/>
      </c>
      <c r="J99" s="94" t="str">
        <f aca="false">IF(F99="","",SUMIFS(V_DIAS,V_ID,B99,V_INICIO,"&lt;="&amp;F99)+N(INDEX(T_VACPREV,93)))</f>
        <v/>
      </c>
      <c r="K99" s="95" t="str">
        <f aca="false">IF(F99="","",H99+I99-J99)</f>
        <v/>
      </c>
      <c r="L99" s="95" t="str">
        <f aca="false">IF(F99="","",IF(K99&lt;=0,K99,WORKDAY(F99,INT(K99),FERIADOS)-F99+(K99-INT(K99))))</f>
        <v/>
      </c>
      <c r="M99" s="71" t="str">
        <f aca="false">IF(F99="","",(N(INDEX(T_SUELDO,93))+N(INDEX(T_BONO,93)))/30)</f>
        <v/>
      </c>
      <c r="N99" s="71" t="str">
        <f aca="false">IF(F99="","",IF(D99="Desvinculado",0,ROUND(MAX(0,L99)*M99,0)))</f>
        <v/>
      </c>
      <c r="O99" s="73" t="str">
        <f aca="false">IF(F99="","",15+INT(MAX(0,MIN(10,N(INDEX(T_PREV,93)))+DATEDIF(E99,F99+1,"y")-10)/3))</f>
        <v/>
      </c>
      <c r="P99" s="70" t="str">
        <f aca="false">IF(F99="","",IF(D99="Desvinculado","— (se paga en el finiquito)",IF(Q99&gt;=2*O99,"⚠ Tiene 2 períodos acumulados: otorgar vacaciones antes de que se acumule un 3° (Art. 70)",IF(K99&lt;0,"⚠ Saldo negativo (vacaciones anticipadas)",IF(Q99&gt;=O99,"Programar vacaciones (tiene un período anual completo pendiente)","OK")))))</f>
        <v/>
      </c>
      <c r="Q99" s="94" t="str">
        <f aca="false">IF(F99="","",15*DATEDIF(E99,F99+1,"y")+I99-J99)</f>
        <v/>
      </c>
    </row>
    <row r="100" customFormat="false" ht="15" hidden="false" customHeight="false" outlineLevel="0" collapsed="false">
      <c r="B100" s="70" t="str">
        <f aca="false">IFERROR(IF(INDEX(T_ID,94)="","",INDEX(T_ID,94)),"")</f>
        <v/>
      </c>
      <c r="C100" s="70" t="str">
        <f aca="false">IF(B100="","",INDEX(T_NOMBRE,94)&amp;"")</f>
        <v/>
      </c>
      <c r="D100" s="70" t="str">
        <f aca="false">IF(B100="","",INDEX(T_ESTADO,94))</f>
        <v/>
      </c>
      <c r="E100" s="75" t="str">
        <f aca="false">IF(B100="","",INDEX(T_INGRESO,94))</f>
        <v/>
      </c>
      <c r="F100" s="75" t="str">
        <f aca="false">IF(OR(B100="",NOT(ISNUMBER(E100))),"",IF(E100&gt;FECHA_CORTE,"",IF(N(INDEX(T_EGRESO,94))&gt;0,MIN(INDEX(T_EGRESO,94),FECHA_CORTE),FECHA_CORTE)))</f>
        <v/>
      </c>
      <c r="G100" s="94" t="str">
        <f aca="false">IF(F100="","",DATEDIF(E100,F100+1,"m")+(F100+1-EDATE(E100,DATEDIF(E100,F100+1,"m")))/30)</f>
        <v/>
      </c>
      <c r="H100" s="95" t="str">
        <f aca="false">IF(F100="","",1.25*G100)</f>
        <v/>
      </c>
      <c r="I100" s="73" t="str">
        <f aca="false">IF(F100="","",SUMPRODUCT((ANIOS&lt;=DATEDIF(E100,F100+1,"y"))*(MIN(10,N(INDEX(T_PREV,94)))+ANIOS-10&gt;0)*INT((MIN(10,N(INDEX(T_PREV,94)))+ANIOS-10)/3)))</f>
        <v/>
      </c>
      <c r="J100" s="94" t="str">
        <f aca="false">IF(F100="","",SUMIFS(V_DIAS,V_ID,B100,V_INICIO,"&lt;="&amp;F100)+N(INDEX(T_VACPREV,94)))</f>
        <v/>
      </c>
      <c r="K100" s="95" t="str">
        <f aca="false">IF(F100="","",H100+I100-J100)</f>
        <v/>
      </c>
      <c r="L100" s="95" t="str">
        <f aca="false">IF(F100="","",IF(K100&lt;=0,K100,WORKDAY(F100,INT(K100),FERIADOS)-F100+(K100-INT(K100))))</f>
        <v/>
      </c>
      <c r="M100" s="71" t="str">
        <f aca="false">IF(F100="","",(N(INDEX(T_SUELDO,94))+N(INDEX(T_BONO,94)))/30)</f>
        <v/>
      </c>
      <c r="N100" s="71" t="str">
        <f aca="false">IF(F100="","",IF(D100="Desvinculado",0,ROUND(MAX(0,L100)*M100,0)))</f>
        <v/>
      </c>
      <c r="O100" s="73" t="str">
        <f aca="false">IF(F100="","",15+INT(MAX(0,MIN(10,N(INDEX(T_PREV,94)))+DATEDIF(E100,F100+1,"y")-10)/3))</f>
        <v/>
      </c>
      <c r="P100" s="70" t="str">
        <f aca="false">IF(F100="","",IF(D100="Desvinculado","— (se paga en el finiquito)",IF(Q100&gt;=2*O100,"⚠ Tiene 2 períodos acumulados: otorgar vacaciones antes de que se acumule un 3° (Art. 70)",IF(K100&lt;0,"⚠ Saldo negativo (vacaciones anticipadas)",IF(Q100&gt;=O100,"Programar vacaciones (tiene un período anual completo pendiente)","OK")))))</f>
        <v/>
      </c>
      <c r="Q100" s="94" t="str">
        <f aca="false">IF(F100="","",15*DATEDIF(E100,F100+1,"y")+I100-J100)</f>
        <v/>
      </c>
    </row>
    <row r="101" customFormat="false" ht="15" hidden="false" customHeight="false" outlineLevel="0" collapsed="false">
      <c r="B101" s="70" t="str">
        <f aca="false">IFERROR(IF(INDEX(T_ID,95)="","",INDEX(T_ID,95)),"")</f>
        <v/>
      </c>
      <c r="C101" s="70" t="str">
        <f aca="false">IF(B101="","",INDEX(T_NOMBRE,95)&amp;"")</f>
        <v/>
      </c>
      <c r="D101" s="70" t="str">
        <f aca="false">IF(B101="","",INDEX(T_ESTADO,95))</f>
        <v/>
      </c>
      <c r="E101" s="75" t="str">
        <f aca="false">IF(B101="","",INDEX(T_INGRESO,95))</f>
        <v/>
      </c>
      <c r="F101" s="75" t="str">
        <f aca="false">IF(OR(B101="",NOT(ISNUMBER(E101))),"",IF(E101&gt;FECHA_CORTE,"",IF(N(INDEX(T_EGRESO,95))&gt;0,MIN(INDEX(T_EGRESO,95),FECHA_CORTE),FECHA_CORTE)))</f>
        <v/>
      </c>
      <c r="G101" s="94" t="str">
        <f aca="false">IF(F101="","",DATEDIF(E101,F101+1,"m")+(F101+1-EDATE(E101,DATEDIF(E101,F101+1,"m")))/30)</f>
        <v/>
      </c>
      <c r="H101" s="95" t="str">
        <f aca="false">IF(F101="","",1.25*G101)</f>
        <v/>
      </c>
      <c r="I101" s="73" t="str">
        <f aca="false">IF(F101="","",SUMPRODUCT((ANIOS&lt;=DATEDIF(E101,F101+1,"y"))*(MIN(10,N(INDEX(T_PREV,95)))+ANIOS-10&gt;0)*INT((MIN(10,N(INDEX(T_PREV,95)))+ANIOS-10)/3)))</f>
        <v/>
      </c>
      <c r="J101" s="94" t="str">
        <f aca="false">IF(F101="","",SUMIFS(V_DIAS,V_ID,B101,V_INICIO,"&lt;="&amp;F101)+N(INDEX(T_VACPREV,95)))</f>
        <v/>
      </c>
      <c r="K101" s="95" t="str">
        <f aca="false">IF(F101="","",H101+I101-J101)</f>
        <v/>
      </c>
      <c r="L101" s="95" t="str">
        <f aca="false">IF(F101="","",IF(K101&lt;=0,K101,WORKDAY(F101,INT(K101),FERIADOS)-F101+(K101-INT(K101))))</f>
        <v/>
      </c>
      <c r="M101" s="71" t="str">
        <f aca="false">IF(F101="","",(N(INDEX(T_SUELDO,95))+N(INDEX(T_BONO,95)))/30)</f>
        <v/>
      </c>
      <c r="N101" s="71" t="str">
        <f aca="false">IF(F101="","",IF(D101="Desvinculado",0,ROUND(MAX(0,L101)*M101,0)))</f>
        <v/>
      </c>
      <c r="O101" s="73" t="str">
        <f aca="false">IF(F101="","",15+INT(MAX(0,MIN(10,N(INDEX(T_PREV,95)))+DATEDIF(E101,F101+1,"y")-10)/3))</f>
        <v/>
      </c>
      <c r="P101" s="70" t="str">
        <f aca="false">IF(F101="","",IF(D101="Desvinculado","— (se paga en el finiquito)",IF(Q101&gt;=2*O101,"⚠ Tiene 2 períodos acumulados: otorgar vacaciones antes de que se acumule un 3° (Art. 70)",IF(K101&lt;0,"⚠ Saldo negativo (vacaciones anticipadas)",IF(Q101&gt;=O101,"Programar vacaciones (tiene un período anual completo pendiente)","OK")))))</f>
        <v/>
      </c>
      <c r="Q101" s="94" t="str">
        <f aca="false">IF(F101="","",15*DATEDIF(E101,F101+1,"y")+I101-J101)</f>
        <v/>
      </c>
    </row>
    <row r="102" customFormat="false" ht="15" hidden="false" customHeight="false" outlineLevel="0" collapsed="false">
      <c r="B102" s="70" t="str">
        <f aca="false">IFERROR(IF(INDEX(T_ID,96)="","",INDEX(T_ID,96)),"")</f>
        <v/>
      </c>
      <c r="C102" s="70" t="str">
        <f aca="false">IF(B102="","",INDEX(T_NOMBRE,96)&amp;"")</f>
        <v/>
      </c>
      <c r="D102" s="70" t="str">
        <f aca="false">IF(B102="","",INDEX(T_ESTADO,96))</f>
        <v/>
      </c>
      <c r="E102" s="75" t="str">
        <f aca="false">IF(B102="","",INDEX(T_INGRESO,96))</f>
        <v/>
      </c>
      <c r="F102" s="75" t="str">
        <f aca="false">IF(OR(B102="",NOT(ISNUMBER(E102))),"",IF(E102&gt;FECHA_CORTE,"",IF(N(INDEX(T_EGRESO,96))&gt;0,MIN(INDEX(T_EGRESO,96),FECHA_CORTE),FECHA_CORTE)))</f>
        <v/>
      </c>
      <c r="G102" s="94" t="str">
        <f aca="false">IF(F102="","",DATEDIF(E102,F102+1,"m")+(F102+1-EDATE(E102,DATEDIF(E102,F102+1,"m")))/30)</f>
        <v/>
      </c>
      <c r="H102" s="95" t="str">
        <f aca="false">IF(F102="","",1.25*G102)</f>
        <v/>
      </c>
      <c r="I102" s="73" t="str">
        <f aca="false">IF(F102="","",SUMPRODUCT((ANIOS&lt;=DATEDIF(E102,F102+1,"y"))*(MIN(10,N(INDEX(T_PREV,96)))+ANIOS-10&gt;0)*INT((MIN(10,N(INDEX(T_PREV,96)))+ANIOS-10)/3)))</f>
        <v/>
      </c>
      <c r="J102" s="94" t="str">
        <f aca="false">IF(F102="","",SUMIFS(V_DIAS,V_ID,B102,V_INICIO,"&lt;="&amp;F102)+N(INDEX(T_VACPREV,96)))</f>
        <v/>
      </c>
      <c r="K102" s="95" t="str">
        <f aca="false">IF(F102="","",H102+I102-J102)</f>
        <v/>
      </c>
      <c r="L102" s="95" t="str">
        <f aca="false">IF(F102="","",IF(K102&lt;=0,K102,WORKDAY(F102,INT(K102),FERIADOS)-F102+(K102-INT(K102))))</f>
        <v/>
      </c>
      <c r="M102" s="71" t="str">
        <f aca="false">IF(F102="","",(N(INDEX(T_SUELDO,96))+N(INDEX(T_BONO,96)))/30)</f>
        <v/>
      </c>
      <c r="N102" s="71" t="str">
        <f aca="false">IF(F102="","",IF(D102="Desvinculado",0,ROUND(MAX(0,L102)*M102,0)))</f>
        <v/>
      </c>
      <c r="O102" s="73" t="str">
        <f aca="false">IF(F102="","",15+INT(MAX(0,MIN(10,N(INDEX(T_PREV,96)))+DATEDIF(E102,F102+1,"y")-10)/3))</f>
        <v/>
      </c>
      <c r="P102" s="70" t="str">
        <f aca="false">IF(F102="","",IF(D102="Desvinculado","— (se paga en el finiquito)",IF(Q102&gt;=2*O102,"⚠ Tiene 2 períodos acumulados: otorgar vacaciones antes de que se acumule un 3° (Art. 70)",IF(K102&lt;0,"⚠ Saldo negativo (vacaciones anticipadas)",IF(Q102&gt;=O102,"Programar vacaciones (tiene un período anual completo pendiente)","OK")))))</f>
        <v/>
      </c>
      <c r="Q102" s="94" t="str">
        <f aca="false">IF(F102="","",15*DATEDIF(E102,F102+1,"y")+I102-J102)</f>
        <v/>
      </c>
    </row>
    <row r="103" customFormat="false" ht="15" hidden="false" customHeight="false" outlineLevel="0" collapsed="false">
      <c r="B103" s="70" t="str">
        <f aca="false">IFERROR(IF(INDEX(T_ID,97)="","",INDEX(T_ID,97)),"")</f>
        <v/>
      </c>
      <c r="C103" s="70" t="str">
        <f aca="false">IF(B103="","",INDEX(T_NOMBRE,97)&amp;"")</f>
        <v/>
      </c>
      <c r="D103" s="70" t="str">
        <f aca="false">IF(B103="","",INDEX(T_ESTADO,97))</f>
        <v/>
      </c>
      <c r="E103" s="75" t="str">
        <f aca="false">IF(B103="","",INDEX(T_INGRESO,97))</f>
        <v/>
      </c>
      <c r="F103" s="75" t="str">
        <f aca="false">IF(OR(B103="",NOT(ISNUMBER(E103))),"",IF(E103&gt;FECHA_CORTE,"",IF(N(INDEX(T_EGRESO,97))&gt;0,MIN(INDEX(T_EGRESO,97),FECHA_CORTE),FECHA_CORTE)))</f>
        <v/>
      </c>
      <c r="G103" s="94" t="str">
        <f aca="false">IF(F103="","",DATEDIF(E103,F103+1,"m")+(F103+1-EDATE(E103,DATEDIF(E103,F103+1,"m")))/30)</f>
        <v/>
      </c>
      <c r="H103" s="95" t="str">
        <f aca="false">IF(F103="","",1.25*G103)</f>
        <v/>
      </c>
      <c r="I103" s="73" t="str">
        <f aca="false">IF(F103="","",SUMPRODUCT((ANIOS&lt;=DATEDIF(E103,F103+1,"y"))*(MIN(10,N(INDEX(T_PREV,97)))+ANIOS-10&gt;0)*INT((MIN(10,N(INDEX(T_PREV,97)))+ANIOS-10)/3)))</f>
        <v/>
      </c>
      <c r="J103" s="94" t="str">
        <f aca="false">IF(F103="","",SUMIFS(V_DIAS,V_ID,B103,V_INICIO,"&lt;="&amp;F103)+N(INDEX(T_VACPREV,97)))</f>
        <v/>
      </c>
      <c r="K103" s="95" t="str">
        <f aca="false">IF(F103="","",H103+I103-J103)</f>
        <v/>
      </c>
      <c r="L103" s="95" t="str">
        <f aca="false">IF(F103="","",IF(K103&lt;=0,K103,WORKDAY(F103,INT(K103),FERIADOS)-F103+(K103-INT(K103))))</f>
        <v/>
      </c>
      <c r="M103" s="71" t="str">
        <f aca="false">IF(F103="","",(N(INDEX(T_SUELDO,97))+N(INDEX(T_BONO,97)))/30)</f>
        <v/>
      </c>
      <c r="N103" s="71" t="str">
        <f aca="false">IF(F103="","",IF(D103="Desvinculado",0,ROUND(MAX(0,L103)*M103,0)))</f>
        <v/>
      </c>
      <c r="O103" s="73" t="str">
        <f aca="false">IF(F103="","",15+INT(MAX(0,MIN(10,N(INDEX(T_PREV,97)))+DATEDIF(E103,F103+1,"y")-10)/3))</f>
        <v/>
      </c>
      <c r="P103" s="70" t="str">
        <f aca="false">IF(F103="","",IF(D103="Desvinculado","— (se paga en el finiquito)",IF(Q103&gt;=2*O103,"⚠ Tiene 2 períodos acumulados: otorgar vacaciones antes de que se acumule un 3° (Art. 70)",IF(K103&lt;0,"⚠ Saldo negativo (vacaciones anticipadas)",IF(Q103&gt;=O103,"Programar vacaciones (tiene un período anual completo pendiente)","OK")))))</f>
        <v/>
      </c>
      <c r="Q103" s="94" t="str">
        <f aca="false">IF(F103="","",15*DATEDIF(E103,F103+1,"y")+I103-J103)</f>
        <v/>
      </c>
    </row>
    <row r="104" customFormat="false" ht="15" hidden="false" customHeight="false" outlineLevel="0" collapsed="false">
      <c r="B104" s="70" t="str">
        <f aca="false">IFERROR(IF(INDEX(T_ID,98)="","",INDEX(T_ID,98)),"")</f>
        <v/>
      </c>
      <c r="C104" s="70" t="str">
        <f aca="false">IF(B104="","",INDEX(T_NOMBRE,98)&amp;"")</f>
        <v/>
      </c>
      <c r="D104" s="70" t="str">
        <f aca="false">IF(B104="","",INDEX(T_ESTADO,98))</f>
        <v/>
      </c>
      <c r="E104" s="75" t="str">
        <f aca="false">IF(B104="","",INDEX(T_INGRESO,98))</f>
        <v/>
      </c>
      <c r="F104" s="75" t="str">
        <f aca="false">IF(OR(B104="",NOT(ISNUMBER(E104))),"",IF(E104&gt;FECHA_CORTE,"",IF(N(INDEX(T_EGRESO,98))&gt;0,MIN(INDEX(T_EGRESO,98),FECHA_CORTE),FECHA_CORTE)))</f>
        <v/>
      </c>
      <c r="G104" s="94" t="str">
        <f aca="false">IF(F104="","",DATEDIF(E104,F104+1,"m")+(F104+1-EDATE(E104,DATEDIF(E104,F104+1,"m")))/30)</f>
        <v/>
      </c>
      <c r="H104" s="95" t="str">
        <f aca="false">IF(F104="","",1.25*G104)</f>
        <v/>
      </c>
      <c r="I104" s="73" t="str">
        <f aca="false">IF(F104="","",SUMPRODUCT((ANIOS&lt;=DATEDIF(E104,F104+1,"y"))*(MIN(10,N(INDEX(T_PREV,98)))+ANIOS-10&gt;0)*INT((MIN(10,N(INDEX(T_PREV,98)))+ANIOS-10)/3)))</f>
        <v/>
      </c>
      <c r="J104" s="94" t="str">
        <f aca="false">IF(F104="","",SUMIFS(V_DIAS,V_ID,B104,V_INICIO,"&lt;="&amp;F104)+N(INDEX(T_VACPREV,98)))</f>
        <v/>
      </c>
      <c r="K104" s="95" t="str">
        <f aca="false">IF(F104="","",H104+I104-J104)</f>
        <v/>
      </c>
      <c r="L104" s="95" t="str">
        <f aca="false">IF(F104="","",IF(K104&lt;=0,K104,WORKDAY(F104,INT(K104),FERIADOS)-F104+(K104-INT(K104))))</f>
        <v/>
      </c>
      <c r="M104" s="71" t="str">
        <f aca="false">IF(F104="","",(N(INDEX(T_SUELDO,98))+N(INDEX(T_BONO,98)))/30)</f>
        <v/>
      </c>
      <c r="N104" s="71" t="str">
        <f aca="false">IF(F104="","",IF(D104="Desvinculado",0,ROUND(MAX(0,L104)*M104,0)))</f>
        <v/>
      </c>
      <c r="O104" s="73" t="str">
        <f aca="false">IF(F104="","",15+INT(MAX(0,MIN(10,N(INDEX(T_PREV,98)))+DATEDIF(E104,F104+1,"y")-10)/3))</f>
        <v/>
      </c>
      <c r="P104" s="70" t="str">
        <f aca="false">IF(F104="","",IF(D104="Desvinculado","— (se paga en el finiquito)",IF(Q104&gt;=2*O104,"⚠ Tiene 2 períodos acumulados: otorgar vacaciones antes de que se acumule un 3° (Art. 70)",IF(K104&lt;0,"⚠ Saldo negativo (vacaciones anticipadas)",IF(Q104&gt;=O104,"Programar vacaciones (tiene un período anual completo pendiente)","OK")))))</f>
        <v/>
      </c>
      <c r="Q104" s="94" t="str">
        <f aca="false">IF(F104="","",15*DATEDIF(E104,F104+1,"y")+I104-J104)</f>
        <v/>
      </c>
    </row>
    <row r="105" customFormat="false" ht="15" hidden="false" customHeight="false" outlineLevel="0" collapsed="false">
      <c r="B105" s="70" t="str">
        <f aca="false">IFERROR(IF(INDEX(T_ID,99)="","",INDEX(T_ID,99)),"")</f>
        <v/>
      </c>
      <c r="C105" s="70" t="str">
        <f aca="false">IF(B105="","",INDEX(T_NOMBRE,99)&amp;"")</f>
        <v/>
      </c>
      <c r="D105" s="70" t="str">
        <f aca="false">IF(B105="","",INDEX(T_ESTADO,99))</f>
        <v/>
      </c>
      <c r="E105" s="75" t="str">
        <f aca="false">IF(B105="","",INDEX(T_INGRESO,99))</f>
        <v/>
      </c>
      <c r="F105" s="75" t="str">
        <f aca="false">IF(OR(B105="",NOT(ISNUMBER(E105))),"",IF(E105&gt;FECHA_CORTE,"",IF(N(INDEX(T_EGRESO,99))&gt;0,MIN(INDEX(T_EGRESO,99),FECHA_CORTE),FECHA_CORTE)))</f>
        <v/>
      </c>
      <c r="G105" s="94" t="str">
        <f aca="false">IF(F105="","",DATEDIF(E105,F105+1,"m")+(F105+1-EDATE(E105,DATEDIF(E105,F105+1,"m")))/30)</f>
        <v/>
      </c>
      <c r="H105" s="95" t="str">
        <f aca="false">IF(F105="","",1.25*G105)</f>
        <v/>
      </c>
      <c r="I105" s="73" t="str">
        <f aca="false">IF(F105="","",SUMPRODUCT((ANIOS&lt;=DATEDIF(E105,F105+1,"y"))*(MIN(10,N(INDEX(T_PREV,99)))+ANIOS-10&gt;0)*INT((MIN(10,N(INDEX(T_PREV,99)))+ANIOS-10)/3)))</f>
        <v/>
      </c>
      <c r="J105" s="94" t="str">
        <f aca="false">IF(F105="","",SUMIFS(V_DIAS,V_ID,B105,V_INICIO,"&lt;="&amp;F105)+N(INDEX(T_VACPREV,99)))</f>
        <v/>
      </c>
      <c r="K105" s="95" t="str">
        <f aca="false">IF(F105="","",H105+I105-J105)</f>
        <v/>
      </c>
      <c r="L105" s="95" t="str">
        <f aca="false">IF(F105="","",IF(K105&lt;=0,K105,WORKDAY(F105,INT(K105),FERIADOS)-F105+(K105-INT(K105))))</f>
        <v/>
      </c>
      <c r="M105" s="71" t="str">
        <f aca="false">IF(F105="","",(N(INDEX(T_SUELDO,99))+N(INDEX(T_BONO,99)))/30)</f>
        <v/>
      </c>
      <c r="N105" s="71" t="str">
        <f aca="false">IF(F105="","",IF(D105="Desvinculado",0,ROUND(MAX(0,L105)*M105,0)))</f>
        <v/>
      </c>
      <c r="O105" s="73" t="str">
        <f aca="false">IF(F105="","",15+INT(MAX(0,MIN(10,N(INDEX(T_PREV,99)))+DATEDIF(E105,F105+1,"y")-10)/3))</f>
        <v/>
      </c>
      <c r="P105" s="70" t="str">
        <f aca="false">IF(F105="","",IF(D105="Desvinculado","— (se paga en el finiquito)",IF(Q105&gt;=2*O105,"⚠ Tiene 2 períodos acumulados: otorgar vacaciones antes de que se acumule un 3° (Art. 70)",IF(K105&lt;0,"⚠ Saldo negativo (vacaciones anticipadas)",IF(Q105&gt;=O105,"Programar vacaciones (tiene un período anual completo pendiente)","OK")))))</f>
        <v/>
      </c>
      <c r="Q105" s="94" t="str">
        <f aca="false">IF(F105="","",15*DATEDIF(E105,F105+1,"y")+I105-J105)</f>
        <v/>
      </c>
    </row>
    <row r="106" customFormat="false" ht="15" hidden="false" customHeight="false" outlineLevel="0" collapsed="false">
      <c r="B106" s="70" t="str">
        <f aca="false">IFERROR(IF(INDEX(T_ID,100)="","",INDEX(T_ID,100)),"")</f>
        <v/>
      </c>
      <c r="C106" s="70" t="str">
        <f aca="false">IF(B106="","",INDEX(T_NOMBRE,100)&amp;"")</f>
        <v/>
      </c>
      <c r="D106" s="70" t="str">
        <f aca="false">IF(B106="","",INDEX(T_ESTADO,100))</f>
        <v/>
      </c>
      <c r="E106" s="75" t="str">
        <f aca="false">IF(B106="","",INDEX(T_INGRESO,100))</f>
        <v/>
      </c>
      <c r="F106" s="75" t="str">
        <f aca="false">IF(OR(B106="",NOT(ISNUMBER(E106))),"",IF(E106&gt;FECHA_CORTE,"",IF(N(INDEX(T_EGRESO,100))&gt;0,MIN(INDEX(T_EGRESO,100),FECHA_CORTE),FECHA_CORTE)))</f>
        <v/>
      </c>
      <c r="G106" s="94" t="str">
        <f aca="false">IF(F106="","",DATEDIF(E106,F106+1,"m")+(F106+1-EDATE(E106,DATEDIF(E106,F106+1,"m")))/30)</f>
        <v/>
      </c>
      <c r="H106" s="95" t="str">
        <f aca="false">IF(F106="","",1.25*G106)</f>
        <v/>
      </c>
      <c r="I106" s="73" t="str">
        <f aca="false">IF(F106="","",SUMPRODUCT((ANIOS&lt;=DATEDIF(E106,F106+1,"y"))*(MIN(10,N(INDEX(T_PREV,100)))+ANIOS-10&gt;0)*INT((MIN(10,N(INDEX(T_PREV,100)))+ANIOS-10)/3)))</f>
        <v/>
      </c>
      <c r="J106" s="94" t="str">
        <f aca="false">IF(F106="","",SUMIFS(V_DIAS,V_ID,B106,V_INICIO,"&lt;="&amp;F106)+N(INDEX(T_VACPREV,100)))</f>
        <v/>
      </c>
      <c r="K106" s="95" t="str">
        <f aca="false">IF(F106="","",H106+I106-J106)</f>
        <v/>
      </c>
      <c r="L106" s="95" t="str">
        <f aca="false">IF(F106="","",IF(K106&lt;=0,K106,WORKDAY(F106,INT(K106),FERIADOS)-F106+(K106-INT(K106))))</f>
        <v/>
      </c>
      <c r="M106" s="71" t="str">
        <f aca="false">IF(F106="","",(N(INDEX(T_SUELDO,100))+N(INDEX(T_BONO,100)))/30)</f>
        <v/>
      </c>
      <c r="N106" s="71" t="str">
        <f aca="false">IF(F106="","",IF(D106="Desvinculado",0,ROUND(MAX(0,L106)*M106,0)))</f>
        <v/>
      </c>
      <c r="O106" s="73" t="str">
        <f aca="false">IF(F106="","",15+INT(MAX(0,MIN(10,N(INDEX(T_PREV,100)))+DATEDIF(E106,F106+1,"y")-10)/3))</f>
        <v/>
      </c>
      <c r="P106" s="70" t="str">
        <f aca="false">IF(F106="","",IF(D106="Desvinculado","— (se paga en el finiquito)",IF(Q106&gt;=2*O106,"⚠ Tiene 2 períodos acumulados: otorgar vacaciones antes de que se acumule un 3° (Art. 70)",IF(K106&lt;0,"⚠ Saldo negativo (vacaciones anticipadas)",IF(Q106&gt;=O106,"Programar vacaciones (tiene un período anual completo pendiente)","OK")))))</f>
        <v/>
      </c>
      <c r="Q106" s="94" t="str">
        <f aca="false">IF(F106="","",15*DATEDIF(E106,F106+1,"y")+I106-J106)</f>
        <v/>
      </c>
    </row>
    <row r="107" customFormat="false" ht="15" hidden="false" customHeight="false" outlineLevel="0" collapsed="false">
      <c r="B107" s="70" t="str">
        <f aca="false">IFERROR(IF(INDEX(T_ID,101)="","",INDEX(T_ID,101)),"")</f>
        <v/>
      </c>
      <c r="C107" s="70" t="str">
        <f aca="false">IF(B107="","",INDEX(T_NOMBRE,101)&amp;"")</f>
        <v/>
      </c>
      <c r="D107" s="70" t="str">
        <f aca="false">IF(B107="","",INDEX(T_ESTADO,101))</f>
        <v/>
      </c>
      <c r="E107" s="75" t="str">
        <f aca="false">IF(B107="","",INDEX(T_INGRESO,101))</f>
        <v/>
      </c>
      <c r="F107" s="75" t="str">
        <f aca="false">IF(OR(B107="",NOT(ISNUMBER(E107))),"",IF(E107&gt;FECHA_CORTE,"",IF(N(INDEX(T_EGRESO,101))&gt;0,MIN(INDEX(T_EGRESO,101),FECHA_CORTE),FECHA_CORTE)))</f>
        <v/>
      </c>
      <c r="G107" s="94" t="str">
        <f aca="false">IF(F107="","",DATEDIF(E107,F107+1,"m")+(F107+1-EDATE(E107,DATEDIF(E107,F107+1,"m")))/30)</f>
        <v/>
      </c>
      <c r="H107" s="95" t="str">
        <f aca="false">IF(F107="","",1.25*G107)</f>
        <v/>
      </c>
      <c r="I107" s="73" t="str">
        <f aca="false">IF(F107="","",SUMPRODUCT((ANIOS&lt;=DATEDIF(E107,F107+1,"y"))*(MIN(10,N(INDEX(T_PREV,101)))+ANIOS-10&gt;0)*INT((MIN(10,N(INDEX(T_PREV,101)))+ANIOS-10)/3)))</f>
        <v/>
      </c>
      <c r="J107" s="94" t="str">
        <f aca="false">IF(F107="","",SUMIFS(V_DIAS,V_ID,B107,V_INICIO,"&lt;="&amp;F107)+N(INDEX(T_VACPREV,101)))</f>
        <v/>
      </c>
      <c r="K107" s="95" t="str">
        <f aca="false">IF(F107="","",H107+I107-J107)</f>
        <v/>
      </c>
      <c r="L107" s="95" t="str">
        <f aca="false">IF(F107="","",IF(K107&lt;=0,K107,WORKDAY(F107,INT(K107),FERIADOS)-F107+(K107-INT(K107))))</f>
        <v/>
      </c>
      <c r="M107" s="71" t="str">
        <f aca="false">IF(F107="","",(N(INDEX(T_SUELDO,101))+N(INDEX(T_BONO,101)))/30)</f>
        <v/>
      </c>
      <c r="N107" s="71" t="str">
        <f aca="false">IF(F107="","",IF(D107="Desvinculado",0,ROUND(MAX(0,L107)*M107,0)))</f>
        <v/>
      </c>
      <c r="O107" s="73" t="str">
        <f aca="false">IF(F107="","",15+INT(MAX(0,MIN(10,N(INDEX(T_PREV,101)))+DATEDIF(E107,F107+1,"y")-10)/3))</f>
        <v/>
      </c>
      <c r="P107" s="70" t="str">
        <f aca="false">IF(F107="","",IF(D107="Desvinculado","— (se paga en el finiquito)",IF(Q107&gt;=2*O107,"⚠ Tiene 2 períodos acumulados: otorgar vacaciones antes de que se acumule un 3° (Art. 70)",IF(K107&lt;0,"⚠ Saldo negativo (vacaciones anticipadas)",IF(Q107&gt;=O107,"Programar vacaciones (tiene un período anual completo pendiente)","OK")))))</f>
        <v/>
      </c>
      <c r="Q107" s="94" t="str">
        <f aca="false">IF(F107="","",15*DATEDIF(E107,F107+1,"y")+I107-J107)</f>
        <v/>
      </c>
    </row>
    <row r="108" customFormat="false" ht="15" hidden="false" customHeight="false" outlineLevel="0" collapsed="false">
      <c r="B108" s="70" t="str">
        <f aca="false">IFERROR(IF(INDEX(T_ID,102)="","",INDEX(T_ID,102)),"")</f>
        <v/>
      </c>
      <c r="C108" s="70" t="str">
        <f aca="false">IF(B108="","",INDEX(T_NOMBRE,102)&amp;"")</f>
        <v/>
      </c>
      <c r="D108" s="70" t="str">
        <f aca="false">IF(B108="","",INDEX(T_ESTADO,102))</f>
        <v/>
      </c>
      <c r="E108" s="75" t="str">
        <f aca="false">IF(B108="","",INDEX(T_INGRESO,102))</f>
        <v/>
      </c>
      <c r="F108" s="75" t="str">
        <f aca="false">IF(OR(B108="",NOT(ISNUMBER(E108))),"",IF(E108&gt;FECHA_CORTE,"",IF(N(INDEX(T_EGRESO,102))&gt;0,MIN(INDEX(T_EGRESO,102),FECHA_CORTE),FECHA_CORTE)))</f>
        <v/>
      </c>
      <c r="G108" s="94" t="str">
        <f aca="false">IF(F108="","",DATEDIF(E108,F108+1,"m")+(F108+1-EDATE(E108,DATEDIF(E108,F108+1,"m")))/30)</f>
        <v/>
      </c>
      <c r="H108" s="95" t="str">
        <f aca="false">IF(F108="","",1.25*G108)</f>
        <v/>
      </c>
      <c r="I108" s="73" t="str">
        <f aca="false">IF(F108="","",SUMPRODUCT((ANIOS&lt;=DATEDIF(E108,F108+1,"y"))*(MIN(10,N(INDEX(T_PREV,102)))+ANIOS-10&gt;0)*INT((MIN(10,N(INDEX(T_PREV,102)))+ANIOS-10)/3)))</f>
        <v/>
      </c>
      <c r="J108" s="94" t="str">
        <f aca="false">IF(F108="","",SUMIFS(V_DIAS,V_ID,B108,V_INICIO,"&lt;="&amp;F108)+N(INDEX(T_VACPREV,102)))</f>
        <v/>
      </c>
      <c r="K108" s="95" t="str">
        <f aca="false">IF(F108="","",H108+I108-J108)</f>
        <v/>
      </c>
      <c r="L108" s="95" t="str">
        <f aca="false">IF(F108="","",IF(K108&lt;=0,K108,WORKDAY(F108,INT(K108),FERIADOS)-F108+(K108-INT(K108))))</f>
        <v/>
      </c>
      <c r="M108" s="71" t="str">
        <f aca="false">IF(F108="","",(N(INDEX(T_SUELDO,102))+N(INDEX(T_BONO,102)))/30)</f>
        <v/>
      </c>
      <c r="N108" s="71" t="str">
        <f aca="false">IF(F108="","",IF(D108="Desvinculado",0,ROUND(MAX(0,L108)*M108,0)))</f>
        <v/>
      </c>
      <c r="O108" s="73" t="str">
        <f aca="false">IF(F108="","",15+INT(MAX(0,MIN(10,N(INDEX(T_PREV,102)))+DATEDIF(E108,F108+1,"y")-10)/3))</f>
        <v/>
      </c>
      <c r="P108" s="70" t="str">
        <f aca="false">IF(F108="","",IF(D108="Desvinculado","— (se paga en el finiquito)",IF(Q108&gt;=2*O108,"⚠ Tiene 2 períodos acumulados: otorgar vacaciones antes de que se acumule un 3° (Art. 70)",IF(K108&lt;0,"⚠ Saldo negativo (vacaciones anticipadas)",IF(Q108&gt;=O108,"Programar vacaciones (tiene un período anual completo pendiente)","OK")))))</f>
        <v/>
      </c>
      <c r="Q108" s="94" t="str">
        <f aca="false">IF(F108="","",15*DATEDIF(E108,F108+1,"y")+I108-J108)</f>
        <v/>
      </c>
    </row>
    <row r="109" customFormat="false" ht="15" hidden="false" customHeight="false" outlineLevel="0" collapsed="false">
      <c r="B109" s="70" t="str">
        <f aca="false">IFERROR(IF(INDEX(T_ID,103)="","",INDEX(T_ID,103)),"")</f>
        <v/>
      </c>
      <c r="C109" s="70" t="str">
        <f aca="false">IF(B109="","",INDEX(T_NOMBRE,103)&amp;"")</f>
        <v/>
      </c>
      <c r="D109" s="70" t="str">
        <f aca="false">IF(B109="","",INDEX(T_ESTADO,103))</f>
        <v/>
      </c>
      <c r="E109" s="75" t="str">
        <f aca="false">IF(B109="","",INDEX(T_INGRESO,103))</f>
        <v/>
      </c>
      <c r="F109" s="75" t="str">
        <f aca="false">IF(OR(B109="",NOT(ISNUMBER(E109))),"",IF(E109&gt;FECHA_CORTE,"",IF(N(INDEX(T_EGRESO,103))&gt;0,MIN(INDEX(T_EGRESO,103),FECHA_CORTE),FECHA_CORTE)))</f>
        <v/>
      </c>
      <c r="G109" s="94" t="str">
        <f aca="false">IF(F109="","",DATEDIF(E109,F109+1,"m")+(F109+1-EDATE(E109,DATEDIF(E109,F109+1,"m")))/30)</f>
        <v/>
      </c>
      <c r="H109" s="95" t="str">
        <f aca="false">IF(F109="","",1.25*G109)</f>
        <v/>
      </c>
      <c r="I109" s="73" t="str">
        <f aca="false">IF(F109="","",SUMPRODUCT((ANIOS&lt;=DATEDIF(E109,F109+1,"y"))*(MIN(10,N(INDEX(T_PREV,103)))+ANIOS-10&gt;0)*INT((MIN(10,N(INDEX(T_PREV,103)))+ANIOS-10)/3)))</f>
        <v/>
      </c>
      <c r="J109" s="94" t="str">
        <f aca="false">IF(F109="","",SUMIFS(V_DIAS,V_ID,B109,V_INICIO,"&lt;="&amp;F109)+N(INDEX(T_VACPREV,103)))</f>
        <v/>
      </c>
      <c r="K109" s="95" t="str">
        <f aca="false">IF(F109="","",H109+I109-J109)</f>
        <v/>
      </c>
      <c r="L109" s="95" t="str">
        <f aca="false">IF(F109="","",IF(K109&lt;=0,K109,WORKDAY(F109,INT(K109),FERIADOS)-F109+(K109-INT(K109))))</f>
        <v/>
      </c>
      <c r="M109" s="71" t="str">
        <f aca="false">IF(F109="","",(N(INDEX(T_SUELDO,103))+N(INDEX(T_BONO,103)))/30)</f>
        <v/>
      </c>
      <c r="N109" s="71" t="str">
        <f aca="false">IF(F109="","",IF(D109="Desvinculado",0,ROUND(MAX(0,L109)*M109,0)))</f>
        <v/>
      </c>
      <c r="O109" s="73" t="str">
        <f aca="false">IF(F109="","",15+INT(MAX(0,MIN(10,N(INDEX(T_PREV,103)))+DATEDIF(E109,F109+1,"y")-10)/3))</f>
        <v/>
      </c>
      <c r="P109" s="70" t="str">
        <f aca="false">IF(F109="","",IF(D109="Desvinculado","— (se paga en el finiquito)",IF(Q109&gt;=2*O109,"⚠ Tiene 2 períodos acumulados: otorgar vacaciones antes de que se acumule un 3° (Art. 70)",IF(K109&lt;0,"⚠ Saldo negativo (vacaciones anticipadas)",IF(Q109&gt;=O109,"Programar vacaciones (tiene un período anual completo pendiente)","OK")))))</f>
        <v/>
      </c>
      <c r="Q109" s="94" t="str">
        <f aca="false">IF(F109="","",15*DATEDIF(E109,F109+1,"y")+I109-J109)</f>
        <v/>
      </c>
    </row>
    <row r="110" customFormat="false" ht="15" hidden="false" customHeight="false" outlineLevel="0" collapsed="false">
      <c r="B110" s="70" t="str">
        <f aca="false">IFERROR(IF(INDEX(T_ID,104)="","",INDEX(T_ID,104)),"")</f>
        <v/>
      </c>
      <c r="C110" s="70" t="str">
        <f aca="false">IF(B110="","",INDEX(T_NOMBRE,104)&amp;"")</f>
        <v/>
      </c>
      <c r="D110" s="70" t="str">
        <f aca="false">IF(B110="","",INDEX(T_ESTADO,104))</f>
        <v/>
      </c>
      <c r="E110" s="75" t="str">
        <f aca="false">IF(B110="","",INDEX(T_INGRESO,104))</f>
        <v/>
      </c>
      <c r="F110" s="75" t="str">
        <f aca="false">IF(OR(B110="",NOT(ISNUMBER(E110))),"",IF(E110&gt;FECHA_CORTE,"",IF(N(INDEX(T_EGRESO,104))&gt;0,MIN(INDEX(T_EGRESO,104),FECHA_CORTE),FECHA_CORTE)))</f>
        <v/>
      </c>
      <c r="G110" s="94" t="str">
        <f aca="false">IF(F110="","",DATEDIF(E110,F110+1,"m")+(F110+1-EDATE(E110,DATEDIF(E110,F110+1,"m")))/30)</f>
        <v/>
      </c>
      <c r="H110" s="95" t="str">
        <f aca="false">IF(F110="","",1.25*G110)</f>
        <v/>
      </c>
      <c r="I110" s="73" t="str">
        <f aca="false">IF(F110="","",SUMPRODUCT((ANIOS&lt;=DATEDIF(E110,F110+1,"y"))*(MIN(10,N(INDEX(T_PREV,104)))+ANIOS-10&gt;0)*INT((MIN(10,N(INDEX(T_PREV,104)))+ANIOS-10)/3)))</f>
        <v/>
      </c>
      <c r="J110" s="94" t="str">
        <f aca="false">IF(F110="","",SUMIFS(V_DIAS,V_ID,B110,V_INICIO,"&lt;="&amp;F110)+N(INDEX(T_VACPREV,104)))</f>
        <v/>
      </c>
      <c r="K110" s="95" t="str">
        <f aca="false">IF(F110="","",H110+I110-J110)</f>
        <v/>
      </c>
      <c r="L110" s="95" t="str">
        <f aca="false">IF(F110="","",IF(K110&lt;=0,K110,WORKDAY(F110,INT(K110),FERIADOS)-F110+(K110-INT(K110))))</f>
        <v/>
      </c>
      <c r="M110" s="71" t="str">
        <f aca="false">IF(F110="","",(N(INDEX(T_SUELDO,104))+N(INDEX(T_BONO,104)))/30)</f>
        <v/>
      </c>
      <c r="N110" s="71" t="str">
        <f aca="false">IF(F110="","",IF(D110="Desvinculado",0,ROUND(MAX(0,L110)*M110,0)))</f>
        <v/>
      </c>
      <c r="O110" s="73" t="str">
        <f aca="false">IF(F110="","",15+INT(MAX(0,MIN(10,N(INDEX(T_PREV,104)))+DATEDIF(E110,F110+1,"y")-10)/3))</f>
        <v/>
      </c>
      <c r="P110" s="70" t="str">
        <f aca="false">IF(F110="","",IF(D110="Desvinculado","— (se paga en el finiquito)",IF(Q110&gt;=2*O110,"⚠ Tiene 2 períodos acumulados: otorgar vacaciones antes de que se acumule un 3° (Art. 70)",IF(K110&lt;0,"⚠ Saldo negativo (vacaciones anticipadas)",IF(Q110&gt;=O110,"Programar vacaciones (tiene un período anual completo pendiente)","OK")))))</f>
        <v/>
      </c>
      <c r="Q110" s="94" t="str">
        <f aca="false">IF(F110="","",15*DATEDIF(E110,F110+1,"y")+I110-J110)</f>
        <v/>
      </c>
    </row>
    <row r="111" customFormat="false" ht="15" hidden="false" customHeight="false" outlineLevel="0" collapsed="false">
      <c r="B111" s="70" t="str">
        <f aca="false">IFERROR(IF(INDEX(T_ID,105)="","",INDEX(T_ID,105)),"")</f>
        <v/>
      </c>
      <c r="C111" s="70" t="str">
        <f aca="false">IF(B111="","",INDEX(T_NOMBRE,105)&amp;"")</f>
        <v/>
      </c>
      <c r="D111" s="70" t="str">
        <f aca="false">IF(B111="","",INDEX(T_ESTADO,105))</f>
        <v/>
      </c>
      <c r="E111" s="75" t="str">
        <f aca="false">IF(B111="","",INDEX(T_INGRESO,105))</f>
        <v/>
      </c>
      <c r="F111" s="75" t="str">
        <f aca="false">IF(OR(B111="",NOT(ISNUMBER(E111))),"",IF(E111&gt;FECHA_CORTE,"",IF(N(INDEX(T_EGRESO,105))&gt;0,MIN(INDEX(T_EGRESO,105),FECHA_CORTE),FECHA_CORTE)))</f>
        <v/>
      </c>
      <c r="G111" s="94" t="str">
        <f aca="false">IF(F111="","",DATEDIF(E111,F111+1,"m")+(F111+1-EDATE(E111,DATEDIF(E111,F111+1,"m")))/30)</f>
        <v/>
      </c>
      <c r="H111" s="95" t="str">
        <f aca="false">IF(F111="","",1.25*G111)</f>
        <v/>
      </c>
      <c r="I111" s="73" t="str">
        <f aca="false">IF(F111="","",SUMPRODUCT((ANIOS&lt;=DATEDIF(E111,F111+1,"y"))*(MIN(10,N(INDEX(T_PREV,105)))+ANIOS-10&gt;0)*INT((MIN(10,N(INDEX(T_PREV,105)))+ANIOS-10)/3)))</f>
        <v/>
      </c>
      <c r="J111" s="94" t="str">
        <f aca="false">IF(F111="","",SUMIFS(V_DIAS,V_ID,B111,V_INICIO,"&lt;="&amp;F111)+N(INDEX(T_VACPREV,105)))</f>
        <v/>
      </c>
      <c r="K111" s="95" t="str">
        <f aca="false">IF(F111="","",H111+I111-J111)</f>
        <v/>
      </c>
      <c r="L111" s="95" t="str">
        <f aca="false">IF(F111="","",IF(K111&lt;=0,K111,WORKDAY(F111,INT(K111),FERIADOS)-F111+(K111-INT(K111))))</f>
        <v/>
      </c>
      <c r="M111" s="71" t="str">
        <f aca="false">IF(F111="","",(N(INDEX(T_SUELDO,105))+N(INDEX(T_BONO,105)))/30)</f>
        <v/>
      </c>
      <c r="N111" s="71" t="str">
        <f aca="false">IF(F111="","",IF(D111="Desvinculado",0,ROUND(MAX(0,L111)*M111,0)))</f>
        <v/>
      </c>
      <c r="O111" s="73" t="str">
        <f aca="false">IF(F111="","",15+INT(MAX(0,MIN(10,N(INDEX(T_PREV,105)))+DATEDIF(E111,F111+1,"y")-10)/3))</f>
        <v/>
      </c>
      <c r="P111" s="70" t="str">
        <f aca="false">IF(F111="","",IF(D111="Desvinculado","— (se paga en el finiquito)",IF(Q111&gt;=2*O111,"⚠ Tiene 2 períodos acumulados: otorgar vacaciones antes de que se acumule un 3° (Art. 70)",IF(K111&lt;0,"⚠ Saldo negativo (vacaciones anticipadas)",IF(Q111&gt;=O111,"Programar vacaciones (tiene un período anual completo pendiente)","OK")))))</f>
        <v/>
      </c>
      <c r="Q111" s="94" t="str">
        <f aca="false">IF(F111="","",15*DATEDIF(E111,F111+1,"y")+I111-J111)</f>
        <v/>
      </c>
    </row>
    <row r="112" customFormat="false" ht="15" hidden="false" customHeight="false" outlineLevel="0" collapsed="false">
      <c r="B112" s="70" t="str">
        <f aca="false">IFERROR(IF(INDEX(T_ID,106)="","",INDEX(T_ID,106)),"")</f>
        <v/>
      </c>
      <c r="C112" s="70" t="str">
        <f aca="false">IF(B112="","",INDEX(T_NOMBRE,106)&amp;"")</f>
        <v/>
      </c>
      <c r="D112" s="70" t="str">
        <f aca="false">IF(B112="","",INDEX(T_ESTADO,106))</f>
        <v/>
      </c>
      <c r="E112" s="75" t="str">
        <f aca="false">IF(B112="","",INDEX(T_INGRESO,106))</f>
        <v/>
      </c>
      <c r="F112" s="75" t="str">
        <f aca="false">IF(OR(B112="",NOT(ISNUMBER(E112))),"",IF(E112&gt;FECHA_CORTE,"",IF(N(INDEX(T_EGRESO,106))&gt;0,MIN(INDEX(T_EGRESO,106),FECHA_CORTE),FECHA_CORTE)))</f>
        <v/>
      </c>
      <c r="G112" s="94" t="str">
        <f aca="false">IF(F112="","",DATEDIF(E112,F112+1,"m")+(F112+1-EDATE(E112,DATEDIF(E112,F112+1,"m")))/30)</f>
        <v/>
      </c>
      <c r="H112" s="95" t="str">
        <f aca="false">IF(F112="","",1.25*G112)</f>
        <v/>
      </c>
      <c r="I112" s="73" t="str">
        <f aca="false">IF(F112="","",SUMPRODUCT((ANIOS&lt;=DATEDIF(E112,F112+1,"y"))*(MIN(10,N(INDEX(T_PREV,106)))+ANIOS-10&gt;0)*INT((MIN(10,N(INDEX(T_PREV,106)))+ANIOS-10)/3)))</f>
        <v/>
      </c>
      <c r="J112" s="94" t="str">
        <f aca="false">IF(F112="","",SUMIFS(V_DIAS,V_ID,B112,V_INICIO,"&lt;="&amp;F112)+N(INDEX(T_VACPREV,106)))</f>
        <v/>
      </c>
      <c r="K112" s="95" t="str">
        <f aca="false">IF(F112="","",H112+I112-J112)</f>
        <v/>
      </c>
      <c r="L112" s="95" t="str">
        <f aca="false">IF(F112="","",IF(K112&lt;=0,K112,WORKDAY(F112,INT(K112),FERIADOS)-F112+(K112-INT(K112))))</f>
        <v/>
      </c>
      <c r="M112" s="71" t="str">
        <f aca="false">IF(F112="","",(N(INDEX(T_SUELDO,106))+N(INDEX(T_BONO,106)))/30)</f>
        <v/>
      </c>
      <c r="N112" s="71" t="str">
        <f aca="false">IF(F112="","",IF(D112="Desvinculado",0,ROUND(MAX(0,L112)*M112,0)))</f>
        <v/>
      </c>
      <c r="O112" s="73" t="str">
        <f aca="false">IF(F112="","",15+INT(MAX(0,MIN(10,N(INDEX(T_PREV,106)))+DATEDIF(E112,F112+1,"y")-10)/3))</f>
        <v/>
      </c>
      <c r="P112" s="70" t="str">
        <f aca="false">IF(F112="","",IF(D112="Desvinculado","— (se paga en el finiquito)",IF(Q112&gt;=2*O112,"⚠ Tiene 2 períodos acumulados: otorgar vacaciones antes de que se acumule un 3° (Art. 70)",IF(K112&lt;0,"⚠ Saldo negativo (vacaciones anticipadas)",IF(Q112&gt;=O112,"Programar vacaciones (tiene un período anual completo pendiente)","OK")))))</f>
        <v/>
      </c>
      <c r="Q112" s="94" t="str">
        <f aca="false">IF(F112="","",15*DATEDIF(E112,F112+1,"y")+I112-J112)</f>
        <v/>
      </c>
    </row>
    <row r="113" customFormat="false" ht="15" hidden="false" customHeight="false" outlineLevel="0" collapsed="false">
      <c r="B113" s="70" t="str">
        <f aca="false">IFERROR(IF(INDEX(T_ID,107)="","",INDEX(T_ID,107)),"")</f>
        <v/>
      </c>
      <c r="C113" s="70" t="str">
        <f aca="false">IF(B113="","",INDEX(T_NOMBRE,107)&amp;"")</f>
        <v/>
      </c>
      <c r="D113" s="70" t="str">
        <f aca="false">IF(B113="","",INDEX(T_ESTADO,107))</f>
        <v/>
      </c>
      <c r="E113" s="75" t="str">
        <f aca="false">IF(B113="","",INDEX(T_INGRESO,107))</f>
        <v/>
      </c>
      <c r="F113" s="75" t="str">
        <f aca="false">IF(OR(B113="",NOT(ISNUMBER(E113))),"",IF(E113&gt;FECHA_CORTE,"",IF(N(INDEX(T_EGRESO,107))&gt;0,MIN(INDEX(T_EGRESO,107),FECHA_CORTE),FECHA_CORTE)))</f>
        <v/>
      </c>
      <c r="G113" s="94" t="str">
        <f aca="false">IF(F113="","",DATEDIF(E113,F113+1,"m")+(F113+1-EDATE(E113,DATEDIF(E113,F113+1,"m")))/30)</f>
        <v/>
      </c>
      <c r="H113" s="95" t="str">
        <f aca="false">IF(F113="","",1.25*G113)</f>
        <v/>
      </c>
      <c r="I113" s="73" t="str">
        <f aca="false">IF(F113="","",SUMPRODUCT((ANIOS&lt;=DATEDIF(E113,F113+1,"y"))*(MIN(10,N(INDEX(T_PREV,107)))+ANIOS-10&gt;0)*INT((MIN(10,N(INDEX(T_PREV,107)))+ANIOS-10)/3)))</f>
        <v/>
      </c>
      <c r="J113" s="94" t="str">
        <f aca="false">IF(F113="","",SUMIFS(V_DIAS,V_ID,B113,V_INICIO,"&lt;="&amp;F113)+N(INDEX(T_VACPREV,107)))</f>
        <v/>
      </c>
      <c r="K113" s="95" t="str">
        <f aca="false">IF(F113="","",H113+I113-J113)</f>
        <v/>
      </c>
      <c r="L113" s="95" t="str">
        <f aca="false">IF(F113="","",IF(K113&lt;=0,K113,WORKDAY(F113,INT(K113),FERIADOS)-F113+(K113-INT(K113))))</f>
        <v/>
      </c>
      <c r="M113" s="71" t="str">
        <f aca="false">IF(F113="","",(N(INDEX(T_SUELDO,107))+N(INDEX(T_BONO,107)))/30)</f>
        <v/>
      </c>
      <c r="N113" s="71" t="str">
        <f aca="false">IF(F113="","",IF(D113="Desvinculado",0,ROUND(MAX(0,L113)*M113,0)))</f>
        <v/>
      </c>
      <c r="O113" s="73" t="str">
        <f aca="false">IF(F113="","",15+INT(MAX(0,MIN(10,N(INDEX(T_PREV,107)))+DATEDIF(E113,F113+1,"y")-10)/3))</f>
        <v/>
      </c>
      <c r="P113" s="70" t="str">
        <f aca="false">IF(F113="","",IF(D113="Desvinculado","— (se paga en el finiquito)",IF(Q113&gt;=2*O113,"⚠ Tiene 2 períodos acumulados: otorgar vacaciones antes de que se acumule un 3° (Art. 70)",IF(K113&lt;0,"⚠ Saldo negativo (vacaciones anticipadas)",IF(Q113&gt;=O113,"Programar vacaciones (tiene un período anual completo pendiente)","OK")))))</f>
        <v/>
      </c>
      <c r="Q113" s="94" t="str">
        <f aca="false">IF(F113="","",15*DATEDIF(E113,F113+1,"y")+I113-J113)</f>
        <v/>
      </c>
    </row>
    <row r="114" customFormat="false" ht="15" hidden="false" customHeight="false" outlineLevel="0" collapsed="false">
      <c r="B114" s="70" t="str">
        <f aca="false">IFERROR(IF(INDEX(T_ID,108)="","",INDEX(T_ID,108)),"")</f>
        <v/>
      </c>
      <c r="C114" s="70" t="str">
        <f aca="false">IF(B114="","",INDEX(T_NOMBRE,108)&amp;"")</f>
        <v/>
      </c>
      <c r="D114" s="70" t="str">
        <f aca="false">IF(B114="","",INDEX(T_ESTADO,108))</f>
        <v/>
      </c>
      <c r="E114" s="75" t="str">
        <f aca="false">IF(B114="","",INDEX(T_INGRESO,108))</f>
        <v/>
      </c>
      <c r="F114" s="75" t="str">
        <f aca="false">IF(OR(B114="",NOT(ISNUMBER(E114))),"",IF(E114&gt;FECHA_CORTE,"",IF(N(INDEX(T_EGRESO,108))&gt;0,MIN(INDEX(T_EGRESO,108),FECHA_CORTE),FECHA_CORTE)))</f>
        <v/>
      </c>
      <c r="G114" s="94" t="str">
        <f aca="false">IF(F114="","",DATEDIF(E114,F114+1,"m")+(F114+1-EDATE(E114,DATEDIF(E114,F114+1,"m")))/30)</f>
        <v/>
      </c>
      <c r="H114" s="95" t="str">
        <f aca="false">IF(F114="","",1.25*G114)</f>
        <v/>
      </c>
      <c r="I114" s="73" t="str">
        <f aca="false">IF(F114="","",SUMPRODUCT((ANIOS&lt;=DATEDIF(E114,F114+1,"y"))*(MIN(10,N(INDEX(T_PREV,108)))+ANIOS-10&gt;0)*INT((MIN(10,N(INDEX(T_PREV,108)))+ANIOS-10)/3)))</f>
        <v/>
      </c>
      <c r="J114" s="94" t="str">
        <f aca="false">IF(F114="","",SUMIFS(V_DIAS,V_ID,B114,V_INICIO,"&lt;="&amp;F114)+N(INDEX(T_VACPREV,108)))</f>
        <v/>
      </c>
      <c r="K114" s="95" t="str">
        <f aca="false">IF(F114="","",H114+I114-J114)</f>
        <v/>
      </c>
      <c r="L114" s="95" t="str">
        <f aca="false">IF(F114="","",IF(K114&lt;=0,K114,WORKDAY(F114,INT(K114),FERIADOS)-F114+(K114-INT(K114))))</f>
        <v/>
      </c>
      <c r="M114" s="71" t="str">
        <f aca="false">IF(F114="","",(N(INDEX(T_SUELDO,108))+N(INDEX(T_BONO,108)))/30)</f>
        <v/>
      </c>
      <c r="N114" s="71" t="str">
        <f aca="false">IF(F114="","",IF(D114="Desvinculado",0,ROUND(MAX(0,L114)*M114,0)))</f>
        <v/>
      </c>
      <c r="O114" s="73" t="str">
        <f aca="false">IF(F114="","",15+INT(MAX(0,MIN(10,N(INDEX(T_PREV,108)))+DATEDIF(E114,F114+1,"y")-10)/3))</f>
        <v/>
      </c>
      <c r="P114" s="70" t="str">
        <f aca="false">IF(F114="","",IF(D114="Desvinculado","— (se paga en el finiquito)",IF(Q114&gt;=2*O114,"⚠ Tiene 2 períodos acumulados: otorgar vacaciones antes de que se acumule un 3° (Art. 70)",IF(K114&lt;0,"⚠ Saldo negativo (vacaciones anticipadas)",IF(Q114&gt;=O114,"Programar vacaciones (tiene un período anual completo pendiente)","OK")))))</f>
        <v/>
      </c>
      <c r="Q114" s="94" t="str">
        <f aca="false">IF(F114="","",15*DATEDIF(E114,F114+1,"y")+I114-J114)</f>
        <v/>
      </c>
    </row>
    <row r="115" customFormat="false" ht="15" hidden="false" customHeight="false" outlineLevel="0" collapsed="false">
      <c r="B115" s="70" t="str">
        <f aca="false">IFERROR(IF(INDEX(T_ID,109)="","",INDEX(T_ID,109)),"")</f>
        <v/>
      </c>
      <c r="C115" s="70" t="str">
        <f aca="false">IF(B115="","",INDEX(T_NOMBRE,109)&amp;"")</f>
        <v/>
      </c>
      <c r="D115" s="70" t="str">
        <f aca="false">IF(B115="","",INDEX(T_ESTADO,109))</f>
        <v/>
      </c>
      <c r="E115" s="75" t="str">
        <f aca="false">IF(B115="","",INDEX(T_INGRESO,109))</f>
        <v/>
      </c>
      <c r="F115" s="75" t="str">
        <f aca="false">IF(OR(B115="",NOT(ISNUMBER(E115))),"",IF(E115&gt;FECHA_CORTE,"",IF(N(INDEX(T_EGRESO,109))&gt;0,MIN(INDEX(T_EGRESO,109),FECHA_CORTE),FECHA_CORTE)))</f>
        <v/>
      </c>
      <c r="G115" s="94" t="str">
        <f aca="false">IF(F115="","",DATEDIF(E115,F115+1,"m")+(F115+1-EDATE(E115,DATEDIF(E115,F115+1,"m")))/30)</f>
        <v/>
      </c>
      <c r="H115" s="95" t="str">
        <f aca="false">IF(F115="","",1.25*G115)</f>
        <v/>
      </c>
      <c r="I115" s="73" t="str">
        <f aca="false">IF(F115="","",SUMPRODUCT((ANIOS&lt;=DATEDIF(E115,F115+1,"y"))*(MIN(10,N(INDEX(T_PREV,109)))+ANIOS-10&gt;0)*INT((MIN(10,N(INDEX(T_PREV,109)))+ANIOS-10)/3)))</f>
        <v/>
      </c>
      <c r="J115" s="94" t="str">
        <f aca="false">IF(F115="","",SUMIFS(V_DIAS,V_ID,B115,V_INICIO,"&lt;="&amp;F115)+N(INDEX(T_VACPREV,109)))</f>
        <v/>
      </c>
      <c r="K115" s="95" t="str">
        <f aca="false">IF(F115="","",H115+I115-J115)</f>
        <v/>
      </c>
      <c r="L115" s="95" t="str">
        <f aca="false">IF(F115="","",IF(K115&lt;=0,K115,WORKDAY(F115,INT(K115),FERIADOS)-F115+(K115-INT(K115))))</f>
        <v/>
      </c>
      <c r="M115" s="71" t="str">
        <f aca="false">IF(F115="","",(N(INDEX(T_SUELDO,109))+N(INDEX(T_BONO,109)))/30)</f>
        <v/>
      </c>
      <c r="N115" s="71" t="str">
        <f aca="false">IF(F115="","",IF(D115="Desvinculado",0,ROUND(MAX(0,L115)*M115,0)))</f>
        <v/>
      </c>
      <c r="O115" s="73" t="str">
        <f aca="false">IF(F115="","",15+INT(MAX(0,MIN(10,N(INDEX(T_PREV,109)))+DATEDIF(E115,F115+1,"y")-10)/3))</f>
        <v/>
      </c>
      <c r="P115" s="70" t="str">
        <f aca="false">IF(F115="","",IF(D115="Desvinculado","— (se paga en el finiquito)",IF(Q115&gt;=2*O115,"⚠ Tiene 2 períodos acumulados: otorgar vacaciones antes de que se acumule un 3° (Art. 70)",IF(K115&lt;0,"⚠ Saldo negativo (vacaciones anticipadas)",IF(Q115&gt;=O115,"Programar vacaciones (tiene un período anual completo pendiente)","OK")))))</f>
        <v/>
      </c>
      <c r="Q115" s="94" t="str">
        <f aca="false">IF(F115="","",15*DATEDIF(E115,F115+1,"y")+I115-J115)</f>
        <v/>
      </c>
    </row>
    <row r="116" customFormat="false" ht="15" hidden="false" customHeight="false" outlineLevel="0" collapsed="false">
      <c r="B116" s="70" t="str">
        <f aca="false">IFERROR(IF(INDEX(T_ID,110)="","",INDEX(T_ID,110)),"")</f>
        <v/>
      </c>
      <c r="C116" s="70" t="str">
        <f aca="false">IF(B116="","",INDEX(T_NOMBRE,110)&amp;"")</f>
        <v/>
      </c>
      <c r="D116" s="70" t="str">
        <f aca="false">IF(B116="","",INDEX(T_ESTADO,110))</f>
        <v/>
      </c>
      <c r="E116" s="75" t="str">
        <f aca="false">IF(B116="","",INDEX(T_INGRESO,110))</f>
        <v/>
      </c>
      <c r="F116" s="75" t="str">
        <f aca="false">IF(OR(B116="",NOT(ISNUMBER(E116))),"",IF(E116&gt;FECHA_CORTE,"",IF(N(INDEX(T_EGRESO,110))&gt;0,MIN(INDEX(T_EGRESO,110),FECHA_CORTE),FECHA_CORTE)))</f>
        <v/>
      </c>
      <c r="G116" s="94" t="str">
        <f aca="false">IF(F116="","",DATEDIF(E116,F116+1,"m")+(F116+1-EDATE(E116,DATEDIF(E116,F116+1,"m")))/30)</f>
        <v/>
      </c>
      <c r="H116" s="95" t="str">
        <f aca="false">IF(F116="","",1.25*G116)</f>
        <v/>
      </c>
      <c r="I116" s="73" t="str">
        <f aca="false">IF(F116="","",SUMPRODUCT((ANIOS&lt;=DATEDIF(E116,F116+1,"y"))*(MIN(10,N(INDEX(T_PREV,110)))+ANIOS-10&gt;0)*INT((MIN(10,N(INDEX(T_PREV,110)))+ANIOS-10)/3)))</f>
        <v/>
      </c>
      <c r="J116" s="94" t="str">
        <f aca="false">IF(F116="","",SUMIFS(V_DIAS,V_ID,B116,V_INICIO,"&lt;="&amp;F116)+N(INDEX(T_VACPREV,110)))</f>
        <v/>
      </c>
      <c r="K116" s="95" t="str">
        <f aca="false">IF(F116="","",H116+I116-J116)</f>
        <v/>
      </c>
      <c r="L116" s="95" t="str">
        <f aca="false">IF(F116="","",IF(K116&lt;=0,K116,WORKDAY(F116,INT(K116),FERIADOS)-F116+(K116-INT(K116))))</f>
        <v/>
      </c>
      <c r="M116" s="71" t="str">
        <f aca="false">IF(F116="","",(N(INDEX(T_SUELDO,110))+N(INDEX(T_BONO,110)))/30)</f>
        <v/>
      </c>
      <c r="N116" s="71" t="str">
        <f aca="false">IF(F116="","",IF(D116="Desvinculado",0,ROUND(MAX(0,L116)*M116,0)))</f>
        <v/>
      </c>
      <c r="O116" s="73" t="str">
        <f aca="false">IF(F116="","",15+INT(MAX(0,MIN(10,N(INDEX(T_PREV,110)))+DATEDIF(E116,F116+1,"y")-10)/3))</f>
        <v/>
      </c>
      <c r="P116" s="70" t="str">
        <f aca="false">IF(F116="","",IF(D116="Desvinculado","— (se paga en el finiquito)",IF(Q116&gt;=2*O116,"⚠ Tiene 2 períodos acumulados: otorgar vacaciones antes de que se acumule un 3° (Art. 70)",IF(K116&lt;0,"⚠ Saldo negativo (vacaciones anticipadas)",IF(Q116&gt;=O116,"Programar vacaciones (tiene un período anual completo pendiente)","OK")))))</f>
        <v/>
      </c>
      <c r="Q116" s="94" t="str">
        <f aca="false">IF(F116="","",15*DATEDIF(E116,F116+1,"y")+I116-J116)</f>
        <v/>
      </c>
    </row>
    <row r="117" customFormat="false" ht="15" hidden="false" customHeight="false" outlineLevel="0" collapsed="false">
      <c r="B117" s="70" t="str">
        <f aca="false">IFERROR(IF(INDEX(T_ID,111)="","",INDEX(T_ID,111)),"")</f>
        <v/>
      </c>
      <c r="C117" s="70" t="str">
        <f aca="false">IF(B117="","",INDEX(T_NOMBRE,111)&amp;"")</f>
        <v/>
      </c>
      <c r="D117" s="70" t="str">
        <f aca="false">IF(B117="","",INDEX(T_ESTADO,111))</f>
        <v/>
      </c>
      <c r="E117" s="75" t="str">
        <f aca="false">IF(B117="","",INDEX(T_INGRESO,111))</f>
        <v/>
      </c>
      <c r="F117" s="75" t="str">
        <f aca="false">IF(OR(B117="",NOT(ISNUMBER(E117))),"",IF(E117&gt;FECHA_CORTE,"",IF(N(INDEX(T_EGRESO,111))&gt;0,MIN(INDEX(T_EGRESO,111),FECHA_CORTE),FECHA_CORTE)))</f>
        <v/>
      </c>
      <c r="G117" s="94" t="str">
        <f aca="false">IF(F117="","",DATEDIF(E117,F117+1,"m")+(F117+1-EDATE(E117,DATEDIF(E117,F117+1,"m")))/30)</f>
        <v/>
      </c>
      <c r="H117" s="95" t="str">
        <f aca="false">IF(F117="","",1.25*G117)</f>
        <v/>
      </c>
      <c r="I117" s="73" t="str">
        <f aca="false">IF(F117="","",SUMPRODUCT((ANIOS&lt;=DATEDIF(E117,F117+1,"y"))*(MIN(10,N(INDEX(T_PREV,111)))+ANIOS-10&gt;0)*INT((MIN(10,N(INDEX(T_PREV,111)))+ANIOS-10)/3)))</f>
        <v/>
      </c>
      <c r="J117" s="94" t="str">
        <f aca="false">IF(F117="","",SUMIFS(V_DIAS,V_ID,B117,V_INICIO,"&lt;="&amp;F117)+N(INDEX(T_VACPREV,111)))</f>
        <v/>
      </c>
      <c r="K117" s="95" t="str">
        <f aca="false">IF(F117="","",H117+I117-J117)</f>
        <v/>
      </c>
      <c r="L117" s="95" t="str">
        <f aca="false">IF(F117="","",IF(K117&lt;=0,K117,WORKDAY(F117,INT(K117),FERIADOS)-F117+(K117-INT(K117))))</f>
        <v/>
      </c>
      <c r="M117" s="71" t="str">
        <f aca="false">IF(F117="","",(N(INDEX(T_SUELDO,111))+N(INDEX(T_BONO,111)))/30)</f>
        <v/>
      </c>
      <c r="N117" s="71" t="str">
        <f aca="false">IF(F117="","",IF(D117="Desvinculado",0,ROUND(MAX(0,L117)*M117,0)))</f>
        <v/>
      </c>
      <c r="O117" s="73" t="str">
        <f aca="false">IF(F117="","",15+INT(MAX(0,MIN(10,N(INDEX(T_PREV,111)))+DATEDIF(E117,F117+1,"y")-10)/3))</f>
        <v/>
      </c>
      <c r="P117" s="70" t="str">
        <f aca="false">IF(F117="","",IF(D117="Desvinculado","— (se paga en el finiquito)",IF(Q117&gt;=2*O117,"⚠ Tiene 2 períodos acumulados: otorgar vacaciones antes de que se acumule un 3° (Art. 70)",IF(K117&lt;0,"⚠ Saldo negativo (vacaciones anticipadas)",IF(Q117&gt;=O117,"Programar vacaciones (tiene un período anual completo pendiente)","OK")))))</f>
        <v/>
      </c>
      <c r="Q117" s="94" t="str">
        <f aca="false">IF(F117="","",15*DATEDIF(E117,F117+1,"y")+I117-J117)</f>
        <v/>
      </c>
    </row>
    <row r="118" customFormat="false" ht="15" hidden="false" customHeight="false" outlineLevel="0" collapsed="false">
      <c r="B118" s="70" t="str">
        <f aca="false">IFERROR(IF(INDEX(T_ID,112)="","",INDEX(T_ID,112)),"")</f>
        <v/>
      </c>
      <c r="C118" s="70" t="str">
        <f aca="false">IF(B118="","",INDEX(T_NOMBRE,112)&amp;"")</f>
        <v/>
      </c>
      <c r="D118" s="70" t="str">
        <f aca="false">IF(B118="","",INDEX(T_ESTADO,112))</f>
        <v/>
      </c>
      <c r="E118" s="75" t="str">
        <f aca="false">IF(B118="","",INDEX(T_INGRESO,112))</f>
        <v/>
      </c>
      <c r="F118" s="75" t="str">
        <f aca="false">IF(OR(B118="",NOT(ISNUMBER(E118))),"",IF(E118&gt;FECHA_CORTE,"",IF(N(INDEX(T_EGRESO,112))&gt;0,MIN(INDEX(T_EGRESO,112),FECHA_CORTE),FECHA_CORTE)))</f>
        <v/>
      </c>
      <c r="G118" s="94" t="str">
        <f aca="false">IF(F118="","",DATEDIF(E118,F118+1,"m")+(F118+1-EDATE(E118,DATEDIF(E118,F118+1,"m")))/30)</f>
        <v/>
      </c>
      <c r="H118" s="95" t="str">
        <f aca="false">IF(F118="","",1.25*G118)</f>
        <v/>
      </c>
      <c r="I118" s="73" t="str">
        <f aca="false">IF(F118="","",SUMPRODUCT((ANIOS&lt;=DATEDIF(E118,F118+1,"y"))*(MIN(10,N(INDEX(T_PREV,112)))+ANIOS-10&gt;0)*INT((MIN(10,N(INDEX(T_PREV,112)))+ANIOS-10)/3)))</f>
        <v/>
      </c>
      <c r="J118" s="94" t="str">
        <f aca="false">IF(F118="","",SUMIFS(V_DIAS,V_ID,B118,V_INICIO,"&lt;="&amp;F118)+N(INDEX(T_VACPREV,112)))</f>
        <v/>
      </c>
      <c r="K118" s="95" t="str">
        <f aca="false">IF(F118="","",H118+I118-J118)</f>
        <v/>
      </c>
      <c r="L118" s="95" t="str">
        <f aca="false">IF(F118="","",IF(K118&lt;=0,K118,WORKDAY(F118,INT(K118),FERIADOS)-F118+(K118-INT(K118))))</f>
        <v/>
      </c>
      <c r="M118" s="71" t="str">
        <f aca="false">IF(F118="","",(N(INDEX(T_SUELDO,112))+N(INDEX(T_BONO,112)))/30)</f>
        <v/>
      </c>
      <c r="N118" s="71" t="str">
        <f aca="false">IF(F118="","",IF(D118="Desvinculado",0,ROUND(MAX(0,L118)*M118,0)))</f>
        <v/>
      </c>
      <c r="O118" s="73" t="str">
        <f aca="false">IF(F118="","",15+INT(MAX(0,MIN(10,N(INDEX(T_PREV,112)))+DATEDIF(E118,F118+1,"y")-10)/3))</f>
        <v/>
      </c>
      <c r="P118" s="70" t="str">
        <f aca="false">IF(F118="","",IF(D118="Desvinculado","— (se paga en el finiquito)",IF(Q118&gt;=2*O118,"⚠ Tiene 2 períodos acumulados: otorgar vacaciones antes de que se acumule un 3° (Art. 70)",IF(K118&lt;0,"⚠ Saldo negativo (vacaciones anticipadas)",IF(Q118&gt;=O118,"Programar vacaciones (tiene un período anual completo pendiente)","OK")))))</f>
        <v/>
      </c>
      <c r="Q118" s="94" t="str">
        <f aca="false">IF(F118="","",15*DATEDIF(E118,F118+1,"y")+I118-J118)</f>
        <v/>
      </c>
    </row>
    <row r="119" customFormat="false" ht="15" hidden="false" customHeight="false" outlineLevel="0" collapsed="false">
      <c r="B119" s="70" t="str">
        <f aca="false">IFERROR(IF(INDEX(T_ID,113)="","",INDEX(T_ID,113)),"")</f>
        <v/>
      </c>
      <c r="C119" s="70" t="str">
        <f aca="false">IF(B119="","",INDEX(T_NOMBRE,113)&amp;"")</f>
        <v/>
      </c>
      <c r="D119" s="70" t="str">
        <f aca="false">IF(B119="","",INDEX(T_ESTADO,113))</f>
        <v/>
      </c>
      <c r="E119" s="75" t="str">
        <f aca="false">IF(B119="","",INDEX(T_INGRESO,113))</f>
        <v/>
      </c>
      <c r="F119" s="75" t="str">
        <f aca="false">IF(OR(B119="",NOT(ISNUMBER(E119))),"",IF(E119&gt;FECHA_CORTE,"",IF(N(INDEX(T_EGRESO,113))&gt;0,MIN(INDEX(T_EGRESO,113),FECHA_CORTE),FECHA_CORTE)))</f>
        <v/>
      </c>
      <c r="G119" s="94" t="str">
        <f aca="false">IF(F119="","",DATEDIF(E119,F119+1,"m")+(F119+1-EDATE(E119,DATEDIF(E119,F119+1,"m")))/30)</f>
        <v/>
      </c>
      <c r="H119" s="95" t="str">
        <f aca="false">IF(F119="","",1.25*G119)</f>
        <v/>
      </c>
      <c r="I119" s="73" t="str">
        <f aca="false">IF(F119="","",SUMPRODUCT((ANIOS&lt;=DATEDIF(E119,F119+1,"y"))*(MIN(10,N(INDEX(T_PREV,113)))+ANIOS-10&gt;0)*INT((MIN(10,N(INDEX(T_PREV,113)))+ANIOS-10)/3)))</f>
        <v/>
      </c>
      <c r="J119" s="94" t="str">
        <f aca="false">IF(F119="","",SUMIFS(V_DIAS,V_ID,B119,V_INICIO,"&lt;="&amp;F119)+N(INDEX(T_VACPREV,113)))</f>
        <v/>
      </c>
      <c r="K119" s="95" t="str">
        <f aca="false">IF(F119="","",H119+I119-J119)</f>
        <v/>
      </c>
      <c r="L119" s="95" t="str">
        <f aca="false">IF(F119="","",IF(K119&lt;=0,K119,WORKDAY(F119,INT(K119),FERIADOS)-F119+(K119-INT(K119))))</f>
        <v/>
      </c>
      <c r="M119" s="71" t="str">
        <f aca="false">IF(F119="","",(N(INDEX(T_SUELDO,113))+N(INDEX(T_BONO,113)))/30)</f>
        <v/>
      </c>
      <c r="N119" s="71" t="str">
        <f aca="false">IF(F119="","",IF(D119="Desvinculado",0,ROUND(MAX(0,L119)*M119,0)))</f>
        <v/>
      </c>
      <c r="O119" s="73" t="str">
        <f aca="false">IF(F119="","",15+INT(MAX(0,MIN(10,N(INDEX(T_PREV,113)))+DATEDIF(E119,F119+1,"y")-10)/3))</f>
        <v/>
      </c>
      <c r="P119" s="70" t="str">
        <f aca="false">IF(F119="","",IF(D119="Desvinculado","— (se paga en el finiquito)",IF(Q119&gt;=2*O119,"⚠ Tiene 2 períodos acumulados: otorgar vacaciones antes de que se acumule un 3° (Art. 70)",IF(K119&lt;0,"⚠ Saldo negativo (vacaciones anticipadas)",IF(Q119&gt;=O119,"Programar vacaciones (tiene un período anual completo pendiente)","OK")))))</f>
        <v/>
      </c>
      <c r="Q119" s="94" t="str">
        <f aca="false">IF(F119="","",15*DATEDIF(E119,F119+1,"y")+I119-J119)</f>
        <v/>
      </c>
    </row>
    <row r="120" customFormat="false" ht="15" hidden="false" customHeight="false" outlineLevel="0" collapsed="false">
      <c r="B120" s="70" t="str">
        <f aca="false">IFERROR(IF(INDEX(T_ID,114)="","",INDEX(T_ID,114)),"")</f>
        <v/>
      </c>
      <c r="C120" s="70" t="str">
        <f aca="false">IF(B120="","",INDEX(T_NOMBRE,114)&amp;"")</f>
        <v/>
      </c>
      <c r="D120" s="70" t="str">
        <f aca="false">IF(B120="","",INDEX(T_ESTADO,114))</f>
        <v/>
      </c>
      <c r="E120" s="75" t="str">
        <f aca="false">IF(B120="","",INDEX(T_INGRESO,114))</f>
        <v/>
      </c>
      <c r="F120" s="75" t="str">
        <f aca="false">IF(OR(B120="",NOT(ISNUMBER(E120))),"",IF(E120&gt;FECHA_CORTE,"",IF(N(INDEX(T_EGRESO,114))&gt;0,MIN(INDEX(T_EGRESO,114),FECHA_CORTE),FECHA_CORTE)))</f>
        <v/>
      </c>
      <c r="G120" s="94" t="str">
        <f aca="false">IF(F120="","",DATEDIF(E120,F120+1,"m")+(F120+1-EDATE(E120,DATEDIF(E120,F120+1,"m")))/30)</f>
        <v/>
      </c>
      <c r="H120" s="95" t="str">
        <f aca="false">IF(F120="","",1.25*G120)</f>
        <v/>
      </c>
      <c r="I120" s="73" t="str">
        <f aca="false">IF(F120="","",SUMPRODUCT((ANIOS&lt;=DATEDIF(E120,F120+1,"y"))*(MIN(10,N(INDEX(T_PREV,114)))+ANIOS-10&gt;0)*INT((MIN(10,N(INDEX(T_PREV,114)))+ANIOS-10)/3)))</f>
        <v/>
      </c>
      <c r="J120" s="94" t="str">
        <f aca="false">IF(F120="","",SUMIFS(V_DIAS,V_ID,B120,V_INICIO,"&lt;="&amp;F120)+N(INDEX(T_VACPREV,114)))</f>
        <v/>
      </c>
      <c r="K120" s="95" t="str">
        <f aca="false">IF(F120="","",H120+I120-J120)</f>
        <v/>
      </c>
      <c r="L120" s="95" t="str">
        <f aca="false">IF(F120="","",IF(K120&lt;=0,K120,WORKDAY(F120,INT(K120),FERIADOS)-F120+(K120-INT(K120))))</f>
        <v/>
      </c>
      <c r="M120" s="71" t="str">
        <f aca="false">IF(F120="","",(N(INDEX(T_SUELDO,114))+N(INDEX(T_BONO,114)))/30)</f>
        <v/>
      </c>
      <c r="N120" s="71" t="str">
        <f aca="false">IF(F120="","",IF(D120="Desvinculado",0,ROUND(MAX(0,L120)*M120,0)))</f>
        <v/>
      </c>
      <c r="O120" s="73" t="str">
        <f aca="false">IF(F120="","",15+INT(MAX(0,MIN(10,N(INDEX(T_PREV,114)))+DATEDIF(E120,F120+1,"y")-10)/3))</f>
        <v/>
      </c>
      <c r="P120" s="70" t="str">
        <f aca="false">IF(F120="","",IF(D120="Desvinculado","— (se paga en el finiquito)",IF(Q120&gt;=2*O120,"⚠ Tiene 2 períodos acumulados: otorgar vacaciones antes de que se acumule un 3° (Art. 70)",IF(K120&lt;0,"⚠ Saldo negativo (vacaciones anticipadas)",IF(Q120&gt;=O120,"Programar vacaciones (tiene un período anual completo pendiente)","OK")))))</f>
        <v/>
      </c>
      <c r="Q120" s="94" t="str">
        <f aca="false">IF(F120="","",15*DATEDIF(E120,F120+1,"y")+I120-J120)</f>
        <v/>
      </c>
    </row>
    <row r="121" customFormat="false" ht="15" hidden="false" customHeight="false" outlineLevel="0" collapsed="false">
      <c r="B121" s="70" t="str">
        <f aca="false">IFERROR(IF(INDEX(T_ID,115)="","",INDEX(T_ID,115)),"")</f>
        <v/>
      </c>
      <c r="C121" s="70" t="str">
        <f aca="false">IF(B121="","",INDEX(T_NOMBRE,115)&amp;"")</f>
        <v/>
      </c>
      <c r="D121" s="70" t="str">
        <f aca="false">IF(B121="","",INDEX(T_ESTADO,115))</f>
        <v/>
      </c>
      <c r="E121" s="75" t="str">
        <f aca="false">IF(B121="","",INDEX(T_INGRESO,115))</f>
        <v/>
      </c>
      <c r="F121" s="75" t="str">
        <f aca="false">IF(OR(B121="",NOT(ISNUMBER(E121))),"",IF(E121&gt;FECHA_CORTE,"",IF(N(INDEX(T_EGRESO,115))&gt;0,MIN(INDEX(T_EGRESO,115),FECHA_CORTE),FECHA_CORTE)))</f>
        <v/>
      </c>
      <c r="G121" s="94" t="str">
        <f aca="false">IF(F121="","",DATEDIF(E121,F121+1,"m")+(F121+1-EDATE(E121,DATEDIF(E121,F121+1,"m")))/30)</f>
        <v/>
      </c>
      <c r="H121" s="95" t="str">
        <f aca="false">IF(F121="","",1.25*G121)</f>
        <v/>
      </c>
      <c r="I121" s="73" t="str">
        <f aca="false">IF(F121="","",SUMPRODUCT((ANIOS&lt;=DATEDIF(E121,F121+1,"y"))*(MIN(10,N(INDEX(T_PREV,115)))+ANIOS-10&gt;0)*INT((MIN(10,N(INDEX(T_PREV,115)))+ANIOS-10)/3)))</f>
        <v/>
      </c>
      <c r="J121" s="94" t="str">
        <f aca="false">IF(F121="","",SUMIFS(V_DIAS,V_ID,B121,V_INICIO,"&lt;="&amp;F121)+N(INDEX(T_VACPREV,115)))</f>
        <v/>
      </c>
      <c r="K121" s="95" t="str">
        <f aca="false">IF(F121="","",H121+I121-J121)</f>
        <v/>
      </c>
      <c r="L121" s="95" t="str">
        <f aca="false">IF(F121="","",IF(K121&lt;=0,K121,WORKDAY(F121,INT(K121),FERIADOS)-F121+(K121-INT(K121))))</f>
        <v/>
      </c>
      <c r="M121" s="71" t="str">
        <f aca="false">IF(F121="","",(N(INDEX(T_SUELDO,115))+N(INDEX(T_BONO,115)))/30)</f>
        <v/>
      </c>
      <c r="N121" s="71" t="str">
        <f aca="false">IF(F121="","",IF(D121="Desvinculado",0,ROUND(MAX(0,L121)*M121,0)))</f>
        <v/>
      </c>
      <c r="O121" s="73" t="str">
        <f aca="false">IF(F121="","",15+INT(MAX(0,MIN(10,N(INDEX(T_PREV,115)))+DATEDIF(E121,F121+1,"y")-10)/3))</f>
        <v/>
      </c>
      <c r="P121" s="70" t="str">
        <f aca="false">IF(F121="","",IF(D121="Desvinculado","— (se paga en el finiquito)",IF(Q121&gt;=2*O121,"⚠ Tiene 2 períodos acumulados: otorgar vacaciones antes de que se acumule un 3° (Art. 70)",IF(K121&lt;0,"⚠ Saldo negativo (vacaciones anticipadas)",IF(Q121&gt;=O121,"Programar vacaciones (tiene un período anual completo pendiente)","OK")))))</f>
        <v/>
      </c>
      <c r="Q121" s="94" t="str">
        <f aca="false">IF(F121="","",15*DATEDIF(E121,F121+1,"y")+I121-J121)</f>
        <v/>
      </c>
    </row>
    <row r="122" customFormat="false" ht="15" hidden="false" customHeight="false" outlineLevel="0" collapsed="false">
      <c r="B122" s="70" t="str">
        <f aca="false">IFERROR(IF(INDEX(T_ID,116)="","",INDEX(T_ID,116)),"")</f>
        <v/>
      </c>
      <c r="C122" s="70" t="str">
        <f aca="false">IF(B122="","",INDEX(T_NOMBRE,116)&amp;"")</f>
        <v/>
      </c>
      <c r="D122" s="70" t="str">
        <f aca="false">IF(B122="","",INDEX(T_ESTADO,116))</f>
        <v/>
      </c>
      <c r="E122" s="75" t="str">
        <f aca="false">IF(B122="","",INDEX(T_INGRESO,116))</f>
        <v/>
      </c>
      <c r="F122" s="75" t="str">
        <f aca="false">IF(OR(B122="",NOT(ISNUMBER(E122))),"",IF(E122&gt;FECHA_CORTE,"",IF(N(INDEX(T_EGRESO,116))&gt;0,MIN(INDEX(T_EGRESO,116),FECHA_CORTE),FECHA_CORTE)))</f>
        <v/>
      </c>
      <c r="G122" s="94" t="str">
        <f aca="false">IF(F122="","",DATEDIF(E122,F122+1,"m")+(F122+1-EDATE(E122,DATEDIF(E122,F122+1,"m")))/30)</f>
        <v/>
      </c>
      <c r="H122" s="95" t="str">
        <f aca="false">IF(F122="","",1.25*G122)</f>
        <v/>
      </c>
      <c r="I122" s="73" t="str">
        <f aca="false">IF(F122="","",SUMPRODUCT((ANIOS&lt;=DATEDIF(E122,F122+1,"y"))*(MIN(10,N(INDEX(T_PREV,116)))+ANIOS-10&gt;0)*INT((MIN(10,N(INDEX(T_PREV,116)))+ANIOS-10)/3)))</f>
        <v/>
      </c>
      <c r="J122" s="94" t="str">
        <f aca="false">IF(F122="","",SUMIFS(V_DIAS,V_ID,B122,V_INICIO,"&lt;="&amp;F122)+N(INDEX(T_VACPREV,116)))</f>
        <v/>
      </c>
      <c r="K122" s="95" t="str">
        <f aca="false">IF(F122="","",H122+I122-J122)</f>
        <v/>
      </c>
      <c r="L122" s="95" t="str">
        <f aca="false">IF(F122="","",IF(K122&lt;=0,K122,WORKDAY(F122,INT(K122),FERIADOS)-F122+(K122-INT(K122))))</f>
        <v/>
      </c>
      <c r="M122" s="71" t="str">
        <f aca="false">IF(F122="","",(N(INDEX(T_SUELDO,116))+N(INDEX(T_BONO,116)))/30)</f>
        <v/>
      </c>
      <c r="N122" s="71" t="str">
        <f aca="false">IF(F122="","",IF(D122="Desvinculado",0,ROUND(MAX(0,L122)*M122,0)))</f>
        <v/>
      </c>
      <c r="O122" s="73" t="str">
        <f aca="false">IF(F122="","",15+INT(MAX(0,MIN(10,N(INDEX(T_PREV,116)))+DATEDIF(E122,F122+1,"y")-10)/3))</f>
        <v/>
      </c>
      <c r="P122" s="70" t="str">
        <f aca="false">IF(F122="","",IF(D122="Desvinculado","— (se paga en el finiquito)",IF(Q122&gt;=2*O122,"⚠ Tiene 2 períodos acumulados: otorgar vacaciones antes de que se acumule un 3° (Art. 70)",IF(K122&lt;0,"⚠ Saldo negativo (vacaciones anticipadas)",IF(Q122&gt;=O122,"Programar vacaciones (tiene un período anual completo pendiente)","OK")))))</f>
        <v/>
      </c>
      <c r="Q122" s="94" t="str">
        <f aca="false">IF(F122="","",15*DATEDIF(E122,F122+1,"y")+I122-J122)</f>
        <v/>
      </c>
    </row>
    <row r="123" customFormat="false" ht="15" hidden="false" customHeight="false" outlineLevel="0" collapsed="false">
      <c r="B123" s="70" t="str">
        <f aca="false">IFERROR(IF(INDEX(T_ID,117)="","",INDEX(T_ID,117)),"")</f>
        <v/>
      </c>
      <c r="C123" s="70" t="str">
        <f aca="false">IF(B123="","",INDEX(T_NOMBRE,117)&amp;"")</f>
        <v/>
      </c>
      <c r="D123" s="70" t="str">
        <f aca="false">IF(B123="","",INDEX(T_ESTADO,117))</f>
        <v/>
      </c>
      <c r="E123" s="75" t="str">
        <f aca="false">IF(B123="","",INDEX(T_INGRESO,117))</f>
        <v/>
      </c>
      <c r="F123" s="75" t="str">
        <f aca="false">IF(OR(B123="",NOT(ISNUMBER(E123))),"",IF(E123&gt;FECHA_CORTE,"",IF(N(INDEX(T_EGRESO,117))&gt;0,MIN(INDEX(T_EGRESO,117),FECHA_CORTE),FECHA_CORTE)))</f>
        <v/>
      </c>
      <c r="G123" s="94" t="str">
        <f aca="false">IF(F123="","",DATEDIF(E123,F123+1,"m")+(F123+1-EDATE(E123,DATEDIF(E123,F123+1,"m")))/30)</f>
        <v/>
      </c>
      <c r="H123" s="95" t="str">
        <f aca="false">IF(F123="","",1.25*G123)</f>
        <v/>
      </c>
      <c r="I123" s="73" t="str">
        <f aca="false">IF(F123="","",SUMPRODUCT((ANIOS&lt;=DATEDIF(E123,F123+1,"y"))*(MIN(10,N(INDEX(T_PREV,117)))+ANIOS-10&gt;0)*INT((MIN(10,N(INDEX(T_PREV,117)))+ANIOS-10)/3)))</f>
        <v/>
      </c>
      <c r="J123" s="94" t="str">
        <f aca="false">IF(F123="","",SUMIFS(V_DIAS,V_ID,B123,V_INICIO,"&lt;="&amp;F123)+N(INDEX(T_VACPREV,117)))</f>
        <v/>
      </c>
      <c r="K123" s="95" t="str">
        <f aca="false">IF(F123="","",H123+I123-J123)</f>
        <v/>
      </c>
      <c r="L123" s="95" t="str">
        <f aca="false">IF(F123="","",IF(K123&lt;=0,K123,WORKDAY(F123,INT(K123),FERIADOS)-F123+(K123-INT(K123))))</f>
        <v/>
      </c>
      <c r="M123" s="71" t="str">
        <f aca="false">IF(F123="","",(N(INDEX(T_SUELDO,117))+N(INDEX(T_BONO,117)))/30)</f>
        <v/>
      </c>
      <c r="N123" s="71" t="str">
        <f aca="false">IF(F123="","",IF(D123="Desvinculado",0,ROUND(MAX(0,L123)*M123,0)))</f>
        <v/>
      </c>
      <c r="O123" s="73" t="str">
        <f aca="false">IF(F123="","",15+INT(MAX(0,MIN(10,N(INDEX(T_PREV,117)))+DATEDIF(E123,F123+1,"y")-10)/3))</f>
        <v/>
      </c>
      <c r="P123" s="70" t="str">
        <f aca="false">IF(F123="","",IF(D123="Desvinculado","— (se paga en el finiquito)",IF(Q123&gt;=2*O123,"⚠ Tiene 2 períodos acumulados: otorgar vacaciones antes de que se acumule un 3° (Art. 70)",IF(K123&lt;0,"⚠ Saldo negativo (vacaciones anticipadas)",IF(Q123&gt;=O123,"Programar vacaciones (tiene un período anual completo pendiente)","OK")))))</f>
        <v/>
      </c>
      <c r="Q123" s="94" t="str">
        <f aca="false">IF(F123="","",15*DATEDIF(E123,F123+1,"y")+I123-J123)</f>
        <v/>
      </c>
    </row>
    <row r="124" customFormat="false" ht="15" hidden="false" customHeight="false" outlineLevel="0" collapsed="false">
      <c r="B124" s="70" t="str">
        <f aca="false">IFERROR(IF(INDEX(T_ID,118)="","",INDEX(T_ID,118)),"")</f>
        <v/>
      </c>
      <c r="C124" s="70" t="str">
        <f aca="false">IF(B124="","",INDEX(T_NOMBRE,118)&amp;"")</f>
        <v/>
      </c>
      <c r="D124" s="70" t="str">
        <f aca="false">IF(B124="","",INDEX(T_ESTADO,118))</f>
        <v/>
      </c>
      <c r="E124" s="75" t="str">
        <f aca="false">IF(B124="","",INDEX(T_INGRESO,118))</f>
        <v/>
      </c>
      <c r="F124" s="75" t="str">
        <f aca="false">IF(OR(B124="",NOT(ISNUMBER(E124))),"",IF(E124&gt;FECHA_CORTE,"",IF(N(INDEX(T_EGRESO,118))&gt;0,MIN(INDEX(T_EGRESO,118),FECHA_CORTE),FECHA_CORTE)))</f>
        <v/>
      </c>
      <c r="G124" s="94" t="str">
        <f aca="false">IF(F124="","",DATEDIF(E124,F124+1,"m")+(F124+1-EDATE(E124,DATEDIF(E124,F124+1,"m")))/30)</f>
        <v/>
      </c>
      <c r="H124" s="95" t="str">
        <f aca="false">IF(F124="","",1.25*G124)</f>
        <v/>
      </c>
      <c r="I124" s="73" t="str">
        <f aca="false">IF(F124="","",SUMPRODUCT((ANIOS&lt;=DATEDIF(E124,F124+1,"y"))*(MIN(10,N(INDEX(T_PREV,118)))+ANIOS-10&gt;0)*INT((MIN(10,N(INDEX(T_PREV,118)))+ANIOS-10)/3)))</f>
        <v/>
      </c>
      <c r="J124" s="94" t="str">
        <f aca="false">IF(F124="","",SUMIFS(V_DIAS,V_ID,B124,V_INICIO,"&lt;="&amp;F124)+N(INDEX(T_VACPREV,118)))</f>
        <v/>
      </c>
      <c r="K124" s="95" t="str">
        <f aca="false">IF(F124="","",H124+I124-J124)</f>
        <v/>
      </c>
      <c r="L124" s="95" t="str">
        <f aca="false">IF(F124="","",IF(K124&lt;=0,K124,WORKDAY(F124,INT(K124),FERIADOS)-F124+(K124-INT(K124))))</f>
        <v/>
      </c>
      <c r="M124" s="71" t="str">
        <f aca="false">IF(F124="","",(N(INDEX(T_SUELDO,118))+N(INDEX(T_BONO,118)))/30)</f>
        <v/>
      </c>
      <c r="N124" s="71" t="str">
        <f aca="false">IF(F124="","",IF(D124="Desvinculado",0,ROUND(MAX(0,L124)*M124,0)))</f>
        <v/>
      </c>
      <c r="O124" s="73" t="str">
        <f aca="false">IF(F124="","",15+INT(MAX(0,MIN(10,N(INDEX(T_PREV,118)))+DATEDIF(E124,F124+1,"y")-10)/3))</f>
        <v/>
      </c>
      <c r="P124" s="70" t="str">
        <f aca="false">IF(F124="","",IF(D124="Desvinculado","— (se paga en el finiquito)",IF(Q124&gt;=2*O124,"⚠ Tiene 2 períodos acumulados: otorgar vacaciones antes de que se acumule un 3° (Art. 70)",IF(K124&lt;0,"⚠ Saldo negativo (vacaciones anticipadas)",IF(Q124&gt;=O124,"Programar vacaciones (tiene un período anual completo pendiente)","OK")))))</f>
        <v/>
      </c>
      <c r="Q124" s="94" t="str">
        <f aca="false">IF(F124="","",15*DATEDIF(E124,F124+1,"y")+I124-J124)</f>
        <v/>
      </c>
    </row>
    <row r="125" customFormat="false" ht="15" hidden="false" customHeight="false" outlineLevel="0" collapsed="false">
      <c r="B125" s="70" t="str">
        <f aca="false">IFERROR(IF(INDEX(T_ID,119)="","",INDEX(T_ID,119)),"")</f>
        <v/>
      </c>
      <c r="C125" s="70" t="str">
        <f aca="false">IF(B125="","",INDEX(T_NOMBRE,119)&amp;"")</f>
        <v/>
      </c>
      <c r="D125" s="70" t="str">
        <f aca="false">IF(B125="","",INDEX(T_ESTADO,119))</f>
        <v/>
      </c>
      <c r="E125" s="75" t="str">
        <f aca="false">IF(B125="","",INDEX(T_INGRESO,119))</f>
        <v/>
      </c>
      <c r="F125" s="75" t="str">
        <f aca="false">IF(OR(B125="",NOT(ISNUMBER(E125))),"",IF(E125&gt;FECHA_CORTE,"",IF(N(INDEX(T_EGRESO,119))&gt;0,MIN(INDEX(T_EGRESO,119),FECHA_CORTE),FECHA_CORTE)))</f>
        <v/>
      </c>
      <c r="G125" s="94" t="str">
        <f aca="false">IF(F125="","",DATEDIF(E125,F125+1,"m")+(F125+1-EDATE(E125,DATEDIF(E125,F125+1,"m")))/30)</f>
        <v/>
      </c>
      <c r="H125" s="95" t="str">
        <f aca="false">IF(F125="","",1.25*G125)</f>
        <v/>
      </c>
      <c r="I125" s="73" t="str">
        <f aca="false">IF(F125="","",SUMPRODUCT((ANIOS&lt;=DATEDIF(E125,F125+1,"y"))*(MIN(10,N(INDEX(T_PREV,119)))+ANIOS-10&gt;0)*INT((MIN(10,N(INDEX(T_PREV,119)))+ANIOS-10)/3)))</f>
        <v/>
      </c>
      <c r="J125" s="94" t="str">
        <f aca="false">IF(F125="","",SUMIFS(V_DIAS,V_ID,B125,V_INICIO,"&lt;="&amp;F125)+N(INDEX(T_VACPREV,119)))</f>
        <v/>
      </c>
      <c r="K125" s="95" t="str">
        <f aca="false">IF(F125="","",H125+I125-J125)</f>
        <v/>
      </c>
      <c r="L125" s="95" t="str">
        <f aca="false">IF(F125="","",IF(K125&lt;=0,K125,WORKDAY(F125,INT(K125),FERIADOS)-F125+(K125-INT(K125))))</f>
        <v/>
      </c>
      <c r="M125" s="71" t="str">
        <f aca="false">IF(F125="","",(N(INDEX(T_SUELDO,119))+N(INDEX(T_BONO,119)))/30)</f>
        <v/>
      </c>
      <c r="N125" s="71" t="str">
        <f aca="false">IF(F125="","",IF(D125="Desvinculado",0,ROUND(MAX(0,L125)*M125,0)))</f>
        <v/>
      </c>
      <c r="O125" s="73" t="str">
        <f aca="false">IF(F125="","",15+INT(MAX(0,MIN(10,N(INDEX(T_PREV,119)))+DATEDIF(E125,F125+1,"y")-10)/3))</f>
        <v/>
      </c>
      <c r="P125" s="70" t="str">
        <f aca="false">IF(F125="","",IF(D125="Desvinculado","— (se paga en el finiquito)",IF(Q125&gt;=2*O125,"⚠ Tiene 2 períodos acumulados: otorgar vacaciones antes de que se acumule un 3° (Art. 70)",IF(K125&lt;0,"⚠ Saldo negativo (vacaciones anticipadas)",IF(Q125&gt;=O125,"Programar vacaciones (tiene un período anual completo pendiente)","OK")))))</f>
        <v/>
      </c>
      <c r="Q125" s="94" t="str">
        <f aca="false">IF(F125="","",15*DATEDIF(E125,F125+1,"y")+I125-J125)</f>
        <v/>
      </c>
    </row>
    <row r="126" customFormat="false" ht="15" hidden="false" customHeight="false" outlineLevel="0" collapsed="false">
      <c r="B126" s="70" t="str">
        <f aca="false">IFERROR(IF(INDEX(T_ID,120)="","",INDEX(T_ID,120)),"")</f>
        <v/>
      </c>
      <c r="C126" s="70" t="str">
        <f aca="false">IF(B126="","",INDEX(T_NOMBRE,120)&amp;"")</f>
        <v/>
      </c>
      <c r="D126" s="70" t="str">
        <f aca="false">IF(B126="","",INDEX(T_ESTADO,120))</f>
        <v/>
      </c>
      <c r="E126" s="75" t="str">
        <f aca="false">IF(B126="","",INDEX(T_INGRESO,120))</f>
        <v/>
      </c>
      <c r="F126" s="75" t="str">
        <f aca="false">IF(OR(B126="",NOT(ISNUMBER(E126))),"",IF(E126&gt;FECHA_CORTE,"",IF(N(INDEX(T_EGRESO,120))&gt;0,MIN(INDEX(T_EGRESO,120),FECHA_CORTE),FECHA_CORTE)))</f>
        <v/>
      </c>
      <c r="G126" s="94" t="str">
        <f aca="false">IF(F126="","",DATEDIF(E126,F126+1,"m")+(F126+1-EDATE(E126,DATEDIF(E126,F126+1,"m")))/30)</f>
        <v/>
      </c>
      <c r="H126" s="95" t="str">
        <f aca="false">IF(F126="","",1.25*G126)</f>
        <v/>
      </c>
      <c r="I126" s="73" t="str">
        <f aca="false">IF(F126="","",SUMPRODUCT((ANIOS&lt;=DATEDIF(E126,F126+1,"y"))*(MIN(10,N(INDEX(T_PREV,120)))+ANIOS-10&gt;0)*INT((MIN(10,N(INDEX(T_PREV,120)))+ANIOS-10)/3)))</f>
        <v/>
      </c>
      <c r="J126" s="94" t="str">
        <f aca="false">IF(F126="","",SUMIFS(V_DIAS,V_ID,B126,V_INICIO,"&lt;="&amp;F126)+N(INDEX(T_VACPREV,120)))</f>
        <v/>
      </c>
      <c r="K126" s="95" t="str">
        <f aca="false">IF(F126="","",H126+I126-J126)</f>
        <v/>
      </c>
      <c r="L126" s="95" t="str">
        <f aca="false">IF(F126="","",IF(K126&lt;=0,K126,WORKDAY(F126,INT(K126),FERIADOS)-F126+(K126-INT(K126))))</f>
        <v/>
      </c>
      <c r="M126" s="71" t="str">
        <f aca="false">IF(F126="","",(N(INDEX(T_SUELDO,120))+N(INDEX(T_BONO,120)))/30)</f>
        <v/>
      </c>
      <c r="N126" s="71" t="str">
        <f aca="false">IF(F126="","",IF(D126="Desvinculado",0,ROUND(MAX(0,L126)*M126,0)))</f>
        <v/>
      </c>
      <c r="O126" s="73" t="str">
        <f aca="false">IF(F126="","",15+INT(MAX(0,MIN(10,N(INDEX(T_PREV,120)))+DATEDIF(E126,F126+1,"y")-10)/3))</f>
        <v/>
      </c>
      <c r="P126" s="70" t="str">
        <f aca="false">IF(F126="","",IF(D126="Desvinculado","— (se paga en el finiquito)",IF(Q126&gt;=2*O126,"⚠ Tiene 2 períodos acumulados: otorgar vacaciones antes de que se acumule un 3° (Art. 70)",IF(K126&lt;0,"⚠ Saldo negativo (vacaciones anticipadas)",IF(Q126&gt;=O126,"Programar vacaciones (tiene un período anual completo pendiente)","OK")))))</f>
        <v/>
      </c>
      <c r="Q126" s="94" t="str">
        <f aca="false">IF(F126="","",15*DATEDIF(E126,F126+1,"y")+I126-J126)</f>
        <v/>
      </c>
    </row>
    <row r="127" customFormat="false" ht="15" hidden="false" customHeight="false" outlineLevel="0" collapsed="false">
      <c r="B127" s="70" t="str">
        <f aca="false">IFERROR(IF(INDEX(T_ID,121)="","",INDEX(T_ID,121)),"")</f>
        <v/>
      </c>
      <c r="C127" s="70" t="str">
        <f aca="false">IF(B127="","",INDEX(T_NOMBRE,121)&amp;"")</f>
        <v/>
      </c>
      <c r="D127" s="70" t="str">
        <f aca="false">IF(B127="","",INDEX(T_ESTADO,121))</f>
        <v/>
      </c>
      <c r="E127" s="75" t="str">
        <f aca="false">IF(B127="","",INDEX(T_INGRESO,121))</f>
        <v/>
      </c>
      <c r="F127" s="75" t="str">
        <f aca="false">IF(OR(B127="",NOT(ISNUMBER(E127))),"",IF(E127&gt;FECHA_CORTE,"",IF(N(INDEX(T_EGRESO,121))&gt;0,MIN(INDEX(T_EGRESO,121),FECHA_CORTE),FECHA_CORTE)))</f>
        <v/>
      </c>
      <c r="G127" s="94" t="str">
        <f aca="false">IF(F127="","",DATEDIF(E127,F127+1,"m")+(F127+1-EDATE(E127,DATEDIF(E127,F127+1,"m")))/30)</f>
        <v/>
      </c>
      <c r="H127" s="95" t="str">
        <f aca="false">IF(F127="","",1.25*G127)</f>
        <v/>
      </c>
      <c r="I127" s="73" t="str">
        <f aca="false">IF(F127="","",SUMPRODUCT((ANIOS&lt;=DATEDIF(E127,F127+1,"y"))*(MIN(10,N(INDEX(T_PREV,121)))+ANIOS-10&gt;0)*INT((MIN(10,N(INDEX(T_PREV,121)))+ANIOS-10)/3)))</f>
        <v/>
      </c>
      <c r="J127" s="94" t="str">
        <f aca="false">IF(F127="","",SUMIFS(V_DIAS,V_ID,B127,V_INICIO,"&lt;="&amp;F127)+N(INDEX(T_VACPREV,121)))</f>
        <v/>
      </c>
      <c r="K127" s="95" t="str">
        <f aca="false">IF(F127="","",H127+I127-J127)</f>
        <v/>
      </c>
      <c r="L127" s="95" t="str">
        <f aca="false">IF(F127="","",IF(K127&lt;=0,K127,WORKDAY(F127,INT(K127),FERIADOS)-F127+(K127-INT(K127))))</f>
        <v/>
      </c>
      <c r="M127" s="71" t="str">
        <f aca="false">IF(F127="","",(N(INDEX(T_SUELDO,121))+N(INDEX(T_BONO,121)))/30)</f>
        <v/>
      </c>
      <c r="N127" s="71" t="str">
        <f aca="false">IF(F127="","",IF(D127="Desvinculado",0,ROUND(MAX(0,L127)*M127,0)))</f>
        <v/>
      </c>
      <c r="O127" s="73" t="str">
        <f aca="false">IF(F127="","",15+INT(MAX(0,MIN(10,N(INDEX(T_PREV,121)))+DATEDIF(E127,F127+1,"y")-10)/3))</f>
        <v/>
      </c>
      <c r="P127" s="70" t="str">
        <f aca="false">IF(F127="","",IF(D127="Desvinculado","— (se paga en el finiquito)",IF(Q127&gt;=2*O127,"⚠ Tiene 2 períodos acumulados: otorgar vacaciones antes de que se acumule un 3° (Art. 70)",IF(K127&lt;0,"⚠ Saldo negativo (vacaciones anticipadas)",IF(Q127&gt;=O127,"Programar vacaciones (tiene un período anual completo pendiente)","OK")))))</f>
        <v/>
      </c>
      <c r="Q127" s="94" t="str">
        <f aca="false">IF(F127="","",15*DATEDIF(E127,F127+1,"y")+I127-J127)</f>
        <v/>
      </c>
    </row>
    <row r="128" customFormat="false" ht="15" hidden="false" customHeight="false" outlineLevel="0" collapsed="false">
      <c r="B128" s="70" t="str">
        <f aca="false">IFERROR(IF(INDEX(T_ID,122)="","",INDEX(T_ID,122)),"")</f>
        <v/>
      </c>
      <c r="C128" s="70" t="str">
        <f aca="false">IF(B128="","",INDEX(T_NOMBRE,122)&amp;"")</f>
        <v/>
      </c>
      <c r="D128" s="70" t="str">
        <f aca="false">IF(B128="","",INDEX(T_ESTADO,122))</f>
        <v/>
      </c>
      <c r="E128" s="75" t="str">
        <f aca="false">IF(B128="","",INDEX(T_INGRESO,122))</f>
        <v/>
      </c>
      <c r="F128" s="75" t="str">
        <f aca="false">IF(OR(B128="",NOT(ISNUMBER(E128))),"",IF(E128&gt;FECHA_CORTE,"",IF(N(INDEX(T_EGRESO,122))&gt;0,MIN(INDEX(T_EGRESO,122),FECHA_CORTE),FECHA_CORTE)))</f>
        <v/>
      </c>
      <c r="G128" s="94" t="str">
        <f aca="false">IF(F128="","",DATEDIF(E128,F128+1,"m")+(F128+1-EDATE(E128,DATEDIF(E128,F128+1,"m")))/30)</f>
        <v/>
      </c>
      <c r="H128" s="95" t="str">
        <f aca="false">IF(F128="","",1.25*G128)</f>
        <v/>
      </c>
      <c r="I128" s="73" t="str">
        <f aca="false">IF(F128="","",SUMPRODUCT((ANIOS&lt;=DATEDIF(E128,F128+1,"y"))*(MIN(10,N(INDEX(T_PREV,122)))+ANIOS-10&gt;0)*INT((MIN(10,N(INDEX(T_PREV,122)))+ANIOS-10)/3)))</f>
        <v/>
      </c>
      <c r="J128" s="94" t="str">
        <f aca="false">IF(F128="","",SUMIFS(V_DIAS,V_ID,B128,V_INICIO,"&lt;="&amp;F128)+N(INDEX(T_VACPREV,122)))</f>
        <v/>
      </c>
      <c r="K128" s="95" t="str">
        <f aca="false">IF(F128="","",H128+I128-J128)</f>
        <v/>
      </c>
      <c r="L128" s="95" t="str">
        <f aca="false">IF(F128="","",IF(K128&lt;=0,K128,WORKDAY(F128,INT(K128),FERIADOS)-F128+(K128-INT(K128))))</f>
        <v/>
      </c>
      <c r="M128" s="71" t="str">
        <f aca="false">IF(F128="","",(N(INDEX(T_SUELDO,122))+N(INDEX(T_BONO,122)))/30)</f>
        <v/>
      </c>
      <c r="N128" s="71" t="str">
        <f aca="false">IF(F128="","",IF(D128="Desvinculado",0,ROUND(MAX(0,L128)*M128,0)))</f>
        <v/>
      </c>
      <c r="O128" s="73" t="str">
        <f aca="false">IF(F128="","",15+INT(MAX(0,MIN(10,N(INDEX(T_PREV,122)))+DATEDIF(E128,F128+1,"y")-10)/3))</f>
        <v/>
      </c>
      <c r="P128" s="70" t="str">
        <f aca="false">IF(F128="","",IF(D128="Desvinculado","— (se paga en el finiquito)",IF(Q128&gt;=2*O128,"⚠ Tiene 2 períodos acumulados: otorgar vacaciones antes de que se acumule un 3° (Art. 70)",IF(K128&lt;0,"⚠ Saldo negativo (vacaciones anticipadas)",IF(Q128&gt;=O128,"Programar vacaciones (tiene un período anual completo pendiente)","OK")))))</f>
        <v/>
      </c>
      <c r="Q128" s="94" t="str">
        <f aca="false">IF(F128="","",15*DATEDIF(E128,F128+1,"y")+I128-J128)</f>
        <v/>
      </c>
    </row>
    <row r="129" customFormat="false" ht="15" hidden="false" customHeight="false" outlineLevel="0" collapsed="false">
      <c r="B129" s="70" t="str">
        <f aca="false">IFERROR(IF(INDEX(T_ID,123)="","",INDEX(T_ID,123)),"")</f>
        <v/>
      </c>
      <c r="C129" s="70" t="str">
        <f aca="false">IF(B129="","",INDEX(T_NOMBRE,123)&amp;"")</f>
        <v/>
      </c>
      <c r="D129" s="70" t="str">
        <f aca="false">IF(B129="","",INDEX(T_ESTADO,123))</f>
        <v/>
      </c>
      <c r="E129" s="75" t="str">
        <f aca="false">IF(B129="","",INDEX(T_INGRESO,123))</f>
        <v/>
      </c>
      <c r="F129" s="75" t="str">
        <f aca="false">IF(OR(B129="",NOT(ISNUMBER(E129))),"",IF(E129&gt;FECHA_CORTE,"",IF(N(INDEX(T_EGRESO,123))&gt;0,MIN(INDEX(T_EGRESO,123),FECHA_CORTE),FECHA_CORTE)))</f>
        <v/>
      </c>
      <c r="G129" s="94" t="str">
        <f aca="false">IF(F129="","",DATEDIF(E129,F129+1,"m")+(F129+1-EDATE(E129,DATEDIF(E129,F129+1,"m")))/30)</f>
        <v/>
      </c>
      <c r="H129" s="95" t="str">
        <f aca="false">IF(F129="","",1.25*G129)</f>
        <v/>
      </c>
      <c r="I129" s="73" t="str">
        <f aca="false">IF(F129="","",SUMPRODUCT((ANIOS&lt;=DATEDIF(E129,F129+1,"y"))*(MIN(10,N(INDEX(T_PREV,123)))+ANIOS-10&gt;0)*INT((MIN(10,N(INDEX(T_PREV,123)))+ANIOS-10)/3)))</f>
        <v/>
      </c>
      <c r="J129" s="94" t="str">
        <f aca="false">IF(F129="","",SUMIFS(V_DIAS,V_ID,B129,V_INICIO,"&lt;="&amp;F129)+N(INDEX(T_VACPREV,123)))</f>
        <v/>
      </c>
      <c r="K129" s="95" t="str">
        <f aca="false">IF(F129="","",H129+I129-J129)</f>
        <v/>
      </c>
      <c r="L129" s="95" t="str">
        <f aca="false">IF(F129="","",IF(K129&lt;=0,K129,WORKDAY(F129,INT(K129),FERIADOS)-F129+(K129-INT(K129))))</f>
        <v/>
      </c>
      <c r="M129" s="71" t="str">
        <f aca="false">IF(F129="","",(N(INDEX(T_SUELDO,123))+N(INDEX(T_BONO,123)))/30)</f>
        <v/>
      </c>
      <c r="N129" s="71" t="str">
        <f aca="false">IF(F129="","",IF(D129="Desvinculado",0,ROUND(MAX(0,L129)*M129,0)))</f>
        <v/>
      </c>
      <c r="O129" s="73" t="str">
        <f aca="false">IF(F129="","",15+INT(MAX(0,MIN(10,N(INDEX(T_PREV,123)))+DATEDIF(E129,F129+1,"y")-10)/3))</f>
        <v/>
      </c>
      <c r="P129" s="70" t="str">
        <f aca="false">IF(F129="","",IF(D129="Desvinculado","— (se paga en el finiquito)",IF(Q129&gt;=2*O129,"⚠ Tiene 2 períodos acumulados: otorgar vacaciones antes de que se acumule un 3° (Art. 70)",IF(K129&lt;0,"⚠ Saldo negativo (vacaciones anticipadas)",IF(Q129&gt;=O129,"Programar vacaciones (tiene un período anual completo pendiente)","OK")))))</f>
        <v/>
      </c>
      <c r="Q129" s="94" t="str">
        <f aca="false">IF(F129="","",15*DATEDIF(E129,F129+1,"y")+I129-J129)</f>
        <v/>
      </c>
    </row>
    <row r="130" customFormat="false" ht="15" hidden="false" customHeight="false" outlineLevel="0" collapsed="false">
      <c r="B130" s="70" t="str">
        <f aca="false">IFERROR(IF(INDEX(T_ID,124)="","",INDEX(T_ID,124)),"")</f>
        <v/>
      </c>
      <c r="C130" s="70" t="str">
        <f aca="false">IF(B130="","",INDEX(T_NOMBRE,124)&amp;"")</f>
        <v/>
      </c>
      <c r="D130" s="70" t="str">
        <f aca="false">IF(B130="","",INDEX(T_ESTADO,124))</f>
        <v/>
      </c>
      <c r="E130" s="75" t="str">
        <f aca="false">IF(B130="","",INDEX(T_INGRESO,124))</f>
        <v/>
      </c>
      <c r="F130" s="75" t="str">
        <f aca="false">IF(OR(B130="",NOT(ISNUMBER(E130))),"",IF(E130&gt;FECHA_CORTE,"",IF(N(INDEX(T_EGRESO,124))&gt;0,MIN(INDEX(T_EGRESO,124),FECHA_CORTE),FECHA_CORTE)))</f>
        <v/>
      </c>
      <c r="G130" s="94" t="str">
        <f aca="false">IF(F130="","",DATEDIF(E130,F130+1,"m")+(F130+1-EDATE(E130,DATEDIF(E130,F130+1,"m")))/30)</f>
        <v/>
      </c>
      <c r="H130" s="95" t="str">
        <f aca="false">IF(F130="","",1.25*G130)</f>
        <v/>
      </c>
      <c r="I130" s="73" t="str">
        <f aca="false">IF(F130="","",SUMPRODUCT((ANIOS&lt;=DATEDIF(E130,F130+1,"y"))*(MIN(10,N(INDEX(T_PREV,124)))+ANIOS-10&gt;0)*INT((MIN(10,N(INDEX(T_PREV,124)))+ANIOS-10)/3)))</f>
        <v/>
      </c>
      <c r="J130" s="94" t="str">
        <f aca="false">IF(F130="","",SUMIFS(V_DIAS,V_ID,B130,V_INICIO,"&lt;="&amp;F130)+N(INDEX(T_VACPREV,124)))</f>
        <v/>
      </c>
      <c r="K130" s="95" t="str">
        <f aca="false">IF(F130="","",H130+I130-J130)</f>
        <v/>
      </c>
      <c r="L130" s="95" t="str">
        <f aca="false">IF(F130="","",IF(K130&lt;=0,K130,WORKDAY(F130,INT(K130),FERIADOS)-F130+(K130-INT(K130))))</f>
        <v/>
      </c>
      <c r="M130" s="71" t="str">
        <f aca="false">IF(F130="","",(N(INDEX(T_SUELDO,124))+N(INDEX(T_BONO,124)))/30)</f>
        <v/>
      </c>
      <c r="N130" s="71" t="str">
        <f aca="false">IF(F130="","",IF(D130="Desvinculado",0,ROUND(MAX(0,L130)*M130,0)))</f>
        <v/>
      </c>
      <c r="O130" s="73" t="str">
        <f aca="false">IF(F130="","",15+INT(MAX(0,MIN(10,N(INDEX(T_PREV,124)))+DATEDIF(E130,F130+1,"y")-10)/3))</f>
        <v/>
      </c>
      <c r="P130" s="70" t="str">
        <f aca="false">IF(F130="","",IF(D130="Desvinculado","— (se paga en el finiquito)",IF(Q130&gt;=2*O130,"⚠ Tiene 2 períodos acumulados: otorgar vacaciones antes de que se acumule un 3° (Art. 70)",IF(K130&lt;0,"⚠ Saldo negativo (vacaciones anticipadas)",IF(Q130&gt;=O130,"Programar vacaciones (tiene un período anual completo pendiente)","OK")))))</f>
        <v/>
      </c>
      <c r="Q130" s="94" t="str">
        <f aca="false">IF(F130="","",15*DATEDIF(E130,F130+1,"y")+I130-J130)</f>
        <v/>
      </c>
    </row>
    <row r="131" customFormat="false" ht="15" hidden="false" customHeight="false" outlineLevel="0" collapsed="false">
      <c r="B131" s="70" t="str">
        <f aca="false">IFERROR(IF(INDEX(T_ID,125)="","",INDEX(T_ID,125)),"")</f>
        <v/>
      </c>
      <c r="C131" s="70" t="str">
        <f aca="false">IF(B131="","",INDEX(T_NOMBRE,125)&amp;"")</f>
        <v/>
      </c>
      <c r="D131" s="70" t="str">
        <f aca="false">IF(B131="","",INDEX(T_ESTADO,125))</f>
        <v/>
      </c>
      <c r="E131" s="75" t="str">
        <f aca="false">IF(B131="","",INDEX(T_INGRESO,125))</f>
        <v/>
      </c>
      <c r="F131" s="75" t="str">
        <f aca="false">IF(OR(B131="",NOT(ISNUMBER(E131))),"",IF(E131&gt;FECHA_CORTE,"",IF(N(INDEX(T_EGRESO,125))&gt;0,MIN(INDEX(T_EGRESO,125),FECHA_CORTE),FECHA_CORTE)))</f>
        <v/>
      </c>
      <c r="G131" s="94" t="str">
        <f aca="false">IF(F131="","",DATEDIF(E131,F131+1,"m")+(F131+1-EDATE(E131,DATEDIF(E131,F131+1,"m")))/30)</f>
        <v/>
      </c>
      <c r="H131" s="95" t="str">
        <f aca="false">IF(F131="","",1.25*G131)</f>
        <v/>
      </c>
      <c r="I131" s="73" t="str">
        <f aca="false">IF(F131="","",SUMPRODUCT((ANIOS&lt;=DATEDIF(E131,F131+1,"y"))*(MIN(10,N(INDEX(T_PREV,125)))+ANIOS-10&gt;0)*INT((MIN(10,N(INDEX(T_PREV,125)))+ANIOS-10)/3)))</f>
        <v/>
      </c>
      <c r="J131" s="94" t="str">
        <f aca="false">IF(F131="","",SUMIFS(V_DIAS,V_ID,B131,V_INICIO,"&lt;="&amp;F131)+N(INDEX(T_VACPREV,125)))</f>
        <v/>
      </c>
      <c r="K131" s="95" t="str">
        <f aca="false">IF(F131="","",H131+I131-J131)</f>
        <v/>
      </c>
      <c r="L131" s="95" t="str">
        <f aca="false">IF(F131="","",IF(K131&lt;=0,K131,WORKDAY(F131,INT(K131),FERIADOS)-F131+(K131-INT(K131))))</f>
        <v/>
      </c>
      <c r="M131" s="71" t="str">
        <f aca="false">IF(F131="","",(N(INDEX(T_SUELDO,125))+N(INDEX(T_BONO,125)))/30)</f>
        <v/>
      </c>
      <c r="N131" s="71" t="str">
        <f aca="false">IF(F131="","",IF(D131="Desvinculado",0,ROUND(MAX(0,L131)*M131,0)))</f>
        <v/>
      </c>
      <c r="O131" s="73" t="str">
        <f aca="false">IF(F131="","",15+INT(MAX(0,MIN(10,N(INDEX(T_PREV,125)))+DATEDIF(E131,F131+1,"y")-10)/3))</f>
        <v/>
      </c>
      <c r="P131" s="70" t="str">
        <f aca="false">IF(F131="","",IF(D131="Desvinculado","— (se paga en el finiquito)",IF(Q131&gt;=2*O131,"⚠ Tiene 2 períodos acumulados: otorgar vacaciones antes de que se acumule un 3° (Art. 70)",IF(K131&lt;0,"⚠ Saldo negativo (vacaciones anticipadas)",IF(Q131&gt;=O131,"Programar vacaciones (tiene un período anual completo pendiente)","OK")))))</f>
        <v/>
      </c>
      <c r="Q131" s="94" t="str">
        <f aca="false">IF(F131="","",15*DATEDIF(E131,F131+1,"y")+I131-J131)</f>
        <v/>
      </c>
    </row>
    <row r="132" customFormat="false" ht="15" hidden="false" customHeight="false" outlineLevel="0" collapsed="false">
      <c r="B132" s="70" t="str">
        <f aca="false">IFERROR(IF(INDEX(T_ID,126)="","",INDEX(T_ID,126)),"")</f>
        <v/>
      </c>
      <c r="C132" s="70" t="str">
        <f aca="false">IF(B132="","",INDEX(T_NOMBRE,126)&amp;"")</f>
        <v/>
      </c>
      <c r="D132" s="70" t="str">
        <f aca="false">IF(B132="","",INDEX(T_ESTADO,126))</f>
        <v/>
      </c>
      <c r="E132" s="75" t="str">
        <f aca="false">IF(B132="","",INDEX(T_INGRESO,126))</f>
        <v/>
      </c>
      <c r="F132" s="75" t="str">
        <f aca="false">IF(OR(B132="",NOT(ISNUMBER(E132))),"",IF(E132&gt;FECHA_CORTE,"",IF(N(INDEX(T_EGRESO,126))&gt;0,MIN(INDEX(T_EGRESO,126),FECHA_CORTE),FECHA_CORTE)))</f>
        <v/>
      </c>
      <c r="G132" s="94" t="str">
        <f aca="false">IF(F132="","",DATEDIF(E132,F132+1,"m")+(F132+1-EDATE(E132,DATEDIF(E132,F132+1,"m")))/30)</f>
        <v/>
      </c>
      <c r="H132" s="95" t="str">
        <f aca="false">IF(F132="","",1.25*G132)</f>
        <v/>
      </c>
      <c r="I132" s="73" t="str">
        <f aca="false">IF(F132="","",SUMPRODUCT((ANIOS&lt;=DATEDIF(E132,F132+1,"y"))*(MIN(10,N(INDEX(T_PREV,126)))+ANIOS-10&gt;0)*INT((MIN(10,N(INDEX(T_PREV,126)))+ANIOS-10)/3)))</f>
        <v/>
      </c>
      <c r="J132" s="94" t="str">
        <f aca="false">IF(F132="","",SUMIFS(V_DIAS,V_ID,B132,V_INICIO,"&lt;="&amp;F132)+N(INDEX(T_VACPREV,126)))</f>
        <v/>
      </c>
      <c r="K132" s="95" t="str">
        <f aca="false">IF(F132="","",H132+I132-J132)</f>
        <v/>
      </c>
      <c r="L132" s="95" t="str">
        <f aca="false">IF(F132="","",IF(K132&lt;=0,K132,WORKDAY(F132,INT(K132),FERIADOS)-F132+(K132-INT(K132))))</f>
        <v/>
      </c>
      <c r="M132" s="71" t="str">
        <f aca="false">IF(F132="","",(N(INDEX(T_SUELDO,126))+N(INDEX(T_BONO,126)))/30)</f>
        <v/>
      </c>
      <c r="N132" s="71" t="str">
        <f aca="false">IF(F132="","",IF(D132="Desvinculado",0,ROUND(MAX(0,L132)*M132,0)))</f>
        <v/>
      </c>
      <c r="O132" s="73" t="str">
        <f aca="false">IF(F132="","",15+INT(MAX(0,MIN(10,N(INDEX(T_PREV,126)))+DATEDIF(E132,F132+1,"y")-10)/3))</f>
        <v/>
      </c>
      <c r="P132" s="70" t="str">
        <f aca="false">IF(F132="","",IF(D132="Desvinculado","— (se paga en el finiquito)",IF(Q132&gt;=2*O132,"⚠ Tiene 2 períodos acumulados: otorgar vacaciones antes de que se acumule un 3° (Art. 70)",IF(K132&lt;0,"⚠ Saldo negativo (vacaciones anticipadas)",IF(Q132&gt;=O132,"Programar vacaciones (tiene un período anual completo pendiente)","OK")))))</f>
        <v/>
      </c>
      <c r="Q132" s="94" t="str">
        <f aca="false">IF(F132="","",15*DATEDIF(E132,F132+1,"y")+I132-J132)</f>
        <v/>
      </c>
    </row>
    <row r="133" customFormat="false" ht="15" hidden="false" customHeight="false" outlineLevel="0" collapsed="false">
      <c r="B133" s="70" t="str">
        <f aca="false">IFERROR(IF(INDEX(T_ID,127)="","",INDEX(T_ID,127)),"")</f>
        <v/>
      </c>
      <c r="C133" s="70" t="str">
        <f aca="false">IF(B133="","",INDEX(T_NOMBRE,127)&amp;"")</f>
        <v/>
      </c>
      <c r="D133" s="70" t="str">
        <f aca="false">IF(B133="","",INDEX(T_ESTADO,127))</f>
        <v/>
      </c>
      <c r="E133" s="75" t="str">
        <f aca="false">IF(B133="","",INDEX(T_INGRESO,127))</f>
        <v/>
      </c>
      <c r="F133" s="75" t="str">
        <f aca="false">IF(OR(B133="",NOT(ISNUMBER(E133))),"",IF(E133&gt;FECHA_CORTE,"",IF(N(INDEX(T_EGRESO,127))&gt;0,MIN(INDEX(T_EGRESO,127),FECHA_CORTE),FECHA_CORTE)))</f>
        <v/>
      </c>
      <c r="G133" s="94" t="str">
        <f aca="false">IF(F133="","",DATEDIF(E133,F133+1,"m")+(F133+1-EDATE(E133,DATEDIF(E133,F133+1,"m")))/30)</f>
        <v/>
      </c>
      <c r="H133" s="95" t="str">
        <f aca="false">IF(F133="","",1.25*G133)</f>
        <v/>
      </c>
      <c r="I133" s="73" t="str">
        <f aca="false">IF(F133="","",SUMPRODUCT((ANIOS&lt;=DATEDIF(E133,F133+1,"y"))*(MIN(10,N(INDEX(T_PREV,127)))+ANIOS-10&gt;0)*INT((MIN(10,N(INDEX(T_PREV,127)))+ANIOS-10)/3)))</f>
        <v/>
      </c>
      <c r="J133" s="94" t="str">
        <f aca="false">IF(F133="","",SUMIFS(V_DIAS,V_ID,B133,V_INICIO,"&lt;="&amp;F133)+N(INDEX(T_VACPREV,127)))</f>
        <v/>
      </c>
      <c r="K133" s="95" t="str">
        <f aca="false">IF(F133="","",H133+I133-J133)</f>
        <v/>
      </c>
      <c r="L133" s="95" t="str">
        <f aca="false">IF(F133="","",IF(K133&lt;=0,K133,WORKDAY(F133,INT(K133),FERIADOS)-F133+(K133-INT(K133))))</f>
        <v/>
      </c>
      <c r="M133" s="71" t="str">
        <f aca="false">IF(F133="","",(N(INDEX(T_SUELDO,127))+N(INDEX(T_BONO,127)))/30)</f>
        <v/>
      </c>
      <c r="N133" s="71" t="str">
        <f aca="false">IF(F133="","",IF(D133="Desvinculado",0,ROUND(MAX(0,L133)*M133,0)))</f>
        <v/>
      </c>
      <c r="O133" s="73" t="str">
        <f aca="false">IF(F133="","",15+INT(MAX(0,MIN(10,N(INDEX(T_PREV,127)))+DATEDIF(E133,F133+1,"y")-10)/3))</f>
        <v/>
      </c>
      <c r="P133" s="70" t="str">
        <f aca="false">IF(F133="","",IF(D133="Desvinculado","— (se paga en el finiquito)",IF(Q133&gt;=2*O133,"⚠ Tiene 2 períodos acumulados: otorgar vacaciones antes de que se acumule un 3° (Art. 70)",IF(K133&lt;0,"⚠ Saldo negativo (vacaciones anticipadas)",IF(Q133&gt;=O133,"Programar vacaciones (tiene un período anual completo pendiente)","OK")))))</f>
        <v/>
      </c>
      <c r="Q133" s="94" t="str">
        <f aca="false">IF(F133="","",15*DATEDIF(E133,F133+1,"y")+I133-J133)</f>
        <v/>
      </c>
    </row>
    <row r="134" customFormat="false" ht="15" hidden="false" customHeight="false" outlineLevel="0" collapsed="false">
      <c r="B134" s="70" t="str">
        <f aca="false">IFERROR(IF(INDEX(T_ID,128)="","",INDEX(T_ID,128)),"")</f>
        <v/>
      </c>
      <c r="C134" s="70" t="str">
        <f aca="false">IF(B134="","",INDEX(T_NOMBRE,128)&amp;"")</f>
        <v/>
      </c>
      <c r="D134" s="70" t="str">
        <f aca="false">IF(B134="","",INDEX(T_ESTADO,128))</f>
        <v/>
      </c>
      <c r="E134" s="75" t="str">
        <f aca="false">IF(B134="","",INDEX(T_INGRESO,128))</f>
        <v/>
      </c>
      <c r="F134" s="75" t="str">
        <f aca="false">IF(OR(B134="",NOT(ISNUMBER(E134))),"",IF(E134&gt;FECHA_CORTE,"",IF(N(INDEX(T_EGRESO,128))&gt;0,MIN(INDEX(T_EGRESO,128),FECHA_CORTE),FECHA_CORTE)))</f>
        <v/>
      </c>
      <c r="G134" s="94" t="str">
        <f aca="false">IF(F134="","",DATEDIF(E134,F134+1,"m")+(F134+1-EDATE(E134,DATEDIF(E134,F134+1,"m")))/30)</f>
        <v/>
      </c>
      <c r="H134" s="95" t="str">
        <f aca="false">IF(F134="","",1.25*G134)</f>
        <v/>
      </c>
      <c r="I134" s="73" t="str">
        <f aca="false">IF(F134="","",SUMPRODUCT((ANIOS&lt;=DATEDIF(E134,F134+1,"y"))*(MIN(10,N(INDEX(T_PREV,128)))+ANIOS-10&gt;0)*INT((MIN(10,N(INDEX(T_PREV,128)))+ANIOS-10)/3)))</f>
        <v/>
      </c>
      <c r="J134" s="94" t="str">
        <f aca="false">IF(F134="","",SUMIFS(V_DIAS,V_ID,B134,V_INICIO,"&lt;="&amp;F134)+N(INDEX(T_VACPREV,128)))</f>
        <v/>
      </c>
      <c r="K134" s="95" t="str">
        <f aca="false">IF(F134="","",H134+I134-J134)</f>
        <v/>
      </c>
      <c r="L134" s="95" t="str">
        <f aca="false">IF(F134="","",IF(K134&lt;=0,K134,WORKDAY(F134,INT(K134),FERIADOS)-F134+(K134-INT(K134))))</f>
        <v/>
      </c>
      <c r="M134" s="71" t="str">
        <f aca="false">IF(F134="","",(N(INDEX(T_SUELDO,128))+N(INDEX(T_BONO,128)))/30)</f>
        <v/>
      </c>
      <c r="N134" s="71" t="str">
        <f aca="false">IF(F134="","",IF(D134="Desvinculado",0,ROUND(MAX(0,L134)*M134,0)))</f>
        <v/>
      </c>
      <c r="O134" s="73" t="str">
        <f aca="false">IF(F134="","",15+INT(MAX(0,MIN(10,N(INDEX(T_PREV,128)))+DATEDIF(E134,F134+1,"y")-10)/3))</f>
        <v/>
      </c>
      <c r="P134" s="70" t="str">
        <f aca="false">IF(F134="","",IF(D134="Desvinculado","— (se paga en el finiquito)",IF(Q134&gt;=2*O134,"⚠ Tiene 2 períodos acumulados: otorgar vacaciones antes de que se acumule un 3° (Art. 70)",IF(K134&lt;0,"⚠ Saldo negativo (vacaciones anticipadas)",IF(Q134&gt;=O134,"Programar vacaciones (tiene un período anual completo pendiente)","OK")))))</f>
        <v/>
      </c>
      <c r="Q134" s="94" t="str">
        <f aca="false">IF(F134="","",15*DATEDIF(E134,F134+1,"y")+I134-J134)</f>
        <v/>
      </c>
    </row>
    <row r="135" customFormat="false" ht="15" hidden="false" customHeight="false" outlineLevel="0" collapsed="false">
      <c r="B135" s="70" t="str">
        <f aca="false">IFERROR(IF(INDEX(T_ID,129)="","",INDEX(T_ID,129)),"")</f>
        <v/>
      </c>
      <c r="C135" s="70" t="str">
        <f aca="false">IF(B135="","",INDEX(T_NOMBRE,129)&amp;"")</f>
        <v/>
      </c>
      <c r="D135" s="70" t="str">
        <f aca="false">IF(B135="","",INDEX(T_ESTADO,129))</f>
        <v/>
      </c>
      <c r="E135" s="75" t="str">
        <f aca="false">IF(B135="","",INDEX(T_INGRESO,129))</f>
        <v/>
      </c>
      <c r="F135" s="75" t="str">
        <f aca="false">IF(OR(B135="",NOT(ISNUMBER(E135))),"",IF(E135&gt;FECHA_CORTE,"",IF(N(INDEX(T_EGRESO,129))&gt;0,MIN(INDEX(T_EGRESO,129),FECHA_CORTE),FECHA_CORTE)))</f>
        <v/>
      </c>
      <c r="G135" s="94" t="str">
        <f aca="false">IF(F135="","",DATEDIF(E135,F135+1,"m")+(F135+1-EDATE(E135,DATEDIF(E135,F135+1,"m")))/30)</f>
        <v/>
      </c>
      <c r="H135" s="95" t="str">
        <f aca="false">IF(F135="","",1.25*G135)</f>
        <v/>
      </c>
      <c r="I135" s="73" t="str">
        <f aca="false">IF(F135="","",SUMPRODUCT((ANIOS&lt;=DATEDIF(E135,F135+1,"y"))*(MIN(10,N(INDEX(T_PREV,129)))+ANIOS-10&gt;0)*INT((MIN(10,N(INDEX(T_PREV,129)))+ANIOS-10)/3)))</f>
        <v/>
      </c>
      <c r="J135" s="94" t="str">
        <f aca="false">IF(F135="","",SUMIFS(V_DIAS,V_ID,B135,V_INICIO,"&lt;="&amp;F135)+N(INDEX(T_VACPREV,129)))</f>
        <v/>
      </c>
      <c r="K135" s="95" t="str">
        <f aca="false">IF(F135="","",H135+I135-J135)</f>
        <v/>
      </c>
      <c r="L135" s="95" t="str">
        <f aca="false">IF(F135="","",IF(K135&lt;=0,K135,WORKDAY(F135,INT(K135),FERIADOS)-F135+(K135-INT(K135))))</f>
        <v/>
      </c>
      <c r="M135" s="71" t="str">
        <f aca="false">IF(F135="","",(N(INDEX(T_SUELDO,129))+N(INDEX(T_BONO,129)))/30)</f>
        <v/>
      </c>
      <c r="N135" s="71" t="str">
        <f aca="false">IF(F135="","",IF(D135="Desvinculado",0,ROUND(MAX(0,L135)*M135,0)))</f>
        <v/>
      </c>
      <c r="O135" s="73" t="str">
        <f aca="false">IF(F135="","",15+INT(MAX(0,MIN(10,N(INDEX(T_PREV,129)))+DATEDIF(E135,F135+1,"y")-10)/3))</f>
        <v/>
      </c>
      <c r="P135" s="70" t="str">
        <f aca="false">IF(F135="","",IF(D135="Desvinculado","— (se paga en el finiquito)",IF(Q135&gt;=2*O135,"⚠ Tiene 2 períodos acumulados: otorgar vacaciones antes de que se acumule un 3° (Art. 70)",IF(K135&lt;0,"⚠ Saldo negativo (vacaciones anticipadas)",IF(Q135&gt;=O135,"Programar vacaciones (tiene un período anual completo pendiente)","OK")))))</f>
        <v/>
      </c>
      <c r="Q135" s="94" t="str">
        <f aca="false">IF(F135="","",15*DATEDIF(E135,F135+1,"y")+I135-J135)</f>
        <v/>
      </c>
    </row>
    <row r="136" customFormat="false" ht="15" hidden="false" customHeight="false" outlineLevel="0" collapsed="false">
      <c r="B136" s="70" t="str">
        <f aca="false">IFERROR(IF(INDEX(T_ID,130)="","",INDEX(T_ID,130)),"")</f>
        <v/>
      </c>
      <c r="C136" s="70" t="str">
        <f aca="false">IF(B136="","",INDEX(T_NOMBRE,130)&amp;"")</f>
        <v/>
      </c>
      <c r="D136" s="70" t="str">
        <f aca="false">IF(B136="","",INDEX(T_ESTADO,130))</f>
        <v/>
      </c>
      <c r="E136" s="75" t="str">
        <f aca="false">IF(B136="","",INDEX(T_INGRESO,130))</f>
        <v/>
      </c>
      <c r="F136" s="75" t="str">
        <f aca="false">IF(OR(B136="",NOT(ISNUMBER(E136))),"",IF(E136&gt;FECHA_CORTE,"",IF(N(INDEX(T_EGRESO,130))&gt;0,MIN(INDEX(T_EGRESO,130),FECHA_CORTE),FECHA_CORTE)))</f>
        <v/>
      </c>
      <c r="G136" s="94" t="str">
        <f aca="false">IF(F136="","",DATEDIF(E136,F136+1,"m")+(F136+1-EDATE(E136,DATEDIF(E136,F136+1,"m")))/30)</f>
        <v/>
      </c>
      <c r="H136" s="95" t="str">
        <f aca="false">IF(F136="","",1.25*G136)</f>
        <v/>
      </c>
      <c r="I136" s="73" t="str">
        <f aca="false">IF(F136="","",SUMPRODUCT((ANIOS&lt;=DATEDIF(E136,F136+1,"y"))*(MIN(10,N(INDEX(T_PREV,130)))+ANIOS-10&gt;0)*INT((MIN(10,N(INDEX(T_PREV,130)))+ANIOS-10)/3)))</f>
        <v/>
      </c>
      <c r="J136" s="94" t="str">
        <f aca="false">IF(F136="","",SUMIFS(V_DIAS,V_ID,B136,V_INICIO,"&lt;="&amp;F136)+N(INDEX(T_VACPREV,130)))</f>
        <v/>
      </c>
      <c r="K136" s="95" t="str">
        <f aca="false">IF(F136="","",H136+I136-J136)</f>
        <v/>
      </c>
      <c r="L136" s="95" t="str">
        <f aca="false">IF(F136="","",IF(K136&lt;=0,K136,WORKDAY(F136,INT(K136),FERIADOS)-F136+(K136-INT(K136))))</f>
        <v/>
      </c>
      <c r="M136" s="71" t="str">
        <f aca="false">IF(F136="","",(N(INDEX(T_SUELDO,130))+N(INDEX(T_BONO,130)))/30)</f>
        <v/>
      </c>
      <c r="N136" s="71" t="str">
        <f aca="false">IF(F136="","",IF(D136="Desvinculado",0,ROUND(MAX(0,L136)*M136,0)))</f>
        <v/>
      </c>
      <c r="O136" s="73" t="str">
        <f aca="false">IF(F136="","",15+INT(MAX(0,MIN(10,N(INDEX(T_PREV,130)))+DATEDIF(E136,F136+1,"y")-10)/3))</f>
        <v/>
      </c>
      <c r="P136" s="70" t="str">
        <f aca="false">IF(F136="","",IF(D136="Desvinculado","— (se paga en el finiquito)",IF(Q136&gt;=2*O136,"⚠ Tiene 2 períodos acumulados: otorgar vacaciones antes de que se acumule un 3° (Art. 70)",IF(K136&lt;0,"⚠ Saldo negativo (vacaciones anticipadas)",IF(Q136&gt;=O136,"Programar vacaciones (tiene un período anual completo pendiente)","OK")))))</f>
        <v/>
      </c>
      <c r="Q136" s="94" t="str">
        <f aca="false">IF(F136="","",15*DATEDIF(E136,F136+1,"y")+I136-J136)</f>
        <v/>
      </c>
    </row>
    <row r="137" customFormat="false" ht="15" hidden="false" customHeight="false" outlineLevel="0" collapsed="false">
      <c r="B137" s="70" t="str">
        <f aca="false">IFERROR(IF(INDEX(T_ID,131)="","",INDEX(T_ID,131)),"")</f>
        <v/>
      </c>
      <c r="C137" s="70" t="str">
        <f aca="false">IF(B137="","",INDEX(T_NOMBRE,131)&amp;"")</f>
        <v/>
      </c>
      <c r="D137" s="70" t="str">
        <f aca="false">IF(B137="","",INDEX(T_ESTADO,131))</f>
        <v/>
      </c>
      <c r="E137" s="75" t="str">
        <f aca="false">IF(B137="","",INDEX(T_INGRESO,131))</f>
        <v/>
      </c>
      <c r="F137" s="75" t="str">
        <f aca="false">IF(OR(B137="",NOT(ISNUMBER(E137))),"",IF(E137&gt;FECHA_CORTE,"",IF(N(INDEX(T_EGRESO,131))&gt;0,MIN(INDEX(T_EGRESO,131),FECHA_CORTE),FECHA_CORTE)))</f>
        <v/>
      </c>
      <c r="G137" s="94" t="str">
        <f aca="false">IF(F137="","",DATEDIF(E137,F137+1,"m")+(F137+1-EDATE(E137,DATEDIF(E137,F137+1,"m")))/30)</f>
        <v/>
      </c>
      <c r="H137" s="95" t="str">
        <f aca="false">IF(F137="","",1.25*G137)</f>
        <v/>
      </c>
      <c r="I137" s="73" t="str">
        <f aca="false">IF(F137="","",SUMPRODUCT((ANIOS&lt;=DATEDIF(E137,F137+1,"y"))*(MIN(10,N(INDEX(T_PREV,131)))+ANIOS-10&gt;0)*INT((MIN(10,N(INDEX(T_PREV,131)))+ANIOS-10)/3)))</f>
        <v/>
      </c>
      <c r="J137" s="94" t="str">
        <f aca="false">IF(F137="","",SUMIFS(V_DIAS,V_ID,B137,V_INICIO,"&lt;="&amp;F137)+N(INDEX(T_VACPREV,131)))</f>
        <v/>
      </c>
      <c r="K137" s="95" t="str">
        <f aca="false">IF(F137="","",H137+I137-J137)</f>
        <v/>
      </c>
      <c r="L137" s="95" t="str">
        <f aca="false">IF(F137="","",IF(K137&lt;=0,K137,WORKDAY(F137,INT(K137),FERIADOS)-F137+(K137-INT(K137))))</f>
        <v/>
      </c>
      <c r="M137" s="71" t="str">
        <f aca="false">IF(F137="","",(N(INDEX(T_SUELDO,131))+N(INDEX(T_BONO,131)))/30)</f>
        <v/>
      </c>
      <c r="N137" s="71" t="str">
        <f aca="false">IF(F137="","",IF(D137="Desvinculado",0,ROUND(MAX(0,L137)*M137,0)))</f>
        <v/>
      </c>
      <c r="O137" s="73" t="str">
        <f aca="false">IF(F137="","",15+INT(MAX(0,MIN(10,N(INDEX(T_PREV,131)))+DATEDIF(E137,F137+1,"y")-10)/3))</f>
        <v/>
      </c>
      <c r="P137" s="70" t="str">
        <f aca="false">IF(F137="","",IF(D137="Desvinculado","— (se paga en el finiquito)",IF(Q137&gt;=2*O137,"⚠ Tiene 2 períodos acumulados: otorgar vacaciones antes de que se acumule un 3° (Art. 70)",IF(K137&lt;0,"⚠ Saldo negativo (vacaciones anticipadas)",IF(Q137&gt;=O137,"Programar vacaciones (tiene un período anual completo pendiente)","OK")))))</f>
        <v/>
      </c>
      <c r="Q137" s="94" t="str">
        <f aca="false">IF(F137="","",15*DATEDIF(E137,F137+1,"y")+I137-J137)</f>
        <v/>
      </c>
    </row>
    <row r="138" customFormat="false" ht="15" hidden="false" customHeight="false" outlineLevel="0" collapsed="false">
      <c r="B138" s="70" t="str">
        <f aca="false">IFERROR(IF(INDEX(T_ID,132)="","",INDEX(T_ID,132)),"")</f>
        <v/>
      </c>
      <c r="C138" s="70" t="str">
        <f aca="false">IF(B138="","",INDEX(T_NOMBRE,132)&amp;"")</f>
        <v/>
      </c>
      <c r="D138" s="70" t="str">
        <f aca="false">IF(B138="","",INDEX(T_ESTADO,132))</f>
        <v/>
      </c>
      <c r="E138" s="75" t="str">
        <f aca="false">IF(B138="","",INDEX(T_INGRESO,132))</f>
        <v/>
      </c>
      <c r="F138" s="75" t="str">
        <f aca="false">IF(OR(B138="",NOT(ISNUMBER(E138))),"",IF(E138&gt;FECHA_CORTE,"",IF(N(INDEX(T_EGRESO,132))&gt;0,MIN(INDEX(T_EGRESO,132),FECHA_CORTE),FECHA_CORTE)))</f>
        <v/>
      </c>
      <c r="G138" s="94" t="str">
        <f aca="false">IF(F138="","",DATEDIF(E138,F138+1,"m")+(F138+1-EDATE(E138,DATEDIF(E138,F138+1,"m")))/30)</f>
        <v/>
      </c>
      <c r="H138" s="95" t="str">
        <f aca="false">IF(F138="","",1.25*G138)</f>
        <v/>
      </c>
      <c r="I138" s="73" t="str">
        <f aca="false">IF(F138="","",SUMPRODUCT((ANIOS&lt;=DATEDIF(E138,F138+1,"y"))*(MIN(10,N(INDEX(T_PREV,132)))+ANIOS-10&gt;0)*INT((MIN(10,N(INDEX(T_PREV,132)))+ANIOS-10)/3)))</f>
        <v/>
      </c>
      <c r="J138" s="94" t="str">
        <f aca="false">IF(F138="","",SUMIFS(V_DIAS,V_ID,B138,V_INICIO,"&lt;="&amp;F138)+N(INDEX(T_VACPREV,132)))</f>
        <v/>
      </c>
      <c r="K138" s="95" t="str">
        <f aca="false">IF(F138="","",H138+I138-J138)</f>
        <v/>
      </c>
      <c r="L138" s="95" t="str">
        <f aca="false">IF(F138="","",IF(K138&lt;=0,K138,WORKDAY(F138,INT(K138),FERIADOS)-F138+(K138-INT(K138))))</f>
        <v/>
      </c>
      <c r="M138" s="71" t="str">
        <f aca="false">IF(F138="","",(N(INDEX(T_SUELDO,132))+N(INDEX(T_BONO,132)))/30)</f>
        <v/>
      </c>
      <c r="N138" s="71" t="str">
        <f aca="false">IF(F138="","",IF(D138="Desvinculado",0,ROUND(MAX(0,L138)*M138,0)))</f>
        <v/>
      </c>
      <c r="O138" s="73" t="str">
        <f aca="false">IF(F138="","",15+INT(MAX(0,MIN(10,N(INDEX(T_PREV,132)))+DATEDIF(E138,F138+1,"y")-10)/3))</f>
        <v/>
      </c>
      <c r="P138" s="70" t="str">
        <f aca="false">IF(F138="","",IF(D138="Desvinculado","— (se paga en el finiquito)",IF(Q138&gt;=2*O138,"⚠ Tiene 2 períodos acumulados: otorgar vacaciones antes de que se acumule un 3° (Art. 70)",IF(K138&lt;0,"⚠ Saldo negativo (vacaciones anticipadas)",IF(Q138&gt;=O138,"Programar vacaciones (tiene un período anual completo pendiente)","OK")))))</f>
        <v/>
      </c>
      <c r="Q138" s="94" t="str">
        <f aca="false">IF(F138="","",15*DATEDIF(E138,F138+1,"y")+I138-J138)</f>
        <v/>
      </c>
    </row>
    <row r="139" customFormat="false" ht="15" hidden="false" customHeight="false" outlineLevel="0" collapsed="false">
      <c r="B139" s="70" t="str">
        <f aca="false">IFERROR(IF(INDEX(T_ID,133)="","",INDEX(T_ID,133)),"")</f>
        <v/>
      </c>
      <c r="C139" s="70" t="str">
        <f aca="false">IF(B139="","",INDEX(T_NOMBRE,133)&amp;"")</f>
        <v/>
      </c>
      <c r="D139" s="70" t="str">
        <f aca="false">IF(B139="","",INDEX(T_ESTADO,133))</f>
        <v/>
      </c>
      <c r="E139" s="75" t="str">
        <f aca="false">IF(B139="","",INDEX(T_INGRESO,133))</f>
        <v/>
      </c>
      <c r="F139" s="75" t="str">
        <f aca="false">IF(OR(B139="",NOT(ISNUMBER(E139))),"",IF(E139&gt;FECHA_CORTE,"",IF(N(INDEX(T_EGRESO,133))&gt;0,MIN(INDEX(T_EGRESO,133),FECHA_CORTE),FECHA_CORTE)))</f>
        <v/>
      </c>
      <c r="G139" s="94" t="str">
        <f aca="false">IF(F139="","",DATEDIF(E139,F139+1,"m")+(F139+1-EDATE(E139,DATEDIF(E139,F139+1,"m")))/30)</f>
        <v/>
      </c>
      <c r="H139" s="95" t="str">
        <f aca="false">IF(F139="","",1.25*G139)</f>
        <v/>
      </c>
      <c r="I139" s="73" t="str">
        <f aca="false">IF(F139="","",SUMPRODUCT((ANIOS&lt;=DATEDIF(E139,F139+1,"y"))*(MIN(10,N(INDEX(T_PREV,133)))+ANIOS-10&gt;0)*INT((MIN(10,N(INDEX(T_PREV,133)))+ANIOS-10)/3)))</f>
        <v/>
      </c>
      <c r="J139" s="94" t="str">
        <f aca="false">IF(F139="","",SUMIFS(V_DIAS,V_ID,B139,V_INICIO,"&lt;="&amp;F139)+N(INDEX(T_VACPREV,133)))</f>
        <v/>
      </c>
      <c r="K139" s="95" t="str">
        <f aca="false">IF(F139="","",H139+I139-J139)</f>
        <v/>
      </c>
      <c r="L139" s="95" t="str">
        <f aca="false">IF(F139="","",IF(K139&lt;=0,K139,WORKDAY(F139,INT(K139),FERIADOS)-F139+(K139-INT(K139))))</f>
        <v/>
      </c>
      <c r="M139" s="71" t="str">
        <f aca="false">IF(F139="","",(N(INDEX(T_SUELDO,133))+N(INDEX(T_BONO,133)))/30)</f>
        <v/>
      </c>
      <c r="N139" s="71" t="str">
        <f aca="false">IF(F139="","",IF(D139="Desvinculado",0,ROUND(MAX(0,L139)*M139,0)))</f>
        <v/>
      </c>
      <c r="O139" s="73" t="str">
        <f aca="false">IF(F139="","",15+INT(MAX(0,MIN(10,N(INDEX(T_PREV,133)))+DATEDIF(E139,F139+1,"y")-10)/3))</f>
        <v/>
      </c>
      <c r="P139" s="70" t="str">
        <f aca="false">IF(F139="","",IF(D139="Desvinculado","— (se paga en el finiquito)",IF(Q139&gt;=2*O139,"⚠ Tiene 2 períodos acumulados: otorgar vacaciones antes de que se acumule un 3° (Art. 70)",IF(K139&lt;0,"⚠ Saldo negativo (vacaciones anticipadas)",IF(Q139&gt;=O139,"Programar vacaciones (tiene un período anual completo pendiente)","OK")))))</f>
        <v/>
      </c>
      <c r="Q139" s="94" t="str">
        <f aca="false">IF(F139="","",15*DATEDIF(E139,F139+1,"y")+I139-J139)</f>
        <v/>
      </c>
    </row>
    <row r="140" customFormat="false" ht="15" hidden="false" customHeight="false" outlineLevel="0" collapsed="false">
      <c r="B140" s="70" t="str">
        <f aca="false">IFERROR(IF(INDEX(T_ID,134)="","",INDEX(T_ID,134)),"")</f>
        <v/>
      </c>
      <c r="C140" s="70" t="str">
        <f aca="false">IF(B140="","",INDEX(T_NOMBRE,134)&amp;"")</f>
        <v/>
      </c>
      <c r="D140" s="70" t="str">
        <f aca="false">IF(B140="","",INDEX(T_ESTADO,134))</f>
        <v/>
      </c>
      <c r="E140" s="75" t="str">
        <f aca="false">IF(B140="","",INDEX(T_INGRESO,134))</f>
        <v/>
      </c>
      <c r="F140" s="75" t="str">
        <f aca="false">IF(OR(B140="",NOT(ISNUMBER(E140))),"",IF(E140&gt;FECHA_CORTE,"",IF(N(INDEX(T_EGRESO,134))&gt;0,MIN(INDEX(T_EGRESO,134),FECHA_CORTE),FECHA_CORTE)))</f>
        <v/>
      </c>
      <c r="G140" s="94" t="str">
        <f aca="false">IF(F140="","",DATEDIF(E140,F140+1,"m")+(F140+1-EDATE(E140,DATEDIF(E140,F140+1,"m")))/30)</f>
        <v/>
      </c>
      <c r="H140" s="95" t="str">
        <f aca="false">IF(F140="","",1.25*G140)</f>
        <v/>
      </c>
      <c r="I140" s="73" t="str">
        <f aca="false">IF(F140="","",SUMPRODUCT((ANIOS&lt;=DATEDIF(E140,F140+1,"y"))*(MIN(10,N(INDEX(T_PREV,134)))+ANIOS-10&gt;0)*INT((MIN(10,N(INDEX(T_PREV,134)))+ANIOS-10)/3)))</f>
        <v/>
      </c>
      <c r="J140" s="94" t="str">
        <f aca="false">IF(F140="","",SUMIFS(V_DIAS,V_ID,B140,V_INICIO,"&lt;="&amp;F140)+N(INDEX(T_VACPREV,134)))</f>
        <v/>
      </c>
      <c r="K140" s="95" t="str">
        <f aca="false">IF(F140="","",H140+I140-J140)</f>
        <v/>
      </c>
      <c r="L140" s="95" t="str">
        <f aca="false">IF(F140="","",IF(K140&lt;=0,K140,WORKDAY(F140,INT(K140),FERIADOS)-F140+(K140-INT(K140))))</f>
        <v/>
      </c>
      <c r="M140" s="71" t="str">
        <f aca="false">IF(F140="","",(N(INDEX(T_SUELDO,134))+N(INDEX(T_BONO,134)))/30)</f>
        <v/>
      </c>
      <c r="N140" s="71" t="str">
        <f aca="false">IF(F140="","",IF(D140="Desvinculado",0,ROUND(MAX(0,L140)*M140,0)))</f>
        <v/>
      </c>
      <c r="O140" s="73" t="str">
        <f aca="false">IF(F140="","",15+INT(MAX(0,MIN(10,N(INDEX(T_PREV,134)))+DATEDIF(E140,F140+1,"y")-10)/3))</f>
        <v/>
      </c>
      <c r="P140" s="70" t="str">
        <f aca="false">IF(F140="","",IF(D140="Desvinculado","— (se paga en el finiquito)",IF(Q140&gt;=2*O140,"⚠ Tiene 2 períodos acumulados: otorgar vacaciones antes de que se acumule un 3° (Art. 70)",IF(K140&lt;0,"⚠ Saldo negativo (vacaciones anticipadas)",IF(Q140&gt;=O140,"Programar vacaciones (tiene un período anual completo pendiente)","OK")))))</f>
        <v/>
      </c>
      <c r="Q140" s="94" t="str">
        <f aca="false">IF(F140="","",15*DATEDIF(E140,F140+1,"y")+I140-J140)</f>
        <v/>
      </c>
    </row>
    <row r="141" customFormat="false" ht="15" hidden="false" customHeight="false" outlineLevel="0" collapsed="false">
      <c r="B141" s="70" t="str">
        <f aca="false">IFERROR(IF(INDEX(T_ID,135)="","",INDEX(T_ID,135)),"")</f>
        <v/>
      </c>
      <c r="C141" s="70" t="str">
        <f aca="false">IF(B141="","",INDEX(T_NOMBRE,135)&amp;"")</f>
        <v/>
      </c>
      <c r="D141" s="70" t="str">
        <f aca="false">IF(B141="","",INDEX(T_ESTADO,135))</f>
        <v/>
      </c>
      <c r="E141" s="75" t="str">
        <f aca="false">IF(B141="","",INDEX(T_INGRESO,135))</f>
        <v/>
      </c>
      <c r="F141" s="75" t="str">
        <f aca="false">IF(OR(B141="",NOT(ISNUMBER(E141))),"",IF(E141&gt;FECHA_CORTE,"",IF(N(INDEX(T_EGRESO,135))&gt;0,MIN(INDEX(T_EGRESO,135),FECHA_CORTE),FECHA_CORTE)))</f>
        <v/>
      </c>
      <c r="G141" s="94" t="str">
        <f aca="false">IF(F141="","",DATEDIF(E141,F141+1,"m")+(F141+1-EDATE(E141,DATEDIF(E141,F141+1,"m")))/30)</f>
        <v/>
      </c>
      <c r="H141" s="95" t="str">
        <f aca="false">IF(F141="","",1.25*G141)</f>
        <v/>
      </c>
      <c r="I141" s="73" t="str">
        <f aca="false">IF(F141="","",SUMPRODUCT((ANIOS&lt;=DATEDIF(E141,F141+1,"y"))*(MIN(10,N(INDEX(T_PREV,135)))+ANIOS-10&gt;0)*INT((MIN(10,N(INDEX(T_PREV,135)))+ANIOS-10)/3)))</f>
        <v/>
      </c>
      <c r="J141" s="94" t="str">
        <f aca="false">IF(F141="","",SUMIFS(V_DIAS,V_ID,B141,V_INICIO,"&lt;="&amp;F141)+N(INDEX(T_VACPREV,135)))</f>
        <v/>
      </c>
      <c r="K141" s="95" t="str">
        <f aca="false">IF(F141="","",H141+I141-J141)</f>
        <v/>
      </c>
      <c r="L141" s="95" t="str">
        <f aca="false">IF(F141="","",IF(K141&lt;=0,K141,WORKDAY(F141,INT(K141),FERIADOS)-F141+(K141-INT(K141))))</f>
        <v/>
      </c>
      <c r="M141" s="71" t="str">
        <f aca="false">IF(F141="","",(N(INDEX(T_SUELDO,135))+N(INDEX(T_BONO,135)))/30)</f>
        <v/>
      </c>
      <c r="N141" s="71" t="str">
        <f aca="false">IF(F141="","",IF(D141="Desvinculado",0,ROUND(MAX(0,L141)*M141,0)))</f>
        <v/>
      </c>
      <c r="O141" s="73" t="str">
        <f aca="false">IF(F141="","",15+INT(MAX(0,MIN(10,N(INDEX(T_PREV,135)))+DATEDIF(E141,F141+1,"y")-10)/3))</f>
        <v/>
      </c>
      <c r="P141" s="70" t="str">
        <f aca="false">IF(F141="","",IF(D141="Desvinculado","— (se paga en el finiquito)",IF(Q141&gt;=2*O141,"⚠ Tiene 2 períodos acumulados: otorgar vacaciones antes de que se acumule un 3° (Art. 70)",IF(K141&lt;0,"⚠ Saldo negativo (vacaciones anticipadas)",IF(Q141&gt;=O141,"Programar vacaciones (tiene un período anual completo pendiente)","OK")))))</f>
        <v/>
      </c>
      <c r="Q141" s="94" t="str">
        <f aca="false">IF(F141="","",15*DATEDIF(E141,F141+1,"y")+I141-J141)</f>
        <v/>
      </c>
    </row>
    <row r="142" customFormat="false" ht="15" hidden="false" customHeight="false" outlineLevel="0" collapsed="false">
      <c r="B142" s="70" t="str">
        <f aca="false">IFERROR(IF(INDEX(T_ID,136)="","",INDEX(T_ID,136)),"")</f>
        <v/>
      </c>
      <c r="C142" s="70" t="str">
        <f aca="false">IF(B142="","",INDEX(T_NOMBRE,136)&amp;"")</f>
        <v/>
      </c>
      <c r="D142" s="70" t="str">
        <f aca="false">IF(B142="","",INDEX(T_ESTADO,136))</f>
        <v/>
      </c>
      <c r="E142" s="75" t="str">
        <f aca="false">IF(B142="","",INDEX(T_INGRESO,136))</f>
        <v/>
      </c>
      <c r="F142" s="75" t="str">
        <f aca="false">IF(OR(B142="",NOT(ISNUMBER(E142))),"",IF(E142&gt;FECHA_CORTE,"",IF(N(INDEX(T_EGRESO,136))&gt;0,MIN(INDEX(T_EGRESO,136),FECHA_CORTE),FECHA_CORTE)))</f>
        <v/>
      </c>
      <c r="G142" s="94" t="str">
        <f aca="false">IF(F142="","",DATEDIF(E142,F142+1,"m")+(F142+1-EDATE(E142,DATEDIF(E142,F142+1,"m")))/30)</f>
        <v/>
      </c>
      <c r="H142" s="95" t="str">
        <f aca="false">IF(F142="","",1.25*G142)</f>
        <v/>
      </c>
      <c r="I142" s="73" t="str">
        <f aca="false">IF(F142="","",SUMPRODUCT((ANIOS&lt;=DATEDIF(E142,F142+1,"y"))*(MIN(10,N(INDEX(T_PREV,136)))+ANIOS-10&gt;0)*INT((MIN(10,N(INDEX(T_PREV,136)))+ANIOS-10)/3)))</f>
        <v/>
      </c>
      <c r="J142" s="94" t="str">
        <f aca="false">IF(F142="","",SUMIFS(V_DIAS,V_ID,B142,V_INICIO,"&lt;="&amp;F142)+N(INDEX(T_VACPREV,136)))</f>
        <v/>
      </c>
      <c r="K142" s="95" t="str">
        <f aca="false">IF(F142="","",H142+I142-J142)</f>
        <v/>
      </c>
      <c r="L142" s="95" t="str">
        <f aca="false">IF(F142="","",IF(K142&lt;=0,K142,WORKDAY(F142,INT(K142),FERIADOS)-F142+(K142-INT(K142))))</f>
        <v/>
      </c>
      <c r="M142" s="71" t="str">
        <f aca="false">IF(F142="","",(N(INDEX(T_SUELDO,136))+N(INDEX(T_BONO,136)))/30)</f>
        <v/>
      </c>
      <c r="N142" s="71" t="str">
        <f aca="false">IF(F142="","",IF(D142="Desvinculado",0,ROUND(MAX(0,L142)*M142,0)))</f>
        <v/>
      </c>
      <c r="O142" s="73" t="str">
        <f aca="false">IF(F142="","",15+INT(MAX(0,MIN(10,N(INDEX(T_PREV,136)))+DATEDIF(E142,F142+1,"y")-10)/3))</f>
        <v/>
      </c>
      <c r="P142" s="70" t="str">
        <f aca="false">IF(F142="","",IF(D142="Desvinculado","— (se paga en el finiquito)",IF(Q142&gt;=2*O142,"⚠ Tiene 2 períodos acumulados: otorgar vacaciones antes de que se acumule un 3° (Art. 70)",IF(K142&lt;0,"⚠ Saldo negativo (vacaciones anticipadas)",IF(Q142&gt;=O142,"Programar vacaciones (tiene un período anual completo pendiente)","OK")))))</f>
        <v/>
      </c>
      <c r="Q142" s="94" t="str">
        <f aca="false">IF(F142="","",15*DATEDIF(E142,F142+1,"y")+I142-J142)</f>
        <v/>
      </c>
    </row>
    <row r="143" customFormat="false" ht="15" hidden="false" customHeight="false" outlineLevel="0" collapsed="false">
      <c r="B143" s="70" t="str">
        <f aca="false">IFERROR(IF(INDEX(T_ID,137)="","",INDEX(T_ID,137)),"")</f>
        <v/>
      </c>
      <c r="C143" s="70" t="str">
        <f aca="false">IF(B143="","",INDEX(T_NOMBRE,137)&amp;"")</f>
        <v/>
      </c>
      <c r="D143" s="70" t="str">
        <f aca="false">IF(B143="","",INDEX(T_ESTADO,137))</f>
        <v/>
      </c>
      <c r="E143" s="75" t="str">
        <f aca="false">IF(B143="","",INDEX(T_INGRESO,137))</f>
        <v/>
      </c>
      <c r="F143" s="75" t="str">
        <f aca="false">IF(OR(B143="",NOT(ISNUMBER(E143))),"",IF(E143&gt;FECHA_CORTE,"",IF(N(INDEX(T_EGRESO,137))&gt;0,MIN(INDEX(T_EGRESO,137),FECHA_CORTE),FECHA_CORTE)))</f>
        <v/>
      </c>
      <c r="G143" s="94" t="str">
        <f aca="false">IF(F143="","",DATEDIF(E143,F143+1,"m")+(F143+1-EDATE(E143,DATEDIF(E143,F143+1,"m")))/30)</f>
        <v/>
      </c>
      <c r="H143" s="95" t="str">
        <f aca="false">IF(F143="","",1.25*G143)</f>
        <v/>
      </c>
      <c r="I143" s="73" t="str">
        <f aca="false">IF(F143="","",SUMPRODUCT((ANIOS&lt;=DATEDIF(E143,F143+1,"y"))*(MIN(10,N(INDEX(T_PREV,137)))+ANIOS-10&gt;0)*INT((MIN(10,N(INDEX(T_PREV,137)))+ANIOS-10)/3)))</f>
        <v/>
      </c>
      <c r="J143" s="94" t="str">
        <f aca="false">IF(F143="","",SUMIFS(V_DIAS,V_ID,B143,V_INICIO,"&lt;="&amp;F143)+N(INDEX(T_VACPREV,137)))</f>
        <v/>
      </c>
      <c r="K143" s="95" t="str">
        <f aca="false">IF(F143="","",H143+I143-J143)</f>
        <v/>
      </c>
      <c r="L143" s="95" t="str">
        <f aca="false">IF(F143="","",IF(K143&lt;=0,K143,WORKDAY(F143,INT(K143),FERIADOS)-F143+(K143-INT(K143))))</f>
        <v/>
      </c>
      <c r="M143" s="71" t="str">
        <f aca="false">IF(F143="","",(N(INDEX(T_SUELDO,137))+N(INDEX(T_BONO,137)))/30)</f>
        <v/>
      </c>
      <c r="N143" s="71" t="str">
        <f aca="false">IF(F143="","",IF(D143="Desvinculado",0,ROUND(MAX(0,L143)*M143,0)))</f>
        <v/>
      </c>
      <c r="O143" s="73" t="str">
        <f aca="false">IF(F143="","",15+INT(MAX(0,MIN(10,N(INDEX(T_PREV,137)))+DATEDIF(E143,F143+1,"y")-10)/3))</f>
        <v/>
      </c>
      <c r="P143" s="70" t="str">
        <f aca="false">IF(F143="","",IF(D143="Desvinculado","— (se paga en el finiquito)",IF(Q143&gt;=2*O143,"⚠ Tiene 2 períodos acumulados: otorgar vacaciones antes de que se acumule un 3° (Art. 70)",IF(K143&lt;0,"⚠ Saldo negativo (vacaciones anticipadas)",IF(Q143&gt;=O143,"Programar vacaciones (tiene un período anual completo pendiente)","OK")))))</f>
        <v/>
      </c>
      <c r="Q143" s="94" t="str">
        <f aca="false">IF(F143="","",15*DATEDIF(E143,F143+1,"y")+I143-J143)</f>
        <v/>
      </c>
    </row>
    <row r="144" customFormat="false" ht="15" hidden="false" customHeight="false" outlineLevel="0" collapsed="false">
      <c r="B144" s="70" t="str">
        <f aca="false">IFERROR(IF(INDEX(T_ID,138)="","",INDEX(T_ID,138)),"")</f>
        <v/>
      </c>
      <c r="C144" s="70" t="str">
        <f aca="false">IF(B144="","",INDEX(T_NOMBRE,138)&amp;"")</f>
        <v/>
      </c>
      <c r="D144" s="70" t="str">
        <f aca="false">IF(B144="","",INDEX(T_ESTADO,138))</f>
        <v/>
      </c>
      <c r="E144" s="75" t="str">
        <f aca="false">IF(B144="","",INDEX(T_INGRESO,138))</f>
        <v/>
      </c>
      <c r="F144" s="75" t="str">
        <f aca="false">IF(OR(B144="",NOT(ISNUMBER(E144))),"",IF(E144&gt;FECHA_CORTE,"",IF(N(INDEX(T_EGRESO,138))&gt;0,MIN(INDEX(T_EGRESO,138),FECHA_CORTE),FECHA_CORTE)))</f>
        <v/>
      </c>
      <c r="G144" s="94" t="str">
        <f aca="false">IF(F144="","",DATEDIF(E144,F144+1,"m")+(F144+1-EDATE(E144,DATEDIF(E144,F144+1,"m")))/30)</f>
        <v/>
      </c>
      <c r="H144" s="95" t="str">
        <f aca="false">IF(F144="","",1.25*G144)</f>
        <v/>
      </c>
      <c r="I144" s="73" t="str">
        <f aca="false">IF(F144="","",SUMPRODUCT((ANIOS&lt;=DATEDIF(E144,F144+1,"y"))*(MIN(10,N(INDEX(T_PREV,138)))+ANIOS-10&gt;0)*INT((MIN(10,N(INDEX(T_PREV,138)))+ANIOS-10)/3)))</f>
        <v/>
      </c>
      <c r="J144" s="94" t="str">
        <f aca="false">IF(F144="","",SUMIFS(V_DIAS,V_ID,B144,V_INICIO,"&lt;="&amp;F144)+N(INDEX(T_VACPREV,138)))</f>
        <v/>
      </c>
      <c r="K144" s="95" t="str">
        <f aca="false">IF(F144="","",H144+I144-J144)</f>
        <v/>
      </c>
      <c r="L144" s="95" t="str">
        <f aca="false">IF(F144="","",IF(K144&lt;=0,K144,WORKDAY(F144,INT(K144),FERIADOS)-F144+(K144-INT(K144))))</f>
        <v/>
      </c>
      <c r="M144" s="71" t="str">
        <f aca="false">IF(F144="","",(N(INDEX(T_SUELDO,138))+N(INDEX(T_BONO,138)))/30)</f>
        <v/>
      </c>
      <c r="N144" s="71" t="str">
        <f aca="false">IF(F144="","",IF(D144="Desvinculado",0,ROUND(MAX(0,L144)*M144,0)))</f>
        <v/>
      </c>
      <c r="O144" s="73" t="str">
        <f aca="false">IF(F144="","",15+INT(MAX(0,MIN(10,N(INDEX(T_PREV,138)))+DATEDIF(E144,F144+1,"y")-10)/3))</f>
        <v/>
      </c>
      <c r="P144" s="70" t="str">
        <f aca="false">IF(F144="","",IF(D144="Desvinculado","— (se paga en el finiquito)",IF(Q144&gt;=2*O144,"⚠ Tiene 2 períodos acumulados: otorgar vacaciones antes de que se acumule un 3° (Art. 70)",IF(K144&lt;0,"⚠ Saldo negativo (vacaciones anticipadas)",IF(Q144&gt;=O144,"Programar vacaciones (tiene un período anual completo pendiente)","OK")))))</f>
        <v/>
      </c>
      <c r="Q144" s="94" t="str">
        <f aca="false">IF(F144="","",15*DATEDIF(E144,F144+1,"y")+I144-J144)</f>
        <v/>
      </c>
    </row>
    <row r="145" customFormat="false" ht="15" hidden="false" customHeight="false" outlineLevel="0" collapsed="false">
      <c r="B145" s="70" t="str">
        <f aca="false">IFERROR(IF(INDEX(T_ID,139)="","",INDEX(T_ID,139)),"")</f>
        <v/>
      </c>
      <c r="C145" s="70" t="str">
        <f aca="false">IF(B145="","",INDEX(T_NOMBRE,139)&amp;"")</f>
        <v/>
      </c>
      <c r="D145" s="70" t="str">
        <f aca="false">IF(B145="","",INDEX(T_ESTADO,139))</f>
        <v/>
      </c>
      <c r="E145" s="75" t="str">
        <f aca="false">IF(B145="","",INDEX(T_INGRESO,139))</f>
        <v/>
      </c>
      <c r="F145" s="75" t="str">
        <f aca="false">IF(OR(B145="",NOT(ISNUMBER(E145))),"",IF(E145&gt;FECHA_CORTE,"",IF(N(INDEX(T_EGRESO,139))&gt;0,MIN(INDEX(T_EGRESO,139),FECHA_CORTE),FECHA_CORTE)))</f>
        <v/>
      </c>
      <c r="G145" s="94" t="str">
        <f aca="false">IF(F145="","",DATEDIF(E145,F145+1,"m")+(F145+1-EDATE(E145,DATEDIF(E145,F145+1,"m")))/30)</f>
        <v/>
      </c>
      <c r="H145" s="95" t="str">
        <f aca="false">IF(F145="","",1.25*G145)</f>
        <v/>
      </c>
      <c r="I145" s="73" t="str">
        <f aca="false">IF(F145="","",SUMPRODUCT((ANIOS&lt;=DATEDIF(E145,F145+1,"y"))*(MIN(10,N(INDEX(T_PREV,139)))+ANIOS-10&gt;0)*INT((MIN(10,N(INDEX(T_PREV,139)))+ANIOS-10)/3)))</f>
        <v/>
      </c>
      <c r="J145" s="94" t="str">
        <f aca="false">IF(F145="","",SUMIFS(V_DIAS,V_ID,B145,V_INICIO,"&lt;="&amp;F145)+N(INDEX(T_VACPREV,139)))</f>
        <v/>
      </c>
      <c r="K145" s="95" t="str">
        <f aca="false">IF(F145="","",H145+I145-J145)</f>
        <v/>
      </c>
      <c r="L145" s="95" t="str">
        <f aca="false">IF(F145="","",IF(K145&lt;=0,K145,WORKDAY(F145,INT(K145),FERIADOS)-F145+(K145-INT(K145))))</f>
        <v/>
      </c>
      <c r="M145" s="71" t="str">
        <f aca="false">IF(F145="","",(N(INDEX(T_SUELDO,139))+N(INDEX(T_BONO,139)))/30)</f>
        <v/>
      </c>
      <c r="N145" s="71" t="str">
        <f aca="false">IF(F145="","",IF(D145="Desvinculado",0,ROUND(MAX(0,L145)*M145,0)))</f>
        <v/>
      </c>
      <c r="O145" s="73" t="str">
        <f aca="false">IF(F145="","",15+INT(MAX(0,MIN(10,N(INDEX(T_PREV,139)))+DATEDIF(E145,F145+1,"y")-10)/3))</f>
        <v/>
      </c>
      <c r="P145" s="70" t="str">
        <f aca="false">IF(F145="","",IF(D145="Desvinculado","— (se paga en el finiquito)",IF(Q145&gt;=2*O145,"⚠ Tiene 2 períodos acumulados: otorgar vacaciones antes de que se acumule un 3° (Art. 70)",IF(K145&lt;0,"⚠ Saldo negativo (vacaciones anticipadas)",IF(Q145&gt;=O145,"Programar vacaciones (tiene un período anual completo pendiente)","OK")))))</f>
        <v/>
      </c>
      <c r="Q145" s="94" t="str">
        <f aca="false">IF(F145="","",15*DATEDIF(E145,F145+1,"y")+I145-J145)</f>
        <v/>
      </c>
    </row>
    <row r="146" customFormat="false" ht="15" hidden="false" customHeight="false" outlineLevel="0" collapsed="false">
      <c r="B146" s="70" t="str">
        <f aca="false">IFERROR(IF(INDEX(T_ID,140)="","",INDEX(T_ID,140)),"")</f>
        <v/>
      </c>
      <c r="C146" s="70" t="str">
        <f aca="false">IF(B146="","",INDEX(T_NOMBRE,140)&amp;"")</f>
        <v/>
      </c>
      <c r="D146" s="70" t="str">
        <f aca="false">IF(B146="","",INDEX(T_ESTADO,140))</f>
        <v/>
      </c>
      <c r="E146" s="75" t="str">
        <f aca="false">IF(B146="","",INDEX(T_INGRESO,140))</f>
        <v/>
      </c>
      <c r="F146" s="75" t="str">
        <f aca="false">IF(OR(B146="",NOT(ISNUMBER(E146))),"",IF(E146&gt;FECHA_CORTE,"",IF(N(INDEX(T_EGRESO,140))&gt;0,MIN(INDEX(T_EGRESO,140),FECHA_CORTE),FECHA_CORTE)))</f>
        <v/>
      </c>
      <c r="G146" s="94" t="str">
        <f aca="false">IF(F146="","",DATEDIF(E146,F146+1,"m")+(F146+1-EDATE(E146,DATEDIF(E146,F146+1,"m")))/30)</f>
        <v/>
      </c>
      <c r="H146" s="95" t="str">
        <f aca="false">IF(F146="","",1.25*G146)</f>
        <v/>
      </c>
      <c r="I146" s="73" t="str">
        <f aca="false">IF(F146="","",SUMPRODUCT((ANIOS&lt;=DATEDIF(E146,F146+1,"y"))*(MIN(10,N(INDEX(T_PREV,140)))+ANIOS-10&gt;0)*INT((MIN(10,N(INDEX(T_PREV,140)))+ANIOS-10)/3)))</f>
        <v/>
      </c>
      <c r="J146" s="94" t="str">
        <f aca="false">IF(F146="","",SUMIFS(V_DIAS,V_ID,B146,V_INICIO,"&lt;="&amp;F146)+N(INDEX(T_VACPREV,140)))</f>
        <v/>
      </c>
      <c r="K146" s="95" t="str">
        <f aca="false">IF(F146="","",H146+I146-J146)</f>
        <v/>
      </c>
      <c r="L146" s="95" t="str">
        <f aca="false">IF(F146="","",IF(K146&lt;=0,K146,WORKDAY(F146,INT(K146),FERIADOS)-F146+(K146-INT(K146))))</f>
        <v/>
      </c>
      <c r="M146" s="71" t="str">
        <f aca="false">IF(F146="","",(N(INDEX(T_SUELDO,140))+N(INDEX(T_BONO,140)))/30)</f>
        <v/>
      </c>
      <c r="N146" s="71" t="str">
        <f aca="false">IF(F146="","",IF(D146="Desvinculado",0,ROUND(MAX(0,L146)*M146,0)))</f>
        <v/>
      </c>
      <c r="O146" s="73" t="str">
        <f aca="false">IF(F146="","",15+INT(MAX(0,MIN(10,N(INDEX(T_PREV,140)))+DATEDIF(E146,F146+1,"y")-10)/3))</f>
        <v/>
      </c>
      <c r="P146" s="70" t="str">
        <f aca="false">IF(F146="","",IF(D146="Desvinculado","— (se paga en el finiquito)",IF(Q146&gt;=2*O146,"⚠ Tiene 2 períodos acumulados: otorgar vacaciones antes de que se acumule un 3° (Art. 70)",IF(K146&lt;0,"⚠ Saldo negativo (vacaciones anticipadas)",IF(Q146&gt;=O146,"Programar vacaciones (tiene un período anual completo pendiente)","OK")))))</f>
        <v/>
      </c>
      <c r="Q146" s="94" t="str">
        <f aca="false">IF(F146="","",15*DATEDIF(E146,F146+1,"y")+I146-J146)</f>
        <v/>
      </c>
    </row>
    <row r="147" customFormat="false" ht="15" hidden="false" customHeight="false" outlineLevel="0" collapsed="false">
      <c r="B147" s="70" t="str">
        <f aca="false">IFERROR(IF(INDEX(T_ID,141)="","",INDEX(T_ID,141)),"")</f>
        <v/>
      </c>
      <c r="C147" s="70" t="str">
        <f aca="false">IF(B147="","",INDEX(T_NOMBRE,141)&amp;"")</f>
        <v/>
      </c>
      <c r="D147" s="70" t="str">
        <f aca="false">IF(B147="","",INDEX(T_ESTADO,141))</f>
        <v/>
      </c>
      <c r="E147" s="75" t="str">
        <f aca="false">IF(B147="","",INDEX(T_INGRESO,141))</f>
        <v/>
      </c>
      <c r="F147" s="75" t="str">
        <f aca="false">IF(OR(B147="",NOT(ISNUMBER(E147))),"",IF(E147&gt;FECHA_CORTE,"",IF(N(INDEX(T_EGRESO,141))&gt;0,MIN(INDEX(T_EGRESO,141),FECHA_CORTE),FECHA_CORTE)))</f>
        <v/>
      </c>
      <c r="G147" s="94" t="str">
        <f aca="false">IF(F147="","",DATEDIF(E147,F147+1,"m")+(F147+1-EDATE(E147,DATEDIF(E147,F147+1,"m")))/30)</f>
        <v/>
      </c>
      <c r="H147" s="95" t="str">
        <f aca="false">IF(F147="","",1.25*G147)</f>
        <v/>
      </c>
      <c r="I147" s="73" t="str">
        <f aca="false">IF(F147="","",SUMPRODUCT((ANIOS&lt;=DATEDIF(E147,F147+1,"y"))*(MIN(10,N(INDEX(T_PREV,141)))+ANIOS-10&gt;0)*INT((MIN(10,N(INDEX(T_PREV,141)))+ANIOS-10)/3)))</f>
        <v/>
      </c>
      <c r="J147" s="94" t="str">
        <f aca="false">IF(F147="","",SUMIFS(V_DIAS,V_ID,B147,V_INICIO,"&lt;="&amp;F147)+N(INDEX(T_VACPREV,141)))</f>
        <v/>
      </c>
      <c r="K147" s="95" t="str">
        <f aca="false">IF(F147="","",H147+I147-J147)</f>
        <v/>
      </c>
      <c r="L147" s="95" t="str">
        <f aca="false">IF(F147="","",IF(K147&lt;=0,K147,WORKDAY(F147,INT(K147),FERIADOS)-F147+(K147-INT(K147))))</f>
        <v/>
      </c>
      <c r="M147" s="71" t="str">
        <f aca="false">IF(F147="","",(N(INDEX(T_SUELDO,141))+N(INDEX(T_BONO,141)))/30)</f>
        <v/>
      </c>
      <c r="N147" s="71" t="str">
        <f aca="false">IF(F147="","",IF(D147="Desvinculado",0,ROUND(MAX(0,L147)*M147,0)))</f>
        <v/>
      </c>
      <c r="O147" s="73" t="str">
        <f aca="false">IF(F147="","",15+INT(MAX(0,MIN(10,N(INDEX(T_PREV,141)))+DATEDIF(E147,F147+1,"y")-10)/3))</f>
        <v/>
      </c>
      <c r="P147" s="70" t="str">
        <f aca="false">IF(F147="","",IF(D147="Desvinculado","— (se paga en el finiquito)",IF(Q147&gt;=2*O147,"⚠ Tiene 2 períodos acumulados: otorgar vacaciones antes de que se acumule un 3° (Art. 70)",IF(K147&lt;0,"⚠ Saldo negativo (vacaciones anticipadas)",IF(Q147&gt;=O147,"Programar vacaciones (tiene un período anual completo pendiente)","OK")))))</f>
        <v/>
      </c>
      <c r="Q147" s="94" t="str">
        <f aca="false">IF(F147="","",15*DATEDIF(E147,F147+1,"y")+I147-J147)</f>
        <v/>
      </c>
    </row>
    <row r="148" customFormat="false" ht="15" hidden="false" customHeight="false" outlineLevel="0" collapsed="false">
      <c r="B148" s="70" t="str">
        <f aca="false">IFERROR(IF(INDEX(T_ID,142)="","",INDEX(T_ID,142)),"")</f>
        <v/>
      </c>
      <c r="C148" s="70" t="str">
        <f aca="false">IF(B148="","",INDEX(T_NOMBRE,142)&amp;"")</f>
        <v/>
      </c>
      <c r="D148" s="70" t="str">
        <f aca="false">IF(B148="","",INDEX(T_ESTADO,142))</f>
        <v/>
      </c>
      <c r="E148" s="75" t="str">
        <f aca="false">IF(B148="","",INDEX(T_INGRESO,142))</f>
        <v/>
      </c>
      <c r="F148" s="75" t="str">
        <f aca="false">IF(OR(B148="",NOT(ISNUMBER(E148))),"",IF(E148&gt;FECHA_CORTE,"",IF(N(INDEX(T_EGRESO,142))&gt;0,MIN(INDEX(T_EGRESO,142),FECHA_CORTE),FECHA_CORTE)))</f>
        <v/>
      </c>
      <c r="G148" s="94" t="str">
        <f aca="false">IF(F148="","",DATEDIF(E148,F148+1,"m")+(F148+1-EDATE(E148,DATEDIF(E148,F148+1,"m")))/30)</f>
        <v/>
      </c>
      <c r="H148" s="95" t="str">
        <f aca="false">IF(F148="","",1.25*G148)</f>
        <v/>
      </c>
      <c r="I148" s="73" t="str">
        <f aca="false">IF(F148="","",SUMPRODUCT((ANIOS&lt;=DATEDIF(E148,F148+1,"y"))*(MIN(10,N(INDEX(T_PREV,142)))+ANIOS-10&gt;0)*INT((MIN(10,N(INDEX(T_PREV,142)))+ANIOS-10)/3)))</f>
        <v/>
      </c>
      <c r="J148" s="94" t="str">
        <f aca="false">IF(F148="","",SUMIFS(V_DIAS,V_ID,B148,V_INICIO,"&lt;="&amp;F148)+N(INDEX(T_VACPREV,142)))</f>
        <v/>
      </c>
      <c r="K148" s="95" t="str">
        <f aca="false">IF(F148="","",H148+I148-J148)</f>
        <v/>
      </c>
      <c r="L148" s="95" t="str">
        <f aca="false">IF(F148="","",IF(K148&lt;=0,K148,WORKDAY(F148,INT(K148),FERIADOS)-F148+(K148-INT(K148))))</f>
        <v/>
      </c>
      <c r="M148" s="71" t="str">
        <f aca="false">IF(F148="","",(N(INDEX(T_SUELDO,142))+N(INDEX(T_BONO,142)))/30)</f>
        <v/>
      </c>
      <c r="N148" s="71" t="str">
        <f aca="false">IF(F148="","",IF(D148="Desvinculado",0,ROUND(MAX(0,L148)*M148,0)))</f>
        <v/>
      </c>
      <c r="O148" s="73" t="str">
        <f aca="false">IF(F148="","",15+INT(MAX(0,MIN(10,N(INDEX(T_PREV,142)))+DATEDIF(E148,F148+1,"y")-10)/3))</f>
        <v/>
      </c>
      <c r="P148" s="70" t="str">
        <f aca="false">IF(F148="","",IF(D148="Desvinculado","— (se paga en el finiquito)",IF(Q148&gt;=2*O148,"⚠ Tiene 2 períodos acumulados: otorgar vacaciones antes de que se acumule un 3° (Art. 70)",IF(K148&lt;0,"⚠ Saldo negativo (vacaciones anticipadas)",IF(Q148&gt;=O148,"Programar vacaciones (tiene un período anual completo pendiente)","OK")))))</f>
        <v/>
      </c>
      <c r="Q148" s="94" t="str">
        <f aca="false">IF(F148="","",15*DATEDIF(E148,F148+1,"y")+I148-J148)</f>
        <v/>
      </c>
    </row>
    <row r="149" customFormat="false" ht="15" hidden="false" customHeight="false" outlineLevel="0" collapsed="false">
      <c r="B149" s="70" t="str">
        <f aca="false">IFERROR(IF(INDEX(T_ID,143)="","",INDEX(T_ID,143)),"")</f>
        <v/>
      </c>
      <c r="C149" s="70" t="str">
        <f aca="false">IF(B149="","",INDEX(T_NOMBRE,143)&amp;"")</f>
        <v/>
      </c>
      <c r="D149" s="70" t="str">
        <f aca="false">IF(B149="","",INDEX(T_ESTADO,143))</f>
        <v/>
      </c>
      <c r="E149" s="75" t="str">
        <f aca="false">IF(B149="","",INDEX(T_INGRESO,143))</f>
        <v/>
      </c>
      <c r="F149" s="75" t="str">
        <f aca="false">IF(OR(B149="",NOT(ISNUMBER(E149))),"",IF(E149&gt;FECHA_CORTE,"",IF(N(INDEX(T_EGRESO,143))&gt;0,MIN(INDEX(T_EGRESO,143),FECHA_CORTE),FECHA_CORTE)))</f>
        <v/>
      </c>
      <c r="G149" s="94" t="str">
        <f aca="false">IF(F149="","",DATEDIF(E149,F149+1,"m")+(F149+1-EDATE(E149,DATEDIF(E149,F149+1,"m")))/30)</f>
        <v/>
      </c>
      <c r="H149" s="95" t="str">
        <f aca="false">IF(F149="","",1.25*G149)</f>
        <v/>
      </c>
      <c r="I149" s="73" t="str">
        <f aca="false">IF(F149="","",SUMPRODUCT((ANIOS&lt;=DATEDIF(E149,F149+1,"y"))*(MIN(10,N(INDEX(T_PREV,143)))+ANIOS-10&gt;0)*INT((MIN(10,N(INDEX(T_PREV,143)))+ANIOS-10)/3)))</f>
        <v/>
      </c>
      <c r="J149" s="94" t="str">
        <f aca="false">IF(F149="","",SUMIFS(V_DIAS,V_ID,B149,V_INICIO,"&lt;="&amp;F149)+N(INDEX(T_VACPREV,143)))</f>
        <v/>
      </c>
      <c r="K149" s="95" t="str">
        <f aca="false">IF(F149="","",H149+I149-J149)</f>
        <v/>
      </c>
      <c r="L149" s="95" t="str">
        <f aca="false">IF(F149="","",IF(K149&lt;=0,K149,WORKDAY(F149,INT(K149),FERIADOS)-F149+(K149-INT(K149))))</f>
        <v/>
      </c>
      <c r="M149" s="71" t="str">
        <f aca="false">IF(F149="","",(N(INDEX(T_SUELDO,143))+N(INDEX(T_BONO,143)))/30)</f>
        <v/>
      </c>
      <c r="N149" s="71" t="str">
        <f aca="false">IF(F149="","",IF(D149="Desvinculado",0,ROUND(MAX(0,L149)*M149,0)))</f>
        <v/>
      </c>
      <c r="O149" s="73" t="str">
        <f aca="false">IF(F149="","",15+INT(MAX(0,MIN(10,N(INDEX(T_PREV,143)))+DATEDIF(E149,F149+1,"y")-10)/3))</f>
        <v/>
      </c>
      <c r="P149" s="70" t="str">
        <f aca="false">IF(F149="","",IF(D149="Desvinculado","— (se paga en el finiquito)",IF(Q149&gt;=2*O149,"⚠ Tiene 2 períodos acumulados: otorgar vacaciones antes de que se acumule un 3° (Art. 70)",IF(K149&lt;0,"⚠ Saldo negativo (vacaciones anticipadas)",IF(Q149&gt;=O149,"Programar vacaciones (tiene un período anual completo pendiente)","OK")))))</f>
        <v/>
      </c>
      <c r="Q149" s="94" t="str">
        <f aca="false">IF(F149="","",15*DATEDIF(E149,F149+1,"y")+I149-J149)</f>
        <v/>
      </c>
    </row>
    <row r="150" customFormat="false" ht="15" hidden="false" customHeight="false" outlineLevel="0" collapsed="false">
      <c r="B150" s="70" t="str">
        <f aca="false">IFERROR(IF(INDEX(T_ID,144)="","",INDEX(T_ID,144)),"")</f>
        <v/>
      </c>
      <c r="C150" s="70" t="str">
        <f aca="false">IF(B150="","",INDEX(T_NOMBRE,144)&amp;"")</f>
        <v/>
      </c>
      <c r="D150" s="70" t="str">
        <f aca="false">IF(B150="","",INDEX(T_ESTADO,144))</f>
        <v/>
      </c>
      <c r="E150" s="75" t="str">
        <f aca="false">IF(B150="","",INDEX(T_INGRESO,144))</f>
        <v/>
      </c>
      <c r="F150" s="75" t="str">
        <f aca="false">IF(OR(B150="",NOT(ISNUMBER(E150))),"",IF(E150&gt;FECHA_CORTE,"",IF(N(INDEX(T_EGRESO,144))&gt;0,MIN(INDEX(T_EGRESO,144),FECHA_CORTE),FECHA_CORTE)))</f>
        <v/>
      </c>
      <c r="G150" s="94" t="str">
        <f aca="false">IF(F150="","",DATEDIF(E150,F150+1,"m")+(F150+1-EDATE(E150,DATEDIF(E150,F150+1,"m")))/30)</f>
        <v/>
      </c>
      <c r="H150" s="95" t="str">
        <f aca="false">IF(F150="","",1.25*G150)</f>
        <v/>
      </c>
      <c r="I150" s="73" t="str">
        <f aca="false">IF(F150="","",SUMPRODUCT((ANIOS&lt;=DATEDIF(E150,F150+1,"y"))*(MIN(10,N(INDEX(T_PREV,144)))+ANIOS-10&gt;0)*INT((MIN(10,N(INDEX(T_PREV,144)))+ANIOS-10)/3)))</f>
        <v/>
      </c>
      <c r="J150" s="94" t="str">
        <f aca="false">IF(F150="","",SUMIFS(V_DIAS,V_ID,B150,V_INICIO,"&lt;="&amp;F150)+N(INDEX(T_VACPREV,144)))</f>
        <v/>
      </c>
      <c r="K150" s="95" t="str">
        <f aca="false">IF(F150="","",H150+I150-J150)</f>
        <v/>
      </c>
      <c r="L150" s="95" t="str">
        <f aca="false">IF(F150="","",IF(K150&lt;=0,K150,WORKDAY(F150,INT(K150),FERIADOS)-F150+(K150-INT(K150))))</f>
        <v/>
      </c>
      <c r="M150" s="71" t="str">
        <f aca="false">IF(F150="","",(N(INDEX(T_SUELDO,144))+N(INDEX(T_BONO,144)))/30)</f>
        <v/>
      </c>
      <c r="N150" s="71" t="str">
        <f aca="false">IF(F150="","",IF(D150="Desvinculado",0,ROUND(MAX(0,L150)*M150,0)))</f>
        <v/>
      </c>
      <c r="O150" s="73" t="str">
        <f aca="false">IF(F150="","",15+INT(MAX(0,MIN(10,N(INDEX(T_PREV,144)))+DATEDIF(E150,F150+1,"y")-10)/3))</f>
        <v/>
      </c>
      <c r="P150" s="70" t="str">
        <f aca="false">IF(F150="","",IF(D150="Desvinculado","— (se paga en el finiquito)",IF(Q150&gt;=2*O150,"⚠ Tiene 2 períodos acumulados: otorgar vacaciones antes de que se acumule un 3° (Art. 70)",IF(K150&lt;0,"⚠ Saldo negativo (vacaciones anticipadas)",IF(Q150&gt;=O150,"Programar vacaciones (tiene un período anual completo pendiente)","OK")))))</f>
        <v/>
      </c>
      <c r="Q150" s="94" t="str">
        <f aca="false">IF(F150="","",15*DATEDIF(E150,F150+1,"y")+I150-J150)</f>
        <v/>
      </c>
    </row>
    <row r="151" customFormat="false" ht="15" hidden="false" customHeight="false" outlineLevel="0" collapsed="false">
      <c r="B151" s="70" t="str">
        <f aca="false">IFERROR(IF(INDEX(T_ID,145)="","",INDEX(T_ID,145)),"")</f>
        <v/>
      </c>
      <c r="C151" s="70" t="str">
        <f aca="false">IF(B151="","",INDEX(T_NOMBRE,145)&amp;"")</f>
        <v/>
      </c>
      <c r="D151" s="70" t="str">
        <f aca="false">IF(B151="","",INDEX(T_ESTADO,145))</f>
        <v/>
      </c>
      <c r="E151" s="75" t="str">
        <f aca="false">IF(B151="","",INDEX(T_INGRESO,145))</f>
        <v/>
      </c>
      <c r="F151" s="75" t="str">
        <f aca="false">IF(OR(B151="",NOT(ISNUMBER(E151))),"",IF(E151&gt;FECHA_CORTE,"",IF(N(INDEX(T_EGRESO,145))&gt;0,MIN(INDEX(T_EGRESO,145),FECHA_CORTE),FECHA_CORTE)))</f>
        <v/>
      </c>
      <c r="G151" s="94" t="str">
        <f aca="false">IF(F151="","",DATEDIF(E151,F151+1,"m")+(F151+1-EDATE(E151,DATEDIF(E151,F151+1,"m")))/30)</f>
        <v/>
      </c>
      <c r="H151" s="95" t="str">
        <f aca="false">IF(F151="","",1.25*G151)</f>
        <v/>
      </c>
      <c r="I151" s="73" t="str">
        <f aca="false">IF(F151="","",SUMPRODUCT((ANIOS&lt;=DATEDIF(E151,F151+1,"y"))*(MIN(10,N(INDEX(T_PREV,145)))+ANIOS-10&gt;0)*INT((MIN(10,N(INDEX(T_PREV,145)))+ANIOS-10)/3)))</f>
        <v/>
      </c>
      <c r="J151" s="94" t="str">
        <f aca="false">IF(F151="","",SUMIFS(V_DIAS,V_ID,B151,V_INICIO,"&lt;="&amp;F151)+N(INDEX(T_VACPREV,145)))</f>
        <v/>
      </c>
      <c r="K151" s="95" t="str">
        <f aca="false">IF(F151="","",H151+I151-J151)</f>
        <v/>
      </c>
      <c r="L151" s="95" t="str">
        <f aca="false">IF(F151="","",IF(K151&lt;=0,K151,WORKDAY(F151,INT(K151),FERIADOS)-F151+(K151-INT(K151))))</f>
        <v/>
      </c>
      <c r="M151" s="71" t="str">
        <f aca="false">IF(F151="","",(N(INDEX(T_SUELDO,145))+N(INDEX(T_BONO,145)))/30)</f>
        <v/>
      </c>
      <c r="N151" s="71" t="str">
        <f aca="false">IF(F151="","",IF(D151="Desvinculado",0,ROUND(MAX(0,L151)*M151,0)))</f>
        <v/>
      </c>
      <c r="O151" s="73" t="str">
        <f aca="false">IF(F151="","",15+INT(MAX(0,MIN(10,N(INDEX(T_PREV,145)))+DATEDIF(E151,F151+1,"y")-10)/3))</f>
        <v/>
      </c>
      <c r="P151" s="70" t="str">
        <f aca="false">IF(F151="","",IF(D151="Desvinculado","— (se paga en el finiquito)",IF(Q151&gt;=2*O151,"⚠ Tiene 2 períodos acumulados: otorgar vacaciones antes de que se acumule un 3° (Art. 70)",IF(K151&lt;0,"⚠ Saldo negativo (vacaciones anticipadas)",IF(Q151&gt;=O151,"Programar vacaciones (tiene un período anual completo pendiente)","OK")))))</f>
        <v/>
      </c>
      <c r="Q151" s="94" t="str">
        <f aca="false">IF(F151="","",15*DATEDIF(E151,F151+1,"y")+I151-J151)</f>
        <v/>
      </c>
    </row>
    <row r="152" customFormat="false" ht="15" hidden="false" customHeight="false" outlineLevel="0" collapsed="false">
      <c r="B152" s="70" t="str">
        <f aca="false">IFERROR(IF(INDEX(T_ID,146)="","",INDEX(T_ID,146)),"")</f>
        <v/>
      </c>
      <c r="C152" s="70" t="str">
        <f aca="false">IF(B152="","",INDEX(T_NOMBRE,146)&amp;"")</f>
        <v/>
      </c>
      <c r="D152" s="70" t="str">
        <f aca="false">IF(B152="","",INDEX(T_ESTADO,146))</f>
        <v/>
      </c>
      <c r="E152" s="75" t="str">
        <f aca="false">IF(B152="","",INDEX(T_INGRESO,146))</f>
        <v/>
      </c>
      <c r="F152" s="75" t="str">
        <f aca="false">IF(OR(B152="",NOT(ISNUMBER(E152))),"",IF(E152&gt;FECHA_CORTE,"",IF(N(INDEX(T_EGRESO,146))&gt;0,MIN(INDEX(T_EGRESO,146),FECHA_CORTE),FECHA_CORTE)))</f>
        <v/>
      </c>
      <c r="G152" s="94" t="str">
        <f aca="false">IF(F152="","",DATEDIF(E152,F152+1,"m")+(F152+1-EDATE(E152,DATEDIF(E152,F152+1,"m")))/30)</f>
        <v/>
      </c>
      <c r="H152" s="95" t="str">
        <f aca="false">IF(F152="","",1.25*G152)</f>
        <v/>
      </c>
      <c r="I152" s="73" t="str">
        <f aca="false">IF(F152="","",SUMPRODUCT((ANIOS&lt;=DATEDIF(E152,F152+1,"y"))*(MIN(10,N(INDEX(T_PREV,146)))+ANIOS-10&gt;0)*INT((MIN(10,N(INDEX(T_PREV,146)))+ANIOS-10)/3)))</f>
        <v/>
      </c>
      <c r="J152" s="94" t="str">
        <f aca="false">IF(F152="","",SUMIFS(V_DIAS,V_ID,B152,V_INICIO,"&lt;="&amp;F152)+N(INDEX(T_VACPREV,146)))</f>
        <v/>
      </c>
      <c r="K152" s="95" t="str">
        <f aca="false">IF(F152="","",H152+I152-J152)</f>
        <v/>
      </c>
      <c r="L152" s="95" t="str">
        <f aca="false">IF(F152="","",IF(K152&lt;=0,K152,WORKDAY(F152,INT(K152),FERIADOS)-F152+(K152-INT(K152))))</f>
        <v/>
      </c>
      <c r="M152" s="71" t="str">
        <f aca="false">IF(F152="","",(N(INDEX(T_SUELDO,146))+N(INDEX(T_BONO,146)))/30)</f>
        <v/>
      </c>
      <c r="N152" s="71" t="str">
        <f aca="false">IF(F152="","",IF(D152="Desvinculado",0,ROUND(MAX(0,L152)*M152,0)))</f>
        <v/>
      </c>
      <c r="O152" s="73" t="str">
        <f aca="false">IF(F152="","",15+INT(MAX(0,MIN(10,N(INDEX(T_PREV,146)))+DATEDIF(E152,F152+1,"y")-10)/3))</f>
        <v/>
      </c>
      <c r="P152" s="70" t="str">
        <f aca="false">IF(F152="","",IF(D152="Desvinculado","— (se paga en el finiquito)",IF(Q152&gt;=2*O152,"⚠ Tiene 2 períodos acumulados: otorgar vacaciones antes de que se acumule un 3° (Art. 70)",IF(K152&lt;0,"⚠ Saldo negativo (vacaciones anticipadas)",IF(Q152&gt;=O152,"Programar vacaciones (tiene un período anual completo pendiente)","OK")))))</f>
        <v/>
      </c>
      <c r="Q152" s="94" t="str">
        <f aca="false">IF(F152="","",15*DATEDIF(E152,F152+1,"y")+I152-J152)</f>
        <v/>
      </c>
    </row>
    <row r="153" customFormat="false" ht="15" hidden="false" customHeight="false" outlineLevel="0" collapsed="false">
      <c r="B153" s="70" t="str">
        <f aca="false">IFERROR(IF(INDEX(T_ID,147)="","",INDEX(T_ID,147)),"")</f>
        <v/>
      </c>
      <c r="C153" s="70" t="str">
        <f aca="false">IF(B153="","",INDEX(T_NOMBRE,147)&amp;"")</f>
        <v/>
      </c>
      <c r="D153" s="70" t="str">
        <f aca="false">IF(B153="","",INDEX(T_ESTADO,147))</f>
        <v/>
      </c>
      <c r="E153" s="75" t="str">
        <f aca="false">IF(B153="","",INDEX(T_INGRESO,147))</f>
        <v/>
      </c>
      <c r="F153" s="75" t="str">
        <f aca="false">IF(OR(B153="",NOT(ISNUMBER(E153))),"",IF(E153&gt;FECHA_CORTE,"",IF(N(INDEX(T_EGRESO,147))&gt;0,MIN(INDEX(T_EGRESO,147),FECHA_CORTE),FECHA_CORTE)))</f>
        <v/>
      </c>
      <c r="G153" s="94" t="str">
        <f aca="false">IF(F153="","",DATEDIF(E153,F153+1,"m")+(F153+1-EDATE(E153,DATEDIF(E153,F153+1,"m")))/30)</f>
        <v/>
      </c>
      <c r="H153" s="95" t="str">
        <f aca="false">IF(F153="","",1.25*G153)</f>
        <v/>
      </c>
      <c r="I153" s="73" t="str">
        <f aca="false">IF(F153="","",SUMPRODUCT((ANIOS&lt;=DATEDIF(E153,F153+1,"y"))*(MIN(10,N(INDEX(T_PREV,147)))+ANIOS-10&gt;0)*INT((MIN(10,N(INDEX(T_PREV,147)))+ANIOS-10)/3)))</f>
        <v/>
      </c>
      <c r="J153" s="94" t="str">
        <f aca="false">IF(F153="","",SUMIFS(V_DIAS,V_ID,B153,V_INICIO,"&lt;="&amp;F153)+N(INDEX(T_VACPREV,147)))</f>
        <v/>
      </c>
      <c r="K153" s="95" t="str">
        <f aca="false">IF(F153="","",H153+I153-J153)</f>
        <v/>
      </c>
      <c r="L153" s="95" t="str">
        <f aca="false">IF(F153="","",IF(K153&lt;=0,K153,WORKDAY(F153,INT(K153),FERIADOS)-F153+(K153-INT(K153))))</f>
        <v/>
      </c>
      <c r="M153" s="71" t="str">
        <f aca="false">IF(F153="","",(N(INDEX(T_SUELDO,147))+N(INDEX(T_BONO,147)))/30)</f>
        <v/>
      </c>
      <c r="N153" s="71" t="str">
        <f aca="false">IF(F153="","",IF(D153="Desvinculado",0,ROUND(MAX(0,L153)*M153,0)))</f>
        <v/>
      </c>
      <c r="O153" s="73" t="str">
        <f aca="false">IF(F153="","",15+INT(MAX(0,MIN(10,N(INDEX(T_PREV,147)))+DATEDIF(E153,F153+1,"y")-10)/3))</f>
        <v/>
      </c>
      <c r="P153" s="70" t="str">
        <f aca="false">IF(F153="","",IF(D153="Desvinculado","— (se paga en el finiquito)",IF(Q153&gt;=2*O153,"⚠ Tiene 2 períodos acumulados: otorgar vacaciones antes de que se acumule un 3° (Art. 70)",IF(K153&lt;0,"⚠ Saldo negativo (vacaciones anticipadas)",IF(Q153&gt;=O153,"Programar vacaciones (tiene un período anual completo pendiente)","OK")))))</f>
        <v/>
      </c>
      <c r="Q153" s="94" t="str">
        <f aca="false">IF(F153="","",15*DATEDIF(E153,F153+1,"y")+I153-J153)</f>
        <v/>
      </c>
    </row>
    <row r="154" customFormat="false" ht="15" hidden="false" customHeight="false" outlineLevel="0" collapsed="false">
      <c r="B154" s="70" t="str">
        <f aca="false">IFERROR(IF(INDEX(T_ID,148)="","",INDEX(T_ID,148)),"")</f>
        <v/>
      </c>
      <c r="C154" s="70" t="str">
        <f aca="false">IF(B154="","",INDEX(T_NOMBRE,148)&amp;"")</f>
        <v/>
      </c>
      <c r="D154" s="70" t="str">
        <f aca="false">IF(B154="","",INDEX(T_ESTADO,148))</f>
        <v/>
      </c>
      <c r="E154" s="75" t="str">
        <f aca="false">IF(B154="","",INDEX(T_INGRESO,148))</f>
        <v/>
      </c>
      <c r="F154" s="75" t="str">
        <f aca="false">IF(OR(B154="",NOT(ISNUMBER(E154))),"",IF(E154&gt;FECHA_CORTE,"",IF(N(INDEX(T_EGRESO,148))&gt;0,MIN(INDEX(T_EGRESO,148),FECHA_CORTE),FECHA_CORTE)))</f>
        <v/>
      </c>
      <c r="G154" s="94" t="str">
        <f aca="false">IF(F154="","",DATEDIF(E154,F154+1,"m")+(F154+1-EDATE(E154,DATEDIF(E154,F154+1,"m")))/30)</f>
        <v/>
      </c>
      <c r="H154" s="95" t="str">
        <f aca="false">IF(F154="","",1.25*G154)</f>
        <v/>
      </c>
      <c r="I154" s="73" t="str">
        <f aca="false">IF(F154="","",SUMPRODUCT((ANIOS&lt;=DATEDIF(E154,F154+1,"y"))*(MIN(10,N(INDEX(T_PREV,148)))+ANIOS-10&gt;0)*INT((MIN(10,N(INDEX(T_PREV,148)))+ANIOS-10)/3)))</f>
        <v/>
      </c>
      <c r="J154" s="94" t="str">
        <f aca="false">IF(F154="","",SUMIFS(V_DIAS,V_ID,B154,V_INICIO,"&lt;="&amp;F154)+N(INDEX(T_VACPREV,148)))</f>
        <v/>
      </c>
      <c r="K154" s="95" t="str">
        <f aca="false">IF(F154="","",H154+I154-J154)</f>
        <v/>
      </c>
      <c r="L154" s="95" t="str">
        <f aca="false">IF(F154="","",IF(K154&lt;=0,K154,WORKDAY(F154,INT(K154),FERIADOS)-F154+(K154-INT(K154))))</f>
        <v/>
      </c>
      <c r="M154" s="71" t="str">
        <f aca="false">IF(F154="","",(N(INDEX(T_SUELDO,148))+N(INDEX(T_BONO,148)))/30)</f>
        <v/>
      </c>
      <c r="N154" s="71" t="str">
        <f aca="false">IF(F154="","",IF(D154="Desvinculado",0,ROUND(MAX(0,L154)*M154,0)))</f>
        <v/>
      </c>
      <c r="O154" s="73" t="str">
        <f aca="false">IF(F154="","",15+INT(MAX(0,MIN(10,N(INDEX(T_PREV,148)))+DATEDIF(E154,F154+1,"y")-10)/3))</f>
        <v/>
      </c>
      <c r="P154" s="70" t="str">
        <f aca="false">IF(F154="","",IF(D154="Desvinculado","— (se paga en el finiquito)",IF(Q154&gt;=2*O154,"⚠ Tiene 2 períodos acumulados: otorgar vacaciones antes de que se acumule un 3° (Art. 70)",IF(K154&lt;0,"⚠ Saldo negativo (vacaciones anticipadas)",IF(Q154&gt;=O154,"Programar vacaciones (tiene un período anual completo pendiente)","OK")))))</f>
        <v/>
      </c>
      <c r="Q154" s="94" t="str">
        <f aca="false">IF(F154="","",15*DATEDIF(E154,F154+1,"y")+I154-J154)</f>
        <v/>
      </c>
    </row>
    <row r="155" customFormat="false" ht="15" hidden="false" customHeight="false" outlineLevel="0" collapsed="false">
      <c r="B155" s="70" t="str">
        <f aca="false">IFERROR(IF(INDEX(T_ID,149)="","",INDEX(T_ID,149)),"")</f>
        <v/>
      </c>
      <c r="C155" s="70" t="str">
        <f aca="false">IF(B155="","",INDEX(T_NOMBRE,149)&amp;"")</f>
        <v/>
      </c>
      <c r="D155" s="70" t="str">
        <f aca="false">IF(B155="","",INDEX(T_ESTADO,149))</f>
        <v/>
      </c>
      <c r="E155" s="75" t="str">
        <f aca="false">IF(B155="","",INDEX(T_INGRESO,149))</f>
        <v/>
      </c>
      <c r="F155" s="75" t="str">
        <f aca="false">IF(OR(B155="",NOT(ISNUMBER(E155))),"",IF(E155&gt;FECHA_CORTE,"",IF(N(INDEX(T_EGRESO,149))&gt;0,MIN(INDEX(T_EGRESO,149),FECHA_CORTE),FECHA_CORTE)))</f>
        <v/>
      </c>
      <c r="G155" s="94" t="str">
        <f aca="false">IF(F155="","",DATEDIF(E155,F155+1,"m")+(F155+1-EDATE(E155,DATEDIF(E155,F155+1,"m")))/30)</f>
        <v/>
      </c>
      <c r="H155" s="95" t="str">
        <f aca="false">IF(F155="","",1.25*G155)</f>
        <v/>
      </c>
      <c r="I155" s="73" t="str">
        <f aca="false">IF(F155="","",SUMPRODUCT((ANIOS&lt;=DATEDIF(E155,F155+1,"y"))*(MIN(10,N(INDEX(T_PREV,149)))+ANIOS-10&gt;0)*INT((MIN(10,N(INDEX(T_PREV,149)))+ANIOS-10)/3)))</f>
        <v/>
      </c>
      <c r="J155" s="94" t="str">
        <f aca="false">IF(F155="","",SUMIFS(V_DIAS,V_ID,B155,V_INICIO,"&lt;="&amp;F155)+N(INDEX(T_VACPREV,149)))</f>
        <v/>
      </c>
      <c r="K155" s="95" t="str">
        <f aca="false">IF(F155="","",H155+I155-J155)</f>
        <v/>
      </c>
      <c r="L155" s="95" t="str">
        <f aca="false">IF(F155="","",IF(K155&lt;=0,K155,WORKDAY(F155,INT(K155),FERIADOS)-F155+(K155-INT(K155))))</f>
        <v/>
      </c>
      <c r="M155" s="71" t="str">
        <f aca="false">IF(F155="","",(N(INDEX(T_SUELDO,149))+N(INDEX(T_BONO,149)))/30)</f>
        <v/>
      </c>
      <c r="N155" s="71" t="str">
        <f aca="false">IF(F155="","",IF(D155="Desvinculado",0,ROUND(MAX(0,L155)*M155,0)))</f>
        <v/>
      </c>
      <c r="O155" s="73" t="str">
        <f aca="false">IF(F155="","",15+INT(MAX(0,MIN(10,N(INDEX(T_PREV,149)))+DATEDIF(E155,F155+1,"y")-10)/3))</f>
        <v/>
      </c>
      <c r="P155" s="70" t="str">
        <f aca="false">IF(F155="","",IF(D155="Desvinculado","— (se paga en el finiquito)",IF(Q155&gt;=2*O155,"⚠ Tiene 2 períodos acumulados: otorgar vacaciones antes de que se acumule un 3° (Art. 70)",IF(K155&lt;0,"⚠ Saldo negativo (vacaciones anticipadas)",IF(Q155&gt;=O155,"Programar vacaciones (tiene un período anual completo pendiente)","OK")))))</f>
        <v/>
      </c>
      <c r="Q155" s="94" t="str">
        <f aca="false">IF(F155="","",15*DATEDIF(E155,F155+1,"y")+I155-J155)</f>
        <v/>
      </c>
    </row>
    <row r="156" customFormat="false" ht="15" hidden="false" customHeight="false" outlineLevel="0" collapsed="false">
      <c r="B156" s="70" t="str">
        <f aca="false">IFERROR(IF(INDEX(T_ID,150)="","",INDEX(T_ID,150)),"")</f>
        <v/>
      </c>
      <c r="C156" s="70" t="str">
        <f aca="false">IF(B156="","",INDEX(T_NOMBRE,150)&amp;"")</f>
        <v/>
      </c>
      <c r="D156" s="70" t="str">
        <f aca="false">IF(B156="","",INDEX(T_ESTADO,150))</f>
        <v/>
      </c>
      <c r="E156" s="75" t="str">
        <f aca="false">IF(B156="","",INDEX(T_INGRESO,150))</f>
        <v/>
      </c>
      <c r="F156" s="75" t="str">
        <f aca="false">IF(OR(B156="",NOT(ISNUMBER(E156))),"",IF(E156&gt;FECHA_CORTE,"",IF(N(INDEX(T_EGRESO,150))&gt;0,MIN(INDEX(T_EGRESO,150),FECHA_CORTE),FECHA_CORTE)))</f>
        <v/>
      </c>
      <c r="G156" s="94" t="str">
        <f aca="false">IF(F156="","",DATEDIF(E156,F156+1,"m")+(F156+1-EDATE(E156,DATEDIF(E156,F156+1,"m")))/30)</f>
        <v/>
      </c>
      <c r="H156" s="95" t="str">
        <f aca="false">IF(F156="","",1.25*G156)</f>
        <v/>
      </c>
      <c r="I156" s="73" t="str">
        <f aca="false">IF(F156="","",SUMPRODUCT((ANIOS&lt;=DATEDIF(E156,F156+1,"y"))*(MIN(10,N(INDEX(T_PREV,150)))+ANIOS-10&gt;0)*INT((MIN(10,N(INDEX(T_PREV,150)))+ANIOS-10)/3)))</f>
        <v/>
      </c>
      <c r="J156" s="94" t="str">
        <f aca="false">IF(F156="","",SUMIFS(V_DIAS,V_ID,B156,V_INICIO,"&lt;="&amp;F156)+N(INDEX(T_VACPREV,150)))</f>
        <v/>
      </c>
      <c r="K156" s="95" t="str">
        <f aca="false">IF(F156="","",H156+I156-J156)</f>
        <v/>
      </c>
      <c r="L156" s="95" t="str">
        <f aca="false">IF(F156="","",IF(K156&lt;=0,K156,WORKDAY(F156,INT(K156),FERIADOS)-F156+(K156-INT(K156))))</f>
        <v/>
      </c>
      <c r="M156" s="71" t="str">
        <f aca="false">IF(F156="","",(N(INDEX(T_SUELDO,150))+N(INDEX(T_BONO,150)))/30)</f>
        <v/>
      </c>
      <c r="N156" s="71" t="str">
        <f aca="false">IF(F156="","",IF(D156="Desvinculado",0,ROUND(MAX(0,L156)*M156,0)))</f>
        <v/>
      </c>
      <c r="O156" s="73" t="str">
        <f aca="false">IF(F156="","",15+INT(MAX(0,MIN(10,N(INDEX(T_PREV,150)))+DATEDIF(E156,F156+1,"y")-10)/3))</f>
        <v/>
      </c>
      <c r="P156" s="70" t="str">
        <f aca="false">IF(F156="","",IF(D156="Desvinculado","— (se paga en el finiquito)",IF(Q156&gt;=2*O156,"⚠ Tiene 2 períodos acumulados: otorgar vacaciones antes de que se acumule un 3° (Art. 70)",IF(K156&lt;0,"⚠ Saldo negativo (vacaciones anticipadas)",IF(Q156&gt;=O156,"Programar vacaciones (tiene un período anual completo pendiente)","OK")))))</f>
        <v/>
      </c>
      <c r="Q156" s="94" t="str">
        <f aca="false">IF(F156="","",15*DATEDIF(E156,F156+1,"y")+I156-J156)</f>
        <v/>
      </c>
    </row>
    <row r="157" customFormat="false" ht="15" hidden="false" customHeight="false" outlineLevel="0" collapsed="false">
      <c r="B157" s="59" t="s">
        <v>494</v>
      </c>
      <c r="C157" s="59"/>
      <c r="D157" s="59"/>
      <c r="E157" s="96"/>
      <c r="F157" s="96"/>
      <c r="G157" s="61"/>
      <c r="H157" s="97"/>
      <c r="I157" s="84"/>
      <c r="J157" s="61"/>
      <c r="K157" s="97" t="n">
        <f aca="false">SUMIFS(K7:K156,D7:D156,"Activo*")</f>
        <v>61.8333333333333</v>
      </c>
      <c r="L157" s="97"/>
      <c r="M157" s="62"/>
      <c r="N157" s="62" t="n">
        <f aca="false">SUM(N7:N156)</f>
        <v>2523597</v>
      </c>
      <c r="O157" s="84"/>
      <c r="P157" s="59"/>
      <c r="Q157" s="61"/>
    </row>
  </sheetData>
  <conditionalFormatting sqref="P7:P156">
    <cfRule type="expression" priority="2" aboveAverage="0" equalAverage="0" bottom="0" percent="0" rank="0" text="" dxfId="15">
      <formula>LEFT($P7,1)="⚠"</formula>
    </cfRule>
    <cfRule type="expression" priority="3" aboveAverage="0" equalAverage="0" bottom="0" percent="0" rank="0" text="" dxfId="25">
      <formula>LEFT($P7,9)="Programar"</formula>
    </cfRule>
  </conditionalFormatting>
  <conditionalFormatting sqref="B7:Q156">
    <cfRule type="expression" priority="4" aboveAverage="0" equalAverage="0" bottom="0" percent="0" rank="0" text="" dxfId="14">
      <formula>$D7="Desvinculado"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4A"/>
    <pageSetUpPr fitToPage="false"/>
  </sheetPr>
  <dimension ref="B2:Z1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24"/>
    <col collapsed="false" customWidth="true" hidden="false" outlineLevel="0" max="6" min="4" style="0" width="11"/>
    <col collapsed="false" customWidth="true" hidden="false" outlineLevel="0" max="7" min="7" style="0" width="8"/>
    <col collapsed="false" customWidth="true" hidden="false" outlineLevel="0" max="8" min="8" style="0" width="9"/>
    <col collapsed="false" customWidth="true" hidden="false" outlineLevel="0" max="9" min="9" style="0" width="8"/>
    <col collapsed="false" customWidth="true" hidden="false" outlineLevel="0" max="10" min="10" style="0" width="13"/>
    <col collapsed="false" customWidth="true" hidden="false" outlineLevel="0" max="11" min="11" style="0" width="12"/>
    <col collapsed="false" customWidth="true" hidden="false" outlineLevel="0" max="12" min="12" style="0" width="10"/>
    <col collapsed="false" customWidth="true" hidden="false" outlineLevel="0" max="14" min="13" style="0" width="13"/>
    <col collapsed="false" customWidth="true" hidden="false" outlineLevel="0" max="16" min="15" style="0" width="12"/>
    <col collapsed="false" customWidth="true" hidden="false" outlineLevel="0" max="17" min="17" style="0" width="14"/>
    <col collapsed="false" customWidth="true" hidden="false" outlineLevel="0" max="18" min="18" style="0" width="13"/>
    <col collapsed="false" customWidth="true" hidden="false" outlineLevel="0" max="19" min="19" style="0" width="14"/>
    <col collapsed="false" customWidth="true" hidden="false" outlineLevel="0" max="20" min="20" style="0" width="50"/>
    <col collapsed="false" customWidth="true" hidden="true" outlineLevel="0" max="23" min="21" style="0" width="8"/>
    <col collapsed="false" customWidth="true" hidden="true" outlineLevel="0" max="26" min="24" style="0" width="6"/>
  </cols>
  <sheetData>
    <row r="2" customFormat="false" ht="24" hidden="false" customHeight="true" outlineLevel="0" collapsed="false">
      <c r="B2" s="1" t="s">
        <v>495</v>
      </c>
      <c r="C2" s="2"/>
      <c r="D2" s="2"/>
      <c r="E2" s="2"/>
      <c r="F2" s="2"/>
      <c r="G2" s="2"/>
      <c r="H2" s="2"/>
      <c r="I2" s="2"/>
      <c r="J2" s="2"/>
      <c r="K2" s="2"/>
      <c r="L2" s="2"/>
      <c r="M2" s="2"/>
      <c r="N2" s="2"/>
      <c r="O2" s="2"/>
      <c r="P2" s="2"/>
      <c r="Q2" s="2"/>
      <c r="R2" s="2"/>
      <c r="S2" s="2"/>
      <c r="T2" s="2"/>
    </row>
    <row r="3" customFormat="false" ht="15.75" hidden="false" customHeight="true" outlineLevel="0" collapsed="false">
      <c r="B3" s="3" t="s">
        <v>496</v>
      </c>
      <c r="C3" s="2"/>
      <c r="D3" s="2"/>
      <c r="E3" s="2"/>
      <c r="F3" s="2"/>
      <c r="G3" s="2"/>
      <c r="H3" s="2"/>
      <c r="I3" s="2"/>
      <c r="J3" s="2"/>
      <c r="K3" s="2"/>
      <c r="L3" s="2"/>
      <c r="M3" s="2"/>
      <c r="N3" s="2"/>
      <c r="O3" s="2"/>
      <c r="P3" s="2"/>
      <c r="Q3" s="2"/>
      <c r="R3" s="2"/>
      <c r="S3" s="2"/>
      <c r="T3" s="2"/>
    </row>
    <row r="5" customFormat="false" ht="15" hidden="false" customHeight="false" outlineLevel="0" collapsed="false">
      <c r="B5" s="79" t="s">
        <v>497</v>
      </c>
      <c r="C5" s="98"/>
      <c r="F5" s="99" t="s">
        <v>498</v>
      </c>
      <c r="I5" s="99" t="s">
        <v>499</v>
      </c>
      <c r="L5" s="99" t="s">
        <v>500</v>
      </c>
    </row>
    <row r="6" customFormat="false" ht="19.7" hidden="false" customHeight="false" outlineLevel="0" collapsed="false">
      <c r="B6" s="79" t="s">
        <v>501</v>
      </c>
      <c r="C6" s="88" t="s">
        <v>270</v>
      </c>
      <c r="F6" s="100" t="n">
        <f aca="false">SUM(Q10:Q159)</f>
        <v>17781211</v>
      </c>
      <c r="I6" s="100" t="n">
        <f aca="false">SUM(M10:M159)</f>
        <v>2523597</v>
      </c>
      <c r="L6" s="100" t="n">
        <f aca="false">SUMIFS(S10:S159,F10:F159,"&gt;="&amp;FQ_FECHA,F10:F159,"&lt;="&amp;FQ_FECHA+90)</f>
        <v>935583</v>
      </c>
    </row>
    <row r="7" customFormat="false" ht="15" hidden="false" customHeight="false" outlineLevel="0" collapsed="false">
      <c r="B7" s="79" t="s">
        <v>502</v>
      </c>
      <c r="C7" s="15" t="n">
        <f aca="false">IF(ISNUMBER(C5),C5,FECHA_CORTE)</f>
        <v>46322</v>
      </c>
    </row>
    <row r="9" customFormat="false" ht="55.5" hidden="false" customHeight="true" outlineLevel="0" collapsed="false">
      <c r="B9" s="53" t="s">
        <v>152</v>
      </c>
      <c r="C9" s="53" t="s">
        <v>277</v>
      </c>
      <c r="D9" s="53" t="s">
        <v>325</v>
      </c>
      <c r="E9" s="53" t="s">
        <v>279</v>
      </c>
      <c r="F9" s="53" t="s">
        <v>503</v>
      </c>
      <c r="G9" s="53" t="s">
        <v>504</v>
      </c>
      <c r="H9" s="53" t="s">
        <v>505</v>
      </c>
      <c r="I9" s="53" t="s">
        <v>506</v>
      </c>
      <c r="J9" s="53" t="s">
        <v>507</v>
      </c>
      <c r="K9" s="53" t="s">
        <v>508</v>
      </c>
      <c r="L9" s="53" t="s">
        <v>509</v>
      </c>
      <c r="M9" s="53" t="s">
        <v>510</v>
      </c>
      <c r="N9" s="53" t="s">
        <v>511</v>
      </c>
      <c r="O9" s="53" t="s">
        <v>512</v>
      </c>
      <c r="P9" s="53" t="s">
        <v>513</v>
      </c>
      <c r="Q9" s="53" t="s">
        <v>514</v>
      </c>
      <c r="R9" s="53" t="s">
        <v>515</v>
      </c>
      <c r="S9" s="53" t="s">
        <v>516</v>
      </c>
      <c r="T9" s="53" t="s">
        <v>517</v>
      </c>
      <c r="U9" s="53" t="s">
        <v>518</v>
      </c>
      <c r="V9" s="53" t="s">
        <v>519</v>
      </c>
      <c r="W9" s="53" t="s">
        <v>520</v>
      </c>
      <c r="X9" s="53" t="s">
        <v>521</v>
      </c>
      <c r="Y9" s="53" t="s">
        <v>522</v>
      </c>
      <c r="Z9" s="53" t="s">
        <v>313</v>
      </c>
    </row>
    <row r="10" customFormat="false" ht="15" hidden="false" customHeight="false" outlineLevel="0" collapsed="false">
      <c r="B10" s="70" t="str">
        <f aca="false">IFERROR(IF(INDEX(T_ID,1)="","",INDEX(T_ID,1)),"")</f>
        <v>T001</v>
      </c>
      <c r="C10" s="70" t="str">
        <f aca="false">IF(B10="","",INDEX(T_NOMBRE,1)&amp;"")</f>
        <v>María Soto (EJEMPLO)</v>
      </c>
      <c r="D10" s="70" t="str">
        <f aca="false">IF(B10="","",INDEX(T_TIPO,1)&amp;"")</f>
        <v>Indefinido</v>
      </c>
      <c r="E10" s="75" t="n">
        <f aca="false">IF(B10="","",INDEX(T_INGRESO,1))</f>
        <v>44256</v>
      </c>
      <c r="F10" s="75" t="str">
        <f aca="false">IF(B10="","",IF(ISNUMBER(INDEX(CC_VENCE,1)),INDEX(CC_VENCE,1),""))</f>
        <v/>
      </c>
      <c r="G10" s="70" t="str">
        <f aca="false">IF(OR(B10="",NOT(ISNUMBER(E10))),"",IF(AND(E10&lt;=FQ_FECHA,OR(Z10=0,Z10&gt;=FQ_FECHA)),"Sí","No"))</f>
        <v>Sí</v>
      </c>
      <c r="H10" s="94" t="n">
        <f aca="false">IF(G10&lt;&gt;"Sí","",ROUND((FQ_FECHA+1-E10)/365.25,1))</f>
        <v>5.7</v>
      </c>
      <c r="I10" s="73" t="n">
        <f aca="false">IF(G10&lt;&gt;"Sí","",IF(DATEDIF(E10,FQ_FECHA+1,"y")&lt;1,0,MIN(TOPE_IAS_ANIOS,DATEDIF(E10,FQ_FECHA+1,"y")+IF(EDATE(E10,12*DATEDIF(E10,FQ_FECHA+1,"y")+6)&lt;FQ_FECHA+1,1,0))))</f>
        <v>6</v>
      </c>
      <c r="J10" s="71" t="n">
        <f aca="false">IF(G10&lt;&gt;"Sí","",W10+N(INDEX(T_COL,1))+N(INDEX(T_MOV,1)))</f>
        <v>1669115</v>
      </c>
      <c r="K10" s="71" t="n">
        <f aca="false">IF(G10&lt;&gt;"Sí","",MIN(J10,TOPE_IAS_UF*UF_HOY))</f>
        <v>1669115</v>
      </c>
      <c r="L10" s="95" t="n">
        <f aca="false">IF(G10&lt;&gt;"Sí","",(1.25*(DATEDIF(E10,FQ_FECHA+1,"m")+(FQ_FECHA+1-EDATE(E10,DATEDIF(E10,FQ_FECHA+1,"m")))/30)+SUMPRODUCT((ANIOS&lt;=DATEDIF(E10,FQ_FECHA+1,"y"))*(X10+ANIOS-10&gt;0)*INT((X10+ANIOS-10)/3))-(SUMIFS(V_DIAS,V_ID,B10,V_INICIO,"&lt;="&amp;FQ_FECHA)+Y10)))</f>
        <v>15.875</v>
      </c>
      <c r="M10" s="71" t="n">
        <f aca="false">IF(G10&lt;&gt;"Sí","",ROUND(MAX(0,IF(L10&lt;=0,0,WORKDAY(FQ_FECHA,INT(L10),FERIADOS)-FQ_FECHA+(L10-INT(L10))))*V10,0))</f>
        <v>984375</v>
      </c>
      <c r="N10" s="71" t="n">
        <f aca="false">IF(G10&lt;&gt;"Sí","",IF(D10="Obra o faena",0,ROUND(K10*I10,0)))</f>
        <v>10014690</v>
      </c>
      <c r="O10" s="71" t="n">
        <f aca="false">IF(G10&lt;&gt;"Sí","",IF(OR(D10="Obra o faena",FQ_AVISO="Sí"),0,ROUND(K10,0)))</f>
        <v>1669115</v>
      </c>
      <c r="P10" s="71" t="n">
        <f aca="false">IF(G10&lt;&gt;"Sí","",IF(AND(IMPUTAR_AFC="Sí",N10&gt;0),-MIN(N10,ROUND(AFC_IMPUTABLE_PCT*MIN(W10,TOPE_AFC_UF*UF_HOY)*DATEDIF(E10,FQ_FECHA+1,"m"),0)),0))</f>
        <v>-1682091</v>
      </c>
      <c r="Q10" s="85" t="n">
        <f aca="false">IF(G10&lt;&gt;"Sí","",M10+N10+O10+P10)</f>
        <v>10986089</v>
      </c>
      <c r="R10" s="85" t="n">
        <f aca="false">IF(G10&lt;&gt;"Sí","",M10)</f>
        <v>984375</v>
      </c>
      <c r="S10" s="85" t="str">
        <f aca="false">IF(U10="","",IF(INDEX(CC_ESTADOC,1)="Renovación registrada","",ROUND(MAX(0,IF(U10&lt;=0,0,WORKDAY(F10,INT(U10),FERIADOS)-F10+(U10-INT(U10))))*V10,0)+IF(D10="Obra o faena",ROUND(OBRA_DIAS*K10/30*(DATEDIF(E10,F10+1,"m")+IF(F10+1-EDATE(E10,DATEDIF(E10,F10+1,"m"))&gt;15,1,0)),0),0)))</f>
        <v/>
      </c>
      <c r="T10" s="70" t="str">
        <f aca="false">IF(G10&lt;&gt;"Sí","",IF(D10="Plazo fijo","Despido antes del vencimiento: además existe riesgo de demanda por las remuneraciones hasta el término del plazo",IF(D10="Obra o faena","Al concluir la obra corresponde indemnización de 2,5 días por mes (incluida en la columna S); no IAS",IF(I10=0,"Menos de 1 año: no corresponde IAS (Art. 163)",IF(I10=TOPE_IAS_ANIOS,"IAS en el tope de 11 años","")))))</f>
        <v/>
      </c>
      <c r="U10" s="95" t="str">
        <f aca="false">IF(OR(G10&lt;&gt;"Sí",NOT(ISNUMBER(F10))),"",IF(F10&lt;FQ_FECHA,"",(1.25*(DATEDIF(E10,F10+1,"m")+(F10+1-EDATE(E10,DATEDIF(E10,F10+1,"m")))/30)+SUMPRODUCT((ANIOS&lt;=DATEDIF(E10,F10+1,"y"))*(X10+ANIOS-10&gt;0)*INT((X10+ANIOS-10)/3))-(SUMIFS(V_DIAS,V_ID,B10,V_INICIO,"&lt;="&amp;F10)+Y10))))</f>
        <v/>
      </c>
      <c r="V10" s="71" t="n">
        <f aca="false">IF(G10&lt;&gt;"Sí","",(N(INDEX(T_SUELDO,1))+N(INDEX(T_BONO,1)))/30)</f>
        <v>45000</v>
      </c>
      <c r="W10" s="71" t="n">
        <f aca="false">IF(G10&lt;&gt;"Sí","",N(INDEX(T_SUELDO,1))+N(INDEX(T_BONO,1))+IF(LEFT(INDEX(T_GRAT,1)&amp;"",6)="Art. 5",MIN(GRAT_PCT*(N(INDEX(T_SUELDO,1))+N(INDEX(T_BONO,1))),GRAT_TOPE_MES),0))</f>
        <v>1569115</v>
      </c>
      <c r="X10" s="72" t="n">
        <f aca="false">IF(B10="","",MIN(10,N(INDEX(T_PREV,1))))</f>
        <v>8</v>
      </c>
      <c r="Y10" s="72" t="n">
        <f aca="false">IF(B10="","",N(INDEX(T_VACPREV,1)))</f>
        <v>60</v>
      </c>
      <c r="Z10" s="75" t="n">
        <f aca="false">IF(B10="","",N(INDEX(T_EGRESO,1)))</f>
        <v>0</v>
      </c>
    </row>
    <row r="11" customFormat="false" ht="15" hidden="false" customHeight="false" outlineLevel="0" collapsed="false">
      <c r="B11" s="70" t="str">
        <f aca="false">IFERROR(IF(INDEX(T_ID,2)="","",INDEX(T_ID,2)),"")</f>
        <v>T002</v>
      </c>
      <c r="C11" s="70" t="str">
        <f aca="false">IF(B11="","",INDEX(T_NOMBRE,2)&amp;"")</f>
        <v>Juan Pérez (EJEMPLO)</v>
      </c>
      <c r="D11" s="70" t="str">
        <f aca="false">IF(B11="","",INDEX(T_TIPO,2)&amp;"")</f>
        <v>Plazo fijo</v>
      </c>
      <c r="E11" s="75" t="n">
        <f aca="false">IF(B11="","",INDEX(T_INGRESO,2))</f>
        <v>46237</v>
      </c>
      <c r="F11" s="75" t="n">
        <f aca="false">IF(B11="","",IF(ISNUMBER(INDEX(CC_VENCE,2)),INDEX(CC_VENCE,2),""))</f>
        <v>46328</v>
      </c>
      <c r="G11" s="70" t="str">
        <f aca="false">IF(OR(B11="",NOT(ISNUMBER(E11))),"",IF(AND(E11&lt;=FQ_FECHA,OR(Z11=0,Z11&gt;=FQ_FECHA)),"Sí","No"))</f>
        <v>Sí</v>
      </c>
      <c r="H11" s="94" t="n">
        <f aca="false">IF(G11&lt;&gt;"Sí","",ROUND((FQ_FECHA+1-E11)/365.25,1))</f>
        <v>0.2</v>
      </c>
      <c r="I11" s="73" t="n">
        <f aca="false">IF(G11&lt;&gt;"Sí","",IF(DATEDIF(E11,FQ_FECHA+1,"y")&lt;1,0,MIN(TOPE_IAS_ANIOS,DATEDIF(E11,FQ_FECHA+1,"y")+IF(EDATE(E11,12*DATEDIF(E11,FQ_FECHA+1,"y")+6)&lt;FQ_FECHA+1,1,0))))</f>
        <v>0</v>
      </c>
      <c r="J11" s="71" t="n">
        <f aca="false">IF(G11&lt;&gt;"Sí","",W11+N(INDEX(T_COL,2))+N(INDEX(T_MOV,2)))</f>
        <v>795000</v>
      </c>
      <c r="K11" s="71" t="n">
        <f aca="false">IF(G11&lt;&gt;"Sí","",MIN(J11,TOPE_IAS_UF*UF_HOY))</f>
        <v>795000</v>
      </c>
      <c r="L11" s="95" t="n">
        <f aca="false">IF(G11&lt;&gt;"Sí","",(1.25*(DATEDIF(E11,FQ_FECHA+1,"m")+(FQ_FECHA+1-EDATE(E11,DATEDIF(E11,FQ_FECHA+1,"m")))/30)+SUMPRODUCT((ANIOS&lt;=DATEDIF(E11,FQ_FECHA+1,"y"))*(X11+ANIOS-10&gt;0)*INT((X11+ANIOS-10)/3))-(SUMIFS(V_DIAS,V_ID,B11,V_INICIO,"&lt;="&amp;FQ_FECHA)+Y11)))</f>
        <v>3.54166666666667</v>
      </c>
      <c r="M11" s="71" t="n">
        <f aca="false">IF(G11&lt;&gt;"Sí","",ROUND(MAX(0,IF(L11&lt;=0,0,WORKDAY(FQ_FECHA,INT(L11),FERIADOS)-FQ_FECHA+(L11-INT(L11))))*V11,0))</f>
        <v>68472</v>
      </c>
      <c r="N11" s="71" t="n">
        <f aca="false">IF(G11&lt;&gt;"Sí","",IF(D11="Obra o faena",0,ROUND(K11*I11,0)))</f>
        <v>0</v>
      </c>
      <c r="O11" s="71" t="n">
        <f aca="false">IF(G11&lt;&gt;"Sí","",IF(OR(D11="Obra o faena",FQ_AVISO="Sí"),0,ROUND(K11,0)))</f>
        <v>795000</v>
      </c>
      <c r="P11" s="71" t="n">
        <f aca="false">IF(G11&lt;&gt;"Sí","",IF(AND(IMPUTAR_AFC="Sí",N11&gt;0),-MIN(N11,ROUND(AFC_IMPUTABLE_PCT*MIN(W11,TOPE_AFC_UF*UF_HOY)*DATEDIF(E11,FQ_FECHA+1,"m"),0)),0))</f>
        <v>0</v>
      </c>
      <c r="Q11" s="85" t="n">
        <f aca="false">IF(G11&lt;&gt;"Sí","",M11+N11+O11+P11)</f>
        <v>863472</v>
      </c>
      <c r="R11" s="85" t="n">
        <f aca="false">IF(G11&lt;&gt;"Sí","",M11)</f>
        <v>68472</v>
      </c>
      <c r="S11" s="85" t="n">
        <f aca="false">IF(U11="","",IF(INDEX(CC_ESTADOC,2)="Renovación registrada","",ROUND(MAX(0,IF(U11&lt;=0,0,WORKDAY(F11,INT(U11),FERIADOS)-F11+(U11-INT(U11))))*V11,0)+IF(D11="Obra o faena",ROUND(OBRA_DIAS*K11/30*(DATEDIF(E11,F11+1,"m")+IF(F11+1-EDATE(E11,DATEDIF(E11,F11+1,"m"))&gt;15,1,0)),0),0)))</f>
        <v>72500</v>
      </c>
      <c r="T11" s="70" t="str">
        <f aca="false">IF(G11&lt;&gt;"Sí","",IF(D11="Plazo fijo","Despido antes del vencimiento: además existe riesgo de demanda por las remuneraciones hasta el término del plazo",IF(D11="Obra o faena","Al concluir la obra corresponde indemnización de 2,5 días por mes (incluida en la columna S); no IAS",IF(I11=0,"Menos de 1 año: no corresponde IAS (Art. 163)",IF(I11=TOPE_IAS_ANIOS,"IAS en el tope de 11 años","")))))</f>
        <v>Despido antes del vencimiento: además existe riesgo de demanda por las remuneraciones hasta el término del plazo</v>
      </c>
      <c r="U11" s="95" t="n">
        <f aca="false">IF(OR(G11&lt;&gt;"Sí",NOT(ISNUMBER(F11))),"",IF(F11&lt;FQ_FECHA,"",(1.25*(DATEDIF(E11,F11+1,"m")+(F11+1-EDATE(E11,DATEDIF(E11,F11+1,"m")))/30)+SUMPRODUCT((ANIOS&lt;=DATEDIF(E11,F11+1,"y"))*(X11+ANIOS-10&gt;0)*INT((X11+ANIOS-10)/3))-(SUMIFS(V_DIAS,V_ID,B11,V_INICIO,"&lt;="&amp;F11)+Y11))))</f>
        <v>3.75</v>
      </c>
      <c r="V11" s="71" t="n">
        <f aca="false">IF(G11&lt;&gt;"Sí","",(N(INDEX(T_SUELDO,2))+N(INDEX(T_BONO,2)))/30)</f>
        <v>19333.3333333333</v>
      </c>
      <c r="W11" s="71" t="n">
        <f aca="false">IF(G11&lt;&gt;"Sí","",N(INDEX(T_SUELDO,2))+N(INDEX(T_BONO,2))+IF(LEFT(INDEX(T_GRAT,2)&amp;"",6)="Art. 5",MIN(GRAT_PCT*(N(INDEX(T_SUELDO,2))+N(INDEX(T_BONO,2))),GRAT_TOPE_MES),0))</f>
        <v>725000</v>
      </c>
      <c r="X11" s="72" t="n">
        <f aca="false">IF(B11="","",MIN(10,N(INDEX(T_PREV,2))))</f>
        <v>3</v>
      </c>
      <c r="Y11" s="72" t="n">
        <f aca="false">IF(B11="","",N(INDEX(T_VACPREV,2)))</f>
        <v>0</v>
      </c>
      <c r="Z11" s="75" t="n">
        <f aca="false">IF(B11="","",N(INDEX(T_EGRESO,2)))</f>
        <v>0</v>
      </c>
    </row>
    <row r="12" customFormat="false" ht="15" hidden="false" customHeight="false" outlineLevel="0" collapsed="false">
      <c r="B12" s="70" t="str">
        <f aca="false">IFERROR(IF(INDEX(T_ID,3)="","",INDEX(T_ID,3)),"")</f>
        <v>T003</v>
      </c>
      <c r="C12" s="70" t="str">
        <f aca="false">IF(B12="","",INDEX(T_NOMBRE,3)&amp;"")</f>
        <v>Camila Rojas (EJEMPLO)</v>
      </c>
      <c r="D12" s="70" t="str">
        <f aca="false">IF(B12="","",INDEX(T_TIPO,3)&amp;"")</f>
        <v>Plazo fijo</v>
      </c>
      <c r="E12" s="75" t="n">
        <f aca="false">IF(B12="","",INDEX(T_INGRESO,3))</f>
        <v>46097</v>
      </c>
      <c r="F12" s="75" t="n">
        <f aca="false">IF(B12="","",IF(ISNUMBER(INDEX(CC_VENCE,3)),INDEX(CC_VENCE,3),""))</f>
        <v>46371</v>
      </c>
      <c r="G12" s="70" t="str">
        <f aca="false">IF(OR(B12="",NOT(ISNUMBER(E12))),"",IF(AND(E12&lt;=FQ_FECHA,OR(Z12=0,Z12&gt;=FQ_FECHA)),"Sí","No"))</f>
        <v>Sí</v>
      </c>
      <c r="H12" s="94" t="n">
        <f aca="false">IF(G12&lt;&gt;"Sí","",ROUND((FQ_FECHA+1-E12)/365.25,1))</f>
        <v>0.6</v>
      </c>
      <c r="I12" s="73" t="n">
        <f aca="false">IF(G12&lt;&gt;"Sí","",IF(DATEDIF(E12,FQ_FECHA+1,"y")&lt;1,0,MIN(TOPE_IAS_ANIOS,DATEDIF(E12,FQ_FECHA+1,"y")+IF(EDATE(E12,12*DATEDIF(E12,FQ_FECHA+1,"y")+6)&lt;FQ_FECHA+1,1,0))))</f>
        <v>0</v>
      </c>
      <c r="J12" s="71" t="n">
        <f aca="false">IF(G12&lt;&gt;"Sí","",W12+N(INDEX(T_COL,3))+N(INDEX(T_MOV,3)))</f>
        <v>1142500</v>
      </c>
      <c r="K12" s="71" t="n">
        <f aca="false">IF(G12&lt;&gt;"Sí","",MIN(J12,TOPE_IAS_UF*UF_HOY))</f>
        <v>1142500</v>
      </c>
      <c r="L12" s="95" t="n">
        <f aca="false">IF(G12&lt;&gt;"Sí","",(1.25*(DATEDIF(E12,FQ_FECHA+1,"m")+(FQ_FECHA+1-EDATE(E12,DATEDIF(E12,FQ_FECHA+1,"m")))/30)+SUMPRODUCT((ANIOS&lt;=DATEDIF(E12,FQ_FECHA+1,"y"))*(X12+ANIOS-10&gt;0)*INT((X12+ANIOS-10)/3))-(SUMIFS(V_DIAS,V_ID,B12,V_INICIO,"&lt;="&amp;FQ_FECHA)+Y12)))</f>
        <v>9.25</v>
      </c>
      <c r="M12" s="71" t="n">
        <f aca="false">IF(G12&lt;&gt;"Sí","",ROUND(MAX(0,IF(L12&lt;=0,0,WORKDAY(FQ_FECHA,INT(L12),FERIADOS)-FQ_FECHA+(L12-INT(L12))))*V12,0))</f>
        <v>375417</v>
      </c>
      <c r="N12" s="71" t="n">
        <f aca="false">IF(G12&lt;&gt;"Sí","",IF(D12="Obra o faena",0,ROUND(K12*I12,0)))</f>
        <v>0</v>
      </c>
      <c r="O12" s="71" t="n">
        <f aca="false">IF(G12&lt;&gt;"Sí","",IF(OR(D12="Obra o faena",FQ_AVISO="Sí"),0,ROUND(K12,0)))</f>
        <v>1142500</v>
      </c>
      <c r="P12" s="71" t="n">
        <f aca="false">IF(G12&lt;&gt;"Sí","",IF(AND(IMPUTAR_AFC="Sí",N12&gt;0),-MIN(N12,ROUND(AFC_IMPUTABLE_PCT*MIN(W12,TOPE_AFC_UF*UF_HOY)*DATEDIF(E12,FQ_FECHA+1,"m"),0)),0))</f>
        <v>0</v>
      </c>
      <c r="Q12" s="85" t="n">
        <f aca="false">IF(G12&lt;&gt;"Sí","",M12+N12+O12+P12)</f>
        <v>1517917</v>
      </c>
      <c r="R12" s="85" t="n">
        <f aca="false">IF(G12&lt;&gt;"Sí","",M12)</f>
        <v>375417</v>
      </c>
      <c r="S12" s="85" t="n">
        <f aca="false">IF(U12="","",IF(INDEX(CC_ESTADOC,3)="Renovación registrada","",ROUND(MAX(0,IF(U12&lt;=0,0,WORKDAY(F12,INT(U12),FERIADOS)-F12+(U12-INT(U12))))*V12,0)+IF(D12="Obra o faena",ROUND(OBRA_DIAS*K12/30*(DATEDIF(E12,F12+1,"m")+IF(F12+1-EDATE(E12,DATEDIF(E12,F12+1,"m"))&gt;15,1,0)),0),0)))</f>
        <v>460417</v>
      </c>
      <c r="T12" s="70" t="str">
        <f aca="false">IF(G12&lt;&gt;"Sí","",IF(D12="Plazo fijo","Despido antes del vencimiento: además existe riesgo de demanda por las remuneraciones hasta el término del plazo",IF(D12="Obra o faena","Al concluir la obra corresponde indemnización de 2,5 días por mes (incluida en la columna S); no IAS",IF(I12=0,"Menos de 1 año: no corresponde IAS (Art. 163)",IF(I12=TOPE_IAS_ANIOS,"IAS en el tope de 11 años","")))))</f>
        <v>Despido antes del vencimiento: además existe riesgo de demanda por las remuneraciones hasta el término del plazo</v>
      </c>
      <c r="U12" s="95" t="n">
        <f aca="false">IF(OR(G12&lt;&gt;"Sí",NOT(ISNUMBER(F12))),"",IF(F12&lt;FQ_FECHA,"",(1.25*(DATEDIF(E12,F12+1,"m")+(F12+1-EDATE(E12,DATEDIF(E12,F12+1,"m")))/30)+SUMPRODUCT((ANIOS&lt;=DATEDIF(E12,F12+1,"y"))*(X12+ANIOS-10&gt;0)*INT((X12+ANIOS-10)/3))-(SUMIFS(V_DIAS,V_ID,B12,V_INICIO,"&lt;="&amp;F12)+Y12))))</f>
        <v>11.25</v>
      </c>
      <c r="V12" s="71" t="n">
        <f aca="false">IF(G12&lt;&gt;"Sí","",(N(INDEX(T_SUELDO,3))+N(INDEX(T_BONO,3)))/30)</f>
        <v>28333.3333333333</v>
      </c>
      <c r="W12" s="71" t="n">
        <f aca="false">IF(G12&lt;&gt;"Sí","",N(INDEX(T_SUELDO,3))+N(INDEX(T_BONO,3))+IF(LEFT(INDEX(T_GRAT,3)&amp;"",6)="Art. 5",MIN(GRAT_PCT*(N(INDEX(T_SUELDO,3))+N(INDEX(T_BONO,3))),GRAT_TOPE_MES),0))</f>
        <v>1062500</v>
      </c>
      <c r="X12" s="72" t="n">
        <f aca="false">IF(B12="","",MIN(10,N(INDEX(T_PREV,3))))</f>
        <v>2</v>
      </c>
      <c r="Y12" s="72" t="n">
        <f aca="false">IF(B12="","",N(INDEX(T_VACPREV,3)))</f>
        <v>0</v>
      </c>
      <c r="Z12" s="75" t="n">
        <f aca="false">IF(B12="","",N(INDEX(T_EGRESO,3)))</f>
        <v>0</v>
      </c>
    </row>
    <row r="13" customFormat="false" ht="15" hidden="false" customHeight="false" outlineLevel="0" collapsed="false">
      <c r="B13" s="70" t="str">
        <f aca="false">IFERROR(IF(INDEX(T_ID,4)="","",INDEX(T_ID,4)),"")</f>
        <v>T004</v>
      </c>
      <c r="C13" s="70" t="str">
        <f aca="false">IF(B13="","",INDEX(T_NOMBRE,4)&amp;"")</f>
        <v>Pedro Muñoz (EJEMPLO)</v>
      </c>
      <c r="D13" s="70" t="str">
        <f aca="false">IF(B13="","",INDEX(T_TIPO,4)&amp;"")</f>
        <v>Indefinido</v>
      </c>
      <c r="E13" s="75" t="n">
        <f aca="false">IF(B13="","",INDEX(T_INGRESO,4))</f>
        <v>45110</v>
      </c>
      <c r="F13" s="75" t="str">
        <f aca="false">IF(B13="","",IF(ISNUMBER(INDEX(CC_VENCE,4)),INDEX(CC_VENCE,4),""))</f>
        <v/>
      </c>
      <c r="G13" s="70" t="str">
        <f aca="false">IF(OR(B13="",NOT(ISNUMBER(E13))),"",IF(AND(E13&lt;=FQ_FECHA,OR(Z13=0,Z13&gt;=FQ_FECHA)),"Sí","No"))</f>
        <v>Sí</v>
      </c>
      <c r="H13" s="94" t="n">
        <f aca="false">IF(G13&lt;&gt;"Sí","",ROUND((FQ_FECHA+1-E13)/365.25,1))</f>
        <v>3.3</v>
      </c>
      <c r="I13" s="73" t="n">
        <f aca="false">IF(G13&lt;&gt;"Sí","",IF(DATEDIF(E13,FQ_FECHA+1,"y")&lt;1,0,MIN(TOPE_IAS_ANIOS,DATEDIF(E13,FQ_FECHA+1,"y")+IF(EDATE(E13,12*DATEDIF(E13,FQ_FECHA+1,"y")+6)&lt;FQ_FECHA+1,1,0))))</f>
        <v>3</v>
      </c>
      <c r="J13" s="71" t="n">
        <f aca="false">IF(G13&lt;&gt;"Sí","",W13+N(INDEX(T_COL,4))+N(INDEX(T_MOV,4)))</f>
        <v>970000</v>
      </c>
      <c r="K13" s="71" t="n">
        <f aca="false">IF(G13&lt;&gt;"Sí","",MIN(J13,TOPE_IAS_UF*UF_HOY))</f>
        <v>970000</v>
      </c>
      <c r="L13" s="95" t="n">
        <f aca="false">IF(G13&lt;&gt;"Sí","",(1.25*(DATEDIF(E13,FQ_FECHA+1,"m")+(FQ_FECHA+1-EDATE(E13,DATEDIF(E13,FQ_FECHA+1,"m")))/30)+SUMPRODUCT((ANIOS&lt;=DATEDIF(E13,FQ_FECHA+1,"y"))*(X13+ANIOS-10&gt;0)*INT((X13+ANIOS-10)/3))-(SUMIFS(V_DIAS,V_ID,B13,V_INICIO,"&lt;="&amp;FQ_FECHA)+Y13)))</f>
        <v>30.7916666666667</v>
      </c>
      <c r="M13" s="71" t="n">
        <f aca="false">IF(G13&lt;&gt;"Sí","",ROUND(MAX(0,IF(L13&lt;=0,0,WORKDAY(FQ_FECHA,INT(L13),FERIADOS)-FQ_FECHA+(L13-INT(L13))))*V13,0))</f>
        <v>1051000</v>
      </c>
      <c r="N13" s="71" t="n">
        <f aca="false">IF(G13&lt;&gt;"Sí","",IF(D13="Obra o faena",0,ROUND(K13*I13,0)))</f>
        <v>2910000</v>
      </c>
      <c r="O13" s="71" t="n">
        <f aca="false">IF(G13&lt;&gt;"Sí","",IF(OR(D13="Obra o faena",FQ_AVISO="Sí"),0,ROUND(K13,0)))</f>
        <v>970000</v>
      </c>
      <c r="P13" s="71" t="n">
        <f aca="false">IF(G13&lt;&gt;"Sí","",IF(AND(IMPUTAR_AFC="Sí",N13&gt;0),-MIN(N13,ROUND(AFC_IMPUTABLE_PCT*MIN(W13,TOPE_AFC_UF*UF_HOY)*DATEDIF(E13,FQ_FECHA+1,"m"),0)),0))</f>
        <v>-561600</v>
      </c>
      <c r="Q13" s="85" t="n">
        <f aca="false">IF(G13&lt;&gt;"Sí","",M13+N13+O13+P13)</f>
        <v>4369400</v>
      </c>
      <c r="R13" s="85" t="n">
        <f aca="false">IF(G13&lt;&gt;"Sí","",M13)</f>
        <v>1051000</v>
      </c>
      <c r="S13" s="85" t="str">
        <f aca="false">IF(U13="","",IF(INDEX(CC_ESTADOC,4)="Renovación registrada","",ROUND(MAX(0,IF(U13&lt;=0,0,WORKDAY(F13,INT(U13),FERIADOS)-F13+(U13-INT(U13))))*V13,0)+IF(D13="Obra o faena",ROUND(OBRA_DIAS*K13/30*(DATEDIF(E13,F13+1,"m")+IF(F13+1-EDATE(E13,DATEDIF(E13,F13+1,"m"))&gt;15,1,0)),0),0)))</f>
        <v/>
      </c>
      <c r="T13" s="70" t="str">
        <f aca="false">IF(G13&lt;&gt;"Sí","",IF(D13="Plazo fijo","Despido antes del vencimiento: además existe riesgo de demanda por las remuneraciones hasta el término del plazo",IF(D13="Obra o faena","Al concluir la obra corresponde indemnización de 2,5 días por mes (incluida en la columna S); no IAS",IF(I13=0,"Menos de 1 año: no corresponde IAS (Art. 163)",IF(I13=TOPE_IAS_ANIOS,"IAS en el tope de 11 años","")))))</f>
        <v/>
      </c>
      <c r="U13" s="95" t="str">
        <f aca="false">IF(OR(G13&lt;&gt;"Sí",NOT(ISNUMBER(F13))),"",IF(F13&lt;FQ_FECHA,"",(1.25*(DATEDIF(E13,F13+1,"m")+(F13+1-EDATE(E13,DATEDIF(E13,F13+1,"m")))/30)+SUMPRODUCT((ANIOS&lt;=DATEDIF(E13,F13+1,"y"))*(X13+ANIOS-10&gt;0)*INT((X13+ANIOS-10)/3))-(SUMIFS(V_DIAS,V_ID,B13,V_INICIO,"&lt;="&amp;F13)+Y13))))</f>
        <v/>
      </c>
      <c r="V13" s="71" t="n">
        <f aca="false">IF(G13&lt;&gt;"Sí","",(N(INDEX(T_SUELDO,4))+N(INDEX(T_BONO,4)))/30)</f>
        <v>24000</v>
      </c>
      <c r="W13" s="71" t="n">
        <f aca="false">IF(G13&lt;&gt;"Sí","",N(INDEX(T_SUELDO,4))+N(INDEX(T_BONO,4))+IF(LEFT(INDEX(T_GRAT,4)&amp;"",6)="Art. 5",MIN(GRAT_PCT*(N(INDEX(T_SUELDO,4))+N(INDEX(T_BONO,4))),GRAT_TOPE_MES),0))</f>
        <v>900000</v>
      </c>
      <c r="X13" s="72" t="n">
        <f aca="false">IF(B13="","",MIN(10,N(INDEX(T_PREV,4))))</f>
        <v>10</v>
      </c>
      <c r="Y13" s="72" t="n">
        <f aca="false">IF(B13="","",N(INDEX(T_VACPREV,4)))</f>
        <v>0</v>
      </c>
      <c r="Z13" s="75" t="n">
        <f aca="false">IF(B13="","",N(INDEX(T_EGRESO,4)))</f>
        <v>0</v>
      </c>
    </row>
    <row r="14" customFormat="false" ht="15" hidden="false" customHeight="false" outlineLevel="0" collapsed="false">
      <c r="B14" s="70" t="str">
        <f aca="false">IFERROR(IF(INDEX(T_ID,5)="","",INDEX(T_ID,5)),"")</f>
        <v>T005</v>
      </c>
      <c r="C14" s="70" t="str">
        <f aca="false">IF(B14="","",INDEX(T_NOMBRE,5)&amp;"")</f>
        <v>Ana Díaz (EJEMPLO)</v>
      </c>
      <c r="D14" s="70" t="str">
        <f aca="false">IF(B14="","",INDEX(T_TIPO,5)&amp;"")</f>
        <v>Obra o faena</v>
      </c>
      <c r="E14" s="75" t="n">
        <f aca="false">IF(B14="","",INDEX(T_INGRESO,5))</f>
        <v>46266</v>
      </c>
      <c r="F14" s="75" t="n">
        <f aca="false">IF(B14="","",IF(ISNUMBER(INDEX(CC_VENCE,5)),INDEX(CC_VENCE,5),""))</f>
        <v>46387</v>
      </c>
      <c r="G14" s="70" t="str">
        <f aca="false">IF(OR(B14="",NOT(ISNUMBER(E14))),"",IF(AND(E14&lt;=FQ_FECHA,OR(Z14=0,Z14&gt;=FQ_FECHA)),"Sí","No"))</f>
        <v>Sí</v>
      </c>
      <c r="H14" s="94" t="n">
        <f aca="false">IF(G14&lt;&gt;"Sí","",ROUND((FQ_FECHA+1-E14)/365.25,1))</f>
        <v>0.2</v>
      </c>
      <c r="I14" s="73" t="n">
        <f aca="false">IF(G14&lt;&gt;"Sí","",IF(DATEDIF(E14,FQ_FECHA+1,"y")&lt;1,0,MIN(TOPE_IAS_ANIOS,DATEDIF(E14,FQ_FECHA+1,"y")+IF(EDATE(E14,12*DATEDIF(E14,FQ_FECHA+1,"y")+6)&lt;FQ_FECHA+1,1,0))))</f>
        <v>0</v>
      </c>
      <c r="J14" s="71" t="n">
        <f aca="false">IF(G14&lt;&gt;"Sí","",W14+N(INDEX(T_COL,5))+N(INDEX(T_MOV,5)))</f>
        <v>760000</v>
      </c>
      <c r="K14" s="71" t="n">
        <f aca="false">IF(G14&lt;&gt;"Sí","",MIN(J14,TOPE_IAS_UF*UF_HOY))</f>
        <v>760000</v>
      </c>
      <c r="L14" s="95" t="n">
        <f aca="false">IF(G14&lt;&gt;"Sí","",(1.25*(DATEDIF(E14,FQ_FECHA+1,"m")+(FQ_FECHA+1-EDATE(E14,DATEDIF(E14,FQ_FECHA+1,"m")))/30)+SUMPRODUCT((ANIOS&lt;=DATEDIF(E14,FQ_FECHA+1,"y"))*(X14+ANIOS-10&gt;0)*INT((X14+ANIOS-10)/3))-(SUMIFS(V_DIAS,V_ID,B14,V_INICIO,"&lt;="&amp;FQ_FECHA)+Y14)))</f>
        <v>2.375</v>
      </c>
      <c r="M14" s="71" t="n">
        <f aca="false">IF(G14&lt;&gt;"Sí","",ROUND(MAX(0,IF(L14&lt;=0,0,WORKDAY(FQ_FECHA,INT(L14),FERIADOS)-FQ_FECHA+(L14-INT(L14))))*V14,0))</f>
        <v>44333</v>
      </c>
      <c r="N14" s="71" t="n">
        <f aca="false">IF(G14&lt;&gt;"Sí","",IF(D14="Obra o faena",0,ROUND(K14*I14,0)))</f>
        <v>0</v>
      </c>
      <c r="O14" s="71" t="n">
        <f aca="false">IF(G14&lt;&gt;"Sí","",IF(OR(D14="Obra o faena",FQ_AVISO="Sí"),0,ROUND(K14,0)))</f>
        <v>0</v>
      </c>
      <c r="P14" s="71" t="n">
        <f aca="false">IF(G14&lt;&gt;"Sí","",IF(AND(IMPUTAR_AFC="Sí",N14&gt;0),-MIN(N14,ROUND(AFC_IMPUTABLE_PCT*MIN(W14,TOPE_AFC_UF*UF_HOY)*DATEDIF(E14,FQ_FECHA+1,"m"),0)),0))</f>
        <v>0</v>
      </c>
      <c r="Q14" s="85" t="n">
        <f aca="false">IF(G14&lt;&gt;"Sí","",M14+N14+O14+P14)</f>
        <v>44333</v>
      </c>
      <c r="R14" s="85" t="n">
        <f aca="false">IF(G14&lt;&gt;"Sí","",M14)</f>
        <v>44333</v>
      </c>
      <c r="S14" s="85" t="n">
        <f aca="false">IF(U14="","",IF(INDEX(CC_ESTADOC,5)="Renovación registrada","",ROUND(MAX(0,IF(U14&lt;=0,0,WORKDAY(F14,INT(U14),FERIADOS)-F14+(U14-INT(U14))))*V14,0)+IF(D14="Obra o faena",ROUND(OBRA_DIAS*K14/30*(DATEDIF(E14,F14+1,"m")+IF(F14+1-EDATE(E14,DATEDIF(E14,F14+1,"m"))&gt;15,1,0)),0),0)))</f>
        <v>402666</v>
      </c>
      <c r="T14" s="70" t="str">
        <f aca="false">IF(G14&lt;&gt;"Sí","",IF(D14="Plazo fijo","Despido antes del vencimiento: además existe riesgo de demanda por las remuneraciones hasta el término del plazo",IF(D14="Obra o faena","Al concluir la obra corresponde indemnización de 2,5 días por mes (incluida en la columna S); no IAS",IF(I14=0,"Menos de 1 año: no corresponde IAS (Art. 163)",IF(I14=TOPE_IAS_ANIOS,"IAS en el tope de 11 años","")))))</f>
        <v>Al concluir la obra corresponde indemnización de 2,5 días por mes (incluida en la columna S); no IAS</v>
      </c>
      <c r="U14" s="95" t="n">
        <f aca="false">IF(OR(G14&lt;&gt;"Sí",NOT(ISNUMBER(F14))),"",IF(F14&lt;FQ_FECHA,"",(1.25*(DATEDIF(E14,F14+1,"m")+(F14+1-EDATE(E14,DATEDIF(E14,F14+1,"m")))/30)+SUMPRODUCT((ANIOS&lt;=DATEDIF(E14,F14+1,"y"))*(X14+ANIOS-10&gt;0)*INT((X14+ANIOS-10)/3))-(SUMIFS(V_DIAS,V_ID,B14,V_INICIO,"&lt;="&amp;F14)+Y14))))</f>
        <v>5</v>
      </c>
      <c r="V14" s="71" t="n">
        <f aca="false">IF(G14&lt;&gt;"Sí","",(N(INDEX(T_SUELDO,5))+N(INDEX(T_BONO,5)))/30)</f>
        <v>18666.6666666667</v>
      </c>
      <c r="W14" s="71" t="n">
        <f aca="false">IF(G14&lt;&gt;"Sí","",N(INDEX(T_SUELDO,5))+N(INDEX(T_BONO,5))+IF(LEFT(INDEX(T_GRAT,5)&amp;"",6)="Art. 5",MIN(GRAT_PCT*(N(INDEX(T_SUELDO,5))+N(INDEX(T_BONO,5))),GRAT_TOPE_MES),0))</f>
        <v>700000</v>
      </c>
      <c r="X14" s="72" t="n">
        <f aca="false">IF(B14="","",MIN(10,N(INDEX(T_PREV,5))))</f>
        <v>5</v>
      </c>
      <c r="Y14" s="72" t="n">
        <f aca="false">IF(B14="","",N(INDEX(T_VACPREV,5)))</f>
        <v>0</v>
      </c>
      <c r="Z14" s="75" t="n">
        <f aca="false">IF(B14="","",N(INDEX(T_EGRESO,5)))</f>
        <v>0</v>
      </c>
    </row>
    <row r="15" customFormat="false" ht="15" hidden="false" customHeight="false" outlineLevel="0" collapsed="false">
      <c r="B15" s="70" t="str">
        <f aca="false">IFERROR(IF(INDEX(T_ID,6)="","",INDEX(T_ID,6)),"")</f>
        <v>T006</v>
      </c>
      <c r="C15" s="70" t="str">
        <f aca="false">IF(B15="","",INDEX(T_NOMBRE,6)&amp;"")</f>
        <v>Luis Vega (EJEMPLO)</v>
      </c>
      <c r="D15" s="70" t="str">
        <f aca="false">IF(B15="","",INDEX(T_TIPO,6)&amp;"")</f>
        <v>Plazo fijo</v>
      </c>
      <c r="E15" s="75" t="n">
        <f aca="false">IF(B15="","",INDEX(T_INGRESO,6))</f>
        <v>45964</v>
      </c>
      <c r="F15" s="75" t="n">
        <f aca="false">IF(B15="","",IF(ISNUMBER(INDEX(CC_VENCE,6)),INDEX(CC_VENCE,6),""))</f>
        <v>46055</v>
      </c>
      <c r="G15" s="70" t="str">
        <f aca="false">IF(OR(B15="",NOT(ISNUMBER(E15))),"",IF(AND(E15&lt;=FQ_FECHA,OR(Z15=0,Z15&gt;=FQ_FECHA)),"Sí","No"))</f>
        <v>No</v>
      </c>
      <c r="H15" s="94" t="str">
        <f aca="false">IF(G15&lt;&gt;"Sí","",ROUND((FQ_FECHA+1-E15)/365.25,1))</f>
        <v/>
      </c>
      <c r="I15" s="73" t="str">
        <f aca="false">IF(G15&lt;&gt;"Sí","",IF(DATEDIF(E15,FQ_FECHA+1,"y")&lt;1,0,MIN(TOPE_IAS_ANIOS,DATEDIF(E15,FQ_FECHA+1,"y")+IF(EDATE(E15,12*DATEDIF(E15,FQ_FECHA+1,"y")+6)&lt;FQ_FECHA+1,1,0))))</f>
        <v/>
      </c>
      <c r="J15" s="71" t="str">
        <f aca="false">IF(G15&lt;&gt;"Sí","",W15+N(INDEX(T_COL,6))+N(INDEX(T_MOV,6)))</f>
        <v/>
      </c>
      <c r="K15" s="71" t="str">
        <f aca="false">IF(G15&lt;&gt;"Sí","",MIN(J15,TOPE_IAS_UF*UF_HOY))</f>
        <v/>
      </c>
      <c r="L15" s="95" t="str">
        <f aca="false">IF(G15&lt;&gt;"Sí","",(1.25*(DATEDIF(E15,FQ_FECHA+1,"m")+(FQ_FECHA+1-EDATE(E15,DATEDIF(E15,FQ_FECHA+1,"m")))/30)+SUMPRODUCT((ANIOS&lt;=DATEDIF(E15,FQ_FECHA+1,"y"))*(X15+ANIOS-10&gt;0)*INT((X15+ANIOS-10)/3))-(SUMIFS(V_DIAS,V_ID,B15,V_INICIO,"&lt;="&amp;FQ_FECHA)+Y15)))</f>
        <v/>
      </c>
      <c r="M15" s="71" t="str">
        <f aca="false">IF(G15&lt;&gt;"Sí","",ROUND(MAX(0,IF(L15&lt;=0,0,WORKDAY(FQ_FECHA,INT(L15),FERIADOS)-FQ_FECHA+(L15-INT(L15))))*V15,0))</f>
        <v/>
      </c>
      <c r="N15" s="71" t="str">
        <f aca="false">IF(G15&lt;&gt;"Sí","",IF(D15="Obra o faena",0,ROUND(K15*I15,0)))</f>
        <v/>
      </c>
      <c r="O15" s="71" t="str">
        <f aca="false">IF(G15&lt;&gt;"Sí","",IF(OR(D15="Obra o faena",FQ_AVISO="Sí"),0,ROUND(K15,0)))</f>
        <v/>
      </c>
      <c r="P15" s="71" t="str">
        <f aca="false">IF(G15&lt;&gt;"Sí","",IF(AND(IMPUTAR_AFC="Sí",N15&gt;0),-MIN(N15,ROUND(AFC_IMPUTABLE_PCT*MIN(W15,TOPE_AFC_UF*UF_HOY)*DATEDIF(E15,FQ_FECHA+1,"m"),0)),0))</f>
        <v/>
      </c>
      <c r="Q15" s="85" t="str">
        <f aca="false">IF(G15&lt;&gt;"Sí","",M15+N15+O15+P15)</f>
        <v/>
      </c>
      <c r="R15" s="85" t="str">
        <f aca="false">IF(G15&lt;&gt;"Sí","",M15)</f>
        <v/>
      </c>
      <c r="S15" s="85" t="str">
        <f aca="false">IF(U15="","",IF(INDEX(CC_ESTADOC,6)="Renovación registrada","",ROUND(MAX(0,IF(U15&lt;=0,0,WORKDAY(F15,INT(U15),FERIADOS)-F15+(U15-INT(U15))))*V15,0)+IF(D15="Obra o faena",ROUND(OBRA_DIAS*K15/30*(DATEDIF(E15,F15+1,"m")+IF(F15+1-EDATE(E15,DATEDIF(E15,F15+1,"m"))&gt;15,1,0)),0),0)))</f>
        <v/>
      </c>
      <c r="T15" s="70" t="str">
        <f aca="false">IF(G15&lt;&gt;"Sí","",IF(D15="Plazo fijo","Despido antes del vencimiento: además existe riesgo de demanda por las remuneraciones hasta el término del plazo",IF(D15="Obra o faena","Al concluir la obra corresponde indemnización de 2,5 días por mes (incluida en la columna S); no IAS",IF(I15=0,"Menos de 1 año: no corresponde IAS (Art. 163)",IF(I15=TOPE_IAS_ANIOS,"IAS en el tope de 11 años","")))))</f>
        <v/>
      </c>
      <c r="U15" s="95" t="str">
        <f aca="false">IF(OR(G15&lt;&gt;"Sí",NOT(ISNUMBER(F15))),"",IF(F15&lt;FQ_FECHA,"",(1.25*(DATEDIF(E15,F15+1,"m")+(F15+1-EDATE(E15,DATEDIF(E15,F15+1,"m")))/30)+SUMPRODUCT((ANIOS&lt;=DATEDIF(E15,F15+1,"y"))*(X15+ANIOS-10&gt;0)*INT((X15+ANIOS-10)/3))-(SUMIFS(V_DIAS,V_ID,B15,V_INICIO,"&lt;="&amp;F15)+Y15))))</f>
        <v/>
      </c>
      <c r="V15" s="71" t="str">
        <f aca="false">IF(G15&lt;&gt;"Sí","",(N(INDEX(T_SUELDO,6))+N(INDEX(T_BONO,6)))/30)</f>
        <v/>
      </c>
      <c r="W15" s="71" t="str">
        <f aca="false">IF(G15&lt;&gt;"Sí","",N(INDEX(T_SUELDO,6))+N(INDEX(T_BONO,6))+IF(LEFT(INDEX(T_GRAT,6)&amp;"",6)="Art. 5",MIN(GRAT_PCT*(N(INDEX(T_SUELDO,6))+N(INDEX(T_BONO,6))),GRAT_TOPE_MES),0))</f>
        <v/>
      </c>
      <c r="X15" s="72" t="n">
        <f aca="false">IF(B15="","",MIN(10,N(INDEX(T_PREV,6))))</f>
        <v>1</v>
      </c>
      <c r="Y15" s="72" t="n">
        <f aca="false">IF(B15="","",N(INDEX(T_VACPREV,6)))</f>
        <v>0</v>
      </c>
      <c r="Z15" s="75" t="n">
        <f aca="false">IF(B15="","",N(INDEX(T_EGRESO,6)))</f>
        <v>46055</v>
      </c>
    </row>
    <row r="16" customFormat="false" ht="15" hidden="false" customHeight="false" outlineLevel="0" collapsed="false">
      <c r="B16" s="70" t="str">
        <f aca="false">IFERROR(IF(INDEX(T_ID,7)="","",INDEX(T_ID,7)),"")</f>
        <v/>
      </c>
      <c r="C16" s="70" t="str">
        <f aca="false">IF(B16="","",INDEX(T_NOMBRE,7)&amp;"")</f>
        <v/>
      </c>
      <c r="D16" s="70" t="str">
        <f aca="false">IF(B16="","",INDEX(T_TIPO,7)&amp;"")</f>
        <v/>
      </c>
      <c r="E16" s="75" t="str">
        <f aca="false">IF(B16="","",INDEX(T_INGRESO,7))</f>
        <v/>
      </c>
      <c r="F16" s="75" t="str">
        <f aca="false">IF(B16="","",IF(ISNUMBER(INDEX(CC_VENCE,7)),INDEX(CC_VENCE,7),""))</f>
        <v/>
      </c>
      <c r="G16" s="70" t="str">
        <f aca="false">IF(OR(B16="",NOT(ISNUMBER(E16))),"",IF(AND(E16&lt;=FQ_FECHA,OR(Z16=0,Z16&gt;=FQ_FECHA)),"Sí","No"))</f>
        <v/>
      </c>
      <c r="H16" s="94" t="str">
        <f aca="false">IF(G16&lt;&gt;"Sí","",ROUND((FQ_FECHA+1-E16)/365.25,1))</f>
        <v/>
      </c>
      <c r="I16" s="73" t="str">
        <f aca="false">IF(G16&lt;&gt;"Sí","",IF(DATEDIF(E16,FQ_FECHA+1,"y")&lt;1,0,MIN(TOPE_IAS_ANIOS,DATEDIF(E16,FQ_FECHA+1,"y")+IF(EDATE(E16,12*DATEDIF(E16,FQ_FECHA+1,"y")+6)&lt;FQ_FECHA+1,1,0))))</f>
        <v/>
      </c>
      <c r="J16" s="71" t="str">
        <f aca="false">IF(G16&lt;&gt;"Sí","",W16+N(INDEX(T_COL,7))+N(INDEX(T_MOV,7)))</f>
        <v/>
      </c>
      <c r="K16" s="71" t="str">
        <f aca="false">IF(G16&lt;&gt;"Sí","",MIN(J16,TOPE_IAS_UF*UF_HOY))</f>
        <v/>
      </c>
      <c r="L16" s="95" t="str">
        <f aca="false">IF(G16&lt;&gt;"Sí","",(1.25*(DATEDIF(E16,FQ_FECHA+1,"m")+(FQ_FECHA+1-EDATE(E16,DATEDIF(E16,FQ_FECHA+1,"m")))/30)+SUMPRODUCT((ANIOS&lt;=DATEDIF(E16,FQ_FECHA+1,"y"))*(X16+ANIOS-10&gt;0)*INT((X16+ANIOS-10)/3))-(SUMIFS(V_DIAS,V_ID,B16,V_INICIO,"&lt;="&amp;FQ_FECHA)+Y16)))</f>
        <v/>
      </c>
      <c r="M16" s="71" t="str">
        <f aca="false">IF(G16&lt;&gt;"Sí","",ROUND(MAX(0,IF(L16&lt;=0,0,WORKDAY(FQ_FECHA,INT(L16),FERIADOS)-FQ_FECHA+(L16-INT(L16))))*V16,0))</f>
        <v/>
      </c>
      <c r="N16" s="71" t="str">
        <f aca="false">IF(G16&lt;&gt;"Sí","",IF(D16="Obra o faena",0,ROUND(K16*I16,0)))</f>
        <v/>
      </c>
      <c r="O16" s="71" t="str">
        <f aca="false">IF(G16&lt;&gt;"Sí","",IF(OR(D16="Obra o faena",FQ_AVISO="Sí"),0,ROUND(K16,0)))</f>
        <v/>
      </c>
      <c r="P16" s="71" t="str">
        <f aca="false">IF(G16&lt;&gt;"Sí","",IF(AND(IMPUTAR_AFC="Sí",N16&gt;0),-MIN(N16,ROUND(AFC_IMPUTABLE_PCT*MIN(W16,TOPE_AFC_UF*UF_HOY)*DATEDIF(E16,FQ_FECHA+1,"m"),0)),0))</f>
        <v/>
      </c>
      <c r="Q16" s="85" t="str">
        <f aca="false">IF(G16&lt;&gt;"Sí","",M16+N16+O16+P16)</f>
        <v/>
      </c>
      <c r="R16" s="85" t="str">
        <f aca="false">IF(G16&lt;&gt;"Sí","",M16)</f>
        <v/>
      </c>
      <c r="S16" s="85" t="str">
        <f aca="false">IF(U16="","",IF(INDEX(CC_ESTADOC,7)="Renovación registrada","",ROUND(MAX(0,IF(U16&lt;=0,0,WORKDAY(F16,INT(U16),FERIADOS)-F16+(U16-INT(U16))))*V16,0)+IF(D16="Obra o faena",ROUND(OBRA_DIAS*K16/30*(DATEDIF(E16,F16+1,"m")+IF(F16+1-EDATE(E16,DATEDIF(E16,F16+1,"m"))&gt;15,1,0)),0),0)))</f>
        <v/>
      </c>
      <c r="T16" s="70" t="str">
        <f aca="false">IF(G16&lt;&gt;"Sí","",IF(D16="Plazo fijo","Despido antes del vencimiento: además existe riesgo de demanda por las remuneraciones hasta el término del plazo",IF(D16="Obra o faena","Al concluir la obra corresponde indemnización de 2,5 días por mes (incluida en la columna S); no IAS",IF(I16=0,"Menos de 1 año: no corresponde IAS (Art. 163)",IF(I16=TOPE_IAS_ANIOS,"IAS en el tope de 11 años","")))))</f>
        <v/>
      </c>
      <c r="U16" s="95" t="str">
        <f aca="false">IF(OR(G16&lt;&gt;"Sí",NOT(ISNUMBER(F16))),"",IF(F16&lt;FQ_FECHA,"",(1.25*(DATEDIF(E16,F16+1,"m")+(F16+1-EDATE(E16,DATEDIF(E16,F16+1,"m")))/30)+SUMPRODUCT((ANIOS&lt;=DATEDIF(E16,F16+1,"y"))*(X16+ANIOS-10&gt;0)*INT((X16+ANIOS-10)/3))-(SUMIFS(V_DIAS,V_ID,B16,V_INICIO,"&lt;="&amp;F16)+Y16))))</f>
        <v/>
      </c>
      <c r="V16" s="71" t="str">
        <f aca="false">IF(G16&lt;&gt;"Sí","",(N(INDEX(T_SUELDO,7))+N(INDEX(T_BONO,7)))/30)</f>
        <v/>
      </c>
      <c r="W16" s="71" t="str">
        <f aca="false">IF(G16&lt;&gt;"Sí","",N(INDEX(T_SUELDO,7))+N(INDEX(T_BONO,7))+IF(LEFT(INDEX(T_GRAT,7)&amp;"",6)="Art. 5",MIN(GRAT_PCT*(N(INDEX(T_SUELDO,7))+N(INDEX(T_BONO,7))),GRAT_TOPE_MES),0))</f>
        <v/>
      </c>
      <c r="X16" s="72" t="str">
        <f aca="false">IF(B16="","",MIN(10,N(INDEX(T_PREV,7))))</f>
        <v/>
      </c>
      <c r="Y16" s="72" t="str">
        <f aca="false">IF(B16="","",N(INDEX(T_VACPREV,7)))</f>
        <v/>
      </c>
      <c r="Z16" s="75" t="str">
        <f aca="false">IF(B16="","",N(INDEX(T_EGRESO,7)))</f>
        <v/>
      </c>
    </row>
    <row r="17" customFormat="false" ht="15" hidden="false" customHeight="false" outlineLevel="0" collapsed="false">
      <c r="B17" s="70" t="str">
        <f aca="false">IFERROR(IF(INDEX(T_ID,8)="","",INDEX(T_ID,8)),"")</f>
        <v/>
      </c>
      <c r="C17" s="70" t="str">
        <f aca="false">IF(B17="","",INDEX(T_NOMBRE,8)&amp;"")</f>
        <v/>
      </c>
      <c r="D17" s="70" t="str">
        <f aca="false">IF(B17="","",INDEX(T_TIPO,8)&amp;"")</f>
        <v/>
      </c>
      <c r="E17" s="75" t="str">
        <f aca="false">IF(B17="","",INDEX(T_INGRESO,8))</f>
        <v/>
      </c>
      <c r="F17" s="75" t="str">
        <f aca="false">IF(B17="","",IF(ISNUMBER(INDEX(CC_VENCE,8)),INDEX(CC_VENCE,8),""))</f>
        <v/>
      </c>
      <c r="G17" s="70" t="str">
        <f aca="false">IF(OR(B17="",NOT(ISNUMBER(E17))),"",IF(AND(E17&lt;=FQ_FECHA,OR(Z17=0,Z17&gt;=FQ_FECHA)),"Sí","No"))</f>
        <v/>
      </c>
      <c r="H17" s="94" t="str">
        <f aca="false">IF(G17&lt;&gt;"Sí","",ROUND((FQ_FECHA+1-E17)/365.25,1))</f>
        <v/>
      </c>
      <c r="I17" s="73" t="str">
        <f aca="false">IF(G17&lt;&gt;"Sí","",IF(DATEDIF(E17,FQ_FECHA+1,"y")&lt;1,0,MIN(TOPE_IAS_ANIOS,DATEDIF(E17,FQ_FECHA+1,"y")+IF(EDATE(E17,12*DATEDIF(E17,FQ_FECHA+1,"y")+6)&lt;FQ_FECHA+1,1,0))))</f>
        <v/>
      </c>
      <c r="J17" s="71" t="str">
        <f aca="false">IF(G17&lt;&gt;"Sí","",W17+N(INDEX(T_COL,8))+N(INDEX(T_MOV,8)))</f>
        <v/>
      </c>
      <c r="K17" s="71" t="str">
        <f aca="false">IF(G17&lt;&gt;"Sí","",MIN(J17,TOPE_IAS_UF*UF_HOY))</f>
        <v/>
      </c>
      <c r="L17" s="95" t="str">
        <f aca="false">IF(G17&lt;&gt;"Sí","",(1.25*(DATEDIF(E17,FQ_FECHA+1,"m")+(FQ_FECHA+1-EDATE(E17,DATEDIF(E17,FQ_FECHA+1,"m")))/30)+SUMPRODUCT((ANIOS&lt;=DATEDIF(E17,FQ_FECHA+1,"y"))*(X17+ANIOS-10&gt;0)*INT((X17+ANIOS-10)/3))-(SUMIFS(V_DIAS,V_ID,B17,V_INICIO,"&lt;="&amp;FQ_FECHA)+Y17)))</f>
        <v/>
      </c>
      <c r="M17" s="71" t="str">
        <f aca="false">IF(G17&lt;&gt;"Sí","",ROUND(MAX(0,IF(L17&lt;=0,0,WORKDAY(FQ_FECHA,INT(L17),FERIADOS)-FQ_FECHA+(L17-INT(L17))))*V17,0))</f>
        <v/>
      </c>
      <c r="N17" s="71" t="str">
        <f aca="false">IF(G17&lt;&gt;"Sí","",IF(D17="Obra o faena",0,ROUND(K17*I17,0)))</f>
        <v/>
      </c>
      <c r="O17" s="71" t="str">
        <f aca="false">IF(G17&lt;&gt;"Sí","",IF(OR(D17="Obra o faena",FQ_AVISO="Sí"),0,ROUND(K17,0)))</f>
        <v/>
      </c>
      <c r="P17" s="71" t="str">
        <f aca="false">IF(G17&lt;&gt;"Sí","",IF(AND(IMPUTAR_AFC="Sí",N17&gt;0),-MIN(N17,ROUND(AFC_IMPUTABLE_PCT*MIN(W17,TOPE_AFC_UF*UF_HOY)*DATEDIF(E17,FQ_FECHA+1,"m"),0)),0))</f>
        <v/>
      </c>
      <c r="Q17" s="85" t="str">
        <f aca="false">IF(G17&lt;&gt;"Sí","",M17+N17+O17+P17)</f>
        <v/>
      </c>
      <c r="R17" s="85" t="str">
        <f aca="false">IF(G17&lt;&gt;"Sí","",M17)</f>
        <v/>
      </c>
      <c r="S17" s="85" t="str">
        <f aca="false">IF(U17="","",IF(INDEX(CC_ESTADOC,8)="Renovación registrada","",ROUND(MAX(0,IF(U17&lt;=0,0,WORKDAY(F17,INT(U17),FERIADOS)-F17+(U17-INT(U17))))*V17,0)+IF(D17="Obra o faena",ROUND(OBRA_DIAS*K17/30*(DATEDIF(E17,F17+1,"m")+IF(F17+1-EDATE(E17,DATEDIF(E17,F17+1,"m"))&gt;15,1,0)),0),0)))</f>
        <v/>
      </c>
      <c r="T17" s="70" t="str">
        <f aca="false">IF(G17&lt;&gt;"Sí","",IF(D17="Plazo fijo","Despido antes del vencimiento: además existe riesgo de demanda por las remuneraciones hasta el término del plazo",IF(D17="Obra o faena","Al concluir la obra corresponde indemnización de 2,5 días por mes (incluida en la columna S); no IAS",IF(I17=0,"Menos de 1 año: no corresponde IAS (Art. 163)",IF(I17=TOPE_IAS_ANIOS,"IAS en el tope de 11 años","")))))</f>
        <v/>
      </c>
      <c r="U17" s="95" t="str">
        <f aca="false">IF(OR(G17&lt;&gt;"Sí",NOT(ISNUMBER(F17))),"",IF(F17&lt;FQ_FECHA,"",(1.25*(DATEDIF(E17,F17+1,"m")+(F17+1-EDATE(E17,DATEDIF(E17,F17+1,"m")))/30)+SUMPRODUCT((ANIOS&lt;=DATEDIF(E17,F17+1,"y"))*(X17+ANIOS-10&gt;0)*INT((X17+ANIOS-10)/3))-(SUMIFS(V_DIAS,V_ID,B17,V_INICIO,"&lt;="&amp;F17)+Y17))))</f>
        <v/>
      </c>
      <c r="V17" s="71" t="str">
        <f aca="false">IF(G17&lt;&gt;"Sí","",(N(INDEX(T_SUELDO,8))+N(INDEX(T_BONO,8)))/30)</f>
        <v/>
      </c>
      <c r="W17" s="71" t="str">
        <f aca="false">IF(G17&lt;&gt;"Sí","",N(INDEX(T_SUELDO,8))+N(INDEX(T_BONO,8))+IF(LEFT(INDEX(T_GRAT,8)&amp;"",6)="Art. 5",MIN(GRAT_PCT*(N(INDEX(T_SUELDO,8))+N(INDEX(T_BONO,8))),GRAT_TOPE_MES),0))</f>
        <v/>
      </c>
      <c r="X17" s="72" t="str">
        <f aca="false">IF(B17="","",MIN(10,N(INDEX(T_PREV,8))))</f>
        <v/>
      </c>
      <c r="Y17" s="72" t="str">
        <f aca="false">IF(B17="","",N(INDEX(T_VACPREV,8)))</f>
        <v/>
      </c>
      <c r="Z17" s="75" t="str">
        <f aca="false">IF(B17="","",N(INDEX(T_EGRESO,8)))</f>
        <v/>
      </c>
    </row>
    <row r="18" customFormat="false" ht="15" hidden="false" customHeight="false" outlineLevel="0" collapsed="false">
      <c r="B18" s="70" t="str">
        <f aca="false">IFERROR(IF(INDEX(T_ID,9)="","",INDEX(T_ID,9)),"")</f>
        <v/>
      </c>
      <c r="C18" s="70" t="str">
        <f aca="false">IF(B18="","",INDEX(T_NOMBRE,9)&amp;"")</f>
        <v/>
      </c>
      <c r="D18" s="70" t="str">
        <f aca="false">IF(B18="","",INDEX(T_TIPO,9)&amp;"")</f>
        <v/>
      </c>
      <c r="E18" s="75" t="str">
        <f aca="false">IF(B18="","",INDEX(T_INGRESO,9))</f>
        <v/>
      </c>
      <c r="F18" s="75" t="str">
        <f aca="false">IF(B18="","",IF(ISNUMBER(INDEX(CC_VENCE,9)),INDEX(CC_VENCE,9),""))</f>
        <v/>
      </c>
      <c r="G18" s="70" t="str">
        <f aca="false">IF(OR(B18="",NOT(ISNUMBER(E18))),"",IF(AND(E18&lt;=FQ_FECHA,OR(Z18=0,Z18&gt;=FQ_FECHA)),"Sí","No"))</f>
        <v/>
      </c>
      <c r="H18" s="94" t="str">
        <f aca="false">IF(G18&lt;&gt;"Sí","",ROUND((FQ_FECHA+1-E18)/365.25,1))</f>
        <v/>
      </c>
      <c r="I18" s="73" t="str">
        <f aca="false">IF(G18&lt;&gt;"Sí","",IF(DATEDIF(E18,FQ_FECHA+1,"y")&lt;1,0,MIN(TOPE_IAS_ANIOS,DATEDIF(E18,FQ_FECHA+1,"y")+IF(EDATE(E18,12*DATEDIF(E18,FQ_FECHA+1,"y")+6)&lt;FQ_FECHA+1,1,0))))</f>
        <v/>
      </c>
      <c r="J18" s="71" t="str">
        <f aca="false">IF(G18&lt;&gt;"Sí","",W18+N(INDEX(T_COL,9))+N(INDEX(T_MOV,9)))</f>
        <v/>
      </c>
      <c r="K18" s="71" t="str">
        <f aca="false">IF(G18&lt;&gt;"Sí","",MIN(J18,TOPE_IAS_UF*UF_HOY))</f>
        <v/>
      </c>
      <c r="L18" s="95" t="str">
        <f aca="false">IF(G18&lt;&gt;"Sí","",(1.25*(DATEDIF(E18,FQ_FECHA+1,"m")+(FQ_FECHA+1-EDATE(E18,DATEDIF(E18,FQ_FECHA+1,"m")))/30)+SUMPRODUCT((ANIOS&lt;=DATEDIF(E18,FQ_FECHA+1,"y"))*(X18+ANIOS-10&gt;0)*INT((X18+ANIOS-10)/3))-(SUMIFS(V_DIAS,V_ID,B18,V_INICIO,"&lt;="&amp;FQ_FECHA)+Y18)))</f>
        <v/>
      </c>
      <c r="M18" s="71" t="str">
        <f aca="false">IF(G18&lt;&gt;"Sí","",ROUND(MAX(0,IF(L18&lt;=0,0,WORKDAY(FQ_FECHA,INT(L18),FERIADOS)-FQ_FECHA+(L18-INT(L18))))*V18,0))</f>
        <v/>
      </c>
      <c r="N18" s="71" t="str">
        <f aca="false">IF(G18&lt;&gt;"Sí","",IF(D18="Obra o faena",0,ROUND(K18*I18,0)))</f>
        <v/>
      </c>
      <c r="O18" s="71" t="str">
        <f aca="false">IF(G18&lt;&gt;"Sí","",IF(OR(D18="Obra o faena",FQ_AVISO="Sí"),0,ROUND(K18,0)))</f>
        <v/>
      </c>
      <c r="P18" s="71" t="str">
        <f aca="false">IF(G18&lt;&gt;"Sí","",IF(AND(IMPUTAR_AFC="Sí",N18&gt;0),-MIN(N18,ROUND(AFC_IMPUTABLE_PCT*MIN(W18,TOPE_AFC_UF*UF_HOY)*DATEDIF(E18,FQ_FECHA+1,"m"),0)),0))</f>
        <v/>
      </c>
      <c r="Q18" s="85" t="str">
        <f aca="false">IF(G18&lt;&gt;"Sí","",M18+N18+O18+P18)</f>
        <v/>
      </c>
      <c r="R18" s="85" t="str">
        <f aca="false">IF(G18&lt;&gt;"Sí","",M18)</f>
        <v/>
      </c>
      <c r="S18" s="85" t="str">
        <f aca="false">IF(U18="","",IF(INDEX(CC_ESTADOC,9)="Renovación registrada","",ROUND(MAX(0,IF(U18&lt;=0,0,WORKDAY(F18,INT(U18),FERIADOS)-F18+(U18-INT(U18))))*V18,0)+IF(D18="Obra o faena",ROUND(OBRA_DIAS*K18/30*(DATEDIF(E18,F18+1,"m")+IF(F18+1-EDATE(E18,DATEDIF(E18,F18+1,"m"))&gt;15,1,0)),0),0)))</f>
        <v/>
      </c>
      <c r="T18" s="70" t="str">
        <f aca="false">IF(G18&lt;&gt;"Sí","",IF(D18="Plazo fijo","Despido antes del vencimiento: además existe riesgo de demanda por las remuneraciones hasta el término del plazo",IF(D18="Obra o faena","Al concluir la obra corresponde indemnización de 2,5 días por mes (incluida en la columna S); no IAS",IF(I18=0,"Menos de 1 año: no corresponde IAS (Art. 163)",IF(I18=TOPE_IAS_ANIOS,"IAS en el tope de 11 años","")))))</f>
        <v/>
      </c>
      <c r="U18" s="95" t="str">
        <f aca="false">IF(OR(G18&lt;&gt;"Sí",NOT(ISNUMBER(F18))),"",IF(F18&lt;FQ_FECHA,"",(1.25*(DATEDIF(E18,F18+1,"m")+(F18+1-EDATE(E18,DATEDIF(E18,F18+1,"m")))/30)+SUMPRODUCT((ANIOS&lt;=DATEDIF(E18,F18+1,"y"))*(X18+ANIOS-10&gt;0)*INT((X18+ANIOS-10)/3))-(SUMIFS(V_DIAS,V_ID,B18,V_INICIO,"&lt;="&amp;F18)+Y18))))</f>
        <v/>
      </c>
      <c r="V18" s="71" t="str">
        <f aca="false">IF(G18&lt;&gt;"Sí","",(N(INDEX(T_SUELDO,9))+N(INDEX(T_BONO,9)))/30)</f>
        <v/>
      </c>
      <c r="W18" s="71" t="str">
        <f aca="false">IF(G18&lt;&gt;"Sí","",N(INDEX(T_SUELDO,9))+N(INDEX(T_BONO,9))+IF(LEFT(INDEX(T_GRAT,9)&amp;"",6)="Art. 5",MIN(GRAT_PCT*(N(INDEX(T_SUELDO,9))+N(INDEX(T_BONO,9))),GRAT_TOPE_MES),0))</f>
        <v/>
      </c>
      <c r="X18" s="72" t="str">
        <f aca="false">IF(B18="","",MIN(10,N(INDEX(T_PREV,9))))</f>
        <v/>
      </c>
      <c r="Y18" s="72" t="str">
        <f aca="false">IF(B18="","",N(INDEX(T_VACPREV,9)))</f>
        <v/>
      </c>
      <c r="Z18" s="75" t="str">
        <f aca="false">IF(B18="","",N(INDEX(T_EGRESO,9)))</f>
        <v/>
      </c>
    </row>
    <row r="19" customFormat="false" ht="15" hidden="false" customHeight="false" outlineLevel="0" collapsed="false">
      <c r="B19" s="70" t="str">
        <f aca="false">IFERROR(IF(INDEX(T_ID,10)="","",INDEX(T_ID,10)),"")</f>
        <v/>
      </c>
      <c r="C19" s="70" t="str">
        <f aca="false">IF(B19="","",INDEX(T_NOMBRE,10)&amp;"")</f>
        <v/>
      </c>
      <c r="D19" s="70" t="str">
        <f aca="false">IF(B19="","",INDEX(T_TIPO,10)&amp;"")</f>
        <v/>
      </c>
      <c r="E19" s="75" t="str">
        <f aca="false">IF(B19="","",INDEX(T_INGRESO,10))</f>
        <v/>
      </c>
      <c r="F19" s="75" t="str">
        <f aca="false">IF(B19="","",IF(ISNUMBER(INDEX(CC_VENCE,10)),INDEX(CC_VENCE,10),""))</f>
        <v/>
      </c>
      <c r="G19" s="70" t="str">
        <f aca="false">IF(OR(B19="",NOT(ISNUMBER(E19))),"",IF(AND(E19&lt;=FQ_FECHA,OR(Z19=0,Z19&gt;=FQ_FECHA)),"Sí","No"))</f>
        <v/>
      </c>
      <c r="H19" s="94" t="str">
        <f aca="false">IF(G19&lt;&gt;"Sí","",ROUND((FQ_FECHA+1-E19)/365.25,1))</f>
        <v/>
      </c>
      <c r="I19" s="73" t="str">
        <f aca="false">IF(G19&lt;&gt;"Sí","",IF(DATEDIF(E19,FQ_FECHA+1,"y")&lt;1,0,MIN(TOPE_IAS_ANIOS,DATEDIF(E19,FQ_FECHA+1,"y")+IF(EDATE(E19,12*DATEDIF(E19,FQ_FECHA+1,"y")+6)&lt;FQ_FECHA+1,1,0))))</f>
        <v/>
      </c>
      <c r="J19" s="71" t="str">
        <f aca="false">IF(G19&lt;&gt;"Sí","",W19+N(INDEX(T_COL,10))+N(INDEX(T_MOV,10)))</f>
        <v/>
      </c>
      <c r="K19" s="71" t="str">
        <f aca="false">IF(G19&lt;&gt;"Sí","",MIN(J19,TOPE_IAS_UF*UF_HOY))</f>
        <v/>
      </c>
      <c r="L19" s="95" t="str">
        <f aca="false">IF(G19&lt;&gt;"Sí","",(1.25*(DATEDIF(E19,FQ_FECHA+1,"m")+(FQ_FECHA+1-EDATE(E19,DATEDIF(E19,FQ_FECHA+1,"m")))/30)+SUMPRODUCT((ANIOS&lt;=DATEDIF(E19,FQ_FECHA+1,"y"))*(X19+ANIOS-10&gt;0)*INT((X19+ANIOS-10)/3))-(SUMIFS(V_DIAS,V_ID,B19,V_INICIO,"&lt;="&amp;FQ_FECHA)+Y19)))</f>
        <v/>
      </c>
      <c r="M19" s="71" t="str">
        <f aca="false">IF(G19&lt;&gt;"Sí","",ROUND(MAX(0,IF(L19&lt;=0,0,WORKDAY(FQ_FECHA,INT(L19),FERIADOS)-FQ_FECHA+(L19-INT(L19))))*V19,0))</f>
        <v/>
      </c>
      <c r="N19" s="71" t="str">
        <f aca="false">IF(G19&lt;&gt;"Sí","",IF(D19="Obra o faena",0,ROUND(K19*I19,0)))</f>
        <v/>
      </c>
      <c r="O19" s="71" t="str">
        <f aca="false">IF(G19&lt;&gt;"Sí","",IF(OR(D19="Obra o faena",FQ_AVISO="Sí"),0,ROUND(K19,0)))</f>
        <v/>
      </c>
      <c r="P19" s="71" t="str">
        <f aca="false">IF(G19&lt;&gt;"Sí","",IF(AND(IMPUTAR_AFC="Sí",N19&gt;0),-MIN(N19,ROUND(AFC_IMPUTABLE_PCT*MIN(W19,TOPE_AFC_UF*UF_HOY)*DATEDIF(E19,FQ_FECHA+1,"m"),0)),0))</f>
        <v/>
      </c>
      <c r="Q19" s="85" t="str">
        <f aca="false">IF(G19&lt;&gt;"Sí","",M19+N19+O19+P19)</f>
        <v/>
      </c>
      <c r="R19" s="85" t="str">
        <f aca="false">IF(G19&lt;&gt;"Sí","",M19)</f>
        <v/>
      </c>
      <c r="S19" s="85" t="str">
        <f aca="false">IF(U19="","",IF(INDEX(CC_ESTADOC,10)="Renovación registrada","",ROUND(MAX(0,IF(U19&lt;=0,0,WORKDAY(F19,INT(U19),FERIADOS)-F19+(U19-INT(U19))))*V19,0)+IF(D19="Obra o faena",ROUND(OBRA_DIAS*K19/30*(DATEDIF(E19,F19+1,"m")+IF(F19+1-EDATE(E19,DATEDIF(E19,F19+1,"m"))&gt;15,1,0)),0),0)))</f>
        <v/>
      </c>
      <c r="T19" s="70" t="str">
        <f aca="false">IF(G19&lt;&gt;"Sí","",IF(D19="Plazo fijo","Despido antes del vencimiento: además existe riesgo de demanda por las remuneraciones hasta el término del plazo",IF(D19="Obra o faena","Al concluir la obra corresponde indemnización de 2,5 días por mes (incluida en la columna S); no IAS",IF(I19=0,"Menos de 1 año: no corresponde IAS (Art. 163)",IF(I19=TOPE_IAS_ANIOS,"IAS en el tope de 11 años","")))))</f>
        <v/>
      </c>
      <c r="U19" s="95" t="str">
        <f aca="false">IF(OR(G19&lt;&gt;"Sí",NOT(ISNUMBER(F19))),"",IF(F19&lt;FQ_FECHA,"",(1.25*(DATEDIF(E19,F19+1,"m")+(F19+1-EDATE(E19,DATEDIF(E19,F19+1,"m")))/30)+SUMPRODUCT((ANIOS&lt;=DATEDIF(E19,F19+1,"y"))*(X19+ANIOS-10&gt;0)*INT((X19+ANIOS-10)/3))-(SUMIFS(V_DIAS,V_ID,B19,V_INICIO,"&lt;="&amp;F19)+Y19))))</f>
        <v/>
      </c>
      <c r="V19" s="71" t="str">
        <f aca="false">IF(G19&lt;&gt;"Sí","",(N(INDEX(T_SUELDO,10))+N(INDEX(T_BONO,10)))/30)</f>
        <v/>
      </c>
      <c r="W19" s="71" t="str">
        <f aca="false">IF(G19&lt;&gt;"Sí","",N(INDEX(T_SUELDO,10))+N(INDEX(T_BONO,10))+IF(LEFT(INDEX(T_GRAT,10)&amp;"",6)="Art. 5",MIN(GRAT_PCT*(N(INDEX(T_SUELDO,10))+N(INDEX(T_BONO,10))),GRAT_TOPE_MES),0))</f>
        <v/>
      </c>
      <c r="X19" s="72" t="str">
        <f aca="false">IF(B19="","",MIN(10,N(INDEX(T_PREV,10))))</f>
        <v/>
      </c>
      <c r="Y19" s="72" t="str">
        <f aca="false">IF(B19="","",N(INDEX(T_VACPREV,10)))</f>
        <v/>
      </c>
      <c r="Z19" s="75" t="str">
        <f aca="false">IF(B19="","",N(INDEX(T_EGRESO,10)))</f>
        <v/>
      </c>
    </row>
    <row r="20" customFormat="false" ht="15" hidden="false" customHeight="false" outlineLevel="0" collapsed="false">
      <c r="B20" s="70" t="str">
        <f aca="false">IFERROR(IF(INDEX(T_ID,11)="","",INDEX(T_ID,11)),"")</f>
        <v/>
      </c>
      <c r="C20" s="70" t="str">
        <f aca="false">IF(B20="","",INDEX(T_NOMBRE,11)&amp;"")</f>
        <v/>
      </c>
      <c r="D20" s="70" t="str">
        <f aca="false">IF(B20="","",INDEX(T_TIPO,11)&amp;"")</f>
        <v/>
      </c>
      <c r="E20" s="75" t="str">
        <f aca="false">IF(B20="","",INDEX(T_INGRESO,11))</f>
        <v/>
      </c>
      <c r="F20" s="75" t="str">
        <f aca="false">IF(B20="","",IF(ISNUMBER(INDEX(CC_VENCE,11)),INDEX(CC_VENCE,11),""))</f>
        <v/>
      </c>
      <c r="G20" s="70" t="str">
        <f aca="false">IF(OR(B20="",NOT(ISNUMBER(E20))),"",IF(AND(E20&lt;=FQ_FECHA,OR(Z20=0,Z20&gt;=FQ_FECHA)),"Sí","No"))</f>
        <v/>
      </c>
      <c r="H20" s="94" t="str">
        <f aca="false">IF(G20&lt;&gt;"Sí","",ROUND((FQ_FECHA+1-E20)/365.25,1))</f>
        <v/>
      </c>
      <c r="I20" s="73" t="str">
        <f aca="false">IF(G20&lt;&gt;"Sí","",IF(DATEDIF(E20,FQ_FECHA+1,"y")&lt;1,0,MIN(TOPE_IAS_ANIOS,DATEDIF(E20,FQ_FECHA+1,"y")+IF(EDATE(E20,12*DATEDIF(E20,FQ_FECHA+1,"y")+6)&lt;FQ_FECHA+1,1,0))))</f>
        <v/>
      </c>
      <c r="J20" s="71" t="str">
        <f aca="false">IF(G20&lt;&gt;"Sí","",W20+N(INDEX(T_COL,11))+N(INDEX(T_MOV,11)))</f>
        <v/>
      </c>
      <c r="K20" s="71" t="str">
        <f aca="false">IF(G20&lt;&gt;"Sí","",MIN(J20,TOPE_IAS_UF*UF_HOY))</f>
        <v/>
      </c>
      <c r="L20" s="95" t="str">
        <f aca="false">IF(G20&lt;&gt;"Sí","",(1.25*(DATEDIF(E20,FQ_FECHA+1,"m")+(FQ_FECHA+1-EDATE(E20,DATEDIF(E20,FQ_FECHA+1,"m")))/30)+SUMPRODUCT((ANIOS&lt;=DATEDIF(E20,FQ_FECHA+1,"y"))*(X20+ANIOS-10&gt;0)*INT((X20+ANIOS-10)/3))-(SUMIFS(V_DIAS,V_ID,B20,V_INICIO,"&lt;="&amp;FQ_FECHA)+Y20)))</f>
        <v/>
      </c>
      <c r="M20" s="71" t="str">
        <f aca="false">IF(G20&lt;&gt;"Sí","",ROUND(MAX(0,IF(L20&lt;=0,0,WORKDAY(FQ_FECHA,INT(L20),FERIADOS)-FQ_FECHA+(L20-INT(L20))))*V20,0))</f>
        <v/>
      </c>
      <c r="N20" s="71" t="str">
        <f aca="false">IF(G20&lt;&gt;"Sí","",IF(D20="Obra o faena",0,ROUND(K20*I20,0)))</f>
        <v/>
      </c>
      <c r="O20" s="71" t="str">
        <f aca="false">IF(G20&lt;&gt;"Sí","",IF(OR(D20="Obra o faena",FQ_AVISO="Sí"),0,ROUND(K20,0)))</f>
        <v/>
      </c>
      <c r="P20" s="71" t="str">
        <f aca="false">IF(G20&lt;&gt;"Sí","",IF(AND(IMPUTAR_AFC="Sí",N20&gt;0),-MIN(N20,ROUND(AFC_IMPUTABLE_PCT*MIN(W20,TOPE_AFC_UF*UF_HOY)*DATEDIF(E20,FQ_FECHA+1,"m"),0)),0))</f>
        <v/>
      </c>
      <c r="Q20" s="85" t="str">
        <f aca="false">IF(G20&lt;&gt;"Sí","",M20+N20+O20+P20)</f>
        <v/>
      </c>
      <c r="R20" s="85" t="str">
        <f aca="false">IF(G20&lt;&gt;"Sí","",M20)</f>
        <v/>
      </c>
      <c r="S20" s="85" t="str">
        <f aca="false">IF(U20="","",IF(INDEX(CC_ESTADOC,11)="Renovación registrada","",ROUND(MAX(0,IF(U20&lt;=0,0,WORKDAY(F20,INT(U20),FERIADOS)-F20+(U20-INT(U20))))*V20,0)+IF(D20="Obra o faena",ROUND(OBRA_DIAS*K20/30*(DATEDIF(E20,F20+1,"m")+IF(F20+1-EDATE(E20,DATEDIF(E20,F20+1,"m"))&gt;15,1,0)),0),0)))</f>
        <v/>
      </c>
      <c r="T20" s="70" t="str">
        <f aca="false">IF(G20&lt;&gt;"Sí","",IF(D20="Plazo fijo","Despido antes del vencimiento: además existe riesgo de demanda por las remuneraciones hasta el término del plazo",IF(D20="Obra o faena","Al concluir la obra corresponde indemnización de 2,5 días por mes (incluida en la columna S); no IAS",IF(I20=0,"Menos de 1 año: no corresponde IAS (Art. 163)",IF(I20=TOPE_IAS_ANIOS,"IAS en el tope de 11 años","")))))</f>
        <v/>
      </c>
      <c r="U20" s="95" t="str">
        <f aca="false">IF(OR(G20&lt;&gt;"Sí",NOT(ISNUMBER(F20))),"",IF(F20&lt;FQ_FECHA,"",(1.25*(DATEDIF(E20,F20+1,"m")+(F20+1-EDATE(E20,DATEDIF(E20,F20+1,"m")))/30)+SUMPRODUCT((ANIOS&lt;=DATEDIF(E20,F20+1,"y"))*(X20+ANIOS-10&gt;0)*INT((X20+ANIOS-10)/3))-(SUMIFS(V_DIAS,V_ID,B20,V_INICIO,"&lt;="&amp;F20)+Y20))))</f>
        <v/>
      </c>
      <c r="V20" s="71" t="str">
        <f aca="false">IF(G20&lt;&gt;"Sí","",(N(INDEX(T_SUELDO,11))+N(INDEX(T_BONO,11)))/30)</f>
        <v/>
      </c>
      <c r="W20" s="71" t="str">
        <f aca="false">IF(G20&lt;&gt;"Sí","",N(INDEX(T_SUELDO,11))+N(INDEX(T_BONO,11))+IF(LEFT(INDEX(T_GRAT,11)&amp;"",6)="Art. 5",MIN(GRAT_PCT*(N(INDEX(T_SUELDO,11))+N(INDEX(T_BONO,11))),GRAT_TOPE_MES),0))</f>
        <v/>
      </c>
      <c r="X20" s="72" t="str">
        <f aca="false">IF(B20="","",MIN(10,N(INDEX(T_PREV,11))))</f>
        <v/>
      </c>
      <c r="Y20" s="72" t="str">
        <f aca="false">IF(B20="","",N(INDEX(T_VACPREV,11)))</f>
        <v/>
      </c>
      <c r="Z20" s="75" t="str">
        <f aca="false">IF(B20="","",N(INDEX(T_EGRESO,11)))</f>
        <v/>
      </c>
    </row>
    <row r="21" customFormat="false" ht="15" hidden="false" customHeight="false" outlineLevel="0" collapsed="false">
      <c r="B21" s="70" t="str">
        <f aca="false">IFERROR(IF(INDEX(T_ID,12)="","",INDEX(T_ID,12)),"")</f>
        <v/>
      </c>
      <c r="C21" s="70" t="str">
        <f aca="false">IF(B21="","",INDEX(T_NOMBRE,12)&amp;"")</f>
        <v/>
      </c>
      <c r="D21" s="70" t="str">
        <f aca="false">IF(B21="","",INDEX(T_TIPO,12)&amp;"")</f>
        <v/>
      </c>
      <c r="E21" s="75" t="str">
        <f aca="false">IF(B21="","",INDEX(T_INGRESO,12))</f>
        <v/>
      </c>
      <c r="F21" s="75" t="str">
        <f aca="false">IF(B21="","",IF(ISNUMBER(INDEX(CC_VENCE,12)),INDEX(CC_VENCE,12),""))</f>
        <v/>
      </c>
      <c r="G21" s="70" t="str">
        <f aca="false">IF(OR(B21="",NOT(ISNUMBER(E21))),"",IF(AND(E21&lt;=FQ_FECHA,OR(Z21=0,Z21&gt;=FQ_FECHA)),"Sí","No"))</f>
        <v/>
      </c>
      <c r="H21" s="94" t="str">
        <f aca="false">IF(G21&lt;&gt;"Sí","",ROUND((FQ_FECHA+1-E21)/365.25,1))</f>
        <v/>
      </c>
      <c r="I21" s="73" t="str">
        <f aca="false">IF(G21&lt;&gt;"Sí","",IF(DATEDIF(E21,FQ_FECHA+1,"y")&lt;1,0,MIN(TOPE_IAS_ANIOS,DATEDIF(E21,FQ_FECHA+1,"y")+IF(EDATE(E21,12*DATEDIF(E21,FQ_FECHA+1,"y")+6)&lt;FQ_FECHA+1,1,0))))</f>
        <v/>
      </c>
      <c r="J21" s="71" t="str">
        <f aca="false">IF(G21&lt;&gt;"Sí","",W21+N(INDEX(T_COL,12))+N(INDEX(T_MOV,12)))</f>
        <v/>
      </c>
      <c r="K21" s="71" t="str">
        <f aca="false">IF(G21&lt;&gt;"Sí","",MIN(J21,TOPE_IAS_UF*UF_HOY))</f>
        <v/>
      </c>
      <c r="L21" s="95" t="str">
        <f aca="false">IF(G21&lt;&gt;"Sí","",(1.25*(DATEDIF(E21,FQ_FECHA+1,"m")+(FQ_FECHA+1-EDATE(E21,DATEDIF(E21,FQ_FECHA+1,"m")))/30)+SUMPRODUCT((ANIOS&lt;=DATEDIF(E21,FQ_FECHA+1,"y"))*(X21+ANIOS-10&gt;0)*INT((X21+ANIOS-10)/3))-(SUMIFS(V_DIAS,V_ID,B21,V_INICIO,"&lt;="&amp;FQ_FECHA)+Y21)))</f>
        <v/>
      </c>
      <c r="M21" s="71" t="str">
        <f aca="false">IF(G21&lt;&gt;"Sí","",ROUND(MAX(0,IF(L21&lt;=0,0,WORKDAY(FQ_FECHA,INT(L21),FERIADOS)-FQ_FECHA+(L21-INT(L21))))*V21,0))</f>
        <v/>
      </c>
      <c r="N21" s="71" t="str">
        <f aca="false">IF(G21&lt;&gt;"Sí","",IF(D21="Obra o faena",0,ROUND(K21*I21,0)))</f>
        <v/>
      </c>
      <c r="O21" s="71" t="str">
        <f aca="false">IF(G21&lt;&gt;"Sí","",IF(OR(D21="Obra o faena",FQ_AVISO="Sí"),0,ROUND(K21,0)))</f>
        <v/>
      </c>
      <c r="P21" s="71" t="str">
        <f aca="false">IF(G21&lt;&gt;"Sí","",IF(AND(IMPUTAR_AFC="Sí",N21&gt;0),-MIN(N21,ROUND(AFC_IMPUTABLE_PCT*MIN(W21,TOPE_AFC_UF*UF_HOY)*DATEDIF(E21,FQ_FECHA+1,"m"),0)),0))</f>
        <v/>
      </c>
      <c r="Q21" s="85" t="str">
        <f aca="false">IF(G21&lt;&gt;"Sí","",M21+N21+O21+P21)</f>
        <v/>
      </c>
      <c r="R21" s="85" t="str">
        <f aca="false">IF(G21&lt;&gt;"Sí","",M21)</f>
        <v/>
      </c>
      <c r="S21" s="85" t="str">
        <f aca="false">IF(U21="","",IF(INDEX(CC_ESTADOC,12)="Renovación registrada","",ROUND(MAX(0,IF(U21&lt;=0,0,WORKDAY(F21,INT(U21),FERIADOS)-F21+(U21-INT(U21))))*V21,0)+IF(D21="Obra o faena",ROUND(OBRA_DIAS*K21/30*(DATEDIF(E21,F21+1,"m")+IF(F21+1-EDATE(E21,DATEDIF(E21,F21+1,"m"))&gt;15,1,0)),0),0)))</f>
        <v/>
      </c>
      <c r="T21" s="70" t="str">
        <f aca="false">IF(G21&lt;&gt;"Sí","",IF(D21="Plazo fijo","Despido antes del vencimiento: además existe riesgo de demanda por las remuneraciones hasta el término del plazo",IF(D21="Obra o faena","Al concluir la obra corresponde indemnización de 2,5 días por mes (incluida en la columna S); no IAS",IF(I21=0,"Menos de 1 año: no corresponde IAS (Art. 163)",IF(I21=TOPE_IAS_ANIOS,"IAS en el tope de 11 años","")))))</f>
        <v/>
      </c>
      <c r="U21" s="95" t="str">
        <f aca="false">IF(OR(G21&lt;&gt;"Sí",NOT(ISNUMBER(F21))),"",IF(F21&lt;FQ_FECHA,"",(1.25*(DATEDIF(E21,F21+1,"m")+(F21+1-EDATE(E21,DATEDIF(E21,F21+1,"m")))/30)+SUMPRODUCT((ANIOS&lt;=DATEDIF(E21,F21+1,"y"))*(X21+ANIOS-10&gt;0)*INT((X21+ANIOS-10)/3))-(SUMIFS(V_DIAS,V_ID,B21,V_INICIO,"&lt;="&amp;F21)+Y21))))</f>
        <v/>
      </c>
      <c r="V21" s="71" t="str">
        <f aca="false">IF(G21&lt;&gt;"Sí","",(N(INDEX(T_SUELDO,12))+N(INDEX(T_BONO,12)))/30)</f>
        <v/>
      </c>
      <c r="W21" s="71" t="str">
        <f aca="false">IF(G21&lt;&gt;"Sí","",N(INDEX(T_SUELDO,12))+N(INDEX(T_BONO,12))+IF(LEFT(INDEX(T_GRAT,12)&amp;"",6)="Art. 5",MIN(GRAT_PCT*(N(INDEX(T_SUELDO,12))+N(INDEX(T_BONO,12))),GRAT_TOPE_MES),0))</f>
        <v/>
      </c>
      <c r="X21" s="72" t="str">
        <f aca="false">IF(B21="","",MIN(10,N(INDEX(T_PREV,12))))</f>
        <v/>
      </c>
      <c r="Y21" s="72" t="str">
        <f aca="false">IF(B21="","",N(INDEX(T_VACPREV,12)))</f>
        <v/>
      </c>
      <c r="Z21" s="75" t="str">
        <f aca="false">IF(B21="","",N(INDEX(T_EGRESO,12)))</f>
        <v/>
      </c>
    </row>
    <row r="22" customFormat="false" ht="15" hidden="false" customHeight="false" outlineLevel="0" collapsed="false">
      <c r="B22" s="70" t="str">
        <f aca="false">IFERROR(IF(INDEX(T_ID,13)="","",INDEX(T_ID,13)),"")</f>
        <v/>
      </c>
      <c r="C22" s="70" t="str">
        <f aca="false">IF(B22="","",INDEX(T_NOMBRE,13)&amp;"")</f>
        <v/>
      </c>
      <c r="D22" s="70" t="str">
        <f aca="false">IF(B22="","",INDEX(T_TIPO,13)&amp;"")</f>
        <v/>
      </c>
      <c r="E22" s="75" t="str">
        <f aca="false">IF(B22="","",INDEX(T_INGRESO,13))</f>
        <v/>
      </c>
      <c r="F22" s="75" t="str">
        <f aca="false">IF(B22="","",IF(ISNUMBER(INDEX(CC_VENCE,13)),INDEX(CC_VENCE,13),""))</f>
        <v/>
      </c>
      <c r="G22" s="70" t="str">
        <f aca="false">IF(OR(B22="",NOT(ISNUMBER(E22))),"",IF(AND(E22&lt;=FQ_FECHA,OR(Z22=0,Z22&gt;=FQ_FECHA)),"Sí","No"))</f>
        <v/>
      </c>
      <c r="H22" s="94" t="str">
        <f aca="false">IF(G22&lt;&gt;"Sí","",ROUND((FQ_FECHA+1-E22)/365.25,1))</f>
        <v/>
      </c>
      <c r="I22" s="73" t="str">
        <f aca="false">IF(G22&lt;&gt;"Sí","",IF(DATEDIF(E22,FQ_FECHA+1,"y")&lt;1,0,MIN(TOPE_IAS_ANIOS,DATEDIF(E22,FQ_FECHA+1,"y")+IF(EDATE(E22,12*DATEDIF(E22,FQ_FECHA+1,"y")+6)&lt;FQ_FECHA+1,1,0))))</f>
        <v/>
      </c>
      <c r="J22" s="71" t="str">
        <f aca="false">IF(G22&lt;&gt;"Sí","",W22+N(INDEX(T_COL,13))+N(INDEX(T_MOV,13)))</f>
        <v/>
      </c>
      <c r="K22" s="71" t="str">
        <f aca="false">IF(G22&lt;&gt;"Sí","",MIN(J22,TOPE_IAS_UF*UF_HOY))</f>
        <v/>
      </c>
      <c r="L22" s="95" t="str">
        <f aca="false">IF(G22&lt;&gt;"Sí","",(1.25*(DATEDIF(E22,FQ_FECHA+1,"m")+(FQ_FECHA+1-EDATE(E22,DATEDIF(E22,FQ_FECHA+1,"m")))/30)+SUMPRODUCT((ANIOS&lt;=DATEDIF(E22,FQ_FECHA+1,"y"))*(X22+ANIOS-10&gt;0)*INT((X22+ANIOS-10)/3))-(SUMIFS(V_DIAS,V_ID,B22,V_INICIO,"&lt;="&amp;FQ_FECHA)+Y22)))</f>
        <v/>
      </c>
      <c r="M22" s="71" t="str">
        <f aca="false">IF(G22&lt;&gt;"Sí","",ROUND(MAX(0,IF(L22&lt;=0,0,WORKDAY(FQ_FECHA,INT(L22),FERIADOS)-FQ_FECHA+(L22-INT(L22))))*V22,0))</f>
        <v/>
      </c>
      <c r="N22" s="71" t="str">
        <f aca="false">IF(G22&lt;&gt;"Sí","",IF(D22="Obra o faena",0,ROUND(K22*I22,0)))</f>
        <v/>
      </c>
      <c r="O22" s="71" t="str">
        <f aca="false">IF(G22&lt;&gt;"Sí","",IF(OR(D22="Obra o faena",FQ_AVISO="Sí"),0,ROUND(K22,0)))</f>
        <v/>
      </c>
      <c r="P22" s="71" t="str">
        <f aca="false">IF(G22&lt;&gt;"Sí","",IF(AND(IMPUTAR_AFC="Sí",N22&gt;0),-MIN(N22,ROUND(AFC_IMPUTABLE_PCT*MIN(W22,TOPE_AFC_UF*UF_HOY)*DATEDIF(E22,FQ_FECHA+1,"m"),0)),0))</f>
        <v/>
      </c>
      <c r="Q22" s="85" t="str">
        <f aca="false">IF(G22&lt;&gt;"Sí","",M22+N22+O22+P22)</f>
        <v/>
      </c>
      <c r="R22" s="85" t="str">
        <f aca="false">IF(G22&lt;&gt;"Sí","",M22)</f>
        <v/>
      </c>
      <c r="S22" s="85" t="str">
        <f aca="false">IF(U22="","",IF(INDEX(CC_ESTADOC,13)="Renovación registrada","",ROUND(MAX(0,IF(U22&lt;=0,0,WORKDAY(F22,INT(U22),FERIADOS)-F22+(U22-INT(U22))))*V22,0)+IF(D22="Obra o faena",ROUND(OBRA_DIAS*K22/30*(DATEDIF(E22,F22+1,"m")+IF(F22+1-EDATE(E22,DATEDIF(E22,F22+1,"m"))&gt;15,1,0)),0),0)))</f>
        <v/>
      </c>
      <c r="T22" s="70" t="str">
        <f aca="false">IF(G22&lt;&gt;"Sí","",IF(D22="Plazo fijo","Despido antes del vencimiento: además existe riesgo de demanda por las remuneraciones hasta el término del plazo",IF(D22="Obra o faena","Al concluir la obra corresponde indemnización de 2,5 días por mes (incluida en la columna S); no IAS",IF(I22=0,"Menos de 1 año: no corresponde IAS (Art. 163)",IF(I22=TOPE_IAS_ANIOS,"IAS en el tope de 11 años","")))))</f>
        <v/>
      </c>
      <c r="U22" s="95" t="str">
        <f aca="false">IF(OR(G22&lt;&gt;"Sí",NOT(ISNUMBER(F22))),"",IF(F22&lt;FQ_FECHA,"",(1.25*(DATEDIF(E22,F22+1,"m")+(F22+1-EDATE(E22,DATEDIF(E22,F22+1,"m")))/30)+SUMPRODUCT((ANIOS&lt;=DATEDIF(E22,F22+1,"y"))*(X22+ANIOS-10&gt;0)*INT((X22+ANIOS-10)/3))-(SUMIFS(V_DIAS,V_ID,B22,V_INICIO,"&lt;="&amp;F22)+Y22))))</f>
        <v/>
      </c>
      <c r="V22" s="71" t="str">
        <f aca="false">IF(G22&lt;&gt;"Sí","",(N(INDEX(T_SUELDO,13))+N(INDEX(T_BONO,13)))/30)</f>
        <v/>
      </c>
      <c r="W22" s="71" t="str">
        <f aca="false">IF(G22&lt;&gt;"Sí","",N(INDEX(T_SUELDO,13))+N(INDEX(T_BONO,13))+IF(LEFT(INDEX(T_GRAT,13)&amp;"",6)="Art. 5",MIN(GRAT_PCT*(N(INDEX(T_SUELDO,13))+N(INDEX(T_BONO,13))),GRAT_TOPE_MES),0))</f>
        <v/>
      </c>
      <c r="X22" s="72" t="str">
        <f aca="false">IF(B22="","",MIN(10,N(INDEX(T_PREV,13))))</f>
        <v/>
      </c>
      <c r="Y22" s="72" t="str">
        <f aca="false">IF(B22="","",N(INDEX(T_VACPREV,13)))</f>
        <v/>
      </c>
      <c r="Z22" s="75" t="str">
        <f aca="false">IF(B22="","",N(INDEX(T_EGRESO,13)))</f>
        <v/>
      </c>
    </row>
    <row r="23" customFormat="false" ht="15" hidden="false" customHeight="false" outlineLevel="0" collapsed="false">
      <c r="B23" s="70" t="str">
        <f aca="false">IFERROR(IF(INDEX(T_ID,14)="","",INDEX(T_ID,14)),"")</f>
        <v/>
      </c>
      <c r="C23" s="70" t="str">
        <f aca="false">IF(B23="","",INDEX(T_NOMBRE,14)&amp;"")</f>
        <v/>
      </c>
      <c r="D23" s="70" t="str">
        <f aca="false">IF(B23="","",INDEX(T_TIPO,14)&amp;"")</f>
        <v/>
      </c>
      <c r="E23" s="75" t="str">
        <f aca="false">IF(B23="","",INDEX(T_INGRESO,14))</f>
        <v/>
      </c>
      <c r="F23" s="75" t="str">
        <f aca="false">IF(B23="","",IF(ISNUMBER(INDEX(CC_VENCE,14)),INDEX(CC_VENCE,14),""))</f>
        <v/>
      </c>
      <c r="G23" s="70" t="str">
        <f aca="false">IF(OR(B23="",NOT(ISNUMBER(E23))),"",IF(AND(E23&lt;=FQ_FECHA,OR(Z23=0,Z23&gt;=FQ_FECHA)),"Sí","No"))</f>
        <v/>
      </c>
      <c r="H23" s="94" t="str">
        <f aca="false">IF(G23&lt;&gt;"Sí","",ROUND((FQ_FECHA+1-E23)/365.25,1))</f>
        <v/>
      </c>
      <c r="I23" s="73" t="str">
        <f aca="false">IF(G23&lt;&gt;"Sí","",IF(DATEDIF(E23,FQ_FECHA+1,"y")&lt;1,0,MIN(TOPE_IAS_ANIOS,DATEDIF(E23,FQ_FECHA+1,"y")+IF(EDATE(E23,12*DATEDIF(E23,FQ_FECHA+1,"y")+6)&lt;FQ_FECHA+1,1,0))))</f>
        <v/>
      </c>
      <c r="J23" s="71" t="str">
        <f aca="false">IF(G23&lt;&gt;"Sí","",W23+N(INDEX(T_COL,14))+N(INDEX(T_MOV,14)))</f>
        <v/>
      </c>
      <c r="K23" s="71" t="str">
        <f aca="false">IF(G23&lt;&gt;"Sí","",MIN(J23,TOPE_IAS_UF*UF_HOY))</f>
        <v/>
      </c>
      <c r="L23" s="95" t="str">
        <f aca="false">IF(G23&lt;&gt;"Sí","",(1.25*(DATEDIF(E23,FQ_FECHA+1,"m")+(FQ_FECHA+1-EDATE(E23,DATEDIF(E23,FQ_FECHA+1,"m")))/30)+SUMPRODUCT((ANIOS&lt;=DATEDIF(E23,FQ_FECHA+1,"y"))*(X23+ANIOS-10&gt;0)*INT((X23+ANIOS-10)/3))-(SUMIFS(V_DIAS,V_ID,B23,V_INICIO,"&lt;="&amp;FQ_FECHA)+Y23)))</f>
        <v/>
      </c>
      <c r="M23" s="71" t="str">
        <f aca="false">IF(G23&lt;&gt;"Sí","",ROUND(MAX(0,IF(L23&lt;=0,0,WORKDAY(FQ_FECHA,INT(L23),FERIADOS)-FQ_FECHA+(L23-INT(L23))))*V23,0))</f>
        <v/>
      </c>
      <c r="N23" s="71" t="str">
        <f aca="false">IF(G23&lt;&gt;"Sí","",IF(D23="Obra o faena",0,ROUND(K23*I23,0)))</f>
        <v/>
      </c>
      <c r="O23" s="71" t="str">
        <f aca="false">IF(G23&lt;&gt;"Sí","",IF(OR(D23="Obra o faena",FQ_AVISO="Sí"),0,ROUND(K23,0)))</f>
        <v/>
      </c>
      <c r="P23" s="71" t="str">
        <f aca="false">IF(G23&lt;&gt;"Sí","",IF(AND(IMPUTAR_AFC="Sí",N23&gt;0),-MIN(N23,ROUND(AFC_IMPUTABLE_PCT*MIN(W23,TOPE_AFC_UF*UF_HOY)*DATEDIF(E23,FQ_FECHA+1,"m"),0)),0))</f>
        <v/>
      </c>
      <c r="Q23" s="85" t="str">
        <f aca="false">IF(G23&lt;&gt;"Sí","",M23+N23+O23+P23)</f>
        <v/>
      </c>
      <c r="R23" s="85" t="str">
        <f aca="false">IF(G23&lt;&gt;"Sí","",M23)</f>
        <v/>
      </c>
      <c r="S23" s="85" t="str">
        <f aca="false">IF(U23="","",IF(INDEX(CC_ESTADOC,14)="Renovación registrada","",ROUND(MAX(0,IF(U23&lt;=0,0,WORKDAY(F23,INT(U23),FERIADOS)-F23+(U23-INT(U23))))*V23,0)+IF(D23="Obra o faena",ROUND(OBRA_DIAS*K23/30*(DATEDIF(E23,F23+1,"m")+IF(F23+1-EDATE(E23,DATEDIF(E23,F23+1,"m"))&gt;15,1,0)),0),0)))</f>
        <v/>
      </c>
      <c r="T23" s="70" t="str">
        <f aca="false">IF(G23&lt;&gt;"Sí","",IF(D23="Plazo fijo","Despido antes del vencimiento: además existe riesgo de demanda por las remuneraciones hasta el término del plazo",IF(D23="Obra o faena","Al concluir la obra corresponde indemnización de 2,5 días por mes (incluida en la columna S); no IAS",IF(I23=0,"Menos de 1 año: no corresponde IAS (Art. 163)",IF(I23=TOPE_IAS_ANIOS,"IAS en el tope de 11 años","")))))</f>
        <v/>
      </c>
      <c r="U23" s="95" t="str">
        <f aca="false">IF(OR(G23&lt;&gt;"Sí",NOT(ISNUMBER(F23))),"",IF(F23&lt;FQ_FECHA,"",(1.25*(DATEDIF(E23,F23+1,"m")+(F23+1-EDATE(E23,DATEDIF(E23,F23+1,"m")))/30)+SUMPRODUCT((ANIOS&lt;=DATEDIF(E23,F23+1,"y"))*(X23+ANIOS-10&gt;0)*INT((X23+ANIOS-10)/3))-(SUMIFS(V_DIAS,V_ID,B23,V_INICIO,"&lt;="&amp;F23)+Y23))))</f>
        <v/>
      </c>
      <c r="V23" s="71" t="str">
        <f aca="false">IF(G23&lt;&gt;"Sí","",(N(INDEX(T_SUELDO,14))+N(INDEX(T_BONO,14)))/30)</f>
        <v/>
      </c>
      <c r="W23" s="71" t="str">
        <f aca="false">IF(G23&lt;&gt;"Sí","",N(INDEX(T_SUELDO,14))+N(INDEX(T_BONO,14))+IF(LEFT(INDEX(T_GRAT,14)&amp;"",6)="Art. 5",MIN(GRAT_PCT*(N(INDEX(T_SUELDO,14))+N(INDEX(T_BONO,14))),GRAT_TOPE_MES),0))</f>
        <v/>
      </c>
      <c r="X23" s="72" t="str">
        <f aca="false">IF(B23="","",MIN(10,N(INDEX(T_PREV,14))))</f>
        <v/>
      </c>
      <c r="Y23" s="72" t="str">
        <f aca="false">IF(B23="","",N(INDEX(T_VACPREV,14)))</f>
        <v/>
      </c>
      <c r="Z23" s="75" t="str">
        <f aca="false">IF(B23="","",N(INDEX(T_EGRESO,14)))</f>
        <v/>
      </c>
    </row>
    <row r="24" customFormat="false" ht="15" hidden="false" customHeight="false" outlineLevel="0" collapsed="false">
      <c r="B24" s="70" t="str">
        <f aca="false">IFERROR(IF(INDEX(T_ID,15)="","",INDEX(T_ID,15)),"")</f>
        <v/>
      </c>
      <c r="C24" s="70" t="str">
        <f aca="false">IF(B24="","",INDEX(T_NOMBRE,15)&amp;"")</f>
        <v/>
      </c>
      <c r="D24" s="70" t="str">
        <f aca="false">IF(B24="","",INDEX(T_TIPO,15)&amp;"")</f>
        <v/>
      </c>
      <c r="E24" s="75" t="str">
        <f aca="false">IF(B24="","",INDEX(T_INGRESO,15))</f>
        <v/>
      </c>
      <c r="F24" s="75" t="str">
        <f aca="false">IF(B24="","",IF(ISNUMBER(INDEX(CC_VENCE,15)),INDEX(CC_VENCE,15),""))</f>
        <v/>
      </c>
      <c r="G24" s="70" t="str">
        <f aca="false">IF(OR(B24="",NOT(ISNUMBER(E24))),"",IF(AND(E24&lt;=FQ_FECHA,OR(Z24=0,Z24&gt;=FQ_FECHA)),"Sí","No"))</f>
        <v/>
      </c>
      <c r="H24" s="94" t="str">
        <f aca="false">IF(G24&lt;&gt;"Sí","",ROUND((FQ_FECHA+1-E24)/365.25,1))</f>
        <v/>
      </c>
      <c r="I24" s="73" t="str">
        <f aca="false">IF(G24&lt;&gt;"Sí","",IF(DATEDIF(E24,FQ_FECHA+1,"y")&lt;1,0,MIN(TOPE_IAS_ANIOS,DATEDIF(E24,FQ_FECHA+1,"y")+IF(EDATE(E24,12*DATEDIF(E24,FQ_FECHA+1,"y")+6)&lt;FQ_FECHA+1,1,0))))</f>
        <v/>
      </c>
      <c r="J24" s="71" t="str">
        <f aca="false">IF(G24&lt;&gt;"Sí","",W24+N(INDEX(T_COL,15))+N(INDEX(T_MOV,15)))</f>
        <v/>
      </c>
      <c r="K24" s="71" t="str">
        <f aca="false">IF(G24&lt;&gt;"Sí","",MIN(J24,TOPE_IAS_UF*UF_HOY))</f>
        <v/>
      </c>
      <c r="L24" s="95" t="str">
        <f aca="false">IF(G24&lt;&gt;"Sí","",(1.25*(DATEDIF(E24,FQ_FECHA+1,"m")+(FQ_FECHA+1-EDATE(E24,DATEDIF(E24,FQ_FECHA+1,"m")))/30)+SUMPRODUCT((ANIOS&lt;=DATEDIF(E24,FQ_FECHA+1,"y"))*(X24+ANIOS-10&gt;0)*INT((X24+ANIOS-10)/3))-(SUMIFS(V_DIAS,V_ID,B24,V_INICIO,"&lt;="&amp;FQ_FECHA)+Y24)))</f>
        <v/>
      </c>
      <c r="M24" s="71" t="str">
        <f aca="false">IF(G24&lt;&gt;"Sí","",ROUND(MAX(0,IF(L24&lt;=0,0,WORKDAY(FQ_FECHA,INT(L24),FERIADOS)-FQ_FECHA+(L24-INT(L24))))*V24,0))</f>
        <v/>
      </c>
      <c r="N24" s="71" t="str">
        <f aca="false">IF(G24&lt;&gt;"Sí","",IF(D24="Obra o faena",0,ROUND(K24*I24,0)))</f>
        <v/>
      </c>
      <c r="O24" s="71" t="str">
        <f aca="false">IF(G24&lt;&gt;"Sí","",IF(OR(D24="Obra o faena",FQ_AVISO="Sí"),0,ROUND(K24,0)))</f>
        <v/>
      </c>
      <c r="P24" s="71" t="str">
        <f aca="false">IF(G24&lt;&gt;"Sí","",IF(AND(IMPUTAR_AFC="Sí",N24&gt;0),-MIN(N24,ROUND(AFC_IMPUTABLE_PCT*MIN(W24,TOPE_AFC_UF*UF_HOY)*DATEDIF(E24,FQ_FECHA+1,"m"),0)),0))</f>
        <v/>
      </c>
      <c r="Q24" s="85" t="str">
        <f aca="false">IF(G24&lt;&gt;"Sí","",M24+N24+O24+P24)</f>
        <v/>
      </c>
      <c r="R24" s="85" t="str">
        <f aca="false">IF(G24&lt;&gt;"Sí","",M24)</f>
        <v/>
      </c>
      <c r="S24" s="85" t="str">
        <f aca="false">IF(U24="","",IF(INDEX(CC_ESTADOC,15)="Renovación registrada","",ROUND(MAX(0,IF(U24&lt;=0,0,WORKDAY(F24,INT(U24),FERIADOS)-F24+(U24-INT(U24))))*V24,0)+IF(D24="Obra o faena",ROUND(OBRA_DIAS*K24/30*(DATEDIF(E24,F24+1,"m")+IF(F24+1-EDATE(E24,DATEDIF(E24,F24+1,"m"))&gt;15,1,0)),0),0)))</f>
        <v/>
      </c>
      <c r="T24" s="70" t="str">
        <f aca="false">IF(G24&lt;&gt;"Sí","",IF(D24="Plazo fijo","Despido antes del vencimiento: además existe riesgo de demanda por las remuneraciones hasta el término del plazo",IF(D24="Obra o faena","Al concluir la obra corresponde indemnización de 2,5 días por mes (incluida en la columna S); no IAS",IF(I24=0,"Menos de 1 año: no corresponde IAS (Art. 163)",IF(I24=TOPE_IAS_ANIOS,"IAS en el tope de 11 años","")))))</f>
        <v/>
      </c>
      <c r="U24" s="95" t="str">
        <f aca="false">IF(OR(G24&lt;&gt;"Sí",NOT(ISNUMBER(F24))),"",IF(F24&lt;FQ_FECHA,"",(1.25*(DATEDIF(E24,F24+1,"m")+(F24+1-EDATE(E24,DATEDIF(E24,F24+1,"m")))/30)+SUMPRODUCT((ANIOS&lt;=DATEDIF(E24,F24+1,"y"))*(X24+ANIOS-10&gt;0)*INT((X24+ANIOS-10)/3))-(SUMIFS(V_DIAS,V_ID,B24,V_INICIO,"&lt;="&amp;F24)+Y24))))</f>
        <v/>
      </c>
      <c r="V24" s="71" t="str">
        <f aca="false">IF(G24&lt;&gt;"Sí","",(N(INDEX(T_SUELDO,15))+N(INDEX(T_BONO,15)))/30)</f>
        <v/>
      </c>
      <c r="W24" s="71" t="str">
        <f aca="false">IF(G24&lt;&gt;"Sí","",N(INDEX(T_SUELDO,15))+N(INDEX(T_BONO,15))+IF(LEFT(INDEX(T_GRAT,15)&amp;"",6)="Art. 5",MIN(GRAT_PCT*(N(INDEX(T_SUELDO,15))+N(INDEX(T_BONO,15))),GRAT_TOPE_MES),0))</f>
        <v/>
      </c>
      <c r="X24" s="72" t="str">
        <f aca="false">IF(B24="","",MIN(10,N(INDEX(T_PREV,15))))</f>
        <v/>
      </c>
      <c r="Y24" s="72" t="str">
        <f aca="false">IF(B24="","",N(INDEX(T_VACPREV,15)))</f>
        <v/>
      </c>
      <c r="Z24" s="75" t="str">
        <f aca="false">IF(B24="","",N(INDEX(T_EGRESO,15)))</f>
        <v/>
      </c>
    </row>
    <row r="25" customFormat="false" ht="15" hidden="false" customHeight="false" outlineLevel="0" collapsed="false">
      <c r="B25" s="70" t="str">
        <f aca="false">IFERROR(IF(INDEX(T_ID,16)="","",INDEX(T_ID,16)),"")</f>
        <v/>
      </c>
      <c r="C25" s="70" t="str">
        <f aca="false">IF(B25="","",INDEX(T_NOMBRE,16)&amp;"")</f>
        <v/>
      </c>
      <c r="D25" s="70" t="str">
        <f aca="false">IF(B25="","",INDEX(T_TIPO,16)&amp;"")</f>
        <v/>
      </c>
      <c r="E25" s="75" t="str">
        <f aca="false">IF(B25="","",INDEX(T_INGRESO,16))</f>
        <v/>
      </c>
      <c r="F25" s="75" t="str">
        <f aca="false">IF(B25="","",IF(ISNUMBER(INDEX(CC_VENCE,16)),INDEX(CC_VENCE,16),""))</f>
        <v/>
      </c>
      <c r="G25" s="70" t="str">
        <f aca="false">IF(OR(B25="",NOT(ISNUMBER(E25))),"",IF(AND(E25&lt;=FQ_FECHA,OR(Z25=0,Z25&gt;=FQ_FECHA)),"Sí","No"))</f>
        <v/>
      </c>
      <c r="H25" s="94" t="str">
        <f aca="false">IF(G25&lt;&gt;"Sí","",ROUND((FQ_FECHA+1-E25)/365.25,1))</f>
        <v/>
      </c>
      <c r="I25" s="73" t="str">
        <f aca="false">IF(G25&lt;&gt;"Sí","",IF(DATEDIF(E25,FQ_FECHA+1,"y")&lt;1,0,MIN(TOPE_IAS_ANIOS,DATEDIF(E25,FQ_FECHA+1,"y")+IF(EDATE(E25,12*DATEDIF(E25,FQ_FECHA+1,"y")+6)&lt;FQ_FECHA+1,1,0))))</f>
        <v/>
      </c>
      <c r="J25" s="71" t="str">
        <f aca="false">IF(G25&lt;&gt;"Sí","",W25+N(INDEX(T_COL,16))+N(INDEX(T_MOV,16)))</f>
        <v/>
      </c>
      <c r="K25" s="71" t="str">
        <f aca="false">IF(G25&lt;&gt;"Sí","",MIN(J25,TOPE_IAS_UF*UF_HOY))</f>
        <v/>
      </c>
      <c r="L25" s="95" t="str">
        <f aca="false">IF(G25&lt;&gt;"Sí","",(1.25*(DATEDIF(E25,FQ_FECHA+1,"m")+(FQ_FECHA+1-EDATE(E25,DATEDIF(E25,FQ_FECHA+1,"m")))/30)+SUMPRODUCT((ANIOS&lt;=DATEDIF(E25,FQ_FECHA+1,"y"))*(X25+ANIOS-10&gt;0)*INT((X25+ANIOS-10)/3))-(SUMIFS(V_DIAS,V_ID,B25,V_INICIO,"&lt;="&amp;FQ_FECHA)+Y25)))</f>
        <v/>
      </c>
      <c r="M25" s="71" t="str">
        <f aca="false">IF(G25&lt;&gt;"Sí","",ROUND(MAX(0,IF(L25&lt;=0,0,WORKDAY(FQ_FECHA,INT(L25),FERIADOS)-FQ_FECHA+(L25-INT(L25))))*V25,0))</f>
        <v/>
      </c>
      <c r="N25" s="71" t="str">
        <f aca="false">IF(G25&lt;&gt;"Sí","",IF(D25="Obra o faena",0,ROUND(K25*I25,0)))</f>
        <v/>
      </c>
      <c r="O25" s="71" t="str">
        <f aca="false">IF(G25&lt;&gt;"Sí","",IF(OR(D25="Obra o faena",FQ_AVISO="Sí"),0,ROUND(K25,0)))</f>
        <v/>
      </c>
      <c r="P25" s="71" t="str">
        <f aca="false">IF(G25&lt;&gt;"Sí","",IF(AND(IMPUTAR_AFC="Sí",N25&gt;0),-MIN(N25,ROUND(AFC_IMPUTABLE_PCT*MIN(W25,TOPE_AFC_UF*UF_HOY)*DATEDIF(E25,FQ_FECHA+1,"m"),0)),0))</f>
        <v/>
      </c>
      <c r="Q25" s="85" t="str">
        <f aca="false">IF(G25&lt;&gt;"Sí","",M25+N25+O25+P25)</f>
        <v/>
      </c>
      <c r="R25" s="85" t="str">
        <f aca="false">IF(G25&lt;&gt;"Sí","",M25)</f>
        <v/>
      </c>
      <c r="S25" s="85" t="str">
        <f aca="false">IF(U25="","",IF(INDEX(CC_ESTADOC,16)="Renovación registrada","",ROUND(MAX(0,IF(U25&lt;=0,0,WORKDAY(F25,INT(U25),FERIADOS)-F25+(U25-INT(U25))))*V25,0)+IF(D25="Obra o faena",ROUND(OBRA_DIAS*K25/30*(DATEDIF(E25,F25+1,"m")+IF(F25+1-EDATE(E25,DATEDIF(E25,F25+1,"m"))&gt;15,1,0)),0),0)))</f>
        <v/>
      </c>
      <c r="T25" s="70" t="str">
        <f aca="false">IF(G25&lt;&gt;"Sí","",IF(D25="Plazo fijo","Despido antes del vencimiento: además existe riesgo de demanda por las remuneraciones hasta el término del plazo",IF(D25="Obra o faena","Al concluir la obra corresponde indemnización de 2,5 días por mes (incluida en la columna S); no IAS",IF(I25=0,"Menos de 1 año: no corresponde IAS (Art. 163)",IF(I25=TOPE_IAS_ANIOS,"IAS en el tope de 11 años","")))))</f>
        <v/>
      </c>
      <c r="U25" s="95" t="str">
        <f aca="false">IF(OR(G25&lt;&gt;"Sí",NOT(ISNUMBER(F25))),"",IF(F25&lt;FQ_FECHA,"",(1.25*(DATEDIF(E25,F25+1,"m")+(F25+1-EDATE(E25,DATEDIF(E25,F25+1,"m")))/30)+SUMPRODUCT((ANIOS&lt;=DATEDIF(E25,F25+1,"y"))*(X25+ANIOS-10&gt;0)*INT((X25+ANIOS-10)/3))-(SUMIFS(V_DIAS,V_ID,B25,V_INICIO,"&lt;="&amp;F25)+Y25))))</f>
        <v/>
      </c>
      <c r="V25" s="71" t="str">
        <f aca="false">IF(G25&lt;&gt;"Sí","",(N(INDEX(T_SUELDO,16))+N(INDEX(T_BONO,16)))/30)</f>
        <v/>
      </c>
      <c r="W25" s="71" t="str">
        <f aca="false">IF(G25&lt;&gt;"Sí","",N(INDEX(T_SUELDO,16))+N(INDEX(T_BONO,16))+IF(LEFT(INDEX(T_GRAT,16)&amp;"",6)="Art. 5",MIN(GRAT_PCT*(N(INDEX(T_SUELDO,16))+N(INDEX(T_BONO,16))),GRAT_TOPE_MES),0))</f>
        <v/>
      </c>
      <c r="X25" s="72" t="str">
        <f aca="false">IF(B25="","",MIN(10,N(INDEX(T_PREV,16))))</f>
        <v/>
      </c>
      <c r="Y25" s="72" t="str">
        <f aca="false">IF(B25="","",N(INDEX(T_VACPREV,16)))</f>
        <v/>
      </c>
      <c r="Z25" s="75" t="str">
        <f aca="false">IF(B25="","",N(INDEX(T_EGRESO,16)))</f>
        <v/>
      </c>
    </row>
    <row r="26" customFormat="false" ht="15" hidden="false" customHeight="false" outlineLevel="0" collapsed="false">
      <c r="B26" s="70" t="str">
        <f aca="false">IFERROR(IF(INDEX(T_ID,17)="","",INDEX(T_ID,17)),"")</f>
        <v/>
      </c>
      <c r="C26" s="70" t="str">
        <f aca="false">IF(B26="","",INDEX(T_NOMBRE,17)&amp;"")</f>
        <v/>
      </c>
      <c r="D26" s="70" t="str">
        <f aca="false">IF(B26="","",INDEX(T_TIPO,17)&amp;"")</f>
        <v/>
      </c>
      <c r="E26" s="75" t="str">
        <f aca="false">IF(B26="","",INDEX(T_INGRESO,17))</f>
        <v/>
      </c>
      <c r="F26" s="75" t="str">
        <f aca="false">IF(B26="","",IF(ISNUMBER(INDEX(CC_VENCE,17)),INDEX(CC_VENCE,17),""))</f>
        <v/>
      </c>
      <c r="G26" s="70" t="str">
        <f aca="false">IF(OR(B26="",NOT(ISNUMBER(E26))),"",IF(AND(E26&lt;=FQ_FECHA,OR(Z26=0,Z26&gt;=FQ_FECHA)),"Sí","No"))</f>
        <v/>
      </c>
      <c r="H26" s="94" t="str">
        <f aca="false">IF(G26&lt;&gt;"Sí","",ROUND((FQ_FECHA+1-E26)/365.25,1))</f>
        <v/>
      </c>
      <c r="I26" s="73" t="str">
        <f aca="false">IF(G26&lt;&gt;"Sí","",IF(DATEDIF(E26,FQ_FECHA+1,"y")&lt;1,0,MIN(TOPE_IAS_ANIOS,DATEDIF(E26,FQ_FECHA+1,"y")+IF(EDATE(E26,12*DATEDIF(E26,FQ_FECHA+1,"y")+6)&lt;FQ_FECHA+1,1,0))))</f>
        <v/>
      </c>
      <c r="J26" s="71" t="str">
        <f aca="false">IF(G26&lt;&gt;"Sí","",W26+N(INDEX(T_COL,17))+N(INDEX(T_MOV,17)))</f>
        <v/>
      </c>
      <c r="K26" s="71" t="str">
        <f aca="false">IF(G26&lt;&gt;"Sí","",MIN(J26,TOPE_IAS_UF*UF_HOY))</f>
        <v/>
      </c>
      <c r="L26" s="95" t="str">
        <f aca="false">IF(G26&lt;&gt;"Sí","",(1.25*(DATEDIF(E26,FQ_FECHA+1,"m")+(FQ_FECHA+1-EDATE(E26,DATEDIF(E26,FQ_FECHA+1,"m")))/30)+SUMPRODUCT((ANIOS&lt;=DATEDIF(E26,FQ_FECHA+1,"y"))*(X26+ANIOS-10&gt;0)*INT((X26+ANIOS-10)/3))-(SUMIFS(V_DIAS,V_ID,B26,V_INICIO,"&lt;="&amp;FQ_FECHA)+Y26)))</f>
        <v/>
      </c>
      <c r="M26" s="71" t="str">
        <f aca="false">IF(G26&lt;&gt;"Sí","",ROUND(MAX(0,IF(L26&lt;=0,0,WORKDAY(FQ_FECHA,INT(L26),FERIADOS)-FQ_FECHA+(L26-INT(L26))))*V26,0))</f>
        <v/>
      </c>
      <c r="N26" s="71" t="str">
        <f aca="false">IF(G26&lt;&gt;"Sí","",IF(D26="Obra o faena",0,ROUND(K26*I26,0)))</f>
        <v/>
      </c>
      <c r="O26" s="71" t="str">
        <f aca="false">IF(G26&lt;&gt;"Sí","",IF(OR(D26="Obra o faena",FQ_AVISO="Sí"),0,ROUND(K26,0)))</f>
        <v/>
      </c>
      <c r="P26" s="71" t="str">
        <f aca="false">IF(G26&lt;&gt;"Sí","",IF(AND(IMPUTAR_AFC="Sí",N26&gt;0),-MIN(N26,ROUND(AFC_IMPUTABLE_PCT*MIN(W26,TOPE_AFC_UF*UF_HOY)*DATEDIF(E26,FQ_FECHA+1,"m"),0)),0))</f>
        <v/>
      </c>
      <c r="Q26" s="85" t="str">
        <f aca="false">IF(G26&lt;&gt;"Sí","",M26+N26+O26+P26)</f>
        <v/>
      </c>
      <c r="R26" s="85" t="str">
        <f aca="false">IF(G26&lt;&gt;"Sí","",M26)</f>
        <v/>
      </c>
      <c r="S26" s="85" t="str">
        <f aca="false">IF(U26="","",IF(INDEX(CC_ESTADOC,17)="Renovación registrada","",ROUND(MAX(0,IF(U26&lt;=0,0,WORKDAY(F26,INT(U26),FERIADOS)-F26+(U26-INT(U26))))*V26,0)+IF(D26="Obra o faena",ROUND(OBRA_DIAS*K26/30*(DATEDIF(E26,F26+1,"m")+IF(F26+1-EDATE(E26,DATEDIF(E26,F26+1,"m"))&gt;15,1,0)),0),0)))</f>
        <v/>
      </c>
      <c r="T26" s="70" t="str">
        <f aca="false">IF(G26&lt;&gt;"Sí","",IF(D26="Plazo fijo","Despido antes del vencimiento: además existe riesgo de demanda por las remuneraciones hasta el término del plazo",IF(D26="Obra o faena","Al concluir la obra corresponde indemnización de 2,5 días por mes (incluida en la columna S); no IAS",IF(I26=0,"Menos de 1 año: no corresponde IAS (Art. 163)",IF(I26=TOPE_IAS_ANIOS,"IAS en el tope de 11 años","")))))</f>
        <v/>
      </c>
      <c r="U26" s="95" t="str">
        <f aca="false">IF(OR(G26&lt;&gt;"Sí",NOT(ISNUMBER(F26))),"",IF(F26&lt;FQ_FECHA,"",(1.25*(DATEDIF(E26,F26+1,"m")+(F26+1-EDATE(E26,DATEDIF(E26,F26+1,"m")))/30)+SUMPRODUCT((ANIOS&lt;=DATEDIF(E26,F26+1,"y"))*(X26+ANIOS-10&gt;0)*INT((X26+ANIOS-10)/3))-(SUMIFS(V_DIAS,V_ID,B26,V_INICIO,"&lt;="&amp;F26)+Y26))))</f>
        <v/>
      </c>
      <c r="V26" s="71" t="str">
        <f aca="false">IF(G26&lt;&gt;"Sí","",(N(INDEX(T_SUELDO,17))+N(INDEX(T_BONO,17)))/30)</f>
        <v/>
      </c>
      <c r="W26" s="71" t="str">
        <f aca="false">IF(G26&lt;&gt;"Sí","",N(INDEX(T_SUELDO,17))+N(INDEX(T_BONO,17))+IF(LEFT(INDEX(T_GRAT,17)&amp;"",6)="Art. 5",MIN(GRAT_PCT*(N(INDEX(T_SUELDO,17))+N(INDEX(T_BONO,17))),GRAT_TOPE_MES),0))</f>
        <v/>
      </c>
      <c r="X26" s="72" t="str">
        <f aca="false">IF(B26="","",MIN(10,N(INDEX(T_PREV,17))))</f>
        <v/>
      </c>
      <c r="Y26" s="72" t="str">
        <f aca="false">IF(B26="","",N(INDEX(T_VACPREV,17)))</f>
        <v/>
      </c>
      <c r="Z26" s="75" t="str">
        <f aca="false">IF(B26="","",N(INDEX(T_EGRESO,17)))</f>
        <v/>
      </c>
    </row>
    <row r="27" customFormat="false" ht="15" hidden="false" customHeight="false" outlineLevel="0" collapsed="false">
      <c r="B27" s="70" t="str">
        <f aca="false">IFERROR(IF(INDEX(T_ID,18)="","",INDEX(T_ID,18)),"")</f>
        <v/>
      </c>
      <c r="C27" s="70" t="str">
        <f aca="false">IF(B27="","",INDEX(T_NOMBRE,18)&amp;"")</f>
        <v/>
      </c>
      <c r="D27" s="70" t="str">
        <f aca="false">IF(B27="","",INDEX(T_TIPO,18)&amp;"")</f>
        <v/>
      </c>
      <c r="E27" s="75" t="str">
        <f aca="false">IF(B27="","",INDEX(T_INGRESO,18))</f>
        <v/>
      </c>
      <c r="F27" s="75" t="str">
        <f aca="false">IF(B27="","",IF(ISNUMBER(INDEX(CC_VENCE,18)),INDEX(CC_VENCE,18),""))</f>
        <v/>
      </c>
      <c r="G27" s="70" t="str">
        <f aca="false">IF(OR(B27="",NOT(ISNUMBER(E27))),"",IF(AND(E27&lt;=FQ_FECHA,OR(Z27=0,Z27&gt;=FQ_FECHA)),"Sí","No"))</f>
        <v/>
      </c>
      <c r="H27" s="94" t="str">
        <f aca="false">IF(G27&lt;&gt;"Sí","",ROUND((FQ_FECHA+1-E27)/365.25,1))</f>
        <v/>
      </c>
      <c r="I27" s="73" t="str">
        <f aca="false">IF(G27&lt;&gt;"Sí","",IF(DATEDIF(E27,FQ_FECHA+1,"y")&lt;1,0,MIN(TOPE_IAS_ANIOS,DATEDIF(E27,FQ_FECHA+1,"y")+IF(EDATE(E27,12*DATEDIF(E27,FQ_FECHA+1,"y")+6)&lt;FQ_FECHA+1,1,0))))</f>
        <v/>
      </c>
      <c r="J27" s="71" t="str">
        <f aca="false">IF(G27&lt;&gt;"Sí","",W27+N(INDEX(T_COL,18))+N(INDEX(T_MOV,18)))</f>
        <v/>
      </c>
      <c r="K27" s="71" t="str">
        <f aca="false">IF(G27&lt;&gt;"Sí","",MIN(J27,TOPE_IAS_UF*UF_HOY))</f>
        <v/>
      </c>
      <c r="L27" s="95" t="str">
        <f aca="false">IF(G27&lt;&gt;"Sí","",(1.25*(DATEDIF(E27,FQ_FECHA+1,"m")+(FQ_FECHA+1-EDATE(E27,DATEDIF(E27,FQ_FECHA+1,"m")))/30)+SUMPRODUCT((ANIOS&lt;=DATEDIF(E27,FQ_FECHA+1,"y"))*(X27+ANIOS-10&gt;0)*INT((X27+ANIOS-10)/3))-(SUMIFS(V_DIAS,V_ID,B27,V_INICIO,"&lt;="&amp;FQ_FECHA)+Y27)))</f>
        <v/>
      </c>
      <c r="M27" s="71" t="str">
        <f aca="false">IF(G27&lt;&gt;"Sí","",ROUND(MAX(0,IF(L27&lt;=0,0,WORKDAY(FQ_FECHA,INT(L27),FERIADOS)-FQ_FECHA+(L27-INT(L27))))*V27,0))</f>
        <v/>
      </c>
      <c r="N27" s="71" t="str">
        <f aca="false">IF(G27&lt;&gt;"Sí","",IF(D27="Obra o faena",0,ROUND(K27*I27,0)))</f>
        <v/>
      </c>
      <c r="O27" s="71" t="str">
        <f aca="false">IF(G27&lt;&gt;"Sí","",IF(OR(D27="Obra o faena",FQ_AVISO="Sí"),0,ROUND(K27,0)))</f>
        <v/>
      </c>
      <c r="P27" s="71" t="str">
        <f aca="false">IF(G27&lt;&gt;"Sí","",IF(AND(IMPUTAR_AFC="Sí",N27&gt;0),-MIN(N27,ROUND(AFC_IMPUTABLE_PCT*MIN(W27,TOPE_AFC_UF*UF_HOY)*DATEDIF(E27,FQ_FECHA+1,"m"),0)),0))</f>
        <v/>
      </c>
      <c r="Q27" s="85" t="str">
        <f aca="false">IF(G27&lt;&gt;"Sí","",M27+N27+O27+P27)</f>
        <v/>
      </c>
      <c r="R27" s="85" t="str">
        <f aca="false">IF(G27&lt;&gt;"Sí","",M27)</f>
        <v/>
      </c>
      <c r="S27" s="85" t="str">
        <f aca="false">IF(U27="","",IF(INDEX(CC_ESTADOC,18)="Renovación registrada","",ROUND(MAX(0,IF(U27&lt;=0,0,WORKDAY(F27,INT(U27),FERIADOS)-F27+(U27-INT(U27))))*V27,0)+IF(D27="Obra o faena",ROUND(OBRA_DIAS*K27/30*(DATEDIF(E27,F27+1,"m")+IF(F27+1-EDATE(E27,DATEDIF(E27,F27+1,"m"))&gt;15,1,0)),0),0)))</f>
        <v/>
      </c>
      <c r="T27" s="70" t="str">
        <f aca="false">IF(G27&lt;&gt;"Sí","",IF(D27="Plazo fijo","Despido antes del vencimiento: además existe riesgo de demanda por las remuneraciones hasta el término del plazo",IF(D27="Obra o faena","Al concluir la obra corresponde indemnización de 2,5 días por mes (incluida en la columna S); no IAS",IF(I27=0,"Menos de 1 año: no corresponde IAS (Art. 163)",IF(I27=TOPE_IAS_ANIOS,"IAS en el tope de 11 años","")))))</f>
        <v/>
      </c>
      <c r="U27" s="95" t="str">
        <f aca="false">IF(OR(G27&lt;&gt;"Sí",NOT(ISNUMBER(F27))),"",IF(F27&lt;FQ_FECHA,"",(1.25*(DATEDIF(E27,F27+1,"m")+(F27+1-EDATE(E27,DATEDIF(E27,F27+1,"m")))/30)+SUMPRODUCT((ANIOS&lt;=DATEDIF(E27,F27+1,"y"))*(X27+ANIOS-10&gt;0)*INT((X27+ANIOS-10)/3))-(SUMIFS(V_DIAS,V_ID,B27,V_INICIO,"&lt;="&amp;F27)+Y27))))</f>
        <v/>
      </c>
      <c r="V27" s="71" t="str">
        <f aca="false">IF(G27&lt;&gt;"Sí","",(N(INDEX(T_SUELDO,18))+N(INDEX(T_BONO,18)))/30)</f>
        <v/>
      </c>
      <c r="W27" s="71" t="str">
        <f aca="false">IF(G27&lt;&gt;"Sí","",N(INDEX(T_SUELDO,18))+N(INDEX(T_BONO,18))+IF(LEFT(INDEX(T_GRAT,18)&amp;"",6)="Art. 5",MIN(GRAT_PCT*(N(INDEX(T_SUELDO,18))+N(INDEX(T_BONO,18))),GRAT_TOPE_MES),0))</f>
        <v/>
      </c>
      <c r="X27" s="72" t="str">
        <f aca="false">IF(B27="","",MIN(10,N(INDEX(T_PREV,18))))</f>
        <v/>
      </c>
      <c r="Y27" s="72" t="str">
        <f aca="false">IF(B27="","",N(INDEX(T_VACPREV,18)))</f>
        <v/>
      </c>
      <c r="Z27" s="75" t="str">
        <f aca="false">IF(B27="","",N(INDEX(T_EGRESO,18)))</f>
        <v/>
      </c>
    </row>
    <row r="28" customFormat="false" ht="15" hidden="false" customHeight="false" outlineLevel="0" collapsed="false">
      <c r="B28" s="70" t="str">
        <f aca="false">IFERROR(IF(INDEX(T_ID,19)="","",INDEX(T_ID,19)),"")</f>
        <v/>
      </c>
      <c r="C28" s="70" t="str">
        <f aca="false">IF(B28="","",INDEX(T_NOMBRE,19)&amp;"")</f>
        <v/>
      </c>
      <c r="D28" s="70" t="str">
        <f aca="false">IF(B28="","",INDEX(T_TIPO,19)&amp;"")</f>
        <v/>
      </c>
      <c r="E28" s="75" t="str">
        <f aca="false">IF(B28="","",INDEX(T_INGRESO,19))</f>
        <v/>
      </c>
      <c r="F28" s="75" t="str">
        <f aca="false">IF(B28="","",IF(ISNUMBER(INDEX(CC_VENCE,19)),INDEX(CC_VENCE,19),""))</f>
        <v/>
      </c>
      <c r="G28" s="70" t="str">
        <f aca="false">IF(OR(B28="",NOT(ISNUMBER(E28))),"",IF(AND(E28&lt;=FQ_FECHA,OR(Z28=0,Z28&gt;=FQ_FECHA)),"Sí","No"))</f>
        <v/>
      </c>
      <c r="H28" s="94" t="str">
        <f aca="false">IF(G28&lt;&gt;"Sí","",ROUND((FQ_FECHA+1-E28)/365.25,1))</f>
        <v/>
      </c>
      <c r="I28" s="73" t="str">
        <f aca="false">IF(G28&lt;&gt;"Sí","",IF(DATEDIF(E28,FQ_FECHA+1,"y")&lt;1,0,MIN(TOPE_IAS_ANIOS,DATEDIF(E28,FQ_FECHA+1,"y")+IF(EDATE(E28,12*DATEDIF(E28,FQ_FECHA+1,"y")+6)&lt;FQ_FECHA+1,1,0))))</f>
        <v/>
      </c>
      <c r="J28" s="71" t="str">
        <f aca="false">IF(G28&lt;&gt;"Sí","",W28+N(INDEX(T_COL,19))+N(INDEX(T_MOV,19)))</f>
        <v/>
      </c>
      <c r="K28" s="71" t="str">
        <f aca="false">IF(G28&lt;&gt;"Sí","",MIN(J28,TOPE_IAS_UF*UF_HOY))</f>
        <v/>
      </c>
      <c r="L28" s="95" t="str">
        <f aca="false">IF(G28&lt;&gt;"Sí","",(1.25*(DATEDIF(E28,FQ_FECHA+1,"m")+(FQ_FECHA+1-EDATE(E28,DATEDIF(E28,FQ_FECHA+1,"m")))/30)+SUMPRODUCT((ANIOS&lt;=DATEDIF(E28,FQ_FECHA+1,"y"))*(X28+ANIOS-10&gt;0)*INT((X28+ANIOS-10)/3))-(SUMIFS(V_DIAS,V_ID,B28,V_INICIO,"&lt;="&amp;FQ_FECHA)+Y28)))</f>
        <v/>
      </c>
      <c r="M28" s="71" t="str">
        <f aca="false">IF(G28&lt;&gt;"Sí","",ROUND(MAX(0,IF(L28&lt;=0,0,WORKDAY(FQ_FECHA,INT(L28),FERIADOS)-FQ_FECHA+(L28-INT(L28))))*V28,0))</f>
        <v/>
      </c>
      <c r="N28" s="71" t="str">
        <f aca="false">IF(G28&lt;&gt;"Sí","",IF(D28="Obra o faena",0,ROUND(K28*I28,0)))</f>
        <v/>
      </c>
      <c r="O28" s="71" t="str">
        <f aca="false">IF(G28&lt;&gt;"Sí","",IF(OR(D28="Obra o faena",FQ_AVISO="Sí"),0,ROUND(K28,0)))</f>
        <v/>
      </c>
      <c r="P28" s="71" t="str">
        <f aca="false">IF(G28&lt;&gt;"Sí","",IF(AND(IMPUTAR_AFC="Sí",N28&gt;0),-MIN(N28,ROUND(AFC_IMPUTABLE_PCT*MIN(W28,TOPE_AFC_UF*UF_HOY)*DATEDIF(E28,FQ_FECHA+1,"m"),0)),0))</f>
        <v/>
      </c>
      <c r="Q28" s="85" t="str">
        <f aca="false">IF(G28&lt;&gt;"Sí","",M28+N28+O28+P28)</f>
        <v/>
      </c>
      <c r="R28" s="85" t="str">
        <f aca="false">IF(G28&lt;&gt;"Sí","",M28)</f>
        <v/>
      </c>
      <c r="S28" s="85" t="str">
        <f aca="false">IF(U28="","",IF(INDEX(CC_ESTADOC,19)="Renovación registrada","",ROUND(MAX(0,IF(U28&lt;=0,0,WORKDAY(F28,INT(U28),FERIADOS)-F28+(U28-INT(U28))))*V28,0)+IF(D28="Obra o faena",ROUND(OBRA_DIAS*K28/30*(DATEDIF(E28,F28+1,"m")+IF(F28+1-EDATE(E28,DATEDIF(E28,F28+1,"m"))&gt;15,1,0)),0),0)))</f>
        <v/>
      </c>
      <c r="T28" s="70" t="str">
        <f aca="false">IF(G28&lt;&gt;"Sí","",IF(D28="Plazo fijo","Despido antes del vencimiento: además existe riesgo de demanda por las remuneraciones hasta el término del plazo",IF(D28="Obra o faena","Al concluir la obra corresponde indemnización de 2,5 días por mes (incluida en la columna S); no IAS",IF(I28=0,"Menos de 1 año: no corresponde IAS (Art. 163)",IF(I28=TOPE_IAS_ANIOS,"IAS en el tope de 11 años","")))))</f>
        <v/>
      </c>
      <c r="U28" s="95" t="str">
        <f aca="false">IF(OR(G28&lt;&gt;"Sí",NOT(ISNUMBER(F28))),"",IF(F28&lt;FQ_FECHA,"",(1.25*(DATEDIF(E28,F28+1,"m")+(F28+1-EDATE(E28,DATEDIF(E28,F28+1,"m")))/30)+SUMPRODUCT((ANIOS&lt;=DATEDIF(E28,F28+1,"y"))*(X28+ANIOS-10&gt;0)*INT((X28+ANIOS-10)/3))-(SUMIFS(V_DIAS,V_ID,B28,V_INICIO,"&lt;="&amp;F28)+Y28))))</f>
        <v/>
      </c>
      <c r="V28" s="71" t="str">
        <f aca="false">IF(G28&lt;&gt;"Sí","",(N(INDEX(T_SUELDO,19))+N(INDEX(T_BONO,19)))/30)</f>
        <v/>
      </c>
      <c r="W28" s="71" t="str">
        <f aca="false">IF(G28&lt;&gt;"Sí","",N(INDEX(T_SUELDO,19))+N(INDEX(T_BONO,19))+IF(LEFT(INDEX(T_GRAT,19)&amp;"",6)="Art. 5",MIN(GRAT_PCT*(N(INDEX(T_SUELDO,19))+N(INDEX(T_BONO,19))),GRAT_TOPE_MES),0))</f>
        <v/>
      </c>
      <c r="X28" s="72" t="str">
        <f aca="false">IF(B28="","",MIN(10,N(INDEX(T_PREV,19))))</f>
        <v/>
      </c>
      <c r="Y28" s="72" t="str">
        <f aca="false">IF(B28="","",N(INDEX(T_VACPREV,19)))</f>
        <v/>
      </c>
      <c r="Z28" s="75" t="str">
        <f aca="false">IF(B28="","",N(INDEX(T_EGRESO,19)))</f>
        <v/>
      </c>
    </row>
    <row r="29" customFormat="false" ht="15" hidden="false" customHeight="false" outlineLevel="0" collapsed="false">
      <c r="B29" s="70" t="str">
        <f aca="false">IFERROR(IF(INDEX(T_ID,20)="","",INDEX(T_ID,20)),"")</f>
        <v/>
      </c>
      <c r="C29" s="70" t="str">
        <f aca="false">IF(B29="","",INDEX(T_NOMBRE,20)&amp;"")</f>
        <v/>
      </c>
      <c r="D29" s="70" t="str">
        <f aca="false">IF(B29="","",INDEX(T_TIPO,20)&amp;"")</f>
        <v/>
      </c>
      <c r="E29" s="75" t="str">
        <f aca="false">IF(B29="","",INDEX(T_INGRESO,20))</f>
        <v/>
      </c>
      <c r="F29" s="75" t="str">
        <f aca="false">IF(B29="","",IF(ISNUMBER(INDEX(CC_VENCE,20)),INDEX(CC_VENCE,20),""))</f>
        <v/>
      </c>
      <c r="G29" s="70" t="str">
        <f aca="false">IF(OR(B29="",NOT(ISNUMBER(E29))),"",IF(AND(E29&lt;=FQ_FECHA,OR(Z29=0,Z29&gt;=FQ_FECHA)),"Sí","No"))</f>
        <v/>
      </c>
      <c r="H29" s="94" t="str">
        <f aca="false">IF(G29&lt;&gt;"Sí","",ROUND((FQ_FECHA+1-E29)/365.25,1))</f>
        <v/>
      </c>
      <c r="I29" s="73" t="str">
        <f aca="false">IF(G29&lt;&gt;"Sí","",IF(DATEDIF(E29,FQ_FECHA+1,"y")&lt;1,0,MIN(TOPE_IAS_ANIOS,DATEDIF(E29,FQ_FECHA+1,"y")+IF(EDATE(E29,12*DATEDIF(E29,FQ_FECHA+1,"y")+6)&lt;FQ_FECHA+1,1,0))))</f>
        <v/>
      </c>
      <c r="J29" s="71" t="str">
        <f aca="false">IF(G29&lt;&gt;"Sí","",W29+N(INDEX(T_COL,20))+N(INDEX(T_MOV,20)))</f>
        <v/>
      </c>
      <c r="K29" s="71" t="str">
        <f aca="false">IF(G29&lt;&gt;"Sí","",MIN(J29,TOPE_IAS_UF*UF_HOY))</f>
        <v/>
      </c>
      <c r="L29" s="95" t="str">
        <f aca="false">IF(G29&lt;&gt;"Sí","",(1.25*(DATEDIF(E29,FQ_FECHA+1,"m")+(FQ_FECHA+1-EDATE(E29,DATEDIF(E29,FQ_FECHA+1,"m")))/30)+SUMPRODUCT((ANIOS&lt;=DATEDIF(E29,FQ_FECHA+1,"y"))*(X29+ANIOS-10&gt;0)*INT((X29+ANIOS-10)/3))-(SUMIFS(V_DIAS,V_ID,B29,V_INICIO,"&lt;="&amp;FQ_FECHA)+Y29)))</f>
        <v/>
      </c>
      <c r="M29" s="71" t="str">
        <f aca="false">IF(G29&lt;&gt;"Sí","",ROUND(MAX(0,IF(L29&lt;=0,0,WORKDAY(FQ_FECHA,INT(L29),FERIADOS)-FQ_FECHA+(L29-INT(L29))))*V29,0))</f>
        <v/>
      </c>
      <c r="N29" s="71" t="str">
        <f aca="false">IF(G29&lt;&gt;"Sí","",IF(D29="Obra o faena",0,ROUND(K29*I29,0)))</f>
        <v/>
      </c>
      <c r="O29" s="71" t="str">
        <f aca="false">IF(G29&lt;&gt;"Sí","",IF(OR(D29="Obra o faena",FQ_AVISO="Sí"),0,ROUND(K29,0)))</f>
        <v/>
      </c>
      <c r="P29" s="71" t="str">
        <f aca="false">IF(G29&lt;&gt;"Sí","",IF(AND(IMPUTAR_AFC="Sí",N29&gt;0),-MIN(N29,ROUND(AFC_IMPUTABLE_PCT*MIN(W29,TOPE_AFC_UF*UF_HOY)*DATEDIF(E29,FQ_FECHA+1,"m"),0)),0))</f>
        <v/>
      </c>
      <c r="Q29" s="85" t="str">
        <f aca="false">IF(G29&lt;&gt;"Sí","",M29+N29+O29+P29)</f>
        <v/>
      </c>
      <c r="R29" s="85" t="str">
        <f aca="false">IF(G29&lt;&gt;"Sí","",M29)</f>
        <v/>
      </c>
      <c r="S29" s="85" t="str">
        <f aca="false">IF(U29="","",IF(INDEX(CC_ESTADOC,20)="Renovación registrada","",ROUND(MAX(0,IF(U29&lt;=0,0,WORKDAY(F29,INT(U29),FERIADOS)-F29+(U29-INT(U29))))*V29,0)+IF(D29="Obra o faena",ROUND(OBRA_DIAS*K29/30*(DATEDIF(E29,F29+1,"m")+IF(F29+1-EDATE(E29,DATEDIF(E29,F29+1,"m"))&gt;15,1,0)),0),0)))</f>
        <v/>
      </c>
      <c r="T29" s="70" t="str">
        <f aca="false">IF(G29&lt;&gt;"Sí","",IF(D29="Plazo fijo","Despido antes del vencimiento: además existe riesgo de demanda por las remuneraciones hasta el término del plazo",IF(D29="Obra o faena","Al concluir la obra corresponde indemnización de 2,5 días por mes (incluida en la columna S); no IAS",IF(I29=0,"Menos de 1 año: no corresponde IAS (Art. 163)",IF(I29=TOPE_IAS_ANIOS,"IAS en el tope de 11 años","")))))</f>
        <v/>
      </c>
      <c r="U29" s="95" t="str">
        <f aca="false">IF(OR(G29&lt;&gt;"Sí",NOT(ISNUMBER(F29))),"",IF(F29&lt;FQ_FECHA,"",(1.25*(DATEDIF(E29,F29+1,"m")+(F29+1-EDATE(E29,DATEDIF(E29,F29+1,"m")))/30)+SUMPRODUCT((ANIOS&lt;=DATEDIF(E29,F29+1,"y"))*(X29+ANIOS-10&gt;0)*INT((X29+ANIOS-10)/3))-(SUMIFS(V_DIAS,V_ID,B29,V_INICIO,"&lt;="&amp;F29)+Y29))))</f>
        <v/>
      </c>
      <c r="V29" s="71" t="str">
        <f aca="false">IF(G29&lt;&gt;"Sí","",(N(INDEX(T_SUELDO,20))+N(INDEX(T_BONO,20)))/30)</f>
        <v/>
      </c>
      <c r="W29" s="71" t="str">
        <f aca="false">IF(G29&lt;&gt;"Sí","",N(INDEX(T_SUELDO,20))+N(INDEX(T_BONO,20))+IF(LEFT(INDEX(T_GRAT,20)&amp;"",6)="Art. 5",MIN(GRAT_PCT*(N(INDEX(T_SUELDO,20))+N(INDEX(T_BONO,20))),GRAT_TOPE_MES),0))</f>
        <v/>
      </c>
      <c r="X29" s="72" t="str">
        <f aca="false">IF(B29="","",MIN(10,N(INDEX(T_PREV,20))))</f>
        <v/>
      </c>
      <c r="Y29" s="72" t="str">
        <f aca="false">IF(B29="","",N(INDEX(T_VACPREV,20)))</f>
        <v/>
      </c>
      <c r="Z29" s="75" t="str">
        <f aca="false">IF(B29="","",N(INDEX(T_EGRESO,20)))</f>
        <v/>
      </c>
    </row>
    <row r="30" customFormat="false" ht="15" hidden="false" customHeight="false" outlineLevel="0" collapsed="false">
      <c r="B30" s="70" t="str">
        <f aca="false">IFERROR(IF(INDEX(T_ID,21)="","",INDEX(T_ID,21)),"")</f>
        <v/>
      </c>
      <c r="C30" s="70" t="str">
        <f aca="false">IF(B30="","",INDEX(T_NOMBRE,21)&amp;"")</f>
        <v/>
      </c>
      <c r="D30" s="70" t="str">
        <f aca="false">IF(B30="","",INDEX(T_TIPO,21)&amp;"")</f>
        <v/>
      </c>
      <c r="E30" s="75" t="str">
        <f aca="false">IF(B30="","",INDEX(T_INGRESO,21))</f>
        <v/>
      </c>
      <c r="F30" s="75" t="str">
        <f aca="false">IF(B30="","",IF(ISNUMBER(INDEX(CC_VENCE,21)),INDEX(CC_VENCE,21),""))</f>
        <v/>
      </c>
      <c r="G30" s="70" t="str">
        <f aca="false">IF(OR(B30="",NOT(ISNUMBER(E30))),"",IF(AND(E30&lt;=FQ_FECHA,OR(Z30=0,Z30&gt;=FQ_FECHA)),"Sí","No"))</f>
        <v/>
      </c>
      <c r="H30" s="94" t="str">
        <f aca="false">IF(G30&lt;&gt;"Sí","",ROUND((FQ_FECHA+1-E30)/365.25,1))</f>
        <v/>
      </c>
      <c r="I30" s="73" t="str">
        <f aca="false">IF(G30&lt;&gt;"Sí","",IF(DATEDIF(E30,FQ_FECHA+1,"y")&lt;1,0,MIN(TOPE_IAS_ANIOS,DATEDIF(E30,FQ_FECHA+1,"y")+IF(EDATE(E30,12*DATEDIF(E30,FQ_FECHA+1,"y")+6)&lt;FQ_FECHA+1,1,0))))</f>
        <v/>
      </c>
      <c r="J30" s="71" t="str">
        <f aca="false">IF(G30&lt;&gt;"Sí","",W30+N(INDEX(T_COL,21))+N(INDEX(T_MOV,21)))</f>
        <v/>
      </c>
      <c r="K30" s="71" t="str">
        <f aca="false">IF(G30&lt;&gt;"Sí","",MIN(J30,TOPE_IAS_UF*UF_HOY))</f>
        <v/>
      </c>
      <c r="L30" s="95" t="str">
        <f aca="false">IF(G30&lt;&gt;"Sí","",(1.25*(DATEDIF(E30,FQ_FECHA+1,"m")+(FQ_FECHA+1-EDATE(E30,DATEDIF(E30,FQ_FECHA+1,"m")))/30)+SUMPRODUCT((ANIOS&lt;=DATEDIF(E30,FQ_FECHA+1,"y"))*(X30+ANIOS-10&gt;0)*INT((X30+ANIOS-10)/3))-(SUMIFS(V_DIAS,V_ID,B30,V_INICIO,"&lt;="&amp;FQ_FECHA)+Y30)))</f>
        <v/>
      </c>
      <c r="M30" s="71" t="str">
        <f aca="false">IF(G30&lt;&gt;"Sí","",ROUND(MAX(0,IF(L30&lt;=0,0,WORKDAY(FQ_FECHA,INT(L30),FERIADOS)-FQ_FECHA+(L30-INT(L30))))*V30,0))</f>
        <v/>
      </c>
      <c r="N30" s="71" t="str">
        <f aca="false">IF(G30&lt;&gt;"Sí","",IF(D30="Obra o faena",0,ROUND(K30*I30,0)))</f>
        <v/>
      </c>
      <c r="O30" s="71" t="str">
        <f aca="false">IF(G30&lt;&gt;"Sí","",IF(OR(D30="Obra o faena",FQ_AVISO="Sí"),0,ROUND(K30,0)))</f>
        <v/>
      </c>
      <c r="P30" s="71" t="str">
        <f aca="false">IF(G30&lt;&gt;"Sí","",IF(AND(IMPUTAR_AFC="Sí",N30&gt;0),-MIN(N30,ROUND(AFC_IMPUTABLE_PCT*MIN(W30,TOPE_AFC_UF*UF_HOY)*DATEDIF(E30,FQ_FECHA+1,"m"),0)),0))</f>
        <v/>
      </c>
      <c r="Q30" s="85" t="str">
        <f aca="false">IF(G30&lt;&gt;"Sí","",M30+N30+O30+P30)</f>
        <v/>
      </c>
      <c r="R30" s="85" t="str">
        <f aca="false">IF(G30&lt;&gt;"Sí","",M30)</f>
        <v/>
      </c>
      <c r="S30" s="85" t="str">
        <f aca="false">IF(U30="","",IF(INDEX(CC_ESTADOC,21)="Renovación registrada","",ROUND(MAX(0,IF(U30&lt;=0,0,WORKDAY(F30,INT(U30),FERIADOS)-F30+(U30-INT(U30))))*V30,0)+IF(D30="Obra o faena",ROUND(OBRA_DIAS*K30/30*(DATEDIF(E30,F30+1,"m")+IF(F30+1-EDATE(E30,DATEDIF(E30,F30+1,"m"))&gt;15,1,0)),0),0)))</f>
        <v/>
      </c>
      <c r="T30" s="70" t="str">
        <f aca="false">IF(G30&lt;&gt;"Sí","",IF(D30="Plazo fijo","Despido antes del vencimiento: además existe riesgo de demanda por las remuneraciones hasta el término del plazo",IF(D30="Obra o faena","Al concluir la obra corresponde indemnización de 2,5 días por mes (incluida en la columna S); no IAS",IF(I30=0,"Menos de 1 año: no corresponde IAS (Art. 163)",IF(I30=TOPE_IAS_ANIOS,"IAS en el tope de 11 años","")))))</f>
        <v/>
      </c>
      <c r="U30" s="95" t="str">
        <f aca="false">IF(OR(G30&lt;&gt;"Sí",NOT(ISNUMBER(F30))),"",IF(F30&lt;FQ_FECHA,"",(1.25*(DATEDIF(E30,F30+1,"m")+(F30+1-EDATE(E30,DATEDIF(E30,F30+1,"m")))/30)+SUMPRODUCT((ANIOS&lt;=DATEDIF(E30,F30+1,"y"))*(X30+ANIOS-10&gt;0)*INT((X30+ANIOS-10)/3))-(SUMIFS(V_DIAS,V_ID,B30,V_INICIO,"&lt;="&amp;F30)+Y30))))</f>
        <v/>
      </c>
      <c r="V30" s="71" t="str">
        <f aca="false">IF(G30&lt;&gt;"Sí","",(N(INDEX(T_SUELDO,21))+N(INDEX(T_BONO,21)))/30)</f>
        <v/>
      </c>
      <c r="W30" s="71" t="str">
        <f aca="false">IF(G30&lt;&gt;"Sí","",N(INDEX(T_SUELDO,21))+N(INDEX(T_BONO,21))+IF(LEFT(INDEX(T_GRAT,21)&amp;"",6)="Art. 5",MIN(GRAT_PCT*(N(INDEX(T_SUELDO,21))+N(INDEX(T_BONO,21))),GRAT_TOPE_MES),0))</f>
        <v/>
      </c>
      <c r="X30" s="72" t="str">
        <f aca="false">IF(B30="","",MIN(10,N(INDEX(T_PREV,21))))</f>
        <v/>
      </c>
      <c r="Y30" s="72" t="str">
        <f aca="false">IF(B30="","",N(INDEX(T_VACPREV,21)))</f>
        <v/>
      </c>
      <c r="Z30" s="75" t="str">
        <f aca="false">IF(B30="","",N(INDEX(T_EGRESO,21)))</f>
        <v/>
      </c>
    </row>
    <row r="31" customFormat="false" ht="15" hidden="false" customHeight="false" outlineLevel="0" collapsed="false">
      <c r="B31" s="70" t="str">
        <f aca="false">IFERROR(IF(INDEX(T_ID,22)="","",INDEX(T_ID,22)),"")</f>
        <v/>
      </c>
      <c r="C31" s="70" t="str">
        <f aca="false">IF(B31="","",INDEX(T_NOMBRE,22)&amp;"")</f>
        <v/>
      </c>
      <c r="D31" s="70" t="str">
        <f aca="false">IF(B31="","",INDEX(T_TIPO,22)&amp;"")</f>
        <v/>
      </c>
      <c r="E31" s="75" t="str">
        <f aca="false">IF(B31="","",INDEX(T_INGRESO,22))</f>
        <v/>
      </c>
      <c r="F31" s="75" t="str">
        <f aca="false">IF(B31="","",IF(ISNUMBER(INDEX(CC_VENCE,22)),INDEX(CC_VENCE,22),""))</f>
        <v/>
      </c>
      <c r="G31" s="70" t="str">
        <f aca="false">IF(OR(B31="",NOT(ISNUMBER(E31))),"",IF(AND(E31&lt;=FQ_FECHA,OR(Z31=0,Z31&gt;=FQ_FECHA)),"Sí","No"))</f>
        <v/>
      </c>
      <c r="H31" s="94" t="str">
        <f aca="false">IF(G31&lt;&gt;"Sí","",ROUND((FQ_FECHA+1-E31)/365.25,1))</f>
        <v/>
      </c>
      <c r="I31" s="73" t="str">
        <f aca="false">IF(G31&lt;&gt;"Sí","",IF(DATEDIF(E31,FQ_FECHA+1,"y")&lt;1,0,MIN(TOPE_IAS_ANIOS,DATEDIF(E31,FQ_FECHA+1,"y")+IF(EDATE(E31,12*DATEDIF(E31,FQ_FECHA+1,"y")+6)&lt;FQ_FECHA+1,1,0))))</f>
        <v/>
      </c>
      <c r="J31" s="71" t="str">
        <f aca="false">IF(G31&lt;&gt;"Sí","",W31+N(INDEX(T_COL,22))+N(INDEX(T_MOV,22)))</f>
        <v/>
      </c>
      <c r="K31" s="71" t="str">
        <f aca="false">IF(G31&lt;&gt;"Sí","",MIN(J31,TOPE_IAS_UF*UF_HOY))</f>
        <v/>
      </c>
      <c r="L31" s="95" t="str">
        <f aca="false">IF(G31&lt;&gt;"Sí","",(1.25*(DATEDIF(E31,FQ_FECHA+1,"m")+(FQ_FECHA+1-EDATE(E31,DATEDIF(E31,FQ_FECHA+1,"m")))/30)+SUMPRODUCT((ANIOS&lt;=DATEDIF(E31,FQ_FECHA+1,"y"))*(X31+ANIOS-10&gt;0)*INT((X31+ANIOS-10)/3))-(SUMIFS(V_DIAS,V_ID,B31,V_INICIO,"&lt;="&amp;FQ_FECHA)+Y31)))</f>
        <v/>
      </c>
      <c r="M31" s="71" t="str">
        <f aca="false">IF(G31&lt;&gt;"Sí","",ROUND(MAX(0,IF(L31&lt;=0,0,WORKDAY(FQ_FECHA,INT(L31),FERIADOS)-FQ_FECHA+(L31-INT(L31))))*V31,0))</f>
        <v/>
      </c>
      <c r="N31" s="71" t="str">
        <f aca="false">IF(G31&lt;&gt;"Sí","",IF(D31="Obra o faena",0,ROUND(K31*I31,0)))</f>
        <v/>
      </c>
      <c r="O31" s="71" t="str">
        <f aca="false">IF(G31&lt;&gt;"Sí","",IF(OR(D31="Obra o faena",FQ_AVISO="Sí"),0,ROUND(K31,0)))</f>
        <v/>
      </c>
      <c r="P31" s="71" t="str">
        <f aca="false">IF(G31&lt;&gt;"Sí","",IF(AND(IMPUTAR_AFC="Sí",N31&gt;0),-MIN(N31,ROUND(AFC_IMPUTABLE_PCT*MIN(W31,TOPE_AFC_UF*UF_HOY)*DATEDIF(E31,FQ_FECHA+1,"m"),0)),0))</f>
        <v/>
      </c>
      <c r="Q31" s="85" t="str">
        <f aca="false">IF(G31&lt;&gt;"Sí","",M31+N31+O31+P31)</f>
        <v/>
      </c>
      <c r="R31" s="85" t="str">
        <f aca="false">IF(G31&lt;&gt;"Sí","",M31)</f>
        <v/>
      </c>
      <c r="S31" s="85" t="str">
        <f aca="false">IF(U31="","",IF(INDEX(CC_ESTADOC,22)="Renovación registrada","",ROUND(MAX(0,IF(U31&lt;=0,0,WORKDAY(F31,INT(U31),FERIADOS)-F31+(U31-INT(U31))))*V31,0)+IF(D31="Obra o faena",ROUND(OBRA_DIAS*K31/30*(DATEDIF(E31,F31+1,"m")+IF(F31+1-EDATE(E31,DATEDIF(E31,F31+1,"m"))&gt;15,1,0)),0),0)))</f>
        <v/>
      </c>
      <c r="T31" s="70" t="str">
        <f aca="false">IF(G31&lt;&gt;"Sí","",IF(D31="Plazo fijo","Despido antes del vencimiento: además existe riesgo de demanda por las remuneraciones hasta el término del plazo",IF(D31="Obra o faena","Al concluir la obra corresponde indemnización de 2,5 días por mes (incluida en la columna S); no IAS",IF(I31=0,"Menos de 1 año: no corresponde IAS (Art. 163)",IF(I31=TOPE_IAS_ANIOS,"IAS en el tope de 11 años","")))))</f>
        <v/>
      </c>
      <c r="U31" s="95" t="str">
        <f aca="false">IF(OR(G31&lt;&gt;"Sí",NOT(ISNUMBER(F31))),"",IF(F31&lt;FQ_FECHA,"",(1.25*(DATEDIF(E31,F31+1,"m")+(F31+1-EDATE(E31,DATEDIF(E31,F31+1,"m")))/30)+SUMPRODUCT((ANIOS&lt;=DATEDIF(E31,F31+1,"y"))*(X31+ANIOS-10&gt;0)*INT((X31+ANIOS-10)/3))-(SUMIFS(V_DIAS,V_ID,B31,V_INICIO,"&lt;="&amp;F31)+Y31))))</f>
        <v/>
      </c>
      <c r="V31" s="71" t="str">
        <f aca="false">IF(G31&lt;&gt;"Sí","",(N(INDEX(T_SUELDO,22))+N(INDEX(T_BONO,22)))/30)</f>
        <v/>
      </c>
      <c r="W31" s="71" t="str">
        <f aca="false">IF(G31&lt;&gt;"Sí","",N(INDEX(T_SUELDO,22))+N(INDEX(T_BONO,22))+IF(LEFT(INDEX(T_GRAT,22)&amp;"",6)="Art. 5",MIN(GRAT_PCT*(N(INDEX(T_SUELDO,22))+N(INDEX(T_BONO,22))),GRAT_TOPE_MES),0))</f>
        <v/>
      </c>
      <c r="X31" s="72" t="str">
        <f aca="false">IF(B31="","",MIN(10,N(INDEX(T_PREV,22))))</f>
        <v/>
      </c>
      <c r="Y31" s="72" t="str">
        <f aca="false">IF(B31="","",N(INDEX(T_VACPREV,22)))</f>
        <v/>
      </c>
      <c r="Z31" s="75" t="str">
        <f aca="false">IF(B31="","",N(INDEX(T_EGRESO,22)))</f>
        <v/>
      </c>
    </row>
    <row r="32" customFormat="false" ht="15" hidden="false" customHeight="false" outlineLevel="0" collapsed="false">
      <c r="B32" s="70" t="str">
        <f aca="false">IFERROR(IF(INDEX(T_ID,23)="","",INDEX(T_ID,23)),"")</f>
        <v/>
      </c>
      <c r="C32" s="70" t="str">
        <f aca="false">IF(B32="","",INDEX(T_NOMBRE,23)&amp;"")</f>
        <v/>
      </c>
      <c r="D32" s="70" t="str">
        <f aca="false">IF(B32="","",INDEX(T_TIPO,23)&amp;"")</f>
        <v/>
      </c>
      <c r="E32" s="75" t="str">
        <f aca="false">IF(B32="","",INDEX(T_INGRESO,23))</f>
        <v/>
      </c>
      <c r="F32" s="75" t="str">
        <f aca="false">IF(B32="","",IF(ISNUMBER(INDEX(CC_VENCE,23)),INDEX(CC_VENCE,23),""))</f>
        <v/>
      </c>
      <c r="G32" s="70" t="str">
        <f aca="false">IF(OR(B32="",NOT(ISNUMBER(E32))),"",IF(AND(E32&lt;=FQ_FECHA,OR(Z32=0,Z32&gt;=FQ_FECHA)),"Sí","No"))</f>
        <v/>
      </c>
      <c r="H32" s="94" t="str">
        <f aca="false">IF(G32&lt;&gt;"Sí","",ROUND((FQ_FECHA+1-E32)/365.25,1))</f>
        <v/>
      </c>
      <c r="I32" s="73" t="str">
        <f aca="false">IF(G32&lt;&gt;"Sí","",IF(DATEDIF(E32,FQ_FECHA+1,"y")&lt;1,0,MIN(TOPE_IAS_ANIOS,DATEDIF(E32,FQ_FECHA+1,"y")+IF(EDATE(E32,12*DATEDIF(E32,FQ_FECHA+1,"y")+6)&lt;FQ_FECHA+1,1,0))))</f>
        <v/>
      </c>
      <c r="J32" s="71" t="str">
        <f aca="false">IF(G32&lt;&gt;"Sí","",W32+N(INDEX(T_COL,23))+N(INDEX(T_MOV,23)))</f>
        <v/>
      </c>
      <c r="K32" s="71" t="str">
        <f aca="false">IF(G32&lt;&gt;"Sí","",MIN(J32,TOPE_IAS_UF*UF_HOY))</f>
        <v/>
      </c>
      <c r="L32" s="95" t="str">
        <f aca="false">IF(G32&lt;&gt;"Sí","",(1.25*(DATEDIF(E32,FQ_FECHA+1,"m")+(FQ_FECHA+1-EDATE(E32,DATEDIF(E32,FQ_FECHA+1,"m")))/30)+SUMPRODUCT((ANIOS&lt;=DATEDIF(E32,FQ_FECHA+1,"y"))*(X32+ANIOS-10&gt;0)*INT((X32+ANIOS-10)/3))-(SUMIFS(V_DIAS,V_ID,B32,V_INICIO,"&lt;="&amp;FQ_FECHA)+Y32)))</f>
        <v/>
      </c>
      <c r="M32" s="71" t="str">
        <f aca="false">IF(G32&lt;&gt;"Sí","",ROUND(MAX(0,IF(L32&lt;=0,0,WORKDAY(FQ_FECHA,INT(L32),FERIADOS)-FQ_FECHA+(L32-INT(L32))))*V32,0))</f>
        <v/>
      </c>
      <c r="N32" s="71" t="str">
        <f aca="false">IF(G32&lt;&gt;"Sí","",IF(D32="Obra o faena",0,ROUND(K32*I32,0)))</f>
        <v/>
      </c>
      <c r="O32" s="71" t="str">
        <f aca="false">IF(G32&lt;&gt;"Sí","",IF(OR(D32="Obra o faena",FQ_AVISO="Sí"),0,ROUND(K32,0)))</f>
        <v/>
      </c>
      <c r="P32" s="71" t="str">
        <f aca="false">IF(G32&lt;&gt;"Sí","",IF(AND(IMPUTAR_AFC="Sí",N32&gt;0),-MIN(N32,ROUND(AFC_IMPUTABLE_PCT*MIN(W32,TOPE_AFC_UF*UF_HOY)*DATEDIF(E32,FQ_FECHA+1,"m"),0)),0))</f>
        <v/>
      </c>
      <c r="Q32" s="85" t="str">
        <f aca="false">IF(G32&lt;&gt;"Sí","",M32+N32+O32+P32)</f>
        <v/>
      </c>
      <c r="R32" s="85" t="str">
        <f aca="false">IF(G32&lt;&gt;"Sí","",M32)</f>
        <v/>
      </c>
      <c r="S32" s="85" t="str">
        <f aca="false">IF(U32="","",IF(INDEX(CC_ESTADOC,23)="Renovación registrada","",ROUND(MAX(0,IF(U32&lt;=0,0,WORKDAY(F32,INT(U32),FERIADOS)-F32+(U32-INT(U32))))*V32,0)+IF(D32="Obra o faena",ROUND(OBRA_DIAS*K32/30*(DATEDIF(E32,F32+1,"m")+IF(F32+1-EDATE(E32,DATEDIF(E32,F32+1,"m"))&gt;15,1,0)),0),0)))</f>
        <v/>
      </c>
      <c r="T32" s="70" t="str">
        <f aca="false">IF(G32&lt;&gt;"Sí","",IF(D32="Plazo fijo","Despido antes del vencimiento: además existe riesgo de demanda por las remuneraciones hasta el término del plazo",IF(D32="Obra o faena","Al concluir la obra corresponde indemnización de 2,5 días por mes (incluida en la columna S); no IAS",IF(I32=0,"Menos de 1 año: no corresponde IAS (Art. 163)",IF(I32=TOPE_IAS_ANIOS,"IAS en el tope de 11 años","")))))</f>
        <v/>
      </c>
      <c r="U32" s="95" t="str">
        <f aca="false">IF(OR(G32&lt;&gt;"Sí",NOT(ISNUMBER(F32))),"",IF(F32&lt;FQ_FECHA,"",(1.25*(DATEDIF(E32,F32+1,"m")+(F32+1-EDATE(E32,DATEDIF(E32,F32+1,"m")))/30)+SUMPRODUCT((ANIOS&lt;=DATEDIF(E32,F32+1,"y"))*(X32+ANIOS-10&gt;0)*INT((X32+ANIOS-10)/3))-(SUMIFS(V_DIAS,V_ID,B32,V_INICIO,"&lt;="&amp;F32)+Y32))))</f>
        <v/>
      </c>
      <c r="V32" s="71" t="str">
        <f aca="false">IF(G32&lt;&gt;"Sí","",(N(INDEX(T_SUELDO,23))+N(INDEX(T_BONO,23)))/30)</f>
        <v/>
      </c>
      <c r="W32" s="71" t="str">
        <f aca="false">IF(G32&lt;&gt;"Sí","",N(INDEX(T_SUELDO,23))+N(INDEX(T_BONO,23))+IF(LEFT(INDEX(T_GRAT,23)&amp;"",6)="Art. 5",MIN(GRAT_PCT*(N(INDEX(T_SUELDO,23))+N(INDEX(T_BONO,23))),GRAT_TOPE_MES),0))</f>
        <v/>
      </c>
      <c r="X32" s="72" t="str">
        <f aca="false">IF(B32="","",MIN(10,N(INDEX(T_PREV,23))))</f>
        <v/>
      </c>
      <c r="Y32" s="72" t="str">
        <f aca="false">IF(B32="","",N(INDEX(T_VACPREV,23)))</f>
        <v/>
      </c>
      <c r="Z32" s="75" t="str">
        <f aca="false">IF(B32="","",N(INDEX(T_EGRESO,23)))</f>
        <v/>
      </c>
    </row>
    <row r="33" customFormat="false" ht="15" hidden="false" customHeight="false" outlineLevel="0" collapsed="false">
      <c r="B33" s="70" t="str">
        <f aca="false">IFERROR(IF(INDEX(T_ID,24)="","",INDEX(T_ID,24)),"")</f>
        <v/>
      </c>
      <c r="C33" s="70" t="str">
        <f aca="false">IF(B33="","",INDEX(T_NOMBRE,24)&amp;"")</f>
        <v/>
      </c>
      <c r="D33" s="70" t="str">
        <f aca="false">IF(B33="","",INDEX(T_TIPO,24)&amp;"")</f>
        <v/>
      </c>
      <c r="E33" s="75" t="str">
        <f aca="false">IF(B33="","",INDEX(T_INGRESO,24))</f>
        <v/>
      </c>
      <c r="F33" s="75" t="str">
        <f aca="false">IF(B33="","",IF(ISNUMBER(INDEX(CC_VENCE,24)),INDEX(CC_VENCE,24),""))</f>
        <v/>
      </c>
      <c r="G33" s="70" t="str">
        <f aca="false">IF(OR(B33="",NOT(ISNUMBER(E33))),"",IF(AND(E33&lt;=FQ_FECHA,OR(Z33=0,Z33&gt;=FQ_FECHA)),"Sí","No"))</f>
        <v/>
      </c>
      <c r="H33" s="94" t="str">
        <f aca="false">IF(G33&lt;&gt;"Sí","",ROUND((FQ_FECHA+1-E33)/365.25,1))</f>
        <v/>
      </c>
      <c r="I33" s="73" t="str">
        <f aca="false">IF(G33&lt;&gt;"Sí","",IF(DATEDIF(E33,FQ_FECHA+1,"y")&lt;1,0,MIN(TOPE_IAS_ANIOS,DATEDIF(E33,FQ_FECHA+1,"y")+IF(EDATE(E33,12*DATEDIF(E33,FQ_FECHA+1,"y")+6)&lt;FQ_FECHA+1,1,0))))</f>
        <v/>
      </c>
      <c r="J33" s="71" t="str">
        <f aca="false">IF(G33&lt;&gt;"Sí","",W33+N(INDEX(T_COL,24))+N(INDEX(T_MOV,24)))</f>
        <v/>
      </c>
      <c r="K33" s="71" t="str">
        <f aca="false">IF(G33&lt;&gt;"Sí","",MIN(J33,TOPE_IAS_UF*UF_HOY))</f>
        <v/>
      </c>
      <c r="L33" s="95" t="str">
        <f aca="false">IF(G33&lt;&gt;"Sí","",(1.25*(DATEDIF(E33,FQ_FECHA+1,"m")+(FQ_FECHA+1-EDATE(E33,DATEDIF(E33,FQ_FECHA+1,"m")))/30)+SUMPRODUCT((ANIOS&lt;=DATEDIF(E33,FQ_FECHA+1,"y"))*(X33+ANIOS-10&gt;0)*INT((X33+ANIOS-10)/3))-(SUMIFS(V_DIAS,V_ID,B33,V_INICIO,"&lt;="&amp;FQ_FECHA)+Y33)))</f>
        <v/>
      </c>
      <c r="M33" s="71" t="str">
        <f aca="false">IF(G33&lt;&gt;"Sí","",ROUND(MAX(0,IF(L33&lt;=0,0,WORKDAY(FQ_FECHA,INT(L33),FERIADOS)-FQ_FECHA+(L33-INT(L33))))*V33,0))</f>
        <v/>
      </c>
      <c r="N33" s="71" t="str">
        <f aca="false">IF(G33&lt;&gt;"Sí","",IF(D33="Obra o faena",0,ROUND(K33*I33,0)))</f>
        <v/>
      </c>
      <c r="O33" s="71" t="str">
        <f aca="false">IF(G33&lt;&gt;"Sí","",IF(OR(D33="Obra o faena",FQ_AVISO="Sí"),0,ROUND(K33,0)))</f>
        <v/>
      </c>
      <c r="P33" s="71" t="str">
        <f aca="false">IF(G33&lt;&gt;"Sí","",IF(AND(IMPUTAR_AFC="Sí",N33&gt;0),-MIN(N33,ROUND(AFC_IMPUTABLE_PCT*MIN(W33,TOPE_AFC_UF*UF_HOY)*DATEDIF(E33,FQ_FECHA+1,"m"),0)),0))</f>
        <v/>
      </c>
      <c r="Q33" s="85" t="str">
        <f aca="false">IF(G33&lt;&gt;"Sí","",M33+N33+O33+P33)</f>
        <v/>
      </c>
      <c r="R33" s="85" t="str">
        <f aca="false">IF(G33&lt;&gt;"Sí","",M33)</f>
        <v/>
      </c>
      <c r="S33" s="85" t="str">
        <f aca="false">IF(U33="","",IF(INDEX(CC_ESTADOC,24)="Renovación registrada","",ROUND(MAX(0,IF(U33&lt;=0,0,WORKDAY(F33,INT(U33),FERIADOS)-F33+(U33-INT(U33))))*V33,0)+IF(D33="Obra o faena",ROUND(OBRA_DIAS*K33/30*(DATEDIF(E33,F33+1,"m")+IF(F33+1-EDATE(E33,DATEDIF(E33,F33+1,"m"))&gt;15,1,0)),0),0)))</f>
        <v/>
      </c>
      <c r="T33" s="70" t="str">
        <f aca="false">IF(G33&lt;&gt;"Sí","",IF(D33="Plazo fijo","Despido antes del vencimiento: además existe riesgo de demanda por las remuneraciones hasta el término del plazo",IF(D33="Obra o faena","Al concluir la obra corresponde indemnización de 2,5 días por mes (incluida en la columna S); no IAS",IF(I33=0,"Menos de 1 año: no corresponde IAS (Art. 163)",IF(I33=TOPE_IAS_ANIOS,"IAS en el tope de 11 años","")))))</f>
        <v/>
      </c>
      <c r="U33" s="95" t="str">
        <f aca="false">IF(OR(G33&lt;&gt;"Sí",NOT(ISNUMBER(F33))),"",IF(F33&lt;FQ_FECHA,"",(1.25*(DATEDIF(E33,F33+1,"m")+(F33+1-EDATE(E33,DATEDIF(E33,F33+1,"m")))/30)+SUMPRODUCT((ANIOS&lt;=DATEDIF(E33,F33+1,"y"))*(X33+ANIOS-10&gt;0)*INT((X33+ANIOS-10)/3))-(SUMIFS(V_DIAS,V_ID,B33,V_INICIO,"&lt;="&amp;F33)+Y33))))</f>
        <v/>
      </c>
      <c r="V33" s="71" t="str">
        <f aca="false">IF(G33&lt;&gt;"Sí","",(N(INDEX(T_SUELDO,24))+N(INDEX(T_BONO,24)))/30)</f>
        <v/>
      </c>
      <c r="W33" s="71" t="str">
        <f aca="false">IF(G33&lt;&gt;"Sí","",N(INDEX(T_SUELDO,24))+N(INDEX(T_BONO,24))+IF(LEFT(INDEX(T_GRAT,24)&amp;"",6)="Art. 5",MIN(GRAT_PCT*(N(INDEX(T_SUELDO,24))+N(INDEX(T_BONO,24))),GRAT_TOPE_MES),0))</f>
        <v/>
      </c>
      <c r="X33" s="72" t="str">
        <f aca="false">IF(B33="","",MIN(10,N(INDEX(T_PREV,24))))</f>
        <v/>
      </c>
      <c r="Y33" s="72" t="str">
        <f aca="false">IF(B33="","",N(INDEX(T_VACPREV,24)))</f>
        <v/>
      </c>
      <c r="Z33" s="75" t="str">
        <f aca="false">IF(B33="","",N(INDEX(T_EGRESO,24)))</f>
        <v/>
      </c>
    </row>
    <row r="34" customFormat="false" ht="15" hidden="false" customHeight="false" outlineLevel="0" collapsed="false">
      <c r="B34" s="70" t="str">
        <f aca="false">IFERROR(IF(INDEX(T_ID,25)="","",INDEX(T_ID,25)),"")</f>
        <v/>
      </c>
      <c r="C34" s="70" t="str">
        <f aca="false">IF(B34="","",INDEX(T_NOMBRE,25)&amp;"")</f>
        <v/>
      </c>
      <c r="D34" s="70" t="str">
        <f aca="false">IF(B34="","",INDEX(T_TIPO,25)&amp;"")</f>
        <v/>
      </c>
      <c r="E34" s="75" t="str">
        <f aca="false">IF(B34="","",INDEX(T_INGRESO,25))</f>
        <v/>
      </c>
      <c r="F34" s="75" t="str">
        <f aca="false">IF(B34="","",IF(ISNUMBER(INDEX(CC_VENCE,25)),INDEX(CC_VENCE,25),""))</f>
        <v/>
      </c>
      <c r="G34" s="70" t="str">
        <f aca="false">IF(OR(B34="",NOT(ISNUMBER(E34))),"",IF(AND(E34&lt;=FQ_FECHA,OR(Z34=0,Z34&gt;=FQ_FECHA)),"Sí","No"))</f>
        <v/>
      </c>
      <c r="H34" s="94" t="str">
        <f aca="false">IF(G34&lt;&gt;"Sí","",ROUND((FQ_FECHA+1-E34)/365.25,1))</f>
        <v/>
      </c>
      <c r="I34" s="73" t="str">
        <f aca="false">IF(G34&lt;&gt;"Sí","",IF(DATEDIF(E34,FQ_FECHA+1,"y")&lt;1,0,MIN(TOPE_IAS_ANIOS,DATEDIF(E34,FQ_FECHA+1,"y")+IF(EDATE(E34,12*DATEDIF(E34,FQ_FECHA+1,"y")+6)&lt;FQ_FECHA+1,1,0))))</f>
        <v/>
      </c>
      <c r="J34" s="71" t="str">
        <f aca="false">IF(G34&lt;&gt;"Sí","",W34+N(INDEX(T_COL,25))+N(INDEX(T_MOV,25)))</f>
        <v/>
      </c>
      <c r="K34" s="71" t="str">
        <f aca="false">IF(G34&lt;&gt;"Sí","",MIN(J34,TOPE_IAS_UF*UF_HOY))</f>
        <v/>
      </c>
      <c r="L34" s="95" t="str">
        <f aca="false">IF(G34&lt;&gt;"Sí","",(1.25*(DATEDIF(E34,FQ_FECHA+1,"m")+(FQ_FECHA+1-EDATE(E34,DATEDIF(E34,FQ_FECHA+1,"m")))/30)+SUMPRODUCT((ANIOS&lt;=DATEDIF(E34,FQ_FECHA+1,"y"))*(X34+ANIOS-10&gt;0)*INT((X34+ANIOS-10)/3))-(SUMIFS(V_DIAS,V_ID,B34,V_INICIO,"&lt;="&amp;FQ_FECHA)+Y34)))</f>
        <v/>
      </c>
      <c r="M34" s="71" t="str">
        <f aca="false">IF(G34&lt;&gt;"Sí","",ROUND(MAX(0,IF(L34&lt;=0,0,WORKDAY(FQ_FECHA,INT(L34),FERIADOS)-FQ_FECHA+(L34-INT(L34))))*V34,0))</f>
        <v/>
      </c>
      <c r="N34" s="71" t="str">
        <f aca="false">IF(G34&lt;&gt;"Sí","",IF(D34="Obra o faena",0,ROUND(K34*I34,0)))</f>
        <v/>
      </c>
      <c r="O34" s="71" t="str">
        <f aca="false">IF(G34&lt;&gt;"Sí","",IF(OR(D34="Obra o faena",FQ_AVISO="Sí"),0,ROUND(K34,0)))</f>
        <v/>
      </c>
      <c r="P34" s="71" t="str">
        <f aca="false">IF(G34&lt;&gt;"Sí","",IF(AND(IMPUTAR_AFC="Sí",N34&gt;0),-MIN(N34,ROUND(AFC_IMPUTABLE_PCT*MIN(W34,TOPE_AFC_UF*UF_HOY)*DATEDIF(E34,FQ_FECHA+1,"m"),0)),0))</f>
        <v/>
      </c>
      <c r="Q34" s="85" t="str">
        <f aca="false">IF(G34&lt;&gt;"Sí","",M34+N34+O34+P34)</f>
        <v/>
      </c>
      <c r="R34" s="85" t="str">
        <f aca="false">IF(G34&lt;&gt;"Sí","",M34)</f>
        <v/>
      </c>
      <c r="S34" s="85" t="str">
        <f aca="false">IF(U34="","",IF(INDEX(CC_ESTADOC,25)="Renovación registrada","",ROUND(MAX(0,IF(U34&lt;=0,0,WORKDAY(F34,INT(U34),FERIADOS)-F34+(U34-INT(U34))))*V34,0)+IF(D34="Obra o faena",ROUND(OBRA_DIAS*K34/30*(DATEDIF(E34,F34+1,"m")+IF(F34+1-EDATE(E34,DATEDIF(E34,F34+1,"m"))&gt;15,1,0)),0),0)))</f>
        <v/>
      </c>
      <c r="T34" s="70" t="str">
        <f aca="false">IF(G34&lt;&gt;"Sí","",IF(D34="Plazo fijo","Despido antes del vencimiento: además existe riesgo de demanda por las remuneraciones hasta el término del plazo",IF(D34="Obra o faena","Al concluir la obra corresponde indemnización de 2,5 días por mes (incluida en la columna S); no IAS",IF(I34=0,"Menos de 1 año: no corresponde IAS (Art. 163)",IF(I34=TOPE_IAS_ANIOS,"IAS en el tope de 11 años","")))))</f>
        <v/>
      </c>
      <c r="U34" s="95" t="str">
        <f aca="false">IF(OR(G34&lt;&gt;"Sí",NOT(ISNUMBER(F34))),"",IF(F34&lt;FQ_FECHA,"",(1.25*(DATEDIF(E34,F34+1,"m")+(F34+1-EDATE(E34,DATEDIF(E34,F34+1,"m")))/30)+SUMPRODUCT((ANIOS&lt;=DATEDIF(E34,F34+1,"y"))*(X34+ANIOS-10&gt;0)*INT((X34+ANIOS-10)/3))-(SUMIFS(V_DIAS,V_ID,B34,V_INICIO,"&lt;="&amp;F34)+Y34))))</f>
        <v/>
      </c>
      <c r="V34" s="71" t="str">
        <f aca="false">IF(G34&lt;&gt;"Sí","",(N(INDEX(T_SUELDO,25))+N(INDEX(T_BONO,25)))/30)</f>
        <v/>
      </c>
      <c r="W34" s="71" t="str">
        <f aca="false">IF(G34&lt;&gt;"Sí","",N(INDEX(T_SUELDO,25))+N(INDEX(T_BONO,25))+IF(LEFT(INDEX(T_GRAT,25)&amp;"",6)="Art. 5",MIN(GRAT_PCT*(N(INDEX(T_SUELDO,25))+N(INDEX(T_BONO,25))),GRAT_TOPE_MES),0))</f>
        <v/>
      </c>
      <c r="X34" s="72" t="str">
        <f aca="false">IF(B34="","",MIN(10,N(INDEX(T_PREV,25))))</f>
        <v/>
      </c>
      <c r="Y34" s="72" t="str">
        <f aca="false">IF(B34="","",N(INDEX(T_VACPREV,25)))</f>
        <v/>
      </c>
      <c r="Z34" s="75" t="str">
        <f aca="false">IF(B34="","",N(INDEX(T_EGRESO,25)))</f>
        <v/>
      </c>
    </row>
    <row r="35" customFormat="false" ht="15" hidden="false" customHeight="false" outlineLevel="0" collapsed="false">
      <c r="B35" s="70" t="str">
        <f aca="false">IFERROR(IF(INDEX(T_ID,26)="","",INDEX(T_ID,26)),"")</f>
        <v/>
      </c>
      <c r="C35" s="70" t="str">
        <f aca="false">IF(B35="","",INDEX(T_NOMBRE,26)&amp;"")</f>
        <v/>
      </c>
      <c r="D35" s="70" t="str">
        <f aca="false">IF(B35="","",INDEX(T_TIPO,26)&amp;"")</f>
        <v/>
      </c>
      <c r="E35" s="75" t="str">
        <f aca="false">IF(B35="","",INDEX(T_INGRESO,26))</f>
        <v/>
      </c>
      <c r="F35" s="75" t="str">
        <f aca="false">IF(B35="","",IF(ISNUMBER(INDEX(CC_VENCE,26)),INDEX(CC_VENCE,26),""))</f>
        <v/>
      </c>
      <c r="G35" s="70" t="str">
        <f aca="false">IF(OR(B35="",NOT(ISNUMBER(E35))),"",IF(AND(E35&lt;=FQ_FECHA,OR(Z35=0,Z35&gt;=FQ_FECHA)),"Sí","No"))</f>
        <v/>
      </c>
      <c r="H35" s="94" t="str">
        <f aca="false">IF(G35&lt;&gt;"Sí","",ROUND((FQ_FECHA+1-E35)/365.25,1))</f>
        <v/>
      </c>
      <c r="I35" s="73" t="str">
        <f aca="false">IF(G35&lt;&gt;"Sí","",IF(DATEDIF(E35,FQ_FECHA+1,"y")&lt;1,0,MIN(TOPE_IAS_ANIOS,DATEDIF(E35,FQ_FECHA+1,"y")+IF(EDATE(E35,12*DATEDIF(E35,FQ_FECHA+1,"y")+6)&lt;FQ_FECHA+1,1,0))))</f>
        <v/>
      </c>
      <c r="J35" s="71" t="str">
        <f aca="false">IF(G35&lt;&gt;"Sí","",W35+N(INDEX(T_COL,26))+N(INDEX(T_MOV,26)))</f>
        <v/>
      </c>
      <c r="K35" s="71" t="str">
        <f aca="false">IF(G35&lt;&gt;"Sí","",MIN(J35,TOPE_IAS_UF*UF_HOY))</f>
        <v/>
      </c>
      <c r="L35" s="95" t="str">
        <f aca="false">IF(G35&lt;&gt;"Sí","",(1.25*(DATEDIF(E35,FQ_FECHA+1,"m")+(FQ_FECHA+1-EDATE(E35,DATEDIF(E35,FQ_FECHA+1,"m")))/30)+SUMPRODUCT((ANIOS&lt;=DATEDIF(E35,FQ_FECHA+1,"y"))*(X35+ANIOS-10&gt;0)*INT((X35+ANIOS-10)/3))-(SUMIFS(V_DIAS,V_ID,B35,V_INICIO,"&lt;="&amp;FQ_FECHA)+Y35)))</f>
        <v/>
      </c>
      <c r="M35" s="71" t="str">
        <f aca="false">IF(G35&lt;&gt;"Sí","",ROUND(MAX(0,IF(L35&lt;=0,0,WORKDAY(FQ_FECHA,INT(L35),FERIADOS)-FQ_FECHA+(L35-INT(L35))))*V35,0))</f>
        <v/>
      </c>
      <c r="N35" s="71" t="str">
        <f aca="false">IF(G35&lt;&gt;"Sí","",IF(D35="Obra o faena",0,ROUND(K35*I35,0)))</f>
        <v/>
      </c>
      <c r="O35" s="71" t="str">
        <f aca="false">IF(G35&lt;&gt;"Sí","",IF(OR(D35="Obra o faena",FQ_AVISO="Sí"),0,ROUND(K35,0)))</f>
        <v/>
      </c>
      <c r="P35" s="71" t="str">
        <f aca="false">IF(G35&lt;&gt;"Sí","",IF(AND(IMPUTAR_AFC="Sí",N35&gt;0),-MIN(N35,ROUND(AFC_IMPUTABLE_PCT*MIN(W35,TOPE_AFC_UF*UF_HOY)*DATEDIF(E35,FQ_FECHA+1,"m"),0)),0))</f>
        <v/>
      </c>
      <c r="Q35" s="85" t="str">
        <f aca="false">IF(G35&lt;&gt;"Sí","",M35+N35+O35+P35)</f>
        <v/>
      </c>
      <c r="R35" s="85" t="str">
        <f aca="false">IF(G35&lt;&gt;"Sí","",M35)</f>
        <v/>
      </c>
      <c r="S35" s="85" t="str">
        <f aca="false">IF(U35="","",IF(INDEX(CC_ESTADOC,26)="Renovación registrada","",ROUND(MAX(0,IF(U35&lt;=0,0,WORKDAY(F35,INT(U35),FERIADOS)-F35+(U35-INT(U35))))*V35,0)+IF(D35="Obra o faena",ROUND(OBRA_DIAS*K35/30*(DATEDIF(E35,F35+1,"m")+IF(F35+1-EDATE(E35,DATEDIF(E35,F35+1,"m"))&gt;15,1,0)),0),0)))</f>
        <v/>
      </c>
      <c r="T35" s="70" t="str">
        <f aca="false">IF(G35&lt;&gt;"Sí","",IF(D35="Plazo fijo","Despido antes del vencimiento: además existe riesgo de demanda por las remuneraciones hasta el término del plazo",IF(D35="Obra o faena","Al concluir la obra corresponde indemnización de 2,5 días por mes (incluida en la columna S); no IAS",IF(I35=0,"Menos de 1 año: no corresponde IAS (Art. 163)",IF(I35=TOPE_IAS_ANIOS,"IAS en el tope de 11 años","")))))</f>
        <v/>
      </c>
      <c r="U35" s="95" t="str">
        <f aca="false">IF(OR(G35&lt;&gt;"Sí",NOT(ISNUMBER(F35))),"",IF(F35&lt;FQ_FECHA,"",(1.25*(DATEDIF(E35,F35+1,"m")+(F35+1-EDATE(E35,DATEDIF(E35,F35+1,"m")))/30)+SUMPRODUCT((ANIOS&lt;=DATEDIF(E35,F35+1,"y"))*(X35+ANIOS-10&gt;0)*INT((X35+ANIOS-10)/3))-(SUMIFS(V_DIAS,V_ID,B35,V_INICIO,"&lt;="&amp;F35)+Y35))))</f>
        <v/>
      </c>
      <c r="V35" s="71" t="str">
        <f aca="false">IF(G35&lt;&gt;"Sí","",(N(INDEX(T_SUELDO,26))+N(INDEX(T_BONO,26)))/30)</f>
        <v/>
      </c>
      <c r="W35" s="71" t="str">
        <f aca="false">IF(G35&lt;&gt;"Sí","",N(INDEX(T_SUELDO,26))+N(INDEX(T_BONO,26))+IF(LEFT(INDEX(T_GRAT,26)&amp;"",6)="Art. 5",MIN(GRAT_PCT*(N(INDEX(T_SUELDO,26))+N(INDEX(T_BONO,26))),GRAT_TOPE_MES),0))</f>
        <v/>
      </c>
      <c r="X35" s="72" t="str">
        <f aca="false">IF(B35="","",MIN(10,N(INDEX(T_PREV,26))))</f>
        <v/>
      </c>
      <c r="Y35" s="72" t="str">
        <f aca="false">IF(B35="","",N(INDEX(T_VACPREV,26)))</f>
        <v/>
      </c>
      <c r="Z35" s="75" t="str">
        <f aca="false">IF(B35="","",N(INDEX(T_EGRESO,26)))</f>
        <v/>
      </c>
    </row>
    <row r="36" customFormat="false" ht="15" hidden="false" customHeight="false" outlineLevel="0" collapsed="false">
      <c r="B36" s="70" t="str">
        <f aca="false">IFERROR(IF(INDEX(T_ID,27)="","",INDEX(T_ID,27)),"")</f>
        <v/>
      </c>
      <c r="C36" s="70" t="str">
        <f aca="false">IF(B36="","",INDEX(T_NOMBRE,27)&amp;"")</f>
        <v/>
      </c>
      <c r="D36" s="70" t="str">
        <f aca="false">IF(B36="","",INDEX(T_TIPO,27)&amp;"")</f>
        <v/>
      </c>
      <c r="E36" s="75" t="str">
        <f aca="false">IF(B36="","",INDEX(T_INGRESO,27))</f>
        <v/>
      </c>
      <c r="F36" s="75" t="str">
        <f aca="false">IF(B36="","",IF(ISNUMBER(INDEX(CC_VENCE,27)),INDEX(CC_VENCE,27),""))</f>
        <v/>
      </c>
      <c r="G36" s="70" t="str">
        <f aca="false">IF(OR(B36="",NOT(ISNUMBER(E36))),"",IF(AND(E36&lt;=FQ_FECHA,OR(Z36=0,Z36&gt;=FQ_FECHA)),"Sí","No"))</f>
        <v/>
      </c>
      <c r="H36" s="94" t="str">
        <f aca="false">IF(G36&lt;&gt;"Sí","",ROUND((FQ_FECHA+1-E36)/365.25,1))</f>
        <v/>
      </c>
      <c r="I36" s="73" t="str">
        <f aca="false">IF(G36&lt;&gt;"Sí","",IF(DATEDIF(E36,FQ_FECHA+1,"y")&lt;1,0,MIN(TOPE_IAS_ANIOS,DATEDIF(E36,FQ_FECHA+1,"y")+IF(EDATE(E36,12*DATEDIF(E36,FQ_FECHA+1,"y")+6)&lt;FQ_FECHA+1,1,0))))</f>
        <v/>
      </c>
      <c r="J36" s="71" t="str">
        <f aca="false">IF(G36&lt;&gt;"Sí","",W36+N(INDEX(T_COL,27))+N(INDEX(T_MOV,27)))</f>
        <v/>
      </c>
      <c r="K36" s="71" t="str">
        <f aca="false">IF(G36&lt;&gt;"Sí","",MIN(J36,TOPE_IAS_UF*UF_HOY))</f>
        <v/>
      </c>
      <c r="L36" s="95" t="str">
        <f aca="false">IF(G36&lt;&gt;"Sí","",(1.25*(DATEDIF(E36,FQ_FECHA+1,"m")+(FQ_FECHA+1-EDATE(E36,DATEDIF(E36,FQ_FECHA+1,"m")))/30)+SUMPRODUCT((ANIOS&lt;=DATEDIF(E36,FQ_FECHA+1,"y"))*(X36+ANIOS-10&gt;0)*INT((X36+ANIOS-10)/3))-(SUMIFS(V_DIAS,V_ID,B36,V_INICIO,"&lt;="&amp;FQ_FECHA)+Y36)))</f>
        <v/>
      </c>
      <c r="M36" s="71" t="str">
        <f aca="false">IF(G36&lt;&gt;"Sí","",ROUND(MAX(0,IF(L36&lt;=0,0,WORKDAY(FQ_FECHA,INT(L36),FERIADOS)-FQ_FECHA+(L36-INT(L36))))*V36,0))</f>
        <v/>
      </c>
      <c r="N36" s="71" t="str">
        <f aca="false">IF(G36&lt;&gt;"Sí","",IF(D36="Obra o faena",0,ROUND(K36*I36,0)))</f>
        <v/>
      </c>
      <c r="O36" s="71" t="str">
        <f aca="false">IF(G36&lt;&gt;"Sí","",IF(OR(D36="Obra o faena",FQ_AVISO="Sí"),0,ROUND(K36,0)))</f>
        <v/>
      </c>
      <c r="P36" s="71" t="str">
        <f aca="false">IF(G36&lt;&gt;"Sí","",IF(AND(IMPUTAR_AFC="Sí",N36&gt;0),-MIN(N36,ROUND(AFC_IMPUTABLE_PCT*MIN(W36,TOPE_AFC_UF*UF_HOY)*DATEDIF(E36,FQ_FECHA+1,"m"),0)),0))</f>
        <v/>
      </c>
      <c r="Q36" s="85" t="str">
        <f aca="false">IF(G36&lt;&gt;"Sí","",M36+N36+O36+P36)</f>
        <v/>
      </c>
      <c r="R36" s="85" t="str">
        <f aca="false">IF(G36&lt;&gt;"Sí","",M36)</f>
        <v/>
      </c>
      <c r="S36" s="85" t="str">
        <f aca="false">IF(U36="","",IF(INDEX(CC_ESTADOC,27)="Renovación registrada","",ROUND(MAX(0,IF(U36&lt;=0,0,WORKDAY(F36,INT(U36),FERIADOS)-F36+(U36-INT(U36))))*V36,0)+IF(D36="Obra o faena",ROUND(OBRA_DIAS*K36/30*(DATEDIF(E36,F36+1,"m")+IF(F36+1-EDATE(E36,DATEDIF(E36,F36+1,"m"))&gt;15,1,0)),0),0)))</f>
        <v/>
      </c>
      <c r="T36" s="70" t="str">
        <f aca="false">IF(G36&lt;&gt;"Sí","",IF(D36="Plazo fijo","Despido antes del vencimiento: además existe riesgo de demanda por las remuneraciones hasta el término del plazo",IF(D36="Obra o faena","Al concluir la obra corresponde indemnización de 2,5 días por mes (incluida en la columna S); no IAS",IF(I36=0,"Menos de 1 año: no corresponde IAS (Art. 163)",IF(I36=TOPE_IAS_ANIOS,"IAS en el tope de 11 años","")))))</f>
        <v/>
      </c>
      <c r="U36" s="95" t="str">
        <f aca="false">IF(OR(G36&lt;&gt;"Sí",NOT(ISNUMBER(F36))),"",IF(F36&lt;FQ_FECHA,"",(1.25*(DATEDIF(E36,F36+1,"m")+(F36+1-EDATE(E36,DATEDIF(E36,F36+1,"m")))/30)+SUMPRODUCT((ANIOS&lt;=DATEDIF(E36,F36+1,"y"))*(X36+ANIOS-10&gt;0)*INT((X36+ANIOS-10)/3))-(SUMIFS(V_DIAS,V_ID,B36,V_INICIO,"&lt;="&amp;F36)+Y36))))</f>
        <v/>
      </c>
      <c r="V36" s="71" t="str">
        <f aca="false">IF(G36&lt;&gt;"Sí","",(N(INDEX(T_SUELDO,27))+N(INDEX(T_BONO,27)))/30)</f>
        <v/>
      </c>
      <c r="W36" s="71" t="str">
        <f aca="false">IF(G36&lt;&gt;"Sí","",N(INDEX(T_SUELDO,27))+N(INDEX(T_BONO,27))+IF(LEFT(INDEX(T_GRAT,27)&amp;"",6)="Art. 5",MIN(GRAT_PCT*(N(INDEX(T_SUELDO,27))+N(INDEX(T_BONO,27))),GRAT_TOPE_MES),0))</f>
        <v/>
      </c>
      <c r="X36" s="72" t="str">
        <f aca="false">IF(B36="","",MIN(10,N(INDEX(T_PREV,27))))</f>
        <v/>
      </c>
      <c r="Y36" s="72" t="str">
        <f aca="false">IF(B36="","",N(INDEX(T_VACPREV,27)))</f>
        <v/>
      </c>
      <c r="Z36" s="75" t="str">
        <f aca="false">IF(B36="","",N(INDEX(T_EGRESO,27)))</f>
        <v/>
      </c>
    </row>
    <row r="37" customFormat="false" ht="15" hidden="false" customHeight="false" outlineLevel="0" collapsed="false">
      <c r="B37" s="70" t="str">
        <f aca="false">IFERROR(IF(INDEX(T_ID,28)="","",INDEX(T_ID,28)),"")</f>
        <v/>
      </c>
      <c r="C37" s="70" t="str">
        <f aca="false">IF(B37="","",INDEX(T_NOMBRE,28)&amp;"")</f>
        <v/>
      </c>
      <c r="D37" s="70" t="str">
        <f aca="false">IF(B37="","",INDEX(T_TIPO,28)&amp;"")</f>
        <v/>
      </c>
      <c r="E37" s="75" t="str">
        <f aca="false">IF(B37="","",INDEX(T_INGRESO,28))</f>
        <v/>
      </c>
      <c r="F37" s="75" t="str">
        <f aca="false">IF(B37="","",IF(ISNUMBER(INDEX(CC_VENCE,28)),INDEX(CC_VENCE,28),""))</f>
        <v/>
      </c>
      <c r="G37" s="70" t="str">
        <f aca="false">IF(OR(B37="",NOT(ISNUMBER(E37))),"",IF(AND(E37&lt;=FQ_FECHA,OR(Z37=0,Z37&gt;=FQ_FECHA)),"Sí","No"))</f>
        <v/>
      </c>
      <c r="H37" s="94" t="str">
        <f aca="false">IF(G37&lt;&gt;"Sí","",ROUND((FQ_FECHA+1-E37)/365.25,1))</f>
        <v/>
      </c>
      <c r="I37" s="73" t="str">
        <f aca="false">IF(G37&lt;&gt;"Sí","",IF(DATEDIF(E37,FQ_FECHA+1,"y")&lt;1,0,MIN(TOPE_IAS_ANIOS,DATEDIF(E37,FQ_FECHA+1,"y")+IF(EDATE(E37,12*DATEDIF(E37,FQ_FECHA+1,"y")+6)&lt;FQ_FECHA+1,1,0))))</f>
        <v/>
      </c>
      <c r="J37" s="71" t="str">
        <f aca="false">IF(G37&lt;&gt;"Sí","",W37+N(INDEX(T_COL,28))+N(INDEX(T_MOV,28)))</f>
        <v/>
      </c>
      <c r="K37" s="71" t="str">
        <f aca="false">IF(G37&lt;&gt;"Sí","",MIN(J37,TOPE_IAS_UF*UF_HOY))</f>
        <v/>
      </c>
      <c r="L37" s="95" t="str">
        <f aca="false">IF(G37&lt;&gt;"Sí","",(1.25*(DATEDIF(E37,FQ_FECHA+1,"m")+(FQ_FECHA+1-EDATE(E37,DATEDIF(E37,FQ_FECHA+1,"m")))/30)+SUMPRODUCT((ANIOS&lt;=DATEDIF(E37,FQ_FECHA+1,"y"))*(X37+ANIOS-10&gt;0)*INT((X37+ANIOS-10)/3))-(SUMIFS(V_DIAS,V_ID,B37,V_INICIO,"&lt;="&amp;FQ_FECHA)+Y37)))</f>
        <v/>
      </c>
      <c r="M37" s="71" t="str">
        <f aca="false">IF(G37&lt;&gt;"Sí","",ROUND(MAX(0,IF(L37&lt;=0,0,WORKDAY(FQ_FECHA,INT(L37),FERIADOS)-FQ_FECHA+(L37-INT(L37))))*V37,0))</f>
        <v/>
      </c>
      <c r="N37" s="71" t="str">
        <f aca="false">IF(G37&lt;&gt;"Sí","",IF(D37="Obra o faena",0,ROUND(K37*I37,0)))</f>
        <v/>
      </c>
      <c r="O37" s="71" t="str">
        <f aca="false">IF(G37&lt;&gt;"Sí","",IF(OR(D37="Obra o faena",FQ_AVISO="Sí"),0,ROUND(K37,0)))</f>
        <v/>
      </c>
      <c r="P37" s="71" t="str">
        <f aca="false">IF(G37&lt;&gt;"Sí","",IF(AND(IMPUTAR_AFC="Sí",N37&gt;0),-MIN(N37,ROUND(AFC_IMPUTABLE_PCT*MIN(W37,TOPE_AFC_UF*UF_HOY)*DATEDIF(E37,FQ_FECHA+1,"m"),0)),0))</f>
        <v/>
      </c>
      <c r="Q37" s="85" t="str">
        <f aca="false">IF(G37&lt;&gt;"Sí","",M37+N37+O37+P37)</f>
        <v/>
      </c>
      <c r="R37" s="85" t="str">
        <f aca="false">IF(G37&lt;&gt;"Sí","",M37)</f>
        <v/>
      </c>
      <c r="S37" s="85" t="str">
        <f aca="false">IF(U37="","",IF(INDEX(CC_ESTADOC,28)="Renovación registrada","",ROUND(MAX(0,IF(U37&lt;=0,0,WORKDAY(F37,INT(U37),FERIADOS)-F37+(U37-INT(U37))))*V37,0)+IF(D37="Obra o faena",ROUND(OBRA_DIAS*K37/30*(DATEDIF(E37,F37+1,"m")+IF(F37+1-EDATE(E37,DATEDIF(E37,F37+1,"m"))&gt;15,1,0)),0),0)))</f>
        <v/>
      </c>
      <c r="T37" s="70" t="str">
        <f aca="false">IF(G37&lt;&gt;"Sí","",IF(D37="Plazo fijo","Despido antes del vencimiento: además existe riesgo de demanda por las remuneraciones hasta el término del plazo",IF(D37="Obra o faena","Al concluir la obra corresponde indemnización de 2,5 días por mes (incluida en la columna S); no IAS",IF(I37=0,"Menos de 1 año: no corresponde IAS (Art. 163)",IF(I37=TOPE_IAS_ANIOS,"IAS en el tope de 11 años","")))))</f>
        <v/>
      </c>
      <c r="U37" s="95" t="str">
        <f aca="false">IF(OR(G37&lt;&gt;"Sí",NOT(ISNUMBER(F37))),"",IF(F37&lt;FQ_FECHA,"",(1.25*(DATEDIF(E37,F37+1,"m")+(F37+1-EDATE(E37,DATEDIF(E37,F37+1,"m")))/30)+SUMPRODUCT((ANIOS&lt;=DATEDIF(E37,F37+1,"y"))*(X37+ANIOS-10&gt;0)*INT((X37+ANIOS-10)/3))-(SUMIFS(V_DIAS,V_ID,B37,V_INICIO,"&lt;="&amp;F37)+Y37))))</f>
        <v/>
      </c>
      <c r="V37" s="71" t="str">
        <f aca="false">IF(G37&lt;&gt;"Sí","",(N(INDEX(T_SUELDO,28))+N(INDEX(T_BONO,28)))/30)</f>
        <v/>
      </c>
      <c r="W37" s="71" t="str">
        <f aca="false">IF(G37&lt;&gt;"Sí","",N(INDEX(T_SUELDO,28))+N(INDEX(T_BONO,28))+IF(LEFT(INDEX(T_GRAT,28)&amp;"",6)="Art. 5",MIN(GRAT_PCT*(N(INDEX(T_SUELDO,28))+N(INDEX(T_BONO,28))),GRAT_TOPE_MES),0))</f>
        <v/>
      </c>
      <c r="X37" s="72" t="str">
        <f aca="false">IF(B37="","",MIN(10,N(INDEX(T_PREV,28))))</f>
        <v/>
      </c>
      <c r="Y37" s="72" t="str">
        <f aca="false">IF(B37="","",N(INDEX(T_VACPREV,28)))</f>
        <v/>
      </c>
      <c r="Z37" s="75" t="str">
        <f aca="false">IF(B37="","",N(INDEX(T_EGRESO,28)))</f>
        <v/>
      </c>
    </row>
    <row r="38" customFormat="false" ht="15" hidden="false" customHeight="false" outlineLevel="0" collapsed="false">
      <c r="B38" s="70" t="str">
        <f aca="false">IFERROR(IF(INDEX(T_ID,29)="","",INDEX(T_ID,29)),"")</f>
        <v/>
      </c>
      <c r="C38" s="70" t="str">
        <f aca="false">IF(B38="","",INDEX(T_NOMBRE,29)&amp;"")</f>
        <v/>
      </c>
      <c r="D38" s="70" t="str">
        <f aca="false">IF(B38="","",INDEX(T_TIPO,29)&amp;"")</f>
        <v/>
      </c>
      <c r="E38" s="75" t="str">
        <f aca="false">IF(B38="","",INDEX(T_INGRESO,29))</f>
        <v/>
      </c>
      <c r="F38" s="75" t="str">
        <f aca="false">IF(B38="","",IF(ISNUMBER(INDEX(CC_VENCE,29)),INDEX(CC_VENCE,29),""))</f>
        <v/>
      </c>
      <c r="G38" s="70" t="str">
        <f aca="false">IF(OR(B38="",NOT(ISNUMBER(E38))),"",IF(AND(E38&lt;=FQ_FECHA,OR(Z38=0,Z38&gt;=FQ_FECHA)),"Sí","No"))</f>
        <v/>
      </c>
      <c r="H38" s="94" t="str">
        <f aca="false">IF(G38&lt;&gt;"Sí","",ROUND((FQ_FECHA+1-E38)/365.25,1))</f>
        <v/>
      </c>
      <c r="I38" s="73" t="str">
        <f aca="false">IF(G38&lt;&gt;"Sí","",IF(DATEDIF(E38,FQ_FECHA+1,"y")&lt;1,0,MIN(TOPE_IAS_ANIOS,DATEDIF(E38,FQ_FECHA+1,"y")+IF(EDATE(E38,12*DATEDIF(E38,FQ_FECHA+1,"y")+6)&lt;FQ_FECHA+1,1,0))))</f>
        <v/>
      </c>
      <c r="J38" s="71" t="str">
        <f aca="false">IF(G38&lt;&gt;"Sí","",W38+N(INDEX(T_COL,29))+N(INDEX(T_MOV,29)))</f>
        <v/>
      </c>
      <c r="K38" s="71" t="str">
        <f aca="false">IF(G38&lt;&gt;"Sí","",MIN(J38,TOPE_IAS_UF*UF_HOY))</f>
        <v/>
      </c>
      <c r="L38" s="95" t="str">
        <f aca="false">IF(G38&lt;&gt;"Sí","",(1.25*(DATEDIF(E38,FQ_FECHA+1,"m")+(FQ_FECHA+1-EDATE(E38,DATEDIF(E38,FQ_FECHA+1,"m")))/30)+SUMPRODUCT((ANIOS&lt;=DATEDIF(E38,FQ_FECHA+1,"y"))*(X38+ANIOS-10&gt;0)*INT((X38+ANIOS-10)/3))-(SUMIFS(V_DIAS,V_ID,B38,V_INICIO,"&lt;="&amp;FQ_FECHA)+Y38)))</f>
        <v/>
      </c>
      <c r="M38" s="71" t="str">
        <f aca="false">IF(G38&lt;&gt;"Sí","",ROUND(MAX(0,IF(L38&lt;=0,0,WORKDAY(FQ_FECHA,INT(L38),FERIADOS)-FQ_FECHA+(L38-INT(L38))))*V38,0))</f>
        <v/>
      </c>
      <c r="N38" s="71" t="str">
        <f aca="false">IF(G38&lt;&gt;"Sí","",IF(D38="Obra o faena",0,ROUND(K38*I38,0)))</f>
        <v/>
      </c>
      <c r="O38" s="71" t="str">
        <f aca="false">IF(G38&lt;&gt;"Sí","",IF(OR(D38="Obra o faena",FQ_AVISO="Sí"),0,ROUND(K38,0)))</f>
        <v/>
      </c>
      <c r="P38" s="71" t="str">
        <f aca="false">IF(G38&lt;&gt;"Sí","",IF(AND(IMPUTAR_AFC="Sí",N38&gt;0),-MIN(N38,ROUND(AFC_IMPUTABLE_PCT*MIN(W38,TOPE_AFC_UF*UF_HOY)*DATEDIF(E38,FQ_FECHA+1,"m"),0)),0))</f>
        <v/>
      </c>
      <c r="Q38" s="85" t="str">
        <f aca="false">IF(G38&lt;&gt;"Sí","",M38+N38+O38+P38)</f>
        <v/>
      </c>
      <c r="R38" s="85" t="str">
        <f aca="false">IF(G38&lt;&gt;"Sí","",M38)</f>
        <v/>
      </c>
      <c r="S38" s="85" t="str">
        <f aca="false">IF(U38="","",IF(INDEX(CC_ESTADOC,29)="Renovación registrada","",ROUND(MAX(0,IF(U38&lt;=0,0,WORKDAY(F38,INT(U38),FERIADOS)-F38+(U38-INT(U38))))*V38,0)+IF(D38="Obra o faena",ROUND(OBRA_DIAS*K38/30*(DATEDIF(E38,F38+1,"m")+IF(F38+1-EDATE(E38,DATEDIF(E38,F38+1,"m"))&gt;15,1,0)),0),0)))</f>
        <v/>
      </c>
      <c r="T38" s="70" t="str">
        <f aca="false">IF(G38&lt;&gt;"Sí","",IF(D38="Plazo fijo","Despido antes del vencimiento: además existe riesgo de demanda por las remuneraciones hasta el término del plazo",IF(D38="Obra o faena","Al concluir la obra corresponde indemnización de 2,5 días por mes (incluida en la columna S); no IAS",IF(I38=0,"Menos de 1 año: no corresponde IAS (Art. 163)",IF(I38=TOPE_IAS_ANIOS,"IAS en el tope de 11 años","")))))</f>
        <v/>
      </c>
      <c r="U38" s="95" t="str">
        <f aca="false">IF(OR(G38&lt;&gt;"Sí",NOT(ISNUMBER(F38))),"",IF(F38&lt;FQ_FECHA,"",(1.25*(DATEDIF(E38,F38+1,"m")+(F38+1-EDATE(E38,DATEDIF(E38,F38+1,"m")))/30)+SUMPRODUCT((ANIOS&lt;=DATEDIF(E38,F38+1,"y"))*(X38+ANIOS-10&gt;0)*INT((X38+ANIOS-10)/3))-(SUMIFS(V_DIAS,V_ID,B38,V_INICIO,"&lt;="&amp;F38)+Y38))))</f>
        <v/>
      </c>
      <c r="V38" s="71" t="str">
        <f aca="false">IF(G38&lt;&gt;"Sí","",(N(INDEX(T_SUELDO,29))+N(INDEX(T_BONO,29)))/30)</f>
        <v/>
      </c>
      <c r="W38" s="71" t="str">
        <f aca="false">IF(G38&lt;&gt;"Sí","",N(INDEX(T_SUELDO,29))+N(INDEX(T_BONO,29))+IF(LEFT(INDEX(T_GRAT,29)&amp;"",6)="Art. 5",MIN(GRAT_PCT*(N(INDEX(T_SUELDO,29))+N(INDEX(T_BONO,29))),GRAT_TOPE_MES),0))</f>
        <v/>
      </c>
      <c r="X38" s="72" t="str">
        <f aca="false">IF(B38="","",MIN(10,N(INDEX(T_PREV,29))))</f>
        <v/>
      </c>
      <c r="Y38" s="72" t="str">
        <f aca="false">IF(B38="","",N(INDEX(T_VACPREV,29)))</f>
        <v/>
      </c>
      <c r="Z38" s="75" t="str">
        <f aca="false">IF(B38="","",N(INDEX(T_EGRESO,29)))</f>
        <v/>
      </c>
    </row>
    <row r="39" customFormat="false" ht="15" hidden="false" customHeight="false" outlineLevel="0" collapsed="false">
      <c r="B39" s="70" t="str">
        <f aca="false">IFERROR(IF(INDEX(T_ID,30)="","",INDEX(T_ID,30)),"")</f>
        <v/>
      </c>
      <c r="C39" s="70" t="str">
        <f aca="false">IF(B39="","",INDEX(T_NOMBRE,30)&amp;"")</f>
        <v/>
      </c>
      <c r="D39" s="70" t="str">
        <f aca="false">IF(B39="","",INDEX(T_TIPO,30)&amp;"")</f>
        <v/>
      </c>
      <c r="E39" s="75" t="str">
        <f aca="false">IF(B39="","",INDEX(T_INGRESO,30))</f>
        <v/>
      </c>
      <c r="F39" s="75" t="str">
        <f aca="false">IF(B39="","",IF(ISNUMBER(INDEX(CC_VENCE,30)),INDEX(CC_VENCE,30),""))</f>
        <v/>
      </c>
      <c r="G39" s="70" t="str">
        <f aca="false">IF(OR(B39="",NOT(ISNUMBER(E39))),"",IF(AND(E39&lt;=FQ_FECHA,OR(Z39=0,Z39&gt;=FQ_FECHA)),"Sí","No"))</f>
        <v/>
      </c>
      <c r="H39" s="94" t="str">
        <f aca="false">IF(G39&lt;&gt;"Sí","",ROUND((FQ_FECHA+1-E39)/365.25,1))</f>
        <v/>
      </c>
      <c r="I39" s="73" t="str">
        <f aca="false">IF(G39&lt;&gt;"Sí","",IF(DATEDIF(E39,FQ_FECHA+1,"y")&lt;1,0,MIN(TOPE_IAS_ANIOS,DATEDIF(E39,FQ_FECHA+1,"y")+IF(EDATE(E39,12*DATEDIF(E39,FQ_FECHA+1,"y")+6)&lt;FQ_FECHA+1,1,0))))</f>
        <v/>
      </c>
      <c r="J39" s="71" t="str">
        <f aca="false">IF(G39&lt;&gt;"Sí","",W39+N(INDEX(T_COL,30))+N(INDEX(T_MOV,30)))</f>
        <v/>
      </c>
      <c r="K39" s="71" t="str">
        <f aca="false">IF(G39&lt;&gt;"Sí","",MIN(J39,TOPE_IAS_UF*UF_HOY))</f>
        <v/>
      </c>
      <c r="L39" s="95" t="str">
        <f aca="false">IF(G39&lt;&gt;"Sí","",(1.25*(DATEDIF(E39,FQ_FECHA+1,"m")+(FQ_FECHA+1-EDATE(E39,DATEDIF(E39,FQ_FECHA+1,"m")))/30)+SUMPRODUCT((ANIOS&lt;=DATEDIF(E39,FQ_FECHA+1,"y"))*(X39+ANIOS-10&gt;0)*INT((X39+ANIOS-10)/3))-(SUMIFS(V_DIAS,V_ID,B39,V_INICIO,"&lt;="&amp;FQ_FECHA)+Y39)))</f>
        <v/>
      </c>
      <c r="M39" s="71" t="str">
        <f aca="false">IF(G39&lt;&gt;"Sí","",ROUND(MAX(0,IF(L39&lt;=0,0,WORKDAY(FQ_FECHA,INT(L39),FERIADOS)-FQ_FECHA+(L39-INT(L39))))*V39,0))</f>
        <v/>
      </c>
      <c r="N39" s="71" t="str">
        <f aca="false">IF(G39&lt;&gt;"Sí","",IF(D39="Obra o faena",0,ROUND(K39*I39,0)))</f>
        <v/>
      </c>
      <c r="O39" s="71" t="str">
        <f aca="false">IF(G39&lt;&gt;"Sí","",IF(OR(D39="Obra o faena",FQ_AVISO="Sí"),0,ROUND(K39,0)))</f>
        <v/>
      </c>
      <c r="P39" s="71" t="str">
        <f aca="false">IF(G39&lt;&gt;"Sí","",IF(AND(IMPUTAR_AFC="Sí",N39&gt;0),-MIN(N39,ROUND(AFC_IMPUTABLE_PCT*MIN(W39,TOPE_AFC_UF*UF_HOY)*DATEDIF(E39,FQ_FECHA+1,"m"),0)),0))</f>
        <v/>
      </c>
      <c r="Q39" s="85" t="str">
        <f aca="false">IF(G39&lt;&gt;"Sí","",M39+N39+O39+P39)</f>
        <v/>
      </c>
      <c r="R39" s="85" t="str">
        <f aca="false">IF(G39&lt;&gt;"Sí","",M39)</f>
        <v/>
      </c>
      <c r="S39" s="85" t="str">
        <f aca="false">IF(U39="","",IF(INDEX(CC_ESTADOC,30)="Renovación registrada","",ROUND(MAX(0,IF(U39&lt;=0,0,WORKDAY(F39,INT(U39),FERIADOS)-F39+(U39-INT(U39))))*V39,0)+IF(D39="Obra o faena",ROUND(OBRA_DIAS*K39/30*(DATEDIF(E39,F39+1,"m")+IF(F39+1-EDATE(E39,DATEDIF(E39,F39+1,"m"))&gt;15,1,0)),0),0)))</f>
        <v/>
      </c>
      <c r="T39" s="70" t="str">
        <f aca="false">IF(G39&lt;&gt;"Sí","",IF(D39="Plazo fijo","Despido antes del vencimiento: además existe riesgo de demanda por las remuneraciones hasta el término del plazo",IF(D39="Obra o faena","Al concluir la obra corresponde indemnización de 2,5 días por mes (incluida en la columna S); no IAS",IF(I39=0,"Menos de 1 año: no corresponde IAS (Art. 163)",IF(I39=TOPE_IAS_ANIOS,"IAS en el tope de 11 años","")))))</f>
        <v/>
      </c>
      <c r="U39" s="95" t="str">
        <f aca="false">IF(OR(G39&lt;&gt;"Sí",NOT(ISNUMBER(F39))),"",IF(F39&lt;FQ_FECHA,"",(1.25*(DATEDIF(E39,F39+1,"m")+(F39+1-EDATE(E39,DATEDIF(E39,F39+1,"m")))/30)+SUMPRODUCT((ANIOS&lt;=DATEDIF(E39,F39+1,"y"))*(X39+ANIOS-10&gt;0)*INT((X39+ANIOS-10)/3))-(SUMIFS(V_DIAS,V_ID,B39,V_INICIO,"&lt;="&amp;F39)+Y39))))</f>
        <v/>
      </c>
      <c r="V39" s="71" t="str">
        <f aca="false">IF(G39&lt;&gt;"Sí","",(N(INDEX(T_SUELDO,30))+N(INDEX(T_BONO,30)))/30)</f>
        <v/>
      </c>
      <c r="W39" s="71" t="str">
        <f aca="false">IF(G39&lt;&gt;"Sí","",N(INDEX(T_SUELDO,30))+N(INDEX(T_BONO,30))+IF(LEFT(INDEX(T_GRAT,30)&amp;"",6)="Art. 5",MIN(GRAT_PCT*(N(INDEX(T_SUELDO,30))+N(INDEX(T_BONO,30))),GRAT_TOPE_MES),0))</f>
        <v/>
      </c>
      <c r="X39" s="72" t="str">
        <f aca="false">IF(B39="","",MIN(10,N(INDEX(T_PREV,30))))</f>
        <v/>
      </c>
      <c r="Y39" s="72" t="str">
        <f aca="false">IF(B39="","",N(INDEX(T_VACPREV,30)))</f>
        <v/>
      </c>
      <c r="Z39" s="75" t="str">
        <f aca="false">IF(B39="","",N(INDEX(T_EGRESO,30)))</f>
        <v/>
      </c>
    </row>
    <row r="40" customFormat="false" ht="15" hidden="false" customHeight="false" outlineLevel="0" collapsed="false">
      <c r="B40" s="70" t="str">
        <f aca="false">IFERROR(IF(INDEX(T_ID,31)="","",INDEX(T_ID,31)),"")</f>
        <v/>
      </c>
      <c r="C40" s="70" t="str">
        <f aca="false">IF(B40="","",INDEX(T_NOMBRE,31)&amp;"")</f>
        <v/>
      </c>
      <c r="D40" s="70" t="str">
        <f aca="false">IF(B40="","",INDEX(T_TIPO,31)&amp;"")</f>
        <v/>
      </c>
      <c r="E40" s="75" t="str">
        <f aca="false">IF(B40="","",INDEX(T_INGRESO,31))</f>
        <v/>
      </c>
      <c r="F40" s="75" t="str">
        <f aca="false">IF(B40="","",IF(ISNUMBER(INDEX(CC_VENCE,31)),INDEX(CC_VENCE,31),""))</f>
        <v/>
      </c>
      <c r="G40" s="70" t="str">
        <f aca="false">IF(OR(B40="",NOT(ISNUMBER(E40))),"",IF(AND(E40&lt;=FQ_FECHA,OR(Z40=0,Z40&gt;=FQ_FECHA)),"Sí","No"))</f>
        <v/>
      </c>
      <c r="H40" s="94" t="str">
        <f aca="false">IF(G40&lt;&gt;"Sí","",ROUND((FQ_FECHA+1-E40)/365.25,1))</f>
        <v/>
      </c>
      <c r="I40" s="73" t="str">
        <f aca="false">IF(G40&lt;&gt;"Sí","",IF(DATEDIF(E40,FQ_FECHA+1,"y")&lt;1,0,MIN(TOPE_IAS_ANIOS,DATEDIF(E40,FQ_FECHA+1,"y")+IF(EDATE(E40,12*DATEDIF(E40,FQ_FECHA+1,"y")+6)&lt;FQ_FECHA+1,1,0))))</f>
        <v/>
      </c>
      <c r="J40" s="71" t="str">
        <f aca="false">IF(G40&lt;&gt;"Sí","",W40+N(INDEX(T_COL,31))+N(INDEX(T_MOV,31)))</f>
        <v/>
      </c>
      <c r="K40" s="71" t="str">
        <f aca="false">IF(G40&lt;&gt;"Sí","",MIN(J40,TOPE_IAS_UF*UF_HOY))</f>
        <v/>
      </c>
      <c r="L40" s="95" t="str">
        <f aca="false">IF(G40&lt;&gt;"Sí","",(1.25*(DATEDIF(E40,FQ_FECHA+1,"m")+(FQ_FECHA+1-EDATE(E40,DATEDIF(E40,FQ_FECHA+1,"m")))/30)+SUMPRODUCT((ANIOS&lt;=DATEDIF(E40,FQ_FECHA+1,"y"))*(X40+ANIOS-10&gt;0)*INT((X40+ANIOS-10)/3))-(SUMIFS(V_DIAS,V_ID,B40,V_INICIO,"&lt;="&amp;FQ_FECHA)+Y40)))</f>
        <v/>
      </c>
      <c r="M40" s="71" t="str">
        <f aca="false">IF(G40&lt;&gt;"Sí","",ROUND(MAX(0,IF(L40&lt;=0,0,WORKDAY(FQ_FECHA,INT(L40),FERIADOS)-FQ_FECHA+(L40-INT(L40))))*V40,0))</f>
        <v/>
      </c>
      <c r="N40" s="71" t="str">
        <f aca="false">IF(G40&lt;&gt;"Sí","",IF(D40="Obra o faena",0,ROUND(K40*I40,0)))</f>
        <v/>
      </c>
      <c r="O40" s="71" t="str">
        <f aca="false">IF(G40&lt;&gt;"Sí","",IF(OR(D40="Obra o faena",FQ_AVISO="Sí"),0,ROUND(K40,0)))</f>
        <v/>
      </c>
      <c r="P40" s="71" t="str">
        <f aca="false">IF(G40&lt;&gt;"Sí","",IF(AND(IMPUTAR_AFC="Sí",N40&gt;0),-MIN(N40,ROUND(AFC_IMPUTABLE_PCT*MIN(W40,TOPE_AFC_UF*UF_HOY)*DATEDIF(E40,FQ_FECHA+1,"m"),0)),0))</f>
        <v/>
      </c>
      <c r="Q40" s="85" t="str">
        <f aca="false">IF(G40&lt;&gt;"Sí","",M40+N40+O40+P40)</f>
        <v/>
      </c>
      <c r="R40" s="85" t="str">
        <f aca="false">IF(G40&lt;&gt;"Sí","",M40)</f>
        <v/>
      </c>
      <c r="S40" s="85" t="str">
        <f aca="false">IF(U40="","",IF(INDEX(CC_ESTADOC,31)="Renovación registrada","",ROUND(MAX(0,IF(U40&lt;=0,0,WORKDAY(F40,INT(U40),FERIADOS)-F40+(U40-INT(U40))))*V40,0)+IF(D40="Obra o faena",ROUND(OBRA_DIAS*K40/30*(DATEDIF(E40,F40+1,"m")+IF(F40+1-EDATE(E40,DATEDIF(E40,F40+1,"m"))&gt;15,1,0)),0),0)))</f>
        <v/>
      </c>
      <c r="T40" s="70" t="str">
        <f aca="false">IF(G40&lt;&gt;"Sí","",IF(D40="Plazo fijo","Despido antes del vencimiento: además existe riesgo de demanda por las remuneraciones hasta el término del plazo",IF(D40="Obra o faena","Al concluir la obra corresponde indemnización de 2,5 días por mes (incluida en la columna S); no IAS",IF(I40=0,"Menos de 1 año: no corresponde IAS (Art. 163)",IF(I40=TOPE_IAS_ANIOS,"IAS en el tope de 11 años","")))))</f>
        <v/>
      </c>
      <c r="U40" s="95" t="str">
        <f aca="false">IF(OR(G40&lt;&gt;"Sí",NOT(ISNUMBER(F40))),"",IF(F40&lt;FQ_FECHA,"",(1.25*(DATEDIF(E40,F40+1,"m")+(F40+1-EDATE(E40,DATEDIF(E40,F40+1,"m")))/30)+SUMPRODUCT((ANIOS&lt;=DATEDIF(E40,F40+1,"y"))*(X40+ANIOS-10&gt;0)*INT((X40+ANIOS-10)/3))-(SUMIFS(V_DIAS,V_ID,B40,V_INICIO,"&lt;="&amp;F40)+Y40))))</f>
        <v/>
      </c>
      <c r="V40" s="71" t="str">
        <f aca="false">IF(G40&lt;&gt;"Sí","",(N(INDEX(T_SUELDO,31))+N(INDEX(T_BONO,31)))/30)</f>
        <v/>
      </c>
      <c r="W40" s="71" t="str">
        <f aca="false">IF(G40&lt;&gt;"Sí","",N(INDEX(T_SUELDO,31))+N(INDEX(T_BONO,31))+IF(LEFT(INDEX(T_GRAT,31)&amp;"",6)="Art. 5",MIN(GRAT_PCT*(N(INDEX(T_SUELDO,31))+N(INDEX(T_BONO,31))),GRAT_TOPE_MES),0))</f>
        <v/>
      </c>
      <c r="X40" s="72" t="str">
        <f aca="false">IF(B40="","",MIN(10,N(INDEX(T_PREV,31))))</f>
        <v/>
      </c>
      <c r="Y40" s="72" t="str">
        <f aca="false">IF(B40="","",N(INDEX(T_VACPREV,31)))</f>
        <v/>
      </c>
      <c r="Z40" s="75" t="str">
        <f aca="false">IF(B40="","",N(INDEX(T_EGRESO,31)))</f>
        <v/>
      </c>
    </row>
    <row r="41" customFormat="false" ht="15" hidden="false" customHeight="false" outlineLevel="0" collapsed="false">
      <c r="B41" s="70" t="str">
        <f aca="false">IFERROR(IF(INDEX(T_ID,32)="","",INDEX(T_ID,32)),"")</f>
        <v/>
      </c>
      <c r="C41" s="70" t="str">
        <f aca="false">IF(B41="","",INDEX(T_NOMBRE,32)&amp;"")</f>
        <v/>
      </c>
      <c r="D41" s="70" t="str">
        <f aca="false">IF(B41="","",INDEX(T_TIPO,32)&amp;"")</f>
        <v/>
      </c>
      <c r="E41" s="75" t="str">
        <f aca="false">IF(B41="","",INDEX(T_INGRESO,32))</f>
        <v/>
      </c>
      <c r="F41" s="75" t="str">
        <f aca="false">IF(B41="","",IF(ISNUMBER(INDEX(CC_VENCE,32)),INDEX(CC_VENCE,32),""))</f>
        <v/>
      </c>
      <c r="G41" s="70" t="str">
        <f aca="false">IF(OR(B41="",NOT(ISNUMBER(E41))),"",IF(AND(E41&lt;=FQ_FECHA,OR(Z41=0,Z41&gt;=FQ_FECHA)),"Sí","No"))</f>
        <v/>
      </c>
      <c r="H41" s="94" t="str">
        <f aca="false">IF(G41&lt;&gt;"Sí","",ROUND((FQ_FECHA+1-E41)/365.25,1))</f>
        <v/>
      </c>
      <c r="I41" s="73" t="str">
        <f aca="false">IF(G41&lt;&gt;"Sí","",IF(DATEDIF(E41,FQ_FECHA+1,"y")&lt;1,0,MIN(TOPE_IAS_ANIOS,DATEDIF(E41,FQ_FECHA+1,"y")+IF(EDATE(E41,12*DATEDIF(E41,FQ_FECHA+1,"y")+6)&lt;FQ_FECHA+1,1,0))))</f>
        <v/>
      </c>
      <c r="J41" s="71" t="str">
        <f aca="false">IF(G41&lt;&gt;"Sí","",W41+N(INDEX(T_COL,32))+N(INDEX(T_MOV,32)))</f>
        <v/>
      </c>
      <c r="K41" s="71" t="str">
        <f aca="false">IF(G41&lt;&gt;"Sí","",MIN(J41,TOPE_IAS_UF*UF_HOY))</f>
        <v/>
      </c>
      <c r="L41" s="95" t="str">
        <f aca="false">IF(G41&lt;&gt;"Sí","",(1.25*(DATEDIF(E41,FQ_FECHA+1,"m")+(FQ_FECHA+1-EDATE(E41,DATEDIF(E41,FQ_FECHA+1,"m")))/30)+SUMPRODUCT((ANIOS&lt;=DATEDIF(E41,FQ_FECHA+1,"y"))*(X41+ANIOS-10&gt;0)*INT((X41+ANIOS-10)/3))-(SUMIFS(V_DIAS,V_ID,B41,V_INICIO,"&lt;="&amp;FQ_FECHA)+Y41)))</f>
        <v/>
      </c>
      <c r="M41" s="71" t="str">
        <f aca="false">IF(G41&lt;&gt;"Sí","",ROUND(MAX(0,IF(L41&lt;=0,0,WORKDAY(FQ_FECHA,INT(L41),FERIADOS)-FQ_FECHA+(L41-INT(L41))))*V41,0))</f>
        <v/>
      </c>
      <c r="N41" s="71" t="str">
        <f aca="false">IF(G41&lt;&gt;"Sí","",IF(D41="Obra o faena",0,ROUND(K41*I41,0)))</f>
        <v/>
      </c>
      <c r="O41" s="71" t="str">
        <f aca="false">IF(G41&lt;&gt;"Sí","",IF(OR(D41="Obra o faena",FQ_AVISO="Sí"),0,ROUND(K41,0)))</f>
        <v/>
      </c>
      <c r="P41" s="71" t="str">
        <f aca="false">IF(G41&lt;&gt;"Sí","",IF(AND(IMPUTAR_AFC="Sí",N41&gt;0),-MIN(N41,ROUND(AFC_IMPUTABLE_PCT*MIN(W41,TOPE_AFC_UF*UF_HOY)*DATEDIF(E41,FQ_FECHA+1,"m"),0)),0))</f>
        <v/>
      </c>
      <c r="Q41" s="85" t="str">
        <f aca="false">IF(G41&lt;&gt;"Sí","",M41+N41+O41+P41)</f>
        <v/>
      </c>
      <c r="R41" s="85" t="str">
        <f aca="false">IF(G41&lt;&gt;"Sí","",M41)</f>
        <v/>
      </c>
      <c r="S41" s="85" t="str">
        <f aca="false">IF(U41="","",IF(INDEX(CC_ESTADOC,32)="Renovación registrada","",ROUND(MAX(0,IF(U41&lt;=0,0,WORKDAY(F41,INT(U41),FERIADOS)-F41+(U41-INT(U41))))*V41,0)+IF(D41="Obra o faena",ROUND(OBRA_DIAS*K41/30*(DATEDIF(E41,F41+1,"m")+IF(F41+1-EDATE(E41,DATEDIF(E41,F41+1,"m"))&gt;15,1,0)),0),0)))</f>
        <v/>
      </c>
      <c r="T41" s="70" t="str">
        <f aca="false">IF(G41&lt;&gt;"Sí","",IF(D41="Plazo fijo","Despido antes del vencimiento: además existe riesgo de demanda por las remuneraciones hasta el término del plazo",IF(D41="Obra o faena","Al concluir la obra corresponde indemnización de 2,5 días por mes (incluida en la columna S); no IAS",IF(I41=0,"Menos de 1 año: no corresponde IAS (Art. 163)",IF(I41=TOPE_IAS_ANIOS,"IAS en el tope de 11 años","")))))</f>
        <v/>
      </c>
      <c r="U41" s="95" t="str">
        <f aca="false">IF(OR(G41&lt;&gt;"Sí",NOT(ISNUMBER(F41))),"",IF(F41&lt;FQ_FECHA,"",(1.25*(DATEDIF(E41,F41+1,"m")+(F41+1-EDATE(E41,DATEDIF(E41,F41+1,"m")))/30)+SUMPRODUCT((ANIOS&lt;=DATEDIF(E41,F41+1,"y"))*(X41+ANIOS-10&gt;0)*INT((X41+ANIOS-10)/3))-(SUMIFS(V_DIAS,V_ID,B41,V_INICIO,"&lt;="&amp;F41)+Y41))))</f>
        <v/>
      </c>
      <c r="V41" s="71" t="str">
        <f aca="false">IF(G41&lt;&gt;"Sí","",(N(INDEX(T_SUELDO,32))+N(INDEX(T_BONO,32)))/30)</f>
        <v/>
      </c>
      <c r="W41" s="71" t="str">
        <f aca="false">IF(G41&lt;&gt;"Sí","",N(INDEX(T_SUELDO,32))+N(INDEX(T_BONO,32))+IF(LEFT(INDEX(T_GRAT,32)&amp;"",6)="Art. 5",MIN(GRAT_PCT*(N(INDEX(T_SUELDO,32))+N(INDEX(T_BONO,32))),GRAT_TOPE_MES),0))</f>
        <v/>
      </c>
      <c r="X41" s="72" t="str">
        <f aca="false">IF(B41="","",MIN(10,N(INDEX(T_PREV,32))))</f>
        <v/>
      </c>
      <c r="Y41" s="72" t="str">
        <f aca="false">IF(B41="","",N(INDEX(T_VACPREV,32)))</f>
        <v/>
      </c>
      <c r="Z41" s="75" t="str">
        <f aca="false">IF(B41="","",N(INDEX(T_EGRESO,32)))</f>
        <v/>
      </c>
    </row>
    <row r="42" customFormat="false" ht="15" hidden="false" customHeight="false" outlineLevel="0" collapsed="false">
      <c r="B42" s="70" t="str">
        <f aca="false">IFERROR(IF(INDEX(T_ID,33)="","",INDEX(T_ID,33)),"")</f>
        <v/>
      </c>
      <c r="C42" s="70" t="str">
        <f aca="false">IF(B42="","",INDEX(T_NOMBRE,33)&amp;"")</f>
        <v/>
      </c>
      <c r="D42" s="70" t="str">
        <f aca="false">IF(B42="","",INDEX(T_TIPO,33)&amp;"")</f>
        <v/>
      </c>
      <c r="E42" s="75" t="str">
        <f aca="false">IF(B42="","",INDEX(T_INGRESO,33))</f>
        <v/>
      </c>
      <c r="F42" s="75" t="str">
        <f aca="false">IF(B42="","",IF(ISNUMBER(INDEX(CC_VENCE,33)),INDEX(CC_VENCE,33),""))</f>
        <v/>
      </c>
      <c r="G42" s="70" t="str">
        <f aca="false">IF(OR(B42="",NOT(ISNUMBER(E42))),"",IF(AND(E42&lt;=FQ_FECHA,OR(Z42=0,Z42&gt;=FQ_FECHA)),"Sí","No"))</f>
        <v/>
      </c>
      <c r="H42" s="94" t="str">
        <f aca="false">IF(G42&lt;&gt;"Sí","",ROUND((FQ_FECHA+1-E42)/365.25,1))</f>
        <v/>
      </c>
      <c r="I42" s="73" t="str">
        <f aca="false">IF(G42&lt;&gt;"Sí","",IF(DATEDIF(E42,FQ_FECHA+1,"y")&lt;1,0,MIN(TOPE_IAS_ANIOS,DATEDIF(E42,FQ_FECHA+1,"y")+IF(EDATE(E42,12*DATEDIF(E42,FQ_FECHA+1,"y")+6)&lt;FQ_FECHA+1,1,0))))</f>
        <v/>
      </c>
      <c r="J42" s="71" t="str">
        <f aca="false">IF(G42&lt;&gt;"Sí","",W42+N(INDEX(T_COL,33))+N(INDEX(T_MOV,33)))</f>
        <v/>
      </c>
      <c r="K42" s="71" t="str">
        <f aca="false">IF(G42&lt;&gt;"Sí","",MIN(J42,TOPE_IAS_UF*UF_HOY))</f>
        <v/>
      </c>
      <c r="L42" s="95" t="str">
        <f aca="false">IF(G42&lt;&gt;"Sí","",(1.25*(DATEDIF(E42,FQ_FECHA+1,"m")+(FQ_FECHA+1-EDATE(E42,DATEDIF(E42,FQ_FECHA+1,"m")))/30)+SUMPRODUCT((ANIOS&lt;=DATEDIF(E42,FQ_FECHA+1,"y"))*(X42+ANIOS-10&gt;0)*INT((X42+ANIOS-10)/3))-(SUMIFS(V_DIAS,V_ID,B42,V_INICIO,"&lt;="&amp;FQ_FECHA)+Y42)))</f>
        <v/>
      </c>
      <c r="M42" s="71" t="str">
        <f aca="false">IF(G42&lt;&gt;"Sí","",ROUND(MAX(0,IF(L42&lt;=0,0,WORKDAY(FQ_FECHA,INT(L42),FERIADOS)-FQ_FECHA+(L42-INT(L42))))*V42,0))</f>
        <v/>
      </c>
      <c r="N42" s="71" t="str">
        <f aca="false">IF(G42&lt;&gt;"Sí","",IF(D42="Obra o faena",0,ROUND(K42*I42,0)))</f>
        <v/>
      </c>
      <c r="O42" s="71" t="str">
        <f aca="false">IF(G42&lt;&gt;"Sí","",IF(OR(D42="Obra o faena",FQ_AVISO="Sí"),0,ROUND(K42,0)))</f>
        <v/>
      </c>
      <c r="P42" s="71" t="str">
        <f aca="false">IF(G42&lt;&gt;"Sí","",IF(AND(IMPUTAR_AFC="Sí",N42&gt;0),-MIN(N42,ROUND(AFC_IMPUTABLE_PCT*MIN(W42,TOPE_AFC_UF*UF_HOY)*DATEDIF(E42,FQ_FECHA+1,"m"),0)),0))</f>
        <v/>
      </c>
      <c r="Q42" s="85" t="str">
        <f aca="false">IF(G42&lt;&gt;"Sí","",M42+N42+O42+P42)</f>
        <v/>
      </c>
      <c r="R42" s="85" t="str">
        <f aca="false">IF(G42&lt;&gt;"Sí","",M42)</f>
        <v/>
      </c>
      <c r="S42" s="85" t="str">
        <f aca="false">IF(U42="","",IF(INDEX(CC_ESTADOC,33)="Renovación registrada","",ROUND(MAX(0,IF(U42&lt;=0,0,WORKDAY(F42,INT(U42),FERIADOS)-F42+(U42-INT(U42))))*V42,0)+IF(D42="Obra o faena",ROUND(OBRA_DIAS*K42/30*(DATEDIF(E42,F42+1,"m")+IF(F42+1-EDATE(E42,DATEDIF(E42,F42+1,"m"))&gt;15,1,0)),0),0)))</f>
        <v/>
      </c>
      <c r="T42" s="70" t="str">
        <f aca="false">IF(G42&lt;&gt;"Sí","",IF(D42="Plazo fijo","Despido antes del vencimiento: además existe riesgo de demanda por las remuneraciones hasta el término del plazo",IF(D42="Obra o faena","Al concluir la obra corresponde indemnización de 2,5 días por mes (incluida en la columna S); no IAS",IF(I42=0,"Menos de 1 año: no corresponde IAS (Art. 163)",IF(I42=TOPE_IAS_ANIOS,"IAS en el tope de 11 años","")))))</f>
        <v/>
      </c>
      <c r="U42" s="95" t="str">
        <f aca="false">IF(OR(G42&lt;&gt;"Sí",NOT(ISNUMBER(F42))),"",IF(F42&lt;FQ_FECHA,"",(1.25*(DATEDIF(E42,F42+1,"m")+(F42+1-EDATE(E42,DATEDIF(E42,F42+1,"m")))/30)+SUMPRODUCT((ANIOS&lt;=DATEDIF(E42,F42+1,"y"))*(X42+ANIOS-10&gt;0)*INT((X42+ANIOS-10)/3))-(SUMIFS(V_DIAS,V_ID,B42,V_INICIO,"&lt;="&amp;F42)+Y42))))</f>
        <v/>
      </c>
      <c r="V42" s="71" t="str">
        <f aca="false">IF(G42&lt;&gt;"Sí","",(N(INDEX(T_SUELDO,33))+N(INDEX(T_BONO,33)))/30)</f>
        <v/>
      </c>
      <c r="W42" s="71" t="str">
        <f aca="false">IF(G42&lt;&gt;"Sí","",N(INDEX(T_SUELDO,33))+N(INDEX(T_BONO,33))+IF(LEFT(INDEX(T_GRAT,33)&amp;"",6)="Art. 5",MIN(GRAT_PCT*(N(INDEX(T_SUELDO,33))+N(INDEX(T_BONO,33))),GRAT_TOPE_MES),0))</f>
        <v/>
      </c>
      <c r="X42" s="72" t="str">
        <f aca="false">IF(B42="","",MIN(10,N(INDEX(T_PREV,33))))</f>
        <v/>
      </c>
      <c r="Y42" s="72" t="str">
        <f aca="false">IF(B42="","",N(INDEX(T_VACPREV,33)))</f>
        <v/>
      </c>
      <c r="Z42" s="75" t="str">
        <f aca="false">IF(B42="","",N(INDEX(T_EGRESO,33)))</f>
        <v/>
      </c>
    </row>
    <row r="43" customFormat="false" ht="15" hidden="false" customHeight="false" outlineLevel="0" collapsed="false">
      <c r="B43" s="70" t="str">
        <f aca="false">IFERROR(IF(INDEX(T_ID,34)="","",INDEX(T_ID,34)),"")</f>
        <v/>
      </c>
      <c r="C43" s="70" t="str">
        <f aca="false">IF(B43="","",INDEX(T_NOMBRE,34)&amp;"")</f>
        <v/>
      </c>
      <c r="D43" s="70" t="str">
        <f aca="false">IF(B43="","",INDEX(T_TIPO,34)&amp;"")</f>
        <v/>
      </c>
      <c r="E43" s="75" t="str">
        <f aca="false">IF(B43="","",INDEX(T_INGRESO,34))</f>
        <v/>
      </c>
      <c r="F43" s="75" t="str">
        <f aca="false">IF(B43="","",IF(ISNUMBER(INDEX(CC_VENCE,34)),INDEX(CC_VENCE,34),""))</f>
        <v/>
      </c>
      <c r="G43" s="70" t="str">
        <f aca="false">IF(OR(B43="",NOT(ISNUMBER(E43))),"",IF(AND(E43&lt;=FQ_FECHA,OR(Z43=0,Z43&gt;=FQ_FECHA)),"Sí","No"))</f>
        <v/>
      </c>
      <c r="H43" s="94" t="str">
        <f aca="false">IF(G43&lt;&gt;"Sí","",ROUND((FQ_FECHA+1-E43)/365.25,1))</f>
        <v/>
      </c>
      <c r="I43" s="73" t="str">
        <f aca="false">IF(G43&lt;&gt;"Sí","",IF(DATEDIF(E43,FQ_FECHA+1,"y")&lt;1,0,MIN(TOPE_IAS_ANIOS,DATEDIF(E43,FQ_FECHA+1,"y")+IF(EDATE(E43,12*DATEDIF(E43,FQ_FECHA+1,"y")+6)&lt;FQ_FECHA+1,1,0))))</f>
        <v/>
      </c>
      <c r="J43" s="71" t="str">
        <f aca="false">IF(G43&lt;&gt;"Sí","",W43+N(INDEX(T_COL,34))+N(INDEX(T_MOV,34)))</f>
        <v/>
      </c>
      <c r="K43" s="71" t="str">
        <f aca="false">IF(G43&lt;&gt;"Sí","",MIN(J43,TOPE_IAS_UF*UF_HOY))</f>
        <v/>
      </c>
      <c r="L43" s="95" t="str">
        <f aca="false">IF(G43&lt;&gt;"Sí","",(1.25*(DATEDIF(E43,FQ_FECHA+1,"m")+(FQ_FECHA+1-EDATE(E43,DATEDIF(E43,FQ_FECHA+1,"m")))/30)+SUMPRODUCT((ANIOS&lt;=DATEDIF(E43,FQ_FECHA+1,"y"))*(X43+ANIOS-10&gt;0)*INT((X43+ANIOS-10)/3))-(SUMIFS(V_DIAS,V_ID,B43,V_INICIO,"&lt;="&amp;FQ_FECHA)+Y43)))</f>
        <v/>
      </c>
      <c r="M43" s="71" t="str">
        <f aca="false">IF(G43&lt;&gt;"Sí","",ROUND(MAX(0,IF(L43&lt;=0,0,WORKDAY(FQ_FECHA,INT(L43),FERIADOS)-FQ_FECHA+(L43-INT(L43))))*V43,0))</f>
        <v/>
      </c>
      <c r="N43" s="71" t="str">
        <f aca="false">IF(G43&lt;&gt;"Sí","",IF(D43="Obra o faena",0,ROUND(K43*I43,0)))</f>
        <v/>
      </c>
      <c r="O43" s="71" t="str">
        <f aca="false">IF(G43&lt;&gt;"Sí","",IF(OR(D43="Obra o faena",FQ_AVISO="Sí"),0,ROUND(K43,0)))</f>
        <v/>
      </c>
      <c r="P43" s="71" t="str">
        <f aca="false">IF(G43&lt;&gt;"Sí","",IF(AND(IMPUTAR_AFC="Sí",N43&gt;0),-MIN(N43,ROUND(AFC_IMPUTABLE_PCT*MIN(W43,TOPE_AFC_UF*UF_HOY)*DATEDIF(E43,FQ_FECHA+1,"m"),0)),0))</f>
        <v/>
      </c>
      <c r="Q43" s="85" t="str">
        <f aca="false">IF(G43&lt;&gt;"Sí","",M43+N43+O43+P43)</f>
        <v/>
      </c>
      <c r="R43" s="85" t="str">
        <f aca="false">IF(G43&lt;&gt;"Sí","",M43)</f>
        <v/>
      </c>
      <c r="S43" s="85" t="str">
        <f aca="false">IF(U43="","",IF(INDEX(CC_ESTADOC,34)="Renovación registrada","",ROUND(MAX(0,IF(U43&lt;=0,0,WORKDAY(F43,INT(U43),FERIADOS)-F43+(U43-INT(U43))))*V43,0)+IF(D43="Obra o faena",ROUND(OBRA_DIAS*K43/30*(DATEDIF(E43,F43+1,"m")+IF(F43+1-EDATE(E43,DATEDIF(E43,F43+1,"m"))&gt;15,1,0)),0),0)))</f>
        <v/>
      </c>
      <c r="T43" s="70" t="str">
        <f aca="false">IF(G43&lt;&gt;"Sí","",IF(D43="Plazo fijo","Despido antes del vencimiento: además existe riesgo de demanda por las remuneraciones hasta el término del plazo",IF(D43="Obra o faena","Al concluir la obra corresponde indemnización de 2,5 días por mes (incluida en la columna S); no IAS",IF(I43=0,"Menos de 1 año: no corresponde IAS (Art. 163)",IF(I43=TOPE_IAS_ANIOS,"IAS en el tope de 11 años","")))))</f>
        <v/>
      </c>
      <c r="U43" s="95" t="str">
        <f aca="false">IF(OR(G43&lt;&gt;"Sí",NOT(ISNUMBER(F43))),"",IF(F43&lt;FQ_FECHA,"",(1.25*(DATEDIF(E43,F43+1,"m")+(F43+1-EDATE(E43,DATEDIF(E43,F43+1,"m")))/30)+SUMPRODUCT((ANIOS&lt;=DATEDIF(E43,F43+1,"y"))*(X43+ANIOS-10&gt;0)*INT((X43+ANIOS-10)/3))-(SUMIFS(V_DIAS,V_ID,B43,V_INICIO,"&lt;="&amp;F43)+Y43))))</f>
        <v/>
      </c>
      <c r="V43" s="71" t="str">
        <f aca="false">IF(G43&lt;&gt;"Sí","",(N(INDEX(T_SUELDO,34))+N(INDEX(T_BONO,34)))/30)</f>
        <v/>
      </c>
      <c r="W43" s="71" t="str">
        <f aca="false">IF(G43&lt;&gt;"Sí","",N(INDEX(T_SUELDO,34))+N(INDEX(T_BONO,34))+IF(LEFT(INDEX(T_GRAT,34)&amp;"",6)="Art. 5",MIN(GRAT_PCT*(N(INDEX(T_SUELDO,34))+N(INDEX(T_BONO,34))),GRAT_TOPE_MES),0))</f>
        <v/>
      </c>
      <c r="X43" s="72" t="str">
        <f aca="false">IF(B43="","",MIN(10,N(INDEX(T_PREV,34))))</f>
        <v/>
      </c>
      <c r="Y43" s="72" t="str">
        <f aca="false">IF(B43="","",N(INDEX(T_VACPREV,34)))</f>
        <v/>
      </c>
      <c r="Z43" s="75" t="str">
        <f aca="false">IF(B43="","",N(INDEX(T_EGRESO,34)))</f>
        <v/>
      </c>
    </row>
    <row r="44" customFormat="false" ht="15" hidden="false" customHeight="false" outlineLevel="0" collapsed="false">
      <c r="B44" s="70" t="str">
        <f aca="false">IFERROR(IF(INDEX(T_ID,35)="","",INDEX(T_ID,35)),"")</f>
        <v/>
      </c>
      <c r="C44" s="70" t="str">
        <f aca="false">IF(B44="","",INDEX(T_NOMBRE,35)&amp;"")</f>
        <v/>
      </c>
      <c r="D44" s="70" t="str">
        <f aca="false">IF(B44="","",INDEX(T_TIPO,35)&amp;"")</f>
        <v/>
      </c>
      <c r="E44" s="75" t="str">
        <f aca="false">IF(B44="","",INDEX(T_INGRESO,35))</f>
        <v/>
      </c>
      <c r="F44" s="75" t="str">
        <f aca="false">IF(B44="","",IF(ISNUMBER(INDEX(CC_VENCE,35)),INDEX(CC_VENCE,35),""))</f>
        <v/>
      </c>
      <c r="G44" s="70" t="str">
        <f aca="false">IF(OR(B44="",NOT(ISNUMBER(E44))),"",IF(AND(E44&lt;=FQ_FECHA,OR(Z44=0,Z44&gt;=FQ_FECHA)),"Sí","No"))</f>
        <v/>
      </c>
      <c r="H44" s="94" t="str">
        <f aca="false">IF(G44&lt;&gt;"Sí","",ROUND((FQ_FECHA+1-E44)/365.25,1))</f>
        <v/>
      </c>
      <c r="I44" s="73" t="str">
        <f aca="false">IF(G44&lt;&gt;"Sí","",IF(DATEDIF(E44,FQ_FECHA+1,"y")&lt;1,0,MIN(TOPE_IAS_ANIOS,DATEDIF(E44,FQ_FECHA+1,"y")+IF(EDATE(E44,12*DATEDIF(E44,FQ_FECHA+1,"y")+6)&lt;FQ_FECHA+1,1,0))))</f>
        <v/>
      </c>
      <c r="J44" s="71" t="str">
        <f aca="false">IF(G44&lt;&gt;"Sí","",W44+N(INDEX(T_COL,35))+N(INDEX(T_MOV,35)))</f>
        <v/>
      </c>
      <c r="K44" s="71" t="str">
        <f aca="false">IF(G44&lt;&gt;"Sí","",MIN(J44,TOPE_IAS_UF*UF_HOY))</f>
        <v/>
      </c>
      <c r="L44" s="95" t="str">
        <f aca="false">IF(G44&lt;&gt;"Sí","",(1.25*(DATEDIF(E44,FQ_FECHA+1,"m")+(FQ_FECHA+1-EDATE(E44,DATEDIF(E44,FQ_FECHA+1,"m")))/30)+SUMPRODUCT((ANIOS&lt;=DATEDIF(E44,FQ_FECHA+1,"y"))*(X44+ANIOS-10&gt;0)*INT((X44+ANIOS-10)/3))-(SUMIFS(V_DIAS,V_ID,B44,V_INICIO,"&lt;="&amp;FQ_FECHA)+Y44)))</f>
        <v/>
      </c>
      <c r="M44" s="71" t="str">
        <f aca="false">IF(G44&lt;&gt;"Sí","",ROUND(MAX(0,IF(L44&lt;=0,0,WORKDAY(FQ_FECHA,INT(L44),FERIADOS)-FQ_FECHA+(L44-INT(L44))))*V44,0))</f>
        <v/>
      </c>
      <c r="N44" s="71" t="str">
        <f aca="false">IF(G44&lt;&gt;"Sí","",IF(D44="Obra o faena",0,ROUND(K44*I44,0)))</f>
        <v/>
      </c>
      <c r="O44" s="71" t="str">
        <f aca="false">IF(G44&lt;&gt;"Sí","",IF(OR(D44="Obra o faena",FQ_AVISO="Sí"),0,ROUND(K44,0)))</f>
        <v/>
      </c>
      <c r="P44" s="71" t="str">
        <f aca="false">IF(G44&lt;&gt;"Sí","",IF(AND(IMPUTAR_AFC="Sí",N44&gt;0),-MIN(N44,ROUND(AFC_IMPUTABLE_PCT*MIN(W44,TOPE_AFC_UF*UF_HOY)*DATEDIF(E44,FQ_FECHA+1,"m"),0)),0))</f>
        <v/>
      </c>
      <c r="Q44" s="85" t="str">
        <f aca="false">IF(G44&lt;&gt;"Sí","",M44+N44+O44+P44)</f>
        <v/>
      </c>
      <c r="R44" s="85" t="str">
        <f aca="false">IF(G44&lt;&gt;"Sí","",M44)</f>
        <v/>
      </c>
      <c r="S44" s="85" t="str">
        <f aca="false">IF(U44="","",IF(INDEX(CC_ESTADOC,35)="Renovación registrada","",ROUND(MAX(0,IF(U44&lt;=0,0,WORKDAY(F44,INT(U44),FERIADOS)-F44+(U44-INT(U44))))*V44,0)+IF(D44="Obra o faena",ROUND(OBRA_DIAS*K44/30*(DATEDIF(E44,F44+1,"m")+IF(F44+1-EDATE(E44,DATEDIF(E44,F44+1,"m"))&gt;15,1,0)),0),0)))</f>
        <v/>
      </c>
      <c r="T44" s="70" t="str">
        <f aca="false">IF(G44&lt;&gt;"Sí","",IF(D44="Plazo fijo","Despido antes del vencimiento: además existe riesgo de demanda por las remuneraciones hasta el término del plazo",IF(D44="Obra o faena","Al concluir la obra corresponde indemnización de 2,5 días por mes (incluida en la columna S); no IAS",IF(I44=0,"Menos de 1 año: no corresponde IAS (Art. 163)",IF(I44=TOPE_IAS_ANIOS,"IAS en el tope de 11 años","")))))</f>
        <v/>
      </c>
      <c r="U44" s="95" t="str">
        <f aca="false">IF(OR(G44&lt;&gt;"Sí",NOT(ISNUMBER(F44))),"",IF(F44&lt;FQ_FECHA,"",(1.25*(DATEDIF(E44,F44+1,"m")+(F44+1-EDATE(E44,DATEDIF(E44,F44+1,"m")))/30)+SUMPRODUCT((ANIOS&lt;=DATEDIF(E44,F44+1,"y"))*(X44+ANIOS-10&gt;0)*INT((X44+ANIOS-10)/3))-(SUMIFS(V_DIAS,V_ID,B44,V_INICIO,"&lt;="&amp;F44)+Y44))))</f>
        <v/>
      </c>
      <c r="V44" s="71" t="str">
        <f aca="false">IF(G44&lt;&gt;"Sí","",(N(INDEX(T_SUELDO,35))+N(INDEX(T_BONO,35)))/30)</f>
        <v/>
      </c>
      <c r="W44" s="71" t="str">
        <f aca="false">IF(G44&lt;&gt;"Sí","",N(INDEX(T_SUELDO,35))+N(INDEX(T_BONO,35))+IF(LEFT(INDEX(T_GRAT,35)&amp;"",6)="Art. 5",MIN(GRAT_PCT*(N(INDEX(T_SUELDO,35))+N(INDEX(T_BONO,35))),GRAT_TOPE_MES),0))</f>
        <v/>
      </c>
      <c r="X44" s="72" t="str">
        <f aca="false">IF(B44="","",MIN(10,N(INDEX(T_PREV,35))))</f>
        <v/>
      </c>
      <c r="Y44" s="72" t="str">
        <f aca="false">IF(B44="","",N(INDEX(T_VACPREV,35)))</f>
        <v/>
      </c>
      <c r="Z44" s="75" t="str">
        <f aca="false">IF(B44="","",N(INDEX(T_EGRESO,35)))</f>
        <v/>
      </c>
    </row>
    <row r="45" customFormat="false" ht="15" hidden="false" customHeight="false" outlineLevel="0" collapsed="false">
      <c r="B45" s="70" t="str">
        <f aca="false">IFERROR(IF(INDEX(T_ID,36)="","",INDEX(T_ID,36)),"")</f>
        <v/>
      </c>
      <c r="C45" s="70" t="str">
        <f aca="false">IF(B45="","",INDEX(T_NOMBRE,36)&amp;"")</f>
        <v/>
      </c>
      <c r="D45" s="70" t="str">
        <f aca="false">IF(B45="","",INDEX(T_TIPO,36)&amp;"")</f>
        <v/>
      </c>
      <c r="E45" s="75" t="str">
        <f aca="false">IF(B45="","",INDEX(T_INGRESO,36))</f>
        <v/>
      </c>
      <c r="F45" s="75" t="str">
        <f aca="false">IF(B45="","",IF(ISNUMBER(INDEX(CC_VENCE,36)),INDEX(CC_VENCE,36),""))</f>
        <v/>
      </c>
      <c r="G45" s="70" t="str">
        <f aca="false">IF(OR(B45="",NOT(ISNUMBER(E45))),"",IF(AND(E45&lt;=FQ_FECHA,OR(Z45=0,Z45&gt;=FQ_FECHA)),"Sí","No"))</f>
        <v/>
      </c>
      <c r="H45" s="94" t="str">
        <f aca="false">IF(G45&lt;&gt;"Sí","",ROUND((FQ_FECHA+1-E45)/365.25,1))</f>
        <v/>
      </c>
      <c r="I45" s="73" t="str">
        <f aca="false">IF(G45&lt;&gt;"Sí","",IF(DATEDIF(E45,FQ_FECHA+1,"y")&lt;1,0,MIN(TOPE_IAS_ANIOS,DATEDIF(E45,FQ_FECHA+1,"y")+IF(EDATE(E45,12*DATEDIF(E45,FQ_FECHA+1,"y")+6)&lt;FQ_FECHA+1,1,0))))</f>
        <v/>
      </c>
      <c r="J45" s="71" t="str">
        <f aca="false">IF(G45&lt;&gt;"Sí","",W45+N(INDEX(T_COL,36))+N(INDEX(T_MOV,36)))</f>
        <v/>
      </c>
      <c r="K45" s="71" t="str">
        <f aca="false">IF(G45&lt;&gt;"Sí","",MIN(J45,TOPE_IAS_UF*UF_HOY))</f>
        <v/>
      </c>
      <c r="L45" s="95" t="str">
        <f aca="false">IF(G45&lt;&gt;"Sí","",(1.25*(DATEDIF(E45,FQ_FECHA+1,"m")+(FQ_FECHA+1-EDATE(E45,DATEDIF(E45,FQ_FECHA+1,"m")))/30)+SUMPRODUCT((ANIOS&lt;=DATEDIF(E45,FQ_FECHA+1,"y"))*(X45+ANIOS-10&gt;0)*INT((X45+ANIOS-10)/3))-(SUMIFS(V_DIAS,V_ID,B45,V_INICIO,"&lt;="&amp;FQ_FECHA)+Y45)))</f>
        <v/>
      </c>
      <c r="M45" s="71" t="str">
        <f aca="false">IF(G45&lt;&gt;"Sí","",ROUND(MAX(0,IF(L45&lt;=0,0,WORKDAY(FQ_FECHA,INT(L45),FERIADOS)-FQ_FECHA+(L45-INT(L45))))*V45,0))</f>
        <v/>
      </c>
      <c r="N45" s="71" t="str">
        <f aca="false">IF(G45&lt;&gt;"Sí","",IF(D45="Obra o faena",0,ROUND(K45*I45,0)))</f>
        <v/>
      </c>
      <c r="O45" s="71" t="str">
        <f aca="false">IF(G45&lt;&gt;"Sí","",IF(OR(D45="Obra o faena",FQ_AVISO="Sí"),0,ROUND(K45,0)))</f>
        <v/>
      </c>
      <c r="P45" s="71" t="str">
        <f aca="false">IF(G45&lt;&gt;"Sí","",IF(AND(IMPUTAR_AFC="Sí",N45&gt;0),-MIN(N45,ROUND(AFC_IMPUTABLE_PCT*MIN(W45,TOPE_AFC_UF*UF_HOY)*DATEDIF(E45,FQ_FECHA+1,"m"),0)),0))</f>
        <v/>
      </c>
      <c r="Q45" s="85" t="str">
        <f aca="false">IF(G45&lt;&gt;"Sí","",M45+N45+O45+P45)</f>
        <v/>
      </c>
      <c r="R45" s="85" t="str">
        <f aca="false">IF(G45&lt;&gt;"Sí","",M45)</f>
        <v/>
      </c>
      <c r="S45" s="85" t="str">
        <f aca="false">IF(U45="","",IF(INDEX(CC_ESTADOC,36)="Renovación registrada","",ROUND(MAX(0,IF(U45&lt;=0,0,WORKDAY(F45,INT(U45),FERIADOS)-F45+(U45-INT(U45))))*V45,0)+IF(D45="Obra o faena",ROUND(OBRA_DIAS*K45/30*(DATEDIF(E45,F45+1,"m")+IF(F45+1-EDATE(E45,DATEDIF(E45,F45+1,"m"))&gt;15,1,0)),0),0)))</f>
        <v/>
      </c>
      <c r="T45" s="70" t="str">
        <f aca="false">IF(G45&lt;&gt;"Sí","",IF(D45="Plazo fijo","Despido antes del vencimiento: además existe riesgo de demanda por las remuneraciones hasta el término del plazo",IF(D45="Obra o faena","Al concluir la obra corresponde indemnización de 2,5 días por mes (incluida en la columna S); no IAS",IF(I45=0,"Menos de 1 año: no corresponde IAS (Art. 163)",IF(I45=TOPE_IAS_ANIOS,"IAS en el tope de 11 años","")))))</f>
        <v/>
      </c>
      <c r="U45" s="95" t="str">
        <f aca="false">IF(OR(G45&lt;&gt;"Sí",NOT(ISNUMBER(F45))),"",IF(F45&lt;FQ_FECHA,"",(1.25*(DATEDIF(E45,F45+1,"m")+(F45+1-EDATE(E45,DATEDIF(E45,F45+1,"m")))/30)+SUMPRODUCT((ANIOS&lt;=DATEDIF(E45,F45+1,"y"))*(X45+ANIOS-10&gt;0)*INT((X45+ANIOS-10)/3))-(SUMIFS(V_DIAS,V_ID,B45,V_INICIO,"&lt;="&amp;F45)+Y45))))</f>
        <v/>
      </c>
      <c r="V45" s="71" t="str">
        <f aca="false">IF(G45&lt;&gt;"Sí","",(N(INDEX(T_SUELDO,36))+N(INDEX(T_BONO,36)))/30)</f>
        <v/>
      </c>
      <c r="W45" s="71" t="str">
        <f aca="false">IF(G45&lt;&gt;"Sí","",N(INDEX(T_SUELDO,36))+N(INDEX(T_BONO,36))+IF(LEFT(INDEX(T_GRAT,36)&amp;"",6)="Art. 5",MIN(GRAT_PCT*(N(INDEX(T_SUELDO,36))+N(INDEX(T_BONO,36))),GRAT_TOPE_MES),0))</f>
        <v/>
      </c>
      <c r="X45" s="72" t="str">
        <f aca="false">IF(B45="","",MIN(10,N(INDEX(T_PREV,36))))</f>
        <v/>
      </c>
      <c r="Y45" s="72" t="str">
        <f aca="false">IF(B45="","",N(INDEX(T_VACPREV,36)))</f>
        <v/>
      </c>
      <c r="Z45" s="75" t="str">
        <f aca="false">IF(B45="","",N(INDEX(T_EGRESO,36)))</f>
        <v/>
      </c>
    </row>
    <row r="46" customFormat="false" ht="15" hidden="false" customHeight="false" outlineLevel="0" collapsed="false">
      <c r="B46" s="70" t="str">
        <f aca="false">IFERROR(IF(INDEX(T_ID,37)="","",INDEX(T_ID,37)),"")</f>
        <v/>
      </c>
      <c r="C46" s="70" t="str">
        <f aca="false">IF(B46="","",INDEX(T_NOMBRE,37)&amp;"")</f>
        <v/>
      </c>
      <c r="D46" s="70" t="str">
        <f aca="false">IF(B46="","",INDEX(T_TIPO,37)&amp;"")</f>
        <v/>
      </c>
      <c r="E46" s="75" t="str">
        <f aca="false">IF(B46="","",INDEX(T_INGRESO,37))</f>
        <v/>
      </c>
      <c r="F46" s="75" t="str">
        <f aca="false">IF(B46="","",IF(ISNUMBER(INDEX(CC_VENCE,37)),INDEX(CC_VENCE,37),""))</f>
        <v/>
      </c>
      <c r="G46" s="70" t="str">
        <f aca="false">IF(OR(B46="",NOT(ISNUMBER(E46))),"",IF(AND(E46&lt;=FQ_FECHA,OR(Z46=0,Z46&gt;=FQ_FECHA)),"Sí","No"))</f>
        <v/>
      </c>
      <c r="H46" s="94" t="str">
        <f aca="false">IF(G46&lt;&gt;"Sí","",ROUND((FQ_FECHA+1-E46)/365.25,1))</f>
        <v/>
      </c>
      <c r="I46" s="73" t="str">
        <f aca="false">IF(G46&lt;&gt;"Sí","",IF(DATEDIF(E46,FQ_FECHA+1,"y")&lt;1,0,MIN(TOPE_IAS_ANIOS,DATEDIF(E46,FQ_FECHA+1,"y")+IF(EDATE(E46,12*DATEDIF(E46,FQ_FECHA+1,"y")+6)&lt;FQ_FECHA+1,1,0))))</f>
        <v/>
      </c>
      <c r="J46" s="71" t="str">
        <f aca="false">IF(G46&lt;&gt;"Sí","",W46+N(INDEX(T_COL,37))+N(INDEX(T_MOV,37)))</f>
        <v/>
      </c>
      <c r="K46" s="71" t="str">
        <f aca="false">IF(G46&lt;&gt;"Sí","",MIN(J46,TOPE_IAS_UF*UF_HOY))</f>
        <v/>
      </c>
      <c r="L46" s="95" t="str">
        <f aca="false">IF(G46&lt;&gt;"Sí","",(1.25*(DATEDIF(E46,FQ_FECHA+1,"m")+(FQ_FECHA+1-EDATE(E46,DATEDIF(E46,FQ_FECHA+1,"m")))/30)+SUMPRODUCT((ANIOS&lt;=DATEDIF(E46,FQ_FECHA+1,"y"))*(X46+ANIOS-10&gt;0)*INT((X46+ANIOS-10)/3))-(SUMIFS(V_DIAS,V_ID,B46,V_INICIO,"&lt;="&amp;FQ_FECHA)+Y46)))</f>
        <v/>
      </c>
      <c r="M46" s="71" t="str">
        <f aca="false">IF(G46&lt;&gt;"Sí","",ROUND(MAX(0,IF(L46&lt;=0,0,WORKDAY(FQ_FECHA,INT(L46),FERIADOS)-FQ_FECHA+(L46-INT(L46))))*V46,0))</f>
        <v/>
      </c>
      <c r="N46" s="71" t="str">
        <f aca="false">IF(G46&lt;&gt;"Sí","",IF(D46="Obra o faena",0,ROUND(K46*I46,0)))</f>
        <v/>
      </c>
      <c r="O46" s="71" t="str">
        <f aca="false">IF(G46&lt;&gt;"Sí","",IF(OR(D46="Obra o faena",FQ_AVISO="Sí"),0,ROUND(K46,0)))</f>
        <v/>
      </c>
      <c r="P46" s="71" t="str">
        <f aca="false">IF(G46&lt;&gt;"Sí","",IF(AND(IMPUTAR_AFC="Sí",N46&gt;0),-MIN(N46,ROUND(AFC_IMPUTABLE_PCT*MIN(W46,TOPE_AFC_UF*UF_HOY)*DATEDIF(E46,FQ_FECHA+1,"m"),0)),0))</f>
        <v/>
      </c>
      <c r="Q46" s="85" t="str">
        <f aca="false">IF(G46&lt;&gt;"Sí","",M46+N46+O46+P46)</f>
        <v/>
      </c>
      <c r="R46" s="85" t="str">
        <f aca="false">IF(G46&lt;&gt;"Sí","",M46)</f>
        <v/>
      </c>
      <c r="S46" s="85" t="str">
        <f aca="false">IF(U46="","",IF(INDEX(CC_ESTADOC,37)="Renovación registrada","",ROUND(MAX(0,IF(U46&lt;=0,0,WORKDAY(F46,INT(U46),FERIADOS)-F46+(U46-INT(U46))))*V46,0)+IF(D46="Obra o faena",ROUND(OBRA_DIAS*K46/30*(DATEDIF(E46,F46+1,"m")+IF(F46+1-EDATE(E46,DATEDIF(E46,F46+1,"m"))&gt;15,1,0)),0),0)))</f>
        <v/>
      </c>
      <c r="T46" s="70" t="str">
        <f aca="false">IF(G46&lt;&gt;"Sí","",IF(D46="Plazo fijo","Despido antes del vencimiento: además existe riesgo de demanda por las remuneraciones hasta el término del plazo",IF(D46="Obra o faena","Al concluir la obra corresponde indemnización de 2,5 días por mes (incluida en la columna S); no IAS",IF(I46=0,"Menos de 1 año: no corresponde IAS (Art. 163)",IF(I46=TOPE_IAS_ANIOS,"IAS en el tope de 11 años","")))))</f>
        <v/>
      </c>
      <c r="U46" s="95" t="str">
        <f aca="false">IF(OR(G46&lt;&gt;"Sí",NOT(ISNUMBER(F46))),"",IF(F46&lt;FQ_FECHA,"",(1.25*(DATEDIF(E46,F46+1,"m")+(F46+1-EDATE(E46,DATEDIF(E46,F46+1,"m")))/30)+SUMPRODUCT((ANIOS&lt;=DATEDIF(E46,F46+1,"y"))*(X46+ANIOS-10&gt;0)*INT((X46+ANIOS-10)/3))-(SUMIFS(V_DIAS,V_ID,B46,V_INICIO,"&lt;="&amp;F46)+Y46))))</f>
        <v/>
      </c>
      <c r="V46" s="71" t="str">
        <f aca="false">IF(G46&lt;&gt;"Sí","",(N(INDEX(T_SUELDO,37))+N(INDEX(T_BONO,37)))/30)</f>
        <v/>
      </c>
      <c r="W46" s="71" t="str">
        <f aca="false">IF(G46&lt;&gt;"Sí","",N(INDEX(T_SUELDO,37))+N(INDEX(T_BONO,37))+IF(LEFT(INDEX(T_GRAT,37)&amp;"",6)="Art. 5",MIN(GRAT_PCT*(N(INDEX(T_SUELDO,37))+N(INDEX(T_BONO,37))),GRAT_TOPE_MES),0))</f>
        <v/>
      </c>
      <c r="X46" s="72" t="str">
        <f aca="false">IF(B46="","",MIN(10,N(INDEX(T_PREV,37))))</f>
        <v/>
      </c>
      <c r="Y46" s="72" t="str">
        <f aca="false">IF(B46="","",N(INDEX(T_VACPREV,37)))</f>
        <v/>
      </c>
      <c r="Z46" s="75" t="str">
        <f aca="false">IF(B46="","",N(INDEX(T_EGRESO,37)))</f>
        <v/>
      </c>
    </row>
    <row r="47" customFormat="false" ht="15" hidden="false" customHeight="false" outlineLevel="0" collapsed="false">
      <c r="B47" s="70" t="str">
        <f aca="false">IFERROR(IF(INDEX(T_ID,38)="","",INDEX(T_ID,38)),"")</f>
        <v/>
      </c>
      <c r="C47" s="70" t="str">
        <f aca="false">IF(B47="","",INDEX(T_NOMBRE,38)&amp;"")</f>
        <v/>
      </c>
      <c r="D47" s="70" t="str">
        <f aca="false">IF(B47="","",INDEX(T_TIPO,38)&amp;"")</f>
        <v/>
      </c>
      <c r="E47" s="75" t="str">
        <f aca="false">IF(B47="","",INDEX(T_INGRESO,38))</f>
        <v/>
      </c>
      <c r="F47" s="75" t="str">
        <f aca="false">IF(B47="","",IF(ISNUMBER(INDEX(CC_VENCE,38)),INDEX(CC_VENCE,38),""))</f>
        <v/>
      </c>
      <c r="G47" s="70" t="str">
        <f aca="false">IF(OR(B47="",NOT(ISNUMBER(E47))),"",IF(AND(E47&lt;=FQ_FECHA,OR(Z47=0,Z47&gt;=FQ_FECHA)),"Sí","No"))</f>
        <v/>
      </c>
      <c r="H47" s="94" t="str">
        <f aca="false">IF(G47&lt;&gt;"Sí","",ROUND((FQ_FECHA+1-E47)/365.25,1))</f>
        <v/>
      </c>
      <c r="I47" s="73" t="str">
        <f aca="false">IF(G47&lt;&gt;"Sí","",IF(DATEDIF(E47,FQ_FECHA+1,"y")&lt;1,0,MIN(TOPE_IAS_ANIOS,DATEDIF(E47,FQ_FECHA+1,"y")+IF(EDATE(E47,12*DATEDIF(E47,FQ_FECHA+1,"y")+6)&lt;FQ_FECHA+1,1,0))))</f>
        <v/>
      </c>
      <c r="J47" s="71" t="str">
        <f aca="false">IF(G47&lt;&gt;"Sí","",W47+N(INDEX(T_COL,38))+N(INDEX(T_MOV,38)))</f>
        <v/>
      </c>
      <c r="K47" s="71" t="str">
        <f aca="false">IF(G47&lt;&gt;"Sí","",MIN(J47,TOPE_IAS_UF*UF_HOY))</f>
        <v/>
      </c>
      <c r="L47" s="95" t="str">
        <f aca="false">IF(G47&lt;&gt;"Sí","",(1.25*(DATEDIF(E47,FQ_FECHA+1,"m")+(FQ_FECHA+1-EDATE(E47,DATEDIF(E47,FQ_FECHA+1,"m")))/30)+SUMPRODUCT((ANIOS&lt;=DATEDIF(E47,FQ_FECHA+1,"y"))*(X47+ANIOS-10&gt;0)*INT((X47+ANIOS-10)/3))-(SUMIFS(V_DIAS,V_ID,B47,V_INICIO,"&lt;="&amp;FQ_FECHA)+Y47)))</f>
        <v/>
      </c>
      <c r="M47" s="71" t="str">
        <f aca="false">IF(G47&lt;&gt;"Sí","",ROUND(MAX(0,IF(L47&lt;=0,0,WORKDAY(FQ_FECHA,INT(L47),FERIADOS)-FQ_FECHA+(L47-INT(L47))))*V47,0))</f>
        <v/>
      </c>
      <c r="N47" s="71" t="str">
        <f aca="false">IF(G47&lt;&gt;"Sí","",IF(D47="Obra o faena",0,ROUND(K47*I47,0)))</f>
        <v/>
      </c>
      <c r="O47" s="71" t="str">
        <f aca="false">IF(G47&lt;&gt;"Sí","",IF(OR(D47="Obra o faena",FQ_AVISO="Sí"),0,ROUND(K47,0)))</f>
        <v/>
      </c>
      <c r="P47" s="71" t="str">
        <f aca="false">IF(G47&lt;&gt;"Sí","",IF(AND(IMPUTAR_AFC="Sí",N47&gt;0),-MIN(N47,ROUND(AFC_IMPUTABLE_PCT*MIN(W47,TOPE_AFC_UF*UF_HOY)*DATEDIF(E47,FQ_FECHA+1,"m"),0)),0))</f>
        <v/>
      </c>
      <c r="Q47" s="85" t="str">
        <f aca="false">IF(G47&lt;&gt;"Sí","",M47+N47+O47+P47)</f>
        <v/>
      </c>
      <c r="R47" s="85" t="str">
        <f aca="false">IF(G47&lt;&gt;"Sí","",M47)</f>
        <v/>
      </c>
      <c r="S47" s="85" t="str">
        <f aca="false">IF(U47="","",IF(INDEX(CC_ESTADOC,38)="Renovación registrada","",ROUND(MAX(0,IF(U47&lt;=0,0,WORKDAY(F47,INT(U47),FERIADOS)-F47+(U47-INT(U47))))*V47,0)+IF(D47="Obra o faena",ROUND(OBRA_DIAS*K47/30*(DATEDIF(E47,F47+1,"m")+IF(F47+1-EDATE(E47,DATEDIF(E47,F47+1,"m"))&gt;15,1,0)),0),0)))</f>
        <v/>
      </c>
      <c r="T47" s="70" t="str">
        <f aca="false">IF(G47&lt;&gt;"Sí","",IF(D47="Plazo fijo","Despido antes del vencimiento: además existe riesgo de demanda por las remuneraciones hasta el término del plazo",IF(D47="Obra o faena","Al concluir la obra corresponde indemnización de 2,5 días por mes (incluida en la columna S); no IAS",IF(I47=0,"Menos de 1 año: no corresponde IAS (Art. 163)",IF(I47=TOPE_IAS_ANIOS,"IAS en el tope de 11 años","")))))</f>
        <v/>
      </c>
      <c r="U47" s="95" t="str">
        <f aca="false">IF(OR(G47&lt;&gt;"Sí",NOT(ISNUMBER(F47))),"",IF(F47&lt;FQ_FECHA,"",(1.25*(DATEDIF(E47,F47+1,"m")+(F47+1-EDATE(E47,DATEDIF(E47,F47+1,"m")))/30)+SUMPRODUCT((ANIOS&lt;=DATEDIF(E47,F47+1,"y"))*(X47+ANIOS-10&gt;0)*INT((X47+ANIOS-10)/3))-(SUMIFS(V_DIAS,V_ID,B47,V_INICIO,"&lt;="&amp;F47)+Y47))))</f>
        <v/>
      </c>
      <c r="V47" s="71" t="str">
        <f aca="false">IF(G47&lt;&gt;"Sí","",(N(INDEX(T_SUELDO,38))+N(INDEX(T_BONO,38)))/30)</f>
        <v/>
      </c>
      <c r="W47" s="71" t="str">
        <f aca="false">IF(G47&lt;&gt;"Sí","",N(INDEX(T_SUELDO,38))+N(INDEX(T_BONO,38))+IF(LEFT(INDEX(T_GRAT,38)&amp;"",6)="Art. 5",MIN(GRAT_PCT*(N(INDEX(T_SUELDO,38))+N(INDEX(T_BONO,38))),GRAT_TOPE_MES),0))</f>
        <v/>
      </c>
      <c r="X47" s="72" t="str">
        <f aca="false">IF(B47="","",MIN(10,N(INDEX(T_PREV,38))))</f>
        <v/>
      </c>
      <c r="Y47" s="72" t="str">
        <f aca="false">IF(B47="","",N(INDEX(T_VACPREV,38)))</f>
        <v/>
      </c>
      <c r="Z47" s="75" t="str">
        <f aca="false">IF(B47="","",N(INDEX(T_EGRESO,38)))</f>
        <v/>
      </c>
    </row>
    <row r="48" customFormat="false" ht="15" hidden="false" customHeight="false" outlineLevel="0" collapsed="false">
      <c r="B48" s="70" t="str">
        <f aca="false">IFERROR(IF(INDEX(T_ID,39)="","",INDEX(T_ID,39)),"")</f>
        <v/>
      </c>
      <c r="C48" s="70" t="str">
        <f aca="false">IF(B48="","",INDEX(T_NOMBRE,39)&amp;"")</f>
        <v/>
      </c>
      <c r="D48" s="70" t="str">
        <f aca="false">IF(B48="","",INDEX(T_TIPO,39)&amp;"")</f>
        <v/>
      </c>
      <c r="E48" s="75" t="str">
        <f aca="false">IF(B48="","",INDEX(T_INGRESO,39))</f>
        <v/>
      </c>
      <c r="F48" s="75" t="str">
        <f aca="false">IF(B48="","",IF(ISNUMBER(INDEX(CC_VENCE,39)),INDEX(CC_VENCE,39),""))</f>
        <v/>
      </c>
      <c r="G48" s="70" t="str">
        <f aca="false">IF(OR(B48="",NOT(ISNUMBER(E48))),"",IF(AND(E48&lt;=FQ_FECHA,OR(Z48=0,Z48&gt;=FQ_FECHA)),"Sí","No"))</f>
        <v/>
      </c>
      <c r="H48" s="94" t="str">
        <f aca="false">IF(G48&lt;&gt;"Sí","",ROUND((FQ_FECHA+1-E48)/365.25,1))</f>
        <v/>
      </c>
      <c r="I48" s="73" t="str">
        <f aca="false">IF(G48&lt;&gt;"Sí","",IF(DATEDIF(E48,FQ_FECHA+1,"y")&lt;1,0,MIN(TOPE_IAS_ANIOS,DATEDIF(E48,FQ_FECHA+1,"y")+IF(EDATE(E48,12*DATEDIF(E48,FQ_FECHA+1,"y")+6)&lt;FQ_FECHA+1,1,0))))</f>
        <v/>
      </c>
      <c r="J48" s="71" t="str">
        <f aca="false">IF(G48&lt;&gt;"Sí","",W48+N(INDEX(T_COL,39))+N(INDEX(T_MOV,39)))</f>
        <v/>
      </c>
      <c r="K48" s="71" t="str">
        <f aca="false">IF(G48&lt;&gt;"Sí","",MIN(J48,TOPE_IAS_UF*UF_HOY))</f>
        <v/>
      </c>
      <c r="L48" s="95" t="str">
        <f aca="false">IF(G48&lt;&gt;"Sí","",(1.25*(DATEDIF(E48,FQ_FECHA+1,"m")+(FQ_FECHA+1-EDATE(E48,DATEDIF(E48,FQ_FECHA+1,"m")))/30)+SUMPRODUCT((ANIOS&lt;=DATEDIF(E48,FQ_FECHA+1,"y"))*(X48+ANIOS-10&gt;0)*INT((X48+ANIOS-10)/3))-(SUMIFS(V_DIAS,V_ID,B48,V_INICIO,"&lt;="&amp;FQ_FECHA)+Y48)))</f>
        <v/>
      </c>
      <c r="M48" s="71" t="str">
        <f aca="false">IF(G48&lt;&gt;"Sí","",ROUND(MAX(0,IF(L48&lt;=0,0,WORKDAY(FQ_FECHA,INT(L48),FERIADOS)-FQ_FECHA+(L48-INT(L48))))*V48,0))</f>
        <v/>
      </c>
      <c r="N48" s="71" t="str">
        <f aca="false">IF(G48&lt;&gt;"Sí","",IF(D48="Obra o faena",0,ROUND(K48*I48,0)))</f>
        <v/>
      </c>
      <c r="O48" s="71" t="str">
        <f aca="false">IF(G48&lt;&gt;"Sí","",IF(OR(D48="Obra o faena",FQ_AVISO="Sí"),0,ROUND(K48,0)))</f>
        <v/>
      </c>
      <c r="P48" s="71" t="str">
        <f aca="false">IF(G48&lt;&gt;"Sí","",IF(AND(IMPUTAR_AFC="Sí",N48&gt;0),-MIN(N48,ROUND(AFC_IMPUTABLE_PCT*MIN(W48,TOPE_AFC_UF*UF_HOY)*DATEDIF(E48,FQ_FECHA+1,"m"),0)),0))</f>
        <v/>
      </c>
      <c r="Q48" s="85" t="str">
        <f aca="false">IF(G48&lt;&gt;"Sí","",M48+N48+O48+P48)</f>
        <v/>
      </c>
      <c r="R48" s="85" t="str">
        <f aca="false">IF(G48&lt;&gt;"Sí","",M48)</f>
        <v/>
      </c>
      <c r="S48" s="85" t="str">
        <f aca="false">IF(U48="","",IF(INDEX(CC_ESTADOC,39)="Renovación registrada","",ROUND(MAX(0,IF(U48&lt;=0,0,WORKDAY(F48,INT(U48),FERIADOS)-F48+(U48-INT(U48))))*V48,0)+IF(D48="Obra o faena",ROUND(OBRA_DIAS*K48/30*(DATEDIF(E48,F48+1,"m")+IF(F48+1-EDATE(E48,DATEDIF(E48,F48+1,"m"))&gt;15,1,0)),0),0)))</f>
        <v/>
      </c>
      <c r="T48" s="70" t="str">
        <f aca="false">IF(G48&lt;&gt;"Sí","",IF(D48="Plazo fijo","Despido antes del vencimiento: además existe riesgo de demanda por las remuneraciones hasta el término del plazo",IF(D48="Obra o faena","Al concluir la obra corresponde indemnización de 2,5 días por mes (incluida en la columna S); no IAS",IF(I48=0,"Menos de 1 año: no corresponde IAS (Art. 163)",IF(I48=TOPE_IAS_ANIOS,"IAS en el tope de 11 años","")))))</f>
        <v/>
      </c>
      <c r="U48" s="95" t="str">
        <f aca="false">IF(OR(G48&lt;&gt;"Sí",NOT(ISNUMBER(F48))),"",IF(F48&lt;FQ_FECHA,"",(1.25*(DATEDIF(E48,F48+1,"m")+(F48+1-EDATE(E48,DATEDIF(E48,F48+1,"m")))/30)+SUMPRODUCT((ANIOS&lt;=DATEDIF(E48,F48+1,"y"))*(X48+ANIOS-10&gt;0)*INT((X48+ANIOS-10)/3))-(SUMIFS(V_DIAS,V_ID,B48,V_INICIO,"&lt;="&amp;F48)+Y48))))</f>
        <v/>
      </c>
      <c r="V48" s="71" t="str">
        <f aca="false">IF(G48&lt;&gt;"Sí","",(N(INDEX(T_SUELDO,39))+N(INDEX(T_BONO,39)))/30)</f>
        <v/>
      </c>
      <c r="W48" s="71" t="str">
        <f aca="false">IF(G48&lt;&gt;"Sí","",N(INDEX(T_SUELDO,39))+N(INDEX(T_BONO,39))+IF(LEFT(INDEX(T_GRAT,39)&amp;"",6)="Art. 5",MIN(GRAT_PCT*(N(INDEX(T_SUELDO,39))+N(INDEX(T_BONO,39))),GRAT_TOPE_MES),0))</f>
        <v/>
      </c>
      <c r="X48" s="72" t="str">
        <f aca="false">IF(B48="","",MIN(10,N(INDEX(T_PREV,39))))</f>
        <v/>
      </c>
      <c r="Y48" s="72" t="str">
        <f aca="false">IF(B48="","",N(INDEX(T_VACPREV,39)))</f>
        <v/>
      </c>
      <c r="Z48" s="75" t="str">
        <f aca="false">IF(B48="","",N(INDEX(T_EGRESO,39)))</f>
        <v/>
      </c>
    </row>
    <row r="49" customFormat="false" ht="15" hidden="false" customHeight="false" outlineLevel="0" collapsed="false">
      <c r="B49" s="70" t="str">
        <f aca="false">IFERROR(IF(INDEX(T_ID,40)="","",INDEX(T_ID,40)),"")</f>
        <v/>
      </c>
      <c r="C49" s="70" t="str">
        <f aca="false">IF(B49="","",INDEX(T_NOMBRE,40)&amp;"")</f>
        <v/>
      </c>
      <c r="D49" s="70" t="str">
        <f aca="false">IF(B49="","",INDEX(T_TIPO,40)&amp;"")</f>
        <v/>
      </c>
      <c r="E49" s="75" t="str">
        <f aca="false">IF(B49="","",INDEX(T_INGRESO,40))</f>
        <v/>
      </c>
      <c r="F49" s="75" t="str">
        <f aca="false">IF(B49="","",IF(ISNUMBER(INDEX(CC_VENCE,40)),INDEX(CC_VENCE,40),""))</f>
        <v/>
      </c>
      <c r="G49" s="70" t="str">
        <f aca="false">IF(OR(B49="",NOT(ISNUMBER(E49))),"",IF(AND(E49&lt;=FQ_FECHA,OR(Z49=0,Z49&gt;=FQ_FECHA)),"Sí","No"))</f>
        <v/>
      </c>
      <c r="H49" s="94" t="str">
        <f aca="false">IF(G49&lt;&gt;"Sí","",ROUND((FQ_FECHA+1-E49)/365.25,1))</f>
        <v/>
      </c>
      <c r="I49" s="73" t="str">
        <f aca="false">IF(G49&lt;&gt;"Sí","",IF(DATEDIF(E49,FQ_FECHA+1,"y")&lt;1,0,MIN(TOPE_IAS_ANIOS,DATEDIF(E49,FQ_FECHA+1,"y")+IF(EDATE(E49,12*DATEDIF(E49,FQ_FECHA+1,"y")+6)&lt;FQ_FECHA+1,1,0))))</f>
        <v/>
      </c>
      <c r="J49" s="71" t="str">
        <f aca="false">IF(G49&lt;&gt;"Sí","",W49+N(INDEX(T_COL,40))+N(INDEX(T_MOV,40)))</f>
        <v/>
      </c>
      <c r="K49" s="71" t="str">
        <f aca="false">IF(G49&lt;&gt;"Sí","",MIN(J49,TOPE_IAS_UF*UF_HOY))</f>
        <v/>
      </c>
      <c r="L49" s="95" t="str">
        <f aca="false">IF(G49&lt;&gt;"Sí","",(1.25*(DATEDIF(E49,FQ_FECHA+1,"m")+(FQ_FECHA+1-EDATE(E49,DATEDIF(E49,FQ_FECHA+1,"m")))/30)+SUMPRODUCT((ANIOS&lt;=DATEDIF(E49,FQ_FECHA+1,"y"))*(X49+ANIOS-10&gt;0)*INT((X49+ANIOS-10)/3))-(SUMIFS(V_DIAS,V_ID,B49,V_INICIO,"&lt;="&amp;FQ_FECHA)+Y49)))</f>
        <v/>
      </c>
      <c r="M49" s="71" t="str">
        <f aca="false">IF(G49&lt;&gt;"Sí","",ROUND(MAX(0,IF(L49&lt;=0,0,WORKDAY(FQ_FECHA,INT(L49),FERIADOS)-FQ_FECHA+(L49-INT(L49))))*V49,0))</f>
        <v/>
      </c>
      <c r="N49" s="71" t="str">
        <f aca="false">IF(G49&lt;&gt;"Sí","",IF(D49="Obra o faena",0,ROUND(K49*I49,0)))</f>
        <v/>
      </c>
      <c r="O49" s="71" t="str">
        <f aca="false">IF(G49&lt;&gt;"Sí","",IF(OR(D49="Obra o faena",FQ_AVISO="Sí"),0,ROUND(K49,0)))</f>
        <v/>
      </c>
      <c r="P49" s="71" t="str">
        <f aca="false">IF(G49&lt;&gt;"Sí","",IF(AND(IMPUTAR_AFC="Sí",N49&gt;0),-MIN(N49,ROUND(AFC_IMPUTABLE_PCT*MIN(W49,TOPE_AFC_UF*UF_HOY)*DATEDIF(E49,FQ_FECHA+1,"m"),0)),0))</f>
        <v/>
      </c>
      <c r="Q49" s="85" t="str">
        <f aca="false">IF(G49&lt;&gt;"Sí","",M49+N49+O49+P49)</f>
        <v/>
      </c>
      <c r="R49" s="85" t="str">
        <f aca="false">IF(G49&lt;&gt;"Sí","",M49)</f>
        <v/>
      </c>
      <c r="S49" s="85" t="str">
        <f aca="false">IF(U49="","",IF(INDEX(CC_ESTADOC,40)="Renovación registrada","",ROUND(MAX(0,IF(U49&lt;=0,0,WORKDAY(F49,INT(U49),FERIADOS)-F49+(U49-INT(U49))))*V49,0)+IF(D49="Obra o faena",ROUND(OBRA_DIAS*K49/30*(DATEDIF(E49,F49+1,"m")+IF(F49+1-EDATE(E49,DATEDIF(E49,F49+1,"m"))&gt;15,1,0)),0),0)))</f>
        <v/>
      </c>
      <c r="T49" s="70" t="str">
        <f aca="false">IF(G49&lt;&gt;"Sí","",IF(D49="Plazo fijo","Despido antes del vencimiento: además existe riesgo de demanda por las remuneraciones hasta el término del plazo",IF(D49="Obra o faena","Al concluir la obra corresponde indemnización de 2,5 días por mes (incluida en la columna S); no IAS",IF(I49=0,"Menos de 1 año: no corresponde IAS (Art. 163)",IF(I49=TOPE_IAS_ANIOS,"IAS en el tope de 11 años","")))))</f>
        <v/>
      </c>
      <c r="U49" s="95" t="str">
        <f aca="false">IF(OR(G49&lt;&gt;"Sí",NOT(ISNUMBER(F49))),"",IF(F49&lt;FQ_FECHA,"",(1.25*(DATEDIF(E49,F49+1,"m")+(F49+1-EDATE(E49,DATEDIF(E49,F49+1,"m")))/30)+SUMPRODUCT((ANIOS&lt;=DATEDIF(E49,F49+1,"y"))*(X49+ANIOS-10&gt;0)*INT((X49+ANIOS-10)/3))-(SUMIFS(V_DIAS,V_ID,B49,V_INICIO,"&lt;="&amp;F49)+Y49))))</f>
        <v/>
      </c>
      <c r="V49" s="71" t="str">
        <f aca="false">IF(G49&lt;&gt;"Sí","",(N(INDEX(T_SUELDO,40))+N(INDEX(T_BONO,40)))/30)</f>
        <v/>
      </c>
      <c r="W49" s="71" t="str">
        <f aca="false">IF(G49&lt;&gt;"Sí","",N(INDEX(T_SUELDO,40))+N(INDEX(T_BONO,40))+IF(LEFT(INDEX(T_GRAT,40)&amp;"",6)="Art. 5",MIN(GRAT_PCT*(N(INDEX(T_SUELDO,40))+N(INDEX(T_BONO,40))),GRAT_TOPE_MES),0))</f>
        <v/>
      </c>
      <c r="X49" s="72" t="str">
        <f aca="false">IF(B49="","",MIN(10,N(INDEX(T_PREV,40))))</f>
        <v/>
      </c>
      <c r="Y49" s="72" t="str">
        <f aca="false">IF(B49="","",N(INDEX(T_VACPREV,40)))</f>
        <v/>
      </c>
      <c r="Z49" s="75" t="str">
        <f aca="false">IF(B49="","",N(INDEX(T_EGRESO,40)))</f>
        <v/>
      </c>
    </row>
    <row r="50" customFormat="false" ht="15" hidden="false" customHeight="false" outlineLevel="0" collapsed="false">
      <c r="B50" s="70" t="str">
        <f aca="false">IFERROR(IF(INDEX(T_ID,41)="","",INDEX(T_ID,41)),"")</f>
        <v/>
      </c>
      <c r="C50" s="70" t="str">
        <f aca="false">IF(B50="","",INDEX(T_NOMBRE,41)&amp;"")</f>
        <v/>
      </c>
      <c r="D50" s="70" t="str">
        <f aca="false">IF(B50="","",INDEX(T_TIPO,41)&amp;"")</f>
        <v/>
      </c>
      <c r="E50" s="75" t="str">
        <f aca="false">IF(B50="","",INDEX(T_INGRESO,41))</f>
        <v/>
      </c>
      <c r="F50" s="75" t="str">
        <f aca="false">IF(B50="","",IF(ISNUMBER(INDEX(CC_VENCE,41)),INDEX(CC_VENCE,41),""))</f>
        <v/>
      </c>
      <c r="G50" s="70" t="str">
        <f aca="false">IF(OR(B50="",NOT(ISNUMBER(E50))),"",IF(AND(E50&lt;=FQ_FECHA,OR(Z50=0,Z50&gt;=FQ_FECHA)),"Sí","No"))</f>
        <v/>
      </c>
      <c r="H50" s="94" t="str">
        <f aca="false">IF(G50&lt;&gt;"Sí","",ROUND((FQ_FECHA+1-E50)/365.25,1))</f>
        <v/>
      </c>
      <c r="I50" s="73" t="str">
        <f aca="false">IF(G50&lt;&gt;"Sí","",IF(DATEDIF(E50,FQ_FECHA+1,"y")&lt;1,0,MIN(TOPE_IAS_ANIOS,DATEDIF(E50,FQ_FECHA+1,"y")+IF(EDATE(E50,12*DATEDIF(E50,FQ_FECHA+1,"y")+6)&lt;FQ_FECHA+1,1,0))))</f>
        <v/>
      </c>
      <c r="J50" s="71" t="str">
        <f aca="false">IF(G50&lt;&gt;"Sí","",W50+N(INDEX(T_COL,41))+N(INDEX(T_MOV,41)))</f>
        <v/>
      </c>
      <c r="K50" s="71" t="str">
        <f aca="false">IF(G50&lt;&gt;"Sí","",MIN(J50,TOPE_IAS_UF*UF_HOY))</f>
        <v/>
      </c>
      <c r="L50" s="95" t="str">
        <f aca="false">IF(G50&lt;&gt;"Sí","",(1.25*(DATEDIF(E50,FQ_FECHA+1,"m")+(FQ_FECHA+1-EDATE(E50,DATEDIF(E50,FQ_FECHA+1,"m")))/30)+SUMPRODUCT((ANIOS&lt;=DATEDIF(E50,FQ_FECHA+1,"y"))*(X50+ANIOS-10&gt;0)*INT((X50+ANIOS-10)/3))-(SUMIFS(V_DIAS,V_ID,B50,V_INICIO,"&lt;="&amp;FQ_FECHA)+Y50)))</f>
        <v/>
      </c>
      <c r="M50" s="71" t="str">
        <f aca="false">IF(G50&lt;&gt;"Sí","",ROUND(MAX(0,IF(L50&lt;=0,0,WORKDAY(FQ_FECHA,INT(L50),FERIADOS)-FQ_FECHA+(L50-INT(L50))))*V50,0))</f>
        <v/>
      </c>
      <c r="N50" s="71" t="str">
        <f aca="false">IF(G50&lt;&gt;"Sí","",IF(D50="Obra o faena",0,ROUND(K50*I50,0)))</f>
        <v/>
      </c>
      <c r="O50" s="71" t="str">
        <f aca="false">IF(G50&lt;&gt;"Sí","",IF(OR(D50="Obra o faena",FQ_AVISO="Sí"),0,ROUND(K50,0)))</f>
        <v/>
      </c>
      <c r="P50" s="71" t="str">
        <f aca="false">IF(G50&lt;&gt;"Sí","",IF(AND(IMPUTAR_AFC="Sí",N50&gt;0),-MIN(N50,ROUND(AFC_IMPUTABLE_PCT*MIN(W50,TOPE_AFC_UF*UF_HOY)*DATEDIF(E50,FQ_FECHA+1,"m"),0)),0))</f>
        <v/>
      </c>
      <c r="Q50" s="85" t="str">
        <f aca="false">IF(G50&lt;&gt;"Sí","",M50+N50+O50+P50)</f>
        <v/>
      </c>
      <c r="R50" s="85" t="str">
        <f aca="false">IF(G50&lt;&gt;"Sí","",M50)</f>
        <v/>
      </c>
      <c r="S50" s="85" t="str">
        <f aca="false">IF(U50="","",IF(INDEX(CC_ESTADOC,41)="Renovación registrada","",ROUND(MAX(0,IF(U50&lt;=0,0,WORKDAY(F50,INT(U50),FERIADOS)-F50+(U50-INT(U50))))*V50,0)+IF(D50="Obra o faena",ROUND(OBRA_DIAS*K50/30*(DATEDIF(E50,F50+1,"m")+IF(F50+1-EDATE(E50,DATEDIF(E50,F50+1,"m"))&gt;15,1,0)),0),0)))</f>
        <v/>
      </c>
      <c r="T50" s="70" t="str">
        <f aca="false">IF(G50&lt;&gt;"Sí","",IF(D50="Plazo fijo","Despido antes del vencimiento: además existe riesgo de demanda por las remuneraciones hasta el término del plazo",IF(D50="Obra o faena","Al concluir la obra corresponde indemnización de 2,5 días por mes (incluida en la columna S); no IAS",IF(I50=0,"Menos de 1 año: no corresponde IAS (Art. 163)",IF(I50=TOPE_IAS_ANIOS,"IAS en el tope de 11 años","")))))</f>
        <v/>
      </c>
      <c r="U50" s="95" t="str">
        <f aca="false">IF(OR(G50&lt;&gt;"Sí",NOT(ISNUMBER(F50))),"",IF(F50&lt;FQ_FECHA,"",(1.25*(DATEDIF(E50,F50+1,"m")+(F50+1-EDATE(E50,DATEDIF(E50,F50+1,"m")))/30)+SUMPRODUCT((ANIOS&lt;=DATEDIF(E50,F50+1,"y"))*(X50+ANIOS-10&gt;0)*INT((X50+ANIOS-10)/3))-(SUMIFS(V_DIAS,V_ID,B50,V_INICIO,"&lt;="&amp;F50)+Y50))))</f>
        <v/>
      </c>
      <c r="V50" s="71" t="str">
        <f aca="false">IF(G50&lt;&gt;"Sí","",(N(INDEX(T_SUELDO,41))+N(INDEX(T_BONO,41)))/30)</f>
        <v/>
      </c>
      <c r="W50" s="71" t="str">
        <f aca="false">IF(G50&lt;&gt;"Sí","",N(INDEX(T_SUELDO,41))+N(INDEX(T_BONO,41))+IF(LEFT(INDEX(T_GRAT,41)&amp;"",6)="Art. 5",MIN(GRAT_PCT*(N(INDEX(T_SUELDO,41))+N(INDEX(T_BONO,41))),GRAT_TOPE_MES),0))</f>
        <v/>
      </c>
      <c r="X50" s="72" t="str">
        <f aca="false">IF(B50="","",MIN(10,N(INDEX(T_PREV,41))))</f>
        <v/>
      </c>
      <c r="Y50" s="72" t="str">
        <f aca="false">IF(B50="","",N(INDEX(T_VACPREV,41)))</f>
        <v/>
      </c>
      <c r="Z50" s="75" t="str">
        <f aca="false">IF(B50="","",N(INDEX(T_EGRESO,41)))</f>
        <v/>
      </c>
    </row>
    <row r="51" customFormat="false" ht="15" hidden="false" customHeight="false" outlineLevel="0" collapsed="false">
      <c r="B51" s="70" t="str">
        <f aca="false">IFERROR(IF(INDEX(T_ID,42)="","",INDEX(T_ID,42)),"")</f>
        <v/>
      </c>
      <c r="C51" s="70" t="str">
        <f aca="false">IF(B51="","",INDEX(T_NOMBRE,42)&amp;"")</f>
        <v/>
      </c>
      <c r="D51" s="70" t="str">
        <f aca="false">IF(B51="","",INDEX(T_TIPO,42)&amp;"")</f>
        <v/>
      </c>
      <c r="E51" s="75" t="str">
        <f aca="false">IF(B51="","",INDEX(T_INGRESO,42))</f>
        <v/>
      </c>
      <c r="F51" s="75" t="str">
        <f aca="false">IF(B51="","",IF(ISNUMBER(INDEX(CC_VENCE,42)),INDEX(CC_VENCE,42),""))</f>
        <v/>
      </c>
      <c r="G51" s="70" t="str">
        <f aca="false">IF(OR(B51="",NOT(ISNUMBER(E51))),"",IF(AND(E51&lt;=FQ_FECHA,OR(Z51=0,Z51&gt;=FQ_FECHA)),"Sí","No"))</f>
        <v/>
      </c>
      <c r="H51" s="94" t="str">
        <f aca="false">IF(G51&lt;&gt;"Sí","",ROUND((FQ_FECHA+1-E51)/365.25,1))</f>
        <v/>
      </c>
      <c r="I51" s="73" t="str">
        <f aca="false">IF(G51&lt;&gt;"Sí","",IF(DATEDIF(E51,FQ_FECHA+1,"y")&lt;1,0,MIN(TOPE_IAS_ANIOS,DATEDIF(E51,FQ_FECHA+1,"y")+IF(EDATE(E51,12*DATEDIF(E51,FQ_FECHA+1,"y")+6)&lt;FQ_FECHA+1,1,0))))</f>
        <v/>
      </c>
      <c r="J51" s="71" t="str">
        <f aca="false">IF(G51&lt;&gt;"Sí","",W51+N(INDEX(T_COL,42))+N(INDEX(T_MOV,42)))</f>
        <v/>
      </c>
      <c r="K51" s="71" t="str">
        <f aca="false">IF(G51&lt;&gt;"Sí","",MIN(J51,TOPE_IAS_UF*UF_HOY))</f>
        <v/>
      </c>
      <c r="L51" s="95" t="str">
        <f aca="false">IF(G51&lt;&gt;"Sí","",(1.25*(DATEDIF(E51,FQ_FECHA+1,"m")+(FQ_FECHA+1-EDATE(E51,DATEDIF(E51,FQ_FECHA+1,"m")))/30)+SUMPRODUCT((ANIOS&lt;=DATEDIF(E51,FQ_FECHA+1,"y"))*(X51+ANIOS-10&gt;0)*INT((X51+ANIOS-10)/3))-(SUMIFS(V_DIAS,V_ID,B51,V_INICIO,"&lt;="&amp;FQ_FECHA)+Y51)))</f>
        <v/>
      </c>
      <c r="M51" s="71" t="str">
        <f aca="false">IF(G51&lt;&gt;"Sí","",ROUND(MAX(0,IF(L51&lt;=0,0,WORKDAY(FQ_FECHA,INT(L51),FERIADOS)-FQ_FECHA+(L51-INT(L51))))*V51,0))</f>
        <v/>
      </c>
      <c r="N51" s="71" t="str">
        <f aca="false">IF(G51&lt;&gt;"Sí","",IF(D51="Obra o faena",0,ROUND(K51*I51,0)))</f>
        <v/>
      </c>
      <c r="O51" s="71" t="str">
        <f aca="false">IF(G51&lt;&gt;"Sí","",IF(OR(D51="Obra o faena",FQ_AVISO="Sí"),0,ROUND(K51,0)))</f>
        <v/>
      </c>
      <c r="P51" s="71" t="str">
        <f aca="false">IF(G51&lt;&gt;"Sí","",IF(AND(IMPUTAR_AFC="Sí",N51&gt;0),-MIN(N51,ROUND(AFC_IMPUTABLE_PCT*MIN(W51,TOPE_AFC_UF*UF_HOY)*DATEDIF(E51,FQ_FECHA+1,"m"),0)),0))</f>
        <v/>
      </c>
      <c r="Q51" s="85" t="str">
        <f aca="false">IF(G51&lt;&gt;"Sí","",M51+N51+O51+P51)</f>
        <v/>
      </c>
      <c r="R51" s="85" t="str">
        <f aca="false">IF(G51&lt;&gt;"Sí","",M51)</f>
        <v/>
      </c>
      <c r="S51" s="85" t="str">
        <f aca="false">IF(U51="","",IF(INDEX(CC_ESTADOC,42)="Renovación registrada","",ROUND(MAX(0,IF(U51&lt;=0,0,WORKDAY(F51,INT(U51),FERIADOS)-F51+(U51-INT(U51))))*V51,0)+IF(D51="Obra o faena",ROUND(OBRA_DIAS*K51/30*(DATEDIF(E51,F51+1,"m")+IF(F51+1-EDATE(E51,DATEDIF(E51,F51+1,"m"))&gt;15,1,0)),0),0)))</f>
        <v/>
      </c>
      <c r="T51" s="70" t="str">
        <f aca="false">IF(G51&lt;&gt;"Sí","",IF(D51="Plazo fijo","Despido antes del vencimiento: además existe riesgo de demanda por las remuneraciones hasta el término del plazo",IF(D51="Obra o faena","Al concluir la obra corresponde indemnización de 2,5 días por mes (incluida en la columna S); no IAS",IF(I51=0,"Menos de 1 año: no corresponde IAS (Art. 163)",IF(I51=TOPE_IAS_ANIOS,"IAS en el tope de 11 años","")))))</f>
        <v/>
      </c>
      <c r="U51" s="95" t="str">
        <f aca="false">IF(OR(G51&lt;&gt;"Sí",NOT(ISNUMBER(F51))),"",IF(F51&lt;FQ_FECHA,"",(1.25*(DATEDIF(E51,F51+1,"m")+(F51+1-EDATE(E51,DATEDIF(E51,F51+1,"m")))/30)+SUMPRODUCT((ANIOS&lt;=DATEDIF(E51,F51+1,"y"))*(X51+ANIOS-10&gt;0)*INT((X51+ANIOS-10)/3))-(SUMIFS(V_DIAS,V_ID,B51,V_INICIO,"&lt;="&amp;F51)+Y51))))</f>
        <v/>
      </c>
      <c r="V51" s="71" t="str">
        <f aca="false">IF(G51&lt;&gt;"Sí","",(N(INDEX(T_SUELDO,42))+N(INDEX(T_BONO,42)))/30)</f>
        <v/>
      </c>
      <c r="W51" s="71" t="str">
        <f aca="false">IF(G51&lt;&gt;"Sí","",N(INDEX(T_SUELDO,42))+N(INDEX(T_BONO,42))+IF(LEFT(INDEX(T_GRAT,42)&amp;"",6)="Art. 5",MIN(GRAT_PCT*(N(INDEX(T_SUELDO,42))+N(INDEX(T_BONO,42))),GRAT_TOPE_MES),0))</f>
        <v/>
      </c>
      <c r="X51" s="72" t="str">
        <f aca="false">IF(B51="","",MIN(10,N(INDEX(T_PREV,42))))</f>
        <v/>
      </c>
      <c r="Y51" s="72" t="str">
        <f aca="false">IF(B51="","",N(INDEX(T_VACPREV,42)))</f>
        <v/>
      </c>
      <c r="Z51" s="75" t="str">
        <f aca="false">IF(B51="","",N(INDEX(T_EGRESO,42)))</f>
        <v/>
      </c>
    </row>
    <row r="52" customFormat="false" ht="15" hidden="false" customHeight="false" outlineLevel="0" collapsed="false">
      <c r="B52" s="70" t="str">
        <f aca="false">IFERROR(IF(INDEX(T_ID,43)="","",INDEX(T_ID,43)),"")</f>
        <v/>
      </c>
      <c r="C52" s="70" t="str">
        <f aca="false">IF(B52="","",INDEX(T_NOMBRE,43)&amp;"")</f>
        <v/>
      </c>
      <c r="D52" s="70" t="str">
        <f aca="false">IF(B52="","",INDEX(T_TIPO,43)&amp;"")</f>
        <v/>
      </c>
      <c r="E52" s="75" t="str">
        <f aca="false">IF(B52="","",INDEX(T_INGRESO,43))</f>
        <v/>
      </c>
      <c r="F52" s="75" t="str">
        <f aca="false">IF(B52="","",IF(ISNUMBER(INDEX(CC_VENCE,43)),INDEX(CC_VENCE,43),""))</f>
        <v/>
      </c>
      <c r="G52" s="70" t="str">
        <f aca="false">IF(OR(B52="",NOT(ISNUMBER(E52))),"",IF(AND(E52&lt;=FQ_FECHA,OR(Z52=0,Z52&gt;=FQ_FECHA)),"Sí","No"))</f>
        <v/>
      </c>
      <c r="H52" s="94" t="str">
        <f aca="false">IF(G52&lt;&gt;"Sí","",ROUND((FQ_FECHA+1-E52)/365.25,1))</f>
        <v/>
      </c>
      <c r="I52" s="73" t="str">
        <f aca="false">IF(G52&lt;&gt;"Sí","",IF(DATEDIF(E52,FQ_FECHA+1,"y")&lt;1,0,MIN(TOPE_IAS_ANIOS,DATEDIF(E52,FQ_FECHA+1,"y")+IF(EDATE(E52,12*DATEDIF(E52,FQ_FECHA+1,"y")+6)&lt;FQ_FECHA+1,1,0))))</f>
        <v/>
      </c>
      <c r="J52" s="71" t="str">
        <f aca="false">IF(G52&lt;&gt;"Sí","",W52+N(INDEX(T_COL,43))+N(INDEX(T_MOV,43)))</f>
        <v/>
      </c>
      <c r="K52" s="71" t="str">
        <f aca="false">IF(G52&lt;&gt;"Sí","",MIN(J52,TOPE_IAS_UF*UF_HOY))</f>
        <v/>
      </c>
      <c r="L52" s="95" t="str">
        <f aca="false">IF(G52&lt;&gt;"Sí","",(1.25*(DATEDIF(E52,FQ_FECHA+1,"m")+(FQ_FECHA+1-EDATE(E52,DATEDIF(E52,FQ_FECHA+1,"m")))/30)+SUMPRODUCT((ANIOS&lt;=DATEDIF(E52,FQ_FECHA+1,"y"))*(X52+ANIOS-10&gt;0)*INT((X52+ANIOS-10)/3))-(SUMIFS(V_DIAS,V_ID,B52,V_INICIO,"&lt;="&amp;FQ_FECHA)+Y52)))</f>
        <v/>
      </c>
      <c r="M52" s="71" t="str">
        <f aca="false">IF(G52&lt;&gt;"Sí","",ROUND(MAX(0,IF(L52&lt;=0,0,WORKDAY(FQ_FECHA,INT(L52),FERIADOS)-FQ_FECHA+(L52-INT(L52))))*V52,0))</f>
        <v/>
      </c>
      <c r="N52" s="71" t="str">
        <f aca="false">IF(G52&lt;&gt;"Sí","",IF(D52="Obra o faena",0,ROUND(K52*I52,0)))</f>
        <v/>
      </c>
      <c r="O52" s="71" t="str">
        <f aca="false">IF(G52&lt;&gt;"Sí","",IF(OR(D52="Obra o faena",FQ_AVISO="Sí"),0,ROUND(K52,0)))</f>
        <v/>
      </c>
      <c r="P52" s="71" t="str">
        <f aca="false">IF(G52&lt;&gt;"Sí","",IF(AND(IMPUTAR_AFC="Sí",N52&gt;0),-MIN(N52,ROUND(AFC_IMPUTABLE_PCT*MIN(W52,TOPE_AFC_UF*UF_HOY)*DATEDIF(E52,FQ_FECHA+1,"m"),0)),0))</f>
        <v/>
      </c>
      <c r="Q52" s="85" t="str">
        <f aca="false">IF(G52&lt;&gt;"Sí","",M52+N52+O52+P52)</f>
        <v/>
      </c>
      <c r="R52" s="85" t="str">
        <f aca="false">IF(G52&lt;&gt;"Sí","",M52)</f>
        <v/>
      </c>
      <c r="S52" s="85" t="str">
        <f aca="false">IF(U52="","",IF(INDEX(CC_ESTADOC,43)="Renovación registrada","",ROUND(MAX(0,IF(U52&lt;=0,0,WORKDAY(F52,INT(U52),FERIADOS)-F52+(U52-INT(U52))))*V52,0)+IF(D52="Obra o faena",ROUND(OBRA_DIAS*K52/30*(DATEDIF(E52,F52+1,"m")+IF(F52+1-EDATE(E52,DATEDIF(E52,F52+1,"m"))&gt;15,1,0)),0),0)))</f>
        <v/>
      </c>
      <c r="T52" s="70" t="str">
        <f aca="false">IF(G52&lt;&gt;"Sí","",IF(D52="Plazo fijo","Despido antes del vencimiento: además existe riesgo de demanda por las remuneraciones hasta el término del plazo",IF(D52="Obra o faena","Al concluir la obra corresponde indemnización de 2,5 días por mes (incluida en la columna S); no IAS",IF(I52=0,"Menos de 1 año: no corresponde IAS (Art. 163)",IF(I52=TOPE_IAS_ANIOS,"IAS en el tope de 11 años","")))))</f>
        <v/>
      </c>
      <c r="U52" s="95" t="str">
        <f aca="false">IF(OR(G52&lt;&gt;"Sí",NOT(ISNUMBER(F52))),"",IF(F52&lt;FQ_FECHA,"",(1.25*(DATEDIF(E52,F52+1,"m")+(F52+1-EDATE(E52,DATEDIF(E52,F52+1,"m")))/30)+SUMPRODUCT((ANIOS&lt;=DATEDIF(E52,F52+1,"y"))*(X52+ANIOS-10&gt;0)*INT((X52+ANIOS-10)/3))-(SUMIFS(V_DIAS,V_ID,B52,V_INICIO,"&lt;="&amp;F52)+Y52))))</f>
        <v/>
      </c>
      <c r="V52" s="71" t="str">
        <f aca="false">IF(G52&lt;&gt;"Sí","",(N(INDEX(T_SUELDO,43))+N(INDEX(T_BONO,43)))/30)</f>
        <v/>
      </c>
      <c r="W52" s="71" t="str">
        <f aca="false">IF(G52&lt;&gt;"Sí","",N(INDEX(T_SUELDO,43))+N(INDEX(T_BONO,43))+IF(LEFT(INDEX(T_GRAT,43)&amp;"",6)="Art. 5",MIN(GRAT_PCT*(N(INDEX(T_SUELDO,43))+N(INDEX(T_BONO,43))),GRAT_TOPE_MES),0))</f>
        <v/>
      </c>
      <c r="X52" s="72" t="str">
        <f aca="false">IF(B52="","",MIN(10,N(INDEX(T_PREV,43))))</f>
        <v/>
      </c>
      <c r="Y52" s="72" t="str">
        <f aca="false">IF(B52="","",N(INDEX(T_VACPREV,43)))</f>
        <v/>
      </c>
      <c r="Z52" s="75" t="str">
        <f aca="false">IF(B52="","",N(INDEX(T_EGRESO,43)))</f>
        <v/>
      </c>
    </row>
    <row r="53" customFormat="false" ht="15" hidden="false" customHeight="false" outlineLevel="0" collapsed="false">
      <c r="B53" s="70" t="str">
        <f aca="false">IFERROR(IF(INDEX(T_ID,44)="","",INDEX(T_ID,44)),"")</f>
        <v/>
      </c>
      <c r="C53" s="70" t="str">
        <f aca="false">IF(B53="","",INDEX(T_NOMBRE,44)&amp;"")</f>
        <v/>
      </c>
      <c r="D53" s="70" t="str">
        <f aca="false">IF(B53="","",INDEX(T_TIPO,44)&amp;"")</f>
        <v/>
      </c>
      <c r="E53" s="75" t="str">
        <f aca="false">IF(B53="","",INDEX(T_INGRESO,44))</f>
        <v/>
      </c>
      <c r="F53" s="75" t="str">
        <f aca="false">IF(B53="","",IF(ISNUMBER(INDEX(CC_VENCE,44)),INDEX(CC_VENCE,44),""))</f>
        <v/>
      </c>
      <c r="G53" s="70" t="str">
        <f aca="false">IF(OR(B53="",NOT(ISNUMBER(E53))),"",IF(AND(E53&lt;=FQ_FECHA,OR(Z53=0,Z53&gt;=FQ_FECHA)),"Sí","No"))</f>
        <v/>
      </c>
      <c r="H53" s="94" t="str">
        <f aca="false">IF(G53&lt;&gt;"Sí","",ROUND((FQ_FECHA+1-E53)/365.25,1))</f>
        <v/>
      </c>
      <c r="I53" s="73" t="str">
        <f aca="false">IF(G53&lt;&gt;"Sí","",IF(DATEDIF(E53,FQ_FECHA+1,"y")&lt;1,0,MIN(TOPE_IAS_ANIOS,DATEDIF(E53,FQ_FECHA+1,"y")+IF(EDATE(E53,12*DATEDIF(E53,FQ_FECHA+1,"y")+6)&lt;FQ_FECHA+1,1,0))))</f>
        <v/>
      </c>
      <c r="J53" s="71" t="str">
        <f aca="false">IF(G53&lt;&gt;"Sí","",W53+N(INDEX(T_COL,44))+N(INDEX(T_MOV,44)))</f>
        <v/>
      </c>
      <c r="K53" s="71" t="str">
        <f aca="false">IF(G53&lt;&gt;"Sí","",MIN(J53,TOPE_IAS_UF*UF_HOY))</f>
        <v/>
      </c>
      <c r="L53" s="95" t="str">
        <f aca="false">IF(G53&lt;&gt;"Sí","",(1.25*(DATEDIF(E53,FQ_FECHA+1,"m")+(FQ_FECHA+1-EDATE(E53,DATEDIF(E53,FQ_FECHA+1,"m")))/30)+SUMPRODUCT((ANIOS&lt;=DATEDIF(E53,FQ_FECHA+1,"y"))*(X53+ANIOS-10&gt;0)*INT((X53+ANIOS-10)/3))-(SUMIFS(V_DIAS,V_ID,B53,V_INICIO,"&lt;="&amp;FQ_FECHA)+Y53)))</f>
        <v/>
      </c>
      <c r="M53" s="71" t="str">
        <f aca="false">IF(G53&lt;&gt;"Sí","",ROUND(MAX(0,IF(L53&lt;=0,0,WORKDAY(FQ_FECHA,INT(L53),FERIADOS)-FQ_FECHA+(L53-INT(L53))))*V53,0))</f>
        <v/>
      </c>
      <c r="N53" s="71" t="str">
        <f aca="false">IF(G53&lt;&gt;"Sí","",IF(D53="Obra o faena",0,ROUND(K53*I53,0)))</f>
        <v/>
      </c>
      <c r="O53" s="71" t="str">
        <f aca="false">IF(G53&lt;&gt;"Sí","",IF(OR(D53="Obra o faena",FQ_AVISO="Sí"),0,ROUND(K53,0)))</f>
        <v/>
      </c>
      <c r="P53" s="71" t="str">
        <f aca="false">IF(G53&lt;&gt;"Sí","",IF(AND(IMPUTAR_AFC="Sí",N53&gt;0),-MIN(N53,ROUND(AFC_IMPUTABLE_PCT*MIN(W53,TOPE_AFC_UF*UF_HOY)*DATEDIF(E53,FQ_FECHA+1,"m"),0)),0))</f>
        <v/>
      </c>
      <c r="Q53" s="85" t="str">
        <f aca="false">IF(G53&lt;&gt;"Sí","",M53+N53+O53+P53)</f>
        <v/>
      </c>
      <c r="R53" s="85" t="str">
        <f aca="false">IF(G53&lt;&gt;"Sí","",M53)</f>
        <v/>
      </c>
      <c r="S53" s="85" t="str">
        <f aca="false">IF(U53="","",IF(INDEX(CC_ESTADOC,44)="Renovación registrada","",ROUND(MAX(0,IF(U53&lt;=0,0,WORKDAY(F53,INT(U53),FERIADOS)-F53+(U53-INT(U53))))*V53,0)+IF(D53="Obra o faena",ROUND(OBRA_DIAS*K53/30*(DATEDIF(E53,F53+1,"m")+IF(F53+1-EDATE(E53,DATEDIF(E53,F53+1,"m"))&gt;15,1,0)),0),0)))</f>
        <v/>
      </c>
      <c r="T53" s="70" t="str">
        <f aca="false">IF(G53&lt;&gt;"Sí","",IF(D53="Plazo fijo","Despido antes del vencimiento: además existe riesgo de demanda por las remuneraciones hasta el término del plazo",IF(D53="Obra o faena","Al concluir la obra corresponde indemnización de 2,5 días por mes (incluida en la columna S); no IAS",IF(I53=0,"Menos de 1 año: no corresponde IAS (Art. 163)",IF(I53=TOPE_IAS_ANIOS,"IAS en el tope de 11 años","")))))</f>
        <v/>
      </c>
      <c r="U53" s="95" t="str">
        <f aca="false">IF(OR(G53&lt;&gt;"Sí",NOT(ISNUMBER(F53))),"",IF(F53&lt;FQ_FECHA,"",(1.25*(DATEDIF(E53,F53+1,"m")+(F53+1-EDATE(E53,DATEDIF(E53,F53+1,"m")))/30)+SUMPRODUCT((ANIOS&lt;=DATEDIF(E53,F53+1,"y"))*(X53+ANIOS-10&gt;0)*INT((X53+ANIOS-10)/3))-(SUMIFS(V_DIAS,V_ID,B53,V_INICIO,"&lt;="&amp;F53)+Y53))))</f>
        <v/>
      </c>
      <c r="V53" s="71" t="str">
        <f aca="false">IF(G53&lt;&gt;"Sí","",(N(INDEX(T_SUELDO,44))+N(INDEX(T_BONO,44)))/30)</f>
        <v/>
      </c>
      <c r="W53" s="71" t="str">
        <f aca="false">IF(G53&lt;&gt;"Sí","",N(INDEX(T_SUELDO,44))+N(INDEX(T_BONO,44))+IF(LEFT(INDEX(T_GRAT,44)&amp;"",6)="Art. 5",MIN(GRAT_PCT*(N(INDEX(T_SUELDO,44))+N(INDEX(T_BONO,44))),GRAT_TOPE_MES),0))</f>
        <v/>
      </c>
      <c r="X53" s="72" t="str">
        <f aca="false">IF(B53="","",MIN(10,N(INDEX(T_PREV,44))))</f>
        <v/>
      </c>
      <c r="Y53" s="72" t="str">
        <f aca="false">IF(B53="","",N(INDEX(T_VACPREV,44)))</f>
        <v/>
      </c>
      <c r="Z53" s="75" t="str">
        <f aca="false">IF(B53="","",N(INDEX(T_EGRESO,44)))</f>
        <v/>
      </c>
    </row>
    <row r="54" customFormat="false" ht="15" hidden="false" customHeight="false" outlineLevel="0" collapsed="false">
      <c r="B54" s="70" t="str">
        <f aca="false">IFERROR(IF(INDEX(T_ID,45)="","",INDEX(T_ID,45)),"")</f>
        <v/>
      </c>
      <c r="C54" s="70" t="str">
        <f aca="false">IF(B54="","",INDEX(T_NOMBRE,45)&amp;"")</f>
        <v/>
      </c>
      <c r="D54" s="70" t="str">
        <f aca="false">IF(B54="","",INDEX(T_TIPO,45)&amp;"")</f>
        <v/>
      </c>
      <c r="E54" s="75" t="str">
        <f aca="false">IF(B54="","",INDEX(T_INGRESO,45))</f>
        <v/>
      </c>
      <c r="F54" s="75" t="str">
        <f aca="false">IF(B54="","",IF(ISNUMBER(INDEX(CC_VENCE,45)),INDEX(CC_VENCE,45),""))</f>
        <v/>
      </c>
      <c r="G54" s="70" t="str">
        <f aca="false">IF(OR(B54="",NOT(ISNUMBER(E54))),"",IF(AND(E54&lt;=FQ_FECHA,OR(Z54=0,Z54&gt;=FQ_FECHA)),"Sí","No"))</f>
        <v/>
      </c>
      <c r="H54" s="94" t="str">
        <f aca="false">IF(G54&lt;&gt;"Sí","",ROUND((FQ_FECHA+1-E54)/365.25,1))</f>
        <v/>
      </c>
      <c r="I54" s="73" t="str">
        <f aca="false">IF(G54&lt;&gt;"Sí","",IF(DATEDIF(E54,FQ_FECHA+1,"y")&lt;1,0,MIN(TOPE_IAS_ANIOS,DATEDIF(E54,FQ_FECHA+1,"y")+IF(EDATE(E54,12*DATEDIF(E54,FQ_FECHA+1,"y")+6)&lt;FQ_FECHA+1,1,0))))</f>
        <v/>
      </c>
      <c r="J54" s="71" t="str">
        <f aca="false">IF(G54&lt;&gt;"Sí","",W54+N(INDEX(T_COL,45))+N(INDEX(T_MOV,45)))</f>
        <v/>
      </c>
      <c r="K54" s="71" t="str">
        <f aca="false">IF(G54&lt;&gt;"Sí","",MIN(J54,TOPE_IAS_UF*UF_HOY))</f>
        <v/>
      </c>
      <c r="L54" s="95" t="str">
        <f aca="false">IF(G54&lt;&gt;"Sí","",(1.25*(DATEDIF(E54,FQ_FECHA+1,"m")+(FQ_FECHA+1-EDATE(E54,DATEDIF(E54,FQ_FECHA+1,"m")))/30)+SUMPRODUCT((ANIOS&lt;=DATEDIF(E54,FQ_FECHA+1,"y"))*(X54+ANIOS-10&gt;0)*INT((X54+ANIOS-10)/3))-(SUMIFS(V_DIAS,V_ID,B54,V_INICIO,"&lt;="&amp;FQ_FECHA)+Y54)))</f>
        <v/>
      </c>
      <c r="M54" s="71" t="str">
        <f aca="false">IF(G54&lt;&gt;"Sí","",ROUND(MAX(0,IF(L54&lt;=0,0,WORKDAY(FQ_FECHA,INT(L54),FERIADOS)-FQ_FECHA+(L54-INT(L54))))*V54,0))</f>
        <v/>
      </c>
      <c r="N54" s="71" t="str">
        <f aca="false">IF(G54&lt;&gt;"Sí","",IF(D54="Obra o faena",0,ROUND(K54*I54,0)))</f>
        <v/>
      </c>
      <c r="O54" s="71" t="str">
        <f aca="false">IF(G54&lt;&gt;"Sí","",IF(OR(D54="Obra o faena",FQ_AVISO="Sí"),0,ROUND(K54,0)))</f>
        <v/>
      </c>
      <c r="P54" s="71" t="str">
        <f aca="false">IF(G54&lt;&gt;"Sí","",IF(AND(IMPUTAR_AFC="Sí",N54&gt;0),-MIN(N54,ROUND(AFC_IMPUTABLE_PCT*MIN(W54,TOPE_AFC_UF*UF_HOY)*DATEDIF(E54,FQ_FECHA+1,"m"),0)),0))</f>
        <v/>
      </c>
      <c r="Q54" s="85" t="str">
        <f aca="false">IF(G54&lt;&gt;"Sí","",M54+N54+O54+P54)</f>
        <v/>
      </c>
      <c r="R54" s="85" t="str">
        <f aca="false">IF(G54&lt;&gt;"Sí","",M54)</f>
        <v/>
      </c>
      <c r="S54" s="85" t="str">
        <f aca="false">IF(U54="","",IF(INDEX(CC_ESTADOC,45)="Renovación registrada","",ROUND(MAX(0,IF(U54&lt;=0,0,WORKDAY(F54,INT(U54),FERIADOS)-F54+(U54-INT(U54))))*V54,0)+IF(D54="Obra o faena",ROUND(OBRA_DIAS*K54/30*(DATEDIF(E54,F54+1,"m")+IF(F54+1-EDATE(E54,DATEDIF(E54,F54+1,"m"))&gt;15,1,0)),0),0)))</f>
        <v/>
      </c>
      <c r="T54" s="70" t="str">
        <f aca="false">IF(G54&lt;&gt;"Sí","",IF(D54="Plazo fijo","Despido antes del vencimiento: además existe riesgo de demanda por las remuneraciones hasta el término del plazo",IF(D54="Obra o faena","Al concluir la obra corresponde indemnización de 2,5 días por mes (incluida en la columna S); no IAS",IF(I54=0,"Menos de 1 año: no corresponde IAS (Art. 163)",IF(I54=TOPE_IAS_ANIOS,"IAS en el tope de 11 años","")))))</f>
        <v/>
      </c>
      <c r="U54" s="95" t="str">
        <f aca="false">IF(OR(G54&lt;&gt;"Sí",NOT(ISNUMBER(F54))),"",IF(F54&lt;FQ_FECHA,"",(1.25*(DATEDIF(E54,F54+1,"m")+(F54+1-EDATE(E54,DATEDIF(E54,F54+1,"m")))/30)+SUMPRODUCT((ANIOS&lt;=DATEDIF(E54,F54+1,"y"))*(X54+ANIOS-10&gt;0)*INT((X54+ANIOS-10)/3))-(SUMIFS(V_DIAS,V_ID,B54,V_INICIO,"&lt;="&amp;F54)+Y54))))</f>
        <v/>
      </c>
      <c r="V54" s="71" t="str">
        <f aca="false">IF(G54&lt;&gt;"Sí","",(N(INDEX(T_SUELDO,45))+N(INDEX(T_BONO,45)))/30)</f>
        <v/>
      </c>
      <c r="W54" s="71" t="str">
        <f aca="false">IF(G54&lt;&gt;"Sí","",N(INDEX(T_SUELDO,45))+N(INDEX(T_BONO,45))+IF(LEFT(INDEX(T_GRAT,45)&amp;"",6)="Art. 5",MIN(GRAT_PCT*(N(INDEX(T_SUELDO,45))+N(INDEX(T_BONO,45))),GRAT_TOPE_MES),0))</f>
        <v/>
      </c>
      <c r="X54" s="72" t="str">
        <f aca="false">IF(B54="","",MIN(10,N(INDEX(T_PREV,45))))</f>
        <v/>
      </c>
      <c r="Y54" s="72" t="str">
        <f aca="false">IF(B54="","",N(INDEX(T_VACPREV,45)))</f>
        <v/>
      </c>
      <c r="Z54" s="75" t="str">
        <f aca="false">IF(B54="","",N(INDEX(T_EGRESO,45)))</f>
        <v/>
      </c>
    </row>
    <row r="55" customFormat="false" ht="15" hidden="false" customHeight="false" outlineLevel="0" collapsed="false">
      <c r="B55" s="70" t="str">
        <f aca="false">IFERROR(IF(INDEX(T_ID,46)="","",INDEX(T_ID,46)),"")</f>
        <v/>
      </c>
      <c r="C55" s="70" t="str">
        <f aca="false">IF(B55="","",INDEX(T_NOMBRE,46)&amp;"")</f>
        <v/>
      </c>
      <c r="D55" s="70" t="str">
        <f aca="false">IF(B55="","",INDEX(T_TIPO,46)&amp;"")</f>
        <v/>
      </c>
      <c r="E55" s="75" t="str">
        <f aca="false">IF(B55="","",INDEX(T_INGRESO,46))</f>
        <v/>
      </c>
      <c r="F55" s="75" t="str">
        <f aca="false">IF(B55="","",IF(ISNUMBER(INDEX(CC_VENCE,46)),INDEX(CC_VENCE,46),""))</f>
        <v/>
      </c>
      <c r="G55" s="70" t="str">
        <f aca="false">IF(OR(B55="",NOT(ISNUMBER(E55))),"",IF(AND(E55&lt;=FQ_FECHA,OR(Z55=0,Z55&gt;=FQ_FECHA)),"Sí","No"))</f>
        <v/>
      </c>
      <c r="H55" s="94" t="str">
        <f aca="false">IF(G55&lt;&gt;"Sí","",ROUND((FQ_FECHA+1-E55)/365.25,1))</f>
        <v/>
      </c>
      <c r="I55" s="73" t="str">
        <f aca="false">IF(G55&lt;&gt;"Sí","",IF(DATEDIF(E55,FQ_FECHA+1,"y")&lt;1,0,MIN(TOPE_IAS_ANIOS,DATEDIF(E55,FQ_FECHA+1,"y")+IF(EDATE(E55,12*DATEDIF(E55,FQ_FECHA+1,"y")+6)&lt;FQ_FECHA+1,1,0))))</f>
        <v/>
      </c>
      <c r="J55" s="71" t="str">
        <f aca="false">IF(G55&lt;&gt;"Sí","",W55+N(INDEX(T_COL,46))+N(INDEX(T_MOV,46)))</f>
        <v/>
      </c>
      <c r="K55" s="71" t="str">
        <f aca="false">IF(G55&lt;&gt;"Sí","",MIN(J55,TOPE_IAS_UF*UF_HOY))</f>
        <v/>
      </c>
      <c r="L55" s="95" t="str">
        <f aca="false">IF(G55&lt;&gt;"Sí","",(1.25*(DATEDIF(E55,FQ_FECHA+1,"m")+(FQ_FECHA+1-EDATE(E55,DATEDIF(E55,FQ_FECHA+1,"m")))/30)+SUMPRODUCT((ANIOS&lt;=DATEDIF(E55,FQ_FECHA+1,"y"))*(X55+ANIOS-10&gt;0)*INT((X55+ANIOS-10)/3))-(SUMIFS(V_DIAS,V_ID,B55,V_INICIO,"&lt;="&amp;FQ_FECHA)+Y55)))</f>
        <v/>
      </c>
      <c r="M55" s="71" t="str">
        <f aca="false">IF(G55&lt;&gt;"Sí","",ROUND(MAX(0,IF(L55&lt;=0,0,WORKDAY(FQ_FECHA,INT(L55),FERIADOS)-FQ_FECHA+(L55-INT(L55))))*V55,0))</f>
        <v/>
      </c>
      <c r="N55" s="71" t="str">
        <f aca="false">IF(G55&lt;&gt;"Sí","",IF(D55="Obra o faena",0,ROUND(K55*I55,0)))</f>
        <v/>
      </c>
      <c r="O55" s="71" t="str">
        <f aca="false">IF(G55&lt;&gt;"Sí","",IF(OR(D55="Obra o faena",FQ_AVISO="Sí"),0,ROUND(K55,0)))</f>
        <v/>
      </c>
      <c r="P55" s="71" t="str">
        <f aca="false">IF(G55&lt;&gt;"Sí","",IF(AND(IMPUTAR_AFC="Sí",N55&gt;0),-MIN(N55,ROUND(AFC_IMPUTABLE_PCT*MIN(W55,TOPE_AFC_UF*UF_HOY)*DATEDIF(E55,FQ_FECHA+1,"m"),0)),0))</f>
        <v/>
      </c>
      <c r="Q55" s="85" t="str">
        <f aca="false">IF(G55&lt;&gt;"Sí","",M55+N55+O55+P55)</f>
        <v/>
      </c>
      <c r="R55" s="85" t="str">
        <f aca="false">IF(G55&lt;&gt;"Sí","",M55)</f>
        <v/>
      </c>
      <c r="S55" s="85" t="str">
        <f aca="false">IF(U55="","",IF(INDEX(CC_ESTADOC,46)="Renovación registrada","",ROUND(MAX(0,IF(U55&lt;=0,0,WORKDAY(F55,INT(U55),FERIADOS)-F55+(U55-INT(U55))))*V55,0)+IF(D55="Obra o faena",ROUND(OBRA_DIAS*K55/30*(DATEDIF(E55,F55+1,"m")+IF(F55+1-EDATE(E55,DATEDIF(E55,F55+1,"m"))&gt;15,1,0)),0),0)))</f>
        <v/>
      </c>
      <c r="T55" s="70" t="str">
        <f aca="false">IF(G55&lt;&gt;"Sí","",IF(D55="Plazo fijo","Despido antes del vencimiento: además existe riesgo de demanda por las remuneraciones hasta el término del plazo",IF(D55="Obra o faena","Al concluir la obra corresponde indemnización de 2,5 días por mes (incluida en la columna S); no IAS",IF(I55=0,"Menos de 1 año: no corresponde IAS (Art. 163)",IF(I55=TOPE_IAS_ANIOS,"IAS en el tope de 11 años","")))))</f>
        <v/>
      </c>
      <c r="U55" s="95" t="str">
        <f aca="false">IF(OR(G55&lt;&gt;"Sí",NOT(ISNUMBER(F55))),"",IF(F55&lt;FQ_FECHA,"",(1.25*(DATEDIF(E55,F55+1,"m")+(F55+1-EDATE(E55,DATEDIF(E55,F55+1,"m")))/30)+SUMPRODUCT((ANIOS&lt;=DATEDIF(E55,F55+1,"y"))*(X55+ANIOS-10&gt;0)*INT((X55+ANIOS-10)/3))-(SUMIFS(V_DIAS,V_ID,B55,V_INICIO,"&lt;="&amp;F55)+Y55))))</f>
        <v/>
      </c>
      <c r="V55" s="71" t="str">
        <f aca="false">IF(G55&lt;&gt;"Sí","",(N(INDEX(T_SUELDO,46))+N(INDEX(T_BONO,46)))/30)</f>
        <v/>
      </c>
      <c r="W55" s="71" t="str">
        <f aca="false">IF(G55&lt;&gt;"Sí","",N(INDEX(T_SUELDO,46))+N(INDEX(T_BONO,46))+IF(LEFT(INDEX(T_GRAT,46)&amp;"",6)="Art. 5",MIN(GRAT_PCT*(N(INDEX(T_SUELDO,46))+N(INDEX(T_BONO,46))),GRAT_TOPE_MES),0))</f>
        <v/>
      </c>
      <c r="X55" s="72" t="str">
        <f aca="false">IF(B55="","",MIN(10,N(INDEX(T_PREV,46))))</f>
        <v/>
      </c>
      <c r="Y55" s="72" t="str">
        <f aca="false">IF(B55="","",N(INDEX(T_VACPREV,46)))</f>
        <v/>
      </c>
      <c r="Z55" s="75" t="str">
        <f aca="false">IF(B55="","",N(INDEX(T_EGRESO,46)))</f>
        <v/>
      </c>
    </row>
    <row r="56" customFormat="false" ht="15" hidden="false" customHeight="false" outlineLevel="0" collapsed="false">
      <c r="B56" s="70" t="str">
        <f aca="false">IFERROR(IF(INDEX(T_ID,47)="","",INDEX(T_ID,47)),"")</f>
        <v/>
      </c>
      <c r="C56" s="70" t="str">
        <f aca="false">IF(B56="","",INDEX(T_NOMBRE,47)&amp;"")</f>
        <v/>
      </c>
      <c r="D56" s="70" t="str">
        <f aca="false">IF(B56="","",INDEX(T_TIPO,47)&amp;"")</f>
        <v/>
      </c>
      <c r="E56" s="75" t="str">
        <f aca="false">IF(B56="","",INDEX(T_INGRESO,47))</f>
        <v/>
      </c>
      <c r="F56" s="75" t="str">
        <f aca="false">IF(B56="","",IF(ISNUMBER(INDEX(CC_VENCE,47)),INDEX(CC_VENCE,47),""))</f>
        <v/>
      </c>
      <c r="G56" s="70" t="str">
        <f aca="false">IF(OR(B56="",NOT(ISNUMBER(E56))),"",IF(AND(E56&lt;=FQ_FECHA,OR(Z56=0,Z56&gt;=FQ_FECHA)),"Sí","No"))</f>
        <v/>
      </c>
      <c r="H56" s="94" t="str">
        <f aca="false">IF(G56&lt;&gt;"Sí","",ROUND((FQ_FECHA+1-E56)/365.25,1))</f>
        <v/>
      </c>
      <c r="I56" s="73" t="str">
        <f aca="false">IF(G56&lt;&gt;"Sí","",IF(DATEDIF(E56,FQ_FECHA+1,"y")&lt;1,0,MIN(TOPE_IAS_ANIOS,DATEDIF(E56,FQ_FECHA+1,"y")+IF(EDATE(E56,12*DATEDIF(E56,FQ_FECHA+1,"y")+6)&lt;FQ_FECHA+1,1,0))))</f>
        <v/>
      </c>
      <c r="J56" s="71" t="str">
        <f aca="false">IF(G56&lt;&gt;"Sí","",W56+N(INDEX(T_COL,47))+N(INDEX(T_MOV,47)))</f>
        <v/>
      </c>
      <c r="K56" s="71" t="str">
        <f aca="false">IF(G56&lt;&gt;"Sí","",MIN(J56,TOPE_IAS_UF*UF_HOY))</f>
        <v/>
      </c>
      <c r="L56" s="95" t="str">
        <f aca="false">IF(G56&lt;&gt;"Sí","",(1.25*(DATEDIF(E56,FQ_FECHA+1,"m")+(FQ_FECHA+1-EDATE(E56,DATEDIF(E56,FQ_FECHA+1,"m")))/30)+SUMPRODUCT((ANIOS&lt;=DATEDIF(E56,FQ_FECHA+1,"y"))*(X56+ANIOS-10&gt;0)*INT((X56+ANIOS-10)/3))-(SUMIFS(V_DIAS,V_ID,B56,V_INICIO,"&lt;="&amp;FQ_FECHA)+Y56)))</f>
        <v/>
      </c>
      <c r="M56" s="71" t="str">
        <f aca="false">IF(G56&lt;&gt;"Sí","",ROUND(MAX(0,IF(L56&lt;=0,0,WORKDAY(FQ_FECHA,INT(L56),FERIADOS)-FQ_FECHA+(L56-INT(L56))))*V56,0))</f>
        <v/>
      </c>
      <c r="N56" s="71" t="str">
        <f aca="false">IF(G56&lt;&gt;"Sí","",IF(D56="Obra o faena",0,ROUND(K56*I56,0)))</f>
        <v/>
      </c>
      <c r="O56" s="71" t="str">
        <f aca="false">IF(G56&lt;&gt;"Sí","",IF(OR(D56="Obra o faena",FQ_AVISO="Sí"),0,ROUND(K56,0)))</f>
        <v/>
      </c>
      <c r="P56" s="71" t="str">
        <f aca="false">IF(G56&lt;&gt;"Sí","",IF(AND(IMPUTAR_AFC="Sí",N56&gt;0),-MIN(N56,ROUND(AFC_IMPUTABLE_PCT*MIN(W56,TOPE_AFC_UF*UF_HOY)*DATEDIF(E56,FQ_FECHA+1,"m"),0)),0))</f>
        <v/>
      </c>
      <c r="Q56" s="85" t="str">
        <f aca="false">IF(G56&lt;&gt;"Sí","",M56+N56+O56+P56)</f>
        <v/>
      </c>
      <c r="R56" s="85" t="str">
        <f aca="false">IF(G56&lt;&gt;"Sí","",M56)</f>
        <v/>
      </c>
      <c r="S56" s="85" t="str">
        <f aca="false">IF(U56="","",IF(INDEX(CC_ESTADOC,47)="Renovación registrada","",ROUND(MAX(0,IF(U56&lt;=0,0,WORKDAY(F56,INT(U56),FERIADOS)-F56+(U56-INT(U56))))*V56,0)+IF(D56="Obra o faena",ROUND(OBRA_DIAS*K56/30*(DATEDIF(E56,F56+1,"m")+IF(F56+1-EDATE(E56,DATEDIF(E56,F56+1,"m"))&gt;15,1,0)),0),0)))</f>
        <v/>
      </c>
      <c r="T56" s="70" t="str">
        <f aca="false">IF(G56&lt;&gt;"Sí","",IF(D56="Plazo fijo","Despido antes del vencimiento: además existe riesgo de demanda por las remuneraciones hasta el término del plazo",IF(D56="Obra o faena","Al concluir la obra corresponde indemnización de 2,5 días por mes (incluida en la columna S); no IAS",IF(I56=0,"Menos de 1 año: no corresponde IAS (Art. 163)",IF(I56=TOPE_IAS_ANIOS,"IAS en el tope de 11 años","")))))</f>
        <v/>
      </c>
      <c r="U56" s="95" t="str">
        <f aca="false">IF(OR(G56&lt;&gt;"Sí",NOT(ISNUMBER(F56))),"",IF(F56&lt;FQ_FECHA,"",(1.25*(DATEDIF(E56,F56+1,"m")+(F56+1-EDATE(E56,DATEDIF(E56,F56+1,"m")))/30)+SUMPRODUCT((ANIOS&lt;=DATEDIF(E56,F56+1,"y"))*(X56+ANIOS-10&gt;0)*INT((X56+ANIOS-10)/3))-(SUMIFS(V_DIAS,V_ID,B56,V_INICIO,"&lt;="&amp;F56)+Y56))))</f>
        <v/>
      </c>
      <c r="V56" s="71" t="str">
        <f aca="false">IF(G56&lt;&gt;"Sí","",(N(INDEX(T_SUELDO,47))+N(INDEX(T_BONO,47)))/30)</f>
        <v/>
      </c>
      <c r="W56" s="71" t="str">
        <f aca="false">IF(G56&lt;&gt;"Sí","",N(INDEX(T_SUELDO,47))+N(INDEX(T_BONO,47))+IF(LEFT(INDEX(T_GRAT,47)&amp;"",6)="Art. 5",MIN(GRAT_PCT*(N(INDEX(T_SUELDO,47))+N(INDEX(T_BONO,47))),GRAT_TOPE_MES),0))</f>
        <v/>
      </c>
      <c r="X56" s="72" t="str">
        <f aca="false">IF(B56="","",MIN(10,N(INDEX(T_PREV,47))))</f>
        <v/>
      </c>
      <c r="Y56" s="72" t="str">
        <f aca="false">IF(B56="","",N(INDEX(T_VACPREV,47)))</f>
        <v/>
      </c>
      <c r="Z56" s="75" t="str">
        <f aca="false">IF(B56="","",N(INDEX(T_EGRESO,47)))</f>
        <v/>
      </c>
    </row>
    <row r="57" customFormat="false" ht="15" hidden="false" customHeight="false" outlineLevel="0" collapsed="false">
      <c r="B57" s="70" t="str">
        <f aca="false">IFERROR(IF(INDEX(T_ID,48)="","",INDEX(T_ID,48)),"")</f>
        <v/>
      </c>
      <c r="C57" s="70" t="str">
        <f aca="false">IF(B57="","",INDEX(T_NOMBRE,48)&amp;"")</f>
        <v/>
      </c>
      <c r="D57" s="70" t="str">
        <f aca="false">IF(B57="","",INDEX(T_TIPO,48)&amp;"")</f>
        <v/>
      </c>
      <c r="E57" s="75" t="str">
        <f aca="false">IF(B57="","",INDEX(T_INGRESO,48))</f>
        <v/>
      </c>
      <c r="F57" s="75" t="str">
        <f aca="false">IF(B57="","",IF(ISNUMBER(INDEX(CC_VENCE,48)),INDEX(CC_VENCE,48),""))</f>
        <v/>
      </c>
      <c r="G57" s="70" t="str">
        <f aca="false">IF(OR(B57="",NOT(ISNUMBER(E57))),"",IF(AND(E57&lt;=FQ_FECHA,OR(Z57=0,Z57&gt;=FQ_FECHA)),"Sí","No"))</f>
        <v/>
      </c>
      <c r="H57" s="94" t="str">
        <f aca="false">IF(G57&lt;&gt;"Sí","",ROUND((FQ_FECHA+1-E57)/365.25,1))</f>
        <v/>
      </c>
      <c r="I57" s="73" t="str">
        <f aca="false">IF(G57&lt;&gt;"Sí","",IF(DATEDIF(E57,FQ_FECHA+1,"y")&lt;1,0,MIN(TOPE_IAS_ANIOS,DATEDIF(E57,FQ_FECHA+1,"y")+IF(EDATE(E57,12*DATEDIF(E57,FQ_FECHA+1,"y")+6)&lt;FQ_FECHA+1,1,0))))</f>
        <v/>
      </c>
      <c r="J57" s="71" t="str">
        <f aca="false">IF(G57&lt;&gt;"Sí","",W57+N(INDEX(T_COL,48))+N(INDEX(T_MOV,48)))</f>
        <v/>
      </c>
      <c r="K57" s="71" t="str">
        <f aca="false">IF(G57&lt;&gt;"Sí","",MIN(J57,TOPE_IAS_UF*UF_HOY))</f>
        <v/>
      </c>
      <c r="L57" s="95" t="str">
        <f aca="false">IF(G57&lt;&gt;"Sí","",(1.25*(DATEDIF(E57,FQ_FECHA+1,"m")+(FQ_FECHA+1-EDATE(E57,DATEDIF(E57,FQ_FECHA+1,"m")))/30)+SUMPRODUCT((ANIOS&lt;=DATEDIF(E57,FQ_FECHA+1,"y"))*(X57+ANIOS-10&gt;0)*INT((X57+ANIOS-10)/3))-(SUMIFS(V_DIAS,V_ID,B57,V_INICIO,"&lt;="&amp;FQ_FECHA)+Y57)))</f>
        <v/>
      </c>
      <c r="M57" s="71" t="str">
        <f aca="false">IF(G57&lt;&gt;"Sí","",ROUND(MAX(0,IF(L57&lt;=0,0,WORKDAY(FQ_FECHA,INT(L57),FERIADOS)-FQ_FECHA+(L57-INT(L57))))*V57,0))</f>
        <v/>
      </c>
      <c r="N57" s="71" t="str">
        <f aca="false">IF(G57&lt;&gt;"Sí","",IF(D57="Obra o faena",0,ROUND(K57*I57,0)))</f>
        <v/>
      </c>
      <c r="O57" s="71" t="str">
        <f aca="false">IF(G57&lt;&gt;"Sí","",IF(OR(D57="Obra o faena",FQ_AVISO="Sí"),0,ROUND(K57,0)))</f>
        <v/>
      </c>
      <c r="P57" s="71" t="str">
        <f aca="false">IF(G57&lt;&gt;"Sí","",IF(AND(IMPUTAR_AFC="Sí",N57&gt;0),-MIN(N57,ROUND(AFC_IMPUTABLE_PCT*MIN(W57,TOPE_AFC_UF*UF_HOY)*DATEDIF(E57,FQ_FECHA+1,"m"),0)),0))</f>
        <v/>
      </c>
      <c r="Q57" s="85" t="str">
        <f aca="false">IF(G57&lt;&gt;"Sí","",M57+N57+O57+P57)</f>
        <v/>
      </c>
      <c r="R57" s="85" t="str">
        <f aca="false">IF(G57&lt;&gt;"Sí","",M57)</f>
        <v/>
      </c>
      <c r="S57" s="85" t="str">
        <f aca="false">IF(U57="","",IF(INDEX(CC_ESTADOC,48)="Renovación registrada","",ROUND(MAX(0,IF(U57&lt;=0,0,WORKDAY(F57,INT(U57),FERIADOS)-F57+(U57-INT(U57))))*V57,0)+IF(D57="Obra o faena",ROUND(OBRA_DIAS*K57/30*(DATEDIF(E57,F57+1,"m")+IF(F57+1-EDATE(E57,DATEDIF(E57,F57+1,"m"))&gt;15,1,0)),0),0)))</f>
        <v/>
      </c>
      <c r="T57" s="70" t="str">
        <f aca="false">IF(G57&lt;&gt;"Sí","",IF(D57="Plazo fijo","Despido antes del vencimiento: además existe riesgo de demanda por las remuneraciones hasta el término del plazo",IF(D57="Obra o faena","Al concluir la obra corresponde indemnización de 2,5 días por mes (incluida en la columna S); no IAS",IF(I57=0,"Menos de 1 año: no corresponde IAS (Art. 163)",IF(I57=TOPE_IAS_ANIOS,"IAS en el tope de 11 años","")))))</f>
        <v/>
      </c>
      <c r="U57" s="95" t="str">
        <f aca="false">IF(OR(G57&lt;&gt;"Sí",NOT(ISNUMBER(F57))),"",IF(F57&lt;FQ_FECHA,"",(1.25*(DATEDIF(E57,F57+1,"m")+(F57+1-EDATE(E57,DATEDIF(E57,F57+1,"m")))/30)+SUMPRODUCT((ANIOS&lt;=DATEDIF(E57,F57+1,"y"))*(X57+ANIOS-10&gt;0)*INT((X57+ANIOS-10)/3))-(SUMIFS(V_DIAS,V_ID,B57,V_INICIO,"&lt;="&amp;F57)+Y57))))</f>
        <v/>
      </c>
      <c r="V57" s="71" t="str">
        <f aca="false">IF(G57&lt;&gt;"Sí","",(N(INDEX(T_SUELDO,48))+N(INDEX(T_BONO,48)))/30)</f>
        <v/>
      </c>
      <c r="W57" s="71" t="str">
        <f aca="false">IF(G57&lt;&gt;"Sí","",N(INDEX(T_SUELDO,48))+N(INDEX(T_BONO,48))+IF(LEFT(INDEX(T_GRAT,48)&amp;"",6)="Art. 5",MIN(GRAT_PCT*(N(INDEX(T_SUELDO,48))+N(INDEX(T_BONO,48))),GRAT_TOPE_MES),0))</f>
        <v/>
      </c>
      <c r="X57" s="72" t="str">
        <f aca="false">IF(B57="","",MIN(10,N(INDEX(T_PREV,48))))</f>
        <v/>
      </c>
      <c r="Y57" s="72" t="str">
        <f aca="false">IF(B57="","",N(INDEX(T_VACPREV,48)))</f>
        <v/>
      </c>
      <c r="Z57" s="75" t="str">
        <f aca="false">IF(B57="","",N(INDEX(T_EGRESO,48)))</f>
        <v/>
      </c>
    </row>
    <row r="58" customFormat="false" ht="15" hidden="false" customHeight="false" outlineLevel="0" collapsed="false">
      <c r="B58" s="70" t="str">
        <f aca="false">IFERROR(IF(INDEX(T_ID,49)="","",INDEX(T_ID,49)),"")</f>
        <v/>
      </c>
      <c r="C58" s="70" t="str">
        <f aca="false">IF(B58="","",INDEX(T_NOMBRE,49)&amp;"")</f>
        <v/>
      </c>
      <c r="D58" s="70" t="str">
        <f aca="false">IF(B58="","",INDEX(T_TIPO,49)&amp;"")</f>
        <v/>
      </c>
      <c r="E58" s="75" t="str">
        <f aca="false">IF(B58="","",INDEX(T_INGRESO,49))</f>
        <v/>
      </c>
      <c r="F58" s="75" t="str">
        <f aca="false">IF(B58="","",IF(ISNUMBER(INDEX(CC_VENCE,49)),INDEX(CC_VENCE,49),""))</f>
        <v/>
      </c>
      <c r="G58" s="70" t="str">
        <f aca="false">IF(OR(B58="",NOT(ISNUMBER(E58))),"",IF(AND(E58&lt;=FQ_FECHA,OR(Z58=0,Z58&gt;=FQ_FECHA)),"Sí","No"))</f>
        <v/>
      </c>
      <c r="H58" s="94" t="str">
        <f aca="false">IF(G58&lt;&gt;"Sí","",ROUND((FQ_FECHA+1-E58)/365.25,1))</f>
        <v/>
      </c>
      <c r="I58" s="73" t="str">
        <f aca="false">IF(G58&lt;&gt;"Sí","",IF(DATEDIF(E58,FQ_FECHA+1,"y")&lt;1,0,MIN(TOPE_IAS_ANIOS,DATEDIF(E58,FQ_FECHA+1,"y")+IF(EDATE(E58,12*DATEDIF(E58,FQ_FECHA+1,"y")+6)&lt;FQ_FECHA+1,1,0))))</f>
        <v/>
      </c>
      <c r="J58" s="71" t="str">
        <f aca="false">IF(G58&lt;&gt;"Sí","",W58+N(INDEX(T_COL,49))+N(INDEX(T_MOV,49)))</f>
        <v/>
      </c>
      <c r="K58" s="71" t="str">
        <f aca="false">IF(G58&lt;&gt;"Sí","",MIN(J58,TOPE_IAS_UF*UF_HOY))</f>
        <v/>
      </c>
      <c r="L58" s="95" t="str">
        <f aca="false">IF(G58&lt;&gt;"Sí","",(1.25*(DATEDIF(E58,FQ_FECHA+1,"m")+(FQ_FECHA+1-EDATE(E58,DATEDIF(E58,FQ_FECHA+1,"m")))/30)+SUMPRODUCT((ANIOS&lt;=DATEDIF(E58,FQ_FECHA+1,"y"))*(X58+ANIOS-10&gt;0)*INT((X58+ANIOS-10)/3))-(SUMIFS(V_DIAS,V_ID,B58,V_INICIO,"&lt;="&amp;FQ_FECHA)+Y58)))</f>
        <v/>
      </c>
      <c r="M58" s="71" t="str">
        <f aca="false">IF(G58&lt;&gt;"Sí","",ROUND(MAX(0,IF(L58&lt;=0,0,WORKDAY(FQ_FECHA,INT(L58),FERIADOS)-FQ_FECHA+(L58-INT(L58))))*V58,0))</f>
        <v/>
      </c>
      <c r="N58" s="71" t="str">
        <f aca="false">IF(G58&lt;&gt;"Sí","",IF(D58="Obra o faena",0,ROUND(K58*I58,0)))</f>
        <v/>
      </c>
      <c r="O58" s="71" t="str">
        <f aca="false">IF(G58&lt;&gt;"Sí","",IF(OR(D58="Obra o faena",FQ_AVISO="Sí"),0,ROUND(K58,0)))</f>
        <v/>
      </c>
      <c r="P58" s="71" t="str">
        <f aca="false">IF(G58&lt;&gt;"Sí","",IF(AND(IMPUTAR_AFC="Sí",N58&gt;0),-MIN(N58,ROUND(AFC_IMPUTABLE_PCT*MIN(W58,TOPE_AFC_UF*UF_HOY)*DATEDIF(E58,FQ_FECHA+1,"m"),0)),0))</f>
        <v/>
      </c>
      <c r="Q58" s="85" t="str">
        <f aca="false">IF(G58&lt;&gt;"Sí","",M58+N58+O58+P58)</f>
        <v/>
      </c>
      <c r="R58" s="85" t="str">
        <f aca="false">IF(G58&lt;&gt;"Sí","",M58)</f>
        <v/>
      </c>
      <c r="S58" s="85" t="str">
        <f aca="false">IF(U58="","",IF(INDEX(CC_ESTADOC,49)="Renovación registrada","",ROUND(MAX(0,IF(U58&lt;=0,0,WORKDAY(F58,INT(U58),FERIADOS)-F58+(U58-INT(U58))))*V58,0)+IF(D58="Obra o faena",ROUND(OBRA_DIAS*K58/30*(DATEDIF(E58,F58+1,"m")+IF(F58+1-EDATE(E58,DATEDIF(E58,F58+1,"m"))&gt;15,1,0)),0),0)))</f>
        <v/>
      </c>
      <c r="T58" s="70" t="str">
        <f aca="false">IF(G58&lt;&gt;"Sí","",IF(D58="Plazo fijo","Despido antes del vencimiento: además existe riesgo de demanda por las remuneraciones hasta el término del plazo",IF(D58="Obra o faena","Al concluir la obra corresponde indemnización de 2,5 días por mes (incluida en la columna S); no IAS",IF(I58=0,"Menos de 1 año: no corresponde IAS (Art. 163)",IF(I58=TOPE_IAS_ANIOS,"IAS en el tope de 11 años","")))))</f>
        <v/>
      </c>
      <c r="U58" s="95" t="str">
        <f aca="false">IF(OR(G58&lt;&gt;"Sí",NOT(ISNUMBER(F58))),"",IF(F58&lt;FQ_FECHA,"",(1.25*(DATEDIF(E58,F58+1,"m")+(F58+1-EDATE(E58,DATEDIF(E58,F58+1,"m")))/30)+SUMPRODUCT((ANIOS&lt;=DATEDIF(E58,F58+1,"y"))*(X58+ANIOS-10&gt;0)*INT((X58+ANIOS-10)/3))-(SUMIFS(V_DIAS,V_ID,B58,V_INICIO,"&lt;="&amp;F58)+Y58))))</f>
        <v/>
      </c>
      <c r="V58" s="71" t="str">
        <f aca="false">IF(G58&lt;&gt;"Sí","",(N(INDEX(T_SUELDO,49))+N(INDEX(T_BONO,49)))/30)</f>
        <v/>
      </c>
      <c r="W58" s="71" t="str">
        <f aca="false">IF(G58&lt;&gt;"Sí","",N(INDEX(T_SUELDO,49))+N(INDEX(T_BONO,49))+IF(LEFT(INDEX(T_GRAT,49)&amp;"",6)="Art. 5",MIN(GRAT_PCT*(N(INDEX(T_SUELDO,49))+N(INDEX(T_BONO,49))),GRAT_TOPE_MES),0))</f>
        <v/>
      </c>
      <c r="X58" s="72" t="str">
        <f aca="false">IF(B58="","",MIN(10,N(INDEX(T_PREV,49))))</f>
        <v/>
      </c>
      <c r="Y58" s="72" t="str">
        <f aca="false">IF(B58="","",N(INDEX(T_VACPREV,49)))</f>
        <v/>
      </c>
      <c r="Z58" s="75" t="str">
        <f aca="false">IF(B58="","",N(INDEX(T_EGRESO,49)))</f>
        <v/>
      </c>
    </row>
    <row r="59" customFormat="false" ht="15" hidden="false" customHeight="false" outlineLevel="0" collapsed="false">
      <c r="B59" s="70" t="str">
        <f aca="false">IFERROR(IF(INDEX(T_ID,50)="","",INDEX(T_ID,50)),"")</f>
        <v/>
      </c>
      <c r="C59" s="70" t="str">
        <f aca="false">IF(B59="","",INDEX(T_NOMBRE,50)&amp;"")</f>
        <v/>
      </c>
      <c r="D59" s="70" t="str">
        <f aca="false">IF(B59="","",INDEX(T_TIPO,50)&amp;"")</f>
        <v/>
      </c>
      <c r="E59" s="75" t="str">
        <f aca="false">IF(B59="","",INDEX(T_INGRESO,50))</f>
        <v/>
      </c>
      <c r="F59" s="75" t="str">
        <f aca="false">IF(B59="","",IF(ISNUMBER(INDEX(CC_VENCE,50)),INDEX(CC_VENCE,50),""))</f>
        <v/>
      </c>
      <c r="G59" s="70" t="str">
        <f aca="false">IF(OR(B59="",NOT(ISNUMBER(E59))),"",IF(AND(E59&lt;=FQ_FECHA,OR(Z59=0,Z59&gt;=FQ_FECHA)),"Sí","No"))</f>
        <v/>
      </c>
      <c r="H59" s="94" t="str">
        <f aca="false">IF(G59&lt;&gt;"Sí","",ROUND((FQ_FECHA+1-E59)/365.25,1))</f>
        <v/>
      </c>
      <c r="I59" s="73" t="str">
        <f aca="false">IF(G59&lt;&gt;"Sí","",IF(DATEDIF(E59,FQ_FECHA+1,"y")&lt;1,0,MIN(TOPE_IAS_ANIOS,DATEDIF(E59,FQ_FECHA+1,"y")+IF(EDATE(E59,12*DATEDIF(E59,FQ_FECHA+1,"y")+6)&lt;FQ_FECHA+1,1,0))))</f>
        <v/>
      </c>
      <c r="J59" s="71" t="str">
        <f aca="false">IF(G59&lt;&gt;"Sí","",W59+N(INDEX(T_COL,50))+N(INDEX(T_MOV,50)))</f>
        <v/>
      </c>
      <c r="K59" s="71" t="str">
        <f aca="false">IF(G59&lt;&gt;"Sí","",MIN(J59,TOPE_IAS_UF*UF_HOY))</f>
        <v/>
      </c>
      <c r="L59" s="95" t="str">
        <f aca="false">IF(G59&lt;&gt;"Sí","",(1.25*(DATEDIF(E59,FQ_FECHA+1,"m")+(FQ_FECHA+1-EDATE(E59,DATEDIF(E59,FQ_FECHA+1,"m")))/30)+SUMPRODUCT((ANIOS&lt;=DATEDIF(E59,FQ_FECHA+1,"y"))*(X59+ANIOS-10&gt;0)*INT((X59+ANIOS-10)/3))-(SUMIFS(V_DIAS,V_ID,B59,V_INICIO,"&lt;="&amp;FQ_FECHA)+Y59)))</f>
        <v/>
      </c>
      <c r="M59" s="71" t="str">
        <f aca="false">IF(G59&lt;&gt;"Sí","",ROUND(MAX(0,IF(L59&lt;=0,0,WORKDAY(FQ_FECHA,INT(L59),FERIADOS)-FQ_FECHA+(L59-INT(L59))))*V59,0))</f>
        <v/>
      </c>
      <c r="N59" s="71" t="str">
        <f aca="false">IF(G59&lt;&gt;"Sí","",IF(D59="Obra o faena",0,ROUND(K59*I59,0)))</f>
        <v/>
      </c>
      <c r="O59" s="71" t="str">
        <f aca="false">IF(G59&lt;&gt;"Sí","",IF(OR(D59="Obra o faena",FQ_AVISO="Sí"),0,ROUND(K59,0)))</f>
        <v/>
      </c>
      <c r="P59" s="71" t="str">
        <f aca="false">IF(G59&lt;&gt;"Sí","",IF(AND(IMPUTAR_AFC="Sí",N59&gt;0),-MIN(N59,ROUND(AFC_IMPUTABLE_PCT*MIN(W59,TOPE_AFC_UF*UF_HOY)*DATEDIF(E59,FQ_FECHA+1,"m"),0)),0))</f>
        <v/>
      </c>
      <c r="Q59" s="85" t="str">
        <f aca="false">IF(G59&lt;&gt;"Sí","",M59+N59+O59+P59)</f>
        <v/>
      </c>
      <c r="R59" s="85" t="str">
        <f aca="false">IF(G59&lt;&gt;"Sí","",M59)</f>
        <v/>
      </c>
      <c r="S59" s="85" t="str">
        <f aca="false">IF(U59="","",IF(INDEX(CC_ESTADOC,50)="Renovación registrada","",ROUND(MAX(0,IF(U59&lt;=0,0,WORKDAY(F59,INT(U59),FERIADOS)-F59+(U59-INT(U59))))*V59,0)+IF(D59="Obra o faena",ROUND(OBRA_DIAS*K59/30*(DATEDIF(E59,F59+1,"m")+IF(F59+1-EDATE(E59,DATEDIF(E59,F59+1,"m"))&gt;15,1,0)),0),0)))</f>
        <v/>
      </c>
      <c r="T59" s="70" t="str">
        <f aca="false">IF(G59&lt;&gt;"Sí","",IF(D59="Plazo fijo","Despido antes del vencimiento: además existe riesgo de demanda por las remuneraciones hasta el término del plazo",IF(D59="Obra o faena","Al concluir la obra corresponde indemnización de 2,5 días por mes (incluida en la columna S); no IAS",IF(I59=0,"Menos de 1 año: no corresponde IAS (Art. 163)",IF(I59=TOPE_IAS_ANIOS,"IAS en el tope de 11 años","")))))</f>
        <v/>
      </c>
      <c r="U59" s="95" t="str">
        <f aca="false">IF(OR(G59&lt;&gt;"Sí",NOT(ISNUMBER(F59))),"",IF(F59&lt;FQ_FECHA,"",(1.25*(DATEDIF(E59,F59+1,"m")+(F59+1-EDATE(E59,DATEDIF(E59,F59+1,"m")))/30)+SUMPRODUCT((ANIOS&lt;=DATEDIF(E59,F59+1,"y"))*(X59+ANIOS-10&gt;0)*INT((X59+ANIOS-10)/3))-(SUMIFS(V_DIAS,V_ID,B59,V_INICIO,"&lt;="&amp;F59)+Y59))))</f>
        <v/>
      </c>
      <c r="V59" s="71" t="str">
        <f aca="false">IF(G59&lt;&gt;"Sí","",(N(INDEX(T_SUELDO,50))+N(INDEX(T_BONO,50)))/30)</f>
        <v/>
      </c>
      <c r="W59" s="71" t="str">
        <f aca="false">IF(G59&lt;&gt;"Sí","",N(INDEX(T_SUELDO,50))+N(INDEX(T_BONO,50))+IF(LEFT(INDEX(T_GRAT,50)&amp;"",6)="Art. 5",MIN(GRAT_PCT*(N(INDEX(T_SUELDO,50))+N(INDEX(T_BONO,50))),GRAT_TOPE_MES),0))</f>
        <v/>
      </c>
      <c r="X59" s="72" t="str">
        <f aca="false">IF(B59="","",MIN(10,N(INDEX(T_PREV,50))))</f>
        <v/>
      </c>
      <c r="Y59" s="72" t="str">
        <f aca="false">IF(B59="","",N(INDEX(T_VACPREV,50)))</f>
        <v/>
      </c>
      <c r="Z59" s="75" t="str">
        <f aca="false">IF(B59="","",N(INDEX(T_EGRESO,50)))</f>
        <v/>
      </c>
    </row>
    <row r="60" customFormat="false" ht="15" hidden="false" customHeight="false" outlineLevel="0" collapsed="false">
      <c r="B60" s="70" t="str">
        <f aca="false">IFERROR(IF(INDEX(T_ID,51)="","",INDEX(T_ID,51)),"")</f>
        <v/>
      </c>
      <c r="C60" s="70" t="str">
        <f aca="false">IF(B60="","",INDEX(T_NOMBRE,51)&amp;"")</f>
        <v/>
      </c>
      <c r="D60" s="70" t="str">
        <f aca="false">IF(B60="","",INDEX(T_TIPO,51)&amp;"")</f>
        <v/>
      </c>
      <c r="E60" s="75" t="str">
        <f aca="false">IF(B60="","",INDEX(T_INGRESO,51))</f>
        <v/>
      </c>
      <c r="F60" s="75" t="str">
        <f aca="false">IF(B60="","",IF(ISNUMBER(INDEX(CC_VENCE,51)),INDEX(CC_VENCE,51),""))</f>
        <v/>
      </c>
      <c r="G60" s="70" t="str">
        <f aca="false">IF(OR(B60="",NOT(ISNUMBER(E60))),"",IF(AND(E60&lt;=FQ_FECHA,OR(Z60=0,Z60&gt;=FQ_FECHA)),"Sí","No"))</f>
        <v/>
      </c>
      <c r="H60" s="94" t="str">
        <f aca="false">IF(G60&lt;&gt;"Sí","",ROUND((FQ_FECHA+1-E60)/365.25,1))</f>
        <v/>
      </c>
      <c r="I60" s="73" t="str">
        <f aca="false">IF(G60&lt;&gt;"Sí","",IF(DATEDIF(E60,FQ_FECHA+1,"y")&lt;1,0,MIN(TOPE_IAS_ANIOS,DATEDIF(E60,FQ_FECHA+1,"y")+IF(EDATE(E60,12*DATEDIF(E60,FQ_FECHA+1,"y")+6)&lt;FQ_FECHA+1,1,0))))</f>
        <v/>
      </c>
      <c r="J60" s="71" t="str">
        <f aca="false">IF(G60&lt;&gt;"Sí","",W60+N(INDEX(T_COL,51))+N(INDEX(T_MOV,51)))</f>
        <v/>
      </c>
      <c r="K60" s="71" t="str">
        <f aca="false">IF(G60&lt;&gt;"Sí","",MIN(J60,TOPE_IAS_UF*UF_HOY))</f>
        <v/>
      </c>
      <c r="L60" s="95" t="str">
        <f aca="false">IF(G60&lt;&gt;"Sí","",(1.25*(DATEDIF(E60,FQ_FECHA+1,"m")+(FQ_FECHA+1-EDATE(E60,DATEDIF(E60,FQ_FECHA+1,"m")))/30)+SUMPRODUCT((ANIOS&lt;=DATEDIF(E60,FQ_FECHA+1,"y"))*(X60+ANIOS-10&gt;0)*INT((X60+ANIOS-10)/3))-(SUMIFS(V_DIAS,V_ID,B60,V_INICIO,"&lt;="&amp;FQ_FECHA)+Y60)))</f>
        <v/>
      </c>
      <c r="M60" s="71" t="str">
        <f aca="false">IF(G60&lt;&gt;"Sí","",ROUND(MAX(0,IF(L60&lt;=0,0,WORKDAY(FQ_FECHA,INT(L60),FERIADOS)-FQ_FECHA+(L60-INT(L60))))*V60,0))</f>
        <v/>
      </c>
      <c r="N60" s="71" t="str">
        <f aca="false">IF(G60&lt;&gt;"Sí","",IF(D60="Obra o faena",0,ROUND(K60*I60,0)))</f>
        <v/>
      </c>
      <c r="O60" s="71" t="str">
        <f aca="false">IF(G60&lt;&gt;"Sí","",IF(OR(D60="Obra o faena",FQ_AVISO="Sí"),0,ROUND(K60,0)))</f>
        <v/>
      </c>
      <c r="P60" s="71" t="str">
        <f aca="false">IF(G60&lt;&gt;"Sí","",IF(AND(IMPUTAR_AFC="Sí",N60&gt;0),-MIN(N60,ROUND(AFC_IMPUTABLE_PCT*MIN(W60,TOPE_AFC_UF*UF_HOY)*DATEDIF(E60,FQ_FECHA+1,"m"),0)),0))</f>
        <v/>
      </c>
      <c r="Q60" s="85" t="str">
        <f aca="false">IF(G60&lt;&gt;"Sí","",M60+N60+O60+P60)</f>
        <v/>
      </c>
      <c r="R60" s="85" t="str">
        <f aca="false">IF(G60&lt;&gt;"Sí","",M60)</f>
        <v/>
      </c>
      <c r="S60" s="85" t="str">
        <f aca="false">IF(U60="","",IF(INDEX(CC_ESTADOC,51)="Renovación registrada","",ROUND(MAX(0,IF(U60&lt;=0,0,WORKDAY(F60,INT(U60),FERIADOS)-F60+(U60-INT(U60))))*V60,0)+IF(D60="Obra o faena",ROUND(OBRA_DIAS*K60/30*(DATEDIF(E60,F60+1,"m")+IF(F60+1-EDATE(E60,DATEDIF(E60,F60+1,"m"))&gt;15,1,0)),0),0)))</f>
        <v/>
      </c>
      <c r="T60" s="70" t="str">
        <f aca="false">IF(G60&lt;&gt;"Sí","",IF(D60="Plazo fijo","Despido antes del vencimiento: además existe riesgo de demanda por las remuneraciones hasta el término del plazo",IF(D60="Obra o faena","Al concluir la obra corresponde indemnización de 2,5 días por mes (incluida en la columna S); no IAS",IF(I60=0,"Menos de 1 año: no corresponde IAS (Art. 163)",IF(I60=TOPE_IAS_ANIOS,"IAS en el tope de 11 años","")))))</f>
        <v/>
      </c>
      <c r="U60" s="95" t="str">
        <f aca="false">IF(OR(G60&lt;&gt;"Sí",NOT(ISNUMBER(F60))),"",IF(F60&lt;FQ_FECHA,"",(1.25*(DATEDIF(E60,F60+1,"m")+(F60+1-EDATE(E60,DATEDIF(E60,F60+1,"m")))/30)+SUMPRODUCT((ANIOS&lt;=DATEDIF(E60,F60+1,"y"))*(X60+ANIOS-10&gt;0)*INT((X60+ANIOS-10)/3))-(SUMIFS(V_DIAS,V_ID,B60,V_INICIO,"&lt;="&amp;F60)+Y60))))</f>
        <v/>
      </c>
      <c r="V60" s="71" t="str">
        <f aca="false">IF(G60&lt;&gt;"Sí","",(N(INDEX(T_SUELDO,51))+N(INDEX(T_BONO,51)))/30)</f>
        <v/>
      </c>
      <c r="W60" s="71" t="str">
        <f aca="false">IF(G60&lt;&gt;"Sí","",N(INDEX(T_SUELDO,51))+N(INDEX(T_BONO,51))+IF(LEFT(INDEX(T_GRAT,51)&amp;"",6)="Art. 5",MIN(GRAT_PCT*(N(INDEX(T_SUELDO,51))+N(INDEX(T_BONO,51))),GRAT_TOPE_MES),0))</f>
        <v/>
      </c>
      <c r="X60" s="72" t="str">
        <f aca="false">IF(B60="","",MIN(10,N(INDEX(T_PREV,51))))</f>
        <v/>
      </c>
      <c r="Y60" s="72" t="str">
        <f aca="false">IF(B60="","",N(INDEX(T_VACPREV,51)))</f>
        <v/>
      </c>
      <c r="Z60" s="75" t="str">
        <f aca="false">IF(B60="","",N(INDEX(T_EGRESO,51)))</f>
        <v/>
      </c>
    </row>
    <row r="61" customFormat="false" ht="15" hidden="false" customHeight="false" outlineLevel="0" collapsed="false">
      <c r="B61" s="70" t="str">
        <f aca="false">IFERROR(IF(INDEX(T_ID,52)="","",INDEX(T_ID,52)),"")</f>
        <v/>
      </c>
      <c r="C61" s="70" t="str">
        <f aca="false">IF(B61="","",INDEX(T_NOMBRE,52)&amp;"")</f>
        <v/>
      </c>
      <c r="D61" s="70" t="str">
        <f aca="false">IF(B61="","",INDEX(T_TIPO,52)&amp;"")</f>
        <v/>
      </c>
      <c r="E61" s="75" t="str">
        <f aca="false">IF(B61="","",INDEX(T_INGRESO,52))</f>
        <v/>
      </c>
      <c r="F61" s="75" t="str">
        <f aca="false">IF(B61="","",IF(ISNUMBER(INDEX(CC_VENCE,52)),INDEX(CC_VENCE,52),""))</f>
        <v/>
      </c>
      <c r="G61" s="70" t="str">
        <f aca="false">IF(OR(B61="",NOT(ISNUMBER(E61))),"",IF(AND(E61&lt;=FQ_FECHA,OR(Z61=0,Z61&gt;=FQ_FECHA)),"Sí","No"))</f>
        <v/>
      </c>
      <c r="H61" s="94" t="str">
        <f aca="false">IF(G61&lt;&gt;"Sí","",ROUND((FQ_FECHA+1-E61)/365.25,1))</f>
        <v/>
      </c>
      <c r="I61" s="73" t="str">
        <f aca="false">IF(G61&lt;&gt;"Sí","",IF(DATEDIF(E61,FQ_FECHA+1,"y")&lt;1,0,MIN(TOPE_IAS_ANIOS,DATEDIF(E61,FQ_FECHA+1,"y")+IF(EDATE(E61,12*DATEDIF(E61,FQ_FECHA+1,"y")+6)&lt;FQ_FECHA+1,1,0))))</f>
        <v/>
      </c>
      <c r="J61" s="71" t="str">
        <f aca="false">IF(G61&lt;&gt;"Sí","",W61+N(INDEX(T_COL,52))+N(INDEX(T_MOV,52)))</f>
        <v/>
      </c>
      <c r="K61" s="71" t="str">
        <f aca="false">IF(G61&lt;&gt;"Sí","",MIN(J61,TOPE_IAS_UF*UF_HOY))</f>
        <v/>
      </c>
      <c r="L61" s="95" t="str">
        <f aca="false">IF(G61&lt;&gt;"Sí","",(1.25*(DATEDIF(E61,FQ_FECHA+1,"m")+(FQ_FECHA+1-EDATE(E61,DATEDIF(E61,FQ_FECHA+1,"m")))/30)+SUMPRODUCT((ANIOS&lt;=DATEDIF(E61,FQ_FECHA+1,"y"))*(X61+ANIOS-10&gt;0)*INT((X61+ANIOS-10)/3))-(SUMIFS(V_DIAS,V_ID,B61,V_INICIO,"&lt;="&amp;FQ_FECHA)+Y61)))</f>
        <v/>
      </c>
      <c r="M61" s="71" t="str">
        <f aca="false">IF(G61&lt;&gt;"Sí","",ROUND(MAX(0,IF(L61&lt;=0,0,WORKDAY(FQ_FECHA,INT(L61),FERIADOS)-FQ_FECHA+(L61-INT(L61))))*V61,0))</f>
        <v/>
      </c>
      <c r="N61" s="71" t="str">
        <f aca="false">IF(G61&lt;&gt;"Sí","",IF(D61="Obra o faena",0,ROUND(K61*I61,0)))</f>
        <v/>
      </c>
      <c r="O61" s="71" t="str">
        <f aca="false">IF(G61&lt;&gt;"Sí","",IF(OR(D61="Obra o faena",FQ_AVISO="Sí"),0,ROUND(K61,0)))</f>
        <v/>
      </c>
      <c r="P61" s="71" t="str">
        <f aca="false">IF(G61&lt;&gt;"Sí","",IF(AND(IMPUTAR_AFC="Sí",N61&gt;0),-MIN(N61,ROUND(AFC_IMPUTABLE_PCT*MIN(W61,TOPE_AFC_UF*UF_HOY)*DATEDIF(E61,FQ_FECHA+1,"m"),0)),0))</f>
        <v/>
      </c>
      <c r="Q61" s="85" t="str">
        <f aca="false">IF(G61&lt;&gt;"Sí","",M61+N61+O61+P61)</f>
        <v/>
      </c>
      <c r="R61" s="85" t="str">
        <f aca="false">IF(G61&lt;&gt;"Sí","",M61)</f>
        <v/>
      </c>
      <c r="S61" s="85" t="str">
        <f aca="false">IF(U61="","",IF(INDEX(CC_ESTADOC,52)="Renovación registrada","",ROUND(MAX(0,IF(U61&lt;=0,0,WORKDAY(F61,INT(U61),FERIADOS)-F61+(U61-INT(U61))))*V61,0)+IF(D61="Obra o faena",ROUND(OBRA_DIAS*K61/30*(DATEDIF(E61,F61+1,"m")+IF(F61+1-EDATE(E61,DATEDIF(E61,F61+1,"m"))&gt;15,1,0)),0),0)))</f>
        <v/>
      </c>
      <c r="T61" s="70" t="str">
        <f aca="false">IF(G61&lt;&gt;"Sí","",IF(D61="Plazo fijo","Despido antes del vencimiento: además existe riesgo de demanda por las remuneraciones hasta el término del plazo",IF(D61="Obra o faena","Al concluir la obra corresponde indemnización de 2,5 días por mes (incluida en la columna S); no IAS",IF(I61=0,"Menos de 1 año: no corresponde IAS (Art. 163)",IF(I61=TOPE_IAS_ANIOS,"IAS en el tope de 11 años","")))))</f>
        <v/>
      </c>
      <c r="U61" s="95" t="str">
        <f aca="false">IF(OR(G61&lt;&gt;"Sí",NOT(ISNUMBER(F61))),"",IF(F61&lt;FQ_FECHA,"",(1.25*(DATEDIF(E61,F61+1,"m")+(F61+1-EDATE(E61,DATEDIF(E61,F61+1,"m")))/30)+SUMPRODUCT((ANIOS&lt;=DATEDIF(E61,F61+1,"y"))*(X61+ANIOS-10&gt;0)*INT((X61+ANIOS-10)/3))-(SUMIFS(V_DIAS,V_ID,B61,V_INICIO,"&lt;="&amp;F61)+Y61))))</f>
        <v/>
      </c>
      <c r="V61" s="71" t="str">
        <f aca="false">IF(G61&lt;&gt;"Sí","",(N(INDEX(T_SUELDO,52))+N(INDEX(T_BONO,52)))/30)</f>
        <v/>
      </c>
      <c r="W61" s="71" t="str">
        <f aca="false">IF(G61&lt;&gt;"Sí","",N(INDEX(T_SUELDO,52))+N(INDEX(T_BONO,52))+IF(LEFT(INDEX(T_GRAT,52)&amp;"",6)="Art. 5",MIN(GRAT_PCT*(N(INDEX(T_SUELDO,52))+N(INDEX(T_BONO,52))),GRAT_TOPE_MES),0))</f>
        <v/>
      </c>
      <c r="X61" s="72" t="str">
        <f aca="false">IF(B61="","",MIN(10,N(INDEX(T_PREV,52))))</f>
        <v/>
      </c>
      <c r="Y61" s="72" t="str">
        <f aca="false">IF(B61="","",N(INDEX(T_VACPREV,52)))</f>
        <v/>
      </c>
      <c r="Z61" s="75" t="str">
        <f aca="false">IF(B61="","",N(INDEX(T_EGRESO,52)))</f>
        <v/>
      </c>
    </row>
    <row r="62" customFormat="false" ht="15" hidden="false" customHeight="false" outlineLevel="0" collapsed="false">
      <c r="B62" s="70" t="str">
        <f aca="false">IFERROR(IF(INDEX(T_ID,53)="","",INDEX(T_ID,53)),"")</f>
        <v/>
      </c>
      <c r="C62" s="70" t="str">
        <f aca="false">IF(B62="","",INDEX(T_NOMBRE,53)&amp;"")</f>
        <v/>
      </c>
      <c r="D62" s="70" t="str">
        <f aca="false">IF(B62="","",INDEX(T_TIPO,53)&amp;"")</f>
        <v/>
      </c>
      <c r="E62" s="75" t="str">
        <f aca="false">IF(B62="","",INDEX(T_INGRESO,53))</f>
        <v/>
      </c>
      <c r="F62" s="75" t="str">
        <f aca="false">IF(B62="","",IF(ISNUMBER(INDEX(CC_VENCE,53)),INDEX(CC_VENCE,53),""))</f>
        <v/>
      </c>
      <c r="G62" s="70" t="str">
        <f aca="false">IF(OR(B62="",NOT(ISNUMBER(E62))),"",IF(AND(E62&lt;=FQ_FECHA,OR(Z62=0,Z62&gt;=FQ_FECHA)),"Sí","No"))</f>
        <v/>
      </c>
      <c r="H62" s="94" t="str">
        <f aca="false">IF(G62&lt;&gt;"Sí","",ROUND((FQ_FECHA+1-E62)/365.25,1))</f>
        <v/>
      </c>
      <c r="I62" s="73" t="str">
        <f aca="false">IF(G62&lt;&gt;"Sí","",IF(DATEDIF(E62,FQ_FECHA+1,"y")&lt;1,0,MIN(TOPE_IAS_ANIOS,DATEDIF(E62,FQ_FECHA+1,"y")+IF(EDATE(E62,12*DATEDIF(E62,FQ_FECHA+1,"y")+6)&lt;FQ_FECHA+1,1,0))))</f>
        <v/>
      </c>
      <c r="J62" s="71" t="str">
        <f aca="false">IF(G62&lt;&gt;"Sí","",W62+N(INDEX(T_COL,53))+N(INDEX(T_MOV,53)))</f>
        <v/>
      </c>
      <c r="K62" s="71" t="str">
        <f aca="false">IF(G62&lt;&gt;"Sí","",MIN(J62,TOPE_IAS_UF*UF_HOY))</f>
        <v/>
      </c>
      <c r="L62" s="95" t="str">
        <f aca="false">IF(G62&lt;&gt;"Sí","",(1.25*(DATEDIF(E62,FQ_FECHA+1,"m")+(FQ_FECHA+1-EDATE(E62,DATEDIF(E62,FQ_FECHA+1,"m")))/30)+SUMPRODUCT((ANIOS&lt;=DATEDIF(E62,FQ_FECHA+1,"y"))*(X62+ANIOS-10&gt;0)*INT((X62+ANIOS-10)/3))-(SUMIFS(V_DIAS,V_ID,B62,V_INICIO,"&lt;="&amp;FQ_FECHA)+Y62)))</f>
        <v/>
      </c>
      <c r="M62" s="71" t="str">
        <f aca="false">IF(G62&lt;&gt;"Sí","",ROUND(MAX(0,IF(L62&lt;=0,0,WORKDAY(FQ_FECHA,INT(L62),FERIADOS)-FQ_FECHA+(L62-INT(L62))))*V62,0))</f>
        <v/>
      </c>
      <c r="N62" s="71" t="str">
        <f aca="false">IF(G62&lt;&gt;"Sí","",IF(D62="Obra o faena",0,ROUND(K62*I62,0)))</f>
        <v/>
      </c>
      <c r="O62" s="71" t="str">
        <f aca="false">IF(G62&lt;&gt;"Sí","",IF(OR(D62="Obra o faena",FQ_AVISO="Sí"),0,ROUND(K62,0)))</f>
        <v/>
      </c>
      <c r="P62" s="71" t="str">
        <f aca="false">IF(G62&lt;&gt;"Sí","",IF(AND(IMPUTAR_AFC="Sí",N62&gt;0),-MIN(N62,ROUND(AFC_IMPUTABLE_PCT*MIN(W62,TOPE_AFC_UF*UF_HOY)*DATEDIF(E62,FQ_FECHA+1,"m"),0)),0))</f>
        <v/>
      </c>
      <c r="Q62" s="85" t="str">
        <f aca="false">IF(G62&lt;&gt;"Sí","",M62+N62+O62+P62)</f>
        <v/>
      </c>
      <c r="R62" s="85" t="str">
        <f aca="false">IF(G62&lt;&gt;"Sí","",M62)</f>
        <v/>
      </c>
      <c r="S62" s="85" t="str">
        <f aca="false">IF(U62="","",IF(INDEX(CC_ESTADOC,53)="Renovación registrada","",ROUND(MAX(0,IF(U62&lt;=0,0,WORKDAY(F62,INT(U62),FERIADOS)-F62+(U62-INT(U62))))*V62,0)+IF(D62="Obra o faena",ROUND(OBRA_DIAS*K62/30*(DATEDIF(E62,F62+1,"m")+IF(F62+1-EDATE(E62,DATEDIF(E62,F62+1,"m"))&gt;15,1,0)),0),0)))</f>
        <v/>
      </c>
      <c r="T62" s="70" t="str">
        <f aca="false">IF(G62&lt;&gt;"Sí","",IF(D62="Plazo fijo","Despido antes del vencimiento: además existe riesgo de demanda por las remuneraciones hasta el término del plazo",IF(D62="Obra o faena","Al concluir la obra corresponde indemnización de 2,5 días por mes (incluida en la columna S); no IAS",IF(I62=0,"Menos de 1 año: no corresponde IAS (Art. 163)",IF(I62=TOPE_IAS_ANIOS,"IAS en el tope de 11 años","")))))</f>
        <v/>
      </c>
      <c r="U62" s="95" t="str">
        <f aca="false">IF(OR(G62&lt;&gt;"Sí",NOT(ISNUMBER(F62))),"",IF(F62&lt;FQ_FECHA,"",(1.25*(DATEDIF(E62,F62+1,"m")+(F62+1-EDATE(E62,DATEDIF(E62,F62+1,"m")))/30)+SUMPRODUCT((ANIOS&lt;=DATEDIF(E62,F62+1,"y"))*(X62+ANIOS-10&gt;0)*INT((X62+ANIOS-10)/3))-(SUMIFS(V_DIAS,V_ID,B62,V_INICIO,"&lt;="&amp;F62)+Y62))))</f>
        <v/>
      </c>
      <c r="V62" s="71" t="str">
        <f aca="false">IF(G62&lt;&gt;"Sí","",(N(INDEX(T_SUELDO,53))+N(INDEX(T_BONO,53)))/30)</f>
        <v/>
      </c>
      <c r="W62" s="71" t="str">
        <f aca="false">IF(G62&lt;&gt;"Sí","",N(INDEX(T_SUELDO,53))+N(INDEX(T_BONO,53))+IF(LEFT(INDEX(T_GRAT,53)&amp;"",6)="Art. 5",MIN(GRAT_PCT*(N(INDEX(T_SUELDO,53))+N(INDEX(T_BONO,53))),GRAT_TOPE_MES),0))</f>
        <v/>
      </c>
      <c r="X62" s="72" t="str">
        <f aca="false">IF(B62="","",MIN(10,N(INDEX(T_PREV,53))))</f>
        <v/>
      </c>
      <c r="Y62" s="72" t="str">
        <f aca="false">IF(B62="","",N(INDEX(T_VACPREV,53)))</f>
        <v/>
      </c>
      <c r="Z62" s="75" t="str">
        <f aca="false">IF(B62="","",N(INDEX(T_EGRESO,53)))</f>
        <v/>
      </c>
    </row>
    <row r="63" customFormat="false" ht="15" hidden="false" customHeight="false" outlineLevel="0" collapsed="false">
      <c r="B63" s="70" t="str">
        <f aca="false">IFERROR(IF(INDEX(T_ID,54)="","",INDEX(T_ID,54)),"")</f>
        <v/>
      </c>
      <c r="C63" s="70" t="str">
        <f aca="false">IF(B63="","",INDEX(T_NOMBRE,54)&amp;"")</f>
        <v/>
      </c>
      <c r="D63" s="70" t="str">
        <f aca="false">IF(B63="","",INDEX(T_TIPO,54)&amp;"")</f>
        <v/>
      </c>
      <c r="E63" s="75" t="str">
        <f aca="false">IF(B63="","",INDEX(T_INGRESO,54))</f>
        <v/>
      </c>
      <c r="F63" s="75" t="str">
        <f aca="false">IF(B63="","",IF(ISNUMBER(INDEX(CC_VENCE,54)),INDEX(CC_VENCE,54),""))</f>
        <v/>
      </c>
      <c r="G63" s="70" t="str">
        <f aca="false">IF(OR(B63="",NOT(ISNUMBER(E63))),"",IF(AND(E63&lt;=FQ_FECHA,OR(Z63=0,Z63&gt;=FQ_FECHA)),"Sí","No"))</f>
        <v/>
      </c>
      <c r="H63" s="94" t="str">
        <f aca="false">IF(G63&lt;&gt;"Sí","",ROUND((FQ_FECHA+1-E63)/365.25,1))</f>
        <v/>
      </c>
      <c r="I63" s="73" t="str">
        <f aca="false">IF(G63&lt;&gt;"Sí","",IF(DATEDIF(E63,FQ_FECHA+1,"y")&lt;1,0,MIN(TOPE_IAS_ANIOS,DATEDIF(E63,FQ_FECHA+1,"y")+IF(EDATE(E63,12*DATEDIF(E63,FQ_FECHA+1,"y")+6)&lt;FQ_FECHA+1,1,0))))</f>
        <v/>
      </c>
      <c r="J63" s="71" t="str">
        <f aca="false">IF(G63&lt;&gt;"Sí","",W63+N(INDEX(T_COL,54))+N(INDEX(T_MOV,54)))</f>
        <v/>
      </c>
      <c r="K63" s="71" t="str">
        <f aca="false">IF(G63&lt;&gt;"Sí","",MIN(J63,TOPE_IAS_UF*UF_HOY))</f>
        <v/>
      </c>
      <c r="L63" s="95" t="str">
        <f aca="false">IF(G63&lt;&gt;"Sí","",(1.25*(DATEDIF(E63,FQ_FECHA+1,"m")+(FQ_FECHA+1-EDATE(E63,DATEDIF(E63,FQ_FECHA+1,"m")))/30)+SUMPRODUCT((ANIOS&lt;=DATEDIF(E63,FQ_FECHA+1,"y"))*(X63+ANIOS-10&gt;0)*INT((X63+ANIOS-10)/3))-(SUMIFS(V_DIAS,V_ID,B63,V_INICIO,"&lt;="&amp;FQ_FECHA)+Y63)))</f>
        <v/>
      </c>
      <c r="M63" s="71" t="str">
        <f aca="false">IF(G63&lt;&gt;"Sí","",ROUND(MAX(0,IF(L63&lt;=0,0,WORKDAY(FQ_FECHA,INT(L63),FERIADOS)-FQ_FECHA+(L63-INT(L63))))*V63,0))</f>
        <v/>
      </c>
      <c r="N63" s="71" t="str">
        <f aca="false">IF(G63&lt;&gt;"Sí","",IF(D63="Obra o faena",0,ROUND(K63*I63,0)))</f>
        <v/>
      </c>
      <c r="O63" s="71" t="str">
        <f aca="false">IF(G63&lt;&gt;"Sí","",IF(OR(D63="Obra o faena",FQ_AVISO="Sí"),0,ROUND(K63,0)))</f>
        <v/>
      </c>
      <c r="P63" s="71" t="str">
        <f aca="false">IF(G63&lt;&gt;"Sí","",IF(AND(IMPUTAR_AFC="Sí",N63&gt;0),-MIN(N63,ROUND(AFC_IMPUTABLE_PCT*MIN(W63,TOPE_AFC_UF*UF_HOY)*DATEDIF(E63,FQ_FECHA+1,"m"),0)),0))</f>
        <v/>
      </c>
      <c r="Q63" s="85" t="str">
        <f aca="false">IF(G63&lt;&gt;"Sí","",M63+N63+O63+P63)</f>
        <v/>
      </c>
      <c r="R63" s="85" t="str">
        <f aca="false">IF(G63&lt;&gt;"Sí","",M63)</f>
        <v/>
      </c>
      <c r="S63" s="85" t="str">
        <f aca="false">IF(U63="","",IF(INDEX(CC_ESTADOC,54)="Renovación registrada","",ROUND(MAX(0,IF(U63&lt;=0,0,WORKDAY(F63,INT(U63),FERIADOS)-F63+(U63-INT(U63))))*V63,0)+IF(D63="Obra o faena",ROUND(OBRA_DIAS*K63/30*(DATEDIF(E63,F63+1,"m")+IF(F63+1-EDATE(E63,DATEDIF(E63,F63+1,"m"))&gt;15,1,0)),0),0)))</f>
        <v/>
      </c>
      <c r="T63" s="70" t="str">
        <f aca="false">IF(G63&lt;&gt;"Sí","",IF(D63="Plazo fijo","Despido antes del vencimiento: además existe riesgo de demanda por las remuneraciones hasta el término del plazo",IF(D63="Obra o faena","Al concluir la obra corresponde indemnización de 2,5 días por mes (incluida en la columna S); no IAS",IF(I63=0,"Menos de 1 año: no corresponde IAS (Art. 163)",IF(I63=TOPE_IAS_ANIOS,"IAS en el tope de 11 años","")))))</f>
        <v/>
      </c>
      <c r="U63" s="95" t="str">
        <f aca="false">IF(OR(G63&lt;&gt;"Sí",NOT(ISNUMBER(F63))),"",IF(F63&lt;FQ_FECHA,"",(1.25*(DATEDIF(E63,F63+1,"m")+(F63+1-EDATE(E63,DATEDIF(E63,F63+1,"m")))/30)+SUMPRODUCT((ANIOS&lt;=DATEDIF(E63,F63+1,"y"))*(X63+ANIOS-10&gt;0)*INT((X63+ANIOS-10)/3))-(SUMIFS(V_DIAS,V_ID,B63,V_INICIO,"&lt;="&amp;F63)+Y63))))</f>
        <v/>
      </c>
      <c r="V63" s="71" t="str">
        <f aca="false">IF(G63&lt;&gt;"Sí","",(N(INDEX(T_SUELDO,54))+N(INDEX(T_BONO,54)))/30)</f>
        <v/>
      </c>
      <c r="W63" s="71" t="str">
        <f aca="false">IF(G63&lt;&gt;"Sí","",N(INDEX(T_SUELDO,54))+N(INDEX(T_BONO,54))+IF(LEFT(INDEX(T_GRAT,54)&amp;"",6)="Art. 5",MIN(GRAT_PCT*(N(INDEX(T_SUELDO,54))+N(INDEX(T_BONO,54))),GRAT_TOPE_MES),0))</f>
        <v/>
      </c>
      <c r="X63" s="72" t="str">
        <f aca="false">IF(B63="","",MIN(10,N(INDEX(T_PREV,54))))</f>
        <v/>
      </c>
      <c r="Y63" s="72" t="str">
        <f aca="false">IF(B63="","",N(INDEX(T_VACPREV,54)))</f>
        <v/>
      </c>
      <c r="Z63" s="75" t="str">
        <f aca="false">IF(B63="","",N(INDEX(T_EGRESO,54)))</f>
        <v/>
      </c>
    </row>
    <row r="64" customFormat="false" ht="15" hidden="false" customHeight="false" outlineLevel="0" collapsed="false">
      <c r="B64" s="70" t="str">
        <f aca="false">IFERROR(IF(INDEX(T_ID,55)="","",INDEX(T_ID,55)),"")</f>
        <v/>
      </c>
      <c r="C64" s="70" t="str">
        <f aca="false">IF(B64="","",INDEX(T_NOMBRE,55)&amp;"")</f>
        <v/>
      </c>
      <c r="D64" s="70" t="str">
        <f aca="false">IF(B64="","",INDEX(T_TIPO,55)&amp;"")</f>
        <v/>
      </c>
      <c r="E64" s="75" t="str">
        <f aca="false">IF(B64="","",INDEX(T_INGRESO,55))</f>
        <v/>
      </c>
      <c r="F64" s="75" t="str">
        <f aca="false">IF(B64="","",IF(ISNUMBER(INDEX(CC_VENCE,55)),INDEX(CC_VENCE,55),""))</f>
        <v/>
      </c>
      <c r="G64" s="70" t="str">
        <f aca="false">IF(OR(B64="",NOT(ISNUMBER(E64))),"",IF(AND(E64&lt;=FQ_FECHA,OR(Z64=0,Z64&gt;=FQ_FECHA)),"Sí","No"))</f>
        <v/>
      </c>
      <c r="H64" s="94" t="str">
        <f aca="false">IF(G64&lt;&gt;"Sí","",ROUND((FQ_FECHA+1-E64)/365.25,1))</f>
        <v/>
      </c>
      <c r="I64" s="73" t="str">
        <f aca="false">IF(G64&lt;&gt;"Sí","",IF(DATEDIF(E64,FQ_FECHA+1,"y")&lt;1,0,MIN(TOPE_IAS_ANIOS,DATEDIF(E64,FQ_FECHA+1,"y")+IF(EDATE(E64,12*DATEDIF(E64,FQ_FECHA+1,"y")+6)&lt;FQ_FECHA+1,1,0))))</f>
        <v/>
      </c>
      <c r="J64" s="71" t="str">
        <f aca="false">IF(G64&lt;&gt;"Sí","",W64+N(INDEX(T_COL,55))+N(INDEX(T_MOV,55)))</f>
        <v/>
      </c>
      <c r="K64" s="71" t="str">
        <f aca="false">IF(G64&lt;&gt;"Sí","",MIN(J64,TOPE_IAS_UF*UF_HOY))</f>
        <v/>
      </c>
      <c r="L64" s="95" t="str">
        <f aca="false">IF(G64&lt;&gt;"Sí","",(1.25*(DATEDIF(E64,FQ_FECHA+1,"m")+(FQ_FECHA+1-EDATE(E64,DATEDIF(E64,FQ_FECHA+1,"m")))/30)+SUMPRODUCT((ANIOS&lt;=DATEDIF(E64,FQ_FECHA+1,"y"))*(X64+ANIOS-10&gt;0)*INT((X64+ANIOS-10)/3))-(SUMIFS(V_DIAS,V_ID,B64,V_INICIO,"&lt;="&amp;FQ_FECHA)+Y64)))</f>
        <v/>
      </c>
      <c r="M64" s="71" t="str">
        <f aca="false">IF(G64&lt;&gt;"Sí","",ROUND(MAX(0,IF(L64&lt;=0,0,WORKDAY(FQ_FECHA,INT(L64),FERIADOS)-FQ_FECHA+(L64-INT(L64))))*V64,0))</f>
        <v/>
      </c>
      <c r="N64" s="71" t="str">
        <f aca="false">IF(G64&lt;&gt;"Sí","",IF(D64="Obra o faena",0,ROUND(K64*I64,0)))</f>
        <v/>
      </c>
      <c r="O64" s="71" t="str">
        <f aca="false">IF(G64&lt;&gt;"Sí","",IF(OR(D64="Obra o faena",FQ_AVISO="Sí"),0,ROUND(K64,0)))</f>
        <v/>
      </c>
      <c r="P64" s="71" t="str">
        <f aca="false">IF(G64&lt;&gt;"Sí","",IF(AND(IMPUTAR_AFC="Sí",N64&gt;0),-MIN(N64,ROUND(AFC_IMPUTABLE_PCT*MIN(W64,TOPE_AFC_UF*UF_HOY)*DATEDIF(E64,FQ_FECHA+1,"m"),0)),0))</f>
        <v/>
      </c>
      <c r="Q64" s="85" t="str">
        <f aca="false">IF(G64&lt;&gt;"Sí","",M64+N64+O64+P64)</f>
        <v/>
      </c>
      <c r="R64" s="85" t="str">
        <f aca="false">IF(G64&lt;&gt;"Sí","",M64)</f>
        <v/>
      </c>
      <c r="S64" s="85" t="str">
        <f aca="false">IF(U64="","",IF(INDEX(CC_ESTADOC,55)="Renovación registrada","",ROUND(MAX(0,IF(U64&lt;=0,0,WORKDAY(F64,INT(U64),FERIADOS)-F64+(U64-INT(U64))))*V64,0)+IF(D64="Obra o faena",ROUND(OBRA_DIAS*K64/30*(DATEDIF(E64,F64+1,"m")+IF(F64+1-EDATE(E64,DATEDIF(E64,F64+1,"m"))&gt;15,1,0)),0),0)))</f>
        <v/>
      </c>
      <c r="T64" s="70" t="str">
        <f aca="false">IF(G64&lt;&gt;"Sí","",IF(D64="Plazo fijo","Despido antes del vencimiento: además existe riesgo de demanda por las remuneraciones hasta el término del plazo",IF(D64="Obra o faena","Al concluir la obra corresponde indemnización de 2,5 días por mes (incluida en la columna S); no IAS",IF(I64=0,"Menos de 1 año: no corresponde IAS (Art. 163)",IF(I64=TOPE_IAS_ANIOS,"IAS en el tope de 11 años","")))))</f>
        <v/>
      </c>
      <c r="U64" s="95" t="str">
        <f aca="false">IF(OR(G64&lt;&gt;"Sí",NOT(ISNUMBER(F64))),"",IF(F64&lt;FQ_FECHA,"",(1.25*(DATEDIF(E64,F64+1,"m")+(F64+1-EDATE(E64,DATEDIF(E64,F64+1,"m")))/30)+SUMPRODUCT((ANIOS&lt;=DATEDIF(E64,F64+1,"y"))*(X64+ANIOS-10&gt;0)*INT((X64+ANIOS-10)/3))-(SUMIFS(V_DIAS,V_ID,B64,V_INICIO,"&lt;="&amp;F64)+Y64))))</f>
        <v/>
      </c>
      <c r="V64" s="71" t="str">
        <f aca="false">IF(G64&lt;&gt;"Sí","",(N(INDEX(T_SUELDO,55))+N(INDEX(T_BONO,55)))/30)</f>
        <v/>
      </c>
      <c r="W64" s="71" t="str">
        <f aca="false">IF(G64&lt;&gt;"Sí","",N(INDEX(T_SUELDO,55))+N(INDEX(T_BONO,55))+IF(LEFT(INDEX(T_GRAT,55)&amp;"",6)="Art. 5",MIN(GRAT_PCT*(N(INDEX(T_SUELDO,55))+N(INDEX(T_BONO,55))),GRAT_TOPE_MES),0))</f>
        <v/>
      </c>
      <c r="X64" s="72" t="str">
        <f aca="false">IF(B64="","",MIN(10,N(INDEX(T_PREV,55))))</f>
        <v/>
      </c>
      <c r="Y64" s="72" t="str">
        <f aca="false">IF(B64="","",N(INDEX(T_VACPREV,55)))</f>
        <v/>
      </c>
      <c r="Z64" s="75" t="str">
        <f aca="false">IF(B64="","",N(INDEX(T_EGRESO,55)))</f>
        <v/>
      </c>
    </row>
    <row r="65" customFormat="false" ht="15" hidden="false" customHeight="false" outlineLevel="0" collapsed="false">
      <c r="B65" s="70" t="str">
        <f aca="false">IFERROR(IF(INDEX(T_ID,56)="","",INDEX(T_ID,56)),"")</f>
        <v/>
      </c>
      <c r="C65" s="70" t="str">
        <f aca="false">IF(B65="","",INDEX(T_NOMBRE,56)&amp;"")</f>
        <v/>
      </c>
      <c r="D65" s="70" t="str">
        <f aca="false">IF(B65="","",INDEX(T_TIPO,56)&amp;"")</f>
        <v/>
      </c>
      <c r="E65" s="75" t="str">
        <f aca="false">IF(B65="","",INDEX(T_INGRESO,56))</f>
        <v/>
      </c>
      <c r="F65" s="75" t="str">
        <f aca="false">IF(B65="","",IF(ISNUMBER(INDEX(CC_VENCE,56)),INDEX(CC_VENCE,56),""))</f>
        <v/>
      </c>
      <c r="G65" s="70" t="str">
        <f aca="false">IF(OR(B65="",NOT(ISNUMBER(E65))),"",IF(AND(E65&lt;=FQ_FECHA,OR(Z65=0,Z65&gt;=FQ_FECHA)),"Sí","No"))</f>
        <v/>
      </c>
      <c r="H65" s="94" t="str">
        <f aca="false">IF(G65&lt;&gt;"Sí","",ROUND((FQ_FECHA+1-E65)/365.25,1))</f>
        <v/>
      </c>
      <c r="I65" s="73" t="str">
        <f aca="false">IF(G65&lt;&gt;"Sí","",IF(DATEDIF(E65,FQ_FECHA+1,"y")&lt;1,0,MIN(TOPE_IAS_ANIOS,DATEDIF(E65,FQ_FECHA+1,"y")+IF(EDATE(E65,12*DATEDIF(E65,FQ_FECHA+1,"y")+6)&lt;FQ_FECHA+1,1,0))))</f>
        <v/>
      </c>
      <c r="J65" s="71" t="str">
        <f aca="false">IF(G65&lt;&gt;"Sí","",W65+N(INDEX(T_COL,56))+N(INDEX(T_MOV,56)))</f>
        <v/>
      </c>
      <c r="K65" s="71" t="str">
        <f aca="false">IF(G65&lt;&gt;"Sí","",MIN(J65,TOPE_IAS_UF*UF_HOY))</f>
        <v/>
      </c>
      <c r="L65" s="95" t="str">
        <f aca="false">IF(G65&lt;&gt;"Sí","",(1.25*(DATEDIF(E65,FQ_FECHA+1,"m")+(FQ_FECHA+1-EDATE(E65,DATEDIF(E65,FQ_FECHA+1,"m")))/30)+SUMPRODUCT((ANIOS&lt;=DATEDIF(E65,FQ_FECHA+1,"y"))*(X65+ANIOS-10&gt;0)*INT((X65+ANIOS-10)/3))-(SUMIFS(V_DIAS,V_ID,B65,V_INICIO,"&lt;="&amp;FQ_FECHA)+Y65)))</f>
        <v/>
      </c>
      <c r="M65" s="71" t="str">
        <f aca="false">IF(G65&lt;&gt;"Sí","",ROUND(MAX(0,IF(L65&lt;=0,0,WORKDAY(FQ_FECHA,INT(L65),FERIADOS)-FQ_FECHA+(L65-INT(L65))))*V65,0))</f>
        <v/>
      </c>
      <c r="N65" s="71" t="str">
        <f aca="false">IF(G65&lt;&gt;"Sí","",IF(D65="Obra o faena",0,ROUND(K65*I65,0)))</f>
        <v/>
      </c>
      <c r="O65" s="71" t="str">
        <f aca="false">IF(G65&lt;&gt;"Sí","",IF(OR(D65="Obra o faena",FQ_AVISO="Sí"),0,ROUND(K65,0)))</f>
        <v/>
      </c>
      <c r="P65" s="71" t="str">
        <f aca="false">IF(G65&lt;&gt;"Sí","",IF(AND(IMPUTAR_AFC="Sí",N65&gt;0),-MIN(N65,ROUND(AFC_IMPUTABLE_PCT*MIN(W65,TOPE_AFC_UF*UF_HOY)*DATEDIF(E65,FQ_FECHA+1,"m"),0)),0))</f>
        <v/>
      </c>
      <c r="Q65" s="85" t="str">
        <f aca="false">IF(G65&lt;&gt;"Sí","",M65+N65+O65+P65)</f>
        <v/>
      </c>
      <c r="R65" s="85" t="str">
        <f aca="false">IF(G65&lt;&gt;"Sí","",M65)</f>
        <v/>
      </c>
      <c r="S65" s="85" t="str">
        <f aca="false">IF(U65="","",IF(INDEX(CC_ESTADOC,56)="Renovación registrada","",ROUND(MAX(0,IF(U65&lt;=0,0,WORKDAY(F65,INT(U65),FERIADOS)-F65+(U65-INT(U65))))*V65,0)+IF(D65="Obra o faena",ROUND(OBRA_DIAS*K65/30*(DATEDIF(E65,F65+1,"m")+IF(F65+1-EDATE(E65,DATEDIF(E65,F65+1,"m"))&gt;15,1,0)),0),0)))</f>
        <v/>
      </c>
      <c r="T65" s="70" t="str">
        <f aca="false">IF(G65&lt;&gt;"Sí","",IF(D65="Plazo fijo","Despido antes del vencimiento: además existe riesgo de demanda por las remuneraciones hasta el término del plazo",IF(D65="Obra o faena","Al concluir la obra corresponde indemnización de 2,5 días por mes (incluida en la columna S); no IAS",IF(I65=0,"Menos de 1 año: no corresponde IAS (Art. 163)",IF(I65=TOPE_IAS_ANIOS,"IAS en el tope de 11 años","")))))</f>
        <v/>
      </c>
      <c r="U65" s="95" t="str">
        <f aca="false">IF(OR(G65&lt;&gt;"Sí",NOT(ISNUMBER(F65))),"",IF(F65&lt;FQ_FECHA,"",(1.25*(DATEDIF(E65,F65+1,"m")+(F65+1-EDATE(E65,DATEDIF(E65,F65+1,"m")))/30)+SUMPRODUCT((ANIOS&lt;=DATEDIF(E65,F65+1,"y"))*(X65+ANIOS-10&gt;0)*INT((X65+ANIOS-10)/3))-(SUMIFS(V_DIAS,V_ID,B65,V_INICIO,"&lt;="&amp;F65)+Y65))))</f>
        <v/>
      </c>
      <c r="V65" s="71" t="str">
        <f aca="false">IF(G65&lt;&gt;"Sí","",(N(INDEX(T_SUELDO,56))+N(INDEX(T_BONO,56)))/30)</f>
        <v/>
      </c>
      <c r="W65" s="71" t="str">
        <f aca="false">IF(G65&lt;&gt;"Sí","",N(INDEX(T_SUELDO,56))+N(INDEX(T_BONO,56))+IF(LEFT(INDEX(T_GRAT,56)&amp;"",6)="Art. 5",MIN(GRAT_PCT*(N(INDEX(T_SUELDO,56))+N(INDEX(T_BONO,56))),GRAT_TOPE_MES),0))</f>
        <v/>
      </c>
      <c r="X65" s="72" t="str">
        <f aca="false">IF(B65="","",MIN(10,N(INDEX(T_PREV,56))))</f>
        <v/>
      </c>
      <c r="Y65" s="72" t="str">
        <f aca="false">IF(B65="","",N(INDEX(T_VACPREV,56)))</f>
        <v/>
      </c>
      <c r="Z65" s="75" t="str">
        <f aca="false">IF(B65="","",N(INDEX(T_EGRESO,56)))</f>
        <v/>
      </c>
    </row>
    <row r="66" customFormat="false" ht="15" hidden="false" customHeight="false" outlineLevel="0" collapsed="false">
      <c r="B66" s="70" t="str">
        <f aca="false">IFERROR(IF(INDEX(T_ID,57)="","",INDEX(T_ID,57)),"")</f>
        <v/>
      </c>
      <c r="C66" s="70" t="str">
        <f aca="false">IF(B66="","",INDEX(T_NOMBRE,57)&amp;"")</f>
        <v/>
      </c>
      <c r="D66" s="70" t="str">
        <f aca="false">IF(B66="","",INDEX(T_TIPO,57)&amp;"")</f>
        <v/>
      </c>
      <c r="E66" s="75" t="str">
        <f aca="false">IF(B66="","",INDEX(T_INGRESO,57))</f>
        <v/>
      </c>
      <c r="F66" s="75" t="str">
        <f aca="false">IF(B66="","",IF(ISNUMBER(INDEX(CC_VENCE,57)),INDEX(CC_VENCE,57),""))</f>
        <v/>
      </c>
      <c r="G66" s="70" t="str">
        <f aca="false">IF(OR(B66="",NOT(ISNUMBER(E66))),"",IF(AND(E66&lt;=FQ_FECHA,OR(Z66=0,Z66&gt;=FQ_FECHA)),"Sí","No"))</f>
        <v/>
      </c>
      <c r="H66" s="94" t="str">
        <f aca="false">IF(G66&lt;&gt;"Sí","",ROUND((FQ_FECHA+1-E66)/365.25,1))</f>
        <v/>
      </c>
      <c r="I66" s="73" t="str">
        <f aca="false">IF(G66&lt;&gt;"Sí","",IF(DATEDIF(E66,FQ_FECHA+1,"y")&lt;1,0,MIN(TOPE_IAS_ANIOS,DATEDIF(E66,FQ_FECHA+1,"y")+IF(EDATE(E66,12*DATEDIF(E66,FQ_FECHA+1,"y")+6)&lt;FQ_FECHA+1,1,0))))</f>
        <v/>
      </c>
      <c r="J66" s="71" t="str">
        <f aca="false">IF(G66&lt;&gt;"Sí","",W66+N(INDEX(T_COL,57))+N(INDEX(T_MOV,57)))</f>
        <v/>
      </c>
      <c r="K66" s="71" t="str">
        <f aca="false">IF(G66&lt;&gt;"Sí","",MIN(J66,TOPE_IAS_UF*UF_HOY))</f>
        <v/>
      </c>
      <c r="L66" s="95" t="str">
        <f aca="false">IF(G66&lt;&gt;"Sí","",(1.25*(DATEDIF(E66,FQ_FECHA+1,"m")+(FQ_FECHA+1-EDATE(E66,DATEDIF(E66,FQ_FECHA+1,"m")))/30)+SUMPRODUCT((ANIOS&lt;=DATEDIF(E66,FQ_FECHA+1,"y"))*(X66+ANIOS-10&gt;0)*INT((X66+ANIOS-10)/3))-(SUMIFS(V_DIAS,V_ID,B66,V_INICIO,"&lt;="&amp;FQ_FECHA)+Y66)))</f>
        <v/>
      </c>
      <c r="M66" s="71" t="str">
        <f aca="false">IF(G66&lt;&gt;"Sí","",ROUND(MAX(0,IF(L66&lt;=0,0,WORKDAY(FQ_FECHA,INT(L66),FERIADOS)-FQ_FECHA+(L66-INT(L66))))*V66,0))</f>
        <v/>
      </c>
      <c r="N66" s="71" t="str">
        <f aca="false">IF(G66&lt;&gt;"Sí","",IF(D66="Obra o faena",0,ROUND(K66*I66,0)))</f>
        <v/>
      </c>
      <c r="O66" s="71" t="str">
        <f aca="false">IF(G66&lt;&gt;"Sí","",IF(OR(D66="Obra o faena",FQ_AVISO="Sí"),0,ROUND(K66,0)))</f>
        <v/>
      </c>
      <c r="P66" s="71" t="str">
        <f aca="false">IF(G66&lt;&gt;"Sí","",IF(AND(IMPUTAR_AFC="Sí",N66&gt;0),-MIN(N66,ROUND(AFC_IMPUTABLE_PCT*MIN(W66,TOPE_AFC_UF*UF_HOY)*DATEDIF(E66,FQ_FECHA+1,"m"),0)),0))</f>
        <v/>
      </c>
      <c r="Q66" s="85" t="str">
        <f aca="false">IF(G66&lt;&gt;"Sí","",M66+N66+O66+P66)</f>
        <v/>
      </c>
      <c r="R66" s="85" t="str">
        <f aca="false">IF(G66&lt;&gt;"Sí","",M66)</f>
        <v/>
      </c>
      <c r="S66" s="85" t="str">
        <f aca="false">IF(U66="","",IF(INDEX(CC_ESTADOC,57)="Renovación registrada","",ROUND(MAX(0,IF(U66&lt;=0,0,WORKDAY(F66,INT(U66),FERIADOS)-F66+(U66-INT(U66))))*V66,0)+IF(D66="Obra o faena",ROUND(OBRA_DIAS*K66/30*(DATEDIF(E66,F66+1,"m")+IF(F66+1-EDATE(E66,DATEDIF(E66,F66+1,"m"))&gt;15,1,0)),0),0)))</f>
        <v/>
      </c>
      <c r="T66" s="70" t="str">
        <f aca="false">IF(G66&lt;&gt;"Sí","",IF(D66="Plazo fijo","Despido antes del vencimiento: además existe riesgo de demanda por las remuneraciones hasta el término del plazo",IF(D66="Obra o faena","Al concluir la obra corresponde indemnización de 2,5 días por mes (incluida en la columna S); no IAS",IF(I66=0,"Menos de 1 año: no corresponde IAS (Art. 163)",IF(I66=TOPE_IAS_ANIOS,"IAS en el tope de 11 años","")))))</f>
        <v/>
      </c>
      <c r="U66" s="95" t="str">
        <f aca="false">IF(OR(G66&lt;&gt;"Sí",NOT(ISNUMBER(F66))),"",IF(F66&lt;FQ_FECHA,"",(1.25*(DATEDIF(E66,F66+1,"m")+(F66+1-EDATE(E66,DATEDIF(E66,F66+1,"m")))/30)+SUMPRODUCT((ANIOS&lt;=DATEDIF(E66,F66+1,"y"))*(X66+ANIOS-10&gt;0)*INT((X66+ANIOS-10)/3))-(SUMIFS(V_DIAS,V_ID,B66,V_INICIO,"&lt;="&amp;F66)+Y66))))</f>
        <v/>
      </c>
      <c r="V66" s="71" t="str">
        <f aca="false">IF(G66&lt;&gt;"Sí","",(N(INDEX(T_SUELDO,57))+N(INDEX(T_BONO,57)))/30)</f>
        <v/>
      </c>
      <c r="W66" s="71" t="str">
        <f aca="false">IF(G66&lt;&gt;"Sí","",N(INDEX(T_SUELDO,57))+N(INDEX(T_BONO,57))+IF(LEFT(INDEX(T_GRAT,57)&amp;"",6)="Art. 5",MIN(GRAT_PCT*(N(INDEX(T_SUELDO,57))+N(INDEX(T_BONO,57))),GRAT_TOPE_MES),0))</f>
        <v/>
      </c>
      <c r="X66" s="72" t="str">
        <f aca="false">IF(B66="","",MIN(10,N(INDEX(T_PREV,57))))</f>
        <v/>
      </c>
      <c r="Y66" s="72" t="str">
        <f aca="false">IF(B66="","",N(INDEX(T_VACPREV,57)))</f>
        <v/>
      </c>
      <c r="Z66" s="75" t="str">
        <f aca="false">IF(B66="","",N(INDEX(T_EGRESO,57)))</f>
        <v/>
      </c>
    </row>
    <row r="67" customFormat="false" ht="15" hidden="false" customHeight="false" outlineLevel="0" collapsed="false">
      <c r="B67" s="70" t="str">
        <f aca="false">IFERROR(IF(INDEX(T_ID,58)="","",INDEX(T_ID,58)),"")</f>
        <v/>
      </c>
      <c r="C67" s="70" t="str">
        <f aca="false">IF(B67="","",INDEX(T_NOMBRE,58)&amp;"")</f>
        <v/>
      </c>
      <c r="D67" s="70" t="str">
        <f aca="false">IF(B67="","",INDEX(T_TIPO,58)&amp;"")</f>
        <v/>
      </c>
      <c r="E67" s="75" t="str">
        <f aca="false">IF(B67="","",INDEX(T_INGRESO,58))</f>
        <v/>
      </c>
      <c r="F67" s="75" t="str">
        <f aca="false">IF(B67="","",IF(ISNUMBER(INDEX(CC_VENCE,58)),INDEX(CC_VENCE,58),""))</f>
        <v/>
      </c>
      <c r="G67" s="70" t="str">
        <f aca="false">IF(OR(B67="",NOT(ISNUMBER(E67))),"",IF(AND(E67&lt;=FQ_FECHA,OR(Z67=0,Z67&gt;=FQ_FECHA)),"Sí","No"))</f>
        <v/>
      </c>
      <c r="H67" s="94" t="str">
        <f aca="false">IF(G67&lt;&gt;"Sí","",ROUND((FQ_FECHA+1-E67)/365.25,1))</f>
        <v/>
      </c>
      <c r="I67" s="73" t="str">
        <f aca="false">IF(G67&lt;&gt;"Sí","",IF(DATEDIF(E67,FQ_FECHA+1,"y")&lt;1,0,MIN(TOPE_IAS_ANIOS,DATEDIF(E67,FQ_FECHA+1,"y")+IF(EDATE(E67,12*DATEDIF(E67,FQ_FECHA+1,"y")+6)&lt;FQ_FECHA+1,1,0))))</f>
        <v/>
      </c>
      <c r="J67" s="71" t="str">
        <f aca="false">IF(G67&lt;&gt;"Sí","",W67+N(INDEX(T_COL,58))+N(INDEX(T_MOV,58)))</f>
        <v/>
      </c>
      <c r="K67" s="71" t="str">
        <f aca="false">IF(G67&lt;&gt;"Sí","",MIN(J67,TOPE_IAS_UF*UF_HOY))</f>
        <v/>
      </c>
      <c r="L67" s="95" t="str">
        <f aca="false">IF(G67&lt;&gt;"Sí","",(1.25*(DATEDIF(E67,FQ_FECHA+1,"m")+(FQ_FECHA+1-EDATE(E67,DATEDIF(E67,FQ_FECHA+1,"m")))/30)+SUMPRODUCT((ANIOS&lt;=DATEDIF(E67,FQ_FECHA+1,"y"))*(X67+ANIOS-10&gt;0)*INT((X67+ANIOS-10)/3))-(SUMIFS(V_DIAS,V_ID,B67,V_INICIO,"&lt;="&amp;FQ_FECHA)+Y67)))</f>
        <v/>
      </c>
      <c r="M67" s="71" t="str">
        <f aca="false">IF(G67&lt;&gt;"Sí","",ROUND(MAX(0,IF(L67&lt;=0,0,WORKDAY(FQ_FECHA,INT(L67),FERIADOS)-FQ_FECHA+(L67-INT(L67))))*V67,0))</f>
        <v/>
      </c>
      <c r="N67" s="71" t="str">
        <f aca="false">IF(G67&lt;&gt;"Sí","",IF(D67="Obra o faena",0,ROUND(K67*I67,0)))</f>
        <v/>
      </c>
      <c r="O67" s="71" t="str">
        <f aca="false">IF(G67&lt;&gt;"Sí","",IF(OR(D67="Obra o faena",FQ_AVISO="Sí"),0,ROUND(K67,0)))</f>
        <v/>
      </c>
      <c r="P67" s="71" t="str">
        <f aca="false">IF(G67&lt;&gt;"Sí","",IF(AND(IMPUTAR_AFC="Sí",N67&gt;0),-MIN(N67,ROUND(AFC_IMPUTABLE_PCT*MIN(W67,TOPE_AFC_UF*UF_HOY)*DATEDIF(E67,FQ_FECHA+1,"m"),0)),0))</f>
        <v/>
      </c>
      <c r="Q67" s="85" t="str">
        <f aca="false">IF(G67&lt;&gt;"Sí","",M67+N67+O67+P67)</f>
        <v/>
      </c>
      <c r="R67" s="85" t="str">
        <f aca="false">IF(G67&lt;&gt;"Sí","",M67)</f>
        <v/>
      </c>
      <c r="S67" s="85" t="str">
        <f aca="false">IF(U67="","",IF(INDEX(CC_ESTADOC,58)="Renovación registrada","",ROUND(MAX(0,IF(U67&lt;=0,0,WORKDAY(F67,INT(U67),FERIADOS)-F67+(U67-INT(U67))))*V67,0)+IF(D67="Obra o faena",ROUND(OBRA_DIAS*K67/30*(DATEDIF(E67,F67+1,"m")+IF(F67+1-EDATE(E67,DATEDIF(E67,F67+1,"m"))&gt;15,1,0)),0),0)))</f>
        <v/>
      </c>
      <c r="T67" s="70" t="str">
        <f aca="false">IF(G67&lt;&gt;"Sí","",IF(D67="Plazo fijo","Despido antes del vencimiento: además existe riesgo de demanda por las remuneraciones hasta el término del plazo",IF(D67="Obra o faena","Al concluir la obra corresponde indemnización de 2,5 días por mes (incluida en la columna S); no IAS",IF(I67=0,"Menos de 1 año: no corresponde IAS (Art. 163)",IF(I67=TOPE_IAS_ANIOS,"IAS en el tope de 11 años","")))))</f>
        <v/>
      </c>
      <c r="U67" s="95" t="str">
        <f aca="false">IF(OR(G67&lt;&gt;"Sí",NOT(ISNUMBER(F67))),"",IF(F67&lt;FQ_FECHA,"",(1.25*(DATEDIF(E67,F67+1,"m")+(F67+1-EDATE(E67,DATEDIF(E67,F67+1,"m")))/30)+SUMPRODUCT((ANIOS&lt;=DATEDIF(E67,F67+1,"y"))*(X67+ANIOS-10&gt;0)*INT((X67+ANIOS-10)/3))-(SUMIFS(V_DIAS,V_ID,B67,V_INICIO,"&lt;="&amp;F67)+Y67))))</f>
        <v/>
      </c>
      <c r="V67" s="71" t="str">
        <f aca="false">IF(G67&lt;&gt;"Sí","",(N(INDEX(T_SUELDO,58))+N(INDEX(T_BONO,58)))/30)</f>
        <v/>
      </c>
      <c r="W67" s="71" t="str">
        <f aca="false">IF(G67&lt;&gt;"Sí","",N(INDEX(T_SUELDO,58))+N(INDEX(T_BONO,58))+IF(LEFT(INDEX(T_GRAT,58)&amp;"",6)="Art. 5",MIN(GRAT_PCT*(N(INDEX(T_SUELDO,58))+N(INDEX(T_BONO,58))),GRAT_TOPE_MES),0))</f>
        <v/>
      </c>
      <c r="X67" s="72" t="str">
        <f aca="false">IF(B67="","",MIN(10,N(INDEX(T_PREV,58))))</f>
        <v/>
      </c>
      <c r="Y67" s="72" t="str">
        <f aca="false">IF(B67="","",N(INDEX(T_VACPREV,58)))</f>
        <v/>
      </c>
      <c r="Z67" s="75" t="str">
        <f aca="false">IF(B67="","",N(INDEX(T_EGRESO,58)))</f>
        <v/>
      </c>
    </row>
    <row r="68" customFormat="false" ht="15" hidden="false" customHeight="false" outlineLevel="0" collapsed="false">
      <c r="B68" s="70" t="str">
        <f aca="false">IFERROR(IF(INDEX(T_ID,59)="","",INDEX(T_ID,59)),"")</f>
        <v/>
      </c>
      <c r="C68" s="70" t="str">
        <f aca="false">IF(B68="","",INDEX(T_NOMBRE,59)&amp;"")</f>
        <v/>
      </c>
      <c r="D68" s="70" t="str">
        <f aca="false">IF(B68="","",INDEX(T_TIPO,59)&amp;"")</f>
        <v/>
      </c>
      <c r="E68" s="75" t="str">
        <f aca="false">IF(B68="","",INDEX(T_INGRESO,59))</f>
        <v/>
      </c>
      <c r="F68" s="75" t="str">
        <f aca="false">IF(B68="","",IF(ISNUMBER(INDEX(CC_VENCE,59)),INDEX(CC_VENCE,59),""))</f>
        <v/>
      </c>
      <c r="G68" s="70" t="str">
        <f aca="false">IF(OR(B68="",NOT(ISNUMBER(E68))),"",IF(AND(E68&lt;=FQ_FECHA,OR(Z68=0,Z68&gt;=FQ_FECHA)),"Sí","No"))</f>
        <v/>
      </c>
      <c r="H68" s="94" t="str">
        <f aca="false">IF(G68&lt;&gt;"Sí","",ROUND((FQ_FECHA+1-E68)/365.25,1))</f>
        <v/>
      </c>
      <c r="I68" s="73" t="str">
        <f aca="false">IF(G68&lt;&gt;"Sí","",IF(DATEDIF(E68,FQ_FECHA+1,"y")&lt;1,0,MIN(TOPE_IAS_ANIOS,DATEDIF(E68,FQ_FECHA+1,"y")+IF(EDATE(E68,12*DATEDIF(E68,FQ_FECHA+1,"y")+6)&lt;FQ_FECHA+1,1,0))))</f>
        <v/>
      </c>
      <c r="J68" s="71" t="str">
        <f aca="false">IF(G68&lt;&gt;"Sí","",W68+N(INDEX(T_COL,59))+N(INDEX(T_MOV,59)))</f>
        <v/>
      </c>
      <c r="K68" s="71" t="str">
        <f aca="false">IF(G68&lt;&gt;"Sí","",MIN(J68,TOPE_IAS_UF*UF_HOY))</f>
        <v/>
      </c>
      <c r="L68" s="95" t="str">
        <f aca="false">IF(G68&lt;&gt;"Sí","",(1.25*(DATEDIF(E68,FQ_FECHA+1,"m")+(FQ_FECHA+1-EDATE(E68,DATEDIF(E68,FQ_FECHA+1,"m")))/30)+SUMPRODUCT((ANIOS&lt;=DATEDIF(E68,FQ_FECHA+1,"y"))*(X68+ANIOS-10&gt;0)*INT((X68+ANIOS-10)/3))-(SUMIFS(V_DIAS,V_ID,B68,V_INICIO,"&lt;="&amp;FQ_FECHA)+Y68)))</f>
        <v/>
      </c>
      <c r="M68" s="71" t="str">
        <f aca="false">IF(G68&lt;&gt;"Sí","",ROUND(MAX(0,IF(L68&lt;=0,0,WORKDAY(FQ_FECHA,INT(L68),FERIADOS)-FQ_FECHA+(L68-INT(L68))))*V68,0))</f>
        <v/>
      </c>
      <c r="N68" s="71" t="str">
        <f aca="false">IF(G68&lt;&gt;"Sí","",IF(D68="Obra o faena",0,ROUND(K68*I68,0)))</f>
        <v/>
      </c>
      <c r="O68" s="71" t="str">
        <f aca="false">IF(G68&lt;&gt;"Sí","",IF(OR(D68="Obra o faena",FQ_AVISO="Sí"),0,ROUND(K68,0)))</f>
        <v/>
      </c>
      <c r="P68" s="71" t="str">
        <f aca="false">IF(G68&lt;&gt;"Sí","",IF(AND(IMPUTAR_AFC="Sí",N68&gt;0),-MIN(N68,ROUND(AFC_IMPUTABLE_PCT*MIN(W68,TOPE_AFC_UF*UF_HOY)*DATEDIF(E68,FQ_FECHA+1,"m"),0)),0))</f>
        <v/>
      </c>
      <c r="Q68" s="85" t="str">
        <f aca="false">IF(G68&lt;&gt;"Sí","",M68+N68+O68+P68)</f>
        <v/>
      </c>
      <c r="R68" s="85" t="str">
        <f aca="false">IF(G68&lt;&gt;"Sí","",M68)</f>
        <v/>
      </c>
      <c r="S68" s="85" t="str">
        <f aca="false">IF(U68="","",IF(INDEX(CC_ESTADOC,59)="Renovación registrada","",ROUND(MAX(0,IF(U68&lt;=0,0,WORKDAY(F68,INT(U68),FERIADOS)-F68+(U68-INT(U68))))*V68,0)+IF(D68="Obra o faena",ROUND(OBRA_DIAS*K68/30*(DATEDIF(E68,F68+1,"m")+IF(F68+1-EDATE(E68,DATEDIF(E68,F68+1,"m"))&gt;15,1,0)),0),0)))</f>
        <v/>
      </c>
      <c r="T68" s="70" t="str">
        <f aca="false">IF(G68&lt;&gt;"Sí","",IF(D68="Plazo fijo","Despido antes del vencimiento: además existe riesgo de demanda por las remuneraciones hasta el término del plazo",IF(D68="Obra o faena","Al concluir la obra corresponde indemnización de 2,5 días por mes (incluida en la columna S); no IAS",IF(I68=0,"Menos de 1 año: no corresponde IAS (Art. 163)",IF(I68=TOPE_IAS_ANIOS,"IAS en el tope de 11 años","")))))</f>
        <v/>
      </c>
      <c r="U68" s="95" t="str">
        <f aca="false">IF(OR(G68&lt;&gt;"Sí",NOT(ISNUMBER(F68))),"",IF(F68&lt;FQ_FECHA,"",(1.25*(DATEDIF(E68,F68+1,"m")+(F68+1-EDATE(E68,DATEDIF(E68,F68+1,"m")))/30)+SUMPRODUCT((ANIOS&lt;=DATEDIF(E68,F68+1,"y"))*(X68+ANIOS-10&gt;0)*INT((X68+ANIOS-10)/3))-(SUMIFS(V_DIAS,V_ID,B68,V_INICIO,"&lt;="&amp;F68)+Y68))))</f>
        <v/>
      </c>
      <c r="V68" s="71" t="str">
        <f aca="false">IF(G68&lt;&gt;"Sí","",(N(INDEX(T_SUELDO,59))+N(INDEX(T_BONO,59)))/30)</f>
        <v/>
      </c>
      <c r="W68" s="71" t="str">
        <f aca="false">IF(G68&lt;&gt;"Sí","",N(INDEX(T_SUELDO,59))+N(INDEX(T_BONO,59))+IF(LEFT(INDEX(T_GRAT,59)&amp;"",6)="Art. 5",MIN(GRAT_PCT*(N(INDEX(T_SUELDO,59))+N(INDEX(T_BONO,59))),GRAT_TOPE_MES),0))</f>
        <v/>
      </c>
      <c r="X68" s="72" t="str">
        <f aca="false">IF(B68="","",MIN(10,N(INDEX(T_PREV,59))))</f>
        <v/>
      </c>
      <c r="Y68" s="72" t="str">
        <f aca="false">IF(B68="","",N(INDEX(T_VACPREV,59)))</f>
        <v/>
      </c>
      <c r="Z68" s="75" t="str">
        <f aca="false">IF(B68="","",N(INDEX(T_EGRESO,59)))</f>
        <v/>
      </c>
    </row>
    <row r="69" customFormat="false" ht="15" hidden="false" customHeight="false" outlineLevel="0" collapsed="false">
      <c r="B69" s="70" t="str">
        <f aca="false">IFERROR(IF(INDEX(T_ID,60)="","",INDEX(T_ID,60)),"")</f>
        <v/>
      </c>
      <c r="C69" s="70" t="str">
        <f aca="false">IF(B69="","",INDEX(T_NOMBRE,60)&amp;"")</f>
        <v/>
      </c>
      <c r="D69" s="70" t="str">
        <f aca="false">IF(B69="","",INDEX(T_TIPO,60)&amp;"")</f>
        <v/>
      </c>
      <c r="E69" s="75" t="str">
        <f aca="false">IF(B69="","",INDEX(T_INGRESO,60))</f>
        <v/>
      </c>
      <c r="F69" s="75" t="str">
        <f aca="false">IF(B69="","",IF(ISNUMBER(INDEX(CC_VENCE,60)),INDEX(CC_VENCE,60),""))</f>
        <v/>
      </c>
      <c r="G69" s="70" t="str">
        <f aca="false">IF(OR(B69="",NOT(ISNUMBER(E69))),"",IF(AND(E69&lt;=FQ_FECHA,OR(Z69=0,Z69&gt;=FQ_FECHA)),"Sí","No"))</f>
        <v/>
      </c>
      <c r="H69" s="94" t="str">
        <f aca="false">IF(G69&lt;&gt;"Sí","",ROUND((FQ_FECHA+1-E69)/365.25,1))</f>
        <v/>
      </c>
      <c r="I69" s="73" t="str">
        <f aca="false">IF(G69&lt;&gt;"Sí","",IF(DATEDIF(E69,FQ_FECHA+1,"y")&lt;1,0,MIN(TOPE_IAS_ANIOS,DATEDIF(E69,FQ_FECHA+1,"y")+IF(EDATE(E69,12*DATEDIF(E69,FQ_FECHA+1,"y")+6)&lt;FQ_FECHA+1,1,0))))</f>
        <v/>
      </c>
      <c r="J69" s="71" t="str">
        <f aca="false">IF(G69&lt;&gt;"Sí","",W69+N(INDEX(T_COL,60))+N(INDEX(T_MOV,60)))</f>
        <v/>
      </c>
      <c r="K69" s="71" t="str">
        <f aca="false">IF(G69&lt;&gt;"Sí","",MIN(J69,TOPE_IAS_UF*UF_HOY))</f>
        <v/>
      </c>
      <c r="L69" s="95" t="str">
        <f aca="false">IF(G69&lt;&gt;"Sí","",(1.25*(DATEDIF(E69,FQ_FECHA+1,"m")+(FQ_FECHA+1-EDATE(E69,DATEDIF(E69,FQ_FECHA+1,"m")))/30)+SUMPRODUCT((ANIOS&lt;=DATEDIF(E69,FQ_FECHA+1,"y"))*(X69+ANIOS-10&gt;0)*INT((X69+ANIOS-10)/3))-(SUMIFS(V_DIAS,V_ID,B69,V_INICIO,"&lt;="&amp;FQ_FECHA)+Y69)))</f>
        <v/>
      </c>
      <c r="M69" s="71" t="str">
        <f aca="false">IF(G69&lt;&gt;"Sí","",ROUND(MAX(0,IF(L69&lt;=0,0,WORKDAY(FQ_FECHA,INT(L69),FERIADOS)-FQ_FECHA+(L69-INT(L69))))*V69,0))</f>
        <v/>
      </c>
      <c r="N69" s="71" t="str">
        <f aca="false">IF(G69&lt;&gt;"Sí","",IF(D69="Obra o faena",0,ROUND(K69*I69,0)))</f>
        <v/>
      </c>
      <c r="O69" s="71" t="str">
        <f aca="false">IF(G69&lt;&gt;"Sí","",IF(OR(D69="Obra o faena",FQ_AVISO="Sí"),0,ROUND(K69,0)))</f>
        <v/>
      </c>
      <c r="P69" s="71" t="str">
        <f aca="false">IF(G69&lt;&gt;"Sí","",IF(AND(IMPUTAR_AFC="Sí",N69&gt;0),-MIN(N69,ROUND(AFC_IMPUTABLE_PCT*MIN(W69,TOPE_AFC_UF*UF_HOY)*DATEDIF(E69,FQ_FECHA+1,"m"),0)),0))</f>
        <v/>
      </c>
      <c r="Q69" s="85" t="str">
        <f aca="false">IF(G69&lt;&gt;"Sí","",M69+N69+O69+P69)</f>
        <v/>
      </c>
      <c r="R69" s="85" t="str">
        <f aca="false">IF(G69&lt;&gt;"Sí","",M69)</f>
        <v/>
      </c>
      <c r="S69" s="85" t="str">
        <f aca="false">IF(U69="","",IF(INDEX(CC_ESTADOC,60)="Renovación registrada","",ROUND(MAX(0,IF(U69&lt;=0,0,WORKDAY(F69,INT(U69),FERIADOS)-F69+(U69-INT(U69))))*V69,0)+IF(D69="Obra o faena",ROUND(OBRA_DIAS*K69/30*(DATEDIF(E69,F69+1,"m")+IF(F69+1-EDATE(E69,DATEDIF(E69,F69+1,"m"))&gt;15,1,0)),0),0)))</f>
        <v/>
      </c>
      <c r="T69" s="70" t="str">
        <f aca="false">IF(G69&lt;&gt;"Sí","",IF(D69="Plazo fijo","Despido antes del vencimiento: además existe riesgo de demanda por las remuneraciones hasta el término del plazo",IF(D69="Obra o faena","Al concluir la obra corresponde indemnización de 2,5 días por mes (incluida en la columna S); no IAS",IF(I69=0,"Menos de 1 año: no corresponde IAS (Art. 163)",IF(I69=TOPE_IAS_ANIOS,"IAS en el tope de 11 años","")))))</f>
        <v/>
      </c>
      <c r="U69" s="95" t="str">
        <f aca="false">IF(OR(G69&lt;&gt;"Sí",NOT(ISNUMBER(F69))),"",IF(F69&lt;FQ_FECHA,"",(1.25*(DATEDIF(E69,F69+1,"m")+(F69+1-EDATE(E69,DATEDIF(E69,F69+1,"m")))/30)+SUMPRODUCT((ANIOS&lt;=DATEDIF(E69,F69+1,"y"))*(X69+ANIOS-10&gt;0)*INT((X69+ANIOS-10)/3))-(SUMIFS(V_DIAS,V_ID,B69,V_INICIO,"&lt;="&amp;F69)+Y69))))</f>
        <v/>
      </c>
      <c r="V69" s="71" t="str">
        <f aca="false">IF(G69&lt;&gt;"Sí","",(N(INDEX(T_SUELDO,60))+N(INDEX(T_BONO,60)))/30)</f>
        <v/>
      </c>
      <c r="W69" s="71" t="str">
        <f aca="false">IF(G69&lt;&gt;"Sí","",N(INDEX(T_SUELDO,60))+N(INDEX(T_BONO,60))+IF(LEFT(INDEX(T_GRAT,60)&amp;"",6)="Art. 5",MIN(GRAT_PCT*(N(INDEX(T_SUELDO,60))+N(INDEX(T_BONO,60))),GRAT_TOPE_MES),0))</f>
        <v/>
      </c>
      <c r="X69" s="72" t="str">
        <f aca="false">IF(B69="","",MIN(10,N(INDEX(T_PREV,60))))</f>
        <v/>
      </c>
      <c r="Y69" s="72" t="str">
        <f aca="false">IF(B69="","",N(INDEX(T_VACPREV,60)))</f>
        <v/>
      </c>
      <c r="Z69" s="75" t="str">
        <f aca="false">IF(B69="","",N(INDEX(T_EGRESO,60)))</f>
        <v/>
      </c>
    </row>
    <row r="70" customFormat="false" ht="15" hidden="false" customHeight="false" outlineLevel="0" collapsed="false">
      <c r="B70" s="70" t="str">
        <f aca="false">IFERROR(IF(INDEX(T_ID,61)="","",INDEX(T_ID,61)),"")</f>
        <v/>
      </c>
      <c r="C70" s="70" t="str">
        <f aca="false">IF(B70="","",INDEX(T_NOMBRE,61)&amp;"")</f>
        <v/>
      </c>
      <c r="D70" s="70" t="str">
        <f aca="false">IF(B70="","",INDEX(T_TIPO,61)&amp;"")</f>
        <v/>
      </c>
      <c r="E70" s="75" t="str">
        <f aca="false">IF(B70="","",INDEX(T_INGRESO,61))</f>
        <v/>
      </c>
      <c r="F70" s="75" t="str">
        <f aca="false">IF(B70="","",IF(ISNUMBER(INDEX(CC_VENCE,61)),INDEX(CC_VENCE,61),""))</f>
        <v/>
      </c>
      <c r="G70" s="70" t="str">
        <f aca="false">IF(OR(B70="",NOT(ISNUMBER(E70))),"",IF(AND(E70&lt;=FQ_FECHA,OR(Z70=0,Z70&gt;=FQ_FECHA)),"Sí","No"))</f>
        <v/>
      </c>
      <c r="H70" s="94" t="str">
        <f aca="false">IF(G70&lt;&gt;"Sí","",ROUND((FQ_FECHA+1-E70)/365.25,1))</f>
        <v/>
      </c>
      <c r="I70" s="73" t="str">
        <f aca="false">IF(G70&lt;&gt;"Sí","",IF(DATEDIF(E70,FQ_FECHA+1,"y")&lt;1,0,MIN(TOPE_IAS_ANIOS,DATEDIF(E70,FQ_FECHA+1,"y")+IF(EDATE(E70,12*DATEDIF(E70,FQ_FECHA+1,"y")+6)&lt;FQ_FECHA+1,1,0))))</f>
        <v/>
      </c>
      <c r="J70" s="71" t="str">
        <f aca="false">IF(G70&lt;&gt;"Sí","",W70+N(INDEX(T_COL,61))+N(INDEX(T_MOV,61)))</f>
        <v/>
      </c>
      <c r="K70" s="71" t="str">
        <f aca="false">IF(G70&lt;&gt;"Sí","",MIN(J70,TOPE_IAS_UF*UF_HOY))</f>
        <v/>
      </c>
      <c r="L70" s="95" t="str">
        <f aca="false">IF(G70&lt;&gt;"Sí","",(1.25*(DATEDIF(E70,FQ_FECHA+1,"m")+(FQ_FECHA+1-EDATE(E70,DATEDIF(E70,FQ_FECHA+1,"m")))/30)+SUMPRODUCT((ANIOS&lt;=DATEDIF(E70,FQ_FECHA+1,"y"))*(X70+ANIOS-10&gt;0)*INT((X70+ANIOS-10)/3))-(SUMIFS(V_DIAS,V_ID,B70,V_INICIO,"&lt;="&amp;FQ_FECHA)+Y70)))</f>
        <v/>
      </c>
      <c r="M70" s="71" t="str">
        <f aca="false">IF(G70&lt;&gt;"Sí","",ROUND(MAX(0,IF(L70&lt;=0,0,WORKDAY(FQ_FECHA,INT(L70),FERIADOS)-FQ_FECHA+(L70-INT(L70))))*V70,0))</f>
        <v/>
      </c>
      <c r="N70" s="71" t="str">
        <f aca="false">IF(G70&lt;&gt;"Sí","",IF(D70="Obra o faena",0,ROUND(K70*I70,0)))</f>
        <v/>
      </c>
      <c r="O70" s="71" t="str">
        <f aca="false">IF(G70&lt;&gt;"Sí","",IF(OR(D70="Obra o faena",FQ_AVISO="Sí"),0,ROUND(K70,0)))</f>
        <v/>
      </c>
      <c r="P70" s="71" t="str">
        <f aca="false">IF(G70&lt;&gt;"Sí","",IF(AND(IMPUTAR_AFC="Sí",N70&gt;0),-MIN(N70,ROUND(AFC_IMPUTABLE_PCT*MIN(W70,TOPE_AFC_UF*UF_HOY)*DATEDIF(E70,FQ_FECHA+1,"m"),0)),0))</f>
        <v/>
      </c>
      <c r="Q70" s="85" t="str">
        <f aca="false">IF(G70&lt;&gt;"Sí","",M70+N70+O70+P70)</f>
        <v/>
      </c>
      <c r="R70" s="85" t="str">
        <f aca="false">IF(G70&lt;&gt;"Sí","",M70)</f>
        <v/>
      </c>
      <c r="S70" s="85" t="str">
        <f aca="false">IF(U70="","",IF(INDEX(CC_ESTADOC,61)="Renovación registrada","",ROUND(MAX(0,IF(U70&lt;=0,0,WORKDAY(F70,INT(U70),FERIADOS)-F70+(U70-INT(U70))))*V70,0)+IF(D70="Obra o faena",ROUND(OBRA_DIAS*K70/30*(DATEDIF(E70,F70+1,"m")+IF(F70+1-EDATE(E70,DATEDIF(E70,F70+1,"m"))&gt;15,1,0)),0),0)))</f>
        <v/>
      </c>
      <c r="T70" s="70" t="str">
        <f aca="false">IF(G70&lt;&gt;"Sí","",IF(D70="Plazo fijo","Despido antes del vencimiento: además existe riesgo de demanda por las remuneraciones hasta el término del plazo",IF(D70="Obra o faena","Al concluir la obra corresponde indemnización de 2,5 días por mes (incluida en la columna S); no IAS",IF(I70=0,"Menos de 1 año: no corresponde IAS (Art. 163)",IF(I70=TOPE_IAS_ANIOS,"IAS en el tope de 11 años","")))))</f>
        <v/>
      </c>
      <c r="U70" s="95" t="str">
        <f aca="false">IF(OR(G70&lt;&gt;"Sí",NOT(ISNUMBER(F70))),"",IF(F70&lt;FQ_FECHA,"",(1.25*(DATEDIF(E70,F70+1,"m")+(F70+1-EDATE(E70,DATEDIF(E70,F70+1,"m")))/30)+SUMPRODUCT((ANIOS&lt;=DATEDIF(E70,F70+1,"y"))*(X70+ANIOS-10&gt;0)*INT((X70+ANIOS-10)/3))-(SUMIFS(V_DIAS,V_ID,B70,V_INICIO,"&lt;="&amp;F70)+Y70))))</f>
        <v/>
      </c>
      <c r="V70" s="71" t="str">
        <f aca="false">IF(G70&lt;&gt;"Sí","",(N(INDEX(T_SUELDO,61))+N(INDEX(T_BONO,61)))/30)</f>
        <v/>
      </c>
      <c r="W70" s="71" t="str">
        <f aca="false">IF(G70&lt;&gt;"Sí","",N(INDEX(T_SUELDO,61))+N(INDEX(T_BONO,61))+IF(LEFT(INDEX(T_GRAT,61)&amp;"",6)="Art. 5",MIN(GRAT_PCT*(N(INDEX(T_SUELDO,61))+N(INDEX(T_BONO,61))),GRAT_TOPE_MES),0))</f>
        <v/>
      </c>
      <c r="X70" s="72" t="str">
        <f aca="false">IF(B70="","",MIN(10,N(INDEX(T_PREV,61))))</f>
        <v/>
      </c>
      <c r="Y70" s="72" t="str">
        <f aca="false">IF(B70="","",N(INDEX(T_VACPREV,61)))</f>
        <v/>
      </c>
      <c r="Z70" s="75" t="str">
        <f aca="false">IF(B70="","",N(INDEX(T_EGRESO,61)))</f>
        <v/>
      </c>
    </row>
    <row r="71" customFormat="false" ht="15" hidden="false" customHeight="false" outlineLevel="0" collapsed="false">
      <c r="B71" s="70" t="str">
        <f aca="false">IFERROR(IF(INDEX(T_ID,62)="","",INDEX(T_ID,62)),"")</f>
        <v/>
      </c>
      <c r="C71" s="70" t="str">
        <f aca="false">IF(B71="","",INDEX(T_NOMBRE,62)&amp;"")</f>
        <v/>
      </c>
      <c r="D71" s="70" t="str">
        <f aca="false">IF(B71="","",INDEX(T_TIPO,62)&amp;"")</f>
        <v/>
      </c>
      <c r="E71" s="75" t="str">
        <f aca="false">IF(B71="","",INDEX(T_INGRESO,62))</f>
        <v/>
      </c>
      <c r="F71" s="75" t="str">
        <f aca="false">IF(B71="","",IF(ISNUMBER(INDEX(CC_VENCE,62)),INDEX(CC_VENCE,62),""))</f>
        <v/>
      </c>
      <c r="G71" s="70" t="str">
        <f aca="false">IF(OR(B71="",NOT(ISNUMBER(E71))),"",IF(AND(E71&lt;=FQ_FECHA,OR(Z71=0,Z71&gt;=FQ_FECHA)),"Sí","No"))</f>
        <v/>
      </c>
      <c r="H71" s="94" t="str">
        <f aca="false">IF(G71&lt;&gt;"Sí","",ROUND((FQ_FECHA+1-E71)/365.25,1))</f>
        <v/>
      </c>
      <c r="I71" s="73" t="str">
        <f aca="false">IF(G71&lt;&gt;"Sí","",IF(DATEDIF(E71,FQ_FECHA+1,"y")&lt;1,0,MIN(TOPE_IAS_ANIOS,DATEDIF(E71,FQ_FECHA+1,"y")+IF(EDATE(E71,12*DATEDIF(E71,FQ_FECHA+1,"y")+6)&lt;FQ_FECHA+1,1,0))))</f>
        <v/>
      </c>
      <c r="J71" s="71" t="str">
        <f aca="false">IF(G71&lt;&gt;"Sí","",W71+N(INDEX(T_COL,62))+N(INDEX(T_MOV,62)))</f>
        <v/>
      </c>
      <c r="K71" s="71" t="str">
        <f aca="false">IF(G71&lt;&gt;"Sí","",MIN(J71,TOPE_IAS_UF*UF_HOY))</f>
        <v/>
      </c>
      <c r="L71" s="95" t="str">
        <f aca="false">IF(G71&lt;&gt;"Sí","",(1.25*(DATEDIF(E71,FQ_FECHA+1,"m")+(FQ_FECHA+1-EDATE(E71,DATEDIF(E71,FQ_FECHA+1,"m")))/30)+SUMPRODUCT((ANIOS&lt;=DATEDIF(E71,FQ_FECHA+1,"y"))*(X71+ANIOS-10&gt;0)*INT((X71+ANIOS-10)/3))-(SUMIFS(V_DIAS,V_ID,B71,V_INICIO,"&lt;="&amp;FQ_FECHA)+Y71)))</f>
        <v/>
      </c>
      <c r="M71" s="71" t="str">
        <f aca="false">IF(G71&lt;&gt;"Sí","",ROUND(MAX(0,IF(L71&lt;=0,0,WORKDAY(FQ_FECHA,INT(L71),FERIADOS)-FQ_FECHA+(L71-INT(L71))))*V71,0))</f>
        <v/>
      </c>
      <c r="N71" s="71" t="str">
        <f aca="false">IF(G71&lt;&gt;"Sí","",IF(D71="Obra o faena",0,ROUND(K71*I71,0)))</f>
        <v/>
      </c>
      <c r="O71" s="71" t="str">
        <f aca="false">IF(G71&lt;&gt;"Sí","",IF(OR(D71="Obra o faena",FQ_AVISO="Sí"),0,ROUND(K71,0)))</f>
        <v/>
      </c>
      <c r="P71" s="71" t="str">
        <f aca="false">IF(G71&lt;&gt;"Sí","",IF(AND(IMPUTAR_AFC="Sí",N71&gt;0),-MIN(N71,ROUND(AFC_IMPUTABLE_PCT*MIN(W71,TOPE_AFC_UF*UF_HOY)*DATEDIF(E71,FQ_FECHA+1,"m"),0)),0))</f>
        <v/>
      </c>
      <c r="Q71" s="85" t="str">
        <f aca="false">IF(G71&lt;&gt;"Sí","",M71+N71+O71+P71)</f>
        <v/>
      </c>
      <c r="R71" s="85" t="str">
        <f aca="false">IF(G71&lt;&gt;"Sí","",M71)</f>
        <v/>
      </c>
      <c r="S71" s="85" t="str">
        <f aca="false">IF(U71="","",IF(INDEX(CC_ESTADOC,62)="Renovación registrada","",ROUND(MAX(0,IF(U71&lt;=0,0,WORKDAY(F71,INT(U71),FERIADOS)-F71+(U71-INT(U71))))*V71,0)+IF(D71="Obra o faena",ROUND(OBRA_DIAS*K71/30*(DATEDIF(E71,F71+1,"m")+IF(F71+1-EDATE(E71,DATEDIF(E71,F71+1,"m"))&gt;15,1,0)),0),0)))</f>
        <v/>
      </c>
      <c r="T71" s="70" t="str">
        <f aca="false">IF(G71&lt;&gt;"Sí","",IF(D71="Plazo fijo","Despido antes del vencimiento: además existe riesgo de demanda por las remuneraciones hasta el término del plazo",IF(D71="Obra o faena","Al concluir la obra corresponde indemnización de 2,5 días por mes (incluida en la columna S); no IAS",IF(I71=0,"Menos de 1 año: no corresponde IAS (Art. 163)",IF(I71=TOPE_IAS_ANIOS,"IAS en el tope de 11 años","")))))</f>
        <v/>
      </c>
      <c r="U71" s="95" t="str">
        <f aca="false">IF(OR(G71&lt;&gt;"Sí",NOT(ISNUMBER(F71))),"",IF(F71&lt;FQ_FECHA,"",(1.25*(DATEDIF(E71,F71+1,"m")+(F71+1-EDATE(E71,DATEDIF(E71,F71+1,"m")))/30)+SUMPRODUCT((ANIOS&lt;=DATEDIF(E71,F71+1,"y"))*(X71+ANIOS-10&gt;0)*INT((X71+ANIOS-10)/3))-(SUMIFS(V_DIAS,V_ID,B71,V_INICIO,"&lt;="&amp;F71)+Y71))))</f>
        <v/>
      </c>
      <c r="V71" s="71" t="str">
        <f aca="false">IF(G71&lt;&gt;"Sí","",(N(INDEX(T_SUELDO,62))+N(INDEX(T_BONO,62)))/30)</f>
        <v/>
      </c>
      <c r="W71" s="71" t="str">
        <f aca="false">IF(G71&lt;&gt;"Sí","",N(INDEX(T_SUELDO,62))+N(INDEX(T_BONO,62))+IF(LEFT(INDEX(T_GRAT,62)&amp;"",6)="Art. 5",MIN(GRAT_PCT*(N(INDEX(T_SUELDO,62))+N(INDEX(T_BONO,62))),GRAT_TOPE_MES),0))</f>
        <v/>
      </c>
      <c r="X71" s="72" t="str">
        <f aca="false">IF(B71="","",MIN(10,N(INDEX(T_PREV,62))))</f>
        <v/>
      </c>
      <c r="Y71" s="72" t="str">
        <f aca="false">IF(B71="","",N(INDEX(T_VACPREV,62)))</f>
        <v/>
      </c>
      <c r="Z71" s="75" t="str">
        <f aca="false">IF(B71="","",N(INDEX(T_EGRESO,62)))</f>
        <v/>
      </c>
    </row>
    <row r="72" customFormat="false" ht="15" hidden="false" customHeight="false" outlineLevel="0" collapsed="false">
      <c r="B72" s="70" t="str">
        <f aca="false">IFERROR(IF(INDEX(T_ID,63)="","",INDEX(T_ID,63)),"")</f>
        <v/>
      </c>
      <c r="C72" s="70" t="str">
        <f aca="false">IF(B72="","",INDEX(T_NOMBRE,63)&amp;"")</f>
        <v/>
      </c>
      <c r="D72" s="70" t="str">
        <f aca="false">IF(B72="","",INDEX(T_TIPO,63)&amp;"")</f>
        <v/>
      </c>
      <c r="E72" s="75" t="str">
        <f aca="false">IF(B72="","",INDEX(T_INGRESO,63))</f>
        <v/>
      </c>
      <c r="F72" s="75" t="str">
        <f aca="false">IF(B72="","",IF(ISNUMBER(INDEX(CC_VENCE,63)),INDEX(CC_VENCE,63),""))</f>
        <v/>
      </c>
      <c r="G72" s="70" t="str">
        <f aca="false">IF(OR(B72="",NOT(ISNUMBER(E72))),"",IF(AND(E72&lt;=FQ_FECHA,OR(Z72=0,Z72&gt;=FQ_FECHA)),"Sí","No"))</f>
        <v/>
      </c>
      <c r="H72" s="94" t="str">
        <f aca="false">IF(G72&lt;&gt;"Sí","",ROUND((FQ_FECHA+1-E72)/365.25,1))</f>
        <v/>
      </c>
      <c r="I72" s="73" t="str">
        <f aca="false">IF(G72&lt;&gt;"Sí","",IF(DATEDIF(E72,FQ_FECHA+1,"y")&lt;1,0,MIN(TOPE_IAS_ANIOS,DATEDIF(E72,FQ_FECHA+1,"y")+IF(EDATE(E72,12*DATEDIF(E72,FQ_FECHA+1,"y")+6)&lt;FQ_FECHA+1,1,0))))</f>
        <v/>
      </c>
      <c r="J72" s="71" t="str">
        <f aca="false">IF(G72&lt;&gt;"Sí","",W72+N(INDEX(T_COL,63))+N(INDEX(T_MOV,63)))</f>
        <v/>
      </c>
      <c r="K72" s="71" t="str">
        <f aca="false">IF(G72&lt;&gt;"Sí","",MIN(J72,TOPE_IAS_UF*UF_HOY))</f>
        <v/>
      </c>
      <c r="L72" s="95" t="str">
        <f aca="false">IF(G72&lt;&gt;"Sí","",(1.25*(DATEDIF(E72,FQ_FECHA+1,"m")+(FQ_FECHA+1-EDATE(E72,DATEDIF(E72,FQ_FECHA+1,"m")))/30)+SUMPRODUCT((ANIOS&lt;=DATEDIF(E72,FQ_FECHA+1,"y"))*(X72+ANIOS-10&gt;0)*INT((X72+ANIOS-10)/3))-(SUMIFS(V_DIAS,V_ID,B72,V_INICIO,"&lt;="&amp;FQ_FECHA)+Y72)))</f>
        <v/>
      </c>
      <c r="M72" s="71" t="str">
        <f aca="false">IF(G72&lt;&gt;"Sí","",ROUND(MAX(0,IF(L72&lt;=0,0,WORKDAY(FQ_FECHA,INT(L72),FERIADOS)-FQ_FECHA+(L72-INT(L72))))*V72,0))</f>
        <v/>
      </c>
      <c r="N72" s="71" t="str">
        <f aca="false">IF(G72&lt;&gt;"Sí","",IF(D72="Obra o faena",0,ROUND(K72*I72,0)))</f>
        <v/>
      </c>
      <c r="O72" s="71" t="str">
        <f aca="false">IF(G72&lt;&gt;"Sí","",IF(OR(D72="Obra o faena",FQ_AVISO="Sí"),0,ROUND(K72,0)))</f>
        <v/>
      </c>
      <c r="P72" s="71" t="str">
        <f aca="false">IF(G72&lt;&gt;"Sí","",IF(AND(IMPUTAR_AFC="Sí",N72&gt;0),-MIN(N72,ROUND(AFC_IMPUTABLE_PCT*MIN(W72,TOPE_AFC_UF*UF_HOY)*DATEDIF(E72,FQ_FECHA+1,"m"),0)),0))</f>
        <v/>
      </c>
      <c r="Q72" s="85" t="str">
        <f aca="false">IF(G72&lt;&gt;"Sí","",M72+N72+O72+P72)</f>
        <v/>
      </c>
      <c r="R72" s="85" t="str">
        <f aca="false">IF(G72&lt;&gt;"Sí","",M72)</f>
        <v/>
      </c>
      <c r="S72" s="85" t="str">
        <f aca="false">IF(U72="","",IF(INDEX(CC_ESTADOC,63)="Renovación registrada","",ROUND(MAX(0,IF(U72&lt;=0,0,WORKDAY(F72,INT(U72),FERIADOS)-F72+(U72-INT(U72))))*V72,0)+IF(D72="Obra o faena",ROUND(OBRA_DIAS*K72/30*(DATEDIF(E72,F72+1,"m")+IF(F72+1-EDATE(E72,DATEDIF(E72,F72+1,"m"))&gt;15,1,0)),0),0)))</f>
        <v/>
      </c>
      <c r="T72" s="70" t="str">
        <f aca="false">IF(G72&lt;&gt;"Sí","",IF(D72="Plazo fijo","Despido antes del vencimiento: además existe riesgo de demanda por las remuneraciones hasta el término del plazo",IF(D72="Obra o faena","Al concluir la obra corresponde indemnización de 2,5 días por mes (incluida en la columna S); no IAS",IF(I72=0,"Menos de 1 año: no corresponde IAS (Art. 163)",IF(I72=TOPE_IAS_ANIOS,"IAS en el tope de 11 años","")))))</f>
        <v/>
      </c>
      <c r="U72" s="95" t="str">
        <f aca="false">IF(OR(G72&lt;&gt;"Sí",NOT(ISNUMBER(F72))),"",IF(F72&lt;FQ_FECHA,"",(1.25*(DATEDIF(E72,F72+1,"m")+(F72+1-EDATE(E72,DATEDIF(E72,F72+1,"m")))/30)+SUMPRODUCT((ANIOS&lt;=DATEDIF(E72,F72+1,"y"))*(X72+ANIOS-10&gt;0)*INT((X72+ANIOS-10)/3))-(SUMIFS(V_DIAS,V_ID,B72,V_INICIO,"&lt;="&amp;F72)+Y72))))</f>
        <v/>
      </c>
      <c r="V72" s="71" t="str">
        <f aca="false">IF(G72&lt;&gt;"Sí","",(N(INDEX(T_SUELDO,63))+N(INDEX(T_BONO,63)))/30)</f>
        <v/>
      </c>
      <c r="W72" s="71" t="str">
        <f aca="false">IF(G72&lt;&gt;"Sí","",N(INDEX(T_SUELDO,63))+N(INDEX(T_BONO,63))+IF(LEFT(INDEX(T_GRAT,63)&amp;"",6)="Art. 5",MIN(GRAT_PCT*(N(INDEX(T_SUELDO,63))+N(INDEX(T_BONO,63))),GRAT_TOPE_MES),0))</f>
        <v/>
      </c>
      <c r="X72" s="72" t="str">
        <f aca="false">IF(B72="","",MIN(10,N(INDEX(T_PREV,63))))</f>
        <v/>
      </c>
      <c r="Y72" s="72" t="str">
        <f aca="false">IF(B72="","",N(INDEX(T_VACPREV,63)))</f>
        <v/>
      </c>
      <c r="Z72" s="75" t="str">
        <f aca="false">IF(B72="","",N(INDEX(T_EGRESO,63)))</f>
        <v/>
      </c>
    </row>
    <row r="73" customFormat="false" ht="15" hidden="false" customHeight="false" outlineLevel="0" collapsed="false">
      <c r="B73" s="70" t="str">
        <f aca="false">IFERROR(IF(INDEX(T_ID,64)="","",INDEX(T_ID,64)),"")</f>
        <v/>
      </c>
      <c r="C73" s="70" t="str">
        <f aca="false">IF(B73="","",INDEX(T_NOMBRE,64)&amp;"")</f>
        <v/>
      </c>
      <c r="D73" s="70" t="str">
        <f aca="false">IF(B73="","",INDEX(T_TIPO,64)&amp;"")</f>
        <v/>
      </c>
      <c r="E73" s="75" t="str">
        <f aca="false">IF(B73="","",INDEX(T_INGRESO,64))</f>
        <v/>
      </c>
      <c r="F73" s="75" t="str">
        <f aca="false">IF(B73="","",IF(ISNUMBER(INDEX(CC_VENCE,64)),INDEX(CC_VENCE,64),""))</f>
        <v/>
      </c>
      <c r="G73" s="70" t="str">
        <f aca="false">IF(OR(B73="",NOT(ISNUMBER(E73))),"",IF(AND(E73&lt;=FQ_FECHA,OR(Z73=0,Z73&gt;=FQ_FECHA)),"Sí","No"))</f>
        <v/>
      </c>
      <c r="H73" s="94" t="str">
        <f aca="false">IF(G73&lt;&gt;"Sí","",ROUND((FQ_FECHA+1-E73)/365.25,1))</f>
        <v/>
      </c>
      <c r="I73" s="73" t="str">
        <f aca="false">IF(G73&lt;&gt;"Sí","",IF(DATEDIF(E73,FQ_FECHA+1,"y")&lt;1,0,MIN(TOPE_IAS_ANIOS,DATEDIF(E73,FQ_FECHA+1,"y")+IF(EDATE(E73,12*DATEDIF(E73,FQ_FECHA+1,"y")+6)&lt;FQ_FECHA+1,1,0))))</f>
        <v/>
      </c>
      <c r="J73" s="71" t="str">
        <f aca="false">IF(G73&lt;&gt;"Sí","",W73+N(INDEX(T_COL,64))+N(INDEX(T_MOV,64)))</f>
        <v/>
      </c>
      <c r="K73" s="71" t="str">
        <f aca="false">IF(G73&lt;&gt;"Sí","",MIN(J73,TOPE_IAS_UF*UF_HOY))</f>
        <v/>
      </c>
      <c r="L73" s="95" t="str">
        <f aca="false">IF(G73&lt;&gt;"Sí","",(1.25*(DATEDIF(E73,FQ_FECHA+1,"m")+(FQ_FECHA+1-EDATE(E73,DATEDIF(E73,FQ_FECHA+1,"m")))/30)+SUMPRODUCT((ANIOS&lt;=DATEDIF(E73,FQ_FECHA+1,"y"))*(X73+ANIOS-10&gt;0)*INT((X73+ANIOS-10)/3))-(SUMIFS(V_DIAS,V_ID,B73,V_INICIO,"&lt;="&amp;FQ_FECHA)+Y73)))</f>
        <v/>
      </c>
      <c r="M73" s="71" t="str">
        <f aca="false">IF(G73&lt;&gt;"Sí","",ROUND(MAX(0,IF(L73&lt;=0,0,WORKDAY(FQ_FECHA,INT(L73),FERIADOS)-FQ_FECHA+(L73-INT(L73))))*V73,0))</f>
        <v/>
      </c>
      <c r="N73" s="71" t="str">
        <f aca="false">IF(G73&lt;&gt;"Sí","",IF(D73="Obra o faena",0,ROUND(K73*I73,0)))</f>
        <v/>
      </c>
      <c r="O73" s="71" t="str">
        <f aca="false">IF(G73&lt;&gt;"Sí","",IF(OR(D73="Obra o faena",FQ_AVISO="Sí"),0,ROUND(K73,0)))</f>
        <v/>
      </c>
      <c r="P73" s="71" t="str">
        <f aca="false">IF(G73&lt;&gt;"Sí","",IF(AND(IMPUTAR_AFC="Sí",N73&gt;0),-MIN(N73,ROUND(AFC_IMPUTABLE_PCT*MIN(W73,TOPE_AFC_UF*UF_HOY)*DATEDIF(E73,FQ_FECHA+1,"m"),0)),0))</f>
        <v/>
      </c>
      <c r="Q73" s="85" t="str">
        <f aca="false">IF(G73&lt;&gt;"Sí","",M73+N73+O73+P73)</f>
        <v/>
      </c>
      <c r="R73" s="85" t="str">
        <f aca="false">IF(G73&lt;&gt;"Sí","",M73)</f>
        <v/>
      </c>
      <c r="S73" s="85" t="str">
        <f aca="false">IF(U73="","",IF(INDEX(CC_ESTADOC,64)="Renovación registrada","",ROUND(MAX(0,IF(U73&lt;=0,0,WORKDAY(F73,INT(U73),FERIADOS)-F73+(U73-INT(U73))))*V73,0)+IF(D73="Obra o faena",ROUND(OBRA_DIAS*K73/30*(DATEDIF(E73,F73+1,"m")+IF(F73+1-EDATE(E73,DATEDIF(E73,F73+1,"m"))&gt;15,1,0)),0),0)))</f>
        <v/>
      </c>
      <c r="T73" s="70" t="str">
        <f aca="false">IF(G73&lt;&gt;"Sí","",IF(D73="Plazo fijo","Despido antes del vencimiento: además existe riesgo de demanda por las remuneraciones hasta el término del plazo",IF(D73="Obra o faena","Al concluir la obra corresponde indemnización de 2,5 días por mes (incluida en la columna S); no IAS",IF(I73=0,"Menos de 1 año: no corresponde IAS (Art. 163)",IF(I73=TOPE_IAS_ANIOS,"IAS en el tope de 11 años","")))))</f>
        <v/>
      </c>
      <c r="U73" s="95" t="str">
        <f aca="false">IF(OR(G73&lt;&gt;"Sí",NOT(ISNUMBER(F73))),"",IF(F73&lt;FQ_FECHA,"",(1.25*(DATEDIF(E73,F73+1,"m")+(F73+1-EDATE(E73,DATEDIF(E73,F73+1,"m")))/30)+SUMPRODUCT((ANIOS&lt;=DATEDIF(E73,F73+1,"y"))*(X73+ANIOS-10&gt;0)*INT((X73+ANIOS-10)/3))-(SUMIFS(V_DIAS,V_ID,B73,V_INICIO,"&lt;="&amp;F73)+Y73))))</f>
        <v/>
      </c>
      <c r="V73" s="71" t="str">
        <f aca="false">IF(G73&lt;&gt;"Sí","",(N(INDEX(T_SUELDO,64))+N(INDEX(T_BONO,64)))/30)</f>
        <v/>
      </c>
      <c r="W73" s="71" t="str">
        <f aca="false">IF(G73&lt;&gt;"Sí","",N(INDEX(T_SUELDO,64))+N(INDEX(T_BONO,64))+IF(LEFT(INDEX(T_GRAT,64)&amp;"",6)="Art. 5",MIN(GRAT_PCT*(N(INDEX(T_SUELDO,64))+N(INDEX(T_BONO,64))),GRAT_TOPE_MES),0))</f>
        <v/>
      </c>
      <c r="X73" s="72" t="str">
        <f aca="false">IF(B73="","",MIN(10,N(INDEX(T_PREV,64))))</f>
        <v/>
      </c>
      <c r="Y73" s="72" t="str">
        <f aca="false">IF(B73="","",N(INDEX(T_VACPREV,64)))</f>
        <v/>
      </c>
      <c r="Z73" s="75" t="str">
        <f aca="false">IF(B73="","",N(INDEX(T_EGRESO,64)))</f>
        <v/>
      </c>
    </row>
    <row r="74" customFormat="false" ht="15" hidden="false" customHeight="false" outlineLevel="0" collapsed="false">
      <c r="B74" s="70" t="str">
        <f aca="false">IFERROR(IF(INDEX(T_ID,65)="","",INDEX(T_ID,65)),"")</f>
        <v/>
      </c>
      <c r="C74" s="70" t="str">
        <f aca="false">IF(B74="","",INDEX(T_NOMBRE,65)&amp;"")</f>
        <v/>
      </c>
      <c r="D74" s="70" t="str">
        <f aca="false">IF(B74="","",INDEX(T_TIPO,65)&amp;"")</f>
        <v/>
      </c>
      <c r="E74" s="75" t="str">
        <f aca="false">IF(B74="","",INDEX(T_INGRESO,65))</f>
        <v/>
      </c>
      <c r="F74" s="75" t="str">
        <f aca="false">IF(B74="","",IF(ISNUMBER(INDEX(CC_VENCE,65)),INDEX(CC_VENCE,65),""))</f>
        <v/>
      </c>
      <c r="G74" s="70" t="str">
        <f aca="false">IF(OR(B74="",NOT(ISNUMBER(E74))),"",IF(AND(E74&lt;=FQ_FECHA,OR(Z74=0,Z74&gt;=FQ_FECHA)),"Sí","No"))</f>
        <v/>
      </c>
      <c r="H74" s="94" t="str">
        <f aca="false">IF(G74&lt;&gt;"Sí","",ROUND((FQ_FECHA+1-E74)/365.25,1))</f>
        <v/>
      </c>
      <c r="I74" s="73" t="str">
        <f aca="false">IF(G74&lt;&gt;"Sí","",IF(DATEDIF(E74,FQ_FECHA+1,"y")&lt;1,0,MIN(TOPE_IAS_ANIOS,DATEDIF(E74,FQ_FECHA+1,"y")+IF(EDATE(E74,12*DATEDIF(E74,FQ_FECHA+1,"y")+6)&lt;FQ_FECHA+1,1,0))))</f>
        <v/>
      </c>
      <c r="J74" s="71" t="str">
        <f aca="false">IF(G74&lt;&gt;"Sí","",W74+N(INDEX(T_COL,65))+N(INDEX(T_MOV,65)))</f>
        <v/>
      </c>
      <c r="K74" s="71" t="str">
        <f aca="false">IF(G74&lt;&gt;"Sí","",MIN(J74,TOPE_IAS_UF*UF_HOY))</f>
        <v/>
      </c>
      <c r="L74" s="95" t="str">
        <f aca="false">IF(G74&lt;&gt;"Sí","",(1.25*(DATEDIF(E74,FQ_FECHA+1,"m")+(FQ_FECHA+1-EDATE(E74,DATEDIF(E74,FQ_FECHA+1,"m")))/30)+SUMPRODUCT((ANIOS&lt;=DATEDIF(E74,FQ_FECHA+1,"y"))*(X74+ANIOS-10&gt;0)*INT((X74+ANIOS-10)/3))-(SUMIFS(V_DIAS,V_ID,B74,V_INICIO,"&lt;="&amp;FQ_FECHA)+Y74)))</f>
        <v/>
      </c>
      <c r="M74" s="71" t="str">
        <f aca="false">IF(G74&lt;&gt;"Sí","",ROUND(MAX(0,IF(L74&lt;=0,0,WORKDAY(FQ_FECHA,INT(L74),FERIADOS)-FQ_FECHA+(L74-INT(L74))))*V74,0))</f>
        <v/>
      </c>
      <c r="N74" s="71" t="str">
        <f aca="false">IF(G74&lt;&gt;"Sí","",IF(D74="Obra o faena",0,ROUND(K74*I74,0)))</f>
        <v/>
      </c>
      <c r="O74" s="71" t="str">
        <f aca="false">IF(G74&lt;&gt;"Sí","",IF(OR(D74="Obra o faena",FQ_AVISO="Sí"),0,ROUND(K74,0)))</f>
        <v/>
      </c>
      <c r="P74" s="71" t="str">
        <f aca="false">IF(G74&lt;&gt;"Sí","",IF(AND(IMPUTAR_AFC="Sí",N74&gt;0),-MIN(N74,ROUND(AFC_IMPUTABLE_PCT*MIN(W74,TOPE_AFC_UF*UF_HOY)*DATEDIF(E74,FQ_FECHA+1,"m"),0)),0))</f>
        <v/>
      </c>
      <c r="Q74" s="85" t="str">
        <f aca="false">IF(G74&lt;&gt;"Sí","",M74+N74+O74+P74)</f>
        <v/>
      </c>
      <c r="R74" s="85" t="str">
        <f aca="false">IF(G74&lt;&gt;"Sí","",M74)</f>
        <v/>
      </c>
      <c r="S74" s="85" t="str">
        <f aca="false">IF(U74="","",IF(INDEX(CC_ESTADOC,65)="Renovación registrada","",ROUND(MAX(0,IF(U74&lt;=0,0,WORKDAY(F74,INT(U74),FERIADOS)-F74+(U74-INT(U74))))*V74,0)+IF(D74="Obra o faena",ROUND(OBRA_DIAS*K74/30*(DATEDIF(E74,F74+1,"m")+IF(F74+1-EDATE(E74,DATEDIF(E74,F74+1,"m"))&gt;15,1,0)),0),0)))</f>
        <v/>
      </c>
      <c r="T74" s="70" t="str">
        <f aca="false">IF(G74&lt;&gt;"Sí","",IF(D74="Plazo fijo","Despido antes del vencimiento: además existe riesgo de demanda por las remuneraciones hasta el término del plazo",IF(D74="Obra o faena","Al concluir la obra corresponde indemnización de 2,5 días por mes (incluida en la columna S); no IAS",IF(I74=0,"Menos de 1 año: no corresponde IAS (Art. 163)",IF(I74=TOPE_IAS_ANIOS,"IAS en el tope de 11 años","")))))</f>
        <v/>
      </c>
      <c r="U74" s="95" t="str">
        <f aca="false">IF(OR(G74&lt;&gt;"Sí",NOT(ISNUMBER(F74))),"",IF(F74&lt;FQ_FECHA,"",(1.25*(DATEDIF(E74,F74+1,"m")+(F74+1-EDATE(E74,DATEDIF(E74,F74+1,"m")))/30)+SUMPRODUCT((ANIOS&lt;=DATEDIF(E74,F74+1,"y"))*(X74+ANIOS-10&gt;0)*INT((X74+ANIOS-10)/3))-(SUMIFS(V_DIAS,V_ID,B74,V_INICIO,"&lt;="&amp;F74)+Y74))))</f>
        <v/>
      </c>
      <c r="V74" s="71" t="str">
        <f aca="false">IF(G74&lt;&gt;"Sí","",(N(INDEX(T_SUELDO,65))+N(INDEX(T_BONO,65)))/30)</f>
        <v/>
      </c>
      <c r="W74" s="71" t="str">
        <f aca="false">IF(G74&lt;&gt;"Sí","",N(INDEX(T_SUELDO,65))+N(INDEX(T_BONO,65))+IF(LEFT(INDEX(T_GRAT,65)&amp;"",6)="Art. 5",MIN(GRAT_PCT*(N(INDEX(T_SUELDO,65))+N(INDEX(T_BONO,65))),GRAT_TOPE_MES),0))</f>
        <v/>
      </c>
      <c r="X74" s="72" t="str">
        <f aca="false">IF(B74="","",MIN(10,N(INDEX(T_PREV,65))))</f>
        <v/>
      </c>
      <c r="Y74" s="72" t="str">
        <f aca="false">IF(B74="","",N(INDEX(T_VACPREV,65)))</f>
        <v/>
      </c>
      <c r="Z74" s="75" t="str">
        <f aca="false">IF(B74="","",N(INDEX(T_EGRESO,65)))</f>
        <v/>
      </c>
    </row>
    <row r="75" customFormat="false" ht="15" hidden="false" customHeight="false" outlineLevel="0" collapsed="false">
      <c r="B75" s="70" t="str">
        <f aca="false">IFERROR(IF(INDEX(T_ID,66)="","",INDEX(T_ID,66)),"")</f>
        <v/>
      </c>
      <c r="C75" s="70" t="str">
        <f aca="false">IF(B75="","",INDEX(T_NOMBRE,66)&amp;"")</f>
        <v/>
      </c>
      <c r="D75" s="70" t="str">
        <f aca="false">IF(B75="","",INDEX(T_TIPO,66)&amp;"")</f>
        <v/>
      </c>
      <c r="E75" s="75" t="str">
        <f aca="false">IF(B75="","",INDEX(T_INGRESO,66))</f>
        <v/>
      </c>
      <c r="F75" s="75" t="str">
        <f aca="false">IF(B75="","",IF(ISNUMBER(INDEX(CC_VENCE,66)),INDEX(CC_VENCE,66),""))</f>
        <v/>
      </c>
      <c r="G75" s="70" t="str">
        <f aca="false">IF(OR(B75="",NOT(ISNUMBER(E75))),"",IF(AND(E75&lt;=FQ_FECHA,OR(Z75=0,Z75&gt;=FQ_FECHA)),"Sí","No"))</f>
        <v/>
      </c>
      <c r="H75" s="94" t="str">
        <f aca="false">IF(G75&lt;&gt;"Sí","",ROUND((FQ_FECHA+1-E75)/365.25,1))</f>
        <v/>
      </c>
      <c r="I75" s="73" t="str">
        <f aca="false">IF(G75&lt;&gt;"Sí","",IF(DATEDIF(E75,FQ_FECHA+1,"y")&lt;1,0,MIN(TOPE_IAS_ANIOS,DATEDIF(E75,FQ_FECHA+1,"y")+IF(EDATE(E75,12*DATEDIF(E75,FQ_FECHA+1,"y")+6)&lt;FQ_FECHA+1,1,0))))</f>
        <v/>
      </c>
      <c r="J75" s="71" t="str">
        <f aca="false">IF(G75&lt;&gt;"Sí","",W75+N(INDEX(T_COL,66))+N(INDEX(T_MOV,66)))</f>
        <v/>
      </c>
      <c r="K75" s="71" t="str">
        <f aca="false">IF(G75&lt;&gt;"Sí","",MIN(J75,TOPE_IAS_UF*UF_HOY))</f>
        <v/>
      </c>
      <c r="L75" s="95" t="str">
        <f aca="false">IF(G75&lt;&gt;"Sí","",(1.25*(DATEDIF(E75,FQ_FECHA+1,"m")+(FQ_FECHA+1-EDATE(E75,DATEDIF(E75,FQ_FECHA+1,"m")))/30)+SUMPRODUCT((ANIOS&lt;=DATEDIF(E75,FQ_FECHA+1,"y"))*(X75+ANIOS-10&gt;0)*INT((X75+ANIOS-10)/3))-(SUMIFS(V_DIAS,V_ID,B75,V_INICIO,"&lt;="&amp;FQ_FECHA)+Y75)))</f>
        <v/>
      </c>
      <c r="M75" s="71" t="str">
        <f aca="false">IF(G75&lt;&gt;"Sí","",ROUND(MAX(0,IF(L75&lt;=0,0,WORKDAY(FQ_FECHA,INT(L75),FERIADOS)-FQ_FECHA+(L75-INT(L75))))*V75,0))</f>
        <v/>
      </c>
      <c r="N75" s="71" t="str">
        <f aca="false">IF(G75&lt;&gt;"Sí","",IF(D75="Obra o faena",0,ROUND(K75*I75,0)))</f>
        <v/>
      </c>
      <c r="O75" s="71" t="str">
        <f aca="false">IF(G75&lt;&gt;"Sí","",IF(OR(D75="Obra o faena",FQ_AVISO="Sí"),0,ROUND(K75,0)))</f>
        <v/>
      </c>
      <c r="P75" s="71" t="str">
        <f aca="false">IF(G75&lt;&gt;"Sí","",IF(AND(IMPUTAR_AFC="Sí",N75&gt;0),-MIN(N75,ROUND(AFC_IMPUTABLE_PCT*MIN(W75,TOPE_AFC_UF*UF_HOY)*DATEDIF(E75,FQ_FECHA+1,"m"),0)),0))</f>
        <v/>
      </c>
      <c r="Q75" s="85" t="str">
        <f aca="false">IF(G75&lt;&gt;"Sí","",M75+N75+O75+P75)</f>
        <v/>
      </c>
      <c r="R75" s="85" t="str">
        <f aca="false">IF(G75&lt;&gt;"Sí","",M75)</f>
        <v/>
      </c>
      <c r="S75" s="85" t="str">
        <f aca="false">IF(U75="","",IF(INDEX(CC_ESTADOC,66)="Renovación registrada","",ROUND(MAX(0,IF(U75&lt;=0,0,WORKDAY(F75,INT(U75),FERIADOS)-F75+(U75-INT(U75))))*V75,0)+IF(D75="Obra o faena",ROUND(OBRA_DIAS*K75/30*(DATEDIF(E75,F75+1,"m")+IF(F75+1-EDATE(E75,DATEDIF(E75,F75+1,"m"))&gt;15,1,0)),0),0)))</f>
        <v/>
      </c>
      <c r="T75" s="70" t="str">
        <f aca="false">IF(G75&lt;&gt;"Sí","",IF(D75="Plazo fijo","Despido antes del vencimiento: además existe riesgo de demanda por las remuneraciones hasta el término del plazo",IF(D75="Obra o faena","Al concluir la obra corresponde indemnización de 2,5 días por mes (incluida en la columna S); no IAS",IF(I75=0,"Menos de 1 año: no corresponde IAS (Art. 163)",IF(I75=TOPE_IAS_ANIOS,"IAS en el tope de 11 años","")))))</f>
        <v/>
      </c>
      <c r="U75" s="95" t="str">
        <f aca="false">IF(OR(G75&lt;&gt;"Sí",NOT(ISNUMBER(F75))),"",IF(F75&lt;FQ_FECHA,"",(1.25*(DATEDIF(E75,F75+1,"m")+(F75+1-EDATE(E75,DATEDIF(E75,F75+1,"m")))/30)+SUMPRODUCT((ANIOS&lt;=DATEDIF(E75,F75+1,"y"))*(X75+ANIOS-10&gt;0)*INT((X75+ANIOS-10)/3))-(SUMIFS(V_DIAS,V_ID,B75,V_INICIO,"&lt;="&amp;F75)+Y75))))</f>
        <v/>
      </c>
      <c r="V75" s="71" t="str">
        <f aca="false">IF(G75&lt;&gt;"Sí","",(N(INDEX(T_SUELDO,66))+N(INDEX(T_BONO,66)))/30)</f>
        <v/>
      </c>
      <c r="W75" s="71" t="str">
        <f aca="false">IF(G75&lt;&gt;"Sí","",N(INDEX(T_SUELDO,66))+N(INDEX(T_BONO,66))+IF(LEFT(INDEX(T_GRAT,66)&amp;"",6)="Art. 5",MIN(GRAT_PCT*(N(INDEX(T_SUELDO,66))+N(INDEX(T_BONO,66))),GRAT_TOPE_MES),0))</f>
        <v/>
      </c>
      <c r="X75" s="72" t="str">
        <f aca="false">IF(B75="","",MIN(10,N(INDEX(T_PREV,66))))</f>
        <v/>
      </c>
      <c r="Y75" s="72" t="str">
        <f aca="false">IF(B75="","",N(INDEX(T_VACPREV,66)))</f>
        <v/>
      </c>
      <c r="Z75" s="75" t="str">
        <f aca="false">IF(B75="","",N(INDEX(T_EGRESO,66)))</f>
        <v/>
      </c>
    </row>
    <row r="76" customFormat="false" ht="15" hidden="false" customHeight="false" outlineLevel="0" collapsed="false">
      <c r="B76" s="70" t="str">
        <f aca="false">IFERROR(IF(INDEX(T_ID,67)="","",INDEX(T_ID,67)),"")</f>
        <v/>
      </c>
      <c r="C76" s="70" t="str">
        <f aca="false">IF(B76="","",INDEX(T_NOMBRE,67)&amp;"")</f>
        <v/>
      </c>
      <c r="D76" s="70" t="str">
        <f aca="false">IF(B76="","",INDEX(T_TIPO,67)&amp;"")</f>
        <v/>
      </c>
      <c r="E76" s="75" t="str">
        <f aca="false">IF(B76="","",INDEX(T_INGRESO,67))</f>
        <v/>
      </c>
      <c r="F76" s="75" t="str">
        <f aca="false">IF(B76="","",IF(ISNUMBER(INDEX(CC_VENCE,67)),INDEX(CC_VENCE,67),""))</f>
        <v/>
      </c>
      <c r="G76" s="70" t="str">
        <f aca="false">IF(OR(B76="",NOT(ISNUMBER(E76))),"",IF(AND(E76&lt;=FQ_FECHA,OR(Z76=0,Z76&gt;=FQ_FECHA)),"Sí","No"))</f>
        <v/>
      </c>
      <c r="H76" s="94" t="str">
        <f aca="false">IF(G76&lt;&gt;"Sí","",ROUND((FQ_FECHA+1-E76)/365.25,1))</f>
        <v/>
      </c>
      <c r="I76" s="73" t="str">
        <f aca="false">IF(G76&lt;&gt;"Sí","",IF(DATEDIF(E76,FQ_FECHA+1,"y")&lt;1,0,MIN(TOPE_IAS_ANIOS,DATEDIF(E76,FQ_FECHA+1,"y")+IF(EDATE(E76,12*DATEDIF(E76,FQ_FECHA+1,"y")+6)&lt;FQ_FECHA+1,1,0))))</f>
        <v/>
      </c>
      <c r="J76" s="71" t="str">
        <f aca="false">IF(G76&lt;&gt;"Sí","",W76+N(INDEX(T_COL,67))+N(INDEX(T_MOV,67)))</f>
        <v/>
      </c>
      <c r="K76" s="71" t="str">
        <f aca="false">IF(G76&lt;&gt;"Sí","",MIN(J76,TOPE_IAS_UF*UF_HOY))</f>
        <v/>
      </c>
      <c r="L76" s="95" t="str">
        <f aca="false">IF(G76&lt;&gt;"Sí","",(1.25*(DATEDIF(E76,FQ_FECHA+1,"m")+(FQ_FECHA+1-EDATE(E76,DATEDIF(E76,FQ_FECHA+1,"m")))/30)+SUMPRODUCT((ANIOS&lt;=DATEDIF(E76,FQ_FECHA+1,"y"))*(X76+ANIOS-10&gt;0)*INT((X76+ANIOS-10)/3))-(SUMIFS(V_DIAS,V_ID,B76,V_INICIO,"&lt;="&amp;FQ_FECHA)+Y76)))</f>
        <v/>
      </c>
      <c r="M76" s="71" t="str">
        <f aca="false">IF(G76&lt;&gt;"Sí","",ROUND(MAX(0,IF(L76&lt;=0,0,WORKDAY(FQ_FECHA,INT(L76),FERIADOS)-FQ_FECHA+(L76-INT(L76))))*V76,0))</f>
        <v/>
      </c>
      <c r="N76" s="71" t="str">
        <f aca="false">IF(G76&lt;&gt;"Sí","",IF(D76="Obra o faena",0,ROUND(K76*I76,0)))</f>
        <v/>
      </c>
      <c r="O76" s="71" t="str">
        <f aca="false">IF(G76&lt;&gt;"Sí","",IF(OR(D76="Obra o faena",FQ_AVISO="Sí"),0,ROUND(K76,0)))</f>
        <v/>
      </c>
      <c r="P76" s="71" t="str">
        <f aca="false">IF(G76&lt;&gt;"Sí","",IF(AND(IMPUTAR_AFC="Sí",N76&gt;0),-MIN(N76,ROUND(AFC_IMPUTABLE_PCT*MIN(W76,TOPE_AFC_UF*UF_HOY)*DATEDIF(E76,FQ_FECHA+1,"m"),0)),0))</f>
        <v/>
      </c>
      <c r="Q76" s="85" t="str">
        <f aca="false">IF(G76&lt;&gt;"Sí","",M76+N76+O76+P76)</f>
        <v/>
      </c>
      <c r="R76" s="85" t="str">
        <f aca="false">IF(G76&lt;&gt;"Sí","",M76)</f>
        <v/>
      </c>
      <c r="S76" s="85" t="str">
        <f aca="false">IF(U76="","",IF(INDEX(CC_ESTADOC,67)="Renovación registrada","",ROUND(MAX(0,IF(U76&lt;=0,0,WORKDAY(F76,INT(U76),FERIADOS)-F76+(U76-INT(U76))))*V76,0)+IF(D76="Obra o faena",ROUND(OBRA_DIAS*K76/30*(DATEDIF(E76,F76+1,"m")+IF(F76+1-EDATE(E76,DATEDIF(E76,F76+1,"m"))&gt;15,1,0)),0),0)))</f>
        <v/>
      </c>
      <c r="T76" s="70" t="str">
        <f aca="false">IF(G76&lt;&gt;"Sí","",IF(D76="Plazo fijo","Despido antes del vencimiento: además existe riesgo de demanda por las remuneraciones hasta el término del plazo",IF(D76="Obra o faena","Al concluir la obra corresponde indemnización de 2,5 días por mes (incluida en la columna S); no IAS",IF(I76=0,"Menos de 1 año: no corresponde IAS (Art. 163)",IF(I76=TOPE_IAS_ANIOS,"IAS en el tope de 11 años","")))))</f>
        <v/>
      </c>
      <c r="U76" s="95" t="str">
        <f aca="false">IF(OR(G76&lt;&gt;"Sí",NOT(ISNUMBER(F76))),"",IF(F76&lt;FQ_FECHA,"",(1.25*(DATEDIF(E76,F76+1,"m")+(F76+1-EDATE(E76,DATEDIF(E76,F76+1,"m")))/30)+SUMPRODUCT((ANIOS&lt;=DATEDIF(E76,F76+1,"y"))*(X76+ANIOS-10&gt;0)*INT((X76+ANIOS-10)/3))-(SUMIFS(V_DIAS,V_ID,B76,V_INICIO,"&lt;="&amp;F76)+Y76))))</f>
        <v/>
      </c>
      <c r="V76" s="71" t="str">
        <f aca="false">IF(G76&lt;&gt;"Sí","",(N(INDEX(T_SUELDO,67))+N(INDEX(T_BONO,67)))/30)</f>
        <v/>
      </c>
      <c r="W76" s="71" t="str">
        <f aca="false">IF(G76&lt;&gt;"Sí","",N(INDEX(T_SUELDO,67))+N(INDEX(T_BONO,67))+IF(LEFT(INDEX(T_GRAT,67)&amp;"",6)="Art. 5",MIN(GRAT_PCT*(N(INDEX(T_SUELDO,67))+N(INDEX(T_BONO,67))),GRAT_TOPE_MES),0))</f>
        <v/>
      </c>
      <c r="X76" s="72" t="str">
        <f aca="false">IF(B76="","",MIN(10,N(INDEX(T_PREV,67))))</f>
        <v/>
      </c>
      <c r="Y76" s="72" t="str">
        <f aca="false">IF(B76="","",N(INDEX(T_VACPREV,67)))</f>
        <v/>
      </c>
      <c r="Z76" s="75" t="str">
        <f aca="false">IF(B76="","",N(INDEX(T_EGRESO,67)))</f>
        <v/>
      </c>
    </row>
    <row r="77" customFormat="false" ht="15" hidden="false" customHeight="false" outlineLevel="0" collapsed="false">
      <c r="B77" s="70" t="str">
        <f aca="false">IFERROR(IF(INDEX(T_ID,68)="","",INDEX(T_ID,68)),"")</f>
        <v/>
      </c>
      <c r="C77" s="70" t="str">
        <f aca="false">IF(B77="","",INDEX(T_NOMBRE,68)&amp;"")</f>
        <v/>
      </c>
      <c r="D77" s="70" t="str">
        <f aca="false">IF(B77="","",INDEX(T_TIPO,68)&amp;"")</f>
        <v/>
      </c>
      <c r="E77" s="75" t="str">
        <f aca="false">IF(B77="","",INDEX(T_INGRESO,68))</f>
        <v/>
      </c>
      <c r="F77" s="75" t="str">
        <f aca="false">IF(B77="","",IF(ISNUMBER(INDEX(CC_VENCE,68)),INDEX(CC_VENCE,68),""))</f>
        <v/>
      </c>
      <c r="G77" s="70" t="str">
        <f aca="false">IF(OR(B77="",NOT(ISNUMBER(E77))),"",IF(AND(E77&lt;=FQ_FECHA,OR(Z77=0,Z77&gt;=FQ_FECHA)),"Sí","No"))</f>
        <v/>
      </c>
      <c r="H77" s="94" t="str">
        <f aca="false">IF(G77&lt;&gt;"Sí","",ROUND((FQ_FECHA+1-E77)/365.25,1))</f>
        <v/>
      </c>
      <c r="I77" s="73" t="str">
        <f aca="false">IF(G77&lt;&gt;"Sí","",IF(DATEDIF(E77,FQ_FECHA+1,"y")&lt;1,0,MIN(TOPE_IAS_ANIOS,DATEDIF(E77,FQ_FECHA+1,"y")+IF(EDATE(E77,12*DATEDIF(E77,FQ_FECHA+1,"y")+6)&lt;FQ_FECHA+1,1,0))))</f>
        <v/>
      </c>
      <c r="J77" s="71" t="str">
        <f aca="false">IF(G77&lt;&gt;"Sí","",W77+N(INDEX(T_COL,68))+N(INDEX(T_MOV,68)))</f>
        <v/>
      </c>
      <c r="K77" s="71" t="str">
        <f aca="false">IF(G77&lt;&gt;"Sí","",MIN(J77,TOPE_IAS_UF*UF_HOY))</f>
        <v/>
      </c>
      <c r="L77" s="95" t="str">
        <f aca="false">IF(G77&lt;&gt;"Sí","",(1.25*(DATEDIF(E77,FQ_FECHA+1,"m")+(FQ_FECHA+1-EDATE(E77,DATEDIF(E77,FQ_FECHA+1,"m")))/30)+SUMPRODUCT((ANIOS&lt;=DATEDIF(E77,FQ_FECHA+1,"y"))*(X77+ANIOS-10&gt;0)*INT((X77+ANIOS-10)/3))-(SUMIFS(V_DIAS,V_ID,B77,V_INICIO,"&lt;="&amp;FQ_FECHA)+Y77)))</f>
        <v/>
      </c>
      <c r="M77" s="71" t="str">
        <f aca="false">IF(G77&lt;&gt;"Sí","",ROUND(MAX(0,IF(L77&lt;=0,0,WORKDAY(FQ_FECHA,INT(L77),FERIADOS)-FQ_FECHA+(L77-INT(L77))))*V77,0))</f>
        <v/>
      </c>
      <c r="N77" s="71" t="str">
        <f aca="false">IF(G77&lt;&gt;"Sí","",IF(D77="Obra o faena",0,ROUND(K77*I77,0)))</f>
        <v/>
      </c>
      <c r="O77" s="71" t="str">
        <f aca="false">IF(G77&lt;&gt;"Sí","",IF(OR(D77="Obra o faena",FQ_AVISO="Sí"),0,ROUND(K77,0)))</f>
        <v/>
      </c>
      <c r="P77" s="71" t="str">
        <f aca="false">IF(G77&lt;&gt;"Sí","",IF(AND(IMPUTAR_AFC="Sí",N77&gt;0),-MIN(N77,ROUND(AFC_IMPUTABLE_PCT*MIN(W77,TOPE_AFC_UF*UF_HOY)*DATEDIF(E77,FQ_FECHA+1,"m"),0)),0))</f>
        <v/>
      </c>
      <c r="Q77" s="85" t="str">
        <f aca="false">IF(G77&lt;&gt;"Sí","",M77+N77+O77+P77)</f>
        <v/>
      </c>
      <c r="R77" s="85" t="str">
        <f aca="false">IF(G77&lt;&gt;"Sí","",M77)</f>
        <v/>
      </c>
      <c r="S77" s="85" t="str">
        <f aca="false">IF(U77="","",IF(INDEX(CC_ESTADOC,68)="Renovación registrada","",ROUND(MAX(0,IF(U77&lt;=0,0,WORKDAY(F77,INT(U77),FERIADOS)-F77+(U77-INT(U77))))*V77,0)+IF(D77="Obra o faena",ROUND(OBRA_DIAS*K77/30*(DATEDIF(E77,F77+1,"m")+IF(F77+1-EDATE(E77,DATEDIF(E77,F77+1,"m"))&gt;15,1,0)),0),0)))</f>
        <v/>
      </c>
      <c r="T77" s="70" t="str">
        <f aca="false">IF(G77&lt;&gt;"Sí","",IF(D77="Plazo fijo","Despido antes del vencimiento: además existe riesgo de demanda por las remuneraciones hasta el término del plazo",IF(D77="Obra o faena","Al concluir la obra corresponde indemnización de 2,5 días por mes (incluida en la columna S); no IAS",IF(I77=0,"Menos de 1 año: no corresponde IAS (Art. 163)",IF(I77=TOPE_IAS_ANIOS,"IAS en el tope de 11 años","")))))</f>
        <v/>
      </c>
      <c r="U77" s="95" t="str">
        <f aca="false">IF(OR(G77&lt;&gt;"Sí",NOT(ISNUMBER(F77))),"",IF(F77&lt;FQ_FECHA,"",(1.25*(DATEDIF(E77,F77+1,"m")+(F77+1-EDATE(E77,DATEDIF(E77,F77+1,"m")))/30)+SUMPRODUCT((ANIOS&lt;=DATEDIF(E77,F77+1,"y"))*(X77+ANIOS-10&gt;0)*INT((X77+ANIOS-10)/3))-(SUMIFS(V_DIAS,V_ID,B77,V_INICIO,"&lt;="&amp;F77)+Y77))))</f>
        <v/>
      </c>
      <c r="V77" s="71" t="str">
        <f aca="false">IF(G77&lt;&gt;"Sí","",(N(INDEX(T_SUELDO,68))+N(INDEX(T_BONO,68)))/30)</f>
        <v/>
      </c>
      <c r="W77" s="71" t="str">
        <f aca="false">IF(G77&lt;&gt;"Sí","",N(INDEX(T_SUELDO,68))+N(INDEX(T_BONO,68))+IF(LEFT(INDEX(T_GRAT,68)&amp;"",6)="Art. 5",MIN(GRAT_PCT*(N(INDEX(T_SUELDO,68))+N(INDEX(T_BONO,68))),GRAT_TOPE_MES),0))</f>
        <v/>
      </c>
      <c r="X77" s="72" t="str">
        <f aca="false">IF(B77="","",MIN(10,N(INDEX(T_PREV,68))))</f>
        <v/>
      </c>
      <c r="Y77" s="72" t="str">
        <f aca="false">IF(B77="","",N(INDEX(T_VACPREV,68)))</f>
        <v/>
      </c>
      <c r="Z77" s="75" t="str">
        <f aca="false">IF(B77="","",N(INDEX(T_EGRESO,68)))</f>
        <v/>
      </c>
    </row>
    <row r="78" customFormat="false" ht="15" hidden="false" customHeight="false" outlineLevel="0" collapsed="false">
      <c r="B78" s="70" t="str">
        <f aca="false">IFERROR(IF(INDEX(T_ID,69)="","",INDEX(T_ID,69)),"")</f>
        <v/>
      </c>
      <c r="C78" s="70" t="str">
        <f aca="false">IF(B78="","",INDEX(T_NOMBRE,69)&amp;"")</f>
        <v/>
      </c>
      <c r="D78" s="70" t="str">
        <f aca="false">IF(B78="","",INDEX(T_TIPO,69)&amp;"")</f>
        <v/>
      </c>
      <c r="E78" s="75" t="str">
        <f aca="false">IF(B78="","",INDEX(T_INGRESO,69))</f>
        <v/>
      </c>
      <c r="F78" s="75" t="str">
        <f aca="false">IF(B78="","",IF(ISNUMBER(INDEX(CC_VENCE,69)),INDEX(CC_VENCE,69),""))</f>
        <v/>
      </c>
      <c r="G78" s="70" t="str">
        <f aca="false">IF(OR(B78="",NOT(ISNUMBER(E78))),"",IF(AND(E78&lt;=FQ_FECHA,OR(Z78=0,Z78&gt;=FQ_FECHA)),"Sí","No"))</f>
        <v/>
      </c>
      <c r="H78" s="94" t="str">
        <f aca="false">IF(G78&lt;&gt;"Sí","",ROUND((FQ_FECHA+1-E78)/365.25,1))</f>
        <v/>
      </c>
      <c r="I78" s="73" t="str">
        <f aca="false">IF(G78&lt;&gt;"Sí","",IF(DATEDIF(E78,FQ_FECHA+1,"y")&lt;1,0,MIN(TOPE_IAS_ANIOS,DATEDIF(E78,FQ_FECHA+1,"y")+IF(EDATE(E78,12*DATEDIF(E78,FQ_FECHA+1,"y")+6)&lt;FQ_FECHA+1,1,0))))</f>
        <v/>
      </c>
      <c r="J78" s="71" t="str">
        <f aca="false">IF(G78&lt;&gt;"Sí","",W78+N(INDEX(T_COL,69))+N(INDEX(T_MOV,69)))</f>
        <v/>
      </c>
      <c r="K78" s="71" t="str">
        <f aca="false">IF(G78&lt;&gt;"Sí","",MIN(J78,TOPE_IAS_UF*UF_HOY))</f>
        <v/>
      </c>
      <c r="L78" s="95" t="str">
        <f aca="false">IF(G78&lt;&gt;"Sí","",(1.25*(DATEDIF(E78,FQ_FECHA+1,"m")+(FQ_FECHA+1-EDATE(E78,DATEDIF(E78,FQ_FECHA+1,"m")))/30)+SUMPRODUCT((ANIOS&lt;=DATEDIF(E78,FQ_FECHA+1,"y"))*(X78+ANIOS-10&gt;0)*INT((X78+ANIOS-10)/3))-(SUMIFS(V_DIAS,V_ID,B78,V_INICIO,"&lt;="&amp;FQ_FECHA)+Y78)))</f>
        <v/>
      </c>
      <c r="M78" s="71" t="str">
        <f aca="false">IF(G78&lt;&gt;"Sí","",ROUND(MAX(0,IF(L78&lt;=0,0,WORKDAY(FQ_FECHA,INT(L78),FERIADOS)-FQ_FECHA+(L78-INT(L78))))*V78,0))</f>
        <v/>
      </c>
      <c r="N78" s="71" t="str">
        <f aca="false">IF(G78&lt;&gt;"Sí","",IF(D78="Obra o faena",0,ROUND(K78*I78,0)))</f>
        <v/>
      </c>
      <c r="O78" s="71" t="str">
        <f aca="false">IF(G78&lt;&gt;"Sí","",IF(OR(D78="Obra o faena",FQ_AVISO="Sí"),0,ROUND(K78,0)))</f>
        <v/>
      </c>
      <c r="P78" s="71" t="str">
        <f aca="false">IF(G78&lt;&gt;"Sí","",IF(AND(IMPUTAR_AFC="Sí",N78&gt;0),-MIN(N78,ROUND(AFC_IMPUTABLE_PCT*MIN(W78,TOPE_AFC_UF*UF_HOY)*DATEDIF(E78,FQ_FECHA+1,"m"),0)),0))</f>
        <v/>
      </c>
      <c r="Q78" s="85" t="str">
        <f aca="false">IF(G78&lt;&gt;"Sí","",M78+N78+O78+P78)</f>
        <v/>
      </c>
      <c r="R78" s="85" t="str">
        <f aca="false">IF(G78&lt;&gt;"Sí","",M78)</f>
        <v/>
      </c>
      <c r="S78" s="85" t="str">
        <f aca="false">IF(U78="","",IF(INDEX(CC_ESTADOC,69)="Renovación registrada","",ROUND(MAX(0,IF(U78&lt;=0,0,WORKDAY(F78,INT(U78),FERIADOS)-F78+(U78-INT(U78))))*V78,0)+IF(D78="Obra o faena",ROUND(OBRA_DIAS*K78/30*(DATEDIF(E78,F78+1,"m")+IF(F78+1-EDATE(E78,DATEDIF(E78,F78+1,"m"))&gt;15,1,0)),0),0)))</f>
        <v/>
      </c>
      <c r="T78" s="70" t="str">
        <f aca="false">IF(G78&lt;&gt;"Sí","",IF(D78="Plazo fijo","Despido antes del vencimiento: además existe riesgo de demanda por las remuneraciones hasta el término del plazo",IF(D78="Obra o faena","Al concluir la obra corresponde indemnización de 2,5 días por mes (incluida en la columna S); no IAS",IF(I78=0,"Menos de 1 año: no corresponde IAS (Art. 163)",IF(I78=TOPE_IAS_ANIOS,"IAS en el tope de 11 años","")))))</f>
        <v/>
      </c>
      <c r="U78" s="95" t="str">
        <f aca="false">IF(OR(G78&lt;&gt;"Sí",NOT(ISNUMBER(F78))),"",IF(F78&lt;FQ_FECHA,"",(1.25*(DATEDIF(E78,F78+1,"m")+(F78+1-EDATE(E78,DATEDIF(E78,F78+1,"m")))/30)+SUMPRODUCT((ANIOS&lt;=DATEDIF(E78,F78+1,"y"))*(X78+ANIOS-10&gt;0)*INT((X78+ANIOS-10)/3))-(SUMIFS(V_DIAS,V_ID,B78,V_INICIO,"&lt;="&amp;F78)+Y78))))</f>
        <v/>
      </c>
      <c r="V78" s="71" t="str">
        <f aca="false">IF(G78&lt;&gt;"Sí","",(N(INDEX(T_SUELDO,69))+N(INDEX(T_BONO,69)))/30)</f>
        <v/>
      </c>
      <c r="W78" s="71" t="str">
        <f aca="false">IF(G78&lt;&gt;"Sí","",N(INDEX(T_SUELDO,69))+N(INDEX(T_BONO,69))+IF(LEFT(INDEX(T_GRAT,69)&amp;"",6)="Art. 5",MIN(GRAT_PCT*(N(INDEX(T_SUELDO,69))+N(INDEX(T_BONO,69))),GRAT_TOPE_MES),0))</f>
        <v/>
      </c>
      <c r="X78" s="72" t="str">
        <f aca="false">IF(B78="","",MIN(10,N(INDEX(T_PREV,69))))</f>
        <v/>
      </c>
      <c r="Y78" s="72" t="str">
        <f aca="false">IF(B78="","",N(INDEX(T_VACPREV,69)))</f>
        <v/>
      </c>
      <c r="Z78" s="75" t="str">
        <f aca="false">IF(B78="","",N(INDEX(T_EGRESO,69)))</f>
        <v/>
      </c>
    </row>
    <row r="79" customFormat="false" ht="15" hidden="false" customHeight="false" outlineLevel="0" collapsed="false">
      <c r="B79" s="70" t="str">
        <f aca="false">IFERROR(IF(INDEX(T_ID,70)="","",INDEX(T_ID,70)),"")</f>
        <v/>
      </c>
      <c r="C79" s="70" t="str">
        <f aca="false">IF(B79="","",INDEX(T_NOMBRE,70)&amp;"")</f>
        <v/>
      </c>
      <c r="D79" s="70" t="str">
        <f aca="false">IF(B79="","",INDEX(T_TIPO,70)&amp;"")</f>
        <v/>
      </c>
      <c r="E79" s="75" t="str">
        <f aca="false">IF(B79="","",INDEX(T_INGRESO,70))</f>
        <v/>
      </c>
      <c r="F79" s="75" t="str">
        <f aca="false">IF(B79="","",IF(ISNUMBER(INDEX(CC_VENCE,70)),INDEX(CC_VENCE,70),""))</f>
        <v/>
      </c>
      <c r="G79" s="70" t="str">
        <f aca="false">IF(OR(B79="",NOT(ISNUMBER(E79))),"",IF(AND(E79&lt;=FQ_FECHA,OR(Z79=0,Z79&gt;=FQ_FECHA)),"Sí","No"))</f>
        <v/>
      </c>
      <c r="H79" s="94" t="str">
        <f aca="false">IF(G79&lt;&gt;"Sí","",ROUND((FQ_FECHA+1-E79)/365.25,1))</f>
        <v/>
      </c>
      <c r="I79" s="73" t="str">
        <f aca="false">IF(G79&lt;&gt;"Sí","",IF(DATEDIF(E79,FQ_FECHA+1,"y")&lt;1,0,MIN(TOPE_IAS_ANIOS,DATEDIF(E79,FQ_FECHA+1,"y")+IF(EDATE(E79,12*DATEDIF(E79,FQ_FECHA+1,"y")+6)&lt;FQ_FECHA+1,1,0))))</f>
        <v/>
      </c>
      <c r="J79" s="71" t="str">
        <f aca="false">IF(G79&lt;&gt;"Sí","",W79+N(INDEX(T_COL,70))+N(INDEX(T_MOV,70)))</f>
        <v/>
      </c>
      <c r="K79" s="71" t="str">
        <f aca="false">IF(G79&lt;&gt;"Sí","",MIN(J79,TOPE_IAS_UF*UF_HOY))</f>
        <v/>
      </c>
      <c r="L79" s="95" t="str">
        <f aca="false">IF(G79&lt;&gt;"Sí","",(1.25*(DATEDIF(E79,FQ_FECHA+1,"m")+(FQ_FECHA+1-EDATE(E79,DATEDIF(E79,FQ_FECHA+1,"m")))/30)+SUMPRODUCT((ANIOS&lt;=DATEDIF(E79,FQ_FECHA+1,"y"))*(X79+ANIOS-10&gt;0)*INT((X79+ANIOS-10)/3))-(SUMIFS(V_DIAS,V_ID,B79,V_INICIO,"&lt;="&amp;FQ_FECHA)+Y79)))</f>
        <v/>
      </c>
      <c r="M79" s="71" t="str">
        <f aca="false">IF(G79&lt;&gt;"Sí","",ROUND(MAX(0,IF(L79&lt;=0,0,WORKDAY(FQ_FECHA,INT(L79),FERIADOS)-FQ_FECHA+(L79-INT(L79))))*V79,0))</f>
        <v/>
      </c>
      <c r="N79" s="71" t="str">
        <f aca="false">IF(G79&lt;&gt;"Sí","",IF(D79="Obra o faena",0,ROUND(K79*I79,0)))</f>
        <v/>
      </c>
      <c r="O79" s="71" t="str">
        <f aca="false">IF(G79&lt;&gt;"Sí","",IF(OR(D79="Obra o faena",FQ_AVISO="Sí"),0,ROUND(K79,0)))</f>
        <v/>
      </c>
      <c r="P79" s="71" t="str">
        <f aca="false">IF(G79&lt;&gt;"Sí","",IF(AND(IMPUTAR_AFC="Sí",N79&gt;0),-MIN(N79,ROUND(AFC_IMPUTABLE_PCT*MIN(W79,TOPE_AFC_UF*UF_HOY)*DATEDIF(E79,FQ_FECHA+1,"m"),0)),0))</f>
        <v/>
      </c>
      <c r="Q79" s="85" t="str">
        <f aca="false">IF(G79&lt;&gt;"Sí","",M79+N79+O79+P79)</f>
        <v/>
      </c>
      <c r="R79" s="85" t="str">
        <f aca="false">IF(G79&lt;&gt;"Sí","",M79)</f>
        <v/>
      </c>
      <c r="S79" s="85" t="str">
        <f aca="false">IF(U79="","",IF(INDEX(CC_ESTADOC,70)="Renovación registrada","",ROUND(MAX(0,IF(U79&lt;=0,0,WORKDAY(F79,INT(U79),FERIADOS)-F79+(U79-INT(U79))))*V79,0)+IF(D79="Obra o faena",ROUND(OBRA_DIAS*K79/30*(DATEDIF(E79,F79+1,"m")+IF(F79+1-EDATE(E79,DATEDIF(E79,F79+1,"m"))&gt;15,1,0)),0),0)))</f>
        <v/>
      </c>
      <c r="T79" s="70" t="str">
        <f aca="false">IF(G79&lt;&gt;"Sí","",IF(D79="Plazo fijo","Despido antes del vencimiento: además existe riesgo de demanda por las remuneraciones hasta el término del plazo",IF(D79="Obra o faena","Al concluir la obra corresponde indemnización de 2,5 días por mes (incluida en la columna S); no IAS",IF(I79=0,"Menos de 1 año: no corresponde IAS (Art. 163)",IF(I79=TOPE_IAS_ANIOS,"IAS en el tope de 11 años","")))))</f>
        <v/>
      </c>
      <c r="U79" s="95" t="str">
        <f aca="false">IF(OR(G79&lt;&gt;"Sí",NOT(ISNUMBER(F79))),"",IF(F79&lt;FQ_FECHA,"",(1.25*(DATEDIF(E79,F79+1,"m")+(F79+1-EDATE(E79,DATEDIF(E79,F79+1,"m")))/30)+SUMPRODUCT((ANIOS&lt;=DATEDIF(E79,F79+1,"y"))*(X79+ANIOS-10&gt;0)*INT((X79+ANIOS-10)/3))-(SUMIFS(V_DIAS,V_ID,B79,V_INICIO,"&lt;="&amp;F79)+Y79))))</f>
        <v/>
      </c>
      <c r="V79" s="71" t="str">
        <f aca="false">IF(G79&lt;&gt;"Sí","",(N(INDEX(T_SUELDO,70))+N(INDEX(T_BONO,70)))/30)</f>
        <v/>
      </c>
      <c r="W79" s="71" t="str">
        <f aca="false">IF(G79&lt;&gt;"Sí","",N(INDEX(T_SUELDO,70))+N(INDEX(T_BONO,70))+IF(LEFT(INDEX(T_GRAT,70)&amp;"",6)="Art. 5",MIN(GRAT_PCT*(N(INDEX(T_SUELDO,70))+N(INDEX(T_BONO,70))),GRAT_TOPE_MES),0))</f>
        <v/>
      </c>
      <c r="X79" s="72" t="str">
        <f aca="false">IF(B79="","",MIN(10,N(INDEX(T_PREV,70))))</f>
        <v/>
      </c>
      <c r="Y79" s="72" t="str">
        <f aca="false">IF(B79="","",N(INDEX(T_VACPREV,70)))</f>
        <v/>
      </c>
      <c r="Z79" s="75" t="str">
        <f aca="false">IF(B79="","",N(INDEX(T_EGRESO,70)))</f>
        <v/>
      </c>
    </row>
    <row r="80" customFormat="false" ht="15" hidden="false" customHeight="false" outlineLevel="0" collapsed="false">
      <c r="B80" s="70" t="str">
        <f aca="false">IFERROR(IF(INDEX(T_ID,71)="","",INDEX(T_ID,71)),"")</f>
        <v/>
      </c>
      <c r="C80" s="70" t="str">
        <f aca="false">IF(B80="","",INDEX(T_NOMBRE,71)&amp;"")</f>
        <v/>
      </c>
      <c r="D80" s="70" t="str">
        <f aca="false">IF(B80="","",INDEX(T_TIPO,71)&amp;"")</f>
        <v/>
      </c>
      <c r="E80" s="75" t="str">
        <f aca="false">IF(B80="","",INDEX(T_INGRESO,71))</f>
        <v/>
      </c>
      <c r="F80" s="75" t="str">
        <f aca="false">IF(B80="","",IF(ISNUMBER(INDEX(CC_VENCE,71)),INDEX(CC_VENCE,71),""))</f>
        <v/>
      </c>
      <c r="G80" s="70" t="str">
        <f aca="false">IF(OR(B80="",NOT(ISNUMBER(E80))),"",IF(AND(E80&lt;=FQ_FECHA,OR(Z80=0,Z80&gt;=FQ_FECHA)),"Sí","No"))</f>
        <v/>
      </c>
      <c r="H80" s="94" t="str">
        <f aca="false">IF(G80&lt;&gt;"Sí","",ROUND((FQ_FECHA+1-E80)/365.25,1))</f>
        <v/>
      </c>
      <c r="I80" s="73" t="str">
        <f aca="false">IF(G80&lt;&gt;"Sí","",IF(DATEDIF(E80,FQ_FECHA+1,"y")&lt;1,0,MIN(TOPE_IAS_ANIOS,DATEDIF(E80,FQ_FECHA+1,"y")+IF(EDATE(E80,12*DATEDIF(E80,FQ_FECHA+1,"y")+6)&lt;FQ_FECHA+1,1,0))))</f>
        <v/>
      </c>
      <c r="J80" s="71" t="str">
        <f aca="false">IF(G80&lt;&gt;"Sí","",W80+N(INDEX(T_COL,71))+N(INDEX(T_MOV,71)))</f>
        <v/>
      </c>
      <c r="K80" s="71" t="str">
        <f aca="false">IF(G80&lt;&gt;"Sí","",MIN(J80,TOPE_IAS_UF*UF_HOY))</f>
        <v/>
      </c>
      <c r="L80" s="95" t="str">
        <f aca="false">IF(G80&lt;&gt;"Sí","",(1.25*(DATEDIF(E80,FQ_FECHA+1,"m")+(FQ_FECHA+1-EDATE(E80,DATEDIF(E80,FQ_FECHA+1,"m")))/30)+SUMPRODUCT((ANIOS&lt;=DATEDIF(E80,FQ_FECHA+1,"y"))*(X80+ANIOS-10&gt;0)*INT((X80+ANIOS-10)/3))-(SUMIFS(V_DIAS,V_ID,B80,V_INICIO,"&lt;="&amp;FQ_FECHA)+Y80)))</f>
        <v/>
      </c>
      <c r="M80" s="71" t="str">
        <f aca="false">IF(G80&lt;&gt;"Sí","",ROUND(MAX(0,IF(L80&lt;=0,0,WORKDAY(FQ_FECHA,INT(L80),FERIADOS)-FQ_FECHA+(L80-INT(L80))))*V80,0))</f>
        <v/>
      </c>
      <c r="N80" s="71" t="str">
        <f aca="false">IF(G80&lt;&gt;"Sí","",IF(D80="Obra o faena",0,ROUND(K80*I80,0)))</f>
        <v/>
      </c>
      <c r="O80" s="71" t="str">
        <f aca="false">IF(G80&lt;&gt;"Sí","",IF(OR(D80="Obra o faena",FQ_AVISO="Sí"),0,ROUND(K80,0)))</f>
        <v/>
      </c>
      <c r="P80" s="71" t="str">
        <f aca="false">IF(G80&lt;&gt;"Sí","",IF(AND(IMPUTAR_AFC="Sí",N80&gt;0),-MIN(N80,ROUND(AFC_IMPUTABLE_PCT*MIN(W80,TOPE_AFC_UF*UF_HOY)*DATEDIF(E80,FQ_FECHA+1,"m"),0)),0))</f>
        <v/>
      </c>
      <c r="Q80" s="85" t="str">
        <f aca="false">IF(G80&lt;&gt;"Sí","",M80+N80+O80+P80)</f>
        <v/>
      </c>
      <c r="R80" s="85" t="str">
        <f aca="false">IF(G80&lt;&gt;"Sí","",M80)</f>
        <v/>
      </c>
      <c r="S80" s="85" t="str">
        <f aca="false">IF(U80="","",IF(INDEX(CC_ESTADOC,71)="Renovación registrada","",ROUND(MAX(0,IF(U80&lt;=0,0,WORKDAY(F80,INT(U80),FERIADOS)-F80+(U80-INT(U80))))*V80,0)+IF(D80="Obra o faena",ROUND(OBRA_DIAS*K80/30*(DATEDIF(E80,F80+1,"m")+IF(F80+1-EDATE(E80,DATEDIF(E80,F80+1,"m"))&gt;15,1,0)),0),0)))</f>
        <v/>
      </c>
      <c r="T80" s="70" t="str">
        <f aca="false">IF(G80&lt;&gt;"Sí","",IF(D80="Plazo fijo","Despido antes del vencimiento: además existe riesgo de demanda por las remuneraciones hasta el término del plazo",IF(D80="Obra o faena","Al concluir la obra corresponde indemnización de 2,5 días por mes (incluida en la columna S); no IAS",IF(I80=0,"Menos de 1 año: no corresponde IAS (Art. 163)",IF(I80=TOPE_IAS_ANIOS,"IAS en el tope de 11 años","")))))</f>
        <v/>
      </c>
      <c r="U80" s="95" t="str">
        <f aca="false">IF(OR(G80&lt;&gt;"Sí",NOT(ISNUMBER(F80))),"",IF(F80&lt;FQ_FECHA,"",(1.25*(DATEDIF(E80,F80+1,"m")+(F80+1-EDATE(E80,DATEDIF(E80,F80+1,"m")))/30)+SUMPRODUCT((ANIOS&lt;=DATEDIF(E80,F80+1,"y"))*(X80+ANIOS-10&gt;0)*INT((X80+ANIOS-10)/3))-(SUMIFS(V_DIAS,V_ID,B80,V_INICIO,"&lt;="&amp;F80)+Y80))))</f>
        <v/>
      </c>
      <c r="V80" s="71" t="str">
        <f aca="false">IF(G80&lt;&gt;"Sí","",(N(INDEX(T_SUELDO,71))+N(INDEX(T_BONO,71)))/30)</f>
        <v/>
      </c>
      <c r="W80" s="71" t="str">
        <f aca="false">IF(G80&lt;&gt;"Sí","",N(INDEX(T_SUELDO,71))+N(INDEX(T_BONO,71))+IF(LEFT(INDEX(T_GRAT,71)&amp;"",6)="Art. 5",MIN(GRAT_PCT*(N(INDEX(T_SUELDO,71))+N(INDEX(T_BONO,71))),GRAT_TOPE_MES),0))</f>
        <v/>
      </c>
      <c r="X80" s="72" t="str">
        <f aca="false">IF(B80="","",MIN(10,N(INDEX(T_PREV,71))))</f>
        <v/>
      </c>
      <c r="Y80" s="72" t="str">
        <f aca="false">IF(B80="","",N(INDEX(T_VACPREV,71)))</f>
        <v/>
      </c>
      <c r="Z80" s="75" t="str">
        <f aca="false">IF(B80="","",N(INDEX(T_EGRESO,71)))</f>
        <v/>
      </c>
    </row>
    <row r="81" customFormat="false" ht="15" hidden="false" customHeight="false" outlineLevel="0" collapsed="false">
      <c r="B81" s="70" t="str">
        <f aca="false">IFERROR(IF(INDEX(T_ID,72)="","",INDEX(T_ID,72)),"")</f>
        <v/>
      </c>
      <c r="C81" s="70" t="str">
        <f aca="false">IF(B81="","",INDEX(T_NOMBRE,72)&amp;"")</f>
        <v/>
      </c>
      <c r="D81" s="70" t="str">
        <f aca="false">IF(B81="","",INDEX(T_TIPO,72)&amp;"")</f>
        <v/>
      </c>
      <c r="E81" s="75" t="str">
        <f aca="false">IF(B81="","",INDEX(T_INGRESO,72))</f>
        <v/>
      </c>
      <c r="F81" s="75" t="str">
        <f aca="false">IF(B81="","",IF(ISNUMBER(INDEX(CC_VENCE,72)),INDEX(CC_VENCE,72),""))</f>
        <v/>
      </c>
      <c r="G81" s="70" t="str">
        <f aca="false">IF(OR(B81="",NOT(ISNUMBER(E81))),"",IF(AND(E81&lt;=FQ_FECHA,OR(Z81=0,Z81&gt;=FQ_FECHA)),"Sí","No"))</f>
        <v/>
      </c>
      <c r="H81" s="94" t="str">
        <f aca="false">IF(G81&lt;&gt;"Sí","",ROUND((FQ_FECHA+1-E81)/365.25,1))</f>
        <v/>
      </c>
      <c r="I81" s="73" t="str">
        <f aca="false">IF(G81&lt;&gt;"Sí","",IF(DATEDIF(E81,FQ_FECHA+1,"y")&lt;1,0,MIN(TOPE_IAS_ANIOS,DATEDIF(E81,FQ_FECHA+1,"y")+IF(EDATE(E81,12*DATEDIF(E81,FQ_FECHA+1,"y")+6)&lt;FQ_FECHA+1,1,0))))</f>
        <v/>
      </c>
      <c r="J81" s="71" t="str">
        <f aca="false">IF(G81&lt;&gt;"Sí","",W81+N(INDEX(T_COL,72))+N(INDEX(T_MOV,72)))</f>
        <v/>
      </c>
      <c r="K81" s="71" t="str">
        <f aca="false">IF(G81&lt;&gt;"Sí","",MIN(J81,TOPE_IAS_UF*UF_HOY))</f>
        <v/>
      </c>
      <c r="L81" s="95" t="str">
        <f aca="false">IF(G81&lt;&gt;"Sí","",(1.25*(DATEDIF(E81,FQ_FECHA+1,"m")+(FQ_FECHA+1-EDATE(E81,DATEDIF(E81,FQ_FECHA+1,"m")))/30)+SUMPRODUCT((ANIOS&lt;=DATEDIF(E81,FQ_FECHA+1,"y"))*(X81+ANIOS-10&gt;0)*INT((X81+ANIOS-10)/3))-(SUMIFS(V_DIAS,V_ID,B81,V_INICIO,"&lt;="&amp;FQ_FECHA)+Y81)))</f>
        <v/>
      </c>
      <c r="M81" s="71" t="str">
        <f aca="false">IF(G81&lt;&gt;"Sí","",ROUND(MAX(0,IF(L81&lt;=0,0,WORKDAY(FQ_FECHA,INT(L81),FERIADOS)-FQ_FECHA+(L81-INT(L81))))*V81,0))</f>
        <v/>
      </c>
      <c r="N81" s="71" t="str">
        <f aca="false">IF(G81&lt;&gt;"Sí","",IF(D81="Obra o faena",0,ROUND(K81*I81,0)))</f>
        <v/>
      </c>
      <c r="O81" s="71" t="str">
        <f aca="false">IF(G81&lt;&gt;"Sí","",IF(OR(D81="Obra o faena",FQ_AVISO="Sí"),0,ROUND(K81,0)))</f>
        <v/>
      </c>
      <c r="P81" s="71" t="str">
        <f aca="false">IF(G81&lt;&gt;"Sí","",IF(AND(IMPUTAR_AFC="Sí",N81&gt;0),-MIN(N81,ROUND(AFC_IMPUTABLE_PCT*MIN(W81,TOPE_AFC_UF*UF_HOY)*DATEDIF(E81,FQ_FECHA+1,"m"),0)),0))</f>
        <v/>
      </c>
      <c r="Q81" s="85" t="str">
        <f aca="false">IF(G81&lt;&gt;"Sí","",M81+N81+O81+P81)</f>
        <v/>
      </c>
      <c r="R81" s="85" t="str">
        <f aca="false">IF(G81&lt;&gt;"Sí","",M81)</f>
        <v/>
      </c>
      <c r="S81" s="85" t="str">
        <f aca="false">IF(U81="","",IF(INDEX(CC_ESTADOC,72)="Renovación registrada","",ROUND(MAX(0,IF(U81&lt;=0,0,WORKDAY(F81,INT(U81),FERIADOS)-F81+(U81-INT(U81))))*V81,0)+IF(D81="Obra o faena",ROUND(OBRA_DIAS*K81/30*(DATEDIF(E81,F81+1,"m")+IF(F81+1-EDATE(E81,DATEDIF(E81,F81+1,"m"))&gt;15,1,0)),0),0)))</f>
        <v/>
      </c>
      <c r="T81" s="70" t="str">
        <f aca="false">IF(G81&lt;&gt;"Sí","",IF(D81="Plazo fijo","Despido antes del vencimiento: además existe riesgo de demanda por las remuneraciones hasta el término del plazo",IF(D81="Obra o faena","Al concluir la obra corresponde indemnización de 2,5 días por mes (incluida en la columna S); no IAS",IF(I81=0,"Menos de 1 año: no corresponde IAS (Art. 163)",IF(I81=TOPE_IAS_ANIOS,"IAS en el tope de 11 años","")))))</f>
        <v/>
      </c>
      <c r="U81" s="95" t="str">
        <f aca="false">IF(OR(G81&lt;&gt;"Sí",NOT(ISNUMBER(F81))),"",IF(F81&lt;FQ_FECHA,"",(1.25*(DATEDIF(E81,F81+1,"m")+(F81+1-EDATE(E81,DATEDIF(E81,F81+1,"m")))/30)+SUMPRODUCT((ANIOS&lt;=DATEDIF(E81,F81+1,"y"))*(X81+ANIOS-10&gt;0)*INT((X81+ANIOS-10)/3))-(SUMIFS(V_DIAS,V_ID,B81,V_INICIO,"&lt;="&amp;F81)+Y81))))</f>
        <v/>
      </c>
      <c r="V81" s="71" t="str">
        <f aca="false">IF(G81&lt;&gt;"Sí","",(N(INDEX(T_SUELDO,72))+N(INDEX(T_BONO,72)))/30)</f>
        <v/>
      </c>
      <c r="W81" s="71" t="str">
        <f aca="false">IF(G81&lt;&gt;"Sí","",N(INDEX(T_SUELDO,72))+N(INDEX(T_BONO,72))+IF(LEFT(INDEX(T_GRAT,72)&amp;"",6)="Art. 5",MIN(GRAT_PCT*(N(INDEX(T_SUELDO,72))+N(INDEX(T_BONO,72))),GRAT_TOPE_MES),0))</f>
        <v/>
      </c>
      <c r="X81" s="72" t="str">
        <f aca="false">IF(B81="","",MIN(10,N(INDEX(T_PREV,72))))</f>
        <v/>
      </c>
      <c r="Y81" s="72" t="str">
        <f aca="false">IF(B81="","",N(INDEX(T_VACPREV,72)))</f>
        <v/>
      </c>
      <c r="Z81" s="75" t="str">
        <f aca="false">IF(B81="","",N(INDEX(T_EGRESO,72)))</f>
        <v/>
      </c>
    </row>
    <row r="82" customFormat="false" ht="15" hidden="false" customHeight="false" outlineLevel="0" collapsed="false">
      <c r="B82" s="70" t="str">
        <f aca="false">IFERROR(IF(INDEX(T_ID,73)="","",INDEX(T_ID,73)),"")</f>
        <v/>
      </c>
      <c r="C82" s="70" t="str">
        <f aca="false">IF(B82="","",INDEX(T_NOMBRE,73)&amp;"")</f>
        <v/>
      </c>
      <c r="D82" s="70" t="str">
        <f aca="false">IF(B82="","",INDEX(T_TIPO,73)&amp;"")</f>
        <v/>
      </c>
      <c r="E82" s="75" t="str">
        <f aca="false">IF(B82="","",INDEX(T_INGRESO,73))</f>
        <v/>
      </c>
      <c r="F82" s="75" t="str">
        <f aca="false">IF(B82="","",IF(ISNUMBER(INDEX(CC_VENCE,73)),INDEX(CC_VENCE,73),""))</f>
        <v/>
      </c>
      <c r="G82" s="70" t="str">
        <f aca="false">IF(OR(B82="",NOT(ISNUMBER(E82))),"",IF(AND(E82&lt;=FQ_FECHA,OR(Z82=0,Z82&gt;=FQ_FECHA)),"Sí","No"))</f>
        <v/>
      </c>
      <c r="H82" s="94" t="str">
        <f aca="false">IF(G82&lt;&gt;"Sí","",ROUND((FQ_FECHA+1-E82)/365.25,1))</f>
        <v/>
      </c>
      <c r="I82" s="73" t="str">
        <f aca="false">IF(G82&lt;&gt;"Sí","",IF(DATEDIF(E82,FQ_FECHA+1,"y")&lt;1,0,MIN(TOPE_IAS_ANIOS,DATEDIF(E82,FQ_FECHA+1,"y")+IF(EDATE(E82,12*DATEDIF(E82,FQ_FECHA+1,"y")+6)&lt;FQ_FECHA+1,1,0))))</f>
        <v/>
      </c>
      <c r="J82" s="71" t="str">
        <f aca="false">IF(G82&lt;&gt;"Sí","",W82+N(INDEX(T_COL,73))+N(INDEX(T_MOV,73)))</f>
        <v/>
      </c>
      <c r="K82" s="71" t="str">
        <f aca="false">IF(G82&lt;&gt;"Sí","",MIN(J82,TOPE_IAS_UF*UF_HOY))</f>
        <v/>
      </c>
      <c r="L82" s="95" t="str">
        <f aca="false">IF(G82&lt;&gt;"Sí","",(1.25*(DATEDIF(E82,FQ_FECHA+1,"m")+(FQ_FECHA+1-EDATE(E82,DATEDIF(E82,FQ_FECHA+1,"m")))/30)+SUMPRODUCT((ANIOS&lt;=DATEDIF(E82,FQ_FECHA+1,"y"))*(X82+ANIOS-10&gt;0)*INT((X82+ANIOS-10)/3))-(SUMIFS(V_DIAS,V_ID,B82,V_INICIO,"&lt;="&amp;FQ_FECHA)+Y82)))</f>
        <v/>
      </c>
      <c r="M82" s="71" t="str">
        <f aca="false">IF(G82&lt;&gt;"Sí","",ROUND(MAX(0,IF(L82&lt;=0,0,WORKDAY(FQ_FECHA,INT(L82),FERIADOS)-FQ_FECHA+(L82-INT(L82))))*V82,0))</f>
        <v/>
      </c>
      <c r="N82" s="71" t="str">
        <f aca="false">IF(G82&lt;&gt;"Sí","",IF(D82="Obra o faena",0,ROUND(K82*I82,0)))</f>
        <v/>
      </c>
      <c r="O82" s="71" t="str">
        <f aca="false">IF(G82&lt;&gt;"Sí","",IF(OR(D82="Obra o faena",FQ_AVISO="Sí"),0,ROUND(K82,0)))</f>
        <v/>
      </c>
      <c r="P82" s="71" t="str">
        <f aca="false">IF(G82&lt;&gt;"Sí","",IF(AND(IMPUTAR_AFC="Sí",N82&gt;0),-MIN(N82,ROUND(AFC_IMPUTABLE_PCT*MIN(W82,TOPE_AFC_UF*UF_HOY)*DATEDIF(E82,FQ_FECHA+1,"m"),0)),0))</f>
        <v/>
      </c>
      <c r="Q82" s="85" t="str">
        <f aca="false">IF(G82&lt;&gt;"Sí","",M82+N82+O82+P82)</f>
        <v/>
      </c>
      <c r="R82" s="85" t="str">
        <f aca="false">IF(G82&lt;&gt;"Sí","",M82)</f>
        <v/>
      </c>
      <c r="S82" s="85" t="str">
        <f aca="false">IF(U82="","",IF(INDEX(CC_ESTADOC,73)="Renovación registrada","",ROUND(MAX(0,IF(U82&lt;=0,0,WORKDAY(F82,INT(U82),FERIADOS)-F82+(U82-INT(U82))))*V82,0)+IF(D82="Obra o faena",ROUND(OBRA_DIAS*K82/30*(DATEDIF(E82,F82+1,"m")+IF(F82+1-EDATE(E82,DATEDIF(E82,F82+1,"m"))&gt;15,1,0)),0),0)))</f>
        <v/>
      </c>
      <c r="T82" s="70" t="str">
        <f aca="false">IF(G82&lt;&gt;"Sí","",IF(D82="Plazo fijo","Despido antes del vencimiento: además existe riesgo de demanda por las remuneraciones hasta el término del plazo",IF(D82="Obra o faena","Al concluir la obra corresponde indemnización de 2,5 días por mes (incluida en la columna S); no IAS",IF(I82=0,"Menos de 1 año: no corresponde IAS (Art. 163)",IF(I82=TOPE_IAS_ANIOS,"IAS en el tope de 11 años","")))))</f>
        <v/>
      </c>
      <c r="U82" s="95" t="str">
        <f aca="false">IF(OR(G82&lt;&gt;"Sí",NOT(ISNUMBER(F82))),"",IF(F82&lt;FQ_FECHA,"",(1.25*(DATEDIF(E82,F82+1,"m")+(F82+1-EDATE(E82,DATEDIF(E82,F82+1,"m")))/30)+SUMPRODUCT((ANIOS&lt;=DATEDIF(E82,F82+1,"y"))*(X82+ANIOS-10&gt;0)*INT((X82+ANIOS-10)/3))-(SUMIFS(V_DIAS,V_ID,B82,V_INICIO,"&lt;="&amp;F82)+Y82))))</f>
        <v/>
      </c>
      <c r="V82" s="71" t="str">
        <f aca="false">IF(G82&lt;&gt;"Sí","",(N(INDEX(T_SUELDO,73))+N(INDEX(T_BONO,73)))/30)</f>
        <v/>
      </c>
      <c r="W82" s="71" t="str">
        <f aca="false">IF(G82&lt;&gt;"Sí","",N(INDEX(T_SUELDO,73))+N(INDEX(T_BONO,73))+IF(LEFT(INDEX(T_GRAT,73)&amp;"",6)="Art. 5",MIN(GRAT_PCT*(N(INDEX(T_SUELDO,73))+N(INDEX(T_BONO,73))),GRAT_TOPE_MES),0))</f>
        <v/>
      </c>
      <c r="X82" s="72" t="str">
        <f aca="false">IF(B82="","",MIN(10,N(INDEX(T_PREV,73))))</f>
        <v/>
      </c>
      <c r="Y82" s="72" t="str">
        <f aca="false">IF(B82="","",N(INDEX(T_VACPREV,73)))</f>
        <v/>
      </c>
      <c r="Z82" s="75" t="str">
        <f aca="false">IF(B82="","",N(INDEX(T_EGRESO,73)))</f>
        <v/>
      </c>
    </row>
    <row r="83" customFormat="false" ht="15" hidden="false" customHeight="false" outlineLevel="0" collapsed="false">
      <c r="B83" s="70" t="str">
        <f aca="false">IFERROR(IF(INDEX(T_ID,74)="","",INDEX(T_ID,74)),"")</f>
        <v/>
      </c>
      <c r="C83" s="70" t="str">
        <f aca="false">IF(B83="","",INDEX(T_NOMBRE,74)&amp;"")</f>
        <v/>
      </c>
      <c r="D83" s="70" t="str">
        <f aca="false">IF(B83="","",INDEX(T_TIPO,74)&amp;"")</f>
        <v/>
      </c>
      <c r="E83" s="75" t="str">
        <f aca="false">IF(B83="","",INDEX(T_INGRESO,74))</f>
        <v/>
      </c>
      <c r="F83" s="75" t="str">
        <f aca="false">IF(B83="","",IF(ISNUMBER(INDEX(CC_VENCE,74)),INDEX(CC_VENCE,74),""))</f>
        <v/>
      </c>
      <c r="G83" s="70" t="str">
        <f aca="false">IF(OR(B83="",NOT(ISNUMBER(E83))),"",IF(AND(E83&lt;=FQ_FECHA,OR(Z83=0,Z83&gt;=FQ_FECHA)),"Sí","No"))</f>
        <v/>
      </c>
      <c r="H83" s="94" t="str">
        <f aca="false">IF(G83&lt;&gt;"Sí","",ROUND((FQ_FECHA+1-E83)/365.25,1))</f>
        <v/>
      </c>
      <c r="I83" s="73" t="str">
        <f aca="false">IF(G83&lt;&gt;"Sí","",IF(DATEDIF(E83,FQ_FECHA+1,"y")&lt;1,0,MIN(TOPE_IAS_ANIOS,DATEDIF(E83,FQ_FECHA+1,"y")+IF(EDATE(E83,12*DATEDIF(E83,FQ_FECHA+1,"y")+6)&lt;FQ_FECHA+1,1,0))))</f>
        <v/>
      </c>
      <c r="J83" s="71" t="str">
        <f aca="false">IF(G83&lt;&gt;"Sí","",W83+N(INDEX(T_COL,74))+N(INDEX(T_MOV,74)))</f>
        <v/>
      </c>
      <c r="K83" s="71" t="str">
        <f aca="false">IF(G83&lt;&gt;"Sí","",MIN(J83,TOPE_IAS_UF*UF_HOY))</f>
        <v/>
      </c>
      <c r="L83" s="95" t="str">
        <f aca="false">IF(G83&lt;&gt;"Sí","",(1.25*(DATEDIF(E83,FQ_FECHA+1,"m")+(FQ_FECHA+1-EDATE(E83,DATEDIF(E83,FQ_FECHA+1,"m")))/30)+SUMPRODUCT((ANIOS&lt;=DATEDIF(E83,FQ_FECHA+1,"y"))*(X83+ANIOS-10&gt;0)*INT((X83+ANIOS-10)/3))-(SUMIFS(V_DIAS,V_ID,B83,V_INICIO,"&lt;="&amp;FQ_FECHA)+Y83)))</f>
        <v/>
      </c>
      <c r="M83" s="71" t="str">
        <f aca="false">IF(G83&lt;&gt;"Sí","",ROUND(MAX(0,IF(L83&lt;=0,0,WORKDAY(FQ_FECHA,INT(L83),FERIADOS)-FQ_FECHA+(L83-INT(L83))))*V83,0))</f>
        <v/>
      </c>
      <c r="N83" s="71" t="str">
        <f aca="false">IF(G83&lt;&gt;"Sí","",IF(D83="Obra o faena",0,ROUND(K83*I83,0)))</f>
        <v/>
      </c>
      <c r="O83" s="71" t="str">
        <f aca="false">IF(G83&lt;&gt;"Sí","",IF(OR(D83="Obra o faena",FQ_AVISO="Sí"),0,ROUND(K83,0)))</f>
        <v/>
      </c>
      <c r="P83" s="71" t="str">
        <f aca="false">IF(G83&lt;&gt;"Sí","",IF(AND(IMPUTAR_AFC="Sí",N83&gt;0),-MIN(N83,ROUND(AFC_IMPUTABLE_PCT*MIN(W83,TOPE_AFC_UF*UF_HOY)*DATEDIF(E83,FQ_FECHA+1,"m"),0)),0))</f>
        <v/>
      </c>
      <c r="Q83" s="85" t="str">
        <f aca="false">IF(G83&lt;&gt;"Sí","",M83+N83+O83+P83)</f>
        <v/>
      </c>
      <c r="R83" s="85" t="str">
        <f aca="false">IF(G83&lt;&gt;"Sí","",M83)</f>
        <v/>
      </c>
      <c r="S83" s="85" t="str">
        <f aca="false">IF(U83="","",IF(INDEX(CC_ESTADOC,74)="Renovación registrada","",ROUND(MAX(0,IF(U83&lt;=0,0,WORKDAY(F83,INT(U83),FERIADOS)-F83+(U83-INT(U83))))*V83,0)+IF(D83="Obra o faena",ROUND(OBRA_DIAS*K83/30*(DATEDIF(E83,F83+1,"m")+IF(F83+1-EDATE(E83,DATEDIF(E83,F83+1,"m"))&gt;15,1,0)),0),0)))</f>
        <v/>
      </c>
      <c r="T83" s="70" t="str">
        <f aca="false">IF(G83&lt;&gt;"Sí","",IF(D83="Plazo fijo","Despido antes del vencimiento: además existe riesgo de demanda por las remuneraciones hasta el término del plazo",IF(D83="Obra o faena","Al concluir la obra corresponde indemnización de 2,5 días por mes (incluida en la columna S); no IAS",IF(I83=0,"Menos de 1 año: no corresponde IAS (Art. 163)",IF(I83=TOPE_IAS_ANIOS,"IAS en el tope de 11 años","")))))</f>
        <v/>
      </c>
      <c r="U83" s="95" t="str">
        <f aca="false">IF(OR(G83&lt;&gt;"Sí",NOT(ISNUMBER(F83))),"",IF(F83&lt;FQ_FECHA,"",(1.25*(DATEDIF(E83,F83+1,"m")+(F83+1-EDATE(E83,DATEDIF(E83,F83+1,"m")))/30)+SUMPRODUCT((ANIOS&lt;=DATEDIF(E83,F83+1,"y"))*(X83+ANIOS-10&gt;0)*INT((X83+ANIOS-10)/3))-(SUMIFS(V_DIAS,V_ID,B83,V_INICIO,"&lt;="&amp;F83)+Y83))))</f>
        <v/>
      </c>
      <c r="V83" s="71" t="str">
        <f aca="false">IF(G83&lt;&gt;"Sí","",(N(INDEX(T_SUELDO,74))+N(INDEX(T_BONO,74)))/30)</f>
        <v/>
      </c>
      <c r="W83" s="71" t="str">
        <f aca="false">IF(G83&lt;&gt;"Sí","",N(INDEX(T_SUELDO,74))+N(INDEX(T_BONO,74))+IF(LEFT(INDEX(T_GRAT,74)&amp;"",6)="Art. 5",MIN(GRAT_PCT*(N(INDEX(T_SUELDO,74))+N(INDEX(T_BONO,74))),GRAT_TOPE_MES),0))</f>
        <v/>
      </c>
      <c r="X83" s="72" t="str">
        <f aca="false">IF(B83="","",MIN(10,N(INDEX(T_PREV,74))))</f>
        <v/>
      </c>
      <c r="Y83" s="72" t="str">
        <f aca="false">IF(B83="","",N(INDEX(T_VACPREV,74)))</f>
        <v/>
      </c>
      <c r="Z83" s="75" t="str">
        <f aca="false">IF(B83="","",N(INDEX(T_EGRESO,74)))</f>
        <v/>
      </c>
    </row>
    <row r="84" customFormat="false" ht="15" hidden="false" customHeight="false" outlineLevel="0" collapsed="false">
      <c r="B84" s="70" t="str">
        <f aca="false">IFERROR(IF(INDEX(T_ID,75)="","",INDEX(T_ID,75)),"")</f>
        <v/>
      </c>
      <c r="C84" s="70" t="str">
        <f aca="false">IF(B84="","",INDEX(T_NOMBRE,75)&amp;"")</f>
        <v/>
      </c>
      <c r="D84" s="70" t="str">
        <f aca="false">IF(B84="","",INDEX(T_TIPO,75)&amp;"")</f>
        <v/>
      </c>
      <c r="E84" s="75" t="str">
        <f aca="false">IF(B84="","",INDEX(T_INGRESO,75))</f>
        <v/>
      </c>
      <c r="F84" s="75" t="str">
        <f aca="false">IF(B84="","",IF(ISNUMBER(INDEX(CC_VENCE,75)),INDEX(CC_VENCE,75),""))</f>
        <v/>
      </c>
      <c r="G84" s="70" t="str">
        <f aca="false">IF(OR(B84="",NOT(ISNUMBER(E84))),"",IF(AND(E84&lt;=FQ_FECHA,OR(Z84=0,Z84&gt;=FQ_FECHA)),"Sí","No"))</f>
        <v/>
      </c>
      <c r="H84" s="94" t="str">
        <f aca="false">IF(G84&lt;&gt;"Sí","",ROUND((FQ_FECHA+1-E84)/365.25,1))</f>
        <v/>
      </c>
      <c r="I84" s="73" t="str">
        <f aca="false">IF(G84&lt;&gt;"Sí","",IF(DATEDIF(E84,FQ_FECHA+1,"y")&lt;1,0,MIN(TOPE_IAS_ANIOS,DATEDIF(E84,FQ_FECHA+1,"y")+IF(EDATE(E84,12*DATEDIF(E84,FQ_FECHA+1,"y")+6)&lt;FQ_FECHA+1,1,0))))</f>
        <v/>
      </c>
      <c r="J84" s="71" t="str">
        <f aca="false">IF(G84&lt;&gt;"Sí","",W84+N(INDEX(T_COL,75))+N(INDEX(T_MOV,75)))</f>
        <v/>
      </c>
      <c r="K84" s="71" t="str">
        <f aca="false">IF(G84&lt;&gt;"Sí","",MIN(J84,TOPE_IAS_UF*UF_HOY))</f>
        <v/>
      </c>
      <c r="L84" s="95" t="str">
        <f aca="false">IF(G84&lt;&gt;"Sí","",(1.25*(DATEDIF(E84,FQ_FECHA+1,"m")+(FQ_FECHA+1-EDATE(E84,DATEDIF(E84,FQ_FECHA+1,"m")))/30)+SUMPRODUCT((ANIOS&lt;=DATEDIF(E84,FQ_FECHA+1,"y"))*(X84+ANIOS-10&gt;0)*INT((X84+ANIOS-10)/3))-(SUMIFS(V_DIAS,V_ID,B84,V_INICIO,"&lt;="&amp;FQ_FECHA)+Y84)))</f>
        <v/>
      </c>
      <c r="M84" s="71" t="str">
        <f aca="false">IF(G84&lt;&gt;"Sí","",ROUND(MAX(0,IF(L84&lt;=0,0,WORKDAY(FQ_FECHA,INT(L84),FERIADOS)-FQ_FECHA+(L84-INT(L84))))*V84,0))</f>
        <v/>
      </c>
      <c r="N84" s="71" t="str">
        <f aca="false">IF(G84&lt;&gt;"Sí","",IF(D84="Obra o faena",0,ROUND(K84*I84,0)))</f>
        <v/>
      </c>
      <c r="O84" s="71" t="str">
        <f aca="false">IF(G84&lt;&gt;"Sí","",IF(OR(D84="Obra o faena",FQ_AVISO="Sí"),0,ROUND(K84,0)))</f>
        <v/>
      </c>
      <c r="P84" s="71" t="str">
        <f aca="false">IF(G84&lt;&gt;"Sí","",IF(AND(IMPUTAR_AFC="Sí",N84&gt;0),-MIN(N84,ROUND(AFC_IMPUTABLE_PCT*MIN(W84,TOPE_AFC_UF*UF_HOY)*DATEDIF(E84,FQ_FECHA+1,"m"),0)),0))</f>
        <v/>
      </c>
      <c r="Q84" s="85" t="str">
        <f aca="false">IF(G84&lt;&gt;"Sí","",M84+N84+O84+P84)</f>
        <v/>
      </c>
      <c r="R84" s="85" t="str">
        <f aca="false">IF(G84&lt;&gt;"Sí","",M84)</f>
        <v/>
      </c>
      <c r="S84" s="85" t="str">
        <f aca="false">IF(U84="","",IF(INDEX(CC_ESTADOC,75)="Renovación registrada","",ROUND(MAX(0,IF(U84&lt;=0,0,WORKDAY(F84,INT(U84),FERIADOS)-F84+(U84-INT(U84))))*V84,0)+IF(D84="Obra o faena",ROUND(OBRA_DIAS*K84/30*(DATEDIF(E84,F84+1,"m")+IF(F84+1-EDATE(E84,DATEDIF(E84,F84+1,"m"))&gt;15,1,0)),0),0)))</f>
        <v/>
      </c>
      <c r="T84" s="70" t="str">
        <f aca="false">IF(G84&lt;&gt;"Sí","",IF(D84="Plazo fijo","Despido antes del vencimiento: además existe riesgo de demanda por las remuneraciones hasta el término del plazo",IF(D84="Obra o faena","Al concluir la obra corresponde indemnización de 2,5 días por mes (incluida en la columna S); no IAS",IF(I84=0,"Menos de 1 año: no corresponde IAS (Art. 163)",IF(I84=TOPE_IAS_ANIOS,"IAS en el tope de 11 años","")))))</f>
        <v/>
      </c>
      <c r="U84" s="95" t="str">
        <f aca="false">IF(OR(G84&lt;&gt;"Sí",NOT(ISNUMBER(F84))),"",IF(F84&lt;FQ_FECHA,"",(1.25*(DATEDIF(E84,F84+1,"m")+(F84+1-EDATE(E84,DATEDIF(E84,F84+1,"m")))/30)+SUMPRODUCT((ANIOS&lt;=DATEDIF(E84,F84+1,"y"))*(X84+ANIOS-10&gt;0)*INT((X84+ANIOS-10)/3))-(SUMIFS(V_DIAS,V_ID,B84,V_INICIO,"&lt;="&amp;F84)+Y84))))</f>
        <v/>
      </c>
      <c r="V84" s="71" t="str">
        <f aca="false">IF(G84&lt;&gt;"Sí","",(N(INDEX(T_SUELDO,75))+N(INDEX(T_BONO,75)))/30)</f>
        <v/>
      </c>
      <c r="W84" s="71" t="str">
        <f aca="false">IF(G84&lt;&gt;"Sí","",N(INDEX(T_SUELDO,75))+N(INDEX(T_BONO,75))+IF(LEFT(INDEX(T_GRAT,75)&amp;"",6)="Art. 5",MIN(GRAT_PCT*(N(INDEX(T_SUELDO,75))+N(INDEX(T_BONO,75))),GRAT_TOPE_MES),0))</f>
        <v/>
      </c>
      <c r="X84" s="72" t="str">
        <f aca="false">IF(B84="","",MIN(10,N(INDEX(T_PREV,75))))</f>
        <v/>
      </c>
      <c r="Y84" s="72" t="str">
        <f aca="false">IF(B84="","",N(INDEX(T_VACPREV,75)))</f>
        <v/>
      </c>
      <c r="Z84" s="75" t="str">
        <f aca="false">IF(B84="","",N(INDEX(T_EGRESO,75)))</f>
        <v/>
      </c>
    </row>
    <row r="85" customFormat="false" ht="15" hidden="false" customHeight="false" outlineLevel="0" collapsed="false">
      <c r="B85" s="70" t="str">
        <f aca="false">IFERROR(IF(INDEX(T_ID,76)="","",INDEX(T_ID,76)),"")</f>
        <v/>
      </c>
      <c r="C85" s="70" t="str">
        <f aca="false">IF(B85="","",INDEX(T_NOMBRE,76)&amp;"")</f>
        <v/>
      </c>
      <c r="D85" s="70" t="str">
        <f aca="false">IF(B85="","",INDEX(T_TIPO,76)&amp;"")</f>
        <v/>
      </c>
      <c r="E85" s="75" t="str">
        <f aca="false">IF(B85="","",INDEX(T_INGRESO,76))</f>
        <v/>
      </c>
      <c r="F85" s="75" t="str">
        <f aca="false">IF(B85="","",IF(ISNUMBER(INDEX(CC_VENCE,76)),INDEX(CC_VENCE,76),""))</f>
        <v/>
      </c>
      <c r="G85" s="70" t="str">
        <f aca="false">IF(OR(B85="",NOT(ISNUMBER(E85))),"",IF(AND(E85&lt;=FQ_FECHA,OR(Z85=0,Z85&gt;=FQ_FECHA)),"Sí","No"))</f>
        <v/>
      </c>
      <c r="H85" s="94" t="str">
        <f aca="false">IF(G85&lt;&gt;"Sí","",ROUND((FQ_FECHA+1-E85)/365.25,1))</f>
        <v/>
      </c>
      <c r="I85" s="73" t="str">
        <f aca="false">IF(G85&lt;&gt;"Sí","",IF(DATEDIF(E85,FQ_FECHA+1,"y")&lt;1,0,MIN(TOPE_IAS_ANIOS,DATEDIF(E85,FQ_FECHA+1,"y")+IF(EDATE(E85,12*DATEDIF(E85,FQ_FECHA+1,"y")+6)&lt;FQ_FECHA+1,1,0))))</f>
        <v/>
      </c>
      <c r="J85" s="71" t="str">
        <f aca="false">IF(G85&lt;&gt;"Sí","",W85+N(INDEX(T_COL,76))+N(INDEX(T_MOV,76)))</f>
        <v/>
      </c>
      <c r="K85" s="71" t="str">
        <f aca="false">IF(G85&lt;&gt;"Sí","",MIN(J85,TOPE_IAS_UF*UF_HOY))</f>
        <v/>
      </c>
      <c r="L85" s="95" t="str">
        <f aca="false">IF(G85&lt;&gt;"Sí","",(1.25*(DATEDIF(E85,FQ_FECHA+1,"m")+(FQ_FECHA+1-EDATE(E85,DATEDIF(E85,FQ_FECHA+1,"m")))/30)+SUMPRODUCT((ANIOS&lt;=DATEDIF(E85,FQ_FECHA+1,"y"))*(X85+ANIOS-10&gt;0)*INT((X85+ANIOS-10)/3))-(SUMIFS(V_DIAS,V_ID,B85,V_INICIO,"&lt;="&amp;FQ_FECHA)+Y85)))</f>
        <v/>
      </c>
      <c r="M85" s="71" t="str">
        <f aca="false">IF(G85&lt;&gt;"Sí","",ROUND(MAX(0,IF(L85&lt;=0,0,WORKDAY(FQ_FECHA,INT(L85),FERIADOS)-FQ_FECHA+(L85-INT(L85))))*V85,0))</f>
        <v/>
      </c>
      <c r="N85" s="71" t="str">
        <f aca="false">IF(G85&lt;&gt;"Sí","",IF(D85="Obra o faena",0,ROUND(K85*I85,0)))</f>
        <v/>
      </c>
      <c r="O85" s="71" t="str">
        <f aca="false">IF(G85&lt;&gt;"Sí","",IF(OR(D85="Obra o faena",FQ_AVISO="Sí"),0,ROUND(K85,0)))</f>
        <v/>
      </c>
      <c r="P85" s="71" t="str">
        <f aca="false">IF(G85&lt;&gt;"Sí","",IF(AND(IMPUTAR_AFC="Sí",N85&gt;0),-MIN(N85,ROUND(AFC_IMPUTABLE_PCT*MIN(W85,TOPE_AFC_UF*UF_HOY)*DATEDIF(E85,FQ_FECHA+1,"m"),0)),0))</f>
        <v/>
      </c>
      <c r="Q85" s="85" t="str">
        <f aca="false">IF(G85&lt;&gt;"Sí","",M85+N85+O85+P85)</f>
        <v/>
      </c>
      <c r="R85" s="85" t="str">
        <f aca="false">IF(G85&lt;&gt;"Sí","",M85)</f>
        <v/>
      </c>
      <c r="S85" s="85" t="str">
        <f aca="false">IF(U85="","",IF(INDEX(CC_ESTADOC,76)="Renovación registrada","",ROUND(MAX(0,IF(U85&lt;=0,0,WORKDAY(F85,INT(U85),FERIADOS)-F85+(U85-INT(U85))))*V85,0)+IF(D85="Obra o faena",ROUND(OBRA_DIAS*K85/30*(DATEDIF(E85,F85+1,"m")+IF(F85+1-EDATE(E85,DATEDIF(E85,F85+1,"m"))&gt;15,1,0)),0),0)))</f>
        <v/>
      </c>
      <c r="T85" s="70" t="str">
        <f aca="false">IF(G85&lt;&gt;"Sí","",IF(D85="Plazo fijo","Despido antes del vencimiento: además existe riesgo de demanda por las remuneraciones hasta el término del plazo",IF(D85="Obra o faena","Al concluir la obra corresponde indemnización de 2,5 días por mes (incluida en la columna S); no IAS",IF(I85=0,"Menos de 1 año: no corresponde IAS (Art. 163)",IF(I85=TOPE_IAS_ANIOS,"IAS en el tope de 11 años","")))))</f>
        <v/>
      </c>
      <c r="U85" s="95" t="str">
        <f aca="false">IF(OR(G85&lt;&gt;"Sí",NOT(ISNUMBER(F85))),"",IF(F85&lt;FQ_FECHA,"",(1.25*(DATEDIF(E85,F85+1,"m")+(F85+1-EDATE(E85,DATEDIF(E85,F85+1,"m")))/30)+SUMPRODUCT((ANIOS&lt;=DATEDIF(E85,F85+1,"y"))*(X85+ANIOS-10&gt;0)*INT((X85+ANIOS-10)/3))-(SUMIFS(V_DIAS,V_ID,B85,V_INICIO,"&lt;="&amp;F85)+Y85))))</f>
        <v/>
      </c>
      <c r="V85" s="71" t="str">
        <f aca="false">IF(G85&lt;&gt;"Sí","",(N(INDEX(T_SUELDO,76))+N(INDEX(T_BONO,76)))/30)</f>
        <v/>
      </c>
      <c r="W85" s="71" t="str">
        <f aca="false">IF(G85&lt;&gt;"Sí","",N(INDEX(T_SUELDO,76))+N(INDEX(T_BONO,76))+IF(LEFT(INDEX(T_GRAT,76)&amp;"",6)="Art. 5",MIN(GRAT_PCT*(N(INDEX(T_SUELDO,76))+N(INDEX(T_BONO,76))),GRAT_TOPE_MES),0))</f>
        <v/>
      </c>
      <c r="X85" s="72" t="str">
        <f aca="false">IF(B85="","",MIN(10,N(INDEX(T_PREV,76))))</f>
        <v/>
      </c>
      <c r="Y85" s="72" t="str">
        <f aca="false">IF(B85="","",N(INDEX(T_VACPREV,76)))</f>
        <v/>
      </c>
      <c r="Z85" s="75" t="str">
        <f aca="false">IF(B85="","",N(INDEX(T_EGRESO,76)))</f>
        <v/>
      </c>
    </row>
    <row r="86" customFormat="false" ht="15" hidden="false" customHeight="false" outlineLevel="0" collapsed="false">
      <c r="B86" s="70" t="str">
        <f aca="false">IFERROR(IF(INDEX(T_ID,77)="","",INDEX(T_ID,77)),"")</f>
        <v/>
      </c>
      <c r="C86" s="70" t="str">
        <f aca="false">IF(B86="","",INDEX(T_NOMBRE,77)&amp;"")</f>
        <v/>
      </c>
      <c r="D86" s="70" t="str">
        <f aca="false">IF(B86="","",INDEX(T_TIPO,77)&amp;"")</f>
        <v/>
      </c>
      <c r="E86" s="75" t="str">
        <f aca="false">IF(B86="","",INDEX(T_INGRESO,77))</f>
        <v/>
      </c>
      <c r="F86" s="75" t="str">
        <f aca="false">IF(B86="","",IF(ISNUMBER(INDEX(CC_VENCE,77)),INDEX(CC_VENCE,77),""))</f>
        <v/>
      </c>
      <c r="G86" s="70" t="str">
        <f aca="false">IF(OR(B86="",NOT(ISNUMBER(E86))),"",IF(AND(E86&lt;=FQ_FECHA,OR(Z86=0,Z86&gt;=FQ_FECHA)),"Sí","No"))</f>
        <v/>
      </c>
      <c r="H86" s="94" t="str">
        <f aca="false">IF(G86&lt;&gt;"Sí","",ROUND((FQ_FECHA+1-E86)/365.25,1))</f>
        <v/>
      </c>
      <c r="I86" s="73" t="str">
        <f aca="false">IF(G86&lt;&gt;"Sí","",IF(DATEDIF(E86,FQ_FECHA+1,"y")&lt;1,0,MIN(TOPE_IAS_ANIOS,DATEDIF(E86,FQ_FECHA+1,"y")+IF(EDATE(E86,12*DATEDIF(E86,FQ_FECHA+1,"y")+6)&lt;FQ_FECHA+1,1,0))))</f>
        <v/>
      </c>
      <c r="J86" s="71" t="str">
        <f aca="false">IF(G86&lt;&gt;"Sí","",W86+N(INDEX(T_COL,77))+N(INDEX(T_MOV,77)))</f>
        <v/>
      </c>
      <c r="K86" s="71" t="str">
        <f aca="false">IF(G86&lt;&gt;"Sí","",MIN(J86,TOPE_IAS_UF*UF_HOY))</f>
        <v/>
      </c>
      <c r="L86" s="95" t="str">
        <f aca="false">IF(G86&lt;&gt;"Sí","",(1.25*(DATEDIF(E86,FQ_FECHA+1,"m")+(FQ_FECHA+1-EDATE(E86,DATEDIF(E86,FQ_FECHA+1,"m")))/30)+SUMPRODUCT((ANIOS&lt;=DATEDIF(E86,FQ_FECHA+1,"y"))*(X86+ANIOS-10&gt;0)*INT((X86+ANIOS-10)/3))-(SUMIFS(V_DIAS,V_ID,B86,V_INICIO,"&lt;="&amp;FQ_FECHA)+Y86)))</f>
        <v/>
      </c>
      <c r="M86" s="71" t="str">
        <f aca="false">IF(G86&lt;&gt;"Sí","",ROUND(MAX(0,IF(L86&lt;=0,0,WORKDAY(FQ_FECHA,INT(L86),FERIADOS)-FQ_FECHA+(L86-INT(L86))))*V86,0))</f>
        <v/>
      </c>
      <c r="N86" s="71" t="str">
        <f aca="false">IF(G86&lt;&gt;"Sí","",IF(D86="Obra o faena",0,ROUND(K86*I86,0)))</f>
        <v/>
      </c>
      <c r="O86" s="71" t="str">
        <f aca="false">IF(G86&lt;&gt;"Sí","",IF(OR(D86="Obra o faena",FQ_AVISO="Sí"),0,ROUND(K86,0)))</f>
        <v/>
      </c>
      <c r="P86" s="71" t="str">
        <f aca="false">IF(G86&lt;&gt;"Sí","",IF(AND(IMPUTAR_AFC="Sí",N86&gt;0),-MIN(N86,ROUND(AFC_IMPUTABLE_PCT*MIN(W86,TOPE_AFC_UF*UF_HOY)*DATEDIF(E86,FQ_FECHA+1,"m"),0)),0))</f>
        <v/>
      </c>
      <c r="Q86" s="85" t="str">
        <f aca="false">IF(G86&lt;&gt;"Sí","",M86+N86+O86+P86)</f>
        <v/>
      </c>
      <c r="R86" s="85" t="str">
        <f aca="false">IF(G86&lt;&gt;"Sí","",M86)</f>
        <v/>
      </c>
      <c r="S86" s="85" t="str">
        <f aca="false">IF(U86="","",IF(INDEX(CC_ESTADOC,77)="Renovación registrada","",ROUND(MAX(0,IF(U86&lt;=0,0,WORKDAY(F86,INT(U86),FERIADOS)-F86+(U86-INT(U86))))*V86,0)+IF(D86="Obra o faena",ROUND(OBRA_DIAS*K86/30*(DATEDIF(E86,F86+1,"m")+IF(F86+1-EDATE(E86,DATEDIF(E86,F86+1,"m"))&gt;15,1,0)),0),0)))</f>
        <v/>
      </c>
      <c r="T86" s="70" t="str">
        <f aca="false">IF(G86&lt;&gt;"Sí","",IF(D86="Plazo fijo","Despido antes del vencimiento: además existe riesgo de demanda por las remuneraciones hasta el término del plazo",IF(D86="Obra o faena","Al concluir la obra corresponde indemnización de 2,5 días por mes (incluida en la columna S); no IAS",IF(I86=0,"Menos de 1 año: no corresponde IAS (Art. 163)",IF(I86=TOPE_IAS_ANIOS,"IAS en el tope de 11 años","")))))</f>
        <v/>
      </c>
      <c r="U86" s="95" t="str">
        <f aca="false">IF(OR(G86&lt;&gt;"Sí",NOT(ISNUMBER(F86))),"",IF(F86&lt;FQ_FECHA,"",(1.25*(DATEDIF(E86,F86+1,"m")+(F86+1-EDATE(E86,DATEDIF(E86,F86+1,"m")))/30)+SUMPRODUCT((ANIOS&lt;=DATEDIF(E86,F86+1,"y"))*(X86+ANIOS-10&gt;0)*INT((X86+ANIOS-10)/3))-(SUMIFS(V_DIAS,V_ID,B86,V_INICIO,"&lt;="&amp;F86)+Y86))))</f>
        <v/>
      </c>
      <c r="V86" s="71" t="str">
        <f aca="false">IF(G86&lt;&gt;"Sí","",(N(INDEX(T_SUELDO,77))+N(INDEX(T_BONO,77)))/30)</f>
        <v/>
      </c>
      <c r="W86" s="71" t="str">
        <f aca="false">IF(G86&lt;&gt;"Sí","",N(INDEX(T_SUELDO,77))+N(INDEX(T_BONO,77))+IF(LEFT(INDEX(T_GRAT,77)&amp;"",6)="Art. 5",MIN(GRAT_PCT*(N(INDEX(T_SUELDO,77))+N(INDEX(T_BONO,77))),GRAT_TOPE_MES),0))</f>
        <v/>
      </c>
      <c r="X86" s="72" t="str">
        <f aca="false">IF(B86="","",MIN(10,N(INDEX(T_PREV,77))))</f>
        <v/>
      </c>
      <c r="Y86" s="72" t="str">
        <f aca="false">IF(B86="","",N(INDEX(T_VACPREV,77)))</f>
        <v/>
      </c>
      <c r="Z86" s="75" t="str">
        <f aca="false">IF(B86="","",N(INDEX(T_EGRESO,77)))</f>
        <v/>
      </c>
    </row>
    <row r="87" customFormat="false" ht="15" hidden="false" customHeight="false" outlineLevel="0" collapsed="false">
      <c r="B87" s="70" t="str">
        <f aca="false">IFERROR(IF(INDEX(T_ID,78)="","",INDEX(T_ID,78)),"")</f>
        <v/>
      </c>
      <c r="C87" s="70" t="str">
        <f aca="false">IF(B87="","",INDEX(T_NOMBRE,78)&amp;"")</f>
        <v/>
      </c>
      <c r="D87" s="70" t="str">
        <f aca="false">IF(B87="","",INDEX(T_TIPO,78)&amp;"")</f>
        <v/>
      </c>
      <c r="E87" s="75" t="str">
        <f aca="false">IF(B87="","",INDEX(T_INGRESO,78))</f>
        <v/>
      </c>
      <c r="F87" s="75" t="str">
        <f aca="false">IF(B87="","",IF(ISNUMBER(INDEX(CC_VENCE,78)),INDEX(CC_VENCE,78),""))</f>
        <v/>
      </c>
      <c r="G87" s="70" t="str">
        <f aca="false">IF(OR(B87="",NOT(ISNUMBER(E87))),"",IF(AND(E87&lt;=FQ_FECHA,OR(Z87=0,Z87&gt;=FQ_FECHA)),"Sí","No"))</f>
        <v/>
      </c>
      <c r="H87" s="94" t="str">
        <f aca="false">IF(G87&lt;&gt;"Sí","",ROUND((FQ_FECHA+1-E87)/365.25,1))</f>
        <v/>
      </c>
      <c r="I87" s="73" t="str">
        <f aca="false">IF(G87&lt;&gt;"Sí","",IF(DATEDIF(E87,FQ_FECHA+1,"y")&lt;1,0,MIN(TOPE_IAS_ANIOS,DATEDIF(E87,FQ_FECHA+1,"y")+IF(EDATE(E87,12*DATEDIF(E87,FQ_FECHA+1,"y")+6)&lt;FQ_FECHA+1,1,0))))</f>
        <v/>
      </c>
      <c r="J87" s="71" t="str">
        <f aca="false">IF(G87&lt;&gt;"Sí","",W87+N(INDEX(T_COL,78))+N(INDEX(T_MOV,78)))</f>
        <v/>
      </c>
      <c r="K87" s="71" t="str">
        <f aca="false">IF(G87&lt;&gt;"Sí","",MIN(J87,TOPE_IAS_UF*UF_HOY))</f>
        <v/>
      </c>
      <c r="L87" s="95" t="str">
        <f aca="false">IF(G87&lt;&gt;"Sí","",(1.25*(DATEDIF(E87,FQ_FECHA+1,"m")+(FQ_FECHA+1-EDATE(E87,DATEDIF(E87,FQ_FECHA+1,"m")))/30)+SUMPRODUCT((ANIOS&lt;=DATEDIF(E87,FQ_FECHA+1,"y"))*(X87+ANIOS-10&gt;0)*INT((X87+ANIOS-10)/3))-(SUMIFS(V_DIAS,V_ID,B87,V_INICIO,"&lt;="&amp;FQ_FECHA)+Y87)))</f>
        <v/>
      </c>
      <c r="M87" s="71" t="str">
        <f aca="false">IF(G87&lt;&gt;"Sí","",ROUND(MAX(0,IF(L87&lt;=0,0,WORKDAY(FQ_FECHA,INT(L87),FERIADOS)-FQ_FECHA+(L87-INT(L87))))*V87,0))</f>
        <v/>
      </c>
      <c r="N87" s="71" t="str">
        <f aca="false">IF(G87&lt;&gt;"Sí","",IF(D87="Obra o faena",0,ROUND(K87*I87,0)))</f>
        <v/>
      </c>
      <c r="O87" s="71" t="str">
        <f aca="false">IF(G87&lt;&gt;"Sí","",IF(OR(D87="Obra o faena",FQ_AVISO="Sí"),0,ROUND(K87,0)))</f>
        <v/>
      </c>
      <c r="P87" s="71" t="str">
        <f aca="false">IF(G87&lt;&gt;"Sí","",IF(AND(IMPUTAR_AFC="Sí",N87&gt;0),-MIN(N87,ROUND(AFC_IMPUTABLE_PCT*MIN(W87,TOPE_AFC_UF*UF_HOY)*DATEDIF(E87,FQ_FECHA+1,"m"),0)),0))</f>
        <v/>
      </c>
      <c r="Q87" s="85" t="str">
        <f aca="false">IF(G87&lt;&gt;"Sí","",M87+N87+O87+P87)</f>
        <v/>
      </c>
      <c r="R87" s="85" t="str">
        <f aca="false">IF(G87&lt;&gt;"Sí","",M87)</f>
        <v/>
      </c>
      <c r="S87" s="85" t="str">
        <f aca="false">IF(U87="","",IF(INDEX(CC_ESTADOC,78)="Renovación registrada","",ROUND(MAX(0,IF(U87&lt;=0,0,WORKDAY(F87,INT(U87),FERIADOS)-F87+(U87-INT(U87))))*V87,0)+IF(D87="Obra o faena",ROUND(OBRA_DIAS*K87/30*(DATEDIF(E87,F87+1,"m")+IF(F87+1-EDATE(E87,DATEDIF(E87,F87+1,"m"))&gt;15,1,0)),0),0)))</f>
        <v/>
      </c>
      <c r="T87" s="70" t="str">
        <f aca="false">IF(G87&lt;&gt;"Sí","",IF(D87="Plazo fijo","Despido antes del vencimiento: además existe riesgo de demanda por las remuneraciones hasta el término del plazo",IF(D87="Obra o faena","Al concluir la obra corresponde indemnización de 2,5 días por mes (incluida en la columna S); no IAS",IF(I87=0,"Menos de 1 año: no corresponde IAS (Art. 163)",IF(I87=TOPE_IAS_ANIOS,"IAS en el tope de 11 años","")))))</f>
        <v/>
      </c>
      <c r="U87" s="95" t="str">
        <f aca="false">IF(OR(G87&lt;&gt;"Sí",NOT(ISNUMBER(F87))),"",IF(F87&lt;FQ_FECHA,"",(1.25*(DATEDIF(E87,F87+1,"m")+(F87+1-EDATE(E87,DATEDIF(E87,F87+1,"m")))/30)+SUMPRODUCT((ANIOS&lt;=DATEDIF(E87,F87+1,"y"))*(X87+ANIOS-10&gt;0)*INT((X87+ANIOS-10)/3))-(SUMIFS(V_DIAS,V_ID,B87,V_INICIO,"&lt;="&amp;F87)+Y87))))</f>
        <v/>
      </c>
      <c r="V87" s="71" t="str">
        <f aca="false">IF(G87&lt;&gt;"Sí","",(N(INDEX(T_SUELDO,78))+N(INDEX(T_BONO,78)))/30)</f>
        <v/>
      </c>
      <c r="W87" s="71" t="str">
        <f aca="false">IF(G87&lt;&gt;"Sí","",N(INDEX(T_SUELDO,78))+N(INDEX(T_BONO,78))+IF(LEFT(INDEX(T_GRAT,78)&amp;"",6)="Art. 5",MIN(GRAT_PCT*(N(INDEX(T_SUELDO,78))+N(INDEX(T_BONO,78))),GRAT_TOPE_MES),0))</f>
        <v/>
      </c>
      <c r="X87" s="72" t="str">
        <f aca="false">IF(B87="","",MIN(10,N(INDEX(T_PREV,78))))</f>
        <v/>
      </c>
      <c r="Y87" s="72" t="str">
        <f aca="false">IF(B87="","",N(INDEX(T_VACPREV,78)))</f>
        <v/>
      </c>
      <c r="Z87" s="75" t="str">
        <f aca="false">IF(B87="","",N(INDEX(T_EGRESO,78)))</f>
        <v/>
      </c>
    </row>
    <row r="88" customFormat="false" ht="15" hidden="false" customHeight="false" outlineLevel="0" collapsed="false">
      <c r="B88" s="70" t="str">
        <f aca="false">IFERROR(IF(INDEX(T_ID,79)="","",INDEX(T_ID,79)),"")</f>
        <v/>
      </c>
      <c r="C88" s="70" t="str">
        <f aca="false">IF(B88="","",INDEX(T_NOMBRE,79)&amp;"")</f>
        <v/>
      </c>
      <c r="D88" s="70" t="str">
        <f aca="false">IF(B88="","",INDEX(T_TIPO,79)&amp;"")</f>
        <v/>
      </c>
      <c r="E88" s="75" t="str">
        <f aca="false">IF(B88="","",INDEX(T_INGRESO,79))</f>
        <v/>
      </c>
      <c r="F88" s="75" t="str">
        <f aca="false">IF(B88="","",IF(ISNUMBER(INDEX(CC_VENCE,79)),INDEX(CC_VENCE,79),""))</f>
        <v/>
      </c>
      <c r="G88" s="70" t="str">
        <f aca="false">IF(OR(B88="",NOT(ISNUMBER(E88))),"",IF(AND(E88&lt;=FQ_FECHA,OR(Z88=0,Z88&gt;=FQ_FECHA)),"Sí","No"))</f>
        <v/>
      </c>
      <c r="H88" s="94" t="str">
        <f aca="false">IF(G88&lt;&gt;"Sí","",ROUND((FQ_FECHA+1-E88)/365.25,1))</f>
        <v/>
      </c>
      <c r="I88" s="73" t="str">
        <f aca="false">IF(G88&lt;&gt;"Sí","",IF(DATEDIF(E88,FQ_FECHA+1,"y")&lt;1,0,MIN(TOPE_IAS_ANIOS,DATEDIF(E88,FQ_FECHA+1,"y")+IF(EDATE(E88,12*DATEDIF(E88,FQ_FECHA+1,"y")+6)&lt;FQ_FECHA+1,1,0))))</f>
        <v/>
      </c>
      <c r="J88" s="71" t="str">
        <f aca="false">IF(G88&lt;&gt;"Sí","",W88+N(INDEX(T_COL,79))+N(INDEX(T_MOV,79)))</f>
        <v/>
      </c>
      <c r="K88" s="71" t="str">
        <f aca="false">IF(G88&lt;&gt;"Sí","",MIN(J88,TOPE_IAS_UF*UF_HOY))</f>
        <v/>
      </c>
      <c r="L88" s="95" t="str">
        <f aca="false">IF(G88&lt;&gt;"Sí","",(1.25*(DATEDIF(E88,FQ_FECHA+1,"m")+(FQ_FECHA+1-EDATE(E88,DATEDIF(E88,FQ_FECHA+1,"m")))/30)+SUMPRODUCT((ANIOS&lt;=DATEDIF(E88,FQ_FECHA+1,"y"))*(X88+ANIOS-10&gt;0)*INT((X88+ANIOS-10)/3))-(SUMIFS(V_DIAS,V_ID,B88,V_INICIO,"&lt;="&amp;FQ_FECHA)+Y88)))</f>
        <v/>
      </c>
      <c r="M88" s="71" t="str">
        <f aca="false">IF(G88&lt;&gt;"Sí","",ROUND(MAX(0,IF(L88&lt;=0,0,WORKDAY(FQ_FECHA,INT(L88),FERIADOS)-FQ_FECHA+(L88-INT(L88))))*V88,0))</f>
        <v/>
      </c>
      <c r="N88" s="71" t="str">
        <f aca="false">IF(G88&lt;&gt;"Sí","",IF(D88="Obra o faena",0,ROUND(K88*I88,0)))</f>
        <v/>
      </c>
      <c r="O88" s="71" t="str">
        <f aca="false">IF(G88&lt;&gt;"Sí","",IF(OR(D88="Obra o faena",FQ_AVISO="Sí"),0,ROUND(K88,0)))</f>
        <v/>
      </c>
      <c r="P88" s="71" t="str">
        <f aca="false">IF(G88&lt;&gt;"Sí","",IF(AND(IMPUTAR_AFC="Sí",N88&gt;0),-MIN(N88,ROUND(AFC_IMPUTABLE_PCT*MIN(W88,TOPE_AFC_UF*UF_HOY)*DATEDIF(E88,FQ_FECHA+1,"m"),0)),0))</f>
        <v/>
      </c>
      <c r="Q88" s="85" t="str">
        <f aca="false">IF(G88&lt;&gt;"Sí","",M88+N88+O88+P88)</f>
        <v/>
      </c>
      <c r="R88" s="85" t="str">
        <f aca="false">IF(G88&lt;&gt;"Sí","",M88)</f>
        <v/>
      </c>
      <c r="S88" s="85" t="str">
        <f aca="false">IF(U88="","",IF(INDEX(CC_ESTADOC,79)="Renovación registrada","",ROUND(MAX(0,IF(U88&lt;=0,0,WORKDAY(F88,INT(U88),FERIADOS)-F88+(U88-INT(U88))))*V88,0)+IF(D88="Obra o faena",ROUND(OBRA_DIAS*K88/30*(DATEDIF(E88,F88+1,"m")+IF(F88+1-EDATE(E88,DATEDIF(E88,F88+1,"m"))&gt;15,1,0)),0),0)))</f>
        <v/>
      </c>
      <c r="T88" s="70" t="str">
        <f aca="false">IF(G88&lt;&gt;"Sí","",IF(D88="Plazo fijo","Despido antes del vencimiento: además existe riesgo de demanda por las remuneraciones hasta el término del plazo",IF(D88="Obra o faena","Al concluir la obra corresponde indemnización de 2,5 días por mes (incluida en la columna S); no IAS",IF(I88=0,"Menos de 1 año: no corresponde IAS (Art. 163)",IF(I88=TOPE_IAS_ANIOS,"IAS en el tope de 11 años","")))))</f>
        <v/>
      </c>
      <c r="U88" s="95" t="str">
        <f aca="false">IF(OR(G88&lt;&gt;"Sí",NOT(ISNUMBER(F88))),"",IF(F88&lt;FQ_FECHA,"",(1.25*(DATEDIF(E88,F88+1,"m")+(F88+1-EDATE(E88,DATEDIF(E88,F88+1,"m")))/30)+SUMPRODUCT((ANIOS&lt;=DATEDIF(E88,F88+1,"y"))*(X88+ANIOS-10&gt;0)*INT((X88+ANIOS-10)/3))-(SUMIFS(V_DIAS,V_ID,B88,V_INICIO,"&lt;="&amp;F88)+Y88))))</f>
        <v/>
      </c>
      <c r="V88" s="71" t="str">
        <f aca="false">IF(G88&lt;&gt;"Sí","",(N(INDEX(T_SUELDO,79))+N(INDEX(T_BONO,79)))/30)</f>
        <v/>
      </c>
      <c r="W88" s="71" t="str">
        <f aca="false">IF(G88&lt;&gt;"Sí","",N(INDEX(T_SUELDO,79))+N(INDEX(T_BONO,79))+IF(LEFT(INDEX(T_GRAT,79)&amp;"",6)="Art. 5",MIN(GRAT_PCT*(N(INDEX(T_SUELDO,79))+N(INDEX(T_BONO,79))),GRAT_TOPE_MES),0))</f>
        <v/>
      </c>
      <c r="X88" s="72" t="str">
        <f aca="false">IF(B88="","",MIN(10,N(INDEX(T_PREV,79))))</f>
        <v/>
      </c>
      <c r="Y88" s="72" t="str">
        <f aca="false">IF(B88="","",N(INDEX(T_VACPREV,79)))</f>
        <v/>
      </c>
      <c r="Z88" s="75" t="str">
        <f aca="false">IF(B88="","",N(INDEX(T_EGRESO,79)))</f>
        <v/>
      </c>
    </row>
    <row r="89" customFormat="false" ht="15" hidden="false" customHeight="false" outlineLevel="0" collapsed="false">
      <c r="B89" s="70" t="str">
        <f aca="false">IFERROR(IF(INDEX(T_ID,80)="","",INDEX(T_ID,80)),"")</f>
        <v/>
      </c>
      <c r="C89" s="70" t="str">
        <f aca="false">IF(B89="","",INDEX(T_NOMBRE,80)&amp;"")</f>
        <v/>
      </c>
      <c r="D89" s="70" t="str">
        <f aca="false">IF(B89="","",INDEX(T_TIPO,80)&amp;"")</f>
        <v/>
      </c>
      <c r="E89" s="75" t="str">
        <f aca="false">IF(B89="","",INDEX(T_INGRESO,80))</f>
        <v/>
      </c>
      <c r="F89" s="75" t="str">
        <f aca="false">IF(B89="","",IF(ISNUMBER(INDEX(CC_VENCE,80)),INDEX(CC_VENCE,80),""))</f>
        <v/>
      </c>
      <c r="G89" s="70" t="str">
        <f aca="false">IF(OR(B89="",NOT(ISNUMBER(E89))),"",IF(AND(E89&lt;=FQ_FECHA,OR(Z89=0,Z89&gt;=FQ_FECHA)),"Sí","No"))</f>
        <v/>
      </c>
      <c r="H89" s="94" t="str">
        <f aca="false">IF(G89&lt;&gt;"Sí","",ROUND((FQ_FECHA+1-E89)/365.25,1))</f>
        <v/>
      </c>
      <c r="I89" s="73" t="str">
        <f aca="false">IF(G89&lt;&gt;"Sí","",IF(DATEDIF(E89,FQ_FECHA+1,"y")&lt;1,0,MIN(TOPE_IAS_ANIOS,DATEDIF(E89,FQ_FECHA+1,"y")+IF(EDATE(E89,12*DATEDIF(E89,FQ_FECHA+1,"y")+6)&lt;FQ_FECHA+1,1,0))))</f>
        <v/>
      </c>
      <c r="J89" s="71" t="str">
        <f aca="false">IF(G89&lt;&gt;"Sí","",W89+N(INDEX(T_COL,80))+N(INDEX(T_MOV,80)))</f>
        <v/>
      </c>
      <c r="K89" s="71" t="str">
        <f aca="false">IF(G89&lt;&gt;"Sí","",MIN(J89,TOPE_IAS_UF*UF_HOY))</f>
        <v/>
      </c>
      <c r="L89" s="95" t="str">
        <f aca="false">IF(G89&lt;&gt;"Sí","",(1.25*(DATEDIF(E89,FQ_FECHA+1,"m")+(FQ_FECHA+1-EDATE(E89,DATEDIF(E89,FQ_FECHA+1,"m")))/30)+SUMPRODUCT((ANIOS&lt;=DATEDIF(E89,FQ_FECHA+1,"y"))*(X89+ANIOS-10&gt;0)*INT((X89+ANIOS-10)/3))-(SUMIFS(V_DIAS,V_ID,B89,V_INICIO,"&lt;="&amp;FQ_FECHA)+Y89)))</f>
        <v/>
      </c>
      <c r="M89" s="71" t="str">
        <f aca="false">IF(G89&lt;&gt;"Sí","",ROUND(MAX(0,IF(L89&lt;=0,0,WORKDAY(FQ_FECHA,INT(L89),FERIADOS)-FQ_FECHA+(L89-INT(L89))))*V89,0))</f>
        <v/>
      </c>
      <c r="N89" s="71" t="str">
        <f aca="false">IF(G89&lt;&gt;"Sí","",IF(D89="Obra o faena",0,ROUND(K89*I89,0)))</f>
        <v/>
      </c>
      <c r="O89" s="71" t="str">
        <f aca="false">IF(G89&lt;&gt;"Sí","",IF(OR(D89="Obra o faena",FQ_AVISO="Sí"),0,ROUND(K89,0)))</f>
        <v/>
      </c>
      <c r="P89" s="71" t="str">
        <f aca="false">IF(G89&lt;&gt;"Sí","",IF(AND(IMPUTAR_AFC="Sí",N89&gt;0),-MIN(N89,ROUND(AFC_IMPUTABLE_PCT*MIN(W89,TOPE_AFC_UF*UF_HOY)*DATEDIF(E89,FQ_FECHA+1,"m"),0)),0))</f>
        <v/>
      </c>
      <c r="Q89" s="85" t="str">
        <f aca="false">IF(G89&lt;&gt;"Sí","",M89+N89+O89+P89)</f>
        <v/>
      </c>
      <c r="R89" s="85" t="str">
        <f aca="false">IF(G89&lt;&gt;"Sí","",M89)</f>
        <v/>
      </c>
      <c r="S89" s="85" t="str">
        <f aca="false">IF(U89="","",IF(INDEX(CC_ESTADOC,80)="Renovación registrada","",ROUND(MAX(0,IF(U89&lt;=0,0,WORKDAY(F89,INT(U89),FERIADOS)-F89+(U89-INT(U89))))*V89,0)+IF(D89="Obra o faena",ROUND(OBRA_DIAS*K89/30*(DATEDIF(E89,F89+1,"m")+IF(F89+1-EDATE(E89,DATEDIF(E89,F89+1,"m"))&gt;15,1,0)),0),0)))</f>
        <v/>
      </c>
      <c r="T89" s="70" t="str">
        <f aca="false">IF(G89&lt;&gt;"Sí","",IF(D89="Plazo fijo","Despido antes del vencimiento: además existe riesgo de demanda por las remuneraciones hasta el término del plazo",IF(D89="Obra o faena","Al concluir la obra corresponde indemnización de 2,5 días por mes (incluida en la columna S); no IAS",IF(I89=0,"Menos de 1 año: no corresponde IAS (Art. 163)",IF(I89=TOPE_IAS_ANIOS,"IAS en el tope de 11 años","")))))</f>
        <v/>
      </c>
      <c r="U89" s="95" t="str">
        <f aca="false">IF(OR(G89&lt;&gt;"Sí",NOT(ISNUMBER(F89))),"",IF(F89&lt;FQ_FECHA,"",(1.25*(DATEDIF(E89,F89+1,"m")+(F89+1-EDATE(E89,DATEDIF(E89,F89+1,"m")))/30)+SUMPRODUCT((ANIOS&lt;=DATEDIF(E89,F89+1,"y"))*(X89+ANIOS-10&gt;0)*INT((X89+ANIOS-10)/3))-(SUMIFS(V_DIAS,V_ID,B89,V_INICIO,"&lt;="&amp;F89)+Y89))))</f>
        <v/>
      </c>
      <c r="V89" s="71" t="str">
        <f aca="false">IF(G89&lt;&gt;"Sí","",(N(INDEX(T_SUELDO,80))+N(INDEX(T_BONO,80)))/30)</f>
        <v/>
      </c>
      <c r="W89" s="71" t="str">
        <f aca="false">IF(G89&lt;&gt;"Sí","",N(INDEX(T_SUELDO,80))+N(INDEX(T_BONO,80))+IF(LEFT(INDEX(T_GRAT,80)&amp;"",6)="Art. 5",MIN(GRAT_PCT*(N(INDEX(T_SUELDO,80))+N(INDEX(T_BONO,80))),GRAT_TOPE_MES),0))</f>
        <v/>
      </c>
      <c r="X89" s="72" t="str">
        <f aca="false">IF(B89="","",MIN(10,N(INDEX(T_PREV,80))))</f>
        <v/>
      </c>
      <c r="Y89" s="72" t="str">
        <f aca="false">IF(B89="","",N(INDEX(T_VACPREV,80)))</f>
        <v/>
      </c>
      <c r="Z89" s="75" t="str">
        <f aca="false">IF(B89="","",N(INDEX(T_EGRESO,80)))</f>
        <v/>
      </c>
    </row>
    <row r="90" customFormat="false" ht="15" hidden="false" customHeight="false" outlineLevel="0" collapsed="false">
      <c r="B90" s="70" t="str">
        <f aca="false">IFERROR(IF(INDEX(T_ID,81)="","",INDEX(T_ID,81)),"")</f>
        <v/>
      </c>
      <c r="C90" s="70" t="str">
        <f aca="false">IF(B90="","",INDEX(T_NOMBRE,81)&amp;"")</f>
        <v/>
      </c>
      <c r="D90" s="70" t="str">
        <f aca="false">IF(B90="","",INDEX(T_TIPO,81)&amp;"")</f>
        <v/>
      </c>
      <c r="E90" s="75" t="str">
        <f aca="false">IF(B90="","",INDEX(T_INGRESO,81))</f>
        <v/>
      </c>
      <c r="F90" s="75" t="str">
        <f aca="false">IF(B90="","",IF(ISNUMBER(INDEX(CC_VENCE,81)),INDEX(CC_VENCE,81),""))</f>
        <v/>
      </c>
      <c r="G90" s="70" t="str">
        <f aca="false">IF(OR(B90="",NOT(ISNUMBER(E90))),"",IF(AND(E90&lt;=FQ_FECHA,OR(Z90=0,Z90&gt;=FQ_FECHA)),"Sí","No"))</f>
        <v/>
      </c>
      <c r="H90" s="94" t="str">
        <f aca="false">IF(G90&lt;&gt;"Sí","",ROUND((FQ_FECHA+1-E90)/365.25,1))</f>
        <v/>
      </c>
      <c r="I90" s="73" t="str">
        <f aca="false">IF(G90&lt;&gt;"Sí","",IF(DATEDIF(E90,FQ_FECHA+1,"y")&lt;1,0,MIN(TOPE_IAS_ANIOS,DATEDIF(E90,FQ_FECHA+1,"y")+IF(EDATE(E90,12*DATEDIF(E90,FQ_FECHA+1,"y")+6)&lt;FQ_FECHA+1,1,0))))</f>
        <v/>
      </c>
      <c r="J90" s="71" t="str">
        <f aca="false">IF(G90&lt;&gt;"Sí","",W90+N(INDEX(T_COL,81))+N(INDEX(T_MOV,81)))</f>
        <v/>
      </c>
      <c r="K90" s="71" t="str">
        <f aca="false">IF(G90&lt;&gt;"Sí","",MIN(J90,TOPE_IAS_UF*UF_HOY))</f>
        <v/>
      </c>
      <c r="L90" s="95" t="str">
        <f aca="false">IF(G90&lt;&gt;"Sí","",(1.25*(DATEDIF(E90,FQ_FECHA+1,"m")+(FQ_FECHA+1-EDATE(E90,DATEDIF(E90,FQ_FECHA+1,"m")))/30)+SUMPRODUCT((ANIOS&lt;=DATEDIF(E90,FQ_FECHA+1,"y"))*(X90+ANIOS-10&gt;0)*INT((X90+ANIOS-10)/3))-(SUMIFS(V_DIAS,V_ID,B90,V_INICIO,"&lt;="&amp;FQ_FECHA)+Y90)))</f>
        <v/>
      </c>
      <c r="M90" s="71" t="str">
        <f aca="false">IF(G90&lt;&gt;"Sí","",ROUND(MAX(0,IF(L90&lt;=0,0,WORKDAY(FQ_FECHA,INT(L90),FERIADOS)-FQ_FECHA+(L90-INT(L90))))*V90,0))</f>
        <v/>
      </c>
      <c r="N90" s="71" t="str">
        <f aca="false">IF(G90&lt;&gt;"Sí","",IF(D90="Obra o faena",0,ROUND(K90*I90,0)))</f>
        <v/>
      </c>
      <c r="O90" s="71" t="str">
        <f aca="false">IF(G90&lt;&gt;"Sí","",IF(OR(D90="Obra o faena",FQ_AVISO="Sí"),0,ROUND(K90,0)))</f>
        <v/>
      </c>
      <c r="P90" s="71" t="str">
        <f aca="false">IF(G90&lt;&gt;"Sí","",IF(AND(IMPUTAR_AFC="Sí",N90&gt;0),-MIN(N90,ROUND(AFC_IMPUTABLE_PCT*MIN(W90,TOPE_AFC_UF*UF_HOY)*DATEDIF(E90,FQ_FECHA+1,"m"),0)),0))</f>
        <v/>
      </c>
      <c r="Q90" s="85" t="str">
        <f aca="false">IF(G90&lt;&gt;"Sí","",M90+N90+O90+P90)</f>
        <v/>
      </c>
      <c r="R90" s="85" t="str">
        <f aca="false">IF(G90&lt;&gt;"Sí","",M90)</f>
        <v/>
      </c>
      <c r="S90" s="85" t="str">
        <f aca="false">IF(U90="","",IF(INDEX(CC_ESTADOC,81)="Renovación registrada","",ROUND(MAX(0,IF(U90&lt;=0,0,WORKDAY(F90,INT(U90),FERIADOS)-F90+(U90-INT(U90))))*V90,0)+IF(D90="Obra o faena",ROUND(OBRA_DIAS*K90/30*(DATEDIF(E90,F90+1,"m")+IF(F90+1-EDATE(E90,DATEDIF(E90,F90+1,"m"))&gt;15,1,0)),0),0)))</f>
        <v/>
      </c>
      <c r="T90" s="70" t="str">
        <f aca="false">IF(G90&lt;&gt;"Sí","",IF(D90="Plazo fijo","Despido antes del vencimiento: además existe riesgo de demanda por las remuneraciones hasta el término del plazo",IF(D90="Obra o faena","Al concluir la obra corresponde indemnización de 2,5 días por mes (incluida en la columna S); no IAS",IF(I90=0,"Menos de 1 año: no corresponde IAS (Art. 163)",IF(I90=TOPE_IAS_ANIOS,"IAS en el tope de 11 años","")))))</f>
        <v/>
      </c>
      <c r="U90" s="95" t="str">
        <f aca="false">IF(OR(G90&lt;&gt;"Sí",NOT(ISNUMBER(F90))),"",IF(F90&lt;FQ_FECHA,"",(1.25*(DATEDIF(E90,F90+1,"m")+(F90+1-EDATE(E90,DATEDIF(E90,F90+1,"m")))/30)+SUMPRODUCT((ANIOS&lt;=DATEDIF(E90,F90+1,"y"))*(X90+ANIOS-10&gt;0)*INT((X90+ANIOS-10)/3))-(SUMIFS(V_DIAS,V_ID,B90,V_INICIO,"&lt;="&amp;F90)+Y90))))</f>
        <v/>
      </c>
      <c r="V90" s="71" t="str">
        <f aca="false">IF(G90&lt;&gt;"Sí","",(N(INDEX(T_SUELDO,81))+N(INDEX(T_BONO,81)))/30)</f>
        <v/>
      </c>
      <c r="W90" s="71" t="str">
        <f aca="false">IF(G90&lt;&gt;"Sí","",N(INDEX(T_SUELDO,81))+N(INDEX(T_BONO,81))+IF(LEFT(INDEX(T_GRAT,81)&amp;"",6)="Art. 5",MIN(GRAT_PCT*(N(INDEX(T_SUELDO,81))+N(INDEX(T_BONO,81))),GRAT_TOPE_MES),0))</f>
        <v/>
      </c>
      <c r="X90" s="72" t="str">
        <f aca="false">IF(B90="","",MIN(10,N(INDEX(T_PREV,81))))</f>
        <v/>
      </c>
      <c r="Y90" s="72" t="str">
        <f aca="false">IF(B90="","",N(INDEX(T_VACPREV,81)))</f>
        <v/>
      </c>
      <c r="Z90" s="75" t="str">
        <f aca="false">IF(B90="","",N(INDEX(T_EGRESO,81)))</f>
        <v/>
      </c>
    </row>
    <row r="91" customFormat="false" ht="15" hidden="false" customHeight="false" outlineLevel="0" collapsed="false">
      <c r="B91" s="70" t="str">
        <f aca="false">IFERROR(IF(INDEX(T_ID,82)="","",INDEX(T_ID,82)),"")</f>
        <v/>
      </c>
      <c r="C91" s="70" t="str">
        <f aca="false">IF(B91="","",INDEX(T_NOMBRE,82)&amp;"")</f>
        <v/>
      </c>
      <c r="D91" s="70" t="str">
        <f aca="false">IF(B91="","",INDEX(T_TIPO,82)&amp;"")</f>
        <v/>
      </c>
      <c r="E91" s="75" t="str">
        <f aca="false">IF(B91="","",INDEX(T_INGRESO,82))</f>
        <v/>
      </c>
      <c r="F91" s="75" t="str">
        <f aca="false">IF(B91="","",IF(ISNUMBER(INDEX(CC_VENCE,82)),INDEX(CC_VENCE,82),""))</f>
        <v/>
      </c>
      <c r="G91" s="70" t="str">
        <f aca="false">IF(OR(B91="",NOT(ISNUMBER(E91))),"",IF(AND(E91&lt;=FQ_FECHA,OR(Z91=0,Z91&gt;=FQ_FECHA)),"Sí","No"))</f>
        <v/>
      </c>
      <c r="H91" s="94" t="str">
        <f aca="false">IF(G91&lt;&gt;"Sí","",ROUND((FQ_FECHA+1-E91)/365.25,1))</f>
        <v/>
      </c>
      <c r="I91" s="73" t="str">
        <f aca="false">IF(G91&lt;&gt;"Sí","",IF(DATEDIF(E91,FQ_FECHA+1,"y")&lt;1,0,MIN(TOPE_IAS_ANIOS,DATEDIF(E91,FQ_FECHA+1,"y")+IF(EDATE(E91,12*DATEDIF(E91,FQ_FECHA+1,"y")+6)&lt;FQ_FECHA+1,1,0))))</f>
        <v/>
      </c>
      <c r="J91" s="71" t="str">
        <f aca="false">IF(G91&lt;&gt;"Sí","",W91+N(INDEX(T_COL,82))+N(INDEX(T_MOV,82)))</f>
        <v/>
      </c>
      <c r="K91" s="71" t="str">
        <f aca="false">IF(G91&lt;&gt;"Sí","",MIN(J91,TOPE_IAS_UF*UF_HOY))</f>
        <v/>
      </c>
      <c r="L91" s="95" t="str">
        <f aca="false">IF(G91&lt;&gt;"Sí","",(1.25*(DATEDIF(E91,FQ_FECHA+1,"m")+(FQ_FECHA+1-EDATE(E91,DATEDIF(E91,FQ_FECHA+1,"m")))/30)+SUMPRODUCT((ANIOS&lt;=DATEDIF(E91,FQ_FECHA+1,"y"))*(X91+ANIOS-10&gt;0)*INT((X91+ANIOS-10)/3))-(SUMIFS(V_DIAS,V_ID,B91,V_INICIO,"&lt;="&amp;FQ_FECHA)+Y91)))</f>
        <v/>
      </c>
      <c r="M91" s="71" t="str">
        <f aca="false">IF(G91&lt;&gt;"Sí","",ROUND(MAX(0,IF(L91&lt;=0,0,WORKDAY(FQ_FECHA,INT(L91),FERIADOS)-FQ_FECHA+(L91-INT(L91))))*V91,0))</f>
        <v/>
      </c>
      <c r="N91" s="71" t="str">
        <f aca="false">IF(G91&lt;&gt;"Sí","",IF(D91="Obra o faena",0,ROUND(K91*I91,0)))</f>
        <v/>
      </c>
      <c r="O91" s="71" t="str">
        <f aca="false">IF(G91&lt;&gt;"Sí","",IF(OR(D91="Obra o faena",FQ_AVISO="Sí"),0,ROUND(K91,0)))</f>
        <v/>
      </c>
      <c r="P91" s="71" t="str">
        <f aca="false">IF(G91&lt;&gt;"Sí","",IF(AND(IMPUTAR_AFC="Sí",N91&gt;0),-MIN(N91,ROUND(AFC_IMPUTABLE_PCT*MIN(W91,TOPE_AFC_UF*UF_HOY)*DATEDIF(E91,FQ_FECHA+1,"m"),0)),0))</f>
        <v/>
      </c>
      <c r="Q91" s="85" t="str">
        <f aca="false">IF(G91&lt;&gt;"Sí","",M91+N91+O91+P91)</f>
        <v/>
      </c>
      <c r="R91" s="85" t="str">
        <f aca="false">IF(G91&lt;&gt;"Sí","",M91)</f>
        <v/>
      </c>
      <c r="S91" s="85" t="str">
        <f aca="false">IF(U91="","",IF(INDEX(CC_ESTADOC,82)="Renovación registrada","",ROUND(MAX(0,IF(U91&lt;=0,0,WORKDAY(F91,INT(U91),FERIADOS)-F91+(U91-INT(U91))))*V91,0)+IF(D91="Obra o faena",ROUND(OBRA_DIAS*K91/30*(DATEDIF(E91,F91+1,"m")+IF(F91+1-EDATE(E91,DATEDIF(E91,F91+1,"m"))&gt;15,1,0)),0),0)))</f>
        <v/>
      </c>
      <c r="T91" s="70" t="str">
        <f aca="false">IF(G91&lt;&gt;"Sí","",IF(D91="Plazo fijo","Despido antes del vencimiento: además existe riesgo de demanda por las remuneraciones hasta el término del plazo",IF(D91="Obra o faena","Al concluir la obra corresponde indemnización de 2,5 días por mes (incluida en la columna S); no IAS",IF(I91=0,"Menos de 1 año: no corresponde IAS (Art. 163)",IF(I91=TOPE_IAS_ANIOS,"IAS en el tope de 11 años","")))))</f>
        <v/>
      </c>
      <c r="U91" s="95" t="str">
        <f aca="false">IF(OR(G91&lt;&gt;"Sí",NOT(ISNUMBER(F91))),"",IF(F91&lt;FQ_FECHA,"",(1.25*(DATEDIF(E91,F91+1,"m")+(F91+1-EDATE(E91,DATEDIF(E91,F91+1,"m")))/30)+SUMPRODUCT((ANIOS&lt;=DATEDIF(E91,F91+1,"y"))*(X91+ANIOS-10&gt;0)*INT((X91+ANIOS-10)/3))-(SUMIFS(V_DIAS,V_ID,B91,V_INICIO,"&lt;="&amp;F91)+Y91))))</f>
        <v/>
      </c>
      <c r="V91" s="71" t="str">
        <f aca="false">IF(G91&lt;&gt;"Sí","",(N(INDEX(T_SUELDO,82))+N(INDEX(T_BONO,82)))/30)</f>
        <v/>
      </c>
      <c r="W91" s="71" t="str">
        <f aca="false">IF(G91&lt;&gt;"Sí","",N(INDEX(T_SUELDO,82))+N(INDEX(T_BONO,82))+IF(LEFT(INDEX(T_GRAT,82)&amp;"",6)="Art. 5",MIN(GRAT_PCT*(N(INDEX(T_SUELDO,82))+N(INDEX(T_BONO,82))),GRAT_TOPE_MES),0))</f>
        <v/>
      </c>
      <c r="X91" s="72" t="str">
        <f aca="false">IF(B91="","",MIN(10,N(INDEX(T_PREV,82))))</f>
        <v/>
      </c>
      <c r="Y91" s="72" t="str">
        <f aca="false">IF(B91="","",N(INDEX(T_VACPREV,82)))</f>
        <v/>
      </c>
      <c r="Z91" s="75" t="str">
        <f aca="false">IF(B91="","",N(INDEX(T_EGRESO,82)))</f>
        <v/>
      </c>
    </row>
    <row r="92" customFormat="false" ht="15" hidden="false" customHeight="false" outlineLevel="0" collapsed="false">
      <c r="B92" s="70" t="str">
        <f aca="false">IFERROR(IF(INDEX(T_ID,83)="","",INDEX(T_ID,83)),"")</f>
        <v/>
      </c>
      <c r="C92" s="70" t="str">
        <f aca="false">IF(B92="","",INDEX(T_NOMBRE,83)&amp;"")</f>
        <v/>
      </c>
      <c r="D92" s="70" t="str">
        <f aca="false">IF(B92="","",INDEX(T_TIPO,83)&amp;"")</f>
        <v/>
      </c>
      <c r="E92" s="75" t="str">
        <f aca="false">IF(B92="","",INDEX(T_INGRESO,83))</f>
        <v/>
      </c>
      <c r="F92" s="75" t="str">
        <f aca="false">IF(B92="","",IF(ISNUMBER(INDEX(CC_VENCE,83)),INDEX(CC_VENCE,83),""))</f>
        <v/>
      </c>
      <c r="G92" s="70" t="str">
        <f aca="false">IF(OR(B92="",NOT(ISNUMBER(E92))),"",IF(AND(E92&lt;=FQ_FECHA,OR(Z92=0,Z92&gt;=FQ_FECHA)),"Sí","No"))</f>
        <v/>
      </c>
      <c r="H92" s="94" t="str">
        <f aca="false">IF(G92&lt;&gt;"Sí","",ROUND((FQ_FECHA+1-E92)/365.25,1))</f>
        <v/>
      </c>
      <c r="I92" s="73" t="str">
        <f aca="false">IF(G92&lt;&gt;"Sí","",IF(DATEDIF(E92,FQ_FECHA+1,"y")&lt;1,0,MIN(TOPE_IAS_ANIOS,DATEDIF(E92,FQ_FECHA+1,"y")+IF(EDATE(E92,12*DATEDIF(E92,FQ_FECHA+1,"y")+6)&lt;FQ_FECHA+1,1,0))))</f>
        <v/>
      </c>
      <c r="J92" s="71" t="str">
        <f aca="false">IF(G92&lt;&gt;"Sí","",W92+N(INDEX(T_COL,83))+N(INDEX(T_MOV,83)))</f>
        <v/>
      </c>
      <c r="K92" s="71" t="str">
        <f aca="false">IF(G92&lt;&gt;"Sí","",MIN(J92,TOPE_IAS_UF*UF_HOY))</f>
        <v/>
      </c>
      <c r="L92" s="95" t="str">
        <f aca="false">IF(G92&lt;&gt;"Sí","",(1.25*(DATEDIF(E92,FQ_FECHA+1,"m")+(FQ_FECHA+1-EDATE(E92,DATEDIF(E92,FQ_FECHA+1,"m")))/30)+SUMPRODUCT((ANIOS&lt;=DATEDIF(E92,FQ_FECHA+1,"y"))*(X92+ANIOS-10&gt;0)*INT((X92+ANIOS-10)/3))-(SUMIFS(V_DIAS,V_ID,B92,V_INICIO,"&lt;="&amp;FQ_FECHA)+Y92)))</f>
        <v/>
      </c>
      <c r="M92" s="71" t="str">
        <f aca="false">IF(G92&lt;&gt;"Sí","",ROUND(MAX(0,IF(L92&lt;=0,0,WORKDAY(FQ_FECHA,INT(L92),FERIADOS)-FQ_FECHA+(L92-INT(L92))))*V92,0))</f>
        <v/>
      </c>
      <c r="N92" s="71" t="str">
        <f aca="false">IF(G92&lt;&gt;"Sí","",IF(D92="Obra o faena",0,ROUND(K92*I92,0)))</f>
        <v/>
      </c>
      <c r="O92" s="71" t="str">
        <f aca="false">IF(G92&lt;&gt;"Sí","",IF(OR(D92="Obra o faena",FQ_AVISO="Sí"),0,ROUND(K92,0)))</f>
        <v/>
      </c>
      <c r="P92" s="71" t="str">
        <f aca="false">IF(G92&lt;&gt;"Sí","",IF(AND(IMPUTAR_AFC="Sí",N92&gt;0),-MIN(N92,ROUND(AFC_IMPUTABLE_PCT*MIN(W92,TOPE_AFC_UF*UF_HOY)*DATEDIF(E92,FQ_FECHA+1,"m"),0)),0))</f>
        <v/>
      </c>
      <c r="Q92" s="85" t="str">
        <f aca="false">IF(G92&lt;&gt;"Sí","",M92+N92+O92+P92)</f>
        <v/>
      </c>
      <c r="R92" s="85" t="str">
        <f aca="false">IF(G92&lt;&gt;"Sí","",M92)</f>
        <v/>
      </c>
      <c r="S92" s="85" t="str">
        <f aca="false">IF(U92="","",IF(INDEX(CC_ESTADOC,83)="Renovación registrada","",ROUND(MAX(0,IF(U92&lt;=0,0,WORKDAY(F92,INT(U92),FERIADOS)-F92+(U92-INT(U92))))*V92,0)+IF(D92="Obra o faena",ROUND(OBRA_DIAS*K92/30*(DATEDIF(E92,F92+1,"m")+IF(F92+1-EDATE(E92,DATEDIF(E92,F92+1,"m"))&gt;15,1,0)),0),0)))</f>
        <v/>
      </c>
      <c r="T92" s="70" t="str">
        <f aca="false">IF(G92&lt;&gt;"Sí","",IF(D92="Plazo fijo","Despido antes del vencimiento: además existe riesgo de demanda por las remuneraciones hasta el término del plazo",IF(D92="Obra o faena","Al concluir la obra corresponde indemnización de 2,5 días por mes (incluida en la columna S); no IAS",IF(I92=0,"Menos de 1 año: no corresponde IAS (Art. 163)",IF(I92=TOPE_IAS_ANIOS,"IAS en el tope de 11 años","")))))</f>
        <v/>
      </c>
      <c r="U92" s="95" t="str">
        <f aca="false">IF(OR(G92&lt;&gt;"Sí",NOT(ISNUMBER(F92))),"",IF(F92&lt;FQ_FECHA,"",(1.25*(DATEDIF(E92,F92+1,"m")+(F92+1-EDATE(E92,DATEDIF(E92,F92+1,"m")))/30)+SUMPRODUCT((ANIOS&lt;=DATEDIF(E92,F92+1,"y"))*(X92+ANIOS-10&gt;0)*INT((X92+ANIOS-10)/3))-(SUMIFS(V_DIAS,V_ID,B92,V_INICIO,"&lt;="&amp;F92)+Y92))))</f>
        <v/>
      </c>
      <c r="V92" s="71" t="str">
        <f aca="false">IF(G92&lt;&gt;"Sí","",(N(INDEX(T_SUELDO,83))+N(INDEX(T_BONO,83)))/30)</f>
        <v/>
      </c>
      <c r="W92" s="71" t="str">
        <f aca="false">IF(G92&lt;&gt;"Sí","",N(INDEX(T_SUELDO,83))+N(INDEX(T_BONO,83))+IF(LEFT(INDEX(T_GRAT,83)&amp;"",6)="Art. 5",MIN(GRAT_PCT*(N(INDEX(T_SUELDO,83))+N(INDEX(T_BONO,83))),GRAT_TOPE_MES),0))</f>
        <v/>
      </c>
      <c r="X92" s="72" t="str">
        <f aca="false">IF(B92="","",MIN(10,N(INDEX(T_PREV,83))))</f>
        <v/>
      </c>
      <c r="Y92" s="72" t="str">
        <f aca="false">IF(B92="","",N(INDEX(T_VACPREV,83)))</f>
        <v/>
      </c>
      <c r="Z92" s="75" t="str">
        <f aca="false">IF(B92="","",N(INDEX(T_EGRESO,83)))</f>
        <v/>
      </c>
    </row>
    <row r="93" customFormat="false" ht="15" hidden="false" customHeight="false" outlineLevel="0" collapsed="false">
      <c r="B93" s="70" t="str">
        <f aca="false">IFERROR(IF(INDEX(T_ID,84)="","",INDEX(T_ID,84)),"")</f>
        <v/>
      </c>
      <c r="C93" s="70" t="str">
        <f aca="false">IF(B93="","",INDEX(T_NOMBRE,84)&amp;"")</f>
        <v/>
      </c>
      <c r="D93" s="70" t="str">
        <f aca="false">IF(B93="","",INDEX(T_TIPO,84)&amp;"")</f>
        <v/>
      </c>
      <c r="E93" s="75" t="str">
        <f aca="false">IF(B93="","",INDEX(T_INGRESO,84))</f>
        <v/>
      </c>
      <c r="F93" s="75" t="str">
        <f aca="false">IF(B93="","",IF(ISNUMBER(INDEX(CC_VENCE,84)),INDEX(CC_VENCE,84),""))</f>
        <v/>
      </c>
      <c r="G93" s="70" t="str">
        <f aca="false">IF(OR(B93="",NOT(ISNUMBER(E93))),"",IF(AND(E93&lt;=FQ_FECHA,OR(Z93=0,Z93&gt;=FQ_FECHA)),"Sí","No"))</f>
        <v/>
      </c>
      <c r="H93" s="94" t="str">
        <f aca="false">IF(G93&lt;&gt;"Sí","",ROUND((FQ_FECHA+1-E93)/365.25,1))</f>
        <v/>
      </c>
      <c r="I93" s="73" t="str">
        <f aca="false">IF(G93&lt;&gt;"Sí","",IF(DATEDIF(E93,FQ_FECHA+1,"y")&lt;1,0,MIN(TOPE_IAS_ANIOS,DATEDIF(E93,FQ_FECHA+1,"y")+IF(EDATE(E93,12*DATEDIF(E93,FQ_FECHA+1,"y")+6)&lt;FQ_FECHA+1,1,0))))</f>
        <v/>
      </c>
      <c r="J93" s="71" t="str">
        <f aca="false">IF(G93&lt;&gt;"Sí","",W93+N(INDEX(T_COL,84))+N(INDEX(T_MOV,84)))</f>
        <v/>
      </c>
      <c r="K93" s="71" t="str">
        <f aca="false">IF(G93&lt;&gt;"Sí","",MIN(J93,TOPE_IAS_UF*UF_HOY))</f>
        <v/>
      </c>
      <c r="L93" s="95" t="str">
        <f aca="false">IF(G93&lt;&gt;"Sí","",(1.25*(DATEDIF(E93,FQ_FECHA+1,"m")+(FQ_FECHA+1-EDATE(E93,DATEDIF(E93,FQ_FECHA+1,"m")))/30)+SUMPRODUCT((ANIOS&lt;=DATEDIF(E93,FQ_FECHA+1,"y"))*(X93+ANIOS-10&gt;0)*INT((X93+ANIOS-10)/3))-(SUMIFS(V_DIAS,V_ID,B93,V_INICIO,"&lt;="&amp;FQ_FECHA)+Y93)))</f>
        <v/>
      </c>
      <c r="M93" s="71" t="str">
        <f aca="false">IF(G93&lt;&gt;"Sí","",ROUND(MAX(0,IF(L93&lt;=0,0,WORKDAY(FQ_FECHA,INT(L93),FERIADOS)-FQ_FECHA+(L93-INT(L93))))*V93,0))</f>
        <v/>
      </c>
      <c r="N93" s="71" t="str">
        <f aca="false">IF(G93&lt;&gt;"Sí","",IF(D93="Obra o faena",0,ROUND(K93*I93,0)))</f>
        <v/>
      </c>
      <c r="O93" s="71" t="str">
        <f aca="false">IF(G93&lt;&gt;"Sí","",IF(OR(D93="Obra o faena",FQ_AVISO="Sí"),0,ROUND(K93,0)))</f>
        <v/>
      </c>
      <c r="P93" s="71" t="str">
        <f aca="false">IF(G93&lt;&gt;"Sí","",IF(AND(IMPUTAR_AFC="Sí",N93&gt;0),-MIN(N93,ROUND(AFC_IMPUTABLE_PCT*MIN(W93,TOPE_AFC_UF*UF_HOY)*DATEDIF(E93,FQ_FECHA+1,"m"),0)),0))</f>
        <v/>
      </c>
      <c r="Q93" s="85" t="str">
        <f aca="false">IF(G93&lt;&gt;"Sí","",M93+N93+O93+P93)</f>
        <v/>
      </c>
      <c r="R93" s="85" t="str">
        <f aca="false">IF(G93&lt;&gt;"Sí","",M93)</f>
        <v/>
      </c>
      <c r="S93" s="85" t="str">
        <f aca="false">IF(U93="","",IF(INDEX(CC_ESTADOC,84)="Renovación registrada","",ROUND(MAX(0,IF(U93&lt;=0,0,WORKDAY(F93,INT(U93),FERIADOS)-F93+(U93-INT(U93))))*V93,0)+IF(D93="Obra o faena",ROUND(OBRA_DIAS*K93/30*(DATEDIF(E93,F93+1,"m")+IF(F93+1-EDATE(E93,DATEDIF(E93,F93+1,"m"))&gt;15,1,0)),0),0)))</f>
        <v/>
      </c>
      <c r="T93" s="70" t="str">
        <f aca="false">IF(G93&lt;&gt;"Sí","",IF(D93="Plazo fijo","Despido antes del vencimiento: además existe riesgo de demanda por las remuneraciones hasta el término del plazo",IF(D93="Obra o faena","Al concluir la obra corresponde indemnización de 2,5 días por mes (incluida en la columna S); no IAS",IF(I93=0,"Menos de 1 año: no corresponde IAS (Art. 163)",IF(I93=TOPE_IAS_ANIOS,"IAS en el tope de 11 años","")))))</f>
        <v/>
      </c>
      <c r="U93" s="95" t="str">
        <f aca="false">IF(OR(G93&lt;&gt;"Sí",NOT(ISNUMBER(F93))),"",IF(F93&lt;FQ_FECHA,"",(1.25*(DATEDIF(E93,F93+1,"m")+(F93+1-EDATE(E93,DATEDIF(E93,F93+1,"m")))/30)+SUMPRODUCT((ANIOS&lt;=DATEDIF(E93,F93+1,"y"))*(X93+ANIOS-10&gt;0)*INT((X93+ANIOS-10)/3))-(SUMIFS(V_DIAS,V_ID,B93,V_INICIO,"&lt;="&amp;F93)+Y93))))</f>
        <v/>
      </c>
      <c r="V93" s="71" t="str">
        <f aca="false">IF(G93&lt;&gt;"Sí","",(N(INDEX(T_SUELDO,84))+N(INDEX(T_BONO,84)))/30)</f>
        <v/>
      </c>
      <c r="W93" s="71" t="str">
        <f aca="false">IF(G93&lt;&gt;"Sí","",N(INDEX(T_SUELDO,84))+N(INDEX(T_BONO,84))+IF(LEFT(INDEX(T_GRAT,84)&amp;"",6)="Art. 5",MIN(GRAT_PCT*(N(INDEX(T_SUELDO,84))+N(INDEX(T_BONO,84))),GRAT_TOPE_MES),0))</f>
        <v/>
      </c>
      <c r="X93" s="72" t="str">
        <f aca="false">IF(B93="","",MIN(10,N(INDEX(T_PREV,84))))</f>
        <v/>
      </c>
      <c r="Y93" s="72" t="str">
        <f aca="false">IF(B93="","",N(INDEX(T_VACPREV,84)))</f>
        <v/>
      </c>
      <c r="Z93" s="75" t="str">
        <f aca="false">IF(B93="","",N(INDEX(T_EGRESO,84)))</f>
        <v/>
      </c>
    </row>
    <row r="94" customFormat="false" ht="15" hidden="false" customHeight="false" outlineLevel="0" collapsed="false">
      <c r="B94" s="70" t="str">
        <f aca="false">IFERROR(IF(INDEX(T_ID,85)="","",INDEX(T_ID,85)),"")</f>
        <v/>
      </c>
      <c r="C94" s="70" t="str">
        <f aca="false">IF(B94="","",INDEX(T_NOMBRE,85)&amp;"")</f>
        <v/>
      </c>
      <c r="D94" s="70" t="str">
        <f aca="false">IF(B94="","",INDEX(T_TIPO,85)&amp;"")</f>
        <v/>
      </c>
      <c r="E94" s="75" t="str">
        <f aca="false">IF(B94="","",INDEX(T_INGRESO,85))</f>
        <v/>
      </c>
      <c r="F94" s="75" t="str">
        <f aca="false">IF(B94="","",IF(ISNUMBER(INDEX(CC_VENCE,85)),INDEX(CC_VENCE,85),""))</f>
        <v/>
      </c>
      <c r="G94" s="70" t="str">
        <f aca="false">IF(OR(B94="",NOT(ISNUMBER(E94))),"",IF(AND(E94&lt;=FQ_FECHA,OR(Z94=0,Z94&gt;=FQ_FECHA)),"Sí","No"))</f>
        <v/>
      </c>
      <c r="H94" s="94" t="str">
        <f aca="false">IF(G94&lt;&gt;"Sí","",ROUND((FQ_FECHA+1-E94)/365.25,1))</f>
        <v/>
      </c>
      <c r="I94" s="73" t="str">
        <f aca="false">IF(G94&lt;&gt;"Sí","",IF(DATEDIF(E94,FQ_FECHA+1,"y")&lt;1,0,MIN(TOPE_IAS_ANIOS,DATEDIF(E94,FQ_FECHA+1,"y")+IF(EDATE(E94,12*DATEDIF(E94,FQ_FECHA+1,"y")+6)&lt;FQ_FECHA+1,1,0))))</f>
        <v/>
      </c>
      <c r="J94" s="71" t="str">
        <f aca="false">IF(G94&lt;&gt;"Sí","",W94+N(INDEX(T_COL,85))+N(INDEX(T_MOV,85)))</f>
        <v/>
      </c>
      <c r="K94" s="71" t="str">
        <f aca="false">IF(G94&lt;&gt;"Sí","",MIN(J94,TOPE_IAS_UF*UF_HOY))</f>
        <v/>
      </c>
      <c r="L94" s="95" t="str">
        <f aca="false">IF(G94&lt;&gt;"Sí","",(1.25*(DATEDIF(E94,FQ_FECHA+1,"m")+(FQ_FECHA+1-EDATE(E94,DATEDIF(E94,FQ_FECHA+1,"m")))/30)+SUMPRODUCT((ANIOS&lt;=DATEDIF(E94,FQ_FECHA+1,"y"))*(X94+ANIOS-10&gt;0)*INT((X94+ANIOS-10)/3))-(SUMIFS(V_DIAS,V_ID,B94,V_INICIO,"&lt;="&amp;FQ_FECHA)+Y94)))</f>
        <v/>
      </c>
      <c r="M94" s="71" t="str">
        <f aca="false">IF(G94&lt;&gt;"Sí","",ROUND(MAX(0,IF(L94&lt;=0,0,WORKDAY(FQ_FECHA,INT(L94),FERIADOS)-FQ_FECHA+(L94-INT(L94))))*V94,0))</f>
        <v/>
      </c>
      <c r="N94" s="71" t="str">
        <f aca="false">IF(G94&lt;&gt;"Sí","",IF(D94="Obra o faena",0,ROUND(K94*I94,0)))</f>
        <v/>
      </c>
      <c r="O94" s="71" t="str">
        <f aca="false">IF(G94&lt;&gt;"Sí","",IF(OR(D94="Obra o faena",FQ_AVISO="Sí"),0,ROUND(K94,0)))</f>
        <v/>
      </c>
      <c r="P94" s="71" t="str">
        <f aca="false">IF(G94&lt;&gt;"Sí","",IF(AND(IMPUTAR_AFC="Sí",N94&gt;0),-MIN(N94,ROUND(AFC_IMPUTABLE_PCT*MIN(W94,TOPE_AFC_UF*UF_HOY)*DATEDIF(E94,FQ_FECHA+1,"m"),0)),0))</f>
        <v/>
      </c>
      <c r="Q94" s="85" t="str">
        <f aca="false">IF(G94&lt;&gt;"Sí","",M94+N94+O94+P94)</f>
        <v/>
      </c>
      <c r="R94" s="85" t="str">
        <f aca="false">IF(G94&lt;&gt;"Sí","",M94)</f>
        <v/>
      </c>
      <c r="S94" s="85" t="str">
        <f aca="false">IF(U94="","",IF(INDEX(CC_ESTADOC,85)="Renovación registrada","",ROUND(MAX(0,IF(U94&lt;=0,0,WORKDAY(F94,INT(U94),FERIADOS)-F94+(U94-INT(U94))))*V94,0)+IF(D94="Obra o faena",ROUND(OBRA_DIAS*K94/30*(DATEDIF(E94,F94+1,"m")+IF(F94+1-EDATE(E94,DATEDIF(E94,F94+1,"m"))&gt;15,1,0)),0),0)))</f>
        <v/>
      </c>
      <c r="T94" s="70" t="str">
        <f aca="false">IF(G94&lt;&gt;"Sí","",IF(D94="Plazo fijo","Despido antes del vencimiento: además existe riesgo de demanda por las remuneraciones hasta el término del plazo",IF(D94="Obra o faena","Al concluir la obra corresponde indemnización de 2,5 días por mes (incluida en la columna S); no IAS",IF(I94=0,"Menos de 1 año: no corresponde IAS (Art. 163)",IF(I94=TOPE_IAS_ANIOS,"IAS en el tope de 11 años","")))))</f>
        <v/>
      </c>
      <c r="U94" s="95" t="str">
        <f aca="false">IF(OR(G94&lt;&gt;"Sí",NOT(ISNUMBER(F94))),"",IF(F94&lt;FQ_FECHA,"",(1.25*(DATEDIF(E94,F94+1,"m")+(F94+1-EDATE(E94,DATEDIF(E94,F94+1,"m")))/30)+SUMPRODUCT((ANIOS&lt;=DATEDIF(E94,F94+1,"y"))*(X94+ANIOS-10&gt;0)*INT((X94+ANIOS-10)/3))-(SUMIFS(V_DIAS,V_ID,B94,V_INICIO,"&lt;="&amp;F94)+Y94))))</f>
        <v/>
      </c>
      <c r="V94" s="71" t="str">
        <f aca="false">IF(G94&lt;&gt;"Sí","",(N(INDEX(T_SUELDO,85))+N(INDEX(T_BONO,85)))/30)</f>
        <v/>
      </c>
      <c r="W94" s="71" t="str">
        <f aca="false">IF(G94&lt;&gt;"Sí","",N(INDEX(T_SUELDO,85))+N(INDEX(T_BONO,85))+IF(LEFT(INDEX(T_GRAT,85)&amp;"",6)="Art. 5",MIN(GRAT_PCT*(N(INDEX(T_SUELDO,85))+N(INDEX(T_BONO,85))),GRAT_TOPE_MES),0))</f>
        <v/>
      </c>
      <c r="X94" s="72" t="str">
        <f aca="false">IF(B94="","",MIN(10,N(INDEX(T_PREV,85))))</f>
        <v/>
      </c>
      <c r="Y94" s="72" t="str">
        <f aca="false">IF(B94="","",N(INDEX(T_VACPREV,85)))</f>
        <v/>
      </c>
      <c r="Z94" s="75" t="str">
        <f aca="false">IF(B94="","",N(INDEX(T_EGRESO,85)))</f>
        <v/>
      </c>
    </row>
    <row r="95" customFormat="false" ht="15" hidden="false" customHeight="false" outlineLevel="0" collapsed="false">
      <c r="B95" s="70" t="str">
        <f aca="false">IFERROR(IF(INDEX(T_ID,86)="","",INDEX(T_ID,86)),"")</f>
        <v/>
      </c>
      <c r="C95" s="70" t="str">
        <f aca="false">IF(B95="","",INDEX(T_NOMBRE,86)&amp;"")</f>
        <v/>
      </c>
      <c r="D95" s="70" t="str">
        <f aca="false">IF(B95="","",INDEX(T_TIPO,86)&amp;"")</f>
        <v/>
      </c>
      <c r="E95" s="75" t="str">
        <f aca="false">IF(B95="","",INDEX(T_INGRESO,86))</f>
        <v/>
      </c>
      <c r="F95" s="75" t="str">
        <f aca="false">IF(B95="","",IF(ISNUMBER(INDEX(CC_VENCE,86)),INDEX(CC_VENCE,86),""))</f>
        <v/>
      </c>
      <c r="G95" s="70" t="str">
        <f aca="false">IF(OR(B95="",NOT(ISNUMBER(E95))),"",IF(AND(E95&lt;=FQ_FECHA,OR(Z95=0,Z95&gt;=FQ_FECHA)),"Sí","No"))</f>
        <v/>
      </c>
      <c r="H95" s="94" t="str">
        <f aca="false">IF(G95&lt;&gt;"Sí","",ROUND((FQ_FECHA+1-E95)/365.25,1))</f>
        <v/>
      </c>
      <c r="I95" s="73" t="str">
        <f aca="false">IF(G95&lt;&gt;"Sí","",IF(DATEDIF(E95,FQ_FECHA+1,"y")&lt;1,0,MIN(TOPE_IAS_ANIOS,DATEDIF(E95,FQ_FECHA+1,"y")+IF(EDATE(E95,12*DATEDIF(E95,FQ_FECHA+1,"y")+6)&lt;FQ_FECHA+1,1,0))))</f>
        <v/>
      </c>
      <c r="J95" s="71" t="str">
        <f aca="false">IF(G95&lt;&gt;"Sí","",W95+N(INDEX(T_COL,86))+N(INDEX(T_MOV,86)))</f>
        <v/>
      </c>
      <c r="K95" s="71" t="str">
        <f aca="false">IF(G95&lt;&gt;"Sí","",MIN(J95,TOPE_IAS_UF*UF_HOY))</f>
        <v/>
      </c>
      <c r="L95" s="95" t="str">
        <f aca="false">IF(G95&lt;&gt;"Sí","",(1.25*(DATEDIF(E95,FQ_FECHA+1,"m")+(FQ_FECHA+1-EDATE(E95,DATEDIF(E95,FQ_FECHA+1,"m")))/30)+SUMPRODUCT((ANIOS&lt;=DATEDIF(E95,FQ_FECHA+1,"y"))*(X95+ANIOS-10&gt;0)*INT((X95+ANIOS-10)/3))-(SUMIFS(V_DIAS,V_ID,B95,V_INICIO,"&lt;="&amp;FQ_FECHA)+Y95)))</f>
        <v/>
      </c>
      <c r="M95" s="71" t="str">
        <f aca="false">IF(G95&lt;&gt;"Sí","",ROUND(MAX(0,IF(L95&lt;=0,0,WORKDAY(FQ_FECHA,INT(L95),FERIADOS)-FQ_FECHA+(L95-INT(L95))))*V95,0))</f>
        <v/>
      </c>
      <c r="N95" s="71" t="str">
        <f aca="false">IF(G95&lt;&gt;"Sí","",IF(D95="Obra o faena",0,ROUND(K95*I95,0)))</f>
        <v/>
      </c>
      <c r="O95" s="71" t="str">
        <f aca="false">IF(G95&lt;&gt;"Sí","",IF(OR(D95="Obra o faena",FQ_AVISO="Sí"),0,ROUND(K95,0)))</f>
        <v/>
      </c>
      <c r="P95" s="71" t="str">
        <f aca="false">IF(G95&lt;&gt;"Sí","",IF(AND(IMPUTAR_AFC="Sí",N95&gt;0),-MIN(N95,ROUND(AFC_IMPUTABLE_PCT*MIN(W95,TOPE_AFC_UF*UF_HOY)*DATEDIF(E95,FQ_FECHA+1,"m"),0)),0))</f>
        <v/>
      </c>
      <c r="Q95" s="85" t="str">
        <f aca="false">IF(G95&lt;&gt;"Sí","",M95+N95+O95+P95)</f>
        <v/>
      </c>
      <c r="R95" s="85" t="str">
        <f aca="false">IF(G95&lt;&gt;"Sí","",M95)</f>
        <v/>
      </c>
      <c r="S95" s="85" t="str">
        <f aca="false">IF(U95="","",IF(INDEX(CC_ESTADOC,86)="Renovación registrada","",ROUND(MAX(0,IF(U95&lt;=0,0,WORKDAY(F95,INT(U95),FERIADOS)-F95+(U95-INT(U95))))*V95,0)+IF(D95="Obra o faena",ROUND(OBRA_DIAS*K95/30*(DATEDIF(E95,F95+1,"m")+IF(F95+1-EDATE(E95,DATEDIF(E95,F95+1,"m"))&gt;15,1,0)),0),0)))</f>
        <v/>
      </c>
      <c r="T95" s="70" t="str">
        <f aca="false">IF(G95&lt;&gt;"Sí","",IF(D95="Plazo fijo","Despido antes del vencimiento: además existe riesgo de demanda por las remuneraciones hasta el término del plazo",IF(D95="Obra o faena","Al concluir la obra corresponde indemnización de 2,5 días por mes (incluida en la columna S); no IAS",IF(I95=0,"Menos de 1 año: no corresponde IAS (Art. 163)",IF(I95=TOPE_IAS_ANIOS,"IAS en el tope de 11 años","")))))</f>
        <v/>
      </c>
      <c r="U95" s="95" t="str">
        <f aca="false">IF(OR(G95&lt;&gt;"Sí",NOT(ISNUMBER(F95))),"",IF(F95&lt;FQ_FECHA,"",(1.25*(DATEDIF(E95,F95+1,"m")+(F95+1-EDATE(E95,DATEDIF(E95,F95+1,"m")))/30)+SUMPRODUCT((ANIOS&lt;=DATEDIF(E95,F95+1,"y"))*(X95+ANIOS-10&gt;0)*INT((X95+ANIOS-10)/3))-(SUMIFS(V_DIAS,V_ID,B95,V_INICIO,"&lt;="&amp;F95)+Y95))))</f>
        <v/>
      </c>
      <c r="V95" s="71" t="str">
        <f aca="false">IF(G95&lt;&gt;"Sí","",(N(INDEX(T_SUELDO,86))+N(INDEX(T_BONO,86)))/30)</f>
        <v/>
      </c>
      <c r="W95" s="71" t="str">
        <f aca="false">IF(G95&lt;&gt;"Sí","",N(INDEX(T_SUELDO,86))+N(INDEX(T_BONO,86))+IF(LEFT(INDEX(T_GRAT,86)&amp;"",6)="Art. 5",MIN(GRAT_PCT*(N(INDEX(T_SUELDO,86))+N(INDEX(T_BONO,86))),GRAT_TOPE_MES),0))</f>
        <v/>
      </c>
      <c r="X95" s="72" t="str">
        <f aca="false">IF(B95="","",MIN(10,N(INDEX(T_PREV,86))))</f>
        <v/>
      </c>
      <c r="Y95" s="72" t="str">
        <f aca="false">IF(B95="","",N(INDEX(T_VACPREV,86)))</f>
        <v/>
      </c>
      <c r="Z95" s="75" t="str">
        <f aca="false">IF(B95="","",N(INDEX(T_EGRESO,86)))</f>
        <v/>
      </c>
    </row>
    <row r="96" customFormat="false" ht="15" hidden="false" customHeight="false" outlineLevel="0" collapsed="false">
      <c r="B96" s="70" t="str">
        <f aca="false">IFERROR(IF(INDEX(T_ID,87)="","",INDEX(T_ID,87)),"")</f>
        <v/>
      </c>
      <c r="C96" s="70" t="str">
        <f aca="false">IF(B96="","",INDEX(T_NOMBRE,87)&amp;"")</f>
        <v/>
      </c>
      <c r="D96" s="70" t="str">
        <f aca="false">IF(B96="","",INDEX(T_TIPO,87)&amp;"")</f>
        <v/>
      </c>
      <c r="E96" s="75" t="str">
        <f aca="false">IF(B96="","",INDEX(T_INGRESO,87))</f>
        <v/>
      </c>
      <c r="F96" s="75" t="str">
        <f aca="false">IF(B96="","",IF(ISNUMBER(INDEX(CC_VENCE,87)),INDEX(CC_VENCE,87),""))</f>
        <v/>
      </c>
      <c r="G96" s="70" t="str">
        <f aca="false">IF(OR(B96="",NOT(ISNUMBER(E96))),"",IF(AND(E96&lt;=FQ_FECHA,OR(Z96=0,Z96&gt;=FQ_FECHA)),"Sí","No"))</f>
        <v/>
      </c>
      <c r="H96" s="94" t="str">
        <f aca="false">IF(G96&lt;&gt;"Sí","",ROUND((FQ_FECHA+1-E96)/365.25,1))</f>
        <v/>
      </c>
      <c r="I96" s="73" t="str">
        <f aca="false">IF(G96&lt;&gt;"Sí","",IF(DATEDIF(E96,FQ_FECHA+1,"y")&lt;1,0,MIN(TOPE_IAS_ANIOS,DATEDIF(E96,FQ_FECHA+1,"y")+IF(EDATE(E96,12*DATEDIF(E96,FQ_FECHA+1,"y")+6)&lt;FQ_FECHA+1,1,0))))</f>
        <v/>
      </c>
      <c r="J96" s="71" t="str">
        <f aca="false">IF(G96&lt;&gt;"Sí","",W96+N(INDEX(T_COL,87))+N(INDEX(T_MOV,87)))</f>
        <v/>
      </c>
      <c r="K96" s="71" t="str">
        <f aca="false">IF(G96&lt;&gt;"Sí","",MIN(J96,TOPE_IAS_UF*UF_HOY))</f>
        <v/>
      </c>
      <c r="L96" s="95" t="str">
        <f aca="false">IF(G96&lt;&gt;"Sí","",(1.25*(DATEDIF(E96,FQ_FECHA+1,"m")+(FQ_FECHA+1-EDATE(E96,DATEDIF(E96,FQ_FECHA+1,"m")))/30)+SUMPRODUCT((ANIOS&lt;=DATEDIF(E96,FQ_FECHA+1,"y"))*(X96+ANIOS-10&gt;0)*INT((X96+ANIOS-10)/3))-(SUMIFS(V_DIAS,V_ID,B96,V_INICIO,"&lt;="&amp;FQ_FECHA)+Y96)))</f>
        <v/>
      </c>
      <c r="M96" s="71" t="str">
        <f aca="false">IF(G96&lt;&gt;"Sí","",ROUND(MAX(0,IF(L96&lt;=0,0,WORKDAY(FQ_FECHA,INT(L96),FERIADOS)-FQ_FECHA+(L96-INT(L96))))*V96,0))</f>
        <v/>
      </c>
      <c r="N96" s="71" t="str">
        <f aca="false">IF(G96&lt;&gt;"Sí","",IF(D96="Obra o faena",0,ROUND(K96*I96,0)))</f>
        <v/>
      </c>
      <c r="O96" s="71" t="str">
        <f aca="false">IF(G96&lt;&gt;"Sí","",IF(OR(D96="Obra o faena",FQ_AVISO="Sí"),0,ROUND(K96,0)))</f>
        <v/>
      </c>
      <c r="P96" s="71" t="str">
        <f aca="false">IF(G96&lt;&gt;"Sí","",IF(AND(IMPUTAR_AFC="Sí",N96&gt;0),-MIN(N96,ROUND(AFC_IMPUTABLE_PCT*MIN(W96,TOPE_AFC_UF*UF_HOY)*DATEDIF(E96,FQ_FECHA+1,"m"),0)),0))</f>
        <v/>
      </c>
      <c r="Q96" s="85" t="str">
        <f aca="false">IF(G96&lt;&gt;"Sí","",M96+N96+O96+P96)</f>
        <v/>
      </c>
      <c r="R96" s="85" t="str">
        <f aca="false">IF(G96&lt;&gt;"Sí","",M96)</f>
        <v/>
      </c>
      <c r="S96" s="85" t="str">
        <f aca="false">IF(U96="","",IF(INDEX(CC_ESTADOC,87)="Renovación registrada","",ROUND(MAX(0,IF(U96&lt;=0,0,WORKDAY(F96,INT(U96),FERIADOS)-F96+(U96-INT(U96))))*V96,0)+IF(D96="Obra o faena",ROUND(OBRA_DIAS*K96/30*(DATEDIF(E96,F96+1,"m")+IF(F96+1-EDATE(E96,DATEDIF(E96,F96+1,"m"))&gt;15,1,0)),0),0)))</f>
        <v/>
      </c>
      <c r="T96" s="70" t="str">
        <f aca="false">IF(G96&lt;&gt;"Sí","",IF(D96="Plazo fijo","Despido antes del vencimiento: además existe riesgo de demanda por las remuneraciones hasta el término del plazo",IF(D96="Obra o faena","Al concluir la obra corresponde indemnización de 2,5 días por mes (incluida en la columna S); no IAS",IF(I96=0,"Menos de 1 año: no corresponde IAS (Art. 163)",IF(I96=TOPE_IAS_ANIOS,"IAS en el tope de 11 años","")))))</f>
        <v/>
      </c>
      <c r="U96" s="95" t="str">
        <f aca="false">IF(OR(G96&lt;&gt;"Sí",NOT(ISNUMBER(F96))),"",IF(F96&lt;FQ_FECHA,"",(1.25*(DATEDIF(E96,F96+1,"m")+(F96+1-EDATE(E96,DATEDIF(E96,F96+1,"m")))/30)+SUMPRODUCT((ANIOS&lt;=DATEDIF(E96,F96+1,"y"))*(X96+ANIOS-10&gt;0)*INT((X96+ANIOS-10)/3))-(SUMIFS(V_DIAS,V_ID,B96,V_INICIO,"&lt;="&amp;F96)+Y96))))</f>
        <v/>
      </c>
      <c r="V96" s="71" t="str">
        <f aca="false">IF(G96&lt;&gt;"Sí","",(N(INDEX(T_SUELDO,87))+N(INDEX(T_BONO,87)))/30)</f>
        <v/>
      </c>
      <c r="W96" s="71" t="str">
        <f aca="false">IF(G96&lt;&gt;"Sí","",N(INDEX(T_SUELDO,87))+N(INDEX(T_BONO,87))+IF(LEFT(INDEX(T_GRAT,87)&amp;"",6)="Art. 5",MIN(GRAT_PCT*(N(INDEX(T_SUELDO,87))+N(INDEX(T_BONO,87))),GRAT_TOPE_MES),0))</f>
        <v/>
      </c>
      <c r="X96" s="72" t="str">
        <f aca="false">IF(B96="","",MIN(10,N(INDEX(T_PREV,87))))</f>
        <v/>
      </c>
      <c r="Y96" s="72" t="str">
        <f aca="false">IF(B96="","",N(INDEX(T_VACPREV,87)))</f>
        <v/>
      </c>
      <c r="Z96" s="75" t="str">
        <f aca="false">IF(B96="","",N(INDEX(T_EGRESO,87)))</f>
        <v/>
      </c>
    </row>
    <row r="97" customFormat="false" ht="15" hidden="false" customHeight="false" outlineLevel="0" collapsed="false">
      <c r="B97" s="70" t="str">
        <f aca="false">IFERROR(IF(INDEX(T_ID,88)="","",INDEX(T_ID,88)),"")</f>
        <v/>
      </c>
      <c r="C97" s="70" t="str">
        <f aca="false">IF(B97="","",INDEX(T_NOMBRE,88)&amp;"")</f>
        <v/>
      </c>
      <c r="D97" s="70" t="str">
        <f aca="false">IF(B97="","",INDEX(T_TIPO,88)&amp;"")</f>
        <v/>
      </c>
      <c r="E97" s="75" t="str">
        <f aca="false">IF(B97="","",INDEX(T_INGRESO,88))</f>
        <v/>
      </c>
      <c r="F97" s="75" t="str">
        <f aca="false">IF(B97="","",IF(ISNUMBER(INDEX(CC_VENCE,88)),INDEX(CC_VENCE,88),""))</f>
        <v/>
      </c>
      <c r="G97" s="70" t="str">
        <f aca="false">IF(OR(B97="",NOT(ISNUMBER(E97))),"",IF(AND(E97&lt;=FQ_FECHA,OR(Z97=0,Z97&gt;=FQ_FECHA)),"Sí","No"))</f>
        <v/>
      </c>
      <c r="H97" s="94" t="str">
        <f aca="false">IF(G97&lt;&gt;"Sí","",ROUND((FQ_FECHA+1-E97)/365.25,1))</f>
        <v/>
      </c>
      <c r="I97" s="73" t="str">
        <f aca="false">IF(G97&lt;&gt;"Sí","",IF(DATEDIF(E97,FQ_FECHA+1,"y")&lt;1,0,MIN(TOPE_IAS_ANIOS,DATEDIF(E97,FQ_FECHA+1,"y")+IF(EDATE(E97,12*DATEDIF(E97,FQ_FECHA+1,"y")+6)&lt;FQ_FECHA+1,1,0))))</f>
        <v/>
      </c>
      <c r="J97" s="71" t="str">
        <f aca="false">IF(G97&lt;&gt;"Sí","",W97+N(INDEX(T_COL,88))+N(INDEX(T_MOV,88)))</f>
        <v/>
      </c>
      <c r="K97" s="71" t="str">
        <f aca="false">IF(G97&lt;&gt;"Sí","",MIN(J97,TOPE_IAS_UF*UF_HOY))</f>
        <v/>
      </c>
      <c r="L97" s="95" t="str">
        <f aca="false">IF(G97&lt;&gt;"Sí","",(1.25*(DATEDIF(E97,FQ_FECHA+1,"m")+(FQ_FECHA+1-EDATE(E97,DATEDIF(E97,FQ_FECHA+1,"m")))/30)+SUMPRODUCT((ANIOS&lt;=DATEDIF(E97,FQ_FECHA+1,"y"))*(X97+ANIOS-10&gt;0)*INT((X97+ANIOS-10)/3))-(SUMIFS(V_DIAS,V_ID,B97,V_INICIO,"&lt;="&amp;FQ_FECHA)+Y97)))</f>
        <v/>
      </c>
      <c r="M97" s="71" t="str">
        <f aca="false">IF(G97&lt;&gt;"Sí","",ROUND(MAX(0,IF(L97&lt;=0,0,WORKDAY(FQ_FECHA,INT(L97),FERIADOS)-FQ_FECHA+(L97-INT(L97))))*V97,0))</f>
        <v/>
      </c>
      <c r="N97" s="71" t="str">
        <f aca="false">IF(G97&lt;&gt;"Sí","",IF(D97="Obra o faena",0,ROUND(K97*I97,0)))</f>
        <v/>
      </c>
      <c r="O97" s="71" t="str">
        <f aca="false">IF(G97&lt;&gt;"Sí","",IF(OR(D97="Obra o faena",FQ_AVISO="Sí"),0,ROUND(K97,0)))</f>
        <v/>
      </c>
      <c r="P97" s="71" t="str">
        <f aca="false">IF(G97&lt;&gt;"Sí","",IF(AND(IMPUTAR_AFC="Sí",N97&gt;0),-MIN(N97,ROUND(AFC_IMPUTABLE_PCT*MIN(W97,TOPE_AFC_UF*UF_HOY)*DATEDIF(E97,FQ_FECHA+1,"m"),0)),0))</f>
        <v/>
      </c>
      <c r="Q97" s="85" t="str">
        <f aca="false">IF(G97&lt;&gt;"Sí","",M97+N97+O97+P97)</f>
        <v/>
      </c>
      <c r="R97" s="85" t="str">
        <f aca="false">IF(G97&lt;&gt;"Sí","",M97)</f>
        <v/>
      </c>
      <c r="S97" s="85" t="str">
        <f aca="false">IF(U97="","",IF(INDEX(CC_ESTADOC,88)="Renovación registrada","",ROUND(MAX(0,IF(U97&lt;=0,0,WORKDAY(F97,INT(U97),FERIADOS)-F97+(U97-INT(U97))))*V97,0)+IF(D97="Obra o faena",ROUND(OBRA_DIAS*K97/30*(DATEDIF(E97,F97+1,"m")+IF(F97+1-EDATE(E97,DATEDIF(E97,F97+1,"m"))&gt;15,1,0)),0),0)))</f>
        <v/>
      </c>
      <c r="T97" s="70" t="str">
        <f aca="false">IF(G97&lt;&gt;"Sí","",IF(D97="Plazo fijo","Despido antes del vencimiento: además existe riesgo de demanda por las remuneraciones hasta el término del plazo",IF(D97="Obra o faena","Al concluir la obra corresponde indemnización de 2,5 días por mes (incluida en la columna S); no IAS",IF(I97=0,"Menos de 1 año: no corresponde IAS (Art. 163)",IF(I97=TOPE_IAS_ANIOS,"IAS en el tope de 11 años","")))))</f>
        <v/>
      </c>
      <c r="U97" s="95" t="str">
        <f aca="false">IF(OR(G97&lt;&gt;"Sí",NOT(ISNUMBER(F97))),"",IF(F97&lt;FQ_FECHA,"",(1.25*(DATEDIF(E97,F97+1,"m")+(F97+1-EDATE(E97,DATEDIF(E97,F97+1,"m")))/30)+SUMPRODUCT((ANIOS&lt;=DATEDIF(E97,F97+1,"y"))*(X97+ANIOS-10&gt;0)*INT((X97+ANIOS-10)/3))-(SUMIFS(V_DIAS,V_ID,B97,V_INICIO,"&lt;="&amp;F97)+Y97))))</f>
        <v/>
      </c>
      <c r="V97" s="71" t="str">
        <f aca="false">IF(G97&lt;&gt;"Sí","",(N(INDEX(T_SUELDO,88))+N(INDEX(T_BONO,88)))/30)</f>
        <v/>
      </c>
      <c r="W97" s="71" t="str">
        <f aca="false">IF(G97&lt;&gt;"Sí","",N(INDEX(T_SUELDO,88))+N(INDEX(T_BONO,88))+IF(LEFT(INDEX(T_GRAT,88)&amp;"",6)="Art. 5",MIN(GRAT_PCT*(N(INDEX(T_SUELDO,88))+N(INDEX(T_BONO,88))),GRAT_TOPE_MES),0))</f>
        <v/>
      </c>
      <c r="X97" s="72" t="str">
        <f aca="false">IF(B97="","",MIN(10,N(INDEX(T_PREV,88))))</f>
        <v/>
      </c>
      <c r="Y97" s="72" t="str">
        <f aca="false">IF(B97="","",N(INDEX(T_VACPREV,88)))</f>
        <v/>
      </c>
      <c r="Z97" s="75" t="str">
        <f aca="false">IF(B97="","",N(INDEX(T_EGRESO,88)))</f>
        <v/>
      </c>
    </row>
    <row r="98" customFormat="false" ht="15" hidden="false" customHeight="false" outlineLevel="0" collapsed="false">
      <c r="B98" s="70" t="str">
        <f aca="false">IFERROR(IF(INDEX(T_ID,89)="","",INDEX(T_ID,89)),"")</f>
        <v/>
      </c>
      <c r="C98" s="70" t="str">
        <f aca="false">IF(B98="","",INDEX(T_NOMBRE,89)&amp;"")</f>
        <v/>
      </c>
      <c r="D98" s="70" t="str">
        <f aca="false">IF(B98="","",INDEX(T_TIPO,89)&amp;"")</f>
        <v/>
      </c>
      <c r="E98" s="75" t="str">
        <f aca="false">IF(B98="","",INDEX(T_INGRESO,89))</f>
        <v/>
      </c>
      <c r="F98" s="75" t="str">
        <f aca="false">IF(B98="","",IF(ISNUMBER(INDEX(CC_VENCE,89)),INDEX(CC_VENCE,89),""))</f>
        <v/>
      </c>
      <c r="G98" s="70" t="str">
        <f aca="false">IF(OR(B98="",NOT(ISNUMBER(E98))),"",IF(AND(E98&lt;=FQ_FECHA,OR(Z98=0,Z98&gt;=FQ_FECHA)),"Sí","No"))</f>
        <v/>
      </c>
      <c r="H98" s="94" t="str">
        <f aca="false">IF(G98&lt;&gt;"Sí","",ROUND((FQ_FECHA+1-E98)/365.25,1))</f>
        <v/>
      </c>
      <c r="I98" s="73" t="str">
        <f aca="false">IF(G98&lt;&gt;"Sí","",IF(DATEDIF(E98,FQ_FECHA+1,"y")&lt;1,0,MIN(TOPE_IAS_ANIOS,DATEDIF(E98,FQ_FECHA+1,"y")+IF(EDATE(E98,12*DATEDIF(E98,FQ_FECHA+1,"y")+6)&lt;FQ_FECHA+1,1,0))))</f>
        <v/>
      </c>
      <c r="J98" s="71" t="str">
        <f aca="false">IF(G98&lt;&gt;"Sí","",W98+N(INDEX(T_COL,89))+N(INDEX(T_MOV,89)))</f>
        <v/>
      </c>
      <c r="K98" s="71" t="str">
        <f aca="false">IF(G98&lt;&gt;"Sí","",MIN(J98,TOPE_IAS_UF*UF_HOY))</f>
        <v/>
      </c>
      <c r="L98" s="95" t="str">
        <f aca="false">IF(G98&lt;&gt;"Sí","",(1.25*(DATEDIF(E98,FQ_FECHA+1,"m")+(FQ_FECHA+1-EDATE(E98,DATEDIF(E98,FQ_FECHA+1,"m")))/30)+SUMPRODUCT((ANIOS&lt;=DATEDIF(E98,FQ_FECHA+1,"y"))*(X98+ANIOS-10&gt;0)*INT((X98+ANIOS-10)/3))-(SUMIFS(V_DIAS,V_ID,B98,V_INICIO,"&lt;="&amp;FQ_FECHA)+Y98)))</f>
        <v/>
      </c>
      <c r="M98" s="71" t="str">
        <f aca="false">IF(G98&lt;&gt;"Sí","",ROUND(MAX(0,IF(L98&lt;=0,0,WORKDAY(FQ_FECHA,INT(L98),FERIADOS)-FQ_FECHA+(L98-INT(L98))))*V98,0))</f>
        <v/>
      </c>
      <c r="N98" s="71" t="str">
        <f aca="false">IF(G98&lt;&gt;"Sí","",IF(D98="Obra o faena",0,ROUND(K98*I98,0)))</f>
        <v/>
      </c>
      <c r="O98" s="71" t="str">
        <f aca="false">IF(G98&lt;&gt;"Sí","",IF(OR(D98="Obra o faena",FQ_AVISO="Sí"),0,ROUND(K98,0)))</f>
        <v/>
      </c>
      <c r="P98" s="71" t="str">
        <f aca="false">IF(G98&lt;&gt;"Sí","",IF(AND(IMPUTAR_AFC="Sí",N98&gt;0),-MIN(N98,ROUND(AFC_IMPUTABLE_PCT*MIN(W98,TOPE_AFC_UF*UF_HOY)*DATEDIF(E98,FQ_FECHA+1,"m"),0)),0))</f>
        <v/>
      </c>
      <c r="Q98" s="85" t="str">
        <f aca="false">IF(G98&lt;&gt;"Sí","",M98+N98+O98+P98)</f>
        <v/>
      </c>
      <c r="R98" s="85" t="str">
        <f aca="false">IF(G98&lt;&gt;"Sí","",M98)</f>
        <v/>
      </c>
      <c r="S98" s="85" t="str">
        <f aca="false">IF(U98="","",IF(INDEX(CC_ESTADOC,89)="Renovación registrada","",ROUND(MAX(0,IF(U98&lt;=0,0,WORKDAY(F98,INT(U98),FERIADOS)-F98+(U98-INT(U98))))*V98,0)+IF(D98="Obra o faena",ROUND(OBRA_DIAS*K98/30*(DATEDIF(E98,F98+1,"m")+IF(F98+1-EDATE(E98,DATEDIF(E98,F98+1,"m"))&gt;15,1,0)),0),0)))</f>
        <v/>
      </c>
      <c r="T98" s="70" t="str">
        <f aca="false">IF(G98&lt;&gt;"Sí","",IF(D98="Plazo fijo","Despido antes del vencimiento: además existe riesgo de demanda por las remuneraciones hasta el término del plazo",IF(D98="Obra o faena","Al concluir la obra corresponde indemnización de 2,5 días por mes (incluida en la columna S); no IAS",IF(I98=0,"Menos de 1 año: no corresponde IAS (Art. 163)",IF(I98=TOPE_IAS_ANIOS,"IAS en el tope de 11 años","")))))</f>
        <v/>
      </c>
      <c r="U98" s="95" t="str">
        <f aca="false">IF(OR(G98&lt;&gt;"Sí",NOT(ISNUMBER(F98))),"",IF(F98&lt;FQ_FECHA,"",(1.25*(DATEDIF(E98,F98+1,"m")+(F98+1-EDATE(E98,DATEDIF(E98,F98+1,"m")))/30)+SUMPRODUCT((ANIOS&lt;=DATEDIF(E98,F98+1,"y"))*(X98+ANIOS-10&gt;0)*INT((X98+ANIOS-10)/3))-(SUMIFS(V_DIAS,V_ID,B98,V_INICIO,"&lt;="&amp;F98)+Y98))))</f>
        <v/>
      </c>
      <c r="V98" s="71" t="str">
        <f aca="false">IF(G98&lt;&gt;"Sí","",(N(INDEX(T_SUELDO,89))+N(INDEX(T_BONO,89)))/30)</f>
        <v/>
      </c>
      <c r="W98" s="71" t="str">
        <f aca="false">IF(G98&lt;&gt;"Sí","",N(INDEX(T_SUELDO,89))+N(INDEX(T_BONO,89))+IF(LEFT(INDEX(T_GRAT,89)&amp;"",6)="Art. 5",MIN(GRAT_PCT*(N(INDEX(T_SUELDO,89))+N(INDEX(T_BONO,89))),GRAT_TOPE_MES),0))</f>
        <v/>
      </c>
      <c r="X98" s="72" t="str">
        <f aca="false">IF(B98="","",MIN(10,N(INDEX(T_PREV,89))))</f>
        <v/>
      </c>
      <c r="Y98" s="72" t="str">
        <f aca="false">IF(B98="","",N(INDEX(T_VACPREV,89)))</f>
        <v/>
      </c>
      <c r="Z98" s="75" t="str">
        <f aca="false">IF(B98="","",N(INDEX(T_EGRESO,89)))</f>
        <v/>
      </c>
    </row>
    <row r="99" customFormat="false" ht="15" hidden="false" customHeight="false" outlineLevel="0" collapsed="false">
      <c r="B99" s="70" t="str">
        <f aca="false">IFERROR(IF(INDEX(T_ID,90)="","",INDEX(T_ID,90)),"")</f>
        <v/>
      </c>
      <c r="C99" s="70" t="str">
        <f aca="false">IF(B99="","",INDEX(T_NOMBRE,90)&amp;"")</f>
        <v/>
      </c>
      <c r="D99" s="70" t="str">
        <f aca="false">IF(B99="","",INDEX(T_TIPO,90)&amp;"")</f>
        <v/>
      </c>
      <c r="E99" s="75" t="str">
        <f aca="false">IF(B99="","",INDEX(T_INGRESO,90))</f>
        <v/>
      </c>
      <c r="F99" s="75" t="str">
        <f aca="false">IF(B99="","",IF(ISNUMBER(INDEX(CC_VENCE,90)),INDEX(CC_VENCE,90),""))</f>
        <v/>
      </c>
      <c r="G99" s="70" t="str">
        <f aca="false">IF(OR(B99="",NOT(ISNUMBER(E99))),"",IF(AND(E99&lt;=FQ_FECHA,OR(Z99=0,Z99&gt;=FQ_FECHA)),"Sí","No"))</f>
        <v/>
      </c>
      <c r="H99" s="94" t="str">
        <f aca="false">IF(G99&lt;&gt;"Sí","",ROUND((FQ_FECHA+1-E99)/365.25,1))</f>
        <v/>
      </c>
      <c r="I99" s="73" t="str">
        <f aca="false">IF(G99&lt;&gt;"Sí","",IF(DATEDIF(E99,FQ_FECHA+1,"y")&lt;1,0,MIN(TOPE_IAS_ANIOS,DATEDIF(E99,FQ_FECHA+1,"y")+IF(EDATE(E99,12*DATEDIF(E99,FQ_FECHA+1,"y")+6)&lt;FQ_FECHA+1,1,0))))</f>
        <v/>
      </c>
      <c r="J99" s="71" t="str">
        <f aca="false">IF(G99&lt;&gt;"Sí","",W99+N(INDEX(T_COL,90))+N(INDEX(T_MOV,90)))</f>
        <v/>
      </c>
      <c r="K99" s="71" t="str">
        <f aca="false">IF(G99&lt;&gt;"Sí","",MIN(J99,TOPE_IAS_UF*UF_HOY))</f>
        <v/>
      </c>
      <c r="L99" s="95" t="str">
        <f aca="false">IF(G99&lt;&gt;"Sí","",(1.25*(DATEDIF(E99,FQ_FECHA+1,"m")+(FQ_FECHA+1-EDATE(E99,DATEDIF(E99,FQ_FECHA+1,"m")))/30)+SUMPRODUCT((ANIOS&lt;=DATEDIF(E99,FQ_FECHA+1,"y"))*(X99+ANIOS-10&gt;0)*INT((X99+ANIOS-10)/3))-(SUMIFS(V_DIAS,V_ID,B99,V_INICIO,"&lt;="&amp;FQ_FECHA)+Y99)))</f>
        <v/>
      </c>
      <c r="M99" s="71" t="str">
        <f aca="false">IF(G99&lt;&gt;"Sí","",ROUND(MAX(0,IF(L99&lt;=0,0,WORKDAY(FQ_FECHA,INT(L99),FERIADOS)-FQ_FECHA+(L99-INT(L99))))*V99,0))</f>
        <v/>
      </c>
      <c r="N99" s="71" t="str">
        <f aca="false">IF(G99&lt;&gt;"Sí","",IF(D99="Obra o faena",0,ROUND(K99*I99,0)))</f>
        <v/>
      </c>
      <c r="O99" s="71" t="str">
        <f aca="false">IF(G99&lt;&gt;"Sí","",IF(OR(D99="Obra o faena",FQ_AVISO="Sí"),0,ROUND(K99,0)))</f>
        <v/>
      </c>
      <c r="P99" s="71" t="str">
        <f aca="false">IF(G99&lt;&gt;"Sí","",IF(AND(IMPUTAR_AFC="Sí",N99&gt;0),-MIN(N99,ROUND(AFC_IMPUTABLE_PCT*MIN(W99,TOPE_AFC_UF*UF_HOY)*DATEDIF(E99,FQ_FECHA+1,"m"),0)),0))</f>
        <v/>
      </c>
      <c r="Q99" s="85" t="str">
        <f aca="false">IF(G99&lt;&gt;"Sí","",M99+N99+O99+P99)</f>
        <v/>
      </c>
      <c r="R99" s="85" t="str">
        <f aca="false">IF(G99&lt;&gt;"Sí","",M99)</f>
        <v/>
      </c>
      <c r="S99" s="85" t="str">
        <f aca="false">IF(U99="","",IF(INDEX(CC_ESTADOC,90)="Renovación registrada","",ROUND(MAX(0,IF(U99&lt;=0,0,WORKDAY(F99,INT(U99),FERIADOS)-F99+(U99-INT(U99))))*V99,0)+IF(D99="Obra o faena",ROUND(OBRA_DIAS*K99/30*(DATEDIF(E99,F99+1,"m")+IF(F99+1-EDATE(E99,DATEDIF(E99,F99+1,"m"))&gt;15,1,0)),0),0)))</f>
        <v/>
      </c>
      <c r="T99" s="70" t="str">
        <f aca="false">IF(G99&lt;&gt;"Sí","",IF(D99="Plazo fijo","Despido antes del vencimiento: además existe riesgo de demanda por las remuneraciones hasta el término del plazo",IF(D99="Obra o faena","Al concluir la obra corresponde indemnización de 2,5 días por mes (incluida en la columna S); no IAS",IF(I99=0,"Menos de 1 año: no corresponde IAS (Art. 163)",IF(I99=TOPE_IAS_ANIOS,"IAS en el tope de 11 años","")))))</f>
        <v/>
      </c>
      <c r="U99" s="95" t="str">
        <f aca="false">IF(OR(G99&lt;&gt;"Sí",NOT(ISNUMBER(F99))),"",IF(F99&lt;FQ_FECHA,"",(1.25*(DATEDIF(E99,F99+1,"m")+(F99+1-EDATE(E99,DATEDIF(E99,F99+1,"m")))/30)+SUMPRODUCT((ANIOS&lt;=DATEDIF(E99,F99+1,"y"))*(X99+ANIOS-10&gt;0)*INT((X99+ANIOS-10)/3))-(SUMIFS(V_DIAS,V_ID,B99,V_INICIO,"&lt;="&amp;F99)+Y99))))</f>
        <v/>
      </c>
      <c r="V99" s="71" t="str">
        <f aca="false">IF(G99&lt;&gt;"Sí","",(N(INDEX(T_SUELDO,90))+N(INDEX(T_BONO,90)))/30)</f>
        <v/>
      </c>
      <c r="W99" s="71" t="str">
        <f aca="false">IF(G99&lt;&gt;"Sí","",N(INDEX(T_SUELDO,90))+N(INDEX(T_BONO,90))+IF(LEFT(INDEX(T_GRAT,90)&amp;"",6)="Art. 5",MIN(GRAT_PCT*(N(INDEX(T_SUELDO,90))+N(INDEX(T_BONO,90))),GRAT_TOPE_MES),0))</f>
        <v/>
      </c>
      <c r="X99" s="72" t="str">
        <f aca="false">IF(B99="","",MIN(10,N(INDEX(T_PREV,90))))</f>
        <v/>
      </c>
      <c r="Y99" s="72" t="str">
        <f aca="false">IF(B99="","",N(INDEX(T_VACPREV,90)))</f>
        <v/>
      </c>
      <c r="Z99" s="75" t="str">
        <f aca="false">IF(B99="","",N(INDEX(T_EGRESO,90)))</f>
        <v/>
      </c>
    </row>
    <row r="100" customFormat="false" ht="15" hidden="false" customHeight="false" outlineLevel="0" collapsed="false">
      <c r="B100" s="70" t="str">
        <f aca="false">IFERROR(IF(INDEX(T_ID,91)="","",INDEX(T_ID,91)),"")</f>
        <v/>
      </c>
      <c r="C100" s="70" t="str">
        <f aca="false">IF(B100="","",INDEX(T_NOMBRE,91)&amp;"")</f>
        <v/>
      </c>
      <c r="D100" s="70" t="str">
        <f aca="false">IF(B100="","",INDEX(T_TIPO,91)&amp;"")</f>
        <v/>
      </c>
      <c r="E100" s="75" t="str">
        <f aca="false">IF(B100="","",INDEX(T_INGRESO,91))</f>
        <v/>
      </c>
      <c r="F100" s="75" t="str">
        <f aca="false">IF(B100="","",IF(ISNUMBER(INDEX(CC_VENCE,91)),INDEX(CC_VENCE,91),""))</f>
        <v/>
      </c>
      <c r="G100" s="70" t="str">
        <f aca="false">IF(OR(B100="",NOT(ISNUMBER(E100))),"",IF(AND(E100&lt;=FQ_FECHA,OR(Z100=0,Z100&gt;=FQ_FECHA)),"Sí","No"))</f>
        <v/>
      </c>
      <c r="H100" s="94" t="str">
        <f aca="false">IF(G100&lt;&gt;"Sí","",ROUND((FQ_FECHA+1-E100)/365.25,1))</f>
        <v/>
      </c>
      <c r="I100" s="73" t="str">
        <f aca="false">IF(G100&lt;&gt;"Sí","",IF(DATEDIF(E100,FQ_FECHA+1,"y")&lt;1,0,MIN(TOPE_IAS_ANIOS,DATEDIF(E100,FQ_FECHA+1,"y")+IF(EDATE(E100,12*DATEDIF(E100,FQ_FECHA+1,"y")+6)&lt;FQ_FECHA+1,1,0))))</f>
        <v/>
      </c>
      <c r="J100" s="71" t="str">
        <f aca="false">IF(G100&lt;&gt;"Sí","",W100+N(INDEX(T_COL,91))+N(INDEX(T_MOV,91)))</f>
        <v/>
      </c>
      <c r="K100" s="71" t="str">
        <f aca="false">IF(G100&lt;&gt;"Sí","",MIN(J100,TOPE_IAS_UF*UF_HOY))</f>
        <v/>
      </c>
      <c r="L100" s="95" t="str">
        <f aca="false">IF(G100&lt;&gt;"Sí","",(1.25*(DATEDIF(E100,FQ_FECHA+1,"m")+(FQ_FECHA+1-EDATE(E100,DATEDIF(E100,FQ_FECHA+1,"m")))/30)+SUMPRODUCT((ANIOS&lt;=DATEDIF(E100,FQ_FECHA+1,"y"))*(X100+ANIOS-10&gt;0)*INT((X100+ANIOS-10)/3))-(SUMIFS(V_DIAS,V_ID,B100,V_INICIO,"&lt;="&amp;FQ_FECHA)+Y100)))</f>
        <v/>
      </c>
      <c r="M100" s="71" t="str">
        <f aca="false">IF(G100&lt;&gt;"Sí","",ROUND(MAX(0,IF(L100&lt;=0,0,WORKDAY(FQ_FECHA,INT(L100),FERIADOS)-FQ_FECHA+(L100-INT(L100))))*V100,0))</f>
        <v/>
      </c>
      <c r="N100" s="71" t="str">
        <f aca="false">IF(G100&lt;&gt;"Sí","",IF(D100="Obra o faena",0,ROUND(K100*I100,0)))</f>
        <v/>
      </c>
      <c r="O100" s="71" t="str">
        <f aca="false">IF(G100&lt;&gt;"Sí","",IF(OR(D100="Obra o faena",FQ_AVISO="Sí"),0,ROUND(K100,0)))</f>
        <v/>
      </c>
      <c r="P100" s="71" t="str">
        <f aca="false">IF(G100&lt;&gt;"Sí","",IF(AND(IMPUTAR_AFC="Sí",N100&gt;0),-MIN(N100,ROUND(AFC_IMPUTABLE_PCT*MIN(W100,TOPE_AFC_UF*UF_HOY)*DATEDIF(E100,FQ_FECHA+1,"m"),0)),0))</f>
        <v/>
      </c>
      <c r="Q100" s="85" t="str">
        <f aca="false">IF(G100&lt;&gt;"Sí","",M100+N100+O100+P100)</f>
        <v/>
      </c>
      <c r="R100" s="85" t="str">
        <f aca="false">IF(G100&lt;&gt;"Sí","",M100)</f>
        <v/>
      </c>
      <c r="S100" s="85" t="str">
        <f aca="false">IF(U100="","",IF(INDEX(CC_ESTADOC,91)="Renovación registrada","",ROUND(MAX(0,IF(U100&lt;=0,0,WORKDAY(F100,INT(U100),FERIADOS)-F100+(U100-INT(U100))))*V100,0)+IF(D100="Obra o faena",ROUND(OBRA_DIAS*K100/30*(DATEDIF(E100,F100+1,"m")+IF(F100+1-EDATE(E100,DATEDIF(E100,F100+1,"m"))&gt;15,1,0)),0),0)))</f>
        <v/>
      </c>
      <c r="T100" s="70" t="str">
        <f aca="false">IF(G100&lt;&gt;"Sí","",IF(D100="Plazo fijo","Despido antes del vencimiento: además existe riesgo de demanda por las remuneraciones hasta el término del plazo",IF(D100="Obra o faena","Al concluir la obra corresponde indemnización de 2,5 días por mes (incluida en la columna S); no IAS",IF(I100=0,"Menos de 1 año: no corresponde IAS (Art. 163)",IF(I100=TOPE_IAS_ANIOS,"IAS en el tope de 11 años","")))))</f>
        <v/>
      </c>
      <c r="U100" s="95" t="str">
        <f aca="false">IF(OR(G100&lt;&gt;"Sí",NOT(ISNUMBER(F100))),"",IF(F100&lt;FQ_FECHA,"",(1.25*(DATEDIF(E100,F100+1,"m")+(F100+1-EDATE(E100,DATEDIF(E100,F100+1,"m")))/30)+SUMPRODUCT((ANIOS&lt;=DATEDIF(E100,F100+1,"y"))*(X100+ANIOS-10&gt;0)*INT((X100+ANIOS-10)/3))-(SUMIFS(V_DIAS,V_ID,B100,V_INICIO,"&lt;="&amp;F100)+Y100))))</f>
        <v/>
      </c>
      <c r="V100" s="71" t="str">
        <f aca="false">IF(G100&lt;&gt;"Sí","",(N(INDEX(T_SUELDO,91))+N(INDEX(T_BONO,91)))/30)</f>
        <v/>
      </c>
      <c r="W100" s="71" t="str">
        <f aca="false">IF(G100&lt;&gt;"Sí","",N(INDEX(T_SUELDO,91))+N(INDEX(T_BONO,91))+IF(LEFT(INDEX(T_GRAT,91)&amp;"",6)="Art. 5",MIN(GRAT_PCT*(N(INDEX(T_SUELDO,91))+N(INDEX(T_BONO,91))),GRAT_TOPE_MES),0))</f>
        <v/>
      </c>
      <c r="X100" s="72" t="str">
        <f aca="false">IF(B100="","",MIN(10,N(INDEX(T_PREV,91))))</f>
        <v/>
      </c>
      <c r="Y100" s="72" t="str">
        <f aca="false">IF(B100="","",N(INDEX(T_VACPREV,91)))</f>
        <v/>
      </c>
      <c r="Z100" s="75" t="str">
        <f aca="false">IF(B100="","",N(INDEX(T_EGRESO,91)))</f>
        <v/>
      </c>
    </row>
    <row r="101" customFormat="false" ht="15" hidden="false" customHeight="false" outlineLevel="0" collapsed="false">
      <c r="B101" s="70" t="str">
        <f aca="false">IFERROR(IF(INDEX(T_ID,92)="","",INDEX(T_ID,92)),"")</f>
        <v/>
      </c>
      <c r="C101" s="70" t="str">
        <f aca="false">IF(B101="","",INDEX(T_NOMBRE,92)&amp;"")</f>
        <v/>
      </c>
      <c r="D101" s="70" t="str">
        <f aca="false">IF(B101="","",INDEX(T_TIPO,92)&amp;"")</f>
        <v/>
      </c>
      <c r="E101" s="75" t="str">
        <f aca="false">IF(B101="","",INDEX(T_INGRESO,92))</f>
        <v/>
      </c>
      <c r="F101" s="75" t="str">
        <f aca="false">IF(B101="","",IF(ISNUMBER(INDEX(CC_VENCE,92)),INDEX(CC_VENCE,92),""))</f>
        <v/>
      </c>
      <c r="G101" s="70" t="str">
        <f aca="false">IF(OR(B101="",NOT(ISNUMBER(E101))),"",IF(AND(E101&lt;=FQ_FECHA,OR(Z101=0,Z101&gt;=FQ_FECHA)),"Sí","No"))</f>
        <v/>
      </c>
      <c r="H101" s="94" t="str">
        <f aca="false">IF(G101&lt;&gt;"Sí","",ROUND((FQ_FECHA+1-E101)/365.25,1))</f>
        <v/>
      </c>
      <c r="I101" s="73" t="str">
        <f aca="false">IF(G101&lt;&gt;"Sí","",IF(DATEDIF(E101,FQ_FECHA+1,"y")&lt;1,0,MIN(TOPE_IAS_ANIOS,DATEDIF(E101,FQ_FECHA+1,"y")+IF(EDATE(E101,12*DATEDIF(E101,FQ_FECHA+1,"y")+6)&lt;FQ_FECHA+1,1,0))))</f>
        <v/>
      </c>
      <c r="J101" s="71" t="str">
        <f aca="false">IF(G101&lt;&gt;"Sí","",W101+N(INDEX(T_COL,92))+N(INDEX(T_MOV,92)))</f>
        <v/>
      </c>
      <c r="K101" s="71" t="str">
        <f aca="false">IF(G101&lt;&gt;"Sí","",MIN(J101,TOPE_IAS_UF*UF_HOY))</f>
        <v/>
      </c>
      <c r="L101" s="95" t="str">
        <f aca="false">IF(G101&lt;&gt;"Sí","",(1.25*(DATEDIF(E101,FQ_FECHA+1,"m")+(FQ_FECHA+1-EDATE(E101,DATEDIF(E101,FQ_FECHA+1,"m")))/30)+SUMPRODUCT((ANIOS&lt;=DATEDIF(E101,FQ_FECHA+1,"y"))*(X101+ANIOS-10&gt;0)*INT((X101+ANIOS-10)/3))-(SUMIFS(V_DIAS,V_ID,B101,V_INICIO,"&lt;="&amp;FQ_FECHA)+Y101)))</f>
        <v/>
      </c>
      <c r="M101" s="71" t="str">
        <f aca="false">IF(G101&lt;&gt;"Sí","",ROUND(MAX(0,IF(L101&lt;=0,0,WORKDAY(FQ_FECHA,INT(L101),FERIADOS)-FQ_FECHA+(L101-INT(L101))))*V101,0))</f>
        <v/>
      </c>
      <c r="N101" s="71" t="str">
        <f aca="false">IF(G101&lt;&gt;"Sí","",IF(D101="Obra o faena",0,ROUND(K101*I101,0)))</f>
        <v/>
      </c>
      <c r="O101" s="71" t="str">
        <f aca="false">IF(G101&lt;&gt;"Sí","",IF(OR(D101="Obra o faena",FQ_AVISO="Sí"),0,ROUND(K101,0)))</f>
        <v/>
      </c>
      <c r="P101" s="71" t="str">
        <f aca="false">IF(G101&lt;&gt;"Sí","",IF(AND(IMPUTAR_AFC="Sí",N101&gt;0),-MIN(N101,ROUND(AFC_IMPUTABLE_PCT*MIN(W101,TOPE_AFC_UF*UF_HOY)*DATEDIF(E101,FQ_FECHA+1,"m"),0)),0))</f>
        <v/>
      </c>
      <c r="Q101" s="85" t="str">
        <f aca="false">IF(G101&lt;&gt;"Sí","",M101+N101+O101+P101)</f>
        <v/>
      </c>
      <c r="R101" s="85" t="str">
        <f aca="false">IF(G101&lt;&gt;"Sí","",M101)</f>
        <v/>
      </c>
      <c r="S101" s="85" t="str">
        <f aca="false">IF(U101="","",IF(INDEX(CC_ESTADOC,92)="Renovación registrada","",ROUND(MAX(0,IF(U101&lt;=0,0,WORKDAY(F101,INT(U101),FERIADOS)-F101+(U101-INT(U101))))*V101,0)+IF(D101="Obra o faena",ROUND(OBRA_DIAS*K101/30*(DATEDIF(E101,F101+1,"m")+IF(F101+1-EDATE(E101,DATEDIF(E101,F101+1,"m"))&gt;15,1,0)),0),0)))</f>
        <v/>
      </c>
      <c r="T101" s="70" t="str">
        <f aca="false">IF(G101&lt;&gt;"Sí","",IF(D101="Plazo fijo","Despido antes del vencimiento: además existe riesgo de demanda por las remuneraciones hasta el término del plazo",IF(D101="Obra o faena","Al concluir la obra corresponde indemnización de 2,5 días por mes (incluida en la columna S); no IAS",IF(I101=0,"Menos de 1 año: no corresponde IAS (Art. 163)",IF(I101=TOPE_IAS_ANIOS,"IAS en el tope de 11 años","")))))</f>
        <v/>
      </c>
      <c r="U101" s="95" t="str">
        <f aca="false">IF(OR(G101&lt;&gt;"Sí",NOT(ISNUMBER(F101))),"",IF(F101&lt;FQ_FECHA,"",(1.25*(DATEDIF(E101,F101+1,"m")+(F101+1-EDATE(E101,DATEDIF(E101,F101+1,"m")))/30)+SUMPRODUCT((ANIOS&lt;=DATEDIF(E101,F101+1,"y"))*(X101+ANIOS-10&gt;0)*INT((X101+ANIOS-10)/3))-(SUMIFS(V_DIAS,V_ID,B101,V_INICIO,"&lt;="&amp;F101)+Y101))))</f>
        <v/>
      </c>
      <c r="V101" s="71" t="str">
        <f aca="false">IF(G101&lt;&gt;"Sí","",(N(INDEX(T_SUELDO,92))+N(INDEX(T_BONO,92)))/30)</f>
        <v/>
      </c>
      <c r="W101" s="71" t="str">
        <f aca="false">IF(G101&lt;&gt;"Sí","",N(INDEX(T_SUELDO,92))+N(INDEX(T_BONO,92))+IF(LEFT(INDEX(T_GRAT,92)&amp;"",6)="Art. 5",MIN(GRAT_PCT*(N(INDEX(T_SUELDO,92))+N(INDEX(T_BONO,92))),GRAT_TOPE_MES),0))</f>
        <v/>
      </c>
      <c r="X101" s="72" t="str">
        <f aca="false">IF(B101="","",MIN(10,N(INDEX(T_PREV,92))))</f>
        <v/>
      </c>
      <c r="Y101" s="72" t="str">
        <f aca="false">IF(B101="","",N(INDEX(T_VACPREV,92)))</f>
        <v/>
      </c>
      <c r="Z101" s="75" t="str">
        <f aca="false">IF(B101="","",N(INDEX(T_EGRESO,92)))</f>
        <v/>
      </c>
    </row>
    <row r="102" customFormat="false" ht="15" hidden="false" customHeight="false" outlineLevel="0" collapsed="false">
      <c r="B102" s="70" t="str">
        <f aca="false">IFERROR(IF(INDEX(T_ID,93)="","",INDEX(T_ID,93)),"")</f>
        <v/>
      </c>
      <c r="C102" s="70" t="str">
        <f aca="false">IF(B102="","",INDEX(T_NOMBRE,93)&amp;"")</f>
        <v/>
      </c>
      <c r="D102" s="70" t="str">
        <f aca="false">IF(B102="","",INDEX(T_TIPO,93)&amp;"")</f>
        <v/>
      </c>
      <c r="E102" s="75" t="str">
        <f aca="false">IF(B102="","",INDEX(T_INGRESO,93))</f>
        <v/>
      </c>
      <c r="F102" s="75" t="str">
        <f aca="false">IF(B102="","",IF(ISNUMBER(INDEX(CC_VENCE,93)),INDEX(CC_VENCE,93),""))</f>
        <v/>
      </c>
      <c r="G102" s="70" t="str">
        <f aca="false">IF(OR(B102="",NOT(ISNUMBER(E102))),"",IF(AND(E102&lt;=FQ_FECHA,OR(Z102=0,Z102&gt;=FQ_FECHA)),"Sí","No"))</f>
        <v/>
      </c>
      <c r="H102" s="94" t="str">
        <f aca="false">IF(G102&lt;&gt;"Sí","",ROUND((FQ_FECHA+1-E102)/365.25,1))</f>
        <v/>
      </c>
      <c r="I102" s="73" t="str">
        <f aca="false">IF(G102&lt;&gt;"Sí","",IF(DATEDIF(E102,FQ_FECHA+1,"y")&lt;1,0,MIN(TOPE_IAS_ANIOS,DATEDIF(E102,FQ_FECHA+1,"y")+IF(EDATE(E102,12*DATEDIF(E102,FQ_FECHA+1,"y")+6)&lt;FQ_FECHA+1,1,0))))</f>
        <v/>
      </c>
      <c r="J102" s="71" t="str">
        <f aca="false">IF(G102&lt;&gt;"Sí","",W102+N(INDEX(T_COL,93))+N(INDEX(T_MOV,93)))</f>
        <v/>
      </c>
      <c r="K102" s="71" t="str">
        <f aca="false">IF(G102&lt;&gt;"Sí","",MIN(J102,TOPE_IAS_UF*UF_HOY))</f>
        <v/>
      </c>
      <c r="L102" s="95" t="str">
        <f aca="false">IF(G102&lt;&gt;"Sí","",(1.25*(DATEDIF(E102,FQ_FECHA+1,"m")+(FQ_FECHA+1-EDATE(E102,DATEDIF(E102,FQ_FECHA+1,"m")))/30)+SUMPRODUCT((ANIOS&lt;=DATEDIF(E102,FQ_FECHA+1,"y"))*(X102+ANIOS-10&gt;0)*INT((X102+ANIOS-10)/3))-(SUMIFS(V_DIAS,V_ID,B102,V_INICIO,"&lt;="&amp;FQ_FECHA)+Y102)))</f>
        <v/>
      </c>
      <c r="M102" s="71" t="str">
        <f aca="false">IF(G102&lt;&gt;"Sí","",ROUND(MAX(0,IF(L102&lt;=0,0,WORKDAY(FQ_FECHA,INT(L102),FERIADOS)-FQ_FECHA+(L102-INT(L102))))*V102,0))</f>
        <v/>
      </c>
      <c r="N102" s="71" t="str">
        <f aca="false">IF(G102&lt;&gt;"Sí","",IF(D102="Obra o faena",0,ROUND(K102*I102,0)))</f>
        <v/>
      </c>
      <c r="O102" s="71" t="str">
        <f aca="false">IF(G102&lt;&gt;"Sí","",IF(OR(D102="Obra o faena",FQ_AVISO="Sí"),0,ROUND(K102,0)))</f>
        <v/>
      </c>
      <c r="P102" s="71" t="str">
        <f aca="false">IF(G102&lt;&gt;"Sí","",IF(AND(IMPUTAR_AFC="Sí",N102&gt;0),-MIN(N102,ROUND(AFC_IMPUTABLE_PCT*MIN(W102,TOPE_AFC_UF*UF_HOY)*DATEDIF(E102,FQ_FECHA+1,"m"),0)),0))</f>
        <v/>
      </c>
      <c r="Q102" s="85" t="str">
        <f aca="false">IF(G102&lt;&gt;"Sí","",M102+N102+O102+P102)</f>
        <v/>
      </c>
      <c r="R102" s="85" t="str">
        <f aca="false">IF(G102&lt;&gt;"Sí","",M102)</f>
        <v/>
      </c>
      <c r="S102" s="85" t="str">
        <f aca="false">IF(U102="","",IF(INDEX(CC_ESTADOC,93)="Renovación registrada","",ROUND(MAX(0,IF(U102&lt;=0,0,WORKDAY(F102,INT(U102),FERIADOS)-F102+(U102-INT(U102))))*V102,0)+IF(D102="Obra o faena",ROUND(OBRA_DIAS*K102/30*(DATEDIF(E102,F102+1,"m")+IF(F102+1-EDATE(E102,DATEDIF(E102,F102+1,"m"))&gt;15,1,0)),0),0)))</f>
        <v/>
      </c>
      <c r="T102" s="70" t="str">
        <f aca="false">IF(G102&lt;&gt;"Sí","",IF(D102="Plazo fijo","Despido antes del vencimiento: además existe riesgo de demanda por las remuneraciones hasta el término del plazo",IF(D102="Obra o faena","Al concluir la obra corresponde indemnización de 2,5 días por mes (incluida en la columna S); no IAS",IF(I102=0,"Menos de 1 año: no corresponde IAS (Art. 163)",IF(I102=TOPE_IAS_ANIOS,"IAS en el tope de 11 años","")))))</f>
        <v/>
      </c>
      <c r="U102" s="95" t="str">
        <f aca="false">IF(OR(G102&lt;&gt;"Sí",NOT(ISNUMBER(F102))),"",IF(F102&lt;FQ_FECHA,"",(1.25*(DATEDIF(E102,F102+1,"m")+(F102+1-EDATE(E102,DATEDIF(E102,F102+1,"m")))/30)+SUMPRODUCT((ANIOS&lt;=DATEDIF(E102,F102+1,"y"))*(X102+ANIOS-10&gt;0)*INT((X102+ANIOS-10)/3))-(SUMIFS(V_DIAS,V_ID,B102,V_INICIO,"&lt;="&amp;F102)+Y102))))</f>
        <v/>
      </c>
      <c r="V102" s="71" t="str">
        <f aca="false">IF(G102&lt;&gt;"Sí","",(N(INDEX(T_SUELDO,93))+N(INDEX(T_BONO,93)))/30)</f>
        <v/>
      </c>
      <c r="W102" s="71" t="str">
        <f aca="false">IF(G102&lt;&gt;"Sí","",N(INDEX(T_SUELDO,93))+N(INDEX(T_BONO,93))+IF(LEFT(INDEX(T_GRAT,93)&amp;"",6)="Art. 5",MIN(GRAT_PCT*(N(INDEX(T_SUELDO,93))+N(INDEX(T_BONO,93))),GRAT_TOPE_MES),0))</f>
        <v/>
      </c>
      <c r="X102" s="72" t="str">
        <f aca="false">IF(B102="","",MIN(10,N(INDEX(T_PREV,93))))</f>
        <v/>
      </c>
      <c r="Y102" s="72" t="str">
        <f aca="false">IF(B102="","",N(INDEX(T_VACPREV,93)))</f>
        <v/>
      </c>
      <c r="Z102" s="75" t="str">
        <f aca="false">IF(B102="","",N(INDEX(T_EGRESO,93)))</f>
        <v/>
      </c>
    </row>
    <row r="103" customFormat="false" ht="15" hidden="false" customHeight="false" outlineLevel="0" collapsed="false">
      <c r="B103" s="70" t="str">
        <f aca="false">IFERROR(IF(INDEX(T_ID,94)="","",INDEX(T_ID,94)),"")</f>
        <v/>
      </c>
      <c r="C103" s="70" t="str">
        <f aca="false">IF(B103="","",INDEX(T_NOMBRE,94)&amp;"")</f>
        <v/>
      </c>
      <c r="D103" s="70" t="str">
        <f aca="false">IF(B103="","",INDEX(T_TIPO,94)&amp;"")</f>
        <v/>
      </c>
      <c r="E103" s="75" t="str">
        <f aca="false">IF(B103="","",INDEX(T_INGRESO,94))</f>
        <v/>
      </c>
      <c r="F103" s="75" t="str">
        <f aca="false">IF(B103="","",IF(ISNUMBER(INDEX(CC_VENCE,94)),INDEX(CC_VENCE,94),""))</f>
        <v/>
      </c>
      <c r="G103" s="70" t="str">
        <f aca="false">IF(OR(B103="",NOT(ISNUMBER(E103))),"",IF(AND(E103&lt;=FQ_FECHA,OR(Z103=0,Z103&gt;=FQ_FECHA)),"Sí","No"))</f>
        <v/>
      </c>
      <c r="H103" s="94" t="str">
        <f aca="false">IF(G103&lt;&gt;"Sí","",ROUND((FQ_FECHA+1-E103)/365.25,1))</f>
        <v/>
      </c>
      <c r="I103" s="73" t="str">
        <f aca="false">IF(G103&lt;&gt;"Sí","",IF(DATEDIF(E103,FQ_FECHA+1,"y")&lt;1,0,MIN(TOPE_IAS_ANIOS,DATEDIF(E103,FQ_FECHA+1,"y")+IF(EDATE(E103,12*DATEDIF(E103,FQ_FECHA+1,"y")+6)&lt;FQ_FECHA+1,1,0))))</f>
        <v/>
      </c>
      <c r="J103" s="71" t="str">
        <f aca="false">IF(G103&lt;&gt;"Sí","",W103+N(INDEX(T_COL,94))+N(INDEX(T_MOV,94)))</f>
        <v/>
      </c>
      <c r="K103" s="71" t="str">
        <f aca="false">IF(G103&lt;&gt;"Sí","",MIN(J103,TOPE_IAS_UF*UF_HOY))</f>
        <v/>
      </c>
      <c r="L103" s="95" t="str">
        <f aca="false">IF(G103&lt;&gt;"Sí","",(1.25*(DATEDIF(E103,FQ_FECHA+1,"m")+(FQ_FECHA+1-EDATE(E103,DATEDIF(E103,FQ_FECHA+1,"m")))/30)+SUMPRODUCT((ANIOS&lt;=DATEDIF(E103,FQ_FECHA+1,"y"))*(X103+ANIOS-10&gt;0)*INT((X103+ANIOS-10)/3))-(SUMIFS(V_DIAS,V_ID,B103,V_INICIO,"&lt;="&amp;FQ_FECHA)+Y103)))</f>
        <v/>
      </c>
      <c r="M103" s="71" t="str">
        <f aca="false">IF(G103&lt;&gt;"Sí","",ROUND(MAX(0,IF(L103&lt;=0,0,WORKDAY(FQ_FECHA,INT(L103),FERIADOS)-FQ_FECHA+(L103-INT(L103))))*V103,0))</f>
        <v/>
      </c>
      <c r="N103" s="71" t="str">
        <f aca="false">IF(G103&lt;&gt;"Sí","",IF(D103="Obra o faena",0,ROUND(K103*I103,0)))</f>
        <v/>
      </c>
      <c r="O103" s="71" t="str">
        <f aca="false">IF(G103&lt;&gt;"Sí","",IF(OR(D103="Obra o faena",FQ_AVISO="Sí"),0,ROUND(K103,0)))</f>
        <v/>
      </c>
      <c r="P103" s="71" t="str">
        <f aca="false">IF(G103&lt;&gt;"Sí","",IF(AND(IMPUTAR_AFC="Sí",N103&gt;0),-MIN(N103,ROUND(AFC_IMPUTABLE_PCT*MIN(W103,TOPE_AFC_UF*UF_HOY)*DATEDIF(E103,FQ_FECHA+1,"m"),0)),0))</f>
        <v/>
      </c>
      <c r="Q103" s="85" t="str">
        <f aca="false">IF(G103&lt;&gt;"Sí","",M103+N103+O103+P103)</f>
        <v/>
      </c>
      <c r="R103" s="85" t="str">
        <f aca="false">IF(G103&lt;&gt;"Sí","",M103)</f>
        <v/>
      </c>
      <c r="S103" s="85" t="str">
        <f aca="false">IF(U103="","",IF(INDEX(CC_ESTADOC,94)="Renovación registrada","",ROUND(MAX(0,IF(U103&lt;=0,0,WORKDAY(F103,INT(U103),FERIADOS)-F103+(U103-INT(U103))))*V103,0)+IF(D103="Obra o faena",ROUND(OBRA_DIAS*K103/30*(DATEDIF(E103,F103+1,"m")+IF(F103+1-EDATE(E103,DATEDIF(E103,F103+1,"m"))&gt;15,1,0)),0),0)))</f>
        <v/>
      </c>
      <c r="T103" s="70" t="str">
        <f aca="false">IF(G103&lt;&gt;"Sí","",IF(D103="Plazo fijo","Despido antes del vencimiento: además existe riesgo de demanda por las remuneraciones hasta el término del plazo",IF(D103="Obra o faena","Al concluir la obra corresponde indemnización de 2,5 días por mes (incluida en la columna S); no IAS",IF(I103=0,"Menos de 1 año: no corresponde IAS (Art. 163)",IF(I103=TOPE_IAS_ANIOS,"IAS en el tope de 11 años","")))))</f>
        <v/>
      </c>
      <c r="U103" s="95" t="str">
        <f aca="false">IF(OR(G103&lt;&gt;"Sí",NOT(ISNUMBER(F103))),"",IF(F103&lt;FQ_FECHA,"",(1.25*(DATEDIF(E103,F103+1,"m")+(F103+1-EDATE(E103,DATEDIF(E103,F103+1,"m")))/30)+SUMPRODUCT((ANIOS&lt;=DATEDIF(E103,F103+1,"y"))*(X103+ANIOS-10&gt;0)*INT((X103+ANIOS-10)/3))-(SUMIFS(V_DIAS,V_ID,B103,V_INICIO,"&lt;="&amp;F103)+Y103))))</f>
        <v/>
      </c>
      <c r="V103" s="71" t="str">
        <f aca="false">IF(G103&lt;&gt;"Sí","",(N(INDEX(T_SUELDO,94))+N(INDEX(T_BONO,94)))/30)</f>
        <v/>
      </c>
      <c r="W103" s="71" t="str">
        <f aca="false">IF(G103&lt;&gt;"Sí","",N(INDEX(T_SUELDO,94))+N(INDEX(T_BONO,94))+IF(LEFT(INDEX(T_GRAT,94)&amp;"",6)="Art. 5",MIN(GRAT_PCT*(N(INDEX(T_SUELDO,94))+N(INDEX(T_BONO,94))),GRAT_TOPE_MES),0))</f>
        <v/>
      </c>
      <c r="X103" s="72" t="str">
        <f aca="false">IF(B103="","",MIN(10,N(INDEX(T_PREV,94))))</f>
        <v/>
      </c>
      <c r="Y103" s="72" t="str">
        <f aca="false">IF(B103="","",N(INDEX(T_VACPREV,94)))</f>
        <v/>
      </c>
      <c r="Z103" s="75" t="str">
        <f aca="false">IF(B103="","",N(INDEX(T_EGRESO,94)))</f>
        <v/>
      </c>
    </row>
    <row r="104" customFormat="false" ht="15" hidden="false" customHeight="false" outlineLevel="0" collapsed="false">
      <c r="B104" s="70" t="str">
        <f aca="false">IFERROR(IF(INDEX(T_ID,95)="","",INDEX(T_ID,95)),"")</f>
        <v/>
      </c>
      <c r="C104" s="70" t="str">
        <f aca="false">IF(B104="","",INDEX(T_NOMBRE,95)&amp;"")</f>
        <v/>
      </c>
      <c r="D104" s="70" t="str">
        <f aca="false">IF(B104="","",INDEX(T_TIPO,95)&amp;"")</f>
        <v/>
      </c>
      <c r="E104" s="75" t="str">
        <f aca="false">IF(B104="","",INDEX(T_INGRESO,95))</f>
        <v/>
      </c>
      <c r="F104" s="75" t="str">
        <f aca="false">IF(B104="","",IF(ISNUMBER(INDEX(CC_VENCE,95)),INDEX(CC_VENCE,95),""))</f>
        <v/>
      </c>
      <c r="G104" s="70" t="str">
        <f aca="false">IF(OR(B104="",NOT(ISNUMBER(E104))),"",IF(AND(E104&lt;=FQ_FECHA,OR(Z104=0,Z104&gt;=FQ_FECHA)),"Sí","No"))</f>
        <v/>
      </c>
      <c r="H104" s="94" t="str">
        <f aca="false">IF(G104&lt;&gt;"Sí","",ROUND((FQ_FECHA+1-E104)/365.25,1))</f>
        <v/>
      </c>
      <c r="I104" s="73" t="str">
        <f aca="false">IF(G104&lt;&gt;"Sí","",IF(DATEDIF(E104,FQ_FECHA+1,"y")&lt;1,0,MIN(TOPE_IAS_ANIOS,DATEDIF(E104,FQ_FECHA+1,"y")+IF(EDATE(E104,12*DATEDIF(E104,FQ_FECHA+1,"y")+6)&lt;FQ_FECHA+1,1,0))))</f>
        <v/>
      </c>
      <c r="J104" s="71" t="str">
        <f aca="false">IF(G104&lt;&gt;"Sí","",W104+N(INDEX(T_COL,95))+N(INDEX(T_MOV,95)))</f>
        <v/>
      </c>
      <c r="K104" s="71" t="str">
        <f aca="false">IF(G104&lt;&gt;"Sí","",MIN(J104,TOPE_IAS_UF*UF_HOY))</f>
        <v/>
      </c>
      <c r="L104" s="95" t="str">
        <f aca="false">IF(G104&lt;&gt;"Sí","",(1.25*(DATEDIF(E104,FQ_FECHA+1,"m")+(FQ_FECHA+1-EDATE(E104,DATEDIF(E104,FQ_FECHA+1,"m")))/30)+SUMPRODUCT((ANIOS&lt;=DATEDIF(E104,FQ_FECHA+1,"y"))*(X104+ANIOS-10&gt;0)*INT((X104+ANIOS-10)/3))-(SUMIFS(V_DIAS,V_ID,B104,V_INICIO,"&lt;="&amp;FQ_FECHA)+Y104)))</f>
        <v/>
      </c>
      <c r="M104" s="71" t="str">
        <f aca="false">IF(G104&lt;&gt;"Sí","",ROUND(MAX(0,IF(L104&lt;=0,0,WORKDAY(FQ_FECHA,INT(L104),FERIADOS)-FQ_FECHA+(L104-INT(L104))))*V104,0))</f>
        <v/>
      </c>
      <c r="N104" s="71" t="str">
        <f aca="false">IF(G104&lt;&gt;"Sí","",IF(D104="Obra o faena",0,ROUND(K104*I104,0)))</f>
        <v/>
      </c>
      <c r="O104" s="71" t="str">
        <f aca="false">IF(G104&lt;&gt;"Sí","",IF(OR(D104="Obra o faena",FQ_AVISO="Sí"),0,ROUND(K104,0)))</f>
        <v/>
      </c>
      <c r="P104" s="71" t="str">
        <f aca="false">IF(G104&lt;&gt;"Sí","",IF(AND(IMPUTAR_AFC="Sí",N104&gt;0),-MIN(N104,ROUND(AFC_IMPUTABLE_PCT*MIN(W104,TOPE_AFC_UF*UF_HOY)*DATEDIF(E104,FQ_FECHA+1,"m"),0)),0))</f>
        <v/>
      </c>
      <c r="Q104" s="85" t="str">
        <f aca="false">IF(G104&lt;&gt;"Sí","",M104+N104+O104+P104)</f>
        <v/>
      </c>
      <c r="R104" s="85" t="str">
        <f aca="false">IF(G104&lt;&gt;"Sí","",M104)</f>
        <v/>
      </c>
      <c r="S104" s="85" t="str">
        <f aca="false">IF(U104="","",IF(INDEX(CC_ESTADOC,95)="Renovación registrada","",ROUND(MAX(0,IF(U104&lt;=0,0,WORKDAY(F104,INT(U104),FERIADOS)-F104+(U104-INT(U104))))*V104,0)+IF(D104="Obra o faena",ROUND(OBRA_DIAS*K104/30*(DATEDIF(E104,F104+1,"m")+IF(F104+1-EDATE(E104,DATEDIF(E104,F104+1,"m"))&gt;15,1,0)),0),0)))</f>
        <v/>
      </c>
      <c r="T104" s="70" t="str">
        <f aca="false">IF(G104&lt;&gt;"Sí","",IF(D104="Plazo fijo","Despido antes del vencimiento: además existe riesgo de demanda por las remuneraciones hasta el término del plazo",IF(D104="Obra o faena","Al concluir la obra corresponde indemnización de 2,5 días por mes (incluida en la columna S); no IAS",IF(I104=0,"Menos de 1 año: no corresponde IAS (Art. 163)",IF(I104=TOPE_IAS_ANIOS,"IAS en el tope de 11 años","")))))</f>
        <v/>
      </c>
      <c r="U104" s="95" t="str">
        <f aca="false">IF(OR(G104&lt;&gt;"Sí",NOT(ISNUMBER(F104))),"",IF(F104&lt;FQ_FECHA,"",(1.25*(DATEDIF(E104,F104+1,"m")+(F104+1-EDATE(E104,DATEDIF(E104,F104+1,"m")))/30)+SUMPRODUCT((ANIOS&lt;=DATEDIF(E104,F104+1,"y"))*(X104+ANIOS-10&gt;0)*INT((X104+ANIOS-10)/3))-(SUMIFS(V_DIAS,V_ID,B104,V_INICIO,"&lt;="&amp;F104)+Y104))))</f>
        <v/>
      </c>
      <c r="V104" s="71" t="str">
        <f aca="false">IF(G104&lt;&gt;"Sí","",(N(INDEX(T_SUELDO,95))+N(INDEX(T_BONO,95)))/30)</f>
        <v/>
      </c>
      <c r="W104" s="71" t="str">
        <f aca="false">IF(G104&lt;&gt;"Sí","",N(INDEX(T_SUELDO,95))+N(INDEX(T_BONO,95))+IF(LEFT(INDEX(T_GRAT,95)&amp;"",6)="Art. 5",MIN(GRAT_PCT*(N(INDEX(T_SUELDO,95))+N(INDEX(T_BONO,95))),GRAT_TOPE_MES),0))</f>
        <v/>
      </c>
      <c r="X104" s="72" t="str">
        <f aca="false">IF(B104="","",MIN(10,N(INDEX(T_PREV,95))))</f>
        <v/>
      </c>
      <c r="Y104" s="72" t="str">
        <f aca="false">IF(B104="","",N(INDEX(T_VACPREV,95)))</f>
        <v/>
      </c>
      <c r="Z104" s="75" t="str">
        <f aca="false">IF(B104="","",N(INDEX(T_EGRESO,95)))</f>
        <v/>
      </c>
    </row>
    <row r="105" customFormat="false" ht="15" hidden="false" customHeight="false" outlineLevel="0" collapsed="false">
      <c r="B105" s="70" t="str">
        <f aca="false">IFERROR(IF(INDEX(T_ID,96)="","",INDEX(T_ID,96)),"")</f>
        <v/>
      </c>
      <c r="C105" s="70" t="str">
        <f aca="false">IF(B105="","",INDEX(T_NOMBRE,96)&amp;"")</f>
        <v/>
      </c>
      <c r="D105" s="70" t="str">
        <f aca="false">IF(B105="","",INDEX(T_TIPO,96)&amp;"")</f>
        <v/>
      </c>
      <c r="E105" s="75" t="str">
        <f aca="false">IF(B105="","",INDEX(T_INGRESO,96))</f>
        <v/>
      </c>
      <c r="F105" s="75" t="str">
        <f aca="false">IF(B105="","",IF(ISNUMBER(INDEX(CC_VENCE,96)),INDEX(CC_VENCE,96),""))</f>
        <v/>
      </c>
      <c r="G105" s="70" t="str">
        <f aca="false">IF(OR(B105="",NOT(ISNUMBER(E105))),"",IF(AND(E105&lt;=FQ_FECHA,OR(Z105=0,Z105&gt;=FQ_FECHA)),"Sí","No"))</f>
        <v/>
      </c>
      <c r="H105" s="94" t="str">
        <f aca="false">IF(G105&lt;&gt;"Sí","",ROUND((FQ_FECHA+1-E105)/365.25,1))</f>
        <v/>
      </c>
      <c r="I105" s="73" t="str">
        <f aca="false">IF(G105&lt;&gt;"Sí","",IF(DATEDIF(E105,FQ_FECHA+1,"y")&lt;1,0,MIN(TOPE_IAS_ANIOS,DATEDIF(E105,FQ_FECHA+1,"y")+IF(EDATE(E105,12*DATEDIF(E105,FQ_FECHA+1,"y")+6)&lt;FQ_FECHA+1,1,0))))</f>
        <v/>
      </c>
      <c r="J105" s="71" t="str">
        <f aca="false">IF(G105&lt;&gt;"Sí","",W105+N(INDEX(T_COL,96))+N(INDEX(T_MOV,96)))</f>
        <v/>
      </c>
      <c r="K105" s="71" t="str">
        <f aca="false">IF(G105&lt;&gt;"Sí","",MIN(J105,TOPE_IAS_UF*UF_HOY))</f>
        <v/>
      </c>
      <c r="L105" s="95" t="str">
        <f aca="false">IF(G105&lt;&gt;"Sí","",(1.25*(DATEDIF(E105,FQ_FECHA+1,"m")+(FQ_FECHA+1-EDATE(E105,DATEDIF(E105,FQ_FECHA+1,"m")))/30)+SUMPRODUCT((ANIOS&lt;=DATEDIF(E105,FQ_FECHA+1,"y"))*(X105+ANIOS-10&gt;0)*INT((X105+ANIOS-10)/3))-(SUMIFS(V_DIAS,V_ID,B105,V_INICIO,"&lt;="&amp;FQ_FECHA)+Y105)))</f>
        <v/>
      </c>
      <c r="M105" s="71" t="str">
        <f aca="false">IF(G105&lt;&gt;"Sí","",ROUND(MAX(0,IF(L105&lt;=0,0,WORKDAY(FQ_FECHA,INT(L105),FERIADOS)-FQ_FECHA+(L105-INT(L105))))*V105,0))</f>
        <v/>
      </c>
      <c r="N105" s="71" t="str">
        <f aca="false">IF(G105&lt;&gt;"Sí","",IF(D105="Obra o faena",0,ROUND(K105*I105,0)))</f>
        <v/>
      </c>
      <c r="O105" s="71" t="str">
        <f aca="false">IF(G105&lt;&gt;"Sí","",IF(OR(D105="Obra o faena",FQ_AVISO="Sí"),0,ROUND(K105,0)))</f>
        <v/>
      </c>
      <c r="P105" s="71" t="str">
        <f aca="false">IF(G105&lt;&gt;"Sí","",IF(AND(IMPUTAR_AFC="Sí",N105&gt;0),-MIN(N105,ROUND(AFC_IMPUTABLE_PCT*MIN(W105,TOPE_AFC_UF*UF_HOY)*DATEDIF(E105,FQ_FECHA+1,"m"),0)),0))</f>
        <v/>
      </c>
      <c r="Q105" s="85" t="str">
        <f aca="false">IF(G105&lt;&gt;"Sí","",M105+N105+O105+P105)</f>
        <v/>
      </c>
      <c r="R105" s="85" t="str">
        <f aca="false">IF(G105&lt;&gt;"Sí","",M105)</f>
        <v/>
      </c>
      <c r="S105" s="85" t="str">
        <f aca="false">IF(U105="","",IF(INDEX(CC_ESTADOC,96)="Renovación registrada","",ROUND(MAX(0,IF(U105&lt;=0,0,WORKDAY(F105,INT(U105),FERIADOS)-F105+(U105-INT(U105))))*V105,0)+IF(D105="Obra o faena",ROUND(OBRA_DIAS*K105/30*(DATEDIF(E105,F105+1,"m")+IF(F105+1-EDATE(E105,DATEDIF(E105,F105+1,"m"))&gt;15,1,0)),0),0)))</f>
        <v/>
      </c>
      <c r="T105" s="70" t="str">
        <f aca="false">IF(G105&lt;&gt;"Sí","",IF(D105="Plazo fijo","Despido antes del vencimiento: además existe riesgo de demanda por las remuneraciones hasta el término del plazo",IF(D105="Obra o faena","Al concluir la obra corresponde indemnización de 2,5 días por mes (incluida en la columna S); no IAS",IF(I105=0,"Menos de 1 año: no corresponde IAS (Art. 163)",IF(I105=TOPE_IAS_ANIOS,"IAS en el tope de 11 años","")))))</f>
        <v/>
      </c>
      <c r="U105" s="95" t="str">
        <f aca="false">IF(OR(G105&lt;&gt;"Sí",NOT(ISNUMBER(F105))),"",IF(F105&lt;FQ_FECHA,"",(1.25*(DATEDIF(E105,F105+1,"m")+(F105+1-EDATE(E105,DATEDIF(E105,F105+1,"m")))/30)+SUMPRODUCT((ANIOS&lt;=DATEDIF(E105,F105+1,"y"))*(X105+ANIOS-10&gt;0)*INT((X105+ANIOS-10)/3))-(SUMIFS(V_DIAS,V_ID,B105,V_INICIO,"&lt;="&amp;F105)+Y105))))</f>
        <v/>
      </c>
      <c r="V105" s="71" t="str">
        <f aca="false">IF(G105&lt;&gt;"Sí","",(N(INDEX(T_SUELDO,96))+N(INDEX(T_BONO,96)))/30)</f>
        <v/>
      </c>
      <c r="W105" s="71" t="str">
        <f aca="false">IF(G105&lt;&gt;"Sí","",N(INDEX(T_SUELDO,96))+N(INDEX(T_BONO,96))+IF(LEFT(INDEX(T_GRAT,96)&amp;"",6)="Art. 5",MIN(GRAT_PCT*(N(INDEX(T_SUELDO,96))+N(INDEX(T_BONO,96))),GRAT_TOPE_MES),0))</f>
        <v/>
      </c>
      <c r="X105" s="72" t="str">
        <f aca="false">IF(B105="","",MIN(10,N(INDEX(T_PREV,96))))</f>
        <v/>
      </c>
      <c r="Y105" s="72" t="str">
        <f aca="false">IF(B105="","",N(INDEX(T_VACPREV,96)))</f>
        <v/>
      </c>
      <c r="Z105" s="75" t="str">
        <f aca="false">IF(B105="","",N(INDEX(T_EGRESO,96)))</f>
        <v/>
      </c>
    </row>
    <row r="106" customFormat="false" ht="15" hidden="false" customHeight="false" outlineLevel="0" collapsed="false">
      <c r="B106" s="70" t="str">
        <f aca="false">IFERROR(IF(INDEX(T_ID,97)="","",INDEX(T_ID,97)),"")</f>
        <v/>
      </c>
      <c r="C106" s="70" t="str">
        <f aca="false">IF(B106="","",INDEX(T_NOMBRE,97)&amp;"")</f>
        <v/>
      </c>
      <c r="D106" s="70" t="str">
        <f aca="false">IF(B106="","",INDEX(T_TIPO,97)&amp;"")</f>
        <v/>
      </c>
      <c r="E106" s="75" t="str">
        <f aca="false">IF(B106="","",INDEX(T_INGRESO,97))</f>
        <v/>
      </c>
      <c r="F106" s="75" t="str">
        <f aca="false">IF(B106="","",IF(ISNUMBER(INDEX(CC_VENCE,97)),INDEX(CC_VENCE,97),""))</f>
        <v/>
      </c>
      <c r="G106" s="70" t="str">
        <f aca="false">IF(OR(B106="",NOT(ISNUMBER(E106))),"",IF(AND(E106&lt;=FQ_FECHA,OR(Z106=0,Z106&gt;=FQ_FECHA)),"Sí","No"))</f>
        <v/>
      </c>
      <c r="H106" s="94" t="str">
        <f aca="false">IF(G106&lt;&gt;"Sí","",ROUND((FQ_FECHA+1-E106)/365.25,1))</f>
        <v/>
      </c>
      <c r="I106" s="73" t="str">
        <f aca="false">IF(G106&lt;&gt;"Sí","",IF(DATEDIF(E106,FQ_FECHA+1,"y")&lt;1,0,MIN(TOPE_IAS_ANIOS,DATEDIF(E106,FQ_FECHA+1,"y")+IF(EDATE(E106,12*DATEDIF(E106,FQ_FECHA+1,"y")+6)&lt;FQ_FECHA+1,1,0))))</f>
        <v/>
      </c>
      <c r="J106" s="71" t="str">
        <f aca="false">IF(G106&lt;&gt;"Sí","",W106+N(INDEX(T_COL,97))+N(INDEX(T_MOV,97)))</f>
        <v/>
      </c>
      <c r="K106" s="71" t="str">
        <f aca="false">IF(G106&lt;&gt;"Sí","",MIN(J106,TOPE_IAS_UF*UF_HOY))</f>
        <v/>
      </c>
      <c r="L106" s="95" t="str">
        <f aca="false">IF(G106&lt;&gt;"Sí","",(1.25*(DATEDIF(E106,FQ_FECHA+1,"m")+(FQ_FECHA+1-EDATE(E106,DATEDIF(E106,FQ_FECHA+1,"m")))/30)+SUMPRODUCT((ANIOS&lt;=DATEDIF(E106,FQ_FECHA+1,"y"))*(X106+ANIOS-10&gt;0)*INT((X106+ANIOS-10)/3))-(SUMIFS(V_DIAS,V_ID,B106,V_INICIO,"&lt;="&amp;FQ_FECHA)+Y106)))</f>
        <v/>
      </c>
      <c r="M106" s="71" t="str">
        <f aca="false">IF(G106&lt;&gt;"Sí","",ROUND(MAX(0,IF(L106&lt;=0,0,WORKDAY(FQ_FECHA,INT(L106),FERIADOS)-FQ_FECHA+(L106-INT(L106))))*V106,0))</f>
        <v/>
      </c>
      <c r="N106" s="71" t="str">
        <f aca="false">IF(G106&lt;&gt;"Sí","",IF(D106="Obra o faena",0,ROUND(K106*I106,0)))</f>
        <v/>
      </c>
      <c r="O106" s="71" t="str">
        <f aca="false">IF(G106&lt;&gt;"Sí","",IF(OR(D106="Obra o faena",FQ_AVISO="Sí"),0,ROUND(K106,0)))</f>
        <v/>
      </c>
      <c r="P106" s="71" t="str">
        <f aca="false">IF(G106&lt;&gt;"Sí","",IF(AND(IMPUTAR_AFC="Sí",N106&gt;0),-MIN(N106,ROUND(AFC_IMPUTABLE_PCT*MIN(W106,TOPE_AFC_UF*UF_HOY)*DATEDIF(E106,FQ_FECHA+1,"m"),0)),0))</f>
        <v/>
      </c>
      <c r="Q106" s="85" t="str">
        <f aca="false">IF(G106&lt;&gt;"Sí","",M106+N106+O106+P106)</f>
        <v/>
      </c>
      <c r="R106" s="85" t="str">
        <f aca="false">IF(G106&lt;&gt;"Sí","",M106)</f>
        <v/>
      </c>
      <c r="S106" s="85" t="str">
        <f aca="false">IF(U106="","",IF(INDEX(CC_ESTADOC,97)="Renovación registrada","",ROUND(MAX(0,IF(U106&lt;=0,0,WORKDAY(F106,INT(U106),FERIADOS)-F106+(U106-INT(U106))))*V106,0)+IF(D106="Obra o faena",ROUND(OBRA_DIAS*K106/30*(DATEDIF(E106,F106+1,"m")+IF(F106+1-EDATE(E106,DATEDIF(E106,F106+1,"m"))&gt;15,1,0)),0),0)))</f>
        <v/>
      </c>
      <c r="T106" s="70" t="str">
        <f aca="false">IF(G106&lt;&gt;"Sí","",IF(D106="Plazo fijo","Despido antes del vencimiento: además existe riesgo de demanda por las remuneraciones hasta el término del plazo",IF(D106="Obra o faena","Al concluir la obra corresponde indemnización de 2,5 días por mes (incluida en la columna S); no IAS",IF(I106=0,"Menos de 1 año: no corresponde IAS (Art. 163)",IF(I106=TOPE_IAS_ANIOS,"IAS en el tope de 11 años","")))))</f>
        <v/>
      </c>
      <c r="U106" s="95" t="str">
        <f aca="false">IF(OR(G106&lt;&gt;"Sí",NOT(ISNUMBER(F106))),"",IF(F106&lt;FQ_FECHA,"",(1.25*(DATEDIF(E106,F106+1,"m")+(F106+1-EDATE(E106,DATEDIF(E106,F106+1,"m")))/30)+SUMPRODUCT((ANIOS&lt;=DATEDIF(E106,F106+1,"y"))*(X106+ANIOS-10&gt;0)*INT((X106+ANIOS-10)/3))-(SUMIFS(V_DIAS,V_ID,B106,V_INICIO,"&lt;="&amp;F106)+Y106))))</f>
        <v/>
      </c>
      <c r="V106" s="71" t="str">
        <f aca="false">IF(G106&lt;&gt;"Sí","",(N(INDEX(T_SUELDO,97))+N(INDEX(T_BONO,97)))/30)</f>
        <v/>
      </c>
      <c r="W106" s="71" t="str">
        <f aca="false">IF(G106&lt;&gt;"Sí","",N(INDEX(T_SUELDO,97))+N(INDEX(T_BONO,97))+IF(LEFT(INDEX(T_GRAT,97)&amp;"",6)="Art. 5",MIN(GRAT_PCT*(N(INDEX(T_SUELDO,97))+N(INDEX(T_BONO,97))),GRAT_TOPE_MES),0))</f>
        <v/>
      </c>
      <c r="X106" s="72" t="str">
        <f aca="false">IF(B106="","",MIN(10,N(INDEX(T_PREV,97))))</f>
        <v/>
      </c>
      <c r="Y106" s="72" t="str">
        <f aca="false">IF(B106="","",N(INDEX(T_VACPREV,97)))</f>
        <v/>
      </c>
      <c r="Z106" s="75" t="str">
        <f aca="false">IF(B106="","",N(INDEX(T_EGRESO,97)))</f>
        <v/>
      </c>
    </row>
    <row r="107" customFormat="false" ht="15" hidden="false" customHeight="false" outlineLevel="0" collapsed="false">
      <c r="B107" s="70" t="str">
        <f aca="false">IFERROR(IF(INDEX(T_ID,98)="","",INDEX(T_ID,98)),"")</f>
        <v/>
      </c>
      <c r="C107" s="70" t="str">
        <f aca="false">IF(B107="","",INDEX(T_NOMBRE,98)&amp;"")</f>
        <v/>
      </c>
      <c r="D107" s="70" t="str">
        <f aca="false">IF(B107="","",INDEX(T_TIPO,98)&amp;"")</f>
        <v/>
      </c>
      <c r="E107" s="75" t="str">
        <f aca="false">IF(B107="","",INDEX(T_INGRESO,98))</f>
        <v/>
      </c>
      <c r="F107" s="75" t="str">
        <f aca="false">IF(B107="","",IF(ISNUMBER(INDEX(CC_VENCE,98)),INDEX(CC_VENCE,98),""))</f>
        <v/>
      </c>
      <c r="G107" s="70" t="str">
        <f aca="false">IF(OR(B107="",NOT(ISNUMBER(E107))),"",IF(AND(E107&lt;=FQ_FECHA,OR(Z107=0,Z107&gt;=FQ_FECHA)),"Sí","No"))</f>
        <v/>
      </c>
      <c r="H107" s="94" t="str">
        <f aca="false">IF(G107&lt;&gt;"Sí","",ROUND((FQ_FECHA+1-E107)/365.25,1))</f>
        <v/>
      </c>
      <c r="I107" s="73" t="str">
        <f aca="false">IF(G107&lt;&gt;"Sí","",IF(DATEDIF(E107,FQ_FECHA+1,"y")&lt;1,0,MIN(TOPE_IAS_ANIOS,DATEDIF(E107,FQ_FECHA+1,"y")+IF(EDATE(E107,12*DATEDIF(E107,FQ_FECHA+1,"y")+6)&lt;FQ_FECHA+1,1,0))))</f>
        <v/>
      </c>
      <c r="J107" s="71" t="str">
        <f aca="false">IF(G107&lt;&gt;"Sí","",W107+N(INDEX(T_COL,98))+N(INDEX(T_MOV,98)))</f>
        <v/>
      </c>
      <c r="K107" s="71" t="str">
        <f aca="false">IF(G107&lt;&gt;"Sí","",MIN(J107,TOPE_IAS_UF*UF_HOY))</f>
        <v/>
      </c>
      <c r="L107" s="95" t="str">
        <f aca="false">IF(G107&lt;&gt;"Sí","",(1.25*(DATEDIF(E107,FQ_FECHA+1,"m")+(FQ_FECHA+1-EDATE(E107,DATEDIF(E107,FQ_FECHA+1,"m")))/30)+SUMPRODUCT((ANIOS&lt;=DATEDIF(E107,FQ_FECHA+1,"y"))*(X107+ANIOS-10&gt;0)*INT((X107+ANIOS-10)/3))-(SUMIFS(V_DIAS,V_ID,B107,V_INICIO,"&lt;="&amp;FQ_FECHA)+Y107)))</f>
        <v/>
      </c>
      <c r="M107" s="71" t="str">
        <f aca="false">IF(G107&lt;&gt;"Sí","",ROUND(MAX(0,IF(L107&lt;=0,0,WORKDAY(FQ_FECHA,INT(L107),FERIADOS)-FQ_FECHA+(L107-INT(L107))))*V107,0))</f>
        <v/>
      </c>
      <c r="N107" s="71" t="str">
        <f aca="false">IF(G107&lt;&gt;"Sí","",IF(D107="Obra o faena",0,ROUND(K107*I107,0)))</f>
        <v/>
      </c>
      <c r="O107" s="71" t="str">
        <f aca="false">IF(G107&lt;&gt;"Sí","",IF(OR(D107="Obra o faena",FQ_AVISO="Sí"),0,ROUND(K107,0)))</f>
        <v/>
      </c>
      <c r="P107" s="71" t="str">
        <f aca="false">IF(G107&lt;&gt;"Sí","",IF(AND(IMPUTAR_AFC="Sí",N107&gt;0),-MIN(N107,ROUND(AFC_IMPUTABLE_PCT*MIN(W107,TOPE_AFC_UF*UF_HOY)*DATEDIF(E107,FQ_FECHA+1,"m"),0)),0))</f>
        <v/>
      </c>
      <c r="Q107" s="85" t="str">
        <f aca="false">IF(G107&lt;&gt;"Sí","",M107+N107+O107+P107)</f>
        <v/>
      </c>
      <c r="R107" s="85" t="str">
        <f aca="false">IF(G107&lt;&gt;"Sí","",M107)</f>
        <v/>
      </c>
      <c r="S107" s="85" t="str">
        <f aca="false">IF(U107="","",IF(INDEX(CC_ESTADOC,98)="Renovación registrada","",ROUND(MAX(0,IF(U107&lt;=0,0,WORKDAY(F107,INT(U107),FERIADOS)-F107+(U107-INT(U107))))*V107,0)+IF(D107="Obra o faena",ROUND(OBRA_DIAS*K107/30*(DATEDIF(E107,F107+1,"m")+IF(F107+1-EDATE(E107,DATEDIF(E107,F107+1,"m"))&gt;15,1,0)),0),0)))</f>
        <v/>
      </c>
      <c r="T107" s="70" t="str">
        <f aca="false">IF(G107&lt;&gt;"Sí","",IF(D107="Plazo fijo","Despido antes del vencimiento: además existe riesgo de demanda por las remuneraciones hasta el término del plazo",IF(D107="Obra o faena","Al concluir la obra corresponde indemnización de 2,5 días por mes (incluida en la columna S); no IAS",IF(I107=0,"Menos de 1 año: no corresponde IAS (Art. 163)",IF(I107=TOPE_IAS_ANIOS,"IAS en el tope de 11 años","")))))</f>
        <v/>
      </c>
      <c r="U107" s="95" t="str">
        <f aca="false">IF(OR(G107&lt;&gt;"Sí",NOT(ISNUMBER(F107))),"",IF(F107&lt;FQ_FECHA,"",(1.25*(DATEDIF(E107,F107+1,"m")+(F107+1-EDATE(E107,DATEDIF(E107,F107+1,"m")))/30)+SUMPRODUCT((ANIOS&lt;=DATEDIF(E107,F107+1,"y"))*(X107+ANIOS-10&gt;0)*INT((X107+ANIOS-10)/3))-(SUMIFS(V_DIAS,V_ID,B107,V_INICIO,"&lt;="&amp;F107)+Y107))))</f>
        <v/>
      </c>
      <c r="V107" s="71" t="str">
        <f aca="false">IF(G107&lt;&gt;"Sí","",(N(INDEX(T_SUELDO,98))+N(INDEX(T_BONO,98)))/30)</f>
        <v/>
      </c>
      <c r="W107" s="71" t="str">
        <f aca="false">IF(G107&lt;&gt;"Sí","",N(INDEX(T_SUELDO,98))+N(INDEX(T_BONO,98))+IF(LEFT(INDEX(T_GRAT,98)&amp;"",6)="Art. 5",MIN(GRAT_PCT*(N(INDEX(T_SUELDO,98))+N(INDEX(T_BONO,98))),GRAT_TOPE_MES),0))</f>
        <v/>
      </c>
      <c r="X107" s="72" t="str">
        <f aca="false">IF(B107="","",MIN(10,N(INDEX(T_PREV,98))))</f>
        <v/>
      </c>
      <c r="Y107" s="72" t="str">
        <f aca="false">IF(B107="","",N(INDEX(T_VACPREV,98)))</f>
        <v/>
      </c>
      <c r="Z107" s="75" t="str">
        <f aca="false">IF(B107="","",N(INDEX(T_EGRESO,98)))</f>
        <v/>
      </c>
    </row>
    <row r="108" customFormat="false" ht="15" hidden="false" customHeight="false" outlineLevel="0" collapsed="false">
      <c r="B108" s="70" t="str">
        <f aca="false">IFERROR(IF(INDEX(T_ID,99)="","",INDEX(T_ID,99)),"")</f>
        <v/>
      </c>
      <c r="C108" s="70" t="str">
        <f aca="false">IF(B108="","",INDEX(T_NOMBRE,99)&amp;"")</f>
        <v/>
      </c>
      <c r="D108" s="70" t="str">
        <f aca="false">IF(B108="","",INDEX(T_TIPO,99)&amp;"")</f>
        <v/>
      </c>
      <c r="E108" s="75" t="str">
        <f aca="false">IF(B108="","",INDEX(T_INGRESO,99))</f>
        <v/>
      </c>
      <c r="F108" s="75" t="str">
        <f aca="false">IF(B108="","",IF(ISNUMBER(INDEX(CC_VENCE,99)),INDEX(CC_VENCE,99),""))</f>
        <v/>
      </c>
      <c r="G108" s="70" t="str">
        <f aca="false">IF(OR(B108="",NOT(ISNUMBER(E108))),"",IF(AND(E108&lt;=FQ_FECHA,OR(Z108=0,Z108&gt;=FQ_FECHA)),"Sí","No"))</f>
        <v/>
      </c>
      <c r="H108" s="94" t="str">
        <f aca="false">IF(G108&lt;&gt;"Sí","",ROUND((FQ_FECHA+1-E108)/365.25,1))</f>
        <v/>
      </c>
      <c r="I108" s="73" t="str">
        <f aca="false">IF(G108&lt;&gt;"Sí","",IF(DATEDIF(E108,FQ_FECHA+1,"y")&lt;1,0,MIN(TOPE_IAS_ANIOS,DATEDIF(E108,FQ_FECHA+1,"y")+IF(EDATE(E108,12*DATEDIF(E108,FQ_FECHA+1,"y")+6)&lt;FQ_FECHA+1,1,0))))</f>
        <v/>
      </c>
      <c r="J108" s="71" t="str">
        <f aca="false">IF(G108&lt;&gt;"Sí","",W108+N(INDEX(T_COL,99))+N(INDEX(T_MOV,99)))</f>
        <v/>
      </c>
      <c r="K108" s="71" t="str">
        <f aca="false">IF(G108&lt;&gt;"Sí","",MIN(J108,TOPE_IAS_UF*UF_HOY))</f>
        <v/>
      </c>
      <c r="L108" s="95" t="str">
        <f aca="false">IF(G108&lt;&gt;"Sí","",(1.25*(DATEDIF(E108,FQ_FECHA+1,"m")+(FQ_FECHA+1-EDATE(E108,DATEDIF(E108,FQ_FECHA+1,"m")))/30)+SUMPRODUCT((ANIOS&lt;=DATEDIF(E108,FQ_FECHA+1,"y"))*(X108+ANIOS-10&gt;0)*INT((X108+ANIOS-10)/3))-(SUMIFS(V_DIAS,V_ID,B108,V_INICIO,"&lt;="&amp;FQ_FECHA)+Y108)))</f>
        <v/>
      </c>
      <c r="M108" s="71" t="str">
        <f aca="false">IF(G108&lt;&gt;"Sí","",ROUND(MAX(0,IF(L108&lt;=0,0,WORKDAY(FQ_FECHA,INT(L108),FERIADOS)-FQ_FECHA+(L108-INT(L108))))*V108,0))</f>
        <v/>
      </c>
      <c r="N108" s="71" t="str">
        <f aca="false">IF(G108&lt;&gt;"Sí","",IF(D108="Obra o faena",0,ROUND(K108*I108,0)))</f>
        <v/>
      </c>
      <c r="O108" s="71" t="str">
        <f aca="false">IF(G108&lt;&gt;"Sí","",IF(OR(D108="Obra o faena",FQ_AVISO="Sí"),0,ROUND(K108,0)))</f>
        <v/>
      </c>
      <c r="P108" s="71" t="str">
        <f aca="false">IF(G108&lt;&gt;"Sí","",IF(AND(IMPUTAR_AFC="Sí",N108&gt;0),-MIN(N108,ROUND(AFC_IMPUTABLE_PCT*MIN(W108,TOPE_AFC_UF*UF_HOY)*DATEDIF(E108,FQ_FECHA+1,"m"),0)),0))</f>
        <v/>
      </c>
      <c r="Q108" s="85" t="str">
        <f aca="false">IF(G108&lt;&gt;"Sí","",M108+N108+O108+P108)</f>
        <v/>
      </c>
      <c r="R108" s="85" t="str">
        <f aca="false">IF(G108&lt;&gt;"Sí","",M108)</f>
        <v/>
      </c>
      <c r="S108" s="85" t="str">
        <f aca="false">IF(U108="","",IF(INDEX(CC_ESTADOC,99)="Renovación registrada","",ROUND(MAX(0,IF(U108&lt;=0,0,WORKDAY(F108,INT(U108),FERIADOS)-F108+(U108-INT(U108))))*V108,0)+IF(D108="Obra o faena",ROUND(OBRA_DIAS*K108/30*(DATEDIF(E108,F108+1,"m")+IF(F108+1-EDATE(E108,DATEDIF(E108,F108+1,"m"))&gt;15,1,0)),0),0)))</f>
        <v/>
      </c>
      <c r="T108" s="70" t="str">
        <f aca="false">IF(G108&lt;&gt;"Sí","",IF(D108="Plazo fijo","Despido antes del vencimiento: además existe riesgo de demanda por las remuneraciones hasta el término del plazo",IF(D108="Obra o faena","Al concluir la obra corresponde indemnización de 2,5 días por mes (incluida en la columna S); no IAS",IF(I108=0,"Menos de 1 año: no corresponde IAS (Art. 163)",IF(I108=TOPE_IAS_ANIOS,"IAS en el tope de 11 años","")))))</f>
        <v/>
      </c>
      <c r="U108" s="95" t="str">
        <f aca="false">IF(OR(G108&lt;&gt;"Sí",NOT(ISNUMBER(F108))),"",IF(F108&lt;FQ_FECHA,"",(1.25*(DATEDIF(E108,F108+1,"m")+(F108+1-EDATE(E108,DATEDIF(E108,F108+1,"m")))/30)+SUMPRODUCT((ANIOS&lt;=DATEDIF(E108,F108+1,"y"))*(X108+ANIOS-10&gt;0)*INT((X108+ANIOS-10)/3))-(SUMIFS(V_DIAS,V_ID,B108,V_INICIO,"&lt;="&amp;F108)+Y108))))</f>
        <v/>
      </c>
      <c r="V108" s="71" t="str">
        <f aca="false">IF(G108&lt;&gt;"Sí","",(N(INDEX(T_SUELDO,99))+N(INDEX(T_BONO,99)))/30)</f>
        <v/>
      </c>
      <c r="W108" s="71" t="str">
        <f aca="false">IF(G108&lt;&gt;"Sí","",N(INDEX(T_SUELDO,99))+N(INDEX(T_BONO,99))+IF(LEFT(INDEX(T_GRAT,99)&amp;"",6)="Art. 5",MIN(GRAT_PCT*(N(INDEX(T_SUELDO,99))+N(INDEX(T_BONO,99))),GRAT_TOPE_MES),0))</f>
        <v/>
      </c>
      <c r="X108" s="72" t="str">
        <f aca="false">IF(B108="","",MIN(10,N(INDEX(T_PREV,99))))</f>
        <v/>
      </c>
      <c r="Y108" s="72" t="str">
        <f aca="false">IF(B108="","",N(INDEX(T_VACPREV,99)))</f>
        <v/>
      </c>
      <c r="Z108" s="75" t="str">
        <f aca="false">IF(B108="","",N(INDEX(T_EGRESO,99)))</f>
        <v/>
      </c>
    </row>
    <row r="109" customFormat="false" ht="15" hidden="false" customHeight="false" outlineLevel="0" collapsed="false">
      <c r="B109" s="70" t="str">
        <f aca="false">IFERROR(IF(INDEX(T_ID,100)="","",INDEX(T_ID,100)),"")</f>
        <v/>
      </c>
      <c r="C109" s="70" t="str">
        <f aca="false">IF(B109="","",INDEX(T_NOMBRE,100)&amp;"")</f>
        <v/>
      </c>
      <c r="D109" s="70" t="str">
        <f aca="false">IF(B109="","",INDEX(T_TIPO,100)&amp;"")</f>
        <v/>
      </c>
      <c r="E109" s="75" t="str">
        <f aca="false">IF(B109="","",INDEX(T_INGRESO,100))</f>
        <v/>
      </c>
      <c r="F109" s="75" t="str">
        <f aca="false">IF(B109="","",IF(ISNUMBER(INDEX(CC_VENCE,100)),INDEX(CC_VENCE,100),""))</f>
        <v/>
      </c>
      <c r="G109" s="70" t="str">
        <f aca="false">IF(OR(B109="",NOT(ISNUMBER(E109))),"",IF(AND(E109&lt;=FQ_FECHA,OR(Z109=0,Z109&gt;=FQ_FECHA)),"Sí","No"))</f>
        <v/>
      </c>
      <c r="H109" s="94" t="str">
        <f aca="false">IF(G109&lt;&gt;"Sí","",ROUND((FQ_FECHA+1-E109)/365.25,1))</f>
        <v/>
      </c>
      <c r="I109" s="73" t="str">
        <f aca="false">IF(G109&lt;&gt;"Sí","",IF(DATEDIF(E109,FQ_FECHA+1,"y")&lt;1,0,MIN(TOPE_IAS_ANIOS,DATEDIF(E109,FQ_FECHA+1,"y")+IF(EDATE(E109,12*DATEDIF(E109,FQ_FECHA+1,"y")+6)&lt;FQ_FECHA+1,1,0))))</f>
        <v/>
      </c>
      <c r="J109" s="71" t="str">
        <f aca="false">IF(G109&lt;&gt;"Sí","",W109+N(INDEX(T_COL,100))+N(INDEX(T_MOV,100)))</f>
        <v/>
      </c>
      <c r="K109" s="71" t="str">
        <f aca="false">IF(G109&lt;&gt;"Sí","",MIN(J109,TOPE_IAS_UF*UF_HOY))</f>
        <v/>
      </c>
      <c r="L109" s="95" t="str">
        <f aca="false">IF(G109&lt;&gt;"Sí","",(1.25*(DATEDIF(E109,FQ_FECHA+1,"m")+(FQ_FECHA+1-EDATE(E109,DATEDIF(E109,FQ_FECHA+1,"m")))/30)+SUMPRODUCT((ANIOS&lt;=DATEDIF(E109,FQ_FECHA+1,"y"))*(X109+ANIOS-10&gt;0)*INT((X109+ANIOS-10)/3))-(SUMIFS(V_DIAS,V_ID,B109,V_INICIO,"&lt;="&amp;FQ_FECHA)+Y109)))</f>
        <v/>
      </c>
      <c r="M109" s="71" t="str">
        <f aca="false">IF(G109&lt;&gt;"Sí","",ROUND(MAX(0,IF(L109&lt;=0,0,WORKDAY(FQ_FECHA,INT(L109),FERIADOS)-FQ_FECHA+(L109-INT(L109))))*V109,0))</f>
        <v/>
      </c>
      <c r="N109" s="71" t="str">
        <f aca="false">IF(G109&lt;&gt;"Sí","",IF(D109="Obra o faena",0,ROUND(K109*I109,0)))</f>
        <v/>
      </c>
      <c r="O109" s="71" t="str">
        <f aca="false">IF(G109&lt;&gt;"Sí","",IF(OR(D109="Obra o faena",FQ_AVISO="Sí"),0,ROUND(K109,0)))</f>
        <v/>
      </c>
      <c r="P109" s="71" t="str">
        <f aca="false">IF(G109&lt;&gt;"Sí","",IF(AND(IMPUTAR_AFC="Sí",N109&gt;0),-MIN(N109,ROUND(AFC_IMPUTABLE_PCT*MIN(W109,TOPE_AFC_UF*UF_HOY)*DATEDIF(E109,FQ_FECHA+1,"m"),0)),0))</f>
        <v/>
      </c>
      <c r="Q109" s="85" t="str">
        <f aca="false">IF(G109&lt;&gt;"Sí","",M109+N109+O109+P109)</f>
        <v/>
      </c>
      <c r="R109" s="85" t="str">
        <f aca="false">IF(G109&lt;&gt;"Sí","",M109)</f>
        <v/>
      </c>
      <c r="S109" s="85" t="str">
        <f aca="false">IF(U109="","",IF(INDEX(CC_ESTADOC,100)="Renovación registrada","",ROUND(MAX(0,IF(U109&lt;=0,0,WORKDAY(F109,INT(U109),FERIADOS)-F109+(U109-INT(U109))))*V109,0)+IF(D109="Obra o faena",ROUND(OBRA_DIAS*K109/30*(DATEDIF(E109,F109+1,"m")+IF(F109+1-EDATE(E109,DATEDIF(E109,F109+1,"m"))&gt;15,1,0)),0),0)))</f>
        <v/>
      </c>
      <c r="T109" s="70" t="str">
        <f aca="false">IF(G109&lt;&gt;"Sí","",IF(D109="Plazo fijo","Despido antes del vencimiento: además existe riesgo de demanda por las remuneraciones hasta el término del plazo",IF(D109="Obra o faena","Al concluir la obra corresponde indemnización de 2,5 días por mes (incluida en la columna S); no IAS",IF(I109=0,"Menos de 1 año: no corresponde IAS (Art. 163)",IF(I109=TOPE_IAS_ANIOS,"IAS en el tope de 11 años","")))))</f>
        <v/>
      </c>
      <c r="U109" s="95" t="str">
        <f aca="false">IF(OR(G109&lt;&gt;"Sí",NOT(ISNUMBER(F109))),"",IF(F109&lt;FQ_FECHA,"",(1.25*(DATEDIF(E109,F109+1,"m")+(F109+1-EDATE(E109,DATEDIF(E109,F109+1,"m")))/30)+SUMPRODUCT((ANIOS&lt;=DATEDIF(E109,F109+1,"y"))*(X109+ANIOS-10&gt;0)*INT((X109+ANIOS-10)/3))-(SUMIFS(V_DIAS,V_ID,B109,V_INICIO,"&lt;="&amp;F109)+Y109))))</f>
        <v/>
      </c>
      <c r="V109" s="71" t="str">
        <f aca="false">IF(G109&lt;&gt;"Sí","",(N(INDEX(T_SUELDO,100))+N(INDEX(T_BONO,100)))/30)</f>
        <v/>
      </c>
      <c r="W109" s="71" t="str">
        <f aca="false">IF(G109&lt;&gt;"Sí","",N(INDEX(T_SUELDO,100))+N(INDEX(T_BONO,100))+IF(LEFT(INDEX(T_GRAT,100)&amp;"",6)="Art. 5",MIN(GRAT_PCT*(N(INDEX(T_SUELDO,100))+N(INDEX(T_BONO,100))),GRAT_TOPE_MES),0))</f>
        <v/>
      </c>
      <c r="X109" s="72" t="str">
        <f aca="false">IF(B109="","",MIN(10,N(INDEX(T_PREV,100))))</f>
        <v/>
      </c>
      <c r="Y109" s="72" t="str">
        <f aca="false">IF(B109="","",N(INDEX(T_VACPREV,100)))</f>
        <v/>
      </c>
      <c r="Z109" s="75" t="str">
        <f aca="false">IF(B109="","",N(INDEX(T_EGRESO,100)))</f>
        <v/>
      </c>
    </row>
    <row r="110" customFormat="false" ht="15" hidden="false" customHeight="false" outlineLevel="0" collapsed="false">
      <c r="B110" s="70" t="str">
        <f aca="false">IFERROR(IF(INDEX(T_ID,101)="","",INDEX(T_ID,101)),"")</f>
        <v/>
      </c>
      <c r="C110" s="70" t="str">
        <f aca="false">IF(B110="","",INDEX(T_NOMBRE,101)&amp;"")</f>
        <v/>
      </c>
      <c r="D110" s="70" t="str">
        <f aca="false">IF(B110="","",INDEX(T_TIPO,101)&amp;"")</f>
        <v/>
      </c>
      <c r="E110" s="75" t="str">
        <f aca="false">IF(B110="","",INDEX(T_INGRESO,101))</f>
        <v/>
      </c>
      <c r="F110" s="75" t="str">
        <f aca="false">IF(B110="","",IF(ISNUMBER(INDEX(CC_VENCE,101)),INDEX(CC_VENCE,101),""))</f>
        <v/>
      </c>
      <c r="G110" s="70" t="str">
        <f aca="false">IF(OR(B110="",NOT(ISNUMBER(E110))),"",IF(AND(E110&lt;=FQ_FECHA,OR(Z110=0,Z110&gt;=FQ_FECHA)),"Sí","No"))</f>
        <v/>
      </c>
      <c r="H110" s="94" t="str">
        <f aca="false">IF(G110&lt;&gt;"Sí","",ROUND((FQ_FECHA+1-E110)/365.25,1))</f>
        <v/>
      </c>
      <c r="I110" s="73" t="str">
        <f aca="false">IF(G110&lt;&gt;"Sí","",IF(DATEDIF(E110,FQ_FECHA+1,"y")&lt;1,0,MIN(TOPE_IAS_ANIOS,DATEDIF(E110,FQ_FECHA+1,"y")+IF(EDATE(E110,12*DATEDIF(E110,FQ_FECHA+1,"y")+6)&lt;FQ_FECHA+1,1,0))))</f>
        <v/>
      </c>
      <c r="J110" s="71" t="str">
        <f aca="false">IF(G110&lt;&gt;"Sí","",W110+N(INDEX(T_COL,101))+N(INDEX(T_MOV,101)))</f>
        <v/>
      </c>
      <c r="K110" s="71" t="str">
        <f aca="false">IF(G110&lt;&gt;"Sí","",MIN(J110,TOPE_IAS_UF*UF_HOY))</f>
        <v/>
      </c>
      <c r="L110" s="95" t="str">
        <f aca="false">IF(G110&lt;&gt;"Sí","",(1.25*(DATEDIF(E110,FQ_FECHA+1,"m")+(FQ_FECHA+1-EDATE(E110,DATEDIF(E110,FQ_FECHA+1,"m")))/30)+SUMPRODUCT((ANIOS&lt;=DATEDIF(E110,FQ_FECHA+1,"y"))*(X110+ANIOS-10&gt;0)*INT((X110+ANIOS-10)/3))-(SUMIFS(V_DIAS,V_ID,B110,V_INICIO,"&lt;="&amp;FQ_FECHA)+Y110)))</f>
        <v/>
      </c>
      <c r="M110" s="71" t="str">
        <f aca="false">IF(G110&lt;&gt;"Sí","",ROUND(MAX(0,IF(L110&lt;=0,0,WORKDAY(FQ_FECHA,INT(L110),FERIADOS)-FQ_FECHA+(L110-INT(L110))))*V110,0))</f>
        <v/>
      </c>
      <c r="N110" s="71" t="str">
        <f aca="false">IF(G110&lt;&gt;"Sí","",IF(D110="Obra o faena",0,ROUND(K110*I110,0)))</f>
        <v/>
      </c>
      <c r="O110" s="71" t="str">
        <f aca="false">IF(G110&lt;&gt;"Sí","",IF(OR(D110="Obra o faena",FQ_AVISO="Sí"),0,ROUND(K110,0)))</f>
        <v/>
      </c>
      <c r="P110" s="71" t="str">
        <f aca="false">IF(G110&lt;&gt;"Sí","",IF(AND(IMPUTAR_AFC="Sí",N110&gt;0),-MIN(N110,ROUND(AFC_IMPUTABLE_PCT*MIN(W110,TOPE_AFC_UF*UF_HOY)*DATEDIF(E110,FQ_FECHA+1,"m"),0)),0))</f>
        <v/>
      </c>
      <c r="Q110" s="85" t="str">
        <f aca="false">IF(G110&lt;&gt;"Sí","",M110+N110+O110+P110)</f>
        <v/>
      </c>
      <c r="R110" s="85" t="str">
        <f aca="false">IF(G110&lt;&gt;"Sí","",M110)</f>
        <v/>
      </c>
      <c r="S110" s="85" t="str">
        <f aca="false">IF(U110="","",IF(INDEX(CC_ESTADOC,101)="Renovación registrada","",ROUND(MAX(0,IF(U110&lt;=0,0,WORKDAY(F110,INT(U110),FERIADOS)-F110+(U110-INT(U110))))*V110,0)+IF(D110="Obra o faena",ROUND(OBRA_DIAS*K110/30*(DATEDIF(E110,F110+1,"m")+IF(F110+1-EDATE(E110,DATEDIF(E110,F110+1,"m"))&gt;15,1,0)),0),0)))</f>
        <v/>
      </c>
      <c r="T110" s="70" t="str">
        <f aca="false">IF(G110&lt;&gt;"Sí","",IF(D110="Plazo fijo","Despido antes del vencimiento: además existe riesgo de demanda por las remuneraciones hasta el término del plazo",IF(D110="Obra o faena","Al concluir la obra corresponde indemnización de 2,5 días por mes (incluida en la columna S); no IAS",IF(I110=0,"Menos de 1 año: no corresponde IAS (Art. 163)",IF(I110=TOPE_IAS_ANIOS,"IAS en el tope de 11 años","")))))</f>
        <v/>
      </c>
      <c r="U110" s="95" t="str">
        <f aca="false">IF(OR(G110&lt;&gt;"Sí",NOT(ISNUMBER(F110))),"",IF(F110&lt;FQ_FECHA,"",(1.25*(DATEDIF(E110,F110+1,"m")+(F110+1-EDATE(E110,DATEDIF(E110,F110+1,"m")))/30)+SUMPRODUCT((ANIOS&lt;=DATEDIF(E110,F110+1,"y"))*(X110+ANIOS-10&gt;0)*INT((X110+ANIOS-10)/3))-(SUMIFS(V_DIAS,V_ID,B110,V_INICIO,"&lt;="&amp;F110)+Y110))))</f>
        <v/>
      </c>
      <c r="V110" s="71" t="str">
        <f aca="false">IF(G110&lt;&gt;"Sí","",(N(INDEX(T_SUELDO,101))+N(INDEX(T_BONO,101)))/30)</f>
        <v/>
      </c>
      <c r="W110" s="71" t="str">
        <f aca="false">IF(G110&lt;&gt;"Sí","",N(INDEX(T_SUELDO,101))+N(INDEX(T_BONO,101))+IF(LEFT(INDEX(T_GRAT,101)&amp;"",6)="Art. 5",MIN(GRAT_PCT*(N(INDEX(T_SUELDO,101))+N(INDEX(T_BONO,101))),GRAT_TOPE_MES),0))</f>
        <v/>
      </c>
      <c r="X110" s="72" t="str">
        <f aca="false">IF(B110="","",MIN(10,N(INDEX(T_PREV,101))))</f>
        <v/>
      </c>
      <c r="Y110" s="72" t="str">
        <f aca="false">IF(B110="","",N(INDEX(T_VACPREV,101)))</f>
        <v/>
      </c>
      <c r="Z110" s="75" t="str">
        <f aca="false">IF(B110="","",N(INDEX(T_EGRESO,101)))</f>
        <v/>
      </c>
    </row>
    <row r="111" customFormat="false" ht="15" hidden="false" customHeight="false" outlineLevel="0" collapsed="false">
      <c r="B111" s="70" t="str">
        <f aca="false">IFERROR(IF(INDEX(T_ID,102)="","",INDEX(T_ID,102)),"")</f>
        <v/>
      </c>
      <c r="C111" s="70" t="str">
        <f aca="false">IF(B111="","",INDEX(T_NOMBRE,102)&amp;"")</f>
        <v/>
      </c>
      <c r="D111" s="70" t="str">
        <f aca="false">IF(B111="","",INDEX(T_TIPO,102)&amp;"")</f>
        <v/>
      </c>
      <c r="E111" s="75" t="str">
        <f aca="false">IF(B111="","",INDEX(T_INGRESO,102))</f>
        <v/>
      </c>
      <c r="F111" s="75" t="str">
        <f aca="false">IF(B111="","",IF(ISNUMBER(INDEX(CC_VENCE,102)),INDEX(CC_VENCE,102),""))</f>
        <v/>
      </c>
      <c r="G111" s="70" t="str">
        <f aca="false">IF(OR(B111="",NOT(ISNUMBER(E111))),"",IF(AND(E111&lt;=FQ_FECHA,OR(Z111=0,Z111&gt;=FQ_FECHA)),"Sí","No"))</f>
        <v/>
      </c>
      <c r="H111" s="94" t="str">
        <f aca="false">IF(G111&lt;&gt;"Sí","",ROUND((FQ_FECHA+1-E111)/365.25,1))</f>
        <v/>
      </c>
      <c r="I111" s="73" t="str">
        <f aca="false">IF(G111&lt;&gt;"Sí","",IF(DATEDIF(E111,FQ_FECHA+1,"y")&lt;1,0,MIN(TOPE_IAS_ANIOS,DATEDIF(E111,FQ_FECHA+1,"y")+IF(EDATE(E111,12*DATEDIF(E111,FQ_FECHA+1,"y")+6)&lt;FQ_FECHA+1,1,0))))</f>
        <v/>
      </c>
      <c r="J111" s="71" t="str">
        <f aca="false">IF(G111&lt;&gt;"Sí","",W111+N(INDEX(T_COL,102))+N(INDEX(T_MOV,102)))</f>
        <v/>
      </c>
      <c r="K111" s="71" t="str">
        <f aca="false">IF(G111&lt;&gt;"Sí","",MIN(J111,TOPE_IAS_UF*UF_HOY))</f>
        <v/>
      </c>
      <c r="L111" s="95" t="str">
        <f aca="false">IF(G111&lt;&gt;"Sí","",(1.25*(DATEDIF(E111,FQ_FECHA+1,"m")+(FQ_FECHA+1-EDATE(E111,DATEDIF(E111,FQ_FECHA+1,"m")))/30)+SUMPRODUCT((ANIOS&lt;=DATEDIF(E111,FQ_FECHA+1,"y"))*(X111+ANIOS-10&gt;0)*INT((X111+ANIOS-10)/3))-(SUMIFS(V_DIAS,V_ID,B111,V_INICIO,"&lt;="&amp;FQ_FECHA)+Y111)))</f>
        <v/>
      </c>
      <c r="M111" s="71" t="str">
        <f aca="false">IF(G111&lt;&gt;"Sí","",ROUND(MAX(0,IF(L111&lt;=0,0,WORKDAY(FQ_FECHA,INT(L111),FERIADOS)-FQ_FECHA+(L111-INT(L111))))*V111,0))</f>
        <v/>
      </c>
      <c r="N111" s="71" t="str">
        <f aca="false">IF(G111&lt;&gt;"Sí","",IF(D111="Obra o faena",0,ROUND(K111*I111,0)))</f>
        <v/>
      </c>
      <c r="O111" s="71" t="str">
        <f aca="false">IF(G111&lt;&gt;"Sí","",IF(OR(D111="Obra o faena",FQ_AVISO="Sí"),0,ROUND(K111,0)))</f>
        <v/>
      </c>
      <c r="P111" s="71" t="str">
        <f aca="false">IF(G111&lt;&gt;"Sí","",IF(AND(IMPUTAR_AFC="Sí",N111&gt;0),-MIN(N111,ROUND(AFC_IMPUTABLE_PCT*MIN(W111,TOPE_AFC_UF*UF_HOY)*DATEDIF(E111,FQ_FECHA+1,"m"),0)),0))</f>
        <v/>
      </c>
      <c r="Q111" s="85" t="str">
        <f aca="false">IF(G111&lt;&gt;"Sí","",M111+N111+O111+P111)</f>
        <v/>
      </c>
      <c r="R111" s="85" t="str">
        <f aca="false">IF(G111&lt;&gt;"Sí","",M111)</f>
        <v/>
      </c>
      <c r="S111" s="85" t="str">
        <f aca="false">IF(U111="","",IF(INDEX(CC_ESTADOC,102)="Renovación registrada","",ROUND(MAX(0,IF(U111&lt;=0,0,WORKDAY(F111,INT(U111),FERIADOS)-F111+(U111-INT(U111))))*V111,0)+IF(D111="Obra o faena",ROUND(OBRA_DIAS*K111/30*(DATEDIF(E111,F111+1,"m")+IF(F111+1-EDATE(E111,DATEDIF(E111,F111+1,"m"))&gt;15,1,0)),0),0)))</f>
        <v/>
      </c>
      <c r="T111" s="70" t="str">
        <f aca="false">IF(G111&lt;&gt;"Sí","",IF(D111="Plazo fijo","Despido antes del vencimiento: además existe riesgo de demanda por las remuneraciones hasta el término del plazo",IF(D111="Obra o faena","Al concluir la obra corresponde indemnización de 2,5 días por mes (incluida en la columna S); no IAS",IF(I111=0,"Menos de 1 año: no corresponde IAS (Art. 163)",IF(I111=TOPE_IAS_ANIOS,"IAS en el tope de 11 años","")))))</f>
        <v/>
      </c>
      <c r="U111" s="95" t="str">
        <f aca="false">IF(OR(G111&lt;&gt;"Sí",NOT(ISNUMBER(F111))),"",IF(F111&lt;FQ_FECHA,"",(1.25*(DATEDIF(E111,F111+1,"m")+(F111+1-EDATE(E111,DATEDIF(E111,F111+1,"m")))/30)+SUMPRODUCT((ANIOS&lt;=DATEDIF(E111,F111+1,"y"))*(X111+ANIOS-10&gt;0)*INT((X111+ANIOS-10)/3))-(SUMIFS(V_DIAS,V_ID,B111,V_INICIO,"&lt;="&amp;F111)+Y111))))</f>
        <v/>
      </c>
      <c r="V111" s="71" t="str">
        <f aca="false">IF(G111&lt;&gt;"Sí","",(N(INDEX(T_SUELDO,102))+N(INDEX(T_BONO,102)))/30)</f>
        <v/>
      </c>
      <c r="W111" s="71" t="str">
        <f aca="false">IF(G111&lt;&gt;"Sí","",N(INDEX(T_SUELDO,102))+N(INDEX(T_BONO,102))+IF(LEFT(INDEX(T_GRAT,102)&amp;"",6)="Art. 5",MIN(GRAT_PCT*(N(INDEX(T_SUELDO,102))+N(INDEX(T_BONO,102))),GRAT_TOPE_MES),0))</f>
        <v/>
      </c>
      <c r="X111" s="72" t="str">
        <f aca="false">IF(B111="","",MIN(10,N(INDEX(T_PREV,102))))</f>
        <v/>
      </c>
      <c r="Y111" s="72" t="str">
        <f aca="false">IF(B111="","",N(INDEX(T_VACPREV,102)))</f>
        <v/>
      </c>
      <c r="Z111" s="75" t="str">
        <f aca="false">IF(B111="","",N(INDEX(T_EGRESO,102)))</f>
        <v/>
      </c>
    </row>
    <row r="112" customFormat="false" ht="15" hidden="false" customHeight="false" outlineLevel="0" collapsed="false">
      <c r="B112" s="70" t="str">
        <f aca="false">IFERROR(IF(INDEX(T_ID,103)="","",INDEX(T_ID,103)),"")</f>
        <v/>
      </c>
      <c r="C112" s="70" t="str">
        <f aca="false">IF(B112="","",INDEX(T_NOMBRE,103)&amp;"")</f>
        <v/>
      </c>
      <c r="D112" s="70" t="str">
        <f aca="false">IF(B112="","",INDEX(T_TIPO,103)&amp;"")</f>
        <v/>
      </c>
      <c r="E112" s="75" t="str">
        <f aca="false">IF(B112="","",INDEX(T_INGRESO,103))</f>
        <v/>
      </c>
      <c r="F112" s="75" t="str">
        <f aca="false">IF(B112="","",IF(ISNUMBER(INDEX(CC_VENCE,103)),INDEX(CC_VENCE,103),""))</f>
        <v/>
      </c>
      <c r="G112" s="70" t="str">
        <f aca="false">IF(OR(B112="",NOT(ISNUMBER(E112))),"",IF(AND(E112&lt;=FQ_FECHA,OR(Z112=0,Z112&gt;=FQ_FECHA)),"Sí","No"))</f>
        <v/>
      </c>
      <c r="H112" s="94" t="str">
        <f aca="false">IF(G112&lt;&gt;"Sí","",ROUND((FQ_FECHA+1-E112)/365.25,1))</f>
        <v/>
      </c>
      <c r="I112" s="73" t="str">
        <f aca="false">IF(G112&lt;&gt;"Sí","",IF(DATEDIF(E112,FQ_FECHA+1,"y")&lt;1,0,MIN(TOPE_IAS_ANIOS,DATEDIF(E112,FQ_FECHA+1,"y")+IF(EDATE(E112,12*DATEDIF(E112,FQ_FECHA+1,"y")+6)&lt;FQ_FECHA+1,1,0))))</f>
        <v/>
      </c>
      <c r="J112" s="71" t="str">
        <f aca="false">IF(G112&lt;&gt;"Sí","",W112+N(INDEX(T_COL,103))+N(INDEX(T_MOV,103)))</f>
        <v/>
      </c>
      <c r="K112" s="71" t="str">
        <f aca="false">IF(G112&lt;&gt;"Sí","",MIN(J112,TOPE_IAS_UF*UF_HOY))</f>
        <v/>
      </c>
      <c r="L112" s="95" t="str">
        <f aca="false">IF(G112&lt;&gt;"Sí","",(1.25*(DATEDIF(E112,FQ_FECHA+1,"m")+(FQ_FECHA+1-EDATE(E112,DATEDIF(E112,FQ_FECHA+1,"m")))/30)+SUMPRODUCT((ANIOS&lt;=DATEDIF(E112,FQ_FECHA+1,"y"))*(X112+ANIOS-10&gt;0)*INT((X112+ANIOS-10)/3))-(SUMIFS(V_DIAS,V_ID,B112,V_INICIO,"&lt;="&amp;FQ_FECHA)+Y112)))</f>
        <v/>
      </c>
      <c r="M112" s="71" t="str">
        <f aca="false">IF(G112&lt;&gt;"Sí","",ROUND(MAX(0,IF(L112&lt;=0,0,WORKDAY(FQ_FECHA,INT(L112),FERIADOS)-FQ_FECHA+(L112-INT(L112))))*V112,0))</f>
        <v/>
      </c>
      <c r="N112" s="71" t="str">
        <f aca="false">IF(G112&lt;&gt;"Sí","",IF(D112="Obra o faena",0,ROUND(K112*I112,0)))</f>
        <v/>
      </c>
      <c r="O112" s="71" t="str">
        <f aca="false">IF(G112&lt;&gt;"Sí","",IF(OR(D112="Obra o faena",FQ_AVISO="Sí"),0,ROUND(K112,0)))</f>
        <v/>
      </c>
      <c r="P112" s="71" t="str">
        <f aca="false">IF(G112&lt;&gt;"Sí","",IF(AND(IMPUTAR_AFC="Sí",N112&gt;0),-MIN(N112,ROUND(AFC_IMPUTABLE_PCT*MIN(W112,TOPE_AFC_UF*UF_HOY)*DATEDIF(E112,FQ_FECHA+1,"m"),0)),0))</f>
        <v/>
      </c>
      <c r="Q112" s="85" t="str">
        <f aca="false">IF(G112&lt;&gt;"Sí","",M112+N112+O112+P112)</f>
        <v/>
      </c>
      <c r="R112" s="85" t="str">
        <f aca="false">IF(G112&lt;&gt;"Sí","",M112)</f>
        <v/>
      </c>
      <c r="S112" s="85" t="str">
        <f aca="false">IF(U112="","",IF(INDEX(CC_ESTADOC,103)="Renovación registrada","",ROUND(MAX(0,IF(U112&lt;=0,0,WORKDAY(F112,INT(U112),FERIADOS)-F112+(U112-INT(U112))))*V112,0)+IF(D112="Obra o faena",ROUND(OBRA_DIAS*K112/30*(DATEDIF(E112,F112+1,"m")+IF(F112+1-EDATE(E112,DATEDIF(E112,F112+1,"m"))&gt;15,1,0)),0),0)))</f>
        <v/>
      </c>
      <c r="T112" s="70" t="str">
        <f aca="false">IF(G112&lt;&gt;"Sí","",IF(D112="Plazo fijo","Despido antes del vencimiento: además existe riesgo de demanda por las remuneraciones hasta el término del plazo",IF(D112="Obra o faena","Al concluir la obra corresponde indemnización de 2,5 días por mes (incluida en la columna S); no IAS",IF(I112=0,"Menos de 1 año: no corresponde IAS (Art. 163)",IF(I112=TOPE_IAS_ANIOS,"IAS en el tope de 11 años","")))))</f>
        <v/>
      </c>
      <c r="U112" s="95" t="str">
        <f aca="false">IF(OR(G112&lt;&gt;"Sí",NOT(ISNUMBER(F112))),"",IF(F112&lt;FQ_FECHA,"",(1.25*(DATEDIF(E112,F112+1,"m")+(F112+1-EDATE(E112,DATEDIF(E112,F112+1,"m")))/30)+SUMPRODUCT((ANIOS&lt;=DATEDIF(E112,F112+1,"y"))*(X112+ANIOS-10&gt;0)*INT((X112+ANIOS-10)/3))-(SUMIFS(V_DIAS,V_ID,B112,V_INICIO,"&lt;="&amp;F112)+Y112))))</f>
        <v/>
      </c>
      <c r="V112" s="71" t="str">
        <f aca="false">IF(G112&lt;&gt;"Sí","",(N(INDEX(T_SUELDO,103))+N(INDEX(T_BONO,103)))/30)</f>
        <v/>
      </c>
      <c r="W112" s="71" t="str">
        <f aca="false">IF(G112&lt;&gt;"Sí","",N(INDEX(T_SUELDO,103))+N(INDEX(T_BONO,103))+IF(LEFT(INDEX(T_GRAT,103)&amp;"",6)="Art. 5",MIN(GRAT_PCT*(N(INDEX(T_SUELDO,103))+N(INDEX(T_BONO,103))),GRAT_TOPE_MES),0))</f>
        <v/>
      </c>
      <c r="X112" s="72" t="str">
        <f aca="false">IF(B112="","",MIN(10,N(INDEX(T_PREV,103))))</f>
        <v/>
      </c>
      <c r="Y112" s="72" t="str">
        <f aca="false">IF(B112="","",N(INDEX(T_VACPREV,103)))</f>
        <v/>
      </c>
      <c r="Z112" s="75" t="str">
        <f aca="false">IF(B112="","",N(INDEX(T_EGRESO,103)))</f>
        <v/>
      </c>
    </row>
    <row r="113" customFormat="false" ht="15" hidden="false" customHeight="false" outlineLevel="0" collapsed="false">
      <c r="B113" s="70" t="str">
        <f aca="false">IFERROR(IF(INDEX(T_ID,104)="","",INDEX(T_ID,104)),"")</f>
        <v/>
      </c>
      <c r="C113" s="70" t="str">
        <f aca="false">IF(B113="","",INDEX(T_NOMBRE,104)&amp;"")</f>
        <v/>
      </c>
      <c r="D113" s="70" t="str">
        <f aca="false">IF(B113="","",INDEX(T_TIPO,104)&amp;"")</f>
        <v/>
      </c>
      <c r="E113" s="75" t="str">
        <f aca="false">IF(B113="","",INDEX(T_INGRESO,104))</f>
        <v/>
      </c>
      <c r="F113" s="75" t="str">
        <f aca="false">IF(B113="","",IF(ISNUMBER(INDEX(CC_VENCE,104)),INDEX(CC_VENCE,104),""))</f>
        <v/>
      </c>
      <c r="G113" s="70" t="str">
        <f aca="false">IF(OR(B113="",NOT(ISNUMBER(E113))),"",IF(AND(E113&lt;=FQ_FECHA,OR(Z113=0,Z113&gt;=FQ_FECHA)),"Sí","No"))</f>
        <v/>
      </c>
      <c r="H113" s="94" t="str">
        <f aca="false">IF(G113&lt;&gt;"Sí","",ROUND((FQ_FECHA+1-E113)/365.25,1))</f>
        <v/>
      </c>
      <c r="I113" s="73" t="str">
        <f aca="false">IF(G113&lt;&gt;"Sí","",IF(DATEDIF(E113,FQ_FECHA+1,"y")&lt;1,0,MIN(TOPE_IAS_ANIOS,DATEDIF(E113,FQ_FECHA+1,"y")+IF(EDATE(E113,12*DATEDIF(E113,FQ_FECHA+1,"y")+6)&lt;FQ_FECHA+1,1,0))))</f>
        <v/>
      </c>
      <c r="J113" s="71" t="str">
        <f aca="false">IF(G113&lt;&gt;"Sí","",W113+N(INDEX(T_COL,104))+N(INDEX(T_MOV,104)))</f>
        <v/>
      </c>
      <c r="K113" s="71" t="str">
        <f aca="false">IF(G113&lt;&gt;"Sí","",MIN(J113,TOPE_IAS_UF*UF_HOY))</f>
        <v/>
      </c>
      <c r="L113" s="95" t="str">
        <f aca="false">IF(G113&lt;&gt;"Sí","",(1.25*(DATEDIF(E113,FQ_FECHA+1,"m")+(FQ_FECHA+1-EDATE(E113,DATEDIF(E113,FQ_FECHA+1,"m")))/30)+SUMPRODUCT((ANIOS&lt;=DATEDIF(E113,FQ_FECHA+1,"y"))*(X113+ANIOS-10&gt;0)*INT((X113+ANIOS-10)/3))-(SUMIFS(V_DIAS,V_ID,B113,V_INICIO,"&lt;="&amp;FQ_FECHA)+Y113)))</f>
        <v/>
      </c>
      <c r="M113" s="71" t="str">
        <f aca="false">IF(G113&lt;&gt;"Sí","",ROUND(MAX(0,IF(L113&lt;=0,0,WORKDAY(FQ_FECHA,INT(L113),FERIADOS)-FQ_FECHA+(L113-INT(L113))))*V113,0))</f>
        <v/>
      </c>
      <c r="N113" s="71" t="str">
        <f aca="false">IF(G113&lt;&gt;"Sí","",IF(D113="Obra o faena",0,ROUND(K113*I113,0)))</f>
        <v/>
      </c>
      <c r="O113" s="71" t="str">
        <f aca="false">IF(G113&lt;&gt;"Sí","",IF(OR(D113="Obra o faena",FQ_AVISO="Sí"),0,ROUND(K113,0)))</f>
        <v/>
      </c>
      <c r="P113" s="71" t="str">
        <f aca="false">IF(G113&lt;&gt;"Sí","",IF(AND(IMPUTAR_AFC="Sí",N113&gt;0),-MIN(N113,ROUND(AFC_IMPUTABLE_PCT*MIN(W113,TOPE_AFC_UF*UF_HOY)*DATEDIF(E113,FQ_FECHA+1,"m"),0)),0))</f>
        <v/>
      </c>
      <c r="Q113" s="85" t="str">
        <f aca="false">IF(G113&lt;&gt;"Sí","",M113+N113+O113+P113)</f>
        <v/>
      </c>
      <c r="R113" s="85" t="str">
        <f aca="false">IF(G113&lt;&gt;"Sí","",M113)</f>
        <v/>
      </c>
      <c r="S113" s="85" t="str">
        <f aca="false">IF(U113="","",IF(INDEX(CC_ESTADOC,104)="Renovación registrada","",ROUND(MAX(0,IF(U113&lt;=0,0,WORKDAY(F113,INT(U113),FERIADOS)-F113+(U113-INT(U113))))*V113,0)+IF(D113="Obra o faena",ROUND(OBRA_DIAS*K113/30*(DATEDIF(E113,F113+1,"m")+IF(F113+1-EDATE(E113,DATEDIF(E113,F113+1,"m"))&gt;15,1,0)),0),0)))</f>
        <v/>
      </c>
      <c r="T113" s="70" t="str">
        <f aca="false">IF(G113&lt;&gt;"Sí","",IF(D113="Plazo fijo","Despido antes del vencimiento: además existe riesgo de demanda por las remuneraciones hasta el término del plazo",IF(D113="Obra o faena","Al concluir la obra corresponde indemnización de 2,5 días por mes (incluida en la columna S); no IAS",IF(I113=0,"Menos de 1 año: no corresponde IAS (Art. 163)",IF(I113=TOPE_IAS_ANIOS,"IAS en el tope de 11 años","")))))</f>
        <v/>
      </c>
      <c r="U113" s="95" t="str">
        <f aca="false">IF(OR(G113&lt;&gt;"Sí",NOT(ISNUMBER(F113))),"",IF(F113&lt;FQ_FECHA,"",(1.25*(DATEDIF(E113,F113+1,"m")+(F113+1-EDATE(E113,DATEDIF(E113,F113+1,"m")))/30)+SUMPRODUCT((ANIOS&lt;=DATEDIF(E113,F113+1,"y"))*(X113+ANIOS-10&gt;0)*INT((X113+ANIOS-10)/3))-(SUMIFS(V_DIAS,V_ID,B113,V_INICIO,"&lt;="&amp;F113)+Y113))))</f>
        <v/>
      </c>
      <c r="V113" s="71" t="str">
        <f aca="false">IF(G113&lt;&gt;"Sí","",(N(INDEX(T_SUELDO,104))+N(INDEX(T_BONO,104)))/30)</f>
        <v/>
      </c>
      <c r="W113" s="71" t="str">
        <f aca="false">IF(G113&lt;&gt;"Sí","",N(INDEX(T_SUELDO,104))+N(INDEX(T_BONO,104))+IF(LEFT(INDEX(T_GRAT,104)&amp;"",6)="Art. 5",MIN(GRAT_PCT*(N(INDEX(T_SUELDO,104))+N(INDEX(T_BONO,104))),GRAT_TOPE_MES),0))</f>
        <v/>
      </c>
      <c r="X113" s="72" t="str">
        <f aca="false">IF(B113="","",MIN(10,N(INDEX(T_PREV,104))))</f>
        <v/>
      </c>
      <c r="Y113" s="72" t="str">
        <f aca="false">IF(B113="","",N(INDEX(T_VACPREV,104)))</f>
        <v/>
      </c>
      <c r="Z113" s="75" t="str">
        <f aca="false">IF(B113="","",N(INDEX(T_EGRESO,104)))</f>
        <v/>
      </c>
    </row>
    <row r="114" customFormat="false" ht="15" hidden="false" customHeight="false" outlineLevel="0" collapsed="false">
      <c r="B114" s="70" t="str">
        <f aca="false">IFERROR(IF(INDEX(T_ID,105)="","",INDEX(T_ID,105)),"")</f>
        <v/>
      </c>
      <c r="C114" s="70" t="str">
        <f aca="false">IF(B114="","",INDEX(T_NOMBRE,105)&amp;"")</f>
        <v/>
      </c>
      <c r="D114" s="70" t="str">
        <f aca="false">IF(B114="","",INDEX(T_TIPO,105)&amp;"")</f>
        <v/>
      </c>
      <c r="E114" s="75" t="str">
        <f aca="false">IF(B114="","",INDEX(T_INGRESO,105))</f>
        <v/>
      </c>
      <c r="F114" s="75" t="str">
        <f aca="false">IF(B114="","",IF(ISNUMBER(INDEX(CC_VENCE,105)),INDEX(CC_VENCE,105),""))</f>
        <v/>
      </c>
      <c r="G114" s="70" t="str">
        <f aca="false">IF(OR(B114="",NOT(ISNUMBER(E114))),"",IF(AND(E114&lt;=FQ_FECHA,OR(Z114=0,Z114&gt;=FQ_FECHA)),"Sí","No"))</f>
        <v/>
      </c>
      <c r="H114" s="94" t="str">
        <f aca="false">IF(G114&lt;&gt;"Sí","",ROUND((FQ_FECHA+1-E114)/365.25,1))</f>
        <v/>
      </c>
      <c r="I114" s="73" t="str">
        <f aca="false">IF(G114&lt;&gt;"Sí","",IF(DATEDIF(E114,FQ_FECHA+1,"y")&lt;1,0,MIN(TOPE_IAS_ANIOS,DATEDIF(E114,FQ_FECHA+1,"y")+IF(EDATE(E114,12*DATEDIF(E114,FQ_FECHA+1,"y")+6)&lt;FQ_FECHA+1,1,0))))</f>
        <v/>
      </c>
      <c r="J114" s="71" t="str">
        <f aca="false">IF(G114&lt;&gt;"Sí","",W114+N(INDEX(T_COL,105))+N(INDEX(T_MOV,105)))</f>
        <v/>
      </c>
      <c r="K114" s="71" t="str">
        <f aca="false">IF(G114&lt;&gt;"Sí","",MIN(J114,TOPE_IAS_UF*UF_HOY))</f>
        <v/>
      </c>
      <c r="L114" s="95" t="str">
        <f aca="false">IF(G114&lt;&gt;"Sí","",(1.25*(DATEDIF(E114,FQ_FECHA+1,"m")+(FQ_FECHA+1-EDATE(E114,DATEDIF(E114,FQ_FECHA+1,"m")))/30)+SUMPRODUCT((ANIOS&lt;=DATEDIF(E114,FQ_FECHA+1,"y"))*(X114+ANIOS-10&gt;0)*INT((X114+ANIOS-10)/3))-(SUMIFS(V_DIAS,V_ID,B114,V_INICIO,"&lt;="&amp;FQ_FECHA)+Y114)))</f>
        <v/>
      </c>
      <c r="M114" s="71" t="str">
        <f aca="false">IF(G114&lt;&gt;"Sí","",ROUND(MAX(0,IF(L114&lt;=0,0,WORKDAY(FQ_FECHA,INT(L114),FERIADOS)-FQ_FECHA+(L114-INT(L114))))*V114,0))</f>
        <v/>
      </c>
      <c r="N114" s="71" t="str">
        <f aca="false">IF(G114&lt;&gt;"Sí","",IF(D114="Obra o faena",0,ROUND(K114*I114,0)))</f>
        <v/>
      </c>
      <c r="O114" s="71" t="str">
        <f aca="false">IF(G114&lt;&gt;"Sí","",IF(OR(D114="Obra o faena",FQ_AVISO="Sí"),0,ROUND(K114,0)))</f>
        <v/>
      </c>
      <c r="P114" s="71" t="str">
        <f aca="false">IF(G114&lt;&gt;"Sí","",IF(AND(IMPUTAR_AFC="Sí",N114&gt;0),-MIN(N114,ROUND(AFC_IMPUTABLE_PCT*MIN(W114,TOPE_AFC_UF*UF_HOY)*DATEDIF(E114,FQ_FECHA+1,"m"),0)),0))</f>
        <v/>
      </c>
      <c r="Q114" s="85" t="str">
        <f aca="false">IF(G114&lt;&gt;"Sí","",M114+N114+O114+P114)</f>
        <v/>
      </c>
      <c r="R114" s="85" t="str">
        <f aca="false">IF(G114&lt;&gt;"Sí","",M114)</f>
        <v/>
      </c>
      <c r="S114" s="85" t="str">
        <f aca="false">IF(U114="","",IF(INDEX(CC_ESTADOC,105)="Renovación registrada","",ROUND(MAX(0,IF(U114&lt;=0,0,WORKDAY(F114,INT(U114),FERIADOS)-F114+(U114-INT(U114))))*V114,0)+IF(D114="Obra o faena",ROUND(OBRA_DIAS*K114/30*(DATEDIF(E114,F114+1,"m")+IF(F114+1-EDATE(E114,DATEDIF(E114,F114+1,"m"))&gt;15,1,0)),0),0)))</f>
        <v/>
      </c>
      <c r="T114" s="70" t="str">
        <f aca="false">IF(G114&lt;&gt;"Sí","",IF(D114="Plazo fijo","Despido antes del vencimiento: además existe riesgo de demanda por las remuneraciones hasta el término del plazo",IF(D114="Obra o faena","Al concluir la obra corresponde indemnización de 2,5 días por mes (incluida en la columna S); no IAS",IF(I114=0,"Menos de 1 año: no corresponde IAS (Art. 163)",IF(I114=TOPE_IAS_ANIOS,"IAS en el tope de 11 años","")))))</f>
        <v/>
      </c>
      <c r="U114" s="95" t="str">
        <f aca="false">IF(OR(G114&lt;&gt;"Sí",NOT(ISNUMBER(F114))),"",IF(F114&lt;FQ_FECHA,"",(1.25*(DATEDIF(E114,F114+1,"m")+(F114+1-EDATE(E114,DATEDIF(E114,F114+1,"m")))/30)+SUMPRODUCT((ANIOS&lt;=DATEDIF(E114,F114+1,"y"))*(X114+ANIOS-10&gt;0)*INT((X114+ANIOS-10)/3))-(SUMIFS(V_DIAS,V_ID,B114,V_INICIO,"&lt;="&amp;F114)+Y114))))</f>
        <v/>
      </c>
      <c r="V114" s="71" t="str">
        <f aca="false">IF(G114&lt;&gt;"Sí","",(N(INDEX(T_SUELDO,105))+N(INDEX(T_BONO,105)))/30)</f>
        <v/>
      </c>
      <c r="W114" s="71" t="str">
        <f aca="false">IF(G114&lt;&gt;"Sí","",N(INDEX(T_SUELDO,105))+N(INDEX(T_BONO,105))+IF(LEFT(INDEX(T_GRAT,105)&amp;"",6)="Art. 5",MIN(GRAT_PCT*(N(INDEX(T_SUELDO,105))+N(INDEX(T_BONO,105))),GRAT_TOPE_MES),0))</f>
        <v/>
      </c>
      <c r="X114" s="72" t="str">
        <f aca="false">IF(B114="","",MIN(10,N(INDEX(T_PREV,105))))</f>
        <v/>
      </c>
      <c r="Y114" s="72" t="str">
        <f aca="false">IF(B114="","",N(INDEX(T_VACPREV,105)))</f>
        <v/>
      </c>
      <c r="Z114" s="75" t="str">
        <f aca="false">IF(B114="","",N(INDEX(T_EGRESO,105)))</f>
        <v/>
      </c>
    </row>
    <row r="115" customFormat="false" ht="15" hidden="false" customHeight="false" outlineLevel="0" collapsed="false">
      <c r="B115" s="70" t="str">
        <f aca="false">IFERROR(IF(INDEX(T_ID,106)="","",INDEX(T_ID,106)),"")</f>
        <v/>
      </c>
      <c r="C115" s="70" t="str">
        <f aca="false">IF(B115="","",INDEX(T_NOMBRE,106)&amp;"")</f>
        <v/>
      </c>
      <c r="D115" s="70" t="str">
        <f aca="false">IF(B115="","",INDEX(T_TIPO,106)&amp;"")</f>
        <v/>
      </c>
      <c r="E115" s="75" t="str">
        <f aca="false">IF(B115="","",INDEX(T_INGRESO,106))</f>
        <v/>
      </c>
      <c r="F115" s="75" t="str">
        <f aca="false">IF(B115="","",IF(ISNUMBER(INDEX(CC_VENCE,106)),INDEX(CC_VENCE,106),""))</f>
        <v/>
      </c>
      <c r="G115" s="70" t="str">
        <f aca="false">IF(OR(B115="",NOT(ISNUMBER(E115))),"",IF(AND(E115&lt;=FQ_FECHA,OR(Z115=0,Z115&gt;=FQ_FECHA)),"Sí","No"))</f>
        <v/>
      </c>
      <c r="H115" s="94" t="str">
        <f aca="false">IF(G115&lt;&gt;"Sí","",ROUND((FQ_FECHA+1-E115)/365.25,1))</f>
        <v/>
      </c>
      <c r="I115" s="73" t="str">
        <f aca="false">IF(G115&lt;&gt;"Sí","",IF(DATEDIF(E115,FQ_FECHA+1,"y")&lt;1,0,MIN(TOPE_IAS_ANIOS,DATEDIF(E115,FQ_FECHA+1,"y")+IF(EDATE(E115,12*DATEDIF(E115,FQ_FECHA+1,"y")+6)&lt;FQ_FECHA+1,1,0))))</f>
        <v/>
      </c>
      <c r="J115" s="71" t="str">
        <f aca="false">IF(G115&lt;&gt;"Sí","",W115+N(INDEX(T_COL,106))+N(INDEX(T_MOV,106)))</f>
        <v/>
      </c>
      <c r="K115" s="71" t="str">
        <f aca="false">IF(G115&lt;&gt;"Sí","",MIN(J115,TOPE_IAS_UF*UF_HOY))</f>
        <v/>
      </c>
      <c r="L115" s="95" t="str">
        <f aca="false">IF(G115&lt;&gt;"Sí","",(1.25*(DATEDIF(E115,FQ_FECHA+1,"m")+(FQ_FECHA+1-EDATE(E115,DATEDIF(E115,FQ_FECHA+1,"m")))/30)+SUMPRODUCT((ANIOS&lt;=DATEDIF(E115,FQ_FECHA+1,"y"))*(X115+ANIOS-10&gt;0)*INT((X115+ANIOS-10)/3))-(SUMIFS(V_DIAS,V_ID,B115,V_INICIO,"&lt;="&amp;FQ_FECHA)+Y115)))</f>
        <v/>
      </c>
      <c r="M115" s="71" t="str">
        <f aca="false">IF(G115&lt;&gt;"Sí","",ROUND(MAX(0,IF(L115&lt;=0,0,WORKDAY(FQ_FECHA,INT(L115),FERIADOS)-FQ_FECHA+(L115-INT(L115))))*V115,0))</f>
        <v/>
      </c>
      <c r="N115" s="71" t="str">
        <f aca="false">IF(G115&lt;&gt;"Sí","",IF(D115="Obra o faena",0,ROUND(K115*I115,0)))</f>
        <v/>
      </c>
      <c r="O115" s="71" t="str">
        <f aca="false">IF(G115&lt;&gt;"Sí","",IF(OR(D115="Obra o faena",FQ_AVISO="Sí"),0,ROUND(K115,0)))</f>
        <v/>
      </c>
      <c r="P115" s="71" t="str">
        <f aca="false">IF(G115&lt;&gt;"Sí","",IF(AND(IMPUTAR_AFC="Sí",N115&gt;0),-MIN(N115,ROUND(AFC_IMPUTABLE_PCT*MIN(W115,TOPE_AFC_UF*UF_HOY)*DATEDIF(E115,FQ_FECHA+1,"m"),0)),0))</f>
        <v/>
      </c>
      <c r="Q115" s="85" t="str">
        <f aca="false">IF(G115&lt;&gt;"Sí","",M115+N115+O115+P115)</f>
        <v/>
      </c>
      <c r="R115" s="85" t="str">
        <f aca="false">IF(G115&lt;&gt;"Sí","",M115)</f>
        <v/>
      </c>
      <c r="S115" s="85" t="str">
        <f aca="false">IF(U115="","",IF(INDEX(CC_ESTADOC,106)="Renovación registrada","",ROUND(MAX(0,IF(U115&lt;=0,0,WORKDAY(F115,INT(U115),FERIADOS)-F115+(U115-INT(U115))))*V115,0)+IF(D115="Obra o faena",ROUND(OBRA_DIAS*K115/30*(DATEDIF(E115,F115+1,"m")+IF(F115+1-EDATE(E115,DATEDIF(E115,F115+1,"m"))&gt;15,1,0)),0),0)))</f>
        <v/>
      </c>
      <c r="T115" s="70" t="str">
        <f aca="false">IF(G115&lt;&gt;"Sí","",IF(D115="Plazo fijo","Despido antes del vencimiento: además existe riesgo de demanda por las remuneraciones hasta el término del plazo",IF(D115="Obra o faena","Al concluir la obra corresponde indemnización de 2,5 días por mes (incluida en la columna S); no IAS",IF(I115=0,"Menos de 1 año: no corresponde IAS (Art. 163)",IF(I115=TOPE_IAS_ANIOS,"IAS en el tope de 11 años","")))))</f>
        <v/>
      </c>
      <c r="U115" s="95" t="str">
        <f aca="false">IF(OR(G115&lt;&gt;"Sí",NOT(ISNUMBER(F115))),"",IF(F115&lt;FQ_FECHA,"",(1.25*(DATEDIF(E115,F115+1,"m")+(F115+1-EDATE(E115,DATEDIF(E115,F115+1,"m")))/30)+SUMPRODUCT((ANIOS&lt;=DATEDIF(E115,F115+1,"y"))*(X115+ANIOS-10&gt;0)*INT((X115+ANIOS-10)/3))-(SUMIFS(V_DIAS,V_ID,B115,V_INICIO,"&lt;="&amp;F115)+Y115))))</f>
        <v/>
      </c>
      <c r="V115" s="71" t="str">
        <f aca="false">IF(G115&lt;&gt;"Sí","",(N(INDEX(T_SUELDO,106))+N(INDEX(T_BONO,106)))/30)</f>
        <v/>
      </c>
      <c r="W115" s="71" t="str">
        <f aca="false">IF(G115&lt;&gt;"Sí","",N(INDEX(T_SUELDO,106))+N(INDEX(T_BONO,106))+IF(LEFT(INDEX(T_GRAT,106)&amp;"",6)="Art. 5",MIN(GRAT_PCT*(N(INDEX(T_SUELDO,106))+N(INDEX(T_BONO,106))),GRAT_TOPE_MES),0))</f>
        <v/>
      </c>
      <c r="X115" s="72" t="str">
        <f aca="false">IF(B115="","",MIN(10,N(INDEX(T_PREV,106))))</f>
        <v/>
      </c>
      <c r="Y115" s="72" t="str">
        <f aca="false">IF(B115="","",N(INDEX(T_VACPREV,106)))</f>
        <v/>
      </c>
      <c r="Z115" s="75" t="str">
        <f aca="false">IF(B115="","",N(INDEX(T_EGRESO,106)))</f>
        <v/>
      </c>
    </row>
    <row r="116" customFormat="false" ht="15" hidden="false" customHeight="false" outlineLevel="0" collapsed="false">
      <c r="B116" s="70" t="str">
        <f aca="false">IFERROR(IF(INDEX(T_ID,107)="","",INDEX(T_ID,107)),"")</f>
        <v/>
      </c>
      <c r="C116" s="70" t="str">
        <f aca="false">IF(B116="","",INDEX(T_NOMBRE,107)&amp;"")</f>
        <v/>
      </c>
      <c r="D116" s="70" t="str">
        <f aca="false">IF(B116="","",INDEX(T_TIPO,107)&amp;"")</f>
        <v/>
      </c>
      <c r="E116" s="75" t="str">
        <f aca="false">IF(B116="","",INDEX(T_INGRESO,107))</f>
        <v/>
      </c>
      <c r="F116" s="75" t="str">
        <f aca="false">IF(B116="","",IF(ISNUMBER(INDEX(CC_VENCE,107)),INDEX(CC_VENCE,107),""))</f>
        <v/>
      </c>
      <c r="G116" s="70" t="str">
        <f aca="false">IF(OR(B116="",NOT(ISNUMBER(E116))),"",IF(AND(E116&lt;=FQ_FECHA,OR(Z116=0,Z116&gt;=FQ_FECHA)),"Sí","No"))</f>
        <v/>
      </c>
      <c r="H116" s="94" t="str">
        <f aca="false">IF(G116&lt;&gt;"Sí","",ROUND((FQ_FECHA+1-E116)/365.25,1))</f>
        <v/>
      </c>
      <c r="I116" s="73" t="str">
        <f aca="false">IF(G116&lt;&gt;"Sí","",IF(DATEDIF(E116,FQ_FECHA+1,"y")&lt;1,0,MIN(TOPE_IAS_ANIOS,DATEDIF(E116,FQ_FECHA+1,"y")+IF(EDATE(E116,12*DATEDIF(E116,FQ_FECHA+1,"y")+6)&lt;FQ_FECHA+1,1,0))))</f>
        <v/>
      </c>
      <c r="J116" s="71" t="str">
        <f aca="false">IF(G116&lt;&gt;"Sí","",W116+N(INDEX(T_COL,107))+N(INDEX(T_MOV,107)))</f>
        <v/>
      </c>
      <c r="K116" s="71" t="str">
        <f aca="false">IF(G116&lt;&gt;"Sí","",MIN(J116,TOPE_IAS_UF*UF_HOY))</f>
        <v/>
      </c>
      <c r="L116" s="95" t="str">
        <f aca="false">IF(G116&lt;&gt;"Sí","",(1.25*(DATEDIF(E116,FQ_FECHA+1,"m")+(FQ_FECHA+1-EDATE(E116,DATEDIF(E116,FQ_FECHA+1,"m")))/30)+SUMPRODUCT((ANIOS&lt;=DATEDIF(E116,FQ_FECHA+1,"y"))*(X116+ANIOS-10&gt;0)*INT((X116+ANIOS-10)/3))-(SUMIFS(V_DIAS,V_ID,B116,V_INICIO,"&lt;="&amp;FQ_FECHA)+Y116)))</f>
        <v/>
      </c>
      <c r="M116" s="71" t="str">
        <f aca="false">IF(G116&lt;&gt;"Sí","",ROUND(MAX(0,IF(L116&lt;=0,0,WORKDAY(FQ_FECHA,INT(L116),FERIADOS)-FQ_FECHA+(L116-INT(L116))))*V116,0))</f>
        <v/>
      </c>
      <c r="N116" s="71" t="str">
        <f aca="false">IF(G116&lt;&gt;"Sí","",IF(D116="Obra o faena",0,ROUND(K116*I116,0)))</f>
        <v/>
      </c>
      <c r="O116" s="71" t="str">
        <f aca="false">IF(G116&lt;&gt;"Sí","",IF(OR(D116="Obra o faena",FQ_AVISO="Sí"),0,ROUND(K116,0)))</f>
        <v/>
      </c>
      <c r="P116" s="71" t="str">
        <f aca="false">IF(G116&lt;&gt;"Sí","",IF(AND(IMPUTAR_AFC="Sí",N116&gt;0),-MIN(N116,ROUND(AFC_IMPUTABLE_PCT*MIN(W116,TOPE_AFC_UF*UF_HOY)*DATEDIF(E116,FQ_FECHA+1,"m"),0)),0))</f>
        <v/>
      </c>
      <c r="Q116" s="85" t="str">
        <f aca="false">IF(G116&lt;&gt;"Sí","",M116+N116+O116+P116)</f>
        <v/>
      </c>
      <c r="R116" s="85" t="str">
        <f aca="false">IF(G116&lt;&gt;"Sí","",M116)</f>
        <v/>
      </c>
      <c r="S116" s="85" t="str">
        <f aca="false">IF(U116="","",IF(INDEX(CC_ESTADOC,107)="Renovación registrada","",ROUND(MAX(0,IF(U116&lt;=0,0,WORKDAY(F116,INT(U116),FERIADOS)-F116+(U116-INT(U116))))*V116,0)+IF(D116="Obra o faena",ROUND(OBRA_DIAS*K116/30*(DATEDIF(E116,F116+1,"m")+IF(F116+1-EDATE(E116,DATEDIF(E116,F116+1,"m"))&gt;15,1,0)),0),0)))</f>
        <v/>
      </c>
      <c r="T116" s="70" t="str">
        <f aca="false">IF(G116&lt;&gt;"Sí","",IF(D116="Plazo fijo","Despido antes del vencimiento: además existe riesgo de demanda por las remuneraciones hasta el término del plazo",IF(D116="Obra o faena","Al concluir la obra corresponde indemnización de 2,5 días por mes (incluida en la columna S); no IAS",IF(I116=0,"Menos de 1 año: no corresponde IAS (Art. 163)",IF(I116=TOPE_IAS_ANIOS,"IAS en el tope de 11 años","")))))</f>
        <v/>
      </c>
      <c r="U116" s="95" t="str">
        <f aca="false">IF(OR(G116&lt;&gt;"Sí",NOT(ISNUMBER(F116))),"",IF(F116&lt;FQ_FECHA,"",(1.25*(DATEDIF(E116,F116+1,"m")+(F116+1-EDATE(E116,DATEDIF(E116,F116+1,"m")))/30)+SUMPRODUCT((ANIOS&lt;=DATEDIF(E116,F116+1,"y"))*(X116+ANIOS-10&gt;0)*INT((X116+ANIOS-10)/3))-(SUMIFS(V_DIAS,V_ID,B116,V_INICIO,"&lt;="&amp;F116)+Y116))))</f>
        <v/>
      </c>
      <c r="V116" s="71" t="str">
        <f aca="false">IF(G116&lt;&gt;"Sí","",(N(INDEX(T_SUELDO,107))+N(INDEX(T_BONO,107)))/30)</f>
        <v/>
      </c>
      <c r="W116" s="71" t="str">
        <f aca="false">IF(G116&lt;&gt;"Sí","",N(INDEX(T_SUELDO,107))+N(INDEX(T_BONO,107))+IF(LEFT(INDEX(T_GRAT,107)&amp;"",6)="Art. 5",MIN(GRAT_PCT*(N(INDEX(T_SUELDO,107))+N(INDEX(T_BONO,107))),GRAT_TOPE_MES),0))</f>
        <v/>
      </c>
      <c r="X116" s="72" t="str">
        <f aca="false">IF(B116="","",MIN(10,N(INDEX(T_PREV,107))))</f>
        <v/>
      </c>
      <c r="Y116" s="72" t="str">
        <f aca="false">IF(B116="","",N(INDEX(T_VACPREV,107)))</f>
        <v/>
      </c>
      <c r="Z116" s="75" t="str">
        <f aca="false">IF(B116="","",N(INDEX(T_EGRESO,107)))</f>
        <v/>
      </c>
    </row>
    <row r="117" customFormat="false" ht="15" hidden="false" customHeight="false" outlineLevel="0" collapsed="false">
      <c r="B117" s="70" t="str">
        <f aca="false">IFERROR(IF(INDEX(T_ID,108)="","",INDEX(T_ID,108)),"")</f>
        <v/>
      </c>
      <c r="C117" s="70" t="str">
        <f aca="false">IF(B117="","",INDEX(T_NOMBRE,108)&amp;"")</f>
        <v/>
      </c>
      <c r="D117" s="70" t="str">
        <f aca="false">IF(B117="","",INDEX(T_TIPO,108)&amp;"")</f>
        <v/>
      </c>
      <c r="E117" s="75" t="str">
        <f aca="false">IF(B117="","",INDEX(T_INGRESO,108))</f>
        <v/>
      </c>
      <c r="F117" s="75" t="str">
        <f aca="false">IF(B117="","",IF(ISNUMBER(INDEX(CC_VENCE,108)),INDEX(CC_VENCE,108),""))</f>
        <v/>
      </c>
      <c r="G117" s="70" t="str">
        <f aca="false">IF(OR(B117="",NOT(ISNUMBER(E117))),"",IF(AND(E117&lt;=FQ_FECHA,OR(Z117=0,Z117&gt;=FQ_FECHA)),"Sí","No"))</f>
        <v/>
      </c>
      <c r="H117" s="94" t="str">
        <f aca="false">IF(G117&lt;&gt;"Sí","",ROUND((FQ_FECHA+1-E117)/365.25,1))</f>
        <v/>
      </c>
      <c r="I117" s="73" t="str">
        <f aca="false">IF(G117&lt;&gt;"Sí","",IF(DATEDIF(E117,FQ_FECHA+1,"y")&lt;1,0,MIN(TOPE_IAS_ANIOS,DATEDIF(E117,FQ_FECHA+1,"y")+IF(EDATE(E117,12*DATEDIF(E117,FQ_FECHA+1,"y")+6)&lt;FQ_FECHA+1,1,0))))</f>
        <v/>
      </c>
      <c r="J117" s="71" t="str">
        <f aca="false">IF(G117&lt;&gt;"Sí","",W117+N(INDEX(T_COL,108))+N(INDEX(T_MOV,108)))</f>
        <v/>
      </c>
      <c r="K117" s="71" t="str">
        <f aca="false">IF(G117&lt;&gt;"Sí","",MIN(J117,TOPE_IAS_UF*UF_HOY))</f>
        <v/>
      </c>
      <c r="L117" s="95" t="str">
        <f aca="false">IF(G117&lt;&gt;"Sí","",(1.25*(DATEDIF(E117,FQ_FECHA+1,"m")+(FQ_FECHA+1-EDATE(E117,DATEDIF(E117,FQ_FECHA+1,"m")))/30)+SUMPRODUCT((ANIOS&lt;=DATEDIF(E117,FQ_FECHA+1,"y"))*(X117+ANIOS-10&gt;0)*INT((X117+ANIOS-10)/3))-(SUMIFS(V_DIAS,V_ID,B117,V_INICIO,"&lt;="&amp;FQ_FECHA)+Y117)))</f>
        <v/>
      </c>
      <c r="M117" s="71" t="str">
        <f aca="false">IF(G117&lt;&gt;"Sí","",ROUND(MAX(0,IF(L117&lt;=0,0,WORKDAY(FQ_FECHA,INT(L117),FERIADOS)-FQ_FECHA+(L117-INT(L117))))*V117,0))</f>
        <v/>
      </c>
      <c r="N117" s="71" t="str">
        <f aca="false">IF(G117&lt;&gt;"Sí","",IF(D117="Obra o faena",0,ROUND(K117*I117,0)))</f>
        <v/>
      </c>
      <c r="O117" s="71" t="str">
        <f aca="false">IF(G117&lt;&gt;"Sí","",IF(OR(D117="Obra o faena",FQ_AVISO="Sí"),0,ROUND(K117,0)))</f>
        <v/>
      </c>
      <c r="P117" s="71" t="str">
        <f aca="false">IF(G117&lt;&gt;"Sí","",IF(AND(IMPUTAR_AFC="Sí",N117&gt;0),-MIN(N117,ROUND(AFC_IMPUTABLE_PCT*MIN(W117,TOPE_AFC_UF*UF_HOY)*DATEDIF(E117,FQ_FECHA+1,"m"),0)),0))</f>
        <v/>
      </c>
      <c r="Q117" s="85" t="str">
        <f aca="false">IF(G117&lt;&gt;"Sí","",M117+N117+O117+P117)</f>
        <v/>
      </c>
      <c r="R117" s="85" t="str">
        <f aca="false">IF(G117&lt;&gt;"Sí","",M117)</f>
        <v/>
      </c>
      <c r="S117" s="85" t="str">
        <f aca="false">IF(U117="","",IF(INDEX(CC_ESTADOC,108)="Renovación registrada","",ROUND(MAX(0,IF(U117&lt;=0,0,WORKDAY(F117,INT(U117),FERIADOS)-F117+(U117-INT(U117))))*V117,0)+IF(D117="Obra o faena",ROUND(OBRA_DIAS*K117/30*(DATEDIF(E117,F117+1,"m")+IF(F117+1-EDATE(E117,DATEDIF(E117,F117+1,"m"))&gt;15,1,0)),0),0)))</f>
        <v/>
      </c>
      <c r="T117" s="70" t="str">
        <f aca="false">IF(G117&lt;&gt;"Sí","",IF(D117="Plazo fijo","Despido antes del vencimiento: además existe riesgo de demanda por las remuneraciones hasta el término del plazo",IF(D117="Obra o faena","Al concluir la obra corresponde indemnización de 2,5 días por mes (incluida en la columna S); no IAS",IF(I117=0,"Menos de 1 año: no corresponde IAS (Art. 163)",IF(I117=TOPE_IAS_ANIOS,"IAS en el tope de 11 años","")))))</f>
        <v/>
      </c>
      <c r="U117" s="95" t="str">
        <f aca="false">IF(OR(G117&lt;&gt;"Sí",NOT(ISNUMBER(F117))),"",IF(F117&lt;FQ_FECHA,"",(1.25*(DATEDIF(E117,F117+1,"m")+(F117+1-EDATE(E117,DATEDIF(E117,F117+1,"m")))/30)+SUMPRODUCT((ANIOS&lt;=DATEDIF(E117,F117+1,"y"))*(X117+ANIOS-10&gt;0)*INT((X117+ANIOS-10)/3))-(SUMIFS(V_DIAS,V_ID,B117,V_INICIO,"&lt;="&amp;F117)+Y117))))</f>
        <v/>
      </c>
      <c r="V117" s="71" t="str">
        <f aca="false">IF(G117&lt;&gt;"Sí","",(N(INDEX(T_SUELDO,108))+N(INDEX(T_BONO,108)))/30)</f>
        <v/>
      </c>
      <c r="W117" s="71" t="str">
        <f aca="false">IF(G117&lt;&gt;"Sí","",N(INDEX(T_SUELDO,108))+N(INDEX(T_BONO,108))+IF(LEFT(INDEX(T_GRAT,108)&amp;"",6)="Art. 5",MIN(GRAT_PCT*(N(INDEX(T_SUELDO,108))+N(INDEX(T_BONO,108))),GRAT_TOPE_MES),0))</f>
        <v/>
      </c>
      <c r="X117" s="72" t="str">
        <f aca="false">IF(B117="","",MIN(10,N(INDEX(T_PREV,108))))</f>
        <v/>
      </c>
      <c r="Y117" s="72" t="str">
        <f aca="false">IF(B117="","",N(INDEX(T_VACPREV,108)))</f>
        <v/>
      </c>
      <c r="Z117" s="75" t="str">
        <f aca="false">IF(B117="","",N(INDEX(T_EGRESO,108)))</f>
        <v/>
      </c>
    </row>
    <row r="118" customFormat="false" ht="15" hidden="false" customHeight="false" outlineLevel="0" collapsed="false">
      <c r="B118" s="70" t="str">
        <f aca="false">IFERROR(IF(INDEX(T_ID,109)="","",INDEX(T_ID,109)),"")</f>
        <v/>
      </c>
      <c r="C118" s="70" t="str">
        <f aca="false">IF(B118="","",INDEX(T_NOMBRE,109)&amp;"")</f>
        <v/>
      </c>
      <c r="D118" s="70" t="str">
        <f aca="false">IF(B118="","",INDEX(T_TIPO,109)&amp;"")</f>
        <v/>
      </c>
      <c r="E118" s="75" t="str">
        <f aca="false">IF(B118="","",INDEX(T_INGRESO,109))</f>
        <v/>
      </c>
      <c r="F118" s="75" t="str">
        <f aca="false">IF(B118="","",IF(ISNUMBER(INDEX(CC_VENCE,109)),INDEX(CC_VENCE,109),""))</f>
        <v/>
      </c>
      <c r="G118" s="70" t="str">
        <f aca="false">IF(OR(B118="",NOT(ISNUMBER(E118))),"",IF(AND(E118&lt;=FQ_FECHA,OR(Z118=0,Z118&gt;=FQ_FECHA)),"Sí","No"))</f>
        <v/>
      </c>
      <c r="H118" s="94" t="str">
        <f aca="false">IF(G118&lt;&gt;"Sí","",ROUND((FQ_FECHA+1-E118)/365.25,1))</f>
        <v/>
      </c>
      <c r="I118" s="73" t="str">
        <f aca="false">IF(G118&lt;&gt;"Sí","",IF(DATEDIF(E118,FQ_FECHA+1,"y")&lt;1,0,MIN(TOPE_IAS_ANIOS,DATEDIF(E118,FQ_FECHA+1,"y")+IF(EDATE(E118,12*DATEDIF(E118,FQ_FECHA+1,"y")+6)&lt;FQ_FECHA+1,1,0))))</f>
        <v/>
      </c>
      <c r="J118" s="71" t="str">
        <f aca="false">IF(G118&lt;&gt;"Sí","",W118+N(INDEX(T_COL,109))+N(INDEX(T_MOV,109)))</f>
        <v/>
      </c>
      <c r="K118" s="71" t="str">
        <f aca="false">IF(G118&lt;&gt;"Sí","",MIN(J118,TOPE_IAS_UF*UF_HOY))</f>
        <v/>
      </c>
      <c r="L118" s="95" t="str">
        <f aca="false">IF(G118&lt;&gt;"Sí","",(1.25*(DATEDIF(E118,FQ_FECHA+1,"m")+(FQ_FECHA+1-EDATE(E118,DATEDIF(E118,FQ_FECHA+1,"m")))/30)+SUMPRODUCT((ANIOS&lt;=DATEDIF(E118,FQ_FECHA+1,"y"))*(X118+ANIOS-10&gt;0)*INT((X118+ANIOS-10)/3))-(SUMIFS(V_DIAS,V_ID,B118,V_INICIO,"&lt;="&amp;FQ_FECHA)+Y118)))</f>
        <v/>
      </c>
      <c r="M118" s="71" t="str">
        <f aca="false">IF(G118&lt;&gt;"Sí","",ROUND(MAX(0,IF(L118&lt;=0,0,WORKDAY(FQ_FECHA,INT(L118),FERIADOS)-FQ_FECHA+(L118-INT(L118))))*V118,0))</f>
        <v/>
      </c>
      <c r="N118" s="71" t="str">
        <f aca="false">IF(G118&lt;&gt;"Sí","",IF(D118="Obra o faena",0,ROUND(K118*I118,0)))</f>
        <v/>
      </c>
      <c r="O118" s="71" t="str">
        <f aca="false">IF(G118&lt;&gt;"Sí","",IF(OR(D118="Obra o faena",FQ_AVISO="Sí"),0,ROUND(K118,0)))</f>
        <v/>
      </c>
      <c r="P118" s="71" t="str">
        <f aca="false">IF(G118&lt;&gt;"Sí","",IF(AND(IMPUTAR_AFC="Sí",N118&gt;0),-MIN(N118,ROUND(AFC_IMPUTABLE_PCT*MIN(W118,TOPE_AFC_UF*UF_HOY)*DATEDIF(E118,FQ_FECHA+1,"m"),0)),0))</f>
        <v/>
      </c>
      <c r="Q118" s="85" t="str">
        <f aca="false">IF(G118&lt;&gt;"Sí","",M118+N118+O118+P118)</f>
        <v/>
      </c>
      <c r="R118" s="85" t="str">
        <f aca="false">IF(G118&lt;&gt;"Sí","",M118)</f>
        <v/>
      </c>
      <c r="S118" s="85" t="str">
        <f aca="false">IF(U118="","",IF(INDEX(CC_ESTADOC,109)="Renovación registrada","",ROUND(MAX(0,IF(U118&lt;=0,0,WORKDAY(F118,INT(U118),FERIADOS)-F118+(U118-INT(U118))))*V118,0)+IF(D118="Obra o faena",ROUND(OBRA_DIAS*K118/30*(DATEDIF(E118,F118+1,"m")+IF(F118+1-EDATE(E118,DATEDIF(E118,F118+1,"m"))&gt;15,1,0)),0),0)))</f>
        <v/>
      </c>
      <c r="T118" s="70" t="str">
        <f aca="false">IF(G118&lt;&gt;"Sí","",IF(D118="Plazo fijo","Despido antes del vencimiento: además existe riesgo de demanda por las remuneraciones hasta el término del plazo",IF(D118="Obra o faena","Al concluir la obra corresponde indemnización de 2,5 días por mes (incluida en la columna S); no IAS",IF(I118=0,"Menos de 1 año: no corresponde IAS (Art. 163)",IF(I118=TOPE_IAS_ANIOS,"IAS en el tope de 11 años","")))))</f>
        <v/>
      </c>
      <c r="U118" s="95" t="str">
        <f aca="false">IF(OR(G118&lt;&gt;"Sí",NOT(ISNUMBER(F118))),"",IF(F118&lt;FQ_FECHA,"",(1.25*(DATEDIF(E118,F118+1,"m")+(F118+1-EDATE(E118,DATEDIF(E118,F118+1,"m")))/30)+SUMPRODUCT((ANIOS&lt;=DATEDIF(E118,F118+1,"y"))*(X118+ANIOS-10&gt;0)*INT((X118+ANIOS-10)/3))-(SUMIFS(V_DIAS,V_ID,B118,V_INICIO,"&lt;="&amp;F118)+Y118))))</f>
        <v/>
      </c>
      <c r="V118" s="71" t="str">
        <f aca="false">IF(G118&lt;&gt;"Sí","",(N(INDEX(T_SUELDO,109))+N(INDEX(T_BONO,109)))/30)</f>
        <v/>
      </c>
      <c r="W118" s="71" t="str">
        <f aca="false">IF(G118&lt;&gt;"Sí","",N(INDEX(T_SUELDO,109))+N(INDEX(T_BONO,109))+IF(LEFT(INDEX(T_GRAT,109)&amp;"",6)="Art. 5",MIN(GRAT_PCT*(N(INDEX(T_SUELDO,109))+N(INDEX(T_BONO,109))),GRAT_TOPE_MES),0))</f>
        <v/>
      </c>
      <c r="X118" s="72" t="str">
        <f aca="false">IF(B118="","",MIN(10,N(INDEX(T_PREV,109))))</f>
        <v/>
      </c>
      <c r="Y118" s="72" t="str">
        <f aca="false">IF(B118="","",N(INDEX(T_VACPREV,109)))</f>
        <v/>
      </c>
      <c r="Z118" s="75" t="str">
        <f aca="false">IF(B118="","",N(INDEX(T_EGRESO,109)))</f>
        <v/>
      </c>
    </row>
    <row r="119" customFormat="false" ht="15" hidden="false" customHeight="false" outlineLevel="0" collapsed="false">
      <c r="B119" s="70" t="str">
        <f aca="false">IFERROR(IF(INDEX(T_ID,110)="","",INDEX(T_ID,110)),"")</f>
        <v/>
      </c>
      <c r="C119" s="70" t="str">
        <f aca="false">IF(B119="","",INDEX(T_NOMBRE,110)&amp;"")</f>
        <v/>
      </c>
      <c r="D119" s="70" t="str">
        <f aca="false">IF(B119="","",INDEX(T_TIPO,110)&amp;"")</f>
        <v/>
      </c>
      <c r="E119" s="75" t="str">
        <f aca="false">IF(B119="","",INDEX(T_INGRESO,110))</f>
        <v/>
      </c>
      <c r="F119" s="75" t="str">
        <f aca="false">IF(B119="","",IF(ISNUMBER(INDEX(CC_VENCE,110)),INDEX(CC_VENCE,110),""))</f>
        <v/>
      </c>
      <c r="G119" s="70" t="str">
        <f aca="false">IF(OR(B119="",NOT(ISNUMBER(E119))),"",IF(AND(E119&lt;=FQ_FECHA,OR(Z119=0,Z119&gt;=FQ_FECHA)),"Sí","No"))</f>
        <v/>
      </c>
      <c r="H119" s="94" t="str">
        <f aca="false">IF(G119&lt;&gt;"Sí","",ROUND((FQ_FECHA+1-E119)/365.25,1))</f>
        <v/>
      </c>
      <c r="I119" s="73" t="str">
        <f aca="false">IF(G119&lt;&gt;"Sí","",IF(DATEDIF(E119,FQ_FECHA+1,"y")&lt;1,0,MIN(TOPE_IAS_ANIOS,DATEDIF(E119,FQ_FECHA+1,"y")+IF(EDATE(E119,12*DATEDIF(E119,FQ_FECHA+1,"y")+6)&lt;FQ_FECHA+1,1,0))))</f>
        <v/>
      </c>
      <c r="J119" s="71" t="str">
        <f aca="false">IF(G119&lt;&gt;"Sí","",W119+N(INDEX(T_COL,110))+N(INDEX(T_MOV,110)))</f>
        <v/>
      </c>
      <c r="K119" s="71" t="str">
        <f aca="false">IF(G119&lt;&gt;"Sí","",MIN(J119,TOPE_IAS_UF*UF_HOY))</f>
        <v/>
      </c>
      <c r="L119" s="95" t="str">
        <f aca="false">IF(G119&lt;&gt;"Sí","",(1.25*(DATEDIF(E119,FQ_FECHA+1,"m")+(FQ_FECHA+1-EDATE(E119,DATEDIF(E119,FQ_FECHA+1,"m")))/30)+SUMPRODUCT((ANIOS&lt;=DATEDIF(E119,FQ_FECHA+1,"y"))*(X119+ANIOS-10&gt;0)*INT((X119+ANIOS-10)/3))-(SUMIFS(V_DIAS,V_ID,B119,V_INICIO,"&lt;="&amp;FQ_FECHA)+Y119)))</f>
        <v/>
      </c>
      <c r="M119" s="71" t="str">
        <f aca="false">IF(G119&lt;&gt;"Sí","",ROUND(MAX(0,IF(L119&lt;=0,0,WORKDAY(FQ_FECHA,INT(L119),FERIADOS)-FQ_FECHA+(L119-INT(L119))))*V119,0))</f>
        <v/>
      </c>
      <c r="N119" s="71" t="str">
        <f aca="false">IF(G119&lt;&gt;"Sí","",IF(D119="Obra o faena",0,ROUND(K119*I119,0)))</f>
        <v/>
      </c>
      <c r="O119" s="71" t="str">
        <f aca="false">IF(G119&lt;&gt;"Sí","",IF(OR(D119="Obra o faena",FQ_AVISO="Sí"),0,ROUND(K119,0)))</f>
        <v/>
      </c>
      <c r="P119" s="71" t="str">
        <f aca="false">IF(G119&lt;&gt;"Sí","",IF(AND(IMPUTAR_AFC="Sí",N119&gt;0),-MIN(N119,ROUND(AFC_IMPUTABLE_PCT*MIN(W119,TOPE_AFC_UF*UF_HOY)*DATEDIF(E119,FQ_FECHA+1,"m"),0)),0))</f>
        <v/>
      </c>
      <c r="Q119" s="85" t="str">
        <f aca="false">IF(G119&lt;&gt;"Sí","",M119+N119+O119+P119)</f>
        <v/>
      </c>
      <c r="R119" s="85" t="str">
        <f aca="false">IF(G119&lt;&gt;"Sí","",M119)</f>
        <v/>
      </c>
      <c r="S119" s="85" t="str">
        <f aca="false">IF(U119="","",IF(INDEX(CC_ESTADOC,110)="Renovación registrada","",ROUND(MAX(0,IF(U119&lt;=0,0,WORKDAY(F119,INT(U119),FERIADOS)-F119+(U119-INT(U119))))*V119,0)+IF(D119="Obra o faena",ROUND(OBRA_DIAS*K119/30*(DATEDIF(E119,F119+1,"m")+IF(F119+1-EDATE(E119,DATEDIF(E119,F119+1,"m"))&gt;15,1,0)),0),0)))</f>
        <v/>
      </c>
      <c r="T119" s="70" t="str">
        <f aca="false">IF(G119&lt;&gt;"Sí","",IF(D119="Plazo fijo","Despido antes del vencimiento: además existe riesgo de demanda por las remuneraciones hasta el término del plazo",IF(D119="Obra o faena","Al concluir la obra corresponde indemnización de 2,5 días por mes (incluida en la columna S); no IAS",IF(I119=0,"Menos de 1 año: no corresponde IAS (Art. 163)",IF(I119=TOPE_IAS_ANIOS,"IAS en el tope de 11 años","")))))</f>
        <v/>
      </c>
      <c r="U119" s="95" t="str">
        <f aca="false">IF(OR(G119&lt;&gt;"Sí",NOT(ISNUMBER(F119))),"",IF(F119&lt;FQ_FECHA,"",(1.25*(DATEDIF(E119,F119+1,"m")+(F119+1-EDATE(E119,DATEDIF(E119,F119+1,"m")))/30)+SUMPRODUCT((ANIOS&lt;=DATEDIF(E119,F119+1,"y"))*(X119+ANIOS-10&gt;0)*INT((X119+ANIOS-10)/3))-(SUMIFS(V_DIAS,V_ID,B119,V_INICIO,"&lt;="&amp;F119)+Y119))))</f>
        <v/>
      </c>
      <c r="V119" s="71" t="str">
        <f aca="false">IF(G119&lt;&gt;"Sí","",(N(INDEX(T_SUELDO,110))+N(INDEX(T_BONO,110)))/30)</f>
        <v/>
      </c>
      <c r="W119" s="71" t="str">
        <f aca="false">IF(G119&lt;&gt;"Sí","",N(INDEX(T_SUELDO,110))+N(INDEX(T_BONO,110))+IF(LEFT(INDEX(T_GRAT,110)&amp;"",6)="Art. 5",MIN(GRAT_PCT*(N(INDEX(T_SUELDO,110))+N(INDEX(T_BONO,110))),GRAT_TOPE_MES),0))</f>
        <v/>
      </c>
      <c r="X119" s="72" t="str">
        <f aca="false">IF(B119="","",MIN(10,N(INDEX(T_PREV,110))))</f>
        <v/>
      </c>
      <c r="Y119" s="72" t="str">
        <f aca="false">IF(B119="","",N(INDEX(T_VACPREV,110)))</f>
        <v/>
      </c>
      <c r="Z119" s="75" t="str">
        <f aca="false">IF(B119="","",N(INDEX(T_EGRESO,110)))</f>
        <v/>
      </c>
    </row>
    <row r="120" customFormat="false" ht="15" hidden="false" customHeight="false" outlineLevel="0" collapsed="false">
      <c r="B120" s="70" t="str">
        <f aca="false">IFERROR(IF(INDEX(T_ID,111)="","",INDEX(T_ID,111)),"")</f>
        <v/>
      </c>
      <c r="C120" s="70" t="str">
        <f aca="false">IF(B120="","",INDEX(T_NOMBRE,111)&amp;"")</f>
        <v/>
      </c>
      <c r="D120" s="70" t="str">
        <f aca="false">IF(B120="","",INDEX(T_TIPO,111)&amp;"")</f>
        <v/>
      </c>
      <c r="E120" s="75" t="str">
        <f aca="false">IF(B120="","",INDEX(T_INGRESO,111))</f>
        <v/>
      </c>
      <c r="F120" s="75" t="str">
        <f aca="false">IF(B120="","",IF(ISNUMBER(INDEX(CC_VENCE,111)),INDEX(CC_VENCE,111),""))</f>
        <v/>
      </c>
      <c r="G120" s="70" t="str">
        <f aca="false">IF(OR(B120="",NOT(ISNUMBER(E120))),"",IF(AND(E120&lt;=FQ_FECHA,OR(Z120=0,Z120&gt;=FQ_FECHA)),"Sí","No"))</f>
        <v/>
      </c>
      <c r="H120" s="94" t="str">
        <f aca="false">IF(G120&lt;&gt;"Sí","",ROUND((FQ_FECHA+1-E120)/365.25,1))</f>
        <v/>
      </c>
      <c r="I120" s="73" t="str">
        <f aca="false">IF(G120&lt;&gt;"Sí","",IF(DATEDIF(E120,FQ_FECHA+1,"y")&lt;1,0,MIN(TOPE_IAS_ANIOS,DATEDIF(E120,FQ_FECHA+1,"y")+IF(EDATE(E120,12*DATEDIF(E120,FQ_FECHA+1,"y")+6)&lt;FQ_FECHA+1,1,0))))</f>
        <v/>
      </c>
      <c r="J120" s="71" t="str">
        <f aca="false">IF(G120&lt;&gt;"Sí","",W120+N(INDEX(T_COL,111))+N(INDEX(T_MOV,111)))</f>
        <v/>
      </c>
      <c r="K120" s="71" t="str">
        <f aca="false">IF(G120&lt;&gt;"Sí","",MIN(J120,TOPE_IAS_UF*UF_HOY))</f>
        <v/>
      </c>
      <c r="L120" s="95" t="str">
        <f aca="false">IF(G120&lt;&gt;"Sí","",(1.25*(DATEDIF(E120,FQ_FECHA+1,"m")+(FQ_FECHA+1-EDATE(E120,DATEDIF(E120,FQ_FECHA+1,"m")))/30)+SUMPRODUCT((ANIOS&lt;=DATEDIF(E120,FQ_FECHA+1,"y"))*(X120+ANIOS-10&gt;0)*INT((X120+ANIOS-10)/3))-(SUMIFS(V_DIAS,V_ID,B120,V_INICIO,"&lt;="&amp;FQ_FECHA)+Y120)))</f>
        <v/>
      </c>
      <c r="M120" s="71" t="str">
        <f aca="false">IF(G120&lt;&gt;"Sí","",ROUND(MAX(0,IF(L120&lt;=0,0,WORKDAY(FQ_FECHA,INT(L120),FERIADOS)-FQ_FECHA+(L120-INT(L120))))*V120,0))</f>
        <v/>
      </c>
      <c r="N120" s="71" t="str">
        <f aca="false">IF(G120&lt;&gt;"Sí","",IF(D120="Obra o faena",0,ROUND(K120*I120,0)))</f>
        <v/>
      </c>
      <c r="O120" s="71" t="str">
        <f aca="false">IF(G120&lt;&gt;"Sí","",IF(OR(D120="Obra o faena",FQ_AVISO="Sí"),0,ROUND(K120,0)))</f>
        <v/>
      </c>
      <c r="P120" s="71" t="str">
        <f aca="false">IF(G120&lt;&gt;"Sí","",IF(AND(IMPUTAR_AFC="Sí",N120&gt;0),-MIN(N120,ROUND(AFC_IMPUTABLE_PCT*MIN(W120,TOPE_AFC_UF*UF_HOY)*DATEDIF(E120,FQ_FECHA+1,"m"),0)),0))</f>
        <v/>
      </c>
      <c r="Q120" s="85" t="str">
        <f aca="false">IF(G120&lt;&gt;"Sí","",M120+N120+O120+P120)</f>
        <v/>
      </c>
      <c r="R120" s="85" t="str">
        <f aca="false">IF(G120&lt;&gt;"Sí","",M120)</f>
        <v/>
      </c>
      <c r="S120" s="85" t="str">
        <f aca="false">IF(U120="","",IF(INDEX(CC_ESTADOC,111)="Renovación registrada","",ROUND(MAX(0,IF(U120&lt;=0,0,WORKDAY(F120,INT(U120),FERIADOS)-F120+(U120-INT(U120))))*V120,0)+IF(D120="Obra o faena",ROUND(OBRA_DIAS*K120/30*(DATEDIF(E120,F120+1,"m")+IF(F120+1-EDATE(E120,DATEDIF(E120,F120+1,"m"))&gt;15,1,0)),0),0)))</f>
        <v/>
      </c>
      <c r="T120" s="70" t="str">
        <f aca="false">IF(G120&lt;&gt;"Sí","",IF(D120="Plazo fijo","Despido antes del vencimiento: además existe riesgo de demanda por las remuneraciones hasta el término del plazo",IF(D120="Obra o faena","Al concluir la obra corresponde indemnización de 2,5 días por mes (incluida en la columna S); no IAS",IF(I120=0,"Menos de 1 año: no corresponde IAS (Art. 163)",IF(I120=TOPE_IAS_ANIOS,"IAS en el tope de 11 años","")))))</f>
        <v/>
      </c>
      <c r="U120" s="95" t="str">
        <f aca="false">IF(OR(G120&lt;&gt;"Sí",NOT(ISNUMBER(F120))),"",IF(F120&lt;FQ_FECHA,"",(1.25*(DATEDIF(E120,F120+1,"m")+(F120+1-EDATE(E120,DATEDIF(E120,F120+1,"m")))/30)+SUMPRODUCT((ANIOS&lt;=DATEDIF(E120,F120+1,"y"))*(X120+ANIOS-10&gt;0)*INT((X120+ANIOS-10)/3))-(SUMIFS(V_DIAS,V_ID,B120,V_INICIO,"&lt;="&amp;F120)+Y120))))</f>
        <v/>
      </c>
      <c r="V120" s="71" t="str">
        <f aca="false">IF(G120&lt;&gt;"Sí","",(N(INDEX(T_SUELDO,111))+N(INDEX(T_BONO,111)))/30)</f>
        <v/>
      </c>
      <c r="W120" s="71" t="str">
        <f aca="false">IF(G120&lt;&gt;"Sí","",N(INDEX(T_SUELDO,111))+N(INDEX(T_BONO,111))+IF(LEFT(INDEX(T_GRAT,111)&amp;"",6)="Art. 5",MIN(GRAT_PCT*(N(INDEX(T_SUELDO,111))+N(INDEX(T_BONO,111))),GRAT_TOPE_MES),0))</f>
        <v/>
      </c>
      <c r="X120" s="72" t="str">
        <f aca="false">IF(B120="","",MIN(10,N(INDEX(T_PREV,111))))</f>
        <v/>
      </c>
      <c r="Y120" s="72" t="str">
        <f aca="false">IF(B120="","",N(INDEX(T_VACPREV,111)))</f>
        <v/>
      </c>
      <c r="Z120" s="75" t="str">
        <f aca="false">IF(B120="","",N(INDEX(T_EGRESO,111)))</f>
        <v/>
      </c>
    </row>
    <row r="121" customFormat="false" ht="15" hidden="false" customHeight="false" outlineLevel="0" collapsed="false">
      <c r="B121" s="70" t="str">
        <f aca="false">IFERROR(IF(INDEX(T_ID,112)="","",INDEX(T_ID,112)),"")</f>
        <v/>
      </c>
      <c r="C121" s="70" t="str">
        <f aca="false">IF(B121="","",INDEX(T_NOMBRE,112)&amp;"")</f>
        <v/>
      </c>
      <c r="D121" s="70" t="str">
        <f aca="false">IF(B121="","",INDEX(T_TIPO,112)&amp;"")</f>
        <v/>
      </c>
      <c r="E121" s="75" t="str">
        <f aca="false">IF(B121="","",INDEX(T_INGRESO,112))</f>
        <v/>
      </c>
      <c r="F121" s="75" t="str">
        <f aca="false">IF(B121="","",IF(ISNUMBER(INDEX(CC_VENCE,112)),INDEX(CC_VENCE,112),""))</f>
        <v/>
      </c>
      <c r="G121" s="70" t="str">
        <f aca="false">IF(OR(B121="",NOT(ISNUMBER(E121))),"",IF(AND(E121&lt;=FQ_FECHA,OR(Z121=0,Z121&gt;=FQ_FECHA)),"Sí","No"))</f>
        <v/>
      </c>
      <c r="H121" s="94" t="str">
        <f aca="false">IF(G121&lt;&gt;"Sí","",ROUND((FQ_FECHA+1-E121)/365.25,1))</f>
        <v/>
      </c>
      <c r="I121" s="73" t="str">
        <f aca="false">IF(G121&lt;&gt;"Sí","",IF(DATEDIF(E121,FQ_FECHA+1,"y")&lt;1,0,MIN(TOPE_IAS_ANIOS,DATEDIF(E121,FQ_FECHA+1,"y")+IF(EDATE(E121,12*DATEDIF(E121,FQ_FECHA+1,"y")+6)&lt;FQ_FECHA+1,1,0))))</f>
        <v/>
      </c>
      <c r="J121" s="71" t="str">
        <f aca="false">IF(G121&lt;&gt;"Sí","",W121+N(INDEX(T_COL,112))+N(INDEX(T_MOV,112)))</f>
        <v/>
      </c>
      <c r="K121" s="71" t="str">
        <f aca="false">IF(G121&lt;&gt;"Sí","",MIN(J121,TOPE_IAS_UF*UF_HOY))</f>
        <v/>
      </c>
      <c r="L121" s="95" t="str">
        <f aca="false">IF(G121&lt;&gt;"Sí","",(1.25*(DATEDIF(E121,FQ_FECHA+1,"m")+(FQ_FECHA+1-EDATE(E121,DATEDIF(E121,FQ_FECHA+1,"m")))/30)+SUMPRODUCT((ANIOS&lt;=DATEDIF(E121,FQ_FECHA+1,"y"))*(X121+ANIOS-10&gt;0)*INT((X121+ANIOS-10)/3))-(SUMIFS(V_DIAS,V_ID,B121,V_INICIO,"&lt;="&amp;FQ_FECHA)+Y121)))</f>
        <v/>
      </c>
      <c r="M121" s="71" t="str">
        <f aca="false">IF(G121&lt;&gt;"Sí","",ROUND(MAX(0,IF(L121&lt;=0,0,WORKDAY(FQ_FECHA,INT(L121),FERIADOS)-FQ_FECHA+(L121-INT(L121))))*V121,0))</f>
        <v/>
      </c>
      <c r="N121" s="71" t="str">
        <f aca="false">IF(G121&lt;&gt;"Sí","",IF(D121="Obra o faena",0,ROUND(K121*I121,0)))</f>
        <v/>
      </c>
      <c r="O121" s="71" t="str">
        <f aca="false">IF(G121&lt;&gt;"Sí","",IF(OR(D121="Obra o faena",FQ_AVISO="Sí"),0,ROUND(K121,0)))</f>
        <v/>
      </c>
      <c r="P121" s="71" t="str">
        <f aca="false">IF(G121&lt;&gt;"Sí","",IF(AND(IMPUTAR_AFC="Sí",N121&gt;0),-MIN(N121,ROUND(AFC_IMPUTABLE_PCT*MIN(W121,TOPE_AFC_UF*UF_HOY)*DATEDIF(E121,FQ_FECHA+1,"m"),0)),0))</f>
        <v/>
      </c>
      <c r="Q121" s="85" t="str">
        <f aca="false">IF(G121&lt;&gt;"Sí","",M121+N121+O121+P121)</f>
        <v/>
      </c>
      <c r="R121" s="85" t="str">
        <f aca="false">IF(G121&lt;&gt;"Sí","",M121)</f>
        <v/>
      </c>
      <c r="S121" s="85" t="str">
        <f aca="false">IF(U121="","",IF(INDEX(CC_ESTADOC,112)="Renovación registrada","",ROUND(MAX(0,IF(U121&lt;=0,0,WORKDAY(F121,INT(U121),FERIADOS)-F121+(U121-INT(U121))))*V121,0)+IF(D121="Obra o faena",ROUND(OBRA_DIAS*K121/30*(DATEDIF(E121,F121+1,"m")+IF(F121+1-EDATE(E121,DATEDIF(E121,F121+1,"m"))&gt;15,1,0)),0),0)))</f>
        <v/>
      </c>
      <c r="T121" s="70" t="str">
        <f aca="false">IF(G121&lt;&gt;"Sí","",IF(D121="Plazo fijo","Despido antes del vencimiento: además existe riesgo de demanda por las remuneraciones hasta el término del plazo",IF(D121="Obra o faena","Al concluir la obra corresponde indemnización de 2,5 días por mes (incluida en la columna S); no IAS",IF(I121=0,"Menos de 1 año: no corresponde IAS (Art. 163)",IF(I121=TOPE_IAS_ANIOS,"IAS en el tope de 11 años","")))))</f>
        <v/>
      </c>
      <c r="U121" s="95" t="str">
        <f aca="false">IF(OR(G121&lt;&gt;"Sí",NOT(ISNUMBER(F121))),"",IF(F121&lt;FQ_FECHA,"",(1.25*(DATEDIF(E121,F121+1,"m")+(F121+1-EDATE(E121,DATEDIF(E121,F121+1,"m")))/30)+SUMPRODUCT((ANIOS&lt;=DATEDIF(E121,F121+1,"y"))*(X121+ANIOS-10&gt;0)*INT((X121+ANIOS-10)/3))-(SUMIFS(V_DIAS,V_ID,B121,V_INICIO,"&lt;="&amp;F121)+Y121))))</f>
        <v/>
      </c>
      <c r="V121" s="71" t="str">
        <f aca="false">IF(G121&lt;&gt;"Sí","",(N(INDEX(T_SUELDO,112))+N(INDEX(T_BONO,112)))/30)</f>
        <v/>
      </c>
      <c r="W121" s="71" t="str">
        <f aca="false">IF(G121&lt;&gt;"Sí","",N(INDEX(T_SUELDO,112))+N(INDEX(T_BONO,112))+IF(LEFT(INDEX(T_GRAT,112)&amp;"",6)="Art. 5",MIN(GRAT_PCT*(N(INDEX(T_SUELDO,112))+N(INDEX(T_BONO,112))),GRAT_TOPE_MES),0))</f>
        <v/>
      </c>
      <c r="X121" s="72" t="str">
        <f aca="false">IF(B121="","",MIN(10,N(INDEX(T_PREV,112))))</f>
        <v/>
      </c>
      <c r="Y121" s="72" t="str">
        <f aca="false">IF(B121="","",N(INDEX(T_VACPREV,112)))</f>
        <v/>
      </c>
      <c r="Z121" s="75" t="str">
        <f aca="false">IF(B121="","",N(INDEX(T_EGRESO,112)))</f>
        <v/>
      </c>
    </row>
    <row r="122" customFormat="false" ht="15" hidden="false" customHeight="false" outlineLevel="0" collapsed="false">
      <c r="B122" s="70" t="str">
        <f aca="false">IFERROR(IF(INDEX(T_ID,113)="","",INDEX(T_ID,113)),"")</f>
        <v/>
      </c>
      <c r="C122" s="70" t="str">
        <f aca="false">IF(B122="","",INDEX(T_NOMBRE,113)&amp;"")</f>
        <v/>
      </c>
      <c r="D122" s="70" t="str">
        <f aca="false">IF(B122="","",INDEX(T_TIPO,113)&amp;"")</f>
        <v/>
      </c>
      <c r="E122" s="75" t="str">
        <f aca="false">IF(B122="","",INDEX(T_INGRESO,113))</f>
        <v/>
      </c>
      <c r="F122" s="75" t="str">
        <f aca="false">IF(B122="","",IF(ISNUMBER(INDEX(CC_VENCE,113)),INDEX(CC_VENCE,113),""))</f>
        <v/>
      </c>
      <c r="G122" s="70" t="str">
        <f aca="false">IF(OR(B122="",NOT(ISNUMBER(E122))),"",IF(AND(E122&lt;=FQ_FECHA,OR(Z122=0,Z122&gt;=FQ_FECHA)),"Sí","No"))</f>
        <v/>
      </c>
      <c r="H122" s="94" t="str">
        <f aca="false">IF(G122&lt;&gt;"Sí","",ROUND((FQ_FECHA+1-E122)/365.25,1))</f>
        <v/>
      </c>
      <c r="I122" s="73" t="str">
        <f aca="false">IF(G122&lt;&gt;"Sí","",IF(DATEDIF(E122,FQ_FECHA+1,"y")&lt;1,0,MIN(TOPE_IAS_ANIOS,DATEDIF(E122,FQ_FECHA+1,"y")+IF(EDATE(E122,12*DATEDIF(E122,FQ_FECHA+1,"y")+6)&lt;FQ_FECHA+1,1,0))))</f>
        <v/>
      </c>
      <c r="J122" s="71" t="str">
        <f aca="false">IF(G122&lt;&gt;"Sí","",W122+N(INDEX(T_COL,113))+N(INDEX(T_MOV,113)))</f>
        <v/>
      </c>
      <c r="K122" s="71" t="str">
        <f aca="false">IF(G122&lt;&gt;"Sí","",MIN(J122,TOPE_IAS_UF*UF_HOY))</f>
        <v/>
      </c>
      <c r="L122" s="95" t="str">
        <f aca="false">IF(G122&lt;&gt;"Sí","",(1.25*(DATEDIF(E122,FQ_FECHA+1,"m")+(FQ_FECHA+1-EDATE(E122,DATEDIF(E122,FQ_FECHA+1,"m")))/30)+SUMPRODUCT((ANIOS&lt;=DATEDIF(E122,FQ_FECHA+1,"y"))*(X122+ANIOS-10&gt;0)*INT((X122+ANIOS-10)/3))-(SUMIFS(V_DIAS,V_ID,B122,V_INICIO,"&lt;="&amp;FQ_FECHA)+Y122)))</f>
        <v/>
      </c>
      <c r="M122" s="71" t="str">
        <f aca="false">IF(G122&lt;&gt;"Sí","",ROUND(MAX(0,IF(L122&lt;=0,0,WORKDAY(FQ_FECHA,INT(L122),FERIADOS)-FQ_FECHA+(L122-INT(L122))))*V122,0))</f>
        <v/>
      </c>
      <c r="N122" s="71" t="str">
        <f aca="false">IF(G122&lt;&gt;"Sí","",IF(D122="Obra o faena",0,ROUND(K122*I122,0)))</f>
        <v/>
      </c>
      <c r="O122" s="71" t="str">
        <f aca="false">IF(G122&lt;&gt;"Sí","",IF(OR(D122="Obra o faena",FQ_AVISO="Sí"),0,ROUND(K122,0)))</f>
        <v/>
      </c>
      <c r="P122" s="71" t="str">
        <f aca="false">IF(G122&lt;&gt;"Sí","",IF(AND(IMPUTAR_AFC="Sí",N122&gt;0),-MIN(N122,ROUND(AFC_IMPUTABLE_PCT*MIN(W122,TOPE_AFC_UF*UF_HOY)*DATEDIF(E122,FQ_FECHA+1,"m"),0)),0))</f>
        <v/>
      </c>
      <c r="Q122" s="85" t="str">
        <f aca="false">IF(G122&lt;&gt;"Sí","",M122+N122+O122+P122)</f>
        <v/>
      </c>
      <c r="R122" s="85" t="str">
        <f aca="false">IF(G122&lt;&gt;"Sí","",M122)</f>
        <v/>
      </c>
      <c r="S122" s="85" t="str">
        <f aca="false">IF(U122="","",IF(INDEX(CC_ESTADOC,113)="Renovación registrada","",ROUND(MAX(0,IF(U122&lt;=0,0,WORKDAY(F122,INT(U122),FERIADOS)-F122+(U122-INT(U122))))*V122,0)+IF(D122="Obra o faena",ROUND(OBRA_DIAS*K122/30*(DATEDIF(E122,F122+1,"m")+IF(F122+1-EDATE(E122,DATEDIF(E122,F122+1,"m"))&gt;15,1,0)),0),0)))</f>
        <v/>
      </c>
      <c r="T122" s="70" t="str">
        <f aca="false">IF(G122&lt;&gt;"Sí","",IF(D122="Plazo fijo","Despido antes del vencimiento: además existe riesgo de demanda por las remuneraciones hasta el término del plazo",IF(D122="Obra o faena","Al concluir la obra corresponde indemnización de 2,5 días por mes (incluida en la columna S); no IAS",IF(I122=0,"Menos de 1 año: no corresponde IAS (Art. 163)",IF(I122=TOPE_IAS_ANIOS,"IAS en el tope de 11 años","")))))</f>
        <v/>
      </c>
      <c r="U122" s="95" t="str">
        <f aca="false">IF(OR(G122&lt;&gt;"Sí",NOT(ISNUMBER(F122))),"",IF(F122&lt;FQ_FECHA,"",(1.25*(DATEDIF(E122,F122+1,"m")+(F122+1-EDATE(E122,DATEDIF(E122,F122+1,"m")))/30)+SUMPRODUCT((ANIOS&lt;=DATEDIF(E122,F122+1,"y"))*(X122+ANIOS-10&gt;0)*INT((X122+ANIOS-10)/3))-(SUMIFS(V_DIAS,V_ID,B122,V_INICIO,"&lt;="&amp;F122)+Y122))))</f>
        <v/>
      </c>
      <c r="V122" s="71" t="str">
        <f aca="false">IF(G122&lt;&gt;"Sí","",(N(INDEX(T_SUELDO,113))+N(INDEX(T_BONO,113)))/30)</f>
        <v/>
      </c>
      <c r="W122" s="71" t="str">
        <f aca="false">IF(G122&lt;&gt;"Sí","",N(INDEX(T_SUELDO,113))+N(INDEX(T_BONO,113))+IF(LEFT(INDEX(T_GRAT,113)&amp;"",6)="Art. 5",MIN(GRAT_PCT*(N(INDEX(T_SUELDO,113))+N(INDEX(T_BONO,113))),GRAT_TOPE_MES),0))</f>
        <v/>
      </c>
      <c r="X122" s="72" t="str">
        <f aca="false">IF(B122="","",MIN(10,N(INDEX(T_PREV,113))))</f>
        <v/>
      </c>
      <c r="Y122" s="72" t="str">
        <f aca="false">IF(B122="","",N(INDEX(T_VACPREV,113)))</f>
        <v/>
      </c>
      <c r="Z122" s="75" t="str">
        <f aca="false">IF(B122="","",N(INDEX(T_EGRESO,113)))</f>
        <v/>
      </c>
    </row>
    <row r="123" customFormat="false" ht="15" hidden="false" customHeight="false" outlineLevel="0" collapsed="false">
      <c r="B123" s="70" t="str">
        <f aca="false">IFERROR(IF(INDEX(T_ID,114)="","",INDEX(T_ID,114)),"")</f>
        <v/>
      </c>
      <c r="C123" s="70" t="str">
        <f aca="false">IF(B123="","",INDEX(T_NOMBRE,114)&amp;"")</f>
        <v/>
      </c>
      <c r="D123" s="70" t="str">
        <f aca="false">IF(B123="","",INDEX(T_TIPO,114)&amp;"")</f>
        <v/>
      </c>
      <c r="E123" s="75" t="str">
        <f aca="false">IF(B123="","",INDEX(T_INGRESO,114))</f>
        <v/>
      </c>
      <c r="F123" s="75" t="str">
        <f aca="false">IF(B123="","",IF(ISNUMBER(INDEX(CC_VENCE,114)),INDEX(CC_VENCE,114),""))</f>
        <v/>
      </c>
      <c r="G123" s="70" t="str">
        <f aca="false">IF(OR(B123="",NOT(ISNUMBER(E123))),"",IF(AND(E123&lt;=FQ_FECHA,OR(Z123=0,Z123&gt;=FQ_FECHA)),"Sí","No"))</f>
        <v/>
      </c>
      <c r="H123" s="94" t="str">
        <f aca="false">IF(G123&lt;&gt;"Sí","",ROUND((FQ_FECHA+1-E123)/365.25,1))</f>
        <v/>
      </c>
      <c r="I123" s="73" t="str">
        <f aca="false">IF(G123&lt;&gt;"Sí","",IF(DATEDIF(E123,FQ_FECHA+1,"y")&lt;1,0,MIN(TOPE_IAS_ANIOS,DATEDIF(E123,FQ_FECHA+1,"y")+IF(EDATE(E123,12*DATEDIF(E123,FQ_FECHA+1,"y")+6)&lt;FQ_FECHA+1,1,0))))</f>
        <v/>
      </c>
      <c r="J123" s="71" t="str">
        <f aca="false">IF(G123&lt;&gt;"Sí","",W123+N(INDEX(T_COL,114))+N(INDEX(T_MOV,114)))</f>
        <v/>
      </c>
      <c r="K123" s="71" t="str">
        <f aca="false">IF(G123&lt;&gt;"Sí","",MIN(J123,TOPE_IAS_UF*UF_HOY))</f>
        <v/>
      </c>
      <c r="L123" s="95" t="str">
        <f aca="false">IF(G123&lt;&gt;"Sí","",(1.25*(DATEDIF(E123,FQ_FECHA+1,"m")+(FQ_FECHA+1-EDATE(E123,DATEDIF(E123,FQ_FECHA+1,"m")))/30)+SUMPRODUCT((ANIOS&lt;=DATEDIF(E123,FQ_FECHA+1,"y"))*(X123+ANIOS-10&gt;0)*INT((X123+ANIOS-10)/3))-(SUMIFS(V_DIAS,V_ID,B123,V_INICIO,"&lt;="&amp;FQ_FECHA)+Y123)))</f>
        <v/>
      </c>
      <c r="M123" s="71" t="str">
        <f aca="false">IF(G123&lt;&gt;"Sí","",ROUND(MAX(0,IF(L123&lt;=0,0,WORKDAY(FQ_FECHA,INT(L123),FERIADOS)-FQ_FECHA+(L123-INT(L123))))*V123,0))</f>
        <v/>
      </c>
      <c r="N123" s="71" t="str">
        <f aca="false">IF(G123&lt;&gt;"Sí","",IF(D123="Obra o faena",0,ROUND(K123*I123,0)))</f>
        <v/>
      </c>
      <c r="O123" s="71" t="str">
        <f aca="false">IF(G123&lt;&gt;"Sí","",IF(OR(D123="Obra o faena",FQ_AVISO="Sí"),0,ROUND(K123,0)))</f>
        <v/>
      </c>
      <c r="P123" s="71" t="str">
        <f aca="false">IF(G123&lt;&gt;"Sí","",IF(AND(IMPUTAR_AFC="Sí",N123&gt;0),-MIN(N123,ROUND(AFC_IMPUTABLE_PCT*MIN(W123,TOPE_AFC_UF*UF_HOY)*DATEDIF(E123,FQ_FECHA+1,"m"),0)),0))</f>
        <v/>
      </c>
      <c r="Q123" s="85" t="str">
        <f aca="false">IF(G123&lt;&gt;"Sí","",M123+N123+O123+P123)</f>
        <v/>
      </c>
      <c r="R123" s="85" t="str">
        <f aca="false">IF(G123&lt;&gt;"Sí","",M123)</f>
        <v/>
      </c>
      <c r="S123" s="85" t="str">
        <f aca="false">IF(U123="","",IF(INDEX(CC_ESTADOC,114)="Renovación registrada","",ROUND(MAX(0,IF(U123&lt;=0,0,WORKDAY(F123,INT(U123),FERIADOS)-F123+(U123-INT(U123))))*V123,0)+IF(D123="Obra o faena",ROUND(OBRA_DIAS*K123/30*(DATEDIF(E123,F123+1,"m")+IF(F123+1-EDATE(E123,DATEDIF(E123,F123+1,"m"))&gt;15,1,0)),0),0)))</f>
        <v/>
      </c>
      <c r="T123" s="70" t="str">
        <f aca="false">IF(G123&lt;&gt;"Sí","",IF(D123="Plazo fijo","Despido antes del vencimiento: además existe riesgo de demanda por las remuneraciones hasta el término del plazo",IF(D123="Obra o faena","Al concluir la obra corresponde indemnización de 2,5 días por mes (incluida en la columna S); no IAS",IF(I123=0,"Menos de 1 año: no corresponde IAS (Art. 163)",IF(I123=TOPE_IAS_ANIOS,"IAS en el tope de 11 años","")))))</f>
        <v/>
      </c>
      <c r="U123" s="95" t="str">
        <f aca="false">IF(OR(G123&lt;&gt;"Sí",NOT(ISNUMBER(F123))),"",IF(F123&lt;FQ_FECHA,"",(1.25*(DATEDIF(E123,F123+1,"m")+(F123+1-EDATE(E123,DATEDIF(E123,F123+1,"m")))/30)+SUMPRODUCT((ANIOS&lt;=DATEDIF(E123,F123+1,"y"))*(X123+ANIOS-10&gt;0)*INT((X123+ANIOS-10)/3))-(SUMIFS(V_DIAS,V_ID,B123,V_INICIO,"&lt;="&amp;F123)+Y123))))</f>
        <v/>
      </c>
      <c r="V123" s="71" t="str">
        <f aca="false">IF(G123&lt;&gt;"Sí","",(N(INDEX(T_SUELDO,114))+N(INDEX(T_BONO,114)))/30)</f>
        <v/>
      </c>
      <c r="W123" s="71" t="str">
        <f aca="false">IF(G123&lt;&gt;"Sí","",N(INDEX(T_SUELDO,114))+N(INDEX(T_BONO,114))+IF(LEFT(INDEX(T_GRAT,114)&amp;"",6)="Art. 5",MIN(GRAT_PCT*(N(INDEX(T_SUELDO,114))+N(INDEX(T_BONO,114))),GRAT_TOPE_MES),0))</f>
        <v/>
      </c>
      <c r="X123" s="72" t="str">
        <f aca="false">IF(B123="","",MIN(10,N(INDEX(T_PREV,114))))</f>
        <v/>
      </c>
      <c r="Y123" s="72" t="str">
        <f aca="false">IF(B123="","",N(INDEX(T_VACPREV,114)))</f>
        <v/>
      </c>
      <c r="Z123" s="75" t="str">
        <f aca="false">IF(B123="","",N(INDEX(T_EGRESO,114)))</f>
        <v/>
      </c>
    </row>
    <row r="124" customFormat="false" ht="15" hidden="false" customHeight="false" outlineLevel="0" collapsed="false">
      <c r="B124" s="70" t="str">
        <f aca="false">IFERROR(IF(INDEX(T_ID,115)="","",INDEX(T_ID,115)),"")</f>
        <v/>
      </c>
      <c r="C124" s="70" t="str">
        <f aca="false">IF(B124="","",INDEX(T_NOMBRE,115)&amp;"")</f>
        <v/>
      </c>
      <c r="D124" s="70" t="str">
        <f aca="false">IF(B124="","",INDEX(T_TIPO,115)&amp;"")</f>
        <v/>
      </c>
      <c r="E124" s="75" t="str">
        <f aca="false">IF(B124="","",INDEX(T_INGRESO,115))</f>
        <v/>
      </c>
      <c r="F124" s="75" t="str">
        <f aca="false">IF(B124="","",IF(ISNUMBER(INDEX(CC_VENCE,115)),INDEX(CC_VENCE,115),""))</f>
        <v/>
      </c>
      <c r="G124" s="70" t="str">
        <f aca="false">IF(OR(B124="",NOT(ISNUMBER(E124))),"",IF(AND(E124&lt;=FQ_FECHA,OR(Z124=0,Z124&gt;=FQ_FECHA)),"Sí","No"))</f>
        <v/>
      </c>
      <c r="H124" s="94" t="str">
        <f aca="false">IF(G124&lt;&gt;"Sí","",ROUND((FQ_FECHA+1-E124)/365.25,1))</f>
        <v/>
      </c>
      <c r="I124" s="73" t="str">
        <f aca="false">IF(G124&lt;&gt;"Sí","",IF(DATEDIF(E124,FQ_FECHA+1,"y")&lt;1,0,MIN(TOPE_IAS_ANIOS,DATEDIF(E124,FQ_FECHA+1,"y")+IF(EDATE(E124,12*DATEDIF(E124,FQ_FECHA+1,"y")+6)&lt;FQ_FECHA+1,1,0))))</f>
        <v/>
      </c>
      <c r="J124" s="71" t="str">
        <f aca="false">IF(G124&lt;&gt;"Sí","",W124+N(INDEX(T_COL,115))+N(INDEX(T_MOV,115)))</f>
        <v/>
      </c>
      <c r="K124" s="71" t="str">
        <f aca="false">IF(G124&lt;&gt;"Sí","",MIN(J124,TOPE_IAS_UF*UF_HOY))</f>
        <v/>
      </c>
      <c r="L124" s="95" t="str">
        <f aca="false">IF(G124&lt;&gt;"Sí","",(1.25*(DATEDIF(E124,FQ_FECHA+1,"m")+(FQ_FECHA+1-EDATE(E124,DATEDIF(E124,FQ_FECHA+1,"m")))/30)+SUMPRODUCT((ANIOS&lt;=DATEDIF(E124,FQ_FECHA+1,"y"))*(X124+ANIOS-10&gt;0)*INT((X124+ANIOS-10)/3))-(SUMIFS(V_DIAS,V_ID,B124,V_INICIO,"&lt;="&amp;FQ_FECHA)+Y124)))</f>
        <v/>
      </c>
      <c r="M124" s="71" t="str">
        <f aca="false">IF(G124&lt;&gt;"Sí","",ROUND(MAX(0,IF(L124&lt;=0,0,WORKDAY(FQ_FECHA,INT(L124),FERIADOS)-FQ_FECHA+(L124-INT(L124))))*V124,0))</f>
        <v/>
      </c>
      <c r="N124" s="71" t="str">
        <f aca="false">IF(G124&lt;&gt;"Sí","",IF(D124="Obra o faena",0,ROUND(K124*I124,0)))</f>
        <v/>
      </c>
      <c r="O124" s="71" t="str">
        <f aca="false">IF(G124&lt;&gt;"Sí","",IF(OR(D124="Obra o faena",FQ_AVISO="Sí"),0,ROUND(K124,0)))</f>
        <v/>
      </c>
      <c r="P124" s="71" t="str">
        <f aca="false">IF(G124&lt;&gt;"Sí","",IF(AND(IMPUTAR_AFC="Sí",N124&gt;0),-MIN(N124,ROUND(AFC_IMPUTABLE_PCT*MIN(W124,TOPE_AFC_UF*UF_HOY)*DATEDIF(E124,FQ_FECHA+1,"m"),0)),0))</f>
        <v/>
      </c>
      <c r="Q124" s="85" t="str">
        <f aca="false">IF(G124&lt;&gt;"Sí","",M124+N124+O124+P124)</f>
        <v/>
      </c>
      <c r="R124" s="85" t="str">
        <f aca="false">IF(G124&lt;&gt;"Sí","",M124)</f>
        <v/>
      </c>
      <c r="S124" s="85" t="str">
        <f aca="false">IF(U124="","",IF(INDEX(CC_ESTADOC,115)="Renovación registrada","",ROUND(MAX(0,IF(U124&lt;=0,0,WORKDAY(F124,INT(U124),FERIADOS)-F124+(U124-INT(U124))))*V124,0)+IF(D124="Obra o faena",ROUND(OBRA_DIAS*K124/30*(DATEDIF(E124,F124+1,"m")+IF(F124+1-EDATE(E124,DATEDIF(E124,F124+1,"m"))&gt;15,1,0)),0),0)))</f>
        <v/>
      </c>
      <c r="T124" s="70" t="str">
        <f aca="false">IF(G124&lt;&gt;"Sí","",IF(D124="Plazo fijo","Despido antes del vencimiento: además existe riesgo de demanda por las remuneraciones hasta el término del plazo",IF(D124="Obra o faena","Al concluir la obra corresponde indemnización de 2,5 días por mes (incluida en la columna S); no IAS",IF(I124=0,"Menos de 1 año: no corresponde IAS (Art. 163)",IF(I124=TOPE_IAS_ANIOS,"IAS en el tope de 11 años","")))))</f>
        <v/>
      </c>
      <c r="U124" s="95" t="str">
        <f aca="false">IF(OR(G124&lt;&gt;"Sí",NOT(ISNUMBER(F124))),"",IF(F124&lt;FQ_FECHA,"",(1.25*(DATEDIF(E124,F124+1,"m")+(F124+1-EDATE(E124,DATEDIF(E124,F124+1,"m")))/30)+SUMPRODUCT((ANIOS&lt;=DATEDIF(E124,F124+1,"y"))*(X124+ANIOS-10&gt;0)*INT((X124+ANIOS-10)/3))-(SUMIFS(V_DIAS,V_ID,B124,V_INICIO,"&lt;="&amp;F124)+Y124))))</f>
        <v/>
      </c>
      <c r="V124" s="71" t="str">
        <f aca="false">IF(G124&lt;&gt;"Sí","",(N(INDEX(T_SUELDO,115))+N(INDEX(T_BONO,115)))/30)</f>
        <v/>
      </c>
      <c r="W124" s="71" t="str">
        <f aca="false">IF(G124&lt;&gt;"Sí","",N(INDEX(T_SUELDO,115))+N(INDEX(T_BONO,115))+IF(LEFT(INDEX(T_GRAT,115)&amp;"",6)="Art. 5",MIN(GRAT_PCT*(N(INDEX(T_SUELDO,115))+N(INDEX(T_BONO,115))),GRAT_TOPE_MES),0))</f>
        <v/>
      </c>
      <c r="X124" s="72" t="str">
        <f aca="false">IF(B124="","",MIN(10,N(INDEX(T_PREV,115))))</f>
        <v/>
      </c>
      <c r="Y124" s="72" t="str">
        <f aca="false">IF(B124="","",N(INDEX(T_VACPREV,115)))</f>
        <v/>
      </c>
      <c r="Z124" s="75" t="str">
        <f aca="false">IF(B124="","",N(INDEX(T_EGRESO,115)))</f>
        <v/>
      </c>
    </row>
    <row r="125" customFormat="false" ht="15" hidden="false" customHeight="false" outlineLevel="0" collapsed="false">
      <c r="B125" s="70" t="str">
        <f aca="false">IFERROR(IF(INDEX(T_ID,116)="","",INDEX(T_ID,116)),"")</f>
        <v/>
      </c>
      <c r="C125" s="70" t="str">
        <f aca="false">IF(B125="","",INDEX(T_NOMBRE,116)&amp;"")</f>
        <v/>
      </c>
      <c r="D125" s="70" t="str">
        <f aca="false">IF(B125="","",INDEX(T_TIPO,116)&amp;"")</f>
        <v/>
      </c>
      <c r="E125" s="75" t="str">
        <f aca="false">IF(B125="","",INDEX(T_INGRESO,116))</f>
        <v/>
      </c>
      <c r="F125" s="75" t="str">
        <f aca="false">IF(B125="","",IF(ISNUMBER(INDEX(CC_VENCE,116)),INDEX(CC_VENCE,116),""))</f>
        <v/>
      </c>
      <c r="G125" s="70" t="str">
        <f aca="false">IF(OR(B125="",NOT(ISNUMBER(E125))),"",IF(AND(E125&lt;=FQ_FECHA,OR(Z125=0,Z125&gt;=FQ_FECHA)),"Sí","No"))</f>
        <v/>
      </c>
      <c r="H125" s="94" t="str">
        <f aca="false">IF(G125&lt;&gt;"Sí","",ROUND((FQ_FECHA+1-E125)/365.25,1))</f>
        <v/>
      </c>
      <c r="I125" s="73" t="str">
        <f aca="false">IF(G125&lt;&gt;"Sí","",IF(DATEDIF(E125,FQ_FECHA+1,"y")&lt;1,0,MIN(TOPE_IAS_ANIOS,DATEDIF(E125,FQ_FECHA+1,"y")+IF(EDATE(E125,12*DATEDIF(E125,FQ_FECHA+1,"y")+6)&lt;FQ_FECHA+1,1,0))))</f>
        <v/>
      </c>
      <c r="J125" s="71" t="str">
        <f aca="false">IF(G125&lt;&gt;"Sí","",W125+N(INDEX(T_COL,116))+N(INDEX(T_MOV,116)))</f>
        <v/>
      </c>
      <c r="K125" s="71" t="str">
        <f aca="false">IF(G125&lt;&gt;"Sí","",MIN(J125,TOPE_IAS_UF*UF_HOY))</f>
        <v/>
      </c>
      <c r="L125" s="95" t="str">
        <f aca="false">IF(G125&lt;&gt;"Sí","",(1.25*(DATEDIF(E125,FQ_FECHA+1,"m")+(FQ_FECHA+1-EDATE(E125,DATEDIF(E125,FQ_FECHA+1,"m")))/30)+SUMPRODUCT((ANIOS&lt;=DATEDIF(E125,FQ_FECHA+1,"y"))*(X125+ANIOS-10&gt;0)*INT((X125+ANIOS-10)/3))-(SUMIFS(V_DIAS,V_ID,B125,V_INICIO,"&lt;="&amp;FQ_FECHA)+Y125)))</f>
        <v/>
      </c>
      <c r="M125" s="71" t="str">
        <f aca="false">IF(G125&lt;&gt;"Sí","",ROUND(MAX(0,IF(L125&lt;=0,0,WORKDAY(FQ_FECHA,INT(L125),FERIADOS)-FQ_FECHA+(L125-INT(L125))))*V125,0))</f>
        <v/>
      </c>
      <c r="N125" s="71" t="str">
        <f aca="false">IF(G125&lt;&gt;"Sí","",IF(D125="Obra o faena",0,ROUND(K125*I125,0)))</f>
        <v/>
      </c>
      <c r="O125" s="71" t="str">
        <f aca="false">IF(G125&lt;&gt;"Sí","",IF(OR(D125="Obra o faena",FQ_AVISO="Sí"),0,ROUND(K125,0)))</f>
        <v/>
      </c>
      <c r="P125" s="71" t="str">
        <f aca="false">IF(G125&lt;&gt;"Sí","",IF(AND(IMPUTAR_AFC="Sí",N125&gt;0),-MIN(N125,ROUND(AFC_IMPUTABLE_PCT*MIN(W125,TOPE_AFC_UF*UF_HOY)*DATEDIF(E125,FQ_FECHA+1,"m"),0)),0))</f>
        <v/>
      </c>
      <c r="Q125" s="85" t="str">
        <f aca="false">IF(G125&lt;&gt;"Sí","",M125+N125+O125+P125)</f>
        <v/>
      </c>
      <c r="R125" s="85" t="str">
        <f aca="false">IF(G125&lt;&gt;"Sí","",M125)</f>
        <v/>
      </c>
      <c r="S125" s="85" t="str">
        <f aca="false">IF(U125="","",IF(INDEX(CC_ESTADOC,116)="Renovación registrada","",ROUND(MAX(0,IF(U125&lt;=0,0,WORKDAY(F125,INT(U125),FERIADOS)-F125+(U125-INT(U125))))*V125,0)+IF(D125="Obra o faena",ROUND(OBRA_DIAS*K125/30*(DATEDIF(E125,F125+1,"m")+IF(F125+1-EDATE(E125,DATEDIF(E125,F125+1,"m"))&gt;15,1,0)),0),0)))</f>
        <v/>
      </c>
      <c r="T125" s="70" t="str">
        <f aca="false">IF(G125&lt;&gt;"Sí","",IF(D125="Plazo fijo","Despido antes del vencimiento: además existe riesgo de demanda por las remuneraciones hasta el término del plazo",IF(D125="Obra o faena","Al concluir la obra corresponde indemnización de 2,5 días por mes (incluida en la columna S); no IAS",IF(I125=0,"Menos de 1 año: no corresponde IAS (Art. 163)",IF(I125=TOPE_IAS_ANIOS,"IAS en el tope de 11 años","")))))</f>
        <v/>
      </c>
      <c r="U125" s="95" t="str">
        <f aca="false">IF(OR(G125&lt;&gt;"Sí",NOT(ISNUMBER(F125))),"",IF(F125&lt;FQ_FECHA,"",(1.25*(DATEDIF(E125,F125+1,"m")+(F125+1-EDATE(E125,DATEDIF(E125,F125+1,"m")))/30)+SUMPRODUCT((ANIOS&lt;=DATEDIF(E125,F125+1,"y"))*(X125+ANIOS-10&gt;0)*INT((X125+ANIOS-10)/3))-(SUMIFS(V_DIAS,V_ID,B125,V_INICIO,"&lt;="&amp;F125)+Y125))))</f>
        <v/>
      </c>
      <c r="V125" s="71" t="str">
        <f aca="false">IF(G125&lt;&gt;"Sí","",(N(INDEX(T_SUELDO,116))+N(INDEX(T_BONO,116)))/30)</f>
        <v/>
      </c>
      <c r="W125" s="71" t="str">
        <f aca="false">IF(G125&lt;&gt;"Sí","",N(INDEX(T_SUELDO,116))+N(INDEX(T_BONO,116))+IF(LEFT(INDEX(T_GRAT,116)&amp;"",6)="Art. 5",MIN(GRAT_PCT*(N(INDEX(T_SUELDO,116))+N(INDEX(T_BONO,116))),GRAT_TOPE_MES),0))</f>
        <v/>
      </c>
      <c r="X125" s="72" t="str">
        <f aca="false">IF(B125="","",MIN(10,N(INDEX(T_PREV,116))))</f>
        <v/>
      </c>
      <c r="Y125" s="72" t="str">
        <f aca="false">IF(B125="","",N(INDEX(T_VACPREV,116)))</f>
        <v/>
      </c>
      <c r="Z125" s="75" t="str">
        <f aca="false">IF(B125="","",N(INDEX(T_EGRESO,116)))</f>
        <v/>
      </c>
    </row>
    <row r="126" customFormat="false" ht="15" hidden="false" customHeight="false" outlineLevel="0" collapsed="false">
      <c r="B126" s="70" t="str">
        <f aca="false">IFERROR(IF(INDEX(T_ID,117)="","",INDEX(T_ID,117)),"")</f>
        <v/>
      </c>
      <c r="C126" s="70" t="str">
        <f aca="false">IF(B126="","",INDEX(T_NOMBRE,117)&amp;"")</f>
        <v/>
      </c>
      <c r="D126" s="70" t="str">
        <f aca="false">IF(B126="","",INDEX(T_TIPO,117)&amp;"")</f>
        <v/>
      </c>
      <c r="E126" s="75" t="str">
        <f aca="false">IF(B126="","",INDEX(T_INGRESO,117))</f>
        <v/>
      </c>
      <c r="F126" s="75" t="str">
        <f aca="false">IF(B126="","",IF(ISNUMBER(INDEX(CC_VENCE,117)),INDEX(CC_VENCE,117),""))</f>
        <v/>
      </c>
      <c r="G126" s="70" t="str">
        <f aca="false">IF(OR(B126="",NOT(ISNUMBER(E126))),"",IF(AND(E126&lt;=FQ_FECHA,OR(Z126=0,Z126&gt;=FQ_FECHA)),"Sí","No"))</f>
        <v/>
      </c>
      <c r="H126" s="94" t="str">
        <f aca="false">IF(G126&lt;&gt;"Sí","",ROUND((FQ_FECHA+1-E126)/365.25,1))</f>
        <v/>
      </c>
      <c r="I126" s="73" t="str">
        <f aca="false">IF(G126&lt;&gt;"Sí","",IF(DATEDIF(E126,FQ_FECHA+1,"y")&lt;1,0,MIN(TOPE_IAS_ANIOS,DATEDIF(E126,FQ_FECHA+1,"y")+IF(EDATE(E126,12*DATEDIF(E126,FQ_FECHA+1,"y")+6)&lt;FQ_FECHA+1,1,0))))</f>
        <v/>
      </c>
      <c r="J126" s="71" t="str">
        <f aca="false">IF(G126&lt;&gt;"Sí","",W126+N(INDEX(T_COL,117))+N(INDEX(T_MOV,117)))</f>
        <v/>
      </c>
      <c r="K126" s="71" t="str">
        <f aca="false">IF(G126&lt;&gt;"Sí","",MIN(J126,TOPE_IAS_UF*UF_HOY))</f>
        <v/>
      </c>
      <c r="L126" s="95" t="str">
        <f aca="false">IF(G126&lt;&gt;"Sí","",(1.25*(DATEDIF(E126,FQ_FECHA+1,"m")+(FQ_FECHA+1-EDATE(E126,DATEDIF(E126,FQ_FECHA+1,"m")))/30)+SUMPRODUCT((ANIOS&lt;=DATEDIF(E126,FQ_FECHA+1,"y"))*(X126+ANIOS-10&gt;0)*INT((X126+ANIOS-10)/3))-(SUMIFS(V_DIAS,V_ID,B126,V_INICIO,"&lt;="&amp;FQ_FECHA)+Y126)))</f>
        <v/>
      </c>
      <c r="M126" s="71" t="str">
        <f aca="false">IF(G126&lt;&gt;"Sí","",ROUND(MAX(0,IF(L126&lt;=0,0,WORKDAY(FQ_FECHA,INT(L126),FERIADOS)-FQ_FECHA+(L126-INT(L126))))*V126,0))</f>
        <v/>
      </c>
      <c r="N126" s="71" t="str">
        <f aca="false">IF(G126&lt;&gt;"Sí","",IF(D126="Obra o faena",0,ROUND(K126*I126,0)))</f>
        <v/>
      </c>
      <c r="O126" s="71" t="str">
        <f aca="false">IF(G126&lt;&gt;"Sí","",IF(OR(D126="Obra o faena",FQ_AVISO="Sí"),0,ROUND(K126,0)))</f>
        <v/>
      </c>
      <c r="P126" s="71" t="str">
        <f aca="false">IF(G126&lt;&gt;"Sí","",IF(AND(IMPUTAR_AFC="Sí",N126&gt;0),-MIN(N126,ROUND(AFC_IMPUTABLE_PCT*MIN(W126,TOPE_AFC_UF*UF_HOY)*DATEDIF(E126,FQ_FECHA+1,"m"),0)),0))</f>
        <v/>
      </c>
      <c r="Q126" s="85" t="str">
        <f aca="false">IF(G126&lt;&gt;"Sí","",M126+N126+O126+P126)</f>
        <v/>
      </c>
      <c r="R126" s="85" t="str">
        <f aca="false">IF(G126&lt;&gt;"Sí","",M126)</f>
        <v/>
      </c>
      <c r="S126" s="85" t="str">
        <f aca="false">IF(U126="","",IF(INDEX(CC_ESTADOC,117)="Renovación registrada","",ROUND(MAX(0,IF(U126&lt;=0,0,WORKDAY(F126,INT(U126),FERIADOS)-F126+(U126-INT(U126))))*V126,0)+IF(D126="Obra o faena",ROUND(OBRA_DIAS*K126/30*(DATEDIF(E126,F126+1,"m")+IF(F126+1-EDATE(E126,DATEDIF(E126,F126+1,"m"))&gt;15,1,0)),0),0)))</f>
        <v/>
      </c>
      <c r="T126" s="70" t="str">
        <f aca="false">IF(G126&lt;&gt;"Sí","",IF(D126="Plazo fijo","Despido antes del vencimiento: además existe riesgo de demanda por las remuneraciones hasta el término del plazo",IF(D126="Obra o faena","Al concluir la obra corresponde indemnización de 2,5 días por mes (incluida en la columna S); no IAS",IF(I126=0,"Menos de 1 año: no corresponde IAS (Art. 163)",IF(I126=TOPE_IAS_ANIOS,"IAS en el tope de 11 años","")))))</f>
        <v/>
      </c>
      <c r="U126" s="95" t="str">
        <f aca="false">IF(OR(G126&lt;&gt;"Sí",NOT(ISNUMBER(F126))),"",IF(F126&lt;FQ_FECHA,"",(1.25*(DATEDIF(E126,F126+1,"m")+(F126+1-EDATE(E126,DATEDIF(E126,F126+1,"m")))/30)+SUMPRODUCT((ANIOS&lt;=DATEDIF(E126,F126+1,"y"))*(X126+ANIOS-10&gt;0)*INT((X126+ANIOS-10)/3))-(SUMIFS(V_DIAS,V_ID,B126,V_INICIO,"&lt;="&amp;F126)+Y126))))</f>
        <v/>
      </c>
      <c r="V126" s="71" t="str">
        <f aca="false">IF(G126&lt;&gt;"Sí","",(N(INDEX(T_SUELDO,117))+N(INDEX(T_BONO,117)))/30)</f>
        <v/>
      </c>
      <c r="W126" s="71" t="str">
        <f aca="false">IF(G126&lt;&gt;"Sí","",N(INDEX(T_SUELDO,117))+N(INDEX(T_BONO,117))+IF(LEFT(INDEX(T_GRAT,117)&amp;"",6)="Art. 5",MIN(GRAT_PCT*(N(INDEX(T_SUELDO,117))+N(INDEX(T_BONO,117))),GRAT_TOPE_MES),0))</f>
        <v/>
      </c>
      <c r="X126" s="72" t="str">
        <f aca="false">IF(B126="","",MIN(10,N(INDEX(T_PREV,117))))</f>
        <v/>
      </c>
      <c r="Y126" s="72" t="str">
        <f aca="false">IF(B126="","",N(INDEX(T_VACPREV,117)))</f>
        <v/>
      </c>
      <c r="Z126" s="75" t="str">
        <f aca="false">IF(B126="","",N(INDEX(T_EGRESO,117)))</f>
        <v/>
      </c>
    </row>
    <row r="127" customFormat="false" ht="15" hidden="false" customHeight="false" outlineLevel="0" collapsed="false">
      <c r="B127" s="70" t="str">
        <f aca="false">IFERROR(IF(INDEX(T_ID,118)="","",INDEX(T_ID,118)),"")</f>
        <v/>
      </c>
      <c r="C127" s="70" t="str">
        <f aca="false">IF(B127="","",INDEX(T_NOMBRE,118)&amp;"")</f>
        <v/>
      </c>
      <c r="D127" s="70" t="str">
        <f aca="false">IF(B127="","",INDEX(T_TIPO,118)&amp;"")</f>
        <v/>
      </c>
      <c r="E127" s="75" t="str">
        <f aca="false">IF(B127="","",INDEX(T_INGRESO,118))</f>
        <v/>
      </c>
      <c r="F127" s="75" t="str">
        <f aca="false">IF(B127="","",IF(ISNUMBER(INDEX(CC_VENCE,118)),INDEX(CC_VENCE,118),""))</f>
        <v/>
      </c>
      <c r="G127" s="70" t="str">
        <f aca="false">IF(OR(B127="",NOT(ISNUMBER(E127))),"",IF(AND(E127&lt;=FQ_FECHA,OR(Z127=0,Z127&gt;=FQ_FECHA)),"Sí","No"))</f>
        <v/>
      </c>
      <c r="H127" s="94" t="str">
        <f aca="false">IF(G127&lt;&gt;"Sí","",ROUND((FQ_FECHA+1-E127)/365.25,1))</f>
        <v/>
      </c>
      <c r="I127" s="73" t="str">
        <f aca="false">IF(G127&lt;&gt;"Sí","",IF(DATEDIF(E127,FQ_FECHA+1,"y")&lt;1,0,MIN(TOPE_IAS_ANIOS,DATEDIF(E127,FQ_FECHA+1,"y")+IF(EDATE(E127,12*DATEDIF(E127,FQ_FECHA+1,"y")+6)&lt;FQ_FECHA+1,1,0))))</f>
        <v/>
      </c>
      <c r="J127" s="71" t="str">
        <f aca="false">IF(G127&lt;&gt;"Sí","",W127+N(INDEX(T_COL,118))+N(INDEX(T_MOV,118)))</f>
        <v/>
      </c>
      <c r="K127" s="71" t="str">
        <f aca="false">IF(G127&lt;&gt;"Sí","",MIN(J127,TOPE_IAS_UF*UF_HOY))</f>
        <v/>
      </c>
      <c r="L127" s="95" t="str">
        <f aca="false">IF(G127&lt;&gt;"Sí","",(1.25*(DATEDIF(E127,FQ_FECHA+1,"m")+(FQ_FECHA+1-EDATE(E127,DATEDIF(E127,FQ_FECHA+1,"m")))/30)+SUMPRODUCT((ANIOS&lt;=DATEDIF(E127,FQ_FECHA+1,"y"))*(X127+ANIOS-10&gt;0)*INT((X127+ANIOS-10)/3))-(SUMIFS(V_DIAS,V_ID,B127,V_INICIO,"&lt;="&amp;FQ_FECHA)+Y127)))</f>
        <v/>
      </c>
      <c r="M127" s="71" t="str">
        <f aca="false">IF(G127&lt;&gt;"Sí","",ROUND(MAX(0,IF(L127&lt;=0,0,WORKDAY(FQ_FECHA,INT(L127),FERIADOS)-FQ_FECHA+(L127-INT(L127))))*V127,0))</f>
        <v/>
      </c>
      <c r="N127" s="71" t="str">
        <f aca="false">IF(G127&lt;&gt;"Sí","",IF(D127="Obra o faena",0,ROUND(K127*I127,0)))</f>
        <v/>
      </c>
      <c r="O127" s="71" t="str">
        <f aca="false">IF(G127&lt;&gt;"Sí","",IF(OR(D127="Obra o faena",FQ_AVISO="Sí"),0,ROUND(K127,0)))</f>
        <v/>
      </c>
      <c r="P127" s="71" t="str">
        <f aca="false">IF(G127&lt;&gt;"Sí","",IF(AND(IMPUTAR_AFC="Sí",N127&gt;0),-MIN(N127,ROUND(AFC_IMPUTABLE_PCT*MIN(W127,TOPE_AFC_UF*UF_HOY)*DATEDIF(E127,FQ_FECHA+1,"m"),0)),0))</f>
        <v/>
      </c>
      <c r="Q127" s="85" t="str">
        <f aca="false">IF(G127&lt;&gt;"Sí","",M127+N127+O127+P127)</f>
        <v/>
      </c>
      <c r="R127" s="85" t="str">
        <f aca="false">IF(G127&lt;&gt;"Sí","",M127)</f>
        <v/>
      </c>
      <c r="S127" s="85" t="str">
        <f aca="false">IF(U127="","",IF(INDEX(CC_ESTADOC,118)="Renovación registrada","",ROUND(MAX(0,IF(U127&lt;=0,0,WORKDAY(F127,INT(U127),FERIADOS)-F127+(U127-INT(U127))))*V127,0)+IF(D127="Obra o faena",ROUND(OBRA_DIAS*K127/30*(DATEDIF(E127,F127+1,"m")+IF(F127+1-EDATE(E127,DATEDIF(E127,F127+1,"m"))&gt;15,1,0)),0),0)))</f>
        <v/>
      </c>
      <c r="T127" s="70" t="str">
        <f aca="false">IF(G127&lt;&gt;"Sí","",IF(D127="Plazo fijo","Despido antes del vencimiento: además existe riesgo de demanda por las remuneraciones hasta el término del plazo",IF(D127="Obra o faena","Al concluir la obra corresponde indemnización de 2,5 días por mes (incluida en la columna S); no IAS",IF(I127=0,"Menos de 1 año: no corresponde IAS (Art. 163)",IF(I127=TOPE_IAS_ANIOS,"IAS en el tope de 11 años","")))))</f>
        <v/>
      </c>
      <c r="U127" s="95" t="str">
        <f aca="false">IF(OR(G127&lt;&gt;"Sí",NOT(ISNUMBER(F127))),"",IF(F127&lt;FQ_FECHA,"",(1.25*(DATEDIF(E127,F127+1,"m")+(F127+1-EDATE(E127,DATEDIF(E127,F127+1,"m")))/30)+SUMPRODUCT((ANIOS&lt;=DATEDIF(E127,F127+1,"y"))*(X127+ANIOS-10&gt;0)*INT((X127+ANIOS-10)/3))-(SUMIFS(V_DIAS,V_ID,B127,V_INICIO,"&lt;="&amp;F127)+Y127))))</f>
        <v/>
      </c>
      <c r="V127" s="71" t="str">
        <f aca="false">IF(G127&lt;&gt;"Sí","",(N(INDEX(T_SUELDO,118))+N(INDEX(T_BONO,118)))/30)</f>
        <v/>
      </c>
      <c r="W127" s="71" t="str">
        <f aca="false">IF(G127&lt;&gt;"Sí","",N(INDEX(T_SUELDO,118))+N(INDEX(T_BONO,118))+IF(LEFT(INDEX(T_GRAT,118)&amp;"",6)="Art. 5",MIN(GRAT_PCT*(N(INDEX(T_SUELDO,118))+N(INDEX(T_BONO,118))),GRAT_TOPE_MES),0))</f>
        <v/>
      </c>
      <c r="X127" s="72" t="str">
        <f aca="false">IF(B127="","",MIN(10,N(INDEX(T_PREV,118))))</f>
        <v/>
      </c>
      <c r="Y127" s="72" t="str">
        <f aca="false">IF(B127="","",N(INDEX(T_VACPREV,118)))</f>
        <v/>
      </c>
      <c r="Z127" s="75" t="str">
        <f aca="false">IF(B127="","",N(INDEX(T_EGRESO,118)))</f>
        <v/>
      </c>
    </row>
    <row r="128" customFormat="false" ht="15" hidden="false" customHeight="false" outlineLevel="0" collapsed="false">
      <c r="B128" s="70" t="str">
        <f aca="false">IFERROR(IF(INDEX(T_ID,119)="","",INDEX(T_ID,119)),"")</f>
        <v/>
      </c>
      <c r="C128" s="70" t="str">
        <f aca="false">IF(B128="","",INDEX(T_NOMBRE,119)&amp;"")</f>
        <v/>
      </c>
      <c r="D128" s="70" t="str">
        <f aca="false">IF(B128="","",INDEX(T_TIPO,119)&amp;"")</f>
        <v/>
      </c>
      <c r="E128" s="75" t="str">
        <f aca="false">IF(B128="","",INDEX(T_INGRESO,119))</f>
        <v/>
      </c>
      <c r="F128" s="75" t="str">
        <f aca="false">IF(B128="","",IF(ISNUMBER(INDEX(CC_VENCE,119)),INDEX(CC_VENCE,119),""))</f>
        <v/>
      </c>
      <c r="G128" s="70" t="str">
        <f aca="false">IF(OR(B128="",NOT(ISNUMBER(E128))),"",IF(AND(E128&lt;=FQ_FECHA,OR(Z128=0,Z128&gt;=FQ_FECHA)),"Sí","No"))</f>
        <v/>
      </c>
      <c r="H128" s="94" t="str">
        <f aca="false">IF(G128&lt;&gt;"Sí","",ROUND((FQ_FECHA+1-E128)/365.25,1))</f>
        <v/>
      </c>
      <c r="I128" s="73" t="str">
        <f aca="false">IF(G128&lt;&gt;"Sí","",IF(DATEDIF(E128,FQ_FECHA+1,"y")&lt;1,0,MIN(TOPE_IAS_ANIOS,DATEDIF(E128,FQ_FECHA+1,"y")+IF(EDATE(E128,12*DATEDIF(E128,FQ_FECHA+1,"y")+6)&lt;FQ_FECHA+1,1,0))))</f>
        <v/>
      </c>
      <c r="J128" s="71" t="str">
        <f aca="false">IF(G128&lt;&gt;"Sí","",W128+N(INDEX(T_COL,119))+N(INDEX(T_MOV,119)))</f>
        <v/>
      </c>
      <c r="K128" s="71" t="str">
        <f aca="false">IF(G128&lt;&gt;"Sí","",MIN(J128,TOPE_IAS_UF*UF_HOY))</f>
        <v/>
      </c>
      <c r="L128" s="95" t="str">
        <f aca="false">IF(G128&lt;&gt;"Sí","",(1.25*(DATEDIF(E128,FQ_FECHA+1,"m")+(FQ_FECHA+1-EDATE(E128,DATEDIF(E128,FQ_FECHA+1,"m")))/30)+SUMPRODUCT((ANIOS&lt;=DATEDIF(E128,FQ_FECHA+1,"y"))*(X128+ANIOS-10&gt;0)*INT((X128+ANIOS-10)/3))-(SUMIFS(V_DIAS,V_ID,B128,V_INICIO,"&lt;="&amp;FQ_FECHA)+Y128)))</f>
        <v/>
      </c>
      <c r="M128" s="71" t="str">
        <f aca="false">IF(G128&lt;&gt;"Sí","",ROUND(MAX(0,IF(L128&lt;=0,0,WORKDAY(FQ_FECHA,INT(L128),FERIADOS)-FQ_FECHA+(L128-INT(L128))))*V128,0))</f>
        <v/>
      </c>
      <c r="N128" s="71" t="str">
        <f aca="false">IF(G128&lt;&gt;"Sí","",IF(D128="Obra o faena",0,ROUND(K128*I128,0)))</f>
        <v/>
      </c>
      <c r="O128" s="71" t="str">
        <f aca="false">IF(G128&lt;&gt;"Sí","",IF(OR(D128="Obra o faena",FQ_AVISO="Sí"),0,ROUND(K128,0)))</f>
        <v/>
      </c>
      <c r="P128" s="71" t="str">
        <f aca="false">IF(G128&lt;&gt;"Sí","",IF(AND(IMPUTAR_AFC="Sí",N128&gt;0),-MIN(N128,ROUND(AFC_IMPUTABLE_PCT*MIN(W128,TOPE_AFC_UF*UF_HOY)*DATEDIF(E128,FQ_FECHA+1,"m"),0)),0))</f>
        <v/>
      </c>
      <c r="Q128" s="85" t="str">
        <f aca="false">IF(G128&lt;&gt;"Sí","",M128+N128+O128+P128)</f>
        <v/>
      </c>
      <c r="R128" s="85" t="str">
        <f aca="false">IF(G128&lt;&gt;"Sí","",M128)</f>
        <v/>
      </c>
      <c r="S128" s="85" t="str">
        <f aca="false">IF(U128="","",IF(INDEX(CC_ESTADOC,119)="Renovación registrada","",ROUND(MAX(0,IF(U128&lt;=0,0,WORKDAY(F128,INT(U128),FERIADOS)-F128+(U128-INT(U128))))*V128,0)+IF(D128="Obra o faena",ROUND(OBRA_DIAS*K128/30*(DATEDIF(E128,F128+1,"m")+IF(F128+1-EDATE(E128,DATEDIF(E128,F128+1,"m"))&gt;15,1,0)),0),0)))</f>
        <v/>
      </c>
      <c r="T128" s="70" t="str">
        <f aca="false">IF(G128&lt;&gt;"Sí","",IF(D128="Plazo fijo","Despido antes del vencimiento: además existe riesgo de demanda por las remuneraciones hasta el término del plazo",IF(D128="Obra o faena","Al concluir la obra corresponde indemnización de 2,5 días por mes (incluida en la columna S); no IAS",IF(I128=0,"Menos de 1 año: no corresponde IAS (Art. 163)",IF(I128=TOPE_IAS_ANIOS,"IAS en el tope de 11 años","")))))</f>
        <v/>
      </c>
      <c r="U128" s="95" t="str">
        <f aca="false">IF(OR(G128&lt;&gt;"Sí",NOT(ISNUMBER(F128))),"",IF(F128&lt;FQ_FECHA,"",(1.25*(DATEDIF(E128,F128+1,"m")+(F128+1-EDATE(E128,DATEDIF(E128,F128+1,"m")))/30)+SUMPRODUCT((ANIOS&lt;=DATEDIF(E128,F128+1,"y"))*(X128+ANIOS-10&gt;0)*INT((X128+ANIOS-10)/3))-(SUMIFS(V_DIAS,V_ID,B128,V_INICIO,"&lt;="&amp;F128)+Y128))))</f>
        <v/>
      </c>
      <c r="V128" s="71" t="str">
        <f aca="false">IF(G128&lt;&gt;"Sí","",(N(INDEX(T_SUELDO,119))+N(INDEX(T_BONO,119)))/30)</f>
        <v/>
      </c>
      <c r="W128" s="71" t="str">
        <f aca="false">IF(G128&lt;&gt;"Sí","",N(INDEX(T_SUELDO,119))+N(INDEX(T_BONO,119))+IF(LEFT(INDEX(T_GRAT,119)&amp;"",6)="Art. 5",MIN(GRAT_PCT*(N(INDEX(T_SUELDO,119))+N(INDEX(T_BONO,119))),GRAT_TOPE_MES),0))</f>
        <v/>
      </c>
      <c r="X128" s="72" t="str">
        <f aca="false">IF(B128="","",MIN(10,N(INDEX(T_PREV,119))))</f>
        <v/>
      </c>
      <c r="Y128" s="72" t="str">
        <f aca="false">IF(B128="","",N(INDEX(T_VACPREV,119)))</f>
        <v/>
      </c>
      <c r="Z128" s="75" t="str">
        <f aca="false">IF(B128="","",N(INDEX(T_EGRESO,119)))</f>
        <v/>
      </c>
    </row>
    <row r="129" customFormat="false" ht="15" hidden="false" customHeight="false" outlineLevel="0" collapsed="false">
      <c r="B129" s="70" t="str">
        <f aca="false">IFERROR(IF(INDEX(T_ID,120)="","",INDEX(T_ID,120)),"")</f>
        <v/>
      </c>
      <c r="C129" s="70" t="str">
        <f aca="false">IF(B129="","",INDEX(T_NOMBRE,120)&amp;"")</f>
        <v/>
      </c>
      <c r="D129" s="70" t="str">
        <f aca="false">IF(B129="","",INDEX(T_TIPO,120)&amp;"")</f>
        <v/>
      </c>
      <c r="E129" s="75" t="str">
        <f aca="false">IF(B129="","",INDEX(T_INGRESO,120))</f>
        <v/>
      </c>
      <c r="F129" s="75" t="str">
        <f aca="false">IF(B129="","",IF(ISNUMBER(INDEX(CC_VENCE,120)),INDEX(CC_VENCE,120),""))</f>
        <v/>
      </c>
      <c r="G129" s="70" t="str">
        <f aca="false">IF(OR(B129="",NOT(ISNUMBER(E129))),"",IF(AND(E129&lt;=FQ_FECHA,OR(Z129=0,Z129&gt;=FQ_FECHA)),"Sí","No"))</f>
        <v/>
      </c>
      <c r="H129" s="94" t="str">
        <f aca="false">IF(G129&lt;&gt;"Sí","",ROUND((FQ_FECHA+1-E129)/365.25,1))</f>
        <v/>
      </c>
      <c r="I129" s="73" t="str">
        <f aca="false">IF(G129&lt;&gt;"Sí","",IF(DATEDIF(E129,FQ_FECHA+1,"y")&lt;1,0,MIN(TOPE_IAS_ANIOS,DATEDIF(E129,FQ_FECHA+1,"y")+IF(EDATE(E129,12*DATEDIF(E129,FQ_FECHA+1,"y")+6)&lt;FQ_FECHA+1,1,0))))</f>
        <v/>
      </c>
      <c r="J129" s="71" t="str">
        <f aca="false">IF(G129&lt;&gt;"Sí","",W129+N(INDEX(T_COL,120))+N(INDEX(T_MOV,120)))</f>
        <v/>
      </c>
      <c r="K129" s="71" t="str">
        <f aca="false">IF(G129&lt;&gt;"Sí","",MIN(J129,TOPE_IAS_UF*UF_HOY))</f>
        <v/>
      </c>
      <c r="L129" s="95" t="str">
        <f aca="false">IF(G129&lt;&gt;"Sí","",(1.25*(DATEDIF(E129,FQ_FECHA+1,"m")+(FQ_FECHA+1-EDATE(E129,DATEDIF(E129,FQ_FECHA+1,"m")))/30)+SUMPRODUCT((ANIOS&lt;=DATEDIF(E129,FQ_FECHA+1,"y"))*(X129+ANIOS-10&gt;0)*INT((X129+ANIOS-10)/3))-(SUMIFS(V_DIAS,V_ID,B129,V_INICIO,"&lt;="&amp;FQ_FECHA)+Y129)))</f>
        <v/>
      </c>
      <c r="M129" s="71" t="str">
        <f aca="false">IF(G129&lt;&gt;"Sí","",ROUND(MAX(0,IF(L129&lt;=0,0,WORKDAY(FQ_FECHA,INT(L129),FERIADOS)-FQ_FECHA+(L129-INT(L129))))*V129,0))</f>
        <v/>
      </c>
      <c r="N129" s="71" t="str">
        <f aca="false">IF(G129&lt;&gt;"Sí","",IF(D129="Obra o faena",0,ROUND(K129*I129,0)))</f>
        <v/>
      </c>
      <c r="O129" s="71" t="str">
        <f aca="false">IF(G129&lt;&gt;"Sí","",IF(OR(D129="Obra o faena",FQ_AVISO="Sí"),0,ROUND(K129,0)))</f>
        <v/>
      </c>
      <c r="P129" s="71" t="str">
        <f aca="false">IF(G129&lt;&gt;"Sí","",IF(AND(IMPUTAR_AFC="Sí",N129&gt;0),-MIN(N129,ROUND(AFC_IMPUTABLE_PCT*MIN(W129,TOPE_AFC_UF*UF_HOY)*DATEDIF(E129,FQ_FECHA+1,"m"),0)),0))</f>
        <v/>
      </c>
      <c r="Q129" s="85" t="str">
        <f aca="false">IF(G129&lt;&gt;"Sí","",M129+N129+O129+P129)</f>
        <v/>
      </c>
      <c r="R129" s="85" t="str">
        <f aca="false">IF(G129&lt;&gt;"Sí","",M129)</f>
        <v/>
      </c>
      <c r="S129" s="85" t="str">
        <f aca="false">IF(U129="","",IF(INDEX(CC_ESTADOC,120)="Renovación registrada","",ROUND(MAX(0,IF(U129&lt;=0,0,WORKDAY(F129,INT(U129),FERIADOS)-F129+(U129-INT(U129))))*V129,0)+IF(D129="Obra o faena",ROUND(OBRA_DIAS*K129/30*(DATEDIF(E129,F129+1,"m")+IF(F129+1-EDATE(E129,DATEDIF(E129,F129+1,"m"))&gt;15,1,0)),0),0)))</f>
        <v/>
      </c>
      <c r="T129" s="70" t="str">
        <f aca="false">IF(G129&lt;&gt;"Sí","",IF(D129="Plazo fijo","Despido antes del vencimiento: además existe riesgo de demanda por las remuneraciones hasta el término del plazo",IF(D129="Obra o faena","Al concluir la obra corresponde indemnización de 2,5 días por mes (incluida en la columna S); no IAS",IF(I129=0,"Menos de 1 año: no corresponde IAS (Art. 163)",IF(I129=TOPE_IAS_ANIOS,"IAS en el tope de 11 años","")))))</f>
        <v/>
      </c>
      <c r="U129" s="95" t="str">
        <f aca="false">IF(OR(G129&lt;&gt;"Sí",NOT(ISNUMBER(F129))),"",IF(F129&lt;FQ_FECHA,"",(1.25*(DATEDIF(E129,F129+1,"m")+(F129+1-EDATE(E129,DATEDIF(E129,F129+1,"m")))/30)+SUMPRODUCT((ANIOS&lt;=DATEDIF(E129,F129+1,"y"))*(X129+ANIOS-10&gt;0)*INT((X129+ANIOS-10)/3))-(SUMIFS(V_DIAS,V_ID,B129,V_INICIO,"&lt;="&amp;F129)+Y129))))</f>
        <v/>
      </c>
      <c r="V129" s="71" t="str">
        <f aca="false">IF(G129&lt;&gt;"Sí","",(N(INDEX(T_SUELDO,120))+N(INDEX(T_BONO,120)))/30)</f>
        <v/>
      </c>
      <c r="W129" s="71" t="str">
        <f aca="false">IF(G129&lt;&gt;"Sí","",N(INDEX(T_SUELDO,120))+N(INDEX(T_BONO,120))+IF(LEFT(INDEX(T_GRAT,120)&amp;"",6)="Art. 5",MIN(GRAT_PCT*(N(INDEX(T_SUELDO,120))+N(INDEX(T_BONO,120))),GRAT_TOPE_MES),0))</f>
        <v/>
      </c>
      <c r="X129" s="72" t="str">
        <f aca="false">IF(B129="","",MIN(10,N(INDEX(T_PREV,120))))</f>
        <v/>
      </c>
      <c r="Y129" s="72" t="str">
        <f aca="false">IF(B129="","",N(INDEX(T_VACPREV,120)))</f>
        <v/>
      </c>
      <c r="Z129" s="75" t="str">
        <f aca="false">IF(B129="","",N(INDEX(T_EGRESO,120)))</f>
        <v/>
      </c>
    </row>
    <row r="130" customFormat="false" ht="15" hidden="false" customHeight="false" outlineLevel="0" collapsed="false">
      <c r="B130" s="70" t="str">
        <f aca="false">IFERROR(IF(INDEX(T_ID,121)="","",INDEX(T_ID,121)),"")</f>
        <v/>
      </c>
      <c r="C130" s="70" t="str">
        <f aca="false">IF(B130="","",INDEX(T_NOMBRE,121)&amp;"")</f>
        <v/>
      </c>
      <c r="D130" s="70" t="str">
        <f aca="false">IF(B130="","",INDEX(T_TIPO,121)&amp;"")</f>
        <v/>
      </c>
      <c r="E130" s="75" t="str">
        <f aca="false">IF(B130="","",INDEX(T_INGRESO,121))</f>
        <v/>
      </c>
      <c r="F130" s="75" t="str">
        <f aca="false">IF(B130="","",IF(ISNUMBER(INDEX(CC_VENCE,121)),INDEX(CC_VENCE,121),""))</f>
        <v/>
      </c>
      <c r="G130" s="70" t="str">
        <f aca="false">IF(OR(B130="",NOT(ISNUMBER(E130))),"",IF(AND(E130&lt;=FQ_FECHA,OR(Z130=0,Z130&gt;=FQ_FECHA)),"Sí","No"))</f>
        <v/>
      </c>
      <c r="H130" s="94" t="str">
        <f aca="false">IF(G130&lt;&gt;"Sí","",ROUND((FQ_FECHA+1-E130)/365.25,1))</f>
        <v/>
      </c>
      <c r="I130" s="73" t="str">
        <f aca="false">IF(G130&lt;&gt;"Sí","",IF(DATEDIF(E130,FQ_FECHA+1,"y")&lt;1,0,MIN(TOPE_IAS_ANIOS,DATEDIF(E130,FQ_FECHA+1,"y")+IF(EDATE(E130,12*DATEDIF(E130,FQ_FECHA+1,"y")+6)&lt;FQ_FECHA+1,1,0))))</f>
        <v/>
      </c>
      <c r="J130" s="71" t="str">
        <f aca="false">IF(G130&lt;&gt;"Sí","",W130+N(INDEX(T_COL,121))+N(INDEX(T_MOV,121)))</f>
        <v/>
      </c>
      <c r="K130" s="71" t="str">
        <f aca="false">IF(G130&lt;&gt;"Sí","",MIN(J130,TOPE_IAS_UF*UF_HOY))</f>
        <v/>
      </c>
      <c r="L130" s="95" t="str">
        <f aca="false">IF(G130&lt;&gt;"Sí","",(1.25*(DATEDIF(E130,FQ_FECHA+1,"m")+(FQ_FECHA+1-EDATE(E130,DATEDIF(E130,FQ_FECHA+1,"m")))/30)+SUMPRODUCT((ANIOS&lt;=DATEDIF(E130,FQ_FECHA+1,"y"))*(X130+ANIOS-10&gt;0)*INT((X130+ANIOS-10)/3))-(SUMIFS(V_DIAS,V_ID,B130,V_INICIO,"&lt;="&amp;FQ_FECHA)+Y130)))</f>
        <v/>
      </c>
      <c r="M130" s="71" t="str">
        <f aca="false">IF(G130&lt;&gt;"Sí","",ROUND(MAX(0,IF(L130&lt;=0,0,WORKDAY(FQ_FECHA,INT(L130),FERIADOS)-FQ_FECHA+(L130-INT(L130))))*V130,0))</f>
        <v/>
      </c>
      <c r="N130" s="71" t="str">
        <f aca="false">IF(G130&lt;&gt;"Sí","",IF(D130="Obra o faena",0,ROUND(K130*I130,0)))</f>
        <v/>
      </c>
      <c r="O130" s="71" t="str">
        <f aca="false">IF(G130&lt;&gt;"Sí","",IF(OR(D130="Obra o faena",FQ_AVISO="Sí"),0,ROUND(K130,0)))</f>
        <v/>
      </c>
      <c r="P130" s="71" t="str">
        <f aca="false">IF(G130&lt;&gt;"Sí","",IF(AND(IMPUTAR_AFC="Sí",N130&gt;0),-MIN(N130,ROUND(AFC_IMPUTABLE_PCT*MIN(W130,TOPE_AFC_UF*UF_HOY)*DATEDIF(E130,FQ_FECHA+1,"m"),0)),0))</f>
        <v/>
      </c>
      <c r="Q130" s="85" t="str">
        <f aca="false">IF(G130&lt;&gt;"Sí","",M130+N130+O130+P130)</f>
        <v/>
      </c>
      <c r="R130" s="85" t="str">
        <f aca="false">IF(G130&lt;&gt;"Sí","",M130)</f>
        <v/>
      </c>
      <c r="S130" s="85" t="str">
        <f aca="false">IF(U130="","",IF(INDEX(CC_ESTADOC,121)="Renovación registrada","",ROUND(MAX(0,IF(U130&lt;=0,0,WORKDAY(F130,INT(U130),FERIADOS)-F130+(U130-INT(U130))))*V130,0)+IF(D130="Obra o faena",ROUND(OBRA_DIAS*K130/30*(DATEDIF(E130,F130+1,"m")+IF(F130+1-EDATE(E130,DATEDIF(E130,F130+1,"m"))&gt;15,1,0)),0),0)))</f>
        <v/>
      </c>
      <c r="T130" s="70" t="str">
        <f aca="false">IF(G130&lt;&gt;"Sí","",IF(D130="Plazo fijo","Despido antes del vencimiento: además existe riesgo de demanda por las remuneraciones hasta el término del plazo",IF(D130="Obra o faena","Al concluir la obra corresponde indemnización de 2,5 días por mes (incluida en la columna S); no IAS",IF(I130=0,"Menos de 1 año: no corresponde IAS (Art. 163)",IF(I130=TOPE_IAS_ANIOS,"IAS en el tope de 11 años","")))))</f>
        <v/>
      </c>
      <c r="U130" s="95" t="str">
        <f aca="false">IF(OR(G130&lt;&gt;"Sí",NOT(ISNUMBER(F130))),"",IF(F130&lt;FQ_FECHA,"",(1.25*(DATEDIF(E130,F130+1,"m")+(F130+1-EDATE(E130,DATEDIF(E130,F130+1,"m")))/30)+SUMPRODUCT((ANIOS&lt;=DATEDIF(E130,F130+1,"y"))*(X130+ANIOS-10&gt;0)*INT((X130+ANIOS-10)/3))-(SUMIFS(V_DIAS,V_ID,B130,V_INICIO,"&lt;="&amp;F130)+Y130))))</f>
        <v/>
      </c>
      <c r="V130" s="71" t="str">
        <f aca="false">IF(G130&lt;&gt;"Sí","",(N(INDEX(T_SUELDO,121))+N(INDEX(T_BONO,121)))/30)</f>
        <v/>
      </c>
      <c r="W130" s="71" t="str">
        <f aca="false">IF(G130&lt;&gt;"Sí","",N(INDEX(T_SUELDO,121))+N(INDEX(T_BONO,121))+IF(LEFT(INDEX(T_GRAT,121)&amp;"",6)="Art. 5",MIN(GRAT_PCT*(N(INDEX(T_SUELDO,121))+N(INDEX(T_BONO,121))),GRAT_TOPE_MES),0))</f>
        <v/>
      </c>
      <c r="X130" s="72" t="str">
        <f aca="false">IF(B130="","",MIN(10,N(INDEX(T_PREV,121))))</f>
        <v/>
      </c>
      <c r="Y130" s="72" t="str">
        <f aca="false">IF(B130="","",N(INDEX(T_VACPREV,121)))</f>
        <v/>
      </c>
      <c r="Z130" s="75" t="str">
        <f aca="false">IF(B130="","",N(INDEX(T_EGRESO,121)))</f>
        <v/>
      </c>
    </row>
    <row r="131" customFormat="false" ht="15" hidden="false" customHeight="false" outlineLevel="0" collapsed="false">
      <c r="B131" s="70" t="str">
        <f aca="false">IFERROR(IF(INDEX(T_ID,122)="","",INDEX(T_ID,122)),"")</f>
        <v/>
      </c>
      <c r="C131" s="70" t="str">
        <f aca="false">IF(B131="","",INDEX(T_NOMBRE,122)&amp;"")</f>
        <v/>
      </c>
      <c r="D131" s="70" t="str">
        <f aca="false">IF(B131="","",INDEX(T_TIPO,122)&amp;"")</f>
        <v/>
      </c>
      <c r="E131" s="75" t="str">
        <f aca="false">IF(B131="","",INDEX(T_INGRESO,122))</f>
        <v/>
      </c>
      <c r="F131" s="75" t="str">
        <f aca="false">IF(B131="","",IF(ISNUMBER(INDEX(CC_VENCE,122)),INDEX(CC_VENCE,122),""))</f>
        <v/>
      </c>
      <c r="G131" s="70" t="str">
        <f aca="false">IF(OR(B131="",NOT(ISNUMBER(E131))),"",IF(AND(E131&lt;=FQ_FECHA,OR(Z131=0,Z131&gt;=FQ_FECHA)),"Sí","No"))</f>
        <v/>
      </c>
      <c r="H131" s="94" t="str">
        <f aca="false">IF(G131&lt;&gt;"Sí","",ROUND((FQ_FECHA+1-E131)/365.25,1))</f>
        <v/>
      </c>
      <c r="I131" s="73" t="str">
        <f aca="false">IF(G131&lt;&gt;"Sí","",IF(DATEDIF(E131,FQ_FECHA+1,"y")&lt;1,0,MIN(TOPE_IAS_ANIOS,DATEDIF(E131,FQ_FECHA+1,"y")+IF(EDATE(E131,12*DATEDIF(E131,FQ_FECHA+1,"y")+6)&lt;FQ_FECHA+1,1,0))))</f>
        <v/>
      </c>
      <c r="J131" s="71" t="str">
        <f aca="false">IF(G131&lt;&gt;"Sí","",W131+N(INDEX(T_COL,122))+N(INDEX(T_MOV,122)))</f>
        <v/>
      </c>
      <c r="K131" s="71" t="str">
        <f aca="false">IF(G131&lt;&gt;"Sí","",MIN(J131,TOPE_IAS_UF*UF_HOY))</f>
        <v/>
      </c>
      <c r="L131" s="95" t="str">
        <f aca="false">IF(G131&lt;&gt;"Sí","",(1.25*(DATEDIF(E131,FQ_FECHA+1,"m")+(FQ_FECHA+1-EDATE(E131,DATEDIF(E131,FQ_FECHA+1,"m")))/30)+SUMPRODUCT((ANIOS&lt;=DATEDIF(E131,FQ_FECHA+1,"y"))*(X131+ANIOS-10&gt;0)*INT((X131+ANIOS-10)/3))-(SUMIFS(V_DIAS,V_ID,B131,V_INICIO,"&lt;="&amp;FQ_FECHA)+Y131)))</f>
        <v/>
      </c>
      <c r="M131" s="71" t="str">
        <f aca="false">IF(G131&lt;&gt;"Sí","",ROUND(MAX(0,IF(L131&lt;=0,0,WORKDAY(FQ_FECHA,INT(L131),FERIADOS)-FQ_FECHA+(L131-INT(L131))))*V131,0))</f>
        <v/>
      </c>
      <c r="N131" s="71" t="str">
        <f aca="false">IF(G131&lt;&gt;"Sí","",IF(D131="Obra o faena",0,ROUND(K131*I131,0)))</f>
        <v/>
      </c>
      <c r="O131" s="71" t="str">
        <f aca="false">IF(G131&lt;&gt;"Sí","",IF(OR(D131="Obra o faena",FQ_AVISO="Sí"),0,ROUND(K131,0)))</f>
        <v/>
      </c>
      <c r="P131" s="71" t="str">
        <f aca="false">IF(G131&lt;&gt;"Sí","",IF(AND(IMPUTAR_AFC="Sí",N131&gt;0),-MIN(N131,ROUND(AFC_IMPUTABLE_PCT*MIN(W131,TOPE_AFC_UF*UF_HOY)*DATEDIF(E131,FQ_FECHA+1,"m"),0)),0))</f>
        <v/>
      </c>
      <c r="Q131" s="85" t="str">
        <f aca="false">IF(G131&lt;&gt;"Sí","",M131+N131+O131+P131)</f>
        <v/>
      </c>
      <c r="R131" s="85" t="str">
        <f aca="false">IF(G131&lt;&gt;"Sí","",M131)</f>
        <v/>
      </c>
      <c r="S131" s="85" t="str">
        <f aca="false">IF(U131="","",IF(INDEX(CC_ESTADOC,122)="Renovación registrada","",ROUND(MAX(0,IF(U131&lt;=0,0,WORKDAY(F131,INT(U131),FERIADOS)-F131+(U131-INT(U131))))*V131,0)+IF(D131="Obra o faena",ROUND(OBRA_DIAS*K131/30*(DATEDIF(E131,F131+1,"m")+IF(F131+1-EDATE(E131,DATEDIF(E131,F131+1,"m"))&gt;15,1,0)),0),0)))</f>
        <v/>
      </c>
      <c r="T131" s="70" t="str">
        <f aca="false">IF(G131&lt;&gt;"Sí","",IF(D131="Plazo fijo","Despido antes del vencimiento: además existe riesgo de demanda por las remuneraciones hasta el término del plazo",IF(D131="Obra o faena","Al concluir la obra corresponde indemnización de 2,5 días por mes (incluida en la columna S); no IAS",IF(I131=0,"Menos de 1 año: no corresponde IAS (Art. 163)",IF(I131=TOPE_IAS_ANIOS,"IAS en el tope de 11 años","")))))</f>
        <v/>
      </c>
      <c r="U131" s="95" t="str">
        <f aca="false">IF(OR(G131&lt;&gt;"Sí",NOT(ISNUMBER(F131))),"",IF(F131&lt;FQ_FECHA,"",(1.25*(DATEDIF(E131,F131+1,"m")+(F131+1-EDATE(E131,DATEDIF(E131,F131+1,"m")))/30)+SUMPRODUCT((ANIOS&lt;=DATEDIF(E131,F131+1,"y"))*(X131+ANIOS-10&gt;0)*INT((X131+ANIOS-10)/3))-(SUMIFS(V_DIAS,V_ID,B131,V_INICIO,"&lt;="&amp;F131)+Y131))))</f>
        <v/>
      </c>
      <c r="V131" s="71" t="str">
        <f aca="false">IF(G131&lt;&gt;"Sí","",(N(INDEX(T_SUELDO,122))+N(INDEX(T_BONO,122)))/30)</f>
        <v/>
      </c>
      <c r="W131" s="71" t="str">
        <f aca="false">IF(G131&lt;&gt;"Sí","",N(INDEX(T_SUELDO,122))+N(INDEX(T_BONO,122))+IF(LEFT(INDEX(T_GRAT,122)&amp;"",6)="Art. 5",MIN(GRAT_PCT*(N(INDEX(T_SUELDO,122))+N(INDEX(T_BONO,122))),GRAT_TOPE_MES),0))</f>
        <v/>
      </c>
      <c r="X131" s="72" t="str">
        <f aca="false">IF(B131="","",MIN(10,N(INDEX(T_PREV,122))))</f>
        <v/>
      </c>
      <c r="Y131" s="72" t="str">
        <f aca="false">IF(B131="","",N(INDEX(T_VACPREV,122)))</f>
        <v/>
      </c>
      <c r="Z131" s="75" t="str">
        <f aca="false">IF(B131="","",N(INDEX(T_EGRESO,122)))</f>
        <v/>
      </c>
    </row>
    <row r="132" customFormat="false" ht="15" hidden="false" customHeight="false" outlineLevel="0" collapsed="false">
      <c r="B132" s="70" t="str">
        <f aca="false">IFERROR(IF(INDEX(T_ID,123)="","",INDEX(T_ID,123)),"")</f>
        <v/>
      </c>
      <c r="C132" s="70" t="str">
        <f aca="false">IF(B132="","",INDEX(T_NOMBRE,123)&amp;"")</f>
        <v/>
      </c>
      <c r="D132" s="70" t="str">
        <f aca="false">IF(B132="","",INDEX(T_TIPO,123)&amp;"")</f>
        <v/>
      </c>
      <c r="E132" s="75" t="str">
        <f aca="false">IF(B132="","",INDEX(T_INGRESO,123))</f>
        <v/>
      </c>
      <c r="F132" s="75" t="str">
        <f aca="false">IF(B132="","",IF(ISNUMBER(INDEX(CC_VENCE,123)),INDEX(CC_VENCE,123),""))</f>
        <v/>
      </c>
      <c r="G132" s="70" t="str">
        <f aca="false">IF(OR(B132="",NOT(ISNUMBER(E132))),"",IF(AND(E132&lt;=FQ_FECHA,OR(Z132=0,Z132&gt;=FQ_FECHA)),"Sí","No"))</f>
        <v/>
      </c>
      <c r="H132" s="94" t="str">
        <f aca="false">IF(G132&lt;&gt;"Sí","",ROUND((FQ_FECHA+1-E132)/365.25,1))</f>
        <v/>
      </c>
      <c r="I132" s="73" t="str">
        <f aca="false">IF(G132&lt;&gt;"Sí","",IF(DATEDIF(E132,FQ_FECHA+1,"y")&lt;1,0,MIN(TOPE_IAS_ANIOS,DATEDIF(E132,FQ_FECHA+1,"y")+IF(EDATE(E132,12*DATEDIF(E132,FQ_FECHA+1,"y")+6)&lt;FQ_FECHA+1,1,0))))</f>
        <v/>
      </c>
      <c r="J132" s="71" t="str">
        <f aca="false">IF(G132&lt;&gt;"Sí","",W132+N(INDEX(T_COL,123))+N(INDEX(T_MOV,123)))</f>
        <v/>
      </c>
      <c r="K132" s="71" t="str">
        <f aca="false">IF(G132&lt;&gt;"Sí","",MIN(J132,TOPE_IAS_UF*UF_HOY))</f>
        <v/>
      </c>
      <c r="L132" s="95" t="str">
        <f aca="false">IF(G132&lt;&gt;"Sí","",(1.25*(DATEDIF(E132,FQ_FECHA+1,"m")+(FQ_FECHA+1-EDATE(E132,DATEDIF(E132,FQ_FECHA+1,"m")))/30)+SUMPRODUCT((ANIOS&lt;=DATEDIF(E132,FQ_FECHA+1,"y"))*(X132+ANIOS-10&gt;0)*INT((X132+ANIOS-10)/3))-(SUMIFS(V_DIAS,V_ID,B132,V_INICIO,"&lt;="&amp;FQ_FECHA)+Y132)))</f>
        <v/>
      </c>
      <c r="M132" s="71" t="str">
        <f aca="false">IF(G132&lt;&gt;"Sí","",ROUND(MAX(0,IF(L132&lt;=0,0,WORKDAY(FQ_FECHA,INT(L132),FERIADOS)-FQ_FECHA+(L132-INT(L132))))*V132,0))</f>
        <v/>
      </c>
      <c r="N132" s="71" t="str">
        <f aca="false">IF(G132&lt;&gt;"Sí","",IF(D132="Obra o faena",0,ROUND(K132*I132,0)))</f>
        <v/>
      </c>
      <c r="O132" s="71" t="str">
        <f aca="false">IF(G132&lt;&gt;"Sí","",IF(OR(D132="Obra o faena",FQ_AVISO="Sí"),0,ROUND(K132,0)))</f>
        <v/>
      </c>
      <c r="P132" s="71" t="str">
        <f aca="false">IF(G132&lt;&gt;"Sí","",IF(AND(IMPUTAR_AFC="Sí",N132&gt;0),-MIN(N132,ROUND(AFC_IMPUTABLE_PCT*MIN(W132,TOPE_AFC_UF*UF_HOY)*DATEDIF(E132,FQ_FECHA+1,"m"),0)),0))</f>
        <v/>
      </c>
      <c r="Q132" s="85" t="str">
        <f aca="false">IF(G132&lt;&gt;"Sí","",M132+N132+O132+P132)</f>
        <v/>
      </c>
      <c r="R132" s="85" t="str">
        <f aca="false">IF(G132&lt;&gt;"Sí","",M132)</f>
        <v/>
      </c>
      <c r="S132" s="85" t="str">
        <f aca="false">IF(U132="","",IF(INDEX(CC_ESTADOC,123)="Renovación registrada","",ROUND(MAX(0,IF(U132&lt;=0,0,WORKDAY(F132,INT(U132),FERIADOS)-F132+(U132-INT(U132))))*V132,0)+IF(D132="Obra o faena",ROUND(OBRA_DIAS*K132/30*(DATEDIF(E132,F132+1,"m")+IF(F132+1-EDATE(E132,DATEDIF(E132,F132+1,"m"))&gt;15,1,0)),0),0)))</f>
        <v/>
      </c>
      <c r="T132" s="70" t="str">
        <f aca="false">IF(G132&lt;&gt;"Sí","",IF(D132="Plazo fijo","Despido antes del vencimiento: además existe riesgo de demanda por las remuneraciones hasta el término del plazo",IF(D132="Obra o faena","Al concluir la obra corresponde indemnización de 2,5 días por mes (incluida en la columna S); no IAS",IF(I132=0,"Menos de 1 año: no corresponde IAS (Art. 163)",IF(I132=TOPE_IAS_ANIOS,"IAS en el tope de 11 años","")))))</f>
        <v/>
      </c>
      <c r="U132" s="95" t="str">
        <f aca="false">IF(OR(G132&lt;&gt;"Sí",NOT(ISNUMBER(F132))),"",IF(F132&lt;FQ_FECHA,"",(1.25*(DATEDIF(E132,F132+1,"m")+(F132+1-EDATE(E132,DATEDIF(E132,F132+1,"m")))/30)+SUMPRODUCT((ANIOS&lt;=DATEDIF(E132,F132+1,"y"))*(X132+ANIOS-10&gt;0)*INT((X132+ANIOS-10)/3))-(SUMIFS(V_DIAS,V_ID,B132,V_INICIO,"&lt;="&amp;F132)+Y132))))</f>
        <v/>
      </c>
      <c r="V132" s="71" t="str">
        <f aca="false">IF(G132&lt;&gt;"Sí","",(N(INDEX(T_SUELDO,123))+N(INDEX(T_BONO,123)))/30)</f>
        <v/>
      </c>
      <c r="W132" s="71" t="str">
        <f aca="false">IF(G132&lt;&gt;"Sí","",N(INDEX(T_SUELDO,123))+N(INDEX(T_BONO,123))+IF(LEFT(INDEX(T_GRAT,123)&amp;"",6)="Art. 5",MIN(GRAT_PCT*(N(INDEX(T_SUELDO,123))+N(INDEX(T_BONO,123))),GRAT_TOPE_MES),0))</f>
        <v/>
      </c>
      <c r="X132" s="72" t="str">
        <f aca="false">IF(B132="","",MIN(10,N(INDEX(T_PREV,123))))</f>
        <v/>
      </c>
      <c r="Y132" s="72" t="str">
        <f aca="false">IF(B132="","",N(INDEX(T_VACPREV,123)))</f>
        <v/>
      </c>
      <c r="Z132" s="75" t="str">
        <f aca="false">IF(B132="","",N(INDEX(T_EGRESO,123)))</f>
        <v/>
      </c>
    </row>
    <row r="133" customFormat="false" ht="15" hidden="false" customHeight="false" outlineLevel="0" collapsed="false">
      <c r="B133" s="70" t="str">
        <f aca="false">IFERROR(IF(INDEX(T_ID,124)="","",INDEX(T_ID,124)),"")</f>
        <v/>
      </c>
      <c r="C133" s="70" t="str">
        <f aca="false">IF(B133="","",INDEX(T_NOMBRE,124)&amp;"")</f>
        <v/>
      </c>
      <c r="D133" s="70" t="str">
        <f aca="false">IF(B133="","",INDEX(T_TIPO,124)&amp;"")</f>
        <v/>
      </c>
      <c r="E133" s="75" t="str">
        <f aca="false">IF(B133="","",INDEX(T_INGRESO,124))</f>
        <v/>
      </c>
      <c r="F133" s="75" t="str">
        <f aca="false">IF(B133="","",IF(ISNUMBER(INDEX(CC_VENCE,124)),INDEX(CC_VENCE,124),""))</f>
        <v/>
      </c>
      <c r="G133" s="70" t="str">
        <f aca="false">IF(OR(B133="",NOT(ISNUMBER(E133))),"",IF(AND(E133&lt;=FQ_FECHA,OR(Z133=0,Z133&gt;=FQ_FECHA)),"Sí","No"))</f>
        <v/>
      </c>
      <c r="H133" s="94" t="str">
        <f aca="false">IF(G133&lt;&gt;"Sí","",ROUND((FQ_FECHA+1-E133)/365.25,1))</f>
        <v/>
      </c>
      <c r="I133" s="73" t="str">
        <f aca="false">IF(G133&lt;&gt;"Sí","",IF(DATEDIF(E133,FQ_FECHA+1,"y")&lt;1,0,MIN(TOPE_IAS_ANIOS,DATEDIF(E133,FQ_FECHA+1,"y")+IF(EDATE(E133,12*DATEDIF(E133,FQ_FECHA+1,"y")+6)&lt;FQ_FECHA+1,1,0))))</f>
        <v/>
      </c>
      <c r="J133" s="71" t="str">
        <f aca="false">IF(G133&lt;&gt;"Sí","",W133+N(INDEX(T_COL,124))+N(INDEX(T_MOV,124)))</f>
        <v/>
      </c>
      <c r="K133" s="71" t="str">
        <f aca="false">IF(G133&lt;&gt;"Sí","",MIN(J133,TOPE_IAS_UF*UF_HOY))</f>
        <v/>
      </c>
      <c r="L133" s="95" t="str">
        <f aca="false">IF(G133&lt;&gt;"Sí","",(1.25*(DATEDIF(E133,FQ_FECHA+1,"m")+(FQ_FECHA+1-EDATE(E133,DATEDIF(E133,FQ_FECHA+1,"m")))/30)+SUMPRODUCT((ANIOS&lt;=DATEDIF(E133,FQ_FECHA+1,"y"))*(X133+ANIOS-10&gt;0)*INT((X133+ANIOS-10)/3))-(SUMIFS(V_DIAS,V_ID,B133,V_INICIO,"&lt;="&amp;FQ_FECHA)+Y133)))</f>
        <v/>
      </c>
      <c r="M133" s="71" t="str">
        <f aca="false">IF(G133&lt;&gt;"Sí","",ROUND(MAX(0,IF(L133&lt;=0,0,WORKDAY(FQ_FECHA,INT(L133),FERIADOS)-FQ_FECHA+(L133-INT(L133))))*V133,0))</f>
        <v/>
      </c>
      <c r="N133" s="71" t="str">
        <f aca="false">IF(G133&lt;&gt;"Sí","",IF(D133="Obra o faena",0,ROUND(K133*I133,0)))</f>
        <v/>
      </c>
      <c r="O133" s="71" t="str">
        <f aca="false">IF(G133&lt;&gt;"Sí","",IF(OR(D133="Obra o faena",FQ_AVISO="Sí"),0,ROUND(K133,0)))</f>
        <v/>
      </c>
      <c r="P133" s="71" t="str">
        <f aca="false">IF(G133&lt;&gt;"Sí","",IF(AND(IMPUTAR_AFC="Sí",N133&gt;0),-MIN(N133,ROUND(AFC_IMPUTABLE_PCT*MIN(W133,TOPE_AFC_UF*UF_HOY)*DATEDIF(E133,FQ_FECHA+1,"m"),0)),0))</f>
        <v/>
      </c>
      <c r="Q133" s="85" t="str">
        <f aca="false">IF(G133&lt;&gt;"Sí","",M133+N133+O133+P133)</f>
        <v/>
      </c>
      <c r="R133" s="85" t="str">
        <f aca="false">IF(G133&lt;&gt;"Sí","",M133)</f>
        <v/>
      </c>
      <c r="S133" s="85" t="str">
        <f aca="false">IF(U133="","",IF(INDEX(CC_ESTADOC,124)="Renovación registrada","",ROUND(MAX(0,IF(U133&lt;=0,0,WORKDAY(F133,INT(U133),FERIADOS)-F133+(U133-INT(U133))))*V133,0)+IF(D133="Obra o faena",ROUND(OBRA_DIAS*K133/30*(DATEDIF(E133,F133+1,"m")+IF(F133+1-EDATE(E133,DATEDIF(E133,F133+1,"m"))&gt;15,1,0)),0),0)))</f>
        <v/>
      </c>
      <c r="T133" s="70" t="str">
        <f aca="false">IF(G133&lt;&gt;"Sí","",IF(D133="Plazo fijo","Despido antes del vencimiento: además existe riesgo de demanda por las remuneraciones hasta el término del plazo",IF(D133="Obra o faena","Al concluir la obra corresponde indemnización de 2,5 días por mes (incluida en la columna S); no IAS",IF(I133=0,"Menos de 1 año: no corresponde IAS (Art. 163)",IF(I133=TOPE_IAS_ANIOS,"IAS en el tope de 11 años","")))))</f>
        <v/>
      </c>
      <c r="U133" s="95" t="str">
        <f aca="false">IF(OR(G133&lt;&gt;"Sí",NOT(ISNUMBER(F133))),"",IF(F133&lt;FQ_FECHA,"",(1.25*(DATEDIF(E133,F133+1,"m")+(F133+1-EDATE(E133,DATEDIF(E133,F133+1,"m")))/30)+SUMPRODUCT((ANIOS&lt;=DATEDIF(E133,F133+1,"y"))*(X133+ANIOS-10&gt;0)*INT((X133+ANIOS-10)/3))-(SUMIFS(V_DIAS,V_ID,B133,V_INICIO,"&lt;="&amp;F133)+Y133))))</f>
        <v/>
      </c>
      <c r="V133" s="71" t="str">
        <f aca="false">IF(G133&lt;&gt;"Sí","",(N(INDEX(T_SUELDO,124))+N(INDEX(T_BONO,124)))/30)</f>
        <v/>
      </c>
      <c r="W133" s="71" t="str">
        <f aca="false">IF(G133&lt;&gt;"Sí","",N(INDEX(T_SUELDO,124))+N(INDEX(T_BONO,124))+IF(LEFT(INDEX(T_GRAT,124)&amp;"",6)="Art. 5",MIN(GRAT_PCT*(N(INDEX(T_SUELDO,124))+N(INDEX(T_BONO,124))),GRAT_TOPE_MES),0))</f>
        <v/>
      </c>
      <c r="X133" s="72" t="str">
        <f aca="false">IF(B133="","",MIN(10,N(INDEX(T_PREV,124))))</f>
        <v/>
      </c>
      <c r="Y133" s="72" t="str">
        <f aca="false">IF(B133="","",N(INDEX(T_VACPREV,124)))</f>
        <v/>
      </c>
      <c r="Z133" s="75" t="str">
        <f aca="false">IF(B133="","",N(INDEX(T_EGRESO,124)))</f>
        <v/>
      </c>
    </row>
    <row r="134" customFormat="false" ht="15" hidden="false" customHeight="false" outlineLevel="0" collapsed="false">
      <c r="B134" s="70" t="str">
        <f aca="false">IFERROR(IF(INDEX(T_ID,125)="","",INDEX(T_ID,125)),"")</f>
        <v/>
      </c>
      <c r="C134" s="70" t="str">
        <f aca="false">IF(B134="","",INDEX(T_NOMBRE,125)&amp;"")</f>
        <v/>
      </c>
      <c r="D134" s="70" t="str">
        <f aca="false">IF(B134="","",INDEX(T_TIPO,125)&amp;"")</f>
        <v/>
      </c>
      <c r="E134" s="75" t="str">
        <f aca="false">IF(B134="","",INDEX(T_INGRESO,125))</f>
        <v/>
      </c>
      <c r="F134" s="75" t="str">
        <f aca="false">IF(B134="","",IF(ISNUMBER(INDEX(CC_VENCE,125)),INDEX(CC_VENCE,125),""))</f>
        <v/>
      </c>
      <c r="G134" s="70" t="str">
        <f aca="false">IF(OR(B134="",NOT(ISNUMBER(E134))),"",IF(AND(E134&lt;=FQ_FECHA,OR(Z134=0,Z134&gt;=FQ_FECHA)),"Sí","No"))</f>
        <v/>
      </c>
      <c r="H134" s="94" t="str">
        <f aca="false">IF(G134&lt;&gt;"Sí","",ROUND((FQ_FECHA+1-E134)/365.25,1))</f>
        <v/>
      </c>
      <c r="I134" s="73" t="str">
        <f aca="false">IF(G134&lt;&gt;"Sí","",IF(DATEDIF(E134,FQ_FECHA+1,"y")&lt;1,0,MIN(TOPE_IAS_ANIOS,DATEDIF(E134,FQ_FECHA+1,"y")+IF(EDATE(E134,12*DATEDIF(E134,FQ_FECHA+1,"y")+6)&lt;FQ_FECHA+1,1,0))))</f>
        <v/>
      </c>
      <c r="J134" s="71" t="str">
        <f aca="false">IF(G134&lt;&gt;"Sí","",W134+N(INDEX(T_COL,125))+N(INDEX(T_MOV,125)))</f>
        <v/>
      </c>
      <c r="K134" s="71" t="str">
        <f aca="false">IF(G134&lt;&gt;"Sí","",MIN(J134,TOPE_IAS_UF*UF_HOY))</f>
        <v/>
      </c>
      <c r="L134" s="95" t="str">
        <f aca="false">IF(G134&lt;&gt;"Sí","",(1.25*(DATEDIF(E134,FQ_FECHA+1,"m")+(FQ_FECHA+1-EDATE(E134,DATEDIF(E134,FQ_FECHA+1,"m")))/30)+SUMPRODUCT((ANIOS&lt;=DATEDIF(E134,FQ_FECHA+1,"y"))*(X134+ANIOS-10&gt;0)*INT((X134+ANIOS-10)/3))-(SUMIFS(V_DIAS,V_ID,B134,V_INICIO,"&lt;="&amp;FQ_FECHA)+Y134)))</f>
        <v/>
      </c>
      <c r="M134" s="71" t="str">
        <f aca="false">IF(G134&lt;&gt;"Sí","",ROUND(MAX(0,IF(L134&lt;=0,0,WORKDAY(FQ_FECHA,INT(L134),FERIADOS)-FQ_FECHA+(L134-INT(L134))))*V134,0))</f>
        <v/>
      </c>
      <c r="N134" s="71" t="str">
        <f aca="false">IF(G134&lt;&gt;"Sí","",IF(D134="Obra o faena",0,ROUND(K134*I134,0)))</f>
        <v/>
      </c>
      <c r="O134" s="71" t="str">
        <f aca="false">IF(G134&lt;&gt;"Sí","",IF(OR(D134="Obra o faena",FQ_AVISO="Sí"),0,ROUND(K134,0)))</f>
        <v/>
      </c>
      <c r="P134" s="71" t="str">
        <f aca="false">IF(G134&lt;&gt;"Sí","",IF(AND(IMPUTAR_AFC="Sí",N134&gt;0),-MIN(N134,ROUND(AFC_IMPUTABLE_PCT*MIN(W134,TOPE_AFC_UF*UF_HOY)*DATEDIF(E134,FQ_FECHA+1,"m"),0)),0))</f>
        <v/>
      </c>
      <c r="Q134" s="85" t="str">
        <f aca="false">IF(G134&lt;&gt;"Sí","",M134+N134+O134+P134)</f>
        <v/>
      </c>
      <c r="R134" s="85" t="str">
        <f aca="false">IF(G134&lt;&gt;"Sí","",M134)</f>
        <v/>
      </c>
      <c r="S134" s="85" t="str">
        <f aca="false">IF(U134="","",IF(INDEX(CC_ESTADOC,125)="Renovación registrada","",ROUND(MAX(0,IF(U134&lt;=0,0,WORKDAY(F134,INT(U134),FERIADOS)-F134+(U134-INT(U134))))*V134,0)+IF(D134="Obra o faena",ROUND(OBRA_DIAS*K134/30*(DATEDIF(E134,F134+1,"m")+IF(F134+1-EDATE(E134,DATEDIF(E134,F134+1,"m"))&gt;15,1,0)),0),0)))</f>
        <v/>
      </c>
      <c r="T134" s="70" t="str">
        <f aca="false">IF(G134&lt;&gt;"Sí","",IF(D134="Plazo fijo","Despido antes del vencimiento: además existe riesgo de demanda por las remuneraciones hasta el término del plazo",IF(D134="Obra o faena","Al concluir la obra corresponde indemnización de 2,5 días por mes (incluida en la columna S); no IAS",IF(I134=0,"Menos de 1 año: no corresponde IAS (Art. 163)",IF(I134=TOPE_IAS_ANIOS,"IAS en el tope de 11 años","")))))</f>
        <v/>
      </c>
      <c r="U134" s="95" t="str">
        <f aca="false">IF(OR(G134&lt;&gt;"Sí",NOT(ISNUMBER(F134))),"",IF(F134&lt;FQ_FECHA,"",(1.25*(DATEDIF(E134,F134+1,"m")+(F134+1-EDATE(E134,DATEDIF(E134,F134+1,"m")))/30)+SUMPRODUCT((ANIOS&lt;=DATEDIF(E134,F134+1,"y"))*(X134+ANIOS-10&gt;0)*INT((X134+ANIOS-10)/3))-(SUMIFS(V_DIAS,V_ID,B134,V_INICIO,"&lt;="&amp;F134)+Y134))))</f>
        <v/>
      </c>
      <c r="V134" s="71" t="str">
        <f aca="false">IF(G134&lt;&gt;"Sí","",(N(INDEX(T_SUELDO,125))+N(INDEX(T_BONO,125)))/30)</f>
        <v/>
      </c>
      <c r="W134" s="71" t="str">
        <f aca="false">IF(G134&lt;&gt;"Sí","",N(INDEX(T_SUELDO,125))+N(INDEX(T_BONO,125))+IF(LEFT(INDEX(T_GRAT,125)&amp;"",6)="Art. 5",MIN(GRAT_PCT*(N(INDEX(T_SUELDO,125))+N(INDEX(T_BONO,125))),GRAT_TOPE_MES),0))</f>
        <v/>
      </c>
      <c r="X134" s="72" t="str">
        <f aca="false">IF(B134="","",MIN(10,N(INDEX(T_PREV,125))))</f>
        <v/>
      </c>
      <c r="Y134" s="72" t="str">
        <f aca="false">IF(B134="","",N(INDEX(T_VACPREV,125)))</f>
        <v/>
      </c>
      <c r="Z134" s="75" t="str">
        <f aca="false">IF(B134="","",N(INDEX(T_EGRESO,125)))</f>
        <v/>
      </c>
    </row>
    <row r="135" customFormat="false" ht="15" hidden="false" customHeight="false" outlineLevel="0" collapsed="false">
      <c r="B135" s="70" t="str">
        <f aca="false">IFERROR(IF(INDEX(T_ID,126)="","",INDEX(T_ID,126)),"")</f>
        <v/>
      </c>
      <c r="C135" s="70" t="str">
        <f aca="false">IF(B135="","",INDEX(T_NOMBRE,126)&amp;"")</f>
        <v/>
      </c>
      <c r="D135" s="70" t="str">
        <f aca="false">IF(B135="","",INDEX(T_TIPO,126)&amp;"")</f>
        <v/>
      </c>
      <c r="E135" s="75" t="str">
        <f aca="false">IF(B135="","",INDEX(T_INGRESO,126))</f>
        <v/>
      </c>
      <c r="F135" s="75" t="str">
        <f aca="false">IF(B135="","",IF(ISNUMBER(INDEX(CC_VENCE,126)),INDEX(CC_VENCE,126),""))</f>
        <v/>
      </c>
      <c r="G135" s="70" t="str">
        <f aca="false">IF(OR(B135="",NOT(ISNUMBER(E135))),"",IF(AND(E135&lt;=FQ_FECHA,OR(Z135=0,Z135&gt;=FQ_FECHA)),"Sí","No"))</f>
        <v/>
      </c>
      <c r="H135" s="94" t="str">
        <f aca="false">IF(G135&lt;&gt;"Sí","",ROUND((FQ_FECHA+1-E135)/365.25,1))</f>
        <v/>
      </c>
      <c r="I135" s="73" t="str">
        <f aca="false">IF(G135&lt;&gt;"Sí","",IF(DATEDIF(E135,FQ_FECHA+1,"y")&lt;1,0,MIN(TOPE_IAS_ANIOS,DATEDIF(E135,FQ_FECHA+1,"y")+IF(EDATE(E135,12*DATEDIF(E135,FQ_FECHA+1,"y")+6)&lt;FQ_FECHA+1,1,0))))</f>
        <v/>
      </c>
      <c r="J135" s="71" t="str">
        <f aca="false">IF(G135&lt;&gt;"Sí","",W135+N(INDEX(T_COL,126))+N(INDEX(T_MOV,126)))</f>
        <v/>
      </c>
      <c r="K135" s="71" t="str">
        <f aca="false">IF(G135&lt;&gt;"Sí","",MIN(J135,TOPE_IAS_UF*UF_HOY))</f>
        <v/>
      </c>
      <c r="L135" s="95" t="str">
        <f aca="false">IF(G135&lt;&gt;"Sí","",(1.25*(DATEDIF(E135,FQ_FECHA+1,"m")+(FQ_FECHA+1-EDATE(E135,DATEDIF(E135,FQ_FECHA+1,"m")))/30)+SUMPRODUCT((ANIOS&lt;=DATEDIF(E135,FQ_FECHA+1,"y"))*(X135+ANIOS-10&gt;0)*INT((X135+ANIOS-10)/3))-(SUMIFS(V_DIAS,V_ID,B135,V_INICIO,"&lt;="&amp;FQ_FECHA)+Y135)))</f>
        <v/>
      </c>
      <c r="M135" s="71" t="str">
        <f aca="false">IF(G135&lt;&gt;"Sí","",ROUND(MAX(0,IF(L135&lt;=0,0,WORKDAY(FQ_FECHA,INT(L135),FERIADOS)-FQ_FECHA+(L135-INT(L135))))*V135,0))</f>
        <v/>
      </c>
      <c r="N135" s="71" t="str">
        <f aca="false">IF(G135&lt;&gt;"Sí","",IF(D135="Obra o faena",0,ROUND(K135*I135,0)))</f>
        <v/>
      </c>
      <c r="O135" s="71" t="str">
        <f aca="false">IF(G135&lt;&gt;"Sí","",IF(OR(D135="Obra o faena",FQ_AVISO="Sí"),0,ROUND(K135,0)))</f>
        <v/>
      </c>
      <c r="P135" s="71" t="str">
        <f aca="false">IF(G135&lt;&gt;"Sí","",IF(AND(IMPUTAR_AFC="Sí",N135&gt;0),-MIN(N135,ROUND(AFC_IMPUTABLE_PCT*MIN(W135,TOPE_AFC_UF*UF_HOY)*DATEDIF(E135,FQ_FECHA+1,"m"),0)),0))</f>
        <v/>
      </c>
      <c r="Q135" s="85" t="str">
        <f aca="false">IF(G135&lt;&gt;"Sí","",M135+N135+O135+P135)</f>
        <v/>
      </c>
      <c r="R135" s="85" t="str">
        <f aca="false">IF(G135&lt;&gt;"Sí","",M135)</f>
        <v/>
      </c>
      <c r="S135" s="85" t="str">
        <f aca="false">IF(U135="","",IF(INDEX(CC_ESTADOC,126)="Renovación registrada","",ROUND(MAX(0,IF(U135&lt;=0,0,WORKDAY(F135,INT(U135),FERIADOS)-F135+(U135-INT(U135))))*V135,0)+IF(D135="Obra o faena",ROUND(OBRA_DIAS*K135/30*(DATEDIF(E135,F135+1,"m")+IF(F135+1-EDATE(E135,DATEDIF(E135,F135+1,"m"))&gt;15,1,0)),0),0)))</f>
        <v/>
      </c>
      <c r="T135" s="70" t="str">
        <f aca="false">IF(G135&lt;&gt;"Sí","",IF(D135="Plazo fijo","Despido antes del vencimiento: además existe riesgo de demanda por las remuneraciones hasta el término del plazo",IF(D135="Obra o faena","Al concluir la obra corresponde indemnización de 2,5 días por mes (incluida en la columna S); no IAS",IF(I135=0,"Menos de 1 año: no corresponde IAS (Art. 163)",IF(I135=TOPE_IAS_ANIOS,"IAS en el tope de 11 años","")))))</f>
        <v/>
      </c>
      <c r="U135" s="95" t="str">
        <f aca="false">IF(OR(G135&lt;&gt;"Sí",NOT(ISNUMBER(F135))),"",IF(F135&lt;FQ_FECHA,"",(1.25*(DATEDIF(E135,F135+1,"m")+(F135+1-EDATE(E135,DATEDIF(E135,F135+1,"m")))/30)+SUMPRODUCT((ANIOS&lt;=DATEDIF(E135,F135+1,"y"))*(X135+ANIOS-10&gt;0)*INT((X135+ANIOS-10)/3))-(SUMIFS(V_DIAS,V_ID,B135,V_INICIO,"&lt;="&amp;F135)+Y135))))</f>
        <v/>
      </c>
      <c r="V135" s="71" t="str">
        <f aca="false">IF(G135&lt;&gt;"Sí","",(N(INDEX(T_SUELDO,126))+N(INDEX(T_BONO,126)))/30)</f>
        <v/>
      </c>
      <c r="W135" s="71" t="str">
        <f aca="false">IF(G135&lt;&gt;"Sí","",N(INDEX(T_SUELDO,126))+N(INDEX(T_BONO,126))+IF(LEFT(INDEX(T_GRAT,126)&amp;"",6)="Art. 5",MIN(GRAT_PCT*(N(INDEX(T_SUELDO,126))+N(INDEX(T_BONO,126))),GRAT_TOPE_MES),0))</f>
        <v/>
      </c>
      <c r="X135" s="72" t="str">
        <f aca="false">IF(B135="","",MIN(10,N(INDEX(T_PREV,126))))</f>
        <v/>
      </c>
      <c r="Y135" s="72" t="str">
        <f aca="false">IF(B135="","",N(INDEX(T_VACPREV,126)))</f>
        <v/>
      </c>
      <c r="Z135" s="75" t="str">
        <f aca="false">IF(B135="","",N(INDEX(T_EGRESO,126)))</f>
        <v/>
      </c>
    </row>
    <row r="136" customFormat="false" ht="15" hidden="false" customHeight="false" outlineLevel="0" collapsed="false">
      <c r="B136" s="70" t="str">
        <f aca="false">IFERROR(IF(INDEX(T_ID,127)="","",INDEX(T_ID,127)),"")</f>
        <v/>
      </c>
      <c r="C136" s="70" t="str">
        <f aca="false">IF(B136="","",INDEX(T_NOMBRE,127)&amp;"")</f>
        <v/>
      </c>
      <c r="D136" s="70" t="str">
        <f aca="false">IF(B136="","",INDEX(T_TIPO,127)&amp;"")</f>
        <v/>
      </c>
      <c r="E136" s="75" t="str">
        <f aca="false">IF(B136="","",INDEX(T_INGRESO,127))</f>
        <v/>
      </c>
      <c r="F136" s="75" t="str">
        <f aca="false">IF(B136="","",IF(ISNUMBER(INDEX(CC_VENCE,127)),INDEX(CC_VENCE,127),""))</f>
        <v/>
      </c>
      <c r="G136" s="70" t="str">
        <f aca="false">IF(OR(B136="",NOT(ISNUMBER(E136))),"",IF(AND(E136&lt;=FQ_FECHA,OR(Z136=0,Z136&gt;=FQ_FECHA)),"Sí","No"))</f>
        <v/>
      </c>
      <c r="H136" s="94" t="str">
        <f aca="false">IF(G136&lt;&gt;"Sí","",ROUND((FQ_FECHA+1-E136)/365.25,1))</f>
        <v/>
      </c>
      <c r="I136" s="73" t="str">
        <f aca="false">IF(G136&lt;&gt;"Sí","",IF(DATEDIF(E136,FQ_FECHA+1,"y")&lt;1,0,MIN(TOPE_IAS_ANIOS,DATEDIF(E136,FQ_FECHA+1,"y")+IF(EDATE(E136,12*DATEDIF(E136,FQ_FECHA+1,"y")+6)&lt;FQ_FECHA+1,1,0))))</f>
        <v/>
      </c>
      <c r="J136" s="71" t="str">
        <f aca="false">IF(G136&lt;&gt;"Sí","",W136+N(INDEX(T_COL,127))+N(INDEX(T_MOV,127)))</f>
        <v/>
      </c>
      <c r="K136" s="71" t="str">
        <f aca="false">IF(G136&lt;&gt;"Sí","",MIN(J136,TOPE_IAS_UF*UF_HOY))</f>
        <v/>
      </c>
      <c r="L136" s="95" t="str">
        <f aca="false">IF(G136&lt;&gt;"Sí","",(1.25*(DATEDIF(E136,FQ_FECHA+1,"m")+(FQ_FECHA+1-EDATE(E136,DATEDIF(E136,FQ_FECHA+1,"m")))/30)+SUMPRODUCT((ANIOS&lt;=DATEDIF(E136,FQ_FECHA+1,"y"))*(X136+ANIOS-10&gt;0)*INT((X136+ANIOS-10)/3))-(SUMIFS(V_DIAS,V_ID,B136,V_INICIO,"&lt;="&amp;FQ_FECHA)+Y136)))</f>
        <v/>
      </c>
      <c r="M136" s="71" t="str">
        <f aca="false">IF(G136&lt;&gt;"Sí","",ROUND(MAX(0,IF(L136&lt;=0,0,WORKDAY(FQ_FECHA,INT(L136),FERIADOS)-FQ_FECHA+(L136-INT(L136))))*V136,0))</f>
        <v/>
      </c>
      <c r="N136" s="71" t="str">
        <f aca="false">IF(G136&lt;&gt;"Sí","",IF(D136="Obra o faena",0,ROUND(K136*I136,0)))</f>
        <v/>
      </c>
      <c r="O136" s="71" t="str">
        <f aca="false">IF(G136&lt;&gt;"Sí","",IF(OR(D136="Obra o faena",FQ_AVISO="Sí"),0,ROUND(K136,0)))</f>
        <v/>
      </c>
      <c r="P136" s="71" t="str">
        <f aca="false">IF(G136&lt;&gt;"Sí","",IF(AND(IMPUTAR_AFC="Sí",N136&gt;0),-MIN(N136,ROUND(AFC_IMPUTABLE_PCT*MIN(W136,TOPE_AFC_UF*UF_HOY)*DATEDIF(E136,FQ_FECHA+1,"m"),0)),0))</f>
        <v/>
      </c>
      <c r="Q136" s="85" t="str">
        <f aca="false">IF(G136&lt;&gt;"Sí","",M136+N136+O136+P136)</f>
        <v/>
      </c>
      <c r="R136" s="85" t="str">
        <f aca="false">IF(G136&lt;&gt;"Sí","",M136)</f>
        <v/>
      </c>
      <c r="S136" s="85" t="str">
        <f aca="false">IF(U136="","",IF(INDEX(CC_ESTADOC,127)="Renovación registrada","",ROUND(MAX(0,IF(U136&lt;=0,0,WORKDAY(F136,INT(U136),FERIADOS)-F136+(U136-INT(U136))))*V136,0)+IF(D136="Obra o faena",ROUND(OBRA_DIAS*K136/30*(DATEDIF(E136,F136+1,"m")+IF(F136+1-EDATE(E136,DATEDIF(E136,F136+1,"m"))&gt;15,1,0)),0),0)))</f>
        <v/>
      </c>
      <c r="T136" s="70" t="str">
        <f aca="false">IF(G136&lt;&gt;"Sí","",IF(D136="Plazo fijo","Despido antes del vencimiento: además existe riesgo de demanda por las remuneraciones hasta el término del plazo",IF(D136="Obra o faena","Al concluir la obra corresponde indemnización de 2,5 días por mes (incluida en la columna S); no IAS",IF(I136=0,"Menos de 1 año: no corresponde IAS (Art. 163)",IF(I136=TOPE_IAS_ANIOS,"IAS en el tope de 11 años","")))))</f>
        <v/>
      </c>
      <c r="U136" s="95" t="str">
        <f aca="false">IF(OR(G136&lt;&gt;"Sí",NOT(ISNUMBER(F136))),"",IF(F136&lt;FQ_FECHA,"",(1.25*(DATEDIF(E136,F136+1,"m")+(F136+1-EDATE(E136,DATEDIF(E136,F136+1,"m")))/30)+SUMPRODUCT((ANIOS&lt;=DATEDIF(E136,F136+1,"y"))*(X136+ANIOS-10&gt;0)*INT((X136+ANIOS-10)/3))-(SUMIFS(V_DIAS,V_ID,B136,V_INICIO,"&lt;="&amp;F136)+Y136))))</f>
        <v/>
      </c>
      <c r="V136" s="71" t="str">
        <f aca="false">IF(G136&lt;&gt;"Sí","",(N(INDEX(T_SUELDO,127))+N(INDEX(T_BONO,127)))/30)</f>
        <v/>
      </c>
      <c r="W136" s="71" t="str">
        <f aca="false">IF(G136&lt;&gt;"Sí","",N(INDEX(T_SUELDO,127))+N(INDEX(T_BONO,127))+IF(LEFT(INDEX(T_GRAT,127)&amp;"",6)="Art. 5",MIN(GRAT_PCT*(N(INDEX(T_SUELDO,127))+N(INDEX(T_BONO,127))),GRAT_TOPE_MES),0))</f>
        <v/>
      </c>
      <c r="X136" s="72" t="str">
        <f aca="false">IF(B136="","",MIN(10,N(INDEX(T_PREV,127))))</f>
        <v/>
      </c>
      <c r="Y136" s="72" t="str">
        <f aca="false">IF(B136="","",N(INDEX(T_VACPREV,127)))</f>
        <v/>
      </c>
      <c r="Z136" s="75" t="str">
        <f aca="false">IF(B136="","",N(INDEX(T_EGRESO,127)))</f>
        <v/>
      </c>
    </row>
    <row r="137" customFormat="false" ht="15" hidden="false" customHeight="false" outlineLevel="0" collapsed="false">
      <c r="B137" s="70" t="str">
        <f aca="false">IFERROR(IF(INDEX(T_ID,128)="","",INDEX(T_ID,128)),"")</f>
        <v/>
      </c>
      <c r="C137" s="70" t="str">
        <f aca="false">IF(B137="","",INDEX(T_NOMBRE,128)&amp;"")</f>
        <v/>
      </c>
      <c r="D137" s="70" t="str">
        <f aca="false">IF(B137="","",INDEX(T_TIPO,128)&amp;"")</f>
        <v/>
      </c>
      <c r="E137" s="75" t="str">
        <f aca="false">IF(B137="","",INDEX(T_INGRESO,128))</f>
        <v/>
      </c>
      <c r="F137" s="75" t="str">
        <f aca="false">IF(B137="","",IF(ISNUMBER(INDEX(CC_VENCE,128)),INDEX(CC_VENCE,128),""))</f>
        <v/>
      </c>
      <c r="G137" s="70" t="str">
        <f aca="false">IF(OR(B137="",NOT(ISNUMBER(E137))),"",IF(AND(E137&lt;=FQ_FECHA,OR(Z137=0,Z137&gt;=FQ_FECHA)),"Sí","No"))</f>
        <v/>
      </c>
      <c r="H137" s="94" t="str">
        <f aca="false">IF(G137&lt;&gt;"Sí","",ROUND((FQ_FECHA+1-E137)/365.25,1))</f>
        <v/>
      </c>
      <c r="I137" s="73" t="str">
        <f aca="false">IF(G137&lt;&gt;"Sí","",IF(DATEDIF(E137,FQ_FECHA+1,"y")&lt;1,0,MIN(TOPE_IAS_ANIOS,DATEDIF(E137,FQ_FECHA+1,"y")+IF(EDATE(E137,12*DATEDIF(E137,FQ_FECHA+1,"y")+6)&lt;FQ_FECHA+1,1,0))))</f>
        <v/>
      </c>
      <c r="J137" s="71" t="str">
        <f aca="false">IF(G137&lt;&gt;"Sí","",W137+N(INDEX(T_COL,128))+N(INDEX(T_MOV,128)))</f>
        <v/>
      </c>
      <c r="K137" s="71" t="str">
        <f aca="false">IF(G137&lt;&gt;"Sí","",MIN(J137,TOPE_IAS_UF*UF_HOY))</f>
        <v/>
      </c>
      <c r="L137" s="95" t="str">
        <f aca="false">IF(G137&lt;&gt;"Sí","",(1.25*(DATEDIF(E137,FQ_FECHA+1,"m")+(FQ_FECHA+1-EDATE(E137,DATEDIF(E137,FQ_FECHA+1,"m")))/30)+SUMPRODUCT((ANIOS&lt;=DATEDIF(E137,FQ_FECHA+1,"y"))*(X137+ANIOS-10&gt;0)*INT((X137+ANIOS-10)/3))-(SUMIFS(V_DIAS,V_ID,B137,V_INICIO,"&lt;="&amp;FQ_FECHA)+Y137)))</f>
        <v/>
      </c>
      <c r="M137" s="71" t="str">
        <f aca="false">IF(G137&lt;&gt;"Sí","",ROUND(MAX(0,IF(L137&lt;=0,0,WORKDAY(FQ_FECHA,INT(L137),FERIADOS)-FQ_FECHA+(L137-INT(L137))))*V137,0))</f>
        <v/>
      </c>
      <c r="N137" s="71" t="str">
        <f aca="false">IF(G137&lt;&gt;"Sí","",IF(D137="Obra o faena",0,ROUND(K137*I137,0)))</f>
        <v/>
      </c>
      <c r="O137" s="71" t="str">
        <f aca="false">IF(G137&lt;&gt;"Sí","",IF(OR(D137="Obra o faena",FQ_AVISO="Sí"),0,ROUND(K137,0)))</f>
        <v/>
      </c>
      <c r="P137" s="71" t="str">
        <f aca="false">IF(G137&lt;&gt;"Sí","",IF(AND(IMPUTAR_AFC="Sí",N137&gt;0),-MIN(N137,ROUND(AFC_IMPUTABLE_PCT*MIN(W137,TOPE_AFC_UF*UF_HOY)*DATEDIF(E137,FQ_FECHA+1,"m"),0)),0))</f>
        <v/>
      </c>
      <c r="Q137" s="85" t="str">
        <f aca="false">IF(G137&lt;&gt;"Sí","",M137+N137+O137+P137)</f>
        <v/>
      </c>
      <c r="R137" s="85" t="str">
        <f aca="false">IF(G137&lt;&gt;"Sí","",M137)</f>
        <v/>
      </c>
      <c r="S137" s="85" t="str">
        <f aca="false">IF(U137="","",IF(INDEX(CC_ESTADOC,128)="Renovación registrada","",ROUND(MAX(0,IF(U137&lt;=0,0,WORKDAY(F137,INT(U137),FERIADOS)-F137+(U137-INT(U137))))*V137,0)+IF(D137="Obra o faena",ROUND(OBRA_DIAS*K137/30*(DATEDIF(E137,F137+1,"m")+IF(F137+1-EDATE(E137,DATEDIF(E137,F137+1,"m"))&gt;15,1,0)),0),0)))</f>
        <v/>
      </c>
      <c r="T137" s="70" t="str">
        <f aca="false">IF(G137&lt;&gt;"Sí","",IF(D137="Plazo fijo","Despido antes del vencimiento: además existe riesgo de demanda por las remuneraciones hasta el término del plazo",IF(D137="Obra o faena","Al concluir la obra corresponde indemnización de 2,5 días por mes (incluida en la columna S); no IAS",IF(I137=0,"Menos de 1 año: no corresponde IAS (Art. 163)",IF(I137=TOPE_IAS_ANIOS,"IAS en el tope de 11 años","")))))</f>
        <v/>
      </c>
      <c r="U137" s="95" t="str">
        <f aca="false">IF(OR(G137&lt;&gt;"Sí",NOT(ISNUMBER(F137))),"",IF(F137&lt;FQ_FECHA,"",(1.25*(DATEDIF(E137,F137+1,"m")+(F137+1-EDATE(E137,DATEDIF(E137,F137+1,"m")))/30)+SUMPRODUCT((ANIOS&lt;=DATEDIF(E137,F137+1,"y"))*(X137+ANIOS-10&gt;0)*INT((X137+ANIOS-10)/3))-(SUMIFS(V_DIAS,V_ID,B137,V_INICIO,"&lt;="&amp;F137)+Y137))))</f>
        <v/>
      </c>
      <c r="V137" s="71" t="str">
        <f aca="false">IF(G137&lt;&gt;"Sí","",(N(INDEX(T_SUELDO,128))+N(INDEX(T_BONO,128)))/30)</f>
        <v/>
      </c>
      <c r="W137" s="71" t="str">
        <f aca="false">IF(G137&lt;&gt;"Sí","",N(INDEX(T_SUELDO,128))+N(INDEX(T_BONO,128))+IF(LEFT(INDEX(T_GRAT,128)&amp;"",6)="Art. 5",MIN(GRAT_PCT*(N(INDEX(T_SUELDO,128))+N(INDEX(T_BONO,128))),GRAT_TOPE_MES),0))</f>
        <v/>
      </c>
      <c r="X137" s="72" t="str">
        <f aca="false">IF(B137="","",MIN(10,N(INDEX(T_PREV,128))))</f>
        <v/>
      </c>
      <c r="Y137" s="72" t="str">
        <f aca="false">IF(B137="","",N(INDEX(T_VACPREV,128)))</f>
        <v/>
      </c>
      <c r="Z137" s="75" t="str">
        <f aca="false">IF(B137="","",N(INDEX(T_EGRESO,128)))</f>
        <v/>
      </c>
    </row>
    <row r="138" customFormat="false" ht="15" hidden="false" customHeight="false" outlineLevel="0" collapsed="false">
      <c r="B138" s="70" t="str">
        <f aca="false">IFERROR(IF(INDEX(T_ID,129)="","",INDEX(T_ID,129)),"")</f>
        <v/>
      </c>
      <c r="C138" s="70" t="str">
        <f aca="false">IF(B138="","",INDEX(T_NOMBRE,129)&amp;"")</f>
        <v/>
      </c>
      <c r="D138" s="70" t="str">
        <f aca="false">IF(B138="","",INDEX(T_TIPO,129)&amp;"")</f>
        <v/>
      </c>
      <c r="E138" s="75" t="str">
        <f aca="false">IF(B138="","",INDEX(T_INGRESO,129))</f>
        <v/>
      </c>
      <c r="F138" s="75" t="str">
        <f aca="false">IF(B138="","",IF(ISNUMBER(INDEX(CC_VENCE,129)),INDEX(CC_VENCE,129),""))</f>
        <v/>
      </c>
      <c r="G138" s="70" t="str">
        <f aca="false">IF(OR(B138="",NOT(ISNUMBER(E138))),"",IF(AND(E138&lt;=FQ_FECHA,OR(Z138=0,Z138&gt;=FQ_FECHA)),"Sí","No"))</f>
        <v/>
      </c>
      <c r="H138" s="94" t="str">
        <f aca="false">IF(G138&lt;&gt;"Sí","",ROUND((FQ_FECHA+1-E138)/365.25,1))</f>
        <v/>
      </c>
      <c r="I138" s="73" t="str">
        <f aca="false">IF(G138&lt;&gt;"Sí","",IF(DATEDIF(E138,FQ_FECHA+1,"y")&lt;1,0,MIN(TOPE_IAS_ANIOS,DATEDIF(E138,FQ_FECHA+1,"y")+IF(EDATE(E138,12*DATEDIF(E138,FQ_FECHA+1,"y")+6)&lt;FQ_FECHA+1,1,0))))</f>
        <v/>
      </c>
      <c r="J138" s="71" t="str">
        <f aca="false">IF(G138&lt;&gt;"Sí","",W138+N(INDEX(T_COL,129))+N(INDEX(T_MOV,129)))</f>
        <v/>
      </c>
      <c r="K138" s="71" t="str">
        <f aca="false">IF(G138&lt;&gt;"Sí","",MIN(J138,TOPE_IAS_UF*UF_HOY))</f>
        <v/>
      </c>
      <c r="L138" s="95" t="str">
        <f aca="false">IF(G138&lt;&gt;"Sí","",(1.25*(DATEDIF(E138,FQ_FECHA+1,"m")+(FQ_FECHA+1-EDATE(E138,DATEDIF(E138,FQ_FECHA+1,"m")))/30)+SUMPRODUCT((ANIOS&lt;=DATEDIF(E138,FQ_FECHA+1,"y"))*(X138+ANIOS-10&gt;0)*INT((X138+ANIOS-10)/3))-(SUMIFS(V_DIAS,V_ID,B138,V_INICIO,"&lt;="&amp;FQ_FECHA)+Y138)))</f>
        <v/>
      </c>
      <c r="M138" s="71" t="str">
        <f aca="false">IF(G138&lt;&gt;"Sí","",ROUND(MAX(0,IF(L138&lt;=0,0,WORKDAY(FQ_FECHA,INT(L138),FERIADOS)-FQ_FECHA+(L138-INT(L138))))*V138,0))</f>
        <v/>
      </c>
      <c r="N138" s="71" t="str">
        <f aca="false">IF(G138&lt;&gt;"Sí","",IF(D138="Obra o faena",0,ROUND(K138*I138,0)))</f>
        <v/>
      </c>
      <c r="O138" s="71" t="str">
        <f aca="false">IF(G138&lt;&gt;"Sí","",IF(OR(D138="Obra o faena",FQ_AVISO="Sí"),0,ROUND(K138,0)))</f>
        <v/>
      </c>
      <c r="P138" s="71" t="str">
        <f aca="false">IF(G138&lt;&gt;"Sí","",IF(AND(IMPUTAR_AFC="Sí",N138&gt;0),-MIN(N138,ROUND(AFC_IMPUTABLE_PCT*MIN(W138,TOPE_AFC_UF*UF_HOY)*DATEDIF(E138,FQ_FECHA+1,"m"),0)),0))</f>
        <v/>
      </c>
      <c r="Q138" s="85" t="str">
        <f aca="false">IF(G138&lt;&gt;"Sí","",M138+N138+O138+P138)</f>
        <v/>
      </c>
      <c r="R138" s="85" t="str">
        <f aca="false">IF(G138&lt;&gt;"Sí","",M138)</f>
        <v/>
      </c>
      <c r="S138" s="85" t="str">
        <f aca="false">IF(U138="","",IF(INDEX(CC_ESTADOC,129)="Renovación registrada","",ROUND(MAX(0,IF(U138&lt;=0,0,WORKDAY(F138,INT(U138),FERIADOS)-F138+(U138-INT(U138))))*V138,0)+IF(D138="Obra o faena",ROUND(OBRA_DIAS*K138/30*(DATEDIF(E138,F138+1,"m")+IF(F138+1-EDATE(E138,DATEDIF(E138,F138+1,"m"))&gt;15,1,0)),0),0)))</f>
        <v/>
      </c>
      <c r="T138" s="70" t="str">
        <f aca="false">IF(G138&lt;&gt;"Sí","",IF(D138="Plazo fijo","Despido antes del vencimiento: además existe riesgo de demanda por las remuneraciones hasta el término del plazo",IF(D138="Obra o faena","Al concluir la obra corresponde indemnización de 2,5 días por mes (incluida en la columna S); no IAS",IF(I138=0,"Menos de 1 año: no corresponde IAS (Art. 163)",IF(I138=TOPE_IAS_ANIOS,"IAS en el tope de 11 años","")))))</f>
        <v/>
      </c>
      <c r="U138" s="95" t="str">
        <f aca="false">IF(OR(G138&lt;&gt;"Sí",NOT(ISNUMBER(F138))),"",IF(F138&lt;FQ_FECHA,"",(1.25*(DATEDIF(E138,F138+1,"m")+(F138+1-EDATE(E138,DATEDIF(E138,F138+1,"m")))/30)+SUMPRODUCT((ANIOS&lt;=DATEDIF(E138,F138+1,"y"))*(X138+ANIOS-10&gt;0)*INT((X138+ANIOS-10)/3))-(SUMIFS(V_DIAS,V_ID,B138,V_INICIO,"&lt;="&amp;F138)+Y138))))</f>
        <v/>
      </c>
      <c r="V138" s="71" t="str">
        <f aca="false">IF(G138&lt;&gt;"Sí","",(N(INDEX(T_SUELDO,129))+N(INDEX(T_BONO,129)))/30)</f>
        <v/>
      </c>
      <c r="W138" s="71" t="str">
        <f aca="false">IF(G138&lt;&gt;"Sí","",N(INDEX(T_SUELDO,129))+N(INDEX(T_BONO,129))+IF(LEFT(INDEX(T_GRAT,129)&amp;"",6)="Art. 5",MIN(GRAT_PCT*(N(INDEX(T_SUELDO,129))+N(INDEX(T_BONO,129))),GRAT_TOPE_MES),0))</f>
        <v/>
      </c>
      <c r="X138" s="72" t="str">
        <f aca="false">IF(B138="","",MIN(10,N(INDEX(T_PREV,129))))</f>
        <v/>
      </c>
      <c r="Y138" s="72" t="str">
        <f aca="false">IF(B138="","",N(INDEX(T_VACPREV,129)))</f>
        <v/>
      </c>
      <c r="Z138" s="75" t="str">
        <f aca="false">IF(B138="","",N(INDEX(T_EGRESO,129)))</f>
        <v/>
      </c>
    </row>
    <row r="139" customFormat="false" ht="15" hidden="false" customHeight="false" outlineLevel="0" collapsed="false">
      <c r="B139" s="70" t="str">
        <f aca="false">IFERROR(IF(INDEX(T_ID,130)="","",INDEX(T_ID,130)),"")</f>
        <v/>
      </c>
      <c r="C139" s="70" t="str">
        <f aca="false">IF(B139="","",INDEX(T_NOMBRE,130)&amp;"")</f>
        <v/>
      </c>
      <c r="D139" s="70" t="str">
        <f aca="false">IF(B139="","",INDEX(T_TIPO,130)&amp;"")</f>
        <v/>
      </c>
      <c r="E139" s="75" t="str">
        <f aca="false">IF(B139="","",INDEX(T_INGRESO,130))</f>
        <v/>
      </c>
      <c r="F139" s="75" t="str">
        <f aca="false">IF(B139="","",IF(ISNUMBER(INDEX(CC_VENCE,130)),INDEX(CC_VENCE,130),""))</f>
        <v/>
      </c>
      <c r="G139" s="70" t="str">
        <f aca="false">IF(OR(B139="",NOT(ISNUMBER(E139))),"",IF(AND(E139&lt;=FQ_FECHA,OR(Z139=0,Z139&gt;=FQ_FECHA)),"Sí","No"))</f>
        <v/>
      </c>
      <c r="H139" s="94" t="str">
        <f aca="false">IF(G139&lt;&gt;"Sí","",ROUND((FQ_FECHA+1-E139)/365.25,1))</f>
        <v/>
      </c>
      <c r="I139" s="73" t="str">
        <f aca="false">IF(G139&lt;&gt;"Sí","",IF(DATEDIF(E139,FQ_FECHA+1,"y")&lt;1,0,MIN(TOPE_IAS_ANIOS,DATEDIF(E139,FQ_FECHA+1,"y")+IF(EDATE(E139,12*DATEDIF(E139,FQ_FECHA+1,"y")+6)&lt;FQ_FECHA+1,1,0))))</f>
        <v/>
      </c>
      <c r="J139" s="71" t="str">
        <f aca="false">IF(G139&lt;&gt;"Sí","",W139+N(INDEX(T_COL,130))+N(INDEX(T_MOV,130)))</f>
        <v/>
      </c>
      <c r="K139" s="71" t="str">
        <f aca="false">IF(G139&lt;&gt;"Sí","",MIN(J139,TOPE_IAS_UF*UF_HOY))</f>
        <v/>
      </c>
      <c r="L139" s="95" t="str">
        <f aca="false">IF(G139&lt;&gt;"Sí","",(1.25*(DATEDIF(E139,FQ_FECHA+1,"m")+(FQ_FECHA+1-EDATE(E139,DATEDIF(E139,FQ_FECHA+1,"m")))/30)+SUMPRODUCT((ANIOS&lt;=DATEDIF(E139,FQ_FECHA+1,"y"))*(X139+ANIOS-10&gt;0)*INT((X139+ANIOS-10)/3))-(SUMIFS(V_DIAS,V_ID,B139,V_INICIO,"&lt;="&amp;FQ_FECHA)+Y139)))</f>
        <v/>
      </c>
      <c r="M139" s="71" t="str">
        <f aca="false">IF(G139&lt;&gt;"Sí","",ROUND(MAX(0,IF(L139&lt;=0,0,WORKDAY(FQ_FECHA,INT(L139),FERIADOS)-FQ_FECHA+(L139-INT(L139))))*V139,0))</f>
        <v/>
      </c>
      <c r="N139" s="71" t="str">
        <f aca="false">IF(G139&lt;&gt;"Sí","",IF(D139="Obra o faena",0,ROUND(K139*I139,0)))</f>
        <v/>
      </c>
      <c r="O139" s="71" t="str">
        <f aca="false">IF(G139&lt;&gt;"Sí","",IF(OR(D139="Obra o faena",FQ_AVISO="Sí"),0,ROUND(K139,0)))</f>
        <v/>
      </c>
      <c r="P139" s="71" t="str">
        <f aca="false">IF(G139&lt;&gt;"Sí","",IF(AND(IMPUTAR_AFC="Sí",N139&gt;0),-MIN(N139,ROUND(AFC_IMPUTABLE_PCT*MIN(W139,TOPE_AFC_UF*UF_HOY)*DATEDIF(E139,FQ_FECHA+1,"m"),0)),0))</f>
        <v/>
      </c>
      <c r="Q139" s="85" t="str">
        <f aca="false">IF(G139&lt;&gt;"Sí","",M139+N139+O139+P139)</f>
        <v/>
      </c>
      <c r="R139" s="85" t="str">
        <f aca="false">IF(G139&lt;&gt;"Sí","",M139)</f>
        <v/>
      </c>
      <c r="S139" s="85" t="str">
        <f aca="false">IF(U139="","",IF(INDEX(CC_ESTADOC,130)="Renovación registrada","",ROUND(MAX(0,IF(U139&lt;=0,0,WORKDAY(F139,INT(U139),FERIADOS)-F139+(U139-INT(U139))))*V139,0)+IF(D139="Obra o faena",ROUND(OBRA_DIAS*K139/30*(DATEDIF(E139,F139+1,"m")+IF(F139+1-EDATE(E139,DATEDIF(E139,F139+1,"m"))&gt;15,1,0)),0),0)))</f>
        <v/>
      </c>
      <c r="T139" s="70" t="str">
        <f aca="false">IF(G139&lt;&gt;"Sí","",IF(D139="Plazo fijo","Despido antes del vencimiento: además existe riesgo de demanda por las remuneraciones hasta el término del plazo",IF(D139="Obra o faena","Al concluir la obra corresponde indemnización de 2,5 días por mes (incluida en la columna S); no IAS",IF(I139=0,"Menos de 1 año: no corresponde IAS (Art. 163)",IF(I139=TOPE_IAS_ANIOS,"IAS en el tope de 11 años","")))))</f>
        <v/>
      </c>
      <c r="U139" s="95" t="str">
        <f aca="false">IF(OR(G139&lt;&gt;"Sí",NOT(ISNUMBER(F139))),"",IF(F139&lt;FQ_FECHA,"",(1.25*(DATEDIF(E139,F139+1,"m")+(F139+1-EDATE(E139,DATEDIF(E139,F139+1,"m")))/30)+SUMPRODUCT((ANIOS&lt;=DATEDIF(E139,F139+1,"y"))*(X139+ANIOS-10&gt;0)*INT((X139+ANIOS-10)/3))-(SUMIFS(V_DIAS,V_ID,B139,V_INICIO,"&lt;="&amp;F139)+Y139))))</f>
        <v/>
      </c>
      <c r="V139" s="71" t="str">
        <f aca="false">IF(G139&lt;&gt;"Sí","",(N(INDEX(T_SUELDO,130))+N(INDEX(T_BONO,130)))/30)</f>
        <v/>
      </c>
      <c r="W139" s="71" t="str">
        <f aca="false">IF(G139&lt;&gt;"Sí","",N(INDEX(T_SUELDO,130))+N(INDEX(T_BONO,130))+IF(LEFT(INDEX(T_GRAT,130)&amp;"",6)="Art. 5",MIN(GRAT_PCT*(N(INDEX(T_SUELDO,130))+N(INDEX(T_BONO,130))),GRAT_TOPE_MES),0))</f>
        <v/>
      </c>
      <c r="X139" s="72" t="str">
        <f aca="false">IF(B139="","",MIN(10,N(INDEX(T_PREV,130))))</f>
        <v/>
      </c>
      <c r="Y139" s="72" t="str">
        <f aca="false">IF(B139="","",N(INDEX(T_VACPREV,130)))</f>
        <v/>
      </c>
      <c r="Z139" s="75" t="str">
        <f aca="false">IF(B139="","",N(INDEX(T_EGRESO,130)))</f>
        <v/>
      </c>
    </row>
    <row r="140" customFormat="false" ht="15" hidden="false" customHeight="false" outlineLevel="0" collapsed="false">
      <c r="B140" s="70" t="str">
        <f aca="false">IFERROR(IF(INDEX(T_ID,131)="","",INDEX(T_ID,131)),"")</f>
        <v/>
      </c>
      <c r="C140" s="70" t="str">
        <f aca="false">IF(B140="","",INDEX(T_NOMBRE,131)&amp;"")</f>
        <v/>
      </c>
      <c r="D140" s="70" t="str">
        <f aca="false">IF(B140="","",INDEX(T_TIPO,131)&amp;"")</f>
        <v/>
      </c>
      <c r="E140" s="75" t="str">
        <f aca="false">IF(B140="","",INDEX(T_INGRESO,131))</f>
        <v/>
      </c>
      <c r="F140" s="75" t="str">
        <f aca="false">IF(B140="","",IF(ISNUMBER(INDEX(CC_VENCE,131)),INDEX(CC_VENCE,131),""))</f>
        <v/>
      </c>
      <c r="G140" s="70" t="str">
        <f aca="false">IF(OR(B140="",NOT(ISNUMBER(E140))),"",IF(AND(E140&lt;=FQ_FECHA,OR(Z140=0,Z140&gt;=FQ_FECHA)),"Sí","No"))</f>
        <v/>
      </c>
      <c r="H140" s="94" t="str">
        <f aca="false">IF(G140&lt;&gt;"Sí","",ROUND((FQ_FECHA+1-E140)/365.25,1))</f>
        <v/>
      </c>
      <c r="I140" s="73" t="str">
        <f aca="false">IF(G140&lt;&gt;"Sí","",IF(DATEDIF(E140,FQ_FECHA+1,"y")&lt;1,0,MIN(TOPE_IAS_ANIOS,DATEDIF(E140,FQ_FECHA+1,"y")+IF(EDATE(E140,12*DATEDIF(E140,FQ_FECHA+1,"y")+6)&lt;FQ_FECHA+1,1,0))))</f>
        <v/>
      </c>
      <c r="J140" s="71" t="str">
        <f aca="false">IF(G140&lt;&gt;"Sí","",W140+N(INDEX(T_COL,131))+N(INDEX(T_MOV,131)))</f>
        <v/>
      </c>
      <c r="K140" s="71" t="str">
        <f aca="false">IF(G140&lt;&gt;"Sí","",MIN(J140,TOPE_IAS_UF*UF_HOY))</f>
        <v/>
      </c>
      <c r="L140" s="95" t="str">
        <f aca="false">IF(G140&lt;&gt;"Sí","",(1.25*(DATEDIF(E140,FQ_FECHA+1,"m")+(FQ_FECHA+1-EDATE(E140,DATEDIF(E140,FQ_FECHA+1,"m")))/30)+SUMPRODUCT((ANIOS&lt;=DATEDIF(E140,FQ_FECHA+1,"y"))*(X140+ANIOS-10&gt;0)*INT((X140+ANIOS-10)/3))-(SUMIFS(V_DIAS,V_ID,B140,V_INICIO,"&lt;="&amp;FQ_FECHA)+Y140)))</f>
        <v/>
      </c>
      <c r="M140" s="71" t="str">
        <f aca="false">IF(G140&lt;&gt;"Sí","",ROUND(MAX(0,IF(L140&lt;=0,0,WORKDAY(FQ_FECHA,INT(L140),FERIADOS)-FQ_FECHA+(L140-INT(L140))))*V140,0))</f>
        <v/>
      </c>
      <c r="N140" s="71" t="str">
        <f aca="false">IF(G140&lt;&gt;"Sí","",IF(D140="Obra o faena",0,ROUND(K140*I140,0)))</f>
        <v/>
      </c>
      <c r="O140" s="71" t="str">
        <f aca="false">IF(G140&lt;&gt;"Sí","",IF(OR(D140="Obra o faena",FQ_AVISO="Sí"),0,ROUND(K140,0)))</f>
        <v/>
      </c>
      <c r="P140" s="71" t="str">
        <f aca="false">IF(G140&lt;&gt;"Sí","",IF(AND(IMPUTAR_AFC="Sí",N140&gt;0),-MIN(N140,ROUND(AFC_IMPUTABLE_PCT*MIN(W140,TOPE_AFC_UF*UF_HOY)*DATEDIF(E140,FQ_FECHA+1,"m"),0)),0))</f>
        <v/>
      </c>
      <c r="Q140" s="85" t="str">
        <f aca="false">IF(G140&lt;&gt;"Sí","",M140+N140+O140+P140)</f>
        <v/>
      </c>
      <c r="R140" s="85" t="str">
        <f aca="false">IF(G140&lt;&gt;"Sí","",M140)</f>
        <v/>
      </c>
      <c r="S140" s="85" t="str">
        <f aca="false">IF(U140="","",IF(INDEX(CC_ESTADOC,131)="Renovación registrada","",ROUND(MAX(0,IF(U140&lt;=0,0,WORKDAY(F140,INT(U140),FERIADOS)-F140+(U140-INT(U140))))*V140,0)+IF(D140="Obra o faena",ROUND(OBRA_DIAS*K140/30*(DATEDIF(E140,F140+1,"m")+IF(F140+1-EDATE(E140,DATEDIF(E140,F140+1,"m"))&gt;15,1,0)),0),0)))</f>
        <v/>
      </c>
      <c r="T140" s="70" t="str">
        <f aca="false">IF(G140&lt;&gt;"Sí","",IF(D140="Plazo fijo","Despido antes del vencimiento: además existe riesgo de demanda por las remuneraciones hasta el término del plazo",IF(D140="Obra o faena","Al concluir la obra corresponde indemnización de 2,5 días por mes (incluida en la columna S); no IAS",IF(I140=0,"Menos de 1 año: no corresponde IAS (Art. 163)",IF(I140=TOPE_IAS_ANIOS,"IAS en el tope de 11 años","")))))</f>
        <v/>
      </c>
      <c r="U140" s="95" t="str">
        <f aca="false">IF(OR(G140&lt;&gt;"Sí",NOT(ISNUMBER(F140))),"",IF(F140&lt;FQ_FECHA,"",(1.25*(DATEDIF(E140,F140+1,"m")+(F140+1-EDATE(E140,DATEDIF(E140,F140+1,"m")))/30)+SUMPRODUCT((ANIOS&lt;=DATEDIF(E140,F140+1,"y"))*(X140+ANIOS-10&gt;0)*INT((X140+ANIOS-10)/3))-(SUMIFS(V_DIAS,V_ID,B140,V_INICIO,"&lt;="&amp;F140)+Y140))))</f>
        <v/>
      </c>
      <c r="V140" s="71" t="str">
        <f aca="false">IF(G140&lt;&gt;"Sí","",(N(INDEX(T_SUELDO,131))+N(INDEX(T_BONO,131)))/30)</f>
        <v/>
      </c>
      <c r="W140" s="71" t="str">
        <f aca="false">IF(G140&lt;&gt;"Sí","",N(INDEX(T_SUELDO,131))+N(INDEX(T_BONO,131))+IF(LEFT(INDEX(T_GRAT,131)&amp;"",6)="Art. 5",MIN(GRAT_PCT*(N(INDEX(T_SUELDO,131))+N(INDEX(T_BONO,131))),GRAT_TOPE_MES),0))</f>
        <v/>
      </c>
      <c r="X140" s="72" t="str">
        <f aca="false">IF(B140="","",MIN(10,N(INDEX(T_PREV,131))))</f>
        <v/>
      </c>
      <c r="Y140" s="72" t="str">
        <f aca="false">IF(B140="","",N(INDEX(T_VACPREV,131)))</f>
        <v/>
      </c>
      <c r="Z140" s="75" t="str">
        <f aca="false">IF(B140="","",N(INDEX(T_EGRESO,131)))</f>
        <v/>
      </c>
    </row>
    <row r="141" customFormat="false" ht="15" hidden="false" customHeight="false" outlineLevel="0" collapsed="false">
      <c r="B141" s="70" t="str">
        <f aca="false">IFERROR(IF(INDEX(T_ID,132)="","",INDEX(T_ID,132)),"")</f>
        <v/>
      </c>
      <c r="C141" s="70" t="str">
        <f aca="false">IF(B141="","",INDEX(T_NOMBRE,132)&amp;"")</f>
        <v/>
      </c>
      <c r="D141" s="70" t="str">
        <f aca="false">IF(B141="","",INDEX(T_TIPO,132)&amp;"")</f>
        <v/>
      </c>
      <c r="E141" s="75" t="str">
        <f aca="false">IF(B141="","",INDEX(T_INGRESO,132))</f>
        <v/>
      </c>
      <c r="F141" s="75" t="str">
        <f aca="false">IF(B141="","",IF(ISNUMBER(INDEX(CC_VENCE,132)),INDEX(CC_VENCE,132),""))</f>
        <v/>
      </c>
      <c r="G141" s="70" t="str">
        <f aca="false">IF(OR(B141="",NOT(ISNUMBER(E141))),"",IF(AND(E141&lt;=FQ_FECHA,OR(Z141=0,Z141&gt;=FQ_FECHA)),"Sí","No"))</f>
        <v/>
      </c>
      <c r="H141" s="94" t="str">
        <f aca="false">IF(G141&lt;&gt;"Sí","",ROUND((FQ_FECHA+1-E141)/365.25,1))</f>
        <v/>
      </c>
      <c r="I141" s="73" t="str">
        <f aca="false">IF(G141&lt;&gt;"Sí","",IF(DATEDIF(E141,FQ_FECHA+1,"y")&lt;1,0,MIN(TOPE_IAS_ANIOS,DATEDIF(E141,FQ_FECHA+1,"y")+IF(EDATE(E141,12*DATEDIF(E141,FQ_FECHA+1,"y")+6)&lt;FQ_FECHA+1,1,0))))</f>
        <v/>
      </c>
      <c r="J141" s="71" t="str">
        <f aca="false">IF(G141&lt;&gt;"Sí","",W141+N(INDEX(T_COL,132))+N(INDEX(T_MOV,132)))</f>
        <v/>
      </c>
      <c r="K141" s="71" t="str">
        <f aca="false">IF(G141&lt;&gt;"Sí","",MIN(J141,TOPE_IAS_UF*UF_HOY))</f>
        <v/>
      </c>
      <c r="L141" s="95" t="str">
        <f aca="false">IF(G141&lt;&gt;"Sí","",(1.25*(DATEDIF(E141,FQ_FECHA+1,"m")+(FQ_FECHA+1-EDATE(E141,DATEDIF(E141,FQ_FECHA+1,"m")))/30)+SUMPRODUCT((ANIOS&lt;=DATEDIF(E141,FQ_FECHA+1,"y"))*(X141+ANIOS-10&gt;0)*INT((X141+ANIOS-10)/3))-(SUMIFS(V_DIAS,V_ID,B141,V_INICIO,"&lt;="&amp;FQ_FECHA)+Y141)))</f>
        <v/>
      </c>
      <c r="M141" s="71" t="str">
        <f aca="false">IF(G141&lt;&gt;"Sí","",ROUND(MAX(0,IF(L141&lt;=0,0,WORKDAY(FQ_FECHA,INT(L141),FERIADOS)-FQ_FECHA+(L141-INT(L141))))*V141,0))</f>
        <v/>
      </c>
      <c r="N141" s="71" t="str">
        <f aca="false">IF(G141&lt;&gt;"Sí","",IF(D141="Obra o faena",0,ROUND(K141*I141,0)))</f>
        <v/>
      </c>
      <c r="O141" s="71" t="str">
        <f aca="false">IF(G141&lt;&gt;"Sí","",IF(OR(D141="Obra o faena",FQ_AVISO="Sí"),0,ROUND(K141,0)))</f>
        <v/>
      </c>
      <c r="P141" s="71" t="str">
        <f aca="false">IF(G141&lt;&gt;"Sí","",IF(AND(IMPUTAR_AFC="Sí",N141&gt;0),-MIN(N141,ROUND(AFC_IMPUTABLE_PCT*MIN(W141,TOPE_AFC_UF*UF_HOY)*DATEDIF(E141,FQ_FECHA+1,"m"),0)),0))</f>
        <v/>
      </c>
      <c r="Q141" s="85" t="str">
        <f aca="false">IF(G141&lt;&gt;"Sí","",M141+N141+O141+P141)</f>
        <v/>
      </c>
      <c r="R141" s="85" t="str">
        <f aca="false">IF(G141&lt;&gt;"Sí","",M141)</f>
        <v/>
      </c>
      <c r="S141" s="85" t="str">
        <f aca="false">IF(U141="","",IF(INDEX(CC_ESTADOC,132)="Renovación registrada","",ROUND(MAX(0,IF(U141&lt;=0,0,WORKDAY(F141,INT(U141),FERIADOS)-F141+(U141-INT(U141))))*V141,0)+IF(D141="Obra o faena",ROUND(OBRA_DIAS*K141/30*(DATEDIF(E141,F141+1,"m")+IF(F141+1-EDATE(E141,DATEDIF(E141,F141+1,"m"))&gt;15,1,0)),0),0)))</f>
        <v/>
      </c>
      <c r="T141" s="70" t="str">
        <f aca="false">IF(G141&lt;&gt;"Sí","",IF(D141="Plazo fijo","Despido antes del vencimiento: además existe riesgo de demanda por las remuneraciones hasta el término del plazo",IF(D141="Obra o faena","Al concluir la obra corresponde indemnización de 2,5 días por mes (incluida en la columna S); no IAS",IF(I141=0,"Menos de 1 año: no corresponde IAS (Art. 163)",IF(I141=TOPE_IAS_ANIOS,"IAS en el tope de 11 años","")))))</f>
        <v/>
      </c>
      <c r="U141" s="95" t="str">
        <f aca="false">IF(OR(G141&lt;&gt;"Sí",NOT(ISNUMBER(F141))),"",IF(F141&lt;FQ_FECHA,"",(1.25*(DATEDIF(E141,F141+1,"m")+(F141+1-EDATE(E141,DATEDIF(E141,F141+1,"m")))/30)+SUMPRODUCT((ANIOS&lt;=DATEDIF(E141,F141+1,"y"))*(X141+ANIOS-10&gt;0)*INT((X141+ANIOS-10)/3))-(SUMIFS(V_DIAS,V_ID,B141,V_INICIO,"&lt;="&amp;F141)+Y141))))</f>
        <v/>
      </c>
      <c r="V141" s="71" t="str">
        <f aca="false">IF(G141&lt;&gt;"Sí","",(N(INDEX(T_SUELDO,132))+N(INDEX(T_BONO,132)))/30)</f>
        <v/>
      </c>
      <c r="W141" s="71" t="str">
        <f aca="false">IF(G141&lt;&gt;"Sí","",N(INDEX(T_SUELDO,132))+N(INDEX(T_BONO,132))+IF(LEFT(INDEX(T_GRAT,132)&amp;"",6)="Art. 5",MIN(GRAT_PCT*(N(INDEX(T_SUELDO,132))+N(INDEX(T_BONO,132))),GRAT_TOPE_MES),0))</f>
        <v/>
      </c>
      <c r="X141" s="72" t="str">
        <f aca="false">IF(B141="","",MIN(10,N(INDEX(T_PREV,132))))</f>
        <v/>
      </c>
      <c r="Y141" s="72" t="str">
        <f aca="false">IF(B141="","",N(INDEX(T_VACPREV,132)))</f>
        <v/>
      </c>
      <c r="Z141" s="75" t="str">
        <f aca="false">IF(B141="","",N(INDEX(T_EGRESO,132)))</f>
        <v/>
      </c>
    </row>
    <row r="142" customFormat="false" ht="15" hidden="false" customHeight="false" outlineLevel="0" collapsed="false">
      <c r="B142" s="70" t="str">
        <f aca="false">IFERROR(IF(INDEX(T_ID,133)="","",INDEX(T_ID,133)),"")</f>
        <v/>
      </c>
      <c r="C142" s="70" t="str">
        <f aca="false">IF(B142="","",INDEX(T_NOMBRE,133)&amp;"")</f>
        <v/>
      </c>
      <c r="D142" s="70" t="str">
        <f aca="false">IF(B142="","",INDEX(T_TIPO,133)&amp;"")</f>
        <v/>
      </c>
      <c r="E142" s="75" t="str">
        <f aca="false">IF(B142="","",INDEX(T_INGRESO,133))</f>
        <v/>
      </c>
      <c r="F142" s="75" t="str">
        <f aca="false">IF(B142="","",IF(ISNUMBER(INDEX(CC_VENCE,133)),INDEX(CC_VENCE,133),""))</f>
        <v/>
      </c>
      <c r="G142" s="70" t="str">
        <f aca="false">IF(OR(B142="",NOT(ISNUMBER(E142))),"",IF(AND(E142&lt;=FQ_FECHA,OR(Z142=0,Z142&gt;=FQ_FECHA)),"Sí","No"))</f>
        <v/>
      </c>
      <c r="H142" s="94" t="str">
        <f aca="false">IF(G142&lt;&gt;"Sí","",ROUND((FQ_FECHA+1-E142)/365.25,1))</f>
        <v/>
      </c>
      <c r="I142" s="73" t="str">
        <f aca="false">IF(G142&lt;&gt;"Sí","",IF(DATEDIF(E142,FQ_FECHA+1,"y")&lt;1,0,MIN(TOPE_IAS_ANIOS,DATEDIF(E142,FQ_FECHA+1,"y")+IF(EDATE(E142,12*DATEDIF(E142,FQ_FECHA+1,"y")+6)&lt;FQ_FECHA+1,1,0))))</f>
        <v/>
      </c>
      <c r="J142" s="71" t="str">
        <f aca="false">IF(G142&lt;&gt;"Sí","",W142+N(INDEX(T_COL,133))+N(INDEX(T_MOV,133)))</f>
        <v/>
      </c>
      <c r="K142" s="71" t="str">
        <f aca="false">IF(G142&lt;&gt;"Sí","",MIN(J142,TOPE_IAS_UF*UF_HOY))</f>
        <v/>
      </c>
      <c r="L142" s="95" t="str">
        <f aca="false">IF(G142&lt;&gt;"Sí","",(1.25*(DATEDIF(E142,FQ_FECHA+1,"m")+(FQ_FECHA+1-EDATE(E142,DATEDIF(E142,FQ_FECHA+1,"m")))/30)+SUMPRODUCT((ANIOS&lt;=DATEDIF(E142,FQ_FECHA+1,"y"))*(X142+ANIOS-10&gt;0)*INT((X142+ANIOS-10)/3))-(SUMIFS(V_DIAS,V_ID,B142,V_INICIO,"&lt;="&amp;FQ_FECHA)+Y142)))</f>
        <v/>
      </c>
      <c r="M142" s="71" t="str">
        <f aca="false">IF(G142&lt;&gt;"Sí","",ROUND(MAX(0,IF(L142&lt;=0,0,WORKDAY(FQ_FECHA,INT(L142),FERIADOS)-FQ_FECHA+(L142-INT(L142))))*V142,0))</f>
        <v/>
      </c>
      <c r="N142" s="71" t="str">
        <f aca="false">IF(G142&lt;&gt;"Sí","",IF(D142="Obra o faena",0,ROUND(K142*I142,0)))</f>
        <v/>
      </c>
      <c r="O142" s="71" t="str">
        <f aca="false">IF(G142&lt;&gt;"Sí","",IF(OR(D142="Obra o faena",FQ_AVISO="Sí"),0,ROUND(K142,0)))</f>
        <v/>
      </c>
      <c r="P142" s="71" t="str">
        <f aca="false">IF(G142&lt;&gt;"Sí","",IF(AND(IMPUTAR_AFC="Sí",N142&gt;0),-MIN(N142,ROUND(AFC_IMPUTABLE_PCT*MIN(W142,TOPE_AFC_UF*UF_HOY)*DATEDIF(E142,FQ_FECHA+1,"m"),0)),0))</f>
        <v/>
      </c>
      <c r="Q142" s="85" t="str">
        <f aca="false">IF(G142&lt;&gt;"Sí","",M142+N142+O142+P142)</f>
        <v/>
      </c>
      <c r="R142" s="85" t="str">
        <f aca="false">IF(G142&lt;&gt;"Sí","",M142)</f>
        <v/>
      </c>
      <c r="S142" s="85" t="str">
        <f aca="false">IF(U142="","",IF(INDEX(CC_ESTADOC,133)="Renovación registrada","",ROUND(MAX(0,IF(U142&lt;=0,0,WORKDAY(F142,INT(U142),FERIADOS)-F142+(U142-INT(U142))))*V142,0)+IF(D142="Obra o faena",ROUND(OBRA_DIAS*K142/30*(DATEDIF(E142,F142+1,"m")+IF(F142+1-EDATE(E142,DATEDIF(E142,F142+1,"m"))&gt;15,1,0)),0),0)))</f>
        <v/>
      </c>
      <c r="T142" s="70" t="str">
        <f aca="false">IF(G142&lt;&gt;"Sí","",IF(D142="Plazo fijo","Despido antes del vencimiento: además existe riesgo de demanda por las remuneraciones hasta el término del plazo",IF(D142="Obra o faena","Al concluir la obra corresponde indemnización de 2,5 días por mes (incluida en la columna S); no IAS",IF(I142=0,"Menos de 1 año: no corresponde IAS (Art. 163)",IF(I142=TOPE_IAS_ANIOS,"IAS en el tope de 11 años","")))))</f>
        <v/>
      </c>
      <c r="U142" s="95" t="str">
        <f aca="false">IF(OR(G142&lt;&gt;"Sí",NOT(ISNUMBER(F142))),"",IF(F142&lt;FQ_FECHA,"",(1.25*(DATEDIF(E142,F142+1,"m")+(F142+1-EDATE(E142,DATEDIF(E142,F142+1,"m")))/30)+SUMPRODUCT((ANIOS&lt;=DATEDIF(E142,F142+1,"y"))*(X142+ANIOS-10&gt;0)*INT((X142+ANIOS-10)/3))-(SUMIFS(V_DIAS,V_ID,B142,V_INICIO,"&lt;="&amp;F142)+Y142))))</f>
        <v/>
      </c>
      <c r="V142" s="71" t="str">
        <f aca="false">IF(G142&lt;&gt;"Sí","",(N(INDEX(T_SUELDO,133))+N(INDEX(T_BONO,133)))/30)</f>
        <v/>
      </c>
      <c r="W142" s="71" t="str">
        <f aca="false">IF(G142&lt;&gt;"Sí","",N(INDEX(T_SUELDO,133))+N(INDEX(T_BONO,133))+IF(LEFT(INDEX(T_GRAT,133)&amp;"",6)="Art. 5",MIN(GRAT_PCT*(N(INDEX(T_SUELDO,133))+N(INDEX(T_BONO,133))),GRAT_TOPE_MES),0))</f>
        <v/>
      </c>
      <c r="X142" s="72" t="str">
        <f aca="false">IF(B142="","",MIN(10,N(INDEX(T_PREV,133))))</f>
        <v/>
      </c>
      <c r="Y142" s="72" t="str">
        <f aca="false">IF(B142="","",N(INDEX(T_VACPREV,133)))</f>
        <v/>
      </c>
      <c r="Z142" s="75" t="str">
        <f aca="false">IF(B142="","",N(INDEX(T_EGRESO,133)))</f>
        <v/>
      </c>
    </row>
    <row r="143" customFormat="false" ht="15" hidden="false" customHeight="false" outlineLevel="0" collapsed="false">
      <c r="B143" s="70" t="str">
        <f aca="false">IFERROR(IF(INDEX(T_ID,134)="","",INDEX(T_ID,134)),"")</f>
        <v/>
      </c>
      <c r="C143" s="70" t="str">
        <f aca="false">IF(B143="","",INDEX(T_NOMBRE,134)&amp;"")</f>
        <v/>
      </c>
      <c r="D143" s="70" t="str">
        <f aca="false">IF(B143="","",INDEX(T_TIPO,134)&amp;"")</f>
        <v/>
      </c>
      <c r="E143" s="75" t="str">
        <f aca="false">IF(B143="","",INDEX(T_INGRESO,134))</f>
        <v/>
      </c>
      <c r="F143" s="75" t="str">
        <f aca="false">IF(B143="","",IF(ISNUMBER(INDEX(CC_VENCE,134)),INDEX(CC_VENCE,134),""))</f>
        <v/>
      </c>
      <c r="G143" s="70" t="str">
        <f aca="false">IF(OR(B143="",NOT(ISNUMBER(E143))),"",IF(AND(E143&lt;=FQ_FECHA,OR(Z143=0,Z143&gt;=FQ_FECHA)),"Sí","No"))</f>
        <v/>
      </c>
      <c r="H143" s="94" t="str">
        <f aca="false">IF(G143&lt;&gt;"Sí","",ROUND((FQ_FECHA+1-E143)/365.25,1))</f>
        <v/>
      </c>
      <c r="I143" s="73" t="str">
        <f aca="false">IF(G143&lt;&gt;"Sí","",IF(DATEDIF(E143,FQ_FECHA+1,"y")&lt;1,0,MIN(TOPE_IAS_ANIOS,DATEDIF(E143,FQ_FECHA+1,"y")+IF(EDATE(E143,12*DATEDIF(E143,FQ_FECHA+1,"y")+6)&lt;FQ_FECHA+1,1,0))))</f>
        <v/>
      </c>
      <c r="J143" s="71" t="str">
        <f aca="false">IF(G143&lt;&gt;"Sí","",W143+N(INDEX(T_COL,134))+N(INDEX(T_MOV,134)))</f>
        <v/>
      </c>
      <c r="K143" s="71" t="str">
        <f aca="false">IF(G143&lt;&gt;"Sí","",MIN(J143,TOPE_IAS_UF*UF_HOY))</f>
        <v/>
      </c>
      <c r="L143" s="95" t="str">
        <f aca="false">IF(G143&lt;&gt;"Sí","",(1.25*(DATEDIF(E143,FQ_FECHA+1,"m")+(FQ_FECHA+1-EDATE(E143,DATEDIF(E143,FQ_FECHA+1,"m")))/30)+SUMPRODUCT((ANIOS&lt;=DATEDIF(E143,FQ_FECHA+1,"y"))*(X143+ANIOS-10&gt;0)*INT((X143+ANIOS-10)/3))-(SUMIFS(V_DIAS,V_ID,B143,V_INICIO,"&lt;="&amp;FQ_FECHA)+Y143)))</f>
        <v/>
      </c>
      <c r="M143" s="71" t="str">
        <f aca="false">IF(G143&lt;&gt;"Sí","",ROUND(MAX(0,IF(L143&lt;=0,0,WORKDAY(FQ_FECHA,INT(L143),FERIADOS)-FQ_FECHA+(L143-INT(L143))))*V143,0))</f>
        <v/>
      </c>
      <c r="N143" s="71" t="str">
        <f aca="false">IF(G143&lt;&gt;"Sí","",IF(D143="Obra o faena",0,ROUND(K143*I143,0)))</f>
        <v/>
      </c>
      <c r="O143" s="71" t="str">
        <f aca="false">IF(G143&lt;&gt;"Sí","",IF(OR(D143="Obra o faena",FQ_AVISO="Sí"),0,ROUND(K143,0)))</f>
        <v/>
      </c>
      <c r="P143" s="71" t="str">
        <f aca="false">IF(G143&lt;&gt;"Sí","",IF(AND(IMPUTAR_AFC="Sí",N143&gt;0),-MIN(N143,ROUND(AFC_IMPUTABLE_PCT*MIN(W143,TOPE_AFC_UF*UF_HOY)*DATEDIF(E143,FQ_FECHA+1,"m"),0)),0))</f>
        <v/>
      </c>
      <c r="Q143" s="85" t="str">
        <f aca="false">IF(G143&lt;&gt;"Sí","",M143+N143+O143+P143)</f>
        <v/>
      </c>
      <c r="R143" s="85" t="str">
        <f aca="false">IF(G143&lt;&gt;"Sí","",M143)</f>
        <v/>
      </c>
      <c r="S143" s="85" t="str">
        <f aca="false">IF(U143="","",IF(INDEX(CC_ESTADOC,134)="Renovación registrada","",ROUND(MAX(0,IF(U143&lt;=0,0,WORKDAY(F143,INT(U143),FERIADOS)-F143+(U143-INT(U143))))*V143,0)+IF(D143="Obra o faena",ROUND(OBRA_DIAS*K143/30*(DATEDIF(E143,F143+1,"m")+IF(F143+1-EDATE(E143,DATEDIF(E143,F143+1,"m"))&gt;15,1,0)),0),0)))</f>
        <v/>
      </c>
      <c r="T143" s="70" t="str">
        <f aca="false">IF(G143&lt;&gt;"Sí","",IF(D143="Plazo fijo","Despido antes del vencimiento: además existe riesgo de demanda por las remuneraciones hasta el término del plazo",IF(D143="Obra o faena","Al concluir la obra corresponde indemnización de 2,5 días por mes (incluida en la columna S); no IAS",IF(I143=0,"Menos de 1 año: no corresponde IAS (Art. 163)",IF(I143=TOPE_IAS_ANIOS,"IAS en el tope de 11 años","")))))</f>
        <v/>
      </c>
      <c r="U143" s="95" t="str">
        <f aca="false">IF(OR(G143&lt;&gt;"Sí",NOT(ISNUMBER(F143))),"",IF(F143&lt;FQ_FECHA,"",(1.25*(DATEDIF(E143,F143+1,"m")+(F143+1-EDATE(E143,DATEDIF(E143,F143+1,"m")))/30)+SUMPRODUCT((ANIOS&lt;=DATEDIF(E143,F143+1,"y"))*(X143+ANIOS-10&gt;0)*INT((X143+ANIOS-10)/3))-(SUMIFS(V_DIAS,V_ID,B143,V_INICIO,"&lt;="&amp;F143)+Y143))))</f>
        <v/>
      </c>
      <c r="V143" s="71" t="str">
        <f aca="false">IF(G143&lt;&gt;"Sí","",(N(INDEX(T_SUELDO,134))+N(INDEX(T_BONO,134)))/30)</f>
        <v/>
      </c>
      <c r="W143" s="71" t="str">
        <f aca="false">IF(G143&lt;&gt;"Sí","",N(INDEX(T_SUELDO,134))+N(INDEX(T_BONO,134))+IF(LEFT(INDEX(T_GRAT,134)&amp;"",6)="Art. 5",MIN(GRAT_PCT*(N(INDEX(T_SUELDO,134))+N(INDEX(T_BONO,134))),GRAT_TOPE_MES),0))</f>
        <v/>
      </c>
      <c r="X143" s="72" t="str">
        <f aca="false">IF(B143="","",MIN(10,N(INDEX(T_PREV,134))))</f>
        <v/>
      </c>
      <c r="Y143" s="72" t="str">
        <f aca="false">IF(B143="","",N(INDEX(T_VACPREV,134)))</f>
        <v/>
      </c>
      <c r="Z143" s="75" t="str">
        <f aca="false">IF(B143="","",N(INDEX(T_EGRESO,134)))</f>
        <v/>
      </c>
    </row>
    <row r="144" customFormat="false" ht="15" hidden="false" customHeight="false" outlineLevel="0" collapsed="false">
      <c r="B144" s="70" t="str">
        <f aca="false">IFERROR(IF(INDEX(T_ID,135)="","",INDEX(T_ID,135)),"")</f>
        <v/>
      </c>
      <c r="C144" s="70" t="str">
        <f aca="false">IF(B144="","",INDEX(T_NOMBRE,135)&amp;"")</f>
        <v/>
      </c>
      <c r="D144" s="70" t="str">
        <f aca="false">IF(B144="","",INDEX(T_TIPO,135)&amp;"")</f>
        <v/>
      </c>
      <c r="E144" s="75" t="str">
        <f aca="false">IF(B144="","",INDEX(T_INGRESO,135))</f>
        <v/>
      </c>
      <c r="F144" s="75" t="str">
        <f aca="false">IF(B144="","",IF(ISNUMBER(INDEX(CC_VENCE,135)),INDEX(CC_VENCE,135),""))</f>
        <v/>
      </c>
      <c r="G144" s="70" t="str">
        <f aca="false">IF(OR(B144="",NOT(ISNUMBER(E144))),"",IF(AND(E144&lt;=FQ_FECHA,OR(Z144=0,Z144&gt;=FQ_FECHA)),"Sí","No"))</f>
        <v/>
      </c>
      <c r="H144" s="94" t="str">
        <f aca="false">IF(G144&lt;&gt;"Sí","",ROUND((FQ_FECHA+1-E144)/365.25,1))</f>
        <v/>
      </c>
      <c r="I144" s="73" t="str">
        <f aca="false">IF(G144&lt;&gt;"Sí","",IF(DATEDIF(E144,FQ_FECHA+1,"y")&lt;1,0,MIN(TOPE_IAS_ANIOS,DATEDIF(E144,FQ_FECHA+1,"y")+IF(EDATE(E144,12*DATEDIF(E144,FQ_FECHA+1,"y")+6)&lt;FQ_FECHA+1,1,0))))</f>
        <v/>
      </c>
      <c r="J144" s="71" t="str">
        <f aca="false">IF(G144&lt;&gt;"Sí","",W144+N(INDEX(T_COL,135))+N(INDEX(T_MOV,135)))</f>
        <v/>
      </c>
      <c r="K144" s="71" t="str">
        <f aca="false">IF(G144&lt;&gt;"Sí","",MIN(J144,TOPE_IAS_UF*UF_HOY))</f>
        <v/>
      </c>
      <c r="L144" s="95" t="str">
        <f aca="false">IF(G144&lt;&gt;"Sí","",(1.25*(DATEDIF(E144,FQ_FECHA+1,"m")+(FQ_FECHA+1-EDATE(E144,DATEDIF(E144,FQ_FECHA+1,"m")))/30)+SUMPRODUCT((ANIOS&lt;=DATEDIF(E144,FQ_FECHA+1,"y"))*(X144+ANIOS-10&gt;0)*INT((X144+ANIOS-10)/3))-(SUMIFS(V_DIAS,V_ID,B144,V_INICIO,"&lt;="&amp;FQ_FECHA)+Y144)))</f>
        <v/>
      </c>
      <c r="M144" s="71" t="str">
        <f aca="false">IF(G144&lt;&gt;"Sí","",ROUND(MAX(0,IF(L144&lt;=0,0,WORKDAY(FQ_FECHA,INT(L144),FERIADOS)-FQ_FECHA+(L144-INT(L144))))*V144,0))</f>
        <v/>
      </c>
      <c r="N144" s="71" t="str">
        <f aca="false">IF(G144&lt;&gt;"Sí","",IF(D144="Obra o faena",0,ROUND(K144*I144,0)))</f>
        <v/>
      </c>
      <c r="O144" s="71" t="str">
        <f aca="false">IF(G144&lt;&gt;"Sí","",IF(OR(D144="Obra o faena",FQ_AVISO="Sí"),0,ROUND(K144,0)))</f>
        <v/>
      </c>
      <c r="P144" s="71" t="str">
        <f aca="false">IF(G144&lt;&gt;"Sí","",IF(AND(IMPUTAR_AFC="Sí",N144&gt;0),-MIN(N144,ROUND(AFC_IMPUTABLE_PCT*MIN(W144,TOPE_AFC_UF*UF_HOY)*DATEDIF(E144,FQ_FECHA+1,"m"),0)),0))</f>
        <v/>
      </c>
      <c r="Q144" s="85" t="str">
        <f aca="false">IF(G144&lt;&gt;"Sí","",M144+N144+O144+P144)</f>
        <v/>
      </c>
      <c r="R144" s="85" t="str">
        <f aca="false">IF(G144&lt;&gt;"Sí","",M144)</f>
        <v/>
      </c>
      <c r="S144" s="85" t="str">
        <f aca="false">IF(U144="","",IF(INDEX(CC_ESTADOC,135)="Renovación registrada","",ROUND(MAX(0,IF(U144&lt;=0,0,WORKDAY(F144,INT(U144),FERIADOS)-F144+(U144-INT(U144))))*V144,0)+IF(D144="Obra o faena",ROUND(OBRA_DIAS*K144/30*(DATEDIF(E144,F144+1,"m")+IF(F144+1-EDATE(E144,DATEDIF(E144,F144+1,"m"))&gt;15,1,0)),0),0)))</f>
        <v/>
      </c>
      <c r="T144" s="70" t="str">
        <f aca="false">IF(G144&lt;&gt;"Sí","",IF(D144="Plazo fijo","Despido antes del vencimiento: además existe riesgo de demanda por las remuneraciones hasta el término del plazo",IF(D144="Obra o faena","Al concluir la obra corresponde indemnización de 2,5 días por mes (incluida en la columna S); no IAS",IF(I144=0,"Menos de 1 año: no corresponde IAS (Art. 163)",IF(I144=TOPE_IAS_ANIOS,"IAS en el tope de 11 años","")))))</f>
        <v/>
      </c>
      <c r="U144" s="95" t="str">
        <f aca="false">IF(OR(G144&lt;&gt;"Sí",NOT(ISNUMBER(F144))),"",IF(F144&lt;FQ_FECHA,"",(1.25*(DATEDIF(E144,F144+1,"m")+(F144+1-EDATE(E144,DATEDIF(E144,F144+1,"m")))/30)+SUMPRODUCT((ANIOS&lt;=DATEDIF(E144,F144+1,"y"))*(X144+ANIOS-10&gt;0)*INT((X144+ANIOS-10)/3))-(SUMIFS(V_DIAS,V_ID,B144,V_INICIO,"&lt;="&amp;F144)+Y144))))</f>
        <v/>
      </c>
      <c r="V144" s="71" t="str">
        <f aca="false">IF(G144&lt;&gt;"Sí","",(N(INDEX(T_SUELDO,135))+N(INDEX(T_BONO,135)))/30)</f>
        <v/>
      </c>
      <c r="W144" s="71" t="str">
        <f aca="false">IF(G144&lt;&gt;"Sí","",N(INDEX(T_SUELDO,135))+N(INDEX(T_BONO,135))+IF(LEFT(INDEX(T_GRAT,135)&amp;"",6)="Art. 5",MIN(GRAT_PCT*(N(INDEX(T_SUELDO,135))+N(INDEX(T_BONO,135))),GRAT_TOPE_MES),0))</f>
        <v/>
      </c>
      <c r="X144" s="72" t="str">
        <f aca="false">IF(B144="","",MIN(10,N(INDEX(T_PREV,135))))</f>
        <v/>
      </c>
      <c r="Y144" s="72" t="str">
        <f aca="false">IF(B144="","",N(INDEX(T_VACPREV,135)))</f>
        <v/>
      </c>
      <c r="Z144" s="75" t="str">
        <f aca="false">IF(B144="","",N(INDEX(T_EGRESO,135)))</f>
        <v/>
      </c>
    </row>
    <row r="145" customFormat="false" ht="15" hidden="false" customHeight="false" outlineLevel="0" collapsed="false">
      <c r="B145" s="70" t="str">
        <f aca="false">IFERROR(IF(INDEX(T_ID,136)="","",INDEX(T_ID,136)),"")</f>
        <v/>
      </c>
      <c r="C145" s="70" t="str">
        <f aca="false">IF(B145="","",INDEX(T_NOMBRE,136)&amp;"")</f>
        <v/>
      </c>
      <c r="D145" s="70" t="str">
        <f aca="false">IF(B145="","",INDEX(T_TIPO,136)&amp;"")</f>
        <v/>
      </c>
      <c r="E145" s="75" t="str">
        <f aca="false">IF(B145="","",INDEX(T_INGRESO,136))</f>
        <v/>
      </c>
      <c r="F145" s="75" t="str">
        <f aca="false">IF(B145="","",IF(ISNUMBER(INDEX(CC_VENCE,136)),INDEX(CC_VENCE,136),""))</f>
        <v/>
      </c>
      <c r="G145" s="70" t="str">
        <f aca="false">IF(OR(B145="",NOT(ISNUMBER(E145))),"",IF(AND(E145&lt;=FQ_FECHA,OR(Z145=0,Z145&gt;=FQ_FECHA)),"Sí","No"))</f>
        <v/>
      </c>
      <c r="H145" s="94" t="str">
        <f aca="false">IF(G145&lt;&gt;"Sí","",ROUND((FQ_FECHA+1-E145)/365.25,1))</f>
        <v/>
      </c>
      <c r="I145" s="73" t="str">
        <f aca="false">IF(G145&lt;&gt;"Sí","",IF(DATEDIF(E145,FQ_FECHA+1,"y")&lt;1,0,MIN(TOPE_IAS_ANIOS,DATEDIF(E145,FQ_FECHA+1,"y")+IF(EDATE(E145,12*DATEDIF(E145,FQ_FECHA+1,"y")+6)&lt;FQ_FECHA+1,1,0))))</f>
        <v/>
      </c>
      <c r="J145" s="71" t="str">
        <f aca="false">IF(G145&lt;&gt;"Sí","",W145+N(INDEX(T_COL,136))+N(INDEX(T_MOV,136)))</f>
        <v/>
      </c>
      <c r="K145" s="71" t="str">
        <f aca="false">IF(G145&lt;&gt;"Sí","",MIN(J145,TOPE_IAS_UF*UF_HOY))</f>
        <v/>
      </c>
      <c r="L145" s="95" t="str">
        <f aca="false">IF(G145&lt;&gt;"Sí","",(1.25*(DATEDIF(E145,FQ_FECHA+1,"m")+(FQ_FECHA+1-EDATE(E145,DATEDIF(E145,FQ_FECHA+1,"m")))/30)+SUMPRODUCT((ANIOS&lt;=DATEDIF(E145,FQ_FECHA+1,"y"))*(X145+ANIOS-10&gt;0)*INT((X145+ANIOS-10)/3))-(SUMIFS(V_DIAS,V_ID,B145,V_INICIO,"&lt;="&amp;FQ_FECHA)+Y145)))</f>
        <v/>
      </c>
      <c r="M145" s="71" t="str">
        <f aca="false">IF(G145&lt;&gt;"Sí","",ROUND(MAX(0,IF(L145&lt;=0,0,WORKDAY(FQ_FECHA,INT(L145),FERIADOS)-FQ_FECHA+(L145-INT(L145))))*V145,0))</f>
        <v/>
      </c>
      <c r="N145" s="71" t="str">
        <f aca="false">IF(G145&lt;&gt;"Sí","",IF(D145="Obra o faena",0,ROUND(K145*I145,0)))</f>
        <v/>
      </c>
      <c r="O145" s="71" t="str">
        <f aca="false">IF(G145&lt;&gt;"Sí","",IF(OR(D145="Obra o faena",FQ_AVISO="Sí"),0,ROUND(K145,0)))</f>
        <v/>
      </c>
      <c r="P145" s="71" t="str">
        <f aca="false">IF(G145&lt;&gt;"Sí","",IF(AND(IMPUTAR_AFC="Sí",N145&gt;0),-MIN(N145,ROUND(AFC_IMPUTABLE_PCT*MIN(W145,TOPE_AFC_UF*UF_HOY)*DATEDIF(E145,FQ_FECHA+1,"m"),0)),0))</f>
        <v/>
      </c>
      <c r="Q145" s="85" t="str">
        <f aca="false">IF(G145&lt;&gt;"Sí","",M145+N145+O145+P145)</f>
        <v/>
      </c>
      <c r="R145" s="85" t="str">
        <f aca="false">IF(G145&lt;&gt;"Sí","",M145)</f>
        <v/>
      </c>
      <c r="S145" s="85" t="str">
        <f aca="false">IF(U145="","",IF(INDEX(CC_ESTADOC,136)="Renovación registrada","",ROUND(MAX(0,IF(U145&lt;=0,0,WORKDAY(F145,INT(U145),FERIADOS)-F145+(U145-INT(U145))))*V145,0)+IF(D145="Obra o faena",ROUND(OBRA_DIAS*K145/30*(DATEDIF(E145,F145+1,"m")+IF(F145+1-EDATE(E145,DATEDIF(E145,F145+1,"m"))&gt;15,1,0)),0),0)))</f>
        <v/>
      </c>
      <c r="T145" s="70" t="str">
        <f aca="false">IF(G145&lt;&gt;"Sí","",IF(D145="Plazo fijo","Despido antes del vencimiento: además existe riesgo de demanda por las remuneraciones hasta el término del plazo",IF(D145="Obra o faena","Al concluir la obra corresponde indemnización de 2,5 días por mes (incluida en la columna S); no IAS",IF(I145=0,"Menos de 1 año: no corresponde IAS (Art. 163)",IF(I145=TOPE_IAS_ANIOS,"IAS en el tope de 11 años","")))))</f>
        <v/>
      </c>
      <c r="U145" s="95" t="str">
        <f aca="false">IF(OR(G145&lt;&gt;"Sí",NOT(ISNUMBER(F145))),"",IF(F145&lt;FQ_FECHA,"",(1.25*(DATEDIF(E145,F145+1,"m")+(F145+1-EDATE(E145,DATEDIF(E145,F145+1,"m")))/30)+SUMPRODUCT((ANIOS&lt;=DATEDIF(E145,F145+1,"y"))*(X145+ANIOS-10&gt;0)*INT((X145+ANIOS-10)/3))-(SUMIFS(V_DIAS,V_ID,B145,V_INICIO,"&lt;="&amp;F145)+Y145))))</f>
        <v/>
      </c>
      <c r="V145" s="71" t="str">
        <f aca="false">IF(G145&lt;&gt;"Sí","",(N(INDEX(T_SUELDO,136))+N(INDEX(T_BONO,136)))/30)</f>
        <v/>
      </c>
      <c r="W145" s="71" t="str">
        <f aca="false">IF(G145&lt;&gt;"Sí","",N(INDEX(T_SUELDO,136))+N(INDEX(T_BONO,136))+IF(LEFT(INDEX(T_GRAT,136)&amp;"",6)="Art. 5",MIN(GRAT_PCT*(N(INDEX(T_SUELDO,136))+N(INDEX(T_BONO,136))),GRAT_TOPE_MES),0))</f>
        <v/>
      </c>
      <c r="X145" s="72" t="str">
        <f aca="false">IF(B145="","",MIN(10,N(INDEX(T_PREV,136))))</f>
        <v/>
      </c>
      <c r="Y145" s="72" t="str">
        <f aca="false">IF(B145="","",N(INDEX(T_VACPREV,136)))</f>
        <v/>
      </c>
      <c r="Z145" s="75" t="str">
        <f aca="false">IF(B145="","",N(INDEX(T_EGRESO,136)))</f>
        <v/>
      </c>
    </row>
    <row r="146" customFormat="false" ht="15" hidden="false" customHeight="false" outlineLevel="0" collapsed="false">
      <c r="B146" s="70" t="str">
        <f aca="false">IFERROR(IF(INDEX(T_ID,137)="","",INDEX(T_ID,137)),"")</f>
        <v/>
      </c>
      <c r="C146" s="70" t="str">
        <f aca="false">IF(B146="","",INDEX(T_NOMBRE,137)&amp;"")</f>
        <v/>
      </c>
      <c r="D146" s="70" t="str">
        <f aca="false">IF(B146="","",INDEX(T_TIPO,137)&amp;"")</f>
        <v/>
      </c>
      <c r="E146" s="75" t="str">
        <f aca="false">IF(B146="","",INDEX(T_INGRESO,137))</f>
        <v/>
      </c>
      <c r="F146" s="75" t="str">
        <f aca="false">IF(B146="","",IF(ISNUMBER(INDEX(CC_VENCE,137)),INDEX(CC_VENCE,137),""))</f>
        <v/>
      </c>
      <c r="G146" s="70" t="str">
        <f aca="false">IF(OR(B146="",NOT(ISNUMBER(E146))),"",IF(AND(E146&lt;=FQ_FECHA,OR(Z146=0,Z146&gt;=FQ_FECHA)),"Sí","No"))</f>
        <v/>
      </c>
      <c r="H146" s="94" t="str">
        <f aca="false">IF(G146&lt;&gt;"Sí","",ROUND((FQ_FECHA+1-E146)/365.25,1))</f>
        <v/>
      </c>
      <c r="I146" s="73" t="str">
        <f aca="false">IF(G146&lt;&gt;"Sí","",IF(DATEDIF(E146,FQ_FECHA+1,"y")&lt;1,0,MIN(TOPE_IAS_ANIOS,DATEDIF(E146,FQ_FECHA+1,"y")+IF(EDATE(E146,12*DATEDIF(E146,FQ_FECHA+1,"y")+6)&lt;FQ_FECHA+1,1,0))))</f>
        <v/>
      </c>
      <c r="J146" s="71" t="str">
        <f aca="false">IF(G146&lt;&gt;"Sí","",W146+N(INDEX(T_COL,137))+N(INDEX(T_MOV,137)))</f>
        <v/>
      </c>
      <c r="K146" s="71" t="str">
        <f aca="false">IF(G146&lt;&gt;"Sí","",MIN(J146,TOPE_IAS_UF*UF_HOY))</f>
        <v/>
      </c>
      <c r="L146" s="95" t="str">
        <f aca="false">IF(G146&lt;&gt;"Sí","",(1.25*(DATEDIF(E146,FQ_FECHA+1,"m")+(FQ_FECHA+1-EDATE(E146,DATEDIF(E146,FQ_FECHA+1,"m")))/30)+SUMPRODUCT((ANIOS&lt;=DATEDIF(E146,FQ_FECHA+1,"y"))*(X146+ANIOS-10&gt;0)*INT((X146+ANIOS-10)/3))-(SUMIFS(V_DIAS,V_ID,B146,V_INICIO,"&lt;="&amp;FQ_FECHA)+Y146)))</f>
        <v/>
      </c>
      <c r="M146" s="71" t="str">
        <f aca="false">IF(G146&lt;&gt;"Sí","",ROUND(MAX(0,IF(L146&lt;=0,0,WORKDAY(FQ_FECHA,INT(L146),FERIADOS)-FQ_FECHA+(L146-INT(L146))))*V146,0))</f>
        <v/>
      </c>
      <c r="N146" s="71" t="str">
        <f aca="false">IF(G146&lt;&gt;"Sí","",IF(D146="Obra o faena",0,ROUND(K146*I146,0)))</f>
        <v/>
      </c>
      <c r="O146" s="71" t="str">
        <f aca="false">IF(G146&lt;&gt;"Sí","",IF(OR(D146="Obra o faena",FQ_AVISO="Sí"),0,ROUND(K146,0)))</f>
        <v/>
      </c>
      <c r="P146" s="71" t="str">
        <f aca="false">IF(G146&lt;&gt;"Sí","",IF(AND(IMPUTAR_AFC="Sí",N146&gt;0),-MIN(N146,ROUND(AFC_IMPUTABLE_PCT*MIN(W146,TOPE_AFC_UF*UF_HOY)*DATEDIF(E146,FQ_FECHA+1,"m"),0)),0))</f>
        <v/>
      </c>
      <c r="Q146" s="85" t="str">
        <f aca="false">IF(G146&lt;&gt;"Sí","",M146+N146+O146+P146)</f>
        <v/>
      </c>
      <c r="R146" s="85" t="str">
        <f aca="false">IF(G146&lt;&gt;"Sí","",M146)</f>
        <v/>
      </c>
      <c r="S146" s="85" t="str">
        <f aca="false">IF(U146="","",IF(INDEX(CC_ESTADOC,137)="Renovación registrada","",ROUND(MAX(0,IF(U146&lt;=0,0,WORKDAY(F146,INT(U146),FERIADOS)-F146+(U146-INT(U146))))*V146,0)+IF(D146="Obra o faena",ROUND(OBRA_DIAS*K146/30*(DATEDIF(E146,F146+1,"m")+IF(F146+1-EDATE(E146,DATEDIF(E146,F146+1,"m"))&gt;15,1,0)),0),0)))</f>
        <v/>
      </c>
      <c r="T146" s="70" t="str">
        <f aca="false">IF(G146&lt;&gt;"Sí","",IF(D146="Plazo fijo","Despido antes del vencimiento: además existe riesgo de demanda por las remuneraciones hasta el término del plazo",IF(D146="Obra o faena","Al concluir la obra corresponde indemnización de 2,5 días por mes (incluida en la columna S); no IAS",IF(I146=0,"Menos de 1 año: no corresponde IAS (Art. 163)",IF(I146=TOPE_IAS_ANIOS,"IAS en el tope de 11 años","")))))</f>
        <v/>
      </c>
      <c r="U146" s="95" t="str">
        <f aca="false">IF(OR(G146&lt;&gt;"Sí",NOT(ISNUMBER(F146))),"",IF(F146&lt;FQ_FECHA,"",(1.25*(DATEDIF(E146,F146+1,"m")+(F146+1-EDATE(E146,DATEDIF(E146,F146+1,"m")))/30)+SUMPRODUCT((ANIOS&lt;=DATEDIF(E146,F146+1,"y"))*(X146+ANIOS-10&gt;0)*INT((X146+ANIOS-10)/3))-(SUMIFS(V_DIAS,V_ID,B146,V_INICIO,"&lt;="&amp;F146)+Y146))))</f>
        <v/>
      </c>
      <c r="V146" s="71" t="str">
        <f aca="false">IF(G146&lt;&gt;"Sí","",(N(INDEX(T_SUELDO,137))+N(INDEX(T_BONO,137)))/30)</f>
        <v/>
      </c>
      <c r="W146" s="71" t="str">
        <f aca="false">IF(G146&lt;&gt;"Sí","",N(INDEX(T_SUELDO,137))+N(INDEX(T_BONO,137))+IF(LEFT(INDEX(T_GRAT,137)&amp;"",6)="Art. 5",MIN(GRAT_PCT*(N(INDEX(T_SUELDO,137))+N(INDEX(T_BONO,137))),GRAT_TOPE_MES),0))</f>
        <v/>
      </c>
      <c r="X146" s="72" t="str">
        <f aca="false">IF(B146="","",MIN(10,N(INDEX(T_PREV,137))))</f>
        <v/>
      </c>
      <c r="Y146" s="72" t="str">
        <f aca="false">IF(B146="","",N(INDEX(T_VACPREV,137)))</f>
        <v/>
      </c>
      <c r="Z146" s="75" t="str">
        <f aca="false">IF(B146="","",N(INDEX(T_EGRESO,137)))</f>
        <v/>
      </c>
    </row>
    <row r="147" customFormat="false" ht="15" hidden="false" customHeight="false" outlineLevel="0" collapsed="false">
      <c r="B147" s="70" t="str">
        <f aca="false">IFERROR(IF(INDEX(T_ID,138)="","",INDEX(T_ID,138)),"")</f>
        <v/>
      </c>
      <c r="C147" s="70" t="str">
        <f aca="false">IF(B147="","",INDEX(T_NOMBRE,138)&amp;"")</f>
        <v/>
      </c>
      <c r="D147" s="70" t="str">
        <f aca="false">IF(B147="","",INDEX(T_TIPO,138)&amp;"")</f>
        <v/>
      </c>
      <c r="E147" s="75" t="str">
        <f aca="false">IF(B147="","",INDEX(T_INGRESO,138))</f>
        <v/>
      </c>
      <c r="F147" s="75" t="str">
        <f aca="false">IF(B147="","",IF(ISNUMBER(INDEX(CC_VENCE,138)),INDEX(CC_VENCE,138),""))</f>
        <v/>
      </c>
      <c r="G147" s="70" t="str">
        <f aca="false">IF(OR(B147="",NOT(ISNUMBER(E147))),"",IF(AND(E147&lt;=FQ_FECHA,OR(Z147=0,Z147&gt;=FQ_FECHA)),"Sí","No"))</f>
        <v/>
      </c>
      <c r="H147" s="94" t="str">
        <f aca="false">IF(G147&lt;&gt;"Sí","",ROUND((FQ_FECHA+1-E147)/365.25,1))</f>
        <v/>
      </c>
      <c r="I147" s="73" t="str">
        <f aca="false">IF(G147&lt;&gt;"Sí","",IF(DATEDIF(E147,FQ_FECHA+1,"y")&lt;1,0,MIN(TOPE_IAS_ANIOS,DATEDIF(E147,FQ_FECHA+1,"y")+IF(EDATE(E147,12*DATEDIF(E147,FQ_FECHA+1,"y")+6)&lt;FQ_FECHA+1,1,0))))</f>
        <v/>
      </c>
      <c r="J147" s="71" t="str">
        <f aca="false">IF(G147&lt;&gt;"Sí","",W147+N(INDEX(T_COL,138))+N(INDEX(T_MOV,138)))</f>
        <v/>
      </c>
      <c r="K147" s="71" t="str">
        <f aca="false">IF(G147&lt;&gt;"Sí","",MIN(J147,TOPE_IAS_UF*UF_HOY))</f>
        <v/>
      </c>
      <c r="L147" s="95" t="str">
        <f aca="false">IF(G147&lt;&gt;"Sí","",(1.25*(DATEDIF(E147,FQ_FECHA+1,"m")+(FQ_FECHA+1-EDATE(E147,DATEDIF(E147,FQ_FECHA+1,"m")))/30)+SUMPRODUCT((ANIOS&lt;=DATEDIF(E147,FQ_FECHA+1,"y"))*(X147+ANIOS-10&gt;0)*INT((X147+ANIOS-10)/3))-(SUMIFS(V_DIAS,V_ID,B147,V_INICIO,"&lt;="&amp;FQ_FECHA)+Y147)))</f>
        <v/>
      </c>
      <c r="M147" s="71" t="str">
        <f aca="false">IF(G147&lt;&gt;"Sí","",ROUND(MAX(0,IF(L147&lt;=0,0,WORKDAY(FQ_FECHA,INT(L147),FERIADOS)-FQ_FECHA+(L147-INT(L147))))*V147,0))</f>
        <v/>
      </c>
      <c r="N147" s="71" t="str">
        <f aca="false">IF(G147&lt;&gt;"Sí","",IF(D147="Obra o faena",0,ROUND(K147*I147,0)))</f>
        <v/>
      </c>
      <c r="O147" s="71" t="str">
        <f aca="false">IF(G147&lt;&gt;"Sí","",IF(OR(D147="Obra o faena",FQ_AVISO="Sí"),0,ROUND(K147,0)))</f>
        <v/>
      </c>
      <c r="P147" s="71" t="str">
        <f aca="false">IF(G147&lt;&gt;"Sí","",IF(AND(IMPUTAR_AFC="Sí",N147&gt;0),-MIN(N147,ROUND(AFC_IMPUTABLE_PCT*MIN(W147,TOPE_AFC_UF*UF_HOY)*DATEDIF(E147,FQ_FECHA+1,"m"),0)),0))</f>
        <v/>
      </c>
      <c r="Q147" s="85" t="str">
        <f aca="false">IF(G147&lt;&gt;"Sí","",M147+N147+O147+P147)</f>
        <v/>
      </c>
      <c r="R147" s="85" t="str">
        <f aca="false">IF(G147&lt;&gt;"Sí","",M147)</f>
        <v/>
      </c>
      <c r="S147" s="85" t="str">
        <f aca="false">IF(U147="","",IF(INDEX(CC_ESTADOC,138)="Renovación registrada","",ROUND(MAX(0,IF(U147&lt;=0,0,WORKDAY(F147,INT(U147),FERIADOS)-F147+(U147-INT(U147))))*V147,0)+IF(D147="Obra o faena",ROUND(OBRA_DIAS*K147/30*(DATEDIF(E147,F147+1,"m")+IF(F147+1-EDATE(E147,DATEDIF(E147,F147+1,"m"))&gt;15,1,0)),0),0)))</f>
        <v/>
      </c>
      <c r="T147" s="70" t="str">
        <f aca="false">IF(G147&lt;&gt;"Sí","",IF(D147="Plazo fijo","Despido antes del vencimiento: además existe riesgo de demanda por las remuneraciones hasta el término del plazo",IF(D147="Obra o faena","Al concluir la obra corresponde indemnización de 2,5 días por mes (incluida en la columna S); no IAS",IF(I147=0,"Menos de 1 año: no corresponde IAS (Art. 163)",IF(I147=TOPE_IAS_ANIOS,"IAS en el tope de 11 años","")))))</f>
        <v/>
      </c>
      <c r="U147" s="95" t="str">
        <f aca="false">IF(OR(G147&lt;&gt;"Sí",NOT(ISNUMBER(F147))),"",IF(F147&lt;FQ_FECHA,"",(1.25*(DATEDIF(E147,F147+1,"m")+(F147+1-EDATE(E147,DATEDIF(E147,F147+1,"m")))/30)+SUMPRODUCT((ANIOS&lt;=DATEDIF(E147,F147+1,"y"))*(X147+ANIOS-10&gt;0)*INT((X147+ANIOS-10)/3))-(SUMIFS(V_DIAS,V_ID,B147,V_INICIO,"&lt;="&amp;F147)+Y147))))</f>
        <v/>
      </c>
      <c r="V147" s="71" t="str">
        <f aca="false">IF(G147&lt;&gt;"Sí","",(N(INDEX(T_SUELDO,138))+N(INDEX(T_BONO,138)))/30)</f>
        <v/>
      </c>
      <c r="W147" s="71" t="str">
        <f aca="false">IF(G147&lt;&gt;"Sí","",N(INDEX(T_SUELDO,138))+N(INDEX(T_BONO,138))+IF(LEFT(INDEX(T_GRAT,138)&amp;"",6)="Art. 5",MIN(GRAT_PCT*(N(INDEX(T_SUELDO,138))+N(INDEX(T_BONO,138))),GRAT_TOPE_MES),0))</f>
        <v/>
      </c>
      <c r="X147" s="72" t="str">
        <f aca="false">IF(B147="","",MIN(10,N(INDEX(T_PREV,138))))</f>
        <v/>
      </c>
      <c r="Y147" s="72" t="str">
        <f aca="false">IF(B147="","",N(INDEX(T_VACPREV,138)))</f>
        <v/>
      </c>
      <c r="Z147" s="75" t="str">
        <f aca="false">IF(B147="","",N(INDEX(T_EGRESO,138)))</f>
        <v/>
      </c>
    </row>
    <row r="148" customFormat="false" ht="15" hidden="false" customHeight="false" outlineLevel="0" collapsed="false">
      <c r="B148" s="70" t="str">
        <f aca="false">IFERROR(IF(INDEX(T_ID,139)="","",INDEX(T_ID,139)),"")</f>
        <v/>
      </c>
      <c r="C148" s="70" t="str">
        <f aca="false">IF(B148="","",INDEX(T_NOMBRE,139)&amp;"")</f>
        <v/>
      </c>
      <c r="D148" s="70" t="str">
        <f aca="false">IF(B148="","",INDEX(T_TIPO,139)&amp;"")</f>
        <v/>
      </c>
      <c r="E148" s="75" t="str">
        <f aca="false">IF(B148="","",INDEX(T_INGRESO,139))</f>
        <v/>
      </c>
      <c r="F148" s="75" t="str">
        <f aca="false">IF(B148="","",IF(ISNUMBER(INDEX(CC_VENCE,139)),INDEX(CC_VENCE,139),""))</f>
        <v/>
      </c>
      <c r="G148" s="70" t="str">
        <f aca="false">IF(OR(B148="",NOT(ISNUMBER(E148))),"",IF(AND(E148&lt;=FQ_FECHA,OR(Z148=0,Z148&gt;=FQ_FECHA)),"Sí","No"))</f>
        <v/>
      </c>
      <c r="H148" s="94" t="str">
        <f aca="false">IF(G148&lt;&gt;"Sí","",ROUND((FQ_FECHA+1-E148)/365.25,1))</f>
        <v/>
      </c>
      <c r="I148" s="73" t="str">
        <f aca="false">IF(G148&lt;&gt;"Sí","",IF(DATEDIF(E148,FQ_FECHA+1,"y")&lt;1,0,MIN(TOPE_IAS_ANIOS,DATEDIF(E148,FQ_FECHA+1,"y")+IF(EDATE(E148,12*DATEDIF(E148,FQ_FECHA+1,"y")+6)&lt;FQ_FECHA+1,1,0))))</f>
        <v/>
      </c>
      <c r="J148" s="71" t="str">
        <f aca="false">IF(G148&lt;&gt;"Sí","",W148+N(INDEX(T_COL,139))+N(INDEX(T_MOV,139)))</f>
        <v/>
      </c>
      <c r="K148" s="71" t="str">
        <f aca="false">IF(G148&lt;&gt;"Sí","",MIN(J148,TOPE_IAS_UF*UF_HOY))</f>
        <v/>
      </c>
      <c r="L148" s="95" t="str">
        <f aca="false">IF(G148&lt;&gt;"Sí","",(1.25*(DATEDIF(E148,FQ_FECHA+1,"m")+(FQ_FECHA+1-EDATE(E148,DATEDIF(E148,FQ_FECHA+1,"m")))/30)+SUMPRODUCT((ANIOS&lt;=DATEDIF(E148,FQ_FECHA+1,"y"))*(X148+ANIOS-10&gt;0)*INT((X148+ANIOS-10)/3))-(SUMIFS(V_DIAS,V_ID,B148,V_INICIO,"&lt;="&amp;FQ_FECHA)+Y148)))</f>
        <v/>
      </c>
      <c r="M148" s="71" t="str">
        <f aca="false">IF(G148&lt;&gt;"Sí","",ROUND(MAX(0,IF(L148&lt;=0,0,WORKDAY(FQ_FECHA,INT(L148),FERIADOS)-FQ_FECHA+(L148-INT(L148))))*V148,0))</f>
        <v/>
      </c>
      <c r="N148" s="71" t="str">
        <f aca="false">IF(G148&lt;&gt;"Sí","",IF(D148="Obra o faena",0,ROUND(K148*I148,0)))</f>
        <v/>
      </c>
      <c r="O148" s="71" t="str">
        <f aca="false">IF(G148&lt;&gt;"Sí","",IF(OR(D148="Obra o faena",FQ_AVISO="Sí"),0,ROUND(K148,0)))</f>
        <v/>
      </c>
      <c r="P148" s="71" t="str">
        <f aca="false">IF(G148&lt;&gt;"Sí","",IF(AND(IMPUTAR_AFC="Sí",N148&gt;0),-MIN(N148,ROUND(AFC_IMPUTABLE_PCT*MIN(W148,TOPE_AFC_UF*UF_HOY)*DATEDIF(E148,FQ_FECHA+1,"m"),0)),0))</f>
        <v/>
      </c>
      <c r="Q148" s="85" t="str">
        <f aca="false">IF(G148&lt;&gt;"Sí","",M148+N148+O148+P148)</f>
        <v/>
      </c>
      <c r="R148" s="85" t="str">
        <f aca="false">IF(G148&lt;&gt;"Sí","",M148)</f>
        <v/>
      </c>
      <c r="S148" s="85" t="str">
        <f aca="false">IF(U148="","",IF(INDEX(CC_ESTADOC,139)="Renovación registrada","",ROUND(MAX(0,IF(U148&lt;=0,0,WORKDAY(F148,INT(U148),FERIADOS)-F148+(U148-INT(U148))))*V148,0)+IF(D148="Obra o faena",ROUND(OBRA_DIAS*K148/30*(DATEDIF(E148,F148+1,"m")+IF(F148+1-EDATE(E148,DATEDIF(E148,F148+1,"m"))&gt;15,1,0)),0),0)))</f>
        <v/>
      </c>
      <c r="T148" s="70" t="str">
        <f aca="false">IF(G148&lt;&gt;"Sí","",IF(D148="Plazo fijo","Despido antes del vencimiento: además existe riesgo de demanda por las remuneraciones hasta el término del plazo",IF(D148="Obra o faena","Al concluir la obra corresponde indemnización de 2,5 días por mes (incluida en la columna S); no IAS",IF(I148=0,"Menos de 1 año: no corresponde IAS (Art. 163)",IF(I148=TOPE_IAS_ANIOS,"IAS en el tope de 11 años","")))))</f>
        <v/>
      </c>
      <c r="U148" s="95" t="str">
        <f aca="false">IF(OR(G148&lt;&gt;"Sí",NOT(ISNUMBER(F148))),"",IF(F148&lt;FQ_FECHA,"",(1.25*(DATEDIF(E148,F148+1,"m")+(F148+1-EDATE(E148,DATEDIF(E148,F148+1,"m")))/30)+SUMPRODUCT((ANIOS&lt;=DATEDIF(E148,F148+1,"y"))*(X148+ANIOS-10&gt;0)*INT((X148+ANIOS-10)/3))-(SUMIFS(V_DIAS,V_ID,B148,V_INICIO,"&lt;="&amp;F148)+Y148))))</f>
        <v/>
      </c>
      <c r="V148" s="71" t="str">
        <f aca="false">IF(G148&lt;&gt;"Sí","",(N(INDEX(T_SUELDO,139))+N(INDEX(T_BONO,139)))/30)</f>
        <v/>
      </c>
      <c r="W148" s="71" t="str">
        <f aca="false">IF(G148&lt;&gt;"Sí","",N(INDEX(T_SUELDO,139))+N(INDEX(T_BONO,139))+IF(LEFT(INDEX(T_GRAT,139)&amp;"",6)="Art. 5",MIN(GRAT_PCT*(N(INDEX(T_SUELDO,139))+N(INDEX(T_BONO,139))),GRAT_TOPE_MES),0))</f>
        <v/>
      </c>
      <c r="X148" s="72" t="str">
        <f aca="false">IF(B148="","",MIN(10,N(INDEX(T_PREV,139))))</f>
        <v/>
      </c>
      <c r="Y148" s="72" t="str">
        <f aca="false">IF(B148="","",N(INDEX(T_VACPREV,139)))</f>
        <v/>
      </c>
      <c r="Z148" s="75" t="str">
        <f aca="false">IF(B148="","",N(INDEX(T_EGRESO,139)))</f>
        <v/>
      </c>
    </row>
    <row r="149" customFormat="false" ht="15" hidden="false" customHeight="false" outlineLevel="0" collapsed="false">
      <c r="B149" s="70" t="str">
        <f aca="false">IFERROR(IF(INDEX(T_ID,140)="","",INDEX(T_ID,140)),"")</f>
        <v/>
      </c>
      <c r="C149" s="70" t="str">
        <f aca="false">IF(B149="","",INDEX(T_NOMBRE,140)&amp;"")</f>
        <v/>
      </c>
      <c r="D149" s="70" t="str">
        <f aca="false">IF(B149="","",INDEX(T_TIPO,140)&amp;"")</f>
        <v/>
      </c>
      <c r="E149" s="75" t="str">
        <f aca="false">IF(B149="","",INDEX(T_INGRESO,140))</f>
        <v/>
      </c>
      <c r="F149" s="75" t="str">
        <f aca="false">IF(B149="","",IF(ISNUMBER(INDEX(CC_VENCE,140)),INDEX(CC_VENCE,140),""))</f>
        <v/>
      </c>
      <c r="G149" s="70" t="str">
        <f aca="false">IF(OR(B149="",NOT(ISNUMBER(E149))),"",IF(AND(E149&lt;=FQ_FECHA,OR(Z149=0,Z149&gt;=FQ_FECHA)),"Sí","No"))</f>
        <v/>
      </c>
      <c r="H149" s="94" t="str">
        <f aca="false">IF(G149&lt;&gt;"Sí","",ROUND((FQ_FECHA+1-E149)/365.25,1))</f>
        <v/>
      </c>
      <c r="I149" s="73" t="str">
        <f aca="false">IF(G149&lt;&gt;"Sí","",IF(DATEDIF(E149,FQ_FECHA+1,"y")&lt;1,0,MIN(TOPE_IAS_ANIOS,DATEDIF(E149,FQ_FECHA+1,"y")+IF(EDATE(E149,12*DATEDIF(E149,FQ_FECHA+1,"y")+6)&lt;FQ_FECHA+1,1,0))))</f>
        <v/>
      </c>
      <c r="J149" s="71" t="str">
        <f aca="false">IF(G149&lt;&gt;"Sí","",W149+N(INDEX(T_COL,140))+N(INDEX(T_MOV,140)))</f>
        <v/>
      </c>
      <c r="K149" s="71" t="str">
        <f aca="false">IF(G149&lt;&gt;"Sí","",MIN(J149,TOPE_IAS_UF*UF_HOY))</f>
        <v/>
      </c>
      <c r="L149" s="95" t="str">
        <f aca="false">IF(G149&lt;&gt;"Sí","",(1.25*(DATEDIF(E149,FQ_FECHA+1,"m")+(FQ_FECHA+1-EDATE(E149,DATEDIF(E149,FQ_FECHA+1,"m")))/30)+SUMPRODUCT((ANIOS&lt;=DATEDIF(E149,FQ_FECHA+1,"y"))*(X149+ANIOS-10&gt;0)*INT((X149+ANIOS-10)/3))-(SUMIFS(V_DIAS,V_ID,B149,V_INICIO,"&lt;="&amp;FQ_FECHA)+Y149)))</f>
        <v/>
      </c>
      <c r="M149" s="71" t="str">
        <f aca="false">IF(G149&lt;&gt;"Sí","",ROUND(MAX(0,IF(L149&lt;=0,0,WORKDAY(FQ_FECHA,INT(L149),FERIADOS)-FQ_FECHA+(L149-INT(L149))))*V149,0))</f>
        <v/>
      </c>
      <c r="N149" s="71" t="str">
        <f aca="false">IF(G149&lt;&gt;"Sí","",IF(D149="Obra o faena",0,ROUND(K149*I149,0)))</f>
        <v/>
      </c>
      <c r="O149" s="71" t="str">
        <f aca="false">IF(G149&lt;&gt;"Sí","",IF(OR(D149="Obra o faena",FQ_AVISO="Sí"),0,ROUND(K149,0)))</f>
        <v/>
      </c>
      <c r="P149" s="71" t="str">
        <f aca="false">IF(G149&lt;&gt;"Sí","",IF(AND(IMPUTAR_AFC="Sí",N149&gt;0),-MIN(N149,ROUND(AFC_IMPUTABLE_PCT*MIN(W149,TOPE_AFC_UF*UF_HOY)*DATEDIF(E149,FQ_FECHA+1,"m"),0)),0))</f>
        <v/>
      </c>
      <c r="Q149" s="85" t="str">
        <f aca="false">IF(G149&lt;&gt;"Sí","",M149+N149+O149+P149)</f>
        <v/>
      </c>
      <c r="R149" s="85" t="str">
        <f aca="false">IF(G149&lt;&gt;"Sí","",M149)</f>
        <v/>
      </c>
      <c r="S149" s="85" t="str">
        <f aca="false">IF(U149="","",IF(INDEX(CC_ESTADOC,140)="Renovación registrada","",ROUND(MAX(0,IF(U149&lt;=0,0,WORKDAY(F149,INT(U149),FERIADOS)-F149+(U149-INT(U149))))*V149,0)+IF(D149="Obra o faena",ROUND(OBRA_DIAS*K149/30*(DATEDIF(E149,F149+1,"m")+IF(F149+1-EDATE(E149,DATEDIF(E149,F149+1,"m"))&gt;15,1,0)),0),0)))</f>
        <v/>
      </c>
      <c r="T149" s="70" t="str">
        <f aca="false">IF(G149&lt;&gt;"Sí","",IF(D149="Plazo fijo","Despido antes del vencimiento: además existe riesgo de demanda por las remuneraciones hasta el término del plazo",IF(D149="Obra o faena","Al concluir la obra corresponde indemnización de 2,5 días por mes (incluida en la columna S); no IAS",IF(I149=0,"Menos de 1 año: no corresponde IAS (Art. 163)",IF(I149=TOPE_IAS_ANIOS,"IAS en el tope de 11 años","")))))</f>
        <v/>
      </c>
      <c r="U149" s="95" t="str">
        <f aca="false">IF(OR(G149&lt;&gt;"Sí",NOT(ISNUMBER(F149))),"",IF(F149&lt;FQ_FECHA,"",(1.25*(DATEDIF(E149,F149+1,"m")+(F149+1-EDATE(E149,DATEDIF(E149,F149+1,"m")))/30)+SUMPRODUCT((ANIOS&lt;=DATEDIF(E149,F149+1,"y"))*(X149+ANIOS-10&gt;0)*INT((X149+ANIOS-10)/3))-(SUMIFS(V_DIAS,V_ID,B149,V_INICIO,"&lt;="&amp;F149)+Y149))))</f>
        <v/>
      </c>
      <c r="V149" s="71" t="str">
        <f aca="false">IF(G149&lt;&gt;"Sí","",(N(INDEX(T_SUELDO,140))+N(INDEX(T_BONO,140)))/30)</f>
        <v/>
      </c>
      <c r="W149" s="71" t="str">
        <f aca="false">IF(G149&lt;&gt;"Sí","",N(INDEX(T_SUELDO,140))+N(INDEX(T_BONO,140))+IF(LEFT(INDEX(T_GRAT,140)&amp;"",6)="Art. 5",MIN(GRAT_PCT*(N(INDEX(T_SUELDO,140))+N(INDEX(T_BONO,140))),GRAT_TOPE_MES),0))</f>
        <v/>
      </c>
      <c r="X149" s="72" t="str">
        <f aca="false">IF(B149="","",MIN(10,N(INDEX(T_PREV,140))))</f>
        <v/>
      </c>
      <c r="Y149" s="72" t="str">
        <f aca="false">IF(B149="","",N(INDEX(T_VACPREV,140)))</f>
        <v/>
      </c>
      <c r="Z149" s="75" t="str">
        <f aca="false">IF(B149="","",N(INDEX(T_EGRESO,140)))</f>
        <v/>
      </c>
    </row>
    <row r="150" customFormat="false" ht="15" hidden="false" customHeight="false" outlineLevel="0" collapsed="false">
      <c r="B150" s="70" t="str">
        <f aca="false">IFERROR(IF(INDEX(T_ID,141)="","",INDEX(T_ID,141)),"")</f>
        <v/>
      </c>
      <c r="C150" s="70" t="str">
        <f aca="false">IF(B150="","",INDEX(T_NOMBRE,141)&amp;"")</f>
        <v/>
      </c>
      <c r="D150" s="70" t="str">
        <f aca="false">IF(B150="","",INDEX(T_TIPO,141)&amp;"")</f>
        <v/>
      </c>
      <c r="E150" s="75" t="str">
        <f aca="false">IF(B150="","",INDEX(T_INGRESO,141))</f>
        <v/>
      </c>
      <c r="F150" s="75" t="str">
        <f aca="false">IF(B150="","",IF(ISNUMBER(INDEX(CC_VENCE,141)),INDEX(CC_VENCE,141),""))</f>
        <v/>
      </c>
      <c r="G150" s="70" t="str">
        <f aca="false">IF(OR(B150="",NOT(ISNUMBER(E150))),"",IF(AND(E150&lt;=FQ_FECHA,OR(Z150=0,Z150&gt;=FQ_FECHA)),"Sí","No"))</f>
        <v/>
      </c>
      <c r="H150" s="94" t="str">
        <f aca="false">IF(G150&lt;&gt;"Sí","",ROUND((FQ_FECHA+1-E150)/365.25,1))</f>
        <v/>
      </c>
      <c r="I150" s="73" t="str">
        <f aca="false">IF(G150&lt;&gt;"Sí","",IF(DATEDIF(E150,FQ_FECHA+1,"y")&lt;1,0,MIN(TOPE_IAS_ANIOS,DATEDIF(E150,FQ_FECHA+1,"y")+IF(EDATE(E150,12*DATEDIF(E150,FQ_FECHA+1,"y")+6)&lt;FQ_FECHA+1,1,0))))</f>
        <v/>
      </c>
      <c r="J150" s="71" t="str">
        <f aca="false">IF(G150&lt;&gt;"Sí","",W150+N(INDEX(T_COL,141))+N(INDEX(T_MOV,141)))</f>
        <v/>
      </c>
      <c r="K150" s="71" t="str">
        <f aca="false">IF(G150&lt;&gt;"Sí","",MIN(J150,TOPE_IAS_UF*UF_HOY))</f>
        <v/>
      </c>
      <c r="L150" s="95" t="str">
        <f aca="false">IF(G150&lt;&gt;"Sí","",(1.25*(DATEDIF(E150,FQ_FECHA+1,"m")+(FQ_FECHA+1-EDATE(E150,DATEDIF(E150,FQ_FECHA+1,"m")))/30)+SUMPRODUCT((ANIOS&lt;=DATEDIF(E150,FQ_FECHA+1,"y"))*(X150+ANIOS-10&gt;0)*INT((X150+ANIOS-10)/3))-(SUMIFS(V_DIAS,V_ID,B150,V_INICIO,"&lt;="&amp;FQ_FECHA)+Y150)))</f>
        <v/>
      </c>
      <c r="M150" s="71" t="str">
        <f aca="false">IF(G150&lt;&gt;"Sí","",ROUND(MAX(0,IF(L150&lt;=0,0,WORKDAY(FQ_FECHA,INT(L150),FERIADOS)-FQ_FECHA+(L150-INT(L150))))*V150,0))</f>
        <v/>
      </c>
      <c r="N150" s="71" t="str">
        <f aca="false">IF(G150&lt;&gt;"Sí","",IF(D150="Obra o faena",0,ROUND(K150*I150,0)))</f>
        <v/>
      </c>
      <c r="O150" s="71" t="str">
        <f aca="false">IF(G150&lt;&gt;"Sí","",IF(OR(D150="Obra o faena",FQ_AVISO="Sí"),0,ROUND(K150,0)))</f>
        <v/>
      </c>
      <c r="P150" s="71" t="str">
        <f aca="false">IF(G150&lt;&gt;"Sí","",IF(AND(IMPUTAR_AFC="Sí",N150&gt;0),-MIN(N150,ROUND(AFC_IMPUTABLE_PCT*MIN(W150,TOPE_AFC_UF*UF_HOY)*DATEDIF(E150,FQ_FECHA+1,"m"),0)),0))</f>
        <v/>
      </c>
      <c r="Q150" s="85" t="str">
        <f aca="false">IF(G150&lt;&gt;"Sí","",M150+N150+O150+P150)</f>
        <v/>
      </c>
      <c r="R150" s="85" t="str">
        <f aca="false">IF(G150&lt;&gt;"Sí","",M150)</f>
        <v/>
      </c>
      <c r="S150" s="85" t="str">
        <f aca="false">IF(U150="","",IF(INDEX(CC_ESTADOC,141)="Renovación registrada","",ROUND(MAX(0,IF(U150&lt;=0,0,WORKDAY(F150,INT(U150),FERIADOS)-F150+(U150-INT(U150))))*V150,0)+IF(D150="Obra o faena",ROUND(OBRA_DIAS*K150/30*(DATEDIF(E150,F150+1,"m")+IF(F150+1-EDATE(E150,DATEDIF(E150,F150+1,"m"))&gt;15,1,0)),0),0)))</f>
        <v/>
      </c>
      <c r="T150" s="70" t="str">
        <f aca="false">IF(G150&lt;&gt;"Sí","",IF(D150="Plazo fijo","Despido antes del vencimiento: además existe riesgo de demanda por las remuneraciones hasta el término del plazo",IF(D150="Obra o faena","Al concluir la obra corresponde indemnización de 2,5 días por mes (incluida en la columna S); no IAS",IF(I150=0,"Menos de 1 año: no corresponde IAS (Art. 163)",IF(I150=TOPE_IAS_ANIOS,"IAS en el tope de 11 años","")))))</f>
        <v/>
      </c>
      <c r="U150" s="95" t="str">
        <f aca="false">IF(OR(G150&lt;&gt;"Sí",NOT(ISNUMBER(F150))),"",IF(F150&lt;FQ_FECHA,"",(1.25*(DATEDIF(E150,F150+1,"m")+(F150+1-EDATE(E150,DATEDIF(E150,F150+1,"m")))/30)+SUMPRODUCT((ANIOS&lt;=DATEDIF(E150,F150+1,"y"))*(X150+ANIOS-10&gt;0)*INT((X150+ANIOS-10)/3))-(SUMIFS(V_DIAS,V_ID,B150,V_INICIO,"&lt;="&amp;F150)+Y150))))</f>
        <v/>
      </c>
      <c r="V150" s="71" t="str">
        <f aca="false">IF(G150&lt;&gt;"Sí","",(N(INDEX(T_SUELDO,141))+N(INDEX(T_BONO,141)))/30)</f>
        <v/>
      </c>
      <c r="W150" s="71" t="str">
        <f aca="false">IF(G150&lt;&gt;"Sí","",N(INDEX(T_SUELDO,141))+N(INDEX(T_BONO,141))+IF(LEFT(INDEX(T_GRAT,141)&amp;"",6)="Art. 5",MIN(GRAT_PCT*(N(INDEX(T_SUELDO,141))+N(INDEX(T_BONO,141))),GRAT_TOPE_MES),0))</f>
        <v/>
      </c>
      <c r="X150" s="72" t="str">
        <f aca="false">IF(B150="","",MIN(10,N(INDEX(T_PREV,141))))</f>
        <v/>
      </c>
      <c r="Y150" s="72" t="str">
        <f aca="false">IF(B150="","",N(INDEX(T_VACPREV,141)))</f>
        <v/>
      </c>
      <c r="Z150" s="75" t="str">
        <f aca="false">IF(B150="","",N(INDEX(T_EGRESO,141)))</f>
        <v/>
      </c>
    </row>
    <row r="151" customFormat="false" ht="15" hidden="false" customHeight="false" outlineLevel="0" collapsed="false">
      <c r="B151" s="70" t="str">
        <f aca="false">IFERROR(IF(INDEX(T_ID,142)="","",INDEX(T_ID,142)),"")</f>
        <v/>
      </c>
      <c r="C151" s="70" t="str">
        <f aca="false">IF(B151="","",INDEX(T_NOMBRE,142)&amp;"")</f>
        <v/>
      </c>
      <c r="D151" s="70" t="str">
        <f aca="false">IF(B151="","",INDEX(T_TIPO,142)&amp;"")</f>
        <v/>
      </c>
      <c r="E151" s="75" t="str">
        <f aca="false">IF(B151="","",INDEX(T_INGRESO,142))</f>
        <v/>
      </c>
      <c r="F151" s="75" t="str">
        <f aca="false">IF(B151="","",IF(ISNUMBER(INDEX(CC_VENCE,142)),INDEX(CC_VENCE,142),""))</f>
        <v/>
      </c>
      <c r="G151" s="70" t="str">
        <f aca="false">IF(OR(B151="",NOT(ISNUMBER(E151))),"",IF(AND(E151&lt;=FQ_FECHA,OR(Z151=0,Z151&gt;=FQ_FECHA)),"Sí","No"))</f>
        <v/>
      </c>
      <c r="H151" s="94" t="str">
        <f aca="false">IF(G151&lt;&gt;"Sí","",ROUND((FQ_FECHA+1-E151)/365.25,1))</f>
        <v/>
      </c>
      <c r="I151" s="73" t="str">
        <f aca="false">IF(G151&lt;&gt;"Sí","",IF(DATEDIF(E151,FQ_FECHA+1,"y")&lt;1,0,MIN(TOPE_IAS_ANIOS,DATEDIF(E151,FQ_FECHA+1,"y")+IF(EDATE(E151,12*DATEDIF(E151,FQ_FECHA+1,"y")+6)&lt;FQ_FECHA+1,1,0))))</f>
        <v/>
      </c>
      <c r="J151" s="71" t="str">
        <f aca="false">IF(G151&lt;&gt;"Sí","",W151+N(INDEX(T_COL,142))+N(INDEX(T_MOV,142)))</f>
        <v/>
      </c>
      <c r="K151" s="71" t="str">
        <f aca="false">IF(G151&lt;&gt;"Sí","",MIN(J151,TOPE_IAS_UF*UF_HOY))</f>
        <v/>
      </c>
      <c r="L151" s="95" t="str">
        <f aca="false">IF(G151&lt;&gt;"Sí","",(1.25*(DATEDIF(E151,FQ_FECHA+1,"m")+(FQ_FECHA+1-EDATE(E151,DATEDIF(E151,FQ_FECHA+1,"m")))/30)+SUMPRODUCT((ANIOS&lt;=DATEDIF(E151,FQ_FECHA+1,"y"))*(X151+ANIOS-10&gt;0)*INT((X151+ANIOS-10)/3))-(SUMIFS(V_DIAS,V_ID,B151,V_INICIO,"&lt;="&amp;FQ_FECHA)+Y151)))</f>
        <v/>
      </c>
      <c r="M151" s="71" t="str">
        <f aca="false">IF(G151&lt;&gt;"Sí","",ROUND(MAX(0,IF(L151&lt;=0,0,WORKDAY(FQ_FECHA,INT(L151),FERIADOS)-FQ_FECHA+(L151-INT(L151))))*V151,0))</f>
        <v/>
      </c>
      <c r="N151" s="71" t="str">
        <f aca="false">IF(G151&lt;&gt;"Sí","",IF(D151="Obra o faena",0,ROUND(K151*I151,0)))</f>
        <v/>
      </c>
      <c r="O151" s="71" t="str">
        <f aca="false">IF(G151&lt;&gt;"Sí","",IF(OR(D151="Obra o faena",FQ_AVISO="Sí"),0,ROUND(K151,0)))</f>
        <v/>
      </c>
      <c r="P151" s="71" t="str">
        <f aca="false">IF(G151&lt;&gt;"Sí","",IF(AND(IMPUTAR_AFC="Sí",N151&gt;0),-MIN(N151,ROUND(AFC_IMPUTABLE_PCT*MIN(W151,TOPE_AFC_UF*UF_HOY)*DATEDIF(E151,FQ_FECHA+1,"m"),0)),0))</f>
        <v/>
      </c>
      <c r="Q151" s="85" t="str">
        <f aca="false">IF(G151&lt;&gt;"Sí","",M151+N151+O151+P151)</f>
        <v/>
      </c>
      <c r="R151" s="85" t="str">
        <f aca="false">IF(G151&lt;&gt;"Sí","",M151)</f>
        <v/>
      </c>
      <c r="S151" s="85" t="str">
        <f aca="false">IF(U151="","",IF(INDEX(CC_ESTADOC,142)="Renovación registrada","",ROUND(MAX(0,IF(U151&lt;=0,0,WORKDAY(F151,INT(U151),FERIADOS)-F151+(U151-INT(U151))))*V151,0)+IF(D151="Obra o faena",ROUND(OBRA_DIAS*K151/30*(DATEDIF(E151,F151+1,"m")+IF(F151+1-EDATE(E151,DATEDIF(E151,F151+1,"m"))&gt;15,1,0)),0),0)))</f>
        <v/>
      </c>
      <c r="T151" s="70" t="str">
        <f aca="false">IF(G151&lt;&gt;"Sí","",IF(D151="Plazo fijo","Despido antes del vencimiento: además existe riesgo de demanda por las remuneraciones hasta el término del plazo",IF(D151="Obra o faena","Al concluir la obra corresponde indemnización de 2,5 días por mes (incluida en la columna S); no IAS",IF(I151=0,"Menos de 1 año: no corresponde IAS (Art. 163)",IF(I151=TOPE_IAS_ANIOS,"IAS en el tope de 11 años","")))))</f>
        <v/>
      </c>
      <c r="U151" s="95" t="str">
        <f aca="false">IF(OR(G151&lt;&gt;"Sí",NOT(ISNUMBER(F151))),"",IF(F151&lt;FQ_FECHA,"",(1.25*(DATEDIF(E151,F151+1,"m")+(F151+1-EDATE(E151,DATEDIF(E151,F151+1,"m")))/30)+SUMPRODUCT((ANIOS&lt;=DATEDIF(E151,F151+1,"y"))*(X151+ANIOS-10&gt;0)*INT((X151+ANIOS-10)/3))-(SUMIFS(V_DIAS,V_ID,B151,V_INICIO,"&lt;="&amp;F151)+Y151))))</f>
        <v/>
      </c>
      <c r="V151" s="71" t="str">
        <f aca="false">IF(G151&lt;&gt;"Sí","",(N(INDEX(T_SUELDO,142))+N(INDEX(T_BONO,142)))/30)</f>
        <v/>
      </c>
      <c r="W151" s="71" t="str">
        <f aca="false">IF(G151&lt;&gt;"Sí","",N(INDEX(T_SUELDO,142))+N(INDEX(T_BONO,142))+IF(LEFT(INDEX(T_GRAT,142)&amp;"",6)="Art. 5",MIN(GRAT_PCT*(N(INDEX(T_SUELDO,142))+N(INDEX(T_BONO,142))),GRAT_TOPE_MES),0))</f>
        <v/>
      </c>
      <c r="X151" s="72" t="str">
        <f aca="false">IF(B151="","",MIN(10,N(INDEX(T_PREV,142))))</f>
        <v/>
      </c>
      <c r="Y151" s="72" t="str">
        <f aca="false">IF(B151="","",N(INDEX(T_VACPREV,142)))</f>
        <v/>
      </c>
      <c r="Z151" s="75" t="str">
        <f aca="false">IF(B151="","",N(INDEX(T_EGRESO,142)))</f>
        <v/>
      </c>
    </row>
    <row r="152" customFormat="false" ht="15" hidden="false" customHeight="false" outlineLevel="0" collapsed="false">
      <c r="B152" s="70" t="str">
        <f aca="false">IFERROR(IF(INDEX(T_ID,143)="","",INDEX(T_ID,143)),"")</f>
        <v/>
      </c>
      <c r="C152" s="70" t="str">
        <f aca="false">IF(B152="","",INDEX(T_NOMBRE,143)&amp;"")</f>
        <v/>
      </c>
      <c r="D152" s="70" t="str">
        <f aca="false">IF(B152="","",INDEX(T_TIPO,143)&amp;"")</f>
        <v/>
      </c>
      <c r="E152" s="75" t="str">
        <f aca="false">IF(B152="","",INDEX(T_INGRESO,143))</f>
        <v/>
      </c>
      <c r="F152" s="75" t="str">
        <f aca="false">IF(B152="","",IF(ISNUMBER(INDEX(CC_VENCE,143)),INDEX(CC_VENCE,143),""))</f>
        <v/>
      </c>
      <c r="G152" s="70" t="str">
        <f aca="false">IF(OR(B152="",NOT(ISNUMBER(E152))),"",IF(AND(E152&lt;=FQ_FECHA,OR(Z152=0,Z152&gt;=FQ_FECHA)),"Sí","No"))</f>
        <v/>
      </c>
      <c r="H152" s="94" t="str">
        <f aca="false">IF(G152&lt;&gt;"Sí","",ROUND((FQ_FECHA+1-E152)/365.25,1))</f>
        <v/>
      </c>
      <c r="I152" s="73" t="str">
        <f aca="false">IF(G152&lt;&gt;"Sí","",IF(DATEDIF(E152,FQ_FECHA+1,"y")&lt;1,0,MIN(TOPE_IAS_ANIOS,DATEDIF(E152,FQ_FECHA+1,"y")+IF(EDATE(E152,12*DATEDIF(E152,FQ_FECHA+1,"y")+6)&lt;FQ_FECHA+1,1,0))))</f>
        <v/>
      </c>
      <c r="J152" s="71" t="str">
        <f aca="false">IF(G152&lt;&gt;"Sí","",W152+N(INDEX(T_COL,143))+N(INDEX(T_MOV,143)))</f>
        <v/>
      </c>
      <c r="K152" s="71" t="str">
        <f aca="false">IF(G152&lt;&gt;"Sí","",MIN(J152,TOPE_IAS_UF*UF_HOY))</f>
        <v/>
      </c>
      <c r="L152" s="95" t="str">
        <f aca="false">IF(G152&lt;&gt;"Sí","",(1.25*(DATEDIF(E152,FQ_FECHA+1,"m")+(FQ_FECHA+1-EDATE(E152,DATEDIF(E152,FQ_FECHA+1,"m")))/30)+SUMPRODUCT((ANIOS&lt;=DATEDIF(E152,FQ_FECHA+1,"y"))*(X152+ANIOS-10&gt;0)*INT((X152+ANIOS-10)/3))-(SUMIFS(V_DIAS,V_ID,B152,V_INICIO,"&lt;="&amp;FQ_FECHA)+Y152)))</f>
        <v/>
      </c>
      <c r="M152" s="71" t="str">
        <f aca="false">IF(G152&lt;&gt;"Sí","",ROUND(MAX(0,IF(L152&lt;=0,0,WORKDAY(FQ_FECHA,INT(L152),FERIADOS)-FQ_FECHA+(L152-INT(L152))))*V152,0))</f>
        <v/>
      </c>
      <c r="N152" s="71" t="str">
        <f aca="false">IF(G152&lt;&gt;"Sí","",IF(D152="Obra o faena",0,ROUND(K152*I152,0)))</f>
        <v/>
      </c>
      <c r="O152" s="71" t="str">
        <f aca="false">IF(G152&lt;&gt;"Sí","",IF(OR(D152="Obra o faena",FQ_AVISO="Sí"),0,ROUND(K152,0)))</f>
        <v/>
      </c>
      <c r="P152" s="71" t="str">
        <f aca="false">IF(G152&lt;&gt;"Sí","",IF(AND(IMPUTAR_AFC="Sí",N152&gt;0),-MIN(N152,ROUND(AFC_IMPUTABLE_PCT*MIN(W152,TOPE_AFC_UF*UF_HOY)*DATEDIF(E152,FQ_FECHA+1,"m"),0)),0))</f>
        <v/>
      </c>
      <c r="Q152" s="85" t="str">
        <f aca="false">IF(G152&lt;&gt;"Sí","",M152+N152+O152+P152)</f>
        <v/>
      </c>
      <c r="R152" s="85" t="str">
        <f aca="false">IF(G152&lt;&gt;"Sí","",M152)</f>
        <v/>
      </c>
      <c r="S152" s="85" t="str">
        <f aca="false">IF(U152="","",IF(INDEX(CC_ESTADOC,143)="Renovación registrada","",ROUND(MAX(0,IF(U152&lt;=0,0,WORKDAY(F152,INT(U152),FERIADOS)-F152+(U152-INT(U152))))*V152,0)+IF(D152="Obra o faena",ROUND(OBRA_DIAS*K152/30*(DATEDIF(E152,F152+1,"m")+IF(F152+1-EDATE(E152,DATEDIF(E152,F152+1,"m"))&gt;15,1,0)),0),0)))</f>
        <v/>
      </c>
      <c r="T152" s="70" t="str">
        <f aca="false">IF(G152&lt;&gt;"Sí","",IF(D152="Plazo fijo","Despido antes del vencimiento: además existe riesgo de demanda por las remuneraciones hasta el término del plazo",IF(D152="Obra o faena","Al concluir la obra corresponde indemnización de 2,5 días por mes (incluida en la columna S); no IAS",IF(I152=0,"Menos de 1 año: no corresponde IAS (Art. 163)",IF(I152=TOPE_IAS_ANIOS,"IAS en el tope de 11 años","")))))</f>
        <v/>
      </c>
      <c r="U152" s="95" t="str">
        <f aca="false">IF(OR(G152&lt;&gt;"Sí",NOT(ISNUMBER(F152))),"",IF(F152&lt;FQ_FECHA,"",(1.25*(DATEDIF(E152,F152+1,"m")+(F152+1-EDATE(E152,DATEDIF(E152,F152+1,"m")))/30)+SUMPRODUCT((ANIOS&lt;=DATEDIF(E152,F152+1,"y"))*(X152+ANIOS-10&gt;0)*INT((X152+ANIOS-10)/3))-(SUMIFS(V_DIAS,V_ID,B152,V_INICIO,"&lt;="&amp;F152)+Y152))))</f>
        <v/>
      </c>
      <c r="V152" s="71" t="str">
        <f aca="false">IF(G152&lt;&gt;"Sí","",(N(INDEX(T_SUELDO,143))+N(INDEX(T_BONO,143)))/30)</f>
        <v/>
      </c>
      <c r="W152" s="71" t="str">
        <f aca="false">IF(G152&lt;&gt;"Sí","",N(INDEX(T_SUELDO,143))+N(INDEX(T_BONO,143))+IF(LEFT(INDEX(T_GRAT,143)&amp;"",6)="Art. 5",MIN(GRAT_PCT*(N(INDEX(T_SUELDO,143))+N(INDEX(T_BONO,143))),GRAT_TOPE_MES),0))</f>
        <v/>
      </c>
      <c r="X152" s="72" t="str">
        <f aca="false">IF(B152="","",MIN(10,N(INDEX(T_PREV,143))))</f>
        <v/>
      </c>
      <c r="Y152" s="72" t="str">
        <f aca="false">IF(B152="","",N(INDEX(T_VACPREV,143)))</f>
        <v/>
      </c>
      <c r="Z152" s="75" t="str">
        <f aca="false">IF(B152="","",N(INDEX(T_EGRESO,143)))</f>
        <v/>
      </c>
    </row>
    <row r="153" customFormat="false" ht="15" hidden="false" customHeight="false" outlineLevel="0" collapsed="false">
      <c r="B153" s="70" t="str">
        <f aca="false">IFERROR(IF(INDEX(T_ID,144)="","",INDEX(T_ID,144)),"")</f>
        <v/>
      </c>
      <c r="C153" s="70" t="str">
        <f aca="false">IF(B153="","",INDEX(T_NOMBRE,144)&amp;"")</f>
        <v/>
      </c>
      <c r="D153" s="70" t="str">
        <f aca="false">IF(B153="","",INDEX(T_TIPO,144)&amp;"")</f>
        <v/>
      </c>
      <c r="E153" s="75" t="str">
        <f aca="false">IF(B153="","",INDEX(T_INGRESO,144))</f>
        <v/>
      </c>
      <c r="F153" s="75" t="str">
        <f aca="false">IF(B153="","",IF(ISNUMBER(INDEX(CC_VENCE,144)),INDEX(CC_VENCE,144),""))</f>
        <v/>
      </c>
      <c r="G153" s="70" t="str">
        <f aca="false">IF(OR(B153="",NOT(ISNUMBER(E153))),"",IF(AND(E153&lt;=FQ_FECHA,OR(Z153=0,Z153&gt;=FQ_FECHA)),"Sí","No"))</f>
        <v/>
      </c>
      <c r="H153" s="94" t="str">
        <f aca="false">IF(G153&lt;&gt;"Sí","",ROUND((FQ_FECHA+1-E153)/365.25,1))</f>
        <v/>
      </c>
      <c r="I153" s="73" t="str">
        <f aca="false">IF(G153&lt;&gt;"Sí","",IF(DATEDIF(E153,FQ_FECHA+1,"y")&lt;1,0,MIN(TOPE_IAS_ANIOS,DATEDIF(E153,FQ_FECHA+1,"y")+IF(EDATE(E153,12*DATEDIF(E153,FQ_FECHA+1,"y")+6)&lt;FQ_FECHA+1,1,0))))</f>
        <v/>
      </c>
      <c r="J153" s="71" t="str">
        <f aca="false">IF(G153&lt;&gt;"Sí","",W153+N(INDEX(T_COL,144))+N(INDEX(T_MOV,144)))</f>
        <v/>
      </c>
      <c r="K153" s="71" t="str">
        <f aca="false">IF(G153&lt;&gt;"Sí","",MIN(J153,TOPE_IAS_UF*UF_HOY))</f>
        <v/>
      </c>
      <c r="L153" s="95" t="str">
        <f aca="false">IF(G153&lt;&gt;"Sí","",(1.25*(DATEDIF(E153,FQ_FECHA+1,"m")+(FQ_FECHA+1-EDATE(E153,DATEDIF(E153,FQ_FECHA+1,"m")))/30)+SUMPRODUCT((ANIOS&lt;=DATEDIF(E153,FQ_FECHA+1,"y"))*(X153+ANIOS-10&gt;0)*INT((X153+ANIOS-10)/3))-(SUMIFS(V_DIAS,V_ID,B153,V_INICIO,"&lt;="&amp;FQ_FECHA)+Y153)))</f>
        <v/>
      </c>
      <c r="M153" s="71" t="str">
        <f aca="false">IF(G153&lt;&gt;"Sí","",ROUND(MAX(0,IF(L153&lt;=0,0,WORKDAY(FQ_FECHA,INT(L153),FERIADOS)-FQ_FECHA+(L153-INT(L153))))*V153,0))</f>
        <v/>
      </c>
      <c r="N153" s="71" t="str">
        <f aca="false">IF(G153&lt;&gt;"Sí","",IF(D153="Obra o faena",0,ROUND(K153*I153,0)))</f>
        <v/>
      </c>
      <c r="O153" s="71" t="str">
        <f aca="false">IF(G153&lt;&gt;"Sí","",IF(OR(D153="Obra o faena",FQ_AVISO="Sí"),0,ROUND(K153,0)))</f>
        <v/>
      </c>
      <c r="P153" s="71" t="str">
        <f aca="false">IF(G153&lt;&gt;"Sí","",IF(AND(IMPUTAR_AFC="Sí",N153&gt;0),-MIN(N153,ROUND(AFC_IMPUTABLE_PCT*MIN(W153,TOPE_AFC_UF*UF_HOY)*DATEDIF(E153,FQ_FECHA+1,"m"),0)),0))</f>
        <v/>
      </c>
      <c r="Q153" s="85" t="str">
        <f aca="false">IF(G153&lt;&gt;"Sí","",M153+N153+O153+P153)</f>
        <v/>
      </c>
      <c r="R153" s="85" t="str">
        <f aca="false">IF(G153&lt;&gt;"Sí","",M153)</f>
        <v/>
      </c>
      <c r="S153" s="85" t="str">
        <f aca="false">IF(U153="","",IF(INDEX(CC_ESTADOC,144)="Renovación registrada","",ROUND(MAX(0,IF(U153&lt;=0,0,WORKDAY(F153,INT(U153),FERIADOS)-F153+(U153-INT(U153))))*V153,0)+IF(D153="Obra o faena",ROUND(OBRA_DIAS*K153/30*(DATEDIF(E153,F153+1,"m")+IF(F153+1-EDATE(E153,DATEDIF(E153,F153+1,"m"))&gt;15,1,0)),0),0)))</f>
        <v/>
      </c>
      <c r="T153" s="70" t="str">
        <f aca="false">IF(G153&lt;&gt;"Sí","",IF(D153="Plazo fijo","Despido antes del vencimiento: además existe riesgo de demanda por las remuneraciones hasta el término del plazo",IF(D153="Obra o faena","Al concluir la obra corresponde indemnización de 2,5 días por mes (incluida en la columna S); no IAS",IF(I153=0,"Menos de 1 año: no corresponde IAS (Art. 163)",IF(I153=TOPE_IAS_ANIOS,"IAS en el tope de 11 años","")))))</f>
        <v/>
      </c>
      <c r="U153" s="95" t="str">
        <f aca="false">IF(OR(G153&lt;&gt;"Sí",NOT(ISNUMBER(F153))),"",IF(F153&lt;FQ_FECHA,"",(1.25*(DATEDIF(E153,F153+1,"m")+(F153+1-EDATE(E153,DATEDIF(E153,F153+1,"m")))/30)+SUMPRODUCT((ANIOS&lt;=DATEDIF(E153,F153+1,"y"))*(X153+ANIOS-10&gt;0)*INT((X153+ANIOS-10)/3))-(SUMIFS(V_DIAS,V_ID,B153,V_INICIO,"&lt;="&amp;F153)+Y153))))</f>
        <v/>
      </c>
      <c r="V153" s="71" t="str">
        <f aca="false">IF(G153&lt;&gt;"Sí","",(N(INDEX(T_SUELDO,144))+N(INDEX(T_BONO,144)))/30)</f>
        <v/>
      </c>
      <c r="W153" s="71" t="str">
        <f aca="false">IF(G153&lt;&gt;"Sí","",N(INDEX(T_SUELDO,144))+N(INDEX(T_BONO,144))+IF(LEFT(INDEX(T_GRAT,144)&amp;"",6)="Art. 5",MIN(GRAT_PCT*(N(INDEX(T_SUELDO,144))+N(INDEX(T_BONO,144))),GRAT_TOPE_MES),0))</f>
        <v/>
      </c>
      <c r="X153" s="72" t="str">
        <f aca="false">IF(B153="","",MIN(10,N(INDEX(T_PREV,144))))</f>
        <v/>
      </c>
      <c r="Y153" s="72" t="str">
        <f aca="false">IF(B153="","",N(INDEX(T_VACPREV,144)))</f>
        <v/>
      </c>
      <c r="Z153" s="75" t="str">
        <f aca="false">IF(B153="","",N(INDEX(T_EGRESO,144)))</f>
        <v/>
      </c>
    </row>
    <row r="154" customFormat="false" ht="15" hidden="false" customHeight="false" outlineLevel="0" collapsed="false">
      <c r="B154" s="70" t="str">
        <f aca="false">IFERROR(IF(INDEX(T_ID,145)="","",INDEX(T_ID,145)),"")</f>
        <v/>
      </c>
      <c r="C154" s="70" t="str">
        <f aca="false">IF(B154="","",INDEX(T_NOMBRE,145)&amp;"")</f>
        <v/>
      </c>
      <c r="D154" s="70" t="str">
        <f aca="false">IF(B154="","",INDEX(T_TIPO,145)&amp;"")</f>
        <v/>
      </c>
      <c r="E154" s="75" t="str">
        <f aca="false">IF(B154="","",INDEX(T_INGRESO,145))</f>
        <v/>
      </c>
      <c r="F154" s="75" t="str">
        <f aca="false">IF(B154="","",IF(ISNUMBER(INDEX(CC_VENCE,145)),INDEX(CC_VENCE,145),""))</f>
        <v/>
      </c>
      <c r="G154" s="70" t="str">
        <f aca="false">IF(OR(B154="",NOT(ISNUMBER(E154))),"",IF(AND(E154&lt;=FQ_FECHA,OR(Z154=0,Z154&gt;=FQ_FECHA)),"Sí","No"))</f>
        <v/>
      </c>
      <c r="H154" s="94" t="str">
        <f aca="false">IF(G154&lt;&gt;"Sí","",ROUND((FQ_FECHA+1-E154)/365.25,1))</f>
        <v/>
      </c>
      <c r="I154" s="73" t="str">
        <f aca="false">IF(G154&lt;&gt;"Sí","",IF(DATEDIF(E154,FQ_FECHA+1,"y")&lt;1,0,MIN(TOPE_IAS_ANIOS,DATEDIF(E154,FQ_FECHA+1,"y")+IF(EDATE(E154,12*DATEDIF(E154,FQ_FECHA+1,"y")+6)&lt;FQ_FECHA+1,1,0))))</f>
        <v/>
      </c>
      <c r="J154" s="71" t="str">
        <f aca="false">IF(G154&lt;&gt;"Sí","",W154+N(INDEX(T_COL,145))+N(INDEX(T_MOV,145)))</f>
        <v/>
      </c>
      <c r="K154" s="71" t="str">
        <f aca="false">IF(G154&lt;&gt;"Sí","",MIN(J154,TOPE_IAS_UF*UF_HOY))</f>
        <v/>
      </c>
      <c r="L154" s="95" t="str">
        <f aca="false">IF(G154&lt;&gt;"Sí","",(1.25*(DATEDIF(E154,FQ_FECHA+1,"m")+(FQ_FECHA+1-EDATE(E154,DATEDIF(E154,FQ_FECHA+1,"m")))/30)+SUMPRODUCT((ANIOS&lt;=DATEDIF(E154,FQ_FECHA+1,"y"))*(X154+ANIOS-10&gt;0)*INT((X154+ANIOS-10)/3))-(SUMIFS(V_DIAS,V_ID,B154,V_INICIO,"&lt;="&amp;FQ_FECHA)+Y154)))</f>
        <v/>
      </c>
      <c r="M154" s="71" t="str">
        <f aca="false">IF(G154&lt;&gt;"Sí","",ROUND(MAX(0,IF(L154&lt;=0,0,WORKDAY(FQ_FECHA,INT(L154),FERIADOS)-FQ_FECHA+(L154-INT(L154))))*V154,0))</f>
        <v/>
      </c>
      <c r="N154" s="71" t="str">
        <f aca="false">IF(G154&lt;&gt;"Sí","",IF(D154="Obra o faena",0,ROUND(K154*I154,0)))</f>
        <v/>
      </c>
      <c r="O154" s="71" t="str">
        <f aca="false">IF(G154&lt;&gt;"Sí","",IF(OR(D154="Obra o faena",FQ_AVISO="Sí"),0,ROUND(K154,0)))</f>
        <v/>
      </c>
      <c r="P154" s="71" t="str">
        <f aca="false">IF(G154&lt;&gt;"Sí","",IF(AND(IMPUTAR_AFC="Sí",N154&gt;0),-MIN(N154,ROUND(AFC_IMPUTABLE_PCT*MIN(W154,TOPE_AFC_UF*UF_HOY)*DATEDIF(E154,FQ_FECHA+1,"m"),0)),0))</f>
        <v/>
      </c>
      <c r="Q154" s="85" t="str">
        <f aca="false">IF(G154&lt;&gt;"Sí","",M154+N154+O154+P154)</f>
        <v/>
      </c>
      <c r="R154" s="85" t="str">
        <f aca="false">IF(G154&lt;&gt;"Sí","",M154)</f>
        <v/>
      </c>
      <c r="S154" s="85" t="str">
        <f aca="false">IF(U154="","",IF(INDEX(CC_ESTADOC,145)="Renovación registrada","",ROUND(MAX(0,IF(U154&lt;=0,0,WORKDAY(F154,INT(U154),FERIADOS)-F154+(U154-INT(U154))))*V154,0)+IF(D154="Obra o faena",ROUND(OBRA_DIAS*K154/30*(DATEDIF(E154,F154+1,"m")+IF(F154+1-EDATE(E154,DATEDIF(E154,F154+1,"m"))&gt;15,1,0)),0),0)))</f>
        <v/>
      </c>
      <c r="T154" s="70" t="str">
        <f aca="false">IF(G154&lt;&gt;"Sí","",IF(D154="Plazo fijo","Despido antes del vencimiento: además existe riesgo de demanda por las remuneraciones hasta el término del plazo",IF(D154="Obra o faena","Al concluir la obra corresponde indemnización de 2,5 días por mes (incluida en la columna S); no IAS",IF(I154=0,"Menos de 1 año: no corresponde IAS (Art. 163)",IF(I154=TOPE_IAS_ANIOS,"IAS en el tope de 11 años","")))))</f>
        <v/>
      </c>
      <c r="U154" s="95" t="str">
        <f aca="false">IF(OR(G154&lt;&gt;"Sí",NOT(ISNUMBER(F154))),"",IF(F154&lt;FQ_FECHA,"",(1.25*(DATEDIF(E154,F154+1,"m")+(F154+1-EDATE(E154,DATEDIF(E154,F154+1,"m")))/30)+SUMPRODUCT((ANIOS&lt;=DATEDIF(E154,F154+1,"y"))*(X154+ANIOS-10&gt;0)*INT((X154+ANIOS-10)/3))-(SUMIFS(V_DIAS,V_ID,B154,V_INICIO,"&lt;="&amp;F154)+Y154))))</f>
        <v/>
      </c>
      <c r="V154" s="71" t="str">
        <f aca="false">IF(G154&lt;&gt;"Sí","",(N(INDEX(T_SUELDO,145))+N(INDEX(T_BONO,145)))/30)</f>
        <v/>
      </c>
      <c r="W154" s="71" t="str">
        <f aca="false">IF(G154&lt;&gt;"Sí","",N(INDEX(T_SUELDO,145))+N(INDEX(T_BONO,145))+IF(LEFT(INDEX(T_GRAT,145)&amp;"",6)="Art. 5",MIN(GRAT_PCT*(N(INDEX(T_SUELDO,145))+N(INDEX(T_BONO,145))),GRAT_TOPE_MES),0))</f>
        <v/>
      </c>
      <c r="X154" s="72" t="str">
        <f aca="false">IF(B154="","",MIN(10,N(INDEX(T_PREV,145))))</f>
        <v/>
      </c>
      <c r="Y154" s="72" t="str">
        <f aca="false">IF(B154="","",N(INDEX(T_VACPREV,145)))</f>
        <v/>
      </c>
      <c r="Z154" s="75" t="str">
        <f aca="false">IF(B154="","",N(INDEX(T_EGRESO,145)))</f>
        <v/>
      </c>
    </row>
    <row r="155" customFormat="false" ht="15" hidden="false" customHeight="false" outlineLevel="0" collapsed="false">
      <c r="B155" s="70" t="str">
        <f aca="false">IFERROR(IF(INDEX(T_ID,146)="","",INDEX(T_ID,146)),"")</f>
        <v/>
      </c>
      <c r="C155" s="70" t="str">
        <f aca="false">IF(B155="","",INDEX(T_NOMBRE,146)&amp;"")</f>
        <v/>
      </c>
      <c r="D155" s="70" t="str">
        <f aca="false">IF(B155="","",INDEX(T_TIPO,146)&amp;"")</f>
        <v/>
      </c>
      <c r="E155" s="75" t="str">
        <f aca="false">IF(B155="","",INDEX(T_INGRESO,146))</f>
        <v/>
      </c>
      <c r="F155" s="75" t="str">
        <f aca="false">IF(B155="","",IF(ISNUMBER(INDEX(CC_VENCE,146)),INDEX(CC_VENCE,146),""))</f>
        <v/>
      </c>
      <c r="G155" s="70" t="str">
        <f aca="false">IF(OR(B155="",NOT(ISNUMBER(E155))),"",IF(AND(E155&lt;=FQ_FECHA,OR(Z155=0,Z155&gt;=FQ_FECHA)),"Sí","No"))</f>
        <v/>
      </c>
      <c r="H155" s="94" t="str">
        <f aca="false">IF(G155&lt;&gt;"Sí","",ROUND((FQ_FECHA+1-E155)/365.25,1))</f>
        <v/>
      </c>
      <c r="I155" s="73" t="str">
        <f aca="false">IF(G155&lt;&gt;"Sí","",IF(DATEDIF(E155,FQ_FECHA+1,"y")&lt;1,0,MIN(TOPE_IAS_ANIOS,DATEDIF(E155,FQ_FECHA+1,"y")+IF(EDATE(E155,12*DATEDIF(E155,FQ_FECHA+1,"y")+6)&lt;FQ_FECHA+1,1,0))))</f>
        <v/>
      </c>
      <c r="J155" s="71" t="str">
        <f aca="false">IF(G155&lt;&gt;"Sí","",W155+N(INDEX(T_COL,146))+N(INDEX(T_MOV,146)))</f>
        <v/>
      </c>
      <c r="K155" s="71" t="str">
        <f aca="false">IF(G155&lt;&gt;"Sí","",MIN(J155,TOPE_IAS_UF*UF_HOY))</f>
        <v/>
      </c>
      <c r="L155" s="95" t="str">
        <f aca="false">IF(G155&lt;&gt;"Sí","",(1.25*(DATEDIF(E155,FQ_FECHA+1,"m")+(FQ_FECHA+1-EDATE(E155,DATEDIF(E155,FQ_FECHA+1,"m")))/30)+SUMPRODUCT((ANIOS&lt;=DATEDIF(E155,FQ_FECHA+1,"y"))*(X155+ANIOS-10&gt;0)*INT((X155+ANIOS-10)/3))-(SUMIFS(V_DIAS,V_ID,B155,V_INICIO,"&lt;="&amp;FQ_FECHA)+Y155)))</f>
        <v/>
      </c>
      <c r="M155" s="71" t="str">
        <f aca="false">IF(G155&lt;&gt;"Sí","",ROUND(MAX(0,IF(L155&lt;=0,0,WORKDAY(FQ_FECHA,INT(L155),FERIADOS)-FQ_FECHA+(L155-INT(L155))))*V155,0))</f>
        <v/>
      </c>
      <c r="N155" s="71" t="str">
        <f aca="false">IF(G155&lt;&gt;"Sí","",IF(D155="Obra o faena",0,ROUND(K155*I155,0)))</f>
        <v/>
      </c>
      <c r="O155" s="71" t="str">
        <f aca="false">IF(G155&lt;&gt;"Sí","",IF(OR(D155="Obra o faena",FQ_AVISO="Sí"),0,ROUND(K155,0)))</f>
        <v/>
      </c>
      <c r="P155" s="71" t="str">
        <f aca="false">IF(G155&lt;&gt;"Sí","",IF(AND(IMPUTAR_AFC="Sí",N155&gt;0),-MIN(N155,ROUND(AFC_IMPUTABLE_PCT*MIN(W155,TOPE_AFC_UF*UF_HOY)*DATEDIF(E155,FQ_FECHA+1,"m"),0)),0))</f>
        <v/>
      </c>
      <c r="Q155" s="85" t="str">
        <f aca="false">IF(G155&lt;&gt;"Sí","",M155+N155+O155+P155)</f>
        <v/>
      </c>
      <c r="R155" s="85" t="str">
        <f aca="false">IF(G155&lt;&gt;"Sí","",M155)</f>
        <v/>
      </c>
      <c r="S155" s="85" t="str">
        <f aca="false">IF(U155="","",IF(INDEX(CC_ESTADOC,146)="Renovación registrada","",ROUND(MAX(0,IF(U155&lt;=0,0,WORKDAY(F155,INT(U155),FERIADOS)-F155+(U155-INT(U155))))*V155,0)+IF(D155="Obra o faena",ROUND(OBRA_DIAS*K155/30*(DATEDIF(E155,F155+1,"m")+IF(F155+1-EDATE(E155,DATEDIF(E155,F155+1,"m"))&gt;15,1,0)),0),0)))</f>
        <v/>
      </c>
      <c r="T155" s="70" t="str">
        <f aca="false">IF(G155&lt;&gt;"Sí","",IF(D155="Plazo fijo","Despido antes del vencimiento: además existe riesgo de demanda por las remuneraciones hasta el término del plazo",IF(D155="Obra o faena","Al concluir la obra corresponde indemnización de 2,5 días por mes (incluida en la columna S); no IAS",IF(I155=0,"Menos de 1 año: no corresponde IAS (Art. 163)",IF(I155=TOPE_IAS_ANIOS,"IAS en el tope de 11 años","")))))</f>
        <v/>
      </c>
      <c r="U155" s="95" t="str">
        <f aca="false">IF(OR(G155&lt;&gt;"Sí",NOT(ISNUMBER(F155))),"",IF(F155&lt;FQ_FECHA,"",(1.25*(DATEDIF(E155,F155+1,"m")+(F155+1-EDATE(E155,DATEDIF(E155,F155+1,"m")))/30)+SUMPRODUCT((ANIOS&lt;=DATEDIF(E155,F155+1,"y"))*(X155+ANIOS-10&gt;0)*INT((X155+ANIOS-10)/3))-(SUMIFS(V_DIAS,V_ID,B155,V_INICIO,"&lt;="&amp;F155)+Y155))))</f>
        <v/>
      </c>
      <c r="V155" s="71" t="str">
        <f aca="false">IF(G155&lt;&gt;"Sí","",(N(INDEX(T_SUELDO,146))+N(INDEX(T_BONO,146)))/30)</f>
        <v/>
      </c>
      <c r="W155" s="71" t="str">
        <f aca="false">IF(G155&lt;&gt;"Sí","",N(INDEX(T_SUELDO,146))+N(INDEX(T_BONO,146))+IF(LEFT(INDEX(T_GRAT,146)&amp;"",6)="Art. 5",MIN(GRAT_PCT*(N(INDEX(T_SUELDO,146))+N(INDEX(T_BONO,146))),GRAT_TOPE_MES),0))</f>
        <v/>
      </c>
      <c r="X155" s="72" t="str">
        <f aca="false">IF(B155="","",MIN(10,N(INDEX(T_PREV,146))))</f>
        <v/>
      </c>
      <c r="Y155" s="72" t="str">
        <f aca="false">IF(B155="","",N(INDEX(T_VACPREV,146)))</f>
        <v/>
      </c>
      <c r="Z155" s="75" t="str">
        <f aca="false">IF(B155="","",N(INDEX(T_EGRESO,146)))</f>
        <v/>
      </c>
    </row>
    <row r="156" customFormat="false" ht="15" hidden="false" customHeight="false" outlineLevel="0" collapsed="false">
      <c r="B156" s="70" t="str">
        <f aca="false">IFERROR(IF(INDEX(T_ID,147)="","",INDEX(T_ID,147)),"")</f>
        <v/>
      </c>
      <c r="C156" s="70" t="str">
        <f aca="false">IF(B156="","",INDEX(T_NOMBRE,147)&amp;"")</f>
        <v/>
      </c>
      <c r="D156" s="70" t="str">
        <f aca="false">IF(B156="","",INDEX(T_TIPO,147)&amp;"")</f>
        <v/>
      </c>
      <c r="E156" s="75" t="str">
        <f aca="false">IF(B156="","",INDEX(T_INGRESO,147))</f>
        <v/>
      </c>
      <c r="F156" s="75" t="str">
        <f aca="false">IF(B156="","",IF(ISNUMBER(INDEX(CC_VENCE,147)),INDEX(CC_VENCE,147),""))</f>
        <v/>
      </c>
      <c r="G156" s="70" t="str">
        <f aca="false">IF(OR(B156="",NOT(ISNUMBER(E156))),"",IF(AND(E156&lt;=FQ_FECHA,OR(Z156=0,Z156&gt;=FQ_FECHA)),"Sí","No"))</f>
        <v/>
      </c>
      <c r="H156" s="94" t="str">
        <f aca="false">IF(G156&lt;&gt;"Sí","",ROUND((FQ_FECHA+1-E156)/365.25,1))</f>
        <v/>
      </c>
      <c r="I156" s="73" t="str">
        <f aca="false">IF(G156&lt;&gt;"Sí","",IF(DATEDIF(E156,FQ_FECHA+1,"y")&lt;1,0,MIN(TOPE_IAS_ANIOS,DATEDIF(E156,FQ_FECHA+1,"y")+IF(EDATE(E156,12*DATEDIF(E156,FQ_FECHA+1,"y")+6)&lt;FQ_FECHA+1,1,0))))</f>
        <v/>
      </c>
      <c r="J156" s="71" t="str">
        <f aca="false">IF(G156&lt;&gt;"Sí","",W156+N(INDEX(T_COL,147))+N(INDEX(T_MOV,147)))</f>
        <v/>
      </c>
      <c r="K156" s="71" t="str">
        <f aca="false">IF(G156&lt;&gt;"Sí","",MIN(J156,TOPE_IAS_UF*UF_HOY))</f>
        <v/>
      </c>
      <c r="L156" s="95" t="str">
        <f aca="false">IF(G156&lt;&gt;"Sí","",(1.25*(DATEDIF(E156,FQ_FECHA+1,"m")+(FQ_FECHA+1-EDATE(E156,DATEDIF(E156,FQ_FECHA+1,"m")))/30)+SUMPRODUCT((ANIOS&lt;=DATEDIF(E156,FQ_FECHA+1,"y"))*(X156+ANIOS-10&gt;0)*INT((X156+ANIOS-10)/3))-(SUMIFS(V_DIAS,V_ID,B156,V_INICIO,"&lt;="&amp;FQ_FECHA)+Y156)))</f>
        <v/>
      </c>
      <c r="M156" s="71" t="str">
        <f aca="false">IF(G156&lt;&gt;"Sí","",ROUND(MAX(0,IF(L156&lt;=0,0,WORKDAY(FQ_FECHA,INT(L156),FERIADOS)-FQ_FECHA+(L156-INT(L156))))*V156,0))</f>
        <v/>
      </c>
      <c r="N156" s="71" t="str">
        <f aca="false">IF(G156&lt;&gt;"Sí","",IF(D156="Obra o faena",0,ROUND(K156*I156,0)))</f>
        <v/>
      </c>
      <c r="O156" s="71" t="str">
        <f aca="false">IF(G156&lt;&gt;"Sí","",IF(OR(D156="Obra o faena",FQ_AVISO="Sí"),0,ROUND(K156,0)))</f>
        <v/>
      </c>
      <c r="P156" s="71" t="str">
        <f aca="false">IF(G156&lt;&gt;"Sí","",IF(AND(IMPUTAR_AFC="Sí",N156&gt;0),-MIN(N156,ROUND(AFC_IMPUTABLE_PCT*MIN(W156,TOPE_AFC_UF*UF_HOY)*DATEDIF(E156,FQ_FECHA+1,"m"),0)),0))</f>
        <v/>
      </c>
      <c r="Q156" s="85" t="str">
        <f aca="false">IF(G156&lt;&gt;"Sí","",M156+N156+O156+P156)</f>
        <v/>
      </c>
      <c r="R156" s="85" t="str">
        <f aca="false">IF(G156&lt;&gt;"Sí","",M156)</f>
        <v/>
      </c>
      <c r="S156" s="85" t="str">
        <f aca="false">IF(U156="","",IF(INDEX(CC_ESTADOC,147)="Renovación registrada","",ROUND(MAX(0,IF(U156&lt;=0,0,WORKDAY(F156,INT(U156),FERIADOS)-F156+(U156-INT(U156))))*V156,0)+IF(D156="Obra o faena",ROUND(OBRA_DIAS*K156/30*(DATEDIF(E156,F156+1,"m")+IF(F156+1-EDATE(E156,DATEDIF(E156,F156+1,"m"))&gt;15,1,0)),0),0)))</f>
        <v/>
      </c>
      <c r="T156" s="70" t="str">
        <f aca="false">IF(G156&lt;&gt;"Sí","",IF(D156="Plazo fijo","Despido antes del vencimiento: además existe riesgo de demanda por las remuneraciones hasta el término del plazo",IF(D156="Obra o faena","Al concluir la obra corresponde indemnización de 2,5 días por mes (incluida en la columna S); no IAS",IF(I156=0,"Menos de 1 año: no corresponde IAS (Art. 163)",IF(I156=TOPE_IAS_ANIOS,"IAS en el tope de 11 años","")))))</f>
        <v/>
      </c>
      <c r="U156" s="95" t="str">
        <f aca="false">IF(OR(G156&lt;&gt;"Sí",NOT(ISNUMBER(F156))),"",IF(F156&lt;FQ_FECHA,"",(1.25*(DATEDIF(E156,F156+1,"m")+(F156+1-EDATE(E156,DATEDIF(E156,F156+1,"m")))/30)+SUMPRODUCT((ANIOS&lt;=DATEDIF(E156,F156+1,"y"))*(X156+ANIOS-10&gt;0)*INT((X156+ANIOS-10)/3))-(SUMIFS(V_DIAS,V_ID,B156,V_INICIO,"&lt;="&amp;F156)+Y156))))</f>
        <v/>
      </c>
      <c r="V156" s="71" t="str">
        <f aca="false">IF(G156&lt;&gt;"Sí","",(N(INDEX(T_SUELDO,147))+N(INDEX(T_BONO,147)))/30)</f>
        <v/>
      </c>
      <c r="W156" s="71" t="str">
        <f aca="false">IF(G156&lt;&gt;"Sí","",N(INDEX(T_SUELDO,147))+N(INDEX(T_BONO,147))+IF(LEFT(INDEX(T_GRAT,147)&amp;"",6)="Art. 5",MIN(GRAT_PCT*(N(INDEX(T_SUELDO,147))+N(INDEX(T_BONO,147))),GRAT_TOPE_MES),0))</f>
        <v/>
      </c>
      <c r="X156" s="72" t="str">
        <f aca="false">IF(B156="","",MIN(10,N(INDEX(T_PREV,147))))</f>
        <v/>
      </c>
      <c r="Y156" s="72" t="str">
        <f aca="false">IF(B156="","",N(INDEX(T_VACPREV,147)))</f>
        <v/>
      </c>
      <c r="Z156" s="75" t="str">
        <f aca="false">IF(B156="","",N(INDEX(T_EGRESO,147)))</f>
        <v/>
      </c>
    </row>
    <row r="157" customFormat="false" ht="15" hidden="false" customHeight="false" outlineLevel="0" collapsed="false">
      <c r="B157" s="70" t="str">
        <f aca="false">IFERROR(IF(INDEX(T_ID,148)="","",INDEX(T_ID,148)),"")</f>
        <v/>
      </c>
      <c r="C157" s="70" t="str">
        <f aca="false">IF(B157="","",INDEX(T_NOMBRE,148)&amp;"")</f>
        <v/>
      </c>
      <c r="D157" s="70" t="str">
        <f aca="false">IF(B157="","",INDEX(T_TIPO,148)&amp;"")</f>
        <v/>
      </c>
      <c r="E157" s="75" t="str">
        <f aca="false">IF(B157="","",INDEX(T_INGRESO,148))</f>
        <v/>
      </c>
      <c r="F157" s="75" t="str">
        <f aca="false">IF(B157="","",IF(ISNUMBER(INDEX(CC_VENCE,148)),INDEX(CC_VENCE,148),""))</f>
        <v/>
      </c>
      <c r="G157" s="70" t="str">
        <f aca="false">IF(OR(B157="",NOT(ISNUMBER(E157))),"",IF(AND(E157&lt;=FQ_FECHA,OR(Z157=0,Z157&gt;=FQ_FECHA)),"Sí","No"))</f>
        <v/>
      </c>
      <c r="H157" s="94" t="str">
        <f aca="false">IF(G157&lt;&gt;"Sí","",ROUND((FQ_FECHA+1-E157)/365.25,1))</f>
        <v/>
      </c>
      <c r="I157" s="73" t="str">
        <f aca="false">IF(G157&lt;&gt;"Sí","",IF(DATEDIF(E157,FQ_FECHA+1,"y")&lt;1,0,MIN(TOPE_IAS_ANIOS,DATEDIF(E157,FQ_FECHA+1,"y")+IF(EDATE(E157,12*DATEDIF(E157,FQ_FECHA+1,"y")+6)&lt;FQ_FECHA+1,1,0))))</f>
        <v/>
      </c>
      <c r="J157" s="71" t="str">
        <f aca="false">IF(G157&lt;&gt;"Sí","",W157+N(INDEX(T_COL,148))+N(INDEX(T_MOV,148)))</f>
        <v/>
      </c>
      <c r="K157" s="71" t="str">
        <f aca="false">IF(G157&lt;&gt;"Sí","",MIN(J157,TOPE_IAS_UF*UF_HOY))</f>
        <v/>
      </c>
      <c r="L157" s="95" t="str">
        <f aca="false">IF(G157&lt;&gt;"Sí","",(1.25*(DATEDIF(E157,FQ_FECHA+1,"m")+(FQ_FECHA+1-EDATE(E157,DATEDIF(E157,FQ_FECHA+1,"m")))/30)+SUMPRODUCT((ANIOS&lt;=DATEDIF(E157,FQ_FECHA+1,"y"))*(X157+ANIOS-10&gt;0)*INT((X157+ANIOS-10)/3))-(SUMIFS(V_DIAS,V_ID,B157,V_INICIO,"&lt;="&amp;FQ_FECHA)+Y157)))</f>
        <v/>
      </c>
      <c r="M157" s="71" t="str">
        <f aca="false">IF(G157&lt;&gt;"Sí","",ROUND(MAX(0,IF(L157&lt;=0,0,WORKDAY(FQ_FECHA,INT(L157),FERIADOS)-FQ_FECHA+(L157-INT(L157))))*V157,0))</f>
        <v/>
      </c>
      <c r="N157" s="71" t="str">
        <f aca="false">IF(G157&lt;&gt;"Sí","",IF(D157="Obra o faena",0,ROUND(K157*I157,0)))</f>
        <v/>
      </c>
      <c r="O157" s="71" t="str">
        <f aca="false">IF(G157&lt;&gt;"Sí","",IF(OR(D157="Obra o faena",FQ_AVISO="Sí"),0,ROUND(K157,0)))</f>
        <v/>
      </c>
      <c r="P157" s="71" t="str">
        <f aca="false">IF(G157&lt;&gt;"Sí","",IF(AND(IMPUTAR_AFC="Sí",N157&gt;0),-MIN(N157,ROUND(AFC_IMPUTABLE_PCT*MIN(W157,TOPE_AFC_UF*UF_HOY)*DATEDIF(E157,FQ_FECHA+1,"m"),0)),0))</f>
        <v/>
      </c>
      <c r="Q157" s="85" t="str">
        <f aca="false">IF(G157&lt;&gt;"Sí","",M157+N157+O157+P157)</f>
        <v/>
      </c>
      <c r="R157" s="85" t="str">
        <f aca="false">IF(G157&lt;&gt;"Sí","",M157)</f>
        <v/>
      </c>
      <c r="S157" s="85" t="str">
        <f aca="false">IF(U157="","",IF(INDEX(CC_ESTADOC,148)="Renovación registrada","",ROUND(MAX(0,IF(U157&lt;=0,0,WORKDAY(F157,INT(U157),FERIADOS)-F157+(U157-INT(U157))))*V157,0)+IF(D157="Obra o faena",ROUND(OBRA_DIAS*K157/30*(DATEDIF(E157,F157+1,"m")+IF(F157+1-EDATE(E157,DATEDIF(E157,F157+1,"m"))&gt;15,1,0)),0),0)))</f>
        <v/>
      </c>
      <c r="T157" s="70" t="str">
        <f aca="false">IF(G157&lt;&gt;"Sí","",IF(D157="Plazo fijo","Despido antes del vencimiento: además existe riesgo de demanda por las remuneraciones hasta el término del plazo",IF(D157="Obra o faena","Al concluir la obra corresponde indemnización de 2,5 días por mes (incluida en la columna S); no IAS",IF(I157=0,"Menos de 1 año: no corresponde IAS (Art. 163)",IF(I157=TOPE_IAS_ANIOS,"IAS en el tope de 11 años","")))))</f>
        <v/>
      </c>
      <c r="U157" s="95" t="str">
        <f aca="false">IF(OR(G157&lt;&gt;"Sí",NOT(ISNUMBER(F157))),"",IF(F157&lt;FQ_FECHA,"",(1.25*(DATEDIF(E157,F157+1,"m")+(F157+1-EDATE(E157,DATEDIF(E157,F157+1,"m")))/30)+SUMPRODUCT((ANIOS&lt;=DATEDIF(E157,F157+1,"y"))*(X157+ANIOS-10&gt;0)*INT((X157+ANIOS-10)/3))-(SUMIFS(V_DIAS,V_ID,B157,V_INICIO,"&lt;="&amp;F157)+Y157))))</f>
        <v/>
      </c>
      <c r="V157" s="71" t="str">
        <f aca="false">IF(G157&lt;&gt;"Sí","",(N(INDEX(T_SUELDO,148))+N(INDEX(T_BONO,148)))/30)</f>
        <v/>
      </c>
      <c r="W157" s="71" t="str">
        <f aca="false">IF(G157&lt;&gt;"Sí","",N(INDEX(T_SUELDO,148))+N(INDEX(T_BONO,148))+IF(LEFT(INDEX(T_GRAT,148)&amp;"",6)="Art. 5",MIN(GRAT_PCT*(N(INDEX(T_SUELDO,148))+N(INDEX(T_BONO,148))),GRAT_TOPE_MES),0))</f>
        <v/>
      </c>
      <c r="X157" s="72" t="str">
        <f aca="false">IF(B157="","",MIN(10,N(INDEX(T_PREV,148))))</f>
        <v/>
      </c>
      <c r="Y157" s="72" t="str">
        <f aca="false">IF(B157="","",N(INDEX(T_VACPREV,148)))</f>
        <v/>
      </c>
      <c r="Z157" s="75" t="str">
        <f aca="false">IF(B157="","",N(INDEX(T_EGRESO,148)))</f>
        <v/>
      </c>
    </row>
    <row r="158" customFormat="false" ht="15" hidden="false" customHeight="false" outlineLevel="0" collapsed="false">
      <c r="B158" s="70" t="str">
        <f aca="false">IFERROR(IF(INDEX(T_ID,149)="","",INDEX(T_ID,149)),"")</f>
        <v/>
      </c>
      <c r="C158" s="70" t="str">
        <f aca="false">IF(B158="","",INDEX(T_NOMBRE,149)&amp;"")</f>
        <v/>
      </c>
      <c r="D158" s="70" t="str">
        <f aca="false">IF(B158="","",INDEX(T_TIPO,149)&amp;"")</f>
        <v/>
      </c>
      <c r="E158" s="75" t="str">
        <f aca="false">IF(B158="","",INDEX(T_INGRESO,149))</f>
        <v/>
      </c>
      <c r="F158" s="75" t="str">
        <f aca="false">IF(B158="","",IF(ISNUMBER(INDEX(CC_VENCE,149)),INDEX(CC_VENCE,149),""))</f>
        <v/>
      </c>
      <c r="G158" s="70" t="str">
        <f aca="false">IF(OR(B158="",NOT(ISNUMBER(E158))),"",IF(AND(E158&lt;=FQ_FECHA,OR(Z158=0,Z158&gt;=FQ_FECHA)),"Sí","No"))</f>
        <v/>
      </c>
      <c r="H158" s="94" t="str">
        <f aca="false">IF(G158&lt;&gt;"Sí","",ROUND((FQ_FECHA+1-E158)/365.25,1))</f>
        <v/>
      </c>
      <c r="I158" s="73" t="str">
        <f aca="false">IF(G158&lt;&gt;"Sí","",IF(DATEDIF(E158,FQ_FECHA+1,"y")&lt;1,0,MIN(TOPE_IAS_ANIOS,DATEDIF(E158,FQ_FECHA+1,"y")+IF(EDATE(E158,12*DATEDIF(E158,FQ_FECHA+1,"y")+6)&lt;FQ_FECHA+1,1,0))))</f>
        <v/>
      </c>
      <c r="J158" s="71" t="str">
        <f aca="false">IF(G158&lt;&gt;"Sí","",W158+N(INDEX(T_COL,149))+N(INDEX(T_MOV,149)))</f>
        <v/>
      </c>
      <c r="K158" s="71" t="str">
        <f aca="false">IF(G158&lt;&gt;"Sí","",MIN(J158,TOPE_IAS_UF*UF_HOY))</f>
        <v/>
      </c>
      <c r="L158" s="95" t="str">
        <f aca="false">IF(G158&lt;&gt;"Sí","",(1.25*(DATEDIF(E158,FQ_FECHA+1,"m")+(FQ_FECHA+1-EDATE(E158,DATEDIF(E158,FQ_FECHA+1,"m")))/30)+SUMPRODUCT((ANIOS&lt;=DATEDIF(E158,FQ_FECHA+1,"y"))*(X158+ANIOS-10&gt;0)*INT((X158+ANIOS-10)/3))-(SUMIFS(V_DIAS,V_ID,B158,V_INICIO,"&lt;="&amp;FQ_FECHA)+Y158)))</f>
        <v/>
      </c>
      <c r="M158" s="71" t="str">
        <f aca="false">IF(G158&lt;&gt;"Sí","",ROUND(MAX(0,IF(L158&lt;=0,0,WORKDAY(FQ_FECHA,INT(L158),FERIADOS)-FQ_FECHA+(L158-INT(L158))))*V158,0))</f>
        <v/>
      </c>
      <c r="N158" s="71" t="str">
        <f aca="false">IF(G158&lt;&gt;"Sí","",IF(D158="Obra o faena",0,ROUND(K158*I158,0)))</f>
        <v/>
      </c>
      <c r="O158" s="71" t="str">
        <f aca="false">IF(G158&lt;&gt;"Sí","",IF(OR(D158="Obra o faena",FQ_AVISO="Sí"),0,ROUND(K158,0)))</f>
        <v/>
      </c>
      <c r="P158" s="71" t="str">
        <f aca="false">IF(G158&lt;&gt;"Sí","",IF(AND(IMPUTAR_AFC="Sí",N158&gt;0),-MIN(N158,ROUND(AFC_IMPUTABLE_PCT*MIN(W158,TOPE_AFC_UF*UF_HOY)*DATEDIF(E158,FQ_FECHA+1,"m"),0)),0))</f>
        <v/>
      </c>
      <c r="Q158" s="85" t="str">
        <f aca="false">IF(G158&lt;&gt;"Sí","",M158+N158+O158+P158)</f>
        <v/>
      </c>
      <c r="R158" s="85" t="str">
        <f aca="false">IF(G158&lt;&gt;"Sí","",M158)</f>
        <v/>
      </c>
      <c r="S158" s="85" t="str">
        <f aca="false">IF(U158="","",IF(INDEX(CC_ESTADOC,149)="Renovación registrada","",ROUND(MAX(0,IF(U158&lt;=0,0,WORKDAY(F158,INT(U158),FERIADOS)-F158+(U158-INT(U158))))*V158,0)+IF(D158="Obra o faena",ROUND(OBRA_DIAS*K158/30*(DATEDIF(E158,F158+1,"m")+IF(F158+1-EDATE(E158,DATEDIF(E158,F158+1,"m"))&gt;15,1,0)),0),0)))</f>
        <v/>
      </c>
      <c r="T158" s="70" t="str">
        <f aca="false">IF(G158&lt;&gt;"Sí","",IF(D158="Plazo fijo","Despido antes del vencimiento: además existe riesgo de demanda por las remuneraciones hasta el término del plazo",IF(D158="Obra o faena","Al concluir la obra corresponde indemnización de 2,5 días por mes (incluida en la columna S); no IAS",IF(I158=0,"Menos de 1 año: no corresponde IAS (Art. 163)",IF(I158=TOPE_IAS_ANIOS,"IAS en el tope de 11 años","")))))</f>
        <v/>
      </c>
      <c r="U158" s="95" t="str">
        <f aca="false">IF(OR(G158&lt;&gt;"Sí",NOT(ISNUMBER(F158))),"",IF(F158&lt;FQ_FECHA,"",(1.25*(DATEDIF(E158,F158+1,"m")+(F158+1-EDATE(E158,DATEDIF(E158,F158+1,"m")))/30)+SUMPRODUCT((ANIOS&lt;=DATEDIF(E158,F158+1,"y"))*(X158+ANIOS-10&gt;0)*INT((X158+ANIOS-10)/3))-(SUMIFS(V_DIAS,V_ID,B158,V_INICIO,"&lt;="&amp;F158)+Y158))))</f>
        <v/>
      </c>
      <c r="V158" s="71" t="str">
        <f aca="false">IF(G158&lt;&gt;"Sí","",(N(INDEX(T_SUELDO,149))+N(INDEX(T_BONO,149)))/30)</f>
        <v/>
      </c>
      <c r="W158" s="71" t="str">
        <f aca="false">IF(G158&lt;&gt;"Sí","",N(INDEX(T_SUELDO,149))+N(INDEX(T_BONO,149))+IF(LEFT(INDEX(T_GRAT,149)&amp;"",6)="Art. 5",MIN(GRAT_PCT*(N(INDEX(T_SUELDO,149))+N(INDEX(T_BONO,149))),GRAT_TOPE_MES),0))</f>
        <v/>
      </c>
      <c r="X158" s="72" t="str">
        <f aca="false">IF(B158="","",MIN(10,N(INDEX(T_PREV,149))))</f>
        <v/>
      </c>
      <c r="Y158" s="72" t="str">
        <f aca="false">IF(B158="","",N(INDEX(T_VACPREV,149)))</f>
        <v/>
      </c>
      <c r="Z158" s="75" t="str">
        <f aca="false">IF(B158="","",N(INDEX(T_EGRESO,149)))</f>
        <v/>
      </c>
    </row>
    <row r="159" customFormat="false" ht="15" hidden="false" customHeight="false" outlineLevel="0" collapsed="false">
      <c r="B159" s="70" t="str">
        <f aca="false">IFERROR(IF(INDEX(T_ID,150)="","",INDEX(T_ID,150)),"")</f>
        <v/>
      </c>
      <c r="C159" s="70" t="str">
        <f aca="false">IF(B159="","",INDEX(T_NOMBRE,150)&amp;"")</f>
        <v/>
      </c>
      <c r="D159" s="70" t="str">
        <f aca="false">IF(B159="","",INDEX(T_TIPO,150)&amp;"")</f>
        <v/>
      </c>
      <c r="E159" s="75" t="str">
        <f aca="false">IF(B159="","",INDEX(T_INGRESO,150))</f>
        <v/>
      </c>
      <c r="F159" s="75" t="str">
        <f aca="false">IF(B159="","",IF(ISNUMBER(INDEX(CC_VENCE,150)),INDEX(CC_VENCE,150),""))</f>
        <v/>
      </c>
      <c r="G159" s="70" t="str">
        <f aca="false">IF(OR(B159="",NOT(ISNUMBER(E159))),"",IF(AND(E159&lt;=FQ_FECHA,OR(Z159=0,Z159&gt;=FQ_FECHA)),"Sí","No"))</f>
        <v/>
      </c>
      <c r="H159" s="94" t="str">
        <f aca="false">IF(G159&lt;&gt;"Sí","",ROUND((FQ_FECHA+1-E159)/365.25,1))</f>
        <v/>
      </c>
      <c r="I159" s="73" t="str">
        <f aca="false">IF(G159&lt;&gt;"Sí","",IF(DATEDIF(E159,FQ_FECHA+1,"y")&lt;1,0,MIN(TOPE_IAS_ANIOS,DATEDIF(E159,FQ_FECHA+1,"y")+IF(EDATE(E159,12*DATEDIF(E159,FQ_FECHA+1,"y")+6)&lt;FQ_FECHA+1,1,0))))</f>
        <v/>
      </c>
      <c r="J159" s="71" t="str">
        <f aca="false">IF(G159&lt;&gt;"Sí","",W159+N(INDEX(T_COL,150))+N(INDEX(T_MOV,150)))</f>
        <v/>
      </c>
      <c r="K159" s="71" t="str">
        <f aca="false">IF(G159&lt;&gt;"Sí","",MIN(J159,TOPE_IAS_UF*UF_HOY))</f>
        <v/>
      </c>
      <c r="L159" s="95" t="str">
        <f aca="false">IF(G159&lt;&gt;"Sí","",(1.25*(DATEDIF(E159,FQ_FECHA+1,"m")+(FQ_FECHA+1-EDATE(E159,DATEDIF(E159,FQ_FECHA+1,"m")))/30)+SUMPRODUCT((ANIOS&lt;=DATEDIF(E159,FQ_FECHA+1,"y"))*(X159+ANIOS-10&gt;0)*INT((X159+ANIOS-10)/3))-(SUMIFS(V_DIAS,V_ID,B159,V_INICIO,"&lt;="&amp;FQ_FECHA)+Y159)))</f>
        <v/>
      </c>
      <c r="M159" s="71" t="str">
        <f aca="false">IF(G159&lt;&gt;"Sí","",ROUND(MAX(0,IF(L159&lt;=0,0,WORKDAY(FQ_FECHA,INT(L159),FERIADOS)-FQ_FECHA+(L159-INT(L159))))*V159,0))</f>
        <v/>
      </c>
      <c r="N159" s="71" t="str">
        <f aca="false">IF(G159&lt;&gt;"Sí","",IF(D159="Obra o faena",0,ROUND(K159*I159,0)))</f>
        <v/>
      </c>
      <c r="O159" s="71" t="str">
        <f aca="false">IF(G159&lt;&gt;"Sí","",IF(OR(D159="Obra o faena",FQ_AVISO="Sí"),0,ROUND(K159,0)))</f>
        <v/>
      </c>
      <c r="P159" s="71" t="str">
        <f aca="false">IF(G159&lt;&gt;"Sí","",IF(AND(IMPUTAR_AFC="Sí",N159&gt;0),-MIN(N159,ROUND(AFC_IMPUTABLE_PCT*MIN(W159,TOPE_AFC_UF*UF_HOY)*DATEDIF(E159,FQ_FECHA+1,"m"),0)),0))</f>
        <v/>
      </c>
      <c r="Q159" s="85" t="str">
        <f aca="false">IF(G159&lt;&gt;"Sí","",M159+N159+O159+P159)</f>
        <v/>
      </c>
      <c r="R159" s="85" t="str">
        <f aca="false">IF(G159&lt;&gt;"Sí","",M159)</f>
        <v/>
      </c>
      <c r="S159" s="85" t="str">
        <f aca="false">IF(U159="","",IF(INDEX(CC_ESTADOC,150)="Renovación registrada","",ROUND(MAX(0,IF(U159&lt;=0,0,WORKDAY(F159,INT(U159),FERIADOS)-F159+(U159-INT(U159))))*V159,0)+IF(D159="Obra o faena",ROUND(OBRA_DIAS*K159/30*(DATEDIF(E159,F159+1,"m")+IF(F159+1-EDATE(E159,DATEDIF(E159,F159+1,"m"))&gt;15,1,0)),0),0)))</f>
        <v/>
      </c>
      <c r="T159" s="70" t="str">
        <f aca="false">IF(G159&lt;&gt;"Sí","",IF(D159="Plazo fijo","Despido antes del vencimiento: además existe riesgo de demanda por las remuneraciones hasta el término del plazo",IF(D159="Obra o faena","Al concluir la obra corresponde indemnización de 2,5 días por mes (incluida en la columna S); no IAS",IF(I159=0,"Menos de 1 año: no corresponde IAS (Art. 163)",IF(I159=TOPE_IAS_ANIOS,"IAS en el tope de 11 años","")))))</f>
        <v/>
      </c>
      <c r="U159" s="95" t="str">
        <f aca="false">IF(OR(G159&lt;&gt;"Sí",NOT(ISNUMBER(F159))),"",IF(F159&lt;FQ_FECHA,"",(1.25*(DATEDIF(E159,F159+1,"m")+(F159+1-EDATE(E159,DATEDIF(E159,F159+1,"m")))/30)+SUMPRODUCT((ANIOS&lt;=DATEDIF(E159,F159+1,"y"))*(X159+ANIOS-10&gt;0)*INT((X159+ANIOS-10)/3))-(SUMIFS(V_DIAS,V_ID,B159,V_INICIO,"&lt;="&amp;F159)+Y159))))</f>
        <v/>
      </c>
      <c r="V159" s="71" t="str">
        <f aca="false">IF(G159&lt;&gt;"Sí","",(N(INDEX(T_SUELDO,150))+N(INDEX(T_BONO,150)))/30)</f>
        <v/>
      </c>
      <c r="W159" s="71" t="str">
        <f aca="false">IF(G159&lt;&gt;"Sí","",N(INDEX(T_SUELDO,150))+N(INDEX(T_BONO,150))+IF(LEFT(INDEX(T_GRAT,150)&amp;"",6)="Art. 5",MIN(GRAT_PCT*(N(INDEX(T_SUELDO,150))+N(INDEX(T_BONO,150))),GRAT_TOPE_MES),0))</f>
        <v/>
      </c>
      <c r="X159" s="72" t="str">
        <f aca="false">IF(B159="","",MIN(10,N(INDEX(T_PREV,150))))</f>
        <v/>
      </c>
      <c r="Y159" s="72" t="str">
        <f aca="false">IF(B159="","",N(INDEX(T_VACPREV,150)))</f>
        <v/>
      </c>
      <c r="Z159" s="75" t="str">
        <f aca="false">IF(B159="","",N(INDEX(T_EGRESO,150)))</f>
        <v/>
      </c>
    </row>
    <row r="160" customFormat="false" ht="15" hidden="false" customHeight="false" outlineLevel="0" collapsed="false">
      <c r="B160" s="59" t="s">
        <v>523</v>
      </c>
      <c r="C160" s="59"/>
      <c r="D160" s="59"/>
      <c r="E160" s="96"/>
      <c r="F160" s="96"/>
      <c r="G160" s="59"/>
      <c r="H160" s="61"/>
      <c r="I160" s="84"/>
      <c r="J160" s="62"/>
      <c r="K160" s="62"/>
      <c r="L160" s="97"/>
      <c r="M160" s="62" t="n">
        <f aca="false">SUM(M10:M159)</f>
        <v>2523597</v>
      </c>
      <c r="N160" s="62" t="n">
        <f aca="false">SUM(N10:N159)</f>
        <v>12924690</v>
      </c>
      <c r="O160" s="62" t="n">
        <f aca="false">SUM(O10:O159)</f>
        <v>4576615</v>
      </c>
      <c r="P160" s="62" t="n">
        <f aca="false">SUM(P10:P159)</f>
        <v>-2243691</v>
      </c>
      <c r="Q160" s="62" t="n">
        <f aca="false">SUM(Q10:Q159)</f>
        <v>17781211</v>
      </c>
      <c r="R160" s="62" t="n">
        <f aca="false">SUM(R10:R159)</f>
        <v>2523597</v>
      </c>
      <c r="S160" s="62" t="n">
        <f aca="false">SUM(S10:S159)</f>
        <v>935583</v>
      </c>
      <c r="T160" s="59"/>
      <c r="U160" s="97"/>
      <c r="V160" s="62"/>
      <c r="W160" s="62"/>
      <c r="X160" s="59"/>
      <c r="Y160" s="59"/>
      <c r="Z160" s="96"/>
    </row>
  </sheetData>
  <conditionalFormatting sqref="B10:T159">
    <cfRule type="expression" priority="2" aboveAverage="0" equalAverage="0" bottom="0" percent="0" rank="0" text="" dxfId="14">
      <formula>$G10="No"</formula>
    </cfRule>
  </conditionalFormatting>
  <dataValidations count="2">
    <dataValidation allowBlank="true" error="Ingrese una fecha (dd-mm-aaaa)." errorStyle="stop" errorTitle="Fecha no válida" operator="between" showDropDown="false" showErrorMessage="true" showInputMessage="false" sqref="C5" type="date">
      <formula1>32874</formula1>
      <formula2>73051</formula2>
    </dataValidation>
    <dataValidation allowBlank="true" error="Seleccione un valor de la lista desplegable." errorStyle="stop" errorTitle="Valor no válido" operator="between" showDropDown="false" showErrorMessage="true" showInputMessage="false" sqref="C6" type="list">
      <formula1>LS_SINO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4A"/>
    <pageSetUpPr fitToPage="false"/>
  </sheetPr>
  <dimension ref="B2:H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3" min="3" style="0" width="36"/>
    <col collapsed="false" customWidth="true" hidden="false" outlineLevel="0" max="4" min="4" style="0" width="64"/>
    <col collapsed="false" customWidth="true" hidden="true" outlineLevel="0" max="8" min="8" style="0" width="10"/>
  </cols>
  <sheetData>
    <row r="2" customFormat="false" ht="24" hidden="false" customHeight="true" outlineLevel="0" collapsed="false">
      <c r="B2" s="1" t="s">
        <v>524</v>
      </c>
      <c r="C2" s="2"/>
      <c r="D2" s="2"/>
      <c r="E2" s="2"/>
    </row>
    <row r="3" customFormat="false" ht="15.75" hidden="false" customHeight="true" outlineLevel="0" collapsed="false">
      <c r="B3" s="3" t="s">
        <v>525</v>
      </c>
      <c r="C3" s="2"/>
      <c r="D3" s="2"/>
      <c r="E3" s="2"/>
    </row>
    <row r="4" customFormat="false" ht="15" hidden="false" customHeight="false" outlineLevel="0" collapsed="false">
      <c r="B4" s="63" t="s">
        <v>220</v>
      </c>
    </row>
    <row r="5" customFormat="false" ht="15" hidden="false" customHeight="false" outlineLevel="0" collapsed="false">
      <c r="B5" s="92" t="s">
        <v>376</v>
      </c>
      <c r="C5" s="88" t="s">
        <v>177</v>
      </c>
      <c r="D5" s="80" t="str">
        <f aca="false">IF($H$5="","⚠ ID no encontrado",INDEX(T_NOMBRE,$H$5)&amp;"")</f>
        <v>María Soto (EJEMPLO)</v>
      </c>
      <c r="H5" s="81" t="n">
        <f aca="false">IFERROR(MATCH($C$5,T_ID,0),"")</f>
        <v>1</v>
      </c>
    </row>
    <row r="6" customFormat="false" ht="15" hidden="false" customHeight="false" outlineLevel="0" collapsed="false">
      <c r="B6" s="92" t="s">
        <v>526</v>
      </c>
      <c r="C6" s="98" t="n">
        <v>46326</v>
      </c>
      <c r="H6" s="89" t="b">
        <f aca="false">ISNUMBER(SEARCH("Art. 161",$C$7))</f>
        <v>1</v>
      </c>
    </row>
    <row r="7" customFormat="false" ht="15" hidden="false" customHeight="false" outlineLevel="0" collapsed="false">
      <c r="B7" s="92" t="s">
        <v>527</v>
      </c>
      <c r="C7" s="88" t="s">
        <v>528</v>
      </c>
      <c r="H7" s="89" t="b">
        <f aca="false">ISNUMBER(SEARCH("N°5",$C$7))</f>
        <v>0</v>
      </c>
    </row>
    <row r="8" customFormat="false" ht="15" hidden="false" customHeight="false" outlineLevel="0" collapsed="false">
      <c r="B8" s="92" t="s">
        <v>529</v>
      </c>
      <c r="C8" s="88" t="s">
        <v>270</v>
      </c>
      <c r="H8" s="89" t="b">
        <f aca="false">AND(ISNUMBER($H$5),ISNUMBER($C$6),$C$7&lt;&gt;"")</f>
        <v>1</v>
      </c>
    </row>
    <row r="9" customFormat="false" ht="15" hidden="false" customHeight="false" outlineLevel="0" collapsed="false">
      <c r="B9" s="92" t="s">
        <v>530</v>
      </c>
      <c r="C9" s="101"/>
    </row>
    <row r="10" customFormat="false" ht="15" hidden="false" customHeight="false" outlineLevel="0" collapsed="false">
      <c r="B10" s="92" t="s">
        <v>531</v>
      </c>
      <c r="C10" s="101"/>
    </row>
    <row r="11" customFormat="false" ht="15" hidden="false" customHeight="false" outlineLevel="0" collapsed="false">
      <c r="B11" s="92" t="s">
        <v>532</v>
      </c>
      <c r="C11" s="101"/>
    </row>
    <row r="13" customFormat="false" ht="15" hidden="false" customHeight="false" outlineLevel="0" collapsed="false">
      <c r="B13" s="4" t="s">
        <v>533</v>
      </c>
    </row>
    <row r="14" customFormat="false" ht="15" hidden="false" customHeight="false" outlineLevel="0" collapsed="false">
      <c r="B14" s="91" t="s">
        <v>153</v>
      </c>
      <c r="C14" s="72" t="str">
        <f aca="false">IF($H$8,INDEX(T_RUT,$H$5)&amp;"","")</f>
        <v>11.111.111-1</v>
      </c>
      <c r="D14" s="51"/>
    </row>
    <row r="15" customFormat="false" ht="15" hidden="false" customHeight="false" outlineLevel="0" collapsed="false">
      <c r="B15" s="91" t="s">
        <v>113</v>
      </c>
      <c r="C15" s="72" t="str">
        <f aca="false">IF($H$8,INDEX(T_CARGO,$H$5)&amp;"","")</f>
        <v>Jefa de Producción</v>
      </c>
      <c r="D15" s="51"/>
    </row>
    <row r="16" customFormat="false" ht="15" hidden="false" customHeight="false" outlineLevel="0" collapsed="false">
      <c r="B16" s="91" t="s">
        <v>534</v>
      </c>
      <c r="C16" s="72" t="str">
        <f aca="false">IF($H$8,IFERROR(INDEX(C_TIPO,MATCH($C$5&amp;"-P"&amp;MAX(1,COUNTIFS(C_ID,$C$5,C_DEFINE,"Sí",C_INICIO,"&lt;="&amp;$C$6)),C_CLAVE,0))&amp;"","Sin contrato"),"")</f>
        <v>Indefinido</v>
      </c>
      <c r="D16" s="51"/>
    </row>
    <row r="17" customFormat="false" ht="15" hidden="false" customHeight="false" outlineLevel="0" collapsed="false">
      <c r="B17" s="91" t="s">
        <v>535</v>
      </c>
      <c r="C17" s="75" t="str">
        <f aca="false">IF($H$8,IFERROR(IF(N(INDEX(C_TERMINO,MATCH($C$5&amp;"-P"&amp;MAX(1,COUNTIFS(C_ID,$C$5,C_DEFINE,"Sí",C_INICIO,"&lt;="&amp;$C$6)),C_CLAVE,0)))=0,"—",INDEX(C_TERMINO,MATCH($C$5&amp;"-P"&amp;MAX(1,COUNTIFS(C_ID,$C$5,C_DEFINE,"Sí",C_INICIO,"&lt;="&amp;$C$6)),C_CLAVE,0))),"—"),"")</f>
        <v>—</v>
      </c>
      <c r="D17" s="51"/>
    </row>
    <row r="18" customFormat="false" ht="15" hidden="false" customHeight="false" outlineLevel="0" collapsed="false">
      <c r="B18" s="91" t="s">
        <v>156</v>
      </c>
      <c r="C18" s="75" t="n">
        <f aca="false">IF($H$8,INDEX(T_INGRESO,$H$5),"")</f>
        <v>44256</v>
      </c>
      <c r="D18" s="51"/>
    </row>
    <row r="19" customFormat="false" ht="15" hidden="false" customHeight="false" outlineLevel="0" collapsed="false">
      <c r="B19" s="91" t="s">
        <v>536</v>
      </c>
      <c r="C19" s="72" t="str">
        <f aca="false">IF($H$8,DATEDIF($C$18,$C$6+1,"y")&amp;" años, "&amp;DATEDIF($C$18,$C$6+1,"ym")&amp;" meses y "&amp;($C$6+1-EDATE($C$18,DATEDIF($C$18,$C$6+1,"m")))&amp;" días","")</f>
        <v>5 años, 8 meses y 0 días</v>
      </c>
      <c r="D19" s="51"/>
    </row>
    <row r="20" customFormat="false" ht="15" hidden="false" customHeight="false" outlineLevel="0" collapsed="false">
      <c r="B20" s="91" t="s">
        <v>537</v>
      </c>
      <c r="C20" s="71" t="n">
        <f aca="false">IF($H$8,IFERROR(INDEX(C_SUELDO,MATCH($C$5&amp;"-S"&amp;MAX(1,COUNTIFS(C_ID,$C$5,C_SUELDO,"&lt;&gt;",C_INICIO,"&lt;="&amp;$C$6)),C_CLAVES,0)),0),0)</f>
        <v>1250000</v>
      </c>
      <c r="D20" s="51" t="s">
        <v>538</v>
      </c>
    </row>
    <row r="21" customFormat="false" ht="15" hidden="false" customHeight="false" outlineLevel="0" collapsed="false">
      <c r="B21" s="91" t="s">
        <v>539</v>
      </c>
      <c r="C21" s="71" t="n">
        <f aca="false">IF($H$8,N(INDEX(T_BONO,$H$5)),0)</f>
        <v>100000</v>
      </c>
      <c r="D21" s="51"/>
    </row>
    <row r="22" customFormat="false" ht="15" hidden="false" customHeight="false" outlineLevel="0" collapsed="false">
      <c r="B22" s="91" t="s">
        <v>540</v>
      </c>
      <c r="C22" s="71" t="n">
        <f aca="false">IF($H$8,IF(LEFT(INDEX(T_GRAT,$H$5)&amp;"",6)="Art. 5",MIN(GRAT_PCT*($C$20+$C$21),GRAT_TOPE_MES),0),0)</f>
        <v>219115</v>
      </c>
      <c r="D22" s="51" t="s">
        <v>541</v>
      </c>
    </row>
    <row r="23" customFormat="false" ht="15" hidden="false" customHeight="false" outlineLevel="0" collapsed="false">
      <c r="B23" s="91" t="s">
        <v>349</v>
      </c>
      <c r="C23" s="71" t="n">
        <f aca="false">IF($H$8,N(INDEX(T_COL,$H$5)),0)</f>
        <v>60000</v>
      </c>
      <c r="D23" s="51"/>
    </row>
    <row r="24" customFormat="false" ht="15" hidden="false" customHeight="false" outlineLevel="0" collapsed="false">
      <c r="B24" s="91" t="s">
        <v>350</v>
      </c>
      <c r="C24" s="71" t="n">
        <f aca="false">IF($H$8,N(INDEX(T_MOV,$H$5)),0)</f>
        <v>40000</v>
      </c>
      <c r="D24" s="51"/>
    </row>
    <row r="25" customFormat="false" ht="15" hidden="false" customHeight="false" outlineLevel="0" collapsed="false">
      <c r="B25" s="92" t="s">
        <v>542</v>
      </c>
      <c r="C25" s="62" t="n">
        <f aca="false">$C$20+$C$21+$C$22+$C$23+$C$24</f>
        <v>1669115</v>
      </c>
      <c r="D25" s="51" t="s">
        <v>543</v>
      </c>
    </row>
    <row r="26" customFormat="false" ht="15" hidden="false" customHeight="false" outlineLevel="0" collapsed="false">
      <c r="B26" s="92" t="s">
        <v>544</v>
      </c>
      <c r="C26" s="62" t="n">
        <f aca="false">MIN($C$25,TOPE_IAS_UF*UF_HOY)</f>
        <v>1669115</v>
      </c>
      <c r="D26" s="51" t="str">
        <f aca="false">"Tope: 90 UF = $"&amp;FIXED(TOPE_IAS_UF*UF_HOY,0)</f>
        <v>Tope: 90 UF = $3,712,287</v>
      </c>
    </row>
    <row r="28" customFormat="false" ht="15" hidden="false" customHeight="false" outlineLevel="0" collapsed="false">
      <c r="B28" s="4" t="s">
        <v>545</v>
      </c>
    </row>
    <row r="29" customFormat="false" ht="15" hidden="false" customHeight="false" outlineLevel="0" collapsed="false">
      <c r="B29" s="91" t="s">
        <v>546</v>
      </c>
      <c r="C29" s="95" t="n">
        <f aca="false">IF($H$8,1.25*(DATEDIF($C$18,$C$6+1,"m")+($C$6+1-EDATE($C$18,DATEDIF($C$18,$C$6+1,"m")))/30),0)</f>
        <v>85</v>
      </c>
      <c r="D29" s="51" t="s">
        <v>547</v>
      </c>
    </row>
    <row r="30" customFormat="false" ht="15" hidden="false" customHeight="false" outlineLevel="0" collapsed="false">
      <c r="B30" s="91" t="s">
        <v>548</v>
      </c>
      <c r="C30" s="73" t="n">
        <f aca="false">IF($H$8,SUMPRODUCT((ANIOS&lt;=DATEDIF($C$18,$C$6+1,"y"))*(MIN(10,N(INDEX(T_PREV,$H$5)))+ANIOS-10&gt;0)*INT((MIN(10,N(INDEX(T_PREV,$H$5)))+ANIOS-10)/3)),0)</f>
        <v>1</v>
      </c>
      <c r="D30" s="51" t="s">
        <v>549</v>
      </c>
    </row>
    <row r="31" customFormat="false" ht="15" hidden="false" customHeight="false" outlineLevel="0" collapsed="false">
      <c r="B31" s="91" t="s">
        <v>550</v>
      </c>
      <c r="C31" s="94" t="n">
        <f aca="false">IF($H$8,SUMIFS(V_DIAS,V_ID,$C$5,V_INICIO,"&lt;="&amp;$C$6)+N(INDEX(T_VACPREV,$H$5)),0)</f>
        <v>70</v>
      </c>
      <c r="D31" s="51" t="s">
        <v>551</v>
      </c>
    </row>
    <row r="32" customFormat="false" ht="15" hidden="false" customHeight="false" outlineLevel="0" collapsed="false">
      <c r="B32" s="91" t="s">
        <v>552</v>
      </c>
      <c r="C32" s="95" t="n">
        <f aca="false">$C$29+$C$30-$C$31</f>
        <v>16</v>
      </c>
      <c r="D32" s="51"/>
    </row>
    <row r="33" customFormat="false" ht="15" hidden="false" customHeight="false" outlineLevel="0" collapsed="false">
      <c r="B33" s="91" t="s">
        <v>553</v>
      </c>
      <c r="C33" s="95" t="n">
        <f aca="false">IF($H$8,MAX(0,IF($C$32&lt;=0,0,WORKDAY($C$6,INT($C$32),FERIADOS)-$C$6+($C$32-INT($C$32)))),0)</f>
        <v>23</v>
      </c>
      <c r="D33" s="51" t="s">
        <v>554</v>
      </c>
    </row>
    <row r="34" customFormat="false" ht="15" hidden="false" customHeight="false" outlineLevel="0" collapsed="false">
      <c r="B34" s="91" t="s">
        <v>555</v>
      </c>
      <c r="C34" s="71" t="n">
        <f aca="false">($C$20+$C$21)/30</f>
        <v>45000</v>
      </c>
      <c r="D34" s="51" t="s">
        <v>556</v>
      </c>
    </row>
    <row r="35" customFormat="false" ht="15" hidden="false" customHeight="false" outlineLevel="0" collapsed="false">
      <c r="B35" s="92" t="s">
        <v>557</v>
      </c>
      <c r="C35" s="62" t="n">
        <f aca="false">ROUND($C$33*$C$34,0)</f>
        <v>1035000</v>
      </c>
      <c r="D35" s="51" t="s">
        <v>558</v>
      </c>
    </row>
    <row r="37" customFormat="false" ht="15" hidden="false" customHeight="false" outlineLevel="0" collapsed="false">
      <c r="B37" s="4" t="s">
        <v>559</v>
      </c>
    </row>
    <row r="38" customFormat="false" ht="15" hidden="false" customHeight="false" outlineLevel="0" collapsed="false">
      <c r="B38" s="91" t="s">
        <v>560</v>
      </c>
      <c r="C38" s="73" t="n">
        <f aca="false">IF($H$8,IF(DATEDIF($C$18,$C$6+1,"y")&lt;1,0,MIN(TOPE_IAS_ANIOS,DATEDIF($C$18,$C$6+1,"y")+IF(EDATE($C$18,12*DATEDIF($C$18,$C$6+1,"y")+6)&lt;$C$6+1,1,0))),0)</f>
        <v>6</v>
      </c>
      <c r="D38" s="51" t="s">
        <v>561</v>
      </c>
    </row>
    <row r="39" customFormat="false" ht="15" hidden="false" customHeight="false" outlineLevel="0" collapsed="false">
      <c r="B39" s="91" t="s">
        <v>562</v>
      </c>
      <c r="C39" s="71" t="n">
        <f aca="false">IF(AND($H$8,$H$6,$C$16&lt;&gt;"Obra o faena"),ROUND($C$26*$C$38,0),0)</f>
        <v>10014690</v>
      </c>
      <c r="D39" s="51" t="s">
        <v>563</v>
      </c>
    </row>
    <row r="40" customFormat="false" ht="15" hidden="false" customHeight="false" outlineLevel="0" collapsed="false">
      <c r="B40" s="91" t="s">
        <v>564</v>
      </c>
      <c r="C40" s="71" t="n">
        <f aca="false">IF(AND($H$8,$H$6,$C$8&lt;&gt;"Sí",$C$16&lt;&gt;"Obra o faena"),ROUND($C$26,0),0)</f>
        <v>1669115</v>
      </c>
      <c r="D40" s="51" t="s">
        <v>565</v>
      </c>
    </row>
    <row r="41" customFormat="false" ht="15" hidden="false" customHeight="false" outlineLevel="0" collapsed="false">
      <c r="B41" s="91" t="s">
        <v>566</v>
      </c>
      <c r="C41" s="71" t="n">
        <f aca="false">IF(AND($H$8,$H$7,$C$16="Obra o faena"),ROUND(OBRA_DIAS*$C$26/30*(DATEDIF($C$18,$C$6+1,"m")+IF($C$6+1-EDATE($C$18,DATEDIF($C$18,$C$6+1,"m"))&gt;15,1,0)),0),0)</f>
        <v>0</v>
      </c>
      <c r="D41" s="51" t="s">
        <v>567</v>
      </c>
    </row>
    <row r="42" customFormat="false" ht="15" hidden="false" customHeight="false" outlineLevel="0" collapsed="false">
      <c r="B42" s="91" t="s">
        <v>568</v>
      </c>
      <c r="C42" s="71" t="n">
        <f aca="false">IF(AND($H$8,$H$6,$C$39&gt;0,IMPUTAR_AFC="Sí"),-MIN($C$39,IF(ISNUMBER($C$9),$C$9,ROUND(AFC_IMPUTABLE_PCT*MIN($C$20+$C$21+$C$22,TOPE_AFC_UF*UF_HOY)*DATEDIF($C$18,$C$6+1,"m"),0))),0)</f>
        <v>-1707197</v>
      </c>
      <c r="D42" s="51" t="str">
        <f aca="false">IF(ISNUMBER($C$9),"Según certificado AFC ingresado","Estimado: 1,6% × imponible × meses. Use el certificado AFC para el monto real")</f>
        <v>Estimado: 1,6% × imponible × meses. Use el certificado AFC para el monto real</v>
      </c>
    </row>
    <row r="44" customFormat="false" ht="15" hidden="false" customHeight="false" outlineLevel="0" collapsed="false">
      <c r="B44" s="4" t="s">
        <v>569</v>
      </c>
    </row>
    <row r="45" customFormat="false" ht="15" hidden="false" customHeight="false" outlineLevel="0" collapsed="false">
      <c r="B45" s="91" t="s">
        <v>570</v>
      </c>
      <c r="C45" s="71" t="n">
        <f aca="false">$C$35</f>
        <v>1035000</v>
      </c>
      <c r="D45" s="51" t="s">
        <v>571</v>
      </c>
    </row>
    <row r="46" customFormat="false" ht="15" hidden="false" customHeight="false" outlineLevel="0" collapsed="false">
      <c r="B46" s="91" t="s">
        <v>572</v>
      </c>
      <c r="C46" s="71" t="n">
        <f aca="false">$C$39+$C$40+$C$41+$C$42</f>
        <v>9976608</v>
      </c>
      <c r="D46" s="51" t="s">
        <v>573</v>
      </c>
    </row>
    <row r="47" customFormat="false" ht="15" hidden="false" customHeight="false" outlineLevel="0" collapsed="false">
      <c r="B47" s="91" t="s">
        <v>574</v>
      </c>
      <c r="C47" s="71" t="n">
        <f aca="false">N($C$10)</f>
        <v>0</v>
      </c>
      <c r="D47" s="51"/>
    </row>
    <row r="48" customFormat="false" ht="15" hidden="false" customHeight="false" outlineLevel="0" collapsed="false">
      <c r="B48" s="91" t="s">
        <v>575</v>
      </c>
      <c r="C48" s="71" t="n">
        <f aca="false">-N($C$11)</f>
        <v>-0</v>
      </c>
      <c r="D48" s="51"/>
    </row>
    <row r="49" customFormat="false" ht="16.15" hidden="false" customHeight="false" outlineLevel="0" collapsed="false">
      <c r="B49" s="92" t="s">
        <v>576</v>
      </c>
      <c r="C49" s="102" t="n">
        <f aca="false">$C$45+$C$46+$C$47+$C$48</f>
        <v>11011608</v>
      </c>
      <c r="D49" s="51"/>
    </row>
    <row r="51" customFormat="false" ht="15" hidden="false" customHeight="false" outlineLevel="0" collapsed="false">
      <c r="B51" s="4" t="s">
        <v>577</v>
      </c>
    </row>
    <row r="52" customFormat="false" ht="15" hidden="false" customHeight="false" outlineLevel="0" collapsed="false">
      <c r="B52" s="91" t="s">
        <v>578</v>
      </c>
      <c r="C52" s="71" t="n">
        <f aca="false">IF($H$8,ROUND(($C$20+$C$21+$C$22)*MIN(30,DAY($C$6))/30,0),0)</f>
        <v>1569115</v>
      </c>
      <c r="D52" s="51" t="s">
        <v>579</v>
      </c>
    </row>
    <row r="53" customFormat="false" ht="30" hidden="false" customHeight="true" outlineLevel="0" collapsed="false">
      <c r="B53" s="91" t="s">
        <v>580</v>
      </c>
      <c r="C53" s="103" t="str">
        <f aca="false">IF(NOT($H$8),"Complete ID, fecha de término y causal",IF(AND(ISNUMBER(SEARCH("N°4",$C$7)),$C$16&lt;&gt;"Plazo fijo"),"⚠ La causal vencimiento del plazo solo aplica a contratos a plazo fijo",IF(AND($H$7,$C$16&lt;&gt;"Obra o faena"),"⚠ La causal conclusión de la obra solo aplica a contratos por obra o faena",IF(AND(ISNUMBER(SEARCH("N°4",$C$7)),ISNUMBER($C$17)),IF($C$17&lt;&gt;$C$6,"⚠ La fecha de término no coincide con el vencimiento del contrato","OK"),IF(AND($H$6,$C$16="Plazo fijo"),"⚠ Despido anticipado de plazo fijo: riesgo de demanda por remuneraciones hasta el vencimiento",IF(ISNUMBER(SEARCH("Art. 160",$C$7)),"⚠ Sin indemnizaciones. Si un juez lo declara injustificado: IAS + recargo de 80% a 100% (Art. 168)","OK"))))))</f>
        <v>OK</v>
      </c>
      <c r="D53" s="103"/>
    </row>
    <row r="55" customFormat="false" ht="15" hidden="false" customHeight="false" outlineLevel="0" collapsed="false">
      <c r="B55" s="4" t="s">
        <v>581</v>
      </c>
    </row>
    <row r="56" customFormat="false" ht="27.75" hidden="false" customHeight="true" outlineLevel="0" collapsed="false">
      <c r="B56" s="104" t="s">
        <v>582</v>
      </c>
      <c r="C56" s="104"/>
      <c r="D56" s="104"/>
    </row>
    <row r="57" customFormat="false" ht="27.75" hidden="false" customHeight="true" outlineLevel="0" collapsed="false">
      <c r="B57" s="104" t="s">
        <v>583</v>
      </c>
      <c r="C57" s="104"/>
      <c r="D57" s="104"/>
    </row>
    <row r="58" customFormat="false" ht="27.75" hidden="false" customHeight="true" outlineLevel="0" collapsed="false">
      <c r="B58" s="104" t="s">
        <v>584</v>
      </c>
      <c r="C58" s="104"/>
      <c r="D58" s="104"/>
    </row>
    <row r="59" customFormat="false" ht="27.75" hidden="false" customHeight="true" outlineLevel="0" collapsed="false">
      <c r="B59" s="104" t="s">
        <v>585</v>
      </c>
      <c r="C59" s="104"/>
      <c r="D59" s="104"/>
    </row>
    <row r="60" customFormat="false" ht="27.75" hidden="false" customHeight="true" outlineLevel="0" collapsed="false">
      <c r="B60" s="104" t="s">
        <v>586</v>
      </c>
      <c r="C60" s="104"/>
      <c r="D60" s="104"/>
    </row>
  </sheetData>
  <mergeCells count="6">
    <mergeCell ref="C53:D53"/>
    <mergeCell ref="B56:D56"/>
    <mergeCell ref="B57:D57"/>
    <mergeCell ref="B58:D58"/>
    <mergeCell ref="B59:D59"/>
    <mergeCell ref="B60:D60"/>
  </mergeCells>
  <conditionalFormatting sqref="C53">
    <cfRule type="expression" priority="2" aboveAverage="0" equalAverage="0" bottom="0" percent="0" rank="0" text="" dxfId="1">
      <formula>LEFT($C$53,1)="⚠"</formula>
    </cfRule>
    <cfRule type="expression" priority="3" aboveAverage="0" equalAverage="0" bottom="0" percent="0" rank="0" text="" dxfId="28">
      <formula>$C$53="OK"</formula>
    </cfRule>
  </conditionalFormatting>
  <dataValidations count="4">
    <dataValidation allowBlank="true" error="Ingrese una fecha (dd-mm-aaaa)." errorStyle="stop" errorTitle="Fecha no válida" operator="between" showDropDown="false" showErrorMessage="true" showInputMessage="false" sqref="C6" type="date">
      <formula1>32874</formula1>
      <formula2>73051</formula2>
    </dataValidation>
    <dataValidation allowBlank="true" error="Seleccione un valor de la lista desplegable." errorStyle="stop" errorTitle="Valor no válido" operator="between" showDropDown="false" showErrorMessage="true" showInputMessage="false" sqref="C5" type="list">
      <formula1>T_ID</formula1>
      <formula2>0</formula2>
    </dataValidation>
    <dataValidation allowBlank="true" error="Seleccione un valor de la lista desplegable." errorStyle="stop" errorTitle="Valor no válido" operator="between" showDropDown="false" showErrorMessage="true" showInputMessage="false" sqref="C7" type="list">
      <formula1>LS_CAUSALES</formula1>
      <formula2>0</formula2>
    </dataValidation>
    <dataValidation allowBlank="true" error="Seleccione un valor de la lista desplegable." errorStyle="stop" errorTitle="Valor no válido" operator="between" showDropDown="false" showErrorMessage="true" showInputMessage="false" sqref="C8" type="list">
      <formula1>LS_SINO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6C23"/>
    <pageSetUpPr fitToPage="false"/>
  </sheetPr>
  <dimension ref="B2:F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5" min="3" style="0" width="16"/>
    <col collapsed="false" customWidth="true" hidden="false" outlineLevel="0" max="6" min="6" style="0" width="70"/>
  </cols>
  <sheetData>
    <row r="2" customFormat="false" ht="24" hidden="false" customHeight="true" outlineLevel="0" collapsed="false">
      <c r="B2" s="1" t="s">
        <v>587</v>
      </c>
      <c r="C2" s="2"/>
      <c r="D2" s="2"/>
      <c r="E2" s="2"/>
      <c r="F2" s="2"/>
    </row>
    <row r="3" customFormat="false" ht="15.75" hidden="false" customHeight="true" outlineLevel="0" collapsed="false">
      <c r="B3" s="3" t="s">
        <v>588</v>
      </c>
      <c r="C3" s="2"/>
      <c r="D3" s="2"/>
      <c r="E3" s="2"/>
      <c r="F3" s="2"/>
    </row>
    <row r="4" customFormat="false" ht="15" hidden="false" customHeight="false" outlineLevel="0" collapsed="false">
      <c r="B4" s="63" t="s">
        <v>220</v>
      </c>
    </row>
    <row r="5" customFormat="false" ht="15" hidden="false" customHeight="false" outlineLevel="0" collapsed="false">
      <c r="B5" s="4" t="s">
        <v>589</v>
      </c>
    </row>
    <row r="6" customFormat="false" ht="15" hidden="false" customHeight="false" outlineLevel="0" collapsed="false">
      <c r="B6" s="91" t="s">
        <v>590</v>
      </c>
      <c r="C6" s="98"/>
      <c r="D6" s="63" t="s">
        <v>591</v>
      </c>
    </row>
    <row r="7" customFormat="false" ht="15" hidden="false" customHeight="false" outlineLevel="0" collapsed="false">
      <c r="B7" s="91" t="s">
        <v>592</v>
      </c>
      <c r="C7" s="15" t="n">
        <f aca="true">IF(ISNUMBER(C6),C6,TODAY())</f>
        <v>46322</v>
      </c>
    </row>
    <row r="9" customFormat="false" ht="15" hidden="false" customHeight="false" outlineLevel="0" collapsed="false">
      <c r="B9" s="4" t="s">
        <v>593</v>
      </c>
    </row>
    <row r="10" customFormat="false" ht="15" hidden="false" customHeight="false" outlineLevel="0" collapsed="false">
      <c r="B10" s="91" t="s">
        <v>594</v>
      </c>
      <c r="C10" s="105" t="n">
        <f aca="false">IFERROR(IF(SUMPRODUCT(MAX((IND_PER&lt;=FECHA_CORTE)*(IND_UF&lt;&gt;"")*IND_PER))=0,INDEX(IND_UF,1),INDEX(IND_UF,MATCH(SUMPRODUCT(MAX((IND_PER&lt;=FECHA_CORTE)*(IND_UF&lt;&gt;"")*IND_PER)),IND_PER,0))),0)</f>
        <v>41247.63</v>
      </c>
    </row>
    <row r="11" customFormat="false" ht="15" hidden="false" customHeight="false" outlineLevel="0" collapsed="false">
      <c r="B11" s="91" t="s">
        <v>595</v>
      </c>
      <c r="C11" s="85" t="n">
        <f aca="false">IFERROR(IF(SUMPRODUCT(MAX((IND_PER&lt;=FECHA_CORTE)*(IND_UTM&lt;&gt;"")*IND_PER))=0,INDEX(IND_UTM,1),INDEX(IND_UTM,MATCH(SUMPRODUCT(MAX((IND_PER&lt;=FECHA_CORTE)*(IND_UTM&lt;&gt;"")*IND_PER)),IND_PER,0))),0)</f>
        <v>72151</v>
      </c>
    </row>
    <row r="12" customFormat="false" ht="15" hidden="false" customHeight="false" outlineLevel="0" collapsed="false">
      <c r="B12" s="91" t="s">
        <v>596</v>
      </c>
      <c r="C12" s="85" t="n">
        <f aca="false">IFERROR(IF(SUMPRODUCT(MAX((IND_PER&lt;=FECHA_CORTE)*(IND_IMM&lt;&gt;"")*IND_PER))=0,INDEX(IND_IMM,1),INDEX(IND_IMM,MATCH(SUMPRODUCT(MAX((IND_PER&lt;=FECHA_CORTE)*(IND_IMM&lt;&gt;"")*IND_PER)),IND_PER,0))),0)</f>
        <v>553553</v>
      </c>
    </row>
    <row r="14" customFormat="false" ht="15" hidden="false" customHeight="false" outlineLevel="0" collapsed="false">
      <c r="B14" s="4" t="s">
        <v>597</v>
      </c>
    </row>
    <row r="15" customFormat="false" ht="15" hidden="false" customHeight="false" outlineLevel="0" collapsed="false">
      <c r="B15" s="91" t="s">
        <v>598</v>
      </c>
      <c r="C15" s="106" t="n">
        <v>90</v>
      </c>
    </row>
    <row r="16" customFormat="false" ht="15" hidden="false" customHeight="false" outlineLevel="0" collapsed="false">
      <c r="B16" s="91" t="s">
        <v>599</v>
      </c>
      <c r="C16" s="106" t="n">
        <v>135.2</v>
      </c>
    </row>
    <row r="17" customFormat="false" ht="15" hidden="false" customHeight="false" outlineLevel="0" collapsed="false">
      <c r="B17" s="91" t="s">
        <v>600</v>
      </c>
      <c r="C17" s="107" t="n">
        <v>0.1</v>
      </c>
      <c r="D17" s="63" t="s">
        <v>601</v>
      </c>
    </row>
    <row r="18" customFormat="false" ht="15" hidden="false" customHeight="false" outlineLevel="0" collapsed="false">
      <c r="B18" s="91" t="s">
        <v>602</v>
      </c>
      <c r="C18" s="107" t="n">
        <v>0.07</v>
      </c>
      <c r="D18" s="63" t="s">
        <v>603</v>
      </c>
    </row>
    <row r="19" customFormat="false" ht="15" hidden="false" customHeight="false" outlineLevel="0" collapsed="false">
      <c r="B19" s="91" t="s">
        <v>604</v>
      </c>
      <c r="C19" s="107" t="n">
        <v>0.024</v>
      </c>
      <c r="D19" s="63" t="s">
        <v>605</v>
      </c>
    </row>
    <row r="20" customFormat="false" ht="15" hidden="false" customHeight="false" outlineLevel="0" collapsed="false">
      <c r="B20" s="91" t="s">
        <v>606</v>
      </c>
      <c r="C20" s="107" t="n">
        <v>0.006</v>
      </c>
    </row>
    <row r="21" customFormat="false" ht="15" hidden="false" customHeight="false" outlineLevel="0" collapsed="false">
      <c r="B21" s="91" t="s">
        <v>607</v>
      </c>
      <c r="C21" s="107" t="n">
        <v>0.03</v>
      </c>
    </row>
    <row r="22" customFormat="false" ht="15" hidden="false" customHeight="false" outlineLevel="0" collapsed="false">
      <c r="B22" s="91" t="s">
        <v>608</v>
      </c>
      <c r="C22" s="107" t="n">
        <v>0</v>
      </c>
    </row>
    <row r="23" customFormat="false" ht="15" hidden="false" customHeight="false" outlineLevel="0" collapsed="false">
      <c r="B23" s="91" t="s">
        <v>609</v>
      </c>
      <c r="C23" s="107" t="n">
        <v>0.009</v>
      </c>
    </row>
    <row r="24" customFormat="false" ht="15" hidden="false" customHeight="false" outlineLevel="0" collapsed="false">
      <c r="B24" s="91" t="s">
        <v>610</v>
      </c>
      <c r="C24" s="107" t="n">
        <v>0</v>
      </c>
      <c r="D24" s="63" t="s">
        <v>611</v>
      </c>
    </row>
    <row r="25" customFormat="false" ht="15" hidden="false" customHeight="false" outlineLevel="0" collapsed="false">
      <c r="B25" s="91" t="s">
        <v>612</v>
      </c>
      <c r="C25" s="107" t="n">
        <v>0.0003</v>
      </c>
    </row>
    <row r="26" customFormat="false" ht="15" hidden="false" customHeight="false" outlineLevel="0" collapsed="false">
      <c r="B26" s="91" t="s">
        <v>613</v>
      </c>
      <c r="C26" s="108" t="n">
        <f aca="false">IF(COUNTIF(TASA_DESDE,"&lt;="&amp;FECHA_CORTE)=0,INDEX(TASA_EMP,1),INDEX(TASA_EMP,COUNTIF(TASA_DESDE,"&lt;="&amp;FECHA_CORTE)))</f>
        <v>0.035</v>
      </c>
      <c r="D26" s="63" t="s">
        <v>614</v>
      </c>
    </row>
    <row r="28" customFormat="false" ht="15" hidden="false" customHeight="false" outlineLevel="0" collapsed="false">
      <c r="B28" s="4" t="s">
        <v>615</v>
      </c>
    </row>
    <row r="29" customFormat="false" ht="15" hidden="false" customHeight="false" outlineLevel="0" collapsed="false">
      <c r="B29" s="91" t="s">
        <v>616</v>
      </c>
      <c r="C29" s="107" t="n">
        <v>0.25</v>
      </c>
    </row>
    <row r="30" customFormat="false" ht="15" hidden="false" customHeight="false" outlineLevel="0" collapsed="false">
      <c r="B30" s="91" t="s">
        <v>617</v>
      </c>
      <c r="C30" s="109" t="n">
        <v>4.75</v>
      </c>
    </row>
    <row r="31" customFormat="false" ht="15" hidden="false" customHeight="false" outlineLevel="0" collapsed="false">
      <c r="B31" s="91" t="s">
        <v>618</v>
      </c>
      <c r="C31" s="85" t="n">
        <f aca="false">ROUND(GRAT_TOPE_IMM*IMM_HOY/12,0)</f>
        <v>219115</v>
      </c>
    </row>
    <row r="32" customFormat="false" ht="15" hidden="false" customHeight="false" outlineLevel="0" collapsed="false">
      <c r="B32" s="91" t="s">
        <v>619</v>
      </c>
      <c r="C32" s="110" t="n">
        <v>42</v>
      </c>
      <c r="D32" s="63" t="s">
        <v>620</v>
      </c>
    </row>
    <row r="33" customFormat="false" ht="15" hidden="false" customHeight="false" outlineLevel="0" collapsed="false">
      <c r="B33" s="91" t="s">
        <v>621</v>
      </c>
      <c r="C33" s="107" t="n">
        <v>0.5</v>
      </c>
      <c r="D33" s="63" t="s">
        <v>622</v>
      </c>
    </row>
    <row r="35" customFormat="false" ht="15" hidden="false" customHeight="false" outlineLevel="0" collapsed="false">
      <c r="B35" s="4" t="s">
        <v>623</v>
      </c>
    </row>
    <row r="36" customFormat="false" ht="15" hidden="false" customHeight="false" outlineLevel="0" collapsed="false">
      <c r="B36" s="91" t="s">
        <v>624</v>
      </c>
      <c r="C36" s="110" t="n">
        <v>90</v>
      </c>
      <c r="D36" s="63" t="s">
        <v>625</v>
      </c>
    </row>
    <row r="37" customFormat="false" ht="15" hidden="false" customHeight="false" outlineLevel="0" collapsed="false">
      <c r="B37" s="91" t="s">
        <v>626</v>
      </c>
      <c r="C37" s="110" t="n">
        <v>11</v>
      </c>
      <c r="D37" s="63" t="s">
        <v>627</v>
      </c>
    </row>
    <row r="38" customFormat="false" ht="15" hidden="false" customHeight="false" outlineLevel="0" collapsed="false">
      <c r="B38" s="91" t="s">
        <v>628</v>
      </c>
      <c r="C38" s="106" t="n">
        <v>2.5</v>
      </c>
      <c r="D38" s="63" t="s">
        <v>629</v>
      </c>
    </row>
    <row r="39" customFormat="false" ht="15" hidden="false" customHeight="false" outlineLevel="0" collapsed="false">
      <c r="B39" s="91" t="s">
        <v>630</v>
      </c>
      <c r="C39" s="88" t="s">
        <v>243</v>
      </c>
      <c r="D39" s="63" t="s">
        <v>631</v>
      </c>
    </row>
    <row r="40" customFormat="false" ht="15" hidden="false" customHeight="false" outlineLevel="0" collapsed="false">
      <c r="B40" s="91" t="s">
        <v>632</v>
      </c>
      <c r="C40" s="107" t="n">
        <v>0.016</v>
      </c>
      <c r="D40" s="63" t="s">
        <v>633</v>
      </c>
    </row>
    <row r="42" customFormat="false" ht="15" hidden="false" customHeight="false" outlineLevel="0" collapsed="false">
      <c r="B42" s="4" t="s">
        <v>634</v>
      </c>
    </row>
    <row r="43" customFormat="false" ht="15" hidden="false" customHeight="false" outlineLevel="0" collapsed="false">
      <c r="B43" s="91" t="s">
        <v>635</v>
      </c>
      <c r="C43" s="110" t="n">
        <v>15</v>
      </c>
    </row>
    <row r="44" customFormat="false" ht="15" hidden="false" customHeight="false" outlineLevel="0" collapsed="false">
      <c r="B44" s="91" t="s">
        <v>636</v>
      </c>
      <c r="C44" s="110" t="n">
        <v>30</v>
      </c>
    </row>
    <row r="45" customFormat="false" ht="15" hidden="false" customHeight="false" outlineLevel="0" collapsed="false">
      <c r="B45" s="91" t="s">
        <v>637</v>
      </c>
      <c r="C45" s="110" t="n">
        <v>60</v>
      </c>
    </row>
    <row r="46" customFormat="false" ht="15" hidden="false" customHeight="false" outlineLevel="0" collapsed="false">
      <c r="B46" s="91" t="s">
        <v>638</v>
      </c>
      <c r="C46" s="110" t="n">
        <v>15</v>
      </c>
    </row>
    <row r="48" customFormat="false" ht="15" hidden="false" customHeight="false" outlineLevel="0" collapsed="false">
      <c r="B48" s="4" t="s">
        <v>639</v>
      </c>
    </row>
    <row r="49" customFormat="false" ht="15" hidden="false" customHeight="false" outlineLevel="0" collapsed="false">
      <c r="B49" s="91" t="s">
        <v>640</v>
      </c>
      <c r="C49" s="88" t="s">
        <v>641</v>
      </c>
      <c r="D49" s="63" t="s">
        <v>642</v>
      </c>
    </row>
    <row r="50" customFormat="false" ht="15" hidden="false" customHeight="false" outlineLevel="0" collapsed="false">
      <c r="B50" s="91" t="s">
        <v>643</v>
      </c>
      <c r="C50" s="110" t="n">
        <v>13</v>
      </c>
    </row>
    <row r="51" customFormat="false" ht="15" hidden="false" customHeight="false" outlineLevel="0" collapsed="false">
      <c r="B51" s="91" t="s">
        <v>644</v>
      </c>
      <c r="C51" s="110" t="n">
        <v>10</v>
      </c>
    </row>
    <row r="53" customFormat="false" ht="15" hidden="false" customHeight="false" outlineLevel="0" collapsed="false">
      <c r="B53" s="4" t="s">
        <v>645</v>
      </c>
    </row>
    <row r="54" customFormat="false" ht="30" hidden="false" customHeight="true" outlineLevel="0" collapsed="false">
      <c r="B54" s="42" t="s">
        <v>164</v>
      </c>
      <c r="C54" s="42" t="s">
        <v>646</v>
      </c>
      <c r="D54" s="42" t="s">
        <v>647</v>
      </c>
    </row>
    <row r="55" customFormat="false" ht="15" hidden="false" customHeight="false" outlineLevel="0" collapsed="false">
      <c r="B55" s="64" t="s">
        <v>210</v>
      </c>
      <c r="C55" s="111" t="n">
        <v>0.0144</v>
      </c>
      <c r="D55" s="87" t="n">
        <f aca="false">AFP_OBLIG+C55</f>
        <v>0.1144</v>
      </c>
    </row>
    <row r="56" customFormat="false" ht="15" hidden="false" customHeight="false" outlineLevel="0" collapsed="false">
      <c r="B56" s="64" t="s">
        <v>648</v>
      </c>
      <c r="C56" s="111" t="n">
        <v>0.0144</v>
      </c>
      <c r="D56" s="87" t="n">
        <f aca="false">AFP_OBLIG+C56</f>
        <v>0.1144</v>
      </c>
    </row>
    <row r="57" customFormat="false" ht="15" hidden="false" customHeight="false" outlineLevel="0" collapsed="false">
      <c r="B57" s="64" t="s">
        <v>183</v>
      </c>
      <c r="C57" s="111" t="n">
        <v>0.0127</v>
      </c>
      <c r="D57" s="87" t="n">
        <f aca="false">AFP_OBLIG+C57</f>
        <v>0.1127</v>
      </c>
    </row>
    <row r="58" customFormat="false" ht="15" hidden="false" customHeight="false" outlineLevel="0" collapsed="false">
      <c r="B58" s="64" t="s">
        <v>191</v>
      </c>
      <c r="C58" s="111" t="n">
        <v>0.0058</v>
      </c>
      <c r="D58" s="87" t="n">
        <f aca="false">AFP_OBLIG+C58</f>
        <v>0.1058</v>
      </c>
    </row>
    <row r="59" customFormat="false" ht="15" hidden="false" customHeight="false" outlineLevel="0" collapsed="false">
      <c r="B59" s="64" t="s">
        <v>217</v>
      </c>
      <c r="C59" s="111" t="n">
        <v>0.0116</v>
      </c>
      <c r="D59" s="87" t="n">
        <f aca="false">AFP_OBLIG+C59</f>
        <v>0.1116</v>
      </c>
    </row>
    <row r="60" customFormat="false" ht="15" hidden="false" customHeight="false" outlineLevel="0" collapsed="false">
      <c r="B60" s="64" t="s">
        <v>204</v>
      </c>
      <c r="C60" s="111" t="n">
        <v>0.0145</v>
      </c>
      <c r="D60" s="87" t="n">
        <f aca="false">AFP_OBLIG+C60</f>
        <v>0.1145</v>
      </c>
    </row>
    <row r="61" customFormat="false" ht="15" hidden="false" customHeight="false" outlineLevel="0" collapsed="false">
      <c r="B61" s="64" t="s">
        <v>198</v>
      </c>
      <c r="C61" s="111" t="n">
        <v>0.0046</v>
      </c>
      <c r="D61" s="87" t="n">
        <f aca="false">AFP_OBLIG+C61</f>
        <v>0.1046</v>
      </c>
    </row>
    <row r="63" customFormat="false" ht="15" hidden="false" customHeight="false" outlineLevel="0" collapsed="false">
      <c r="B63" s="4" t="s">
        <v>649</v>
      </c>
    </row>
    <row r="64" customFormat="false" ht="30" hidden="false" customHeight="true" outlineLevel="0" collapsed="false">
      <c r="B64" s="42" t="s">
        <v>650</v>
      </c>
      <c r="C64" s="42" t="s">
        <v>651</v>
      </c>
      <c r="D64" s="42" t="s">
        <v>652</v>
      </c>
      <c r="E64" s="42" t="s">
        <v>653</v>
      </c>
      <c r="F64" s="42" t="s">
        <v>654</v>
      </c>
    </row>
    <row r="65" customFormat="false" ht="15" hidden="false" customHeight="false" outlineLevel="0" collapsed="false">
      <c r="B65" s="78" t="n">
        <v>46023</v>
      </c>
      <c r="C65" s="112" t="n">
        <v>39706.07</v>
      </c>
      <c r="D65" s="67" t="n">
        <v>69751</v>
      </c>
      <c r="E65" s="67" t="n">
        <v>539000</v>
      </c>
      <c r="F65" s="64" t="s">
        <v>655</v>
      </c>
    </row>
    <row r="66" customFormat="false" ht="15" hidden="false" customHeight="false" outlineLevel="0" collapsed="false">
      <c r="B66" s="78" t="n">
        <v>46054</v>
      </c>
      <c r="C66" s="112"/>
      <c r="D66" s="67" t="n">
        <v>69611</v>
      </c>
      <c r="E66" s="67" t="n">
        <v>539000</v>
      </c>
      <c r="F66" s="64" t="s">
        <v>656</v>
      </c>
    </row>
    <row r="67" customFormat="false" ht="15" hidden="false" customHeight="false" outlineLevel="0" collapsed="false">
      <c r="B67" s="78" t="n">
        <v>46082</v>
      </c>
      <c r="C67" s="112"/>
      <c r="D67" s="67" t="n">
        <v>69889</v>
      </c>
      <c r="E67" s="67" t="n">
        <v>539000</v>
      </c>
      <c r="F67" s="64" t="s">
        <v>657</v>
      </c>
    </row>
    <row r="68" customFormat="false" ht="15" hidden="false" customHeight="false" outlineLevel="0" collapsed="false">
      <c r="B68" s="78" t="n">
        <v>46113</v>
      </c>
      <c r="C68" s="112"/>
      <c r="D68" s="67" t="n">
        <v>69889</v>
      </c>
      <c r="E68" s="67" t="n">
        <v>539000</v>
      </c>
      <c r="F68" s="64" t="s">
        <v>657</v>
      </c>
    </row>
    <row r="69" customFormat="false" ht="15" hidden="false" customHeight="false" outlineLevel="0" collapsed="false">
      <c r="B69" s="78" t="n">
        <v>46143</v>
      </c>
      <c r="C69" s="112"/>
      <c r="D69" s="67" t="n">
        <v>70588</v>
      </c>
      <c r="E69" s="67" t="n">
        <v>553553</v>
      </c>
      <c r="F69" s="64" t="s">
        <v>658</v>
      </c>
    </row>
    <row r="70" customFormat="false" ht="15" hidden="false" customHeight="false" outlineLevel="0" collapsed="false">
      <c r="B70" s="78" t="n">
        <v>46174</v>
      </c>
      <c r="C70" s="112"/>
      <c r="D70" s="67" t="n">
        <v>71506</v>
      </c>
      <c r="E70" s="67" t="n">
        <v>553553</v>
      </c>
      <c r="F70" s="64" t="s">
        <v>657</v>
      </c>
    </row>
    <row r="71" customFormat="false" ht="15" hidden="false" customHeight="false" outlineLevel="0" collapsed="false">
      <c r="B71" s="78" t="n">
        <v>46204</v>
      </c>
      <c r="C71" s="112" t="n">
        <v>40844.79</v>
      </c>
      <c r="D71" s="67" t="n">
        <v>71649</v>
      </c>
      <c r="E71" s="67" t="n">
        <v>553553</v>
      </c>
      <c r="F71" s="64" t="s">
        <v>659</v>
      </c>
    </row>
    <row r="72" customFormat="false" ht="15" hidden="false" customHeight="false" outlineLevel="0" collapsed="false">
      <c r="B72" s="78" t="n">
        <v>46235</v>
      </c>
      <c r="C72" s="112" t="n">
        <v>40873.77</v>
      </c>
      <c r="D72" s="67" t="n">
        <v>71649</v>
      </c>
      <c r="E72" s="67" t="n">
        <v>553553</v>
      </c>
      <c r="F72" s="64" t="s">
        <v>660</v>
      </c>
    </row>
    <row r="73" customFormat="false" ht="15" hidden="false" customHeight="false" outlineLevel="0" collapsed="false">
      <c r="B73" s="78" t="n">
        <v>46266</v>
      </c>
      <c r="C73" s="112" t="n">
        <v>41057.2</v>
      </c>
      <c r="D73" s="67"/>
      <c r="E73" s="67" t="n">
        <v>553553</v>
      </c>
      <c r="F73" s="64" t="s">
        <v>661</v>
      </c>
    </row>
    <row r="74" customFormat="false" ht="15" hidden="false" customHeight="false" outlineLevel="0" collapsed="false">
      <c r="B74" s="78" t="n">
        <v>46296</v>
      </c>
      <c r="C74" s="112" t="n">
        <v>41247.63</v>
      </c>
      <c r="D74" s="67" t="n">
        <v>72151</v>
      </c>
      <c r="E74" s="67" t="n">
        <v>553553</v>
      </c>
      <c r="F74" s="64" t="s">
        <v>662</v>
      </c>
    </row>
    <row r="75" customFormat="false" ht="15" hidden="false" customHeight="false" outlineLevel="0" collapsed="false">
      <c r="B75" s="78"/>
      <c r="C75" s="112"/>
      <c r="D75" s="67"/>
      <c r="E75" s="67"/>
      <c r="F75" s="64"/>
    </row>
    <row r="76" customFormat="false" ht="15" hidden="false" customHeight="false" outlineLevel="0" collapsed="false">
      <c r="B76" s="78"/>
      <c r="C76" s="112"/>
      <c r="D76" s="67"/>
      <c r="E76" s="67"/>
      <c r="F76" s="64"/>
    </row>
    <row r="77" customFormat="false" ht="15" hidden="false" customHeight="false" outlineLevel="0" collapsed="false">
      <c r="B77" s="78"/>
      <c r="C77" s="112"/>
      <c r="D77" s="67"/>
      <c r="E77" s="67"/>
      <c r="F77" s="64"/>
    </row>
    <row r="78" customFormat="false" ht="15" hidden="false" customHeight="false" outlineLevel="0" collapsed="false">
      <c r="B78" s="78"/>
      <c r="C78" s="112"/>
      <c r="D78" s="67"/>
      <c r="E78" s="67"/>
      <c r="F78" s="64"/>
    </row>
    <row r="79" customFormat="false" ht="15" hidden="false" customHeight="false" outlineLevel="0" collapsed="false">
      <c r="B79" s="78"/>
      <c r="C79" s="112"/>
      <c r="D79" s="67"/>
      <c r="E79" s="67"/>
      <c r="F79" s="64"/>
    </row>
    <row r="80" customFormat="false" ht="15" hidden="false" customHeight="false" outlineLevel="0" collapsed="false">
      <c r="B80" s="78"/>
      <c r="C80" s="112"/>
      <c r="D80" s="67"/>
      <c r="E80" s="67"/>
      <c r="F80" s="64"/>
    </row>
    <row r="81" customFormat="false" ht="15" hidden="false" customHeight="false" outlineLevel="0" collapsed="false">
      <c r="B81" s="78"/>
      <c r="C81" s="112"/>
      <c r="D81" s="67"/>
      <c r="E81" s="67"/>
      <c r="F81" s="64"/>
    </row>
    <row r="82" customFormat="false" ht="15" hidden="false" customHeight="false" outlineLevel="0" collapsed="false">
      <c r="B82" s="78"/>
      <c r="C82" s="112"/>
      <c r="D82" s="67"/>
      <c r="E82" s="67"/>
      <c r="F82" s="64"/>
    </row>
    <row r="83" customFormat="false" ht="15" hidden="false" customHeight="false" outlineLevel="0" collapsed="false">
      <c r="B83" s="78"/>
      <c r="C83" s="112"/>
      <c r="D83" s="67"/>
      <c r="E83" s="67"/>
      <c r="F83" s="64"/>
    </row>
    <row r="84" customFormat="false" ht="15" hidden="false" customHeight="false" outlineLevel="0" collapsed="false">
      <c r="B84" s="78"/>
      <c r="C84" s="112"/>
      <c r="D84" s="67"/>
      <c r="E84" s="67"/>
      <c r="F84" s="64"/>
    </row>
    <row r="85" customFormat="false" ht="15" hidden="false" customHeight="false" outlineLevel="0" collapsed="false">
      <c r="B85" s="78"/>
      <c r="C85" s="112"/>
      <c r="D85" s="67"/>
      <c r="E85" s="67"/>
      <c r="F85" s="64"/>
    </row>
    <row r="86" customFormat="false" ht="15" hidden="false" customHeight="false" outlineLevel="0" collapsed="false">
      <c r="B86" s="78"/>
      <c r="C86" s="112"/>
      <c r="D86" s="67"/>
      <c r="E86" s="67"/>
      <c r="F86" s="64"/>
    </row>
    <row r="87" customFormat="false" ht="15" hidden="false" customHeight="false" outlineLevel="0" collapsed="false">
      <c r="B87" s="78"/>
      <c r="C87" s="112"/>
      <c r="D87" s="67"/>
      <c r="E87" s="67"/>
      <c r="F87" s="64"/>
    </row>
    <row r="88" customFormat="false" ht="15" hidden="false" customHeight="false" outlineLevel="0" collapsed="false">
      <c r="B88" s="78"/>
      <c r="C88" s="112"/>
      <c r="D88" s="67"/>
      <c r="E88" s="67"/>
      <c r="F88" s="64"/>
    </row>
    <row r="89" customFormat="false" ht="15" hidden="false" customHeight="false" outlineLevel="0" collapsed="false">
      <c r="B89" s="78"/>
      <c r="C89" s="112"/>
      <c r="D89" s="67"/>
      <c r="E89" s="67"/>
      <c r="F89" s="64"/>
    </row>
    <row r="90" customFormat="false" ht="15" hidden="false" customHeight="false" outlineLevel="0" collapsed="false">
      <c r="B90" s="78"/>
      <c r="C90" s="112"/>
      <c r="D90" s="67"/>
      <c r="E90" s="67"/>
      <c r="F90" s="64"/>
    </row>
    <row r="91" customFormat="false" ht="15" hidden="false" customHeight="false" outlineLevel="0" collapsed="false">
      <c r="B91" s="78"/>
      <c r="C91" s="112"/>
      <c r="D91" s="67"/>
      <c r="E91" s="67"/>
      <c r="F91" s="64"/>
    </row>
    <row r="92" customFormat="false" ht="15" hidden="false" customHeight="false" outlineLevel="0" collapsed="false">
      <c r="B92" s="78"/>
      <c r="C92" s="112"/>
      <c r="D92" s="67"/>
      <c r="E92" s="67"/>
      <c r="F92" s="64"/>
    </row>
    <row r="93" customFormat="false" ht="15" hidden="false" customHeight="false" outlineLevel="0" collapsed="false">
      <c r="B93" s="78"/>
      <c r="C93" s="112"/>
      <c r="D93" s="67"/>
      <c r="E93" s="67"/>
      <c r="F93" s="64"/>
    </row>
    <row r="94" customFormat="false" ht="15" hidden="false" customHeight="false" outlineLevel="0" collapsed="false">
      <c r="B94" s="78"/>
      <c r="C94" s="112"/>
      <c r="D94" s="67"/>
      <c r="E94" s="67"/>
      <c r="F94" s="64"/>
    </row>
    <row r="95" customFormat="false" ht="15" hidden="false" customHeight="false" outlineLevel="0" collapsed="false">
      <c r="B95" s="78"/>
      <c r="C95" s="112"/>
      <c r="D95" s="67"/>
      <c r="E95" s="67"/>
      <c r="F95" s="64"/>
    </row>
    <row r="96" customFormat="false" ht="15" hidden="false" customHeight="false" outlineLevel="0" collapsed="false">
      <c r="B96" s="78"/>
      <c r="C96" s="112"/>
      <c r="D96" s="67"/>
      <c r="E96" s="67"/>
      <c r="F96" s="64"/>
    </row>
    <row r="97" customFormat="false" ht="15" hidden="false" customHeight="false" outlineLevel="0" collapsed="false">
      <c r="B97" s="78"/>
      <c r="C97" s="112"/>
      <c r="D97" s="67"/>
      <c r="E97" s="67"/>
      <c r="F97" s="64"/>
    </row>
    <row r="98" customFormat="false" ht="15" hidden="false" customHeight="false" outlineLevel="0" collapsed="false">
      <c r="B98" s="78"/>
      <c r="C98" s="112"/>
      <c r="D98" s="67"/>
      <c r="E98" s="67"/>
      <c r="F98" s="64"/>
    </row>
    <row r="99" customFormat="false" ht="15" hidden="false" customHeight="false" outlineLevel="0" collapsed="false">
      <c r="B99" s="78"/>
      <c r="C99" s="112"/>
      <c r="D99" s="67"/>
      <c r="E99" s="67"/>
      <c r="F99" s="64"/>
    </row>
    <row r="100" customFormat="false" ht="15" hidden="false" customHeight="false" outlineLevel="0" collapsed="false">
      <c r="B100" s="78"/>
      <c r="C100" s="112"/>
      <c r="D100" s="67"/>
      <c r="E100" s="67"/>
      <c r="F100" s="64"/>
    </row>
    <row r="101" customFormat="false" ht="15" hidden="false" customHeight="false" outlineLevel="0" collapsed="false">
      <c r="B101" s="78"/>
      <c r="C101" s="112"/>
      <c r="D101" s="67"/>
      <c r="E101" s="67"/>
      <c r="F101" s="64"/>
    </row>
    <row r="102" customFormat="false" ht="15" hidden="false" customHeight="false" outlineLevel="0" collapsed="false">
      <c r="B102" s="78"/>
      <c r="C102" s="112"/>
      <c r="D102" s="67"/>
      <c r="E102" s="67"/>
      <c r="F102" s="64"/>
    </row>
    <row r="103" customFormat="false" ht="15" hidden="false" customHeight="false" outlineLevel="0" collapsed="false">
      <c r="B103" s="78"/>
      <c r="C103" s="112"/>
      <c r="D103" s="67"/>
      <c r="E103" s="67"/>
      <c r="F103" s="64"/>
    </row>
    <row r="104" customFormat="false" ht="15" hidden="false" customHeight="false" outlineLevel="0" collapsed="false">
      <c r="B104" s="78"/>
      <c r="C104" s="112"/>
      <c r="D104" s="67"/>
      <c r="E104" s="67"/>
      <c r="F104" s="64"/>
    </row>
    <row r="105" customFormat="false" ht="15" hidden="false" customHeight="false" outlineLevel="0" collapsed="false">
      <c r="B105" s="78"/>
      <c r="C105" s="112"/>
      <c r="D105" s="67"/>
      <c r="E105" s="67"/>
      <c r="F105" s="64"/>
    </row>
    <row r="106" customFormat="false" ht="15" hidden="false" customHeight="false" outlineLevel="0" collapsed="false">
      <c r="B106" s="78"/>
      <c r="C106" s="112"/>
      <c r="D106" s="67"/>
      <c r="E106" s="67"/>
      <c r="F106" s="64"/>
    </row>
    <row r="107" customFormat="false" ht="15" hidden="false" customHeight="false" outlineLevel="0" collapsed="false">
      <c r="B107" s="78"/>
      <c r="C107" s="112"/>
      <c r="D107" s="67"/>
      <c r="E107" s="67"/>
      <c r="F107" s="64"/>
    </row>
    <row r="108" customFormat="false" ht="15" hidden="false" customHeight="false" outlineLevel="0" collapsed="false">
      <c r="B108" s="78"/>
      <c r="C108" s="112"/>
      <c r="D108" s="67"/>
      <c r="E108" s="67"/>
      <c r="F108" s="64"/>
    </row>
    <row r="109" customFormat="false" ht="15" hidden="false" customHeight="false" outlineLevel="0" collapsed="false">
      <c r="B109" s="78"/>
      <c r="C109" s="112"/>
      <c r="D109" s="67"/>
      <c r="E109" s="67"/>
      <c r="F109" s="64"/>
    </row>
    <row r="110" customFormat="false" ht="15" hidden="false" customHeight="false" outlineLevel="0" collapsed="false">
      <c r="B110" s="78"/>
      <c r="C110" s="112"/>
      <c r="D110" s="67"/>
      <c r="E110" s="67"/>
      <c r="F110" s="64"/>
    </row>
    <row r="111" customFormat="false" ht="15" hidden="false" customHeight="false" outlineLevel="0" collapsed="false">
      <c r="B111" s="78"/>
      <c r="C111" s="112"/>
      <c r="D111" s="67"/>
      <c r="E111" s="67"/>
      <c r="F111" s="64"/>
    </row>
    <row r="112" customFormat="false" ht="15" hidden="false" customHeight="false" outlineLevel="0" collapsed="false">
      <c r="B112" s="78"/>
      <c r="C112" s="112"/>
      <c r="D112" s="67"/>
      <c r="E112" s="67"/>
      <c r="F112" s="64"/>
    </row>
    <row r="113" customFormat="false" ht="15" hidden="false" customHeight="false" outlineLevel="0" collapsed="false">
      <c r="B113" s="78"/>
      <c r="C113" s="112"/>
      <c r="D113" s="67"/>
      <c r="E113" s="67"/>
      <c r="F113" s="64"/>
    </row>
    <row r="114" customFormat="false" ht="15" hidden="false" customHeight="false" outlineLevel="0" collapsed="false">
      <c r="B114" s="78"/>
      <c r="C114" s="112"/>
      <c r="D114" s="67"/>
      <c r="E114" s="67"/>
      <c r="F114" s="64"/>
    </row>
    <row r="115" customFormat="false" ht="15" hidden="false" customHeight="false" outlineLevel="0" collapsed="false">
      <c r="B115" s="78"/>
      <c r="C115" s="112"/>
      <c r="D115" s="67"/>
      <c r="E115" s="67"/>
      <c r="F115" s="64"/>
    </row>
    <row r="116" customFormat="false" ht="15" hidden="false" customHeight="false" outlineLevel="0" collapsed="false">
      <c r="B116" s="78"/>
      <c r="C116" s="112"/>
      <c r="D116" s="67"/>
      <c r="E116" s="67"/>
      <c r="F116" s="64"/>
    </row>
    <row r="117" customFormat="false" ht="15" hidden="false" customHeight="false" outlineLevel="0" collapsed="false">
      <c r="B117" s="78"/>
      <c r="C117" s="112"/>
      <c r="D117" s="67"/>
      <c r="E117" s="67"/>
      <c r="F117" s="64"/>
    </row>
    <row r="118" customFormat="false" ht="15" hidden="false" customHeight="false" outlineLevel="0" collapsed="false">
      <c r="B118" s="78"/>
      <c r="C118" s="112"/>
      <c r="D118" s="67"/>
      <c r="E118" s="67"/>
      <c r="F118" s="64"/>
    </row>
    <row r="119" customFormat="false" ht="15" hidden="false" customHeight="false" outlineLevel="0" collapsed="false">
      <c r="B119" s="78"/>
      <c r="C119" s="112"/>
      <c r="D119" s="67"/>
      <c r="E119" s="67"/>
      <c r="F119" s="64"/>
    </row>
    <row r="120" customFormat="false" ht="15" hidden="false" customHeight="false" outlineLevel="0" collapsed="false">
      <c r="B120" s="78"/>
      <c r="C120" s="112"/>
      <c r="D120" s="67"/>
      <c r="E120" s="67"/>
      <c r="F120" s="64"/>
    </row>
    <row r="121" customFormat="false" ht="15" hidden="false" customHeight="false" outlineLevel="0" collapsed="false">
      <c r="B121" s="78"/>
      <c r="C121" s="112"/>
      <c r="D121" s="67"/>
      <c r="E121" s="67"/>
      <c r="F121" s="64"/>
    </row>
    <row r="122" customFormat="false" ht="15" hidden="false" customHeight="false" outlineLevel="0" collapsed="false">
      <c r="B122" s="78"/>
      <c r="C122" s="112"/>
      <c r="D122" s="67"/>
      <c r="E122" s="67"/>
      <c r="F122" s="64"/>
    </row>
    <row r="123" customFormat="false" ht="15" hidden="false" customHeight="false" outlineLevel="0" collapsed="false">
      <c r="B123" s="78"/>
      <c r="C123" s="112"/>
      <c r="D123" s="67"/>
      <c r="E123" s="67"/>
      <c r="F123" s="64"/>
    </row>
    <row r="124" customFormat="false" ht="15" hidden="false" customHeight="false" outlineLevel="0" collapsed="false">
      <c r="B124" s="78"/>
      <c r="C124" s="112"/>
      <c r="D124" s="67"/>
      <c r="E124" s="67"/>
      <c r="F124" s="64"/>
    </row>
    <row r="126" customFormat="false" ht="15" hidden="false" customHeight="false" outlineLevel="0" collapsed="false">
      <c r="B126" s="4" t="s">
        <v>663</v>
      </c>
    </row>
    <row r="127" customFormat="false" ht="30" hidden="false" customHeight="true" outlineLevel="0" collapsed="false">
      <c r="B127" s="42" t="s">
        <v>664</v>
      </c>
      <c r="C127" s="42" t="s">
        <v>665</v>
      </c>
      <c r="D127" s="42" t="s">
        <v>666</v>
      </c>
      <c r="E127" s="42" t="s">
        <v>667</v>
      </c>
      <c r="F127" s="42" t="s">
        <v>668</v>
      </c>
    </row>
    <row r="128" customFormat="false" ht="15" hidden="false" customHeight="false" outlineLevel="0" collapsed="false">
      <c r="B128" s="69" t="n">
        <v>0</v>
      </c>
      <c r="C128" s="69" t="n">
        <v>13.5</v>
      </c>
      <c r="D128" s="113" t="n">
        <v>0</v>
      </c>
      <c r="E128" s="68" t="n">
        <v>0</v>
      </c>
      <c r="F128" s="87" t="n">
        <f aca="false">IF(ISNUMBER(C128),IF(C128=0,0,D128-E128/C128),D128)</f>
        <v>0</v>
      </c>
    </row>
    <row r="129" customFormat="false" ht="15" hidden="false" customHeight="false" outlineLevel="0" collapsed="false">
      <c r="B129" s="69" t="n">
        <v>13.5</v>
      </c>
      <c r="C129" s="69" t="n">
        <v>30</v>
      </c>
      <c r="D129" s="113" t="n">
        <v>0.04</v>
      </c>
      <c r="E129" s="68" t="n">
        <v>0.54</v>
      </c>
      <c r="F129" s="87" t="n">
        <f aca="false">IF(ISNUMBER(C129),IF(C129=0,0,D129-E129/C129),D129)</f>
        <v>0.022</v>
      </c>
    </row>
    <row r="130" customFormat="false" ht="15" hidden="false" customHeight="false" outlineLevel="0" collapsed="false">
      <c r="B130" s="69" t="n">
        <v>30</v>
      </c>
      <c r="C130" s="69" t="n">
        <v>50</v>
      </c>
      <c r="D130" s="113" t="n">
        <v>0.08</v>
      </c>
      <c r="E130" s="68" t="n">
        <v>1.74</v>
      </c>
      <c r="F130" s="87" t="n">
        <f aca="false">IF(ISNUMBER(C130),IF(C130=0,0,D130-E130/C130),D130)</f>
        <v>0.0452</v>
      </c>
    </row>
    <row r="131" customFormat="false" ht="15" hidden="false" customHeight="false" outlineLevel="0" collapsed="false">
      <c r="B131" s="69" t="n">
        <v>50</v>
      </c>
      <c r="C131" s="69" t="n">
        <v>70</v>
      </c>
      <c r="D131" s="113" t="n">
        <v>0.135</v>
      </c>
      <c r="E131" s="68" t="n">
        <v>4.49</v>
      </c>
      <c r="F131" s="87" t="n">
        <f aca="false">IF(ISNUMBER(C131),IF(C131=0,0,D131-E131/C131),D131)</f>
        <v>0.0708571428571429</v>
      </c>
    </row>
    <row r="132" customFormat="false" ht="15" hidden="false" customHeight="false" outlineLevel="0" collapsed="false">
      <c r="B132" s="69" t="n">
        <v>70</v>
      </c>
      <c r="C132" s="69" t="n">
        <v>90</v>
      </c>
      <c r="D132" s="113" t="n">
        <v>0.23</v>
      </c>
      <c r="E132" s="68" t="n">
        <v>11.14</v>
      </c>
      <c r="F132" s="87" t="n">
        <f aca="false">IF(ISNUMBER(C132),IF(C132=0,0,D132-E132/C132),D132)</f>
        <v>0.106222222222222</v>
      </c>
    </row>
    <row r="133" customFormat="false" ht="15" hidden="false" customHeight="false" outlineLevel="0" collapsed="false">
      <c r="B133" s="69" t="n">
        <v>90</v>
      </c>
      <c r="C133" s="69" t="n">
        <v>120</v>
      </c>
      <c r="D133" s="113" t="n">
        <v>0.304</v>
      </c>
      <c r="E133" s="68" t="n">
        <v>17.8</v>
      </c>
      <c r="F133" s="87" t="n">
        <f aca="false">IF(ISNUMBER(C133),IF(C133=0,0,D133-E133/C133),D133)</f>
        <v>0.155666666666667</v>
      </c>
    </row>
    <row r="134" customFormat="false" ht="15" hidden="false" customHeight="false" outlineLevel="0" collapsed="false">
      <c r="B134" s="69" t="n">
        <v>120</v>
      </c>
      <c r="C134" s="69" t="n">
        <v>310</v>
      </c>
      <c r="D134" s="113" t="n">
        <v>0.35</v>
      </c>
      <c r="E134" s="68" t="n">
        <v>23.32</v>
      </c>
      <c r="F134" s="87" t="n">
        <f aca="false">IF(ISNUMBER(C134),IF(C134=0,0,D134-E134/C134),D134)</f>
        <v>0.274774193548387</v>
      </c>
    </row>
    <row r="135" customFormat="false" ht="15" hidden="false" customHeight="false" outlineLevel="0" collapsed="false">
      <c r="B135" s="69" t="n">
        <v>310</v>
      </c>
      <c r="C135" s="69" t="s">
        <v>669</v>
      </c>
      <c r="D135" s="113" t="n">
        <v>0.4</v>
      </c>
      <c r="E135" s="68" t="n">
        <v>38.82</v>
      </c>
      <c r="F135" s="87" t="n">
        <f aca="false">IF(ISNUMBER(C135),IF(C135=0,0,D135-E135/C135),D135)</f>
        <v>0.4</v>
      </c>
    </row>
    <row r="137" customFormat="false" ht="15" hidden="false" customHeight="false" outlineLevel="0" collapsed="false">
      <c r="B137" s="4" t="s">
        <v>670</v>
      </c>
    </row>
    <row r="138" customFormat="false" ht="30" hidden="false" customHeight="true" outlineLevel="0" collapsed="false">
      <c r="B138" s="42" t="s">
        <v>671</v>
      </c>
      <c r="C138" s="42" t="s">
        <v>672</v>
      </c>
      <c r="D138" s="42" t="s">
        <v>673</v>
      </c>
    </row>
    <row r="139" customFormat="false" ht="15" hidden="false" customHeight="false" outlineLevel="0" collapsed="false">
      <c r="B139" s="64" t="s">
        <v>674</v>
      </c>
      <c r="C139" s="67" t="n">
        <v>649039</v>
      </c>
      <c r="D139" s="67" t="n">
        <v>22601</v>
      </c>
    </row>
    <row r="140" customFormat="false" ht="15" hidden="false" customHeight="false" outlineLevel="0" collapsed="false">
      <c r="B140" s="64" t="s">
        <v>675</v>
      </c>
      <c r="C140" s="67" t="n">
        <v>947990</v>
      </c>
      <c r="D140" s="67" t="n">
        <v>13870</v>
      </c>
    </row>
    <row r="141" customFormat="false" ht="15" hidden="false" customHeight="false" outlineLevel="0" collapsed="false">
      <c r="B141" s="64" t="s">
        <v>676</v>
      </c>
      <c r="C141" s="67" t="n">
        <v>1478539</v>
      </c>
      <c r="D141" s="67" t="n">
        <v>4382</v>
      </c>
    </row>
    <row r="142" customFormat="false" ht="15" hidden="false" customHeight="false" outlineLevel="0" collapsed="false">
      <c r="B142" s="64" t="s">
        <v>677</v>
      </c>
      <c r="C142" s="67" t="n">
        <v>999999999</v>
      </c>
      <c r="D142" s="67" t="n">
        <v>0</v>
      </c>
    </row>
    <row r="144" customFormat="false" ht="15" hidden="false" customHeight="false" outlineLevel="0" collapsed="false">
      <c r="B144" s="4" t="s">
        <v>678</v>
      </c>
    </row>
    <row r="145" customFormat="false" ht="30" hidden="false" customHeight="true" outlineLevel="0" collapsed="false">
      <c r="B145" s="42" t="s">
        <v>679</v>
      </c>
      <c r="C145" s="42" t="s">
        <v>680</v>
      </c>
      <c r="D145" s="42" t="s">
        <v>681</v>
      </c>
    </row>
    <row r="146" customFormat="false" ht="15" hidden="false" customHeight="false" outlineLevel="0" collapsed="false">
      <c r="B146" s="65" t="n">
        <v>45658</v>
      </c>
      <c r="C146" s="111" t="n">
        <v>0.0149</v>
      </c>
      <c r="D146" s="64" t="s">
        <v>682</v>
      </c>
    </row>
    <row r="147" customFormat="false" ht="15" hidden="false" customHeight="false" outlineLevel="0" collapsed="false">
      <c r="B147" s="65" t="n">
        <v>45870</v>
      </c>
      <c r="C147" s="111" t="n">
        <v>0.0249</v>
      </c>
      <c r="D147" s="64" t="s">
        <v>683</v>
      </c>
    </row>
    <row r="148" customFormat="false" ht="15" hidden="false" customHeight="false" outlineLevel="0" collapsed="false">
      <c r="B148" s="65" t="n">
        <v>46113</v>
      </c>
      <c r="C148" s="111" t="n">
        <v>0.0262</v>
      </c>
      <c r="D148" s="64" t="s">
        <v>684</v>
      </c>
    </row>
    <row r="149" customFormat="false" ht="15" hidden="false" customHeight="false" outlineLevel="0" collapsed="false">
      <c r="B149" s="65" t="n">
        <v>46235</v>
      </c>
      <c r="C149" s="111" t="n">
        <v>0.035</v>
      </c>
      <c r="D149" s="64" t="s">
        <v>685</v>
      </c>
    </row>
    <row r="150" customFormat="false" ht="15" hidden="false" customHeight="false" outlineLevel="0" collapsed="false">
      <c r="B150" s="65" t="n">
        <v>46600</v>
      </c>
      <c r="C150" s="111" t="n">
        <v>0.0425</v>
      </c>
      <c r="D150" s="64" t="s">
        <v>686</v>
      </c>
    </row>
    <row r="151" customFormat="false" ht="15" hidden="false" customHeight="false" outlineLevel="0" collapsed="false">
      <c r="B151" s="65" t="n">
        <v>46966</v>
      </c>
      <c r="C151" s="111" t="n">
        <v>0.05</v>
      </c>
      <c r="D151" s="64" t="s">
        <v>687</v>
      </c>
    </row>
    <row r="152" customFormat="false" ht="15" hidden="false" customHeight="false" outlineLevel="0" collapsed="false">
      <c r="B152" s="65" t="n">
        <v>47331</v>
      </c>
      <c r="C152" s="111" t="n">
        <v>0.057</v>
      </c>
      <c r="D152" s="64" t="s">
        <v>687</v>
      </c>
    </row>
    <row r="153" customFormat="false" ht="15" hidden="false" customHeight="false" outlineLevel="0" collapsed="false">
      <c r="B153" s="65"/>
      <c r="C153" s="111"/>
      <c r="D153" s="64"/>
    </row>
    <row r="154" customFormat="false" ht="15" hidden="false" customHeight="false" outlineLevel="0" collapsed="false">
      <c r="B154" s="65"/>
      <c r="C154" s="111"/>
      <c r="D154" s="64"/>
    </row>
    <row r="155" customFormat="false" ht="15" hidden="false" customHeight="false" outlineLevel="0" collapsed="false">
      <c r="B155" s="65"/>
      <c r="C155" s="111"/>
      <c r="D155" s="64"/>
    </row>
    <row r="156" customFormat="false" ht="15" hidden="false" customHeight="false" outlineLevel="0" collapsed="false">
      <c r="B156" s="65"/>
      <c r="C156" s="111"/>
      <c r="D156" s="64"/>
    </row>
    <row r="157" customFormat="false" ht="15" hidden="false" customHeight="false" outlineLevel="0" collapsed="false">
      <c r="B157" s="65"/>
      <c r="C157" s="111"/>
      <c r="D157" s="64"/>
    </row>
  </sheetData>
  <dataValidations count="4">
    <dataValidation allowBlank="true" error="Ingrese una fecha (dd-mm-aaaa)." errorStyle="stop" errorTitle="Fecha no válida" operator="between" showDropDown="false" showErrorMessage="true" showInputMessage="false" sqref="C6" type="date">
      <formula1>32874</formula1>
      <formula2>73051</formula2>
    </dataValidation>
    <dataValidation allowBlank="true" error="Seleccione un valor de la lista desplegable." errorStyle="stop" errorTitle="Valor no válido" operator="between" showDropDown="false" showErrorMessage="true" showInputMessage="false" sqref="C49" type="list">
      <formula1>LS_MODALIDAD</formula1>
      <formula2>0</formula2>
    </dataValidation>
    <dataValidation allowBlank="true" error="Seleccione un valor de la lista desplegable." errorStyle="stop" errorTitle="Valor no válido" operator="between" showDropDown="false" showErrorMessage="true" showInputMessage="false" sqref="C39" type="list">
      <formula1>LS_SINO</formula1>
      <formula2>0</formula2>
    </dataValidation>
    <dataValidation allowBlank="true" error="Seleccione un valor de la lista desplegable." errorStyle="stop" errorTitle="Valor no válido" operator="between" showDropDown="false" showErrorMessage="true" showInputMessage="false" sqref="B65:B124" type="list">
      <formula1>LS_MESES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9A9A"/>
    <pageSetUpPr fitToPage="false"/>
  </sheetPr>
  <dimension ref="B2:N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4"/>
    <col collapsed="false" customWidth="true" hidden="false" outlineLevel="0" max="4" min="4" style="0" width="44"/>
    <col collapsed="false" customWidth="true" hidden="false" outlineLevel="0" max="5" min="5" style="0" width="8"/>
    <col collapsed="false" customWidth="true" hidden="false" outlineLevel="0" max="6" min="6" style="0" width="9"/>
    <col collapsed="false" customWidth="true" hidden="false" outlineLevel="0" max="7" min="7" style="0" width="36"/>
    <col collapsed="false" customWidth="true" hidden="false" outlineLevel="0" max="8" min="8" style="0" width="20"/>
    <col collapsed="false" customWidth="true" hidden="false" outlineLevel="0" max="9" min="9" style="0" width="26"/>
    <col collapsed="false" customWidth="true" hidden="false" outlineLevel="0" max="10" min="10" style="0" width="24"/>
    <col collapsed="false" customWidth="true" hidden="false" outlineLevel="0" max="11" min="11" style="0" width="11"/>
    <col collapsed="false" customWidth="true" hidden="false" outlineLevel="0" max="12" min="12" style="0" width="7"/>
    <col collapsed="false" customWidth="true" hidden="false" outlineLevel="0" max="13" min="13" style="0" width="12"/>
    <col collapsed="false" customWidth="true" hidden="false" outlineLevel="0" max="14" min="14" style="0" width="34"/>
  </cols>
  <sheetData>
    <row r="2" customFormat="false" ht="24" hidden="false" customHeight="true" outlineLevel="0" collapsed="false">
      <c r="B2" s="1" t="s">
        <v>688</v>
      </c>
      <c r="C2" s="2"/>
      <c r="D2" s="2"/>
      <c r="E2" s="2"/>
      <c r="F2" s="2"/>
      <c r="G2" s="2"/>
      <c r="H2" s="2"/>
      <c r="I2" s="2"/>
      <c r="J2" s="2"/>
      <c r="K2" s="2"/>
      <c r="L2" s="2"/>
      <c r="M2" s="2"/>
      <c r="N2" s="2"/>
    </row>
    <row r="3" customFormat="false" ht="15.75" hidden="false" customHeight="true" outlineLevel="0" collapsed="false">
      <c r="B3" s="3" t="s">
        <v>689</v>
      </c>
      <c r="C3" s="2"/>
      <c r="D3" s="2"/>
      <c r="E3" s="2"/>
      <c r="F3" s="2"/>
      <c r="G3" s="2"/>
      <c r="H3" s="2"/>
      <c r="I3" s="2"/>
      <c r="J3" s="2"/>
      <c r="K3" s="2"/>
      <c r="L3" s="2"/>
      <c r="M3" s="2"/>
      <c r="N3" s="2"/>
    </row>
    <row r="5" customFormat="false" ht="15" hidden="false" customHeight="false" outlineLevel="0" collapsed="false">
      <c r="B5" s="114" t="s">
        <v>223</v>
      </c>
      <c r="C5" s="114" t="s">
        <v>224</v>
      </c>
      <c r="D5" s="114" t="s">
        <v>527</v>
      </c>
      <c r="E5" s="114" t="s">
        <v>690</v>
      </c>
      <c r="F5" s="114" t="s">
        <v>165</v>
      </c>
      <c r="G5" s="114" t="s">
        <v>160</v>
      </c>
      <c r="H5" s="114" t="s">
        <v>155</v>
      </c>
      <c r="I5" s="114" t="s">
        <v>691</v>
      </c>
      <c r="J5" s="114" t="s">
        <v>692</v>
      </c>
      <c r="K5" s="115" t="s">
        <v>693</v>
      </c>
      <c r="L5" s="115" t="s">
        <v>694</v>
      </c>
      <c r="M5" s="115" t="s">
        <v>695</v>
      </c>
      <c r="N5" s="115" t="s">
        <v>696</v>
      </c>
    </row>
    <row r="6" customFormat="false" ht="15" hidden="false" customHeight="false" outlineLevel="0" collapsed="false">
      <c r="B6" s="64" t="s">
        <v>240</v>
      </c>
      <c r="C6" s="64" t="s">
        <v>241</v>
      </c>
      <c r="D6" s="64" t="s">
        <v>697</v>
      </c>
      <c r="E6" s="64" t="s">
        <v>243</v>
      </c>
      <c r="F6" s="64" t="s">
        <v>192</v>
      </c>
      <c r="G6" s="64" t="s">
        <v>182</v>
      </c>
      <c r="H6" s="64" t="s">
        <v>181</v>
      </c>
      <c r="I6" s="64" t="s">
        <v>476</v>
      </c>
      <c r="J6" s="64" t="s">
        <v>641</v>
      </c>
      <c r="K6" s="93" t="n">
        <v>45292</v>
      </c>
      <c r="L6" s="73" t="n">
        <v>1</v>
      </c>
      <c r="M6" s="65" t="n">
        <v>45292</v>
      </c>
      <c r="N6" s="64" t="s">
        <v>698</v>
      </c>
    </row>
    <row r="7" customFormat="false" ht="15" hidden="false" customHeight="false" outlineLevel="0" collapsed="false">
      <c r="B7" s="64" t="s">
        <v>245</v>
      </c>
      <c r="C7" s="64" t="s">
        <v>249</v>
      </c>
      <c r="D7" s="64" t="s">
        <v>699</v>
      </c>
      <c r="E7" s="64" t="s">
        <v>270</v>
      </c>
      <c r="F7" s="64" t="s">
        <v>184</v>
      </c>
      <c r="G7" s="64" t="s">
        <v>700</v>
      </c>
      <c r="H7" s="64" t="s">
        <v>197</v>
      </c>
      <c r="I7" s="64" t="s">
        <v>701</v>
      </c>
      <c r="J7" s="64" t="s">
        <v>702</v>
      </c>
      <c r="K7" s="93" t="n">
        <v>45323</v>
      </c>
      <c r="L7" s="73" t="n">
        <v>2</v>
      </c>
      <c r="M7" s="65" t="n">
        <v>45380</v>
      </c>
      <c r="N7" s="64" t="s">
        <v>703</v>
      </c>
    </row>
    <row r="8" customFormat="false" ht="15" hidden="false" customHeight="false" outlineLevel="0" collapsed="false">
      <c r="B8" s="64" t="s">
        <v>248</v>
      </c>
      <c r="C8" s="64" t="s">
        <v>268</v>
      </c>
      <c r="D8" s="64" t="s">
        <v>216</v>
      </c>
      <c r="H8" s="64" t="s">
        <v>704</v>
      </c>
      <c r="I8" s="64" t="s">
        <v>705</v>
      </c>
      <c r="K8" s="93" t="n">
        <v>45352</v>
      </c>
      <c r="L8" s="73" t="n">
        <v>3</v>
      </c>
      <c r="M8" s="65" t="n">
        <v>45381</v>
      </c>
      <c r="N8" s="64" t="s">
        <v>706</v>
      </c>
    </row>
    <row r="9" customFormat="false" ht="15" hidden="false" customHeight="false" outlineLevel="0" collapsed="false">
      <c r="B9" s="64" t="s">
        <v>252</v>
      </c>
      <c r="D9" s="64" t="s">
        <v>707</v>
      </c>
      <c r="H9" s="64" t="s">
        <v>190</v>
      </c>
      <c r="K9" s="93" t="n">
        <v>45383</v>
      </c>
      <c r="L9" s="73" t="n">
        <v>4</v>
      </c>
      <c r="M9" s="65" t="n">
        <v>45413</v>
      </c>
      <c r="N9" s="64" t="s">
        <v>708</v>
      </c>
    </row>
    <row r="10" customFormat="false" ht="15" hidden="false" customHeight="false" outlineLevel="0" collapsed="false">
      <c r="D10" s="64" t="s">
        <v>528</v>
      </c>
      <c r="H10" s="64" t="s">
        <v>203</v>
      </c>
      <c r="K10" s="93" t="n">
        <v>45413</v>
      </c>
      <c r="L10" s="73" t="n">
        <v>5</v>
      </c>
      <c r="M10" s="65" t="n">
        <v>45433</v>
      </c>
      <c r="N10" s="64" t="s">
        <v>709</v>
      </c>
    </row>
    <row r="11" customFormat="false" ht="15" hidden="false" customHeight="false" outlineLevel="0" collapsed="false">
      <c r="D11" s="64" t="s">
        <v>710</v>
      </c>
      <c r="H11" s="64" t="s">
        <v>209</v>
      </c>
      <c r="K11" s="93" t="n">
        <v>45444</v>
      </c>
      <c r="L11" s="73" t="n">
        <v>6</v>
      </c>
      <c r="M11" s="65" t="n">
        <v>45452</v>
      </c>
      <c r="N11" s="64" t="s">
        <v>711</v>
      </c>
    </row>
    <row r="12" customFormat="false" ht="15" hidden="false" customHeight="false" outlineLevel="0" collapsed="false">
      <c r="D12" s="64" t="s">
        <v>712</v>
      </c>
      <c r="H12" s="64" t="s">
        <v>713</v>
      </c>
      <c r="K12" s="93" t="n">
        <v>45474</v>
      </c>
      <c r="L12" s="73" t="n">
        <v>7</v>
      </c>
      <c r="M12" s="65" t="n">
        <v>45463</v>
      </c>
      <c r="N12" s="64" t="s">
        <v>714</v>
      </c>
    </row>
    <row r="13" customFormat="false" ht="15" hidden="false" customHeight="false" outlineLevel="0" collapsed="false">
      <c r="H13" s="64" t="s">
        <v>215</v>
      </c>
      <c r="K13" s="93" t="n">
        <v>45505</v>
      </c>
      <c r="L13" s="73" t="n">
        <v>8</v>
      </c>
      <c r="M13" s="65" t="n">
        <v>45472</v>
      </c>
      <c r="N13" s="64" t="s">
        <v>715</v>
      </c>
    </row>
    <row r="14" customFormat="false" ht="15" hidden="false" customHeight="false" outlineLevel="0" collapsed="false">
      <c r="H14" s="64" t="s">
        <v>716</v>
      </c>
      <c r="K14" s="93" t="n">
        <v>45536</v>
      </c>
      <c r="L14" s="73" t="n">
        <v>9</v>
      </c>
      <c r="M14" s="65" t="n">
        <v>45489</v>
      </c>
      <c r="N14" s="64" t="s">
        <v>717</v>
      </c>
    </row>
    <row r="15" customFormat="false" ht="15" hidden="false" customHeight="false" outlineLevel="0" collapsed="false">
      <c r="H15" s="64" t="s">
        <v>718</v>
      </c>
      <c r="K15" s="93" t="n">
        <v>45566</v>
      </c>
      <c r="L15" s="73" t="n">
        <v>10</v>
      </c>
      <c r="M15" s="65" t="n">
        <v>45519</v>
      </c>
      <c r="N15" s="64" t="s">
        <v>719</v>
      </c>
    </row>
    <row r="16" customFormat="false" ht="15" hidden="false" customHeight="false" outlineLevel="0" collapsed="false">
      <c r="H16" s="64"/>
      <c r="K16" s="93" t="n">
        <v>45597</v>
      </c>
      <c r="L16" s="73" t="n">
        <v>11</v>
      </c>
      <c r="M16" s="65" t="n">
        <v>45553</v>
      </c>
      <c r="N16" s="64" t="s">
        <v>720</v>
      </c>
    </row>
    <row r="17" customFormat="false" ht="15" hidden="false" customHeight="false" outlineLevel="0" collapsed="false">
      <c r="H17" s="64"/>
      <c r="K17" s="93" t="n">
        <v>45627</v>
      </c>
      <c r="L17" s="73" t="n">
        <v>12</v>
      </c>
      <c r="M17" s="65" t="n">
        <v>45554</v>
      </c>
      <c r="N17" s="64" t="s">
        <v>721</v>
      </c>
    </row>
    <row r="18" customFormat="false" ht="15" hidden="false" customHeight="false" outlineLevel="0" collapsed="false">
      <c r="H18" s="64"/>
      <c r="K18" s="93" t="n">
        <v>45658</v>
      </c>
      <c r="L18" s="73" t="n">
        <v>13</v>
      </c>
      <c r="M18" s="65" t="n">
        <v>45555</v>
      </c>
      <c r="N18" s="64" t="s">
        <v>722</v>
      </c>
    </row>
    <row r="19" customFormat="false" ht="15" hidden="false" customHeight="false" outlineLevel="0" collapsed="false">
      <c r="H19" s="64"/>
      <c r="K19" s="93" t="n">
        <v>45689</v>
      </c>
      <c r="L19" s="73" t="n">
        <v>14</v>
      </c>
      <c r="M19" s="65" t="n">
        <v>45577</v>
      </c>
      <c r="N19" s="64" t="s">
        <v>723</v>
      </c>
    </row>
    <row r="20" customFormat="false" ht="15" hidden="false" customHeight="false" outlineLevel="0" collapsed="false">
      <c r="H20" s="64"/>
      <c r="K20" s="93" t="n">
        <v>45717</v>
      </c>
      <c r="L20" s="73" t="n">
        <v>15</v>
      </c>
      <c r="M20" s="65" t="n">
        <v>45596</v>
      </c>
      <c r="N20" s="64" t="s">
        <v>724</v>
      </c>
    </row>
    <row r="21" customFormat="false" ht="15" hidden="false" customHeight="false" outlineLevel="0" collapsed="false">
      <c r="H21" s="64"/>
      <c r="K21" s="93" t="n">
        <v>45748</v>
      </c>
      <c r="L21" s="73" t="n">
        <v>16</v>
      </c>
      <c r="M21" s="65" t="n">
        <v>45597</v>
      </c>
      <c r="N21" s="64" t="s">
        <v>725</v>
      </c>
    </row>
    <row r="22" customFormat="false" ht="15" hidden="false" customHeight="false" outlineLevel="0" collapsed="false">
      <c r="H22" s="64"/>
      <c r="K22" s="93" t="n">
        <v>45778</v>
      </c>
      <c r="L22" s="73" t="n">
        <v>17</v>
      </c>
      <c r="M22" s="65" t="n">
        <v>45634</v>
      </c>
      <c r="N22" s="64" t="s">
        <v>726</v>
      </c>
    </row>
    <row r="23" customFormat="false" ht="15" hidden="false" customHeight="false" outlineLevel="0" collapsed="false">
      <c r="H23" s="64"/>
      <c r="K23" s="93" t="n">
        <v>45809</v>
      </c>
      <c r="L23" s="73" t="n">
        <v>18</v>
      </c>
      <c r="M23" s="65" t="n">
        <v>45651</v>
      </c>
      <c r="N23" s="64" t="s">
        <v>727</v>
      </c>
    </row>
    <row r="24" customFormat="false" ht="15" hidden="false" customHeight="false" outlineLevel="0" collapsed="false">
      <c r="H24" s="64"/>
      <c r="K24" s="93" t="n">
        <v>45839</v>
      </c>
      <c r="L24" s="73" t="n">
        <v>19</v>
      </c>
      <c r="M24" s="65" t="n">
        <v>45658</v>
      </c>
      <c r="N24" s="64" t="s">
        <v>698</v>
      </c>
    </row>
    <row r="25" customFormat="false" ht="15" hidden="false" customHeight="false" outlineLevel="0" collapsed="false">
      <c r="H25" s="64"/>
      <c r="K25" s="93" t="n">
        <v>45870</v>
      </c>
      <c r="L25" s="73" t="n">
        <v>20</v>
      </c>
      <c r="M25" s="65" t="n">
        <v>45765</v>
      </c>
      <c r="N25" s="64" t="s">
        <v>703</v>
      </c>
    </row>
    <row r="26" customFormat="false" ht="15" hidden="false" customHeight="false" outlineLevel="0" collapsed="false">
      <c r="K26" s="93" t="n">
        <v>45901</v>
      </c>
      <c r="L26" s="73" t="n">
        <v>21</v>
      </c>
      <c r="M26" s="65" t="n">
        <v>45766</v>
      </c>
      <c r="N26" s="64" t="s">
        <v>706</v>
      </c>
    </row>
    <row r="27" customFormat="false" ht="15" hidden="false" customHeight="false" outlineLevel="0" collapsed="false">
      <c r="K27" s="93" t="n">
        <v>45931</v>
      </c>
      <c r="L27" s="73" t="n">
        <v>22</v>
      </c>
      <c r="M27" s="65" t="n">
        <v>45778</v>
      </c>
      <c r="N27" s="64" t="s">
        <v>708</v>
      </c>
    </row>
    <row r="28" customFormat="false" ht="15" hidden="false" customHeight="false" outlineLevel="0" collapsed="false">
      <c r="K28" s="93" t="n">
        <v>45962</v>
      </c>
      <c r="L28" s="73" t="n">
        <v>23</v>
      </c>
      <c r="M28" s="65" t="n">
        <v>45798</v>
      </c>
      <c r="N28" s="64" t="s">
        <v>709</v>
      </c>
    </row>
    <row r="29" customFormat="false" ht="15" hidden="false" customHeight="false" outlineLevel="0" collapsed="false">
      <c r="K29" s="93" t="n">
        <v>45992</v>
      </c>
      <c r="L29" s="73" t="n">
        <v>24</v>
      </c>
      <c r="M29" s="65" t="n">
        <v>45828</v>
      </c>
      <c r="N29" s="64" t="s">
        <v>714</v>
      </c>
    </row>
    <row r="30" customFormat="false" ht="15" hidden="false" customHeight="false" outlineLevel="0" collapsed="false">
      <c r="K30" s="93" t="n">
        <v>46023</v>
      </c>
      <c r="L30" s="73" t="n">
        <v>25</v>
      </c>
      <c r="M30" s="65" t="n">
        <v>45837</v>
      </c>
      <c r="N30" s="64" t="s">
        <v>715</v>
      </c>
    </row>
    <row r="31" customFormat="false" ht="15" hidden="false" customHeight="false" outlineLevel="0" collapsed="false">
      <c r="K31" s="93" t="n">
        <v>46054</v>
      </c>
      <c r="L31" s="73" t="n">
        <v>26</v>
      </c>
      <c r="M31" s="65" t="n">
        <v>45854</v>
      </c>
      <c r="N31" s="64" t="s">
        <v>717</v>
      </c>
    </row>
    <row r="32" customFormat="false" ht="15" hidden="false" customHeight="false" outlineLevel="0" collapsed="false">
      <c r="K32" s="93" t="n">
        <v>46082</v>
      </c>
      <c r="L32" s="73" t="n">
        <v>27</v>
      </c>
      <c r="M32" s="65" t="n">
        <v>45884</v>
      </c>
      <c r="N32" s="64" t="s">
        <v>719</v>
      </c>
    </row>
    <row r="33" customFormat="false" ht="15" hidden="false" customHeight="false" outlineLevel="0" collapsed="false">
      <c r="K33" s="93" t="n">
        <v>46113</v>
      </c>
      <c r="L33" s="73" t="n">
        <v>28</v>
      </c>
      <c r="M33" s="65" t="n">
        <v>45918</v>
      </c>
      <c r="N33" s="64" t="s">
        <v>720</v>
      </c>
    </row>
    <row r="34" customFormat="false" ht="15" hidden="false" customHeight="false" outlineLevel="0" collapsed="false">
      <c r="K34" s="93" t="n">
        <v>46143</v>
      </c>
      <c r="L34" s="73" t="n">
        <v>29</v>
      </c>
      <c r="M34" s="65" t="n">
        <v>45919</v>
      </c>
      <c r="N34" s="64" t="s">
        <v>721</v>
      </c>
    </row>
    <row r="35" customFormat="false" ht="15" hidden="false" customHeight="false" outlineLevel="0" collapsed="false">
      <c r="K35" s="93" t="n">
        <v>46174</v>
      </c>
      <c r="L35" s="73" t="n">
        <v>30</v>
      </c>
      <c r="M35" s="65" t="n">
        <v>45942</v>
      </c>
      <c r="N35" s="64" t="s">
        <v>723</v>
      </c>
    </row>
    <row r="36" customFormat="false" ht="15" hidden="false" customHeight="false" outlineLevel="0" collapsed="false">
      <c r="K36" s="93" t="n">
        <v>46204</v>
      </c>
      <c r="L36" s="73" t="n">
        <v>31</v>
      </c>
      <c r="M36" s="65" t="n">
        <v>45961</v>
      </c>
      <c r="N36" s="64" t="s">
        <v>724</v>
      </c>
    </row>
    <row r="37" customFormat="false" ht="15" hidden="false" customHeight="false" outlineLevel="0" collapsed="false">
      <c r="K37" s="93" t="n">
        <v>46235</v>
      </c>
      <c r="L37" s="73" t="n">
        <v>32</v>
      </c>
      <c r="M37" s="65" t="n">
        <v>45962</v>
      </c>
      <c r="N37" s="64" t="s">
        <v>725</v>
      </c>
    </row>
    <row r="38" customFormat="false" ht="15" hidden="false" customHeight="false" outlineLevel="0" collapsed="false">
      <c r="K38" s="93" t="n">
        <v>46266</v>
      </c>
      <c r="L38" s="73" t="n">
        <v>33</v>
      </c>
      <c r="M38" s="65" t="n">
        <v>45977</v>
      </c>
      <c r="N38" s="64" t="s">
        <v>728</v>
      </c>
    </row>
    <row r="39" customFormat="false" ht="15" hidden="false" customHeight="false" outlineLevel="0" collapsed="false">
      <c r="K39" s="93" t="n">
        <v>46296</v>
      </c>
      <c r="L39" s="73" t="n">
        <v>34</v>
      </c>
      <c r="M39" s="65" t="n">
        <v>45999</v>
      </c>
      <c r="N39" s="64" t="s">
        <v>726</v>
      </c>
    </row>
    <row r="40" customFormat="false" ht="15" hidden="false" customHeight="false" outlineLevel="0" collapsed="false">
      <c r="K40" s="93" t="n">
        <v>46327</v>
      </c>
      <c r="L40" s="73" t="n">
        <v>35</v>
      </c>
      <c r="M40" s="65" t="n">
        <v>46005</v>
      </c>
      <c r="N40" s="64" t="s">
        <v>729</v>
      </c>
    </row>
    <row r="41" customFormat="false" ht="15" hidden="false" customHeight="false" outlineLevel="0" collapsed="false">
      <c r="K41" s="93" t="n">
        <v>46357</v>
      </c>
      <c r="L41" s="73" t="n">
        <v>36</v>
      </c>
      <c r="M41" s="65" t="n">
        <v>46016</v>
      </c>
      <c r="N41" s="64" t="s">
        <v>727</v>
      </c>
    </row>
    <row r="42" customFormat="false" ht="15" hidden="false" customHeight="false" outlineLevel="0" collapsed="false">
      <c r="K42" s="93" t="n">
        <v>46388</v>
      </c>
      <c r="L42" s="73" t="n">
        <v>37</v>
      </c>
      <c r="M42" s="65" t="n">
        <v>46023</v>
      </c>
      <c r="N42" s="64" t="s">
        <v>698</v>
      </c>
    </row>
    <row r="43" customFormat="false" ht="15" hidden="false" customHeight="false" outlineLevel="0" collapsed="false">
      <c r="K43" s="93" t="n">
        <v>46419</v>
      </c>
      <c r="L43" s="73" t="n">
        <v>38</v>
      </c>
      <c r="M43" s="65" t="n">
        <v>46115</v>
      </c>
      <c r="N43" s="64" t="s">
        <v>703</v>
      </c>
    </row>
    <row r="44" customFormat="false" ht="15" hidden="false" customHeight="false" outlineLevel="0" collapsed="false">
      <c r="K44" s="93" t="n">
        <v>46447</v>
      </c>
      <c r="L44" s="73" t="n">
        <v>39</v>
      </c>
      <c r="M44" s="65" t="n">
        <v>46116</v>
      </c>
      <c r="N44" s="64" t="s">
        <v>706</v>
      </c>
    </row>
    <row r="45" customFormat="false" ht="15" hidden="false" customHeight="false" outlineLevel="0" collapsed="false">
      <c r="K45" s="93" t="n">
        <v>46478</v>
      </c>
      <c r="L45" s="73" t="n">
        <v>40</v>
      </c>
      <c r="M45" s="65" t="n">
        <v>46143</v>
      </c>
      <c r="N45" s="64" t="s">
        <v>708</v>
      </c>
    </row>
    <row r="46" customFormat="false" ht="15" hidden="false" customHeight="false" outlineLevel="0" collapsed="false">
      <c r="K46" s="93" t="n">
        <v>46508</v>
      </c>
      <c r="L46" s="73" t="n">
        <v>41</v>
      </c>
      <c r="M46" s="65" t="n">
        <v>46163</v>
      </c>
      <c r="N46" s="64" t="s">
        <v>709</v>
      </c>
    </row>
    <row r="47" customFormat="false" ht="15" hidden="false" customHeight="false" outlineLevel="0" collapsed="false">
      <c r="K47" s="93" t="n">
        <v>46539</v>
      </c>
      <c r="L47" s="73" t="n">
        <v>42</v>
      </c>
      <c r="M47" s="65" t="n">
        <v>46194</v>
      </c>
      <c r="N47" s="64" t="s">
        <v>714</v>
      </c>
    </row>
    <row r="48" customFormat="false" ht="15" hidden="false" customHeight="false" outlineLevel="0" collapsed="false">
      <c r="K48" s="93" t="n">
        <v>46569</v>
      </c>
      <c r="L48" s="73" t="n">
        <v>43</v>
      </c>
      <c r="M48" s="65" t="n">
        <v>46202</v>
      </c>
      <c r="N48" s="64" t="s">
        <v>715</v>
      </c>
    </row>
    <row r="49" customFormat="false" ht="15" hidden="false" customHeight="false" outlineLevel="0" collapsed="false">
      <c r="K49" s="93" t="n">
        <v>46600</v>
      </c>
      <c r="L49" s="73" t="n">
        <v>44</v>
      </c>
      <c r="M49" s="65" t="n">
        <v>46219</v>
      </c>
      <c r="N49" s="64" t="s">
        <v>717</v>
      </c>
    </row>
    <row r="50" customFormat="false" ht="15" hidden="false" customHeight="false" outlineLevel="0" collapsed="false">
      <c r="K50" s="93" t="n">
        <v>46631</v>
      </c>
      <c r="L50" s="73" t="n">
        <v>45</v>
      </c>
      <c r="M50" s="65" t="n">
        <v>46249</v>
      </c>
      <c r="N50" s="64" t="s">
        <v>719</v>
      </c>
    </row>
    <row r="51" customFormat="false" ht="15" hidden="false" customHeight="false" outlineLevel="0" collapsed="false">
      <c r="K51" s="93" t="n">
        <v>46661</v>
      </c>
      <c r="M51" s="65" t="n">
        <v>46283</v>
      </c>
      <c r="N51" s="64" t="s">
        <v>720</v>
      </c>
    </row>
    <row r="52" customFormat="false" ht="15" hidden="false" customHeight="false" outlineLevel="0" collapsed="false">
      <c r="K52" s="93" t="n">
        <v>46692</v>
      </c>
      <c r="M52" s="65" t="n">
        <v>46284</v>
      </c>
      <c r="N52" s="64" t="s">
        <v>721</v>
      </c>
    </row>
    <row r="53" customFormat="false" ht="15" hidden="false" customHeight="false" outlineLevel="0" collapsed="false">
      <c r="K53" s="93" t="n">
        <v>46722</v>
      </c>
      <c r="M53" s="65" t="n">
        <v>46307</v>
      </c>
      <c r="N53" s="64" t="s">
        <v>723</v>
      </c>
    </row>
    <row r="54" customFormat="false" ht="15" hidden="false" customHeight="false" outlineLevel="0" collapsed="false">
      <c r="K54" s="93" t="n">
        <v>46753</v>
      </c>
      <c r="M54" s="65" t="n">
        <v>46326</v>
      </c>
      <c r="N54" s="64" t="s">
        <v>724</v>
      </c>
    </row>
    <row r="55" customFormat="false" ht="15" hidden="false" customHeight="false" outlineLevel="0" collapsed="false">
      <c r="K55" s="93" t="n">
        <v>46784</v>
      </c>
      <c r="M55" s="65" t="n">
        <v>46327</v>
      </c>
      <c r="N55" s="64" t="s">
        <v>725</v>
      </c>
    </row>
    <row r="56" customFormat="false" ht="15" hidden="false" customHeight="false" outlineLevel="0" collapsed="false">
      <c r="K56" s="93" t="n">
        <v>46813</v>
      </c>
      <c r="M56" s="65" t="n">
        <v>46364</v>
      </c>
      <c r="N56" s="64" t="s">
        <v>726</v>
      </c>
    </row>
    <row r="57" customFormat="false" ht="15" hidden="false" customHeight="false" outlineLevel="0" collapsed="false">
      <c r="K57" s="93" t="n">
        <v>46844</v>
      </c>
      <c r="M57" s="65" t="n">
        <v>46381</v>
      </c>
      <c r="N57" s="64" t="s">
        <v>727</v>
      </c>
    </row>
    <row r="58" customFormat="false" ht="15" hidden="false" customHeight="false" outlineLevel="0" collapsed="false">
      <c r="K58" s="93" t="n">
        <v>46874</v>
      </c>
      <c r="M58" s="65" t="n">
        <v>46388</v>
      </c>
      <c r="N58" s="64" t="s">
        <v>698</v>
      </c>
    </row>
    <row r="59" customFormat="false" ht="15" hidden="false" customHeight="false" outlineLevel="0" collapsed="false">
      <c r="K59" s="93" t="n">
        <v>46905</v>
      </c>
      <c r="M59" s="65" t="n">
        <v>46472</v>
      </c>
      <c r="N59" s="64" t="s">
        <v>703</v>
      </c>
    </row>
    <row r="60" customFormat="false" ht="15" hidden="false" customHeight="false" outlineLevel="0" collapsed="false">
      <c r="K60" s="93" t="n">
        <v>46935</v>
      </c>
      <c r="M60" s="65" t="n">
        <v>46473</v>
      </c>
      <c r="N60" s="64" t="s">
        <v>706</v>
      </c>
    </row>
    <row r="61" customFormat="false" ht="15" hidden="false" customHeight="false" outlineLevel="0" collapsed="false">
      <c r="K61" s="93" t="n">
        <v>46966</v>
      </c>
      <c r="M61" s="65" t="n">
        <v>46508</v>
      </c>
      <c r="N61" s="64" t="s">
        <v>708</v>
      </c>
    </row>
    <row r="62" customFormat="false" ht="15" hidden="false" customHeight="false" outlineLevel="0" collapsed="false">
      <c r="K62" s="93" t="n">
        <v>46997</v>
      </c>
      <c r="M62" s="65" t="n">
        <v>46528</v>
      </c>
      <c r="N62" s="64" t="s">
        <v>709</v>
      </c>
    </row>
    <row r="63" customFormat="false" ht="15" hidden="false" customHeight="false" outlineLevel="0" collapsed="false">
      <c r="K63" s="93" t="n">
        <v>47027</v>
      </c>
      <c r="M63" s="65" t="n">
        <v>46559</v>
      </c>
      <c r="N63" s="64" t="s">
        <v>714</v>
      </c>
    </row>
    <row r="64" customFormat="false" ht="15" hidden="false" customHeight="false" outlineLevel="0" collapsed="false">
      <c r="K64" s="93" t="n">
        <v>47058</v>
      </c>
      <c r="M64" s="65" t="n">
        <v>46566</v>
      </c>
      <c r="N64" s="64" t="s">
        <v>730</v>
      </c>
    </row>
    <row r="65" customFormat="false" ht="15" hidden="false" customHeight="false" outlineLevel="0" collapsed="false">
      <c r="K65" s="93" t="n">
        <v>47088</v>
      </c>
      <c r="M65" s="65" t="n">
        <v>46584</v>
      </c>
      <c r="N65" s="64" t="s">
        <v>717</v>
      </c>
    </row>
    <row r="66" customFormat="false" ht="15" hidden="false" customHeight="false" outlineLevel="0" collapsed="false">
      <c r="K66" s="93" t="n">
        <v>47119</v>
      </c>
      <c r="M66" s="65" t="n">
        <v>46614</v>
      </c>
      <c r="N66" s="64" t="s">
        <v>719</v>
      </c>
    </row>
    <row r="67" customFormat="false" ht="15" hidden="false" customHeight="false" outlineLevel="0" collapsed="false">
      <c r="K67" s="93" t="n">
        <v>47150</v>
      </c>
      <c r="M67" s="65" t="n">
        <v>46648</v>
      </c>
      <c r="N67" s="64" t="s">
        <v>720</v>
      </c>
    </row>
    <row r="68" customFormat="false" ht="15" hidden="false" customHeight="false" outlineLevel="0" collapsed="false">
      <c r="K68" s="93" t="n">
        <v>47178</v>
      </c>
      <c r="M68" s="65" t="n">
        <v>46649</v>
      </c>
      <c r="N68" s="64" t="s">
        <v>721</v>
      </c>
    </row>
    <row r="69" customFormat="false" ht="15" hidden="false" customHeight="false" outlineLevel="0" collapsed="false">
      <c r="K69" s="93" t="n">
        <v>47209</v>
      </c>
      <c r="M69" s="65" t="n">
        <v>46671</v>
      </c>
      <c r="N69" s="64" t="s">
        <v>731</v>
      </c>
    </row>
    <row r="70" customFormat="false" ht="15" hidden="false" customHeight="false" outlineLevel="0" collapsed="false">
      <c r="K70" s="93" t="n">
        <v>47239</v>
      </c>
      <c r="M70" s="65" t="n">
        <v>46691</v>
      </c>
      <c r="N70" s="64" t="s">
        <v>724</v>
      </c>
    </row>
    <row r="71" customFormat="false" ht="15" hidden="false" customHeight="false" outlineLevel="0" collapsed="false">
      <c r="K71" s="93" t="n">
        <v>47270</v>
      </c>
      <c r="M71" s="65" t="n">
        <v>46692</v>
      </c>
      <c r="N71" s="64" t="s">
        <v>725</v>
      </c>
    </row>
    <row r="72" customFormat="false" ht="15" hidden="false" customHeight="false" outlineLevel="0" collapsed="false">
      <c r="K72" s="93" t="n">
        <v>47300</v>
      </c>
      <c r="M72" s="65" t="n">
        <v>46729</v>
      </c>
      <c r="N72" s="64" t="s">
        <v>726</v>
      </c>
    </row>
    <row r="73" customFormat="false" ht="15" hidden="false" customHeight="false" outlineLevel="0" collapsed="false">
      <c r="K73" s="93" t="n">
        <v>47331</v>
      </c>
      <c r="M73" s="65" t="n">
        <v>46746</v>
      </c>
      <c r="N73" s="64" t="s">
        <v>727</v>
      </c>
    </row>
    <row r="74" customFormat="false" ht="15" hidden="false" customHeight="false" outlineLevel="0" collapsed="false">
      <c r="K74" s="93" t="n">
        <v>47362</v>
      </c>
      <c r="M74" s="65"/>
      <c r="N74" s="64"/>
    </row>
    <row r="75" customFormat="false" ht="15" hidden="false" customHeight="false" outlineLevel="0" collapsed="false">
      <c r="K75" s="93" t="n">
        <v>47392</v>
      </c>
      <c r="M75" s="65"/>
      <c r="N75" s="64"/>
    </row>
    <row r="76" customFormat="false" ht="15" hidden="false" customHeight="false" outlineLevel="0" collapsed="false">
      <c r="K76" s="93" t="n">
        <v>47423</v>
      </c>
      <c r="M76" s="65"/>
      <c r="N76" s="64"/>
    </row>
    <row r="77" customFormat="false" ht="15" hidden="false" customHeight="false" outlineLevel="0" collapsed="false">
      <c r="K77" s="93" t="n">
        <v>47453</v>
      </c>
      <c r="M77" s="65"/>
      <c r="N77" s="64"/>
    </row>
    <row r="78" customFormat="false" ht="15" hidden="false" customHeight="false" outlineLevel="0" collapsed="false">
      <c r="K78" s="93" t="n">
        <v>47484</v>
      </c>
      <c r="M78" s="65"/>
      <c r="N78" s="64"/>
    </row>
    <row r="79" customFormat="false" ht="15" hidden="false" customHeight="false" outlineLevel="0" collapsed="false">
      <c r="K79" s="93" t="n">
        <v>47515</v>
      </c>
      <c r="M79" s="65"/>
      <c r="N79" s="64"/>
    </row>
    <row r="80" customFormat="false" ht="15" hidden="false" customHeight="false" outlineLevel="0" collapsed="false">
      <c r="K80" s="93" t="n">
        <v>47543</v>
      </c>
      <c r="M80" s="65"/>
      <c r="N80" s="64"/>
    </row>
    <row r="81" customFormat="false" ht="15" hidden="false" customHeight="false" outlineLevel="0" collapsed="false">
      <c r="K81" s="93" t="n">
        <v>47574</v>
      </c>
      <c r="M81" s="65"/>
      <c r="N81" s="64"/>
    </row>
    <row r="82" customFormat="false" ht="15" hidden="false" customHeight="false" outlineLevel="0" collapsed="false">
      <c r="K82" s="93" t="n">
        <v>47604</v>
      </c>
      <c r="M82" s="65"/>
      <c r="N82" s="64"/>
    </row>
    <row r="83" customFormat="false" ht="15" hidden="false" customHeight="false" outlineLevel="0" collapsed="false">
      <c r="K83" s="93" t="n">
        <v>47635</v>
      </c>
      <c r="M83" s="65"/>
      <c r="N83" s="64"/>
    </row>
    <row r="84" customFormat="false" ht="15" hidden="false" customHeight="false" outlineLevel="0" collapsed="false">
      <c r="K84" s="93" t="n">
        <v>47665</v>
      </c>
      <c r="M84" s="65"/>
      <c r="N84" s="64"/>
    </row>
    <row r="85" customFormat="false" ht="15" hidden="false" customHeight="false" outlineLevel="0" collapsed="false">
      <c r="K85" s="93" t="n">
        <v>47696</v>
      </c>
      <c r="M85" s="65"/>
      <c r="N85" s="64"/>
    </row>
    <row r="86" customFormat="false" ht="15" hidden="false" customHeight="false" outlineLevel="0" collapsed="false">
      <c r="K86" s="93" t="n">
        <v>47727</v>
      </c>
      <c r="M86" s="65"/>
      <c r="N86" s="64"/>
    </row>
    <row r="87" customFormat="false" ht="15" hidden="false" customHeight="false" outlineLevel="0" collapsed="false">
      <c r="K87" s="93" t="n">
        <v>47757</v>
      </c>
      <c r="M87" s="65"/>
      <c r="N87" s="64"/>
    </row>
    <row r="88" customFormat="false" ht="15" hidden="false" customHeight="false" outlineLevel="0" collapsed="false">
      <c r="K88" s="93" t="n">
        <v>47788</v>
      </c>
      <c r="M88" s="65"/>
      <c r="N88" s="64"/>
    </row>
    <row r="89" customFormat="false" ht="15" hidden="false" customHeight="false" outlineLevel="0" collapsed="false">
      <c r="K89" s="93" t="n">
        <v>47818</v>
      </c>
      <c r="M89" s="65"/>
      <c r="N89" s="64"/>
    </row>
    <row r="90" customFormat="false" ht="15" hidden="false" customHeight="false" outlineLevel="0" collapsed="false">
      <c r="M90" s="65"/>
      <c r="N90" s="64"/>
    </row>
    <row r="91" customFormat="false" ht="15" hidden="false" customHeight="false" outlineLevel="0" collapsed="false">
      <c r="M91" s="65"/>
      <c r="N91" s="64"/>
    </row>
    <row r="92" customFormat="false" ht="15" hidden="false" customHeight="false" outlineLevel="0" collapsed="false">
      <c r="M92" s="65"/>
      <c r="N92" s="64"/>
    </row>
    <row r="93" customFormat="false" ht="15" hidden="false" customHeight="false" outlineLevel="0" collapsed="false">
      <c r="M93" s="65"/>
      <c r="N93" s="64"/>
    </row>
    <row r="94" customFormat="false" ht="15" hidden="false" customHeight="false" outlineLevel="0" collapsed="false">
      <c r="M94" s="65"/>
      <c r="N94" s="64"/>
    </row>
    <row r="95" customFormat="false" ht="15" hidden="false" customHeight="false" outlineLevel="0" collapsed="false">
      <c r="M95" s="65"/>
      <c r="N95" s="64"/>
    </row>
    <row r="96" customFormat="false" ht="15" hidden="false" customHeight="false" outlineLevel="0" collapsed="false">
      <c r="M96" s="65"/>
      <c r="N96" s="64"/>
    </row>
    <row r="97" customFormat="false" ht="15" hidden="false" customHeight="false" outlineLevel="0" collapsed="false">
      <c r="M97" s="65"/>
      <c r="N97" s="64"/>
    </row>
    <row r="98" customFormat="false" ht="15" hidden="false" customHeight="false" outlineLevel="0" collapsed="false">
      <c r="M98" s="65"/>
      <c r="N98" s="64"/>
    </row>
    <row r="99" customFormat="false" ht="15" hidden="false" customHeight="false" outlineLevel="0" collapsed="false">
      <c r="M99" s="65"/>
      <c r="N99" s="64"/>
    </row>
    <row r="100" customFormat="false" ht="15" hidden="false" customHeight="false" outlineLevel="0" collapsed="false">
      <c r="M100" s="65"/>
      <c r="N100" s="64"/>
    </row>
    <row r="101" customFormat="false" ht="15" hidden="false" customHeight="false" outlineLevel="0" collapsed="false">
      <c r="M101" s="65"/>
      <c r="N101" s="64"/>
    </row>
    <row r="102" customFormat="false" ht="15" hidden="false" customHeight="false" outlineLevel="0" collapsed="false">
      <c r="M102" s="65"/>
      <c r="N102" s="64"/>
    </row>
    <row r="103" customFormat="false" ht="15" hidden="false" customHeight="false" outlineLevel="0" collapsed="false">
      <c r="M103" s="65"/>
      <c r="N103" s="64"/>
    </row>
    <row r="104" customFormat="false" ht="15" hidden="false" customHeight="false" outlineLevel="0" collapsed="false">
      <c r="M104" s="65"/>
      <c r="N104" s="64"/>
    </row>
    <row r="105" customFormat="false" ht="15" hidden="false" customHeight="false" outlineLevel="0" collapsed="false">
      <c r="M105" s="65"/>
      <c r="N105" s="64"/>
    </row>
    <row r="106" customFormat="false" ht="15" hidden="false" customHeight="false" outlineLevel="0" collapsed="false">
      <c r="M106" s="65"/>
      <c r="N106" s="64"/>
    </row>
    <row r="107" customFormat="false" ht="15" hidden="false" customHeight="false" outlineLevel="0" collapsed="false">
      <c r="M107" s="65"/>
      <c r="N107" s="64"/>
    </row>
    <row r="108" customFormat="false" ht="15" hidden="false" customHeight="false" outlineLevel="0" collapsed="false">
      <c r="M108" s="65"/>
      <c r="N108" s="64"/>
    </row>
    <row r="109" customFormat="false" ht="15" hidden="false" customHeight="false" outlineLevel="0" collapsed="false">
      <c r="M109" s="65"/>
      <c r="N109" s="64"/>
    </row>
    <row r="110" customFormat="false" ht="15" hidden="false" customHeight="false" outlineLevel="0" collapsed="false">
      <c r="M110" s="65"/>
      <c r="N110" s="64"/>
    </row>
    <row r="111" customFormat="false" ht="15" hidden="false" customHeight="false" outlineLevel="0" collapsed="false">
      <c r="M111" s="65"/>
      <c r="N111" s="64"/>
    </row>
    <row r="112" customFormat="false" ht="15" hidden="false" customHeight="false" outlineLevel="0" collapsed="false">
      <c r="M112" s="65"/>
      <c r="N112" s="64"/>
    </row>
    <row r="113" customFormat="false" ht="15" hidden="false" customHeight="false" outlineLevel="0" collapsed="false">
      <c r="M113" s="65"/>
      <c r="N113" s="64"/>
    </row>
    <row r="114" customFormat="false" ht="15" hidden="false" customHeight="false" outlineLevel="0" collapsed="false">
      <c r="M114" s="65"/>
      <c r="N114" s="64"/>
    </row>
    <row r="115" customFormat="false" ht="15" hidden="false" customHeight="false" outlineLevel="0" collapsed="false">
      <c r="M115" s="65"/>
      <c r="N115" s="64"/>
    </row>
    <row r="116" customFormat="false" ht="15" hidden="false" customHeight="false" outlineLevel="0" collapsed="false">
      <c r="M116" s="65"/>
      <c r="N116" s="64"/>
    </row>
    <row r="117" customFormat="false" ht="15" hidden="false" customHeight="false" outlineLevel="0" collapsed="false">
      <c r="M117" s="65"/>
      <c r="N117" s="64"/>
    </row>
    <row r="118" customFormat="false" ht="15" hidden="false" customHeight="false" outlineLevel="0" collapsed="false">
      <c r="M118" s="65"/>
      <c r="N118" s="64"/>
    </row>
    <row r="119" customFormat="false" ht="15" hidden="false" customHeight="false" outlineLevel="0" collapsed="false">
      <c r="M119" s="65"/>
      <c r="N119" s="64"/>
    </row>
    <row r="120" customFormat="false" ht="15" hidden="false" customHeight="false" outlineLevel="0" collapsed="false">
      <c r="M120" s="65"/>
      <c r="N120" s="64"/>
    </row>
    <row r="121" customFormat="false" ht="15" hidden="false" customHeight="false" outlineLevel="0" collapsed="false">
      <c r="M121" s="65"/>
      <c r="N121" s="64"/>
    </row>
    <row r="122" customFormat="false" ht="15" hidden="false" customHeight="false" outlineLevel="0" collapsed="false">
      <c r="M122" s="65"/>
      <c r="N122" s="64"/>
    </row>
    <row r="123" customFormat="false" ht="15" hidden="false" customHeight="false" outlineLevel="0" collapsed="false">
      <c r="M123" s="65"/>
      <c r="N123" s="64"/>
    </row>
    <row r="124" customFormat="false" ht="15" hidden="false" customHeight="false" outlineLevel="0" collapsed="false">
      <c r="M124" s="65"/>
      <c r="N124" s="64"/>
    </row>
    <row r="125" customFormat="false" ht="15" hidden="false" customHeight="false" outlineLevel="0" collapsed="false">
      <c r="M125" s="65"/>
      <c r="N125" s="6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2026-10-27T15:06:14Z</dcterms:created>
  <dc:creator>openpyxl</dc:creator>
  <dc:description/>
  <dc:language>en-US</dc:language>
  <cp:lastModifiedBy/>
  <dcterms:modified xsi:type="dcterms:W3CDTF">2026-10-27T15:07:05Z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